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4.xml" ContentType="application/vnd.openxmlformats-officedocument.spreadsheetml.queryTable+xml"/>
  <Override PartName="/xl/tables/table12.xml" ContentType="application/vnd.openxmlformats-officedocument.spreadsheetml.table+xml"/>
  <Override PartName="/xl/queryTables/queryTable5.xml" ContentType="application/vnd.openxmlformats-officedocument.spreadsheetml.queryTable+xml"/>
  <Override PartName="/xl/drawings/drawing3.xml" ContentType="application/vnd.openxmlformats-officedocument.drawing+xml"/>
  <Override PartName="/xl/tables/table13.xml" ContentType="application/vnd.openxmlformats-officedocument.spreadsheetml.table+xml"/>
  <Override PartName="/xl/slicers/slicer2.xml" ContentType="application/vnd.ms-excel.slicer+xml"/>
  <Override PartName="/xl/namedSheetViews/namedSheetView2.xml" ContentType="application/vnd.ms-excel.namedsheetviews+xml"/>
  <Override PartName="/xl/tables/table14.xml" ContentType="application/vnd.openxmlformats-officedocument.spreadsheetml.table+xml"/>
  <Override PartName="/xl/tables/table15.xml" ContentType="application/vnd.openxmlformats-officedocument.spreadsheetml.table+xml"/>
  <Override PartName="/xl/queryTables/queryTable6.xml" ContentType="application/vnd.openxmlformats-officedocument.spreadsheetml.queryTable+xml"/>
  <Override PartName="/xl/drawings/drawing4.xml" ContentType="application/vnd.openxmlformats-officedocument.drawing+xml"/>
  <Override PartName="/xl/tables/table16.xml" ContentType="application/vnd.openxmlformats-officedocument.spreadsheetml.table+xml"/>
  <Override PartName="/xl/slicers/slicer3.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slicers/slicer4.xml" ContentType="application/vnd.ms-excel.slicer+xml"/>
  <Override PartName="/xl/namedSheetViews/namedSheetView3.xml" ContentType="application/vnd.ms-excel.namedsheetviews+xml"/>
  <Override PartName="/xl/tables/table19.xml" ContentType="application/vnd.openxmlformats-officedocument.spreadsheetml.table+xml"/>
  <Override PartName="/xl/queryTables/queryTable7.xml" ContentType="application/vnd.openxmlformats-officedocument.spreadsheetml.queryTable+xml"/>
  <Override PartName="/xl/drawings/drawing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3.xml" ContentType="application/vnd.openxmlformats-officedocument.spreadsheetml.table+xml"/>
  <Override PartName="/xl/queryTables/queryTable8.xml" ContentType="application/vnd.openxmlformats-officedocument.spreadsheetml.query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7.xml" ContentType="application/vnd.openxmlformats-officedocument.drawing+xml"/>
  <Override PartName="/xl/tables/table27.xml" ContentType="application/vnd.openxmlformats-officedocument.spreadsheetml.table+xml"/>
  <Override PartName="/xl/slicers/slicer5.xml" ContentType="application/vnd.ms-excel.slicer+xml"/>
  <Override PartName="/xl/pivotTables/pivotTable6.xml" ContentType="application/vnd.openxmlformats-officedocument.spreadsheetml.pivot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queryTables/queryTable9.xml" ContentType="application/vnd.openxmlformats-officedocument.spreadsheetml.queryTable+xml"/>
  <Override PartName="/xl/tables/table34.xml" ContentType="application/vnd.openxmlformats-officedocument.spreadsheetml.table+xml"/>
  <Override PartName="/xl/queryTables/queryTable10.xml" ContentType="application/vnd.openxmlformats-officedocument.spreadsheetml.query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https://tslin-my.sharepoint.com/personal/163559_tatasteel_com/Documents/Tubes/DM/July26/pq/"/>
    </mc:Choice>
  </mc:AlternateContent>
  <xr:revisionPtr revIDLastSave="3801" documentId="8_{6BED5DFF-9003-49B3-893C-41930CAFEC76}" xr6:coauthVersionLast="47" xr6:coauthVersionMax="47" xr10:uidLastSave="{9A0DAB07-75C0-4928-9F34-6E0D8FF14A97}"/>
  <bookViews>
    <workbookView xWindow="-120" yWindow="-120" windowWidth="20730" windowHeight="11040" tabRatio="868" firstSheet="19" activeTab="24" xr2:uid="{00000000-000D-0000-FFFF-FFFF00000000}"/>
  </bookViews>
  <sheets>
    <sheet name="Sheet2" sheetId="80" r:id="rId1"/>
    <sheet name="OEM_key_1_rev codes" sheetId="78" r:id="rId2"/>
    <sheet name="RM Coil" sheetId="88" r:id="rId3"/>
    <sheet name="saleswipstock_matnos" sheetId="23" r:id="rId4"/>
    <sheet name="Methodology" sheetId="21" r:id="rId5"/>
    <sheet name="saleswipstock_customer" sheetId="22" r:id="rId6"/>
    <sheet name="OEM_key" sheetId="13" r:id="rId7"/>
    <sheet name="Pivot_schedule" sheetId="27" r:id="rId8"/>
    <sheet name="Schedule Pivot" sheetId="53" r:id="rId9"/>
    <sheet name="nov indent" sheetId="86" r:id="rId10"/>
    <sheet name="salesTVS" sheetId="15" r:id="rId11"/>
    <sheet name="pivot schedule copy check" sheetId="58" r:id="rId12"/>
    <sheet name="Schedule for Printing" sheetId="56" r:id="rId13"/>
    <sheet name="RM Tracker" sheetId="26" r:id="rId14"/>
    <sheet name="dec indent" sheetId="87" r:id="rId15"/>
    <sheet name="Chamferring and Angle cut" sheetId="31" r:id="rId16"/>
    <sheet name="RM Tracker Pasted" sheetId="29" r:id="rId17"/>
    <sheet name="wip_ystockn_newest_codes_bucket" sheetId="93" r:id="rId18"/>
    <sheet name="4318_ll_req" sheetId="91" r:id="rId19"/>
    <sheet name="Schedule July" sheetId="50" r:id="rId20"/>
    <sheet name="4318 CTL" sheetId="90" r:id="rId21"/>
    <sheet name="4731 CTL" sheetId="89" r:id="rId22"/>
    <sheet name="stock" sheetId="16" r:id="rId23"/>
    <sheet name="Sales Forecast TVS" sheetId="7" r:id="rId24"/>
    <sheet name="Bucketting" sheetId="9" r:id="rId25"/>
    <sheet name="Sheet1" sheetId="94" r:id="rId26"/>
    <sheet name="wip" sheetId="24" r:id="rId27"/>
    <sheet name="Printing Forecast" sheetId="70" r:id="rId28"/>
    <sheet name="Sales Loss" sheetId="68" r:id="rId29"/>
    <sheet name="SOB" sheetId="65" r:id="rId30"/>
    <sheet name="All Chamferring" sheetId="60" r:id="rId31"/>
    <sheet name="salesALL" sheetId="49" r:id="rId32"/>
    <sheet name="Chamferring Sizes" sheetId="33" r:id="rId33"/>
    <sheet name="rm types" sheetId="11" r:id="rId34"/>
    <sheet name="Sales Forecast For Printing" sheetId="57" r:id="rId35"/>
    <sheet name="Apr VSM Schedule" sheetId="47" state="hidden" r:id="rId36"/>
    <sheet name="VSM May Indent" sheetId="51" state="hidden" r:id="rId37"/>
    <sheet name="VSM June Indent" sheetId="61" state="hidden" r:id="rId38"/>
    <sheet name="VSM July Indent" sheetId="67" state="hidden" r:id="rId39"/>
    <sheet name="Aug Indent" sheetId="71" state="hidden" r:id="rId40"/>
    <sheet name="Sep Indent" sheetId="72" state="hidden" r:id="rId41"/>
    <sheet name="MeghSteel Buckets_use file" sheetId="45" r:id="rId42"/>
    <sheet name="meghsteelsales" sheetId="43" r:id="rId43"/>
    <sheet name="meghsteelsales_previous month" sheetId="46" r:id="rId44"/>
    <sheet name="oct indent" sheetId="82" r:id="rId45"/>
    <sheet name="Sheet3" sheetId="81" r:id="rId46"/>
    <sheet name="Megh Value Added SKU Tracker" sheetId="77" r:id="rId47"/>
    <sheet name="Knitvel Sizes" sheetId="75" r:id="rId48"/>
    <sheet name="PCR" sheetId="74" r:id="rId49"/>
    <sheet name="MeghSteel Buckets_refresh file" sheetId="44" r:id="rId50"/>
    <sheet name="helper sheet" sheetId="10" r:id="rId51"/>
    <sheet name="Schedule Ampere" sheetId="36" r:id="rId52"/>
    <sheet name="Customer view of Sales Forecast" sheetId="40" r:id="rId53"/>
    <sheet name="NMPL Schedule vs Sales" sheetId="30" r:id="rId54"/>
    <sheet name="Critical sizes 27012025" sheetId="25" r:id="rId55"/>
    <sheet name="Pivot" sheetId="6" r:id="rId56"/>
    <sheet name="Bucket and Schedule Matching" sheetId="12" r:id="rId57"/>
    <sheet name="ERW 2 and ERW 2 MAHS" sheetId="41" r:id="rId58"/>
  </sheets>
  <externalReferences>
    <externalReference r:id="rId59"/>
    <externalReference r:id="rId60"/>
    <externalReference r:id="rId61"/>
    <externalReference r:id="rId62"/>
    <externalReference r:id="rId63"/>
    <externalReference r:id="rId64"/>
  </externalReferences>
  <definedNames>
    <definedName name="_xlnm._FilterDatabase" localSheetId="35" hidden="1">'Apr VSM Schedule'!$A$1:$AA$72</definedName>
    <definedName name="_xlnm._FilterDatabase" localSheetId="39" hidden="1">'Aug Indent'!$A$82:$H$149</definedName>
    <definedName name="_xlnm._FilterDatabase" localSheetId="32" hidden="1">'Chamferring Sizes'!$A$134:$I$145</definedName>
    <definedName name="_xlnm._FilterDatabase" localSheetId="14" hidden="1">'dec indent'!$A$1:$X$71</definedName>
    <definedName name="_xlnm._FilterDatabase" localSheetId="50" hidden="1">'helper sheet'!$A$1:$BC$386</definedName>
    <definedName name="_xlnm._FilterDatabase" localSheetId="49" hidden="1">'MeghSteel Buckets_refresh file'!$A$1:$G$39</definedName>
    <definedName name="_xlnm._FilterDatabase" localSheetId="13" hidden="1">'RM Tracker'!$A$4:$AL$196</definedName>
    <definedName name="_xlnm._FilterDatabase" localSheetId="51" hidden="1">'Schedule Ampere'!$AC$2:$AJ$292</definedName>
    <definedName name="_xlnm._FilterDatabase" localSheetId="19" hidden="1">'Schedule July'!$A$1:$A$2</definedName>
    <definedName name="_xlnm._FilterDatabase" localSheetId="40" hidden="1">'Sep Indent'!$A$1:$Y$70</definedName>
    <definedName name="_xlnm._FilterDatabase" localSheetId="37" hidden="1">'VSM June Indent'!$A$71:$AG$105</definedName>
    <definedName name="_xlnm._FilterDatabase" localSheetId="36" hidden="1">'VSM May Indent'!$A$1:$Z$62</definedName>
    <definedName name="ExternalData_1" localSheetId="18" hidden="1">'4318_ll_req'!$A$1:$I$22</definedName>
    <definedName name="ExternalData_1" localSheetId="6" hidden="1">OEM_key!#REF!</definedName>
    <definedName name="ExternalData_1" localSheetId="1" hidden="1">'OEM_key_1_rev codes'!#REF!</definedName>
    <definedName name="ExternalData_1" localSheetId="5" hidden="1">saleswipstock_customer!$A$1:$B$2</definedName>
    <definedName name="ExternalData_1" localSheetId="22" hidden="1">stock!$A$1:$K$1512</definedName>
    <definedName name="ExternalData_2" localSheetId="18" hidden="1">'4318_ll_req'!#REF!</definedName>
    <definedName name="ExternalData_2" localSheetId="3" hidden="1">saleswipstock_matnos!$A$1:$E$6</definedName>
    <definedName name="ExternalData_2" localSheetId="26" hidden="1">wip!$A$1:$N$415</definedName>
    <definedName name="ExternalData_2" localSheetId="17" hidden="1">wip_ystockn_newest_codes_bucket!$A$1:$C$95</definedName>
    <definedName name="ExternalData_3" localSheetId="10" hidden="1">salesTVS!$A$1:$K$1827</definedName>
    <definedName name="ExternalData_4" localSheetId="42" hidden="1">meghsteelsales!$A$1:$O$569</definedName>
    <definedName name="ExternalData_4" localSheetId="31" hidden="1">salesALL!$A$1:$H$3538</definedName>
    <definedName name="ExternalData_5" localSheetId="43" hidden="1">'meghsteelsales_previous month'!$A$1:$P$561</definedName>
    <definedName name="_xlnm.Print_Area" localSheetId="27">'Printing Forecast'!$A$1:$J$113</definedName>
    <definedName name="_xlnm.Print_Area" localSheetId="16">'RM Tracker Pasted'!$J$1:$Y$101</definedName>
    <definedName name="_xlnm.Print_Area" localSheetId="12">'Schedule for Printing'!$A$3:$O$55</definedName>
    <definedName name="_xlnm.Print_Titles" localSheetId="27">'Printing Forecast'!$1:$1</definedName>
    <definedName name="Slicer_ACTUAL_OD">#N/A</definedName>
    <definedName name="Slicer_Bucket">#N/A</definedName>
    <definedName name="Slicer_CUSTOMER_NAME1">#N/A</definedName>
    <definedName name="Slicer_GRADE">#N/A</definedName>
    <definedName name="Slicer_Grade1">#N/A</definedName>
    <definedName name="Slicer_ID">#N/A</definedName>
    <definedName name="Slicer_ID1">#N/A</definedName>
    <definedName name="Slicer_Length">#N/A</definedName>
    <definedName name="Slicer_LENGTH1">#N/A</definedName>
    <definedName name="Slicer_Material_Type">#N/A</definedName>
    <definedName name="Slicer_OD">#N/A</definedName>
    <definedName name="Slicer_OD2">#N/A</definedName>
    <definedName name="Slicer_Plant">#N/A</definedName>
    <definedName name="Slicer_SCHEDULE">#N/A</definedName>
    <definedName name="Slicer_TDC">#N/A</definedName>
    <definedName name="Slicer_Thickness">#N/A</definedName>
    <definedName name="Slicer_THIK">#N/A</definedName>
    <definedName name="Slicer_THK">#N/A</definedName>
    <definedName name="Slicer_TICKNESS">#N/A</definedName>
  </definedNames>
  <calcPr calcId="191028"/>
  <pivotCaches>
    <pivotCache cacheId="7" r:id="rId65"/>
    <pivotCache cacheId="8" r:id="rId66"/>
    <pivotCache cacheId="9" r:id="rId6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984" i="9" l="1"/>
  <c r="AF615" i="9"/>
  <c r="AF928" i="9"/>
  <c r="AB1539" i="9"/>
  <c r="AA1539" i="9"/>
  <c r="Z1539" i="9"/>
  <c r="Y1539" i="9"/>
  <c r="X1539" i="9"/>
  <c r="W1539" i="9"/>
  <c r="V1539" i="9"/>
  <c r="AF741" i="9" l="1"/>
  <c r="AF579" i="9"/>
  <c r="AF1290" i="9"/>
  <c r="AF1421" i="9"/>
  <c r="AF697" i="9"/>
  <c r="AF696" i="9"/>
  <c r="AF1419" i="9"/>
  <c r="AF889" i="9"/>
  <c r="AF1420" i="9"/>
  <c r="J2" i="91" l="1"/>
  <c r="J3" i="91"/>
  <c r="J4" i="91"/>
  <c r="J5" i="91"/>
  <c r="J6" i="91"/>
  <c r="J7" i="91"/>
  <c r="J8" i="91"/>
  <c r="J9" i="91"/>
  <c r="J10" i="91"/>
  <c r="J11" i="91"/>
  <c r="J12" i="91"/>
  <c r="J13" i="91"/>
  <c r="J14" i="91"/>
  <c r="J15" i="91"/>
  <c r="J16" i="91"/>
  <c r="J17" i="91"/>
  <c r="J18" i="91"/>
  <c r="J19" i="91"/>
  <c r="J20" i="91"/>
  <c r="J21" i="91"/>
  <c r="J22" i="91"/>
  <c r="AF878" i="9" l="1"/>
  <c r="AF508" i="9" l="1"/>
  <c r="AF858" i="9"/>
  <c r="AF983" i="9"/>
  <c r="AF1043" i="9"/>
  <c r="AF142" i="9"/>
  <c r="AF1358" i="9"/>
  <c r="AF1232" i="9"/>
  <c r="AF864" i="9" l="1"/>
  <c r="G98" i="50"/>
  <c r="AH98" i="50" a="1"/>
  <c r="AH98" i="50" s="1"/>
  <c r="AJ98" i="50"/>
  <c r="AN98" i="50"/>
  <c r="AM98" i="50" s="1"/>
  <c r="AP98" i="50"/>
  <c r="AQ98" i="50"/>
  <c r="G589" i="50"/>
  <c r="AH589" i="50" a="1"/>
  <c r="AH589" i="50" s="1"/>
  <c r="AJ589" i="50"/>
  <c r="AN589" i="50"/>
  <c r="AP589" i="50"/>
  <c r="AQ589" i="50"/>
  <c r="G465" i="50"/>
  <c r="AH465" i="50" a="1"/>
  <c r="AH465" i="50" s="1"/>
  <c r="AI465" i="50" s="1"/>
  <c r="AJ465" i="50"/>
  <c r="AN465" i="50"/>
  <c r="AP465" i="50"/>
  <c r="AQ465" i="50"/>
  <c r="G472" i="50"/>
  <c r="AH472" i="50" a="1"/>
  <c r="AH472" i="50" s="1"/>
  <c r="AJ472" i="50"/>
  <c r="AN472" i="50"/>
  <c r="AP472" i="50"/>
  <c r="AQ472" i="50"/>
  <c r="G6" i="50"/>
  <c r="AH6" i="50" a="1"/>
  <c r="AH6" i="50" s="1"/>
  <c r="AJ6" i="50"/>
  <c r="AN6" i="50"/>
  <c r="AP6" i="50"/>
  <c r="AQ6" i="50"/>
  <c r="G19" i="50"/>
  <c r="AH19" i="50" a="1"/>
  <c r="AH19" i="50" s="1"/>
  <c r="AJ19" i="50"/>
  <c r="AN19" i="50"/>
  <c r="AP19" i="50"/>
  <c r="AQ19" i="50"/>
  <c r="G24" i="50"/>
  <c r="AH24" i="50" a="1"/>
  <c r="AH24" i="50" s="1"/>
  <c r="AJ24" i="50"/>
  <c r="AN24" i="50"/>
  <c r="AP24" i="50"/>
  <c r="AQ24" i="50"/>
  <c r="G15" i="50"/>
  <c r="AH15" i="50" a="1"/>
  <c r="AH15" i="50" s="1"/>
  <c r="AJ15" i="50"/>
  <c r="AN15" i="50"/>
  <c r="AP15" i="50"/>
  <c r="AQ15" i="50"/>
  <c r="G5" i="50"/>
  <c r="AH5" i="50" a="1"/>
  <c r="AH5" i="50" s="1"/>
  <c r="AJ5" i="50"/>
  <c r="AN5" i="50"/>
  <c r="AP5" i="50"/>
  <c r="AQ5" i="50"/>
  <c r="AF1195" i="9"/>
  <c r="AM15" i="50" l="1"/>
  <c r="AM19" i="50"/>
  <c r="AM589" i="50"/>
  <c r="AR465" i="50"/>
  <c r="AM472" i="50"/>
  <c r="AR5" i="50"/>
  <c r="AK5" i="50"/>
  <c r="AL5" i="50" s="1"/>
  <c r="AI5" i="50"/>
  <c r="AR19" i="50"/>
  <c r="AR472" i="50"/>
  <c r="AR6" i="50"/>
  <c r="AM24" i="50"/>
  <c r="AR98" i="50"/>
  <c r="AR589" i="50"/>
  <c r="AI472" i="50"/>
  <c r="AK472" i="50"/>
  <c r="AL472" i="50" s="1"/>
  <c r="AK19" i="50"/>
  <c r="AL19" i="50" s="1"/>
  <c r="AI19" i="50"/>
  <c r="AI98" i="50"/>
  <c r="AK98" i="50"/>
  <c r="AL98" i="50" s="1"/>
  <c r="AI24" i="50"/>
  <c r="AK24" i="50"/>
  <c r="AL24" i="50" s="1"/>
  <c r="AI589" i="50"/>
  <c r="AK589" i="50"/>
  <c r="AL589" i="50" s="1"/>
  <c r="AI15" i="50"/>
  <c r="AK15" i="50"/>
  <c r="AL15" i="50" s="1"/>
  <c r="AK6" i="50"/>
  <c r="AL6" i="50" s="1"/>
  <c r="AI6" i="50"/>
  <c r="AM5" i="50"/>
  <c r="AR15" i="50"/>
  <c r="AM465" i="50"/>
  <c r="AR24" i="50"/>
  <c r="AM6" i="50"/>
  <c r="AK465" i="50"/>
  <c r="AL465" i="50" s="1"/>
  <c r="K3" i="91" a="1"/>
  <c r="K3" i="91" s="1"/>
  <c r="K4" i="91" a="1"/>
  <c r="K4" i="91" s="1"/>
  <c r="K5" i="91" a="1"/>
  <c r="K5" i="91" s="1"/>
  <c r="K6" i="91" a="1"/>
  <c r="K6" i="91" s="1"/>
  <c r="K7" i="91" a="1"/>
  <c r="K7" i="91" s="1"/>
  <c r="K8" i="91" a="1"/>
  <c r="K8" i="91" s="1"/>
  <c r="K9" i="91" a="1"/>
  <c r="K9" i="91" s="1"/>
  <c r="K10" i="91" a="1"/>
  <c r="K10" i="91" s="1"/>
  <c r="K11" i="91" a="1"/>
  <c r="K11" i="91" s="1"/>
  <c r="K12" i="91" a="1"/>
  <c r="K12" i="91" s="1"/>
  <c r="K13" i="91" a="1"/>
  <c r="K13" i="91" s="1"/>
  <c r="K14" i="91" a="1"/>
  <c r="K14" i="91" s="1"/>
  <c r="K15" i="91" a="1"/>
  <c r="K15" i="91" s="1"/>
  <c r="K16" i="91" a="1"/>
  <c r="K16" i="91" s="1"/>
  <c r="K17" i="91" a="1"/>
  <c r="K17" i="91" s="1"/>
  <c r="K18" i="91" a="1"/>
  <c r="K18" i="91" s="1"/>
  <c r="K19" i="91" a="1"/>
  <c r="K19" i="91" s="1"/>
  <c r="K20" i="91" a="1"/>
  <c r="K20" i="91" s="1"/>
  <c r="K21" i="91" a="1"/>
  <c r="K21" i="91" s="1"/>
  <c r="K22" i="91" a="1"/>
  <c r="K22" i="91" s="1"/>
  <c r="K23" i="91" a="1"/>
  <c r="K23" i="91" s="1"/>
  <c r="K24" i="91" a="1"/>
  <c r="K24" i="91" s="1"/>
  <c r="K25" i="91" a="1"/>
  <c r="K25" i="91" s="1"/>
  <c r="K26" i="91" a="1"/>
  <c r="K26" i="91" s="1"/>
  <c r="K27" i="91" a="1"/>
  <c r="K27" i="91" s="1"/>
  <c r="K28" i="91" a="1"/>
  <c r="K28" i="91" s="1"/>
  <c r="K29" i="91" a="1"/>
  <c r="K29" i="91" s="1"/>
  <c r="K30" i="91" a="1"/>
  <c r="K30" i="91" s="1"/>
  <c r="K31" i="91" a="1"/>
  <c r="K31" i="91" s="1"/>
  <c r="K32" i="91" a="1"/>
  <c r="K32" i="91" s="1"/>
  <c r="K33" i="91" a="1"/>
  <c r="K33" i="91" s="1"/>
  <c r="K34" i="91" a="1"/>
  <c r="K34" i="91" s="1"/>
  <c r="K35" i="91" a="1"/>
  <c r="K35" i="91" s="1"/>
  <c r="K36" i="91" a="1"/>
  <c r="K36" i="91" s="1"/>
  <c r="K37" i="91" a="1"/>
  <c r="K37" i="91" s="1"/>
  <c r="K38" i="91" a="1"/>
  <c r="K38" i="91" s="1"/>
  <c r="K39" i="91" a="1"/>
  <c r="K39" i="91" s="1"/>
  <c r="K40" i="91" a="1"/>
  <c r="K40" i="91" s="1"/>
  <c r="K41" i="91" a="1"/>
  <c r="K41" i="91" s="1"/>
  <c r="K42" i="91" a="1"/>
  <c r="K42" i="91" s="1"/>
  <c r="K43" i="91" a="1"/>
  <c r="K43" i="91" s="1"/>
  <c r="K44" i="91" a="1"/>
  <c r="K44" i="91" s="1"/>
  <c r="K45" i="91" a="1"/>
  <c r="K45" i="91" s="1"/>
  <c r="K46" i="91" a="1"/>
  <c r="K46" i="91" s="1"/>
  <c r="K47" i="91" a="1"/>
  <c r="K47" i="91" s="1"/>
  <c r="K48" i="91" a="1"/>
  <c r="K48" i="91" s="1"/>
  <c r="K2" i="91" a="1"/>
  <c r="K2" i="91" s="1"/>
  <c r="AF1539" i="9" l="1"/>
  <c r="Q214" i="50"/>
  <c r="Q211" i="50"/>
  <c r="R211" i="50" s="1"/>
  <c r="R214" i="50" l="1"/>
  <c r="G214" i="50" l="1"/>
  <c r="AH214" i="50" a="1"/>
  <c r="AH214" i="50" s="1"/>
  <c r="AJ214" i="50"/>
  <c r="AN214" i="50"/>
  <c r="AP214" i="50"/>
  <c r="AQ214" i="50"/>
  <c r="G211" i="50"/>
  <c r="AH211" i="50" a="1"/>
  <c r="AH211" i="50" s="1"/>
  <c r="AJ211" i="50"/>
  <c r="AN211" i="50"/>
  <c r="AP211" i="50"/>
  <c r="AQ211" i="50"/>
  <c r="AH454" i="50" a="1"/>
  <c r="AH454" i="50" s="1"/>
  <c r="AH709" i="50" a="1"/>
  <c r="AH709" i="50" s="1"/>
  <c r="AH444" i="50" a="1"/>
  <c r="AH444" i="50" s="1"/>
  <c r="AH443" i="50" a="1"/>
  <c r="AH443" i="50" s="1"/>
  <c r="AH733" i="50" a="1"/>
  <c r="AH733" i="50" s="1"/>
  <c r="AH114" i="50" a="1"/>
  <c r="AH114" i="50" s="1"/>
  <c r="AH112" i="50" a="1"/>
  <c r="AH112" i="50" s="1"/>
  <c r="AH109" i="50" a="1"/>
  <c r="AH109" i="50" s="1"/>
  <c r="AH282" i="50" a="1"/>
  <c r="AH282" i="50" s="1"/>
  <c r="G109" i="50"/>
  <c r="AJ109" i="50"/>
  <c r="AN109" i="50"/>
  <c r="AP109" i="50"/>
  <c r="AQ109" i="50"/>
  <c r="G114" i="50"/>
  <c r="AJ114" i="50"/>
  <c r="AN114" i="50"/>
  <c r="AP114" i="50"/>
  <c r="AQ114" i="50"/>
  <c r="G112" i="50"/>
  <c r="AJ112" i="50"/>
  <c r="AN112" i="50"/>
  <c r="AP112" i="50"/>
  <c r="AQ112" i="50"/>
  <c r="G733" i="50"/>
  <c r="AJ733" i="50"/>
  <c r="AN733" i="50"/>
  <c r="AP733" i="50"/>
  <c r="AQ733" i="50"/>
  <c r="G709" i="50"/>
  <c r="AJ709" i="50"/>
  <c r="AN709" i="50"/>
  <c r="AP709" i="50"/>
  <c r="AQ709" i="50"/>
  <c r="G495" i="50"/>
  <c r="AH495" i="50" a="1"/>
  <c r="AH495" i="50" s="1"/>
  <c r="AJ495" i="50"/>
  <c r="AN495" i="50"/>
  <c r="AP495" i="50"/>
  <c r="AQ495" i="50"/>
  <c r="G454" i="50"/>
  <c r="AJ454" i="50"/>
  <c r="AN454" i="50"/>
  <c r="AP454" i="50"/>
  <c r="AQ454" i="50"/>
  <c r="G444" i="50"/>
  <c r="AJ444" i="50"/>
  <c r="AN444" i="50"/>
  <c r="AP444" i="50"/>
  <c r="AQ444" i="50"/>
  <c r="G443" i="50"/>
  <c r="AJ443" i="50"/>
  <c r="AN443" i="50"/>
  <c r="AP443" i="50"/>
  <c r="AQ443" i="50"/>
  <c r="N68" i="89"/>
  <c r="N67" i="89"/>
  <c r="N66" i="89"/>
  <c r="N65" i="89"/>
  <c r="N61" i="89"/>
  <c r="N43" i="89"/>
  <c r="N42" i="89"/>
  <c r="N41" i="89"/>
  <c r="N38" i="89"/>
  <c r="N37" i="89"/>
  <c r="N35" i="89"/>
  <c r="N33" i="89"/>
  <c r="N30" i="89"/>
  <c r="N26" i="89"/>
  <c r="N14" i="89"/>
  <c r="N11" i="89"/>
  <c r="N10" i="89"/>
  <c r="N7" i="89"/>
  <c r="N6" i="89"/>
  <c r="N4" i="89"/>
  <c r="N3" i="89"/>
  <c r="I1" i="89"/>
  <c r="J1" i="89"/>
  <c r="K1" i="89"/>
  <c r="P1" i="89"/>
  <c r="Q1" i="89"/>
  <c r="R1" i="89"/>
  <c r="S1" i="89"/>
  <c r="T1" i="89"/>
  <c r="U1" i="89"/>
  <c r="V1" i="89"/>
  <c r="W1" i="89"/>
  <c r="X1" i="89"/>
  <c r="O1" i="89"/>
  <c r="AM112" i="50" l="1"/>
  <c r="AM214" i="50"/>
  <c r="AM709" i="50"/>
  <c r="AM733" i="50"/>
  <c r="AR109" i="50"/>
  <c r="AR114" i="50"/>
  <c r="AR733" i="50"/>
  <c r="AM114" i="50"/>
  <c r="AR709" i="50"/>
  <c r="AR214" i="50"/>
  <c r="AK444" i="50"/>
  <c r="AL444" i="50" s="1"/>
  <c r="AI444" i="50"/>
  <c r="AI709" i="50"/>
  <c r="AK709" i="50"/>
  <c r="AL709" i="50" s="1"/>
  <c r="AK454" i="50"/>
  <c r="AL454" i="50" s="1"/>
  <c r="AI454" i="50"/>
  <c r="AI109" i="50"/>
  <c r="AK109" i="50"/>
  <c r="AL109" i="50" s="1"/>
  <c r="AK495" i="50"/>
  <c r="AL495" i="50" s="1"/>
  <c r="AI495" i="50"/>
  <c r="AK733" i="50"/>
  <c r="AL733" i="50" s="1"/>
  <c r="AI733" i="50"/>
  <c r="AK443" i="50"/>
  <c r="AL443" i="50" s="1"/>
  <c r="AI443" i="50"/>
  <c r="AI112" i="50"/>
  <c r="AK112" i="50"/>
  <c r="AL112" i="50" s="1"/>
  <c r="AK211" i="50"/>
  <c r="AL211" i="50" s="1"/>
  <c r="AI211" i="50"/>
  <c r="AI114" i="50"/>
  <c r="AK114" i="50"/>
  <c r="AL114" i="50" s="1"/>
  <c r="AI214" i="50"/>
  <c r="AK214" i="50"/>
  <c r="AL214" i="50" s="1"/>
  <c r="AM109" i="50"/>
  <c r="AR211" i="50"/>
  <c r="AM444" i="50"/>
  <c r="AM495" i="50"/>
  <c r="AM454" i="50"/>
  <c r="AM443" i="50"/>
  <c r="AR112" i="50"/>
  <c r="AM211" i="50"/>
  <c r="AR444" i="50"/>
  <c r="AR454" i="50"/>
  <c r="AR443" i="50"/>
  <c r="AR495" i="50"/>
  <c r="N1" i="89"/>
  <c r="AI282" i="50" l="1"/>
  <c r="AH99" i="50" a="1"/>
  <c r="AH99" i="50" s="1"/>
  <c r="AI99" i="50" s="1"/>
  <c r="R541" i="50" l="1"/>
  <c r="AH541" i="50" s="1" a="1"/>
  <c r="AH541" i="50" s="1"/>
  <c r="R312" i="50"/>
  <c r="R315" i="50"/>
  <c r="AQ541" i="50"/>
  <c r="AP541" i="50"/>
  <c r="AJ541" i="50"/>
  <c r="G541" i="50"/>
  <c r="AH315" i="50" l="1" a="1"/>
  <c r="AH315" i="50" s="1"/>
  <c r="AI315" i="50" s="1"/>
  <c r="AH312" i="50" a="1"/>
  <c r="AH312" i="50" s="1"/>
  <c r="AI312" i="50" s="1"/>
  <c r="AN541" i="50"/>
  <c r="AR541" i="50" s="1"/>
  <c r="AI541" i="50"/>
  <c r="AM541" i="50" l="1"/>
  <c r="AK541" i="50"/>
  <c r="AL541" i="50" s="1"/>
  <c r="AQ315" i="50"/>
  <c r="AP315" i="50"/>
  <c r="AN315" i="50"/>
  <c r="AJ315" i="50"/>
  <c r="AK315" i="50"/>
  <c r="G315" i="50"/>
  <c r="AQ312" i="50"/>
  <c r="AP312" i="50"/>
  <c r="AN312" i="50"/>
  <c r="AJ312" i="50"/>
  <c r="AK312" i="50"/>
  <c r="G312" i="50"/>
  <c r="AR315" i="50" l="1"/>
  <c r="AR312" i="50"/>
  <c r="AL315" i="50"/>
  <c r="AM315" i="50"/>
  <c r="AL312" i="50"/>
  <c r="AM312" i="50"/>
  <c r="Q679" i="50" l="1"/>
  <c r="Q85" i="50"/>
  <c r="Q30" i="50"/>
  <c r="Q104" i="50"/>
  <c r="Q101" i="50"/>
  <c r="Q283" i="50"/>
  <c r="Q374" i="50"/>
  <c r="Q306" i="50"/>
  <c r="Q305" i="50"/>
  <c r="Q47" i="50"/>
  <c r="Q49" i="50"/>
  <c r="Q702" i="50"/>
  <c r="Q102" i="50"/>
  <c r="Q99" i="50"/>
  <c r="Q106" i="50"/>
  <c r="Q307" i="50"/>
  <c r="Q308" i="50"/>
  <c r="Q309" i="50"/>
  <c r="Q310" i="50"/>
  <c r="Q376" i="50"/>
  <c r="Q119" i="50"/>
  <c r="Q123" i="50"/>
  <c r="Q124" i="50"/>
  <c r="Q377" i="50"/>
  <c r="Q122" i="50"/>
  <c r="Q126" i="50"/>
  <c r="Q378" i="50"/>
  <c r="Q120" i="50"/>
  <c r="Q128" i="50"/>
  <c r="Q129" i="50"/>
  <c r="Q130" i="50"/>
  <c r="Q134" i="50"/>
  <c r="Q133" i="50"/>
  <c r="Q135" i="50"/>
  <c r="Q131" i="50"/>
  <c r="Q136" i="50"/>
  <c r="Q132" i="50"/>
  <c r="Q137" i="50"/>
  <c r="Q216" i="50"/>
  <c r="Q220" i="50"/>
  <c r="Q225" i="50"/>
  <c r="Q226" i="50"/>
  <c r="Q227" i="50"/>
  <c r="Q234" i="50"/>
  <c r="Q233" i="50"/>
  <c r="Q219" i="50"/>
  <c r="Q212" i="50"/>
  <c r="Q213" i="50"/>
  <c r="Q230" i="50"/>
  <c r="Q215" i="50"/>
  <c r="Q229" i="50"/>
  <c r="Q228" i="50"/>
  <c r="Q217" i="50"/>
  <c r="Q160" i="50"/>
  <c r="Q218" i="50"/>
  <c r="Q686" i="50"/>
  <c r="Q164" i="50"/>
  <c r="Q311" i="50"/>
  <c r="Q13" i="50"/>
  <c r="Q14" i="50"/>
  <c r="Q186" i="50"/>
  <c r="Q170" i="50"/>
  <c r="Q171" i="50"/>
  <c r="Q161" i="50"/>
  <c r="Q591" i="50"/>
  <c r="Q590" i="50"/>
  <c r="Q592" i="50"/>
  <c r="Q178" i="50"/>
  <c r="Q181" i="50"/>
  <c r="Q182" i="50"/>
  <c r="Q183" i="50"/>
  <c r="Q231" i="50"/>
  <c r="Q146" i="50"/>
  <c r="Q147" i="50"/>
  <c r="Q148" i="50"/>
  <c r="Q149" i="50"/>
  <c r="Q593" i="50"/>
  <c r="Q189" i="50"/>
  <c r="Q16" i="50"/>
  <c r="Q594" i="50"/>
  <c r="Q153" i="50"/>
  <c r="Q232" i="50"/>
  <c r="Q595" i="50"/>
  <c r="Q199" i="50"/>
  <c r="Q201" i="50"/>
  <c r="Q202" i="50"/>
  <c r="Q203" i="50"/>
  <c r="Q205" i="50"/>
  <c r="Q207" i="50"/>
  <c r="Q208" i="50"/>
  <c r="Q18" i="50"/>
  <c r="Q152" i="50"/>
  <c r="Q235" i="50"/>
  <c r="Q236" i="50"/>
  <c r="Q237" i="50"/>
  <c r="Q224" i="50"/>
  <c r="Q223" i="50"/>
  <c r="Q222" i="50"/>
  <c r="Q221" i="50"/>
  <c r="Q238" i="50"/>
  <c r="Q210" i="50"/>
  <c r="Q239" i="50"/>
  <c r="Q240" i="50"/>
  <c r="Q241" i="50"/>
  <c r="Q245" i="50"/>
  <c r="Q242" i="50"/>
  <c r="Q313" i="50"/>
  <c r="Q534" i="50"/>
  <c r="Q248" i="50"/>
  <c r="Q249" i="50"/>
  <c r="Q250" i="50"/>
  <c r="Q314" i="50"/>
  <c r="Q268" i="50"/>
  <c r="Q269" i="50"/>
  <c r="Q252" i="50"/>
  <c r="Q271" i="50"/>
  <c r="Q272" i="50"/>
  <c r="Q253" i="50"/>
  <c r="Q154" i="50"/>
  <c r="Q255" i="50"/>
  <c r="Q20" i="50"/>
  <c r="Q243" i="50"/>
  <c r="Q22" i="50"/>
  <c r="Q244" i="50"/>
  <c r="Q258" i="50"/>
  <c r="Q597" i="50"/>
  <c r="Q596" i="50"/>
  <c r="Q155" i="50"/>
  <c r="Q23" i="50"/>
  <c r="Q535" i="50"/>
  <c r="Q264" i="50"/>
  <c r="Q265" i="50"/>
  <c r="Q316" i="50"/>
  <c r="Q706" i="50"/>
  <c r="Q266" i="50"/>
  <c r="Q405" i="50"/>
  <c r="Q274" i="50"/>
  <c r="Q406" i="50"/>
  <c r="Q407" i="50"/>
  <c r="Q277" i="50"/>
  <c r="Q278" i="50"/>
  <c r="Q408" i="50"/>
  <c r="Q492" i="50"/>
  <c r="Q279" i="50"/>
  <c r="Q284" i="50"/>
  <c r="Q367" i="50"/>
  <c r="Q363" i="50"/>
  <c r="Q371" i="50"/>
  <c r="Q493" i="50"/>
  <c r="Q494" i="50"/>
  <c r="Q411" i="50"/>
  <c r="Q412" i="50"/>
  <c r="Q50" i="50"/>
  <c r="Q707" i="50"/>
  <c r="Q51" i="50"/>
  <c r="Q413" i="50"/>
  <c r="Q356" i="50"/>
  <c r="Q712" i="50"/>
  <c r="Q713" i="50"/>
  <c r="Q52" i="50"/>
  <c r="Q714" i="50"/>
  <c r="Q324" i="50"/>
  <c r="Q326" i="50"/>
  <c r="Q53" i="50"/>
  <c r="Q716" i="50"/>
  <c r="Q54" i="50"/>
  <c r="Q414" i="50"/>
  <c r="Q318" i="50"/>
  <c r="Q365" i="50"/>
  <c r="Q292" i="50"/>
  <c r="Q293" i="50"/>
  <c r="Q416" i="50"/>
  <c r="Q418" i="50"/>
  <c r="Q717" i="50"/>
  <c r="Q354" i="50"/>
  <c r="Q419" i="50"/>
  <c r="Q420" i="50"/>
  <c r="Q337" i="50"/>
  <c r="Q342" i="50"/>
  <c r="Q718" i="50"/>
  <c r="Q421" i="50"/>
  <c r="Q334" i="50"/>
  <c r="Q681" i="50"/>
  <c r="Q682" i="50"/>
  <c r="Q683" i="50"/>
  <c r="Q684" i="50"/>
  <c r="Q294" i="50"/>
  <c r="Q285" i="50"/>
  <c r="Q286" i="50"/>
  <c r="Q138" i="50"/>
  <c r="Q319" i="50"/>
  <c r="Q424" i="50"/>
  <c r="Q425" i="50"/>
  <c r="Q426" i="50"/>
  <c r="Q55" i="50"/>
  <c r="Q721" i="50"/>
  <c r="Q580" i="50"/>
  <c r="Q539" i="50"/>
  <c r="Q317" i="50"/>
  <c r="Q723" i="50"/>
  <c r="Q320" i="50"/>
  <c r="Q321" i="50"/>
  <c r="Q287" i="50"/>
  <c r="Q288" i="50"/>
  <c r="Q322" i="50"/>
  <c r="Q428" i="50"/>
  <c r="Q329" i="50"/>
  <c r="Q429" i="50"/>
  <c r="Q323" i="50"/>
  <c r="Q335" i="50"/>
  <c r="Q325" i="50"/>
  <c r="Q338" i="50"/>
  <c r="Q289" i="50"/>
  <c r="Q565" i="50"/>
  <c r="Q724" i="50"/>
  <c r="Q291" i="50"/>
  <c r="Q343" i="50"/>
  <c r="Q246" i="50"/>
  <c r="Q327" i="50"/>
  <c r="Q328" i="50"/>
  <c r="Q347" i="50"/>
  <c r="Q348" i="50"/>
  <c r="Q247" i="50"/>
  <c r="Q583" i="50"/>
  <c r="Q725" i="50"/>
  <c r="Q372" i="50"/>
  <c r="Q430" i="50"/>
  <c r="Q431" i="50"/>
  <c r="Q727" i="50"/>
  <c r="Q432" i="50"/>
  <c r="Q729" i="50"/>
  <c r="Q433" i="50"/>
  <c r="Q364" i="50"/>
  <c r="Q393" i="50"/>
  <c r="Q395" i="50"/>
  <c r="Q399" i="50"/>
  <c r="Q373" i="50"/>
  <c r="Q375" i="50"/>
  <c r="Q379" i="50"/>
  <c r="Q380" i="50"/>
  <c r="Q381" i="50"/>
  <c r="Q402" i="50"/>
  <c r="Q403" i="50"/>
  <c r="Q330" i="50"/>
  <c r="Q409" i="50"/>
  <c r="Q410" i="50"/>
  <c r="Q540" i="50"/>
  <c r="Q415" i="50"/>
  <c r="Q417" i="50"/>
  <c r="Q423" i="50"/>
  <c r="Q471" i="50"/>
  <c r="Q474" i="50"/>
  <c r="Q105" i="50"/>
  <c r="Q427" i="50"/>
  <c r="Q581" i="50"/>
  <c r="Q331" i="50"/>
  <c r="Q434" i="50"/>
  <c r="Q435" i="50"/>
  <c r="Q436" i="50"/>
  <c r="Q438" i="50"/>
  <c r="Q440" i="50"/>
  <c r="Q442" i="50"/>
  <c r="Q332" i="50"/>
  <c r="Q475" i="50"/>
  <c r="Q476" i="50"/>
  <c r="Q559" i="50"/>
  <c r="Q449" i="50"/>
  <c r="Q384" i="50"/>
  <c r="Q385" i="50"/>
  <c r="Q477" i="50"/>
  <c r="Q388" i="50"/>
  <c r="Q453" i="50"/>
  <c r="Q455" i="50"/>
  <c r="Q457" i="50"/>
  <c r="Q458" i="50"/>
  <c r="Q391" i="50"/>
  <c r="Q460" i="50"/>
  <c r="Q462" i="50"/>
  <c r="Q333" i="50"/>
  <c r="Q467" i="50"/>
  <c r="Q542" i="50"/>
  <c r="Q478" i="50"/>
  <c r="Q479" i="50"/>
  <c r="Q392" i="50"/>
  <c r="Q566" i="50"/>
  <c r="Q481" i="50"/>
  <c r="Q567" i="50"/>
  <c r="Q480" i="50"/>
  <c r="Q531" i="50"/>
  <c r="Q489" i="50"/>
  <c r="Q532" i="50"/>
  <c r="Q490" i="50"/>
  <c r="Q482" i="50"/>
  <c r="Q586" i="50"/>
  <c r="Q491" i="50"/>
  <c r="Q587" i="50"/>
  <c r="Q533" i="50"/>
  <c r="Q107" i="50"/>
  <c r="Q483" i="50"/>
  <c r="Q496" i="50"/>
  <c r="Q497" i="50"/>
  <c r="Q498" i="50"/>
  <c r="Q499" i="50"/>
  <c r="Q437" i="50"/>
  <c r="Q502" i="50"/>
  <c r="Q503" i="50"/>
  <c r="Q484" i="50"/>
  <c r="Q582" i="50"/>
  <c r="Q505" i="50"/>
  <c r="Q485" i="50"/>
  <c r="Q59" i="50"/>
  <c r="Q404" i="50"/>
  <c r="Q734" i="50"/>
  <c r="Q500" i="50"/>
  <c r="Q735" i="50"/>
  <c r="Q501" i="50"/>
  <c r="Q441" i="50"/>
  <c r="Q401" i="50"/>
  <c r="Q389" i="50"/>
  <c r="Q598" i="50"/>
  <c r="Q600" i="50"/>
  <c r="Q601" i="50"/>
  <c r="Q603" i="50"/>
  <c r="Q396" i="50"/>
  <c r="Q604" i="50"/>
  <c r="Q606" i="50"/>
  <c r="Q605" i="50"/>
  <c r="Q607" i="50"/>
  <c r="Q422" i="50"/>
  <c r="Q608" i="50"/>
  <c r="Q560" i="50"/>
  <c r="Q561" i="50"/>
  <c r="Q562" i="50"/>
  <c r="Q609" i="50"/>
  <c r="Q162" i="50"/>
  <c r="Q439" i="50"/>
  <c r="Q610" i="50"/>
  <c r="Q536" i="50"/>
  <c r="Q611" i="50"/>
  <c r="Q612" i="50"/>
  <c r="Q613" i="50"/>
  <c r="Q614" i="50"/>
  <c r="Q165" i="50"/>
  <c r="Q166" i="50"/>
  <c r="Q615" i="50"/>
  <c r="Q616" i="50"/>
  <c r="Q382" i="50"/>
  <c r="Q617" i="50"/>
  <c r="Q168" i="50"/>
  <c r="Q537" i="50"/>
  <c r="Q538" i="50"/>
  <c r="Q618" i="50"/>
  <c r="Q619" i="50"/>
  <c r="Q473" i="50"/>
  <c r="Q620" i="50"/>
  <c r="Q621" i="50"/>
  <c r="Q622" i="50"/>
  <c r="Q623" i="50"/>
  <c r="Q624" i="50"/>
  <c r="Q625" i="50"/>
  <c r="Q174" i="50"/>
  <c r="Q626" i="50"/>
  <c r="Q627" i="50"/>
  <c r="Q510" i="50"/>
  <c r="Q511" i="50"/>
  <c r="Q528" i="50"/>
  <c r="Q512" i="50"/>
  <c r="Q513" i="50"/>
  <c r="Q514" i="50"/>
  <c r="Q515" i="50"/>
  <c r="Q516" i="50"/>
  <c r="Q517" i="50"/>
  <c r="Q518" i="50"/>
  <c r="Q176" i="50"/>
  <c r="Q526" i="50"/>
  <c r="Q520" i="50"/>
  <c r="Q527" i="50"/>
  <c r="Q521" i="50"/>
  <c r="Q522" i="50"/>
  <c r="Q529" i="50"/>
  <c r="Q523" i="50"/>
  <c r="Q524" i="50"/>
  <c r="Q525" i="50"/>
  <c r="Q579" i="50"/>
  <c r="Q628" i="50"/>
  <c r="Q177" i="50"/>
  <c r="Q629" i="50"/>
  <c r="Q584" i="50"/>
  <c r="Q585" i="50"/>
  <c r="Q630" i="50"/>
  <c r="Q179" i="50"/>
  <c r="Q588" i="50"/>
  <c r="Q631" i="50"/>
  <c r="Q448" i="50"/>
  <c r="Q632" i="50"/>
  <c r="Q633" i="50"/>
  <c r="Q563" i="50"/>
  <c r="Q184" i="50"/>
  <c r="Q634" i="50"/>
  <c r="Q635" i="50"/>
  <c r="Q557" i="50"/>
  <c r="Q569" i="50"/>
  <c r="Q636" i="50"/>
  <c r="Q558" i="50"/>
  <c r="Q504" i="50"/>
  <c r="Q602" i="50"/>
  <c r="Q564" i="50"/>
  <c r="Q637" i="50"/>
  <c r="Q638" i="50"/>
  <c r="Q187" i="50"/>
  <c r="Q640" i="50"/>
  <c r="Q641" i="50"/>
  <c r="Q336" i="50"/>
  <c r="Q25" i="50"/>
  <c r="Q736" i="50"/>
  <c r="Q60" i="50"/>
  <c r="Q445" i="50"/>
  <c r="Q108" i="50"/>
  <c r="Q546" i="50"/>
  <c r="Q543" i="50"/>
  <c r="Q548" i="50"/>
  <c r="Q530" i="50"/>
  <c r="Q446" i="50"/>
  <c r="Q339" i="50"/>
  <c r="Q568" i="50"/>
  <c r="Q447" i="50"/>
  <c r="Q550" i="50"/>
  <c r="Q383" i="50"/>
  <c r="Q570" i="50"/>
  <c r="Q275" i="50"/>
  <c r="Q276" i="50"/>
  <c r="Q290" i="50"/>
  <c r="Q575" i="50"/>
  <c r="Q544" i="50"/>
  <c r="Q340" i="50"/>
  <c r="Q63" i="50"/>
  <c r="Q578" i="50"/>
  <c r="Q65" i="50"/>
  <c r="Q31" i="50"/>
  <c r="Q32" i="50"/>
  <c r="Q33" i="50"/>
  <c r="Q125" i="50"/>
  <c r="Q127" i="50"/>
  <c r="Q386" i="50"/>
  <c r="Q150" i="50"/>
  <c r="Q387" i="50"/>
  <c r="Q642" i="50"/>
  <c r="Q643" i="50"/>
  <c r="Q191" i="50"/>
  <c r="Q644" i="50"/>
  <c r="Q192" i="50"/>
  <c r="Q645" i="50"/>
  <c r="Q545" i="50"/>
  <c r="Q450" i="50"/>
  <c r="Q341" i="50"/>
  <c r="Q547" i="50"/>
  <c r="Q451" i="50"/>
  <c r="Q519" i="50"/>
  <c r="Q452" i="50"/>
  <c r="Q34" i="50"/>
  <c r="Q110" i="50"/>
  <c r="Q111" i="50"/>
  <c r="Q100" i="50"/>
  <c r="Q295" i="50"/>
  <c r="Q646" i="50"/>
  <c r="Q647" i="50"/>
  <c r="Q194" i="50"/>
  <c r="Q648" i="50"/>
  <c r="Q344" i="50"/>
  <c r="Q345" i="50"/>
  <c r="Q346" i="50"/>
  <c r="Q251" i="50"/>
  <c r="Q270" i="50"/>
  <c r="Q349" i="50"/>
  <c r="Q599" i="50"/>
  <c r="Q571" i="50"/>
  <c r="Q350" i="50"/>
  <c r="Q549" i="50"/>
  <c r="Q351" i="50"/>
  <c r="Q352" i="50"/>
  <c r="Q353" i="50"/>
  <c r="Q551" i="50"/>
  <c r="Q355" i="50"/>
  <c r="Q273" i="50"/>
  <c r="Q649" i="50"/>
  <c r="Q650" i="50"/>
  <c r="Q651" i="50"/>
  <c r="Q652" i="50"/>
  <c r="Q653" i="50"/>
  <c r="Q654" i="50"/>
  <c r="Q655" i="50"/>
  <c r="Q656" i="50"/>
  <c r="Q657" i="50"/>
  <c r="Q658" i="50"/>
  <c r="Q198" i="50"/>
  <c r="Q659" i="50"/>
  <c r="Q660" i="50"/>
  <c r="Q661" i="50"/>
  <c r="Q662" i="50"/>
  <c r="Q200" i="50"/>
  <c r="Q663" i="50"/>
  <c r="Q664" i="50"/>
  <c r="Q665" i="50"/>
  <c r="Q204" i="50"/>
  <c r="Q666" i="50"/>
  <c r="Q690" i="50"/>
  <c r="Q667" i="50"/>
  <c r="Q668" i="50"/>
  <c r="Q639" i="50"/>
  <c r="Q206" i="50"/>
  <c r="Q669" i="50"/>
  <c r="Q670" i="50"/>
  <c r="Q671" i="50"/>
  <c r="Q209" i="50"/>
  <c r="Q70" i="50"/>
  <c r="Q151" i="50"/>
  <c r="Q390" i="50"/>
  <c r="Q552" i="50"/>
  <c r="Q71" i="50"/>
  <c r="Q553" i="50"/>
  <c r="Q687" i="50"/>
  <c r="Q703" i="50"/>
  <c r="Q704" i="50"/>
  <c r="Q705" i="50"/>
  <c r="Q72" i="50"/>
  <c r="Q739" i="50"/>
  <c r="Q740" i="50"/>
  <c r="Q554" i="50"/>
  <c r="Q708" i="50"/>
  <c r="Q710" i="50"/>
  <c r="Q741" i="50"/>
  <c r="Q742" i="50"/>
  <c r="Q711" i="50"/>
  <c r="Q73" i="50"/>
  <c r="Q572" i="50"/>
  <c r="Q74" i="50"/>
  <c r="Q715" i="50"/>
  <c r="Q573" i="50"/>
  <c r="Q456" i="50"/>
  <c r="Q254" i="50"/>
  <c r="Q719" i="50"/>
  <c r="Q688" i="50"/>
  <c r="Q720" i="50"/>
  <c r="Q743" i="50"/>
  <c r="Q555" i="50"/>
  <c r="Q722" i="50"/>
  <c r="Q256" i="50"/>
  <c r="Q357" i="50"/>
  <c r="Q574" i="50"/>
  <c r="Q726" i="50"/>
  <c r="Q257" i="50"/>
  <c r="Q728" i="50"/>
  <c r="Q506" i="50"/>
  <c r="Q730" i="50"/>
  <c r="Q731" i="50"/>
  <c r="Q732" i="50"/>
  <c r="Q744" i="50"/>
  <c r="Q738" i="50"/>
  <c r="Q459" i="50"/>
  <c r="Q259" i="50"/>
  <c r="Q461" i="50"/>
  <c r="Q737" i="50"/>
  <c r="Q745" i="50"/>
  <c r="Q507" i="50"/>
  <c r="Q463" i="50"/>
  <c r="Q260" i="50"/>
  <c r="Q144" i="50"/>
  <c r="Q78" i="50"/>
  <c r="Q113" i="50"/>
  <c r="Q139" i="50"/>
  <c r="Q79" i="50"/>
  <c r="Q115" i="50"/>
  <c r="Q464" i="50"/>
  <c r="Q508" i="50"/>
  <c r="Q261" i="50"/>
  <c r="Q262" i="50"/>
  <c r="Q556" i="50"/>
  <c r="Q358" i="50"/>
  <c r="Q116" i="50"/>
  <c r="Q672" i="50"/>
  <c r="Q673" i="50"/>
  <c r="Q674" i="50"/>
  <c r="Q675" i="50"/>
  <c r="Q676" i="50"/>
  <c r="Q677" i="50"/>
  <c r="Q84" i="50"/>
  <c r="Q576" i="50"/>
  <c r="Q117" i="50"/>
  <c r="Q577" i="50"/>
  <c r="Q26" i="50"/>
  <c r="Q359" i="50"/>
  <c r="Q360" i="50"/>
  <c r="Q263" i="50"/>
  <c r="Q361" i="50"/>
  <c r="Q366" i="50"/>
  <c r="Q142" i="50"/>
  <c r="Q466" i="50"/>
  <c r="Q118" i="50"/>
  <c r="Q368" i="50"/>
  <c r="Q468" i="50"/>
  <c r="Q509" i="50"/>
  <c r="Q469" i="50"/>
  <c r="Q470" i="50"/>
  <c r="Q196" i="50"/>
  <c r="Q195" i="50"/>
  <c r="Q173" i="50"/>
  <c r="Q167" i="50"/>
  <c r="Q267" i="50"/>
  <c r="Q156" i="50"/>
  <c r="Q158" i="50"/>
  <c r="Q180" i="50"/>
  <c r="Q172" i="50"/>
  <c r="Q163" i="50"/>
  <c r="Q188" i="50"/>
  <c r="Q175" i="50"/>
  <c r="Q157" i="50"/>
  <c r="Q190" i="50"/>
  <c r="Q369" i="50"/>
  <c r="Q193" i="50"/>
  <c r="Q143" i="50"/>
  <c r="Q185" i="50"/>
  <c r="Q140" i="50"/>
  <c r="Q362" i="50"/>
  <c r="Q159" i="50"/>
  <c r="Q141" i="50"/>
  <c r="Q197" i="50"/>
  <c r="Q169" i="50"/>
  <c r="Q370" i="50"/>
  <c r="Q145" i="50"/>
  <c r="Q9" i="50"/>
  <c r="G141" i="50"/>
  <c r="AJ141" i="50"/>
  <c r="G113" i="50"/>
  <c r="G115" i="50"/>
  <c r="AJ113" i="50"/>
  <c r="AJ115" i="50"/>
  <c r="G261" i="50"/>
  <c r="AJ261" i="50"/>
  <c r="G263" i="50"/>
  <c r="AJ263" i="50"/>
  <c r="G9" i="50"/>
  <c r="AJ9" i="50"/>
  <c r="G22" i="50"/>
  <c r="AJ22" i="50"/>
  <c r="AJ446" i="50"/>
  <c r="G446" i="50"/>
  <c r="AJ445" i="50"/>
  <c r="G445" i="50"/>
  <c r="AQ141" i="50" l="1"/>
  <c r="R659" i="50"/>
  <c r="AH659" i="50" s="1" a="1"/>
  <c r="AH659" i="50" s="1"/>
  <c r="AI659" i="50" s="1"/>
  <c r="R652" i="50"/>
  <c r="AH652" i="50" s="1" a="1"/>
  <c r="AH652" i="50" s="1"/>
  <c r="AI652" i="50" s="1"/>
  <c r="R607" i="50"/>
  <c r="AH607" i="50" s="1" a="1"/>
  <c r="AH607" i="50" s="1"/>
  <c r="AI607" i="50" s="1"/>
  <c r="R682" i="50"/>
  <c r="AH682" i="50" s="1" a="1"/>
  <c r="AH682" i="50" s="1"/>
  <c r="AI682" i="50" s="1"/>
  <c r="R675" i="50"/>
  <c r="AH675" i="50" s="1" a="1"/>
  <c r="AH675" i="50" s="1"/>
  <c r="AI675" i="50" s="1"/>
  <c r="AQ261" i="50"/>
  <c r="R665" i="50"/>
  <c r="AH665" i="50" s="1" a="1"/>
  <c r="AH665" i="50" s="1"/>
  <c r="AI665" i="50" s="1"/>
  <c r="AP446" i="50"/>
  <c r="R681" i="50"/>
  <c r="AH681" i="50" s="1" a="1"/>
  <c r="AH681" i="50" s="1"/>
  <c r="AI681" i="50" s="1"/>
  <c r="AP9" i="50"/>
  <c r="R602" i="50"/>
  <c r="AH602" i="50" s="1" a="1"/>
  <c r="AH602" i="50" s="1"/>
  <c r="AI602" i="50" s="1"/>
  <c r="R630" i="50"/>
  <c r="AH630" i="50" s="1" a="1"/>
  <c r="AH630" i="50" s="1"/>
  <c r="AI630" i="50" s="1"/>
  <c r="R614" i="50"/>
  <c r="AH614" i="50" s="1" a="1"/>
  <c r="AH614" i="50" s="1"/>
  <c r="AI614" i="50" s="1"/>
  <c r="R639" i="50"/>
  <c r="AH639" i="50" s="1" a="1"/>
  <c r="AH639" i="50" s="1"/>
  <c r="AI639" i="50" s="1"/>
  <c r="R604" i="50"/>
  <c r="AH604" i="50" s="1" a="1"/>
  <c r="AH604" i="50" s="1"/>
  <c r="AI604" i="50" s="1"/>
  <c r="R674" i="50"/>
  <c r="AH674" i="50" s="1" a="1"/>
  <c r="AH674" i="50" s="1"/>
  <c r="AI674" i="50" s="1"/>
  <c r="AP115" i="50"/>
  <c r="R668" i="50"/>
  <c r="AH668" i="50" s="1" a="1"/>
  <c r="AH668" i="50" s="1"/>
  <c r="AI668" i="50" s="1"/>
  <c r="R648" i="50"/>
  <c r="AH648" i="50" s="1" a="1"/>
  <c r="AH648" i="50" s="1"/>
  <c r="AI648" i="50" s="1"/>
  <c r="R645" i="50"/>
  <c r="AH645" i="50" s="1" a="1"/>
  <c r="AH645" i="50" s="1"/>
  <c r="AI645" i="50" s="1"/>
  <c r="R662" i="50"/>
  <c r="AH662" i="50" s="1" a="1"/>
  <c r="AH662" i="50" s="1"/>
  <c r="AI662" i="50" s="1"/>
  <c r="R655" i="50"/>
  <c r="AH655" i="50" s="1" a="1"/>
  <c r="AH655" i="50" s="1"/>
  <c r="AI655" i="50" s="1"/>
  <c r="R636" i="50"/>
  <c r="AH636" i="50" s="1" a="1"/>
  <c r="AH636" i="50" s="1"/>
  <c r="AI636" i="50" s="1"/>
  <c r="R629" i="50"/>
  <c r="AH629" i="50" s="1" a="1"/>
  <c r="AH629" i="50" s="1"/>
  <c r="AI629" i="50" s="1"/>
  <c r="R620" i="50"/>
  <c r="AH620" i="50" s="1" a="1"/>
  <c r="AH620" i="50" s="1"/>
  <c r="AI620" i="50" s="1"/>
  <c r="R611" i="50"/>
  <c r="AH611" i="50" s="1" a="1"/>
  <c r="AH611" i="50" s="1"/>
  <c r="AI611" i="50" s="1"/>
  <c r="R22" i="50"/>
  <c r="R644" i="50"/>
  <c r="AH644" i="50" s="1" a="1"/>
  <c r="AH644" i="50" s="1"/>
  <c r="AI644" i="50" s="1"/>
  <c r="R626" i="50"/>
  <c r="AH626" i="50" s="1" a="1"/>
  <c r="AH626" i="50" s="1"/>
  <c r="AI626" i="50" s="1"/>
  <c r="R616" i="50"/>
  <c r="AH616" i="50" s="1" a="1"/>
  <c r="AH616" i="50" s="1"/>
  <c r="AI616" i="50" s="1"/>
  <c r="R684" i="50"/>
  <c r="AH684" i="50" s="1" a="1"/>
  <c r="AH684" i="50" s="1"/>
  <c r="AI684" i="50" s="1"/>
  <c r="AQ263" i="50"/>
  <c r="AP113" i="50"/>
  <c r="R671" i="50"/>
  <c r="AH671" i="50" s="1" a="1"/>
  <c r="AH671" i="50" s="1"/>
  <c r="AI671" i="50" s="1"/>
  <c r="R445" i="50"/>
  <c r="R628" i="50"/>
  <c r="AH628" i="50" s="1" a="1"/>
  <c r="AH628" i="50" s="1"/>
  <c r="AI628" i="50" s="1"/>
  <c r="R683" i="50"/>
  <c r="AH683" i="50" s="1" a="1"/>
  <c r="AH683" i="50" s="1"/>
  <c r="AI683" i="50" s="1"/>
  <c r="R679" i="50"/>
  <c r="AH679" i="50" s="1" a="1"/>
  <c r="AH679" i="50" s="1"/>
  <c r="AI679" i="50" s="1"/>
  <c r="AQ22" i="50"/>
  <c r="AP22" i="50"/>
  <c r="AP445" i="50"/>
  <c r="R9" i="50"/>
  <c r="AH9" i="50" s="1" a="1"/>
  <c r="AH9" i="50" s="1"/>
  <c r="R113" i="50"/>
  <c r="R115" i="50"/>
  <c r="R261" i="50"/>
  <c r="R446" i="50"/>
  <c r="R263" i="50"/>
  <c r="R141" i="50"/>
  <c r="AQ445" i="50"/>
  <c r="AQ446" i="50"/>
  <c r="AQ113" i="50"/>
  <c r="AQ115" i="50"/>
  <c r="AP261" i="50"/>
  <c r="AP263" i="50"/>
  <c r="AP141" i="50"/>
  <c r="AQ9" i="50"/>
  <c r="AH141" i="50" l="1" a="1"/>
  <c r="AH141" i="50" s="1"/>
  <c r="AI141" i="50" s="1"/>
  <c r="AH263" i="50" a="1"/>
  <c r="AH263" i="50" s="1"/>
  <c r="AI263" i="50" s="1"/>
  <c r="AH446" i="50" a="1"/>
  <c r="AH446" i="50" s="1"/>
  <c r="AI446" i="50" s="1"/>
  <c r="AH261" i="50" a="1"/>
  <c r="AH261" i="50" s="1"/>
  <c r="AI261" i="50" s="1"/>
  <c r="AH115" i="50" a="1"/>
  <c r="AH115" i="50" s="1"/>
  <c r="AI115" i="50" s="1"/>
  <c r="AH113" i="50" a="1"/>
  <c r="AH113" i="50" s="1"/>
  <c r="AI113" i="50" s="1"/>
  <c r="AH445" i="50" a="1"/>
  <c r="AH445" i="50" s="1"/>
  <c r="AI445" i="50" s="1"/>
  <c r="AH22" i="50" a="1"/>
  <c r="AH22" i="50" s="1"/>
  <c r="AI22" i="50" s="1"/>
  <c r="AN22" i="50"/>
  <c r="AM22" i="50" s="1"/>
  <c r="AN445" i="50"/>
  <c r="AM445" i="50" s="1"/>
  <c r="AN9" i="50"/>
  <c r="AM9" i="50" s="1"/>
  <c r="AI9" i="50"/>
  <c r="AN446" i="50"/>
  <c r="AR446" i="50" s="1"/>
  <c r="AN263" i="50"/>
  <c r="AM263" i="50" s="1"/>
  <c r="AN113" i="50"/>
  <c r="AN115" i="50"/>
  <c r="AM115" i="50" s="1"/>
  <c r="AN141" i="50"/>
  <c r="AM141" i="50" s="1"/>
  <c r="AN261" i="50"/>
  <c r="AM261" i="50" s="1"/>
  <c r="Q398" i="50"/>
  <c r="AK22" i="50" l="1"/>
  <c r="AL22" i="50" s="1"/>
  <c r="AK261" i="50"/>
  <c r="AL261" i="50" s="1"/>
  <c r="AK141" i="50"/>
  <c r="AL141" i="50" s="1"/>
  <c r="AK263" i="50"/>
  <c r="AL263" i="50" s="1"/>
  <c r="AK445" i="50"/>
  <c r="AL445" i="50" s="1"/>
  <c r="AK446" i="50"/>
  <c r="AL446" i="50" s="1"/>
  <c r="AR22" i="50"/>
  <c r="AR445" i="50"/>
  <c r="R398" i="50"/>
  <c r="AH398" i="50" s="1" a="1"/>
  <c r="AH398" i="50" s="1"/>
  <c r="AI398" i="50" s="1"/>
  <c r="AR9" i="50"/>
  <c r="AK9" i="50"/>
  <c r="AL9" i="50" s="1"/>
  <c r="AK115" i="50"/>
  <c r="AL115" i="50" s="1"/>
  <c r="AK113" i="50"/>
  <c r="AL113" i="50" s="1"/>
  <c r="AM446" i="50"/>
  <c r="AR263" i="50"/>
  <c r="AM113" i="50"/>
  <c r="AR113" i="50"/>
  <c r="AR115" i="50"/>
  <c r="AR141" i="50"/>
  <c r="AR261" i="50"/>
  <c r="G398" i="50"/>
  <c r="AJ398" i="50"/>
  <c r="AP398" i="50"/>
  <c r="AQ398" i="50"/>
  <c r="E201" i="68"/>
  <c r="E202" i="68"/>
  <c r="E203" i="68"/>
  <c r="E204" i="68"/>
  <c r="E205" i="68"/>
  <c r="E206" i="68"/>
  <c r="E207" i="68"/>
  <c r="E200" i="68"/>
  <c r="N215" i="68"/>
  <c r="N214" i="68"/>
  <c r="N213" i="68"/>
  <c r="N212" i="68"/>
  <c r="N211" i="68"/>
  <c r="AN398" i="50" l="1"/>
  <c r="AM398" i="50" s="1"/>
  <c r="AK398" i="50"/>
  <c r="AL398" i="50" s="1"/>
  <c r="D207" i="68"/>
  <c r="D206" i="68"/>
  <c r="D205" i="68"/>
  <c r="D204" i="68"/>
  <c r="D203" i="68"/>
  <c r="D202" i="68"/>
  <c r="D201" i="68"/>
  <c r="D200" i="68"/>
  <c r="AR398" i="50" l="1"/>
  <c r="D208" i="68"/>
  <c r="E208" i="68"/>
  <c r="D20" i="88" l="1"/>
  <c r="D21" i="88"/>
  <c r="D22" i="88"/>
  <c r="D23" i="88"/>
  <c r="D19" i="88"/>
  <c r="D3" i="88"/>
  <c r="D4" i="88"/>
  <c r="D5" i="88"/>
  <c r="D6" i="88"/>
  <c r="D7" i="88"/>
  <c r="D8" i="88"/>
  <c r="D9" i="88"/>
  <c r="D10" i="88"/>
  <c r="D11" i="88"/>
  <c r="D12" i="88"/>
  <c r="D13" i="88"/>
  <c r="D14" i="88"/>
  <c r="D15" i="88"/>
  <c r="D16" i="88"/>
  <c r="D17" i="88"/>
  <c r="D18" i="88"/>
  <c r="D24" i="88"/>
  <c r="D25" i="88"/>
  <c r="D26" i="88"/>
  <c r="D27" i="88"/>
  <c r="D28" i="88"/>
  <c r="D29" i="88"/>
  <c r="D30" i="88"/>
  <c r="D31" i="88"/>
  <c r="D32" i="88"/>
  <c r="D33" i="88"/>
  <c r="D34" i="88"/>
  <c r="D35" i="88"/>
  <c r="D36" i="88"/>
  <c r="D37" i="88"/>
  <c r="D38" i="88"/>
  <c r="D39" i="88"/>
  <c r="D40" i="88"/>
  <c r="D41" i="88"/>
  <c r="D42" i="88"/>
  <c r="D2" i="88"/>
  <c r="AK26" i="7" l="1"/>
  <c r="AK70" i="7"/>
  <c r="R527" i="50"/>
  <c r="AH527" i="50" s="1" a="1"/>
  <c r="AH527" i="50" s="1"/>
  <c r="AI527" i="50" s="1"/>
  <c r="R526" i="50"/>
  <c r="AH526" i="50" s="1" a="1"/>
  <c r="AH526" i="50" s="1"/>
  <c r="AI526" i="50" s="1"/>
  <c r="R273" i="50"/>
  <c r="R270" i="50"/>
  <c r="R272" i="50"/>
  <c r="AH272" i="50" s="1" a="1"/>
  <c r="AH272" i="50" s="1"/>
  <c r="AI272" i="50" s="1"/>
  <c r="R269" i="50"/>
  <c r="AH269" i="50" s="1" a="1"/>
  <c r="AH269" i="50" s="1"/>
  <c r="AI269" i="50" s="1"/>
  <c r="R107" i="50"/>
  <c r="AH107" i="50" s="1" a="1"/>
  <c r="AH107" i="50" s="1"/>
  <c r="AI107" i="50" s="1"/>
  <c r="R108" i="50"/>
  <c r="R208" i="50"/>
  <c r="AH208" i="50" s="1" a="1"/>
  <c r="AH208" i="50" s="1"/>
  <c r="AI208" i="50" s="1"/>
  <c r="R207" i="50"/>
  <c r="AH207" i="50" s="1" a="1"/>
  <c r="AH207" i="50" s="1"/>
  <c r="AI207" i="50" s="1"/>
  <c r="R205" i="50"/>
  <c r="AH205" i="50" s="1" a="1"/>
  <c r="AH205" i="50" s="1"/>
  <c r="AI205" i="50" s="1"/>
  <c r="R203" i="50"/>
  <c r="AH203" i="50" s="1" a="1"/>
  <c r="AH203" i="50" s="1"/>
  <c r="AI203" i="50" s="1"/>
  <c r="R202" i="50"/>
  <c r="AH202" i="50" s="1" a="1"/>
  <c r="AH202" i="50" s="1"/>
  <c r="AI202" i="50" s="1"/>
  <c r="R201" i="50"/>
  <c r="AH201" i="50" s="1" a="1"/>
  <c r="AH201" i="50" s="1"/>
  <c r="AI201" i="50" s="1"/>
  <c r="R199" i="50"/>
  <c r="AH199" i="50" s="1" a="1"/>
  <c r="AH199" i="50" s="1"/>
  <c r="AI199" i="50" s="1"/>
  <c r="R198" i="50"/>
  <c r="AH198" i="50" s="1" a="1"/>
  <c r="AH198" i="50" s="1"/>
  <c r="AI198" i="50" s="1"/>
  <c r="R669" i="50"/>
  <c r="AH669" i="50" s="1" a="1"/>
  <c r="AH669" i="50" s="1"/>
  <c r="AI669" i="50" s="1"/>
  <c r="R666" i="50"/>
  <c r="AH666" i="50" s="1" a="1"/>
  <c r="AH666" i="50" s="1"/>
  <c r="AI666" i="50" s="1"/>
  <c r="R663" i="50"/>
  <c r="AH663" i="50" s="1" a="1"/>
  <c r="AH663" i="50" s="1"/>
  <c r="AI663" i="50" s="1"/>
  <c r="R660" i="50"/>
  <c r="AH660" i="50" s="1" a="1"/>
  <c r="AH660" i="50" s="1"/>
  <c r="AI660" i="50" s="1"/>
  <c r="R658" i="50"/>
  <c r="AH658" i="50" s="1" a="1"/>
  <c r="AH658" i="50" s="1"/>
  <c r="AI658" i="50" s="1"/>
  <c r="R650" i="50"/>
  <c r="AH650" i="50" s="1" a="1"/>
  <c r="AH650" i="50" s="1"/>
  <c r="AI650" i="50" s="1"/>
  <c r="R653" i="50"/>
  <c r="AH653" i="50" s="1" a="1"/>
  <c r="AH653" i="50" s="1"/>
  <c r="AI653" i="50" s="1"/>
  <c r="R670" i="50"/>
  <c r="AH670" i="50" s="1" a="1"/>
  <c r="AH670" i="50" s="1"/>
  <c r="AI670" i="50" s="1"/>
  <c r="R667" i="50"/>
  <c r="AH667" i="50" s="1" a="1"/>
  <c r="AH667" i="50" s="1"/>
  <c r="AI667" i="50" s="1"/>
  <c r="R664" i="50"/>
  <c r="AH664" i="50" s="1" a="1"/>
  <c r="AH664" i="50" s="1"/>
  <c r="AI664" i="50" s="1"/>
  <c r="R661" i="50"/>
  <c r="AH661" i="50" s="1" a="1"/>
  <c r="AH661" i="50" s="1"/>
  <c r="AI661" i="50" s="1"/>
  <c r="R657" i="50"/>
  <c r="AH657" i="50" s="1" a="1"/>
  <c r="AH657" i="50" s="1"/>
  <c r="AI657" i="50" s="1"/>
  <c r="R656" i="50"/>
  <c r="AH656" i="50" s="1" a="1"/>
  <c r="AH656" i="50" s="1"/>
  <c r="AI656" i="50" s="1"/>
  <c r="R654" i="50"/>
  <c r="AH654" i="50" s="1" a="1"/>
  <c r="AH654" i="50" s="1"/>
  <c r="AI654" i="50" s="1"/>
  <c r="R651" i="50"/>
  <c r="AH651" i="50" s="1" a="1"/>
  <c r="AH651" i="50" s="1"/>
  <c r="AI651" i="50" s="1"/>
  <c r="AQ200" i="50"/>
  <c r="R197" i="50"/>
  <c r="AH197" i="50" s="1" a="1"/>
  <c r="AH197" i="50" s="1"/>
  <c r="AI197" i="50" s="1"/>
  <c r="R206" i="50"/>
  <c r="AH206" i="50" s="1" a="1"/>
  <c r="AH206" i="50" s="1"/>
  <c r="AI206" i="50" s="1"/>
  <c r="AQ193" i="50"/>
  <c r="AN190" i="50"/>
  <c r="R195" i="50"/>
  <c r="AH195" i="50" s="1" a="1"/>
  <c r="AH195" i="50" s="1"/>
  <c r="AI195" i="50" s="1"/>
  <c r="AQ196" i="50"/>
  <c r="R204" i="50"/>
  <c r="AH204" i="50" s="1" a="1"/>
  <c r="AH204" i="50" s="1"/>
  <c r="AI204" i="50" s="1"/>
  <c r="R209" i="50"/>
  <c r="AH209" i="50" s="1" a="1"/>
  <c r="AH209" i="50" s="1"/>
  <c r="AI209" i="50" s="1"/>
  <c r="R155" i="50"/>
  <c r="AH155" i="50" s="1" a="1"/>
  <c r="AH155" i="50" s="1"/>
  <c r="AI155" i="50" s="1"/>
  <c r="AQ153" i="50"/>
  <c r="R154" i="50"/>
  <c r="AH154" i="50" s="1" a="1"/>
  <c r="AH154" i="50" s="1"/>
  <c r="AI154" i="50" s="1"/>
  <c r="R596" i="50"/>
  <c r="AH596" i="50" s="1" a="1"/>
  <c r="AH596" i="50" s="1"/>
  <c r="AI596" i="50" s="1"/>
  <c r="R595" i="50"/>
  <c r="AH595" i="50" s="1" a="1"/>
  <c r="AH595" i="50" s="1"/>
  <c r="AI595" i="50" s="1"/>
  <c r="R593" i="50"/>
  <c r="AH593" i="50" s="1" a="1"/>
  <c r="AH593" i="50" s="1"/>
  <c r="AI593" i="50" s="1"/>
  <c r="R592" i="50"/>
  <c r="AH592" i="50" s="1" a="1"/>
  <c r="AH592" i="50" s="1"/>
  <c r="AI592" i="50" s="1"/>
  <c r="R590" i="50"/>
  <c r="AH590" i="50" s="1" a="1"/>
  <c r="AH590" i="50" s="1"/>
  <c r="AI590" i="50" s="1"/>
  <c r="R597" i="50"/>
  <c r="AH597" i="50" s="1" a="1"/>
  <c r="AH597" i="50" s="1"/>
  <c r="AI597" i="50" s="1"/>
  <c r="R591" i="50"/>
  <c r="AH591" i="50" s="1" a="1"/>
  <c r="AH591" i="50" s="1"/>
  <c r="AI591" i="50" s="1"/>
  <c r="R221" i="50"/>
  <c r="AH221" i="50" s="1" a="1"/>
  <c r="AH221" i="50" s="1"/>
  <c r="AI221" i="50" s="1"/>
  <c r="R222" i="50"/>
  <c r="AH222" i="50" s="1" a="1"/>
  <c r="AH222" i="50" s="1"/>
  <c r="AI222" i="50" s="1"/>
  <c r="R223" i="50"/>
  <c r="AH223" i="50" s="1" a="1"/>
  <c r="AH223" i="50" s="1"/>
  <c r="AI223" i="50" s="1"/>
  <c r="R224" i="50"/>
  <c r="AH224" i="50" s="1" a="1"/>
  <c r="AH224" i="50" s="1"/>
  <c r="AI224" i="50" s="1"/>
  <c r="R23" i="50"/>
  <c r="Q21" i="50"/>
  <c r="R21" i="50" s="1"/>
  <c r="AH21" i="50" s="1" a="1"/>
  <c r="AH21" i="50" s="1"/>
  <c r="AI21" i="50" s="1"/>
  <c r="R20" i="50"/>
  <c r="R18" i="50"/>
  <c r="Q17" i="50"/>
  <c r="R17" i="50" s="1"/>
  <c r="AH17" i="50" s="1" a="1"/>
  <c r="AH17" i="50" s="1"/>
  <c r="AI17" i="50" s="1"/>
  <c r="R16" i="50"/>
  <c r="R220" i="50"/>
  <c r="AH220" i="50" s="1" a="1"/>
  <c r="AH220" i="50" s="1"/>
  <c r="AI220" i="50" s="1"/>
  <c r="R313" i="50"/>
  <c r="R314" i="50"/>
  <c r="R534" i="50"/>
  <c r="AQ169" i="50"/>
  <c r="AQ179" i="50"/>
  <c r="R159" i="50"/>
  <c r="AH159" i="50" s="1" a="1"/>
  <c r="AH159" i="50" s="1"/>
  <c r="AI159" i="50" s="1"/>
  <c r="AQ185" i="50"/>
  <c r="AO187" i="50"/>
  <c r="AQ157" i="50"/>
  <c r="R175" i="50"/>
  <c r="AH175" i="50" s="1" a="1"/>
  <c r="AH175" i="50" s="1"/>
  <c r="AI175" i="50" s="1"/>
  <c r="R188" i="50"/>
  <c r="AH188" i="50" s="1" a="1"/>
  <c r="AH188" i="50" s="1"/>
  <c r="AI188" i="50" s="1"/>
  <c r="R163" i="50"/>
  <c r="AH163" i="50" s="1" a="1"/>
  <c r="AH163" i="50" s="1"/>
  <c r="AI163" i="50" s="1"/>
  <c r="AQ172" i="50"/>
  <c r="R180" i="50"/>
  <c r="AH180" i="50" s="1" a="1"/>
  <c r="AH180" i="50" s="1"/>
  <c r="AI180" i="50" s="1"/>
  <c r="R158" i="50"/>
  <c r="AH158" i="50" s="1" a="1"/>
  <c r="AH158" i="50" s="1"/>
  <c r="AI158" i="50" s="1"/>
  <c r="R156" i="50"/>
  <c r="AH156" i="50" s="1" a="1"/>
  <c r="AH156" i="50" s="1"/>
  <c r="AI156" i="50" s="1"/>
  <c r="AQ165" i="50"/>
  <c r="R167" i="50"/>
  <c r="AH167" i="50" s="1" a="1"/>
  <c r="AH167" i="50" s="1"/>
  <c r="AI167" i="50" s="1"/>
  <c r="AN173" i="50"/>
  <c r="R641" i="50"/>
  <c r="AH641" i="50" s="1" a="1"/>
  <c r="AH641" i="50" s="1"/>
  <c r="AI641" i="50" s="1"/>
  <c r="R638" i="50"/>
  <c r="AH638" i="50" s="1" a="1"/>
  <c r="AH638" i="50" s="1"/>
  <c r="AI638" i="50" s="1"/>
  <c r="R635" i="50"/>
  <c r="AH635" i="50" s="1" a="1"/>
  <c r="AH635" i="50" s="1"/>
  <c r="AI635" i="50" s="1"/>
  <c r="R632" i="50"/>
  <c r="AH632" i="50" s="1" a="1"/>
  <c r="AH632" i="50" s="1"/>
  <c r="AI632" i="50" s="1"/>
  <c r="R631" i="50"/>
  <c r="AH631" i="50" s="1" a="1"/>
  <c r="AH631" i="50" s="1"/>
  <c r="AI631" i="50" s="1"/>
  <c r="R624" i="50"/>
  <c r="AH624" i="50" s="1" a="1"/>
  <c r="AH624" i="50" s="1"/>
  <c r="AI624" i="50" s="1"/>
  <c r="R622" i="50"/>
  <c r="AH622" i="50" s="1" a="1"/>
  <c r="AH622" i="50" s="1"/>
  <c r="AI622" i="50" s="1"/>
  <c r="R621" i="50"/>
  <c r="AH621" i="50" s="1" a="1"/>
  <c r="AH621" i="50" s="1"/>
  <c r="AI621" i="50" s="1"/>
  <c r="R619" i="50"/>
  <c r="AH619" i="50" s="1" a="1"/>
  <c r="AH619" i="50" s="1"/>
  <c r="AI619" i="50" s="1"/>
  <c r="R617" i="50"/>
  <c r="AH617" i="50" s="1" a="1"/>
  <c r="AH617" i="50" s="1"/>
  <c r="AI617" i="50" s="1"/>
  <c r="R612" i="50"/>
  <c r="AH612" i="50" s="1" a="1"/>
  <c r="AH612" i="50" s="1"/>
  <c r="AI612" i="50" s="1"/>
  <c r="R609" i="50"/>
  <c r="AH609" i="50" s="1" a="1"/>
  <c r="AH609" i="50" s="1"/>
  <c r="AI609" i="50" s="1"/>
  <c r="R608" i="50"/>
  <c r="AH608" i="50" s="1" a="1"/>
  <c r="AH608" i="50" s="1"/>
  <c r="AI608" i="50" s="1"/>
  <c r="R605" i="50"/>
  <c r="AH605" i="50" s="1" a="1"/>
  <c r="AH605" i="50" s="1"/>
  <c r="AI605" i="50" s="1"/>
  <c r="R601" i="50"/>
  <c r="AH601" i="50" s="1" a="1"/>
  <c r="AH601" i="50" s="1"/>
  <c r="AI601" i="50" s="1"/>
  <c r="R599" i="50"/>
  <c r="AH599" i="50" s="1" a="1"/>
  <c r="AH599" i="50" s="1"/>
  <c r="AI599" i="50" s="1"/>
  <c r="R618" i="50"/>
  <c r="AH618" i="50" s="1" a="1"/>
  <c r="AH618" i="50" s="1"/>
  <c r="AI618" i="50" s="1"/>
  <c r="R627" i="50"/>
  <c r="AH627" i="50" s="1" a="1"/>
  <c r="AH627" i="50" s="1"/>
  <c r="AI627" i="50" s="1"/>
  <c r="R637" i="50"/>
  <c r="AH637" i="50" s="1" a="1"/>
  <c r="AH637" i="50" s="1"/>
  <c r="AI637" i="50" s="1"/>
  <c r="R634" i="50"/>
  <c r="AH634" i="50" s="1" a="1"/>
  <c r="AH634" i="50" s="1"/>
  <c r="AI634" i="50" s="1"/>
  <c r="R640" i="50"/>
  <c r="AH640" i="50" s="1" a="1"/>
  <c r="AH640" i="50" s="1"/>
  <c r="AI640" i="50" s="1"/>
  <c r="R623" i="50"/>
  <c r="AH623" i="50" s="1" a="1"/>
  <c r="AH623" i="50" s="1"/>
  <c r="AI623" i="50" s="1"/>
  <c r="R633" i="50"/>
  <c r="AH633" i="50" s="1" a="1"/>
  <c r="AH633" i="50" s="1"/>
  <c r="AI633" i="50" s="1"/>
  <c r="R603" i="50"/>
  <c r="AH603" i="50" s="1" a="1"/>
  <c r="AH603" i="50" s="1"/>
  <c r="AI603" i="50" s="1"/>
  <c r="R615" i="50"/>
  <c r="AH615" i="50" s="1" a="1"/>
  <c r="AH615" i="50" s="1"/>
  <c r="AI615" i="50" s="1"/>
  <c r="R613" i="50"/>
  <c r="AH613" i="50" s="1" a="1"/>
  <c r="AH613" i="50" s="1"/>
  <c r="AI613" i="50" s="1"/>
  <c r="R610" i="50"/>
  <c r="AH610" i="50" s="1" a="1"/>
  <c r="AH610" i="50" s="1"/>
  <c r="AI610" i="50" s="1"/>
  <c r="R625" i="50"/>
  <c r="AH625" i="50" s="1" a="1"/>
  <c r="AH625" i="50" s="1"/>
  <c r="AI625" i="50" s="1"/>
  <c r="R606" i="50"/>
  <c r="AH606" i="50" s="1" a="1"/>
  <c r="AH606" i="50" s="1"/>
  <c r="AI606" i="50" s="1"/>
  <c r="R600" i="50"/>
  <c r="AH600" i="50" s="1" a="1"/>
  <c r="AH600" i="50" s="1"/>
  <c r="AI600" i="50" s="1"/>
  <c r="R598" i="50"/>
  <c r="AH598" i="50" s="1" a="1"/>
  <c r="AH598" i="50" s="1"/>
  <c r="AI598" i="50" s="1"/>
  <c r="R183" i="50"/>
  <c r="AH183" i="50" s="1" a="1"/>
  <c r="AH183" i="50" s="1"/>
  <c r="AI183" i="50" s="1"/>
  <c r="R182" i="50"/>
  <c r="AH182" i="50" s="1" a="1"/>
  <c r="AH182" i="50" s="1"/>
  <c r="AI182" i="50" s="1"/>
  <c r="R181" i="50"/>
  <c r="AH181" i="50" s="1" a="1"/>
  <c r="AH181" i="50" s="1"/>
  <c r="AI181" i="50" s="1"/>
  <c r="R178" i="50"/>
  <c r="AH178" i="50" s="1" a="1"/>
  <c r="AH178" i="50" s="1"/>
  <c r="AI178" i="50" s="1"/>
  <c r="R177" i="50"/>
  <c r="AH177" i="50" s="1" a="1"/>
  <c r="AH177" i="50" s="1"/>
  <c r="AI177" i="50" s="1"/>
  <c r="R174" i="50"/>
  <c r="AH174" i="50" s="1" a="1"/>
  <c r="AH174" i="50" s="1"/>
  <c r="AI174" i="50" s="1"/>
  <c r="R176" i="50"/>
  <c r="AH176" i="50" s="1" a="1"/>
  <c r="AH176" i="50" s="1"/>
  <c r="AI176" i="50" s="1"/>
  <c r="AP161" i="50"/>
  <c r="R171" i="50"/>
  <c r="AH171" i="50" s="1" a="1"/>
  <c r="AH171" i="50" s="1"/>
  <c r="AI171" i="50" s="1"/>
  <c r="R170" i="50"/>
  <c r="AH170" i="50" s="1" a="1"/>
  <c r="AH170" i="50" s="1"/>
  <c r="AI170" i="50" s="1"/>
  <c r="R186" i="50"/>
  <c r="AH186" i="50" s="1" a="1"/>
  <c r="AH186" i="50" s="1"/>
  <c r="AI186" i="50" s="1"/>
  <c r="R166" i="50"/>
  <c r="AH166" i="50" s="1" a="1"/>
  <c r="AH166" i="50" s="1"/>
  <c r="AI166" i="50" s="1"/>
  <c r="R168" i="50"/>
  <c r="AH168" i="50" s="1" a="1"/>
  <c r="AH168" i="50" s="1"/>
  <c r="AI168" i="50" s="1"/>
  <c r="R184" i="50"/>
  <c r="AH184" i="50" s="1" a="1"/>
  <c r="AH184" i="50" s="1"/>
  <c r="AI184" i="50" s="1"/>
  <c r="R164" i="50"/>
  <c r="AH164" i="50" s="1" a="1"/>
  <c r="AH164" i="50" s="1"/>
  <c r="AI164" i="50" s="1"/>
  <c r="R162" i="50"/>
  <c r="AH162" i="50" s="1" a="1"/>
  <c r="AH162" i="50" s="1"/>
  <c r="AI162" i="50" s="1"/>
  <c r="Q304" i="50"/>
  <c r="Q303" i="50"/>
  <c r="Q302" i="50"/>
  <c r="Q301" i="50"/>
  <c r="Q300" i="50"/>
  <c r="Q299" i="50"/>
  <c r="R101" i="50"/>
  <c r="AH101" i="50" s="1" a="1"/>
  <c r="AH101" i="50" s="1"/>
  <c r="AI101" i="50" s="1"/>
  <c r="Q40" i="50"/>
  <c r="G204" i="50"/>
  <c r="G196" i="50"/>
  <c r="G195" i="50"/>
  <c r="G173" i="50"/>
  <c r="G167" i="50"/>
  <c r="G165" i="50"/>
  <c r="G156" i="50"/>
  <c r="G158" i="50"/>
  <c r="G180" i="50"/>
  <c r="G172" i="50"/>
  <c r="G163" i="50"/>
  <c r="G188" i="50"/>
  <c r="G175" i="50"/>
  <c r="G157" i="50"/>
  <c r="G190" i="50"/>
  <c r="G154" i="50"/>
  <c r="G193" i="50"/>
  <c r="G187" i="50"/>
  <c r="G185" i="50"/>
  <c r="G206" i="50"/>
  <c r="G153" i="50"/>
  <c r="G159" i="50"/>
  <c r="G179" i="50"/>
  <c r="G197" i="50"/>
  <c r="G169" i="50"/>
  <c r="G200" i="50"/>
  <c r="G155" i="50"/>
  <c r="G209" i="50"/>
  <c r="G671" i="50"/>
  <c r="G668" i="50"/>
  <c r="G665" i="50"/>
  <c r="G659" i="50"/>
  <c r="G655" i="50"/>
  <c r="G652" i="50"/>
  <c r="G639" i="50"/>
  <c r="G630" i="50"/>
  <c r="G629" i="50"/>
  <c r="G628" i="50"/>
  <c r="G626" i="50"/>
  <c r="G616" i="50"/>
  <c r="G614" i="50"/>
  <c r="G611" i="50"/>
  <c r="G607" i="50"/>
  <c r="G604" i="50"/>
  <c r="G602" i="50"/>
  <c r="G645" i="50"/>
  <c r="G644" i="50"/>
  <c r="G675" i="50"/>
  <c r="G674" i="50"/>
  <c r="G648" i="50"/>
  <c r="G684" i="50"/>
  <c r="G683" i="50"/>
  <c r="G682" i="50"/>
  <c r="G681" i="50"/>
  <c r="G662" i="50"/>
  <c r="G620" i="50"/>
  <c r="G679" i="50"/>
  <c r="G636" i="50"/>
  <c r="AJ209" i="50"/>
  <c r="AJ204" i="50"/>
  <c r="AJ196" i="50"/>
  <c r="AJ195" i="50"/>
  <c r="AJ173" i="50"/>
  <c r="AJ167" i="50"/>
  <c r="AJ165" i="50"/>
  <c r="AJ156" i="50"/>
  <c r="AJ158" i="50"/>
  <c r="AJ180" i="50"/>
  <c r="AJ172" i="50"/>
  <c r="AJ163" i="50"/>
  <c r="AJ188" i="50"/>
  <c r="AJ175" i="50"/>
  <c r="AJ157" i="50"/>
  <c r="AJ190" i="50"/>
  <c r="AJ154" i="50"/>
  <c r="AJ193" i="50"/>
  <c r="AJ187" i="50"/>
  <c r="AJ185" i="50"/>
  <c r="AJ206" i="50"/>
  <c r="AJ153" i="50"/>
  <c r="AJ159" i="50"/>
  <c r="AJ179" i="50"/>
  <c r="AJ197" i="50"/>
  <c r="AJ169" i="50"/>
  <c r="AJ200" i="50"/>
  <c r="AJ155" i="50"/>
  <c r="AQ620" i="50"/>
  <c r="AQ679" i="50"/>
  <c r="AQ636" i="50"/>
  <c r="AP620" i="50"/>
  <c r="AP679" i="50"/>
  <c r="AP636" i="50"/>
  <c r="AN620" i="50"/>
  <c r="AN679" i="50"/>
  <c r="AN636" i="50"/>
  <c r="AK620" i="50"/>
  <c r="AK679" i="50"/>
  <c r="AK636" i="50"/>
  <c r="AJ620" i="50"/>
  <c r="AJ679" i="50"/>
  <c r="AJ636" i="50"/>
  <c r="AQ671" i="50"/>
  <c r="AQ668" i="50"/>
  <c r="AQ665" i="50"/>
  <c r="AQ659" i="50"/>
  <c r="AQ655" i="50"/>
  <c r="AQ652" i="50"/>
  <c r="AQ639" i="50"/>
  <c r="AQ630" i="50"/>
  <c r="AQ629" i="50"/>
  <c r="AQ628" i="50"/>
  <c r="AQ626" i="50"/>
  <c r="AQ616" i="50"/>
  <c r="AQ614" i="50"/>
  <c r="AQ611" i="50"/>
  <c r="AQ607" i="50"/>
  <c r="AQ604" i="50"/>
  <c r="AQ602" i="50"/>
  <c r="AQ645" i="50"/>
  <c r="AQ644" i="50"/>
  <c r="AQ675" i="50"/>
  <c r="AQ674" i="50"/>
  <c r="AQ648" i="50"/>
  <c r="AQ684" i="50"/>
  <c r="AQ683" i="50"/>
  <c r="AQ682" i="50"/>
  <c r="AQ681" i="50"/>
  <c r="AQ662" i="50"/>
  <c r="AP671" i="50"/>
  <c r="AP668" i="50"/>
  <c r="AP665" i="50"/>
  <c r="AP659" i="50"/>
  <c r="AP655" i="50"/>
  <c r="AP652" i="50"/>
  <c r="AP639" i="50"/>
  <c r="AP630" i="50"/>
  <c r="AP629" i="50"/>
  <c r="AP628" i="50"/>
  <c r="AP626" i="50"/>
  <c r="AP616" i="50"/>
  <c r="AP614" i="50"/>
  <c r="AP611" i="50"/>
  <c r="AP607" i="50"/>
  <c r="AP604" i="50"/>
  <c r="AP602" i="50"/>
  <c r="AP645" i="50"/>
  <c r="AP644" i="50"/>
  <c r="AP675" i="50"/>
  <c r="AP674" i="50"/>
  <c r="AP648" i="50"/>
  <c r="AP684" i="50"/>
  <c r="AP683" i="50"/>
  <c r="AP682" i="50"/>
  <c r="AP681" i="50"/>
  <c r="AP662" i="50"/>
  <c r="AN671" i="50"/>
  <c r="AN668" i="50"/>
  <c r="AN665" i="50"/>
  <c r="AN659" i="50"/>
  <c r="AN655" i="50"/>
  <c r="AN652" i="50"/>
  <c r="AN639" i="50"/>
  <c r="AN630" i="50"/>
  <c r="AN629" i="50"/>
  <c r="AN628" i="50"/>
  <c r="AN626" i="50"/>
  <c r="AN616" i="50"/>
  <c r="AN614" i="50"/>
  <c r="AN611" i="50"/>
  <c r="AN607" i="50"/>
  <c r="AN604" i="50"/>
  <c r="AN602" i="50"/>
  <c r="AN645" i="50"/>
  <c r="AN644" i="50"/>
  <c r="AN675" i="50"/>
  <c r="AN674" i="50"/>
  <c r="AN648" i="50"/>
  <c r="AN684" i="50"/>
  <c r="AN683" i="50"/>
  <c r="AN682" i="50"/>
  <c r="AN681" i="50"/>
  <c r="AN662" i="50"/>
  <c r="AK671" i="50"/>
  <c r="AK668" i="50"/>
  <c r="AK665" i="50"/>
  <c r="AK659" i="50"/>
  <c r="AK655" i="50"/>
  <c r="AK652" i="50"/>
  <c r="AK639" i="50"/>
  <c r="AK630" i="50"/>
  <c r="AK629" i="50"/>
  <c r="AK628" i="50"/>
  <c r="AK626" i="50"/>
  <c r="AK616" i="50"/>
  <c r="AK614" i="50"/>
  <c r="AK611" i="50"/>
  <c r="AK607" i="50"/>
  <c r="AK604" i="50"/>
  <c r="AK602" i="50"/>
  <c r="AK645" i="50"/>
  <c r="AK644" i="50"/>
  <c r="AK675" i="50"/>
  <c r="AK674" i="50"/>
  <c r="AK648" i="50"/>
  <c r="AK684" i="50"/>
  <c r="AK683" i="50"/>
  <c r="AK682" i="50"/>
  <c r="AK681" i="50"/>
  <c r="AK662" i="50"/>
  <c r="AJ671" i="50"/>
  <c r="AJ668" i="50"/>
  <c r="AJ665" i="50"/>
  <c r="AJ659" i="50"/>
  <c r="AJ655" i="50"/>
  <c r="AJ652" i="50"/>
  <c r="AJ639" i="50"/>
  <c r="AJ630" i="50"/>
  <c r="AJ629" i="50"/>
  <c r="AJ628" i="50"/>
  <c r="AJ626" i="50"/>
  <c r="AJ616" i="50"/>
  <c r="AJ614" i="50"/>
  <c r="AJ611" i="50"/>
  <c r="AJ607" i="50"/>
  <c r="AJ604" i="50"/>
  <c r="AJ602" i="50"/>
  <c r="AJ645" i="50"/>
  <c r="AJ644" i="50"/>
  <c r="AJ675" i="50"/>
  <c r="AJ674" i="50"/>
  <c r="AJ648" i="50"/>
  <c r="AJ684" i="50"/>
  <c r="AJ683" i="50"/>
  <c r="AJ682" i="50"/>
  <c r="AJ681" i="50"/>
  <c r="AJ662" i="50"/>
  <c r="AF2" i="50"/>
  <c r="AJ224" i="50"/>
  <c r="G224" i="50"/>
  <c r="AJ223" i="50"/>
  <c r="G223" i="50"/>
  <c r="AJ222" i="50"/>
  <c r="G222" i="50"/>
  <c r="AQ221" i="50"/>
  <c r="AJ221" i="50"/>
  <c r="G221" i="50"/>
  <c r="AJ161" i="50"/>
  <c r="G161" i="50"/>
  <c r="AJ184" i="50"/>
  <c r="G184" i="50"/>
  <c r="AJ186" i="50"/>
  <c r="G186" i="50"/>
  <c r="AJ299" i="50"/>
  <c r="G299" i="50"/>
  <c r="AH534" i="50" l="1" a="1"/>
  <c r="AH534" i="50" s="1"/>
  <c r="AI534" i="50" s="1"/>
  <c r="AH314" i="50" a="1"/>
  <c r="AH314" i="50" s="1"/>
  <c r="AI314" i="50" s="1"/>
  <c r="AH313" i="50" a="1"/>
  <c r="AH313" i="50" s="1"/>
  <c r="AI313" i="50" s="1"/>
  <c r="AH16" i="50" a="1"/>
  <c r="AH16" i="50" s="1"/>
  <c r="AI16" i="50" s="1"/>
  <c r="AH18" i="50" a="1"/>
  <c r="AH18" i="50" s="1"/>
  <c r="AI18" i="50" s="1"/>
  <c r="AH20" i="50" a="1"/>
  <c r="AH20" i="50" s="1"/>
  <c r="AI20" i="50" s="1"/>
  <c r="AH23" i="50" a="1"/>
  <c r="AH23" i="50" s="1"/>
  <c r="AI23" i="50" s="1"/>
  <c r="AH108" i="50" a="1"/>
  <c r="AH108" i="50" s="1"/>
  <c r="AI108" i="50" s="1"/>
  <c r="AH270" i="50" a="1"/>
  <c r="AH270" i="50" s="1"/>
  <c r="AI270" i="50" s="1"/>
  <c r="AH273" i="50" a="1"/>
  <c r="AH273" i="50" s="1"/>
  <c r="AI273" i="50" s="1"/>
  <c r="R299" i="50"/>
  <c r="AN299" i="50" s="1"/>
  <c r="AM299" i="50" s="1"/>
  <c r="R300" i="50"/>
  <c r="R301" i="50"/>
  <c r="R302" i="50"/>
  <c r="R303" i="50"/>
  <c r="R304" i="50"/>
  <c r="R40" i="50"/>
  <c r="AK154" i="50"/>
  <c r="AL154" i="50" s="1"/>
  <c r="AP154" i="50" s="1"/>
  <c r="AP221" i="50"/>
  <c r="AN172" i="50"/>
  <c r="AM172" i="50" s="1"/>
  <c r="AO153" i="50"/>
  <c r="AN206" i="50"/>
  <c r="AM206" i="50" s="1"/>
  <c r="AO172" i="50"/>
  <c r="AN153" i="50"/>
  <c r="AR153" i="50" s="1"/>
  <c r="AO206" i="50"/>
  <c r="AP184" i="50"/>
  <c r="AQ223" i="50"/>
  <c r="AO190" i="50"/>
  <c r="AK197" i="50"/>
  <c r="AL197" i="50" s="1"/>
  <c r="AP197" i="50" s="1"/>
  <c r="AK163" i="50"/>
  <c r="AL163" i="50" s="1"/>
  <c r="AP163" i="50" s="1"/>
  <c r="AK159" i="50"/>
  <c r="AL159" i="50" s="1"/>
  <c r="AP159" i="50" s="1"/>
  <c r="AK180" i="50"/>
  <c r="AL180" i="50" s="1"/>
  <c r="AP180" i="50" s="1"/>
  <c r="AK221" i="50"/>
  <c r="AL221" i="50" s="1"/>
  <c r="AK156" i="50"/>
  <c r="AL156" i="50" s="1"/>
  <c r="AP156" i="50" s="1"/>
  <c r="AK223" i="50"/>
  <c r="AL223" i="50" s="1"/>
  <c r="AK195" i="50"/>
  <c r="AL195" i="50" s="1"/>
  <c r="AP195" i="50" s="1"/>
  <c r="AQ161" i="50"/>
  <c r="AK222" i="50"/>
  <c r="AL222" i="50" s="1"/>
  <c r="AK224" i="50"/>
  <c r="AL224" i="50" s="1"/>
  <c r="AK158" i="50"/>
  <c r="AL158" i="50" s="1"/>
  <c r="AP158" i="50" s="1"/>
  <c r="AO209" i="50"/>
  <c r="AQ224" i="50"/>
  <c r="AP186" i="50"/>
  <c r="AO200" i="50"/>
  <c r="AN200" i="50"/>
  <c r="AM200" i="50" s="1"/>
  <c r="AO188" i="50"/>
  <c r="AK188" i="50"/>
  <c r="AL188" i="50" s="1"/>
  <c r="AP188" i="50" s="1"/>
  <c r="AO204" i="50"/>
  <c r="AN186" i="50"/>
  <c r="AR186" i="50" s="1"/>
  <c r="AK186" i="50"/>
  <c r="AL186" i="50" s="1"/>
  <c r="AO156" i="50"/>
  <c r="AN156" i="50"/>
  <c r="AM156" i="50" s="1"/>
  <c r="AQ184" i="50"/>
  <c r="AP223" i="50"/>
  <c r="AN209" i="50"/>
  <c r="AM209" i="50" s="1"/>
  <c r="AR636" i="50"/>
  <c r="AN188" i="50"/>
  <c r="AM188" i="50" s="1"/>
  <c r="AQ186" i="50"/>
  <c r="AP224" i="50"/>
  <c r="AQ209" i="50"/>
  <c r="AN204" i="50"/>
  <c r="AR204" i="50" s="1"/>
  <c r="AQ204" i="50"/>
  <c r="AO165" i="50"/>
  <c r="AN157" i="50"/>
  <c r="AR157" i="50" s="1"/>
  <c r="AN165" i="50"/>
  <c r="AR165" i="50" s="1"/>
  <c r="AO196" i="50"/>
  <c r="AN193" i="50"/>
  <c r="AR193" i="50" s="1"/>
  <c r="R193" i="50"/>
  <c r="AH193" i="50" s="1" a="1"/>
  <c r="AH193" i="50" s="1"/>
  <c r="AI193" i="50" s="1"/>
  <c r="AO154" i="50"/>
  <c r="AN154" i="50"/>
  <c r="AR154" i="50" s="1"/>
  <c r="AO193" i="50"/>
  <c r="R190" i="50"/>
  <c r="AH190" i="50" s="1" a="1"/>
  <c r="AH190" i="50" s="1"/>
  <c r="AI190" i="50" s="1"/>
  <c r="AO158" i="50"/>
  <c r="AO195" i="50"/>
  <c r="AN158" i="50"/>
  <c r="AM158" i="50" s="1"/>
  <c r="AN195" i="50"/>
  <c r="AR195" i="50" s="1"/>
  <c r="AQ154" i="50"/>
  <c r="AQ190" i="50"/>
  <c r="AQ158" i="50"/>
  <c r="AQ195" i="50"/>
  <c r="R200" i="50"/>
  <c r="AH200" i="50" s="1" a="1"/>
  <c r="AH200" i="50" s="1"/>
  <c r="AI200" i="50" s="1"/>
  <c r="AO197" i="50"/>
  <c r="AN197" i="50"/>
  <c r="AM197" i="50" s="1"/>
  <c r="AQ197" i="50"/>
  <c r="AQ206" i="50"/>
  <c r="AN196" i="50"/>
  <c r="AR196" i="50" s="1"/>
  <c r="R196" i="50"/>
  <c r="AH196" i="50" s="1" a="1"/>
  <c r="AH196" i="50" s="1"/>
  <c r="AI196" i="50" s="1"/>
  <c r="AQ187" i="50"/>
  <c r="AO155" i="50"/>
  <c r="AN155" i="50"/>
  <c r="AR155" i="50" s="1"/>
  <c r="AQ155" i="50"/>
  <c r="R153" i="50"/>
  <c r="AH153" i="50" s="1" a="1"/>
  <c r="AH153" i="50" s="1"/>
  <c r="AI153" i="50" s="1"/>
  <c r="AO169" i="50"/>
  <c r="AN169" i="50"/>
  <c r="AR169" i="50" s="1"/>
  <c r="AO163" i="50"/>
  <c r="AN163" i="50"/>
  <c r="AM163" i="50" s="1"/>
  <c r="AO159" i="50"/>
  <c r="AN159" i="50"/>
  <c r="AR159" i="50" s="1"/>
  <c r="AQ222" i="50"/>
  <c r="AN224" i="50"/>
  <c r="AR224" i="50" s="1"/>
  <c r="AN223" i="50"/>
  <c r="AM223" i="50" s="1"/>
  <c r="AP222" i="50"/>
  <c r="AN221" i="50"/>
  <c r="AR221" i="50" s="1"/>
  <c r="AO167" i="50"/>
  <c r="AN167" i="50"/>
  <c r="AM167" i="50" s="1"/>
  <c r="AO175" i="50"/>
  <c r="AN175" i="50"/>
  <c r="AM175" i="50" s="1"/>
  <c r="R165" i="50"/>
  <c r="AH165" i="50" s="1" a="1"/>
  <c r="AH165" i="50" s="1"/>
  <c r="AI165" i="50" s="1"/>
  <c r="AQ175" i="50"/>
  <c r="AQ163" i="50"/>
  <c r="AQ188" i="50"/>
  <c r="AO157" i="50"/>
  <c r="R157" i="50"/>
  <c r="AH157" i="50" s="1" a="1"/>
  <c r="AH157" i="50" s="1"/>
  <c r="AI157" i="50" s="1"/>
  <c r="AQ156" i="50"/>
  <c r="AQ180" i="50"/>
  <c r="AO180" i="50"/>
  <c r="R173" i="50"/>
  <c r="AH173" i="50" s="1" a="1"/>
  <c r="AH173" i="50" s="1"/>
  <c r="AI173" i="50" s="1"/>
  <c r="AN180" i="50"/>
  <c r="AM180" i="50" s="1"/>
  <c r="AQ167" i="50"/>
  <c r="AQ173" i="50"/>
  <c r="AO173" i="50"/>
  <c r="R169" i="50"/>
  <c r="AH169" i="50" s="1" a="1"/>
  <c r="AH169" i="50" s="1"/>
  <c r="AI169" i="50" s="1"/>
  <c r="R179" i="50"/>
  <c r="AH179" i="50" s="1" a="1"/>
  <c r="AH179" i="50" s="1"/>
  <c r="AI179" i="50" s="1"/>
  <c r="AO179" i="50"/>
  <c r="AN179" i="50"/>
  <c r="AR179" i="50" s="1"/>
  <c r="AQ159" i="50"/>
  <c r="AN187" i="50"/>
  <c r="AM187" i="50" s="1"/>
  <c r="R187" i="50"/>
  <c r="AH187" i="50" s="1" a="1"/>
  <c r="AH187" i="50" s="1"/>
  <c r="AI187" i="50" s="1"/>
  <c r="AO185" i="50"/>
  <c r="R185" i="50"/>
  <c r="AH185" i="50" s="1" a="1"/>
  <c r="AH185" i="50" s="1"/>
  <c r="AI185" i="50" s="1"/>
  <c r="AN185" i="50"/>
  <c r="AM185" i="50" s="1"/>
  <c r="R172" i="50"/>
  <c r="AH172" i="50" s="1" a="1"/>
  <c r="AH172" i="50" s="1"/>
  <c r="AI172" i="50" s="1"/>
  <c r="AN184" i="50"/>
  <c r="AR184" i="50" s="1"/>
  <c r="R161" i="50"/>
  <c r="AH161" i="50" s="1" a="1"/>
  <c r="AH161" i="50" s="1"/>
  <c r="AI161" i="50" s="1"/>
  <c r="AP299" i="50"/>
  <c r="AQ299" i="50"/>
  <c r="AR173" i="50"/>
  <c r="AM190" i="50"/>
  <c r="AM173" i="50"/>
  <c r="AR190" i="50"/>
  <c r="AM655" i="50"/>
  <c r="AM614" i="50"/>
  <c r="AM674" i="50"/>
  <c r="AM652" i="50"/>
  <c r="AM679" i="50"/>
  <c r="AM683" i="50"/>
  <c r="AR648" i="50"/>
  <c r="AR611" i="50"/>
  <c r="AR652" i="50"/>
  <c r="AR675" i="50"/>
  <c r="AR616" i="50"/>
  <c r="AR659" i="50"/>
  <c r="AM630" i="50"/>
  <c r="AR620" i="50"/>
  <c r="AR662" i="50"/>
  <c r="AR644" i="50"/>
  <c r="AR626" i="50"/>
  <c r="AR665" i="50"/>
  <c r="AM648" i="50"/>
  <c r="AR679" i="50"/>
  <c r="AM620" i="50"/>
  <c r="AM628" i="50"/>
  <c r="AM681" i="50"/>
  <c r="AR682" i="50"/>
  <c r="AR602" i="50"/>
  <c r="AR629" i="50"/>
  <c r="AL636" i="50"/>
  <c r="AM645" i="50"/>
  <c r="AM668" i="50"/>
  <c r="AR683" i="50"/>
  <c r="AR630" i="50"/>
  <c r="AR671" i="50"/>
  <c r="AL679" i="50"/>
  <c r="AR684" i="50"/>
  <c r="AR607" i="50"/>
  <c r="AR639" i="50"/>
  <c r="AM644" i="50"/>
  <c r="AM665" i="50"/>
  <c r="AL620" i="50"/>
  <c r="AR604" i="50"/>
  <c r="AL648" i="50"/>
  <c r="AL611" i="50"/>
  <c r="AL652" i="50"/>
  <c r="AM604" i="50"/>
  <c r="AM671" i="50"/>
  <c r="AL674" i="50"/>
  <c r="AL614" i="50"/>
  <c r="AL655" i="50"/>
  <c r="AM611" i="50"/>
  <c r="AM636" i="50"/>
  <c r="AM662" i="50"/>
  <c r="AM626" i="50"/>
  <c r="AL684" i="50"/>
  <c r="AL607" i="50"/>
  <c r="AL639" i="50"/>
  <c r="AL675" i="50"/>
  <c r="AL616" i="50"/>
  <c r="AL659" i="50"/>
  <c r="AL662" i="50"/>
  <c r="AL644" i="50"/>
  <c r="AL626" i="50"/>
  <c r="AL665" i="50"/>
  <c r="AM684" i="50"/>
  <c r="AM607" i="50"/>
  <c r="AM639" i="50"/>
  <c r="AL681" i="50"/>
  <c r="AL645" i="50"/>
  <c r="AL628" i="50"/>
  <c r="AL668" i="50"/>
  <c r="AL682" i="50"/>
  <c r="AL602" i="50"/>
  <c r="AL629" i="50"/>
  <c r="AR674" i="50"/>
  <c r="AR614" i="50"/>
  <c r="AR655" i="50"/>
  <c r="AL683" i="50"/>
  <c r="AL604" i="50"/>
  <c r="AL630" i="50"/>
  <c r="AL671" i="50"/>
  <c r="AM675" i="50"/>
  <c r="AM616" i="50"/>
  <c r="AM659" i="50"/>
  <c r="AR681" i="50"/>
  <c r="AR645" i="50"/>
  <c r="AR628" i="50"/>
  <c r="AR668" i="50"/>
  <c r="AM682" i="50"/>
  <c r="AM602" i="50"/>
  <c r="AM629" i="50"/>
  <c r="AQ108" i="50"/>
  <c r="AP108" i="50"/>
  <c r="AN108" i="50"/>
  <c r="AJ108" i="50"/>
  <c r="G108" i="50"/>
  <c r="AQ101" i="50"/>
  <c r="AP101" i="50"/>
  <c r="AN101" i="50"/>
  <c r="AK101" i="50"/>
  <c r="AJ101" i="50"/>
  <c r="G101" i="50"/>
  <c r="AQ107" i="50"/>
  <c r="AP107" i="50"/>
  <c r="AN107" i="50"/>
  <c r="AJ107" i="50"/>
  <c r="G107" i="50"/>
  <c r="AH40" i="50" l="1" a="1"/>
  <c r="AH40" i="50" s="1"/>
  <c r="AI40" i="50" s="1"/>
  <c r="AH304" i="50" a="1"/>
  <c r="AH304" i="50" s="1"/>
  <c r="AI304" i="50" s="1"/>
  <c r="AH303" i="50" a="1"/>
  <c r="AH303" i="50" s="1"/>
  <c r="AI303" i="50" s="1"/>
  <c r="AH302" i="50" a="1"/>
  <c r="AH302" i="50" s="1"/>
  <c r="AI302" i="50" s="1"/>
  <c r="AH301" i="50" a="1"/>
  <c r="AH301" i="50" s="1"/>
  <c r="AI301" i="50" s="1"/>
  <c r="AH300" i="50" a="1"/>
  <c r="AH300" i="50" s="1"/>
  <c r="AI300" i="50" s="1"/>
  <c r="AH299" i="50" a="1"/>
  <c r="AH299" i="50" s="1"/>
  <c r="AI299" i="50" s="1"/>
  <c r="AK184" i="50"/>
  <c r="AL184" i="50" s="1"/>
  <c r="AK107" i="50"/>
  <c r="AL107" i="50" s="1"/>
  <c r="AK206" i="50"/>
  <c r="AL206" i="50" s="1"/>
  <c r="AP206" i="50" s="1"/>
  <c r="AK209" i="50"/>
  <c r="AL209" i="50" s="1"/>
  <c r="AP209" i="50" s="1"/>
  <c r="AK155" i="50"/>
  <c r="AL155" i="50" s="1"/>
  <c r="AP155" i="50" s="1"/>
  <c r="AK108" i="50"/>
  <c r="AL108" i="50" s="1"/>
  <c r="AR172" i="50"/>
  <c r="AM153" i="50"/>
  <c r="AR206" i="50"/>
  <c r="AO2" i="50"/>
  <c r="AR156" i="50"/>
  <c r="AM186" i="50"/>
  <c r="AR200" i="50"/>
  <c r="AM195" i="50"/>
  <c r="AK204" i="50"/>
  <c r="AL204" i="50" s="1"/>
  <c r="AP204" i="50" s="1"/>
  <c r="AK175" i="50"/>
  <c r="AL175" i="50" s="1"/>
  <c r="AP175" i="50" s="1"/>
  <c r="AK167" i="50"/>
  <c r="AL167" i="50" s="1"/>
  <c r="AP167" i="50" s="1"/>
  <c r="AN161" i="50"/>
  <c r="AM161" i="50" s="1"/>
  <c r="AK161" i="50"/>
  <c r="AL161" i="50" s="1"/>
  <c r="AR188" i="50"/>
  <c r="AM165" i="50"/>
  <c r="AR209" i="50"/>
  <c r="AM154" i="50"/>
  <c r="AM159" i="50"/>
  <c r="AM204" i="50"/>
  <c r="AM157" i="50"/>
  <c r="AR167" i="50"/>
  <c r="AM193" i="50"/>
  <c r="AR158" i="50"/>
  <c r="AR163" i="50"/>
  <c r="AM169" i="50"/>
  <c r="AR197" i="50"/>
  <c r="AM196" i="50"/>
  <c r="AM224" i="50"/>
  <c r="AR175" i="50"/>
  <c r="AM155" i="50"/>
  <c r="AM221" i="50"/>
  <c r="AN222" i="50"/>
  <c r="AR223" i="50"/>
  <c r="AR180" i="50"/>
  <c r="AR185" i="50"/>
  <c r="AM179" i="50"/>
  <c r="AR187" i="50"/>
  <c r="AM184" i="50"/>
  <c r="AR299" i="50"/>
  <c r="AR107" i="50"/>
  <c r="AR108" i="50"/>
  <c r="AR101" i="50"/>
  <c r="AM101" i="50"/>
  <c r="AM108" i="50"/>
  <c r="AM107" i="50"/>
  <c r="AL101" i="50"/>
  <c r="AK299" i="50" l="1"/>
  <c r="AL299" i="50" s="1"/>
  <c r="AK169" i="50"/>
  <c r="AL169" i="50" s="1"/>
  <c r="AP169" i="50" s="1"/>
  <c r="AK185" i="50"/>
  <c r="AL185" i="50" s="1"/>
  <c r="AP185" i="50" s="1"/>
  <c r="AK165" i="50"/>
  <c r="AL165" i="50" s="1"/>
  <c r="AP165" i="50" s="1"/>
  <c r="AK196" i="50"/>
  <c r="AL196" i="50" s="1"/>
  <c r="AP196" i="50" s="1"/>
  <c r="AK179" i="50"/>
  <c r="AL179" i="50" s="1"/>
  <c r="AP179" i="50" s="1"/>
  <c r="AK172" i="50"/>
  <c r="AL172" i="50" s="1"/>
  <c r="AP172" i="50" s="1"/>
  <c r="AK153" i="50"/>
  <c r="AL153" i="50" s="1"/>
  <c r="AP153" i="50" s="1"/>
  <c r="AK190" i="50"/>
  <c r="AL190" i="50" s="1"/>
  <c r="AP190" i="50" s="1"/>
  <c r="AK187" i="50"/>
  <c r="AL187" i="50" s="1"/>
  <c r="AP187" i="50" s="1"/>
  <c r="AK173" i="50"/>
  <c r="AL173" i="50" s="1"/>
  <c r="AP173" i="50" s="1"/>
  <c r="AK157" i="50"/>
  <c r="AL157" i="50" s="1"/>
  <c r="AP157" i="50" s="1"/>
  <c r="AK200" i="50"/>
  <c r="AL200" i="50" s="1"/>
  <c r="AP200" i="50" s="1"/>
  <c r="AK193" i="50"/>
  <c r="AL193" i="50" s="1"/>
  <c r="AP193" i="50" s="1"/>
  <c r="AR161" i="50"/>
  <c r="AR222" i="50"/>
  <c r="AM222" i="50"/>
  <c r="G270" i="50"/>
  <c r="AJ270" i="50"/>
  <c r="AK270" i="50"/>
  <c r="AN270" i="50"/>
  <c r="AP270" i="50"/>
  <c r="AQ270" i="50"/>
  <c r="G273" i="50"/>
  <c r="AJ273" i="50"/>
  <c r="AK273" i="50"/>
  <c r="AN273" i="50"/>
  <c r="AP273" i="50"/>
  <c r="AQ273" i="50"/>
  <c r="G40" i="50"/>
  <c r="AJ40" i="50"/>
  <c r="AK40" i="50"/>
  <c r="AN40" i="50"/>
  <c r="AP40" i="50"/>
  <c r="AQ40" i="50"/>
  <c r="AM273" i="50" l="1"/>
  <c r="AM270" i="50"/>
  <c r="AM40" i="50"/>
  <c r="AL40" i="50"/>
  <c r="AL270" i="50"/>
  <c r="AL273" i="50"/>
  <c r="AR40" i="50"/>
  <c r="AR273" i="50"/>
  <c r="AR270" i="50"/>
  <c r="A4" i="56" l="1" a="1"/>
  <c r="A4" i="56" s="1"/>
  <c r="X71" i="87"/>
  <c r="W71" i="87"/>
  <c r="S71" i="87"/>
  <c r="Q71" i="87"/>
  <c r="P71" i="87"/>
  <c r="O71" i="87"/>
  <c r="N71" i="87"/>
  <c r="R70" i="87"/>
  <c r="T70" i="87" s="1"/>
  <c r="U70" i="87" s="1"/>
  <c r="V70" i="87" s="1"/>
  <c r="R69" i="87"/>
  <c r="T69" i="87" s="1"/>
  <c r="U69" i="87" s="1"/>
  <c r="V69" i="87" s="1"/>
  <c r="R68" i="87"/>
  <c r="T68" i="87" s="1"/>
  <c r="U68" i="87" s="1"/>
  <c r="V68" i="87" s="1"/>
  <c r="R67" i="87"/>
  <c r="T67" i="87" s="1"/>
  <c r="U67" i="87" s="1"/>
  <c r="V67" i="87" s="1"/>
  <c r="R66" i="87"/>
  <c r="T66" i="87" s="1"/>
  <c r="U66" i="87" s="1"/>
  <c r="V66" i="87" s="1"/>
  <c r="V65" i="87"/>
  <c r="R65" i="87"/>
  <c r="T65" i="87" s="1"/>
  <c r="V64" i="87"/>
  <c r="R64" i="87"/>
  <c r="T64" i="87" s="1"/>
  <c r="V63" i="87"/>
  <c r="R63" i="87"/>
  <c r="T63" i="87" s="1"/>
  <c r="R62" i="87"/>
  <c r="T62" i="87" s="1"/>
  <c r="U62" i="87" s="1"/>
  <c r="V62" i="87" s="1"/>
  <c r="R61" i="87"/>
  <c r="T61" i="87" s="1"/>
  <c r="U61" i="87" s="1"/>
  <c r="V61" i="87" s="1"/>
  <c r="R60" i="87"/>
  <c r="T60" i="87" s="1"/>
  <c r="U60" i="87" s="1"/>
  <c r="V60" i="87" s="1"/>
  <c r="R59" i="87"/>
  <c r="T59" i="87" s="1"/>
  <c r="U59" i="87" s="1"/>
  <c r="V59" i="87" s="1"/>
  <c r="R58" i="87"/>
  <c r="T58" i="87" s="1"/>
  <c r="U58" i="87" s="1"/>
  <c r="V58" i="87" s="1"/>
  <c r="R57" i="87"/>
  <c r="T57" i="87" s="1"/>
  <c r="U57" i="87" s="1"/>
  <c r="V57" i="87" s="1"/>
  <c r="R56" i="87"/>
  <c r="T56" i="87" s="1"/>
  <c r="U56" i="87" s="1"/>
  <c r="V56" i="87" s="1"/>
  <c r="R55" i="87"/>
  <c r="T55" i="87" s="1"/>
  <c r="U55" i="87" s="1"/>
  <c r="V55" i="87" s="1"/>
  <c r="R54" i="87"/>
  <c r="T54" i="87" s="1"/>
  <c r="U54" i="87" s="1"/>
  <c r="V54" i="87" s="1"/>
  <c r="R53" i="87"/>
  <c r="T53" i="87" s="1"/>
  <c r="U53" i="87" s="1"/>
  <c r="V53" i="87" s="1"/>
  <c r="R52" i="87"/>
  <c r="T52" i="87" s="1"/>
  <c r="U52" i="87" s="1"/>
  <c r="V52" i="87" s="1"/>
  <c r="R51" i="87"/>
  <c r="T51" i="87" s="1"/>
  <c r="U51" i="87" s="1"/>
  <c r="V51" i="87" s="1"/>
  <c r="R50" i="87"/>
  <c r="T50" i="87" s="1"/>
  <c r="U50" i="87" s="1"/>
  <c r="V50" i="87" s="1"/>
  <c r="R49" i="87"/>
  <c r="T49" i="87" s="1"/>
  <c r="U49" i="87" s="1"/>
  <c r="V49" i="87" s="1"/>
  <c r="R48" i="87"/>
  <c r="T48" i="87" s="1"/>
  <c r="U48" i="87" s="1"/>
  <c r="V48" i="87" s="1"/>
  <c r="R47" i="87"/>
  <c r="T47" i="87" s="1"/>
  <c r="U47" i="87" s="1"/>
  <c r="V47" i="87" s="1"/>
  <c r="R46" i="87"/>
  <c r="T46" i="87" s="1"/>
  <c r="U46" i="87" s="1"/>
  <c r="V46" i="87" s="1"/>
  <c r="R45" i="87"/>
  <c r="T45" i="87" s="1"/>
  <c r="U45" i="87" s="1"/>
  <c r="V45" i="87" s="1"/>
  <c r="R44" i="87"/>
  <c r="T44" i="87" s="1"/>
  <c r="U44" i="87" s="1"/>
  <c r="V44" i="87" s="1"/>
  <c r="R43" i="87"/>
  <c r="T43" i="87" s="1"/>
  <c r="U43" i="87" s="1"/>
  <c r="V43" i="87" s="1"/>
  <c r="R42" i="87"/>
  <c r="T42" i="87" s="1"/>
  <c r="U42" i="87" s="1"/>
  <c r="V42" i="87" s="1"/>
  <c r="R41" i="87"/>
  <c r="T41" i="87" s="1"/>
  <c r="U41" i="87" s="1"/>
  <c r="V41" i="87" s="1"/>
  <c r="R40" i="87"/>
  <c r="T40" i="87" s="1"/>
  <c r="U40" i="87" s="1"/>
  <c r="V40" i="87" s="1"/>
  <c r="R39" i="87"/>
  <c r="T39" i="87" s="1"/>
  <c r="U39" i="87" s="1"/>
  <c r="V39" i="87" s="1"/>
  <c r="R38" i="87"/>
  <c r="T38" i="87" s="1"/>
  <c r="U38" i="87" s="1"/>
  <c r="V38" i="87" s="1"/>
  <c r="R37" i="87"/>
  <c r="T37" i="87" s="1"/>
  <c r="U37" i="87" s="1"/>
  <c r="V37" i="87" s="1"/>
  <c r="R36" i="87"/>
  <c r="T36" i="87" s="1"/>
  <c r="U36" i="87" s="1"/>
  <c r="V36" i="87" s="1"/>
  <c r="R35" i="87"/>
  <c r="T35" i="87" s="1"/>
  <c r="U35" i="87" s="1"/>
  <c r="V35" i="87" s="1"/>
  <c r="R34" i="87"/>
  <c r="T34" i="87" s="1"/>
  <c r="U34" i="87" s="1"/>
  <c r="V34" i="87" s="1"/>
  <c r="R33" i="87"/>
  <c r="T33" i="87" s="1"/>
  <c r="U33" i="87" s="1"/>
  <c r="V33" i="87" s="1"/>
  <c r="R32" i="87"/>
  <c r="T32" i="87" s="1"/>
  <c r="U32" i="87" s="1"/>
  <c r="V32" i="87" s="1"/>
  <c r="R31" i="87"/>
  <c r="T31" i="87" s="1"/>
  <c r="U31" i="87" s="1"/>
  <c r="V31" i="87" s="1"/>
  <c r="R30" i="87"/>
  <c r="T30" i="87" s="1"/>
  <c r="U30" i="87" s="1"/>
  <c r="V30" i="87" s="1"/>
  <c r="R29" i="87"/>
  <c r="T29" i="87" s="1"/>
  <c r="U29" i="87" s="1"/>
  <c r="V29" i="87" s="1"/>
  <c r="R28" i="87"/>
  <c r="T28" i="87" s="1"/>
  <c r="U28" i="87" s="1"/>
  <c r="V28" i="87" s="1"/>
  <c r="R27" i="87"/>
  <c r="T27" i="87" s="1"/>
  <c r="U27" i="87" s="1"/>
  <c r="V27" i="87" s="1"/>
  <c r="R26" i="87"/>
  <c r="T26" i="87" s="1"/>
  <c r="U26" i="87" s="1"/>
  <c r="V26" i="87" s="1"/>
  <c r="R25" i="87"/>
  <c r="T25" i="87" s="1"/>
  <c r="U25" i="87" s="1"/>
  <c r="V25" i="87" s="1"/>
  <c r="R24" i="87"/>
  <c r="T24" i="87" s="1"/>
  <c r="U24" i="87" s="1"/>
  <c r="V24" i="87" s="1"/>
  <c r="R23" i="87"/>
  <c r="T23" i="87" s="1"/>
  <c r="U23" i="87" s="1"/>
  <c r="V23" i="87" s="1"/>
  <c r="R22" i="87"/>
  <c r="T22" i="87" s="1"/>
  <c r="U22" i="87" s="1"/>
  <c r="V22" i="87" s="1"/>
  <c r="R21" i="87"/>
  <c r="T21" i="87" s="1"/>
  <c r="U21" i="87" s="1"/>
  <c r="V21" i="87" s="1"/>
  <c r="R20" i="87"/>
  <c r="T20" i="87" s="1"/>
  <c r="U20" i="87" s="1"/>
  <c r="V20" i="87" s="1"/>
  <c r="R19" i="87"/>
  <c r="T19" i="87" s="1"/>
  <c r="U19" i="87" s="1"/>
  <c r="V19" i="87" s="1"/>
  <c r="R18" i="87"/>
  <c r="T18" i="87" s="1"/>
  <c r="U18" i="87" s="1"/>
  <c r="V18" i="87" s="1"/>
  <c r="R17" i="87"/>
  <c r="T17" i="87" s="1"/>
  <c r="U17" i="87" s="1"/>
  <c r="V17" i="87" s="1"/>
  <c r="R16" i="87"/>
  <c r="T16" i="87" s="1"/>
  <c r="U16" i="87" s="1"/>
  <c r="V16" i="87" s="1"/>
  <c r="R15" i="87"/>
  <c r="T15" i="87" s="1"/>
  <c r="U15" i="87" s="1"/>
  <c r="V15" i="87" s="1"/>
  <c r="T14" i="87"/>
  <c r="U14" i="87" s="1"/>
  <c r="V14" i="87" s="1"/>
  <c r="R13" i="87"/>
  <c r="T13" i="87" s="1"/>
  <c r="U13" i="87" s="1"/>
  <c r="V13" i="87" s="1"/>
  <c r="R12" i="87"/>
  <c r="T12" i="87" s="1"/>
  <c r="U12" i="87" s="1"/>
  <c r="V12" i="87" s="1"/>
  <c r="R11" i="87"/>
  <c r="T11" i="87" s="1"/>
  <c r="U11" i="87" s="1"/>
  <c r="V11" i="87" s="1"/>
  <c r="R10" i="87"/>
  <c r="T10" i="87" s="1"/>
  <c r="U10" i="87" s="1"/>
  <c r="V10" i="87" s="1"/>
  <c r="R9" i="87"/>
  <c r="T9" i="87" s="1"/>
  <c r="U9" i="87" s="1"/>
  <c r="V9" i="87" s="1"/>
  <c r="R8" i="87"/>
  <c r="T8" i="87" s="1"/>
  <c r="U8" i="87" s="1"/>
  <c r="V8" i="87" s="1"/>
  <c r="R7" i="87"/>
  <c r="T7" i="87" s="1"/>
  <c r="U7" i="87" s="1"/>
  <c r="V7" i="87" s="1"/>
  <c r="R6" i="87"/>
  <c r="T6" i="87" s="1"/>
  <c r="U6" i="87" s="1"/>
  <c r="V6" i="87" s="1"/>
  <c r="R5" i="87"/>
  <c r="T5" i="87" s="1"/>
  <c r="U5" i="87" s="1"/>
  <c r="V5" i="87" s="1"/>
  <c r="R4" i="87"/>
  <c r="T4" i="87" s="1"/>
  <c r="U4" i="87" s="1"/>
  <c r="V4" i="87" s="1"/>
  <c r="R3" i="87"/>
  <c r="R2" i="87"/>
  <c r="T2" i="87" s="1"/>
  <c r="U2" i="87" s="1"/>
  <c r="R71" i="87" l="1"/>
  <c r="V2" i="87"/>
  <c r="T3" i="87"/>
  <c r="U3" i="87" s="1"/>
  <c r="V3" i="87" s="1"/>
  <c r="T71" i="87" l="1"/>
  <c r="U71" i="87"/>
  <c r="V71" i="87"/>
  <c r="AQ533" i="50" l="1"/>
  <c r="AJ533" i="50"/>
  <c r="AP533" i="50" l="1"/>
  <c r="R533" i="50"/>
  <c r="AH533" i="50" s="1" a="1"/>
  <c r="AH533" i="50" s="1"/>
  <c r="AI533" i="50" s="1"/>
  <c r="AN533" i="50" l="1"/>
  <c r="AK533" i="50" l="1"/>
  <c r="AL533" i="50" s="1"/>
  <c r="AR533" i="50"/>
  <c r="AM533" i="50"/>
  <c r="AH26" i="7" l="1"/>
  <c r="AH70" i="7"/>
  <c r="R364" i="50" l="1"/>
  <c r="R106" i="50"/>
  <c r="R327" i="50"/>
  <c r="R322" i="50"/>
  <c r="R325" i="50"/>
  <c r="R218" i="50"/>
  <c r="AH218" i="50" s="1" a="1"/>
  <c r="AH218" i="50" s="1"/>
  <c r="AI218" i="50" s="1"/>
  <c r="R102" i="50"/>
  <c r="AH102" i="50" s="1" a="1"/>
  <c r="AH102" i="50" s="1"/>
  <c r="AI102" i="50" s="1"/>
  <c r="AH325" i="50" l="1" a="1"/>
  <c r="AH325" i="50" s="1"/>
  <c r="AI325" i="50" s="1"/>
  <c r="AH322" i="50" a="1"/>
  <c r="AH322" i="50" s="1"/>
  <c r="AI322" i="50" s="1"/>
  <c r="AH327" i="50" a="1"/>
  <c r="AH327" i="50" s="1"/>
  <c r="AI327" i="50" s="1"/>
  <c r="AH106" i="50" a="1"/>
  <c r="AH106" i="50" s="1"/>
  <c r="AI106" i="50" s="1"/>
  <c r="AH364" i="50" a="1"/>
  <c r="AH364" i="50" s="1"/>
  <c r="AI364" i="50" s="1"/>
  <c r="R310" i="50"/>
  <c r="R305" i="50"/>
  <c r="AH305" i="50" l="1" a="1"/>
  <c r="AH305" i="50" s="1"/>
  <c r="AI305" i="50" s="1"/>
  <c r="AH310" i="50" a="1"/>
  <c r="AH310" i="50" s="1"/>
  <c r="AI310" i="50" s="1"/>
  <c r="G102" i="50"/>
  <c r="AJ102" i="50"/>
  <c r="AK102" i="50"/>
  <c r="AN102" i="50"/>
  <c r="AP102" i="50"/>
  <c r="AQ102" i="50"/>
  <c r="G99" i="50"/>
  <c r="AJ99" i="50"/>
  <c r="AK99" i="50"/>
  <c r="AN99" i="50"/>
  <c r="AP99" i="50"/>
  <c r="AQ99" i="50"/>
  <c r="G106" i="50"/>
  <c r="AJ106" i="50"/>
  <c r="AK106" i="50"/>
  <c r="AN106" i="50"/>
  <c r="AP106" i="50"/>
  <c r="AQ106" i="50"/>
  <c r="G325" i="50"/>
  <c r="AJ325" i="50"/>
  <c r="AK325" i="50"/>
  <c r="AN325" i="50"/>
  <c r="AP325" i="50"/>
  <c r="AQ325" i="50"/>
  <c r="G310" i="50"/>
  <c r="AJ310" i="50"/>
  <c r="AN310" i="50"/>
  <c r="AP310" i="50"/>
  <c r="AQ310" i="50"/>
  <c r="G322" i="50"/>
  <c r="AJ322" i="50"/>
  <c r="AK322" i="50"/>
  <c r="AN322" i="50"/>
  <c r="AP322" i="50"/>
  <c r="AQ322" i="50"/>
  <c r="G327" i="50"/>
  <c r="AJ327" i="50"/>
  <c r="AK327" i="50"/>
  <c r="AN327" i="50"/>
  <c r="AP327" i="50"/>
  <c r="AQ327" i="50"/>
  <c r="G305" i="50"/>
  <c r="AJ305" i="50"/>
  <c r="AN305" i="50"/>
  <c r="AP305" i="50"/>
  <c r="AQ305" i="50"/>
  <c r="G364" i="50"/>
  <c r="AJ364" i="50"/>
  <c r="AK364" i="50"/>
  <c r="AN364" i="50"/>
  <c r="AP364" i="50"/>
  <c r="AQ364" i="50"/>
  <c r="AB3" i="86"/>
  <c r="AB4" i="86"/>
  <c r="AB5" i="86"/>
  <c r="AB6" i="86"/>
  <c r="AB7" i="86"/>
  <c r="AB8" i="86"/>
  <c r="AB9" i="86"/>
  <c r="AB10" i="86"/>
  <c r="AB11" i="86"/>
  <c r="AB12" i="86"/>
  <c r="AB13" i="86"/>
  <c r="AB14" i="86"/>
  <c r="AB15" i="86"/>
  <c r="AB16" i="86"/>
  <c r="AB17" i="86"/>
  <c r="AB18" i="86"/>
  <c r="AB19" i="86"/>
  <c r="AB20" i="86"/>
  <c r="AB21" i="86"/>
  <c r="AB22" i="86"/>
  <c r="AB23" i="86"/>
  <c r="AB24" i="86"/>
  <c r="AB25" i="86"/>
  <c r="AB26" i="86"/>
  <c r="AB27" i="86"/>
  <c r="AB28" i="86"/>
  <c r="AB29" i="86"/>
  <c r="AB30" i="86"/>
  <c r="AB31" i="86"/>
  <c r="AB32" i="86"/>
  <c r="AB33" i="86"/>
  <c r="AB34" i="86"/>
  <c r="AB35" i="86"/>
  <c r="AB36" i="86"/>
  <c r="AB37" i="86"/>
  <c r="AB38" i="86"/>
  <c r="AB39" i="86"/>
  <c r="AB40" i="86"/>
  <c r="AB41" i="86"/>
  <c r="AB42" i="86"/>
  <c r="AB43" i="86"/>
  <c r="AB44" i="86"/>
  <c r="AB45" i="86"/>
  <c r="AB46" i="86"/>
  <c r="AB47" i="86"/>
  <c r="AB48" i="86"/>
  <c r="AB49" i="86"/>
  <c r="AB50" i="86"/>
  <c r="AB51" i="86"/>
  <c r="AB52" i="86"/>
  <c r="AB53" i="86"/>
  <c r="AB54" i="86"/>
  <c r="AB55" i="86"/>
  <c r="AB56" i="86"/>
  <c r="AB57" i="86"/>
  <c r="AB58" i="86"/>
  <c r="AB59" i="86"/>
  <c r="AB60" i="86"/>
  <c r="AB61" i="86"/>
  <c r="AB62" i="86"/>
  <c r="AB63" i="86"/>
  <c r="AB64" i="86"/>
  <c r="AB65" i="86"/>
  <c r="AB66" i="86"/>
  <c r="AB67" i="86"/>
  <c r="AB68" i="86"/>
  <c r="V69" i="86"/>
  <c r="AK310" i="50" l="1"/>
  <c r="AL310" i="50" s="1"/>
  <c r="AK305" i="50"/>
  <c r="AL305" i="50" s="1"/>
  <c r="AM102" i="50"/>
  <c r="AM106" i="50"/>
  <c r="AM99" i="50"/>
  <c r="AL99" i="50"/>
  <c r="AL325" i="50"/>
  <c r="AL364" i="50"/>
  <c r="AL106" i="50"/>
  <c r="AL102" i="50"/>
  <c r="AR310" i="50"/>
  <c r="AM325" i="50"/>
  <c r="AR322" i="50"/>
  <c r="AR327" i="50"/>
  <c r="AM364" i="50"/>
  <c r="AR305" i="50"/>
  <c r="AR102" i="50"/>
  <c r="AM310" i="50"/>
  <c r="AR99" i="50"/>
  <c r="AR364" i="50"/>
  <c r="AM322" i="50"/>
  <c r="AR106" i="50"/>
  <c r="AM327" i="50"/>
  <c r="AL322" i="50"/>
  <c r="AR325" i="50"/>
  <c r="AM305" i="50"/>
  <c r="AL327" i="50"/>
  <c r="Z26" i="86"/>
  <c r="AA26" i="86"/>
  <c r="AC26" i="86" l="1"/>
  <c r="AD26" i="86" s="1"/>
  <c r="O92" i="86"/>
  <c r="O93" i="86"/>
  <c r="O102" i="86"/>
  <c r="O79" i="86"/>
  <c r="O85" i="86"/>
  <c r="O86" i="86"/>
  <c r="O103" i="86"/>
  <c r="O104" i="86"/>
  <c r="O87" i="86"/>
  <c r="O94" i="86"/>
  <c r="O95" i="86"/>
  <c r="O88" i="86"/>
  <c r="O105" i="86"/>
  <c r="O97" i="86"/>
  <c r="O81" i="86"/>
  <c r="O82" i="86"/>
  <c r="O89" i="86"/>
  <c r="O106" i="86"/>
  <c r="O107" i="86"/>
  <c r="O80" i="86"/>
  <c r="O90" i="86"/>
  <c r="O98" i="86"/>
  <c r="O99" i="86"/>
  <c r="O96" i="86"/>
  <c r="O108" i="86"/>
  <c r="O100" i="86"/>
  <c r="O83" i="86"/>
  <c r="O84" i="86"/>
  <c r="O91" i="86"/>
  <c r="O101" i="86"/>
  <c r="N92" i="86"/>
  <c r="N93" i="86"/>
  <c r="N102" i="86"/>
  <c r="N79" i="86"/>
  <c r="N85" i="86"/>
  <c r="N86" i="86"/>
  <c r="N103" i="86"/>
  <c r="N104" i="86"/>
  <c r="N87" i="86"/>
  <c r="N94" i="86"/>
  <c r="N95" i="86"/>
  <c r="N88" i="86"/>
  <c r="N105" i="86"/>
  <c r="N97" i="86"/>
  <c r="N81" i="86"/>
  <c r="N82" i="86"/>
  <c r="N89" i="86"/>
  <c r="N106" i="86"/>
  <c r="N107" i="86"/>
  <c r="N80" i="86"/>
  <c r="N90" i="86"/>
  <c r="N98" i="86"/>
  <c r="N99" i="86"/>
  <c r="N96" i="86"/>
  <c r="N108" i="86"/>
  <c r="N100" i="86"/>
  <c r="N83" i="86"/>
  <c r="N84" i="86"/>
  <c r="N91" i="86"/>
  <c r="N101" i="86"/>
  <c r="M92" i="86"/>
  <c r="M93" i="86"/>
  <c r="M102" i="86"/>
  <c r="M79" i="86"/>
  <c r="M85" i="86"/>
  <c r="M86" i="86"/>
  <c r="M103" i="86"/>
  <c r="M104" i="86"/>
  <c r="M87" i="86"/>
  <c r="M94" i="86"/>
  <c r="M95" i="86"/>
  <c r="M88" i="86"/>
  <c r="M105" i="86"/>
  <c r="M97" i="86"/>
  <c r="M81" i="86"/>
  <c r="M82" i="86"/>
  <c r="M89" i="86"/>
  <c r="M106" i="86"/>
  <c r="M107" i="86"/>
  <c r="M80" i="86"/>
  <c r="M90" i="86"/>
  <c r="M98" i="86"/>
  <c r="M99" i="86"/>
  <c r="M96" i="86"/>
  <c r="M108" i="86"/>
  <c r="M100" i="86"/>
  <c r="M83" i="86"/>
  <c r="M84" i="86"/>
  <c r="M91" i="86"/>
  <c r="M101" i="86"/>
  <c r="L2" i="86" l="1"/>
  <c r="O2" i="86" s="1"/>
  <c r="L3" i="86"/>
  <c r="P3" i="86" s="1"/>
  <c r="L4" i="86"/>
  <c r="O4" i="86" s="1"/>
  <c r="L5" i="86"/>
  <c r="M5" i="86" s="1"/>
  <c r="L6" i="86"/>
  <c r="P6" i="86" s="1"/>
  <c r="L7" i="86"/>
  <c r="M7" i="86" s="1"/>
  <c r="L8" i="86"/>
  <c r="P8" i="86" s="1"/>
  <c r="L9" i="86"/>
  <c r="L10" i="86"/>
  <c r="L11" i="86"/>
  <c r="L12" i="86"/>
  <c r="L13" i="86"/>
  <c r="L14" i="86"/>
  <c r="L15" i="86"/>
  <c r="L16" i="86"/>
  <c r="L17" i="86"/>
  <c r="L18" i="86"/>
  <c r="L19" i="86"/>
  <c r="L20" i="86"/>
  <c r="L21" i="86"/>
  <c r="L22" i="86"/>
  <c r="L23" i="86"/>
  <c r="L24" i="86"/>
  <c r="L25" i="86"/>
  <c r="L26" i="86"/>
  <c r="L27" i="86"/>
  <c r="L28" i="86"/>
  <c r="L29" i="86"/>
  <c r="L30" i="86"/>
  <c r="L31" i="86"/>
  <c r="L32" i="86"/>
  <c r="L33" i="86"/>
  <c r="L34" i="86"/>
  <c r="L35" i="86"/>
  <c r="L36" i="86"/>
  <c r="L37" i="86"/>
  <c r="L38" i="86"/>
  <c r="L39" i="86"/>
  <c r="L40" i="86"/>
  <c r="L41" i="86"/>
  <c r="L42" i="86"/>
  <c r="L43" i="86"/>
  <c r="L44" i="86"/>
  <c r="L45" i="86"/>
  <c r="L46" i="86"/>
  <c r="L47" i="86"/>
  <c r="L48" i="86"/>
  <c r="L49" i="86"/>
  <c r="L50" i="86"/>
  <c r="L51" i="86"/>
  <c r="L52" i="86"/>
  <c r="L53" i="86"/>
  <c r="L54" i="86"/>
  <c r="L55" i="86"/>
  <c r="L56" i="86"/>
  <c r="L57" i="86"/>
  <c r="L58" i="86"/>
  <c r="L59" i="86"/>
  <c r="L60" i="86"/>
  <c r="L61" i="86"/>
  <c r="L62" i="86"/>
  <c r="L63" i="86"/>
  <c r="L64" i="86"/>
  <c r="L65" i="86"/>
  <c r="L66" i="86"/>
  <c r="L67" i="86"/>
  <c r="L68" i="86"/>
  <c r="U69" i="86"/>
  <c r="S69" i="86"/>
  <c r="R69" i="86"/>
  <c r="Q69" i="86"/>
  <c r="U68" i="86"/>
  <c r="W68" i="86" s="1"/>
  <c r="X68" i="86" s="1"/>
  <c r="Y68" i="86" s="1"/>
  <c r="U67" i="86"/>
  <c r="W67" i="86" s="1"/>
  <c r="X67" i="86" s="1"/>
  <c r="Y67" i="86" s="1"/>
  <c r="U66" i="86"/>
  <c r="W66" i="86" s="1"/>
  <c r="X66" i="86" s="1"/>
  <c r="Y66" i="86" s="1"/>
  <c r="U65" i="86"/>
  <c r="W65" i="86" s="1"/>
  <c r="X65" i="86" s="1"/>
  <c r="Y65" i="86" s="1"/>
  <c r="U64" i="86"/>
  <c r="W64" i="86" s="1"/>
  <c r="X64" i="86" s="1"/>
  <c r="Y64" i="86" s="1"/>
  <c r="Y63" i="86"/>
  <c r="U63" i="86"/>
  <c r="W63" i="86" s="1"/>
  <c r="Y62" i="86"/>
  <c r="U62" i="86"/>
  <c r="W62" i="86" s="1"/>
  <c r="Y61" i="86"/>
  <c r="U61" i="86"/>
  <c r="W61" i="86" s="1"/>
  <c r="U60" i="86"/>
  <c r="W60" i="86" s="1"/>
  <c r="X60" i="86" s="1"/>
  <c r="Y60" i="86" s="1"/>
  <c r="U59" i="86"/>
  <c r="W59" i="86" s="1"/>
  <c r="X59" i="86" s="1"/>
  <c r="Y59" i="86" s="1"/>
  <c r="U58" i="86"/>
  <c r="W58" i="86" s="1"/>
  <c r="X58" i="86" s="1"/>
  <c r="Y58" i="86" s="1"/>
  <c r="U57" i="86"/>
  <c r="W57" i="86" s="1"/>
  <c r="X57" i="86" s="1"/>
  <c r="Y57" i="86" s="1"/>
  <c r="U56" i="86"/>
  <c r="W56" i="86" s="1"/>
  <c r="X56" i="86" s="1"/>
  <c r="Y56" i="86" s="1"/>
  <c r="U55" i="86"/>
  <c r="W55" i="86" s="1"/>
  <c r="X55" i="86" s="1"/>
  <c r="Y55" i="86" s="1"/>
  <c r="U54" i="86"/>
  <c r="W54" i="86" s="1"/>
  <c r="X54" i="86" s="1"/>
  <c r="Y54" i="86" s="1"/>
  <c r="U53" i="86"/>
  <c r="W53" i="86" s="1"/>
  <c r="X53" i="86" s="1"/>
  <c r="Y53" i="86" s="1"/>
  <c r="U52" i="86"/>
  <c r="W52" i="86" s="1"/>
  <c r="X52" i="86" s="1"/>
  <c r="Y52" i="86" s="1"/>
  <c r="U51" i="86"/>
  <c r="W51" i="86" s="1"/>
  <c r="X51" i="86" s="1"/>
  <c r="Y51" i="86" s="1"/>
  <c r="U50" i="86"/>
  <c r="W50" i="86" s="1"/>
  <c r="X50" i="86" s="1"/>
  <c r="Y50" i="86" s="1"/>
  <c r="U49" i="86"/>
  <c r="W49" i="86" s="1"/>
  <c r="X49" i="86" s="1"/>
  <c r="Y49" i="86" s="1"/>
  <c r="U48" i="86"/>
  <c r="W48" i="86" s="1"/>
  <c r="X48" i="86" s="1"/>
  <c r="Y48" i="86" s="1"/>
  <c r="U47" i="86"/>
  <c r="W47" i="86" s="1"/>
  <c r="X47" i="86" s="1"/>
  <c r="Y47" i="86" s="1"/>
  <c r="U46" i="86"/>
  <c r="W46" i="86" s="1"/>
  <c r="X46" i="86" s="1"/>
  <c r="Y46" i="86" s="1"/>
  <c r="U45" i="86"/>
  <c r="W45" i="86" s="1"/>
  <c r="X45" i="86" s="1"/>
  <c r="Y45" i="86" s="1"/>
  <c r="U44" i="86"/>
  <c r="W44" i="86" s="1"/>
  <c r="X44" i="86" s="1"/>
  <c r="Y44" i="86" s="1"/>
  <c r="U43" i="86"/>
  <c r="W43" i="86" s="1"/>
  <c r="X43" i="86" s="1"/>
  <c r="Y43" i="86" s="1"/>
  <c r="U42" i="86"/>
  <c r="W42" i="86" s="1"/>
  <c r="X42" i="86" s="1"/>
  <c r="Y42" i="86" s="1"/>
  <c r="U41" i="86"/>
  <c r="W41" i="86" s="1"/>
  <c r="X41" i="86" s="1"/>
  <c r="Y41" i="86" s="1"/>
  <c r="U40" i="86"/>
  <c r="W40" i="86" s="1"/>
  <c r="X40" i="86" s="1"/>
  <c r="Y40" i="86" s="1"/>
  <c r="U39" i="86"/>
  <c r="W39" i="86" s="1"/>
  <c r="X39" i="86" s="1"/>
  <c r="Y39" i="86" s="1"/>
  <c r="U38" i="86"/>
  <c r="W38" i="86" s="1"/>
  <c r="X38" i="86" s="1"/>
  <c r="Y38" i="86" s="1"/>
  <c r="U37" i="86"/>
  <c r="W37" i="86" s="1"/>
  <c r="X37" i="86" s="1"/>
  <c r="Y37" i="86" s="1"/>
  <c r="U36" i="86"/>
  <c r="W36" i="86" s="1"/>
  <c r="X36" i="86" s="1"/>
  <c r="Y36" i="86" s="1"/>
  <c r="U35" i="86"/>
  <c r="W35" i="86" s="1"/>
  <c r="X35" i="86" s="1"/>
  <c r="Y35" i="86" s="1"/>
  <c r="U34" i="86"/>
  <c r="W34" i="86" s="1"/>
  <c r="X34" i="86" s="1"/>
  <c r="Y34" i="86" s="1"/>
  <c r="U33" i="86"/>
  <c r="W33" i="86" s="1"/>
  <c r="X33" i="86" s="1"/>
  <c r="Y33" i="86" s="1"/>
  <c r="U32" i="86"/>
  <c r="W32" i="86" s="1"/>
  <c r="X32" i="86" s="1"/>
  <c r="Y32" i="86" s="1"/>
  <c r="U31" i="86"/>
  <c r="W31" i="86" s="1"/>
  <c r="X31" i="86" s="1"/>
  <c r="Y31" i="86" s="1"/>
  <c r="U30" i="86"/>
  <c r="W30" i="86" s="1"/>
  <c r="X30" i="86" s="1"/>
  <c r="Y30" i="86" s="1"/>
  <c r="U29" i="86"/>
  <c r="W29" i="86" s="1"/>
  <c r="X29" i="86" s="1"/>
  <c r="Y29" i="86" s="1"/>
  <c r="U28" i="86"/>
  <c r="W28" i="86" s="1"/>
  <c r="X28" i="86" s="1"/>
  <c r="Y28" i="86" s="1"/>
  <c r="U27" i="86"/>
  <c r="W27" i="86" s="1"/>
  <c r="X27" i="86" s="1"/>
  <c r="Y27" i="86" s="1"/>
  <c r="U26" i="86"/>
  <c r="W26" i="86" s="1"/>
  <c r="X26" i="86" s="1"/>
  <c r="Y26" i="86" s="1"/>
  <c r="U25" i="86"/>
  <c r="W25" i="86" s="1"/>
  <c r="X25" i="86" s="1"/>
  <c r="Y25" i="86" s="1"/>
  <c r="U24" i="86"/>
  <c r="W24" i="86" s="1"/>
  <c r="X24" i="86" s="1"/>
  <c r="Y24" i="86" s="1"/>
  <c r="U23" i="86"/>
  <c r="W23" i="86" s="1"/>
  <c r="X23" i="86" s="1"/>
  <c r="Y23" i="86" s="1"/>
  <c r="U22" i="86"/>
  <c r="W22" i="86" s="1"/>
  <c r="X22" i="86" s="1"/>
  <c r="Y22" i="86" s="1"/>
  <c r="U21" i="86"/>
  <c r="W21" i="86" s="1"/>
  <c r="X21" i="86" s="1"/>
  <c r="Y21" i="86" s="1"/>
  <c r="U20" i="86"/>
  <c r="W20" i="86" s="1"/>
  <c r="X20" i="86" s="1"/>
  <c r="Y20" i="86" s="1"/>
  <c r="U19" i="86"/>
  <c r="W19" i="86" s="1"/>
  <c r="X19" i="86" s="1"/>
  <c r="Y19" i="86" s="1"/>
  <c r="U18" i="86"/>
  <c r="W18" i="86" s="1"/>
  <c r="X18" i="86" s="1"/>
  <c r="Y18" i="86" s="1"/>
  <c r="U17" i="86"/>
  <c r="W17" i="86" s="1"/>
  <c r="X17" i="86" s="1"/>
  <c r="Y17" i="86" s="1"/>
  <c r="U16" i="86"/>
  <c r="W16" i="86" s="1"/>
  <c r="X16" i="86" s="1"/>
  <c r="Y16" i="86" s="1"/>
  <c r="U15" i="86"/>
  <c r="W15" i="86" s="1"/>
  <c r="X15" i="86" s="1"/>
  <c r="Y15" i="86" s="1"/>
  <c r="U14" i="86"/>
  <c r="W14" i="86" s="1"/>
  <c r="X14" i="86" s="1"/>
  <c r="Y14" i="86" s="1"/>
  <c r="U13" i="86"/>
  <c r="W13" i="86" s="1"/>
  <c r="X13" i="86" s="1"/>
  <c r="Y13" i="86" s="1"/>
  <c r="W12" i="86"/>
  <c r="X12" i="86" s="1"/>
  <c r="Y12" i="86" s="1"/>
  <c r="U11" i="86"/>
  <c r="W11" i="86" s="1"/>
  <c r="X11" i="86" s="1"/>
  <c r="Y11" i="86" s="1"/>
  <c r="U10" i="86"/>
  <c r="W10" i="86" s="1"/>
  <c r="X10" i="86" s="1"/>
  <c r="Y10" i="86" s="1"/>
  <c r="U9" i="86"/>
  <c r="W9" i="86" s="1"/>
  <c r="X9" i="86" s="1"/>
  <c r="Y9" i="86" s="1"/>
  <c r="U8" i="86"/>
  <c r="W8" i="86" s="1"/>
  <c r="X8" i="86" s="1"/>
  <c r="Y8" i="86" s="1"/>
  <c r="U7" i="86"/>
  <c r="W7" i="86" s="1"/>
  <c r="X7" i="86" s="1"/>
  <c r="Y7" i="86" s="1"/>
  <c r="U6" i="86"/>
  <c r="W6" i="86" s="1"/>
  <c r="X6" i="86" s="1"/>
  <c r="Y6" i="86" s="1"/>
  <c r="U5" i="86"/>
  <c r="W5" i="86" s="1"/>
  <c r="X5" i="86" s="1"/>
  <c r="Y5" i="86" s="1"/>
  <c r="U4" i="86"/>
  <c r="W4" i="86" s="1"/>
  <c r="X4" i="86" s="1"/>
  <c r="Y4" i="86" s="1"/>
  <c r="U3" i="86"/>
  <c r="W3" i="86" s="1"/>
  <c r="X3" i="86" s="1"/>
  <c r="Y3" i="86" s="1"/>
  <c r="U2" i="86"/>
  <c r="W2" i="86" s="1"/>
  <c r="X2" i="86" s="1"/>
  <c r="Y2" i="86" s="1"/>
  <c r="AB2" i="86" s="1"/>
  <c r="AB69" i="86" s="1"/>
  <c r="Y69" i="86" l="1"/>
  <c r="M8" i="86"/>
  <c r="M3" i="86"/>
  <c r="M2" i="86"/>
  <c r="M4" i="86"/>
  <c r="N7" i="86"/>
  <c r="O3" i="86"/>
  <c r="P7" i="86"/>
  <c r="N6" i="86"/>
  <c r="N5" i="86"/>
  <c r="O8" i="86"/>
  <c r="P5" i="86"/>
  <c r="O7" i="86"/>
  <c r="N4" i="86"/>
  <c r="O6" i="86"/>
  <c r="P4" i="86"/>
  <c r="M6" i="86"/>
  <c r="N3" i="86"/>
  <c r="O5" i="86"/>
  <c r="N2" i="86"/>
  <c r="P2" i="86"/>
  <c r="N8" i="86"/>
  <c r="T69" i="86"/>
  <c r="AA6" i="86" l="1"/>
  <c r="Z6" i="86"/>
  <c r="Z4" i="86"/>
  <c r="AA4" i="86"/>
  <c r="AA2" i="86"/>
  <c r="Z2" i="86"/>
  <c r="Z8" i="86"/>
  <c r="AA8" i="86"/>
  <c r="Z7" i="86"/>
  <c r="AA7" i="86"/>
  <c r="Z3" i="86"/>
  <c r="AA3" i="86"/>
  <c r="Z5" i="86"/>
  <c r="AA5" i="86"/>
  <c r="W69" i="86"/>
  <c r="X69" i="86"/>
  <c r="AC6" i="86" l="1"/>
  <c r="AD6" i="86" s="1"/>
  <c r="AC2" i="86"/>
  <c r="AD2" i="86" s="1"/>
  <c r="AC4" i="86"/>
  <c r="AD4" i="86" s="1"/>
  <c r="AC3" i="86"/>
  <c r="AD3" i="86" s="1"/>
  <c r="AC8" i="86"/>
  <c r="AD8" i="86" s="1"/>
  <c r="AC7" i="86"/>
  <c r="AD7" i="86" s="1"/>
  <c r="AC5" i="86"/>
  <c r="AD5" i="86" s="1"/>
  <c r="AE3" i="82"/>
  <c r="AF3" i="82"/>
  <c r="AE4" i="82"/>
  <c r="AF4" i="82"/>
  <c r="AE5" i="82"/>
  <c r="AF5" i="82"/>
  <c r="AE6" i="82"/>
  <c r="AF6" i="82"/>
  <c r="AE7" i="82"/>
  <c r="AF7" i="82"/>
  <c r="AE8" i="82"/>
  <c r="AF8" i="82"/>
  <c r="AE9" i="82"/>
  <c r="AF9" i="82"/>
  <c r="AE10" i="82"/>
  <c r="AF10" i="82"/>
  <c r="AE11" i="82"/>
  <c r="AF11" i="82"/>
  <c r="AE12" i="82"/>
  <c r="AF12" i="82"/>
  <c r="AE13" i="82"/>
  <c r="AF13" i="82"/>
  <c r="AE14" i="82"/>
  <c r="AF14" i="82"/>
  <c r="AE15" i="82"/>
  <c r="AF15" i="82"/>
  <c r="AE16" i="82"/>
  <c r="AF16" i="82"/>
  <c r="AE17" i="82"/>
  <c r="AF17" i="82"/>
  <c r="AE18" i="82"/>
  <c r="AF18" i="82"/>
  <c r="AE19" i="82"/>
  <c r="AF19" i="82"/>
  <c r="AE20" i="82"/>
  <c r="AF20" i="82"/>
  <c r="AE21" i="82"/>
  <c r="AF21" i="82"/>
  <c r="AE22" i="82"/>
  <c r="AF22" i="82"/>
  <c r="AE23" i="82"/>
  <c r="AF23" i="82"/>
  <c r="AE24" i="82"/>
  <c r="AF24" i="82"/>
  <c r="AE25" i="82"/>
  <c r="AF25" i="82"/>
  <c r="AE26" i="82"/>
  <c r="AF26" i="82"/>
  <c r="AE27" i="82"/>
  <c r="AF27" i="82"/>
  <c r="AE28" i="82"/>
  <c r="AF28" i="82"/>
  <c r="AE29" i="82"/>
  <c r="AF29" i="82"/>
  <c r="AE30" i="82"/>
  <c r="AF30" i="82"/>
  <c r="AE31" i="82"/>
  <c r="AF31" i="82"/>
  <c r="AE32" i="82"/>
  <c r="AF32" i="82"/>
  <c r="AE33" i="82"/>
  <c r="AF33" i="82"/>
  <c r="AE34" i="82"/>
  <c r="AF34" i="82"/>
  <c r="AE35" i="82"/>
  <c r="AF35" i="82"/>
  <c r="AE36" i="82"/>
  <c r="AF36" i="82"/>
  <c r="AE37" i="82"/>
  <c r="AF37" i="82"/>
  <c r="AE38" i="82"/>
  <c r="AF38" i="82"/>
  <c r="AE39" i="82"/>
  <c r="AF39" i="82"/>
  <c r="AE40" i="82"/>
  <c r="AF40" i="82"/>
  <c r="AE41" i="82"/>
  <c r="AF41" i="82"/>
  <c r="AE42" i="82"/>
  <c r="AF42" i="82"/>
  <c r="AE43" i="82"/>
  <c r="AF43" i="82"/>
  <c r="AE44" i="82"/>
  <c r="AF44" i="82"/>
  <c r="AE45" i="82"/>
  <c r="AF45" i="82"/>
  <c r="AE46" i="82"/>
  <c r="AF46" i="82"/>
  <c r="AE47" i="82"/>
  <c r="AF47" i="82"/>
  <c r="AE48" i="82"/>
  <c r="AF48" i="82"/>
  <c r="AE49" i="82"/>
  <c r="AF49" i="82"/>
  <c r="AE50" i="82"/>
  <c r="AF50" i="82"/>
  <c r="AE51" i="82"/>
  <c r="AF51" i="82"/>
  <c r="AE52" i="82"/>
  <c r="AF52" i="82"/>
  <c r="AE53" i="82"/>
  <c r="AF53" i="82"/>
  <c r="AE54" i="82"/>
  <c r="AF54" i="82"/>
  <c r="AE55" i="82"/>
  <c r="AF55" i="82"/>
  <c r="AE56" i="82"/>
  <c r="AF56" i="82"/>
  <c r="AE57" i="82"/>
  <c r="AF57" i="82"/>
  <c r="AE58" i="82"/>
  <c r="AF58" i="82"/>
  <c r="AE59" i="82"/>
  <c r="AF59" i="82"/>
  <c r="AE60" i="82"/>
  <c r="AF60" i="82"/>
  <c r="AE61" i="82"/>
  <c r="AF61" i="82"/>
  <c r="AE62" i="82"/>
  <c r="AF62" i="82"/>
  <c r="AE63" i="82"/>
  <c r="AF63" i="82"/>
  <c r="AE64" i="82"/>
  <c r="AF64" i="82"/>
  <c r="AE65" i="82"/>
  <c r="AF65" i="82"/>
  <c r="AE66" i="82"/>
  <c r="AF66" i="82"/>
  <c r="AE67" i="82"/>
  <c r="AF67" i="82"/>
  <c r="AE68" i="82"/>
  <c r="AF68" i="82"/>
  <c r="AF2" i="82"/>
  <c r="AE2" i="82"/>
  <c r="AJ228" i="50" l="1"/>
  <c r="R217" i="50" l="1"/>
  <c r="AH217" i="50" s="1" a="1"/>
  <c r="AH217" i="50" s="1"/>
  <c r="AI217" i="50" s="1"/>
  <c r="R230" i="50" l="1"/>
  <c r="R233" i="50"/>
  <c r="AH233" i="50" s="1" a="1"/>
  <c r="AH233" i="50" s="1"/>
  <c r="AI233" i="50" s="1"/>
  <c r="R234" i="50"/>
  <c r="AH234" i="50" s="1" a="1"/>
  <c r="AH234" i="50" s="1"/>
  <c r="AI234" i="50" s="1"/>
  <c r="R229" i="50"/>
  <c r="R228" i="50"/>
  <c r="AH228" i="50" s="1" a="1"/>
  <c r="AH228" i="50" s="1"/>
  <c r="AI228" i="50" s="1"/>
  <c r="R219" i="50"/>
  <c r="AH219" i="50" s="1" a="1"/>
  <c r="AH219" i="50" s="1"/>
  <c r="AI219" i="50" s="1"/>
  <c r="R212" i="50"/>
  <c r="R213" i="50"/>
  <c r="R215" i="50"/>
  <c r="AH215" i="50" l="1" a="1"/>
  <c r="AH215" i="50" s="1"/>
  <c r="AI215" i="50" s="1"/>
  <c r="AH213" i="50" a="1"/>
  <c r="AH213" i="50" s="1"/>
  <c r="AI213" i="50" s="1"/>
  <c r="AH212" i="50" a="1"/>
  <c r="AH212" i="50" s="1"/>
  <c r="AI212" i="50" s="1"/>
  <c r="AH229" i="50" a="1"/>
  <c r="AH229" i="50" s="1"/>
  <c r="AI229" i="50" s="1"/>
  <c r="AH230" i="50" a="1"/>
  <c r="AH230" i="50" s="1"/>
  <c r="AI230" i="50" s="1"/>
  <c r="G228" i="50"/>
  <c r="AK228" i="50"/>
  <c r="AN228" i="50"/>
  <c r="AP228" i="50"/>
  <c r="AQ228" i="50"/>
  <c r="G215" i="50"/>
  <c r="AJ215" i="50"/>
  <c r="AN215" i="50"/>
  <c r="AP215" i="50"/>
  <c r="AQ215" i="50"/>
  <c r="G229" i="50"/>
  <c r="AJ229" i="50"/>
  <c r="AN229" i="50"/>
  <c r="AP229" i="50"/>
  <c r="AQ229" i="50"/>
  <c r="G212" i="50"/>
  <c r="G213" i="50"/>
  <c r="AJ212" i="50"/>
  <c r="AJ213" i="50"/>
  <c r="AN212" i="50"/>
  <c r="AN213" i="50"/>
  <c r="AP212" i="50"/>
  <c r="AP213" i="50"/>
  <c r="AQ212" i="50"/>
  <c r="AQ213" i="50"/>
  <c r="G219" i="50"/>
  <c r="AJ219" i="50"/>
  <c r="AK219" i="50"/>
  <c r="AN219" i="50"/>
  <c r="AP219" i="50"/>
  <c r="AQ219" i="50"/>
  <c r="G230" i="50"/>
  <c r="AJ230" i="50"/>
  <c r="AN230" i="50"/>
  <c r="AP230" i="50"/>
  <c r="AQ230" i="50"/>
  <c r="G218" i="50"/>
  <c r="AJ218" i="50"/>
  <c r="AK218" i="50"/>
  <c r="AN218" i="50"/>
  <c r="AP218" i="50"/>
  <c r="AQ218" i="50"/>
  <c r="G234" i="50"/>
  <c r="AJ234" i="50"/>
  <c r="AK234" i="50"/>
  <c r="AN234" i="50"/>
  <c r="AP234" i="50"/>
  <c r="AQ234" i="50"/>
  <c r="G233" i="50"/>
  <c r="AJ233" i="50"/>
  <c r="AK233" i="50"/>
  <c r="AN233" i="50"/>
  <c r="AP233" i="50"/>
  <c r="AQ233" i="50"/>
  <c r="G217" i="50"/>
  <c r="AJ217" i="50"/>
  <c r="AK217" i="50"/>
  <c r="AN217" i="50"/>
  <c r="AP217" i="50"/>
  <c r="AQ217" i="50"/>
  <c r="G118" i="45"/>
  <c r="AK213" i="50" l="1"/>
  <c r="AL213" i="50" s="1"/>
  <c r="AK212" i="50"/>
  <c r="AL212" i="50" s="1"/>
  <c r="AK215" i="50"/>
  <c r="AL215" i="50" s="1"/>
  <c r="AK230" i="50"/>
  <c r="AL230" i="50" s="1"/>
  <c r="AK229" i="50"/>
  <c r="AL229" i="50" s="1"/>
  <c r="AM217" i="50"/>
  <c r="AM228" i="50"/>
  <c r="AM233" i="50"/>
  <c r="AM212" i="50"/>
  <c r="AL233" i="50"/>
  <c r="AM219" i="50"/>
  <c r="AL218" i="50"/>
  <c r="AL219" i="50"/>
  <c r="AL228" i="50"/>
  <c r="AM215" i="50"/>
  <c r="AL217" i="50"/>
  <c r="AM230" i="50"/>
  <c r="AM229" i="50"/>
  <c r="AM218" i="50"/>
  <c r="AM234" i="50"/>
  <c r="AL234" i="50"/>
  <c r="AM213" i="50"/>
  <c r="AR234" i="50"/>
  <c r="AR215" i="50"/>
  <c r="AR217" i="50"/>
  <c r="AR230" i="50"/>
  <c r="AR212" i="50"/>
  <c r="AR219" i="50"/>
  <c r="AR229" i="50"/>
  <c r="AR218" i="50"/>
  <c r="AR233" i="50"/>
  <c r="AR228" i="50"/>
  <c r="AR213" i="50"/>
  <c r="M146" i="82"/>
  <c r="M147" i="82"/>
  <c r="M148" i="82"/>
  <c r="M149" i="82"/>
  <c r="M150" i="82"/>
  <c r="M151" i="82"/>
  <c r="M152" i="82"/>
  <c r="M153" i="82"/>
  <c r="M154" i="82"/>
  <c r="M155" i="82"/>
  <c r="M156" i="82"/>
  <c r="M157" i="82"/>
  <c r="M158" i="82"/>
  <c r="M159" i="82"/>
  <c r="M160" i="82"/>
  <c r="M161" i="82"/>
  <c r="M162" i="82"/>
  <c r="M163" i="82"/>
  <c r="M164" i="82"/>
  <c r="M165" i="82"/>
  <c r="M166" i="82"/>
  <c r="M167" i="82"/>
  <c r="M168" i="82"/>
  <c r="M169" i="82"/>
  <c r="M170" i="82"/>
  <c r="M171" i="82"/>
  <c r="M172" i="82"/>
  <c r="M173" i="82"/>
  <c r="M174" i="82"/>
  <c r="M175" i="82"/>
  <c r="M176" i="82"/>
  <c r="M177" i="82"/>
  <c r="M178" i="82"/>
  <c r="M179" i="82"/>
  <c r="M180" i="82"/>
  <c r="M181" i="82"/>
  <c r="M182" i="82"/>
  <c r="M183" i="82"/>
  <c r="M184" i="82"/>
  <c r="M185" i="82"/>
  <c r="M186" i="82"/>
  <c r="M187" i="82"/>
  <c r="M188" i="82"/>
  <c r="M189" i="82"/>
  <c r="M145" i="82"/>
  <c r="J124" i="82" l="1"/>
  <c r="J106" i="82"/>
  <c r="J123" i="82"/>
  <c r="J105" i="82" l="1"/>
  <c r="J130" i="82"/>
  <c r="J104" i="82"/>
  <c r="J103" i="82"/>
  <c r="J125" i="82"/>
  <c r="L2" i="82" l="1"/>
  <c r="L3" i="82"/>
  <c r="L4" i="82"/>
  <c r="L5" i="82"/>
  <c r="L6" i="82"/>
  <c r="L7" i="82"/>
  <c r="L8" i="82"/>
  <c r="L9" i="82"/>
  <c r="L10" i="82"/>
  <c r="L11" i="82"/>
  <c r="L12" i="82"/>
  <c r="L13" i="82"/>
  <c r="L14" i="82"/>
  <c r="L15" i="82"/>
  <c r="L16" i="82"/>
  <c r="L17" i="82"/>
  <c r="L18" i="82"/>
  <c r="L19" i="82"/>
  <c r="L20" i="82"/>
  <c r="L21" i="82"/>
  <c r="L22" i="82"/>
  <c r="L23" i="82"/>
  <c r="L24" i="82"/>
  <c r="L25" i="82"/>
  <c r="L26" i="82"/>
  <c r="L27" i="82"/>
  <c r="L28" i="82"/>
  <c r="L29" i="82"/>
  <c r="L30" i="82"/>
  <c r="L31" i="82"/>
  <c r="L32" i="82"/>
  <c r="L33" i="82"/>
  <c r="L34" i="82"/>
  <c r="L35" i="82"/>
  <c r="L36" i="82"/>
  <c r="L37" i="82"/>
  <c r="L38" i="82"/>
  <c r="L39" i="82"/>
  <c r="L40" i="82"/>
  <c r="L41" i="82"/>
  <c r="L42" i="82"/>
  <c r="L43" i="82"/>
  <c r="L44" i="82"/>
  <c r="L45" i="82"/>
  <c r="L46" i="82"/>
  <c r="L47" i="82"/>
  <c r="L48" i="82"/>
  <c r="L49" i="82"/>
  <c r="L50" i="82"/>
  <c r="L51" i="82"/>
  <c r="L52" i="82"/>
  <c r="L53" i="82"/>
  <c r="L54" i="82"/>
  <c r="L55" i="82"/>
  <c r="L56" i="82"/>
  <c r="L57" i="82"/>
  <c r="L58" i="82"/>
  <c r="L59" i="82"/>
  <c r="L60" i="82"/>
  <c r="L61" i="82"/>
  <c r="L62" i="82"/>
  <c r="L63" i="82"/>
  <c r="L64" i="82"/>
  <c r="L65" i="82"/>
  <c r="L66" i="82"/>
  <c r="L67" i="82"/>
  <c r="L68" i="82"/>
  <c r="AD69" i="82"/>
  <c r="AC69" i="82"/>
  <c r="X69" i="82"/>
  <c r="V69" i="82"/>
  <c r="U69" i="82"/>
  <c r="T69" i="82"/>
  <c r="S69" i="82"/>
  <c r="X68" i="82"/>
  <c r="AB68" i="82" s="1"/>
  <c r="AC68" i="82" s="1"/>
  <c r="X67" i="82"/>
  <c r="AB67" i="82" s="1"/>
  <c r="AC67" i="82" s="1"/>
  <c r="AD67" i="82" s="1"/>
  <c r="X66" i="82"/>
  <c r="AB66" i="82" s="1"/>
  <c r="AC66" i="82" s="1"/>
  <c r="AD66" i="82" s="1"/>
  <c r="X65" i="82"/>
  <c r="AB65" i="82" s="1"/>
  <c r="AC65" i="82" s="1"/>
  <c r="AD65" i="82" s="1"/>
  <c r="X64" i="82"/>
  <c r="AB64" i="82" s="1"/>
  <c r="AC64" i="82" s="1"/>
  <c r="AD63" i="82"/>
  <c r="X63" i="82"/>
  <c r="X62" i="82"/>
  <c r="X61" i="82"/>
  <c r="AB61" i="82" s="1"/>
  <c r="AC61" i="82" s="1"/>
  <c r="X60" i="82"/>
  <c r="AB60" i="82" s="1"/>
  <c r="AC60" i="82" s="1"/>
  <c r="X59" i="82"/>
  <c r="AB59" i="82" s="1"/>
  <c r="AC59" i="82" s="1"/>
  <c r="X58" i="82"/>
  <c r="AB58" i="82" s="1"/>
  <c r="AC58" i="82" s="1"/>
  <c r="X57" i="82"/>
  <c r="AB57" i="82" s="1"/>
  <c r="AC57" i="82" s="1"/>
  <c r="X56" i="82"/>
  <c r="AB56" i="82" s="1"/>
  <c r="AC56" i="82" s="1"/>
  <c r="AD56" i="82" s="1"/>
  <c r="X55" i="82"/>
  <c r="AB55" i="82" s="1"/>
  <c r="AC55" i="82" s="1"/>
  <c r="X54" i="82"/>
  <c r="AB54" i="82" s="1"/>
  <c r="AC54" i="82" s="1"/>
  <c r="X53" i="82"/>
  <c r="AB53" i="82" s="1"/>
  <c r="AC53" i="82" s="1"/>
  <c r="AD53" i="82" s="1"/>
  <c r="AD52" i="82"/>
  <c r="X51" i="82"/>
  <c r="AB51" i="82" s="1"/>
  <c r="AC51" i="82" s="1"/>
  <c r="X50" i="82"/>
  <c r="AB50" i="82" s="1"/>
  <c r="AC50" i="82" s="1"/>
  <c r="X49" i="82"/>
  <c r="AB49" i="82" s="1"/>
  <c r="AC49" i="82" s="1"/>
  <c r="X48" i="82"/>
  <c r="AB48" i="82" s="1"/>
  <c r="AC48" i="82" s="1"/>
  <c r="X47" i="82"/>
  <c r="AB47" i="82" s="1"/>
  <c r="AC47" i="82" s="1"/>
  <c r="X46" i="82"/>
  <c r="AB46" i="82" s="1"/>
  <c r="AC46" i="82" s="1"/>
  <c r="X45" i="82"/>
  <c r="AB45" i="82" s="1"/>
  <c r="AC45" i="82" s="1"/>
  <c r="X44" i="82"/>
  <c r="AB44" i="82" s="1"/>
  <c r="AC44" i="82" s="1"/>
  <c r="X43" i="82"/>
  <c r="AB43" i="82" s="1"/>
  <c r="AC43" i="82" s="1"/>
  <c r="X42" i="82"/>
  <c r="AB42" i="82" s="1"/>
  <c r="AC42" i="82" s="1"/>
  <c r="AD42" i="82" s="1"/>
  <c r="X41" i="82"/>
  <c r="AB41" i="82" s="1"/>
  <c r="AC41" i="82" s="1"/>
  <c r="AD41" i="82" s="1"/>
  <c r="X40" i="82"/>
  <c r="AB40" i="82" s="1"/>
  <c r="AC40" i="82" s="1"/>
  <c r="X39" i="82"/>
  <c r="AB39" i="82" s="1"/>
  <c r="AC39" i="82" s="1"/>
  <c r="AD39" i="82" s="1"/>
  <c r="X38" i="82"/>
  <c r="AB38" i="82" s="1"/>
  <c r="AC38" i="82" s="1"/>
  <c r="AD38" i="82" s="1"/>
  <c r="X37" i="82"/>
  <c r="AB37" i="82" s="1"/>
  <c r="AC37" i="82" s="1"/>
  <c r="X36" i="82"/>
  <c r="AB36" i="82" s="1"/>
  <c r="AC36" i="82" s="1"/>
  <c r="AD36" i="82" s="1"/>
  <c r="X35" i="82"/>
  <c r="AB35" i="82" s="1"/>
  <c r="AC35" i="82" s="1"/>
  <c r="AD35" i="82" s="1"/>
  <c r="X34" i="82"/>
  <c r="AB34" i="82" s="1"/>
  <c r="AC34" i="82" s="1"/>
  <c r="AD34" i="82" s="1"/>
  <c r="X33" i="82"/>
  <c r="AB33" i="82" s="1"/>
  <c r="AC33" i="82" s="1"/>
  <c r="AD33" i="82" s="1"/>
  <c r="X32" i="82"/>
  <c r="AB32" i="82" s="1"/>
  <c r="AC32" i="82" s="1"/>
  <c r="AD32" i="82" s="1"/>
  <c r="X31" i="82"/>
  <c r="AB31" i="82" s="1"/>
  <c r="AC31" i="82" s="1"/>
  <c r="AD31" i="82" s="1"/>
  <c r="X30" i="82"/>
  <c r="AB30" i="82" s="1"/>
  <c r="AC30" i="82" s="1"/>
  <c r="AD30" i="82" s="1"/>
  <c r="X29" i="82"/>
  <c r="AB29" i="82" s="1"/>
  <c r="AC29" i="82" s="1"/>
  <c r="AD29" i="82" s="1"/>
  <c r="X28" i="82"/>
  <c r="AB28" i="82" s="1"/>
  <c r="AC28" i="82" s="1"/>
  <c r="AD28" i="82" s="1"/>
  <c r="X27" i="82"/>
  <c r="AB27" i="82" s="1"/>
  <c r="AC27" i="82" s="1"/>
  <c r="AD27" i="82" s="1"/>
  <c r="X26" i="82"/>
  <c r="AB26" i="82" s="1"/>
  <c r="AC26" i="82" s="1"/>
  <c r="X25" i="82"/>
  <c r="AB25" i="82" s="1"/>
  <c r="AC25" i="82" s="1"/>
  <c r="AD25" i="82" s="1"/>
  <c r="X24" i="82"/>
  <c r="AB24" i="82" s="1"/>
  <c r="AC24" i="82" s="1"/>
  <c r="AD24" i="82" s="1"/>
  <c r="X23" i="82"/>
  <c r="AB23" i="82" s="1"/>
  <c r="AC23" i="82" s="1"/>
  <c r="AD23" i="82" s="1"/>
  <c r="X22" i="82"/>
  <c r="AB22" i="82" s="1"/>
  <c r="AC22" i="82" s="1"/>
  <c r="AD22" i="82" s="1"/>
  <c r="X21" i="82"/>
  <c r="AB21" i="82" s="1"/>
  <c r="AC21" i="82" s="1"/>
  <c r="AD21" i="82" s="1"/>
  <c r="X20" i="82"/>
  <c r="AB20" i="82" s="1"/>
  <c r="AC20" i="82" s="1"/>
  <c r="AD20" i="82" s="1"/>
  <c r="X19" i="82"/>
  <c r="AB19" i="82" s="1"/>
  <c r="AC19" i="82" s="1"/>
  <c r="AD19" i="82" s="1"/>
  <c r="X18" i="82"/>
  <c r="AB18" i="82" s="1"/>
  <c r="AC18" i="82" s="1"/>
  <c r="X17" i="82"/>
  <c r="AB17" i="82" s="1"/>
  <c r="AC17" i="82" s="1"/>
  <c r="AD17" i="82" s="1"/>
  <c r="X16" i="82"/>
  <c r="AB16" i="82" s="1"/>
  <c r="AC16" i="82" s="1"/>
  <c r="AD16" i="82" s="1"/>
  <c r="X15" i="82"/>
  <c r="AB15" i="82" s="1"/>
  <c r="AC15" i="82" s="1"/>
  <c r="AD15" i="82" s="1"/>
  <c r="X14" i="82"/>
  <c r="AB14" i="82" s="1"/>
  <c r="AC14" i="82" s="1"/>
  <c r="X13" i="82"/>
  <c r="AB13" i="82" s="1"/>
  <c r="AC13" i="82" s="1"/>
  <c r="AD13" i="82" s="1"/>
  <c r="X12" i="82"/>
  <c r="AB12" i="82" s="1"/>
  <c r="AC12" i="82" s="1"/>
  <c r="AD12" i="82" s="1"/>
  <c r="X11" i="82"/>
  <c r="AB11" i="82" s="1"/>
  <c r="AC11" i="82" s="1"/>
  <c r="AD11" i="82" s="1"/>
  <c r="X10" i="82"/>
  <c r="AB10" i="82" s="1"/>
  <c r="AC10" i="82" s="1"/>
  <c r="X9" i="82"/>
  <c r="AB9" i="82" s="1"/>
  <c r="AC9" i="82" s="1"/>
  <c r="AD9" i="82" s="1"/>
  <c r="X8" i="82"/>
  <c r="AB8" i="82" s="1"/>
  <c r="AC8" i="82" s="1"/>
  <c r="AD8" i="82" s="1"/>
  <c r="X7" i="82"/>
  <c r="AB7" i="82" s="1"/>
  <c r="AC7" i="82" s="1"/>
  <c r="AD7" i="82" s="1"/>
  <c r="X6" i="82"/>
  <c r="AB6" i="82" s="1"/>
  <c r="AC6" i="82" s="1"/>
  <c r="AD6" i="82" s="1"/>
  <c r="X5" i="82"/>
  <c r="AB5" i="82" s="1"/>
  <c r="AC5" i="82" s="1"/>
  <c r="AD5" i="82" s="1"/>
  <c r="X4" i="82"/>
  <c r="AB4" i="82" s="1"/>
  <c r="AC4" i="82" s="1"/>
  <c r="AD4" i="82" s="1"/>
  <c r="X3" i="82"/>
  <c r="AB3" i="82" s="1"/>
  <c r="AC3" i="82" s="1"/>
  <c r="AD3" i="82" s="1"/>
  <c r="X2" i="82"/>
  <c r="AB2" i="82" s="1"/>
  <c r="AC2" i="82" s="1"/>
  <c r="M61" i="86" l="1"/>
  <c r="P66" i="86"/>
  <c r="P48" i="86"/>
  <c r="O31" i="86"/>
  <c r="M22" i="86"/>
  <c r="M28" i="86"/>
  <c r="O11" i="86"/>
  <c r="M33" i="86"/>
  <c r="A72" i="86" a="1"/>
  <c r="A72" i="86" s="1"/>
  <c r="M29" i="86"/>
  <c r="P33" i="86"/>
  <c r="P50" i="86"/>
  <c r="P40" i="86"/>
  <c r="O23" i="86"/>
  <c r="M14" i="86"/>
  <c r="M20" i="86"/>
  <c r="M57" i="86"/>
  <c r="M10" i="86"/>
  <c r="M49" i="86"/>
  <c r="M65" i="86"/>
  <c r="O9" i="86"/>
  <c r="M27" i="86"/>
  <c r="N31" i="86"/>
  <c r="O46" i="86"/>
  <c r="P31" i="86"/>
  <c r="P62" i="86"/>
  <c r="N13" i="86"/>
  <c r="O28" i="86"/>
  <c r="P21" i="86"/>
  <c r="N52" i="86"/>
  <c r="O59" i="86"/>
  <c r="P44" i="86"/>
  <c r="M47" i="86"/>
  <c r="N43" i="86"/>
  <c r="O58" i="86"/>
  <c r="M54" i="86"/>
  <c r="N34" i="86"/>
  <c r="N33" i="86"/>
  <c r="O40" i="86"/>
  <c r="N40" i="86"/>
  <c r="O32" i="86"/>
  <c r="O35" i="86"/>
  <c r="N27" i="86"/>
  <c r="N10" i="86"/>
  <c r="O24" i="86"/>
  <c r="N63" i="86"/>
  <c r="N22" i="86"/>
  <c r="N11" i="86"/>
  <c r="N65" i="86"/>
  <c r="P57" i="86"/>
  <c r="P27" i="86"/>
  <c r="M51" i="86"/>
  <c r="N37" i="86"/>
  <c r="N12" i="86"/>
  <c r="N60" i="86"/>
  <c r="O49" i="86"/>
  <c r="M60" i="86"/>
  <c r="P25" i="86"/>
  <c r="P42" i="86"/>
  <c r="P32" i="86"/>
  <c r="O15" i="86"/>
  <c r="M37" i="86"/>
  <c r="P67" i="86"/>
  <c r="M34" i="86"/>
  <c r="O53" i="86"/>
  <c r="M42" i="86"/>
  <c r="O13" i="86"/>
  <c r="M19" i="86"/>
  <c r="N23" i="86"/>
  <c r="O38" i="86"/>
  <c r="P23" i="86"/>
  <c r="P30" i="86"/>
  <c r="O20" i="86"/>
  <c r="P13" i="86"/>
  <c r="N44" i="86"/>
  <c r="O43" i="86"/>
  <c r="P36" i="86"/>
  <c r="M39" i="86"/>
  <c r="N35" i="86"/>
  <c r="O50" i="86"/>
  <c r="M46" i="86"/>
  <c r="N18" i="86"/>
  <c r="O33" i="86"/>
  <c r="N25" i="86"/>
  <c r="N32" i="86"/>
  <c r="M31" i="86"/>
  <c r="M38" i="86"/>
  <c r="N17" i="86"/>
  <c r="O34" i="86"/>
  <c r="N9" i="86"/>
  <c r="M59" i="86"/>
  <c r="O60" i="86"/>
  <c r="M15" i="86"/>
  <c r="P64" i="86"/>
  <c r="M17" i="86"/>
  <c r="M64" i="86"/>
  <c r="N30" i="86"/>
  <c r="P38" i="86"/>
  <c r="P11" i="86"/>
  <c r="O64" i="86"/>
  <c r="O67" i="86"/>
  <c r="P22" i="86"/>
  <c r="M36" i="86"/>
  <c r="P17" i="86"/>
  <c r="P34" i="86"/>
  <c r="P24" i="86"/>
  <c r="M62" i="86"/>
  <c r="M12" i="86"/>
  <c r="P59" i="86"/>
  <c r="M16" i="86"/>
  <c r="O61" i="86"/>
  <c r="O37" i="86"/>
  <c r="M24" i="86"/>
  <c r="P14" i="86"/>
  <c r="M11" i="86"/>
  <c r="N15" i="86"/>
  <c r="O30" i="86"/>
  <c r="P15" i="86"/>
  <c r="N61" i="86"/>
  <c r="N36" i="86"/>
  <c r="P28" i="86"/>
  <c r="O42" i="86"/>
  <c r="O25" i="86"/>
  <c r="N24" i="86"/>
  <c r="O17" i="86"/>
  <c r="N16" i="86"/>
  <c r="N62" i="86"/>
  <c r="P53" i="86"/>
  <c r="P12" i="86"/>
  <c r="M13" i="86"/>
  <c r="M68" i="86"/>
  <c r="M25" i="86"/>
  <c r="P55" i="86"/>
  <c r="P45" i="86"/>
  <c r="N67" i="86"/>
  <c r="O65" i="86"/>
  <c r="O36" i="86"/>
  <c r="N51" i="86"/>
  <c r="O48" i="86"/>
  <c r="P58" i="86"/>
  <c r="P9" i="86"/>
  <c r="P18" i="86"/>
  <c r="P16" i="86"/>
  <c r="N54" i="86"/>
  <c r="M53" i="86"/>
  <c r="P43" i="86"/>
  <c r="M58" i="86"/>
  <c r="M50" i="86"/>
  <c r="M66" i="86"/>
  <c r="M67" i="86"/>
  <c r="O22" i="86"/>
  <c r="N53" i="86"/>
  <c r="O68" i="86"/>
  <c r="P61" i="86"/>
  <c r="N46" i="86"/>
  <c r="N28" i="86"/>
  <c r="O27" i="86"/>
  <c r="P20" i="86"/>
  <c r="M23" i="86"/>
  <c r="N19" i="86"/>
  <c r="O16" i="86"/>
  <c r="O14" i="86"/>
  <c r="N20" i="86"/>
  <c r="O18" i="86"/>
  <c r="O47" i="86"/>
  <c r="M9" i="86"/>
  <c r="P54" i="86"/>
  <c r="N57" i="86"/>
  <c r="P29" i="86"/>
  <c r="O66" i="86"/>
  <c r="N48" i="86"/>
  <c r="P65" i="86"/>
  <c r="M45" i="86"/>
  <c r="P10" i="86"/>
  <c r="O55" i="86"/>
  <c r="P46" i="86"/>
  <c r="M21" i="86"/>
  <c r="P35" i="86"/>
  <c r="M40" i="86"/>
  <c r="M32" i="86"/>
  <c r="M48" i="86"/>
  <c r="O21" i="86"/>
  <c r="O10" i="86"/>
  <c r="N45" i="86"/>
  <c r="O19" i="86"/>
  <c r="N66" i="86"/>
  <c r="N38" i="86"/>
  <c r="N55" i="86"/>
  <c r="O52" i="86"/>
  <c r="P68" i="86"/>
  <c r="N58" i="86"/>
  <c r="N64" i="86"/>
  <c r="M55" i="86"/>
  <c r="N41" i="86"/>
  <c r="P49" i="86"/>
  <c r="M44" i="86"/>
  <c r="P56" i="86"/>
  <c r="O39" i="86"/>
  <c r="M30" i="86"/>
  <c r="M52" i="86"/>
  <c r="P19" i="86"/>
  <c r="M56" i="86"/>
  <c r="O45" i="86"/>
  <c r="M41" i="86"/>
  <c r="M43" i="86"/>
  <c r="N47" i="86"/>
  <c r="O62" i="86"/>
  <c r="P47" i="86"/>
  <c r="N14" i="86"/>
  <c r="N29" i="86"/>
  <c r="O44" i="86"/>
  <c r="P37" i="86"/>
  <c r="N68" i="86"/>
  <c r="P60" i="86"/>
  <c r="M63" i="86"/>
  <c r="N59" i="86"/>
  <c r="N50" i="86"/>
  <c r="O57" i="86"/>
  <c r="N49" i="86"/>
  <c r="O56" i="86"/>
  <c r="N56" i="86"/>
  <c r="O29" i="86"/>
  <c r="M18" i="86"/>
  <c r="M35" i="86"/>
  <c r="N39" i="86"/>
  <c r="O54" i="86"/>
  <c r="P39" i="86"/>
  <c r="N21" i="86"/>
  <c r="P52" i="86"/>
  <c r="N42" i="86"/>
  <c r="J111" i="82"/>
  <c r="J112" i="82"/>
  <c r="J110" i="82"/>
  <c r="J128" i="82"/>
  <c r="J87" i="82"/>
  <c r="J84" i="82"/>
  <c r="J86" i="82"/>
  <c r="J78" i="82"/>
  <c r="J77" i="82"/>
  <c r="J76" i="82"/>
  <c r="J140" i="82"/>
  <c r="J141" i="82"/>
  <c r="J142" i="82"/>
  <c r="J133" i="82"/>
  <c r="J91" i="82"/>
  <c r="J127" i="82"/>
  <c r="J129" i="82"/>
  <c r="J126" i="82"/>
  <c r="J116" i="82"/>
  <c r="J113" i="82"/>
  <c r="J115" i="82"/>
  <c r="J114" i="82"/>
  <c r="J93" i="82"/>
  <c r="J92" i="82"/>
  <c r="J83" i="82"/>
  <c r="J118" i="82"/>
  <c r="J88" i="82"/>
  <c r="J85" i="82"/>
  <c r="J89" i="82"/>
  <c r="J81" i="82"/>
  <c r="J82" i="82"/>
  <c r="J109" i="82"/>
  <c r="J108" i="82"/>
  <c r="J131" i="82"/>
  <c r="J80" i="82"/>
  <c r="J79" i="82"/>
  <c r="J100" i="82"/>
  <c r="J101" i="82"/>
  <c r="J102" i="82"/>
  <c r="J139" i="82"/>
  <c r="J136" i="82"/>
  <c r="J132" i="82"/>
  <c r="J138" i="82"/>
  <c r="J119" i="82"/>
  <c r="J96" i="82"/>
  <c r="J99" i="82"/>
  <c r="J97" i="82"/>
  <c r="J95" i="82"/>
  <c r="J98" i="82"/>
  <c r="J121" i="82"/>
  <c r="J122" i="82"/>
  <c r="J120" i="82"/>
  <c r="J107" i="82"/>
  <c r="J90" i="82"/>
  <c r="Z69" i="82"/>
  <c r="W69" i="82"/>
  <c r="Y69" i="82"/>
  <c r="Z12" i="86" l="1"/>
  <c r="AA12" i="86"/>
  <c r="Z31" i="86"/>
  <c r="AA31" i="86"/>
  <c r="Z56" i="86"/>
  <c r="AA56" i="86"/>
  <c r="Z68" i="86"/>
  <c r="AA68" i="86"/>
  <c r="Z32" i="86"/>
  <c r="AA32" i="86"/>
  <c r="Z23" i="86"/>
  <c r="AA23" i="86"/>
  <c r="Z37" i="86"/>
  <c r="AA37" i="86"/>
  <c r="Z52" i="86"/>
  <c r="AA52" i="86"/>
  <c r="Z47" i="86"/>
  <c r="AA47" i="86"/>
  <c r="Z33" i="86"/>
  <c r="AA33" i="86"/>
  <c r="Z55" i="86"/>
  <c r="AA55" i="86"/>
  <c r="Z28" i="86"/>
  <c r="AA28" i="86"/>
  <c r="Z24" i="86"/>
  <c r="AA24" i="86"/>
  <c r="Z15" i="86"/>
  <c r="AA15" i="86"/>
  <c r="Z25" i="86"/>
  <c r="AA25" i="86"/>
  <c r="AA10" i="86"/>
  <c r="Z10" i="86"/>
  <c r="Z34" i="86"/>
  <c r="AA34" i="86"/>
  <c r="Z59" i="86"/>
  <c r="AA59" i="86"/>
  <c r="Z57" i="86"/>
  <c r="AA57" i="86"/>
  <c r="Z40" i="86"/>
  <c r="AA40" i="86"/>
  <c r="Z58" i="86"/>
  <c r="AA58" i="86"/>
  <c r="Z16" i="86"/>
  <c r="AA16" i="86"/>
  <c r="Z63" i="86"/>
  <c r="AA63" i="86"/>
  <c r="Z21" i="86"/>
  <c r="AA21" i="86"/>
  <c r="Z49" i="86"/>
  <c r="AA49" i="86"/>
  <c r="Z38" i="86"/>
  <c r="AA38" i="86"/>
  <c r="Z48" i="86"/>
  <c r="AA48" i="86"/>
  <c r="Z20" i="86"/>
  <c r="AA20" i="86"/>
  <c r="Z46" i="86"/>
  <c r="AA46" i="86"/>
  <c r="Z44" i="86"/>
  <c r="AA44" i="86"/>
  <c r="Z27" i="86"/>
  <c r="AA27" i="86"/>
  <c r="Z64" i="86"/>
  <c r="AA64" i="86"/>
  <c r="Z54" i="86"/>
  <c r="AA54" i="86"/>
  <c r="Z36" i="86"/>
  <c r="AA36" i="86"/>
  <c r="Z11" i="86"/>
  <c r="AA11" i="86"/>
  <c r="Z42" i="86"/>
  <c r="AA42" i="86"/>
  <c r="Z29" i="86"/>
  <c r="AA29" i="86"/>
  <c r="Z41" i="86"/>
  <c r="AA41" i="86"/>
  <c r="Z66" i="86"/>
  <c r="AA66" i="86"/>
  <c r="Z51" i="86"/>
  <c r="AA51" i="86"/>
  <c r="Z9" i="86"/>
  <c r="AA9" i="86"/>
  <c r="AA18" i="86"/>
  <c r="Z18" i="86"/>
  <c r="Z13" i="86"/>
  <c r="AA13" i="86"/>
  <c r="Z45" i="86"/>
  <c r="AA45" i="86"/>
  <c r="Z19" i="86"/>
  <c r="AA19" i="86"/>
  <c r="Z39" i="86"/>
  <c r="AA39" i="86"/>
  <c r="Z50" i="86"/>
  <c r="AA50" i="86"/>
  <c r="AA14" i="86"/>
  <c r="Z14" i="86"/>
  <c r="Z30" i="86"/>
  <c r="AA30" i="86"/>
  <c r="Z65" i="86"/>
  <c r="AA65" i="86"/>
  <c r="Z43" i="86"/>
  <c r="AA43" i="86"/>
  <c r="Z53" i="86"/>
  <c r="AA53" i="86"/>
  <c r="Z17" i="86"/>
  <c r="AA17" i="86"/>
  <c r="Z67" i="86"/>
  <c r="AA67" i="86"/>
  <c r="Z62" i="86"/>
  <c r="AA62" i="86"/>
  <c r="Z61" i="86"/>
  <c r="AA61" i="86"/>
  <c r="Z35" i="86"/>
  <c r="AA35" i="86"/>
  <c r="Z60" i="86"/>
  <c r="AA60" i="86"/>
  <c r="AA22" i="86"/>
  <c r="Z22" i="86"/>
  <c r="Z57" i="82"/>
  <c r="AA57" i="82" s="1"/>
  <c r="Z24" i="82"/>
  <c r="AA24" i="82" s="1"/>
  <c r="Z19" i="82"/>
  <c r="AA19" i="82" s="1"/>
  <c r="Z13" i="82"/>
  <c r="AA13" i="82" s="1"/>
  <c r="Z17" i="82"/>
  <c r="AA17" i="82" s="1"/>
  <c r="Z40" i="82"/>
  <c r="AA40" i="82" s="1"/>
  <c r="AD40" i="82" s="1"/>
  <c r="Z25" i="82"/>
  <c r="AA25" i="82" s="1"/>
  <c r="Z32" i="82"/>
  <c r="AA32" i="82" s="1"/>
  <c r="Z35" i="82"/>
  <c r="AA35" i="82" s="1"/>
  <c r="Z60" i="82"/>
  <c r="AA60" i="82" s="1"/>
  <c r="Z21" i="82"/>
  <c r="AA21" i="82" s="1"/>
  <c r="Z45" i="82"/>
  <c r="AA45" i="82" s="1"/>
  <c r="AD45" i="82" s="1"/>
  <c r="Z6" i="82"/>
  <c r="AA6" i="82" s="1"/>
  <c r="Z27" i="82"/>
  <c r="AA27" i="82" s="1"/>
  <c r="Z43" i="82"/>
  <c r="AA43" i="82" s="1"/>
  <c r="AD43" i="82" s="1"/>
  <c r="Z68" i="82"/>
  <c r="AA68" i="82" s="1"/>
  <c r="AD68" i="82" s="1"/>
  <c r="Z30" i="82"/>
  <c r="AA30" i="82" s="1"/>
  <c r="Z52" i="82"/>
  <c r="AA52" i="82" s="1"/>
  <c r="Z7" i="82"/>
  <c r="AA7" i="82" s="1"/>
  <c r="Z41" i="82"/>
  <c r="AA41" i="82" s="1"/>
  <c r="Z10" i="82"/>
  <c r="AA10" i="82" s="1"/>
  <c r="Z42" i="82"/>
  <c r="AA42" i="82" s="1"/>
  <c r="Z3" i="82"/>
  <c r="AA3" i="82" s="1"/>
  <c r="Z51" i="82"/>
  <c r="AA51" i="82" s="1"/>
  <c r="AD51" i="82" s="1"/>
  <c r="Z56" i="82"/>
  <c r="AA56" i="82" s="1"/>
  <c r="Z20" i="82"/>
  <c r="AA20" i="82" s="1"/>
  <c r="Z15" i="82"/>
  <c r="AA15" i="82" s="1"/>
  <c r="Z29" i="82"/>
  <c r="AA29" i="82" s="1"/>
  <c r="Z53" i="82"/>
  <c r="AA53" i="82" s="1"/>
  <c r="Z16" i="82"/>
  <c r="AA16" i="82" s="1"/>
  <c r="Z38" i="82"/>
  <c r="AA38" i="82" s="1"/>
  <c r="Z39" i="82"/>
  <c r="AA39" i="82" s="1"/>
  <c r="Z33" i="82"/>
  <c r="AA33" i="82" s="1"/>
  <c r="Z26" i="82"/>
  <c r="AA26" i="82" s="1"/>
  <c r="Z8" i="82"/>
  <c r="AA8" i="82" s="1"/>
  <c r="Z59" i="82"/>
  <c r="AA59" i="82" s="1"/>
  <c r="AD59" i="82" s="1"/>
  <c r="Z4" i="82"/>
  <c r="AA4" i="82" s="1"/>
  <c r="Z28" i="82"/>
  <c r="AA28" i="82" s="1"/>
  <c r="Z55" i="82"/>
  <c r="AA55" i="82" s="1"/>
  <c r="AD55" i="82" s="1"/>
  <c r="Z61" i="82"/>
  <c r="AA61" i="82" s="1"/>
  <c r="AD61" i="82" s="1"/>
  <c r="Z14" i="82"/>
  <c r="AA14" i="82" s="1"/>
  <c r="Z46" i="82"/>
  <c r="AA46" i="82" s="1"/>
  <c r="AD46" i="82" s="1"/>
  <c r="Z62" i="82"/>
  <c r="AA62" i="82" s="1"/>
  <c r="AD62" i="82" s="1"/>
  <c r="Z66" i="82"/>
  <c r="AA66" i="82" s="1"/>
  <c r="Z22" i="82"/>
  <c r="AA22" i="82" s="1"/>
  <c r="Z65" i="82"/>
  <c r="AA65" i="82" s="1"/>
  <c r="Z49" i="82"/>
  <c r="AA49" i="82" s="1"/>
  <c r="AD49" i="82" s="1"/>
  <c r="Z50" i="82"/>
  <c r="AA50" i="82" s="1"/>
  <c r="Z2" i="82"/>
  <c r="AA2" i="82" s="1"/>
  <c r="Z36" i="82"/>
  <c r="AA36" i="82" s="1"/>
  <c r="Z48" i="82"/>
  <c r="AA48" i="82" s="1"/>
  <c r="AD48" i="82" s="1"/>
  <c r="Z37" i="82"/>
  <c r="AA37" i="82" s="1"/>
  <c r="AD37" i="82" s="1"/>
  <c r="Z64" i="82"/>
  <c r="AA64" i="82" s="1"/>
  <c r="AD64" i="82" s="1"/>
  <c r="Z54" i="82"/>
  <c r="AA54" i="82" s="1"/>
  <c r="AD54" i="82" s="1"/>
  <c r="Z47" i="82"/>
  <c r="AA47" i="82" s="1"/>
  <c r="AD47" i="82" s="1"/>
  <c r="Z31" i="82"/>
  <c r="AA31" i="82" s="1"/>
  <c r="Z63" i="82"/>
  <c r="AA63" i="82" s="1"/>
  <c r="Z34" i="82"/>
  <c r="AA34" i="82" s="1"/>
  <c r="Z9" i="82"/>
  <c r="AA9" i="82" s="1"/>
  <c r="Z58" i="82"/>
  <c r="AA58" i="82" s="1"/>
  <c r="AD58" i="82" s="1"/>
  <c r="Z18" i="82"/>
  <c r="AA18" i="82" s="1"/>
  <c r="Z11" i="82"/>
  <c r="AA11" i="82" s="1"/>
  <c r="Z67" i="82"/>
  <c r="AA67" i="82" s="1"/>
  <c r="Z12" i="82"/>
  <c r="AA12" i="82" s="1"/>
  <c r="Z44" i="82"/>
  <c r="AA44" i="82" s="1"/>
  <c r="AD44" i="82" s="1"/>
  <c r="Z5" i="82"/>
  <c r="AA5" i="82" s="1"/>
  <c r="Z23" i="82"/>
  <c r="AA23" i="82" s="1"/>
  <c r="AC35" i="86" l="1"/>
  <c r="AD35" i="86" s="1"/>
  <c r="AC49" i="86"/>
  <c r="AD49" i="86" s="1"/>
  <c r="AC47" i="86"/>
  <c r="AD47" i="86" s="1"/>
  <c r="AC32" i="86"/>
  <c r="AD32" i="86" s="1"/>
  <c r="AC12" i="86"/>
  <c r="AD12" i="86" s="1"/>
  <c r="AC39" i="86"/>
  <c r="AD39" i="86" s="1"/>
  <c r="AC17" i="86"/>
  <c r="AD17" i="86" s="1"/>
  <c r="AC67" i="86"/>
  <c r="AD67" i="86" s="1"/>
  <c r="AC65" i="86"/>
  <c r="AD65" i="86" s="1"/>
  <c r="AC41" i="86"/>
  <c r="AD41" i="86" s="1"/>
  <c r="AC36" i="86"/>
  <c r="AD36" i="86" s="1"/>
  <c r="AC44" i="86"/>
  <c r="AD44" i="86" s="1"/>
  <c r="AC38" i="86"/>
  <c r="AD38" i="86" s="1"/>
  <c r="AC16" i="86"/>
  <c r="AD16" i="86" s="1"/>
  <c r="AC60" i="86"/>
  <c r="AD60" i="86" s="1"/>
  <c r="AC22" i="86"/>
  <c r="AD22" i="86" s="1"/>
  <c r="AC30" i="86"/>
  <c r="AD30" i="86" s="1"/>
  <c r="AC19" i="86"/>
  <c r="AD19" i="86" s="1"/>
  <c r="AC9" i="86"/>
  <c r="AD9" i="86" s="1"/>
  <c r="AC29" i="86"/>
  <c r="AD29" i="86" s="1"/>
  <c r="AC54" i="86"/>
  <c r="AD54" i="86" s="1"/>
  <c r="AC46" i="86"/>
  <c r="AD46" i="86" s="1"/>
  <c r="AC58" i="86"/>
  <c r="AD58" i="86" s="1"/>
  <c r="AC34" i="86"/>
  <c r="AD34" i="86" s="1"/>
  <c r="AC24" i="86"/>
  <c r="AD24" i="86" s="1"/>
  <c r="AC11" i="86"/>
  <c r="AD11" i="86" s="1"/>
  <c r="AC48" i="86"/>
  <c r="AD48" i="86" s="1"/>
  <c r="AC63" i="86"/>
  <c r="AD63" i="86" s="1"/>
  <c r="AC57" i="86"/>
  <c r="AD57" i="86" s="1"/>
  <c r="AC25" i="86"/>
  <c r="AD25" i="86" s="1"/>
  <c r="AC55" i="86"/>
  <c r="AD55" i="86" s="1"/>
  <c r="AC27" i="86"/>
  <c r="AD27" i="86" s="1"/>
  <c r="AC37" i="86"/>
  <c r="AD37" i="86" s="1"/>
  <c r="AC13" i="86"/>
  <c r="AD13" i="86" s="1"/>
  <c r="AC66" i="86"/>
  <c r="AD66" i="86" s="1"/>
  <c r="AC50" i="86"/>
  <c r="AD50" i="86" s="1"/>
  <c r="AC59" i="86"/>
  <c r="AD59" i="86" s="1"/>
  <c r="AC15" i="86"/>
  <c r="AD15" i="86" s="1"/>
  <c r="AC33" i="86"/>
  <c r="AD33" i="86" s="1"/>
  <c r="AC23" i="86"/>
  <c r="AD23" i="86" s="1"/>
  <c r="AC43" i="86"/>
  <c r="AD43" i="86" s="1"/>
  <c r="AC14" i="86"/>
  <c r="AD14" i="86" s="1"/>
  <c r="AC10" i="86"/>
  <c r="AD10" i="86" s="1"/>
  <c r="AC56" i="86"/>
  <c r="AD56" i="86" s="1"/>
  <c r="AC31" i="86"/>
  <c r="AD31" i="86" s="1"/>
  <c r="AC64" i="86"/>
  <c r="AD64" i="86" s="1"/>
  <c r="AC68" i="86"/>
  <c r="AD68" i="86" s="1"/>
  <c r="AC53" i="86"/>
  <c r="AD53" i="86" s="1"/>
  <c r="AC42" i="86"/>
  <c r="AD42" i="86" s="1"/>
  <c r="AC28" i="86"/>
  <c r="AD28" i="86" s="1"/>
  <c r="AC20" i="86"/>
  <c r="AD20" i="86" s="1"/>
  <c r="AC18" i="86"/>
  <c r="AD18" i="86" s="1"/>
  <c r="AC45" i="86"/>
  <c r="AD45" i="86" s="1"/>
  <c r="AC21" i="86"/>
  <c r="AD21" i="86" s="1"/>
  <c r="AC62" i="86"/>
  <c r="AD62" i="86" s="1"/>
  <c r="AC61" i="86"/>
  <c r="AD61" i="86" s="1"/>
  <c r="AC51" i="86"/>
  <c r="AD51" i="86" s="1"/>
  <c r="AC40" i="86"/>
  <c r="AD40" i="86" s="1"/>
  <c r="AC52" i="86"/>
  <c r="AD52" i="86" s="1"/>
  <c r="AA69" i="86"/>
  <c r="Z69" i="86"/>
  <c r="AB69" i="82"/>
  <c r="AC69" i="86" l="1"/>
  <c r="AD69" i="86"/>
  <c r="AD72" i="86" s="1"/>
  <c r="AD73" i="86" l="1"/>
  <c r="AB3" i="72"/>
  <c r="AB8" i="72"/>
  <c r="AB10" i="72"/>
  <c r="AB16" i="72"/>
  <c r="AB19" i="72"/>
  <c r="AB24" i="72"/>
  <c r="AB26" i="72"/>
  <c r="AB29" i="72"/>
  <c r="AB31" i="72"/>
  <c r="AB34" i="72"/>
  <c r="AB37" i="72"/>
  <c r="AB38" i="72"/>
  <c r="AB39" i="72"/>
  <c r="AB44" i="72"/>
  <c r="AB45" i="72"/>
  <c r="AB48" i="72"/>
  <c r="AB49" i="72"/>
  <c r="AB50" i="72"/>
  <c r="AB52" i="72"/>
  <c r="AB55" i="72"/>
  <c r="AB56" i="72"/>
  <c r="AB59" i="72"/>
  <c r="AB60" i="72"/>
  <c r="AB61" i="72"/>
  <c r="AB2" i="72"/>
  <c r="U3" i="45" a="1"/>
  <c r="U3" i="45" s="1"/>
  <c r="V3" i="45" s="1"/>
  <c r="V18" i="45" l="1"/>
  <c r="V10" i="45"/>
  <c r="V17" i="45"/>
  <c r="V9" i="45"/>
  <c r="V11" i="45"/>
  <c r="V24" i="45"/>
  <c r="V16" i="45"/>
  <c r="V8" i="45"/>
  <c r="V23" i="45"/>
  <c r="V15" i="45"/>
  <c r="V7" i="45"/>
  <c r="V22" i="45"/>
  <c r="V14" i="45"/>
  <c r="V6" i="45"/>
  <c r="V19" i="45"/>
  <c r="V21" i="45"/>
  <c r="V13" i="45"/>
  <c r="V5" i="45"/>
  <c r="V20" i="45"/>
  <c r="V12" i="45"/>
  <c r="V4" i="45"/>
  <c r="Z36" i="72" l="1"/>
  <c r="AA36" i="72"/>
  <c r="Z54" i="72"/>
  <c r="AA54" i="72"/>
  <c r="Z63" i="72"/>
  <c r="AA63" i="72"/>
  <c r="Z64" i="72"/>
  <c r="AA64" i="72"/>
  <c r="AC64" i="72" l="1"/>
  <c r="AC63" i="72"/>
  <c r="AC54" i="72"/>
  <c r="AC36" i="72"/>
  <c r="R3" i="29" l="1"/>
  <c r="R4" i="29"/>
  <c r="R5" i="29"/>
  <c r="R6" i="29"/>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2" i="29"/>
  <c r="AG3" i="29"/>
  <c r="AG4" i="29"/>
  <c r="AG5" i="29"/>
  <c r="AG6" i="29"/>
  <c r="AG7" i="29"/>
  <c r="AG8" i="29"/>
  <c r="AG9" i="29"/>
  <c r="AG10" i="29"/>
  <c r="AG11" i="29"/>
  <c r="AG12" i="29"/>
  <c r="AG13" i="29"/>
  <c r="AG14" i="29"/>
  <c r="AG15" i="29"/>
  <c r="AG16" i="29"/>
  <c r="AG17" i="29"/>
  <c r="AG18" i="29"/>
  <c r="AG19" i="29"/>
  <c r="AG20" i="29"/>
  <c r="AG21" i="29"/>
  <c r="AG22" i="29"/>
  <c r="AG23" i="29"/>
  <c r="AG24" i="29"/>
  <c r="AG25" i="29"/>
  <c r="AG26" i="29"/>
  <c r="AG27" i="29"/>
  <c r="AG28" i="29"/>
  <c r="AG29" i="29"/>
  <c r="AG30" i="29"/>
  <c r="AG31" i="29"/>
  <c r="AG32" i="29"/>
  <c r="AG33" i="29"/>
  <c r="AG34" i="29"/>
  <c r="AG35" i="29"/>
  <c r="AG36" i="29"/>
  <c r="AG37" i="29"/>
  <c r="AG38" i="29"/>
  <c r="AG39" i="29"/>
  <c r="AG40" i="29"/>
  <c r="AG41" i="29"/>
  <c r="AG42" i="29"/>
  <c r="AG43" i="29"/>
  <c r="AG44" i="29"/>
  <c r="AG45" i="29"/>
  <c r="AG46" i="29"/>
  <c r="AG47" i="29"/>
  <c r="AG48" i="29"/>
  <c r="AG49" i="29"/>
  <c r="AG50" i="29"/>
  <c r="AG51" i="29"/>
  <c r="AG52" i="29"/>
  <c r="AG53" i="29"/>
  <c r="AG54" i="29"/>
  <c r="AG55" i="29"/>
  <c r="AG56" i="29"/>
  <c r="AG57" i="29"/>
  <c r="AG58" i="29"/>
  <c r="AG59" i="29"/>
  <c r="AG60" i="29"/>
  <c r="AG61" i="29"/>
  <c r="AG62" i="29"/>
  <c r="AG63" i="29"/>
  <c r="AG64" i="29"/>
  <c r="AG65" i="29"/>
  <c r="AG66" i="29"/>
  <c r="AG67" i="29"/>
  <c r="AG68" i="29"/>
  <c r="AG69" i="29"/>
  <c r="AG70" i="29"/>
  <c r="AG71" i="29"/>
  <c r="AG72" i="29"/>
  <c r="AG73" i="29"/>
  <c r="AG74" i="29"/>
  <c r="AG75" i="29"/>
  <c r="AG76" i="29"/>
  <c r="AG77" i="29"/>
  <c r="AG78" i="29"/>
  <c r="AG79" i="29"/>
  <c r="AG80" i="29"/>
  <c r="AG81" i="29"/>
  <c r="AG82" i="29"/>
  <c r="AG83" i="29"/>
  <c r="AG84" i="29"/>
  <c r="AG85" i="29"/>
  <c r="AG86" i="29"/>
  <c r="AG87" i="29"/>
  <c r="AG88" i="29"/>
  <c r="AG89" i="29"/>
  <c r="AG90" i="29"/>
  <c r="AG91" i="29"/>
  <c r="AG92" i="29"/>
  <c r="AG93" i="29"/>
  <c r="AG94" i="29"/>
  <c r="AG95" i="29"/>
  <c r="AG96" i="29"/>
  <c r="AG97" i="29"/>
  <c r="AG98" i="29"/>
  <c r="AG99" i="29"/>
  <c r="AG100" i="29"/>
  <c r="AG101" i="29"/>
  <c r="AG2" i="29"/>
  <c r="C2" i="29" a="1"/>
  <c r="C2" i="29" s="1"/>
  <c r="AB70" i="7"/>
  <c r="AR70" i="7"/>
  <c r="K70" i="7"/>
  <c r="V70" i="7"/>
  <c r="AM70" i="7"/>
  <c r="AO70" i="7"/>
  <c r="AQ70" i="7"/>
  <c r="G7" i="50"/>
  <c r="G8" i="50"/>
  <c r="G10" i="50"/>
  <c r="G11" i="50"/>
  <c r="G12" i="50"/>
  <c r="G13" i="50"/>
  <c r="G14" i="50"/>
  <c r="G16" i="50"/>
  <c r="G17" i="50"/>
  <c r="G18" i="50"/>
  <c r="G20" i="50"/>
  <c r="G21" i="50"/>
  <c r="G23" i="50"/>
  <c r="G25" i="50"/>
  <c r="G26" i="50"/>
  <c r="G35" i="50"/>
  <c r="G37" i="50"/>
  <c r="G36" i="50"/>
  <c r="G38" i="50"/>
  <c r="G39" i="50"/>
  <c r="G41" i="50"/>
  <c r="G58" i="50"/>
  <c r="G59" i="50"/>
  <c r="G42" i="50"/>
  <c r="G27" i="50"/>
  <c r="G43" i="50"/>
  <c r="G44" i="50"/>
  <c r="G45" i="50"/>
  <c r="G46" i="50"/>
  <c r="G28" i="50"/>
  <c r="G29" i="50"/>
  <c r="G47" i="50"/>
  <c r="G48" i="50"/>
  <c r="G49" i="50"/>
  <c r="G86" i="50"/>
  <c r="G87" i="50"/>
  <c r="G88" i="50"/>
  <c r="G89" i="50"/>
  <c r="G90" i="50"/>
  <c r="G91" i="50"/>
  <c r="G92" i="50"/>
  <c r="G50" i="50"/>
  <c r="G51" i="50"/>
  <c r="G52" i="50"/>
  <c r="G53" i="50"/>
  <c r="G54" i="50"/>
  <c r="G55" i="50"/>
  <c r="G56" i="50"/>
  <c r="G57" i="50"/>
  <c r="G60" i="50"/>
  <c r="G61" i="50"/>
  <c r="G93" i="50"/>
  <c r="G94" i="50"/>
  <c r="G62" i="50"/>
  <c r="G63" i="50"/>
  <c r="G64" i="50"/>
  <c r="G31" i="50"/>
  <c r="G32" i="50"/>
  <c r="G95" i="50"/>
  <c r="G66" i="50"/>
  <c r="G33" i="50"/>
  <c r="G34" i="50"/>
  <c r="G67" i="50"/>
  <c r="G96" i="50"/>
  <c r="G97" i="50"/>
  <c r="G68" i="50"/>
  <c r="G69" i="50"/>
  <c r="G70" i="50"/>
  <c r="G71" i="50"/>
  <c r="G72" i="50"/>
  <c r="G73" i="50"/>
  <c r="G74" i="50"/>
  <c r="G75" i="50"/>
  <c r="G76" i="50"/>
  <c r="G77" i="50"/>
  <c r="G78" i="50"/>
  <c r="G79" i="50"/>
  <c r="G80" i="50"/>
  <c r="G81" i="50"/>
  <c r="G82" i="50"/>
  <c r="G83" i="50"/>
  <c r="G84" i="50"/>
  <c r="G85" i="50"/>
  <c r="G30" i="50"/>
  <c r="G103" i="50"/>
  <c r="G104" i="50"/>
  <c r="G105" i="50"/>
  <c r="G110" i="50"/>
  <c r="G111" i="50"/>
  <c r="G100" i="50"/>
  <c r="G116" i="50"/>
  <c r="G117" i="50"/>
  <c r="G118" i="50"/>
  <c r="G121" i="50"/>
  <c r="G119" i="50"/>
  <c r="G123" i="50"/>
  <c r="G124" i="50"/>
  <c r="G125" i="50"/>
  <c r="G122" i="50"/>
  <c r="G126" i="50"/>
  <c r="G127" i="50"/>
  <c r="G120" i="50"/>
  <c r="G128" i="50"/>
  <c r="G129" i="50"/>
  <c r="G130" i="50"/>
  <c r="G134" i="50"/>
  <c r="G133" i="50"/>
  <c r="G135" i="50"/>
  <c r="G131" i="50"/>
  <c r="G136" i="50"/>
  <c r="G132" i="50"/>
  <c r="G137" i="50"/>
  <c r="G216" i="50"/>
  <c r="G220" i="50"/>
  <c r="G225" i="50"/>
  <c r="G227" i="50"/>
  <c r="G160" i="50"/>
  <c r="G162" i="50"/>
  <c r="G164" i="50"/>
  <c r="G168" i="50"/>
  <c r="G166" i="50"/>
  <c r="G170" i="50"/>
  <c r="G171" i="50"/>
  <c r="G176" i="50"/>
  <c r="G174" i="50"/>
  <c r="G177" i="50"/>
  <c r="G178" i="50"/>
  <c r="G181" i="50"/>
  <c r="G182" i="50"/>
  <c r="G183" i="50"/>
  <c r="G231" i="50"/>
  <c r="G146" i="50"/>
  <c r="G147" i="50"/>
  <c r="G148" i="50"/>
  <c r="G149" i="50"/>
  <c r="G150" i="50"/>
  <c r="G189" i="50"/>
  <c r="G191" i="50"/>
  <c r="G192" i="50"/>
  <c r="G194" i="50"/>
  <c r="G232" i="50"/>
  <c r="G198" i="50"/>
  <c r="G199" i="50"/>
  <c r="G201" i="50"/>
  <c r="G202" i="50"/>
  <c r="G203" i="50"/>
  <c r="G205" i="50"/>
  <c r="G207" i="50"/>
  <c r="G208" i="50"/>
  <c r="G151" i="50"/>
  <c r="G152" i="50"/>
  <c r="G235" i="50"/>
  <c r="G236" i="50"/>
  <c r="G237" i="50"/>
  <c r="G238" i="50"/>
  <c r="G210" i="50"/>
  <c r="G239" i="50"/>
  <c r="G240" i="50"/>
  <c r="G241" i="50"/>
  <c r="G245" i="50"/>
  <c r="G242" i="50"/>
  <c r="G246" i="50"/>
  <c r="G247" i="50"/>
  <c r="G248" i="50"/>
  <c r="G249" i="50"/>
  <c r="G250" i="50"/>
  <c r="G251" i="50"/>
  <c r="G268" i="50"/>
  <c r="G269" i="50"/>
  <c r="G252" i="50"/>
  <c r="G271" i="50"/>
  <c r="G272" i="50"/>
  <c r="G253" i="50"/>
  <c r="G254" i="50"/>
  <c r="G255" i="50"/>
  <c r="G256" i="50"/>
  <c r="G243" i="50"/>
  <c r="G257" i="50"/>
  <c r="G244" i="50"/>
  <c r="G258" i="50"/>
  <c r="G259" i="50"/>
  <c r="G260" i="50"/>
  <c r="G262" i="50"/>
  <c r="G264" i="50"/>
  <c r="G265" i="50"/>
  <c r="G266" i="50"/>
  <c r="G267" i="50"/>
  <c r="G274" i="50"/>
  <c r="G275" i="50"/>
  <c r="G278" i="50"/>
  <c r="G280" i="50"/>
  <c r="G281" i="50"/>
  <c r="G279" i="50"/>
  <c r="G284" i="50"/>
  <c r="G367" i="50"/>
  <c r="G363" i="50"/>
  <c r="G371" i="50"/>
  <c r="G298" i="50"/>
  <c r="G306" i="50"/>
  <c r="G307" i="50"/>
  <c r="G309" i="50"/>
  <c r="G285" i="50"/>
  <c r="G319" i="50"/>
  <c r="G321" i="50"/>
  <c r="G356" i="50"/>
  <c r="G323" i="50"/>
  <c r="G324" i="50"/>
  <c r="G326" i="50"/>
  <c r="G330" i="50"/>
  <c r="G331" i="50"/>
  <c r="G290" i="50"/>
  <c r="G365" i="50"/>
  <c r="G292" i="50"/>
  <c r="G293" i="50"/>
  <c r="G345" i="50"/>
  <c r="G349" i="50"/>
  <c r="G352" i="50"/>
  <c r="G358" i="50"/>
  <c r="G361" i="50"/>
  <c r="G368" i="50"/>
  <c r="G296" i="50"/>
  <c r="G297" i="50"/>
  <c r="G294" i="50"/>
  <c r="G282" i="50"/>
  <c r="G300" i="50"/>
  <c r="G301" i="50"/>
  <c r="G302" i="50"/>
  <c r="G303" i="50"/>
  <c r="G304" i="50"/>
  <c r="G308" i="50"/>
  <c r="G311" i="50"/>
  <c r="G313" i="50"/>
  <c r="G314" i="50"/>
  <c r="G316" i="50"/>
  <c r="G317" i="50"/>
  <c r="G318" i="50"/>
  <c r="G286" i="50"/>
  <c r="G287" i="50"/>
  <c r="G288" i="50"/>
  <c r="G320" i="50"/>
  <c r="G328" i="50"/>
  <c r="G329" i="50"/>
  <c r="G332" i="50"/>
  <c r="G333" i="50"/>
  <c r="G335" i="50"/>
  <c r="G336" i="50"/>
  <c r="G338" i="50"/>
  <c r="G289" i="50"/>
  <c r="G340" i="50"/>
  <c r="G341" i="50"/>
  <c r="G291" i="50"/>
  <c r="G343" i="50"/>
  <c r="G295" i="50"/>
  <c r="G344" i="50"/>
  <c r="G346" i="50"/>
  <c r="G347" i="50"/>
  <c r="G348" i="50"/>
  <c r="G350" i="50"/>
  <c r="G351" i="50"/>
  <c r="G353" i="50"/>
  <c r="G372" i="50"/>
  <c r="G357" i="50"/>
  <c r="G359" i="50"/>
  <c r="G360" i="50"/>
  <c r="G366" i="50"/>
  <c r="G369" i="50"/>
  <c r="G362" i="50"/>
  <c r="G370" i="50"/>
  <c r="G393" i="50"/>
  <c r="G395" i="50"/>
  <c r="G399" i="50"/>
  <c r="G373" i="50"/>
  <c r="G375" i="50"/>
  <c r="G379" i="50"/>
  <c r="G380" i="50"/>
  <c r="G381" i="50"/>
  <c r="G402" i="50"/>
  <c r="G403" i="50"/>
  <c r="G408" i="50"/>
  <c r="G409" i="50"/>
  <c r="G410" i="50"/>
  <c r="G414" i="50"/>
  <c r="G415" i="50"/>
  <c r="G417" i="50"/>
  <c r="G423" i="50"/>
  <c r="G471" i="50"/>
  <c r="G474" i="50"/>
  <c r="G425" i="50"/>
  <c r="G427" i="50"/>
  <c r="G486" i="50"/>
  <c r="G394" i="50"/>
  <c r="G434" i="50"/>
  <c r="G435" i="50"/>
  <c r="G436" i="50"/>
  <c r="G438" i="50"/>
  <c r="G440" i="50"/>
  <c r="G442" i="50"/>
  <c r="G487" i="50"/>
  <c r="G475" i="50"/>
  <c r="G476" i="50"/>
  <c r="G449" i="50"/>
  <c r="G384" i="50"/>
  <c r="G385" i="50"/>
  <c r="G477" i="50"/>
  <c r="G388" i="50"/>
  <c r="G453" i="50"/>
  <c r="G455" i="50"/>
  <c r="G457" i="50"/>
  <c r="G458" i="50"/>
  <c r="G391" i="50"/>
  <c r="G460" i="50"/>
  <c r="G462" i="50"/>
  <c r="G466" i="50"/>
  <c r="G467" i="50"/>
  <c r="G468" i="50"/>
  <c r="G478" i="50"/>
  <c r="G479" i="50"/>
  <c r="G392" i="50"/>
  <c r="G488" i="50"/>
  <c r="G374" i="50"/>
  <c r="G480" i="50"/>
  <c r="G531" i="50"/>
  <c r="G489" i="50"/>
  <c r="G532" i="50"/>
  <c r="G490" i="50"/>
  <c r="G482" i="50"/>
  <c r="G377" i="50"/>
  <c r="G491" i="50"/>
  <c r="G378" i="50"/>
  <c r="G534" i="50"/>
  <c r="G483" i="50"/>
  <c r="G496" i="50"/>
  <c r="G497" i="50"/>
  <c r="G498" i="50"/>
  <c r="G499" i="50"/>
  <c r="G493" i="50"/>
  <c r="G502" i="50"/>
  <c r="G503" i="50"/>
  <c r="G484" i="50"/>
  <c r="G412" i="50"/>
  <c r="G505" i="50"/>
  <c r="G485" i="50"/>
  <c r="G506" i="50"/>
  <c r="G404" i="50"/>
  <c r="G405" i="50"/>
  <c r="G406" i="50"/>
  <c r="G492" i="50"/>
  <c r="G494" i="50"/>
  <c r="G411" i="50"/>
  <c r="G401" i="50"/>
  <c r="G389" i="50"/>
  <c r="G407" i="50"/>
  <c r="G386" i="50"/>
  <c r="G413" i="50"/>
  <c r="G416" i="50"/>
  <c r="G396" i="50"/>
  <c r="G397" i="50"/>
  <c r="G418" i="50"/>
  <c r="G419" i="50"/>
  <c r="G420" i="50"/>
  <c r="G422" i="50"/>
  <c r="G421" i="50"/>
  <c r="G424" i="50"/>
  <c r="G535" i="50"/>
  <c r="G439" i="50"/>
  <c r="G426" i="50"/>
  <c r="G536" i="50"/>
  <c r="G428" i="50"/>
  <c r="G450" i="50"/>
  <c r="G429" i="50"/>
  <c r="G565" i="50"/>
  <c r="G376" i="50"/>
  <c r="G430" i="50"/>
  <c r="G431" i="50"/>
  <c r="G382" i="50"/>
  <c r="G432" i="50"/>
  <c r="G433" i="50"/>
  <c r="G537" i="50"/>
  <c r="G538" i="50"/>
  <c r="G400" i="50"/>
  <c r="G566" i="50"/>
  <c r="G473" i="50"/>
  <c r="G567" i="50"/>
  <c r="G437" i="50"/>
  <c r="G500" i="50"/>
  <c r="G501" i="50"/>
  <c r="G441" i="50"/>
  <c r="G539" i="50"/>
  <c r="G464" i="50"/>
  <c r="G568" i="50"/>
  <c r="G447" i="50"/>
  <c r="G510" i="50"/>
  <c r="G511" i="50"/>
  <c r="G528" i="50"/>
  <c r="G512" i="50"/>
  <c r="G513" i="50"/>
  <c r="G514" i="50"/>
  <c r="G515" i="50"/>
  <c r="G516" i="50"/>
  <c r="G517" i="50"/>
  <c r="G518" i="50"/>
  <c r="G519" i="50"/>
  <c r="G526" i="50"/>
  <c r="G520" i="50"/>
  <c r="G527" i="50"/>
  <c r="G521" i="50"/>
  <c r="G522" i="50"/>
  <c r="G529" i="50"/>
  <c r="G523" i="50"/>
  <c r="G524" i="50"/>
  <c r="G525" i="50"/>
  <c r="G579" i="50"/>
  <c r="G580" i="50"/>
  <c r="G583" i="50"/>
  <c r="G581" i="50"/>
  <c r="G584" i="50"/>
  <c r="G585" i="50"/>
  <c r="G586" i="50"/>
  <c r="G587" i="50"/>
  <c r="G588" i="50"/>
  <c r="G582" i="50"/>
  <c r="G448" i="50"/>
  <c r="G383" i="50"/>
  <c r="G570" i="50"/>
  <c r="G563" i="50"/>
  <c r="G540" i="50"/>
  <c r="G387" i="50"/>
  <c r="G542" i="50"/>
  <c r="G557" i="50"/>
  <c r="G569" i="50"/>
  <c r="G451" i="50"/>
  <c r="G558" i="50"/>
  <c r="G504" i="50"/>
  <c r="G452" i="50"/>
  <c r="G571" i="50"/>
  <c r="G543" i="50"/>
  <c r="G544" i="50"/>
  <c r="G390" i="50"/>
  <c r="G577" i="50"/>
  <c r="G545" i="50"/>
  <c r="G572" i="50"/>
  <c r="G573" i="50"/>
  <c r="G456" i="50"/>
  <c r="G546" i="50"/>
  <c r="G547" i="50"/>
  <c r="G548" i="50"/>
  <c r="G530" i="50"/>
  <c r="G574" i="50"/>
  <c r="G459" i="50"/>
  <c r="G461" i="50"/>
  <c r="G549" i="50"/>
  <c r="G550" i="50"/>
  <c r="G507" i="50"/>
  <c r="G463" i="50"/>
  <c r="G508" i="50"/>
  <c r="G551" i="50"/>
  <c r="G552" i="50"/>
  <c r="G553" i="50"/>
  <c r="G576" i="50"/>
  <c r="G554" i="50"/>
  <c r="G555" i="50"/>
  <c r="G556" i="50"/>
  <c r="G509" i="50"/>
  <c r="G469" i="50"/>
  <c r="G470" i="50"/>
  <c r="G680" i="50"/>
  <c r="G594" i="50"/>
  <c r="G591" i="50"/>
  <c r="G597" i="50"/>
  <c r="G598" i="50"/>
  <c r="G600" i="50"/>
  <c r="G606" i="50"/>
  <c r="G625" i="50"/>
  <c r="G610" i="50"/>
  <c r="G613" i="50"/>
  <c r="G615" i="50"/>
  <c r="G603" i="50"/>
  <c r="G633" i="50"/>
  <c r="G623" i="50"/>
  <c r="G640" i="50"/>
  <c r="G634" i="50"/>
  <c r="G637" i="50"/>
  <c r="G627" i="50"/>
  <c r="G642" i="50"/>
  <c r="G618" i="50"/>
  <c r="G647" i="50"/>
  <c r="G653" i="50"/>
  <c r="G650" i="50"/>
  <c r="G658" i="50"/>
  <c r="G660" i="50"/>
  <c r="G663" i="50"/>
  <c r="G666" i="50"/>
  <c r="G669" i="50"/>
  <c r="G676" i="50"/>
  <c r="G673" i="50"/>
  <c r="G590" i="50"/>
  <c r="G592" i="50"/>
  <c r="G593" i="50"/>
  <c r="G595" i="50"/>
  <c r="G596" i="50"/>
  <c r="G599" i="50"/>
  <c r="G601" i="50"/>
  <c r="G605" i="50"/>
  <c r="G608" i="50"/>
  <c r="G609" i="50"/>
  <c r="G612" i="50"/>
  <c r="G617" i="50"/>
  <c r="G619" i="50"/>
  <c r="G621" i="50"/>
  <c r="G622" i="50"/>
  <c r="G624" i="50"/>
  <c r="G631" i="50"/>
  <c r="G632" i="50"/>
  <c r="G635" i="50"/>
  <c r="G638" i="50"/>
  <c r="G641" i="50"/>
  <c r="G643" i="50"/>
  <c r="G646" i="50"/>
  <c r="G672" i="50"/>
  <c r="G651" i="50"/>
  <c r="G654" i="50"/>
  <c r="G656" i="50"/>
  <c r="G657" i="50"/>
  <c r="G661" i="50"/>
  <c r="G664" i="50"/>
  <c r="G667" i="50"/>
  <c r="G670" i="50"/>
  <c r="G678" i="50"/>
  <c r="G649" i="50"/>
  <c r="G677" i="50"/>
  <c r="G689" i="50"/>
  <c r="G690" i="50"/>
  <c r="G691" i="50"/>
  <c r="G692" i="50"/>
  <c r="G693" i="50"/>
  <c r="G694" i="50"/>
  <c r="G695" i="50"/>
  <c r="G696" i="50"/>
  <c r="G685" i="50"/>
  <c r="G697" i="50"/>
  <c r="G698" i="50"/>
  <c r="G699" i="50"/>
  <c r="G700" i="50"/>
  <c r="G701" i="50"/>
  <c r="G702" i="50"/>
  <c r="G686" i="50"/>
  <c r="G687" i="50"/>
  <c r="G703" i="50"/>
  <c r="G704" i="50"/>
  <c r="G705" i="50"/>
  <c r="G706" i="50"/>
  <c r="G739" i="50"/>
  <c r="G740" i="50"/>
  <c r="G707" i="50"/>
  <c r="G708" i="50"/>
  <c r="G710" i="50"/>
  <c r="G741" i="50"/>
  <c r="G742" i="50"/>
  <c r="G711" i="50"/>
  <c r="G712" i="50"/>
  <c r="G713" i="50"/>
  <c r="G714" i="50"/>
  <c r="G715" i="50"/>
  <c r="G716" i="50"/>
  <c r="G717" i="50"/>
  <c r="G718" i="50"/>
  <c r="G719" i="50"/>
  <c r="G688" i="50"/>
  <c r="G720" i="50"/>
  <c r="G743" i="50"/>
  <c r="G721" i="50"/>
  <c r="G722" i="50"/>
  <c r="G723" i="50"/>
  <c r="G724" i="50"/>
  <c r="G725" i="50"/>
  <c r="G726" i="50"/>
  <c r="G727" i="50"/>
  <c r="G728" i="50"/>
  <c r="G729" i="50"/>
  <c r="G730" i="50"/>
  <c r="G731" i="50"/>
  <c r="G732" i="50"/>
  <c r="G744" i="50"/>
  <c r="G738" i="50"/>
  <c r="G734" i="50"/>
  <c r="G735" i="50"/>
  <c r="G736" i="50"/>
  <c r="G737" i="50"/>
  <c r="G745" i="50"/>
  <c r="G142" i="50"/>
  <c r="G143" i="50"/>
  <c r="G140" i="50"/>
  <c r="G144" i="50"/>
  <c r="G138" i="50"/>
  <c r="G139" i="50"/>
  <c r="G145" i="50"/>
  <c r="G4" i="50"/>
  <c r="AF70" i="7" l="1"/>
  <c r="AD70" i="7"/>
  <c r="AC70" i="7"/>
  <c r="AP70" i="7"/>
  <c r="AS70" i="7"/>
  <c r="AJ7" i="50" l="1"/>
  <c r="AJ8" i="50"/>
  <c r="AJ10" i="50"/>
  <c r="AJ11" i="50"/>
  <c r="AJ12" i="50"/>
  <c r="AJ13" i="50"/>
  <c r="AJ14" i="50"/>
  <c r="AJ16" i="50"/>
  <c r="AJ17" i="50"/>
  <c r="AJ18" i="50"/>
  <c r="AJ20" i="50"/>
  <c r="AJ21" i="50"/>
  <c r="AJ23" i="50"/>
  <c r="AJ25" i="50"/>
  <c r="AJ26" i="50"/>
  <c r="AJ35" i="50"/>
  <c r="AJ37" i="50"/>
  <c r="AJ36" i="50"/>
  <c r="AJ38" i="50"/>
  <c r="AJ39" i="50"/>
  <c r="AJ41" i="50"/>
  <c r="AJ58" i="50"/>
  <c r="AJ59" i="50"/>
  <c r="AJ42" i="50"/>
  <c r="AJ27" i="50"/>
  <c r="AJ43" i="50"/>
  <c r="AJ44" i="50"/>
  <c r="AJ45" i="50"/>
  <c r="AJ46" i="50"/>
  <c r="AJ28" i="50"/>
  <c r="AJ29" i="50"/>
  <c r="AJ47" i="50"/>
  <c r="AJ48" i="50"/>
  <c r="AJ49" i="50"/>
  <c r="AJ86" i="50"/>
  <c r="AJ87" i="50"/>
  <c r="AJ88" i="50"/>
  <c r="AJ89" i="50"/>
  <c r="AJ90" i="50"/>
  <c r="AJ91" i="50"/>
  <c r="AJ92" i="50"/>
  <c r="AJ50" i="50"/>
  <c r="AJ51" i="50"/>
  <c r="AJ52" i="50"/>
  <c r="AJ53" i="50"/>
  <c r="AJ54" i="50"/>
  <c r="AJ55" i="50"/>
  <c r="AJ56" i="50"/>
  <c r="AJ57" i="50"/>
  <c r="AJ60" i="50"/>
  <c r="AJ61" i="50"/>
  <c r="AJ93" i="50"/>
  <c r="AJ94" i="50"/>
  <c r="AJ62" i="50"/>
  <c r="AJ63" i="50"/>
  <c r="AJ64" i="50"/>
  <c r="AJ65" i="50"/>
  <c r="AJ31" i="50"/>
  <c r="AJ32" i="50"/>
  <c r="AJ95" i="50"/>
  <c r="AJ66" i="50"/>
  <c r="AJ33" i="50"/>
  <c r="AJ34" i="50"/>
  <c r="AJ67" i="50"/>
  <c r="AJ96" i="50"/>
  <c r="AJ97" i="50"/>
  <c r="AJ68" i="50"/>
  <c r="AJ69" i="50"/>
  <c r="AJ70" i="50"/>
  <c r="AJ71" i="50"/>
  <c r="AJ72" i="50"/>
  <c r="AJ73" i="50"/>
  <c r="AJ74" i="50"/>
  <c r="AJ75" i="50"/>
  <c r="AJ76" i="50"/>
  <c r="AJ77" i="50"/>
  <c r="AJ78" i="50"/>
  <c r="AJ79" i="50"/>
  <c r="AJ80" i="50"/>
  <c r="AJ81" i="50"/>
  <c r="AJ82" i="50"/>
  <c r="AJ83" i="50"/>
  <c r="AJ84" i="50"/>
  <c r="AJ85" i="50"/>
  <c r="AJ30" i="50"/>
  <c r="AJ103" i="50"/>
  <c r="AJ104" i="50"/>
  <c r="AJ105" i="50"/>
  <c r="AJ110" i="50"/>
  <c r="AJ111" i="50"/>
  <c r="AJ100" i="50"/>
  <c r="AJ116" i="50"/>
  <c r="AJ117" i="50"/>
  <c r="AJ118" i="50"/>
  <c r="AJ121" i="50"/>
  <c r="AJ119" i="50"/>
  <c r="AJ123" i="50"/>
  <c r="AJ124" i="50"/>
  <c r="AJ125" i="50"/>
  <c r="AJ122" i="50"/>
  <c r="AJ126" i="50"/>
  <c r="AJ127" i="50"/>
  <c r="AJ120" i="50"/>
  <c r="AJ128" i="50"/>
  <c r="AJ129" i="50"/>
  <c r="AJ130" i="50"/>
  <c r="AJ134" i="50"/>
  <c r="AJ133" i="50"/>
  <c r="AJ135" i="50"/>
  <c r="AJ131" i="50"/>
  <c r="AJ136" i="50"/>
  <c r="AJ132" i="50"/>
  <c r="AJ137" i="50"/>
  <c r="AJ216" i="50"/>
  <c r="AJ220" i="50"/>
  <c r="AJ225" i="50"/>
  <c r="AJ226" i="50"/>
  <c r="AJ227" i="50"/>
  <c r="AJ171" i="50"/>
  <c r="AJ177" i="50"/>
  <c r="AJ181" i="50"/>
  <c r="AJ182" i="50"/>
  <c r="AJ231" i="50"/>
  <c r="AJ146" i="50"/>
  <c r="AJ147" i="50"/>
  <c r="AJ148" i="50"/>
  <c r="AJ149" i="50"/>
  <c r="AJ150" i="50"/>
  <c r="AJ189" i="50"/>
  <c r="AJ232" i="50"/>
  <c r="AJ201" i="50"/>
  <c r="AJ202" i="50"/>
  <c r="AJ151" i="50"/>
  <c r="AJ152" i="50"/>
  <c r="AJ235" i="50"/>
  <c r="AJ236" i="50"/>
  <c r="AJ237" i="50"/>
  <c r="AJ238" i="50"/>
  <c r="AJ210" i="50"/>
  <c r="AJ239" i="50"/>
  <c r="AJ240" i="50"/>
  <c r="AJ241" i="50"/>
  <c r="AJ245" i="50"/>
  <c r="AJ242" i="50"/>
  <c r="AJ246" i="50"/>
  <c r="AJ247" i="50"/>
  <c r="AJ248" i="50"/>
  <c r="AJ249" i="50"/>
  <c r="AJ250" i="50"/>
  <c r="AJ251" i="50"/>
  <c r="AJ268" i="50"/>
  <c r="AJ269" i="50"/>
  <c r="AJ252" i="50"/>
  <c r="AJ271" i="50"/>
  <c r="AJ272" i="50"/>
  <c r="AJ253" i="50"/>
  <c r="AJ254" i="50"/>
  <c r="AJ255" i="50"/>
  <c r="AJ256" i="50"/>
  <c r="AJ243" i="50"/>
  <c r="AJ257" i="50"/>
  <c r="AJ244" i="50"/>
  <c r="AJ258" i="50"/>
  <c r="AJ259" i="50"/>
  <c r="AJ260" i="50"/>
  <c r="AJ262" i="50"/>
  <c r="AJ264" i="50"/>
  <c r="AJ265" i="50"/>
  <c r="AJ266" i="50"/>
  <c r="AJ267" i="50"/>
  <c r="AJ274" i="50"/>
  <c r="AJ275" i="50"/>
  <c r="AJ276" i="50"/>
  <c r="AJ277" i="50"/>
  <c r="AJ278" i="50"/>
  <c r="AJ280" i="50"/>
  <c r="AJ281" i="50"/>
  <c r="AJ279" i="50"/>
  <c r="AJ284" i="50"/>
  <c r="AJ367" i="50"/>
  <c r="AJ363" i="50"/>
  <c r="AJ371" i="50"/>
  <c r="AJ298" i="50"/>
  <c r="AJ306" i="50"/>
  <c r="AJ307" i="50"/>
  <c r="AJ309" i="50"/>
  <c r="AJ285" i="50"/>
  <c r="AJ319" i="50"/>
  <c r="AJ321" i="50"/>
  <c r="AJ356" i="50"/>
  <c r="AJ323" i="50"/>
  <c r="AJ324" i="50"/>
  <c r="AJ326" i="50"/>
  <c r="AJ330" i="50"/>
  <c r="AJ331" i="50"/>
  <c r="AJ339" i="50"/>
  <c r="AJ290" i="50"/>
  <c r="AJ365" i="50"/>
  <c r="AJ292" i="50"/>
  <c r="AJ293" i="50"/>
  <c r="AJ345" i="50"/>
  <c r="AJ349" i="50"/>
  <c r="AJ352" i="50"/>
  <c r="AJ354" i="50"/>
  <c r="AJ358" i="50"/>
  <c r="AJ283" i="50"/>
  <c r="AJ337" i="50"/>
  <c r="AJ342" i="50"/>
  <c r="AJ355" i="50"/>
  <c r="AJ334" i="50"/>
  <c r="AJ361" i="50"/>
  <c r="AJ368" i="50"/>
  <c r="AJ296" i="50"/>
  <c r="AJ297" i="50"/>
  <c r="AJ294" i="50"/>
  <c r="AJ282" i="50"/>
  <c r="AJ300" i="50"/>
  <c r="AJ301" i="50"/>
  <c r="AJ302" i="50"/>
  <c r="AJ303" i="50"/>
  <c r="AJ304" i="50"/>
  <c r="AJ308" i="50"/>
  <c r="AJ311" i="50"/>
  <c r="AJ313" i="50"/>
  <c r="AJ314" i="50"/>
  <c r="AJ316" i="50"/>
  <c r="AJ317" i="50"/>
  <c r="AJ318" i="50"/>
  <c r="AJ286" i="50"/>
  <c r="AJ287" i="50"/>
  <c r="AJ288" i="50"/>
  <c r="AJ320" i="50"/>
  <c r="AJ328" i="50"/>
  <c r="AJ329" i="50"/>
  <c r="AJ332" i="50"/>
  <c r="AJ333" i="50"/>
  <c r="AJ335" i="50"/>
  <c r="AJ336" i="50"/>
  <c r="AJ338" i="50"/>
  <c r="AJ289" i="50"/>
  <c r="AJ340" i="50"/>
  <c r="AJ341" i="50"/>
  <c r="AJ291" i="50"/>
  <c r="AJ343" i="50"/>
  <c r="AJ295" i="50"/>
  <c r="AJ344" i="50"/>
  <c r="AJ346" i="50"/>
  <c r="AJ347" i="50"/>
  <c r="AJ348" i="50"/>
  <c r="AJ350" i="50"/>
  <c r="AJ351" i="50"/>
  <c r="AJ353" i="50"/>
  <c r="AJ372" i="50"/>
  <c r="AJ357" i="50"/>
  <c r="AJ359" i="50"/>
  <c r="AJ360" i="50"/>
  <c r="AJ366" i="50"/>
  <c r="AJ369" i="50"/>
  <c r="AJ362" i="50"/>
  <c r="AJ370" i="50"/>
  <c r="AJ393" i="50"/>
  <c r="AJ395" i="50"/>
  <c r="AJ399" i="50"/>
  <c r="AJ373" i="50"/>
  <c r="AJ375" i="50"/>
  <c r="AJ379" i="50"/>
  <c r="AJ380" i="50"/>
  <c r="AJ381" i="50"/>
  <c r="AJ402" i="50"/>
  <c r="AJ403" i="50"/>
  <c r="AJ408" i="50"/>
  <c r="AJ409" i="50"/>
  <c r="AJ410" i="50"/>
  <c r="AJ414" i="50"/>
  <c r="AJ415" i="50"/>
  <c r="AJ417" i="50"/>
  <c r="AJ423" i="50"/>
  <c r="AJ471" i="50"/>
  <c r="AJ474" i="50"/>
  <c r="AJ425" i="50"/>
  <c r="AJ427" i="50"/>
  <c r="AJ486" i="50"/>
  <c r="AJ394" i="50"/>
  <c r="AJ434" i="50"/>
  <c r="AJ435" i="50"/>
  <c r="AJ436" i="50"/>
  <c r="AJ438" i="50"/>
  <c r="AJ440" i="50"/>
  <c r="AJ442" i="50"/>
  <c r="AJ487" i="50"/>
  <c r="AJ475" i="50"/>
  <c r="AJ476" i="50"/>
  <c r="AJ559" i="50"/>
  <c r="AJ449" i="50"/>
  <c r="AJ384" i="50"/>
  <c r="AJ385" i="50"/>
  <c r="AJ477" i="50"/>
  <c r="AJ388" i="50"/>
  <c r="AJ453" i="50"/>
  <c r="AJ455" i="50"/>
  <c r="AJ457" i="50"/>
  <c r="AJ458" i="50"/>
  <c r="AJ391" i="50"/>
  <c r="AJ460" i="50"/>
  <c r="AJ462" i="50"/>
  <c r="AJ466" i="50"/>
  <c r="AJ467" i="50"/>
  <c r="AJ468" i="50"/>
  <c r="AJ478" i="50"/>
  <c r="AJ479" i="50"/>
  <c r="AJ392" i="50"/>
  <c r="AJ488" i="50"/>
  <c r="AJ481" i="50"/>
  <c r="AJ374" i="50"/>
  <c r="AJ480" i="50"/>
  <c r="AJ531" i="50"/>
  <c r="AJ489" i="50"/>
  <c r="AJ532" i="50"/>
  <c r="AJ490" i="50"/>
  <c r="AJ482" i="50"/>
  <c r="AJ377" i="50"/>
  <c r="AJ491" i="50"/>
  <c r="AJ378" i="50"/>
  <c r="AJ534" i="50"/>
  <c r="AJ483" i="50"/>
  <c r="AJ496" i="50"/>
  <c r="AJ497" i="50"/>
  <c r="AJ498" i="50"/>
  <c r="AJ499" i="50"/>
  <c r="AJ493" i="50"/>
  <c r="AJ502" i="50"/>
  <c r="AJ503" i="50"/>
  <c r="AJ484" i="50"/>
  <c r="AJ412" i="50"/>
  <c r="AJ505" i="50"/>
  <c r="AJ485" i="50"/>
  <c r="AJ506" i="50"/>
  <c r="AJ404" i="50"/>
  <c r="AJ405" i="50"/>
  <c r="AJ406" i="50"/>
  <c r="AJ492" i="50"/>
  <c r="AJ494" i="50"/>
  <c r="AJ411" i="50"/>
  <c r="AJ401" i="50"/>
  <c r="AJ389" i="50"/>
  <c r="AJ407" i="50"/>
  <c r="AJ386" i="50"/>
  <c r="AJ413" i="50"/>
  <c r="AJ416" i="50"/>
  <c r="AJ396" i="50"/>
  <c r="AJ397" i="50"/>
  <c r="AJ418" i="50"/>
  <c r="AJ419" i="50"/>
  <c r="AJ420" i="50"/>
  <c r="AJ422" i="50"/>
  <c r="AJ421" i="50"/>
  <c r="AJ560" i="50"/>
  <c r="AJ561" i="50"/>
  <c r="AJ562" i="50"/>
  <c r="AJ424" i="50"/>
  <c r="AJ535" i="50"/>
  <c r="AJ439" i="50"/>
  <c r="AJ426" i="50"/>
  <c r="AJ536" i="50"/>
  <c r="AJ428" i="50"/>
  <c r="AJ450" i="50"/>
  <c r="AJ429" i="50"/>
  <c r="AJ565" i="50"/>
  <c r="AJ376" i="50"/>
  <c r="AJ430" i="50"/>
  <c r="AJ431" i="50"/>
  <c r="AJ382" i="50"/>
  <c r="AJ432" i="50"/>
  <c r="AJ433" i="50"/>
  <c r="AJ537" i="50"/>
  <c r="AJ538" i="50"/>
  <c r="AJ400" i="50"/>
  <c r="AJ566" i="50"/>
  <c r="AJ473" i="50"/>
  <c r="AJ567" i="50"/>
  <c r="AJ437" i="50"/>
  <c r="AJ500" i="50"/>
  <c r="AJ501" i="50"/>
  <c r="AJ441" i="50"/>
  <c r="AJ539" i="50"/>
  <c r="AJ464" i="50"/>
  <c r="AJ568" i="50"/>
  <c r="AJ447" i="50"/>
  <c r="AJ510" i="50"/>
  <c r="AJ511" i="50"/>
  <c r="AJ528" i="50"/>
  <c r="AJ512" i="50"/>
  <c r="AJ513" i="50"/>
  <c r="AJ514" i="50"/>
  <c r="AJ515" i="50"/>
  <c r="AJ516" i="50"/>
  <c r="AJ517" i="50"/>
  <c r="AJ518" i="50"/>
  <c r="AJ519" i="50"/>
  <c r="AJ526" i="50"/>
  <c r="AJ520" i="50"/>
  <c r="AJ527" i="50"/>
  <c r="AJ521" i="50"/>
  <c r="AJ522" i="50"/>
  <c r="AJ529" i="50"/>
  <c r="AJ523" i="50"/>
  <c r="AJ524" i="50"/>
  <c r="AJ525" i="50"/>
  <c r="AJ579" i="50"/>
  <c r="AJ580" i="50"/>
  <c r="AJ583" i="50"/>
  <c r="AJ581" i="50"/>
  <c r="AJ584" i="50"/>
  <c r="AJ585" i="50"/>
  <c r="AJ586" i="50"/>
  <c r="AJ587" i="50"/>
  <c r="AJ588" i="50"/>
  <c r="AJ582" i="50"/>
  <c r="AJ448" i="50"/>
  <c r="AJ383" i="50"/>
  <c r="AJ570" i="50"/>
  <c r="AJ563" i="50"/>
  <c r="AJ540" i="50"/>
  <c r="AJ387" i="50"/>
  <c r="AJ542" i="50"/>
  <c r="AJ557" i="50"/>
  <c r="AJ569" i="50"/>
  <c r="AJ451" i="50"/>
  <c r="AJ558" i="50"/>
  <c r="AJ504" i="50"/>
  <c r="AJ452" i="50"/>
  <c r="AJ564" i="50"/>
  <c r="AJ571" i="50"/>
  <c r="AJ543" i="50"/>
  <c r="AJ544" i="50"/>
  <c r="AJ390" i="50"/>
  <c r="AJ577" i="50"/>
  <c r="AJ545" i="50"/>
  <c r="AJ572" i="50"/>
  <c r="AJ573" i="50"/>
  <c r="AJ456" i="50"/>
  <c r="AJ546" i="50"/>
  <c r="AJ547" i="50"/>
  <c r="AJ548" i="50"/>
  <c r="AJ530" i="50"/>
  <c r="AJ574" i="50"/>
  <c r="AJ459" i="50"/>
  <c r="AJ461" i="50"/>
  <c r="AJ549" i="50"/>
  <c r="AJ550" i="50"/>
  <c r="AJ507" i="50"/>
  <c r="AJ463" i="50"/>
  <c r="AJ508" i="50"/>
  <c r="AJ551" i="50"/>
  <c r="AJ552" i="50"/>
  <c r="AJ575" i="50"/>
  <c r="AJ553" i="50"/>
  <c r="AJ576" i="50"/>
  <c r="AJ554" i="50"/>
  <c r="AJ578" i="50"/>
  <c r="AJ555" i="50"/>
  <c r="AJ556" i="50"/>
  <c r="AJ509" i="50"/>
  <c r="AJ469" i="50"/>
  <c r="AJ470" i="50"/>
  <c r="AJ627" i="50"/>
  <c r="AJ689" i="50"/>
  <c r="AJ690" i="50"/>
  <c r="AJ691" i="50"/>
  <c r="AJ692" i="50"/>
  <c r="AJ693" i="50"/>
  <c r="AJ694" i="50"/>
  <c r="AJ695" i="50"/>
  <c r="AJ696" i="50"/>
  <c r="AJ685" i="50"/>
  <c r="AJ697" i="50"/>
  <c r="AJ698" i="50"/>
  <c r="AJ699" i="50"/>
  <c r="AJ700" i="50"/>
  <c r="AJ701" i="50"/>
  <c r="AJ702" i="50"/>
  <c r="AJ686" i="50"/>
  <c r="AJ687" i="50"/>
  <c r="AJ703" i="50"/>
  <c r="AJ704" i="50"/>
  <c r="AJ705" i="50"/>
  <c r="AJ706" i="50"/>
  <c r="AJ739" i="50"/>
  <c r="AJ740" i="50"/>
  <c r="AJ707" i="50"/>
  <c r="AJ708" i="50"/>
  <c r="AJ710" i="50"/>
  <c r="AJ741" i="50"/>
  <c r="AJ742" i="50"/>
  <c r="AJ711" i="50"/>
  <c r="AJ712" i="50"/>
  <c r="AJ713" i="50"/>
  <c r="AJ714" i="50"/>
  <c r="AJ715" i="50"/>
  <c r="AJ716" i="50"/>
  <c r="AJ717" i="50"/>
  <c r="AJ718" i="50"/>
  <c r="AJ719" i="50"/>
  <c r="AJ688" i="50"/>
  <c r="AJ720" i="50"/>
  <c r="AJ743" i="50"/>
  <c r="AJ721" i="50"/>
  <c r="AJ722" i="50"/>
  <c r="AJ723" i="50"/>
  <c r="AJ724" i="50"/>
  <c r="AJ725" i="50"/>
  <c r="AJ726" i="50"/>
  <c r="AJ727" i="50"/>
  <c r="AJ728" i="50"/>
  <c r="AJ729" i="50"/>
  <c r="AJ730" i="50"/>
  <c r="AJ731" i="50"/>
  <c r="AJ732" i="50"/>
  <c r="AJ744" i="50"/>
  <c r="AJ738" i="50"/>
  <c r="AJ734" i="50"/>
  <c r="AJ735" i="50"/>
  <c r="AJ736" i="50"/>
  <c r="AJ737" i="50"/>
  <c r="AJ745" i="50"/>
  <c r="AJ142" i="50"/>
  <c r="AJ143" i="50"/>
  <c r="AJ140" i="50"/>
  <c r="AJ144" i="50"/>
  <c r="AJ138" i="50"/>
  <c r="AJ139" i="50"/>
  <c r="AJ145" i="50"/>
  <c r="AJ4" i="50"/>
  <c r="Q7" i="50" l="1"/>
  <c r="Q8" i="50"/>
  <c r="Q10" i="50"/>
  <c r="Q11" i="50"/>
  <c r="Q12" i="50"/>
  <c r="Q35" i="50"/>
  <c r="Q37" i="50"/>
  <c r="Q36" i="50"/>
  <c r="Q38" i="50"/>
  <c r="Q39" i="50"/>
  <c r="Q41" i="50"/>
  <c r="Q58" i="50"/>
  <c r="Q42" i="50"/>
  <c r="Q27" i="50"/>
  <c r="Q43" i="50"/>
  <c r="Q44" i="50"/>
  <c r="Q45" i="50"/>
  <c r="Q46" i="50"/>
  <c r="Q28" i="50"/>
  <c r="Q29" i="50"/>
  <c r="Q48" i="50"/>
  <c r="Q86" i="50"/>
  <c r="Q87" i="50"/>
  <c r="Q88" i="50"/>
  <c r="Q89" i="50"/>
  <c r="Q90" i="50"/>
  <c r="R90" i="50" s="1"/>
  <c r="AH90" i="50" s="1" a="1"/>
  <c r="AH90" i="50" s="1"/>
  <c r="AI90" i="50" s="1"/>
  <c r="Q91" i="50"/>
  <c r="Q92" i="50"/>
  <c r="Q56" i="50"/>
  <c r="Q57" i="50"/>
  <c r="Q61" i="50"/>
  <c r="Q93" i="50"/>
  <c r="Q94" i="50"/>
  <c r="Q62" i="50"/>
  <c r="Q64" i="50"/>
  <c r="Q95" i="50"/>
  <c r="Q66" i="50"/>
  <c r="Q67" i="50"/>
  <c r="Q96" i="50"/>
  <c r="Q97" i="50"/>
  <c r="Q68" i="50"/>
  <c r="Q69" i="50"/>
  <c r="Q75" i="50"/>
  <c r="Q76" i="50"/>
  <c r="Q77" i="50"/>
  <c r="Q80" i="50"/>
  <c r="Q81" i="50"/>
  <c r="Q82" i="50"/>
  <c r="Q83" i="50"/>
  <c r="Q103" i="50"/>
  <c r="Q298" i="50"/>
  <c r="Q296" i="50"/>
  <c r="Q297" i="50"/>
  <c r="Q282" i="50"/>
  <c r="Q486" i="50"/>
  <c r="Q394" i="50"/>
  <c r="Q487" i="50"/>
  <c r="Q488" i="50"/>
  <c r="Q397" i="50"/>
  <c r="Q400" i="50"/>
  <c r="Q680" i="50"/>
  <c r="Q678" i="50"/>
  <c r="Q689" i="50"/>
  <c r="Q691" i="50"/>
  <c r="Q692" i="50"/>
  <c r="Q693" i="50"/>
  <c r="Q694" i="50"/>
  <c r="Q695" i="50"/>
  <c r="Q696" i="50"/>
  <c r="Q685" i="50"/>
  <c r="Q697" i="50"/>
  <c r="Q698" i="50"/>
  <c r="Q699" i="50"/>
  <c r="Q700" i="50"/>
  <c r="Q701" i="50"/>
  <c r="Q4" i="50"/>
  <c r="S145" i="50"/>
  <c r="S139" i="50"/>
  <c r="S737" i="50"/>
  <c r="S744" i="50"/>
  <c r="S732" i="50"/>
  <c r="S731" i="50"/>
  <c r="S730" i="50"/>
  <c r="S722" i="50"/>
  <c r="S743" i="50"/>
  <c r="S720" i="50"/>
  <c r="S719" i="50"/>
  <c r="S715" i="50"/>
  <c r="S742" i="50"/>
  <c r="S741" i="50"/>
  <c r="S710" i="50"/>
  <c r="S708" i="50"/>
  <c r="S740" i="50"/>
  <c r="S739" i="50"/>
  <c r="S705" i="50"/>
  <c r="S704" i="50"/>
  <c r="S703" i="50"/>
  <c r="S687" i="50"/>
  <c r="AJ677" i="50"/>
  <c r="AJ649" i="50"/>
  <c r="AJ678" i="50"/>
  <c r="AJ670" i="50"/>
  <c r="AJ667" i="50"/>
  <c r="AJ664" i="50"/>
  <c r="AJ661" i="50"/>
  <c r="AJ657" i="50"/>
  <c r="AJ656" i="50"/>
  <c r="AJ654" i="50"/>
  <c r="AJ651" i="50"/>
  <c r="AJ672" i="50"/>
  <c r="AJ646" i="50"/>
  <c r="S646" i="50"/>
  <c r="AJ643" i="50"/>
  <c r="AJ641" i="50"/>
  <c r="AJ638" i="50"/>
  <c r="AJ635" i="50"/>
  <c r="AJ632" i="50"/>
  <c r="AJ631" i="50"/>
  <c r="AJ624" i="50"/>
  <c r="AJ622" i="50"/>
  <c r="AJ621" i="50"/>
  <c r="AJ619" i="50"/>
  <c r="AJ617" i="50"/>
  <c r="AJ612" i="50"/>
  <c r="AJ609" i="50"/>
  <c r="AJ608" i="50"/>
  <c r="AJ605" i="50"/>
  <c r="AJ601" i="50"/>
  <c r="AJ599" i="50"/>
  <c r="AJ596" i="50"/>
  <c r="AJ595" i="50"/>
  <c r="AJ593" i="50"/>
  <c r="AJ592" i="50"/>
  <c r="AJ590" i="50"/>
  <c r="AJ673" i="50"/>
  <c r="AJ676" i="50"/>
  <c r="AJ669" i="50"/>
  <c r="AJ666" i="50"/>
  <c r="AJ663" i="50"/>
  <c r="AJ660" i="50"/>
  <c r="AJ658" i="50"/>
  <c r="AJ650" i="50"/>
  <c r="AJ653" i="50"/>
  <c r="AJ647" i="50"/>
  <c r="AJ618" i="50"/>
  <c r="AJ642" i="50"/>
  <c r="AJ637" i="50"/>
  <c r="AJ634" i="50"/>
  <c r="AJ640" i="50"/>
  <c r="AJ623" i="50"/>
  <c r="AJ633" i="50"/>
  <c r="AJ603" i="50"/>
  <c r="AJ615" i="50"/>
  <c r="AJ613" i="50"/>
  <c r="AJ610" i="50"/>
  <c r="AJ625" i="50"/>
  <c r="AJ606" i="50"/>
  <c r="AJ600" i="50"/>
  <c r="AJ598" i="50"/>
  <c r="AJ597" i="50"/>
  <c r="AJ591" i="50"/>
  <c r="AJ594" i="50"/>
  <c r="AJ680" i="50"/>
  <c r="S578" i="50"/>
  <c r="F578" i="50"/>
  <c r="G578" i="50" s="1"/>
  <c r="S575" i="50"/>
  <c r="F575" i="50"/>
  <c r="G575" i="50" s="1"/>
  <c r="S552" i="50"/>
  <c r="S508" i="50"/>
  <c r="S550" i="50"/>
  <c r="S548" i="50"/>
  <c r="S546" i="50"/>
  <c r="S577" i="50"/>
  <c r="S564" i="50"/>
  <c r="F564" i="50"/>
  <c r="G564" i="50" s="1"/>
  <c r="S504" i="50"/>
  <c r="S558" i="50"/>
  <c r="S451" i="50"/>
  <c r="S569" i="50"/>
  <c r="S557" i="50"/>
  <c r="S448" i="50"/>
  <c r="S588" i="50"/>
  <c r="S586" i="50"/>
  <c r="S585" i="50"/>
  <c r="S584" i="50"/>
  <c r="S579" i="50"/>
  <c r="S525" i="50"/>
  <c r="S524" i="50"/>
  <c r="S523" i="50"/>
  <c r="S529" i="50"/>
  <c r="S522" i="50"/>
  <c r="S527" i="50"/>
  <c r="S520" i="50"/>
  <c r="S526" i="50"/>
  <c r="S519" i="50"/>
  <c r="S518" i="50"/>
  <c r="S517" i="50"/>
  <c r="S516" i="50"/>
  <c r="S515" i="50"/>
  <c r="S514" i="50"/>
  <c r="S513" i="50"/>
  <c r="S512" i="50"/>
  <c r="S528" i="50"/>
  <c r="S501" i="50"/>
  <c r="S473" i="50"/>
  <c r="S537" i="50"/>
  <c r="S433" i="50"/>
  <c r="S382" i="50"/>
  <c r="S536" i="50"/>
  <c r="S439" i="50"/>
  <c r="F562" i="50"/>
  <c r="G562" i="50" s="1"/>
  <c r="F561" i="50"/>
  <c r="G561" i="50" s="1"/>
  <c r="F560" i="50"/>
  <c r="G560" i="50" s="1"/>
  <c r="S421" i="50"/>
  <c r="S422" i="50"/>
  <c r="S420" i="50"/>
  <c r="S418" i="50"/>
  <c r="S416" i="50"/>
  <c r="S407" i="50"/>
  <c r="S389" i="50"/>
  <c r="S492" i="50"/>
  <c r="S506" i="50"/>
  <c r="S485" i="50"/>
  <c r="S505" i="50"/>
  <c r="S484" i="50"/>
  <c r="S503" i="50"/>
  <c r="S502" i="50"/>
  <c r="S499" i="50"/>
  <c r="S498" i="50"/>
  <c r="S497" i="50"/>
  <c r="S496" i="50"/>
  <c r="S483" i="50"/>
  <c r="S491" i="50"/>
  <c r="S482" i="50"/>
  <c r="S490" i="50"/>
  <c r="S480" i="50"/>
  <c r="F481" i="50"/>
  <c r="G481" i="50" s="1"/>
  <c r="S392" i="50"/>
  <c r="S479" i="50"/>
  <c r="S478" i="50"/>
  <c r="S467" i="50"/>
  <c r="S391" i="50"/>
  <c r="S458" i="50"/>
  <c r="S457" i="50"/>
  <c r="S455" i="50"/>
  <c r="S453" i="50"/>
  <c r="S388" i="50"/>
  <c r="S477" i="50"/>
  <c r="S385" i="50"/>
  <c r="S384" i="50"/>
  <c r="S449" i="50"/>
  <c r="F559" i="50"/>
  <c r="G559" i="50" s="1"/>
  <c r="S476" i="50"/>
  <c r="S475" i="50"/>
  <c r="S442" i="50"/>
  <c r="S440" i="50"/>
  <c r="S438" i="50"/>
  <c r="S436" i="50"/>
  <c r="S435" i="50"/>
  <c r="S434" i="50"/>
  <c r="S427" i="50"/>
  <c r="S474" i="50"/>
  <c r="S471" i="50"/>
  <c r="S423" i="50"/>
  <c r="S417" i="50"/>
  <c r="S415" i="50"/>
  <c r="S414" i="50"/>
  <c r="S410" i="50"/>
  <c r="S409" i="50"/>
  <c r="S403" i="50"/>
  <c r="S402" i="50"/>
  <c r="S381" i="50"/>
  <c r="S380" i="50"/>
  <c r="S379" i="50"/>
  <c r="S375" i="50"/>
  <c r="S373" i="50"/>
  <c r="S395" i="50"/>
  <c r="S372" i="50"/>
  <c r="S348" i="50"/>
  <c r="S347" i="50"/>
  <c r="S343" i="50"/>
  <c r="S291" i="50"/>
  <c r="S289" i="50"/>
  <c r="S338" i="50"/>
  <c r="S335" i="50"/>
  <c r="S329" i="50"/>
  <c r="S288" i="50"/>
  <c r="S287" i="50"/>
  <c r="S317" i="50"/>
  <c r="S294" i="50"/>
  <c r="S297" i="50"/>
  <c r="S334" i="50"/>
  <c r="F334" i="50"/>
  <c r="G334" i="50" s="1"/>
  <c r="F355" i="50"/>
  <c r="G355" i="50" s="1"/>
  <c r="F342" i="50"/>
  <c r="G342" i="50" s="1"/>
  <c r="F337" i="50"/>
  <c r="G337" i="50" s="1"/>
  <c r="F283" i="50"/>
  <c r="G283" i="50" s="1"/>
  <c r="S354" i="50"/>
  <c r="F354" i="50"/>
  <c r="G354" i="50" s="1"/>
  <c r="S293" i="50"/>
  <c r="S292" i="50"/>
  <c r="S365" i="50"/>
  <c r="F339" i="50"/>
  <c r="G339" i="50" s="1"/>
  <c r="S371" i="50"/>
  <c r="S363" i="50"/>
  <c r="S367" i="50"/>
  <c r="S284" i="50"/>
  <c r="S279" i="50"/>
  <c r="S281" i="50"/>
  <c r="S278" i="50"/>
  <c r="S277" i="50"/>
  <c r="F277" i="50"/>
  <c r="G277" i="50" s="1"/>
  <c r="F276" i="50"/>
  <c r="G276" i="50" s="1"/>
  <c r="S274" i="50"/>
  <c r="S267" i="50"/>
  <c r="S266" i="50"/>
  <c r="S265" i="50"/>
  <c r="S264" i="50"/>
  <c r="S262" i="50"/>
  <c r="S244" i="50"/>
  <c r="S257" i="50"/>
  <c r="S243" i="50"/>
  <c r="S256" i="50"/>
  <c r="S255" i="50"/>
  <c r="S254" i="50"/>
  <c r="S272" i="50"/>
  <c r="S271" i="50"/>
  <c r="S252" i="50"/>
  <c r="S269" i="50"/>
  <c r="S268" i="50"/>
  <c r="S251" i="50"/>
  <c r="S250" i="50"/>
  <c r="S249" i="50"/>
  <c r="S248" i="50"/>
  <c r="S247" i="50"/>
  <c r="S246" i="50"/>
  <c r="S242" i="50"/>
  <c r="S245" i="50"/>
  <c r="S241" i="50"/>
  <c r="S240" i="50"/>
  <c r="S239" i="50"/>
  <c r="S210" i="50"/>
  <c r="S152" i="50"/>
  <c r="AJ208" i="50"/>
  <c r="AJ207" i="50"/>
  <c r="AJ205" i="50"/>
  <c r="AJ203" i="50"/>
  <c r="AJ199" i="50"/>
  <c r="AJ198" i="50"/>
  <c r="AJ194" i="50"/>
  <c r="S194" i="50"/>
  <c r="AJ192" i="50"/>
  <c r="S192" i="50"/>
  <c r="AJ191" i="50"/>
  <c r="S189" i="50"/>
  <c r="S149" i="50"/>
  <c r="S148" i="50"/>
  <c r="S147" i="50"/>
  <c r="AJ183" i="50"/>
  <c r="AJ178" i="50"/>
  <c r="AJ174" i="50"/>
  <c r="AJ176" i="50"/>
  <c r="AJ170" i="50"/>
  <c r="AJ166" i="50"/>
  <c r="AJ168" i="50"/>
  <c r="AJ164" i="50"/>
  <c r="AJ162" i="50"/>
  <c r="AJ160" i="50"/>
  <c r="S226" i="50"/>
  <c r="S137" i="50"/>
  <c r="S132" i="50"/>
  <c r="S136" i="50"/>
  <c r="S131" i="50"/>
  <c r="S135" i="50"/>
  <c r="S134" i="50"/>
  <c r="S120" i="50"/>
  <c r="S122" i="50"/>
  <c r="S124" i="50"/>
  <c r="S121" i="50"/>
  <c r="S104" i="50"/>
  <c r="S30" i="50"/>
  <c r="S85" i="50"/>
  <c r="S83" i="50"/>
  <c r="S82" i="50"/>
  <c r="S81" i="50"/>
  <c r="S80" i="50"/>
  <c r="S76" i="50"/>
  <c r="S75" i="50"/>
  <c r="S69" i="50"/>
  <c r="S68" i="50"/>
  <c r="S97" i="50"/>
  <c r="S96" i="50"/>
  <c r="S67" i="50"/>
  <c r="S66" i="50"/>
  <c r="S95" i="50"/>
  <c r="F65" i="50"/>
  <c r="G65" i="50" s="1"/>
  <c r="S64" i="50"/>
  <c r="S94" i="50"/>
  <c r="S93" i="50"/>
  <c r="S60" i="50"/>
  <c r="S57" i="50"/>
  <c r="S92" i="50"/>
  <c r="S91" i="50"/>
  <c r="S90" i="50"/>
  <c r="S89" i="50"/>
  <c r="S88" i="50"/>
  <c r="S87" i="50"/>
  <c r="S86" i="50"/>
  <c r="S27" i="50"/>
  <c r="S42" i="50"/>
  <c r="S58" i="50"/>
  <c r="S37" i="50"/>
  <c r="AJ2" i="50" l="1"/>
  <c r="AK90" i="50"/>
  <c r="AL90" i="50" s="1"/>
  <c r="AN70" i="7"/>
  <c r="W70" i="7" a="1"/>
  <c r="W70" i="7" s="1"/>
  <c r="X70" i="7" a="1"/>
  <c r="X70" i="7" s="1"/>
  <c r="I70" i="7"/>
  <c r="R143" i="50"/>
  <c r="AP143" i="50"/>
  <c r="AQ143" i="50"/>
  <c r="R744" i="50"/>
  <c r="AH744" i="50" s="1" a="1"/>
  <c r="AH744" i="50" s="1"/>
  <c r="AI744" i="50" s="1"/>
  <c r="AQ744" i="50"/>
  <c r="AP744" i="50"/>
  <c r="R725" i="50"/>
  <c r="AP725" i="50"/>
  <c r="AQ725" i="50"/>
  <c r="R719" i="50"/>
  <c r="AH719" i="50" s="1" a="1"/>
  <c r="AH719" i="50" s="1"/>
  <c r="AI719" i="50" s="1"/>
  <c r="AQ719" i="50"/>
  <c r="AP719" i="50"/>
  <c r="AP712" i="50"/>
  <c r="AQ712" i="50"/>
  <c r="R739" i="50"/>
  <c r="AH739" i="50" s="1" a="1"/>
  <c r="AH739" i="50" s="1"/>
  <c r="AI739" i="50" s="1"/>
  <c r="AQ739" i="50"/>
  <c r="AP739" i="50"/>
  <c r="R701" i="50"/>
  <c r="AP701" i="50"/>
  <c r="AQ701" i="50"/>
  <c r="R694" i="50"/>
  <c r="AP694" i="50"/>
  <c r="AQ694" i="50"/>
  <c r="R678" i="50"/>
  <c r="AH678" i="50" s="1" a="1"/>
  <c r="AH678" i="50" s="1"/>
  <c r="AI678" i="50" s="1"/>
  <c r="AQ678" i="50"/>
  <c r="AP678" i="50"/>
  <c r="AP651" i="50"/>
  <c r="AQ651" i="50"/>
  <c r="AP631" i="50"/>
  <c r="AQ631" i="50"/>
  <c r="AP608" i="50"/>
  <c r="AQ608" i="50"/>
  <c r="AP590" i="50"/>
  <c r="AQ590" i="50"/>
  <c r="AP650" i="50"/>
  <c r="AQ650" i="50"/>
  <c r="AP640" i="50"/>
  <c r="AQ640" i="50"/>
  <c r="AP606" i="50"/>
  <c r="AQ606" i="50"/>
  <c r="R469" i="50"/>
  <c r="AP469" i="50"/>
  <c r="AQ469" i="50"/>
  <c r="R575" i="50"/>
  <c r="AH575" i="50" s="1" a="1"/>
  <c r="AH575" i="50" s="1"/>
  <c r="AI575" i="50" s="1"/>
  <c r="AP575" i="50"/>
  <c r="AQ575" i="50"/>
  <c r="R461" i="50"/>
  <c r="AP461" i="50"/>
  <c r="AQ461" i="50"/>
  <c r="R573" i="50"/>
  <c r="AP573" i="50"/>
  <c r="AQ573" i="50"/>
  <c r="R564" i="50"/>
  <c r="AH564" i="50" s="1" a="1"/>
  <c r="AH564" i="50" s="1"/>
  <c r="AI564" i="50" s="1"/>
  <c r="AQ564" i="50"/>
  <c r="AP564" i="50"/>
  <c r="R387" i="50"/>
  <c r="AQ387" i="50"/>
  <c r="AP387" i="50"/>
  <c r="R587" i="50"/>
  <c r="AH587" i="50" s="1" a="1"/>
  <c r="AH587" i="50" s="1"/>
  <c r="AI587" i="50" s="1"/>
  <c r="AQ587" i="50"/>
  <c r="AP587" i="50"/>
  <c r="R525" i="50"/>
  <c r="AH525" i="50" s="1" a="1"/>
  <c r="AH525" i="50" s="1"/>
  <c r="AI525" i="50" s="1"/>
  <c r="AP525" i="50"/>
  <c r="AQ525" i="50"/>
  <c r="AP526" i="50"/>
  <c r="AQ526" i="50"/>
  <c r="R512" i="50"/>
  <c r="AH512" i="50" s="1" a="1"/>
  <c r="AH512" i="50" s="1"/>
  <c r="AI512" i="50" s="1"/>
  <c r="AP512" i="50"/>
  <c r="AQ512" i="50"/>
  <c r="R441" i="50"/>
  <c r="AP441" i="50"/>
  <c r="AQ441" i="50"/>
  <c r="R538" i="50"/>
  <c r="AH538" i="50" s="1" a="1"/>
  <c r="AH538" i="50" s="1"/>
  <c r="AI538" i="50" s="1"/>
  <c r="AP538" i="50"/>
  <c r="AQ538" i="50"/>
  <c r="R565" i="50"/>
  <c r="AP565" i="50"/>
  <c r="AQ565" i="50"/>
  <c r="R424" i="50"/>
  <c r="AP424" i="50"/>
  <c r="AQ424" i="50"/>
  <c r="R418" i="50"/>
  <c r="AQ418" i="50"/>
  <c r="AP418" i="50"/>
  <c r="R401" i="50"/>
  <c r="AH401" i="50" s="1" a="1"/>
  <c r="AH401" i="50" s="1"/>
  <c r="AI401" i="50" s="1"/>
  <c r="AP401" i="50"/>
  <c r="AQ401" i="50"/>
  <c r="R485" i="50"/>
  <c r="AH485" i="50" s="1" a="1"/>
  <c r="AH485" i="50" s="1"/>
  <c r="AI485" i="50" s="1"/>
  <c r="AP485" i="50"/>
  <c r="AQ485" i="50"/>
  <c r="R498" i="50"/>
  <c r="AH498" i="50" s="1" a="1"/>
  <c r="AH498" i="50" s="1"/>
  <c r="AI498" i="50" s="1"/>
  <c r="AP498" i="50"/>
  <c r="AQ498" i="50"/>
  <c r="R482" i="50"/>
  <c r="AH482" i="50" s="1" a="1"/>
  <c r="AH482" i="50" s="1"/>
  <c r="AI482" i="50" s="1"/>
  <c r="AP482" i="50"/>
  <c r="AQ482" i="50"/>
  <c r="R488" i="50"/>
  <c r="AP488" i="50"/>
  <c r="AQ488" i="50"/>
  <c r="R460" i="50"/>
  <c r="AH460" i="50" s="1" a="1"/>
  <c r="AH460" i="50" s="1"/>
  <c r="AI460" i="50" s="1"/>
  <c r="AP460" i="50"/>
  <c r="AQ460" i="50"/>
  <c r="R385" i="50"/>
  <c r="AH385" i="50" s="1" a="1"/>
  <c r="AH385" i="50" s="1"/>
  <c r="AI385" i="50" s="1"/>
  <c r="AP385" i="50"/>
  <c r="AQ385" i="50"/>
  <c r="R440" i="50"/>
  <c r="AH440" i="50" s="1" a="1"/>
  <c r="AH440" i="50" s="1"/>
  <c r="AI440" i="50" s="1"/>
  <c r="AP440" i="50"/>
  <c r="AQ440" i="50"/>
  <c r="R425" i="50"/>
  <c r="AH425" i="50" s="1" a="1"/>
  <c r="AH425" i="50" s="1"/>
  <c r="AI425" i="50" s="1"/>
  <c r="AQ425" i="50"/>
  <c r="AP425" i="50"/>
  <c r="R409" i="50"/>
  <c r="AH409" i="50" s="1" a="1"/>
  <c r="AH409" i="50" s="1"/>
  <c r="AI409" i="50" s="1"/>
  <c r="AP409" i="50"/>
  <c r="AQ409" i="50"/>
  <c r="R373" i="50"/>
  <c r="AH373" i="50" s="1" a="1"/>
  <c r="AH373" i="50" s="1"/>
  <c r="AI373" i="50" s="1"/>
  <c r="AQ373" i="50"/>
  <c r="AP373" i="50"/>
  <c r="R360" i="50"/>
  <c r="AP360" i="50"/>
  <c r="AQ360" i="50"/>
  <c r="R347" i="50"/>
  <c r="AH347" i="50" s="1" a="1"/>
  <c r="AH347" i="50" s="1"/>
  <c r="AI347" i="50" s="1"/>
  <c r="AQ347" i="50"/>
  <c r="AP347" i="50"/>
  <c r="R289" i="50"/>
  <c r="AH289" i="50" s="1" a="1"/>
  <c r="AH289" i="50" s="1"/>
  <c r="AI289" i="50" s="1"/>
  <c r="AP289" i="50"/>
  <c r="AQ289" i="50"/>
  <c r="R320" i="50"/>
  <c r="AP320" i="50"/>
  <c r="AQ320" i="50"/>
  <c r="AQ314" i="50"/>
  <c r="AP314" i="50"/>
  <c r="AP300" i="50"/>
  <c r="AQ300" i="50"/>
  <c r="R355" i="50"/>
  <c r="AH355" i="50" s="1" a="1"/>
  <c r="AH355" i="50" s="1"/>
  <c r="AI355" i="50" s="1"/>
  <c r="AQ355" i="50"/>
  <c r="AP355" i="50"/>
  <c r="R345" i="50"/>
  <c r="AP345" i="50"/>
  <c r="AQ345" i="50"/>
  <c r="R326" i="50"/>
  <c r="AH326" i="50" s="1" a="1"/>
  <c r="AH326" i="50" s="1"/>
  <c r="AI326" i="50" s="1"/>
  <c r="AP326" i="50"/>
  <c r="AQ326" i="50"/>
  <c r="R309" i="50"/>
  <c r="AP309" i="50"/>
  <c r="AQ309" i="50"/>
  <c r="R279" i="50"/>
  <c r="AH279" i="50" s="1" a="1"/>
  <c r="AH279" i="50" s="1"/>
  <c r="AI279" i="50" s="1"/>
  <c r="AQ279" i="50"/>
  <c r="AP279" i="50"/>
  <c r="R267" i="50"/>
  <c r="AP267" i="50"/>
  <c r="AQ267" i="50"/>
  <c r="R244" i="50"/>
  <c r="AH244" i="50" s="1" a="1"/>
  <c r="AH244" i="50" s="1"/>
  <c r="AI244" i="50" s="1"/>
  <c r="AP244" i="50"/>
  <c r="AQ244" i="50"/>
  <c r="R271" i="50"/>
  <c r="AH271" i="50" s="1" a="1"/>
  <c r="AH271" i="50" s="1"/>
  <c r="AI271" i="50" s="1"/>
  <c r="AQ271" i="50"/>
  <c r="AP271" i="50"/>
  <c r="R247" i="50"/>
  <c r="AP247" i="50"/>
  <c r="AQ247" i="50"/>
  <c r="R238" i="50"/>
  <c r="AH238" i="50" s="1" a="1"/>
  <c r="AH238" i="50" s="1"/>
  <c r="AI238" i="50" s="1"/>
  <c r="AP238" i="50"/>
  <c r="AQ238" i="50"/>
  <c r="AQ205" i="50"/>
  <c r="AP205" i="50"/>
  <c r="R192" i="50"/>
  <c r="AH192" i="50" s="1" a="1"/>
  <c r="AH192" i="50" s="1"/>
  <c r="AI192" i="50" s="1"/>
  <c r="AQ192" i="50"/>
  <c r="AP192" i="50"/>
  <c r="R231" i="50"/>
  <c r="AH231" i="50" s="1" a="1"/>
  <c r="AH231" i="50" s="1"/>
  <c r="AI231" i="50" s="1"/>
  <c r="AP231" i="50"/>
  <c r="AQ231" i="50"/>
  <c r="AP174" i="50"/>
  <c r="AQ174" i="50"/>
  <c r="R160" i="50"/>
  <c r="AH160" i="50" s="1" a="1"/>
  <c r="AH160" i="50" s="1"/>
  <c r="AI160" i="50" s="1"/>
  <c r="AP160" i="50"/>
  <c r="AQ160" i="50"/>
  <c r="R136" i="50"/>
  <c r="AH136" i="50" s="1" a="1"/>
  <c r="AH136" i="50" s="1"/>
  <c r="AI136" i="50" s="1"/>
  <c r="AP136" i="50"/>
  <c r="AQ136" i="50"/>
  <c r="R120" i="50"/>
  <c r="AH120" i="50" s="1" a="1"/>
  <c r="AH120" i="50" s="1"/>
  <c r="AI120" i="50" s="1"/>
  <c r="AP120" i="50"/>
  <c r="AQ120" i="50"/>
  <c r="R121" i="50"/>
  <c r="AP121" i="50"/>
  <c r="AQ121" i="50"/>
  <c r="R104" i="50"/>
  <c r="AH104" i="50" s="1" a="1"/>
  <c r="AH104" i="50" s="1"/>
  <c r="AI104" i="50" s="1"/>
  <c r="AP104" i="50"/>
  <c r="AQ104" i="50"/>
  <c r="R80" i="50"/>
  <c r="AH80" i="50" s="1" a="1"/>
  <c r="AH80" i="50" s="1"/>
  <c r="AI80" i="50" s="1"/>
  <c r="AP80" i="50"/>
  <c r="AQ80" i="50"/>
  <c r="R72" i="50"/>
  <c r="AP72" i="50"/>
  <c r="AQ72" i="50"/>
  <c r="R34" i="50"/>
  <c r="AH34" i="50" s="1" a="1"/>
  <c r="AH34" i="50" s="1"/>
  <c r="AI34" i="50" s="1"/>
  <c r="AQ34" i="50"/>
  <c r="AP34" i="50"/>
  <c r="R63" i="50"/>
  <c r="AP63" i="50"/>
  <c r="AQ63" i="50"/>
  <c r="R55" i="50"/>
  <c r="AP55" i="50"/>
  <c r="AQ55" i="50"/>
  <c r="R47" i="50"/>
  <c r="AP47" i="50"/>
  <c r="AQ47" i="50"/>
  <c r="R42" i="50"/>
  <c r="AH42" i="50" s="1" a="1"/>
  <c r="AH42" i="50" s="1"/>
  <c r="AI42" i="50" s="1"/>
  <c r="AP42" i="50"/>
  <c r="AQ42" i="50"/>
  <c r="R35" i="50"/>
  <c r="AQ35" i="50"/>
  <c r="AP35" i="50"/>
  <c r="AP16" i="50"/>
  <c r="AQ16" i="50"/>
  <c r="R142" i="50"/>
  <c r="AQ142" i="50"/>
  <c r="AP142" i="50"/>
  <c r="R732" i="50"/>
  <c r="AH732" i="50" s="1" a="1"/>
  <c r="AH732" i="50" s="1"/>
  <c r="AI732" i="50" s="1"/>
  <c r="AP732" i="50"/>
  <c r="AQ732" i="50"/>
  <c r="R724" i="50"/>
  <c r="AQ724" i="50"/>
  <c r="AP724" i="50"/>
  <c r="R718" i="50"/>
  <c r="AQ718" i="50"/>
  <c r="AP718" i="50"/>
  <c r="R711" i="50"/>
  <c r="AP711" i="50"/>
  <c r="AQ711" i="50"/>
  <c r="R706" i="50"/>
  <c r="AQ706" i="50"/>
  <c r="AP706" i="50"/>
  <c r="R700" i="50"/>
  <c r="AP700" i="50"/>
  <c r="AQ700" i="50"/>
  <c r="R693" i="50"/>
  <c r="AQ693" i="50"/>
  <c r="AP693" i="50"/>
  <c r="AP670" i="50"/>
  <c r="AQ670" i="50"/>
  <c r="R672" i="50"/>
  <c r="AH672" i="50" s="1" a="1"/>
  <c r="AH672" i="50" s="1"/>
  <c r="AI672" i="50" s="1"/>
  <c r="AP672" i="50"/>
  <c r="AQ672" i="50"/>
  <c r="AP624" i="50"/>
  <c r="AQ624" i="50"/>
  <c r="AP605" i="50"/>
  <c r="AQ605" i="50"/>
  <c r="R673" i="50"/>
  <c r="AH673" i="50" s="1" a="1"/>
  <c r="AH673" i="50" s="1"/>
  <c r="AI673" i="50" s="1"/>
  <c r="AP673" i="50"/>
  <c r="AQ673" i="50"/>
  <c r="AP653" i="50"/>
  <c r="AQ653" i="50"/>
  <c r="AP623" i="50"/>
  <c r="AQ623" i="50"/>
  <c r="AP600" i="50"/>
  <c r="AQ600" i="50"/>
  <c r="R509" i="50"/>
  <c r="AP509" i="50"/>
  <c r="AQ509" i="50"/>
  <c r="R552" i="50"/>
  <c r="AH552" i="50" s="1" a="1"/>
  <c r="AH552" i="50" s="1"/>
  <c r="AP552" i="50"/>
  <c r="AQ552" i="50"/>
  <c r="R459" i="50"/>
  <c r="AP459" i="50"/>
  <c r="AQ459" i="50"/>
  <c r="R572" i="50"/>
  <c r="AP572" i="50"/>
  <c r="AQ572" i="50"/>
  <c r="R452" i="50"/>
  <c r="AP452" i="50"/>
  <c r="AQ452" i="50"/>
  <c r="R540" i="50"/>
  <c r="AQ540" i="50"/>
  <c r="AP540" i="50"/>
  <c r="R586" i="50"/>
  <c r="AH586" i="50" s="1" a="1"/>
  <c r="AH586" i="50" s="1"/>
  <c r="AI586" i="50" s="1"/>
  <c r="AP586" i="50"/>
  <c r="AQ586" i="50"/>
  <c r="R524" i="50"/>
  <c r="AH524" i="50" s="1" a="1"/>
  <c r="AH524" i="50" s="1"/>
  <c r="AI524" i="50" s="1"/>
  <c r="AQ524" i="50"/>
  <c r="AP524" i="50"/>
  <c r="R519" i="50"/>
  <c r="AH519" i="50" s="1" a="1"/>
  <c r="AH519" i="50" s="1"/>
  <c r="AI519" i="50" s="1"/>
  <c r="AP519" i="50"/>
  <c r="AQ519" i="50"/>
  <c r="R528" i="50"/>
  <c r="AH528" i="50" s="1" a="1"/>
  <c r="AH528" i="50" s="1"/>
  <c r="AI528" i="50" s="1"/>
  <c r="AP528" i="50"/>
  <c r="AQ528" i="50"/>
  <c r="R501" i="50"/>
  <c r="AP501" i="50"/>
  <c r="AQ501" i="50"/>
  <c r="R537" i="50"/>
  <c r="AH537" i="50" s="1" a="1"/>
  <c r="AH537" i="50" s="1"/>
  <c r="AI537" i="50" s="1"/>
  <c r="AP537" i="50"/>
  <c r="AQ537" i="50"/>
  <c r="R429" i="50"/>
  <c r="AQ429" i="50"/>
  <c r="AP429" i="50"/>
  <c r="R562" i="50"/>
  <c r="AH562" i="50" s="1" a="1"/>
  <c r="AH562" i="50" s="1"/>
  <c r="AI562" i="50" s="1"/>
  <c r="AP562" i="50"/>
  <c r="AQ562" i="50"/>
  <c r="R397" i="50"/>
  <c r="AH397" i="50" s="1" a="1"/>
  <c r="AH397" i="50" s="1"/>
  <c r="AI397" i="50" s="1"/>
  <c r="AP397" i="50"/>
  <c r="AQ397" i="50"/>
  <c r="R411" i="50"/>
  <c r="AP411" i="50"/>
  <c r="AQ411" i="50"/>
  <c r="R505" i="50"/>
  <c r="AH505" i="50" s="1" a="1"/>
  <c r="AH505" i="50" s="1"/>
  <c r="AI505" i="50" s="1"/>
  <c r="AQ505" i="50"/>
  <c r="AP505" i="50"/>
  <c r="R497" i="50"/>
  <c r="AH497" i="50" s="1" a="1"/>
  <c r="AH497" i="50" s="1"/>
  <c r="AI497" i="50" s="1"/>
  <c r="AP497" i="50"/>
  <c r="AQ497" i="50"/>
  <c r="R490" i="50"/>
  <c r="AH490" i="50" s="1" a="1"/>
  <c r="AH490" i="50" s="1"/>
  <c r="AI490" i="50" s="1"/>
  <c r="AQ490" i="50"/>
  <c r="AP490" i="50"/>
  <c r="R392" i="50"/>
  <c r="AH392" i="50" s="1" a="1"/>
  <c r="AH392" i="50" s="1"/>
  <c r="AI392" i="50" s="1"/>
  <c r="AQ392" i="50"/>
  <c r="AP392" i="50"/>
  <c r="R391" i="50"/>
  <c r="AH391" i="50" s="1" a="1"/>
  <c r="AH391" i="50" s="1"/>
  <c r="AI391" i="50" s="1"/>
  <c r="AP391" i="50"/>
  <c r="AQ391" i="50"/>
  <c r="R384" i="50"/>
  <c r="AH384" i="50" s="1" a="1"/>
  <c r="AH384" i="50" s="1"/>
  <c r="AI384" i="50" s="1"/>
  <c r="AP384" i="50"/>
  <c r="AQ384" i="50"/>
  <c r="R438" i="50"/>
  <c r="AH438" i="50" s="1" a="1"/>
  <c r="AH438" i="50" s="1"/>
  <c r="AI438" i="50" s="1"/>
  <c r="AQ438" i="50"/>
  <c r="AP438" i="50"/>
  <c r="R474" i="50"/>
  <c r="AH474" i="50" s="1" a="1"/>
  <c r="AH474" i="50" s="1"/>
  <c r="AI474" i="50" s="1"/>
  <c r="AP474" i="50"/>
  <c r="AQ474" i="50"/>
  <c r="R408" i="50"/>
  <c r="AP408" i="50"/>
  <c r="AQ408" i="50"/>
  <c r="R399" i="50"/>
  <c r="AH399" i="50" s="1" a="1"/>
  <c r="AH399" i="50" s="1"/>
  <c r="AI399" i="50" s="1"/>
  <c r="AP399" i="50"/>
  <c r="AQ399" i="50"/>
  <c r="R359" i="50"/>
  <c r="AQ359" i="50"/>
  <c r="AP359" i="50"/>
  <c r="R346" i="50"/>
  <c r="AP346" i="50"/>
  <c r="AQ346" i="50"/>
  <c r="R338" i="50"/>
  <c r="AH338" i="50" s="1" a="1"/>
  <c r="AH338" i="50" s="1"/>
  <c r="AI338" i="50" s="1"/>
  <c r="AP338" i="50"/>
  <c r="AQ338" i="50"/>
  <c r="R288" i="50"/>
  <c r="AH288" i="50" s="1" a="1"/>
  <c r="AH288" i="50" s="1"/>
  <c r="AI288" i="50" s="1"/>
  <c r="AP288" i="50"/>
  <c r="AQ288" i="50"/>
  <c r="AP313" i="50"/>
  <c r="AQ313" i="50"/>
  <c r="AK282" i="50"/>
  <c r="AQ282" i="50"/>
  <c r="AP282" i="50"/>
  <c r="R342" i="50"/>
  <c r="AH342" i="50" s="1" a="1"/>
  <c r="AH342" i="50" s="1"/>
  <c r="AI342" i="50" s="1"/>
  <c r="AP342" i="50"/>
  <c r="AQ342" i="50"/>
  <c r="R293" i="50"/>
  <c r="AH293" i="50" s="1" a="1"/>
  <c r="AH293" i="50" s="1"/>
  <c r="AI293" i="50" s="1"/>
  <c r="AP293" i="50"/>
  <c r="AQ293" i="50"/>
  <c r="R324" i="50"/>
  <c r="AH324" i="50" s="1" a="1"/>
  <c r="AH324" i="50" s="1"/>
  <c r="AI324" i="50" s="1"/>
  <c r="AP324" i="50"/>
  <c r="AQ324" i="50"/>
  <c r="R307" i="50"/>
  <c r="AQ307" i="50"/>
  <c r="AP307" i="50"/>
  <c r="R281" i="50"/>
  <c r="AP281" i="50"/>
  <c r="AQ281" i="50"/>
  <c r="R266" i="50"/>
  <c r="AH266" i="50" s="1" a="1"/>
  <c r="AH266" i="50" s="1"/>
  <c r="AI266" i="50" s="1"/>
  <c r="AP266" i="50"/>
  <c r="AQ266" i="50"/>
  <c r="R257" i="50"/>
  <c r="AQ257" i="50"/>
  <c r="AP257" i="50"/>
  <c r="R252" i="50"/>
  <c r="AH252" i="50" s="1" a="1"/>
  <c r="AH252" i="50" s="1"/>
  <c r="AI252" i="50" s="1"/>
  <c r="AP252" i="50"/>
  <c r="AQ252" i="50"/>
  <c r="R246" i="50"/>
  <c r="AP246" i="50"/>
  <c r="AQ246" i="50"/>
  <c r="R237" i="50"/>
  <c r="AH237" i="50" s="1" a="1"/>
  <c r="AH237" i="50" s="1"/>
  <c r="AI237" i="50" s="1"/>
  <c r="AQ237" i="50"/>
  <c r="AP237" i="50"/>
  <c r="AP203" i="50"/>
  <c r="AQ203" i="50"/>
  <c r="R191" i="50"/>
  <c r="AH191" i="50" s="1" a="1"/>
  <c r="AH191" i="50" s="1"/>
  <c r="AI191" i="50" s="1"/>
  <c r="AP191" i="50"/>
  <c r="AQ191" i="50"/>
  <c r="AP176" i="50"/>
  <c r="AQ176" i="50"/>
  <c r="R227" i="50"/>
  <c r="AH227" i="50" s="1" a="1"/>
  <c r="AH227" i="50" s="1"/>
  <c r="AI227" i="50" s="1"/>
  <c r="AQ227" i="50"/>
  <c r="AP227" i="50"/>
  <c r="R131" i="50"/>
  <c r="AH131" i="50" s="1" a="1"/>
  <c r="AH131" i="50" s="1"/>
  <c r="AI131" i="50" s="1"/>
  <c r="AP131" i="50"/>
  <c r="AQ131" i="50"/>
  <c r="R127" i="50"/>
  <c r="AQ127" i="50"/>
  <c r="AP127" i="50"/>
  <c r="R118" i="50"/>
  <c r="AP118" i="50"/>
  <c r="AQ118" i="50"/>
  <c r="R103" i="50"/>
  <c r="AQ103" i="50"/>
  <c r="AP103" i="50"/>
  <c r="R79" i="50"/>
  <c r="AQ79" i="50"/>
  <c r="AP79" i="50"/>
  <c r="R71" i="50"/>
  <c r="AQ71" i="50"/>
  <c r="AP71" i="50"/>
  <c r="R33" i="50"/>
  <c r="AP33" i="50"/>
  <c r="AQ33" i="50"/>
  <c r="R62" i="50"/>
  <c r="AP62" i="50"/>
  <c r="AQ62" i="50"/>
  <c r="R54" i="50"/>
  <c r="AP54" i="50"/>
  <c r="AQ54" i="50"/>
  <c r="AN90" i="50"/>
  <c r="AP90" i="50"/>
  <c r="AQ90" i="50"/>
  <c r="R29" i="50"/>
  <c r="AH29" i="50" s="1" a="1"/>
  <c r="AH29" i="50" s="1"/>
  <c r="AI29" i="50" s="1"/>
  <c r="AP29" i="50"/>
  <c r="AQ29" i="50"/>
  <c r="R59" i="50"/>
  <c r="AH59" i="50" s="1" a="1"/>
  <c r="AH59" i="50" s="1"/>
  <c r="AI59" i="50" s="1"/>
  <c r="AP59" i="50"/>
  <c r="AQ59" i="50"/>
  <c r="R26" i="50"/>
  <c r="AP26" i="50"/>
  <c r="AQ26" i="50"/>
  <c r="R14" i="50"/>
  <c r="AP14" i="50"/>
  <c r="AQ14" i="50"/>
  <c r="R4" i="50"/>
  <c r="AQ4" i="50"/>
  <c r="AP4" i="50"/>
  <c r="R745" i="50"/>
  <c r="AP745" i="50"/>
  <c r="AQ745" i="50"/>
  <c r="R731" i="50"/>
  <c r="AH731" i="50" s="1" a="1"/>
  <c r="AH731" i="50" s="1"/>
  <c r="AI731" i="50" s="1"/>
  <c r="AP731" i="50"/>
  <c r="AQ731" i="50"/>
  <c r="R723" i="50"/>
  <c r="AP723" i="50"/>
  <c r="AQ723" i="50"/>
  <c r="R717" i="50"/>
  <c r="AP717" i="50"/>
  <c r="AQ717" i="50"/>
  <c r="R742" i="50"/>
  <c r="AH742" i="50" s="1" a="1"/>
  <c r="AH742" i="50" s="1"/>
  <c r="AI742" i="50" s="1"/>
  <c r="AP742" i="50"/>
  <c r="AQ742" i="50"/>
  <c r="R705" i="50"/>
  <c r="AH705" i="50" s="1" a="1"/>
  <c r="AH705" i="50" s="1"/>
  <c r="AI705" i="50" s="1"/>
  <c r="AP705" i="50"/>
  <c r="AQ705" i="50"/>
  <c r="R699" i="50"/>
  <c r="AP699" i="50"/>
  <c r="AQ699" i="50"/>
  <c r="R692" i="50"/>
  <c r="AQ692" i="50"/>
  <c r="AP692" i="50"/>
  <c r="AP667" i="50"/>
  <c r="AQ667" i="50"/>
  <c r="R646" i="50"/>
  <c r="AH646" i="50" s="1" a="1"/>
  <c r="AH646" i="50" s="1"/>
  <c r="AI646" i="50" s="1"/>
  <c r="AP646" i="50"/>
  <c r="AQ646" i="50"/>
  <c r="AP622" i="50"/>
  <c r="AQ622" i="50"/>
  <c r="AP601" i="50"/>
  <c r="AQ601" i="50"/>
  <c r="R676" i="50"/>
  <c r="AH676" i="50" s="1" a="1"/>
  <c r="AH676" i="50" s="1"/>
  <c r="AI676" i="50" s="1"/>
  <c r="AP676" i="50"/>
  <c r="AQ676" i="50"/>
  <c r="R647" i="50"/>
  <c r="AH647" i="50" s="1" a="1"/>
  <c r="AH647" i="50" s="1"/>
  <c r="AI647" i="50" s="1"/>
  <c r="AP647" i="50"/>
  <c r="AQ647" i="50"/>
  <c r="AP633" i="50"/>
  <c r="AQ633" i="50"/>
  <c r="AP598" i="50"/>
  <c r="AQ598" i="50"/>
  <c r="R556" i="50"/>
  <c r="AH556" i="50" s="1" a="1"/>
  <c r="AH556" i="50" s="1"/>
  <c r="AP556" i="50"/>
  <c r="AQ556" i="50"/>
  <c r="R551" i="50"/>
  <c r="AP551" i="50"/>
  <c r="AQ551" i="50"/>
  <c r="R574" i="50"/>
  <c r="AP574" i="50"/>
  <c r="AQ574" i="50"/>
  <c r="R545" i="50"/>
  <c r="AH545" i="50" s="1" a="1"/>
  <c r="AH545" i="50" s="1"/>
  <c r="AP545" i="50"/>
  <c r="AQ545" i="50"/>
  <c r="R504" i="50"/>
  <c r="AP504" i="50"/>
  <c r="AQ504" i="50"/>
  <c r="R563" i="50"/>
  <c r="AH563" i="50" s="1" a="1"/>
  <c r="AH563" i="50" s="1"/>
  <c r="AI563" i="50" s="1"/>
  <c r="AP563" i="50"/>
  <c r="AQ563" i="50"/>
  <c r="R585" i="50"/>
  <c r="AH585" i="50" s="1" a="1"/>
  <c r="AH585" i="50" s="1"/>
  <c r="AI585" i="50" s="1"/>
  <c r="AP585" i="50"/>
  <c r="AQ585" i="50"/>
  <c r="R523" i="50"/>
  <c r="AH523" i="50" s="1" a="1"/>
  <c r="AH523" i="50" s="1"/>
  <c r="AI523" i="50" s="1"/>
  <c r="AP523" i="50"/>
  <c r="AQ523" i="50"/>
  <c r="R518" i="50"/>
  <c r="AH518" i="50" s="1" a="1"/>
  <c r="AH518" i="50" s="1"/>
  <c r="AI518" i="50" s="1"/>
  <c r="AP518" i="50"/>
  <c r="AQ518" i="50"/>
  <c r="R511" i="50"/>
  <c r="AH511" i="50" s="1" a="1"/>
  <c r="AH511" i="50" s="1"/>
  <c r="AI511" i="50" s="1"/>
  <c r="AP511" i="50"/>
  <c r="AQ511" i="50"/>
  <c r="R500" i="50"/>
  <c r="AP500" i="50"/>
  <c r="AQ500" i="50"/>
  <c r="R433" i="50"/>
  <c r="AP433" i="50"/>
  <c r="AQ433" i="50"/>
  <c r="R450" i="50"/>
  <c r="AP450" i="50"/>
  <c r="AQ450" i="50"/>
  <c r="R561" i="50"/>
  <c r="AH561" i="50" s="1" a="1"/>
  <c r="AH561" i="50" s="1"/>
  <c r="AI561" i="50" s="1"/>
  <c r="AQ561" i="50"/>
  <c r="AP561" i="50"/>
  <c r="R396" i="50"/>
  <c r="AH396" i="50" s="1" a="1"/>
  <c r="AH396" i="50" s="1"/>
  <c r="AI396" i="50" s="1"/>
  <c r="AQ396" i="50"/>
  <c r="AP396" i="50"/>
  <c r="R494" i="50"/>
  <c r="AQ494" i="50"/>
  <c r="AP494" i="50"/>
  <c r="R412" i="50"/>
  <c r="AP412" i="50"/>
  <c r="AQ412" i="50"/>
  <c r="R496" i="50"/>
  <c r="AH496" i="50" s="1" a="1"/>
  <c r="AH496" i="50" s="1"/>
  <c r="AI496" i="50" s="1"/>
  <c r="AP496" i="50"/>
  <c r="AQ496" i="50"/>
  <c r="R532" i="50"/>
  <c r="AH532" i="50" s="1" a="1"/>
  <c r="AH532" i="50" s="1"/>
  <c r="AI532" i="50" s="1"/>
  <c r="AP532" i="50"/>
  <c r="AQ532" i="50"/>
  <c r="R479" i="50"/>
  <c r="AH479" i="50" s="1" a="1"/>
  <c r="AH479" i="50" s="1"/>
  <c r="AI479" i="50" s="1"/>
  <c r="AP479" i="50"/>
  <c r="AQ479" i="50"/>
  <c r="R458" i="50"/>
  <c r="AH458" i="50" s="1" a="1"/>
  <c r="AH458" i="50" s="1"/>
  <c r="AI458" i="50" s="1"/>
  <c r="AP458" i="50"/>
  <c r="AQ458" i="50"/>
  <c r="R449" i="50"/>
  <c r="AH449" i="50" s="1" a="1"/>
  <c r="AH449" i="50" s="1"/>
  <c r="AI449" i="50" s="1"/>
  <c r="AP449" i="50"/>
  <c r="AQ449" i="50"/>
  <c r="R436" i="50"/>
  <c r="AH436" i="50" s="1" a="1"/>
  <c r="AH436" i="50" s="1"/>
  <c r="AI436" i="50" s="1"/>
  <c r="AP436" i="50"/>
  <c r="AQ436" i="50"/>
  <c r="R471" i="50"/>
  <c r="AH471" i="50" s="1" a="1"/>
  <c r="AH471" i="50" s="1"/>
  <c r="AI471" i="50" s="1"/>
  <c r="AP471" i="50"/>
  <c r="AQ471" i="50"/>
  <c r="R403" i="50"/>
  <c r="AH403" i="50" s="1" a="1"/>
  <c r="AH403" i="50" s="1"/>
  <c r="AI403" i="50" s="1"/>
  <c r="AP403" i="50"/>
  <c r="AQ403" i="50"/>
  <c r="R395" i="50"/>
  <c r="AH395" i="50" s="1" a="1"/>
  <c r="AH395" i="50" s="1"/>
  <c r="AI395" i="50" s="1"/>
  <c r="AQ395" i="50"/>
  <c r="AP395" i="50"/>
  <c r="R357" i="50"/>
  <c r="AP357" i="50"/>
  <c r="AQ357" i="50"/>
  <c r="R344" i="50"/>
  <c r="AP344" i="50"/>
  <c r="AQ344" i="50"/>
  <c r="R336" i="50"/>
  <c r="AQ336" i="50"/>
  <c r="AP336" i="50"/>
  <c r="R287" i="50"/>
  <c r="AH287" i="50" s="1" a="1"/>
  <c r="AH287" i="50" s="1"/>
  <c r="AI287" i="50" s="1"/>
  <c r="AP287" i="50"/>
  <c r="AQ287" i="50"/>
  <c r="R311" i="50"/>
  <c r="AP311" i="50"/>
  <c r="AQ311" i="50"/>
  <c r="R294" i="50"/>
  <c r="AH294" i="50" s="1" a="1"/>
  <c r="AH294" i="50" s="1"/>
  <c r="AI294" i="50" s="1"/>
  <c r="AP294" i="50"/>
  <c r="AQ294" i="50"/>
  <c r="R337" i="50"/>
  <c r="AH337" i="50" s="1" a="1"/>
  <c r="AH337" i="50" s="1"/>
  <c r="AI337" i="50" s="1"/>
  <c r="AP337" i="50"/>
  <c r="AQ337" i="50"/>
  <c r="R292" i="50"/>
  <c r="AH292" i="50" s="1" a="1"/>
  <c r="AH292" i="50" s="1"/>
  <c r="AI292" i="50" s="1"/>
  <c r="AP292" i="50"/>
  <c r="AQ292" i="50"/>
  <c r="R323" i="50"/>
  <c r="AP323" i="50"/>
  <c r="AQ323" i="50"/>
  <c r="R306" i="50"/>
  <c r="AP306" i="50"/>
  <c r="AQ306" i="50"/>
  <c r="R280" i="50"/>
  <c r="AQ280" i="50"/>
  <c r="AP280" i="50"/>
  <c r="R265" i="50"/>
  <c r="AH265" i="50" s="1" a="1"/>
  <c r="AH265" i="50" s="1"/>
  <c r="AI265" i="50" s="1"/>
  <c r="AP265" i="50"/>
  <c r="AQ265" i="50"/>
  <c r="R243" i="50"/>
  <c r="AH243" i="50" s="1" a="1"/>
  <c r="AH243" i="50" s="1"/>
  <c r="AI243" i="50" s="1"/>
  <c r="AP243" i="50"/>
  <c r="AQ243" i="50"/>
  <c r="AQ269" i="50"/>
  <c r="AP269" i="50"/>
  <c r="R242" i="50"/>
  <c r="AH242" i="50" s="1" a="1"/>
  <c r="AH242" i="50" s="1"/>
  <c r="AI242" i="50" s="1"/>
  <c r="AP242" i="50"/>
  <c r="AQ242" i="50"/>
  <c r="R236" i="50"/>
  <c r="AH236" i="50" s="1" a="1"/>
  <c r="AH236" i="50" s="1"/>
  <c r="AI236" i="50" s="1"/>
  <c r="AQ236" i="50"/>
  <c r="AP236" i="50"/>
  <c r="AP202" i="50"/>
  <c r="AQ202" i="50"/>
  <c r="R189" i="50"/>
  <c r="AH189" i="50" s="1" a="1"/>
  <c r="AH189" i="50" s="1"/>
  <c r="AI189" i="50" s="1"/>
  <c r="AP189" i="50"/>
  <c r="AQ189" i="50"/>
  <c r="AQ183" i="50"/>
  <c r="AP183" i="50"/>
  <c r="AQ171" i="50"/>
  <c r="AP171" i="50"/>
  <c r="R226" i="50"/>
  <c r="AH226" i="50" s="1" a="1"/>
  <c r="AH226" i="50" s="1"/>
  <c r="AI226" i="50" s="1"/>
  <c r="AP226" i="50"/>
  <c r="AQ226" i="50"/>
  <c r="R135" i="50"/>
  <c r="AH135" i="50" s="1" a="1"/>
  <c r="AH135" i="50" s="1"/>
  <c r="AI135" i="50" s="1"/>
  <c r="AP135" i="50"/>
  <c r="AQ135" i="50"/>
  <c r="R126" i="50"/>
  <c r="AP126" i="50"/>
  <c r="AQ126" i="50"/>
  <c r="R117" i="50"/>
  <c r="AP117" i="50"/>
  <c r="AQ117" i="50"/>
  <c r="R30" i="50"/>
  <c r="AH30" i="50" s="1" a="1"/>
  <c r="AH30" i="50" s="1"/>
  <c r="AI30" i="50" s="1"/>
  <c r="AP30" i="50"/>
  <c r="AQ30" i="50"/>
  <c r="R78" i="50"/>
  <c r="AP78" i="50"/>
  <c r="AQ78" i="50"/>
  <c r="R70" i="50"/>
  <c r="AQ70" i="50"/>
  <c r="AP70" i="50"/>
  <c r="R66" i="50"/>
  <c r="AH66" i="50" s="1" a="1"/>
  <c r="AH66" i="50" s="1"/>
  <c r="AI66" i="50" s="1"/>
  <c r="AQ66" i="50"/>
  <c r="AP66" i="50"/>
  <c r="R94" i="50"/>
  <c r="AH94" i="50" s="1" a="1"/>
  <c r="AH94" i="50" s="1"/>
  <c r="AI94" i="50" s="1"/>
  <c r="AP94" i="50"/>
  <c r="AQ94" i="50"/>
  <c r="R53" i="50"/>
  <c r="AH53" i="50" s="1" a="1"/>
  <c r="AH53" i="50" s="1"/>
  <c r="AI53" i="50" s="1"/>
  <c r="AP53" i="50"/>
  <c r="AQ53" i="50"/>
  <c r="R89" i="50"/>
  <c r="AH89" i="50" s="1" a="1"/>
  <c r="AH89" i="50" s="1"/>
  <c r="AI89" i="50" s="1"/>
  <c r="AP89" i="50"/>
  <c r="AQ89" i="50"/>
  <c r="R28" i="50"/>
  <c r="AH28" i="50" s="1" a="1"/>
  <c r="AH28" i="50" s="1"/>
  <c r="AI28" i="50" s="1"/>
  <c r="AP28" i="50"/>
  <c r="AQ28" i="50"/>
  <c r="R58" i="50"/>
  <c r="AH58" i="50" s="1" a="1"/>
  <c r="AH58" i="50" s="1"/>
  <c r="AI58" i="50" s="1"/>
  <c r="AP58" i="50"/>
  <c r="AQ58" i="50"/>
  <c r="R25" i="50"/>
  <c r="AP25" i="50"/>
  <c r="AQ25" i="50"/>
  <c r="R13" i="50"/>
  <c r="AQ13" i="50"/>
  <c r="AP13" i="50"/>
  <c r="R145" i="50"/>
  <c r="AQ145" i="50"/>
  <c r="AP145" i="50"/>
  <c r="R737" i="50"/>
  <c r="AH737" i="50" s="1" a="1"/>
  <c r="AH737" i="50" s="1"/>
  <c r="AI737" i="50" s="1"/>
  <c r="AQ737" i="50"/>
  <c r="AP737" i="50"/>
  <c r="R730" i="50"/>
  <c r="AH730" i="50" s="1" a="1"/>
  <c r="AH730" i="50" s="1"/>
  <c r="AI730" i="50" s="1"/>
  <c r="AQ730" i="50"/>
  <c r="AP730" i="50"/>
  <c r="R722" i="50"/>
  <c r="AH722" i="50" s="1" a="1"/>
  <c r="AH722" i="50" s="1"/>
  <c r="AI722" i="50" s="1"/>
  <c r="AP722" i="50"/>
  <c r="AQ722" i="50"/>
  <c r="R716" i="50"/>
  <c r="AQ716" i="50"/>
  <c r="AP716" i="50"/>
  <c r="R741" i="50"/>
  <c r="AH741" i="50" s="1" a="1"/>
  <c r="AH741" i="50" s="1"/>
  <c r="AI741" i="50" s="1"/>
  <c r="AP741" i="50"/>
  <c r="AQ741" i="50"/>
  <c r="R704" i="50"/>
  <c r="AH704" i="50" s="1" a="1"/>
  <c r="AH704" i="50" s="1"/>
  <c r="AI704" i="50" s="1"/>
  <c r="AP704" i="50"/>
  <c r="AQ704" i="50"/>
  <c r="R698" i="50"/>
  <c r="AP698" i="50"/>
  <c r="AQ698" i="50"/>
  <c r="R691" i="50"/>
  <c r="AP691" i="50"/>
  <c r="AQ691" i="50"/>
  <c r="AP664" i="50"/>
  <c r="AQ664" i="50"/>
  <c r="R643" i="50"/>
  <c r="AH643" i="50" s="1" a="1"/>
  <c r="AH643" i="50" s="1"/>
  <c r="AI643" i="50" s="1"/>
  <c r="AQ643" i="50"/>
  <c r="AP643" i="50"/>
  <c r="AP621" i="50"/>
  <c r="AQ621" i="50"/>
  <c r="AP599" i="50"/>
  <c r="AQ599" i="50"/>
  <c r="AP669" i="50"/>
  <c r="AQ669" i="50"/>
  <c r="AP618" i="50"/>
  <c r="AQ618" i="50"/>
  <c r="AP603" i="50"/>
  <c r="AQ603" i="50"/>
  <c r="AP597" i="50"/>
  <c r="AQ597" i="50"/>
  <c r="R555" i="50"/>
  <c r="AH555" i="50" s="1" a="1"/>
  <c r="AH555" i="50" s="1"/>
  <c r="AP555" i="50"/>
  <c r="AQ555" i="50"/>
  <c r="R508" i="50"/>
  <c r="AP508" i="50"/>
  <c r="AQ508" i="50"/>
  <c r="R530" i="50"/>
  <c r="AH530" i="50" s="1" a="1"/>
  <c r="AH530" i="50" s="1"/>
  <c r="AI530" i="50" s="1"/>
  <c r="AP530" i="50"/>
  <c r="AQ530" i="50"/>
  <c r="R577" i="50"/>
  <c r="AH577" i="50" s="1" a="1"/>
  <c r="AH577" i="50" s="1"/>
  <c r="AI577" i="50" s="1"/>
  <c r="AP577" i="50"/>
  <c r="AQ577" i="50"/>
  <c r="R558" i="50"/>
  <c r="AH558" i="50" s="1" a="1"/>
  <c r="AH558" i="50" s="1"/>
  <c r="AI558" i="50" s="1"/>
  <c r="AQ558" i="50"/>
  <c r="AP558" i="50"/>
  <c r="R570" i="50"/>
  <c r="AP570" i="50"/>
  <c r="AQ570" i="50"/>
  <c r="R584" i="50"/>
  <c r="AH584" i="50" s="1" a="1"/>
  <c r="AH584" i="50" s="1"/>
  <c r="AI584" i="50" s="1"/>
  <c r="AP584" i="50"/>
  <c r="AQ584" i="50"/>
  <c r="R529" i="50"/>
  <c r="AH529" i="50" s="1" a="1"/>
  <c r="AH529" i="50" s="1"/>
  <c r="AI529" i="50" s="1"/>
  <c r="AQ529" i="50"/>
  <c r="AP529" i="50"/>
  <c r="R517" i="50"/>
  <c r="AH517" i="50" s="1" a="1"/>
  <c r="AH517" i="50" s="1"/>
  <c r="AI517" i="50" s="1"/>
  <c r="AP517" i="50"/>
  <c r="AQ517" i="50"/>
  <c r="R510" i="50"/>
  <c r="AH510" i="50" s="1" a="1"/>
  <c r="AH510" i="50" s="1"/>
  <c r="AI510" i="50" s="1"/>
  <c r="AP510" i="50"/>
  <c r="AQ510" i="50"/>
  <c r="R437" i="50"/>
  <c r="AP437" i="50"/>
  <c r="AQ437" i="50"/>
  <c r="R432" i="50"/>
  <c r="AQ432" i="50"/>
  <c r="AP432" i="50"/>
  <c r="R428" i="50"/>
  <c r="AP428" i="50"/>
  <c r="AQ428" i="50"/>
  <c r="R560" i="50"/>
  <c r="AH560" i="50" s="1" a="1"/>
  <c r="AH560" i="50" s="1"/>
  <c r="AI560" i="50" s="1"/>
  <c r="AP560" i="50"/>
  <c r="AQ560" i="50"/>
  <c r="R416" i="50"/>
  <c r="AP416" i="50"/>
  <c r="AQ416" i="50"/>
  <c r="R492" i="50"/>
  <c r="AP492" i="50"/>
  <c r="AQ492" i="50"/>
  <c r="R484" i="50"/>
  <c r="AH484" i="50" s="1" a="1"/>
  <c r="AH484" i="50" s="1"/>
  <c r="AI484" i="50" s="1"/>
  <c r="AQ484" i="50"/>
  <c r="AP484" i="50"/>
  <c r="R483" i="50"/>
  <c r="AH483" i="50" s="1" a="1"/>
  <c r="AH483" i="50" s="1"/>
  <c r="AI483" i="50" s="1"/>
  <c r="AQ483" i="50"/>
  <c r="AP483" i="50"/>
  <c r="R489" i="50"/>
  <c r="AH489" i="50" s="1" a="1"/>
  <c r="AH489" i="50" s="1"/>
  <c r="AI489" i="50" s="1"/>
  <c r="AQ489" i="50"/>
  <c r="AP489" i="50"/>
  <c r="R478" i="50"/>
  <c r="AH478" i="50" s="1" a="1"/>
  <c r="AH478" i="50" s="1"/>
  <c r="AI478" i="50" s="1"/>
  <c r="AP478" i="50"/>
  <c r="AQ478" i="50"/>
  <c r="R457" i="50"/>
  <c r="AH457" i="50" s="1" a="1"/>
  <c r="AH457" i="50" s="1"/>
  <c r="AI457" i="50" s="1"/>
  <c r="AP457" i="50"/>
  <c r="AQ457" i="50"/>
  <c r="R559" i="50"/>
  <c r="AH559" i="50" s="1" a="1"/>
  <c r="AH559" i="50" s="1"/>
  <c r="AI559" i="50" s="1"/>
  <c r="AP559" i="50"/>
  <c r="AQ559" i="50"/>
  <c r="R435" i="50"/>
  <c r="AH435" i="50" s="1" a="1"/>
  <c r="AH435" i="50" s="1"/>
  <c r="AI435" i="50" s="1"/>
  <c r="AP435" i="50"/>
  <c r="AQ435" i="50"/>
  <c r="R423" i="50"/>
  <c r="AH423" i="50" s="1" a="1"/>
  <c r="AH423" i="50" s="1"/>
  <c r="AI423" i="50" s="1"/>
  <c r="AP423" i="50"/>
  <c r="AQ423" i="50"/>
  <c r="R402" i="50"/>
  <c r="AH402" i="50" s="1" a="1"/>
  <c r="AH402" i="50" s="1"/>
  <c r="AI402" i="50" s="1"/>
  <c r="AP402" i="50"/>
  <c r="AQ402" i="50"/>
  <c r="R393" i="50"/>
  <c r="AH393" i="50" s="1" a="1"/>
  <c r="AH393" i="50" s="1"/>
  <c r="AI393" i="50" s="1"/>
  <c r="AP393" i="50"/>
  <c r="AQ393" i="50"/>
  <c r="R372" i="50"/>
  <c r="AH372" i="50" s="1" a="1"/>
  <c r="AH372" i="50" s="1"/>
  <c r="AI372" i="50" s="1"/>
  <c r="AP372" i="50"/>
  <c r="AQ372" i="50"/>
  <c r="R295" i="50"/>
  <c r="AP295" i="50"/>
  <c r="AQ295" i="50"/>
  <c r="R335" i="50"/>
  <c r="AH335" i="50" s="1" a="1"/>
  <c r="AH335" i="50" s="1"/>
  <c r="AI335" i="50" s="1"/>
  <c r="AP335" i="50"/>
  <c r="AQ335" i="50"/>
  <c r="R286" i="50"/>
  <c r="AP286" i="50"/>
  <c r="AQ286" i="50"/>
  <c r="R308" i="50"/>
  <c r="AP308" i="50"/>
  <c r="AQ308" i="50"/>
  <c r="R297" i="50"/>
  <c r="AQ297" i="50"/>
  <c r="AP297" i="50"/>
  <c r="R283" i="50"/>
  <c r="AP283" i="50"/>
  <c r="AQ283" i="50"/>
  <c r="R365" i="50"/>
  <c r="AH365" i="50" s="1" a="1"/>
  <c r="AH365" i="50" s="1"/>
  <c r="AI365" i="50" s="1"/>
  <c r="AP365" i="50"/>
  <c r="AQ365" i="50"/>
  <c r="R356" i="50"/>
  <c r="AH356" i="50" s="1" a="1"/>
  <c r="AH356" i="50" s="1"/>
  <c r="AI356" i="50" s="1"/>
  <c r="AP356" i="50"/>
  <c r="AQ356" i="50"/>
  <c r="R298" i="50"/>
  <c r="AP298" i="50"/>
  <c r="AQ298" i="50"/>
  <c r="R278" i="50"/>
  <c r="AH278" i="50" s="1" a="1"/>
  <c r="AH278" i="50" s="1"/>
  <c r="AI278" i="50" s="1"/>
  <c r="AP278" i="50"/>
  <c r="AQ278" i="50"/>
  <c r="R264" i="50"/>
  <c r="AH264" i="50" s="1" a="1"/>
  <c r="AH264" i="50" s="1"/>
  <c r="AI264" i="50" s="1"/>
  <c r="AP264" i="50"/>
  <c r="AQ264" i="50"/>
  <c r="R256" i="50"/>
  <c r="AP256" i="50"/>
  <c r="AQ256" i="50"/>
  <c r="R268" i="50"/>
  <c r="AH268" i="50" s="1" a="1"/>
  <c r="AH268" i="50" s="1"/>
  <c r="AI268" i="50" s="1"/>
  <c r="AQ268" i="50"/>
  <c r="AP268" i="50"/>
  <c r="R245" i="50"/>
  <c r="AH245" i="50" s="1" a="1"/>
  <c r="AH245" i="50" s="1"/>
  <c r="AI245" i="50" s="1"/>
  <c r="AP245" i="50"/>
  <c r="AQ245" i="50"/>
  <c r="R235" i="50"/>
  <c r="AH235" i="50" s="1" a="1"/>
  <c r="AH235" i="50" s="1"/>
  <c r="AI235" i="50" s="1"/>
  <c r="AP235" i="50"/>
  <c r="AQ235" i="50"/>
  <c r="AQ201" i="50"/>
  <c r="AP201" i="50"/>
  <c r="R150" i="50"/>
  <c r="AH150" i="50" s="1" a="1"/>
  <c r="AH150" i="50" s="1"/>
  <c r="AI150" i="50" s="1"/>
  <c r="AP150" i="50"/>
  <c r="AQ150" i="50"/>
  <c r="AQ170" i="50"/>
  <c r="AP170" i="50"/>
  <c r="R225" i="50"/>
  <c r="AH225" i="50" s="1" a="1"/>
  <c r="AH225" i="50" s="1"/>
  <c r="AI225" i="50" s="1"/>
  <c r="AP225" i="50"/>
  <c r="AQ225" i="50"/>
  <c r="R133" i="50"/>
  <c r="AH133" i="50" s="1" a="1"/>
  <c r="AH133" i="50" s="1"/>
  <c r="AI133" i="50" s="1"/>
  <c r="AQ133" i="50"/>
  <c r="AP133" i="50"/>
  <c r="R122" i="50"/>
  <c r="AH122" i="50" s="1" a="1"/>
  <c r="AH122" i="50" s="1"/>
  <c r="AI122" i="50" s="1"/>
  <c r="AP122" i="50"/>
  <c r="AQ122" i="50"/>
  <c r="R116" i="50"/>
  <c r="AQ116" i="50"/>
  <c r="AP116" i="50"/>
  <c r="R85" i="50"/>
  <c r="AH85" i="50" s="1" a="1"/>
  <c r="AH85" i="50" s="1"/>
  <c r="AI85" i="50" s="1"/>
  <c r="AP85" i="50"/>
  <c r="AQ85" i="50"/>
  <c r="R77" i="50"/>
  <c r="AH77" i="50" s="1" a="1"/>
  <c r="AH77" i="50" s="1"/>
  <c r="AI77" i="50" s="1"/>
  <c r="AP77" i="50"/>
  <c r="AQ77" i="50"/>
  <c r="R69" i="50"/>
  <c r="AH69" i="50" s="1" a="1"/>
  <c r="AH69" i="50" s="1"/>
  <c r="AI69" i="50" s="1"/>
  <c r="AP69" i="50"/>
  <c r="AQ69" i="50"/>
  <c r="R95" i="50"/>
  <c r="AH95" i="50" s="1" a="1"/>
  <c r="AH95" i="50" s="1"/>
  <c r="AI95" i="50" s="1"/>
  <c r="AQ95" i="50"/>
  <c r="AP95" i="50"/>
  <c r="R93" i="50"/>
  <c r="AH93" i="50" s="1" a="1"/>
  <c r="AH93" i="50" s="1"/>
  <c r="AI93" i="50" s="1"/>
  <c r="AQ93" i="50"/>
  <c r="AP93" i="50"/>
  <c r="R52" i="50"/>
  <c r="AH52" i="50" s="1" a="1"/>
  <c r="AH52" i="50" s="1"/>
  <c r="AI52" i="50" s="1"/>
  <c r="AQ52" i="50"/>
  <c r="AP52" i="50"/>
  <c r="R88" i="50"/>
  <c r="AH88" i="50" s="1" a="1"/>
  <c r="AH88" i="50" s="1"/>
  <c r="AI88" i="50" s="1"/>
  <c r="AQ88" i="50"/>
  <c r="AP88" i="50"/>
  <c r="R46" i="50"/>
  <c r="AH46" i="50" s="1" a="1"/>
  <c r="AH46" i="50" s="1"/>
  <c r="AI46" i="50" s="1"/>
  <c r="AQ46" i="50"/>
  <c r="AP46" i="50"/>
  <c r="R41" i="50"/>
  <c r="AP41" i="50"/>
  <c r="AQ41" i="50"/>
  <c r="AQ23" i="50"/>
  <c r="AP23" i="50"/>
  <c r="R12" i="50"/>
  <c r="AQ12" i="50"/>
  <c r="AP12" i="50"/>
  <c r="R139" i="50"/>
  <c r="AH139" i="50" s="1" a="1"/>
  <c r="AH139" i="50" s="1"/>
  <c r="AI139" i="50" s="1"/>
  <c r="AP139" i="50"/>
  <c r="AQ139" i="50"/>
  <c r="R736" i="50"/>
  <c r="AQ736" i="50"/>
  <c r="AP736" i="50"/>
  <c r="R729" i="50"/>
  <c r="AP729" i="50"/>
  <c r="AQ729" i="50"/>
  <c r="R721" i="50"/>
  <c r="AQ721" i="50"/>
  <c r="AP721" i="50"/>
  <c r="R715" i="50"/>
  <c r="AQ715" i="50"/>
  <c r="AP715" i="50"/>
  <c r="R710" i="50"/>
  <c r="AH710" i="50" s="1" a="1"/>
  <c r="AH710" i="50" s="1"/>
  <c r="AI710" i="50" s="1"/>
  <c r="AQ710" i="50"/>
  <c r="AP710" i="50"/>
  <c r="R703" i="50"/>
  <c r="AH703" i="50" s="1" a="1"/>
  <c r="AH703" i="50" s="1"/>
  <c r="AI703" i="50" s="1"/>
  <c r="AQ703" i="50"/>
  <c r="AP703" i="50"/>
  <c r="R697" i="50"/>
  <c r="AQ697" i="50"/>
  <c r="AP697" i="50"/>
  <c r="R690" i="50"/>
  <c r="AH690" i="50" s="1" a="1"/>
  <c r="AH690" i="50" s="1"/>
  <c r="AI690" i="50" s="1"/>
  <c r="AP690" i="50"/>
  <c r="AQ690" i="50"/>
  <c r="AP661" i="50"/>
  <c r="AQ661" i="50"/>
  <c r="AQ641" i="50"/>
  <c r="AP641" i="50"/>
  <c r="AP619" i="50"/>
  <c r="AQ619" i="50"/>
  <c r="AP596" i="50"/>
  <c r="AQ596" i="50"/>
  <c r="AP666" i="50"/>
  <c r="AQ666" i="50"/>
  <c r="R642" i="50"/>
  <c r="AH642" i="50" s="1" a="1"/>
  <c r="AH642" i="50" s="1"/>
  <c r="AI642" i="50" s="1"/>
  <c r="AP642" i="50"/>
  <c r="AQ642" i="50"/>
  <c r="AP615" i="50"/>
  <c r="AQ615" i="50"/>
  <c r="AP591" i="50"/>
  <c r="AQ591" i="50"/>
  <c r="R578" i="50"/>
  <c r="AH578" i="50" s="1" a="1"/>
  <c r="AH578" i="50" s="1"/>
  <c r="AI578" i="50" s="1"/>
  <c r="AP578" i="50"/>
  <c r="AQ578" i="50"/>
  <c r="R463" i="50"/>
  <c r="AP463" i="50"/>
  <c r="AQ463" i="50"/>
  <c r="R548" i="50"/>
  <c r="AH548" i="50" s="1" a="1"/>
  <c r="AH548" i="50" s="1"/>
  <c r="AI548" i="50" s="1"/>
  <c r="AP548" i="50"/>
  <c r="AQ548" i="50"/>
  <c r="R390" i="50"/>
  <c r="AP390" i="50"/>
  <c r="AQ390" i="50"/>
  <c r="R451" i="50"/>
  <c r="AP451" i="50"/>
  <c r="AQ451" i="50"/>
  <c r="R383" i="50"/>
  <c r="AQ383" i="50"/>
  <c r="AP383" i="50"/>
  <c r="R581" i="50"/>
  <c r="AH581" i="50" s="1" a="1"/>
  <c r="AH581" i="50" s="1"/>
  <c r="AI581" i="50" s="1"/>
  <c r="AP581" i="50"/>
  <c r="AQ581" i="50"/>
  <c r="R522" i="50"/>
  <c r="AH522" i="50" s="1" a="1"/>
  <c r="AH522" i="50" s="1"/>
  <c r="AI522" i="50" s="1"/>
  <c r="AQ522" i="50"/>
  <c r="AP522" i="50"/>
  <c r="R516" i="50"/>
  <c r="AH516" i="50" s="1" a="1"/>
  <c r="AH516" i="50" s="1"/>
  <c r="AI516" i="50" s="1"/>
  <c r="AP516" i="50"/>
  <c r="AQ516" i="50"/>
  <c r="R447" i="50"/>
  <c r="AP447" i="50"/>
  <c r="AQ447" i="50"/>
  <c r="R567" i="50"/>
  <c r="AP567" i="50"/>
  <c r="AQ567" i="50"/>
  <c r="R382" i="50"/>
  <c r="AP382" i="50"/>
  <c r="AQ382" i="50"/>
  <c r="R536" i="50"/>
  <c r="AH536" i="50" s="1" a="1"/>
  <c r="AH536" i="50" s="1"/>
  <c r="AI536" i="50" s="1"/>
  <c r="AP536" i="50"/>
  <c r="AQ536" i="50"/>
  <c r="R421" i="50"/>
  <c r="AQ421" i="50"/>
  <c r="AP421" i="50"/>
  <c r="R413" i="50"/>
  <c r="AQ413" i="50"/>
  <c r="AP413" i="50"/>
  <c r="R406" i="50"/>
  <c r="AP406" i="50"/>
  <c r="AQ406" i="50"/>
  <c r="R503" i="50"/>
  <c r="AH503" i="50" s="1" a="1"/>
  <c r="AH503" i="50" s="1"/>
  <c r="AI503" i="50" s="1"/>
  <c r="AP503" i="50"/>
  <c r="AQ503" i="50"/>
  <c r="AP534" i="50"/>
  <c r="AQ534" i="50"/>
  <c r="R531" i="50"/>
  <c r="AP531" i="50"/>
  <c r="AQ531" i="50"/>
  <c r="R468" i="50"/>
  <c r="AP468" i="50"/>
  <c r="AQ468" i="50"/>
  <c r="R455" i="50"/>
  <c r="AH455" i="50" s="1" a="1"/>
  <c r="AH455" i="50" s="1"/>
  <c r="AI455" i="50" s="1"/>
  <c r="AP455" i="50"/>
  <c r="AQ455" i="50"/>
  <c r="R476" i="50"/>
  <c r="AH476" i="50" s="1" a="1"/>
  <c r="AH476" i="50" s="1"/>
  <c r="AI476" i="50" s="1"/>
  <c r="AP476" i="50"/>
  <c r="AQ476" i="50"/>
  <c r="R434" i="50"/>
  <c r="AH434" i="50" s="1" a="1"/>
  <c r="AH434" i="50" s="1"/>
  <c r="AI434" i="50" s="1"/>
  <c r="AP434" i="50"/>
  <c r="AQ434" i="50"/>
  <c r="R417" i="50"/>
  <c r="AH417" i="50" s="1" a="1"/>
  <c r="AH417" i="50" s="1"/>
  <c r="AI417" i="50" s="1"/>
  <c r="AP417" i="50"/>
  <c r="AQ417" i="50"/>
  <c r="R381" i="50"/>
  <c r="AH381" i="50" s="1" a="1"/>
  <c r="AH381" i="50" s="1"/>
  <c r="AI381" i="50" s="1"/>
  <c r="AP381" i="50"/>
  <c r="AQ381" i="50"/>
  <c r="R370" i="50"/>
  <c r="AP370" i="50"/>
  <c r="AQ370" i="50"/>
  <c r="R353" i="50"/>
  <c r="AP353" i="50"/>
  <c r="AQ353" i="50"/>
  <c r="R343" i="50"/>
  <c r="AH343" i="50" s="1" a="1"/>
  <c r="AH343" i="50" s="1"/>
  <c r="AI343" i="50" s="1"/>
  <c r="AQ343" i="50"/>
  <c r="AP343" i="50"/>
  <c r="R333" i="50"/>
  <c r="AP333" i="50"/>
  <c r="AQ333" i="50"/>
  <c r="AP304" i="50"/>
  <c r="AQ304" i="50"/>
  <c r="R296" i="50"/>
  <c r="AQ296" i="50"/>
  <c r="AP296" i="50"/>
  <c r="R358" i="50"/>
  <c r="AP358" i="50"/>
  <c r="AQ358" i="50"/>
  <c r="R290" i="50"/>
  <c r="AP290" i="50"/>
  <c r="AQ290" i="50"/>
  <c r="R321" i="50"/>
  <c r="AP321" i="50"/>
  <c r="AQ321" i="50"/>
  <c r="R371" i="50"/>
  <c r="AH371" i="50" s="1" a="1"/>
  <c r="AH371" i="50" s="1"/>
  <c r="AI371" i="50" s="1"/>
  <c r="AP371" i="50"/>
  <c r="AQ371" i="50"/>
  <c r="R277" i="50"/>
  <c r="AH277" i="50" s="1" a="1"/>
  <c r="AH277" i="50" s="1"/>
  <c r="AI277" i="50" s="1"/>
  <c r="AP277" i="50"/>
  <c r="AQ277" i="50"/>
  <c r="R262" i="50"/>
  <c r="AP262" i="50"/>
  <c r="AQ262" i="50"/>
  <c r="R255" i="50"/>
  <c r="AH255" i="50" s="1" a="1"/>
  <c r="AH255" i="50" s="1"/>
  <c r="AI255" i="50" s="1"/>
  <c r="AP255" i="50"/>
  <c r="AQ255" i="50"/>
  <c r="R251" i="50"/>
  <c r="AQ251" i="50"/>
  <c r="AP251" i="50"/>
  <c r="R241" i="50"/>
  <c r="AH241" i="50" s="1" a="1"/>
  <c r="AH241" i="50" s="1"/>
  <c r="AI241" i="50" s="1"/>
  <c r="AP241" i="50"/>
  <c r="AQ241" i="50"/>
  <c r="R152" i="50"/>
  <c r="AH152" i="50" s="1" a="1"/>
  <c r="AH152" i="50" s="1"/>
  <c r="AI152" i="50" s="1"/>
  <c r="AP152" i="50"/>
  <c r="AQ152" i="50"/>
  <c r="AP199" i="50"/>
  <c r="AQ199" i="50"/>
  <c r="R149" i="50"/>
  <c r="AH149" i="50" s="1" a="1"/>
  <c r="AH149" i="50" s="1"/>
  <c r="AI149" i="50" s="1"/>
  <c r="AQ149" i="50"/>
  <c r="AP149" i="50"/>
  <c r="AP182" i="50"/>
  <c r="AQ182" i="50"/>
  <c r="AQ166" i="50"/>
  <c r="AP166" i="50"/>
  <c r="AP220" i="50"/>
  <c r="AQ220" i="50"/>
  <c r="R134" i="50"/>
  <c r="AH134" i="50" s="1" a="1"/>
  <c r="AH134" i="50" s="1"/>
  <c r="AI134" i="50" s="1"/>
  <c r="AQ134" i="50"/>
  <c r="AP134" i="50"/>
  <c r="R125" i="50"/>
  <c r="AP125" i="50"/>
  <c r="AQ125" i="50"/>
  <c r="R100" i="50"/>
  <c r="AQ100" i="50"/>
  <c r="AP100" i="50"/>
  <c r="R84" i="50"/>
  <c r="AQ84" i="50"/>
  <c r="AP84" i="50"/>
  <c r="R76" i="50"/>
  <c r="AH76" i="50" s="1" a="1"/>
  <c r="AH76" i="50" s="1"/>
  <c r="AI76" i="50" s="1"/>
  <c r="AP76" i="50"/>
  <c r="AQ76" i="50"/>
  <c r="R68" i="50"/>
  <c r="AP68" i="50"/>
  <c r="AQ68" i="50"/>
  <c r="R32" i="50"/>
  <c r="AP32" i="50"/>
  <c r="AQ32" i="50"/>
  <c r="R61" i="50"/>
  <c r="AP61" i="50"/>
  <c r="AQ61" i="50"/>
  <c r="R51" i="50"/>
  <c r="AP51" i="50"/>
  <c r="AQ51" i="50"/>
  <c r="R87" i="50"/>
  <c r="AH87" i="50" s="1" a="1"/>
  <c r="AH87" i="50" s="1"/>
  <c r="AI87" i="50" s="1"/>
  <c r="AQ87" i="50"/>
  <c r="AP87" i="50"/>
  <c r="R45" i="50"/>
  <c r="AH45" i="50" s="1" a="1"/>
  <c r="AH45" i="50" s="1"/>
  <c r="AI45" i="50" s="1"/>
  <c r="AQ45" i="50"/>
  <c r="AP45" i="50"/>
  <c r="R39" i="50"/>
  <c r="AP39" i="50"/>
  <c r="AQ39" i="50"/>
  <c r="AP21" i="50"/>
  <c r="AQ21" i="50"/>
  <c r="R11" i="50"/>
  <c r="AP11" i="50"/>
  <c r="AQ11" i="50"/>
  <c r="R138" i="50"/>
  <c r="AP138" i="50"/>
  <c r="AQ138" i="50"/>
  <c r="R735" i="50"/>
  <c r="AP735" i="50"/>
  <c r="AQ735" i="50"/>
  <c r="R728" i="50"/>
  <c r="AH728" i="50" s="1" a="1"/>
  <c r="AH728" i="50" s="1"/>
  <c r="AI728" i="50" s="1"/>
  <c r="AP728" i="50"/>
  <c r="AQ728" i="50"/>
  <c r="R743" i="50"/>
  <c r="AH743" i="50" s="1" a="1"/>
  <c r="AH743" i="50" s="1"/>
  <c r="AI743" i="50" s="1"/>
  <c r="AQ743" i="50"/>
  <c r="AP743" i="50"/>
  <c r="R714" i="50"/>
  <c r="AP714" i="50"/>
  <c r="AQ714" i="50"/>
  <c r="R708" i="50"/>
  <c r="AH708" i="50" s="1" a="1"/>
  <c r="AH708" i="50" s="1"/>
  <c r="AI708" i="50" s="1"/>
  <c r="AP708" i="50"/>
  <c r="AQ708" i="50"/>
  <c r="R687" i="50"/>
  <c r="AH687" i="50" s="1" a="1"/>
  <c r="AH687" i="50" s="1"/>
  <c r="AI687" i="50" s="1"/>
  <c r="AQ687" i="50"/>
  <c r="AP687" i="50"/>
  <c r="R685" i="50"/>
  <c r="AH685" i="50" s="1" a="1"/>
  <c r="AH685" i="50" s="1"/>
  <c r="AI685" i="50" s="1"/>
  <c r="AP685" i="50"/>
  <c r="AQ685" i="50"/>
  <c r="R689" i="50"/>
  <c r="AP689" i="50"/>
  <c r="AQ689" i="50"/>
  <c r="AQ657" i="50"/>
  <c r="AP657" i="50"/>
  <c r="AP638" i="50"/>
  <c r="AQ638" i="50"/>
  <c r="AP617" i="50"/>
  <c r="AQ617" i="50"/>
  <c r="AP595" i="50"/>
  <c r="AQ595" i="50"/>
  <c r="AP663" i="50"/>
  <c r="AQ663" i="50"/>
  <c r="AP627" i="50"/>
  <c r="AQ627" i="50"/>
  <c r="AP613" i="50"/>
  <c r="AQ613" i="50"/>
  <c r="R594" i="50"/>
  <c r="AH594" i="50" s="1" a="1"/>
  <c r="AH594" i="50" s="1"/>
  <c r="AI594" i="50" s="1"/>
  <c r="AP594" i="50"/>
  <c r="AQ594" i="50"/>
  <c r="R554" i="50"/>
  <c r="AH554" i="50" s="1" a="1"/>
  <c r="AH554" i="50" s="1"/>
  <c r="AP554" i="50"/>
  <c r="AQ554" i="50"/>
  <c r="R507" i="50"/>
  <c r="AP507" i="50"/>
  <c r="AQ507" i="50"/>
  <c r="R547" i="50"/>
  <c r="AP547" i="50"/>
  <c r="AQ547" i="50"/>
  <c r="R544" i="50"/>
  <c r="AP544" i="50"/>
  <c r="AQ544" i="50"/>
  <c r="R569" i="50"/>
  <c r="AH569" i="50" s="1" a="1"/>
  <c r="AH569" i="50" s="1"/>
  <c r="AI569" i="50" s="1"/>
  <c r="AP569" i="50"/>
  <c r="AQ569" i="50"/>
  <c r="R448" i="50"/>
  <c r="AH448" i="50" s="1" a="1"/>
  <c r="AH448" i="50" s="1"/>
  <c r="AI448" i="50" s="1"/>
  <c r="AP448" i="50"/>
  <c r="AQ448" i="50"/>
  <c r="R583" i="50"/>
  <c r="AH583" i="50" s="1" a="1"/>
  <c r="AH583" i="50" s="1"/>
  <c r="AI583" i="50" s="1"/>
  <c r="AP583" i="50"/>
  <c r="AQ583" i="50"/>
  <c r="R521" i="50"/>
  <c r="AH521" i="50" s="1" a="1"/>
  <c r="AH521" i="50" s="1"/>
  <c r="AI521" i="50" s="1"/>
  <c r="AP521" i="50"/>
  <c r="AQ521" i="50"/>
  <c r="R515" i="50"/>
  <c r="AH515" i="50" s="1" a="1"/>
  <c r="AH515" i="50" s="1"/>
  <c r="AI515" i="50" s="1"/>
  <c r="AQ515" i="50"/>
  <c r="AP515" i="50"/>
  <c r="R568" i="50"/>
  <c r="AP568" i="50"/>
  <c r="AQ568" i="50"/>
  <c r="R473" i="50"/>
  <c r="AH473" i="50" s="1" a="1"/>
  <c r="AH473" i="50" s="1"/>
  <c r="AI473" i="50" s="1"/>
  <c r="AP473" i="50"/>
  <c r="AQ473" i="50"/>
  <c r="R431" i="50"/>
  <c r="AP431" i="50"/>
  <c r="AQ431" i="50"/>
  <c r="R426" i="50"/>
  <c r="AP426" i="50"/>
  <c r="AQ426" i="50"/>
  <c r="R422" i="50"/>
  <c r="AH422" i="50" s="1" a="1"/>
  <c r="AH422" i="50" s="1"/>
  <c r="AI422" i="50" s="1"/>
  <c r="AP422" i="50"/>
  <c r="AQ422" i="50"/>
  <c r="R386" i="50"/>
  <c r="AP386" i="50"/>
  <c r="AQ386" i="50"/>
  <c r="R405" i="50"/>
  <c r="AQ405" i="50"/>
  <c r="AP405" i="50"/>
  <c r="R502" i="50"/>
  <c r="AH502" i="50" s="1" a="1"/>
  <c r="AH502" i="50" s="1"/>
  <c r="AI502" i="50" s="1"/>
  <c r="AQ502" i="50"/>
  <c r="AP502" i="50"/>
  <c r="R378" i="50"/>
  <c r="AP378" i="50"/>
  <c r="AQ378" i="50"/>
  <c r="R480" i="50"/>
  <c r="AH480" i="50" s="1" a="1"/>
  <c r="AH480" i="50" s="1"/>
  <c r="AI480" i="50" s="1"/>
  <c r="AQ480" i="50"/>
  <c r="AP480" i="50"/>
  <c r="R467" i="50"/>
  <c r="AH467" i="50" s="1" a="1"/>
  <c r="AH467" i="50" s="1"/>
  <c r="AI467" i="50" s="1"/>
  <c r="AQ467" i="50"/>
  <c r="AP467" i="50"/>
  <c r="R453" i="50"/>
  <c r="AH453" i="50" s="1" a="1"/>
  <c r="AH453" i="50" s="1"/>
  <c r="AI453" i="50" s="1"/>
  <c r="AP453" i="50"/>
  <c r="AQ453" i="50"/>
  <c r="R475" i="50"/>
  <c r="AH475" i="50" s="1" a="1"/>
  <c r="AH475" i="50" s="1"/>
  <c r="AI475" i="50" s="1"/>
  <c r="AP475" i="50"/>
  <c r="AQ475" i="50"/>
  <c r="R394" i="50"/>
  <c r="AP394" i="50"/>
  <c r="AQ394" i="50"/>
  <c r="R415" i="50"/>
  <c r="AH415" i="50" s="1" a="1"/>
  <c r="AH415" i="50" s="1"/>
  <c r="AI415" i="50" s="1"/>
  <c r="AP415" i="50"/>
  <c r="AQ415" i="50"/>
  <c r="R380" i="50"/>
  <c r="AH380" i="50" s="1" a="1"/>
  <c r="AH380" i="50" s="1"/>
  <c r="AI380" i="50" s="1"/>
  <c r="AP380" i="50"/>
  <c r="AQ380" i="50"/>
  <c r="R362" i="50"/>
  <c r="AP362" i="50"/>
  <c r="AQ362" i="50"/>
  <c r="R351" i="50"/>
  <c r="AP351" i="50"/>
  <c r="AQ351" i="50"/>
  <c r="R291" i="50"/>
  <c r="AH291" i="50" s="1" a="1"/>
  <c r="AH291" i="50" s="1"/>
  <c r="AI291" i="50" s="1"/>
  <c r="AP291" i="50"/>
  <c r="AQ291" i="50"/>
  <c r="R332" i="50"/>
  <c r="AQ332" i="50"/>
  <c r="AP332" i="50"/>
  <c r="R318" i="50"/>
  <c r="AQ318" i="50"/>
  <c r="AP318" i="50"/>
  <c r="AQ303" i="50"/>
  <c r="AP303" i="50"/>
  <c r="R368" i="50"/>
  <c r="AP368" i="50"/>
  <c r="AQ368" i="50"/>
  <c r="R354" i="50"/>
  <c r="AP354" i="50"/>
  <c r="AQ354" i="50"/>
  <c r="R339" i="50"/>
  <c r="AP339" i="50"/>
  <c r="AQ339" i="50"/>
  <c r="R319" i="50"/>
  <c r="AQ319" i="50"/>
  <c r="AP319" i="50"/>
  <c r="R363" i="50"/>
  <c r="AH363" i="50" s="1" a="1"/>
  <c r="AH363" i="50" s="1"/>
  <c r="AI363" i="50" s="1"/>
  <c r="AP363" i="50"/>
  <c r="AQ363" i="50"/>
  <c r="R276" i="50"/>
  <c r="AQ276" i="50"/>
  <c r="AP276" i="50"/>
  <c r="R260" i="50"/>
  <c r="AP260" i="50"/>
  <c r="AQ260" i="50"/>
  <c r="R254" i="50"/>
  <c r="AP254" i="50"/>
  <c r="AQ254" i="50"/>
  <c r="R250" i="50"/>
  <c r="AH250" i="50" s="1" a="1"/>
  <c r="AH250" i="50" s="1"/>
  <c r="AI250" i="50" s="1"/>
  <c r="AQ250" i="50"/>
  <c r="AP250" i="50"/>
  <c r="R240" i="50"/>
  <c r="AP240" i="50"/>
  <c r="AQ240" i="50"/>
  <c r="R151" i="50"/>
  <c r="AH151" i="50" s="1" a="1"/>
  <c r="AH151" i="50" s="1"/>
  <c r="AI151" i="50" s="1"/>
  <c r="AQ151" i="50"/>
  <c r="AP151" i="50"/>
  <c r="AP198" i="50"/>
  <c r="AQ198" i="50"/>
  <c r="R148" i="50"/>
  <c r="AH148" i="50" s="1" a="1"/>
  <c r="AH148" i="50" s="1"/>
  <c r="AI148" i="50" s="1"/>
  <c r="AQ148" i="50"/>
  <c r="AP148" i="50"/>
  <c r="AQ181" i="50"/>
  <c r="AP181" i="50"/>
  <c r="AQ168" i="50"/>
  <c r="AP168" i="50"/>
  <c r="R216" i="50"/>
  <c r="AH216" i="50" s="1" a="1"/>
  <c r="AH216" i="50" s="1"/>
  <c r="AI216" i="50" s="1"/>
  <c r="AP216" i="50"/>
  <c r="AQ216" i="50"/>
  <c r="R130" i="50"/>
  <c r="AH130" i="50" s="1" a="1"/>
  <c r="AH130" i="50" s="1"/>
  <c r="AI130" i="50" s="1"/>
  <c r="AP130" i="50"/>
  <c r="AQ130" i="50"/>
  <c r="R124" i="50"/>
  <c r="AH124" i="50" s="1" a="1"/>
  <c r="AH124" i="50" s="1"/>
  <c r="AI124" i="50" s="1"/>
  <c r="AP124" i="50"/>
  <c r="AQ124" i="50"/>
  <c r="R111" i="50"/>
  <c r="AP111" i="50"/>
  <c r="AQ111" i="50"/>
  <c r="R83" i="50"/>
  <c r="AH83" i="50" s="1" a="1"/>
  <c r="AH83" i="50" s="1"/>
  <c r="AI83" i="50" s="1"/>
  <c r="AP83" i="50"/>
  <c r="AQ83" i="50"/>
  <c r="R75" i="50"/>
  <c r="AH75" i="50" s="1" a="1"/>
  <c r="AH75" i="50" s="1"/>
  <c r="AI75" i="50" s="1"/>
  <c r="AP75" i="50"/>
  <c r="AQ75" i="50"/>
  <c r="R97" i="50"/>
  <c r="AH97" i="50" s="1" a="1"/>
  <c r="AH97" i="50" s="1"/>
  <c r="AI97" i="50" s="1"/>
  <c r="AP97" i="50"/>
  <c r="AQ97" i="50"/>
  <c r="R31" i="50"/>
  <c r="AQ31" i="50"/>
  <c r="AP31" i="50"/>
  <c r="R60" i="50"/>
  <c r="AH60" i="50" s="1" a="1"/>
  <c r="AH60" i="50" s="1"/>
  <c r="AI60" i="50" s="1"/>
  <c r="AP60" i="50"/>
  <c r="AQ60" i="50"/>
  <c r="R50" i="50"/>
  <c r="AP50" i="50"/>
  <c r="AQ50" i="50"/>
  <c r="R86" i="50"/>
  <c r="AH86" i="50" s="1" a="1"/>
  <c r="AH86" i="50" s="1"/>
  <c r="AI86" i="50" s="1"/>
  <c r="AP86" i="50"/>
  <c r="AQ86" i="50"/>
  <c r="R44" i="50"/>
  <c r="AP44" i="50"/>
  <c r="AQ44" i="50"/>
  <c r="R38" i="50"/>
  <c r="AP38" i="50"/>
  <c r="AQ38" i="50"/>
  <c r="AP20" i="50"/>
  <c r="AQ20" i="50"/>
  <c r="R10" i="50"/>
  <c r="AH10" i="50" s="1" a="1"/>
  <c r="AH10" i="50" s="1"/>
  <c r="AI10" i="50" s="1"/>
  <c r="AP10" i="50"/>
  <c r="AQ10" i="50"/>
  <c r="R144" i="50"/>
  <c r="AH144" i="50" s="1" a="1"/>
  <c r="AH144" i="50" s="1"/>
  <c r="AI144" i="50" s="1"/>
  <c r="AP144" i="50"/>
  <c r="AQ144" i="50"/>
  <c r="R734" i="50"/>
  <c r="AP734" i="50"/>
  <c r="AQ734" i="50"/>
  <c r="R727" i="50"/>
  <c r="AP727" i="50"/>
  <c r="AQ727" i="50"/>
  <c r="R720" i="50"/>
  <c r="AH720" i="50" s="1" a="1"/>
  <c r="AH720" i="50" s="1"/>
  <c r="AI720" i="50" s="1"/>
  <c r="AP720" i="50"/>
  <c r="AQ720" i="50"/>
  <c r="R713" i="50"/>
  <c r="AQ713" i="50"/>
  <c r="AP713" i="50"/>
  <c r="R707" i="50"/>
  <c r="AP707" i="50"/>
  <c r="AQ707" i="50"/>
  <c r="R686" i="50"/>
  <c r="AQ686" i="50"/>
  <c r="AP686" i="50"/>
  <c r="R696" i="50"/>
  <c r="AP696" i="50"/>
  <c r="AQ696" i="50"/>
  <c r="R677" i="50"/>
  <c r="AH677" i="50" s="1" a="1"/>
  <c r="AH677" i="50" s="1"/>
  <c r="AI677" i="50" s="1"/>
  <c r="AP677" i="50"/>
  <c r="AQ677" i="50"/>
  <c r="AP656" i="50"/>
  <c r="AQ656" i="50"/>
  <c r="AP635" i="50"/>
  <c r="AQ635" i="50"/>
  <c r="AP612" i="50"/>
  <c r="AQ612" i="50"/>
  <c r="AQ593" i="50"/>
  <c r="AP593" i="50"/>
  <c r="AQ660" i="50"/>
  <c r="AP660" i="50"/>
  <c r="AQ637" i="50"/>
  <c r="AP637" i="50"/>
  <c r="AQ610" i="50"/>
  <c r="AP610" i="50"/>
  <c r="R680" i="50"/>
  <c r="AH680" i="50" s="1" a="1"/>
  <c r="AH680" i="50" s="1"/>
  <c r="AI680" i="50" s="1"/>
  <c r="AQ680" i="50"/>
  <c r="AP680" i="50"/>
  <c r="R576" i="50"/>
  <c r="AQ576" i="50"/>
  <c r="AP576" i="50"/>
  <c r="R550" i="50"/>
  <c r="AH550" i="50" s="1" a="1"/>
  <c r="AH550" i="50" s="1"/>
  <c r="AI550" i="50" s="1"/>
  <c r="AQ550" i="50"/>
  <c r="AP550" i="50"/>
  <c r="R546" i="50"/>
  <c r="AH546" i="50" s="1" a="1"/>
  <c r="AH546" i="50" s="1"/>
  <c r="AI546" i="50" s="1"/>
  <c r="AP546" i="50"/>
  <c r="AQ546" i="50"/>
  <c r="R543" i="50"/>
  <c r="AH543" i="50" s="1" a="1"/>
  <c r="AH543" i="50" s="1"/>
  <c r="AI543" i="50" s="1"/>
  <c r="AP543" i="50"/>
  <c r="AQ543" i="50"/>
  <c r="R557" i="50"/>
  <c r="AH557" i="50" s="1" a="1"/>
  <c r="AH557" i="50" s="1"/>
  <c r="AI557" i="50" s="1"/>
  <c r="AP557" i="50"/>
  <c r="AQ557" i="50"/>
  <c r="R582" i="50"/>
  <c r="AH582" i="50" s="1" a="1"/>
  <c r="AH582" i="50" s="1"/>
  <c r="AI582" i="50" s="1"/>
  <c r="AQ582" i="50"/>
  <c r="AP582" i="50"/>
  <c r="R580" i="50"/>
  <c r="AH580" i="50" s="1" a="1"/>
  <c r="AH580" i="50" s="1"/>
  <c r="AI580" i="50" s="1"/>
  <c r="AP580" i="50"/>
  <c r="AQ580" i="50"/>
  <c r="AP527" i="50"/>
  <c r="AQ527" i="50"/>
  <c r="R514" i="50"/>
  <c r="AH514" i="50" s="1" a="1"/>
  <c r="AH514" i="50" s="1"/>
  <c r="AI514" i="50" s="1"/>
  <c r="AP514" i="50"/>
  <c r="AQ514" i="50"/>
  <c r="R464" i="50"/>
  <c r="AP464" i="50"/>
  <c r="AQ464" i="50"/>
  <c r="R566" i="50"/>
  <c r="AQ566" i="50"/>
  <c r="AP566" i="50"/>
  <c r="R430" i="50"/>
  <c r="AP430" i="50"/>
  <c r="AQ430" i="50"/>
  <c r="R439" i="50"/>
  <c r="AH439" i="50" s="1" a="1"/>
  <c r="AH439" i="50" s="1"/>
  <c r="AI439" i="50" s="1"/>
  <c r="AP439" i="50"/>
  <c r="AQ439" i="50"/>
  <c r="R420" i="50"/>
  <c r="AQ420" i="50"/>
  <c r="AP420" i="50"/>
  <c r="R407" i="50"/>
  <c r="AQ407" i="50"/>
  <c r="AP407" i="50"/>
  <c r="R404" i="50"/>
  <c r="AP404" i="50"/>
  <c r="AQ404" i="50"/>
  <c r="R493" i="50"/>
  <c r="AH493" i="50" s="1" a="1"/>
  <c r="AH493" i="50" s="1"/>
  <c r="AI493" i="50" s="1"/>
  <c r="AP493" i="50"/>
  <c r="AQ493" i="50"/>
  <c r="R491" i="50"/>
  <c r="AH491" i="50" s="1" a="1"/>
  <c r="AH491" i="50" s="1"/>
  <c r="AI491" i="50" s="1"/>
  <c r="AP491" i="50"/>
  <c r="AQ491" i="50"/>
  <c r="R374" i="50"/>
  <c r="AP374" i="50"/>
  <c r="AQ374" i="50"/>
  <c r="R466" i="50"/>
  <c r="AP466" i="50"/>
  <c r="AQ466" i="50"/>
  <c r="R388" i="50"/>
  <c r="AH388" i="50" s="1" a="1"/>
  <c r="AH388" i="50" s="1"/>
  <c r="AI388" i="50" s="1"/>
  <c r="AP388" i="50"/>
  <c r="AQ388" i="50"/>
  <c r="R487" i="50"/>
  <c r="AP487" i="50"/>
  <c r="AQ487" i="50"/>
  <c r="R486" i="50"/>
  <c r="AP486" i="50"/>
  <c r="AQ486" i="50"/>
  <c r="R414" i="50"/>
  <c r="AP414" i="50"/>
  <c r="AQ414" i="50"/>
  <c r="R379" i="50"/>
  <c r="AH379" i="50" s="1" a="1"/>
  <c r="AH379" i="50" s="1"/>
  <c r="AI379" i="50" s="1"/>
  <c r="AQ379" i="50"/>
  <c r="AP379" i="50"/>
  <c r="R369" i="50"/>
  <c r="AP369" i="50"/>
  <c r="AQ369" i="50"/>
  <c r="R350" i="50"/>
  <c r="AQ350" i="50"/>
  <c r="AP350" i="50"/>
  <c r="R341" i="50"/>
  <c r="AP341" i="50"/>
  <c r="AQ341" i="50"/>
  <c r="R329" i="50"/>
  <c r="AH329" i="50" s="1" a="1"/>
  <c r="AH329" i="50" s="1"/>
  <c r="AI329" i="50" s="1"/>
  <c r="AP329" i="50"/>
  <c r="AQ329" i="50"/>
  <c r="R317" i="50"/>
  <c r="AH317" i="50" s="1" a="1"/>
  <c r="AH317" i="50" s="1"/>
  <c r="AI317" i="50" s="1"/>
  <c r="AP317" i="50"/>
  <c r="AQ317" i="50"/>
  <c r="AP302" i="50"/>
  <c r="AQ302" i="50"/>
  <c r="R361" i="50"/>
  <c r="AP361" i="50"/>
  <c r="AQ361" i="50"/>
  <c r="R352" i="50"/>
  <c r="AQ352" i="50"/>
  <c r="AP352" i="50"/>
  <c r="R331" i="50"/>
  <c r="AQ331" i="50"/>
  <c r="AP331" i="50"/>
  <c r="R285" i="50"/>
  <c r="AP285" i="50"/>
  <c r="AQ285" i="50"/>
  <c r="R367" i="50"/>
  <c r="AH367" i="50" s="1" a="1"/>
  <c r="AH367" i="50" s="1"/>
  <c r="AI367" i="50" s="1"/>
  <c r="AQ367" i="50"/>
  <c r="AP367" i="50"/>
  <c r="R275" i="50"/>
  <c r="AP275" i="50"/>
  <c r="AQ275" i="50"/>
  <c r="R259" i="50"/>
  <c r="AP259" i="50"/>
  <c r="AQ259" i="50"/>
  <c r="R253" i="50"/>
  <c r="AH253" i="50" s="1" a="1"/>
  <c r="AH253" i="50" s="1"/>
  <c r="AI253" i="50" s="1"/>
  <c r="AP253" i="50"/>
  <c r="AQ253" i="50"/>
  <c r="R249" i="50"/>
  <c r="AH249" i="50" s="1" a="1"/>
  <c r="AH249" i="50" s="1"/>
  <c r="AI249" i="50" s="1"/>
  <c r="AQ249" i="50"/>
  <c r="AP249" i="50"/>
  <c r="R239" i="50"/>
  <c r="AH239" i="50" s="1" a="1"/>
  <c r="AH239" i="50" s="1"/>
  <c r="AI239" i="50" s="1"/>
  <c r="AP239" i="50"/>
  <c r="AQ239" i="50"/>
  <c r="AP208" i="50"/>
  <c r="AQ208" i="50"/>
  <c r="R232" i="50"/>
  <c r="AH232" i="50" s="1" a="1"/>
  <c r="AH232" i="50" s="1"/>
  <c r="AI232" i="50" s="1"/>
  <c r="AP232" i="50"/>
  <c r="AQ232" i="50"/>
  <c r="R147" i="50"/>
  <c r="AH147" i="50" s="1" a="1"/>
  <c r="AH147" i="50" s="1"/>
  <c r="AI147" i="50" s="1"/>
  <c r="AQ147" i="50"/>
  <c r="AP147" i="50"/>
  <c r="AP178" i="50"/>
  <c r="AQ178" i="50"/>
  <c r="AQ164" i="50"/>
  <c r="AP164" i="50"/>
  <c r="R137" i="50"/>
  <c r="AH137" i="50" s="1" a="1"/>
  <c r="AH137" i="50" s="1"/>
  <c r="AI137" i="50" s="1"/>
  <c r="AP137" i="50"/>
  <c r="AQ137" i="50"/>
  <c r="R129" i="50"/>
  <c r="AH129" i="50" s="1" a="1"/>
  <c r="AH129" i="50" s="1"/>
  <c r="AI129" i="50" s="1"/>
  <c r="AQ129" i="50"/>
  <c r="AP129" i="50"/>
  <c r="R123" i="50"/>
  <c r="AP123" i="50"/>
  <c r="AQ123" i="50"/>
  <c r="R110" i="50"/>
  <c r="AQ110" i="50"/>
  <c r="AP110" i="50"/>
  <c r="R82" i="50"/>
  <c r="AH82" i="50" s="1" a="1"/>
  <c r="AH82" i="50" s="1"/>
  <c r="AI82" i="50" s="1"/>
  <c r="AP82" i="50"/>
  <c r="AQ82" i="50"/>
  <c r="R74" i="50"/>
  <c r="AP74" i="50"/>
  <c r="AQ74" i="50"/>
  <c r="R96" i="50"/>
  <c r="AH96" i="50" s="1" a="1"/>
  <c r="AH96" i="50" s="1"/>
  <c r="AI96" i="50" s="1"/>
  <c r="AP96" i="50"/>
  <c r="AQ96" i="50"/>
  <c r="R65" i="50"/>
  <c r="AQ65" i="50"/>
  <c r="AP65" i="50"/>
  <c r="R57" i="50"/>
  <c r="AH57" i="50" s="1" a="1"/>
  <c r="AH57" i="50" s="1"/>
  <c r="AI57" i="50" s="1"/>
  <c r="AQ57" i="50"/>
  <c r="AP57" i="50"/>
  <c r="R92" i="50"/>
  <c r="AH92" i="50" s="1" a="1"/>
  <c r="AH92" i="50" s="1"/>
  <c r="AI92" i="50" s="1"/>
  <c r="AP92" i="50"/>
  <c r="AQ92" i="50"/>
  <c r="R49" i="50"/>
  <c r="AP49" i="50"/>
  <c r="AQ49" i="50"/>
  <c r="R43" i="50"/>
  <c r="AP43" i="50"/>
  <c r="AQ43" i="50"/>
  <c r="R36" i="50"/>
  <c r="AP36" i="50"/>
  <c r="AQ36" i="50"/>
  <c r="AP18" i="50"/>
  <c r="AQ18" i="50"/>
  <c r="R8" i="50"/>
  <c r="AP8" i="50"/>
  <c r="AQ8" i="50"/>
  <c r="R140" i="50"/>
  <c r="AP140" i="50"/>
  <c r="AQ140" i="50"/>
  <c r="R738" i="50"/>
  <c r="AH738" i="50" s="1" a="1"/>
  <c r="AH738" i="50" s="1"/>
  <c r="AI738" i="50" s="1"/>
  <c r="AP738" i="50"/>
  <c r="AQ738" i="50"/>
  <c r="R726" i="50"/>
  <c r="AH726" i="50" s="1" a="1"/>
  <c r="AH726" i="50" s="1"/>
  <c r="AI726" i="50" s="1"/>
  <c r="AP726" i="50"/>
  <c r="AQ726" i="50"/>
  <c r="R688" i="50"/>
  <c r="AH688" i="50" s="1" a="1"/>
  <c r="AH688" i="50" s="1"/>
  <c r="AI688" i="50" s="1"/>
  <c r="AP688" i="50"/>
  <c r="AQ688" i="50"/>
  <c r="R712" i="50"/>
  <c r="R740" i="50"/>
  <c r="AH740" i="50" s="1" a="1"/>
  <c r="AH740" i="50" s="1"/>
  <c r="AI740" i="50" s="1"/>
  <c r="AP740" i="50"/>
  <c r="AQ740" i="50"/>
  <c r="R702" i="50"/>
  <c r="AP702" i="50"/>
  <c r="AQ702" i="50"/>
  <c r="R695" i="50"/>
  <c r="AP695" i="50"/>
  <c r="AQ695" i="50"/>
  <c r="R649" i="50"/>
  <c r="AH649" i="50" s="1" a="1"/>
  <c r="AH649" i="50" s="1"/>
  <c r="AI649" i="50" s="1"/>
  <c r="AP649" i="50"/>
  <c r="AQ649" i="50"/>
  <c r="AP654" i="50"/>
  <c r="AQ654" i="50"/>
  <c r="AP632" i="50"/>
  <c r="AQ632" i="50"/>
  <c r="AP609" i="50"/>
  <c r="AQ609" i="50"/>
  <c r="AP592" i="50"/>
  <c r="AQ592" i="50"/>
  <c r="AP658" i="50"/>
  <c r="AQ658" i="50"/>
  <c r="AP634" i="50"/>
  <c r="AQ634" i="50"/>
  <c r="AP625" i="50"/>
  <c r="AQ625" i="50"/>
  <c r="R470" i="50"/>
  <c r="AP470" i="50"/>
  <c r="AQ470" i="50"/>
  <c r="R553" i="50"/>
  <c r="AH553" i="50" s="1" a="1"/>
  <c r="AH553" i="50" s="1"/>
  <c r="AP553" i="50"/>
  <c r="AQ553" i="50"/>
  <c r="R549" i="50"/>
  <c r="AP549" i="50"/>
  <c r="AQ549" i="50"/>
  <c r="R456" i="50"/>
  <c r="AP456" i="50"/>
  <c r="AQ456" i="50"/>
  <c r="R571" i="50"/>
  <c r="AQ571" i="50"/>
  <c r="AP571" i="50"/>
  <c r="R542" i="50"/>
  <c r="AQ542" i="50"/>
  <c r="AP542" i="50"/>
  <c r="R588" i="50"/>
  <c r="AH588" i="50" s="1" a="1"/>
  <c r="AH588" i="50" s="1"/>
  <c r="AI588" i="50" s="1"/>
  <c r="AP588" i="50"/>
  <c r="AQ588" i="50"/>
  <c r="R579" i="50"/>
  <c r="AH579" i="50" s="1" a="1"/>
  <c r="AH579" i="50" s="1"/>
  <c r="AI579" i="50" s="1"/>
  <c r="AP579" i="50"/>
  <c r="AQ579" i="50"/>
  <c r="R520" i="50"/>
  <c r="AH520" i="50" s="1" a="1"/>
  <c r="AH520" i="50" s="1"/>
  <c r="AI520" i="50" s="1"/>
  <c r="AP520" i="50"/>
  <c r="AQ520" i="50"/>
  <c r="R513" i="50"/>
  <c r="AH513" i="50" s="1" a="1"/>
  <c r="AH513" i="50" s="1"/>
  <c r="AI513" i="50" s="1"/>
  <c r="AP513" i="50"/>
  <c r="AQ513" i="50"/>
  <c r="R539" i="50"/>
  <c r="AQ539" i="50"/>
  <c r="AP539" i="50"/>
  <c r="R400" i="50"/>
  <c r="AH400" i="50" s="1" a="1"/>
  <c r="AH400" i="50" s="1"/>
  <c r="AI400" i="50" s="1"/>
  <c r="AP400" i="50"/>
  <c r="AQ400" i="50"/>
  <c r="R376" i="50"/>
  <c r="AP376" i="50"/>
  <c r="AQ376" i="50"/>
  <c r="R535" i="50"/>
  <c r="AP535" i="50"/>
  <c r="AQ535" i="50"/>
  <c r="R419" i="50"/>
  <c r="AQ419" i="50"/>
  <c r="AP419" i="50"/>
  <c r="R389" i="50"/>
  <c r="AH389" i="50" s="1" a="1"/>
  <c r="AH389" i="50" s="1"/>
  <c r="AI389" i="50" s="1"/>
  <c r="AQ389" i="50"/>
  <c r="AP389" i="50"/>
  <c r="R506" i="50"/>
  <c r="AP506" i="50"/>
  <c r="AQ506" i="50"/>
  <c r="R499" i="50"/>
  <c r="AH499" i="50" s="1" a="1"/>
  <c r="AH499" i="50" s="1"/>
  <c r="AI499" i="50" s="1"/>
  <c r="AP499" i="50"/>
  <c r="AQ499" i="50"/>
  <c r="R377" i="50"/>
  <c r="AP377" i="50"/>
  <c r="AQ377" i="50"/>
  <c r="R481" i="50"/>
  <c r="AP481" i="50"/>
  <c r="AQ481" i="50"/>
  <c r="R462" i="50"/>
  <c r="AH462" i="50" s="1" a="1"/>
  <c r="AH462" i="50" s="1"/>
  <c r="AI462" i="50" s="1"/>
  <c r="AP462" i="50"/>
  <c r="AQ462" i="50"/>
  <c r="R477" i="50"/>
  <c r="AH477" i="50" s="1" a="1"/>
  <c r="AH477" i="50" s="1"/>
  <c r="AI477" i="50" s="1"/>
  <c r="AP477" i="50"/>
  <c r="AQ477" i="50"/>
  <c r="R442" i="50"/>
  <c r="AH442" i="50" s="1" a="1"/>
  <c r="AH442" i="50" s="1"/>
  <c r="AI442" i="50" s="1"/>
  <c r="AP442" i="50"/>
  <c r="AQ442" i="50"/>
  <c r="R427" i="50"/>
  <c r="AH427" i="50" s="1" a="1"/>
  <c r="AH427" i="50" s="1"/>
  <c r="AI427" i="50" s="1"/>
  <c r="AP427" i="50"/>
  <c r="AQ427" i="50"/>
  <c r="R410" i="50"/>
  <c r="AH410" i="50" s="1" a="1"/>
  <c r="AH410" i="50" s="1"/>
  <c r="AI410" i="50" s="1"/>
  <c r="AP410" i="50"/>
  <c r="AQ410" i="50"/>
  <c r="R375" i="50"/>
  <c r="AH375" i="50" s="1" a="1"/>
  <c r="AH375" i="50" s="1"/>
  <c r="AI375" i="50" s="1"/>
  <c r="AP375" i="50"/>
  <c r="AQ375" i="50"/>
  <c r="R366" i="50"/>
  <c r="AP366" i="50"/>
  <c r="AQ366" i="50"/>
  <c r="R348" i="50"/>
  <c r="AH348" i="50" s="1" a="1"/>
  <c r="AH348" i="50" s="1"/>
  <c r="AI348" i="50" s="1"/>
  <c r="AP348" i="50"/>
  <c r="AQ348" i="50"/>
  <c r="R340" i="50"/>
  <c r="AQ340" i="50"/>
  <c r="AP340" i="50"/>
  <c r="R328" i="50"/>
  <c r="AP328" i="50"/>
  <c r="AQ328" i="50"/>
  <c r="R316" i="50"/>
  <c r="AQ316" i="50"/>
  <c r="AP316" i="50"/>
  <c r="AQ301" i="50"/>
  <c r="AP301" i="50"/>
  <c r="R334" i="50"/>
  <c r="AH334" i="50" s="1" a="1"/>
  <c r="AH334" i="50" s="1"/>
  <c r="AI334" i="50" s="1"/>
  <c r="AP334" i="50"/>
  <c r="AQ334" i="50"/>
  <c r="R349" i="50"/>
  <c r="AP349" i="50"/>
  <c r="AQ349" i="50"/>
  <c r="R330" i="50"/>
  <c r="AP330" i="50"/>
  <c r="AQ330" i="50"/>
  <c r="R284" i="50"/>
  <c r="AH284" i="50" s="1" a="1"/>
  <c r="AH284" i="50" s="1"/>
  <c r="AI284" i="50" s="1"/>
  <c r="AP284" i="50"/>
  <c r="AQ284" i="50"/>
  <c r="R274" i="50"/>
  <c r="AH274" i="50" s="1" a="1"/>
  <c r="AH274" i="50" s="1"/>
  <c r="AI274" i="50" s="1"/>
  <c r="AP274" i="50"/>
  <c r="AQ274" i="50"/>
  <c r="R258" i="50"/>
  <c r="AH258" i="50" s="1" a="1"/>
  <c r="AH258" i="50" s="1"/>
  <c r="AI258" i="50" s="1"/>
  <c r="AQ258" i="50"/>
  <c r="AP258" i="50"/>
  <c r="AP272" i="50"/>
  <c r="AQ272" i="50"/>
  <c r="R248" i="50"/>
  <c r="AH248" i="50" s="1" a="1"/>
  <c r="AH248" i="50" s="1"/>
  <c r="AI248" i="50" s="1"/>
  <c r="AP248" i="50"/>
  <c r="AQ248" i="50"/>
  <c r="R210" i="50"/>
  <c r="AH210" i="50" s="1" a="1"/>
  <c r="AH210" i="50" s="1"/>
  <c r="AI210" i="50" s="1"/>
  <c r="AQ210" i="50"/>
  <c r="AP210" i="50"/>
  <c r="AP207" i="50"/>
  <c r="AQ207" i="50"/>
  <c r="R194" i="50"/>
  <c r="AH194" i="50" s="1" a="1"/>
  <c r="AH194" i="50" s="1"/>
  <c r="AI194" i="50" s="1"/>
  <c r="AQ194" i="50"/>
  <c r="AP194" i="50"/>
  <c r="R146" i="50"/>
  <c r="AH146" i="50" s="1" a="1"/>
  <c r="AH146" i="50" s="1"/>
  <c r="AI146" i="50" s="1"/>
  <c r="AP146" i="50"/>
  <c r="AQ146" i="50"/>
  <c r="AQ177" i="50"/>
  <c r="AP177" i="50"/>
  <c r="AP162" i="50"/>
  <c r="AQ162" i="50"/>
  <c r="R132" i="50"/>
  <c r="AH132" i="50" s="1" a="1"/>
  <c r="AH132" i="50" s="1"/>
  <c r="AI132" i="50" s="1"/>
  <c r="AP132" i="50"/>
  <c r="AQ132" i="50"/>
  <c r="R128" i="50"/>
  <c r="AH128" i="50" s="1" a="1"/>
  <c r="AH128" i="50" s="1"/>
  <c r="AI128" i="50" s="1"/>
  <c r="AP128" i="50"/>
  <c r="AQ128" i="50"/>
  <c r="R119" i="50"/>
  <c r="AH119" i="50" s="1" a="1"/>
  <c r="AH119" i="50" s="1"/>
  <c r="AI119" i="50" s="1"/>
  <c r="AP119" i="50"/>
  <c r="AQ119" i="50"/>
  <c r="R105" i="50"/>
  <c r="AP105" i="50"/>
  <c r="AQ105" i="50"/>
  <c r="R81" i="50"/>
  <c r="AH81" i="50" s="1" a="1"/>
  <c r="AH81" i="50" s="1"/>
  <c r="AI81" i="50" s="1"/>
  <c r="AP81" i="50"/>
  <c r="AQ81" i="50"/>
  <c r="R73" i="50"/>
  <c r="AP73" i="50"/>
  <c r="AQ73" i="50"/>
  <c r="R67" i="50"/>
  <c r="AH67" i="50" s="1" a="1"/>
  <c r="AH67" i="50" s="1"/>
  <c r="AI67" i="50" s="1"/>
  <c r="AP67" i="50"/>
  <c r="AQ67" i="50"/>
  <c r="R64" i="50"/>
  <c r="AH64" i="50" s="1" a="1"/>
  <c r="AH64" i="50" s="1"/>
  <c r="AI64" i="50" s="1"/>
  <c r="AP64" i="50"/>
  <c r="AQ64" i="50"/>
  <c r="R56" i="50"/>
  <c r="AH56" i="50" s="1" a="1"/>
  <c r="AH56" i="50" s="1"/>
  <c r="AI56" i="50" s="1"/>
  <c r="AQ56" i="50"/>
  <c r="AP56" i="50"/>
  <c r="R91" i="50"/>
  <c r="AH91" i="50" s="1" a="1"/>
  <c r="AH91" i="50" s="1"/>
  <c r="AI91" i="50" s="1"/>
  <c r="AP91" i="50"/>
  <c r="AQ91" i="50"/>
  <c r="R48" i="50"/>
  <c r="AH48" i="50" s="1" a="1"/>
  <c r="AH48" i="50" s="1"/>
  <c r="AI48" i="50" s="1"/>
  <c r="AP48" i="50"/>
  <c r="AQ48" i="50"/>
  <c r="R27" i="50"/>
  <c r="AH27" i="50" s="1" a="1"/>
  <c r="AH27" i="50" s="1"/>
  <c r="AI27" i="50" s="1"/>
  <c r="AQ27" i="50"/>
  <c r="AP27" i="50"/>
  <c r="R37" i="50"/>
  <c r="AH37" i="50" s="1" a="1"/>
  <c r="AH37" i="50" s="1"/>
  <c r="AI37" i="50" s="1"/>
  <c r="AQ37" i="50"/>
  <c r="AP37" i="50"/>
  <c r="AP17" i="50"/>
  <c r="AQ17" i="50"/>
  <c r="R7" i="50"/>
  <c r="AP7" i="50"/>
  <c r="AQ7" i="50"/>
  <c r="S214" i="50" l="1"/>
  <c r="AH689" i="50" a="1"/>
  <c r="AH689" i="50" s="1"/>
  <c r="AI689" i="50" s="1"/>
  <c r="S211" i="50"/>
  <c r="AH7" i="50" a="1"/>
  <c r="AH7" i="50" s="1"/>
  <c r="AI7" i="50" s="1"/>
  <c r="AH73" i="50" a="1"/>
  <c r="AH73" i="50" s="1"/>
  <c r="AI73" i="50" s="1"/>
  <c r="AH105" i="50" a="1"/>
  <c r="AH105" i="50" s="1"/>
  <c r="AI105" i="50" s="1"/>
  <c r="AH330" i="50" a="1"/>
  <c r="AH330" i="50" s="1"/>
  <c r="AI330" i="50" s="1"/>
  <c r="AH349" i="50" a="1"/>
  <c r="AH349" i="50" s="1"/>
  <c r="AI349" i="50" s="1"/>
  <c r="AH316" i="50" a="1"/>
  <c r="AH316" i="50" s="1"/>
  <c r="AI316" i="50" s="1"/>
  <c r="AH328" i="50" a="1"/>
  <c r="AH328" i="50" s="1"/>
  <c r="AI328" i="50" s="1"/>
  <c r="AH340" i="50" a="1"/>
  <c r="AH340" i="50" s="1"/>
  <c r="AI340" i="50" s="1"/>
  <c r="AH366" i="50" a="1"/>
  <c r="AH366" i="50" s="1"/>
  <c r="AI366" i="50" s="1"/>
  <c r="AH481" i="50" a="1"/>
  <c r="AH481" i="50" s="1"/>
  <c r="AI481" i="50" s="1"/>
  <c r="AH377" i="50" a="1"/>
  <c r="AH377" i="50" s="1"/>
  <c r="AI377" i="50" s="1"/>
  <c r="AH506" i="50" a="1"/>
  <c r="AH506" i="50" s="1"/>
  <c r="AI506" i="50" s="1"/>
  <c r="AH419" i="50" a="1"/>
  <c r="AH419" i="50" s="1"/>
  <c r="AI419" i="50" s="1"/>
  <c r="AH535" i="50" a="1"/>
  <c r="AH535" i="50" s="1"/>
  <c r="AI535" i="50" s="1"/>
  <c r="AH376" i="50" a="1"/>
  <c r="AH376" i="50" s="1"/>
  <c r="AI376" i="50" s="1"/>
  <c r="AH539" i="50" a="1"/>
  <c r="AH539" i="50" s="1"/>
  <c r="AI539" i="50" s="1"/>
  <c r="AH542" i="50" a="1"/>
  <c r="AH542" i="50" s="1"/>
  <c r="AI542" i="50" s="1"/>
  <c r="AH571" i="50" a="1"/>
  <c r="AH571" i="50" s="1"/>
  <c r="AI571" i="50" s="1"/>
  <c r="AH456" i="50" a="1"/>
  <c r="AH456" i="50" s="1"/>
  <c r="AI456" i="50" s="1"/>
  <c r="AH549" i="50" a="1"/>
  <c r="AH549" i="50" s="1"/>
  <c r="AI549" i="50" s="1"/>
  <c r="AI553" i="50"/>
  <c r="AH470" i="50" a="1"/>
  <c r="AH470" i="50" s="1"/>
  <c r="AI470" i="50" s="1"/>
  <c r="AH695" i="50" a="1"/>
  <c r="AH695" i="50" s="1"/>
  <c r="AI695" i="50" s="1"/>
  <c r="AH702" i="50" a="1"/>
  <c r="AH702" i="50" s="1"/>
  <c r="AI702" i="50" s="1"/>
  <c r="AH712" i="50" a="1"/>
  <c r="AH712" i="50" s="1"/>
  <c r="AI712" i="50" s="1"/>
  <c r="AH140" i="50" a="1"/>
  <c r="AH140" i="50" s="1"/>
  <c r="AI140" i="50" s="1"/>
  <c r="AH8" i="50" a="1"/>
  <c r="AH8" i="50" s="1"/>
  <c r="AI8" i="50" s="1"/>
  <c r="AH36" i="50" a="1"/>
  <c r="AH36" i="50" s="1"/>
  <c r="AI36" i="50" s="1"/>
  <c r="AH43" i="50" a="1"/>
  <c r="AH43" i="50" s="1"/>
  <c r="AI43" i="50" s="1"/>
  <c r="AH49" i="50" a="1"/>
  <c r="AH49" i="50" s="1"/>
  <c r="AI49" i="50" s="1"/>
  <c r="AH65" i="50" a="1"/>
  <c r="AH65" i="50" s="1"/>
  <c r="AI65" i="50" s="1"/>
  <c r="AH74" i="50" a="1"/>
  <c r="AH74" i="50" s="1"/>
  <c r="AI74" i="50" s="1"/>
  <c r="AH110" i="50" a="1"/>
  <c r="AH110" i="50" s="1"/>
  <c r="AI110" i="50" s="1"/>
  <c r="AH123" i="50" a="1"/>
  <c r="AH123" i="50" s="1"/>
  <c r="AI123" i="50" s="1"/>
  <c r="AH259" i="50" a="1"/>
  <c r="AH259" i="50" s="1"/>
  <c r="AI259" i="50" s="1"/>
  <c r="AH275" i="50" a="1"/>
  <c r="AH275" i="50" s="1"/>
  <c r="AI275" i="50" s="1"/>
  <c r="AH285" i="50" a="1"/>
  <c r="AH285" i="50" s="1"/>
  <c r="AI285" i="50" s="1"/>
  <c r="AH331" i="50" a="1"/>
  <c r="AH331" i="50" s="1"/>
  <c r="AI331" i="50" s="1"/>
  <c r="AH352" i="50" a="1"/>
  <c r="AH352" i="50" s="1"/>
  <c r="AI352" i="50" s="1"/>
  <c r="AH361" i="50" a="1"/>
  <c r="AH361" i="50" s="1"/>
  <c r="AI361" i="50" s="1"/>
  <c r="AH341" i="50" a="1"/>
  <c r="AH341" i="50" s="1"/>
  <c r="AI341" i="50" s="1"/>
  <c r="AH350" i="50" a="1"/>
  <c r="AH350" i="50" s="1"/>
  <c r="AI350" i="50" s="1"/>
  <c r="AH369" i="50" a="1"/>
  <c r="AH369" i="50" s="1"/>
  <c r="AI369" i="50" s="1"/>
  <c r="AH414" i="50" a="1"/>
  <c r="AH414" i="50" s="1"/>
  <c r="AI414" i="50" s="1"/>
  <c r="AH486" i="50" a="1"/>
  <c r="AH486" i="50" s="1"/>
  <c r="AI486" i="50" s="1"/>
  <c r="AH487" i="50" a="1"/>
  <c r="AH487" i="50" s="1"/>
  <c r="AI487" i="50" s="1"/>
  <c r="AH466" i="50" a="1"/>
  <c r="AH466" i="50" s="1"/>
  <c r="AI466" i="50" s="1"/>
  <c r="AH374" i="50" a="1"/>
  <c r="AH374" i="50" s="1"/>
  <c r="AI374" i="50" s="1"/>
  <c r="AH404" i="50" a="1"/>
  <c r="AH404" i="50" s="1"/>
  <c r="AI404" i="50" s="1"/>
  <c r="AH407" i="50" a="1"/>
  <c r="AH407" i="50" s="1"/>
  <c r="AI407" i="50" s="1"/>
  <c r="AH420" i="50" a="1"/>
  <c r="AH420" i="50" s="1"/>
  <c r="AI420" i="50" s="1"/>
  <c r="AH430" i="50" a="1"/>
  <c r="AH430" i="50" s="1"/>
  <c r="AI430" i="50" s="1"/>
  <c r="AH566" i="50" a="1"/>
  <c r="AH566" i="50" s="1"/>
  <c r="AI566" i="50" s="1"/>
  <c r="AH464" i="50" a="1"/>
  <c r="AH464" i="50" s="1"/>
  <c r="AI464" i="50" s="1"/>
  <c r="AH576" i="50" a="1"/>
  <c r="AH576" i="50" s="1"/>
  <c r="AI576" i="50" s="1"/>
  <c r="AH696" i="50" a="1"/>
  <c r="AH696" i="50" s="1"/>
  <c r="AI696" i="50" s="1"/>
  <c r="AH686" i="50" a="1"/>
  <c r="AH686" i="50" s="1"/>
  <c r="AI686" i="50" s="1"/>
  <c r="AH707" i="50" a="1"/>
  <c r="AH707" i="50" s="1"/>
  <c r="AI707" i="50" s="1"/>
  <c r="AH713" i="50" a="1"/>
  <c r="AH713" i="50" s="1"/>
  <c r="AI713" i="50" s="1"/>
  <c r="AH727" i="50" a="1"/>
  <c r="AH727" i="50" s="1"/>
  <c r="AI727" i="50" s="1"/>
  <c r="AH734" i="50" a="1"/>
  <c r="AH734" i="50" s="1"/>
  <c r="AI734" i="50" s="1"/>
  <c r="AH38" i="50" a="1"/>
  <c r="AH38" i="50" s="1"/>
  <c r="AI38" i="50" s="1"/>
  <c r="AH44" i="50" a="1"/>
  <c r="AH44" i="50" s="1"/>
  <c r="AI44" i="50" s="1"/>
  <c r="AH50" i="50" a="1"/>
  <c r="AH50" i="50" s="1"/>
  <c r="AI50" i="50" s="1"/>
  <c r="AH31" i="50" a="1"/>
  <c r="AH31" i="50" s="1"/>
  <c r="AI31" i="50" s="1"/>
  <c r="AH111" i="50" a="1"/>
  <c r="AH111" i="50" s="1"/>
  <c r="AI111" i="50" s="1"/>
  <c r="AH240" i="50" a="1"/>
  <c r="AH240" i="50" s="1"/>
  <c r="AI240" i="50" s="1"/>
  <c r="AH254" i="50" a="1"/>
  <c r="AH254" i="50" s="1"/>
  <c r="AI254" i="50" s="1"/>
  <c r="AH260" i="50" a="1"/>
  <c r="AH260" i="50" s="1"/>
  <c r="AI260" i="50" s="1"/>
  <c r="AH276" i="50" a="1"/>
  <c r="AH276" i="50" s="1"/>
  <c r="AI276" i="50" s="1"/>
  <c r="AH319" i="50" a="1"/>
  <c r="AH319" i="50" s="1"/>
  <c r="AI319" i="50" s="1"/>
  <c r="AH339" i="50" a="1"/>
  <c r="AH339" i="50" s="1"/>
  <c r="AI339" i="50" s="1"/>
  <c r="AH354" i="50" a="1"/>
  <c r="AH354" i="50" s="1"/>
  <c r="AI354" i="50" s="1"/>
  <c r="AH368" i="50" a="1"/>
  <c r="AH368" i="50" s="1"/>
  <c r="AI368" i="50" s="1"/>
  <c r="AH318" i="50" a="1"/>
  <c r="AH318" i="50" s="1"/>
  <c r="AI318" i="50" s="1"/>
  <c r="AH332" i="50" a="1"/>
  <c r="AH332" i="50" s="1"/>
  <c r="AI332" i="50" s="1"/>
  <c r="AH351" i="50" a="1"/>
  <c r="AH351" i="50" s="1"/>
  <c r="AI351" i="50" s="1"/>
  <c r="AH362" i="50" a="1"/>
  <c r="AH362" i="50" s="1"/>
  <c r="AI362" i="50" s="1"/>
  <c r="AH394" i="50" a="1"/>
  <c r="AH394" i="50" s="1"/>
  <c r="AI394" i="50" s="1"/>
  <c r="AH378" i="50" a="1"/>
  <c r="AH378" i="50" s="1"/>
  <c r="AI378" i="50" s="1"/>
  <c r="AH405" i="50" a="1"/>
  <c r="AH405" i="50" s="1"/>
  <c r="AI405" i="50" s="1"/>
  <c r="AH386" i="50" a="1"/>
  <c r="AH386" i="50" s="1"/>
  <c r="AI386" i="50" s="1"/>
  <c r="AH426" i="50" a="1"/>
  <c r="AH426" i="50" s="1"/>
  <c r="AI426" i="50" s="1"/>
  <c r="AH431" i="50" a="1"/>
  <c r="AH431" i="50" s="1"/>
  <c r="AI431" i="50" s="1"/>
  <c r="AH568" i="50" a="1"/>
  <c r="AH568" i="50" s="1"/>
  <c r="AI568" i="50" s="1"/>
  <c r="AH544" i="50" a="1"/>
  <c r="AH544" i="50" s="1"/>
  <c r="AI544" i="50" s="1"/>
  <c r="AH547" i="50" a="1"/>
  <c r="AH547" i="50" s="1"/>
  <c r="AI547" i="50" s="1"/>
  <c r="AH507" i="50" a="1"/>
  <c r="AH507" i="50" s="1"/>
  <c r="AI507" i="50" s="1"/>
  <c r="AI554" i="50"/>
  <c r="AH714" i="50" a="1"/>
  <c r="AH714" i="50" s="1"/>
  <c r="AI714" i="50" s="1"/>
  <c r="AH735" i="50" a="1"/>
  <c r="AH735" i="50" s="1"/>
  <c r="AI735" i="50" s="1"/>
  <c r="AH138" i="50" a="1"/>
  <c r="AH138" i="50" s="1"/>
  <c r="AI138" i="50" s="1"/>
  <c r="AH11" i="50" a="1"/>
  <c r="AH11" i="50" s="1"/>
  <c r="AI11" i="50" s="1"/>
  <c r="AH39" i="50" a="1"/>
  <c r="AH39" i="50" s="1"/>
  <c r="AI39" i="50" s="1"/>
  <c r="AH51" i="50" a="1"/>
  <c r="AH51" i="50" s="1"/>
  <c r="AI51" i="50" s="1"/>
  <c r="AH61" i="50" a="1"/>
  <c r="AH61" i="50" s="1"/>
  <c r="AI61" i="50" s="1"/>
  <c r="AH32" i="50" a="1"/>
  <c r="AH32" i="50" s="1"/>
  <c r="AI32" i="50" s="1"/>
  <c r="AH68" i="50" a="1"/>
  <c r="AH68" i="50" s="1"/>
  <c r="AI68" i="50" s="1"/>
  <c r="AH84" i="50" a="1"/>
  <c r="AH84" i="50" s="1"/>
  <c r="AI84" i="50" s="1"/>
  <c r="AH100" i="50" a="1"/>
  <c r="AH100" i="50" s="1"/>
  <c r="AI100" i="50" s="1"/>
  <c r="AH125" i="50" a="1"/>
  <c r="AH125" i="50" s="1"/>
  <c r="AI125" i="50" s="1"/>
  <c r="AH251" i="50" a="1"/>
  <c r="AH251" i="50" s="1"/>
  <c r="AI251" i="50" s="1"/>
  <c r="AH262" i="50" a="1"/>
  <c r="AH262" i="50" s="1"/>
  <c r="AI262" i="50" s="1"/>
  <c r="AH321" i="50" a="1"/>
  <c r="AH321" i="50" s="1"/>
  <c r="AI321" i="50" s="1"/>
  <c r="AH290" i="50" a="1"/>
  <c r="AH290" i="50" s="1"/>
  <c r="AI290" i="50" s="1"/>
  <c r="AH358" i="50" a="1"/>
  <c r="AH358" i="50" s="1"/>
  <c r="AI358" i="50" s="1"/>
  <c r="AH296" i="50" a="1"/>
  <c r="AH296" i="50" s="1"/>
  <c r="AI296" i="50" s="1"/>
  <c r="AH333" i="50" a="1"/>
  <c r="AH333" i="50" s="1"/>
  <c r="AI333" i="50" s="1"/>
  <c r="AH353" i="50" a="1"/>
  <c r="AH353" i="50" s="1"/>
  <c r="AI353" i="50" s="1"/>
  <c r="AH370" i="50" a="1"/>
  <c r="AH370" i="50" s="1"/>
  <c r="AI370" i="50" s="1"/>
  <c r="AH468" i="50" a="1"/>
  <c r="AH468" i="50" s="1"/>
  <c r="AI468" i="50" s="1"/>
  <c r="AH531" i="50" a="1"/>
  <c r="AH531" i="50" s="1"/>
  <c r="AI531" i="50" s="1"/>
  <c r="AH406" i="50" a="1"/>
  <c r="AH406" i="50" s="1"/>
  <c r="AI406" i="50" s="1"/>
  <c r="AH413" i="50" a="1"/>
  <c r="AH413" i="50" s="1"/>
  <c r="AI413" i="50" s="1"/>
  <c r="AH421" i="50" a="1"/>
  <c r="AH421" i="50" s="1"/>
  <c r="AI421" i="50" s="1"/>
  <c r="AH382" i="50" a="1"/>
  <c r="AH382" i="50" s="1"/>
  <c r="AI382" i="50" s="1"/>
  <c r="AH567" i="50" a="1"/>
  <c r="AH567" i="50" s="1"/>
  <c r="AI567" i="50" s="1"/>
  <c r="AH447" i="50" a="1"/>
  <c r="AH447" i="50" s="1"/>
  <c r="AI447" i="50" s="1"/>
  <c r="AH383" i="50" a="1"/>
  <c r="AH383" i="50" s="1"/>
  <c r="AI383" i="50" s="1"/>
  <c r="AH451" i="50" a="1"/>
  <c r="AH451" i="50" s="1"/>
  <c r="AI451" i="50" s="1"/>
  <c r="AH390" i="50" a="1"/>
  <c r="AH390" i="50" s="1"/>
  <c r="AI390" i="50" s="1"/>
  <c r="AH463" i="50" a="1"/>
  <c r="AH463" i="50" s="1"/>
  <c r="AI463" i="50" s="1"/>
  <c r="AH697" i="50" a="1"/>
  <c r="AH697" i="50" s="1"/>
  <c r="AI697" i="50" s="1"/>
  <c r="AH715" i="50" a="1"/>
  <c r="AH715" i="50" s="1"/>
  <c r="AI715" i="50" s="1"/>
  <c r="AH721" i="50" a="1"/>
  <c r="AH721" i="50" s="1"/>
  <c r="AI721" i="50" s="1"/>
  <c r="AH729" i="50" a="1"/>
  <c r="AH729" i="50" s="1"/>
  <c r="AI729" i="50" s="1"/>
  <c r="AH736" i="50" a="1"/>
  <c r="AH736" i="50" s="1"/>
  <c r="AI736" i="50" s="1"/>
  <c r="AH12" i="50" a="1"/>
  <c r="AH12" i="50" s="1"/>
  <c r="AI12" i="50" s="1"/>
  <c r="AH41" i="50" a="1"/>
  <c r="AH41" i="50" s="1"/>
  <c r="AI41" i="50" s="1"/>
  <c r="AH116" i="50" a="1"/>
  <c r="AH116" i="50" s="1"/>
  <c r="AI116" i="50" s="1"/>
  <c r="AH256" i="50" a="1"/>
  <c r="AH256" i="50" s="1"/>
  <c r="AI256" i="50" s="1"/>
  <c r="AH298" i="50" a="1"/>
  <c r="AH298" i="50" s="1"/>
  <c r="AI298" i="50" s="1"/>
  <c r="AH283" i="50" a="1"/>
  <c r="AH283" i="50" s="1"/>
  <c r="AI283" i="50" s="1"/>
  <c r="AH297" i="50" a="1"/>
  <c r="AH297" i="50" s="1"/>
  <c r="AI297" i="50" s="1"/>
  <c r="AH308" i="50" a="1"/>
  <c r="AH308" i="50" s="1"/>
  <c r="AI308" i="50" s="1"/>
  <c r="AH286" i="50" a="1"/>
  <c r="AH286" i="50" s="1"/>
  <c r="AI286" i="50" s="1"/>
  <c r="AH295" i="50" a="1"/>
  <c r="AH295" i="50" s="1"/>
  <c r="AI295" i="50" s="1"/>
  <c r="AH492" i="50" a="1"/>
  <c r="AH492" i="50" s="1"/>
  <c r="AI492" i="50" s="1"/>
  <c r="AH416" i="50" a="1"/>
  <c r="AH416" i="50" s="1"/>
  <c r="AI416" i="50" s="1"/>
  <c r="AH428" i="50" a="1"/>
  <c r="AH428" i="50" s="1"/>
  <c r="AI428" i="50" s="1"/>
  <c r="AH432" i="50" a="1"/>
  <c r="AH432" i="50" s="1"/>
  <c r="AI432" i="50" s="1"/>
  <c r="AH437" i="50" a="1"/>
  <c r="AH437" i="50" s="1"/>
  <c r="AI437" i="50" s="1"/>
  <c r="AH570" i="50" a="1"/>
  <c r="AH570" i="50" s="1"/>
  <c r="AI570" i="50" s="1"/>
  <c r="AH508" i="50" a="1"/>
  <c r="AH508" i="50" s="1"/>
  <c r="AI508" i="50" s="1"/>
  <c r="AI555" i="50"/>
  <c r="AH691" i="50" a="1"/>
  <c r="AH691" i="50" s="1"/>
  <c r="AI691" i="50" s="1"/>
  <c r="AH698" i="50" a="1"/>
  <c r="AH698" i="50" s="1"/>
  <c r="AI698" i="50" s="1"/>
  <c r="AH716" i="50" a="1"/>
  <c r="AH716" i="50" s="1"/>
  <c r="AI716" i="50" s="1"/>
  <c r="AH145" i="50" a="1"/>
  <c r="AH145" i="50" s="1"/>
  <c r="AI145" i="50" s="1"/>
  <c r="AH13" i="50" a="1"/>
  <c r="AH13" i="50" s="1"/>
  <c r="AI13" i="50" s="1"/>
  <c r="AH25" i="50" a="1"/>
  <c r="AH25" i="50" s="1"/>
  <c r="AI25" i="50" s="1"/>
  <c r="AH70" i="50" a="1"/>
  <c r="AH70" i="50" s="1"/>
  <c r="AI70" i="50" s="1"/>
  <c r="AH78" i="50" a="1"/>
  <c r="AH78" i="50" s="1"/>
  <c r="AI78" i="50" s="1"/>
  <c r="AH117" i="50" a="1"/>
  <c r="AH117" i="50" s="1"/>
  <c r="AI117" i="50" s="1"/>
  <c r="AH126" i="50" a="1"/>
  <c r="AH126" i="50" s="1"/>
  <c r="AI126" i="50" s="1"/>
  <c r="AH280" i="50" a="1"/>
  <c r="AH280" i="50" s="1"/>
  <c r="AI280" i="50" s="1"/>
  <c r="AH306" i="50" a="1"/>
  <c r="AH306" i="50" s="1"/>
  <c r="AI306" i="50" s="1"/>
  <c r="AH323" i="50" a="1"/>
  <c r="AH323" i="50" s="1"/>
  <c r="AI323" i="50" s="1"/>
  <c r="AH311" i="50" a="1"/>
  <c r="AH311" i="50" s="1"/>
  <c r="AI311" i="50" s="1"/>
  <c r="AH336" i="50" a="1"/>
  <c r="AH336" i="50" s="1"/>
  <c r="AI336" i="50" s="1"/>
  <c r="AH344" i="50" a="1"/>
  <c r="AH344" i="50" s="1"/>
  <c r="AI344" i="50" s="1"/>
  <c r="AH357" i="50" a="1"/>
  <c r="AH357" i="50" s="1"/>
  <c r="AI357" i="50" s="1"/>
  <c r="AH412" i="50" a="1"/>
  <c r="AH412" i="50" s="1"/>
  <c r="AI412" i="50" s="1"/>
  <c r="AH494" i="50" a="1"/>
  <c r="AH494" i="50" s="1"/>
  <c r="AI494" i="50" s="1"/>
  <c r="AH450" i="50" a="1"/>
  <c r="AH450" i="50" s="1"/>
  <c r="AI450" i="50" s="1"/>
  <c r="AH433" i="50" a="1"/>
  <c r="AH433" i="50" s="1"/>
  <c r="AI433" i="50" s="1"/>
  <c r="AH500" i="50" a="1"/>
  <c r="AH500" i="50" s="1"/>
  <c r="AI500" i="50" s="1"/>
  <c r="AH504" i="50" a="1"/>
  <c r="AH504" i="50" s="1"/>
  <c r="AI504" i="50" s="1"/>
  <c r="AI545" i="50"/>
  <c r="AH574" i="50" a="1"/>
  <c r="AH574" i="50" s="1"/>
  <c r="AI574" i="50" s="1"/>
  <c r="AH551" i="50" a="1"/>
  <c r="AH551" i="50" s="1"/>
  <c r="AI551" i="50" s="1"/>
  <c r="AI556" i="50"/>
  <c r="AH692" i="50" a="1"/>
  <c r="AH692" i="50" s="1"/>
  <c r="AI692" i="50" s="1"/>
  <c r="AH699" i="50" a="1"/>
  <c r="AH699" i="50" s="1"/>
  <c r="AI699" i="50" s="1"/>
  <c r="AH717" i="50" a="1"/>
  <c r="AH717" i="50" s="1"/>
  <c r="AI717" i="50" s="1"/>
  <c r="AH723" i="50" a="1"/>
  <c r="AH723" i="50" s="1"/>
  <c r="AI723" i="50" s="1"/>
  <c r="AH745" i="50" a="1"/>
  <c r="AH745" i="50" s="1"/>
  <c r="AI745" i="50" s="1"/>
  <c r="AH4" i="50" a="1"/>
  <c r="AH4" i="50" s="1"/>
  <c r="AI4" i="50" s="1"/>
  <c r="AH14" i="50" a="1"/>
  <c r="AH14" i="50" s="1"/>
  <c r="AI14" i="50" s="1"/>
  <c r="AH26" i="50" a="1"/>
  <c r="AH26" i="50" s="1"/>
  <c r="AI26" i="50" s="1"/>
  <c r="AH54" i="50" a="1"/>
  <c r="AH54" i="50" s="1"/>
  <c r="AI54" i="50" s="1"/>
  <c r="AH62" i="50" a="1"/>
  <c r="AH62" i="50" s="1"/>
  <c r="AI62" i="50" s="1"/>
  <c r="AH33" i="50" a="1"/>
  <c r="AH33" i="50" s="1"/>
  <c r="AI33" i="50" s="1"/>
  <c r="AH71" i="50" a="1"/>
  <c r="AH71" i="50" s="1"/>
  <c r="AI71" i="50" s="1"/>
  <c r="AH79" i="50" a="1"/>
  <c r="AH79" i="50" s="1"/>
  <c r="AI79" i="50" s="1"/>
  <c r="AH103" i="50" a="1"/>
  <c r="AH103" i="50" s="1"/>
  <c r="AI103" i="50" s="1"/>
  <c r="AH118" i="50" a="1"/>
  <c r="AH118" i="50" s="1"/>
  <c r="AI118" i="50" s="1"/>
  <c r="AH127" i="50" a="1"/>
  <c r="AH127" i="50" s="1"/>
  <c r="AI127" i="50" s="1"/>
  <c r="AH246" i="50" a="1"/>
  <c r="AH246" i="50" s="1"/>
  <c r="AI246" i="50" s="1"/>
  <c r="AH257" i="50" a="1"/>
  <c r="AH257" i="50" s="1"/>
  <c r="AI257" i="50" s="1"/>
  <c r="AH281" i="50" a="1"/>
  <c r="AH281" i="50" s="1"/>
  <c r="AI281" i="50" s="1"/>
  <c r="AH307" i="50" a="1"/>
  <c r="AH307" i="50" s="1"/>
  <c r="AI307" i="50" s="1"/>
  <c r="AH346" i="50" a="1"/>
  <c r="AH346" i="50" s="1"/>
  <c r="AI346" i="50" s="1"/>
  <c r="AH359" i="50" a="1"/>
  <c r="AH359" i="50" s="1"/>
  <c r="AI359" i="50" s="1"/>
  <c r="AH408" i="50" a="1"/>
  <c r="AH408" i="50" s="1"/>
  <c r="AI408" i="50" s="1"/>
  <c r="AH411" i="50" a="1"/>
  <c r="AH411" i="50" s="1"/>
  <c r="AI411" i="50" s="1"/>
  <c r="AH429" i="50" a="1"/>
  <c r="AH429" i="50" s="1"/>
  <c r="AI429" i="50" s="1"/>
  <c r="AH501" i="50" a="1"/>
  <c r="AH501" i="50" s="1"/>
  <c r="AI501" i="50" s="1"/>
  <c r="AH540" i="50" a="1"/>
  <c r="AH540" i="50" s="1"/>
  <c r="AI540" i="50" s="1"/>
  <c r="AH452" i="50" a="1"/>
  <c r="AH452" i="50" s="1"/>
  <c r="AI452" i="50" s="1"/>
  <c r="AH572" i="50" a="1"/>
  <c r="AH572" i="50" s="1"/>
  <c r="AI572" i="50" s="1"/>
  <c r="AH459" i="50" a="1"/>
  <c r="AH459" i="50" s="1"/>
  <c r="AI459" i="50" s="1"/>
  <c r="AI552" i="50"/>
  <c r="AH509" i="50" a="1"/>
  <c r="AH509" i="50" s="1"/>
  <c r="AI509" i="50" s="1"/>
  <c r="AH693" i="50" a="1"/>
  <c r="AH693" i="50" s="1"/>
  <c r="AI693" i="50" s="1"/>
  <c r="AH700" i="50" a="1"/>
  <c r="AH700" i="50" s="1"/>
  <c r="AI700" i="50" s="1"/>
  <c r="AH706" i="50" a="1"/>
  <c r="AH706" i="50" s="1"/>
  <c r="AI706" i="50" s="1"/>
  <c r="AH711" i="50" a="1"/>
  <c r="AH711" i="50" s="1"/>
  <c r="AI711" i="50" s="1"/>
  <c r="AH718" i="50" a="1"/>
  <c r="AH718" i="50" s="1"/>
  <c r="AI718" i="50" s="1"/>
  <c r="AH724" i="50" a="1"/>
  <c r="AH724" i="50" s="1"/>
  <c r="AI724" i="50" s="1"/>
  <c r="AH142" i="50" a="1"/>
  <c r="AH142" i="50" s="1"/>
  <c r="AI142" i="50" s="1"/>
  <c r="AH35" i="50" a="1"/>
  <c r="AH35" i="50" s="1"/>
  <c r="AI35" i="50" s="1"/>
  <c r="AH47" i="50" a="1"/>
  <c r="AH47" i="50" s="1"/>
  <c r="AI47" i="50" s="1"/>
  <c r="AH55" i="50" a="1"/>
  <c r="AH55" i="50" s="1"/>
  <c r="AI55" i="50" s="1"/>
  <c r="AH63" i="50" a="1"/>
  <c r="AH63" i="50" s="1"/>
  <c r="AI63" i="50" s="1"/>
  <c r="AH72" i="50" a="1"/>
  <c r="AH72" i="50" s="1"/>
  <c r="AI72" i="50" s="1"/>
  <c r="AH121" i="50" a="1"/>
  <c r="AH121" i="50" s="1"/>
  <c r="AI121" i="50" s="1"/>
  <c r="AH247" i="50" a="1"/>
  <c r="AH247" i="50" s="1"/>
  <c r="AI247" i="50" s="1"/>
  <c r="AH267" i="50" a="1"/>
  <c r="AH267" i="50" s="1"/>
  <c r="AI267" i="50" s="1"/>
  <c r="AH309" i="50" a="1"/>
  <c r="AH309" i="50" s="1"/>
  <c r="AI309" i="50" s="1"/>
  <c r="AH345" i="50" a="1"/>
  <c r="AH345" i="50" s="1"/>
  <c r="AI345" i="50" s="1"/>
  <c r="AH320" i="50" a="1"/>
  <c r="AH320" i="50" s="1"/>
  <c r="AI320" i="50" s="1"/>
  <c r="AH360" i="50" a="1"/>
  <c r="AH360" i="50" s="1"/>
  <c r="AI360" i="50" s="1"/>
  <c r="AH488" i="50" a="1"/>
  <c r="AH488" i="50" s="1"/>
  <c r="AI488" i="50" s="1"/>
  <c r="AH418" i="50" a="1"/>
  <c r="AH418" i="50" s="1"/>
  <c r="AI418" i="50" s="1"/>
  <c r="AH424" i="50" a="1"/>
  <c r="AH424" i="50" s="1"/>
  <c r="AI424" i="50" s="1"/>
  <c r="AH565" i="50" a="1"/>
  <c r="AH565" i="50" s="1"/>
  <c r="AI565" i="50" s="1"/>
  <c r="AH441" i="50" a="1"/>
  <c r="AH441" i="50" s="1"/>
  <c r="AI441" i="50" s="1"/>
  <c r="AH387" i="50" a="1"/>
  <c r="AH387" i="50" s="1"/>
  <c r="AI387" i="50" s="1"/>
  <c r="AH573" i="50" a="1"/>
  <c r="AH573" i="50" s="1"/>
  <c r="AI573" i="50" s="1"/>
  <c r="AH461" i="50" a="1"/>
  <c r="AH461" i="50" s="1"/>
  <c r="AI461" i="50" s="1"/>
  <c r="AH469" i="50" a="1"/>
  <c r="AH469" i="50" s="1"/>
  <c r="AI469" i="50" s="1"/>
  <c r="AH694" i="50" a="1"/>
  <c r="AH694" i="50" s="1"/>
  <c r="AI694" i="50" s="1"/>
  <c r="AH701" i="50" a="1"/>
  <c r="AH701" i="50" s="1"/>
  <c r="AI701" i="50" s="1"/>
  <c r="AH725" i="50" a="1"/>
  <c r="AH725" i="50" s="1"/>
  <c r="AI725" i="50" s="1"/>
  <c r="AH143" i="50" a="1"/>
  <c r="AH143" i="50" s="1"/>
  <c r="AI143" i="50" s="1"/>
  <c r="AP2" i="50"/>
  <c r="AQ2" i="50"/>
  <c r="AK136" i="50"/>
  <c r="AL136" i="50" s="1"/>
  <c r="AK337" i="50"/>
  <c r="AK244" i="50"/>
  <c r="AL244" i="50" s="1"/>
  <c r="AK76" i="50"/>
  <c r="AK245" i="50"/>
  <c r="AK264" i="50"/>
  <c r="AK152" i="50"/>
  <c r="AL152" i="50" s="1"/>
  <c r="AK86" i="50"/>
  <c r="AL86" i="50" s="1"/>
  <c r="AK120" i="50"/>
  <c r="AL120" i="50" s="1"/>
  <c r="AK258" i="50"/>
  <c r="AL258" i="50" s="1"/>
  <c r="AK134" i="50"/>
  <c r="AL134" i="50" s="1"/>
  <c r="AK77" i="50"/>
  <c r="AK271" i="50"/>
  <c r="AL271" i="50" s="1"/>
  <c r="AK45" i="50"/>
  <c r="AK149" i="50"/>
  <c r="AL149" i="50" s="1"/>
  <c r="AK241" i="50"/>
  <c r="AL241" i="50" s="1"/>
  <c r="AK365" i="50"/>
  <c r="AL365" i="50" s="1"/>
  <c r="AK279" i="50"/>
  <c r="AL279" i="50" s="1"/>
  <c r="S107" i="50"/>
  <c r="S108" i="50"/>
  <c r="S203" i="50"/>
  <c r="S201" i="50"/>
  <c r="S654" i="50"/>
  <c r="S205" i="50"/>
  <c r="S199" i="50"/>
  <c r="S666" i="50"/>
  <c r="S651" i="50"/>
  <c r="S197" i="50"/>
  <c r="S209" i="50"/>
  <c r="S207" i="50"/>
  <c r="S669" i="50"/>
  <c r="S656" i="50"/>
  <c r="S204" i="50"/>
  <c r="S650" i="50"/>
  <c r="S661" i="50"/>
  <c r="S195" i="50"/>
  <c r="S653" i="50"/>
  <c r="S657" i="50"/>
  <c r="S208" i="50"/>
  <c r="S658" i="50"/>
  <c r="S664" i="50"/>
  <c r="S206" i="50"/>
  <c r="S202" i="50"/>
  <c r="S660" i="50"/>
  <c r="S667" i="50"/>
  <c r="S190" i="50"/>
  <c r="S198" i="50"/>
  <c r="S663" i="50"/>
  <c r="S670" i="50"/>
  <c r="S193" i="50"/>
  <c r="S196" i="50"/>
  <c r="S200" i="50"/>
  <c r="S154" i="50"/>
  <c r="S155" i="50"/>
  <c r="S590" i="50"/>
  <c r="S592" i="50"/>
  <c r="S597" i="50"/>
  <c r="S596" i="50"/>
  <c r="S593" i="50"/>
  <c r="S591" i="50"/>
  <c r="S595" i="50"/>
  <c r="S153" i="50"/>
  <c r="S23" i="50"/>
  <c r="S220" i="50"/>
  <c r="S21" i="50"/>
  <c r="S534" i="50"/>
  <c r="S221" i="50"/>
  <c r="S17" i="50"/>
  <c r="S222" i="50"/>
  <c r="S18" i="50"/>
  <c r="S20" i="50"/>
  <c r="S223" i="50"/>
  <c r="S16" i="50"/>
  <c r="S224" i="50"/>
  <c r="S314" i="50"/>
  <c r="S313" i="50"/>
  <c r="S159" i="50"/>
  <c r="S641" i="50"/>
  <c r="S615" i="50"/>
  <c r="S606" i="50"/>
  <c r="S162" i="50"/>
  <c r="S619" i="50"/>
  <c r="S624" i="50"/>
  <c r="S603" i="50"/>
  <c r="S600" i="50"/>
  <c r="S170" i="50"/>
  <c r="S163" i="50"/>
  <c r="S632" i="50"/>
  <c r="S631" i="50"/>
  <c r="S634" i="50"/>
  <c r="S623" i="50"/>
  <c r="S164" i="50"/>
  <c r="S176" i="50"/>
  <c r="S158" i="50"/>
  <c r="S635" i="50"/>
  <c r="S617" i="50"/>
  <c r="S625" i="50"/>
  <c r="S633" i="50"/>
  <c r="S157" i="50"/>
  <c r="S622" i="50"/>
  <c r="S638" i="50"/>
  <c r="S637" i="50"/>
  <c r="S598" i="50"/>
  <c r="S183" i="50"/>
  <c r="S609" i="50"/>
  <c r="S601" i="50"/>
  <c r="S608" i="50"/>
  <c r="S610" i="50"/>
  <c r="S612" i="50"/>
  <c r="S605" i="50"/>
  <c r="S613" i="50"/>
  <c r="S627" i="50"/>
  <c r="S174" i="50"/>
  <c r="S640" i="50"/>
  <c r="S599" i="50"/>
  <c r="S621" i="50"/>
  <c r="S618" i="50"/>
  <c r="S186" i="50"/>
  <c r="S156" i="50"/>
  <c r="S161" i="50"/>
  <c r="S165" i="50"/>
  <c r="S166" i="50"/>
  <c r="S171" i="50"/>
  <c r="S187" i="50"/>
  <c r="S173" i="50"/>
  <c r="S188" i="50"/>
  <c r="S179" i="50"/>
  <c r="S167" i="50"/>
  <c r="S178" i="50"/>
  <c r="S172" i="50"/>
  <c r="S180" i="50"/>
  <c r="S181" i="50"/>
  <c r="S185" i="50"/>
  <c r="S168" i="50"/>
  <c r="S184" i="50"/>
  <c r="S175" i="50"/>
  <c r="S177" i="50"/>
  <c r="S169" i="50"/>
  <c r="S182" i="50"/>
  <c r="S215" i="50"/>
  <c r="S212" i="50"/>
  <c r="S216" i="50"/>
  <c r="S213" i="50"/>
  <c r="S511" i="50"/>
  <c r="S510" i="50"/>
  <c r="S397" i="50"/>
  <c r="S401" i="50"/>
  <c r="S489" i="50"/>
  <c r="S399" i="50"/>
  <c r="S300" i="50"/>
  <c r="S301" i="50"/>
  <c r="S43" i="50"/>
  <c r="S45" i="50"/>
  <c r="S302" i="50"/>
  <c r="S44" i="50"/>
  <c r="S303" i="50"/>
  <c r="S304" i="50"/>
  <c r="S102" i="50"/>
  <c r="S299" i="50"/>
  <c r="S101" i="50"/>
  <c r="S46" i="50"/>
  <c r="S40" i="50"/>
  <c r="S690" i="50"/>
  <c r="S533" i="50"/>
  <c r="S539" i="50"/>
  <c r="S321" i="50"/>
  <c r="S724" i="50"/>
  <c r="S726" i="50"/>
  <c r="S430" i="50"/>
  <c r="S428" i="50"/>
  <c r="S323" i="50"/>
  <c r="S723" i="50"/>
  <c r="S583" i="50"/>
  <c r="S325" i="50"/>
  <c r="S322" i="50"/>
  <c r="S327" i="50"/>
  <c r="S429" i="50"/>
  <c r="S431" i="50"/>
  <c r="S320" i="50"/>
  <c r="S725" i="50"/>
  <c r="S326" i="50"/>
  <c r="S328" i="50"/>
  <c r="S565" i="50"/>
  <c r="S310" i="50"/>
  <c r="S305" i="50"/>
  <c r="AN92" i="50"/>
  <c r="AM92" i="50" s="1"/>
  <c r="AK92" i="50"/>
  <c r="AL92" i="50" s="1"/>
  <c r="AN249" i="50"/>
  <c r="AM249" i="50" s="1"/>
  <c r="AK249" i="50"/>
  <c r="AL249" i="50" s="1"/>
  <c r="AN274" i="50"/>
  <c r="AR274" i="50" s="1"/>
  <c r="AK274" i="50"/>
  <c r="AL274" i="50" s="1"/>
  <c r="AN250" i="50"/>
  <c r="AR250" i="50" s="1"/>
  <c r="AK250" i="50"/>
  <c r="AL250" i="50" s="1"/>
  <c r="AN89" i="50"/>
  <c r="AM89" i="50" s="1"/>
  <c r="AK89" i="50"/>
  <c r="AL89" i="50" s="1"/>
  <c r="AN242" i="50"/>
  <c r="AR242" i="50" s="1"/>
  <c r="AK242" i="50"/>
  <c r="AL242" i="50" s="1"/>
  <c r="AN266" i="50"/>
  <c r="AR266" i="50" s="1"/>
  <c r="AK266" i="50"/>
  <c r="AL266" i="50" s="1"/>
  <c r="AN42" i="50"/>
  <c r="AR42" i="50" s="1"/>
  <c r="AK42" i="50"/>
  <c r="AL42" i="50" s="1"/>
  <c r="AN67" i="50"/>
  <c r="AM67" i="50" s="1"/>
  <c r="AK67" i="50"/>
  <c r="AN57" i="50"/>
  <c r="AM57" i="50" s="1"/>
  <c r="AK57" i="50"/>
  <c r="AL57" i="50" s="1"/>
  <c r="AN137" i="50"/>
  <c r="AM137" i="50" s="1"/>
  <c r="AK137" i="50"/>
  <c r="AL137" i="50" s="1"/>
  <c r="AN17" i="50"/>
  <c r="AM17" i="50" s="1"/>
  <c r="AK17" i="50"/>
  <c r="AN284" i="50"/>
  <c r="AR284" i="50" s="1"/>
  <c r="AK284" i="50"/>
  <c r="AL284" i="50" s="1"/>
  <c r="AN147" i="50"/>
  <c r="AR147" i="50" s="1"/>
  <c r="AK147" i="50"/>
  <c r="AL147" i="50" s="1"/>
  <c r="AN367" i="50"/>
  <c r="AR367" i="50" s="1"/>
  <c r="AK367" i="50"/>
  <c r="AN95" i="50"/>
  <c r="AM95" i="50" s="1"/>
  <c r="AK95" i="50"/>
  <c r="AL95" i="50" s="1"/>
  <c r="AN278" i="50"/>
  <c r="AR278" i="50" s="1"/>
  <c r="AK278" i="50"/>
  <c r="AL278" i="50" s="1"/>
  <c r="AN30" i="50"/>
  <c r="AM30" i="50" s="1"/>
  <c r="AK30" i="50"/>
  <c r="AL30" i="50" s="1"/>
  <c r="AN202" i="50"/>
  <c r="AR202" i="50" s="1"/>
  <c r="AK202" i="50"/>
  <c r="AL202" i="50" s="1"/>
  <c r="AN252" i="50"/>
  <c r="AM252" i="50" s="1"/>
  <c r="AK252" i="50"/>
  <c r="AL252" i="50" s="1"/>
  <c r="AN97" i="50"/>
  <c r="AR97" i="50" s="1"/>
  <c r="AK97" i="50"/>
  <c r="AL97" i="50" s="1"/>
  <c r="AN88" i="50"/>
  <c r="AM88" i="50" s="1"/>
  <c r="AK88" i="50"/>
  <c r="AL88" i="50" s="1"/>
  <c r="AN66" i="50"/>
  <c r="AR66" i="50" s="1"/>
  <c r="AK66" i="50"/>
  <c r="AL66" i="50" s="1"/>
  <c r="AN265" i="50"/>
  <c r="AR265" i="50" s="1"/>
  <c r="AK265" i="50"/>
  <c r="AL265" i="50" s="1"/>
  <c r="AN239" i="50"/>
  <c r="AM239" i="50" s="1"/>
  <c r="AK239" i="50"/>
  <c r="AL239" i="50" s="1"/>
  <c r="AN60" i="50"/>
  <c r="AR60" i="50" s="1"/>
  <c r="AK60" i="50"/>
  <c r="AL60" i="50" s="1"/>
  <c r="AN277" i="50"/>
  <c r="AR277" i="50" s="1"/>
  <c r="AK277" i="50"/>
  <c r="AL277" i="50" s="1"/>
  <c r="AN85" i="50"/>
  <c r="AM85" i="50" s="1"/>
  <c r="AK85" i="50"/>
  <c r="AL85" i="50" s="1"/>
  <c r="AN135" i="50"/>
  <c r="AR135" i="50" s="1"/>
  <c r="AK135" i="50"/>
  <c r="AL135" i="50" s="1"/>
  <c r="AN269" i="50"/>
  <c r="AM269" i="50" s="1"/>
  <c r="AK269" i="50"/>
  <c r="AL269" i="50" s="1"/>
  <c r="AN281" i="50"/>
  <c r="AM281" i="50" s="1"/>
  <c r="AN132" i="50"/>
  <c r="AR132" i="50" s="1"/>
  <c r="AK132" i="50"/>
  <c r="AL132" i="50" s="1"/>
  <c r="AN75" i="50"/>
  <c r="AR75" i="50" s="1"/>
  <c r="AK75" i="50"/>
  <c r="AL75" i="50" s="1"/>
  <c r="AN363" i="50"/>
  <c r="AM363" i="50" s="1"/>
  <c r="AK363" i="50"/>
  <c r="AN293" i="50"/>
  <c r="AR293" i="50" s="1"/>
  <c r="AN122" i="50"/>
  <c r="AR122" i="50" s="1"/>
  <c r="AK122" i="50"/>
  <c r="AL122" i="50" s="1"/>
  <c r="AN297" i="50"/>
  <c r="AM297" i="50" s="1"/>
  <c r="AN64" i="50"/>
  <c r="AR64" i="50" s="1"/>
  <c r="AK64" i="50"/>
  <c r="AN37" i="50"/>
  <c r="AM37" i="50" s="1"/>
  <c r="AK37" i="50"/>
  <c r="AL37" i="50" s="1"/>
  <c r="AN81" i="50"/>
  <c r="AR81" i="50" s="1"/>
  <c r="AK81" i="50"/>
  <c r="AL81" i="50" s="1"/>
  <c r="AK609" i="50"/>
  <c r="AL609" i="50" s="1"/>
  <c r="AN82" i="50"/>
  <c r="AR82" i="50" s="1"/>
  <c r="AK82" i="50"/>
  <c r="AL82" i="50" s="1"/>
  <c r="AK612" i="50"/>
  <c r="AL612" i="50" s="1"/>
  <c r="AN124" i="50"/>
  <c r="AR124" i="50" s="1"/>
  <c r="AK124" i="50"/>
  <c r="AL124" i="50" s="1"/>
  <c r="AN240" i="50"/>
  <c r="AR240" i="50" s="1"/>
  <c r="AN255" i="50"/>
  <c r="AR255" i="50" s="1"/>
  <c r="AK255" i="50"/>
  <c r="AL255" i="50" s="1"/>
  <c r="AK615" i="50"/>
  <c r="AL615" i="50" s="1"/>
  <c r="AN69" i="50"/>
  <c r="AR69" i="50" s="1"/>
  <c r="AK69" i="50"/>
  <c r="AL69" i="50" s="1"/>
  <c r="AN292" i="50"/>
  <c r="AM292" i="50" s="1"/>
  <c r="AK292" i="50"/>
  <c r="AL292" i="50" s="1"/>
  <c r="AN131" i="50"/>
  <c r="AM131" i="50" s="1"/>
  <c r="AK131" i="50"/>
  <c r="AK205" i="50"/>
  <c r="AL205" i="50" s="1"/>
  <c r="AN91" i="50"/>
  <c r="AR91" i="50" s="1"/>
  <c r="AK91" i="50"/>
  <c r="AL91" i="50" s="1"/>
  <c r="AN334" i="50"/>
  <c r="AR334" i="50" s="1"/>
  <c r="AK334" i="50"/>
  <c r="AK144" i="50"/>
  <c r="AL144" i="50" s="1"/>
  <c r="AN371" i="50"/>
  <c r="AR371" i="50" s="1"/>
  <c r="AK371" i="50"/>
  <c r="AN46" i="50"/>
  <c r="AR46" i="50" s="1"/>
  <c r="AN94" i="50"/>
  <c r="AR94" i="50" s="1"/>
  <c r="AK94" i="50"/>
  <c r="AL94" i="50" s="1"/>
  <c r="AN243" i="50"/>
  <c r="AR243" i="50" s="1"/>
  <c r="AK243" i="50"/>
  <c r="AL243" i="50" s="1"/>
  <c r="AK633" i="50"/>
  <c r="AL633" i="50" s="1"/>
  <c r="AN96" i="50"/>
  <c r="AM96" i="50" s="1"/>
  <c r="AK96" i="50"/>
  <c r="AL96" i="50" s="1"/>
  <c r="AN83" i="50"/>
  <c r="AM83" i="50" s="1"/>
  <c r="AK83" i="50"/>
  <c r="AN87" i="50"/>
  <c r="AM87" i="50" s="1"/>
  <c r="AK87" i="50"/>
  <c r="AL87" i="50" s="1"/>
  <c r="AN93" i="50"/>
  <c r="AM93" i="50" s="1"/>
  <c r="AK93" i="50"/>
  <c r="AL93" i="50" s="1"/>
  <c r="AN189" i="50"/>
  <c r="AM189" i="50" s="1"/>
  <c r="AK189" i="50"/>
  <c r="AL189" i="50" s="1"/>
  <c r="S73" i="50"/>
  <c r="S462" i="50"/>
  <c r="S461" i="50"/>
  <c r="S554" i="50"/>
  <c r="S72" i="50"/>
  <c r="S460" i="50"/>
  <c r="S260" i="50"/>
  <c r="S235" i="50"/>
  <c r="S234" i="50"/>
  <c r="S233" i="50"/>
  <c r="S507" i="50"/>
  <c r="S745" i="50"/>
  <c r="AN258" i="50"/>
  <c r="AR258" i="50" s="1"/>
  <c r="S258" i="50"/>
  <c r="S521" i="50"/>
  <c r="AN77" i="50"/>
  <c r="AM77" i="50" s="1"/>
  <c r="S77" i="50"/>
  <c r="S236" i="50"/>
  <c r="S71" i="50"/>
  <c r="S74" i="50"/>
  <c r="S237" i="50"/>
  <c r="S253" i="50"/>
  <c r="S553" i="50"/>
  <c r="S259" i="50"/>
  <c r="S463" i="50"/>
  <c r="S572" i="50"/>
  <c r="S228" i="50"/>
  <c r="S336" i="50"/>
  <c r="AN337" i="50"/>
  <c r="AM337" i="50" s="1"/>
  <c r="S337" i="50"/>
  <c r="S56" i="50"/>
  <c r="S276" i="50"/>
  <c r="S84" i="50"/>
  <c r="S146" i="50"/>
  <c r="S543" i="50"/>
  <c r="S728" i="50"/>
  <c r="S286" i="50"/>
  <c r="S570" i="50"/>
  <c r="S481" i="50"/>
  <c r="S400" i="50"/>
  <c r="S456" i="50"/>
  <c r="S36" i="50"/>
  <c r="S232" i="50"/>
  <c r="S285" i="50"/>
  <c r="S350" i="50"/>
  <c r="S374" i="50"/>
  <c r="S566" i="50"/>
  <c r="S735" i="50"/>
  <c r="S61" i="50"/>
  <c r="S413" i="50"/>
  <c r="S581" i="50"/>
  <c r="S697" i="50"/>
  <c r="S12" i="50"/>
  <c r="S357" i="50"/>
  <c r="S532" i="50"/>
  <c r="S500" i="50"/>
  <c r="S574" i="50"/>
  <c r="S127" i="50"/>
  <c r="S342" i="50"/>
  <c r="S408" i="50"/>
  <c r="S509" i="50"/>
  <c r="S231" i="50"/>
  <c r="S580" i="50"/>
  <c r="S39" i="50"/>
  <c r="S571" i="50"/>
  <c r="S151" i="50"/>
  <c r="S51" i="50"/>
  <c r="S406" i="50"/>
  <c r="S470" i="50"/>
  <c r="S129" i="50"/>
  <c r="S404" i="50"/>
  <c r="S680" i="50"/>
  <c r="S677" i="50"/>
  <c r="S31" i="50"/>
  <c r="S318" i="50"/>
  <c r="S468" i="50"/>
  <c r="S390" i="50"/>
  <c r="S116" i="50"/>
  <c r="S393" i="50"/>
  <c r="S643" i="50"/>
  <c r="S53" i="50"/>
  <c r="S494" i="50"/>
  <c r="S692" i="50"/>
  <c r="S229" i="50"/>
  <c r="S219" i="50"/>
  <c r="S230" i="50"/>
  <c r="S282" i="50"/>
  <c r="S217" i="50"/>
  <c r="S33" i="50"/>
  <c r="S562" i="50"/>
  <c r="S540" i="50"/>
  <c r="S706" i="50"/>
  <c r="S238" i="50"/>
  <c r="S345" i="50"/>
  <c r="S486" i="50"/>
  <c r="S696" i="50"/>
  <c r="S376" i="50"/>
  <c r="S341" i="50"/>
  <c r="S713" i="50"/>
  <c r="S111" i="50"/>
  <c r="S339" i="50"/>
  <c r="S378" i="50"/>
  <c r="S649" i="50"/>
  <c r="S535" i="50"/>
  <c r="S542" i="50"/>
  <c r="S8" i="50"/>
  <c r="S275" i="50"/>
  <c r="S707" i="50"/>
  <c r="S38" i="50"/>
  <c r="S319" i="50"/>
  <c r="S351" i="50"/>
  <c r="S547" i="50"/>
  <c r="S125" i="50"/>
  <c r="S358" i="50"/>
  <c r="S736" i="50"/>
  <c r="S225" i="50"/>
  <c r="S308" i="50"/>
  <c r="S698" i="50"/>
  <c r="S13" i="50"/>
  <c r="S70" i="50"/>
  <c r="S280" i="50"/>
  <c r="S450" i="50"/>
  <c r="S676" i="50"/>
  <c r="S59" i="50"/>
  <c r="S103" i="50"/>
  <c r="S324" i="50"/>
  <c r="S359" i="50"/>
  <c r="S459" i="50"/>
  <c r="S63" i="50"/>
  <c r="S160" i="50"/>
  <c r="S587" i="50"/>
  <c r="S701" i="50"/>
  <c r="S426" i="50"/>
  <c r="S340" i="50"/>
  <c r="S568" i="50"/>
  <c r="S296" i="50"/>
  <c r="S128" i="50"/>
  <c r="S361" i="50"/>
  <c r="S7" i="50"/>
  <c r="S105" i="50"/>
  <c r="S330" i="50"/>
  <c r="S366" i="50"/>
  <c r="S377" i="50"/>
  <c r="S549" i="50"/>
  <c r="S712" i="50"/>
  <c r="S110" i="50"/>
  <c r="S331" i="50"/>
  <c r="S369" i="50"/>
  <c r="S464" i="50"/>
  <c r="S727" i="50"/>
  <c r="S50" i="50"/>
  <c r="S130" i="50"/>
  <c r="S368" i="50"/>
  <c r="S405" i="50"/>
  <c r="S594" i="50"/>
  <c r="S689" i="50"/>
  <c r="S32" i="50"/>
  <c r="S383" i="50"/>
  <c r="S642" i="50"/>
  <c r="S150" i="50"/>
  <c r="S298" i="50"/>
  <c r="S295" i="50"/>
  <c r="S432" i="50"/>
  <c r="S716" i="50"/>
  <c r="S28" i="50"/>
  <c r="S117" i="50"/>
  <c r="S551" i="50"/>
  <c r="S54" i="50"/>
  <c r="S411" i="50"/>
  <c r="S693" i="50"/>
  <c r="S309" i="50"/>
  <c r="S488" i="50"/>
  <c r="S538" i="50"/>
  <c r="S573" i="50"/>
  <c r="S10" i="50"/>
  <c r="S332" i="50"/>
  <c r="S353" i="50"/>
  <c r="S531" i="50"/>
  <c r="S567" i="50"/>
  <c r="S721" i="50"/>
  <c r="S283" i="50"/>
  <c r="S555" i="50"/>
  <c r="S311" i="50"/>
  <c r="S396" i="50"/>
  <c r="S699" i="50"/>
  <c r="S14" i="50"/>
  <c r="S452" i="50"/>
  <c r="S673" i="50"/>
  <c r="S711" i="50"/>
  <c r="S47" i="50"/>
  <c r="S355" i="50"/>
  <c r="S469" i="50"/>
  <c r="S678" i="50"/>
  <c r="S672" i="50"/>
  <c r="S34" i="50"/>
  <c r="S424" i="50"/>
  <c r="S387" i="50"/>
  <c r="S695" i="50"/>
  <c r="S738" i="50"/>
  <c r="S559" i="50"/>
  <c r="S560" i="50"/>
  <c r="S25" i="50"/>
  <c r="S306" i="50"/>
  <c r="S545" i="50"/>
  <c r="S717" i="50"/>
  <c r="AK29" i="50"/>
  <c r="AL29" i="50" s="1"/>
  <c r="S29" i="50"/>
  <c r="S118" i="50"/>
  <c r="S48" i="50"/>
  <c r="S119" i="50"/>
  <c r="S349" i="50"/>
  <c r="S688" i="50"/>
  <c r="S49" i="50"/>
  <c r="S123" i="50"/>
  <c r="S352" i="50"/>
  <c r="S493" i="50"/>
  <c r="S576" i="50"/>
  <c r="S734" i="50"/>
  <c r="S394" i="50"/>
  <c r="S386" i="50"/>
  <c r="S685" i="50"/>
  <c r="S11" i="50"/>
  <c r="AK182" i="50"/>
  <c r="AL182" i="50" s="1"/>
  <c r="S333" i="50"/>
  <c r="S41" i="50"/>
  <c r="S356" i="50"/>
  <c r="S437" i="50"/>
  <c r="S530" i="50"/>
  <c r="S126" i="50"/>
  <c r="S412" i="50"/>
  <c r="S556" i="50"/>
  <c r="S62" i="50"/>
  <c r="S227" i="50"/>
  <c r="S700" i="50"/>
  <c r="S35" i="50"/>
  <c r="S360" i="50"/>
  <c r="S441" i="50"/>
  <c r="S466" i="50"/>
  <c r="S362" i="50"/>
  <c r="S78" i="50"/>
  <c r="S344" i="50"/>
  <c r="S316" i="50"/>
  <c r="S419" i="50"/>
  <c r="S702" i="50"/>
  <c r="S65" i="50"/>
  <c r="S487" i="50"/>
  <c r="S582" i="50"/>
  <c r="S686" i="50"/>
  <c r="S544" i="50"/>
  <c r="S714" i="50"/>
  <c r="S100" i="50"/>
  <c r="S290" i="50"/>
  <c r="S370" i="50"/>
  <c r="S447" i="50"/>
  <c r="S729" i="50"/>
  <c r="S52" i="50"/>
  <c r="S133" i="50"/>
  <c r="S691" i="50"/>
  <c r="S561" i="50"/>
  <c r="S563" i="50"/>
  <c r="S647" i="50"/>
  <c r="S26" i="50"/>
  <c r="S79" i="50"/>
  <c r="S191" i="50"/>
  <c r="S307" i="50"/>
  <c r="S346" i="50"/>
  <c r="S718" i="50"/>
  <c r="S55" i="50"/>
  <c r="S425" i="50"/>
  <c r="S694" i="50"/>
  <c r="AN21" i="50"/>
  <c r="AM21" i="50" s="1"/>
  <c r="AN127" i="50"/>
  <c r="AR127" i="50" s="1"/>
  <c r="AN128" i="50"/>
  <c r="AR128" i="50" s="1"/>
  <c r="AN129" i="50"/>
  <c r="AR129" i="50" s="1"/>
  <c r="AN177" i="50"/>
  <c r="AR177" i="50" s="1"/>
  <c r="AN171" i="50"/>
  <c r="AM171" i="50" s="1"/>
  <c r="AN130" i="50"/>
  <c r="AM130" i="50" s="1"/>
  <c r="AN56" i="50"/>
  <c r="AM56" i="50" s="1"/>
  <c r="AN355" i="50"/>
  <c r="AM355" i="50" s="1"/>
  <c r="AN356" i="50"/>
  <c r="AR356" i="50" s="1"/>
  <c r="AN126" i="50"/>
  <c r="AM126" i="50" s="1"/>
  <c r="AN651" i="50"/>
  <c r="AR651" i="50" s="1"/>
  <c r="T70" i="7"/>
  <c r="U70" i="7" s="1"/>
  <c r="AA70" i="7"/>
  <c r="AI70" i="7"/>
  <c r="AN470" i="50"/>
  <c r="AR470" i="50" s="1"/>
  <c r="AN500" i="50"/>
  <c r="AM500" i="50" s="1"/>
  <c r="AN442" i="50"/>
  <c r="AM442" i="50" s="1"/>
  <c r="AN226" i="50"/>
  <c r="AM226" i="50" s="1"/>
  <c r="AN661" i="50"/>
  <c r="AR661" i="50" s="1"/>
  <c r="AN506" i="50"/>
  <c r="AM506" i="50" s="1"/>
  <c r="AN549" i="50"/>
  <c r="AM549" i="50" s="1"/>
  <c r="AN678" i="50"/>
  <c r="AR678" i="50" s="1"/>
  <c r="AN248" i="50"/>
  <c r="AR248" i="50" s="1"/>
  <c r="AN375" i="50"/>
  <c r="AM375" i="50" s="1"/>
  <c r="AN140" i="50"/>
  <c r="AM140" i="50" s="1"/>
  <c r="AN591" i="50"/>
  <c r="AM591" i="50" s="1"/>
  <c r="AN511" i="50"/>
  <c r="AR511" i="50" s="1"/>
  <c r="AN119" i="50"/>
  <c r="AM119" i="50" s="1"/>
  <c r="AN726" i="50"/>
  <c r="AR726" i="50" s="1"/>
  <c r="AN592" i="50"/>
  <c r="AM592" i="50" s="1"/>
  <c r="AN139" i="50"/>
  <c r="AM139" i="50" s="1"/>
  <c r="AN717" i="50"/>
  <c r="AM717" i="50" s="1"/>
  <c r="AN14" i="50"/>
  <c r="AR14" i="50" s="1"/>
  <c r="AN340" i="50"/>
  <c r="AM340" i="50" s="1"/>
  <c r="AN654" i="50"/>
  <c r="AR654" i="50" s="1"/>
  <c r="AN596" i="50"/>
  <c r="AM596" i="50" s="1"/>
  <c r="AN458" i="50"/>
  <c r="AR458" i="50" s="1"/>
  <c r="AN316" i="50"/>
  <c r="AR316" i="50" s="1"/>
  <c r="AN427" i="50"/>
  <c r="AR427" i="50" s="1"/>
  <c r="AN381" i="50"/>
  <c r="AR381" i="50" s="1"/>
  <c r="AN413" i="50"/>
  <c r="AM413" i="50" s="1"/>
  <c r="AN642" i="50"/>
  <c r="AM642" i="50" s="1"/>
  <c r="AN697" i="50"/>
  <c r="AM697" i="50" s="1"/>
  <c r="AN729" i="50"/>
  <c r="AR729" i="50" s="1"/>
  <c r="AN436" i="50"/>
  <c r="AR436" i="50" s="1"/>
  <c r="AN59" i="50"/>
  <c r="AR59" i="50" s="1"/>
  <c r="AN210" i="50"/>
  <c r="AR210" i="50" s="1"/>
  <c r="AN330" i="50"/>
  <c r="AM330" i="50" s="1"/>
  <c r="AN542" i="50"/>
  <c r="AR542" i="50" s="1"/>
  <c r="AN634" i="50"/>
  <c r="AR634" i="50" s="1"/>
  <c r="AN152" i="50"/>
  <c r="AM152" i="50" s="1"/>
  <c r="AN476" i="50"/>
  <c r="AR476" i="50" s="1"/>
  <c r="AN463" i="50"/>
  <c r="AM463" i="50" s="1"/>
  <c r="AN183" i="50"/>
  <c r="AM183" i="50" s="1"/>
  <c r="AN287" i="50"/>
  <c r="AM287" i="50" s="1"/>
  <c r="AN556" i="50"/>
  <c r="AR556" i="50" s="1"/>
  <c r="AN633" i="50"/>
  <c r="AR633" i="50" s="1"/>
  <c r="AN676" i="50"/>
  <c r="AR676" i="50" s="1"/>
  <c r="AN622" i="50"/>
  <c r="AR622" i="50" s="1"/>
  <c r="AN667" i="50"/>
  <c r="AM667" i="50" s="1"/>
  <c r="AN579" i="50"/>
  <c r="AR579" i="50" s="1"/>
  <c r="AN701" i="50"/>
  <c r="AR701" i="50" s="1"/>
  <c r="AN125" i="50"/>
  <c r="AM125" i="50" s="1"/>
  <c r="AN290" i="50"/>
  <c r="AM290" i="50" s="1"/>
  <c r="AN516" i="50"/>
  <c r="AM516" i="50" s="1"/>
  <c r="AN236" i="50"/>
  <c r="AM236" i="50" s="1"/>
  <c r="AN449" i="50"/>
  <c r="AM449" i="50" s="1"/>
  <c r="AN479" i="50"/>
  <c r="AM479" i="50" s="1"/>
  <c r="AN705" i="50"/>
  <c r="AR705" i="50" s="1"/>
  <c r="AN567" i="50"/>
  <c r="AR567" i="50" s="1"/>
  <c r="AN433" i="50"/>
  <c r="AR433" i="50" s="1"/>
  <c r="AN311" i="50"/>
  <c r="AM311" i="50" s="1"/>
  <c r="AN551" i="50"/>
  <c r="AM551" i="50" s="1"/>
  <c r="AN598" i="50"/>
  <c r="AR598" i="50" s="1"/>
  <c r="AN647" i="50"/>
  <c r="AM647" i="50" s="1"/>
  <c r="AN601" i="50"/>
  <c r="AM601" i="50" s="1"/>
  <c r="AN646" i="50"/>
  <c r="AR646" i="50" s="1"/>
  <c r="AN61" i="50"/>
  <c r="AM61" i="50" s="1"/>
  <c r="AN280" i="50"/>
  <c r="AM280" i="50" s="1"/>
  <c r="AN344" i="50"/>
  <c r="AM344" i="50" s="1"/>
  <c r="AN412" i="50"/>
  <c r="AR412" i="50" s="1"/>
  <c r="AN523" i="50"/>
  <c r="AR523" i="50" s="1"/>
  <c r="AN563" i="50"/>
  <c r="AR563" i="50" s="1"/>
  <c r="AN723" i="50"/>
  <c r="AM723" i="50" s="1"/>
  <c r="AN7" i="50"/>
  <c r="AR7" i="50" s="1"/>
  <c r="AN73" i="50"/>
  <c r="AR73" i="50" s="1"/>
  <c r="AN105" i="50"/>
  <c r="AR105" i="50" s="1"/>
  <c r="AN162" i="50"/>
  <c r="AR162" i="50" s="1"/>
  <c r="AN146" i="50"/>
  <c r="AR146" i="50" s="1"/>
  <c r="AN349" i="50"/>
  <c r="AR349" i="50" s="1"/>
  <c r="AN301" i="50"/>
  <c r="AM301" i="50" s="1"/>
  <c r="AN328" i="50"/>
  <c r="AM328" i="50" s="1"/>
  <c r="AN348" i="50"/>
  <c r="AM348" i="50" s="1"/>
  <c r="AN513" i="50"/>
  <c r="AM513" i="50" s="1"/>
  <c r="AN632" i="50"/>
  <c r="AM632" i="50" s="1"/>
  <c r="AN649" i="50"/>
  <c r="AR649" i="50" s="1"/>
  <c r="AN199" i="50"/>
  <c r="AM199" i="50" s="1"/>
  <c r="AN468" i="50"/>
  <c r="AR468" i="50" s="1"/>
  <c r="AN383" i="50"/>
  <c r="AR383" i="50" s="1"/>
  <c r="AN13" i="50"/>
  <c r="AR13" i="50" s="1"/>
  <c r="AN78" i="50"/>
  <c r="AR78" i="50" s="1"/>
  <c r="AN117" i="50"/>
  <c r="AR117" i="50" s="1"/>
  <c r="AN294" i="50"/>
  <c r="AM294" i="50" s="1"/>
  <c r="AN462" i="50"/>
  <c r="AM462" i="50" s="1"/>
  <c r="AN400" i="50"/>
  <c r="AM400" i="50" s="1"/>
  <c r="AN11" i="50"/>
  <c r="AR11" i="50" s="1"/>
  <c r="AN548" i="50"/>
  <c r="AR548" i="50" s="1"/>
  <c r="AN578" i="50"/>
  <c r="AM578" i="50" s="1"/>
  <c r="AN615" i="50"/>
  <c r="AR615" i="50" s="1"/>
  <c r="AN666" i="50"/>
  <c r="AM666" i="50" s="1"/>
  <c r="AN619" i="50"/>
  <c r="AR619" i="50" s="1"/>
  <c r="AN28" i="50"/>
  <c r="AM28" i="50" s="1"/>
  <c r="AN403" i="50"/>
  <c r="AR403" i="50" s="1"/>
  <c r="AN731" i="50"/>
  <c r="AM731" i="50" s="1"/>
  <c r="AN4" i="50"/>
  <c r="AN26" i="50"/>
  <c r="AR26" i="50" s="1"/>
  <c r="AN29" i="50"/>
  <c r="AR29" i="50" s="1"/>
  <c r="AN389" i="50"/>
  <c r="AR389" i="50" s="1"/>
  <c r="AN51" i="50"/>
  <c r="AM51" i="50" s="1"/>
  <c r="AN32" i="50"/>
  <c r="AM32" i="50" s="1"/>
  <c r="AN220" i="50"/>
  <c r="AM220" i="50" s="1"/>
  <c r="AN251" i="50"/>
  <c r="AM251" i="50" s="1"/>
  <c r="AN382" i="50"/>
  <c r="AR382" i="50" s="1"/>
  <c r="AN306" i="50"/>
  <c r="AR306" i="50" s="1"/>
  <c r="AN357" i="50"/>
  <c r="AM357" i="50" s="1"/>
  <c r="AN494" i="50"/>
  <c r="AM494" i="50" s="1"/>
  <c r="AN585" i="50"/>
  <c r="AM585" i="50" s="1"/>
  <c r="AN143" i="50"/>
  <c r="AM143" i="50" s="1"/>
  <c r="AN481" i="50"/>
  <c r="AM481" i="50" s="1"/>
  <c r="AN376" i="50"/>
  <c r="AR376" i="50" s="1"/>
  <c r="AN456" i="50"/>
  <c r="AR456" i="50" s="1"/>
  <c r="AN553" i="50"/>
  <c r="AM553" i="50" s="1"/>
  <c r="AN625" i="50"/>
  <c r="AR625" i="50" s="1"/>
  <c r="AN658" i="50"/>
  <c r="AM658" i="50" s="1"/>
  <c r="AN738" i="50"/>
  <c r="AM738" i="50" s="1"/>
  <c r="AN84" i="50"/>
  <c r="AM84" i="50" s="1"/>
  <c r="AN321" i="50"/>
  <c r="AM321" i="50" s="1"/>
  <c r="AN358" i="50"/>
  <c r="AM358" i="50" s="1"/>
  <c r="AN343" i="50"/>
  <c r="AM343" i="50" s="1"/>
  <c r="AN406" i="50"/>
  <c r="AR406" i="50" s="1"/>
  <c r="AN690" i="50"/>
  <c r="AM690" i="50" s="1"/>
  <c r="AN736" i="50"/>
  <c r="AM736" i="50" s="1"/>
  <c r="AN699" i="50"/>
  <c r="AM699" i="50" s="1"/>
  <c r="AN742" i="50"/>
  <c r="AR742" i="50" s="1"/>
  <c r="AN739" i="50"/>
  <c r="AR739" i="50" s="1"/>
  <c r="AK527" i="50"/>
  <c r="AL527" i="50" s="1"/>
  <c r="AK448" i="50"/>
  <c r="AL448" i="50" s="1"/>
  <c r="AK687" i="50"/>
  <c r="AL687" i="50" s="1"/>
  <c r="AK435" i="50"/>
  <c r="AL435" i="50" s="1"/>
  <c r="AK489" i="50"/>
  <c r="AL489" i="50" s="1"/>
  <c r="AK484" i="50"/>
  <c r="AL484" i="50" s="1"/>
  <c r="AK517" i="50"/>
  <c r="AL517" i="50" s="1"/>
  <c r="AK722" i="50"/>
  <c r="AL722" i="50" s="1"/>
  <c r="AK203" i="50"/>
  <c r="AL203" i="50" s="1"/>
  <c r="AK391" i="50"/>
  <c r="AL391" i="50" s="1"/>
  <c r="AK104" i="50"/>
  <c r="AL104" i="50" s="1"/>
  <c r="AK289" i="50"/>
  <c r="AK409" i="50"/>
  <c r="AL409" i="50" s="1"/>
  <c r="AK440" i="50"/>
  <c r="AL440" i="50" s="1"/>
  <c r="AK460" i="50"/>
  <c r="AL460" i="50" s="1"/>
  <c r="AK482" i="50"/>
  <c r="AL482" i="50" s="1"/>
  <c r="AK485" i="50"/>
  <c r="AL485" i="50" s="1"/>
  <c r="AK526" i="50"/>
  <c r="AL526" i="50" s="1"/>
  <c r="AN744" i="50"/>
  <c r="AK415" i="50"/>
  <c r="AL415" i="50" s="1"/>
  <c r="AK335" i="50"/>
  <c r="AL335" i="50" s="1"/>
  <c r="AK372" i="50"/>
  <c r="AL372" i="50" s="1"/>
  <c r="AK584" i="50"/>
  <c r="AL584" i="50" s="1"/>
  <c r="AK741" i="50"/>
  <c r="AL741" i="50" s="1"/>
  <c r="AK505" i="50"/>
  <c r="AL505" i="50" s="1"/>
  <c r="AK442" i="50"/>
  <c r="AL442" i="50" s="1"/>
  <c r="AK588" i="50"/>
  <c r="AL588" i="50" s="1"/>
  <c r="AN123" i="50"/>
  <c r="AN354" i="50"/>
  <c r="AK417" i="50"/>
  <c r="AL417" i="50" s="1"/>
  <c r="AK703" i="50"/>
  <c r="AL703" i="50" s="1"/>
  <c r="AK139" i="50"/>
  <c r="AL139" i="50" s="1"/>
  <c r="AN264" i="50"/>
  <c r="AN298" i="50"/>
  <c r="AN492" i="50"/>
  <c r="AN577" i="50"/>
  <c r="AN691" i="50"/>
  <c r="AN145" i="50"/>
  <c r="AK226" i="50"/>
  <c r="AK458" i="50"/>
  <c r="AL458" i="50" s="1"/>
  <c r="AK518" i="50"/>
  <c r="AL518" i="50" s="1"/>
  <c r="AK585" i="50"/>
  <c r="AL585" i="50" s="1"/>
  <c r="AK742" i="50"/>
  <c r="AL742" i="50" s="1"/>
  <c r="AN118" i="50"/>
  <c r="AN176" i="50"/>
  <c r="AN672" i="50"/>
  <c r="AN80" i="50"/>
  <c r="AN121" i="50"/>
  <c r="AN136" i="50"/>
  <c r="AN347" i="50"/>
  <c r="AN373" i="50"/>
  <c r="AN573" i="50"/>
  <c r="AN694" i="50"/>
  <c r="AN719" i="50"/>
  <c r="AK148" i="50"/>
  <c r="AK475" i="50"/>
  <c r="AL475" i="50" s="1"/>
  <c r="AK422" i="50"/>
  <c r="AL422" i="50" s="1"/>
  <c r="AK521" i="50"/>
  <c r="AL521" i="50" s="1"/>
  <c r="AK201" i="50"/>
  <c r="AL201" i="50" s="1"/>
  <c r="AK402" i="50"/>
  <c r="AL402" i="50" s="1"/>
  <c r="AK558" i="50"/>
  <c r="AL558" i="50" s="1"/>
  <c r="AK737" i="50"/>
  <c r="AL737" i="50" s="1"/>
  <c r="AK438" i="50"/>
  <c r="AL438" i="50" s="1"/>
  <c r="AK490" i="50"/>
  <c r="AL490" i="50" s="1"/>
  <c r="AK27" i="50"/>
  <c r="AL27" i="50" s="1"/>
  <c r="AK248" i="50"/>
  <c r="AL248" i="50" s="1"/>
  <c r="AK410" i="50"/>
  <c r="AL410" i="50" s="1"/>
  <c r="AN49" i="50"/>
  <c r="AN374" i="50"/>
  <c r="AN696" i="50"/>
  <c r="AN547" i="50"/>
  <c r="AN657" i="50"/>
  <c r="AN735" i="50"/>
  <c r="AK343" i="50"/>
  <c r="AL343" i="50" s="1"/>
  <c r="AK476" i="50"/>
  <c r="AL476" i="50" s="1"/>
  <c r="AN150" i="50"/>
  <c r="AN559" i="50"/>
  <c r="AK436" i="50"/>
  <c r="AL436" i="50" s="1"/>
  <c r="AN48" i="50"/>
  <c r="AN272" i="50"/>
  <c r="AN477" i="50"/>
  <c r="AN499" i="50"/>
  <c r="AN609" i="50"/>
  <c r="AN695" i="50"/>
  <c r="AN740" i="50"/>
  <c r="AN253" i="50"/>
  <c r="AN275" i="50"/>
  <c r="AN352" i="50"/>
  <c r="AN329" i="50"/>
  <c r="AN350" i="50"/>
  <c r="AN379" i="50"/>
  <c r="AN407" i="50"/>
  <c r="AN566" i="50"/>
  <c r="AN580" i="50"/>
  <c r="AN576" i="50"/>
  <c r="AN610" i="50"/>
  <c r="AN660" i="50"/>
  <c r="AN734" i="50"/>
  <c r="AN198" i="50"/>
  <c r="AN276" i="50"/>
  <c r="AN319" i="50"/>
  <c r="AN380" i="50"/>
  <c r="AN394" i="50"/>
  <c r="AN515" i="50"/>
  <c r="AN569" i="50"/>
  <c r="AN708" i="50"/>
  <c r="AN743" i="50"/>
  <c r="AN39" i="50"/>
  <c r="AN68" i="50"/>
  <c r="AN241" i="50"/>
  <c r="AN333" i="50"/>
  <c r="AN353" i="50"/>
  <c r="AN434" i="50"/>
  <c r="AN455" i="50"/>
  <c r="AN531" i="50"/>
  <c r="AN710" i="50"/>
  <c r="AN721" i="50"/>
  <c r="AN23" i="50"/>
  <c r="AN52" i="50"/>
  <c r="AN483" i="50"/>
  <c r="AN560" i="50"/>
  <c r="AN432" i="50"/>
  <c r="AN570" i="50"/>
  <c r="AN716" i="50"/>
  <c r="AN25" i="50"/>
  <c r="AN53" i="50"/>
  <c r="AN395" i="50"/>
  <c r="AN471" i="50"/>
  <c r="AN79" i="50"/>
  <c r="AN237" i="50"/>
  <c r="AN307" i="50"/>
  <c r="AN288" i="50"/>
  <c r="AN392" i="50"/>
  <c r="AN411" i="50"/>
  <c r="AN524" i="50"/>
  <c r="AN718" i="50"/>
  <c r="AN34" i="50"/>
  <c r="AN174" i="50"/>
  <c r="AN300" i="50"/>
  <c r="AN320" i="50"/>
  <c r="AN425" i="50"/>
  <c r="AN498" i="50"/>
  <c r="AN387" i="50"/>
  <c r="AK164" i="50"/>
  <c r="AL164" i="50" s="1"/>
  <c r="AK491" i="50"/>
  <c r="AL491" i="50" s="1"/>
  <c r="AK550" i="50"/>
  <c r="AL550" i="50" s="1"/>
  <c r="AK291" i="50"/>
  <c r="AL291" i="50" s="1"/>
  <c r="AK467" i="50"/>
  <c r="AL467" i="50" s="1"/>
  <c r="AK457" i="50"/>
  <c r="AL457" i="50" s="1"/>
  <c r="AR90" i="50"/>
  <c r="AM90" i="50"/>
  <c r="AK338" i="50"/>
  <c r="AK207" i="50"/>
  <c r="AL207" i="50" s="1"/>
  <c r="AK462" i="50"/>
  <c r="AL462" i="50" s="1"/>
  <c r="AK520" i="50"/>
  <c r="AL520" i="50" s="1"/>
  <c r="AN8" i="50"/>
  <c r="AN178" i="50"/>
  <c r="AN232" i="50"/>
  <c r="AN285" i="50"/>
  <c r="AN302" i="50"/>
  <c r="AN10" i="50"/>
  <c r="AN38" i="50"/>
  <c r="AN351" i="50"/>
  <c r="AK166" i="50"/>
  <c r="AL166" i="50" s="1"/>
  <c r="AK522" i="50"/>
  <c r="AL522" i="50" s="1"/>
  <c r="AK690" i="50"/>
  <c r="AL690" i="50" s="1"/>
  <c r="AK58" i="50"/>
  <c r="AK403" i="50"/>
  <c r="AL403" i="50" s="1"/>
  <c r="AN194" i="50"/>
  <c r="AN535" i="50"/>
  <c r="AM535" i="50" s="1"/>
  <c r="AN36" i="50"/>
  <c r="AN486" i="50"/>
  <c r="AN388" i="50"/>
  <c r="AN493" i="50"/>
  <c r="AN439" i="50"/>
  <c r="AN514" i="50"/>
  <c r="AN557" i="50"/>
  <c r="AN546" i="50"/>
  <c r="AN612" i="50"/>
  <c r="AN656" i="50"/>
  <c r="AN707" i="50"/>
  <c r="AN720" i="50"/>
  <c r="AN86" i="50"/>
  <c r="AN216" i="50"/>
  <c r="AN181" i="50"/>
  <c r="AN254" i="50"/>
  <c r="AN303" i="50"/>
  <c r="AN332" i="50"/>
  <c r="AN453" i="50"/>
  <c r="AN480" i="50"/>
  <c r="AN502" i="50"/>
  <c r="AN386" i="50"/>
  <c r="AN426" i="50"/>
  <c r="AN473" i="50"/>
  <c r="AN583" i="50"/>
  <c r="AN554" i="50"/>
  <c r="AN613" i="50"/>
  <c r="AN663" i="50"/>
  <c r="AN617" i="50"/>
  <c r="AN685" i="50"/>
  <c r="AN182" i="50"/>
  <c r="AN304" i="50"/>
  <c r="AN503" i="50"/>
  <c r="AN536" i="50"/>
  <c r="AN581" i="50"/>
  <c r="AN451" i="50"/>
  <c r="AN116" i="50"/>
  <c r="AN133" i="50"/>
  <c r="AN170" i="50"/>
  <c r="AN235" i="50"/>
  <c r="AN268" i="50"/>
  <c r="AN365" i="50"/>
  <c r="AN286" i="50"/>
  <c r="AN295" i="50"/>
  <c r="AN393" i="50"/>
  <c r="AN423" i="50"/>
  <c r="AN478" i="50"/>
  <c r="AN510" i="50"/>
  <c r="AN529" i="50"/>
  <c r="AN508" i="50"/>
  <c r="AN597" i="50"/>
  <c r="AN618" i="50"/>
  <c r="AN599" i="50"/>
  <c r="AN643" i="50"/>
  <c r="AN704" i="50"/>
  <c r="AN730" i="50"/>
  <c r="AN496" i="50"/>
  <c r="AN561" i="50"/>
  <c r="AN545" i="50"/>
  <c r="AN692" i="50"/>
  <c r="AN54" i="50"/>
  <c r="AN33" i="50"/>
  <c r="AN191" i="50"/>
  <c r="AN282" i="50"/>
  <c r="AN346" i="50"/>
  <c r="AN399" i="50"/>
  <c r="AN474" i="50"/>
  <c r="AN384" i="50"/>
  <c r="AN497" i="50"/>
  <c r="AN562" i="50"/>
  <c r="AN537" i="50"/>
  <c r="AN528" i="50"/>
  <c r="AN540" i="50"/>
  <c r="AN572" i="50"/>
  <c r="AN552" i="50"/>
  <c r="AN600" i="50"/>
  <c r="AN653" i="50"/>
  <c r="AN605" i="50"/>
  <c r="AN693" i="50"/>
  <c r="AN706" i="50"/>
  <c r="AN732" i="50"/>
  <c r="AN16" i="50"/>
  <c r="AN55" i="50"/>
  <c r="AN192" i="50"/>
  <c r="AN238" i="50"/>
  <c r="AN271" i="50"/>
  <c r="AN267" i="50"/>
  <c r="AN309" i="50"/>
  <c r="AN345" i="50"/>
  <c r="AN385" i="50"/>
  <c r="AN488" i="50"/>
  <c r="AN401" i="50"/>
  <c r="AN424" i="50"/>
  <c r="AN538" i="50"/>
  <c r="AN512" i="50"/>
  <c r="AN525" i="50"/>
  <c r="AN575" i="50"/>
  <c r="AN606" i="50"/>
  <c r="AN650" i="50"/>
  <c r="AN608" i="50"/>
  <c r="AK719" i="50"/>
  <c r="AL719" i="50" s="1"/>
  <c r="AK744" i="50"/>
  <c r="AL744" i="50" s="1"/>
  <c r="AK379" i="50"/>
  <c r="AL379" i="50" s="1"/>
  <c r="AK514" i="50"/>
  <c r="AL514" i="50" s="1"/>
  <c r="AK720" i="50"/>
  <c r="AL720" i="50" s="1"/>
  <c r="AK181" i="50"/>
  <c r="AL181" i="50" s="1"/>
  <c r="AK453" i="50"/>
  <c r="AL453" i="50" s="1"/>
  <c r="AK473" i="50"/>
  <c r="AL473" i="50" s="1"/>
  <c r="AK743" i="50"/>
  <c r="AL743" i="50" s="1"/>
  <c r="AK478" i="50"/>
  <c r="AL478" i="50" s="1"/>
  <c r="AK392" i="50"/>
  <c r="AL392" i="50" s="1"/>
  <c r="AK497" i="50"/>
  <c r="AL497" i="50" s="1"/>
  <c r="AK537" i="50"/>
  <c r="AL537" i="50" s="1"/>
  <c r="AK528" i="50"/>
  <c r="AL528" i="50" s="1"/>
  <c r="AK524" i="50"/>
  <c r="AL524" i="50" s="1"/>
  <c r="AK732" i="50"/>
  <c r="AL732" i="50" s="1"/>
  <c r="AK80" i="50"/>
  <c r="AK347" i="50"/>
  <c r="AK373" i="50"/>
  <c r="AL373" i="50" s="1"/>
  <c r="AK385" i="50"/>
  <c r="AL385" i="50" s="1"/>
  <c r="AK498" i="50"/>
  <c r="AL498" i="50" s="1"/>
  <c r="AK401" i="50"/>
  <c r="AL401" i="50" s="1"/>
  <c r="AK512" i="50"/>
  <c r="AL512" i="50" s="1"/>
  <c r="AK525" i="50"/>
  <c r="AL525" i="50" s="1"/>
  <c r="AK575" i="50"/>
  <c r="AK608" i="50"/>
  <c r="AL608" i="50" s="1"/>
  <c r="AK739" i="50"/>
  <c r="AL739" i="50" s="1"/>
  <c r="AK388" i="50"/>
  <c r="AL388" i="50" s="1"/>
  <c r="AK198" i="50"/>
  <c r="AL198" i="50" s="1"/>
  <c r="AK569" i="50"/>
  <c r="AK708" i="50"/>
  <c r="AL708" i="50" s="1"/>
  <c r="AK529" i="50"/>
  <c r="AL529" i="50" s="1"/>
  <c r="AK704" i="50"/>
  <c r="AL704" i="50" s="1"/>
  <c r="AK730" i="50"/>
  <c r="AL730" i="50" s="1"/>
  <c r="AL282" i="50"/>
  <c r="AK474" i="50"/>
  <c r="AL474" i="50" s="1"/>
  <c r="AK348" i="50"/>
  <c r="AL348" i="50" s="1"/>
  <c r="AK477" i="50"/>
  <c r="AL477" i="50" s="1"/>
  <c r="AK499" i="50"/>
  <c r="AL499" i="50" s="1"/>
  <c r="AK740" i="50"/>
  <c r="AL740" i="50" s="1"/>
  <c r="AN727" i="50"/>
  <c r="AN144" i="50"/>
  <c r="AN20" i="50"/>
  <c r="AN50" i="50"/>
  <c r="AK381" i="50"/>
  <c r="AL381" i="50" s="1"/>
  <c r="AN225" i="50"/>
  <c r="AN437" i="50"/>
  <c r="AK395" i="50"/>
  <c r="AL395" i="50" s="1"/>
  <c r="AK479" i="50"/>
  <c r="AL479" i="50" s="1"/>
  <c r="AK511" i="50"/>
  <c r="AL511" i="50" s="1"/>
  <c r="AK523" i="50"/>
  <c r="AL523" i="50" s="1"/>
  <c r="AK705" i="50"/>
  <c r="AL705" i="50" s="1"/>
  <c r="AK731" i="50"/>
  <c r="AL731" i="50" s="1"/>
  <c r="AN62" i="50"/>
  <c r="AN700" i="50"/>
  <c r="AN724" i="50"/>
  <c r="AN63" i="50"/>
  <c r="AN247" i="50"/>
  <c r="AN289" i="50"/>
  <c r="AN482" i="50"/>
  <c r="AN631" i="50"/>
  <c r="AK317" i="50"/>
  <c r="AL317" i="50" s="1"/>
  <c r="AK329" i="50"/>
  <c r="AL329" i="50" s="1"/>
  <c r="AK439" i="50"/>
  <c r="AL439" i="50" s="1"/>
  <c r="AK557" i="50"/>
  <c r="AL557" i="50" s="1"/>
  <c r="AK268" i="50"/>
  <c r="AK510" i="50"/>
  <c r="AL510" i="50" s="1"/>
  <c r="AK288" i="50"/>
  <c r="AL288" i="50" s="1"/>
  <c r="AK384" i="50"/>
  <c r="AL384" i="50" s="1"/>
  <c r="AK272" i="50"/>
  <c r="AK427" i="50"/>
  <c r="AL427" i="50" s="1"/>
  <c r="AK389" i="50"/>
  <c r="AL389" i="50" s="1"/>
  <c r="AK513" i="50"/>
  <c r="AL513" i="50" s="1"/>
  <c r="AN18" i="50"/>
  <c r="AM18" i="50" s="1"/>
  <c r="AN43" i="50"/>
  <c r="AN317" i="50"/>
  <c r="AN487" i="50"/>
  <c r="AN491" i="50"/>
  <c r="AN404" i="50"/>
  <c r="AN420" i="50"/>
  <c r="AN368" i="50"/>
  <c r="AN415" i="50"/>
  <c r="AK434" i="50"/>
  <c r="AL434" i="50" s="1"/>
  <c r="AK503" i="50"/>
  <c r="AL503" i="50" s="1"/>
  <c r="AK516" i="50"/>
  <c r="AL516" i="50" s="1"/>
  <c r="AK548" i="50"/>
  <c r="AL548" i="50" s="1"/>
  <c r="AK578" i="50"/>
  <c r="AK710" i="50"/>
  <c r="AL710" i="50" s="1"/>
  <c r="AN245" i="50"/>
  <c r="AN402" i="50"/>
  <c r="AK287" i="50"/>
  <c r="AL287" i="50" s="1"/>
  <c r="AK471" i="50"/>
  <c r="AL471" i="50" s="1"/>
  <c r="AK496" i="50"/>
  <c r="AL496" i="50" s="1"/>
  <c r="AN410" i="50"/>
  <c r="AN65" i="50"/>
  <c r="AN680" i="50"/>
  <c r="AN637" i="50"/>
  <c r="AN593" i="50"/>
  <c r="AN467" i="50"/>
  <c r="AN405" i="50"/>
  <c r="AN544" i="50"/>
  <c r="AN689" i="50"/>
  <c r="AN714" i="50"/>
  <c r="AN138" i="50"/>
  <c r="AN76" i="50"/>
  <c r="AN166" i="50"/>
  <c r="AN149" i="50"/>
  <c r="AN262" i="50"/>
  <c r="AN370" i="50"/>
  <c r="AN447" i="50"/>
  <c r="AN703" i="50"/>
  <c r="AN715" i="50"/>
  <c r="AN12" i="50"/>
  <c r="AN256" i="50"/>
  <c r="AN335" i="50"/>
  <c r="AN372" i="50"/>
  <c r="AN484" i="50"/>
  <c r="AN416" i="50"/>
  <c r="AN584" i="50"/>
  <c r="AN698" i="50"/>
  <c r="AN741" i="50"/>
  <c r="AN722" i="50"/>
  <c r="AN737" i="50"/>
  <c r="AN58" i="50"/>
  <c r="AN323" i="50"/>
  <c r="AN518" i="50"/>
  <c r="AN504" i="50"/>
  <c r="AN203" i="50"/>
  <c r="AN313" i="50"/>
  <c r="AN359" i="50"/>
  <c r="AN438" i="50"/>
  <c r="AN429" i="50"/>
  <c r="AN586" i="50"/>
  <c r="AN452" i="50"/>
  <c r="AN711" i="50"/>
  <c r="AN35" i="50"/>
  <c r="AN205" i="50"/>
  <c r="AN279" i="50"/>
  <c r="AN314" i="50"/>
  <c r="AN485" i="50"/>
  <c r="AN564" i="50"/>
  <c r="AN725" i="50"/>
  <c r="AK208" i="50"/>
  <c r="AL208" i="50" s="1"/>
  <c r="AK253" i="50"/>
  <c r="AL253" i="50" s="1"/>
  <c r="AK546" i="50"/>
  <c r="AL546" i="50" s="1"/>
  <c r="AK216" i="50"/>
  <c r="AL216" i="50" s="1"/>
  <c r="AK380" i="50"/>
  <c r="AL380" i="50" s="1"/>
  <c r="AK480" i="50"/>
  <c r="AL480" i="50" s="1"/>
  <c r="AK502" i="50"/>
  <c r="AL502" i="50" s="1"/>
  <c r="AK515" i="50"/>
  <c r="AL515" i="50" s="1"/>
  <c r="AK423" i="50"/>
  <c r="AL423" i="50" s="1"/>
  <c r="AK483" i="50"/>
  <c r="AL483" i="50" s="1"/>
  <c r="AK399" i="50"/>
  <c r="AL399" i="50" s="1"/>
  <c r="AK210" i="50"/>
  <c r="AL210" i="50" s="1"/>
  <c r="AK375" i="50"/>
  <c r="AL375" i="50" s="1"/>
  <c r="AK579" i="50"/>
  <c r="AL579" i="50" s="1"/>
  <c r="AN422" i="50"/>
  <c r="AK199" i="50"/>
  <c r="AL199" i="50" s="1"/>
  <c r="AK455" i="50"/>
  <c r="AN621" i="50"/>
  <c r="AK236" i="50"/>
  <c r="AL236" i="50" s="1"/>
  <c r="AK294" i="50"/>
  <c r="AL294" i="50" s="1"/>
  <c r="AK449" i="50"/>
  <c r="AL449" i="50" s="1"/>
  <c r="S4" i="50"/>
  <c r="AN207" i="50"/>
  <c r="AN520" i="50"/>
  <c r="AN588" i="50"/>
  <c r="AN331" i="50"/>
  <c r="AN341" i="50"/>
  <c r="AN582" i="50"/>
  <c r="AN677" i="50"/>
  <c r="AN27" i="50"/>
  <c r="AN366" i="50"/>
  <c r="AN377" i="50"/>
  <c r="AN419" i="50"/>
  <c r="AN539" i="50"/>
  <c r="AN571" i="50"/>
  <c r="AN702" i="50"/>
  <c r="AN688" i="50"/>
  <c r="AN74" i="50"/>
  <c r="AN110" i="50"/>
  <c r="AN164" i="50"/>
  <c r="AN208" i="50"/>
  <c r="AN259" i="50"/>
  <c r="AN361" i="50"/>
  <c r="AN369" i="50"/>
  <c r="AN414" i="50"/>
  <c r="AN466" i="50"/>
  <c r="AN430" i="50"/>
  <c r="AN464" i="50"/>
  <c r="AN527" i="50"/>
  <c r="AN543" i="50"/>
  <c r="AN550" i="50"/>
  <c r="AN635" i="50"/>
  <c r="AN686" i="50"/>
  <c r="AN713" i="50"/>
  <c r="AN44" i="50"/>
  <c r="AN31" i="50"/>
  <c r="AN111" i="50"/>
  <c r="AN168" i="50"/>
  <c r="AN148" i="50"/>
  <c r="AN151" i="50"/>
  <c r="AN260" i="50"/>
  <c r="AN339" i="50"/>
  <c r="AN318" i="50"/>
  <c r="AN291" i="50"/>
  <c r="AN362" i="50"/>
  <c r="AN475" i="50"/>
  <c r="AN378" i="50"/>
  <c r="AN431" i="50"/>
  <c r="AN568" i="50"/>
  <c r="AN521" i="50"/>
  <c r="AN448" i="50"/>
  <c r="AN507" i="50"/>
  <c r="AN594" i="50"/>
  <c r="AN627" i="50"/>
  <c r="AN595" i="50"/>
  <c r="AN638" i="50"/>
  <c r="AN687" i="50"/>
  <c r="AN728" i="50"/>
  <c r="AN45" i="50"/>
  <c r="AN100" i="50"/>
  <c r="AN134" i="50"/>
  <c r="AN296" i="50"/>
  <c r="AN417" i="50"/>
  <c r="AN534" i="50"/>
  <c r="AN421" i="50"/>
  <c r="AN522" i="50"/>
  <c r="AN390" i="50"/>
  <c r="AN641" i="50"/>
  <c r="AN41" i="50"/>
  <c r="AN201" i="50"/>
  <c r="AN283" i="50"/>
  <c r="AN308" i="50"/>
  <c r="AN435" i="50"/>
  <c r="AN457" i="50"/>
  <c r="AN489" i="50"/>
  <c r="AN428" i="50"/>
  <c r="AN517" i="50"/>
  <c r="AN558" i="50"/>
  <c r="AN530" i="50"/>
  <c r="AN555" i="50"/>
  <c r="AN603" i="50"/>
  <c r="AN669" i="50"/>
  <c r="AN664" i="50"/>
  <c r="AN70" i="50"/>
  <c r="AN336" i="50"/>
  <c r="AN532" i="50"/>
  <c r="AN396" i="50"/>
  <c r="AN450" i="50"/>
  <c r="AN574" i="50"/>
  <c r="AN745" i="50"/>
  <c r="AN71" i="50"/>
  <c r="AN103" i="50"/>
  <c r="AN227" i="50"/>
  <c r="AN246" i="50"/>
  <c r="AN257" i="50"/>
  <c r="AN324" i="50"/>
  <c r="AN342" i="50"/>
  <c r="AN338" i="50"/>
  <c r="AN408" i="50"/>
  <c r="AN391" i="50"/>
  <c r="AN490" i="50"/>
  <c r="AN505" i="50"/>
  <c r="AN397" i="50"/>
  <c r="AN501" i="50"/>
  <c r="AN519" i="50"/>
  <c r="AN459" i="50"/>
  <c r="AN509" i="50"/>
  <c r="AN623" i="50"/>
  <c r="AN673" i="50"/>
  <c r="AN624" i="50"/>
  <c r="AN670" i="50"/>
  <c r="AN142" i="50"/>
  <c r="AN47" i="50"/>
  <c r="AN72" i="50"/>
  <c r="AN104" i="50"/>
  <c r="AN120" i="50"/>
  <c r="AN160" i="50"/>
  <c r="AN231" i="50"/>
  <c r="AN244" i="50"/>
  <c r="AN326" i="50"/>
  <c r="AN360" i="50"/>
  <c r="AN409" i="50"/>
  <c r="AN440" i="50"/>
  <c r="AN460" i="50"/>
  <c r="AN418" i="50"/>
  <c r="AN565" i="50"/>
  <c r="AN441" i="50"/>
  <c r="AN526" i="50"/>
  <c r="AN587" i="50"/>
  <c r="AN461" i="50"/>
  <c r="AN469" i="50"/>
  <c r="AN640" i="50"/>
  <c r="AN590" i="50"/>
  <c r="AN712" i="50"/>
  <c r="J129" i="72"/>
  <c r="G128" i="72"/>
  <c r="G127" i="72"/>
  <c r="G126" i="72"/>
  <c r="G125" i="72"/>
  <c r="G124" i="72"/>
  <c r="G123" i="72"/>
  <c r="G122" i="72"/>
  <c r="G121" i="72"/>
  <c r="G120" i="72"/>
  <c r="G119" i="72"/>
  <c r="G118" i="72"/>
  <c r="AK407" i="50" l="1"/>
  <c r="AL407" i="50" s="1"/>
  <c r="AK421" i="50"/>
  <c r="AL421" i="50" s="1"/>
  <c r="AK240" i="50"/>
  <c r="AL240" i="50" s="1"/>
  <c r="AK420" i="50"/>
  <c r="AL420" i="50" s="1"/>
  <c r="AK506" i="50"/>
  <c r="AL506" i="50" s="1"/>
  <c r="AK382" i="50"/>
  <c r="AL382" i="50" s="1"/>
  <c r="AK68" i="50"/>
  <c r="AL68" i="50" s="1"/>
  <c r="AK715" i="50"/>
  <c r="AL715" i="50" s="1"/>
  <c r="AK256" i="50"/>
  <c r="AL256" i="50" s="1"/>
  <c r="AK354" i="50"/>
  <c r="AL354" i="50" s="1"/>
  <c r="AK297" i="50"/>
  <c r="AL297" i="50" s="1"/>
  <c r="AK745" i="50"/>
  <c r="AL745" i="50" s="1"/>
  <c r="AK246" i="50"/>
  <c r="AL246" i="50" s="1"/>
  <c r="AK451" i="50"/>
  <c r="AL451" i="50" s="1"/>
  <c r="AK504" i="50"/>
  <c r="AL504" i="50" s="1"/>
  <c r="AK508" i="50"/>
  <c r="AL508" i="50" s="1"/>
  <c r="AK143" i="50"/>
  <c r="AL143" i="50" s="1"/>
  <c r="AK646" i="50"/>
  <c r="AL646" i="50" s="1"/>
  <c r="AK519" i="50"/>
  <c r="AL519" i="50" s="1"/>
  <c r="AL363" i="50"/>
  <c r="AL575" i="50"/>
  <c r="AL80" i="50"/>
  <c r="AL272" i="50"/>
  <c r="AL338" i="50"/>
  <c r="AL371" i="50"/>
  <c r="AL131" i="50"/>
  <c r="AL64" i="50"/>
  <c r="AL67" i="50"/>
  <c r="AL45" i="50"/>
  <c r="AL455" i="50"/>
  <c r="AL226" i="50"/>
  <c r="AL569" i="50"/>
  <c r="AL264" i="50"/>
  <c r="AL58" i="50"/>
  <c r="AL289" i="50"/>
  <c r="AL17" i="50"/>
  <c r="AL77" i="50"/>
  <c r="AL245" i="50"/>
  <c r="AL83" i="50"/>
  <c r="AL268" i="50"/>
  <c r="AL334" i="50"/>
  <c r="AL76" i="50"/>
  <c r="AL578" i="50"/>
  <c r="AL148" i="50"/>
  <c r="AL367" i="50"/>
  <c r="AL347" i="50"/>
  <c r="AL337" i="50"/>
  <c r="AK192" i="50"/>
  <c r="AL192" i="50" s="1"/>
  <c r="AK247" i="50"/>
  <c r="AL247" i="50" s="1"/>
  <c r="AK142" i="50"/>
  <c r="AL142" i="50" s="1"/>
  <c r="AK262" i="50"/>
  <c r="AK140" i="50"/>
  <c r="AL140" i="50" s="1"/>
  <c r="AK433" i="50"/>
  <c r="AL433" i="50" s="1"/>
  <c r="AK254" i="50"/>
  <c r="AL254" i="50" s="1"/>
  <c r="AK267" i="50"/>
  <c r="AL267" i="50" s="1"/>
  <c r="AK281" i="50"/>
  <c r="AL281" i="50" s="1"/>
  <c r="AK259" i="50"/>
  <c r="AL259" i="50" s="1"/>
  <c r="AK138" i="50"/>
  <c r="AL138" i="50" s="1"/>
  <c r="AK194" i="50"/>
  <c r="AL194" i="50" s="1"/>
  <c r="AK552" i="50"/>
  <c r="AL552" i="50" s="1"/>
  <c r="AK418" i="50"/>
  <c r="AL418" i="50" s="1"/>
  <c r="AK416" i="50"/>
  <c r="AL416" i="50" s="1"/>
  <c r="AK251" i="50"/>
  <c r="AL251" i="50" s="1"/>
  <c r="AK501" i="50"/>
  <c r="AL501" i="50" s="1"/>
  <c r="AK145" i="50"/>
  <c r="AL145" i="50" s="1"/>
  <c r="AK586" i="50"/>
  <c r="AL586" i="50" s="1"/>
  <c r="AK257" i="50"/>
  <c r="AL257" i="50" s="1"/>
  <c r="AK414" i="50"/>
  <c r="AL414" i="50" s="1"/>
  <c r="AK577" i="50"/>
  <c r="AL577" i="50" s="1"/>
  <c r="AK121" i="50"/>
  <c r="AL121" i="50" s="1"/>
  <c r="AK492" i="50"/>
  <c r="AL492" i="50" s="1"/>
  <c r="AK260" i="50"/>
  <c r="AL260" i="50" s="1"/>
  <c r="AK536" i="50"/>
  <c r="AL536" i="50" s="1"/>
  <c r="AN2" i="50"/>
  <c r="AH2" i="50"/>
  <c r="AR4" i="50"/>
  <c r="AK293" i="50"/>
  <c r="AR30" i="50"/>
  <c r="AM147" i="50"/>
  <c r="AM243" i="50"/>
  <c r="AM202" i="50"/>
  <c r="AM367" i="50"/>
  <c r="AR297" i="50"/>
  <c r="AM242" i="50"/>
  <c r="AM277" i="50"/>
  <c r="AM60" i="50"/>
  <c r="AR67" i="50"/>
  <c r="AM122" i="50"/>
  <c r="AR89" i="50"/>
  <c r="AM284" i="50"/>
  <c r="AM132" i="50"/>
  <c r="AM265" i="50"/>
  <c r="AR92" i="50"/>
  <c r="AR85" i="50"/>
  <c r="AM91" i="50"/>
  <c r="AM81" i="50"/>
  <c r="AR249" i="50"/>
  <c r="AM97" i="50"/>
  <c r="AR57" i="50"/>
  <c r="AM135" i="50"/>
  <c r="AM75" i="50"/>
  <c r="AR239" i="50"/>
  <c r="AR292" i="50"/>
  <c r="AM240" i="50"/>
  <c r="AM278" i="50"/>
  <c r="AM94" i="50"/>
  <c r="AM82" i="50"/>
  <c r="AR137" i="50"/>
  <c r="AM124" i="50"/>
  <c r="AM255" i="50"/>
  <c r="AM266" i="50"/>
  <c r="AM274" i="50"/>
  <c r="AR269" i="50"/>
  <c r="AR88" i="50"/>
  <c r="AR87" i="50"/>
  <c r="AR83" i="50"/>
  <c r="AR363" i="50"/>
  <c r="AR93" i="50"/>
  <c r="AM64" i="50"/>
  <c r="AM371" i="50"/>
  <c r="AR131" i="50"/>
  <c r="AR189" i="50"/>
  <c r="AR37" i="50"/>
  <c r="AR281" i="50"/>
  <c r="AM42" i="50"/>
  <c r="AR96" i="50"/>
  <c r="AM293" i="50"/>
  <c r="AR17" i="50"/>
  <c r="AM66" i="50"/>
  <c r="AM250" i="50"/>
  <c r="AM334" i="50"/>
  <c r="AK564" i="50"/>
  <c r="AR95" i="50"/>
  <c r="AR252" i="50"/>
  <c r="AM69" i="50"/>
  <c r="AM46" i="50"/>
  <c r="AK46" i="50"/>
  <c r="AR337" i="50"/>
  <c r="AK481" i="50"/>
  <c r="AL481" i="50" s="1"/>
  <c r="AK232" i="50"/>
  <c r="AL232" i="50" s="1"/>
  <c r="AK543" i="50"/>
  <c r="AL543" i="50" s="1"/>
  <c r="AK18" i="50"/>
  <c r="AL18" i="50" s="1"/>
  <c r="AK426" i="50"/>
  <c r="AL426" i="50" s="1"/>
  <c r="AK562" i="50"/>
  <c r="AL562" i="50" s="1"/>
  <c r="AK111" i="50"/>
  <c r="AK36" i="50"/>
  <c r="AL36" i="50" s="1"/>
  <c r="AK696" i="50"/>
  <c r="AL696" i="50" s="1"/>
  <c r="AK8" i="50"/>
  <c r="AL8" i="50" s="1"/>
  <c r="AK13" i="50"/>
  <c r="AL13" i="50" s="1"/>
  <c r="AK160" i="50"/>
  <c r="AL160" i="50" s="1"/>
  <c r="AK61" i="50"/>
  <c r="AK701" i="50"/>
  <c r="AL701" i="50" s="1"/>
  <c r="AK345" i="50"/>
  <c r="AL345" i="50" s="1"/>
  <c r="AK146" i="50"/>
  <c r="AK406" i="50"/>
  <c r="AL406" i="50" s="1"/>
  <c r="AK565" i="50"/>
  <c r="AL565" i="50" s="1"/>
  <c r="AK571" i="50"/>
  <c r="AL571" i="50" s="1"/>
  <c r="AK716" i="50"/>
  <c r="AL716" i="50" s="1"/>
  <c r="AM258" i="50"/>
  <c r="AK713" i="50"/>
  <c r="AL713" i="50" s="1"/>
  <c r="AK324" i="50"/>
  <c r="AL324" i="50" s="1"/>
  <c r="AK570" i="50"/>
  <c r="AL570" i="50" s="1"/>
  <c r="AK697" i="50"/>
  <c r="AL697" i="50" s="1"/>
  <c r="AK470" i="50"/>
  <c r="AK574" i="50"/>
  <c r="AL574" i="50" s="1"/>
  <c r="AK63" i="50"/>
  <c r="AL63" i="50" s="1"/>
  <c r="AK276" i="50"/>
  <c r="AL276" i="50" s="1"/>
  <c r="AK566" i="50"/>
  <c r="AK220" i="50"/>
  <c r="AL220" i="50" s="1"/>
  <c r="AK377" i="50"/>
  <c r="AK323" i="50"/>
  <c r="AL323" i="50" s="1"/>
  <c r="AK44" i="50"/>
  <c r="AL44" i="50" s="1"/>
  <c r="AK116" i="50"/>
  <c r="AL116" i="50" s="1"/>
  <c r="AR77" i="50"/>
  <c r="AK39" i="50"/>
  <c r="AL39" i="50" s="1"/>
  <c r="AK387" i="50"/>
  <c r="AL387" i="50" s="1"/>
  <c r="AK330" i="50"/>
  <c r="AL330" i="50" s="1"/>
  <c r="AK231" i="50"/>
  <c r="AL231" i="50" s="1"/>
  <c r="AK118" i="50"/>
  <c r="AL118" i="50" s="1"/>
  <c r="AK432" i="50"/>
  <c r="AL432" i="50" s="1"/>
  <c r="AK306" i="50"/>
  <c r="AK53" i="50"/>
  <c r="AL53" i="50" s="1"/>
  <c r="AK738" i="50"/>
  <c r="AL738" i="50" s="1"/>
  <c r="AK376" i="50"/>
  <c r="AK54" i="50"/>
  <c r="AL54" i="50" s="1"/>
  <c r="AK150" i="50"/>
  <c r="AL150" i="50" s="1"/>
  <c r="AK14" i="50"/>
  <c r="AL14" i="50" s="1"/>
  <c r="AK404" i="50"/>
  <c r="AL404" i="50" s="1"/>
  <c r="AK649" i="50"/>
  <c r="AL649" i="50" s="1"/>
  <c r="AK619" i="50"/>
  <c r="AL619" i="50" s="1"/>
  <c r="AK225" i="50"/>
  <c r="AL225" i="50" s="1"/>
  <c r="AK125" i="50"/>
  <c r="AL125" i="50" s="1"/>
  <c r="AK38" i="50"/>
  <c r="AL38" i="50" s="1"/>
  <c r="AK540" i="50"/>
  <c r="AL540" i="50" s="1"/>
  <c r="AK408" i="50"/>
  <c r="AL408" i="50" s="1"/>
  <c r="AK712" i="50"/>
  <c r="AL712" i="50" s="1"/>
  <c r="AK309" i="50"/>
  <c r="AL309" i="50" s="1"/>
  <c r="AK10" i="50"/>
  <c r="AK707" i="50"/>
  <c r="AL707" i="50" s="1"/>
  <c r="AK581" i="50"/>
  <c r="AL581" i="50" s="1"/>
  <c r="AK428" i="50"/>
  <c r="AL428" i="50" s="1"/>
  <c r="AK664" i="50"/>
  <c r="AL664" i="50" s="1"/>
  <c r="AK361" i="50"/>
  <c r="AL361" i="50" s="1"/>
  <c r="AK736" i="50"/>
  <c r="AL736" i="50" s="1"/>
  <c r="AK32" i="50"/>
  <c r="AL32" i="50" s="1"/>
  <c r="AK450" i="50"/>
  <c r="AK235" i="50"/>
  <c r="AK468" i="50"/>
  <c r="AL468" i="50" s="1"/>
  <c r="AK494" i="50"/>
  <c r="AL494" i="50" s="1"/>
  <c r="AK411" i="50"/>
  <c r="AL411" i="50" s="1"/>
  <c r="AK151" i="50"/>
  <c r="AK349" i="50"/>
  <c r="AL349" i="50" s="1"/>
  <c r="AK576" i="50"/>
  <c r="AL576" i="50" s="1"/>
  <c r="AK464" i="50"/>
  <c r="AL464" i="50" s="1"/>
  <c r="AK386" i="50"/>
  <c r="AK28" i="50"/>
  <c r="AL28" i="50" s="1"/>
  <c r="AK631" i="50"/>
  <c r="AL631" i="50" s="1"/>
  <c r="AK723" i="50"/>
  <c r="AL723" i="50" s="1"/>
  <c r="AK59" i="50"/>
  <c r="AL59" i="50" s="1"/>
  <c r="AK84" i="50"/>
  <c r="AK459" i="50"/>
  <c r="AL459" i="50" s="1"/>
  <c r="AK178" i="50"/>
  <c r="AL178" i="50" s="1"/>
  <c r="AK70" i="50"/>
  <c r="AK43" i="50"/>
  <c r="AL43" i="50" s="1"/>
  <c r="AK31" i="50"/>
  <c r="AL31" i="50" s="1"/>
  <c r="AK12" i="50"/>
  <c r="AL12" i="50" s="1"/>
  <c r="AK554" i="50"/>
  <c r="AL554" i="50" s="1"/>
  <c r="AK7" i="50"/>
  <c r="AL7" i="50" s="1"/>
  <c r="AK651" i="50"/>
  <c r="AL651" i="50" s="1"/>
  <c r="AK339" i="50"/>
  <c r="AL339" i="50" s="1"/>
  <c r="AK509" i="50"/>
  <c r="AL509" i="50" s="1"/>
  <c r="AK11" i="50"/>
  <c r="AL11" i="50" s="1"/>
  <c r="AK49" i="50"/>
  <c r="AL49" i="50" s="1"/>
  <c r="AK419" i="50"/>
  <c r="AL419" i="50" s="1"/>
  <c r="AK133" i="50"/>
  <c r="AL133" i="50" s="1"/>
  <c r="AK718" i="50"/>
  <c r="AL718" i="50" s="1"/>
  <c r="AK368" i="50"/>
  <c r="AK728" i="50"/>
  <c r="AL728" i="50" s="1"/>
  <c r="AK729" i="50"/>
  <c r="AL729" i="50" s="1"/>
  <c r="AK706" i="50"/>
  <c r="AL706" i="50" s="1"/>
  <c r="AK583" i="50"/>
  <c r="AL583" i="50" s="1"/>
  <c r="AK123" i="50"/>
  <c r="AL123" i="50" s="1"/>
  <c r="AK597" i="50"/>
  <c r="AL597" i="50" s="1"/>
  <c r="AK295" i="50"/>
  <c r="AL295" i="50" s="1"/>
  <c r="AK721" i="50"/>
  <c r="AL721" i="50" s="1"/>
  <c r="AK544" i="50"/>
  <c r="AK237" i="50"/>
  <c r="AL237" i="50" s="1"/>
  <c r="AK641" i="50"/>
  <c r="AL641" i="50" s="1"/>
  <c r="AK553" i="50"/>
  <c r="AL553" i="50" s="1"/>
  <c r="AK383" i="50"/>
  <c r="AL383" i="50" s="1"/>
  <c r="AK561" i="50"/>
  <c r="AL561" i="50" s="1"/>
  <c r="AK545" i="50"/>
  <c r="AK488" i="50"/>
  <c r="AL488" i="50" s="1"/>
  <c r="AK34" i="50"/>
  <c r="AL34" i="50" s="1"/>
  <c r="AK412" i="50"/>
  <c r="AL412" i="50" s="1"/>
  <c r="AK400" i="50"/>
  <c r="AL400" i="50" s="1"/>
  <c r="AK390" i="50"/>
  <c r="AL390" i="50" s="1"/>
  <c r="AK285" i="50"/>
  <c r="AK463" i="50"/>
  <c r="AL463" i="50" s="1"/>
  <c r="AK698" i="50"/>
  <c r="AL698" i="50" s="1"/>
  <c r="AK342" i="50"/>
  <c r="AL342" i="50" s="1"/>
  <c r="AK430" i="50"/>
  <c r="AL430" i="50" s="1"/>
  <c r="AK374" i="50"/>
  <c r="AK500" i="50"/>
  <c r="AL500" i="50" s="1"/>
  <c r="AK352" i="50"/>
  <c r="AL352" i="50" s="1"/>
  <c r="AK238" i="50"/>
  <c r="AL238" i="50" s="1"/>
  <c r="AK431" i="50"/>
  <c r="AL431" i="50" s="1"/>
  <c r="AK100" i="50"/>
  <c r="AK487" i="50"/>
  <c r="AL487" i="50" s="1"/>
  <c r="AK573" i="50"/>
  <c r="AL573" i="50" s="1"/>
  <c r="AK331" i="50"/>
  <c r="AL331" i="50" s="1"/>
  <c r="AK50" i="50"/>
  <c r="AL50" i="50" s="1"/>
  <c r="AK699" i="50"/>
  <c r="AL699" i="50" s="1"/>
  <c r="AK643" i="50"/>
  <c r="AL643" i="50" s="1"/>
  <c r="AK280" i="50"/>
  <c r="AL280" i="50" s="1"/>
  <c r="AK429" i="50"/>
  <c r="AL429" i="50" s="1"/>
  <c r="AK711" i="50"/>
  <c r="AL711" i="50" s="1"/>
  <c r="AR355" i="50"/>
  <c r="AK358" i="50"/>
  <c r="AL358" i="50" s="1"/>
  <c r="AK396" i="50"/>
  <c r="AL396" i="50" s="1"/>
  <c r="AK539" i="50"/>
  <c r="AL539" i="50" s="1"/>
  <c r="AK405" i="50"/>
  <c r="AL405" i="50" s="1"/>
  <c r="AK726" i="50"/>
  <c r="AL726" i="50" s="1"/>
  <c r="AK47" i="50"/>
  <c r="AL47" i="50" s="1"/>
  <c r="AK33" i="50"/>
  <c r="AL33" i="50" s="1"/>
  <c r="AK560" i="50"/>
  <c r="AL560" i="50" s="1"/>
  <c r="AK734" i="50"/>
  <c r="AL734" i="50" s="1"/>
  <c r="AK73" i="50"/>
  <c r="AL73" i="50" s="1"/>
  <c r="AK74" i="50"/>
  <c r="AL74" i="50" s="1"/>
  <c r="AK702" i="50"/>
  <c r="AL702" i="50" s="1"/>
  <c r="AK466" i="50"/>
  <c r="AK441" i="50"/>
  <c r="AL441" i="50" s="1"/>
  <c r="AK725" i="50"/>
  <c r="AL725" i="50" s="1"/>
  <c r="AK535" i="50"/>
  <c r="AL535" i="50" s="1"/>
  <c r="AK559" i="50"/>
  <c r="AK117" i="50"/>
  <c r="AL117" i="50" s="1"/>
  <c r="AK393" i="50"/>
  <c r="AL393" i="50" s="1"/>
  <c r="AK493" i="50"/>
  <c r="AL493" i="50" s="1"/>
  <c r="AK319" i="50"/>
  <c r="AK556" i="50"/>
  <c r="AL556" i="50" s="1"/>
  <c r="AK568" i="50"/>
  <c r="AL568" i="50" s="1"/>
  <c r="AK695" i="50"/>
  <c r="AL695" i="50" s="1"/>
  <c r="AK321" i="50"/>
  <c r="AL321" i="50" s="1"/>
  <c r="AK456" i="50"/>
  <c r="AK685" i="50"/>
  <c r="AL685" i="50" s="1"/>
  <c r="AK551" i="50"/>
  <c r="AL551" i="50" s="1"/>
  <c r="AK176" i="50"/>
  <c r="AL176" i="50" s="1"/>
  <c r="AK65" i="50"/>
  <c r="AL65" i="50" s="1"/>
  <c r="AK296" i="50"/>
  <c r="AK596" i="50"/>
  <c r="AL596" i="50" s="1"/>
  <c r="AK549" i="50"/>
  <c r="AL549" i="50" s="1"/>
  <c r="AK461" i="50"/>
  <c r="AL461" i="50" s="1"/>
  <c r="AK72" i="50"/>
  <c r="AL72" i="50" s="1"/>
  <c r="AK714" i="50"/>
  <c r="AL714" i="50" s="1"/>
  <c r="AK542" i="50"/>
  <c r="AL542" i="50" s="1"/>
  <c r="AK580" i="50"/>
  <c r="AL580" i="50" s="1"/>
  <c r="AK103" i="50"/>
  <c r="AL103" i="50" s="1"/>
  <c r="AK724" i="50"/>
  <c r="AL724" i="50" s="1"/>
  <c r="AK735" i="50"/>
  <c r="AL735" i="50" s="1"/>
  <c r="AK25" i="50"/>
  <c r="AL25" i="50" s="1"/>
  <c r="AK661" i="50"/>
  <c r="AL661" i="50" s="1"/>
  <c r="AK23" i="50"/>
  <c r="AL23" i="50" s="1"/>
  <c r="AK51" i="50"/>
  <c r="AL51" i="50" s="1"/>
  <c r="AK78" i="50"/>
  <c r="AL78" i="50" s="1"/>
  <c r="AK567" i="50"/>
  <c r="AL567" i="50" s="1"/>
  <c r="AK694" i="50"/>
  <c r="AL694" i="50" s="1"/>
  <c r="AK424" i="50"/>
  <c r="AL424" i="50" s="1"/>
  <c r="AK227" i="50"/>
  <c r="AL227" i="50" s="1"/>
  <c r="AK530" i="50"/>
  <c r="AL530" i="50" s="1"/>
  <c r="AK20" i="50"/>
  <c r="AL20" i="50" s="1"/>
  <c r="AK71" i="50"/>
  <c r="AL71" i="50" s="1"/>
  <c r="AK686" i="50"/>
  <c r="AL686" i="50" s="1"/>
  <c r="AK326" i="50"/>
  <c r="AL326" i="50" s="1"/>
  <c r="AK35" i="50"/>
  <c r="AL35" i="50" s="1"/>
  <c r="AK79" i="50"/>
  <c r="AL79" i="50" s="1"/>
  <c r="AK547" i="50"/>
  <c r="AL547" i="50" s="1"/>
  <c r="AK437" i="50"/>
  <c r="AL437" i="50" s="1"/>
  <c r="AK555" i="50"/>
  <c r="AL555" i="50" s="1"/>
  <c r="AK394" i="50"/>
  <c r="AL394" i="50" s="1"/>
  <c r="AK688" i="50"/>
  <c r="AL688" i="50" s="1"/>
  <c r="AK689" i="50"/>
  <c r="AK563" i="50"/>
  <c r="AL563" i="50" s="1"/>
  <c r="AK582" i="50"/>
  <c r="AL582" i="50" s="1"/>
  <c r="AK469" i="50"/>
  <c r="AL469" i="50" s="1"/>
  <c r="AK627" i="50"/>
  <c r="AL627" i="50" s="1"/>
  <c r="AK16" i="50"/>
  <c r="AK52" i="50"/>
  <c r="AL52" i="50" s="1"/>
  <c r="AK397" i="50"/>
  <c r="AL397" i="50" s="1"/>
  <c r="AK290" i="50"/>
  <c r="AL290" i="50" s="1"/>
  <c r="AK452" i="50"/>
  <c r="AL452" i="50" s="1"/>
  <c r="AK119" i="50"/>
  <c r="AK4" i="50"/>
  <c r="AR126" i="50"/>
  <c r="AK692" i="50"/>
  <c r="AL692" i="50" s="1"/>
  <c r="AK486" i="50"/>
  <c r="AL486" i="50" s="1"/>
  <c r="AK727" i="50"/>
  <c r="AL727" i="50" s="1"/>
  <c r="AK425" i="50"/>
  <c r="AL425" i="50" s="1"/>
  <c r="AK572" i="50"/>
  <c r="AL572" i="50" s="1"/>
  <c r="AK105" i="50"/>
  <c r="AL105" i="50" s="1"/>
  <c r="AK587" i="50"/>
  <c r="AL587" i="50" s="1"/>
  <c r="AK531" i="50"/>
  <c r="AL531" i="50" s="1"/>
  <c r="AK26" i="50"/>
  <c r="AL26" i="50" s="1"/>
  <c r="AK283" i="50"/>
  <c r="AL283" i="50" s="1"/>
  <c r="AK378" i="50"/>
  <c r="AL378" i="50" s="1"/>
  <c r="AR171" i="50"/>
  <c r="AK298" i="50"/>
  <c r="AK507" i="50"/>
  <c r="AL507" i="50" s="1"/>
  <c r="AK532" i="50"/>
  <c r="AL532" i="50" s="1"/>
  <c r="AK41" i="50"/>
  <c r="AL41" i="50" s="1"/>
  <c r="AM127" i="50"/>
  <c r="AK693" i="50"/>
  <c r="AL693" i="50" s="1"/>
  <c r="AK700" i="50"/>
  <c r="AL700" i="50" s="1"/>
  <c r="AK717" i="50"/>
  <c r="AL717" i="50" s="1"/>
  <c r="AK534" i="50"/>
  <c r="AL534" i="50" s="1"/>
  <c r="AK603" i="50"/>
  <c r="AL603" i="50" s="1"/>
  <c r="AM129" i="50"/>
  <c r="AK48" i="50"/>
  <c r="AK654" i="50"/>
  <c r="AL654" i="50" s="1"/>
  <c r="AK691" i="50"/>
  <c r="AL691" i="50" s="1"/>
  <c r="AK413" i="50"/>
  <c r="AK55" i="50"/>
  <c r="AL55" i="50" s="1"/>
  <c r="AK110" i="50"/>
  <c r="AL110" i="50" s="1"/>
  <c r="AK62" i="50"/>
  <c r="AK666" i="50"/>
  <c r="AL666" i="50" s="1"/>
  <c r="AK307" i="50"/>
  <c r="AK275" i="50"/>
  <c r="AK538" i="50"/>
  <c r="AL538" i="50" s="1"/>
  <c r="AK447" i="50"/>
  <c r="AL447" i="50" s="1"/>
  <c r="AM177" i="50"/>
  <c r="AR56" i="50"/>
  <c r="AM128" i="50"/>
  <c r="AM356" i="50"/>
  <c r="AR21" i="50"/>
  <c r="AR130" i="50"/>
  <c r="AK637" i="50"/>
  <c r="AL637" i="50" s="1"/>
  <c r="AK658" i="50"/>
  <c r="AL658" i="50" s="1"/>
  <c r="AK366" i="50"/>
  <c r="AL366" i="50" s="1"/>
  <c r="AK308" i="50"/>
  <c r="AL308" i="50" s="1"/>
  <c r="AK359" i="50"/>
  <c r="AK356" i="50"/>
  <c r="AK177" i="50"/>
  <c r="AL177" i="50" s="1"/>
  <c r="AK313" i="50"/>
  <c r="AL313" i="50" s="1"/>
  <c r="AK303" i="50"/>
  <c r="AL303" i="50" s="1"/>
  <c r="AK340" i="50"/>
  <c r="AL340" i="50" s="1"/>
  <c r="AK174" i="50"/>
  <c r="AL174" i="50" s="1"/>
  <c r="AK344" i="50"/>
  <c r="AL344" i="50" s="1"/>
  <c r="AK591" i="50"/>
  <c r="AL591" i="50" s="1"/>
  <c r="AK673" i="50"/>
  <c r="AL673" i="50" s="1"/>
  <c r="AK663" i="50"/>
  <c r="AL663" i="50" s="1"/>
  <c r="AK302" i="50"/>
  <c r="AL302" i="50" s="1"/>
  <c r="AK191" i="50"/>
  <c r="AL191" i="50" s="1"/>
  <c r="AK642" i="50"/>
  <c r="AL642" i="50" s="1"/>
  <c r="AK369" i="50"/>
  <c r="AK350" i="50"/>
  <c r="AL350" i="50" s="1"/>
  <c r="AK314" i="50"/>
  <c r="AL314" i="50" s="1"/>
  <c r="AK336" i="50"/>
  <c r="AL336" i="50" s="1"/>
  <c r="AK351" i="50"/>
  <c r="AL351" i="50" s="1"/>
  <c r="AK670" i="50"/>
  <c r="AL670" i="50" s="1"/>
  <c r="AK300" i="50"/>
  <c r="AL300" i="50" s="1"/>
  <c r="AK318" i="50"/>
  <c r="AL318" i="50" s="1"/>
  <c r="AK622" i="50"/>
  <c r="AL622" i="50" s="1"/>
  <c r="AK346" i="50"/>
  <c r="AL346" i="50" s="1"/>
  <c r="AK171" i="50"/>
  <c r="AL171" i="50" s="1"/>
  <c r="AK129" i="50"/>
  <c r="AL129" i="50" s="1"/>
  <c r="AK127" i="50"/>
  <c r="AL127" i="50" s="1"/>
  <c r="AK606" i="50"/>
  <c r="AL606" i="50" s="1"/>
  <c r="AK667" i="50"/>
  <c r="AL667" i="50" s="1"/>
  <c r="AK333" i="50"/>
  <c r="AL333" i="50" s="1"/>
  <c r="AK656" i="50"/>
  <c r="AL656" i="50" s="1"/>
  <c r="AK647" i="50"/>
  <c r="AL647" i="50" s="1"/>
  <c r="AK672" i="50"/>
  <c r="AL672" i="50" s="1"/>
  <c r="AK618" i="50"/>
  <c r="AL618" i="50" s="1"/>
  <c r="AK638" i="50"/>
  <c r="AL638" i="50" s="1"/>
  <c r="AK162" i="50"/>
  <c r="AL162" i="50" s="1"/>
  <c r="AK332" i="50"/>
  <c r="AL332" i="50" s="1"/>
  <c r="AK625" i="50"/>
  <c r="AL625" i="50" s="1"/>
  <c r="AK370" i="50"/>
  <c r="AL370" i="50" s="1"/>
  <c r="AK594" i="50"/>
  <c r="AL594" i="50" s="1"/>
  <c r="AK632" i="50"/>
  <c r="AL632" i="50" s="1"/>
  <c r="AK624" i="50"/>
  <c r="AL624" i="50" s="1"/>
  <c r="AK183" i="50"/>
  <c r="AL183" i="50" s="1"/>
  <c r="AK660" i="50"/>
  <c r="AL660" i="50" s="1"/>
  <c r="AK653" i="50"/>
  <c r="AL653" i="50" s="1"/>
  <c r="AK168" i="50"/>
  <c r="AL168" i="50" s="1"/>
  <c r="AK357" i="50"/>
  <c r="AL357" i="50" s="1"/>
  <c r="AK595" i="50"/>
  <c r="AL595" i="50" s="1"/>
  <c r="AK126" i="50"/>
  <c r="AL126" i="50" s="1"/>
  <c r="AK130" i="50"/>
  <c r="AL130" i="50" s="1"/>
  <c r="AK128" i="50"/>
  <c r="AK360" i="50"/>
  <c r="AL360" i="50" s="1"/>
  <c r="AK341" i="50"/>
  <c r="AL341" i="50" s="1"/>
  <c r="AK650" i="50"/>
  <c r="AL650" i="50" s="1"/>
  <c r="AK286" i="50"/>
  <c r="AK362" i="50"/>
  <c r="AL362" i="50" s="1"/>
  <c r="AK678" i="50"/>
  <c r="AL678" i="50" s="1"/>
  <c r="AK311" i="50"/>
  <c r="AK301" i="50"/>
  <c r="AL301" i="50" s="1"/>
  <c r="AK600" i="50"/>
  <c r="AL600" i="50" s="1"/>
  <c r="AK669" i="50"/>
  <c r="AL669" i="50" s="1"/>
  <c r="AK598" i="50"/>
  <c r="AL598" i="50" s="1"/>
  <c r="AK677" i="50"/>
  <c r="AL677" i="50" s="1"/>
  <c r="AK657" i="50"/>
  <c r="AL657" i="50" s="1"/>
  <c r="AK634" i="50"/>
  <c r="AL634" i="50" s="1"/>
  <c r="AK355" i="50"/>
  <c r="AL355" i="50" s="1"/>
  <c r="AK56" i="50"/>
  <c r="AK21" i="50"/>
  <c r="AL21" i="50" s="1"/>
  <c r="AK623" i="50"/>
  <c r="AL623" i="50" s="1"/>
  <c r="AK621" i="50"/>
  <c r="AL621" i="50" s="1"/>
  <c r="AK613" i="50"/>
  <c r="AL613" i="50" s="1"/>
  <c r="AK592" i="50"/>
  <c r="AL592" i="50" s="1"/>
  <c r="AK320" i="50"/>
  <c r="AL320" i="50" s="1"/>
  <c r="AK601" i="50"/>
  <c r="AL601" i="50" s="1"/>
  <c r="AK170" i="50"/>
  <c r="AL170" i="50" s="1"/>
  <c r="AK593" i="50"/>
  <c r="AL593" i="50" s="1"/>
  <c r="AK353" i="50"/>
  <c r="AL353" i="50" s="1"/>
  <c r="AK610" i="50"/>
  <c r="AL610" i="50" s="1"/>
  <c r="AK599" i="50"/>
  <c r="AL599" i="50" s="1"/>
  <c r="AK635" i="50"/>
  <c r="AL635" i="50" s="1"/>
  <c r="AK304" i="50"/>
  <c r="AL304" i="50" s="1"/>
  <c r="AK640" i="50"/>
  <c r="AL640" i="50" s="1"/>
  <c r="AK676" i="50"/>
  <c r="AL676" i="50" s="1"/>
  <c r="AK617" i="50"/>
  <c r="AL617" i="50" s="1"/>
  <c r="AK328" i="50"/>
  <c r="AL328" i="50" s="1"/>
  <c r="AK590" i="50"/>
  <c r="AL590" i="50" s="1"/>
  <c r="AK680" i="50"/>
  <c r="AL680" i="50" s="1"/>
  <c r="AK605" i="50"/>
  <c r="AL605" i="50" s="1"/>
  <c r="AK316" i="50"/>
  <c r="AL316" i="50" s="1"/>
  <c r="AR463" i="50"/>
  <c r="AM661" i="50"/>
  <c r="AM542" i="50"/>
  <c r="AR220" i="50"/>
  <c r="AR413" i="50"/>
  <c r="AR591" i="50"/>
  <c r="AM619" i="50"/>
  <c r="AM427" i="50"/>
  <c r="AM105" i="50"/>
  <c r="AR125" i="50"/>
  <c r="AR287" i="50"/>
  <c r="AR717" i="50"/>
  <c r="AM210" i="50"/>
  <c r="AR294" i="50"/>
  <c r="AR658" i="50"/>
  <c r="AM433" i="50"/>
  <c r="AR494" i="50"/>
  <c r="AR736" i="50"/>
  <c r="AR375" i="50"/>
  <c r="AR226" i="50"/>
  <c r="AR344" i="50"/>
  <c r="AR358" i="50"/>
  <c r="AR647" i="50"/>
  <c r="AM29" i="50"/>
  <c r="AM7" i="50"/>
  <c r="AR553" i="50"/>
  <c r="AM646" i="50"/>
  <c r="AR699" i="50"/>
  <c r="AM651" i="50"/>
  <c r="AR596" i="50"/>
  <c r="AR479" i="50"/>
  <c r="AR549" i="50"/>
  <c r="AM470" i="50"/>
  <c r="AM456" i="50"/>
  <c r="AR601" i="50"/>
  <c r="AM476" i="50"/>
  <c r="AM726" i="50"/>
  <c r="AM26" i="50"/>
  <c r="AR578" i="50"/>
  <c r="AR328" i="50"/>
  <c r="AM729" i="50"/>
  <c r="AR516" i="50"/>
  <c r="AM742" i="50"/>
  <c r="AR84" i="50"/>
  <c r="AM633" i="50"/>
  <c r="AM412" i="50"/>
  <c r="AR199" i="50"/>
  <c r="AR551" i="50"/>
  <c r="AR400" i="50"/>
  <c r="AR143" i="50"/>
  <c r="AM579" i="50"/>
  <c r="AM306" i="50"/>
  <c r="AR500" i="50"/>
  <c r="AM458" i="50"/>
  <c r="AR592" i="50"/>
  <c r="AM678" i="50"/>
  <c r="AM615" i="50"/>
  <c r="AR348" i="50"/>
  <c r="AM436" i="50"/>
  <c r="AM78" i="50"/>
  <c r="AM705" i="50"/>
  <c r="AL70" i="7"/>
  <c r="AJ70" i="7"/>
  <c r="AR697" i="50"/>
  <c r="AR119" i="50"/>
  <c r="AM548" i="50"/>
  <c r="AM654" i="50"/>
  <c r="AM622" i="50"/>
  <c r="AM4" i="50"/>
  <c r="AR152" i="50"/>
  <c r="AM376" i="50"/>
  <c r="AR449" i="50"/>
  <c r="AR301" i="50"/>
  <c r="AM563" i="50"/>
  <c r="AM676" i="50"/>
  <c r="AM383" i="50"/>
  <c r="AM625" i="50"/>
  <c r="AM248" i="50"/>
  <c r="AR513" i="50"/>
  <c r="AM389" i="50"/>
  <c r="AR61" i="50"/>
  <c r="AM117" i="50"/>
  <c r="AM59" i="50"/>
  <c r="AM701" i="50"/>
  <c r="AM567" i="50"/>
  <c r="AR139" i="50"/>
  <c r="AR442" i="50"/>
  <c r="AR666" i="50"/>
  <c r="AR357" i="50"/>
  <c r="AM316" i="50"/>
  <c r="AR183" i="50"/>
  <c r="AM73" i="50"/>
  <c r="AR632" i="50"/>
  <c r="AR280" i="50"/>
  <c r="AM556" i="50"/>
  <c r="AR32" i="50"/>
  <c r="AR51" i="50"/>
  <c r="AR28" i="50"/>
  <c r="AR140" i="50"/>
  <c r="AR585" i="50"/>
  <c r="AM649" i="50"/>
  <c r="AR330" i="50"/>
  <c r="AR462" i="50"/>
  <c r="AR311" i="50"/>
  <c r="AM381" i="50"/>
  <c r="AR290" i="50"/>
  <c r="AM162" i="50"/>
  <c r="AR738" i="50"/>
  <c r="AM14" i="50"/>
  <c r="AM598" i="50"/>
  <c r="AR481" i="50"/>
  <c r="AR731" i="50"/>
  <c r="AM11" i="50"/>
  <c r="AM349" i="50"/>
  <c r="AR690" i="50"/>
  <c r="AM511" i="50"/>
  <c r="AR236" i="50"/>
  <c r="AR642" i="50"/>
  <c r="AR340" i="50"/>
  <c r="AM634" i="50"/>
  <c r="AR506" i="50"/>
  <c r="AM523" i="50"/>
  <c r="AR321" i="50"/>
  <c r="AM382" i="50"/>
  <c r="AM468" i="50"/>
  <c r="AM13" i="50"/>
  <c r="AR343" i="50"/>
  <c r="AR723" i="50"/>
  <c r="AR667" i="50"/>
  <c r="AM739" i="50"/>
  <c r="AR251" i="50"/>
  <c r="AM146" i="50"/>
  <c r="AM403" i="50"/>
  <c r="AM406" i="50"/>
  <c r="AM440" i="50"/>
  <c r="AR440" i="50"/>
  <c r="AM104" i="50"/>
  <c r="AR104" i="50"/>
  <c r="AR509" i="50"/>
  <c r="AM509" i="50"/>
  <c r="AR408" i="50"/>
  <c r="AM408" i="50"/>
  <c r="AM71" i="50"/>
  <c r="AR71" i="50"/>
  <c r="AM664" i="50"/>
  <c r="AR664" i="50"/>
  <c r="AM489" i="50"/>
  <c r="AR489" i="50"/>
  <c r="AR390" i="50"/>
  <c r="AM390" i="50"/>
  <c r="AM100" i="50"/>
  <c r="AR100" i="50"/>
  <c r="AR507" i="50"/>
  <c r="AM507" i="50"/>
  <c r="AM291" i="50"/>
  <c r="AR291" i="50"/>
  <c r="AR31" i="50"/>
  <c r="AM31" i="50"/>
  <c r="AR464" i="50"/>
  <c r="AM464" i="50"/>
  <c r="AR164" i="50"/>
  <c r="AM164" i="50"/>
  <c r="AM419" i="50"/>
  <c r="AR419" i="50"/>
  <c r="AR520" i="50"/>
  <c r="AM520" i="50"/>
  <c r="AR711" i="50"/>
  <c r="AM711" i="50"/>
  <c r="AR323" i="50"/>
  <c r="AM323" i="50"/>
  <c r="AR484" i="50"/>
  <c r="AM484" i="50"/>
  <c r="AR370" i="50"/>
  <c r="AM370" i="50"/>
  <c r="AM544" i="50"/>
  <c r="AR544" i="50"/>
  <c r="AM402" i="50"/>
  <c r="AR402" i="50"/>
  <c r="AM491" i="50"/>
  <c r="AR491" i="50"/>
  <c r="AR724" i="50"/>
  <c r="AM724" i="50"/>
  <c r="AR20" i="50"/>
  <c r="AM20" i="50"/>
  <c r="AR575" i="50"/>
  <c r="AM575" i="50"/>
  <c r="AM345" i="50"/>
  <c r="AR345" i="50"/>
  <c r="AM732" i="50"/>
  <c r="AR732" i="50"/>
  <c r="AM540" i="50"/>
  <c r="AR540" i="50"/>
  <c r="AM346" i="50"/>
  <c r="AR346" i="50"/>
  <c r="AM545" i="50"/>
  <c r="AR545" i="50"/>
  <c r="AM597" i="50"/>
  <c r="AR597" i="50"/>
  <c r="AM286" i="50"/>
  <c r="AR286" i="50"/>
  <c r="AR451" i="50"/>
  <c r="AM451" i="50"/>
  <c r="AM663" i="50"/>
  <c r="AR663" i="50"/>
  <c r="AR480" i="50"/>
  <c r="AM480" i="50"/>
  <c r="AR720" i="50"/>
  <c r="AM720" i="50"/>
  <c r="AR493" i="50"/>
  <c r="AM493" i="50"/>
  <c r="AR232" i="50"/>
  <c r="AM232" i="50"/>
  <c r="AM718" i="50"/>
  <c r="AR718" i="50"/>
  <c r="AM471" i="50"/>
  <c r="AR471" i="50"/>
  <c r="AM483" i="50"/>
  <c r="AR483" i="50"/>
  <c r="AR434" i="50"/>
  <c r="AM434" i="50"/>
  <c r="AM569" i="50"/>
  <c r="AR569" i="50"/>
  <c r="AR660" i="50"/>
  <c r="AM660" i="50"/>
  <c r="AR329" i="50"/>
  <c r="AM329" i="50"/>
  <c r="AR740" i="50"/>
  <c r="AM740" i="50"/>
  <c r="AM374" i="50"/>
  <c r="AR374" i="50"/>
  <c r="AM719" i="50"/>
  <c r="AR719" i="50"/>
  <c r="AM672" i="50"/>
  <c r="AR672" i="50"/>
  <c r="AM691" i="50"/>
  <c r="AR691" i="50"/>
  <c r="AM123" i="50"/>
  <c r="AR123" i="50"/>
  <c r="AR669" i="50"/>
  <c r="AM669" i="50"/>
  <c r="AR522" i="50"/>
  <c r="AM522" i="50"/>
  <c r="AM45" i="50"/>
  <c r="AR45" i="50"/>
  <c r="AR448" i="50"/>
  <c r="AM448" i="50"/>
  <c r="AM318" i="50"/>
  <c r="AR318" i="50"/>
  <c r="AM44" i="50"/>
  <c r="AR44" i="50"/>
  <c r="AR430" i="50"/>
  <c r="AM430" i="50"/>
  <c r="AR110" i="50"/>
  <c r="AM110" i="50"/>
  <c r="AM377" i="50"/>
  <c r="AR377" i="50"/>
  <c r="AM677" i="50"/>
  <c r="AR677" i="50"/>
  <c r="AR207" i="50"/>
  <c r="AM207" i="50"/>
  <c r="AR725" i="50"/>
  <c r="AM725" i="50"/>
  <c r="AM452" i="50"/>
  <c r="AR452" i="50"/>
  <c r="AM58" i="50"/>
  <c r="AR58" i="50"/>
  <c r="AM372" i="50"/>
  <c r="AR372" i="50"/>
  <c r="AR262" i="50"/>
  <c r="AM262" i="50"/>
  <c r="AM405" i="50"/>
  <c r="AR405" i="50"/>
  <c r="AM410" i="50"/>
  <c r="AR410" i="50"/>
  <c r="AM245" i="50"/>
  <c r="AR245" i="50"/>
  <c r="AM487" i="50"/>
  <c r="AR487" i="50"/>
  <c r="AR700" i="50"/>
  <c r="AM700" i="50"/>
  <c r="AM144" i="50"/>
  <c r="AR144" i="50"/>
  <c r="AR525" i="50"/>
  <c r="AM525" i="50"/>
  <c r="AM309" i="50"/>
  <c r="AR309" i="50"/>
  <c r="AM706" i="50"/>
  <c r="AR706" i="50"/>
  <c r="AM528" i="50"/>
  <c r="AR528" i="50"/>
  <c r="AR282" i="50"/>
  <c r="AM282" i="50"/>
  <c r="AM561" i="50"/>
  <c r="AR561" i="50"/>
  <c r="AM508" i="50"/>
  <c r="AR508" i="50"/>
  <c r="AR365" i="50"/>
  <c r="AM365" i="50"/>
  <c r="AR581" i="50"/>
  <c r="AM581" i="50"/>
  <c r="AR613" i="50"/>
  <c r="AM613" i="50"/>
  <c r="AR453" i="50"/>
  <c r="AM453" i="50"/>
  <c r="AM707" i="50"/>
  <c r="AR707" i="50"/>
  <c r="AM388" i="50"/>
  <c r="AR388" i="50"/>
  <c r="AR178" i="50"/>
  <c r="AM178" i="50"/>
  <c r="AR387" i="50"/>
  <c r="AM387" i="50"/>
  <c r="AM524" i="50"/>
  <c r="AR524" i="50"/>
  <c r="AM395" i="50"/>
  <c r="AR395" i="50"/>
  <c r="AR52" i="50"/>
  <c r="AM52" i="50"/>
  <c r="AR353" i="50"/>
  <c r="AM353" i="50"/>
  <c r="AR515" i="50"/>
  <c r="AM515" i="50"/>
  <c r="AR610" i="50"/>
  <c r="AM610" i="50"/>
  <c r="AR352" i="50"/>
  <c r="AM352" i="50"/>
  <c r="AM695" i="50"/>
  <c r="AR695" i="50"/>
  <c r="AM49" i="50"/>
  <c r="AR49" i="50"/>
  <c r="AR694" i="50"/>
  <c r="AM694" i="50"/>
  <c r="AR176" i="50"/>
  <c r="AM176" i="50"/>
  <c r="AR577" i="50"/>
  <c r="AM577" i="50"/>
  <c r="AM744" i="50"/>
  <c r="AR744" i="50"/>
  <c r="AM469" i="50"/>
  <c r="AR469" i="50"/>
  <c r="AM745" i="50"/>
  <c r="AR745" i="50"/>
  <c r="AM519" i="50"/>
  <c r="AR519" i="50"/>
  <c r="AR574" i="50"/>
  <c r="AM574" i="50"/>
  <c r="AM435" i="50"/>
  <c r="AR435" i="50"/>
  <c r="AR421" i="50"/>
  <c r="AM421" i="50"/>
  <c r="AM728" i="50"/>
  <c r="AR728" i="50"/>
  <c r="AM521" i="50"/>
  <c r="AR521" i="50"/>
  <c r="AM339" i="50"/>
  <c r="AR339" i="50"/>
  <c r="AM713" i="50"/>
  <c r="AR713" i="50"/>
  <c r="AM466" i="50"/>
  <c r="AR466" i="50"/>
  <c r="AM74" i="50"/>
  <c r="AR74" i="50"/>
  <c r="AM366" i="50"/>
  <c r="AR366" i="50"/>
  <c r="AR582" i="50"/>
  <c r="AM582" i="50"/>
  <c r="AR422" i="50"/>
  <c r="AM422" i="50"/>
  <c r="AR564" i="50"/>
  <c r="AM564" i="50"/>
  <c r="AM586" i="50"/>
  <c r="AR586" i="50"/>
  <c r="AM737" i="50"/>
  <c r="AR737" i="50"/>
  <c r="AR335" i="50"/>
  <c r="AM335" i="50"/>
  <c r="AR149" i="50"/>
  <c r="AM149" i="50"/>
  <c r="AR467" i="50"/>
  <c r="AM467" i="50"/>
  <c r="AR317" i="50"/>
  <c r="AM317" i="50"/>
  <c r="AR62" i="50"/>
  <c r="AM62" i="50"/>
  <c r="AR727" i="50"/>
  <c r="AM727" i="50"/>
  <c r="AM512" i="50"/>
  <c r="AR512" i="50"/>
  <c r="AR267" i="50"/>
  <c r="AM267" i="50"/>
  <c r="AM693" i="50"/>
  <c r="AR693" i="50"/>
  <c r="AR537" i="50"/>
  <c r="AM537" i="50"/>
  <c r="AM191" i="50"/>
  <c r="AR191" i="50"/>
  <c r="AM496" i="50"/>
  <c r="AR496" i="50"/>
  <c r="AR529" i="50"/>
  <c r="AM529" i="50"/>
  <c r="AM268" i="50"/>
  <c r="AR268" i="50"/>
  <c r="AR536" i="50"/>
  <c r="AM536" i="50"/>
  <c r="AM554" i="50"/>
  <c r="AR554" i="50"/>
  <c r="AR332" i="50"/>
  <c r="AM332" i="50"/>
  <c r="AR656" i="50"/>
  <c r="AM656" i="50"/>
  <c r="AR486" i="50"/>
  <c r="AM486" i="50"/>
  <c r="AM8" i="50"/>
  <c r="AR8" i="50"/>
  <c r="AM498" i="50"/>
  <c r="AR498" i="50"/>
  <c r="AM411" i="50"/>
  <c r="AR411" i="50"/>
  <c r="AR53" i="50"/>
  <c r="AM53" i="50"/>
  <c r="AR23" i="50"/>
  <c r="AM23" i="50"/>
  <c r="AR333" i="50"/>
  <c r="AM333" i="50"/>
  <c r="AR394" i="50"/>
  <c r="AM394" i="50"/>
  <c r="AR576" i="50"/>
  <c r="AM576" i="50"/>
  <c r="AR275" i="50"/>
  <c r="AM275" i="50"/>
  <c r="AR609" i="50"/>
  <c r="AM609" i="50"/>
  <c r="AR573" i="50"/>
  <c r="AM573" i="50"/>
  <c r="AM118" i="50"/>
  <c r="AR118" i="50"/>
  <c r="AR492" i="50"/>
  <c r="AM492" i="50"/>
  <c r="AR338" i="50"/>
  <c r="AM338" i="50"/>
  <c r="AM360" i="50"/>
  <c r="AR360" i="50"/>
  <c r="AR342" i="50"/>
  <c r="AM342" i="50"/>
  <c r="AM603" i="50"/>
  <c r="AR603" i="50"/>
  <c r="AR712" i="50"/>
  <c r="AM712" i="50"/>
  <c r="AR526" i="50"/>
  <c r="AM526" i="50"/>
  <c r="AM326" i="50"/>
  <c r="AR326" i="50"/>
  <c r="AM142" i="50"/>
  <c r="AR142" i="50"/>
  <c r="AR501" i="50"/>
  <c r="AM501" i="50"/>
  <c r="AR324" i="50"/>
  <c r="AM324" i="50"/>
  <c r="AR450" i="50"/>
  <c r="AM450" i="50"/>
  <c r="AM555" i="50"/>
  <c r="AR555" i="50"/>
  <c r="AM308" i="50"/>
  <c r="AR308" i="50"/>
  <c r="AR534" i="50"/>
  <c r="AM534" i="50"/>
  <c r="AR687" i="50"/>
  <c r="AM687" i="50"/>
  <c r="AM568" i="50"/>
  <c r="AR568" i="50"/>
  <c r="AR260" i="50"/>
  <c r="AM260" i="50"/>
  <c r="AR686" i="50"/>
  <c r="AM686" i="50"/>
  <c r="AR414" i="50"/>
  <c r="AM414" i="50"/>
  <c r="AR27" i="50"/>
  <c r="AM27" i="50"/>
  <c r="AM341" i="50"/>
  <c r="AR341" i="50"/>
  <c r="AM485" i="50"/>
  <c r="AR485" i="50"/>
  <c r="AR429" i="50"/>
  <c r="AM429" i="50"/>
  <c r="AR722" i="50"/>
  <c r="AM722" i="50"/>
  <c r="AR256" i="50"/>
  <c r="AM256" i="50"/>
  <c r="AR166" i="50"/>
  <c r="AM166" i="50"/>
  <c r="AM593" i="50"/>
  <c r="AR593" i="50"/>
  <c r="AM43" i="50"/>
  <c r="AR43" i="50"/>
  <c r="AM631" i="50"/>
  <c r="AR631" i="50"/>
  <c r="AR437" i="50"/>
  <c r="AM437" i="50"/>
  <c r="AR538" i="50"/>
  <c r="AM538" i="50"/>
  <c r="AM271" i="50"/>
  <c r="AR271" i="50"/>
  <c r="AR605" i="50"/>
  <c r="AM605" i="50"/>
  <c r="AM562" i="50"/>
  <c r="AR562" i="50"/>
  <c r="AM33" i="50"/>
  <c r="AR33" i="50"/>
  <c r="AR730" i="50"/>
  <c r="AM730" i="50"/>
  <c r="AR510" i="50"/>
  <c r="AM510" i="50"/>
  <c r="AM235" i="50"/>
  <c r="AR235" i="50"/>
  <c r="AR503" i="50"/>
  <c r="AM503" i="50"/>
  <c r="AM583" i="50"/>
  <c r="AR583" i="50"/>
  <c r="AM303" i="50"/>
  <c r="AR303" i="50"/>
  <c r="AM612" i="50"/>
  <c r="AR612" i="50"/>
  <c r="AM36" i="50"/>
  <c r="AR36" i="50"/>
  <c r="AM351" i="50"/>
  <c r="AR351" i="50"/>
  <c r="AM425" i="50"/>
  <c r="AR425" i="50"/>
  <c r="AM392" i="50"/>
  <c r="AR392" i="50"/>
  <c r="AR25" i="50"/>
  <c r="AM25" i="50"/>
  <c r="AR241" i="50"/>
  <c r="AM241" i="50"/>
  <c r="AR380" i="50"/>
  <c r="AM380" i="50"/>
  <c r="AM580" i="50"/>
  <c r="AR580" i="50"/>
  <c r="AM253" i="50"/>
  <c r="AR253" i="50"/>
  <c r="AM499" i="50"/>
  <c r="AR499" i="50"/>
  <c r="AM373" i="50"/>
  <c r="AR373" i="50"/>
  <c r="AM298" i="50"/>
  <c r="AR298" i="50"/>
  <c r="AR461" i="50"/>
  <c r="AM461" i="50"/>
  <c r="AR457" i="50"/>
  <c r="AM457" i="50"/>
  <c r="AR441" i="50"/>
  <c r="AM441" i="50"/>
  <c r="AM244" i="50"/>
  <c r="AR244" i="50"/>
  <c r="AM397" i="50"/>
  <c r="AR397" i="50"/>
  <c r="AM257" i="50"/>
  <c r="AR257" i="50"/>
  <c r="AM396" i="50"/>
  <c r="AR396" i="50"/>
  <c r="AR530" i="50"/>
  <c r="AM530" i="50"/>
  <c r="AM283" i="50"/>
  <c r="AR283" i="50"/>
  <c r="AM417" i="50"/>
  <c r="AR417" i="50"/>
  <c r="AR638" i="50"/>
  <c r="AM638" i="50"/>
  <c r="AR431" i="50"/>
  <c r="AM431" i="50"/>
  <c r="AR151" i="50"/>
  <c r="AM151" i="50"/>
  <c r="AM635" i="50"/>
  <c r="AR635" i="50"/>
  <c r="AM369" i="50"/>
  <c r="AR369" i="50"/>
  <c r="AR688" i="50"/>
  <c r="AM688" i="50"/>
  <c r="AR331" i="50"/>
  <c r="AM331" i="50"/>
  <c r="AR621" i="50"/>
  <c r="AM621" i="50"/>
  <c r="AM314" i="50"/>
  <c r="AR314" i="50"/>
  <c r="AR438" i="50"/>
  <c r="AM438" i="50"/>
  <c r="AR741" i="50"/>
  <c r="AM741" i="50"/>
  <c r="AM12" i="50"/>
  <c r="AR12" i="50"/>
  <c r="AM76" i="50"/>
  <c r="AR76" i="50"/>
  <c r="AR637" i="50"/>
  <c r="AM637" i="50"/>
  <c r="AM415" i="50"/>
  <c r="AR415" i="50"/>
  <c r="AR18" i="50"/>
  <c r="AM482" i="50"/>
  <c r="AR482" i="50"/>
  <c r="AR225" i="50"/>
  <c r="AM225" i="50"/>
  <c r="AR424" i="50"/>
  <c r="AM424" i="50"/>
  <c r="AM238" i="50"/>
  <c r="AR238" i="50"/>
  <c r="AR653" i="50"/>
  <c r="AM653" i="50"/>
  <c r="AM497" i="50"/>
  <c r="AR497" i="50"/>
  <c r="AR54" i="50"/>
  <c r="AM54" i="50"/>
  <c r="AR704" i="50"/>
  <c r="AM704" i="50"/>
  <c r="AM478" i="50"/>
  <c r="AR478" i="50"/>
  <c r="AR170" i="50"/>
  <c r="AM170" i="50"/>
  <c r="AM304" i="50"/>
  <c r="AR304" i="50"/>
  <c r="AR473" i="50"/>
  <c r="AM473" i="50"/>
  <c r="AM254" i="50"/>
  <c r="AM546" i="50"/>
  <c r="AR546" i="50"/>
  <c r="AR535" i="50"/>
  <c r="AR38" i="50"/>
  <c r="AM38" i="50"/>
  <c r="AR320" i="50"/>
  <c r="AM320" i="50"/>
  <c r="AM288" i="50"/>
  <c r="AR288" i="50"/>
  <c r="AR716" i="50"/>
  <c r="AM716" i="50"/>
  <c r="AM721" i="50"/>
  <c r="AR721" i="50"/>
  <c r="AM68" i="50"/>
  <c r="AR68" i="50"/>
  <c r="AR319" i="50"/>
  <c r="AM319" i="50"/>
  <c r="AR566" i="50"/>
  <c r="AM566" i="50"/>
  <c r="AM477" i="50"/>
  <c r="AR477" i="50"/>
  <c r="AM735" i="50"/>
  <c r="AR735" i="50"/>
  <c r="AM347" i="50"/>
  <c r="AR347" i="50"/>
  <c r="AR264" i="50"/>
  <c r="AM264" i="50"/>
  <c r="AM459" i="50"/>
  <c r="AR459" i="50"/>
  <c r="AM47" i="50"/>
  <c r="AR47" i="50"/>
  <c r="AM670" i="50"/>
  <c r="AR670" i="50"/>
  <c r="AR565" i="50"/>
  <c r="AM565" i="50"/>
  <c r="AM231" i="50"/>
  <c r="AR231" i="50"/>
  <c r="AM624" i="50"/>
  <c r="AR624" i="50"/>
  <c r="AM505" i="50"/>
  <c r="AR505" i="50"/>
  <c r="AM246" i="50"/>
  <c r="AR246" i="50"/>
  <c r="AM532" i="50"/>
  <c r="AR532" i="50"/>
  <c r="AR558" i="50"/>
  <c r="AM558" i="50"/>
  <c r="AM201" i="50"/>
  <c r="AR201" i="50"/>
  <c r="AR595" i="50"/>
  <c r="AM595" i="50"/>
  <c r="AR378" i="50"/>
  <c r="AM378" i="50"/>
  <c r="AR148" i="50"/>
  <c r="AM148" i="50"/>
  <c r="AM550" i="50"/>
  <c r="AR550" i="50"/>
  <c r="AR361" i="50"/>
  <c r="AM361" i="50"/>
  <c r="AR702" i="50"/>
  <c r="AM702" i="50"/>
  <c r="AM279" i="50"/>
  <c r="AR279" i="50"/>
  <c r="AM359" i="50"/>
  <c r="AR359" i="50"/>
  <c r="AM698" i="50"/>
  <c r="AR698" i="50"/>
  <c r="AM715" i="50"/>
  <c r="AR715" i="50"/>
  <c r="AM138" i="50"/>
  <c r="AR138" i="50"/>
  <c r="AM680" i="50"/>
  <c r="AR680" i="50"/>
  <c r="AM368" i="50"/>
  <c r="AR368" i="50"/>
  <c r="AR289" i="50"/>
  <c r="AM289" i="50"/>
  <c r="AM608" i="50"/>
  <c r="AR608" i="50"/>
  <c r="AM401" i="50"/>
  <c r="AR401" i="50"/>
  <c r="AM192" i="50"/>
  <c r="AR192" i="50"/>
  <c r="AR600" i="50"/>
  <c r="AM600" i="50"/>
  <c r="AR384" i="50"/>
  <c r="AM384" i="50"/>
  <c r="AM643" i="50"/>
  <c r="AR643" i="50"/>
  <c r="AM423" i="50"/>
  <c r="AR423" i="50"/>
  <c r="AR133" i="50"/>
  <c r="AM133" i="50"/>
  <c r="AM182" i="50"/>
  <c r="AR182" i="50"/>
  <c r="AM426" i="50"/>
  <c r="AR426" i="50"/>
  <c r="AR181" i="50"/>
  <c r="AM181" i="50"/>
  <c r="AM557" i="50"/>
  <c r="AR557" i="50"/>
  <c r="AM194" i="50"/>
  <c r="AR194" i="50"/>
  <c r="AM10" i="50"/>
  <c r="AR10" i="50"/>
  <c r="AR300" i="50"/>
  <c r="AM300" i="50"/>
  <c r="AR307" i="50"/>
  <c r="AM307" i="50"/>
  <c r="AR570" i="50"/>
  <c r="AM570" i="50"/>
  <c r="AR710" i="50"/>
  <c r="AM710" i="50"/>
  <c r="AM39" i="50"/>
  <c r="AR39" i="50"/>
  <c r="AR276" i="50"/>
  <c r="AM276" i="50"/>
  <c r="AM407" i="50"/>
  <c r="AR407" i="50"/>
  <c r="AR272" i="50"/>
  <c r="AM272" i="50"/>
  <c r="AM559" i="50"/>
  <c r="AR559" i="50"/>
  <c r="AM657" i="50"/>
  <c r="AR657" i="50"/>
  <c r="AM136" i="50"/>
  <c r="AR136" i="50"/>
  <c r="AM409" i="50"/>
  <c r="AR409" i="50"/>
  <c r="AM587" i="50"/>
  <c r="AR587" i="50"/>
  <c r="AM418" i="50"/>
  <c r="AR418" i="50"/>
  <c r="AM160" i="50"/>
  <c r="AR160" i="50"/>
  <c r="AR673" i="50"/>
  <c r="AM673" i="50"/>
  <c r="AM490" i="50"/>
  <c r="AR490" i="50"/>
  <c r="AR227" i="50"/>
  <c r="AM227" i="50"/>
  <c r="AM336" i="50"/>
  <c r="AR336" i="50"/>
  <c r="AM517" i="50"/>
  <c r="AR517" i="50"/>
  <c r="AM41" i="50"/>
  <c r="AR41" i="50"/>
  <c r="AR296" i="50"/>
  <c r="AM296" i="50"/>
  <c r="AR627" i="50"/>
  <c r="AM627" i="50"/>
  <c r="AR475" i="50"/>
  <c r="AM475" i="50"/>
  <c r="AR168" i="50"/>
  <c r="AM168" i="50"/>
  <c r="AM543" i="50"/>
  <c r="AR543" i="50"/>
  <c r="AM259" i="50"/>
  <c r="AR259" i="50"/>
  <c r="AR571" i="50"/>
  <c r="AM571" i="50"/>
  <c r="AM205" i="50"/>
  <c r="AR205" i="50"/>
  <c r="AR313" i="50"/>
  <c r="AM313" i="50"/>
  <c r="AR504" i="50"/>
  <c r="AM504" i="50"/>
  <c r="AR584" i="50"/>
  <c r="AM584" i="50"/>
  <c r="AR703" i="50"/>
  <c r="AM703" i="50"/>
  <c r="AM714" i="50"/>
  <c r="AR714" i="50"/>
  <c r="AM65" i="50"/>
  <c r="AR65" i="50"/>
  <c r="AM420" i="50"/>
  <c r="AR420" i="50"/>
  <c r="AR247" i="50"/>
  <c r="AM247" i="50"/>
  <c r="AM650" i="50"/>
  <c r="AR650" i="50"/>
  <c r="AR488" i="50"/>
  <c r="AM488" i="50"/>
  <c r="AR55" i="50"/>
  <c r="AM55" i="50"/>
  <c r="AR552" i="50"/>
  <c r="AM552" i="50"/>
  <c r="AM474" i="50"/>
  <c r="AR474" i="50"/>
  <c r="AR599" i="50"/>
  <c r="AM599" i="50"/>
  <c r="AR393" i="50"/>
  <c r="AM393" i="50"/>
  <c r="AR116" i="50"/>
  <c r="AM116" i="50"/>
  <c r="AR685" i="50"/>
  <c r="AM685" i="50"/>
  <c r="AM386" i="50"/>
  <c r="AR386" i="50"/>
  <c r="AR216" i="50"/>
  <c r="AM216" i="50"/>
  <c r="AR514" i="50"/>
  <c r="AM514" i="50"/>
  <c r="AM302" i="50"/>
  <c r="AR302" i="50"/>
  <c r="AR174" i="50"/>
  <c r="AM174" i="50"/>
  <c r="AM237" i="50"/>
  <c r="AR237" i="50"/>
  <c r="AR432" i="50"/>
  <c r="AM432" i="50"/>
  <c r="AM531" i="50"/>
  <c r="AR531" i="50"/>
  <c r="AM743" i="50"/>
  <c r="AR743" i="50"/>
  <c r="AM198" i="50"/>
  <c r="AR198" i="50"/>
  <c r="AM379" i="50"/>
  <c r="AR379" i="50"/>
  <c r="AR48" i="50"/>
  <c r="AM48" i="50"/>
  <c r="AR150" i="50"/>
  <c r="AM150" i="50"/>
  <c r="AM547" i="50"/>
  <c r="AR547" i="50"/>
  <c r="AM121" i="50"/>
  <c r="AR121" i="50"/>
  <c r="AM72" i="50"/>
  <c r="AR72" i="50"/>
  <c r="AR590" i="50"/>
  <c r="AM590" i="50"/>
  <c r="AR640" i="50"/>
  <c r="AM640" i="50"/>
  <c r="AR460" i="50"/>
  <c r="AM460" i="50"/>
  <c r="AR120" i="50"/>
  <c r="AM120" i="50"/>
  <c r="AR623" i="50"/>
  <c r="AM623" i="50"/>
  <c r="AM391" i="50"/>
  <c r="AR391" i="50"/>
  <c r="AM103" i="50"/>
  <c r="AR103" i="50"/>
  <c r="AR70" i="50"/>
  <c r="AM70" i="50"/>
  <c r="AR428" i="50"/>
  <c r="AM428" i="50"/>
  <c r="AR641" i="50"/>
  <c r="AM641" i="50"/>
  <c r="AM134" i="50"/>
  <c r="AR134" i="50"/>
  <c r="AM594" i="50"/>
  <c r="AR594" i="50"/>
  <c r="AM362" i="50"/>
  <c r="AR362" i="50"/>
  <c r="AR111" i="50"/>
  <c r="AM111" i="50"/>
  <c r="AM527" i="50"/>
  <c r="AR527" i="50"/>
  <c r="AM208" i="50"/>
  <c r="AR208" i="50"/>
  <c r="AR539" i="50"/>
  <c r="AM539" i="50"/>
  <c r="AR588" i="50"/>
  <c r="AM588" i="50"/>
  <c r="AM35" i="50"/>
  <c r="AR35" i="50"/>
  <c r="AM203" i="50"/>
  <c r="AR203" i="50"/>
  <c r="AM518" i="50"/>
  <c r="AR518" i="50"/>
  <c r="AM416" i="50"/>
  <c r="AR416" i="50"/>
  <c r="AR447" i="50"/>
  <c r="AM447" i="50"/>
  <c r="AR689" i="50"/>
  <c r="AM689" i="50"/>
  <c r="AR404" i="50"/>
  <c r="AM404" i="50"/>
  <c r="AM63" i="50"/>
  <c r="AR63" i="50"/>
  <c r="AM50" i="50"/>
  <c r="AR50" i="50"/>
  <c r="AR606" i="50"/>
  <c r="AM606" i="50"/>
  <c r="AM385" i="50"/>
  <c r="AR385" i="50"/>
  <c r="AM16" i="50"/>
  <c r="AR16" i="50"/>
  <c r="AR572" i="50"/>
  <c r="AM572" i="50"/>
  <c r="AM399" i="50"/>
  <c r="AR399" i="50"/>
  <c r="AR692" i="50"/>
  <c r="AM692" i="50"/>
  <c r="AR618" i="50"/>
  <c r="AM618" i="50"/>
  <c r="AM295" i="50"/>
  <c r="AR295" i="50"/>
  <c r="AM617" i="50"/>
  <c r="AR617" i="50"/>
  <c r="AM502" i="50"/>
  <c r="AR502" i="50"/>
  <c r="AM86" i="50"/>
  <c r="AR86" i="50"/>
  <c r="AM439" i="50"/>
  <c r="AR439" i="50"/>
  <c r="AM285" i="50"/>
  <c r="AR285" i="50"/>
  <c r="AR34" i="50"/>
  <c r="AM34" i="50"/>
  <c r="AR79" i="50"/>
  <c r="AM79" i="50"/>
  <c r="AM560" i="50"/>
  <c r="AR560" i="50"/>
  <c r="AR455" i="50"/>
  <c r="AM455" i="50"/>
  <c r="AM708" i="50"/>
  <c r="AR708" i="50"/>
  <c r="AM734" i="50"/>
  <c r="AR734" i="50"/>
  <c r="AM350" i="50"/>
  <c r="AR350" i="50"/>
  <c r="AR696" i="50"/>
  <c r="AM696" i="50"/>
  <c r="AM80" i="50"/>
  <c r="AR80" i="50"/>
  <c r="AM145" i="50"/>
  <c r="AR145" i="50"/>
  <c r="AM354" i="50"/>
  <c r="AR354" i="50"/>
  <c r="AL306" i="50" l="1"/>
  <c r="AL470" i="50"/>
  <c r="AL286" i="50"/>
  <c r="AL307" i="50"/>
  <c r="AL48" i="50"/>
  <c r="AL285" i="50"/>
  <c r="AL151" i="50"/>
  <c r="AL293" i="50"/>
  <c r="AL356" i="50"/>
  <c r="AL377" i="50"/>
  <c r="AL146" i="50"/>
  <c r="AL100" i="50"/>
  <c r="AL466" i="50"/>
  <c r="AL545" i="50"/>
  <c r="AL359" i="50"/>
  <c r="AL119" i="50"/>
  <c r="AL456" i="50"/>
  <c r="AL111" i="50"/>
  <c r="AL298" i="50"/>
  <c r="AL374" i="50"/>
  <c r="AL376" i="50"/>
  <c r="AL566" i="50"/>
  <c r="AL319" i="50"/>
  <c r="AL62" i="50"/>
  <c r="AL56" i="50"/>
  <c r="AL128" i="50"/>
  <c r="AL369" i="50"/>
  <c r="AL235" i="50"/>
  <c r="AL61" i="50"/>
  <c r="AL368" i="50"/>
  <c r="AL275" i="50"/>
  <c r="AL84" i="50"/>
  <c r="AL564" i="50"/>
  <c r="AL46" i="50"/>
  <c r="AL262" i="50"/>
  <c r="AL70" i="50"/>
  <c r="AL311" i="50"/>
  <c r="AL413" i="50"/>
  <c r="AL689" i="50"/>
  <c r="AL296" i="50"/>
  <c r="AL544" i="50"/>
  <c r="AL450" i="50"/>
  <c r="AL10" i="50"/>
  <c r="AM2" i="50"/>
  <c r="AL386" i="50"/>
  <c r="AK2" i="50"/>
  <c r="AI2" i="50"/>
  <c r="AR2" i="50"/>
  <c r="AL559" i="50"/>
  <c r="AL4" i="50"/>
  <c r="AL16" i="50"/>
  <c r="AL2" i="50" l="1"/>
  <c r="J2" i="23" a="1"/>
  <c r="J2" i="23" s="1"/>
  <c r="AS70" i="71" l="1"/>
  <c r="AR70" i="71"/>
  <c r="AQ70" i="71"/>
  <c r="AS71" i="71"/>
  <c r="AR71" i="71"/>
  <c r="AQ71" i="71"/>
  <c r="G103" i="45"/>
  <c r="G102" i="45"/>
  <c r="G104" i="45"/>
  <c r="G106" i="45"/>
  <c r="T10" i="77"/>
  <c r="M6" i="75" l="1"/>
  <c r="M5" i="75"/>
  <c r="M4" i="75"/>
  <c r="M3" i="75"/>
  <c r="M2" i="75"/>
  <c r="O6" i="75" l="1"/>
  <c r="O5" i="75"/>
  <c r="O4" i="75"/>
  <c r="O3" i="75"/>
  <c r="O2" i="75"/>
  <c r="O7" i="75" s="1"/>
  <c r="K5" i="75"/>
  <c r="K4" i="75"/>
  <c r="K3" i="75"/>
  <c r="K2" i="75"/>
  <c r="K6" i="75"/>
  <c r="AG62" i="71" l="1"/>
  <c r="AG63" i="71"/>
  <c r="O20" i="71" l="1"/>
  <c r="O14" i="71"/>
  <c r="L3" i="72" l="1"/>
  <c r="L4" i="72"/>
  <c r="L5" i="72"/>
  <c r="L6" i="72"/>
  <c r="L7" i="72"/>
  <c r="L8" i="72"/>
  <c r="L9" i="72"/>
  <c r="L10" i="72"/>
  <c r="L11" i="72"/>
  <c r="L12" i="72"/>
  <c r="L13" i="72"/>
  <c r="L14" i="72"/>
  <c r="L15" i="72"/>
  <c r="L16" i="72"/>
  <c r="L17" i="72"/>
  <c r="L18" i="72"/>
  <c r="L19" i="72"/>
  <c r="L20" i="72"/>
  <c r="L21" i="72"/>
  <c r="L22" i="72"/>
  <c r="L23" i="72"/>
  <c r="L24" i="72"/>
  <c r="L25" i="72"/>
  <c r="L26" i="72"/>
  <c r="L27" i="72"/>
  <c r="L28" i="72"/>
  <c r="L29" i="72"/>
  <c r="L30" i="72"/>
  <c r="L31" i="72"/>
  <c r="L32" i="72"/>
  <c r="L33" i="72"/>
  <c r="L34" i="72"/>
  <c r="L35" i="72"/>
  <c r="L36" i="72"/>
  <c r="L37" i="72"/>
  <c r="L38" i="72"/>
  <c r="L39" i="72"/>
  <c r="L40" i="72"/>
  <c r="L41" i="72"/>
  <c r="L42" i="72"/>
  <c r="L43" i="72"/>
  <c r="L44" i="72"/>
  <c r="L45" i="72"/>
  <c r="L46" i="72"/>
  <c r="L47" i="72"/>
  <c r="L48" i="72"/>
  <c r="L49" i="72"/>
  <c r="L50" i="72"/>
  <c r="L51" i="72"/>
  <c r="L52" i="72"/>
  <c r="L53" i="72"/>
  <c r="L54" i="72"/>
  <c r="L55" i="72"/>
  <c r="L56" i="72"/>
  <c r="L57" i="72"/>
  <c r="L58" i="72"/>
  <c r="L59" i="72"/>
  <c r="L60" i="72"/>
  <c r="L61" i="72"/>
  <c r="L62" i="72"/>
  <c r="L63" i="72"/>
  <c r="L64" i="72"/>
  <c r="L65" i="72"/>
  <c r="L66" i="72"/>
  <c r="L67" i="72"/>
  <c r="L68" i="72"/>
  <c r="L69" i="72"/>
  <c r="L2" i="72"/>
  <c r="T70" i="72"/>
  <c r="R70" i="72"/>
  <c r="Q70" i="72"/>
  <c r="P70" i="72"/>
  <c r="O70" i="72"/>
  <c r="U69" i="72"/>
  <c r="W69" i="72" s="1"/>
  <c r="X69" i="72" s="1"/>
  <c r="Y69" i="72" s="1"/>
  <c r="AB69" i="72" s="1"/>
  <c r="U68" i="72"/>
  <c r="W68" i="72" s="1"/>
  <c r="X68" i="72" s="1"/>
  <c r="Y68" i="72" s="1"/>
  <c r="AB68" i="72" s="1"/>
  <c r="U67" i="72"/>
  <c r="W67" i="72" s="1"/>
  <c r="X67" i="72" s="1"/>
  <c r="Y67" i="72" s="1"/>
  <c r="AB67" i="72" s="1"/>
  <c r="U66" i="72"/>
  <c r="W66" i="72" s="1"/>
  <c r="X66" i="72" s="1"/>
  <c r="Y66" i="72" s="1"/>
  <c r="AB66" i="72" s="1"/>
  <c r="U65" i="72"/>
  <c r="W65" i="72" s="1"/>
  <c r="X65" i="72" s="1"/>
  <c r="Y65" i="72" s="1"/>
  <c r="AB65" i="72" s="1"/>
  <c r="Y64" i="72"/>
  <c r="AB64" i="72" s="1"/>
  <c r="AD64" i="72" s="1"/>
  <c r="U64" i="72"/>
  <c r="Y63" i="72"/>
  <c r="AB63" i="72" s="1"/>
  <c r="AD63" i="72" s="1"/>
  <c r="U63" i="72"/>
  <c r="U62" i="72"/>
  <c r="W62" i="72" s="1"/>
  <c r="X62" i="72" s="1"/>
  <c r="Y62" i="72" s="1"/>
  <c r="AB62" i="72" s="1"/>
  <c r="U61" i="72"/>
  <c r="W61" i="72" s="1"/>
  <c r="X61" i="72" s="1"/>
  <c r="U60" i="72"/>
  <c r="W60" i="72" s="1"/>
  <c r="X60" i="72" s="1"/>
  <c r="U59" i="72"/>
  <c r="W59" i="72" s="1"/>
  <c r="X59" i="72" s="1"/>
  <c r="U58" i="72"/>
  <c r="W58" i="72" s="1"/>
  <c r="X58" i="72" s="1"/>
  <c r="Y58" i="72" s="1"/>
  <c r="AB58" i="72" s="1"/>
  <c r="U57" i="72"/>
  <c r="W57" i="72" s="1"/>
  <c r="X57" i="72" s="1"/>
  <c r="Y57" i="72" s="1"/>
  <c r="AB57" i="72" s="1"/>
  <c r="U56" i="72"/>
  <c r="W56" i="72" s="1"/>
  <c r="X56" i="72" s="1"/>
  <c r="U55" i="72"/>
  <c r="W55" i="72" s="1"/>
  <c r="X55" i="72" s="1"/>
  <c r="U54" i="72"/>
  <c r="W54" i="72" s="1"/>
  <c r="X54" i="72" s="1"/>
  <c r="Y54" i="72" s="1"/>
  <c r="AB54" i="72" s="1"/>
  <c r="AD54" i="72" s="1"/>
  <c r="Y53" i="72"/>
  <c r="AB53" i="72" s="1"/>
  <c r="U52" i="72"/>
  <c r="W52" i="72" s="1"/>
  <c r="X52" i="72" s="1"/>
  <c r="U51" i="72"/>
  <c r="W51" i="72" s="1"/>
  <c r="X51" i="72" s="1"/>
  <c r="Y51" i="72" s="1"/>
  <c r="AB51" i="72" s="1"/>
  <c r="U50" i="72"/>
  <c r="W50" i="72" s="1"/>
  <c r="X50" i="72" s="1"/>
  <c r="U49" i="72"/>
  <c r="W49" i="72" s="1"/>
  <c r="X49" i="72" s="1"/>
  <c r="U48" i="72"/>
  <c r="W48" i="72" s="1"/>
  <c r="X48" i="72" s="1"/>
  <c r="U47" i="72"/>
  <c r="W47" i="72" s="1"/>
  <c r="X47" i="72" s="1"/>
  <c r="Y47" i="72" s="1"/>
  <c r="AB47" i="72" s="1"/>
  <c r="U46" i="72"/>
  <c r="W46" i="72" s="1"/>
  <c r="X46" i="72" s="1"/>
  <c r="Y46" i="72" s="1"/>
  <c r="AB46" i="72" s="1"/>
  <c r="U45" i="72"/>
  <c r="W45" i="72" s="1"/>
  <c r="X45" i="72" s="1"/>
  <c r="U44" i="72"/>
  <c r="W44" i="72" s="1"/>
  <c r="X44" i="72" s="1"/>
  <c r="U43" i="72"/>
  <c r="W43" i="72" s="1"/>
  <c r="X43" i="72" s="1"/>
  <c r="Y43" i="72" s="1"/>
  <c r="AB43" i="72" s="1"/>
  <c r="U42" i="72"/>
  <c r="W42" i="72" s="1"/>
  <c r="X42" i="72" s="1"/>
  <c r="Y42" i="72" s="1"/>
  <c r="AB42" i="72" s="1"/>
  <c r="U41" i="72"/>
  <c r="W41" i="72" s="1"/>
  <c r="X41" i="72" s="1"/>
  <c r="Y41" i="72" s="1"/>
  <c r="AB41" i="72" s="1"/>
  <c r="U40" i="72"/>
  <c r="W40" i="72" s="1"/>
  <c r="X40" i="72" s="1"/>
  <c r="Y40" i="72" s="1"/>
  <c r="AB40" i="72" s="1"/>
  <c r="U39" i="72"/>
  <c r="W39" i="72" s="1"/>
  <c r="X39" i="72" s="1"/>
  <c r="U38" i="72"/>
  <c r="W38" i="72" s="1"/>
  <c r="X38" i="72" s="1"/>
  <c r="U37" i="72"/>
  <c r="W37" i="72" s="1"/>
  <c r="X37" i="72" s="1"/>
  <c r="U36" i="72"/>
  <c r="W36" i="72" s="1"/>
  <c r="X36" i="72" s="1"/>
  <c r="Y36" i="72" s="1"/>
  <c r="AB36" i="72" s="1"/>
  <c r="AD36" i="72" s="1"/>
  <c r="U35" i="72"/>
  <c r="W35" i="72" s="1"/>
  <c r="X35" i="72" s="1"/>
  <c r="Y35" i="72" s="1"/>
  <c r="AB35" i="72" s="1"/>
  <c r="U34" i="72"/>
  <c r="W34" i="72" s="1"/>
  <c r="X34" i="72" s="1"/>
  <c r="U33" i="72"/>
  <c r="W33" i="72" s="1"/>
  <c r="X33" i="72" s="1"/>
  <c r="Y33" i="72" s="1"/>
  <c r="AB33" i="72" s="1"/>
  <c r="U32" i="72"/>
  <c r="W32" i="72" s="1"/>
  <c r="X32" i="72" s="1"/>
  <c r="Y32" i="72" s="1"/>
  <c r="AB32" i="72" s="1"/>
  <c r="U31" i="72"/>
  <c r="W31" i="72" s="1"/>
  <c r="X31" i="72" s="1"/>
  <c r="U30" i="72"/>
  <c r="W30" i="72" s="1"/>
  <c r="X30" i="72" s="1"/>
  <c r="Y30" i="72" s="1"/>
  <c r="AB30" i="72" s="1"/>
  <c r="U29" i="72"/>
  <c r="W29" i="72" s="1"/>
  <c r="X29" i="72" s="1"/>
  <c r="U28" i="72"/>
  <c r="W28" i="72" s="1"/>
  <c r="X28" i="72" s="1"/>
  <c r="Y28" i="72" s="1"/>
  <c r="AB28" i="72" s="1"/>
  <c r="U27" i="72"/>
  <c r="W27" i="72" s="1"/>
  <c r="X27" i="72" s="1"/>
  <c r="Y27" i="72" s="1"/>
  <c r="AB27" i="72" s="1"/>
  <c r="U26" i="72"/>
  <c r="W26" i="72" s="1"/>
  <c r="X26" i="72" s="1"/>
  <c r="U25" i="72"/>
  <c r="W25" i="72" s="1"/>
  <c r="X25" i="72" s="1"/>
  <c r="Y25" i="72" s="1"/>
  <c r="AB25" i="72" s="1"/>
  <c r="U24" i="72"/>
  <c r="W24" i="72" s="1"/>
  <c r="X24" i="72" s="1"/>
  <c r="U23" i="72"/>
  <c r="W23" i="72" s="1"/>
  <c r="X23" i="72" s="1"/>
  <c r="Y23" i="72" s="1"/>
  <c r="AB23" i="72" s="1"/>
  <c r="U22" i="72"/>
  <c r="W22" i="72" s="1"/>
  <c r="X22" i="72" s="1"/>
  <c r="Y22" i="72" s="1"/>
  <c r="AB22" i="72" s="1"/>
  <c r="U21" i="72"/>
  <c r="W21" i="72" s="1"/>
  <c r="X21" i="72" s="1"/>
  <c r="Y21" i="72" s="1"/>
  <c r="AB21" i="72" s="1"/>
  <c r="U20" i="72"/>
  <c r="W20" i="72" s="1"/>
  <c r="X20" i="72" s="1"/>
  <c r="Y20" i="72" s="1"/>
  <c r="AB20" i="72" s="1"/>
  <c r="U19" i="72"/>
  <c r="W19" i="72" s="1"/>
  <c r="X19" i="72" s="1"/>
  <c r="U18" i="72"/>
  <c r="W18" i="72" s="1"/>
  <c r="X18" i="72" s="1"/>
  <c r="Y18" i="72" s="1"/>
  <c r="AB18" i="72" s="1"/>
  <c r="U17" i="72"/>
  <c r="W17" i="72" s="1"/>
  <c r="X17" i="72" s="1"/>
  <c r="Y17" i="72" s="1"/>
  <c r="AB17" i="72" s="1"/>
  <c r="U16" i="72"/>
  <c r="W16" i="72" s="1"/>
  <c r="X16" i="72" s="1"/>
  <c r="U15" i="72"/>
  <c r="W15" i="72" s="1"/>
  <c r="X15" i="72" s="1"/>
  <c r="Y15" i="72" s="1"/>
  <c r="AB15" i="72" s="1"/>
  <c r="U14" i="72"/>
  <c r="W14" i="72" s="1"/>
  <c r="X14" i="72" s="1"/>
  <c r="Y14" i="72" s="1"/>
  <c r="AB14" i="72" s="1"/>
  <c r="U13" i="72"/>
  <c r="W13" i="72" s="1"/>
  <c r="X13" i="72" s="1"/>
  <c r="Y13" i="72" s="1"/>
  <c r="AB13" i="72" s="1"/>
  <c r="U12" i="72"/>
  <c r="W12" i="72" s="1"/>
  <c r="X12" i="72" s="1"/>
  <c r="Y12" i="72" s="1"/>
  <c r="AB12" i="72" s="1"/>
  <c r="U11" i="72"/>
  <c r="W11" i="72" s="1"/>
  <c r="X11" i="72" s="1"/>
  <c r="Y11" i="72" s="1"/>
  <c r="AB11" i="72" s="1"/>
  <c r="U10" i="72"/>
  <c r="W10" i="72" s="1"/>
  <c r="X10" i="72" s="1"/>
  <c r="U9" i="72"/>
  <c r="W9" i="72" s="1"/>
  <c r="X9" i="72" s="1"/>
  <c r="Y9" i="72" s="1"/>
  <c r="AB9" i="72" s="1"/>
  <c r="U8" i="72"/>
  <c r="W8" i="72" s="1"/>
  <c r="X8" i="72" s="1"/>
  <c r="U7" i="72"/>
  <c r="W7" i="72" s="1"/>
  <c r="X7" i="72" s="1"/>
  <c r="Y7" i="72" s="1"/>
  <c r="AB7" i="72" s="1"/>
  <c r="U6" i="72"/>
  <c r="W6" i="72" s="1"/>
  <c r="X6" i="72" s="1"/>
  <c r="Y6" i="72" s="1"/>
  <c r="AB6" i="72" s="1"/>
  <c r="U5" i="72"/>
  <c r="W5" i="72" s="1"/>
  <c r="X5" i="72" s="1"/>
  <c r="Y5" i="72" s="1"/>
  <c r="AB5" i="72" s="1"/>
  <c r="U4" i="72"/>
  <c r="W4" i="72" s="1"/>
  <c r="X4" i="72" s="1"/>
  <c r="Y4" i="72" s="1"/>
  <c r="AB4" i="72" s="1"/>
  <c r="U3" i="72"/>
  <c r="U2" i="72"/>
  <c r="W2" i="72" s="1"/>
  <c r="A73" i="82" l="1" a="1"/>
  <c r="A73" i="82" s="1"/>
  <c r="AB70" i="72"/>
  <c r="S70" i="72"/>
  <c r="X2" i="72"/>
  <c r="W3" i="72"/>
  <c r="X3" i="72" s="1"/>
  <c r="U70" i="72" l="1"/>
  <c r="W70" i="72"/>
  <c r="V70" i="72"/>
  <c r="G92" i="45" l="1"/>
  <c r="G93" i="45"/>
  <c r="G94" i="45"/>
  <c r="G96" i="45"/>
  <c r="G100" i="45"/>
  <c r="G91" i="45"/>
  <c r="H107" i="29" l="1" a="1"/>
  <c r="H107" i="29" s="1"/>
  <c r="V4" i="7" l="1"/>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3" i="7"/>
  <c r="S63" i="71" l="1"/>
  <c r="S62" i="71"/>
  <c r="S61" i="71"/>
  <c r="S43" i="71"/>
  <c r="S53" i="71"/>
  <c r="M3" i="71" l="1"/>
  <c r="M4" i="71"/>
  <c r="M5" i="71"/>
  <c r="M6" i="71"/>
  <c r="M7" i="71"/>
  <c r="M8" i="71"/>
  <c r="M9" i="71"/>
  <c r="M10" i="71"/>
  <c r="M11" i="71"/>
  <c r="M12" i="71"/>
  <c r="M13" i="71"/>
  <c r="M14" i="71"/>
  <c r="M15" i="71"/>
  <c r="M16" i="71"/>
  <c r="M17" i="71"/>
  <c r="M18" i="71"/>
  <c r="M19" i="71"/>
  <c r="M20" i="71"/>
  <c r="M21" i="71"/>
  <c r="M22" i="71"/>
  <c r="M23" i="71"/>
  <c r="M24" i="71"/>
  <c r="M25" i="71"/>
  <c r="M26" i="71"/>
  <c r="M27" i="71"/>
  <c r="M28" i="71"/>
  <c r="M29" i="71"/>
  <c r="M30" i="71"/>
  <c r="M31" i="71"/>
  <c r="M32" i="71"/>
  <c r="M33" i="71"/>
  <c r="M34" i="71"/>
  <c r="M35" i="71"/>
  <c r="M36" i="71"/>
  <c r="M37" i="71"/>
  <c r="M38" i="71"/>
  <c r="M39" i="71"/>
  <c r="M40" i="71"/>
  <c r="M41" i="71"/>
  <c r="M42" i="71"/>
  <c r="M43" i="71"/>
  <c r="M44" i="71"/>
  <c r="M45" i="71"/>
  <c r="M46" i="71"/>
  <c r="M47" i="71"/>
  <c r="M48" i="71"/>
  <c r="M49" i="71"/>
  <c r="M50" i="71"/>
  <c r="M51" i="71"/>
  <c r="M52" i="71"/>
  <c r="M53" i="71"/>
  <c r="M54" i="71"/>
  <c r="M55" i="71"/>
  <c r="M56" i="71"/>
  <c r="M57" i="71"/>
  <c r="M58" i="71"/>
  <c r="M59" i="71"/>
  <c r="M60" i="71"/>
  <c r="M61" i="71"/>
  <c r="M62" i="71"/>
  <c r="M63" i="71"/>
  <c r="M64" i="71"/>
  <c r="M65" i="71"/>
  <c r="M66" i="71"/>
  <c r="M67" i="71"/>
  <c r="M68" i="71"/>
  <c r="M2" i="71"/>
  <c r="Y69" i="71"/>
  <c r="W69" i="71"/>
  <c r="V69" i="71"/>
  <c r="U69" i="71"/>
  <c r="T69" i="71"/>
  <c r="Z68" i="71"/>
  <c r="AB68" i="71" s="1"/>
  <c r="AC68" i="71" s="1"/>
  <c r="AD68" i="71" s="1"/>
  <c r="AG68" i="71" s="1"/>
  <c r="Z67" i="71"/>
  <c r="AB67" i="71" s="1"/>
  <c r="AC67" i="71" s="1"/>
  <c r="AD67" i="71" s="1"/>
  <c r="AG67" i="71" s="1"/>
  <c r="Z66" i="71"/>
  <c r="AB66" i="71" s="1"/>
  <c r="AC66" i="71" s="1"/>
  <c r="AD66" i="71" s="1"/>
  <c r="AG66" i="71" s="1"/>
  <c r="Z65" i="71"/>
  <c r="AB65" i="71" s="1"/>
  <c r="AC65" i="71" s="1"/>
  <c r="AD65" i="71" s="1"/>
  <c r="AG65" i="71" s="1"/>
  <c r="Z64" i="71"/>
  <c r="AB64" i="71" s="1"/>
  <c r="AC64" i="71" s="1"/>
  <c r="AD64" i="71" s="1"/>
  <c r="AG64" i="71" s="1"/>
  <c r="Z61" i="71"/>
  <c r="AB61" i="71" s="1"/>
  <c r="AC61" i="71" s="1"/>
  <c r="AD61" i="71" s="1"/>
  <c r="AG61" i="71" s="1"/>
  <c r="Z60" i="71"/>
  <c r="AB60" i="71" s="1"/>
  <c r="AC60" i="71" s="1"/>
  <c r="AD60" i="71" s="1"/>
  <c r="AG60" i="71" s="1"/>
  <c r="Z59" i="71"/>
  <c r="AB59" i="71" s="1"/>
  <c r="AC59" i="71" s="1"/>
  <c r="AD59" i="71" s="1"/>
  <c r="AG59" i="71" s="1"/>
  <c r="Z58" i="71"/>
  <c r="AB58" i="71" s="1"/>
  <c r="AC58" i="71" s="1"/>
  <c r="AD58" i="71" s="1"/>
  <c r="AG58" i="71" s="1"/>
  <c r="Z57" i="71"/>
  <c r="AB57" i="71" s="1"/>
  <c r="AC57" i="71" s="1"/>
  <c r="AD57" i="71" s="1"/>
  <c r="AG57" i="71" s="1"/>
  <c r="Z56" i="71"/>
  <c r="AB56" i="71" s="1"/>
  <c r="AC56" i="71" s="1"/>
  <c r="AD56" i="71" s="1"/>
  <c r="AG56" i="71" s="1"/>
  <c r="Z55" i="71"/>
  <c r="AB55" i="71" s="1"/>
  <c r="AC55" i="71" s="1"/>
  <c r="AD55" i="71" s="1"/>
  <c r="AG55" i="71" s="1"/>
  <c r="Z54" i="71"/>
  <c r="AB54" i="71" s="1"/>
  <c r="AC54" i="71" s="1"/>
  <c r="AD54" i="71" s="1"/>
  <c r="AG54" i="71" s="1"/>
  <c r="Z53" i="71"/>
  <c r="AB53" i="71" s="1"/>
  <c r="AC53" i="71" s="1"/>
  <c r="AD53" i="71" s="1"/>
  <c r="AG53" i="71" s="1"/>
  <c r="Z52" i="71"/>
  <c r="AB52" i="71" s="1"/>
  <c r="AC52" i="71" s="1"/>
  <c r="AD52" i="71" s="1"/>
  <c r="AG52" i="71" s="1"/>
  <c r="Z51" i="71"/>
  <c r="AB51" i="71" s="1"/>
  <c r="AC51" i="71" s="1"/>
  <c r="AD51" i="71" s="1"/>
  <c r="AG51" i="71" s="1"/>
  <c r="Z50" i="71"/>
  <c r="AB50" i="71" s="1"/>
  <c r="AC50" i="71" s="1"/>
  <c r="AD50" i="71" s="1"/>
  <c r="AG50" i="71" s="1"/>
  <c r="Z49" i="71"/>
  <c r="AB49" i="71" s="1"/>
  <c r="AC49" i="71" s="1"/>
  <c r="AD49" i="71" s="1"/>
  <c r="AG49" i="71" s="1"/>
  <c r="Z48" i="71"/>
  <c r="AB48" i="71" s="1"/>
  <c r="AC48" i="71" s="1"/>
  <c r="AD48" i="71" s="1"/>
  <c r="AG48" i="71" s="1"/>
  <c r="Z47" i="71"/>
  <c r="AB47" i="71" s="1"/>
  <c r="AC47" i="71" s="1"/>
  <c r="AD47" i="71" s="1"/>
  <c r="AG47" i="71" s="1"/>
  <c r="Z46" i="71"/>
  <c r="AB46" i="71" s="1"/>
  <c r="AC46" i="71" s="1"/>
  <c r="AD46" i="71" s="1"/>
  <c r="AG46" i="71" s="1"/>
  <c r="Z45" i="71"/>
  <c r="AB45" i="71" s="1"/>
  <c r="AC45" i="71" s="1"/>
  <c r="AD45" i="71" s="1"/>
  <c r="AG45" i="71" s="1"/>
  <c r="Z44" i="71"/>
  <c r="AB44" i="71" s="1"/>
  <c r="AC44" i="71" s="1"/>
  <c r="AD44" i="71" s="1"/>
  <c r="AG44" i="71" s="1"/>
  <c r="Z43" i="71"/>
  <c r="AB43" i="71" s="1"/>
  <c r="AC43" i="71" s="1"/>
  <c r="AD43" i="71" s="1"/>
  <c r="AG43" i="71" s="1"/>
  <c r="Z42" i="71"/>
  <c r="AB42" i="71" s="1"/>
  <c r="AC42" i="71" s="1"/>
  <c r="AD42" i="71" s="1"/>
  <c r="AG42" i="71" s="1"/>
  <c r="Z41" i="71"/>
  <c r="AB41" i="71" s="1"/>
  <c r="AC41" i="71" s="1"/>
  <c r="AD41" i="71" s="1"/>
  <c r="AG41" i="71" s="1"/>
  <c r="Z40" i="71"/>
  <c r="AB40" i="71" s="1"/>
  <c r="AC40" i="71" s="1"/>
  <c r="AD40" i="71" s="1"/>
  <c r="AG40" i="71" s="1"/>
  <c r="Z39" i="71"/>
  <c r="AB39" i="71" s="1"/>
  <c r="AC39" i="71" s="1"/>
  <c r="AD39" i="71" s="1"/>
  <c r="AG39" i="71" s="1"/>
  <c r="Z38" i="71"/>
  <c r="AB38" i="71" s="1"/>
  <c r="AC38" i="71" s="1"/>
  <c r="AD38" i="71" s="1"/>
  <c r="AG38" i="71" s="1"/>
  <c r="Z37" i="71"/>
  <c r="AB37" i="71" s="1"/>
  <c r="AC37" i="71" s="1"/>
  <c r="AD37" i="71" s="1"/>
  <c r="AG37" i="71" s="1"/>
  <c r="Z36" i="71"/>
  <c r="AB36" i="71" s="1"/>
  <c r="AC36" i="71" s="1"/>
  <c r="AD36" i="71" s="1"/>
  <c r="AG36" i="71" s="1"/>
  <c r="Z35" i="71"/>
  <c r="AB35" i="71" s="1"/>
  <c r="AC35" i="71" s="1"/>
  <c r="AD35" i="71" s="1"/>
  <c r="AG35" i="71" s="1"/>
  <c r="Z34" i="71"/>
  <c r="AB34" i="71" s="1"/>
  <c r="AC34" i="71" s="1"/>
  <c r="AD34" i="71" s="1"/>
  <c r="AG34" i="71" s="1"/>
  <c r="Z33" i="71"/>
  <c r="AB33" i="71" s="1"/>
  <c r="AC33" i="71" s="1"/>
  <c r="AD33" i="71" s="1"/>
  <c r="AG33" i="71" s="1"/>
  <c r="Z32" i="71"/>
  <c r="AB32" i="71" s="1"/>
  <c r="AC32" i="71" s="1"/>
  <c r="AD32" i="71" s="1"/>
  <c r="AG32" i="71" s="1"/>
  <c r="Z31" i="71"/>
  <c r="AB31" i="71" s="1"/>
  <c r="AC31" i="71" s="1"/>
  <c r="AD31" i="71" s="1"/>
  <c r="AG31" i="71" s="1"/>
  <c r="Z30" i="71"/>
  <c r="AB30" i="71" s="1"/>
  <c r="AC30" i="71" s="1"/>
  <c r="AD30" i="71" s="1"/>
  <c r="AG30" i="71" s="1"/>
  <c r="Z29" i="71"/>
  <c r="AB29" i="71" s="1"/>
  <c r="AC29" i="71" s="1"/>
  <c r="AD29" i="71" s="1"/>
  <c r="AG29" i="71" s="1"/>
  <c r="Z28" i="71"/>
  <c r="AB28" i="71" s="1"/>
  <c r="AC28" i="71" s="1"/>
  <c r="AD28" i="71" s="1"/>
  <c r="AG28" i="71" s="1"/>
  <c r="Z27" i="71"/>
  <c r="AB27" i="71" s="1"/>
  <c r="AC27" i="71" s="1"/>
  <c r="AD27" i="71" s="1"/>
  <c r="AG27" i="71" s="1"/>
  <c r="Z26" i="71"/>
  <c r="AB26" i="71" s="1"/>
  <c r="AC26" i="71" s="1"/>
  <c r="AD26" i="71" s="1"/>
  <c r="AG26" i="71" s="1"/>
  <c r="Z25" i="71"/>
  <c r="AB25" i="71" s="1"/>
  <c r="AC25" i="71" s="1"/>
  <c r="AD25" i="71" s="1"/>
  <c r="AG25" i="71" s="1"/>
  <c r="Z24" i="71"/>
  <c r="AB24" i="71" s="1"/>
  <c r="AC24" i="71" s="1"/>
  <c r="AD24" i="71" s="1"/>
  <c r="AG24" i="71" s="1"/>
  <c r="Z23" i="71"/>
  <c r="AB23" i="71" s="1"/>
  <c r="AC23" i="71" s="1"/>
  <c r="AD23" i="71" s="1"/>
  <c r="AG23" i="71" s="1"/>
  <c r="Z22" i="71"/>
  <c r="AB22" i="71" s="1"/>
  <c r="AC22" i="71" s="1"/>
  <c r="AD22" i="71" s="1"/>
  <c r="AG22" i="71" s="1"/>
  <c r="Z21" i="71"/>
  <c r="AB21" i="71" s="1"/>
  <c r="AC21" i="71" s="1"/>
  <c r="AD21" i="71" s="1"/>
  <c r="AG21" i="71" s="1"/>
  <c r="Z20" i="71"/>
  <c r="AB20" i="71" s="1"/>
  <c r="AC20" i="71" s="1"/>
  <c r="AD20" i="71" s="1"/>
  <c r="AG20" i="71" s="1"/>
  <c r="Z19" i="71"/>
  <c r="AB19" i="71" s="1"/>
  <c r="AC19" i="71" s="1"/>
  <c r="AD19" i="71" s="1"/>
  <c r="AG19" i="71" s="1"/>
  <c r="Z18" i="71"/>
  <c r="AB18" i="71" s="1"/>
  <c r="AC18" i="71" s="1"/>
  <c r="AD18" i="71" s="1"/>
  <c r="AG18" i="71" s="1"/>
  <c r="Z17" i="71"/>
  <c r="AB17" i="71" s="1"/>
  <c r="AC17" i="71" s="1"/>
  <c r="AD17" i="71" s="1"/>
  <c r="AG17" i="71" s="1"/>
  <c r="Z16" i="71"/>
  <c r="AB16" i="71" s="1"/>
  <c r="AC16" i="71" s="1"/>
  <c r="AD16" i="71" s="1"/>
  <c r="AG16" i="71" s="1"/>
  <c r="Z15" i="71"/>
  <c r="AB15" i="71" s="1"/>
  <c r="AC15" i="71" s="1"/>
  <c r="AD15" i="71" s="1"/>
  <c r="AG15" i="71" s="1"/>
  <c r="Z14" i="71"/>
  <c r="AB14" i="71" s="1"/>
  <c r="AC14" i="71" s="1"/>
  <c r="AD14" i="71" s="1"/>
  <c r="AG14" i="71" s="1"/>
  <c r="Z13" i="71"/>
  <c r="AB13" i="71" s="1"/>
  <c r="AC13" i="71" s="1"/>
  <c r="AD13" i="71" s="1"/>
  <c r="AG13" i="71" s="1"/>
  <c r="Z12" i="71"/>
  <c r="AB12" i="71" s="1"/>
  <c r="AC12" i="71" s="1"/>
  <c r="AD12" i="71" s="1"/>
  <c r="AG12" i="71" s="1"/>
  <c r="Z11" i="71"/>
  <c r="AB11" i="71" s="1"/>
  <c r="AC11" i="71" s="1"/>
  <c r="AD11" i="71" s="1"/>
  <c r="AG11" i="71" s="1"/>
  <c r="Z10" i="71"/>
  <c r="AB10" i="71" s="1"/>
  <c r="AC10" i="71" s="1"/>
  <c r="AD10" i="71" s="1"/>
  <c r="AG10" i="71" s="1"/>
  <c r="Z9" i="71"/>
  <c r="AB9" i="71" s="1"/>
  <c r="AC9" i="71" s="1"/>
  <c r="AD9" i="71" s="1"/>
  <c r="AG9" i="71" s="1"/>
  <c r="Z8" i="71"/>
  <c r="AB8" i="71" s="1"/>
  <c r="AC8" i="71" s="1"/>
  <c r="AD8" i="71" s="1"/>
  <c r="AG8" i="71" s="1"/>
  <c r="Z7" i="71"/>
  <c r="AB7" i="71" s="1"/>
  <c r="AC7" i="71" s="1"/>
  <c r="AD7" i="71" s="1"/>
  <c r="AG7" i="71" s="1"/>
  <c r="Z6" i="71"/>
  <c r="AB6" i="71" s="1"/>
  <c r="AC6" i="71" s="1"/>
  <c r="AD6" i="71" s="1"/>
  <c r="AG6" i="71" s="1"/>
  <c r="Z5" i="71"/>
  <c r="AB5" i="71" s="1"/>
  <c r="AC5" i="71" s="1"/>
  <c r="AD5" i="71" s="1"/>
  <c r="AG5" i="71" s="1"/>
  <c r="Z4" i="71"/>
  <c r="AB4" i="71" s="1"/>
  <c r="AC4" i="71" s="1"/>
  <c r="AD4" i="71" s="1"/>
  <c r="AG4" i="71" s="1"/>
  <c r="Z3" i="71"/>
  <c r="AB3" i="71" s="1"/>
  <c r="AC3" i="71" s="1"/>
  <c r="AD3" i="71" s="1"/>
  <c r="AG3" i="71" s="1"/>
  <c r="Z2" i="71"/>
  <c r="AB2" i="71" s="1"/>
  <c r="M34" i="72" l="1"/>
  <c r="M14" i="72"/>
  <c r="N68" i="72"/>
  <c r="N14" i="72"/>
  <c r="M52" i="72"/>
  <c r="AG2" i="72" a="1"/>
  <c r="AG2" i="72" s="1"/>
  <c r="N66" i="72"/>
  <c r="N52" i="72"/>
  <c r="N50" i="72"/>
  <c r="M33" i="72"/>
  <c r="N33" i="72"/>
  <c r="M66" i="72"/>
  <c r="M53" i="72"/>
  <c r="M20" i="72"/>
  <c r="M50" i="72"/>
  <c r="N53" i="72"/>
  <c r="N20" i="72"/>
  <c r="N43" i="72"/>
  <c r="M43" i="72"/>
  <c r="M68" i="72"/>
  <c r="P38" i="72"/>
  <c r="P8" i="72"/>
  <c r="P50" i="72"/>
  <c r="P49" i="72"/>
  <c r="P48" i="72"/>
  <c r="P39" i="72"/>
  <c r="P32" i="72"/>
  <c r="P2" i="72"/>
  <c r="P27" i="72"/>
  <c r="P16" i="72"/>
  <c r="P37" i="72"/>
  <c r="P17" i="72"/>
  <c r="P7" i="72"/>
  <c r="P30" i="72"/>
  <c r="P10" i="72"/>
  <c r="P11" i="72"/>
  <c r="P59" i="72"/>
  <c r="P42" i="72"/>
  <c r="P41" i="72"/>
  <c r="P40" i="72"/>
  <c r="P31" i="72"/>
  <c r="P15" i="72"/>
  <c r="P6" i="72"/>
  <c r="P25" i="72"/>
  <c r="P12" i="72"/>
  <c r="P36" i="72"/>
  <c r="P55" i="72"/>
  <c r="P58" i="72"/>
  <c r="P22" i="72"/>
  <c r="P62" i="72"/>
  <c r="P9" i="72"/>
  <c r="P3" i="72"/>
  <c r="P28" i="72"/>
  <c r="P51" i="72"/>
  <c r="P34" i="72"/>
  <c r="P33" i="72"/>
  <c r="P61" i="72"/>
  <c r="P26" i="72"/>
  <c r="O64" i="72"/>
  <c r="P18" i="72"/>
  <c r="P65" i="72"/>
  <c r="P56" i="72"/>
  <c r="O54" i="72"/>
  <c r="P64" i="72"/>
  <c r="P5" i="72"/>
  <c r="P47" i="72"/>
  <c r="O34" i="72"/>
  <c r="P21" i="72"/>
  <c r="P4" i="72"/>
  <c r="P44" i="72"/>
  <c r="O62" i="72"/>
  <c r="P63" i="72"/>
  <c r="O63" i="72"/>
  <c r="P54" i="72"/>
  <c r="P13" i="72"/>
  <c r="P46" i="72"/>
  <c r="P57" i="72"/>
  <c r="P67" i="72"/>
  <c r="P68" i="72"/>
  <c r="O66" i="71"/>
  <c r="N67" i="72" s="1"/>
  <c r="N66" i="71"/>
  <c r="M67" i="72" s="1"/>
  <c r="O58" i="71"/>
  <c r="N59" i="72" s="1"/>
  <c r="N58" i="71"/>
  <c r="M59" i="72" s="1"/>
  <c r="O42" i="71"/>
  <c r="N42" i="72" s="1"/>
  <c r="N42" i="71"/>
  <c r="M42" i="72" s="1"/>
  <c r="O34" i="71"/>
  <c r="N34" i="72" s="1"/>
  <c r="O26" i="71"/>
  <c r="N26" i="72" s="1"/>
  <c r="N26" i="71"/>
  <c r="M26" i="72" s="1"/>
  <c r="O18" i="71"/>
  <c r="N18" i="72" s="1"/>
  <c r="N18" i="71"/>
  <c r="M18" i="72" s="1"/>
  <c r="O10" i="71"/>
  <c r="N10" i="72" s="1"/>
  <c r="N10" i="71"/>
  <c r="M10" i="72" s="1"/>
  <c r="N57" i="71"/>
  <c r="M58" i="72" s="1"/>
  <c r="O57" i="71"/>
  <c r="N58" i="72" s="1"/>
  <c r="N49" i="71"/>
  <c r="M49" i="72" s="1"/>
  <c r="O49" i="71"/>
  <c r="N49" i="72" s="1"/>
  <c r="N41" i="71"/>
  <c r="M41" i="72" s="1"/>
  <c r="O41" i="71"/>
  <c r="N41" i="72" s="1"/>
  <c r="N25" i="71"/>
  <c r="M25" i="72" s="1"/>
  <c r="O25" i="71"/>
  <c r="N25" i="72" s="1"/>
  <c r="N17" i="71"/>
  <c r="M17" i="72" s="1"/>
  <c r="O17" i="71"/>
  <c r="N17" i="72" s="1"/>
  <c r="N9" i="71"/>
  <c r="M9" i="72" s="1"/>
  <c r="O9" i="71"/>
  <c r="N9" i="72" s="1"/>
  <c r="O64" i="71"/>
  <c r="N65" i="72" s="1"/>
  <c r="N64" i="71"/>
  <c r="M65" i="72" s="1"/>
  <c r="O56" i="71"/>
  <c r="N57" i="72" s="1"/>
  <c r="N56" i="71"/>
  <c r="M57" i="72" s="1"/>
  <c r="O48" i="71"/>
  <c r="N48" i="72" s="1"/>
  <c r="N48" i="71"/>
  <c r="M48" i="72" s="1"/>
  <c r="O40" i="71"/>
  <c r="N40" i="72" s="1"/>
  <c r="N40" i="71"/>
  <c r="M40" i="72" s="1"/>
  <c r="O32" i="71"/>
  <c r="N32" i="72" s="1"/>
  <c r="N32" i="71"/>
  <c r="M32" i="72" s="1"/>
  <c r="O24" i="71"/>
  <c r="N24" i="72" s="1"/>
  <c r="N24" i="71"/>
  <c r="M24" i="72" s="1"/>
  <c r="O16" i="71"/>
  <c r="N16" i="72" s="1"/>
  <c r="N16" i="71"/>
  <c r="M16" i="72" s="1"/>
  <c r="O8" i="71"/>
  <c r="N8" i="72" s="1"/>
  <c r="N8" i="71"/>
  <c r="M8" i="72" s="1"/>
  <c r="N63" i="71"/>
  <c r="O63" i="71"/>
  <c r="N55" i="71"/>
  <c r="M56" i="72" s="1"/>
  <c r="O55" i="71"/>
  <c r="N56" i="72" s="1"/>
  <c r="N47" i="71"/>
  <c r="M47" i="72" s="1"/>
  <c r="O47" i="71"/>
  <c r="N47" i="72" s="1"/>
  <c r="N39" i="71"/>
  <c r="M39" i="72" s="1"/>
  <c r="O39" i="71"/>
  <c r="N39" i="72" s="1"/>
  <c r="N31" i="71"/>
  <c r="M31" i="72" s="1"/>
  <c r="O31" i="71"/>
  <c r="N31" i="72" s="1"/>
  <c r="N23" i="71"/>
  <c r="M23" i="72" s="1"/>
  <c r="O23" i="71"/>
  <c r="N23" i="72" s="1"/>
  <c r="N15" i="71"/>
  <c r="M15" i="72" s="1"/>
  <c r="O15" i="71"/>
  <c r="N15" i="72" s="1"/>
  <c r="N7" i="71"/>
  <c r="M7" i="72" s="1"/>
  <c r="O7" i="71"/>
  <c r="N7" i="72" s="1"/>
  <c r="O62" i="71"/>
  <c r="N62" i="71"/>
  <c r="N54" i="71"/>
  <c r="M55" i="72" s="1"/>
  <c r="O54" i="71"/>
  <c r="N55" i="72" s="1"/>
  <c r="O46" i="71"/>
  <c r="N46" i="72" s="1"/>
  <c r="N46" i="71"/>
  <c r="M46" i="72" s="1"/>
  <c r="O38" i="71"/>
  <c r="N38" i="72" s="1"/>
  <c r="N38" i="71"/>
  <c r="M38" i="72" s="1"/>
  <c r="O30" i="71"/>
  <c r="N30" i="72" s="1"/>
  <c r="N30" i="71"/>
  <c r="M30" i="72" s="1"/>
  <c r="N22" i="71"/>
  <c r="M22" i="72" s="1"/>
  <c r="O22" i="71"/>
  <c r="N22" i="72" s="1"/>
  <c r="O6" i="71"/>
  <c r="N6" i="72" s="1"/>
  <c r="N6" i="71"/>
  <c r="M6" i="72" s="1"/>
  <c r="N2" i="71"/>
  <c r="M2" i="72" s="1"/>
  <c r="O2" i="71"/>
  <c r="N2" i="72" s="1"/>
  <c r="N61" i="71"/>
  <c r="O61" i="71"/>
  <c r="N53" i="71"/>
  <c r="O53" i="71"/>
  <c r="N45" i="71"/>
  <c r="M45" i="72" s="1"/>
  <c r="O45" i="71"/>
  <c r="N45" i="72" s="1"/>
  <c r="N37" i="71"/>
  <c r="M37" i="72" s="1"/>
  <c r="O37" i="71"/>
  <c r="N37" i="72" s="1"/>
  <c r="N29" i="71"/>
  <c r="M29" i="72" s="1"/>
  <c r="O29" i="71"/>
  <c r="N29" i="72" s="1"/>
  <c r="N21" i="71"/>
  <c r="M21" i="72" s="1"/>
  <c r="O21" i="71"/>
  <c r="N21" i="72" s="1"/>
  <c r="N13" i="71"/>
  <c r="M13" i="72" s="1"/>
  <c r="O13" i="71"/>
  <c r="N13" i="72" s="1"/>
  <c r="N5" i="71"/>
  <c r="O5" i="71"/>
  <c r="O68" i="71"/>
  <c r="N69" i="72" s="1"/>
  <c r="N68" i="71"/>
  <c r="M69" i="72" s="1"/>
  <c r="O60" i="71"/>
  <c r="N61" i="72" s="1"/>
  <c r="N60" i="71"/>
  <c r="M61" i="72" s="1"/>
  <c r="O44" i="71"/>
  <c r="N44" i="72" s="1"/>
  <c r="N44" i="71"/>
  <c r="M44" i="72" s="1"/>
  <c r="O36" i="71"/>
  <c r="N36" i="71"/>
  <c r="O28" i="71"/>
  <c r="N28" i="72" s="1"/>
  <c r="N28" i="71"/>
  <c r="M28" i="72" s="1"/>
  <c r="O12" i="71"/>
  <c r="N12" i="72" s="1"/>
  <c r="N12" i="71"/>
  <c r="M12" i="72" s="1"/>
  <c r="O4" i="71"/>
  <c r="N4" i="72" s="1"/>
  <c r="N4" i="71"/>
  <c r="M4" i="72" s="1"/>
  <c r="O59" i="71"/>
  <c r="N60" i="72" s="1"/>
  <c r="N59" i="71"/>
  <c r="M60" i="72" s="1"/>
  <c r="N51" i="71"/>
  <c r="M51" i="72" s="1"/>
  <c r="O51" i="71"/>
  <c r="N51" i="72" s="1"/>
  <c r="O43" i="71"/>
  <c r="N43" i="71"/>
  <c r="N35" i="71"/>
  <c r="O35" i="71"/>
  <c r="O27" i="71"/>
  <c r="N27" i="72" s="1"/>
  <c r="N27" i="71"/>
  <c r="M27" i="72" s="1"/>
  <c r="N19" i="71"/>
  <c r="M19" i="72" s="1"/>
  <c r="O19" i="71"/>
  <c r="N19" i="72" s="1"/>
  <c r="N11" i="71"/>
  <c r="M11" i="72" s="1"/>
  <c r="O11" i="71"/>
  <c r="N11" i="72" s="1"/>
  <c r="N3" i="71"/>
  <c r="M3" i="72" s="1"/>
  <c r="O3" i="71"/>
  <c r="N3" i="72" s="1"/>
  <c r="Z69" i="71"/>
  <c r="AC2" i="71"/>
  <c r="X69" i="71"/>
  <c r="AA66" i="72" l="1"/>
  <c r="Z66" i="72"/>
  <c r="AA14" i="72"/>
  <c r="Z14" i="72"/>
  <c r="Z52" i="72"/>
  <c r="AA52" i="72"/>
  <c r="AA33" i="72"/>
  <c r="Z33" i="72"/>
  <c r="AA68" i="72"/>
  <c r="Z68" i="72"/>
  <c r="Z53" i="72"/>
  <c r="AA53" i="72"/>
  <c r="Z43" i="72"/>
  <c r="AA43" i="72"/>
  <c r="Z20" i="72"/>
  <c r="AA20" i="72"/>
  <c r="AA50" i="72"/>
  <c r="Z50" i="72"/>
  <c r="AA61" i="72"/>
  <c r="Z61" i="72"/>
  <c r="Z60" i="72"/>
  <c r="AA60" i="72"/>
  <c r="Z4" i="72"/>
  <c r="AA4" i="72"/>
  <c r="Z44" i="72"/>
  <c r="AA44" i="72"/>
  <c r="AA6" i="72"/>
  <c r="Z6" i="72"/>
  <c r="AA46" i="72"/>
  <c r="Z46" i="72"/>
  <c r="Z11" i="72"/>
  <c r="AA11" i="72"/>
  <c r="AA21" i="72"/>
  <c r="Z21" i="72"/>
  <c r="AA22" i="72"/>
  <c r="Z22" i="72"/>
  <c r="Z55" i="72"/>
  <c r="AA55" i="72"/>
  <c r="Z23" i="72"/>
  <c r="AA23" i="72"/>
  <c r="Z56" i="72"/>
  <c r="AA56" i="72"/>
  <c r="AA25" i="72"/>
  <c r="Z25" i="72"/>
  <c r="AA42" i="72"/>
  <c r="Z42" i="72"/>
  <c r="Z12" i="72"/>
  <c r="AA12" i="72"/>
  <c r="Z24" i="72"/>
  <c r="AA24" i="72"/>
  <c r="Z57" i="72"/>
  <c r="AA57" i="72"/>
  <c r="AA10" i="72"/>
  <c r="Z10" i="72"/>
  <c r="Z19" i="72"/>
  <c r="AA19" i="72"/>
  <c r="Z51" i="72"/>
  <c r="AA51" i="72"/>
  <c r="Z29" i="72"/>
  <c r="AA29" i="72"/>
  <c r="AA62" i="72"/>
  <c r="Z62" i="72"/>
  <c r="Z31" i="72"/>
  <c r="AA31" i="72"/>
  <c r="AA41" i="72"/>
  <c r="Z41" i="72"/>
  <c r="Z59" i="72"/>
  <c r="AA59" i="72"/>
  <c r="Z28" i="72"/>
  <c r="AA28" i="72"/>
  <c r="AA69" i="72"/>
  <c r="Z69" i="72"/>
  <c r="AA30" i="72"/>
  <c r="Z30" i="72"/>
  <c r="Z32" i="72"/>
  <c r="AA32" i="72"/>
  <c r="Z65" i="72"/>
  <c r="AA65" i="72"/>
  <c r="AA18" i="72"/>
  <c r="Z18" i="72"/>
  <c r="Z37" i="72"/>
  <c r="AA37" i="72"/>
  <c r="Z39" i="72"/>
  <c r="AA39" i="72"/>
  <c r="Z9" i="72"/>
  <c r="AA9" i="72"/>
  <c r="AA49" i="72"/>
  <c r="Z49" i="72"/>
  <c r="Z67" i="72"/>
  <c r="AA67" i="72"/>
  <c r="AA5" i="72"/>
  <c r="Z5" i="72"/>
  <c r="Z2" i="72"/>
  <c r="AA2" i="72"/>
  <c r="Z7" i="72"/>
  <c r="AA7" i="72"/>
  <c r="Z27" i="72"/>
  <c r="AA27" i="72"/>
  <c r="AA38" i="72"/>
  <c r="Z38" i="72"/>
  <c r="Z8" i="72"/>
  <c r="AA8" i="72"/>
  <c r="Z40" i="72"/>
  <c r="AA40" i="72"/>
  <c r="AA26" i="72"/>
  <c r="Z26" i="72"/>
  <c r="Z3" i="72"/>
  <c r="AA3" i="72"/>
  <c r="Z35" i="72"/>
  <c r="AA35" i="72"/>
  <c r="AA13" i="72"/>
  <c r="Z13" i="72"/>
  <c r="Z45" i="72"/>
  <c r="AA45" i="72"/>
  <c r="Z15" i="72"/>
  <c r="AA15" i="72"/>
  <c r="Z47" i="72"/>
  <c r="AA47" i="72"/>
  <c r="AA17" i="72"/>
  <c r="Z17" i="72"/>
  <c r="AA58" i="72"/>
  <c r="Z58" i="72"/>
  <c r="AA34" i="72"/>
  <c r="Z34" i="72"/>
  <c r="Z16" i="72"/>
  <c r="AA16" i="72"/>
  <c r="Z48" i="72"/>
  <c r="AA48" i="72"/>
  <c r="AE39" i="71"/>
  <c r="AF39" i="71"/>
  <c r="AE36" i="71"/>
  <c r="AF36" i="71"/>
  <c r="AE7" i="71"/>
  <c r="AF7" i="71"/>
  <c r="AE9" i="71"/>
  <c r="AF9" i="71"/>
  <c r="AE20" i="71"/>
  <c r="AF20" i="71"/>
  <c r="AE52" i="71"/>
  <c r="AF52" i="71"/>
  <c r="AE6" i="71"/>
  <c r="AF6" i="71"/>
  <c r="AE38" i="71"/>
  <c r="AF38" i="71"/>
  <c r="AE8" i="71"/>
  <c r="AF8" i="71"/>
  <c r="AE40" i="71"/>
  <c r="AF40" i="71"/>
  <c r="AE10" i="71"/>
  <c r="AF10" i="71"/>
  <c r="AE42" i="71"/>
  <c r="AF42" i="71"/>
  <c r="AE13" i="71"/>
  <c r="AF13" i="71"/>
  <c r="AE59" i="71"/>
  <c r="AF59" i="71"/>
  <c r="AE3" i="71"/>
  <c r="AF3" i="71"/>
  <c r="AE35" i="71"/>
  <c r="AF35" i="71"/>
  <c r="AE21" i="71"/>
  <c r="AF21" i="71"/>
  <c r="AE53" i="71"/>
  <c r="AF53" i="71"/>
  <c r="AE14" i="71"/>
  <c r="AF14" i="71"/>
  <c r="AE15" i="71"/>
  <c r="AF15" i="71"/>
  <c r="AE47" i="71"/>
  <c r="AF47" i="71"/>
  <c r="AE17" i="71"/>
  <c r="AF17" i="71"/>
  <c r="AE49" i="71"/>
  <c r="AF49" i="71"/>
  <c r="AE4" i="71"/>
  <c r="AF4" i="71"/>
  <c r="AE27" i="71"/>
  <c r="AF27" i="71"/>
  <c r="AE67" i="71"/>
  <c r="AF67" i="71"/>
  <c r="AE28" i="71"/>
  <c r="AF28" i="71"/>
  <c r="AE60" i="71"/>
  <c r="AF60" i="71"/>
  <c r="AE46" i="71"/>
  <c r="AF46" i="71"/>
  <c r="AE16" i="71"/>
  <c r="AF16" i="71"/>
  <c r="AE48" i="71"/>
  <c r="AF48" i="71"/>
  <c r="AE18" i="71"/>
  <c r="AF18" i="71"/>
  <c r="AE50" i="71"/>
  <c r="AF50" i="71"/>
  <c r="AE43" i="71"/>
  <c r="AF43" i="71"/>
  <c r="AE45" i="71"/>
  <c r="AF45" i="71"/>
  <c r="AE41" i="71"/>
  <c r="AF41" i="71"/>
  <c r="AE11" i="71"/>
  <c r="AF11" i="71"/>
  <c r="AE29" i="71"/>
  <c r="AF29" i="71"/>
  <c r="AE61" i="71"/>
  <c r="AF61" i="71"/>
  <c r="AE22" i="71"/>
  <c r="AF22" i="71"/>
  <c r="AE54" i="71"/>
  <c r="AF54" i="71"/>
  <c r="AE23" i="71"/>
  <c r="AF23" i="71"/>
  <c r="AE55" i="71"/>
  <c r="AF55" i="71"/>
  <c r="AE25" i="71"/>
  <c r="AF25" i="71"/>
  <c r="AE57" i="71"/>
  <c r="AF57" i="71"/>
  <c r="AE68" i="71"/>
  <c r="AF68" i="71"/>
  <c r="AE24" i="71"/>
  <c r="AF24" i="71"/>
  <c r="AE56" i="71"/>
  <c r="AF56" i="71"/>
  <c r="AE26" i="71"/>
  <c r="AF26" i="71"/>
  <c r="AE58" i="71"/>
  <c r="AF58" i="71"/>
  <c r="AE19" i="71"/>
  <c r="AF19" i="71"/>
  <c r="AE51" i="71"/>
  <c r="AF51" i="71"/>
  <c r="AE5" i="71"/>
  <c r="AF5" i="71"/>
  <c r="AE37" i="71"/>
  <c r="AF37" i="71"/>
  <c r="AE2" i="71"/>
  <c r="AF2" i="71"/>
  <c r="AE31" i="71"/>
  <c r="AF31" i="71"/>
  <c r="AE63" i="71"/>
  <c r="AF63" i="71"/>
  <c r="AE65" i="71"/>
  <c r="AF65" i="71"/>
  <c r="AE12" i="71"/>
  <c r="AF12" i="71"/>
  <c r="AE44" i="71"/>
  <c r="AF44" i="71"/>
  <c r="AE30" i="71"/>
  <c r="AF30" i="71"/>
  <c r="AE62" i="71"/>
  <c r="AF62" i="71"/>
  <c r="AE32" i="71"/>
  <c r="AF32" i="71"/>
  <c r="AE64" i="71"/>
  <c r="AF64" i="71"/>
  <c r="AE33" i="71"/>
  <c r="AF33" i="71"/>
  <c r="AE34" i="71"/>
  <c r="AF34" i="71"/>
  <c r="AE66" i="71"/>
  <c r="AF66" i="71"/>
  <c r="AA69" i="71"/>
  <c r="AD2" i="71"/>
  <c r="AD84" i="67"/>
  <c r="AD83" i="67"/>
  <c r="AD82" i="67"/>
  <c r="AC14" i="72" l="1"/>
  <c r="AD14" i="72" s="1"/>
  <c r="AC50" i="72"/>
  <c r="AD50" i="72" s="1"/>
  <c r="AC68" i="72"/>
  <c r="AD68" i="72" s="1"/>
  <c r="AC66" i="72"/>
  <c r="AD66" i="72" s="1"/>
  <c r="AC20" i="72"/>
  <c r="AD20" i="72" s="1"/>
  <c r="AC33" i="72"/>
  <c r="AD33" i="72" s="1"/>
  <c r="AC43" i="72"/>
  <c r="AD43" i="72" s="1"/>
  <c r="AC52" i="72"/>
  <c r="AD52" i="72" s="1"/>
  <c r="AC53" i="72"/>
  <c r="AD53" i="72" s="1"/>
  <c r="AC15" i="72"/>
  <c r="AD15" i="72" s="1"/>
  <c r="AC3" i="72"/>
  <c r="AD3" i="72" s="1"/>
  <c r="AC25" i="72"/>
  <c r="AD25" i="72" s="1"/>
  <c r="AC22" i="72"/>
  <c r="AD22" i="72" s="1"/>
  <c r="AC6" i="72"/>
  <c r="AD6" i="72" s="1"/>
  <c r="AC61" i="72"/>
  <c r="AD61" i="72" s="1"/>
  <c r="AC47" i="72"/>
  <c r="AD47" i="72" s="1"/>
  <c r="AC35" i="72"/>
  <c r="AD35" i="72" s="1"/>
  <c r="AC8" i="72"/>
  <c r="AD8" i="72" s="1"/>
  <c r="AC2" i="72"/>
  <c r="AD2" i="72" s="1"/>
  <c r="AC60" i="72"/>
  <c r="AD60" i="72" s="1"/>
  <c r="AC9" i="72"/>
  <c r="AD9" i="72" s="1"/>
  <c r="AC16" i="72"/>
  <c r="AD16" i="72" s="1"/>
  <c r="AC39" i="72"/>
  <c r="AD39" i="72" s="1"/>
  <c r="AC32" i="72"/>
  <c r="AD32" i="72" s="1"/>
  <c r="AC59" i="72"/>
  <c r="AD59" i="72" s="1"/>
  <c r="AC17" i="72"/>
  <c r="AD17" i="72" s="1"/>
  <c r="AC31" i="72"/>
  <c r="AD31" i="72" s="1"/>
  <c r="AC19" i="72"/>
  <c r="AD19" i="72" s="1"/>
  <c r="AC12" i="72"/>
  <c r="AD12" i="72" s="1"/>
  <c r="AC23" i="72"/>
  <c r="AD23" i="72" s="1"/>
  <c r="AC11" i="72"/>
  <c r="AD11" i="72" s="1"/>
  <c r="AC4" i="72"/>
  <c r="AD4" i="72" s="1"/>
  <c r="AC5" i="72"/>
  <c r="AD5" i="72" s="1"/>
  <c r="AC29" i="72"/>
  <c r="AD29" i="72" s="1"/>
  <c r="AC57" i="72"/>
  <c r="AD57" i="72" s="1"/>
  <c r="AC58" i="72"/>
  <c r="AD58" i="72" s="1"/>
  <c r="AC26" i="72"/>
  <c r="AD26" i="72" s="1"/>
  <c r="AC30" i="72"/>
  <c r="AD30" i="72" s="1"/>
  <c r="AC41" i="72"/>
  <c r="AD41" i="72" s="1"/>
  <c r="AC21" i="72"/>
  <c r="AD21" i="72" s="1"/>
  <c r="AC13" i="72"/>
  <c r="AD13" i="72" s="1"/>
  <c r="AC49" i="72"/>
  <c r="AD49" i="72" s="1"/>
  <c r="AC18" i="72"/>
  <c r="AD18" i="72" s="1"/>
  <c r="AC65" i="72"/>
  <c r="AD65" i="72" s="1"/>
  <c r="AC28" i="72"/>
  <c r="AD28" i="72" s="1"/>
  <c r="AC55" i="72"/>
  <c r="AD55" i="72" s="1"/>
  <c r="AC45" i="72"/>
  <c r="AD45" i="72" s="1"/>
  <c r="AC27" i="72"/>
  <c r="AD27" i="72" s="1"/>
  <c r="AC67" i="72"/>
  <c r="AD67" i="72" s="1"/>
  <c r="AC37" i="72"/>
  <c r="AD37" i="72" s="1"/>
  <c r="AC51" i="72"/>
  <c r="AD51" i="72" s="1"/>
  <c r="AC24" i="72"/>
  <c r="AD24" i="72" s="1"/>
  <c r="AC56" i="72"/>
  <c r="AD56" i="72" s="1"/>
  <c r="AC44" i="72"/>
  <c r="AD44" i="72" s="1"/>
  <c r="AC69" i="72"/>
  <c r="AD69" i="72" s="1"/>
  <c r="AC48" i="72"/>
  <c r="AD48" i="72" s="1"/>
  <c r="AC40" i="72"/>
  <c r="AD40" i="72" s="1"/>
  <c r="AC7" i="72"/>
  <c r="AD7" i="72" s="1"/>
  <c r="AC62" i="72"/>
  <c r="AD62" i="72" s="1"/>
  <c r="AC10" i="72"/>
  <c r="AD10" i="72" s="1"/>
  <c r="AC42" i="72"/>
  <c r="AD42" i="72" s="1"/>
  <c r="AC46" i="72"/>
  <c r="AD46" i="72" s="1"/>
  <c r="AC34" i="72"/>
  <c r="AD34" i="72" s="1"/>
  <c r="AC38" i="72"/>
  <c r="AD38" i="72" s="1"/>
  <c r="AA70" i="72"/>
  <c r="Y70" i="72"/>
  <c r="Z70" i="72"/>
  <c r="X70" i="72"/>
  <c r="AH51" i="71"/>
  <c r="AI51" i="71" s="1"/>
  <c r="AH56" i="71"/>
  <c r="AI56" i="71" s="1"/>
  <c r="AH25" i="71"/>
  <c r="AI25" i="71" s="1"/>
  <c r="AH22" i="71"/>
  <c r="AI22" i="71" s="1"/>
  <c r="AH41" i="71"/>
  <c r="AI41" i="71" s="1"/>
  <c r="AH18" i="71"/>
  <c r="AI18" i="71" s="1"/>
  <c r="AH60" i="71"/>
  <c r="AI60" i="71" s="1"/>
  <c r="AH4" i="71"/>
  <c r="AI4" i="71" s="1"/>
  <c r="AH15" i="71"/>
  <c r="AI15" i="71" s="1"/>
  <c r="AH35" i="71"/>
  <c r="AI35" i="71" s="1"/>
  <c r="AH42" i="71"/>
  <c r="AI42" i="71" s="1"/>
  <c r="AH38" i="71"/>
  <c r="AI38" i="71" s="1"/>
  <c r="AH9" i="71"/>
  <c r="AI9" i="71" s="1"/>
  <c r="AH64" i="71"/>
  <c r="AI64" i="71" s="1"/>
  <c r="AH31" i="71"/>
  <c r="AI31" i="71" s="1"/>
  <c r="AH44" i="71"/>
  <c r="AI44" i="71" s="1"/>
  <c r="AB69" i="71"/>
  <c r="AG2" i="71"/>
  <c r="AG69" i="71" s="1"/>
  <c r="AH66" i="71"/>
  <c r="AI66" i="71" s="1"/>
  <c r="AH32" i="71"/>
  <c r="AI32" i="71" s="1"/>
  <c r="AH12" i="71"/>
  <c r="AI12" i="71" s="1"/>
  <c r="AH2" i="71"/>
  <c r="AH19" i="71"/>
  <c r="AI19" i="71" s="1"/>
  <c r="AH24" i="71"/>
  <c r="AI24" i="71" s="1"/>
  <c r="AH55" i="71"/>
  <c r="AI55" i="71" s="1"/>
  <c r="AH61" i="71"/>
  <c r="AI61" i="71" s="1"/>
  <c r="AH45" i="71"/>
  <c r="AI45" i="71" s="1"/>
  <c r="AH48" i="71"/>
  <c r="AI48" i="71" s="1"/>
  <c r="AH28" i="71"/>
  <c r="AI28" i="71" s="1"/>
  <c r="AH49" i="71"/>
  <c r="AI49" i="71" s="1"/>
  <c r="AH14" i="71"/>
  <c r="AI14" i="71" s="1"/>
  <c r="AH3" i="71"/>
  <c r="AH10" i="71"/>
  <c r="AI10" i="71" s="1"/>
  <c r="AH6" i="71"/>
  <c r="AI6" i="71" s="1"/>
  <c r="AH7" i="71"/>
  <c r="AI7" i="71" s="1"/>
  <c r="AH34" i="71"/>
  <c r="AI34" i="71" s="1"/>
  <c r="AH62" i="71"/>
  <c r="AI62" i="71" s="1"/>
  <c r="AH65" i="71"/>
  <c r="AI65" i="71" s="1"/>
  <c r="AH37" i="71"/>
  <c r="AI37" i="71" s="1"/>
  <c r="AH58" i="71"/>
  <c r="AI58" i="71" s="1"/>
  <c r="AH68" i="71"/>
  <c r="AI68" i="71" s="1"/>
  <c r="AH23" i="71"/>
  <c r="AI23" i="71" s="1"/>
  <c r="AH29" i="71"/>
  <c r="AI29" i="71" s="1"/>
  <c r="AH43" i="71"/>
  <c r="AI43" i="71" s="1"/>
  <c r="AH16" i="71"/>
  <c r="AI16" i="71" s="1"/>
  <c r="AH67" i="71"/>
  <c r="AI67" i="71" s="1"/>
  <c r="AH17" i="71"/>
  <c r="AI17" i="71" s="1"/>
  <c r="AH53" i="71"/>
  <c r="AI53" i="71" s="1"/>
  <c r="AH59" i="71"/>
  <c r="AI59" i="71" s="1"/>
  <c r="AH40" i="71"/>
  <c r="AI40" i="71" s="1"/>
  <c r="AH52" i="71"/>
  <c r="AI52" i="71" s="1"/>
  <c r="AH36" i="71"/>
  <c r="AI36" i="71" s="1"/>
  <c r="AH33" i="71"/>
  <c r="AI33" i="71" s="1"/>
  <c r="AH30" i="71"/>
  <c r="AI30" i="71" s="1"/>
  <c r="AH63" i="71"/>
  <c r="AI63" i="71" s="1"/>
  <c r="AH5" i="71"/>
  <c r="AI5" i="71" s="1"/>
  <c r="AH26" i="71"/>
  <c r="AI26" i="71" s="1"/>
  <c r="AH57" i="71"/>
  <c r="AI57" i="71" s="1"/>
  <c r="AH54" i="71"/>
  <c r="AI54" i="71" s="1"/>
  <c r="AH11" i="71"/>
  <c r="AI11" i="71" s="1"/>
  <c r="AH50" i="71"/>
  <c r="AI50" i="71" s="1"/>
  <c r="AH46" i="71"/>
  <c r="AI46" i="71" s="1"/>
  <c r="AH27" i="71"/>
  <c r="AI27" i="71" s="1"/>
  <c r="AH47" i="71"/>
  <c r="AI47" i="71" s="1"/>
  <c r="AH21" i="71"/>
  <c r="AI21" i="71" s="1"/>
  <c r="AH13" i="71"/>
  <c r="AI13" i="71" s="1"/>
  <c r="AH8" i="71"/>
  <c r="AI8" i="71" s="1"/>
  <c r="AH20" i="71"/>
  <c r="AI20" i="71" s="1"/>
  <c r="AH39" i="71"/>
  <c r="AI39" i="71" s="1"/>
  <c r="AF69" i="71"/>
  <c r="AE69" i="71"/>
  <c r="AC69" i="71"/>
  <c r="AD69" i="71"/>
  <c r="AQ26" i="7"/>
  <c r="AR26" i="7" s="1"/>
  <c r="AC70" i="72" l="1"/>
  <c r="AD70" i="72"/>
  <c r="AI2" i="71"/>
  <c r="AI3" i="71"/>
  <c r="AH69" i="71"/>
  <c r="AI69" i="71" l="1"/>
  <c r="D135" i="68" l="1"/>
  <c r="D136" i="68"/>
  <c r="D137" i="68"/>
  <c r="D138" i="68"/>
  <c r="D139" i="68"/>
  <c r="D140" i="68"/>
  <c r="D141" i="68"/>
  <c r="D134" i="68"/>
  <c r="D142" i="68" l="1"/>
  <c r="E99" i="68" l="1"/>
  <c r="G131" i="68"/>
  <c r="B17" i="68" a="1"/>
  <c r="C23" i="68" s="1"/>
  <c r="F12" i="68"/>
  <c r="C21" i="68" l="1"/>
  <c r="C18" i="68"/>
  <c r="C19" i="68"/>
  <c r="C20" i="68"/>
  <c r="B17" i="68"/>
  <c r="C17" i="68" s="1"/>
  <c r="C22" i="68"/>
  <c r="C24" i="68" l="1"/>
  <c r="P69" i="67" l="1"/>
  <c r="R69" i="67"/>
  <c r="S69" i="67"/>
  <c r="U69" i="67"/>
  <c r="Q46" i="67"/>
  <c r="T46" i="67" s="1"/>
  <c r="V46" i="67" s="1"/>
  <c r="W46" i="67" s="1"/>
  <c r="X46" i="67" s="1"/>
  <c r="Q5" i="67"/>
  <c r="T5" i="67" s="1"/>
  <c r="V5" i="67" s="1"/>
  <c r="W5" i="67" s="1"/>
  <c r="X5" i="67" s="1"/>
  <c r="Q6" i="67"/>
  <c r="T6" i="67" s="1"/>
  <c r="V6" i="67" s="1"/>
  <c r="W6" i="67" s="1"/>
  <c r="X6" i="67" s="1"/>
  <c r="Q7" i="67"/>
  <c r="T7" i="67" s="1"/>
  <c r="V7" i="67" s="1"/>
  <c r="W7" i="67" s="1"/>
  <c r="X7" i="67" s="1"/>
  <c r="Q8" i="67"/>
  <c r="T8" i="67" s="1"/>
  <c r="V8" i="67" s="1"/>
  <c r="W8" i="67" s="1"/>
  <c r="X8" i="67" s="1"/>
  <c r="Q9" i="67"/>
  <c r="T9" i="67" s="1"/>
  <c r="V9" i="67" s="1"/>
  <c r="W9" i="67" s="1"/>
  <c r="X9" i="67" s="1"/>
  <c r="Q10" i="67"/>
  <c r="T10" i="67" s="1"/>
  <c r="V10" i="67" s="1"/>
  <c r="W10" i="67" s="1"/>
  <c r="X10" i="67" s="1"/>
  <c r="Q4" i="67"/>
  <c r="T4" i="67" s="1"/>
  <c r="V4" i="67" s="1"/>
  <c r="W4" i="67" s="1"/>
  <c r="X4" i="67" s="1"/>
  <c r="Q48" i="67"/>
  <c r="T48" i="67" s="1"/>
  <c r="V48" i="67" s="1"/>
  <c r="W48" i="67" s="1"/>
  <c r="X48" i="67" s="1"/>
  <c r="Q13" i="67"/>
  <c r="T13" i="67" s="1"/>
  <c r="V13" i="67" s="1"/>
  <c r="W13" i="67" s="1"/>
  <c r="X13" i="67" s="1"/>
  <c r="Q14" i="67"/>
  <c r="T14" i="67" s="1"/>
  <c r="V14" i="67" s="1"/>
  <c r="W14" i="67" s="1"/>
  <c r="X14" i="67" s="1"/>
  <c r="Q15" i="67"/>
  <c r="T15" i="67" s="1"/>
  <c r="V15" i="67" s="1"/>
  <c r="W15" i="67" s="1"/>
  <c r="X15" i="67" s="1"/>
  <c r="Q23" i="67"/>
  <c r="T23" i="67" s="1"/>
  <c r="V23" i="67" s="1"/>
  <c r="W23" i="67" s="1"/>
  <c r="X23" i="67" s="1"/>
  <c r="Q24" i="67"/>
  <c r="T24" i="67" s="1"/>
  <c r="V24" i="67" s="1"/>
  <c r="W24" i="67" s="1"/>
  <c r="X24" i="67" s="1"/>
  <c r="Q18" i="67"/>
  <c r="T18" i="67" s="1"/>
  <c r="V18" i="67" s="1"/>
  <c r="W18" i="67" s="1"/>
  <c r="X18" i="67" s="1"/>
  <c r="Q25" i="67"/>
  <c r="T25" i="67" s="1"/>
  <c r="V25" i="67" s="1"/>
  <c r="W25" i="67" s="1"/>
  <c r="X25" i="67" s="1"/>
  <c r="Q16" i="67"/>
  <c r="T16" i="67" s="1"/>
  <c r="V16" i="67" s="1"/>
  <c r="W16" i="67" s="1"/>
  <c r="X16" i="67" s="1"/>
  <c r="Q53" i="67"/>
  <c r="T53" i="67" s="1"/>
  <c r="V53" i="67" s="1"/>
  <c r="W53" i="67" s="1"/>
  <c r="X53" i="67" s="1"/>
  <c r="Q27" i="67"/>
  <c r="T27" i="67" s="1"/>
  <c r="V27" i="67" s="1"/>
  <c r="W27" i="67" s="1"/>
  <c r="X27" i="67" s="1"/>
  <c r="Q29" i="67"/>
  <c r="T29" i="67" s="1"/>
  <c r="V29" i="67" s="1"/>
  <c r="W29" i="67" s="1"/>
  <c r="X29" i="67" s="1"/>
  <c r="Q32" i="67"/>
  <c r="T32" i="67" s="1"/>
  <c r="V32" i="67" s="1"/>
  <c r="W32" i="67" s="1"/>
  <c r="X32" i="67" s="1"/>
  <c r="Q42" i="67"/>
  <c r="T42" i="67" s="1"/>
  <c r="V42" i="67" s="1"/>
  <c r="W42" i="67" s="1"/>
  <c r="X42" i="67" s="1"/>
  <c r="Q11" i="67"/>
  <c r="T11" i="67" s="1"/>
  <c r="V11" i="67" s="1"/>
  <c r="W11" i="67" s="1"/>
  <c r="X11" i="67" s="1"/>
  <c r="Q17" i="67"/>
  <c r="T17" i="67" s="1"/>
  <c r="V17" i="67" s="1"/>
  <c r="W17" i="67" s="1"/>
  <c r="X17" i="67" s="1"/>
  <c r="Q28" i="67"/>
  <c r="T28" i="67" s="1"/>
  <c r="V28" i="67" s="1"/>
  <c r="W28" i="67" s="1"/>
  <c r="X28" i="67" s="1"/>
  <c r="Q45" i="67"/>
  <c r="T45" i="67" s="1"/>
  <c r="V45" i="67" s="1"/>
  <c r="W45" i="67" s="1"/>
  <c r="X45" i="67" s="1"/>
  <c r="Q30" i="67"/>
  <c r="T30" i="67" s="1"/>
  <c r="V30" i="67" s="1"/>
  <c r="W30" i="67" s="1"/>
  <c r="X30" i="67" s="1"/>
  <c r="Q55" i="67"/>
  <c r="T55" i="67" s="1"/>
  <c r="V55" i="67" s="1"/>
  <c r="W55" i="67" s="1"/>
  <c r="X55" i="67" s="1"/>
  <c r="Q49" i="67"/>
  <c r="T49" i="67" s="1"/>
  <c r="V49" i="67" s="1"/>
  <c r="W49" i="67" s="1"/>
  <c r="X49" i="67" s="1"/>
  <c r="Q33" i="67"/>
  <c r="T33" i="67" s="1"/>
  <c r="V33" i="67" s="1"/>
  <c r="W33" i="67" s="1"/>
  <c r="X33" i="67" s="1"/>
  <c r="Q34" i="67"/>
  <c r="T34" i="67" s="1"/>
  <c r="V34" i="67" s="1"/>
  <c r="W34" i="67" s="1"/>
  <c r="X34" i="67" s="1"/>
  <c r="Q35" i="67"/>
  <c r="T35" i="67" s="1"/>
  <c r="V35" i="67" s="1"/>
  <c r="W35" i="67" s="1"/>
  <c r="X35" i="67" s="1"/>
  <c r="Q36" i="67"/>
  <c r="T36" i="67" s="1"/>
  <c r="V36" i="67" s="1"/>
  <c r="W36" i="67" s="1"/>
  <c r="X36" i="67" s="1"/>
  <c r="Q56" i="67"/>
  <c r="T56" i="67" s="1"/>
  <c r="V56" i="67" s="1"/>
  <c r="W56" i="67" s="1"/>
  <c r="X56" i="67" s="1"/>
  <c r="Q38" i="67"/>
  <c r="T38" i="67" s="1"/>
  <c r="V38" i="67" s="1"/>
  <c r="W38" i="67" s="1"/>
  <c r="X38" i="67" s="1"/>
  <c r="Q31" i="67"/>
  <c r="T31" i="67" s="1"/>
  <c r="V31" i="67" s="1"/>
  <c r="W31" i="67" s="1"/>
  <c r="X31" i="67" s="1"/>
  <c r="Q37" i="67"/>
  <c r="T37" i="67" s="1"/>
  <c r="V37" i="67" s="1"/>
  <c r="W37" i="67" s="1"/>
  <c r="X37" i="67" s="1"/>
  <c r="Q41" i="67"/>
  <c r="T41" i="67" s="1"/>
  <c r="V41" i="67" s="1"/>
  <c r="W41" i="67" s="1"/>
  <c r="X41" i="67" s="1"/>
  <c r="Q59" i="67"/>
  <c r="T59" i="67" s="1"/>
  <c r="V59" i="67" s="1"/>
  <c r="W59" i="67" s="1"/>
  <c r="X59" i="67" s="1"/>
  <c r="Q43" i="67"/>
  <c r="T43" i="67" s="1"/>
  <c r="V43" i="67" s="1"/>
  <c r="W43" i="67" s="1"/>
  <c r="X43" i="67" s="1"/>
  <c r="Q57" i="67"/>
  <c r="T57" i="67" s="1"/>
  <c r="V57" i="67" s="1"/>
  <c r="W57" i="67" s="1"/>
  <c r="X57" i="67" s="1"/>
  <c r="Q63" i="67"/>
  <c r="T63" i="67" s="1"/>
  <c r="V63" i="67" s="1"/>
  <c r="W63" i="67" s="1"/>
  <c r="X63" i="67" s="1"/>
  <c r="Q60" i="67"/>
  <c r="T60" i="67" s="1"/>
  <c r="V60" i="67" s="1"/>
  <c r="W60" i="67" s="1"/>
  <c r="X60" i="67" s="1"/>
  <c r="Q47" i="67"/>
  <c r="T47" i="67" s="1"/>
  <c r="V47" i="67" s="1"/>
  <c r="W47" i="67" s="1"/>
  <c r="X47" i="67" s="1"/>
  <c r="Q61" i="67"/>
  <c r="T61" i="67" s="1"/>
  <c r="V61" i="67" s="1"/>
  <c r="W61" i="67" s="1"/>
  <c r="X61" i="67" s="1"/>
  <c r="Q19" i="67"/>
  <c r="T19" i="67" s="1"/>
  <c r="V19" i="67" s="1"/>
  <c r="W19" i="67" s="1"/>
  <c r="X19" i="67" s="1"/>
  <c r="Q50" i="67"/>
  <c r="T50" i="67" s="1"/>
  <c r="V50" i="67" s="1"/>
  <c r="W50" i="67" s="1"/>
  <c r="X50" i="67" s="1"/>
  <c r="Q51" i="67"/>
  <c r="T51" i="67" s="1"/>
  <c r="V51" i="67" s="1"/>
  <c r="W51" i="67" s="1"/>
  <c r="X51" i="67" s="1"/>
  <c r="Q52" i="67"/>
  <c r="T52" i="67" s="1"/>
  <c r="V52" i="67" s="1"/>
  <c r="W52" i="67" s="1"/>
  <c r="X52" i="67" s="1"/>
  <c r="Q12" i="67"/>
  <c r="T12" i="67" s="1"/>
  <c r="V12" i="67" s="1"/>
  <c r="W12" i="67" s="1"/>
  <c r="X12" i="67" s="1"/>
  <c r="Q54" i="67"/>
  <c r="T54" i="67" s="1"/>
  <c r="V54" i="67" s="1"/>
  <c r="W54" i="67" s="1"/>
  <c r="X54" i="67" s="1"/>
  <c r="Q21" i="67"/>
  <c r="T21" i="67" s="1"/>
  <c r="V21" i="67" s="1"/>
  <c r="W21" i="67" s="1"/>
  <c r="X21" i="67" s="1"/>
  <c r="Q39" i="67"/>
  <c r="T39" i="67" s="1"/>
  <c r="V39" i="67" s="1"/>
  <c r="W39" i="67" s="1"/>
  <c r="X39" i="67" s="1"/>
  <c r="Q40" i="67"/>
  <c r="T40" i="67" s="1"/>
  <c r="V40" i="67" s="1"/>
  <c r="W40" i="67" s="1"/>
  <c r="X40" i="67" s="1"/>
  <c r="Q58" i="67"/>
  <c r="T58" i="67" s="1"/>
  <c r="V58" i="67" s="1"/>
  <c r="W58" i="67" s="1"/>
  <c r="X58" i="67" s="1"/>
  <c r="Q20" i="67"/>
  <c r="T20" i="67" s="1"/>
  <c r="V20" i="67" s="1"/>
  <c r="W20" i="67" s="1"/>
  <c r="X20" i="67" s="1"/>
  <c r="Q26" i="67"/>
  <c r="T26" i="67" s="1"/>
  <c r="V26" i="67" s="1"/>
  <c r="W26" i="67" s="1"/>
  <c r="X26" i="67" s="1"/>
  <c r="Q62" i="67"/>
  <c r="T62" i="67" s="1"/>
  <c r="V62" i="67" s="1"/>
  <c r="W62" i="67" s="1"/>
  <c r="X62" i="67" s="1"/>
  <c r="Q44" i="67"/>
  <c r="T44" i="67" s="1"/>
  <c r="V44" i="67" s="1"/>
  <c r="W44" i="67" s="1"/>
  <c r="X44" i="67" s="1"/>
  <c r="Q64" i="67"/>
  <c r="T64" i="67" s="1"/>
  <c r="V64" i="67" s="1"/>
  <c r="W64" i="67" s="1"/>
  <c r="X64" i="67" s="1"/>
  <c r="Q66" i="67"/>
  <c r="T66" i="67" s="1"/>
  <c r="V66" i="67" s="1"/>
  <c r="W66" i="67" s="1"/>
  <c r="X66" i="67" s="1"/>
  <c r="Q65" i="67"/>
  <c r="T65" i="67" s="1"/>
  <c r="V65" i="67" s="1"/>
  <c r="W65" i="67" s="1"/>
  <c r="X65" i="67" s="1"/>
  <c r="Q67" i="67"/>
  <c r="T67" i="67" s="1"/>
  <c r="V67" i="67" s="1"/>
  <c r="W67" i="67" s="1"/>
  <c r="X67" i="67" s="1"/>
  <c r="Q22" i="67"/>
  <c r="T22" i="67" s="1"/>
  <c r="V22" i="67" s="1"/>
  <c r="W22" i="67" s="1"/>
  <c r="X22" i="67" s="1"/>
  <c r="Q68" i="67"/>
  <c r="T68" i="67" s="1"/>
  <c r="V68" i="67" s="1"/>
  <c r="W68" i="67" s="1"/>
  <c r="X68" i="67" s="1"/>
  <c r="Q3" i="67"/>
  <c r="T3" i="67" s="1"/>
  <c r="T69" i="67" l="1"/>
  <c r="Q69" i="67"/>
  <c r="K68" i="67"/>
  <c r="L68" i="67" s="1"/>
  <c r="K22" i="67"/>
  <c r="M22" i="67" s="1"/>
  <c r="K67" i="67"/>
  <c r="M67" i="67" s="1"/>
  <c r="Z67" i="67" s="1"/>
  <c r="Y65" i="67"/>
  <c r="K65" i="67"/>
  <c r="M65" i="67" s="1"/>
  <c r="AG66" i="67"/>
  <c r="Y66" i="67"/>
  <c r="K66" i="67"/>
  <c r="K64" i="67"/>
  <c r="M64" i="67" s="1"/>
  <c r="K44" i="67"/>
  <c r="L44" i="67" s="1"/>
  <c r="Y62" i="67"/>
  <c r="K62" i="67"/>
  <c r="M62" i="67" s="1"/>
  <c r="K26" i="67"/>
  <c r="M26" i="67" s="1"/>
  <c r="AA26" i="67" s="1"/>
  <c r="K20" i="67"/>
  <c r="M20" i="67" s="1"/>
  <c r="K58" i="67"/>
  <c r="M58" i="67" s="1"/>
  <c r="AA58" i="67" s="1"/>
  <c r="K40" i="67"/>
  <c r="M40" i="67" s="1"/>
  <c r="K39" i="67"/>
  <c r="M39" i="67" s="1"/>
  <c r="AA39" i="67" s="1"/>
  <c r="K21" i="67"/>
  <c r="M21" i="67" s="1"/>
  <c r="K54" i="67"/>
  <c r="M54" i="67" s="1"/>
  <c r="Z54" i="67" s="1"/>
  <c r="K12" i="67"/>
  <c r="M12" i="67" s="1"/>
  <c r="K52" i="67"/>
  <c r="M52" i="67" s="1"/>
  <c r="AA52" i="67" s="1"/>
  <c r="K51" i="67"/>
  <c r="M51" i="67" s="1"/>
  <c r="K50" i="67"/>
  <c r="M50" i="67" s="1"/>
  <c r="AA50" i="67" s="1"/>
  <c r="K19" i="67"/>
  <c r="M19" i="67" s="1"/>
  <c r="K61" i="67"/>
  <c r="M61" i="67" s="1"/>
  <c r="AA61" i="67" s="1"/>
  <c r="K47" i="67"/>
  <c r="M47" i="67" s="1"/>
  <c r="K60" i="67"/>
  <c r="M60" i="67" s="1"/>
  <c r="Z60" i="67" s="1"/>
  <c r="K63" i="67"/>
  <c r="M63" i="67" s="1"/>
  <c r="Y57" i="67"/>
  <c r="K57" i="67"/>
  <c r="M57" i="67" s="1"/>
  <c r="Z57" i="67" s="1"/>
  <c r="AG43" i="67"/>
  <c r="Y43" i="67"/>
  <c r="K43" i="67"/>
  <c r="L43" i="67" s="1"/>
  <c r="K59" i="67"/>
  <c r="M59" i="67" s="1"/>
  <c r="K41" i="67"/>
  <c r="L41" i="67" s="1"/>
  <c r="K37" i="67"/>
  <c r="M37" i="67" s="1"/>
  <c r="Z37" i="67" s="1"/>
  <c r="Y31" i="67"/>
  <c r="K31" i="67"/>
  <c r="L31" i="67" s="1"/>
  <c r="Y38" i="67"/>
  <c r="K38" i="67"/>
  <c r="L38" i="67" s="1"/>
  <c r="Y56" i="67"/>
  <c r="K56" i="67"/>
  <c r="M56" i="67" s="1"/>
  <c r="Z56" i="67" s="1"/>
  <c r="AG36" i="67"/>
  <c r="K36" i="67"/>
  <c r="AG35" i="67"/>
  <c r="K35" i="67"/>
  <c r="L35" i="67" s="1"/>
  <c r="K34" i="67"/>
  <c r="L34" i="67" s="1"/>
  <c r="K33" i="67"/>
  <c r="L33" i="67" s="1"/>
  <c r="AG49" i="67"/>
  <c r="K49" i="67"/>
  <c r="M49" i="67" s="1"/>
  <c r="AA49" i="67" s="1"/>
  <c r="Y55" i="67"/>
  <c r="K55" i="67"/>
  <c r="AA55" i="67" s="1"/>
  <c r="K30" i="67"/>
  <c r="AG45" i="67"/>
  <c r="K45" i="67"/>
  <c r="L45" i="67" s="1"/>
  <c r="K28" i="67"/>
  <c r="Z28" i="67" s="1"/>
  <c r="K17" i="67"/>
  <c r="AG11" i="67"/>
  <c r="K11" i="67"/>
  <c r="M11" i="67" s="1"/>
  <c r="AA11" i="67" s="1"/>
  <c r="AG42" i="67"/>
  <c r="K42" i="67"/>
  <c r="L42" i="67" s="1"/>
  <c r="K32" i="67"/>
  <c r="M32" i="67" s="1"/>
  <c r="Z32" i="67" s="1"/>
  <c r="K29" i="67"/>
  <c r="L29" i="67" s="1"/>
  <c r="Y27" i="67"/>
  <c r="K27" i="67"/>
  <c r="L27" i="67" s="1"/>
  <c r="Y53" i="67"/>
  <c r="K53" i="67"/>
  <c r="K16" i="67"/>
  <c r="M16" i="67" s="1"/>
  <c r="Z16" i="67" s="1"/>
  <c r="AG25" i="67"/>
  <c r="K25" i="67"/>
  <c r="K18" i="67"/>
  <c r="M18" i="67" s="1"/>
  <c r="Z18" i="67" s="1"/>
  <c r="AG24" i="67"/>
  <c r="K24" i="67"/>
  <c r="M24" i="67" s="1"/>
  <c r="Z24" i="67" s="1"/>
  <c r="Y23" i="67"/>
  <c r="K23" i="67"/>
  <c r="L23" i="67" s="1"/>
  <c r="AG15" i="67"/>
  <c r="K15" i="67"/>
  <c r="K14" i="67"/>
  <c r="M14" i="67" s="1"/>
  <c r="AA14" i="67" s="1"/>
  <c r="AG13" i="67"/>
  <c r="K13" i="67"/>
  <c r="L13" i="67" s="1"/>
  <c r="K48" i="67"/>
  <c r="L48" i="67" s="1"/>
  <c r="K4" i="67"/>
  <c r="L4" i="67" s="1"/>
  <c r="K10" i="67"/>
  <c r="L10" i="67" s="1"/>
  <c r="K9" i="67"/>
  <c r="L9" i="67" s="1"/>
  <c r="K8" i="67"/>
  <c r="M8" i="67" s="1"/>
  <c r="Y7" i="67"/>
  <c r="K7" i="67"/>
  <c r="L7" i="67" s="1"/>
  <c r="K6" i="67"/>
  <c r="L6" i="67" s="1"/>
  <c r="Y5" i="67"/>
  <c r="K5" i="67"/>
  <c r="L5" i="67" s="1"/>
  <c r="K46" i="67"/>
  <c r="M46" i="67" s="1"/>
  <c r="Z46" i="67" s="1"/>
  <c r="V3" i="67"/>
  <c r="W3" i="67" s="1"/>
  <c r="X3" i="67" s="1"/>
  <c r="X69" i="67" s="1"/>
  <c r="K3" i="67"/>
  <c r="Q8" i="65"/>
  <c r="Q7" i="65"/>
  <c r="Q6" i="65"/>
  <c r="O8" i="65"/>
  <c r="O7" i="65"/>
  <c r="O6" i="65"/>
  <c r="H8" i="65"/>
  <c r="U24" i="71" l="1"/>
  <c r="P24" i="72" s="1"/>
  <c r="R47" i="71"/>
  <c r="S47" i="71" s="1"/>
  <c r="O47" i="72" s="1"/>
  <c r="R8" i="71"/>
  <c r="S8" i="71" s="1"/>
  <c r="O8" i="72" s="1"/>
  <c r="R37" i="71"/>
  <c r="S37" i="71" s="1"/>
  <c r="O37" i="72" s="1"/>
  <c r="R36" i="71"/>
  <c r="S36" i="71" s="1"/>
  <c r="O36" i="72" s="1"/>
  <c r="R3" i="71"/>
  <c r="S3" i="71" s="1"/>
  <c r="O3" i="72" s="1"/>
  <c r="R39" i="71"/>
  <c r="S39" i="71" s="1"/>
  <c r="O39" i="72" s="1"/>
  <c r="R66" i="71"/>
  <c r="S66" i="71" s="1"/>
  <c r="O67" i="72" s="1"/>
  <c r="R19" i="71"/>
  <c r="U68" i="71"/>
  <c r="P69" i="72" s="1"/>
  <c r="R64" i="71"/>
  <c r="S64" i="71" s="1"/>
  <c r="O65" i="72" s="1"/>
  <c r="R7" i="71"/>
  <c r="S7" i="71" s="1"/>
  <c r="O7" i="72" s="1"/>
  <c r="R29" i="71"/>
  <c r="R4" i="71"/>
  <c r="S4" i="71" s="1"/>
  <c r="O4" i="72" s="1"/>
  <c r="R55" i="71"/>
  <c r="S55" i="71" s="1"/>
  <c r="O56" i="72" s="1"/>
  <c r="R41" i="71"/>
  <c r="S41" i="71" s="1"/>
  <c r="O41" i="72" s="1"/>
  <c r="R45" i="71"/>
  <c r="R56" i="71"/>
  <c r="S56" i="71" s="1"/>
  <c r="O57" i="72" s="1"/>
  <c r="R54" i="71"/>
  <c r="S54" i="71" s="1"/>
  <c r="O55" i="72" s="1"/>
  <c r="R5" i="71"/>
  <c r="S5" i="71" s="1"/>
  <c r="O5" i="72" s="1"/>
  <c r="R67" i="71"/>
  <c r="S67" i="71" s="1"/>
  <c r="O68" i="72" s="1"/>
  <c r="R57" i="71"/>
  <c r="S57" i="71" s="1"/>
  <c r="O58" i="72" s="1"/>
  <c r="R26" i="71"/>
  <c r="S26" i="71" s="1"/>
  <c r="O26" i="72" s="1"/>
  <c r="R10" i="71"/>
  <c r="S10" i="71" s="1"/>
  <c r="O10" i="72" s="1"/>
  <c r="R48" i="71"/>
  <c r="S48" i="71" s="1"/>
  <c r="O48" i="72" s="1"/>
  <c r="R46" i="71"/>
  <c r="S46" i="71" s="1"/>
  <c r="O46" i="72" s="1"/>
  <c r="R31" i="71"/>
  <c r="S31" i="71" s="1"/>
  <c r="O31" i="72" s="1"/>
  <c r="R59" i="71"/>
  <c r="R58" i="71"/>
  <c r="S58" i="71" s="1"/>
  <c r="O59" i="72" s="1"/>
  <c r="R49" i="71"/>
  <c r="S49" i="71" s="1"/>
  <c r="O49" i="72" s="1"/>
  <c r="R16" i="71"/>
  <c r="S16" i="71" s="1"/>
  <c r="O16" i="72" s="1"/>
  <c r="R40" i="71"/>
  <c r="S40" i="71" s="1"/>
  <c r="O40" i="72" s="1"/>
  <c r="R38" i="71"/>
  <c r="S38" i="71" s="1"/>
  <c r="O38" i="72" s="1"/>
  <c r="R68" i="71"/>
  <c r="R51" i="71"/>
  <c r="S51" i="71" s="1"/>
  <c r="O51" i="72" s="1"/>
  <c r="R50" i="71"/>
  <c r="S50" i="71" s="1"/>
  <c r="O50" i="72" s="1"/>
  <c r="R33" i="71"/>
  <c r="S33" i="71" s="1"/>
  <c r="O33" i="72" s="1"/>
  <c r="R11" i="71"/>
  <c r="S11" i="71" s="1"/>
  <c r="O11" i="72" s="1"/>
  <c r="R32" i="71"/>
  <c r="S32" i="71" s="1"/>
  <c r="O32" i="72" s="1"/>
  <c r="R6" i="71"/>
  <c r="S6" i="71" s="1"/>
  <c r="O6" i="72" s="1"/>
  <c r="R60" i="71"/>
  <c r="S60" i="71" s="1"/>
  <c r="O61" i="72" s="1"/>
  <c r="R35" i="71"/>
  <c r="R42" i="71"/>
  <c r="S42" i="71" s="1"/>
  <c r="O42" i="72" s="1"/>
  <c r="R44" i="71"/>
  <c r="S44" i="71" s="1"/>
  <c r="O44" i="72" s="1"/>
  <c r="R24" i="71"/>
  <c r="R2" i="71"/>
  <c r="S2" i="71" s="1"/>
  <c r="O2" i="72" s="1"/>
  <c r="R52" i="71"/>
  <c r="S52" i="71" s="1"/>
  <c r="O52" i="72" s="1"/>
  <c r="R9" i="71"/>
  <c r="S9" i="71" s="1"/>
  <c r="O9" i="72" s="1"/>
  <c r="Q54" i="71"/>
  <c r="Q29" i="71"/>
  <c r="Q4" i="71"/>
  <c r="Q47" i="71"/>
  <c r="Q9" i="71"/>
  <c r="R13" i="71"/>
  <c r="S13" i="71" s="1"/>
  <c r="O13" i="72" s="1"/>
  <c r="R12" i="71"/>
  <c r="S12" i="71" s="1"/>
  <c r="O12" i="72" s="1"/>
  <c r="Q17" i="71"/>
  <c r="Q66" i="71"/>
  <c r="Q48" i="71"/>
  <c r="Q38" i="71"/>
  <c r="Q5" i="71"/>
  <c r="Q31" i="71"/>
  <c r="Q58" i="71"/>
  <c r="Q23" i="71"/>
  <c r="Q40" i="71"/>
  <c r="Q30" i="71"/>
  <c r="Q14" i="71"/>
  <c r="Q42" i="71"/>
  <c r="Q25" i="71"/>
  <c r="C74" i="71" a="1"/>
  <c r="C74" i="71" s="1"/>
  <c r="Q32" i="71"/>
  <c r="Q6" i="71"/>
  <c r="Q55" i="71"/>
  <c r="Q59" i="71"/>
  <c r="Q50" i="71"/>
  <c r="R23" i="71"/>
  <c r="R30" i="71"/>
  <c r="S30" i="71" s="1"/>
  <c r="O30" i="72" s="1"/>
  <c r="R14" i="71"/>
  <c r="R25" i="71"/>
  <c r="S25" i="71" s="1"/>
  <c r="O25" i="72" s="1"/>
  <c r="R17" i="71"/>
  <c r="S17" i="71" s="1"/>
  <c r="O17" i="72" s="1"/>
  <c r="Q36" i="71"/>
  <c r="Q13" i="71"/>
  <c r="Q24" i="71"/>
  <c r="Q2" i="71"/>
  <c r="Q68" i="71"/>
  <c r="Q34" i="71"/>
  <c r="Q67" i="71"/>
  <c r="Q22" i="71"/>
  <c r="Q28" i="71"/>
  <c r="Q51" i="71"/>
  <c r="Q18" i="71"/>
  <c r="Q57" i="71"/>
  <c r="Q41" i="71"/>
  <c r="Q49" i="71"/>
  <c r="Q46" i="71"/>
  <c r="Q16" i="71"/>
  <c r="Q60" i="71"/>
  <c r="Q35" i="71"/>
  <c r="Q26" i="71"/>
  <c r="R22" i="71"/>
  <c r="S22" i="71" s="1"/>
  <c r="O22" i="72" s="1"/>
  <c r="R28" i="71"/>
  <c r="S28" i="71" s="1"/>
  <c r="O28" i="72" s="1"/>
  <c r="R18" i="71"/>
  <c r="S18" i="71" s="1"/>
  <c r="O18" i="72" s="1"/>
  <c r="Q37" i="71"/>
  <c r="Q12" i="71"/>
  <c r="Q8" i="71"/>
  <c r="Q52" i="71"/>
  <c r="Q19" i="71"/>
  <c r="Q10" i="71"/>
  <c r="Q64" i="71"/>
  <c r="Q21" i="71"/>
  <c r="Q20" i="71"/>
  <c r="Q27" i="71"/>
  <c r="Q15" i="71"/>
  <c r="Q56" i="71"/>
  <c r="Q7" i="71"/>
  <c r="Q45" i="71"/>
  <c r="Q44" i="71"/>
  <c r="Q11" i="71"/>
  <c r="Q39" i="71"/>
  <c r="R21" i="71"/>
  <c r="S21" i="71" s="1"/>
  <c r="O21" i="72" s="1"/>
  <c r="R20" i="71"/>
  <c r="R27" i="71"/>
  <c r="S27" i="71" s="1"/>
  <c r="O27" i="72" s="1"/>
  <c r="R15" i="71"/>
  <c r="S15" i="71" s="1"/>
  <c r="O15" i="72" s="1"/>
  <c r="Q3" i="71"/>
  <c r="Q33" i="71"/>
  <c r="L3" i="67"/>
  <c r="A74" i="71" a="1"/>
  <c r="W69" i="67"/>
  <c r="V69" i="67"/>
  <c r="Z52" i="67"/>
  <c r="AB52" i="67" s="1"/>
  <c r="AA66" i="67"/>
  <c r="M43" i="67"/>
  <c r="Z43" i="67" s="1"/>
  <c r="AA54" i="67"/>
  <c r="AB54" i="67" s="1"/>
  <c r="M29" i="67"/>
  <c r="Z29" i="67" s="1"/>
  <c r="M45" i="67"/>
  <c r="Z45" i="67" s="1"/>
  <c r="Z49" i="67"/>
  <c r="AB49" i="67" s="1"/>
  <c r="Z26" i="67"/>
  <c r="AB26" i="67" s="1"/>
  <c r="AA18" i="67"/>
  <c r="AB18" i="67" s="1"/>
  <c r="Z11" i="67"/>
  <c r="AB11" i="67" s="1"/>
  <c r="L37" i="67"/>
  <c r="L18" i="67"/>
  <c r="M23" i="67"/>
  <c r="Z23" i="67" s="1"/>
  <c r="Z17" i="67"/>
  <c r="AA17" i="67"/>
  <c r="L58" i="67"/>
  <c r="M4" i="67"/>
  <c r="Z4" i="67" s="1"/>
  <c r="M41" i="67"/>
  <c r="Z41" i="67" s="1"/>
  <c r="M44" i="67"/>
  <c r="Z44" i="67" s="1"/>
  <c r="Z53" i="67"/>
  <c r="Z14" i="67"/>
  <c r="AB14" i="67" s="1"/>
  <c r="Z58" i="67"/>
  <c r="AB58" i="67" s="1"/>
  <c r="L24" i="67"/>
  <c r="M48" i="67"/>
  <c r="Z48" i="67" s="1"/>
  <c r="M27" i="67"/>
  <c r="Z27" i="67" s="1"/>
  <c r="AA57" i="67"/>
  <c r="AB57" i="67" s="1"/>
  <c r="Z50" i="67"/>
  <c r="AB50" i="67" s="1"/>
  <c r="M33" i="67"/>
  <c r="Z33" i="67" s="1"/>
  <c r="L26" i="67"/>
  <c r="M35" i="67"/>
  <c r="Z35" i="67" s="1"/>
  <c r="M9" i="67"/>
  <c r="Z9" i="67" s="1"/>
  <c r="M13" i="67"/>
  <c r="Z13" i="67" s="1"/>
  <c r="L16" i="67"/>
  <c r="L49" i="67"/>
  <c r="M34" i="67"/>
  <c r="Z34" i="67" s="1"/>
  <c r="AA60" i="67"/>
  <c r="AB60" i="67" s="1"/>
  <c r="L52" i="67"/>
  <c r="Z8" i="67"/>
  <c r="AA8" i="67"/>
  <c r="L8" i="67"/>
  <c r="M6" i="67"/>
  <c r="AA6" i="67" s="1"/>
  <c r="M42" i="67"/>
  <c r="Z42" i="67" s="1"/>
  <c r="M38" i="67"/>
  <c r="Z38" i="67" s="1"/>
  <c r="M31" i="67"/>
  <c r="Z31" i="67" s="1"/>
  <c r="L59" i="67"/>
  <c r="M10" i="67"/>
  <c r="Z10" i="67" s="1"/>
  <c r="L32" i="67"/>
  <c r="L56" i="67"/>
  <c r="AA37" i="67"/>
  <c r="AB37" i="67" s="1"/>
  <c r="AA67" i="67"/>
  <c r="AB67" i="67" s="1"/>
  <c r="AA46" i="67"/>
  <c r="AB46" i="67" s="1"/>
  <c r="AA16" i="67"/>
  <c r="AB16" i="67" s="1"/>
  <c r="L50" i="67"/>
  <c r="L64" i="67"/>
  <c r="L67" i="67"/>
  <c r="Y15" i="67"/>
  <c r="Y19" i="67"/>
  <c r="Y40" i="67"/>
  <c r="Y30" i="67"/>
  <c r="Y41" i="67"/>
  <c r="Y29" i="67"/>
  <c r="Y46" i="67"/>
  <c r="Y8" i="67"/>
  <c r="Y14" i="67"/>
  <c r="Y24" i="67"/>
  <c r="Y25" i="67"/>
  <c r="Y16" i="67"/>
  <c r="Y47" i="67"/>
  <c r="Y21" i="67"/>
  <c r="Y48" i="67"/>
  <c r="Y9" i="67"/>
  <c r="Y6" i="67"/>
  <c r="Y4" i="67"/>
  <c r="Y32" i="67"/>
  <c r="Y17" i="67"/>
  <c r="Y18" i="67"/>
  <c r="Y42" i="67"/>
  <c r="Y45" i="67"/>
  <c r="Y35" i="67"/>
  <c r="Y49" i="67"/>
  <c r="Y33" i="67"/>
  <c r="Y10" i="67"/>
  <c r="Y28" i="67"/>
  <c r="Y36" i="67"/>
  <c r="Y13" i="67"/>
  <c r="Y34" i="67"/>
  <c r="Y37" i="67"/>
  <c r="Y60" i="67"/>
  <c r="L61" i="67"/>
  <c r="Y54" i="67"/>
  <c r="L39" i="67"/>
  <c r="Z65" i="67"/>
  <c r="AA65" i="67"/>
  <c r="Y68" i="67"/>
  <c r="M3" i="67"/>
  <c r="L46" i="67"/>
  <c r="M25" i="67"/>
  <c r="L25" i="67"/>
  <c r="Z63" i="67"/>
  <c r="AA63" i="67"/>
  <c r="Z12" i="67"/>
  <c r="AA12" i="67"/>
  <c r="AA62" i="67"/>
  <c r="Z62" i="67"/>
  <c r="Y64" i="67"/>
  <c r="Y67" i="67"/>
  <c r="AA43" i="67"/>
  <c r="Y20" i="67"/>
  <c r="AA32" i="67"/>
  <c r="AB32" i="67" s="1"/>
  <c r="L11" i="67"/>
  <c r="AA56" i="67"/>
  <c r="Y59" i="67"/>
  <c r="Z47" i="67"/>
  <c r="AA47" i="67"/>
  <c r="Z61" i="67"/>
  <c r="AB61" i="67" s="1"/>
  <c r="Z21" i="67"/>
  <c r="AA21" i="67"/>
  <c r="Z39" i="67"/>
  <c r="AB39" i="67" s="1"/>
  <c r="Y44" i="67"/>
  <c r="Z20" i="67"/>
  <c r="AA20" i="67"/>
  <c r="M5" i="67"/>
  <c r="M7" i="67"/>
  <c r="Z55" i="67"/>
  <c r="Y63" i="67"/>
  <c r="Y50" i="67"/>
  <c r="Y12" i="67"/>
  <c r="Y58" i="67"/>
  <c r="AA22" i="67"/>
  <c r="Z22" i="67"/>
  <c r="M30" i="67"/>
  <c r="L30" i="67"/>
  <c r="Y61" i="67"/>
  <c r="Y51" i="67"/>
  <c r="Y39" i="67"/>
  <c r="AA28" i="67"/>
  <c r="AB28" i="67" s="1"/>
  <c r="AA64" i="67"/>
  <c r="Z64" i="67"/>
  <c r="Z51" i="67"/>
  <c r="AA51" i="67"/>
  <c r="M15" i="67"/>
  <c r="L15" i="67"/>
  <c r="AA24" i="67"/>
  <c r="AB24" i="67" s="1"/>
  <c r="Z19" i="67"/>
  <c r="AA19" i="67"/>
  <c r="Z40" i="67"/>
  <c r="AA40" i="67"/>
  <c r="L14" i="67"/>
  <c r="Y11" i="67"/>
  <c r="M36" i="67"/>
  <c r="L36" i="67"/>
  <c r="AA59" i="67"/>
  <c r="Z59" i="67"/>
  <c r="L60" i="67"/>
  <c r="Y52" i="67"/>
  <c r="L54" i="67"/>
  <c r="Y26" i="67"/>
  <c r="Y22" i="67"/>
  <c r="L65" i="67"/>
  <c r="M68" i="67"/>
  <c r="Z66" i="67"/>
  <c r="L57" i="67"/>
  <c r="L63" i="67"/>
  <c r="L47" i="67"/>
  <c r="L19" i="67"/>
  <c r="L51" i="67"/>
  <c r="L12" i="67"/>
  <c r="L21" i="67"/>
  <c r="L40" i="67"/>
  <c r="L20" i="67"/>
  <c r="L62" i="67"/>
  <c r="L22" i="67"/>
  <c r="A74" i="71" l="1"/>
  <c r="K43" i="71" s="1"/>
  <c r="S24" i="71"/>
  <c r="O24" i="72" s="1"/>
  <c r="U19" i="71"/>
  <c r="U59" i="71"/>
  <c r="U29" i="71"/>
  <c r="U35" i="71"/>
  <c r="S35" i="71" s="1"/>
  <c r="O35" i="72" s="1"/>
  <c r="U45" i="71"/>
  <c r="S68" i="71"/>
  <c r="O69" i="72" s="1"/>
  <c r="U65" i="71"/>
  <c r="U14" i="71"/>
  <c r="U20" i="71"/>
  <c r="U23" i="71"/>
  <c r="AA53" i="67"/>
  <c r="AB53" i="67" s="1"/>
  <c r="AA45" i="67"/>
  <c r="AB45" i="67" s="1"/>
  <c r="AA33" i="67"/>
  <c r="AB33" i="67" s="1"/>
  <c r="AA29" i="67"/>
  <c r="AB29" i="67" s="1"/>
  <c r="AA23" i="67"/>
  <c r="AB23" i="67" s="1"/>
  <c r="AA9" i="67"/>
  <c r="AB9" i="67" s="1"/>
  <c r="AA44" i="67"/>
  <c r="AB44" i="67" s="1"/>
  <c r="AA38" i="67"/>
  <c r="AB38" i="67" s="1"/>
  <c r="AA31" i="67"/>
  <c r="AB31" i="67" s="1"/>
  <c r="AA48" i="67"/>
  <c r="AB48" i="67" s="1"/>
  <c r="AA4" i="67"/>
  <c r="AB4" i="67" s="1"/>
  <c r="AA13" i="67"/>
  <c r="AB13" i="67" s="1"/>
  <c r="AA10" i="67"/>
  <c r="AA35" i="67"/>
  <c r="AB35" i="67" s="1"/>
  <c r="AA27" i="67"/>
  <c r="AB17" i="67"/>
  <c r="AB47" i="67"/>
  <c r="AA34" i="67"/>
  <c r="AB34" i="67" s="1"/>
  <c r="AB8" i="67"/>
  <c r="AA42" i="67"/>
  <c r="AB42" i="67" s="1"/>
  <c r="AA41" i="67"/>
  <c r="AB41" i="67" s="1"/>
  <c r="AB63" i="67"/>
  <c r="AB59" i="67"/>
  <c r="AB51" i="67"/>
  <c r="AB19" i="67"/>
  <c r="AB64" i="67"/>
  <c r="AB40" i="67"/>
  <c r="AB22" i="67"/>
  <c r="AB20" i="67"/>
  <c r="AB65" i="67"/>
  <c r="AB12" i="67"/>
  <c r="Z6" i="67"/>
  <c r="AB6" i="67" s="1"/>
  <c r="AB21" i="67"/>
  <c r="AA30" i="67"/>
  <c r="Z30" i="67"/>
  <c r="AA15" i="67"/>
  <c r="Z15" i="67"/>
  <c r="AB66" i="67"/>
  <c r="AA5" i="67"/>
  <c r="Z5" i="67"/>
  <c r="AA68" i="67"/>
  <c r="Z68" i="67"/>
  <c r="AA25" i="67"/>
  <c r="Z25" i="67"/>
  <c r="AB62" i="67"/>
  <c r="AB43" i="67"/>
  <c r="AA36" i="67"/>
  <c r="Z36" i="67"/>
  <c r="AB55" i="67"/>
  <c r="AA7" i="67"/>
  <c r="Z7" i="67"/>
  <c r="AB56" i="67"/>
  <c r="AA3" i="67"/>
  <c r="Z3" i="67"/>
  <c r="H15" i="65"/>
  <c r="D9" i="65"/>
  <c r="P12" i="65"/>
  <c r="K32" i="71" l="1"/>
  <c r="K66" i="71"/>
  <c r="K61" i="71"/>
  <c r="K47" i="71"/>
  <c r="K53" i="71"/>
  <c r="K35" i="71"/>
  <c r="K56" i="71"/>
  <c r="K19" i="71"/>
  <c r="K22" i="71"/>
  <c r="K41" i="71"/>
  <c r="K51" i="71"/>
  <c r="K7" i="71"/>
  <c r="K37" i="71"/>
  <c r="K42" i="71"/>
  <c r="K34" i="71"/>
  <c r="K12" i="71"/>
  <c r="K6" i="71"/>
  <c r="K49" i="71"/>
  <c r="K63" i="71"/>
  <c r="K33" i="71"/>
  <c r="K64" i="71"/>
  <c r="K30" i="71"/>
  <c r="K60" i="71"/>
  <c r="K20" i="71"/>
  <c r="K40" i="71"/>
  <c r="K55" i="71"/>
  <c r="K17" i="71"/>
  <c r="K14" i="71"/>
  <c r="K45" i="71"/>
  <c r="K68" i="71"/>
  <c r="K4" i="71"/>
  <c r="K27" i="71"/>
  <c r="K26" i="71"/>
  <c r="K24" i="71"/>
  <c r="K39" i="71"/>
  <c r="K62" i="71"/>
  <c r="K65" i="71"/>
  <c r="K29" i="71"/>
  <c r="K52" i="71"/>
  <c r="K57" i="71"/>
  <c r="K11" i="71"/>
  <c r="K16" i="71"/>
  <c r="K31" i="71"/>
  <c r="K54" i="71"/>
  <c r="K25" i="71"/>
  <c r="K21" i="71"/>
  <c r="K44" i="71"/>
  <c r="K9" i="71"/>
  <c r="K3" i="71"/>
  <c r="K18" i="71"/>
  <c r="K10" i="71"/>
  <c r="K8" i="71"/>
  <c r="K23" i="71"/>
  <c r="K46" i="71"/>
  <c r="K48" i="71"/>
  <c r="K13" i="71"/>
  <c r="K36" i="71"/>
  <c r="K67" i="71"/>
  <c r="K58" i="71"/>
  <c r="K50" i="71"/>
  <c r="K15" i="71"/>
  <c r="K38" i="71"/>
  <c r="K2" i="71"/>
  <c r="K5" i="71"/>
  <c r="K28" i="71"/>
  <c r="K59" i="71"/>
  <c r="S45" i="71"/>
  <c r="O45" i="72" s="1"/>
  <c r="P45" i="72"/>
  <c r="S29" i="71"/>
  <c r="O29" i="72" s="1"/>
  <c r="P29" i="72"/>
  <c r="S23" i="71"/>
  <c r="O23" i="72" s="1"/>
  <c r="P23" i="72"/>
  <c r="S59" i="71"/>
  <c r="O60" i="72" s="1"/>
  <c r="P60" i="72"/>
  <c r="S20" i="71"/>
  <c r="O20" i="72" s="1"/>
  <c r="P20" i="72"/>
  <c r="S19" i="71"/>
  <c r="O19" i="72" s="1"/>
  <c r="P19" i="72"/>
  <c r="S14" i="71"/>
  <c r="O14" i="72" s="1"/>
  <c r="P14" i="72"/>
  <c r="S65" i="71"/>
  <c r="AB10" i="67"/>
  <c r="AB27" i="67"/>
  <c r="Z69" i="67"/>
  <c r="AB25" i="67"/>
  <c r="AB15" i="67"/>
  <c r="AB30" i="67"/>
  <c r="AB36" i="67"/>
  <c r="AB68" i="67"/>
  <c r="Y3" i="67"/>
  <c r="Y69" i="67" s="1"/>
  <c r="AB3" i="67"/>
  <c r="AB7" i="67"/>
  <c r="AA69" i="67"/>
  <c r="AB5" i="67"/>
  <c r="AC69" i="67" l="1"/>
  <c r="M9" i="65" l="1"/>
  <c r="P9" i="65"/>
  <c r="Q9" i="65"/>
  <c r="R9" i="65" s="1"/>
  <c r="H12" i="65"/>
  <c r="H9" i="65"/>
  <c r="F8" i="65"/>
  <c r="F7" i="65"/>
  <c r="H10" i="65" l="1"/>
  <c r="H13" i="65" l="1"/>
  <c r="H11" i="65"/>
  <c r="I10" i="65"/>
  <c r="I11" i="65" s="1"/>
  <c r="I12" i="65" s="1"/>
  <c r="AG43" i="61" l="1"/>
  <c r="AF43" i="61"/>
  <c r="AG36" i="61"/>
  <c r="AF36" i="61"/>
  <c r="AG35" i="61"/>
  <c r="AF35" i="61"/>
  <c r="AG64" i="61"/>
  <c r="AG32" i="61"/>
  <c r="AG29" i="61"/>
  <c r="AG26" i="61"/>
  <c r="AG25" i="61"/>
  <c r="AG18" i="61"/>
  <c r="AG16" i="61"/>
  <c r="AG14" i="61"/>
  <c r="AG12" i="61"/>
  <c r="AF64" i="61"/>
  <c r="AF32" i="61"/>
  <c r="AF29" i="61"/>
  <c r="AF26" i="61"/>
  <c r="AF25" i="61"/>
  <c r="AF18" i="61"/>
  <c r="AF16" i="61"/>
  <c r="AF14" i="61"/>
  <c r="AF12" i="61"/>
  <c r="AE65" i="61"/>
  <c r="AD65" i="61"/>
  <c r="AE66" i="61"/>
  <c r="AE3" i="61"/>
  <c r="Y15" i="61"/>
  <c r="Y21" i="61"/>
  <c r="Y22" i="61"/>
  <c r="Y31" i="61"/>
  <c r="Y37" i="61"/>
  <c r="Y44" i="61"/>
  <c r="Y61" i="61"/>
  <c r="Y64" i="61"/>
  <c r="AO3" i="7"/>
  <c r="AO7" i="7"/>
  <c r="AO26" i="7"/>
  <c r="AO111" i="7"/>
  <c r="AB72" i="61" l="1" a="1"/>
  <c r="AB72" i="61" s="1"/>
  <c r="K3" i="61" l="1"/>
  <c r="M3" i="61" s="1"/>
  <c r="K4" i="61"/>
  <c r="M4" i="61" s="1"/>
  <c r="K5" i="61"/>
  <c r="M5" i="61" s="1"/>
  <c r="K6" i="61"/>
  <c r="M6" i="61" s="1"/>
  <c r="K7" i="61"/>
  <c r="M7" i="61" s="1"/>
  <c r="K8" i="61"/>
  <c r="M8" i="61" s="1"/>
  <c r="K9" i="61"/>
  <c r="M9" i="61" s="1"/>
  <c r="K10" i="61"/>
  <c r="M10" i="61" s="1"/>
  <c r="K11" i="61"/>
  <c r="M11" i="61" s="1"/>
  <c r="K12" i="61"/>
  <c r="M12" i="61" s="1"/>
  <c r="K13" i="61"/>
  <c r="M13" i="61" s="1"/>
  <c r="K14" i="61"/>
  <c r="M14" i="61" s="1"/>
  <c r="K15" i="61"/>
  <c r="M15" i="61" s="1"/>
  <c r="K16" i="61"/>
  <c r="M16" i="61" s="1"/>
  <c r="K17" i="61"/>
  <c r="M17" i="61" s="1"/>
  <c r="K18" i="61"/>
  <c r="M18" i="61" s="1"/>
  <c r="K19" i="61"/>
  <c r="M19" i="61" s="1"/>
  <c r="K20" i="61"/>
  <c r="M20" i="61" s="1"/>
  <c r="K21" i="61"/>
  <c r="M21" i="61" s="1"/>
  <c r="K22" i="61"/>
  <c r="M22" i="61" s="1"/>
  <c r="K23" i="61"/>
  <c r="M23" i="61" s="1"/>
  <c r="K24" i="61"/>
  <c r="M24" i="61" s="1"/>
  <c r="K25" i="61"/>
  <c r="M25" i="61" s="1"/>
  <c r="K26" i="61"/>
  <c r="M26" i="61" s="1"/>
  <c r="K27" i="61"/>
  <c r="M27" i="61" s="1"/>
  <c r="K28" i="61"/>
  <c r="M28" i="61" s="1"/>
  <c r="K29" i="61"/>
  <c r="M29" i="61" s="1"/>
  <c r="K30" i="61"/>
  <c r="M30" i="61" s="1"/>
  <c r="K31" i="61"/>
  <c r="M31" i="61" s="1"/>
  <c r="K32" i="61"/>
  <c r="M32" i="61" s="1"/>
  <c r="K33" i="61"/>
  <c r="M33" i="61" s="1"/>
  <c r="K34" i="61"/>
  <c r="M34" i="61" s="1"/>
  <c r="K35" i="61"/>
  <c r="M35" i="61" s="1"/>
  <c r="K36" i="61"/>
  <c r="M36" i="61" s="1"/>
  <c r="K37" i="61"/>
  <c r="M37" i="61" s="1"/>
  <c r="K38" i="61"/>
  <c r="M38" i="61" s="1"/>
  <c r="K39" i="61"/>
  <c r="M39" i="61" s="1"/>
  <c r="K40" i="61"/>
  <c r="M40" i="61" s="1"/>
  <c r="K41" i="61"/>
  <c r="M41" i="61" s="1"/>
  <c r="K42" i="61"/>
  <c r="M42" i="61" s="1"/>
  <c r="K43" i="61"/>
  <c r="M43" i="61" s="1"/>
  <c r="K44" i="61"/>
  <c r="M44" i="61" s="1"/>
  <c r="K45" i="61"/>
  <c r="M45" i="61" s="1"/>
  <c r="K46" i="61"/>
  <c r="M46" i="61" s="1"/>
  <c r="K47" i="61"/>
  <c r="M47" i="61" s="1"/>
  <c r="K48" i="61"/>
  <c r="M48" i="61" s="1"/>
  <c r="K49" i="61"/>
  <c r="M49" i="61" s="1"/>
  <c r="K50" i="61"/>
  <c r="M50" i="61" s="1"/>
  <c r="K51" i="61"/>
  <c r="M51" i="61" s="1"/>
  <c r="K52" i="61"/>
  <c r="M52" i="61" s="1"/>
  <c r="K53" i="61"/>
  <c r="M53" i="61" s="1"/>
  <c r="K54" i="61"/>
  <c r="M54" i="61" s="1"/>
  <c r="K55" i="61"/>
  <c r="M55" i="61" s="1"/>
  <c r="K56" i="61"/>
  <c r="M56" i="61" s="1"/>
  <c r="K57" i="61"/>
  <c r="M57" i="61" s="1"/>
  <c r="K58" i="61"/>
  <c r="M58" i="61" s="1"/>
  <c r="K59" i="61"/>
  <c r="M59" i="61" s="1"/>
  <c r="K60" i="61"/>
  <c r="M60" i="61" s="1"/>
  <c r="K61" i="61"/>
  <c r="M61" i="61" s="1"/>
  <c r="K62" i="61"/>
  <c r="M62" i="61" s="1"/>
  <c r="K63" i="61"/>
  <c r="M63" i="61" s="1"/>
  <c r="K64" i="61"/>
  <c r="M64" i="61" s="1"/>
  <c r="K65" i="61"/>
  <c r="M65" i="61" s="1"/>
  <c r="K66" i="61"/>
  <c r="M66" i="61" s="1"/>
  <c r="K67" i="61"/>
  <c r="M67" i="61" s="1"/>
  <c r="K68" i="61"/>
  <c r="M68" i="61" s="1"/>
  <c r="K2" i="61"/>
  <c r="M2" i="61" s="1"/>
  <c r="K5" i="51"/>
  <c r="K6" i="51"/>
  <c r="K7" i="51"/>
  <c r="K8" i="51"/>
  <c r="K9" i="51"/>
  <c r="K10" i="51"/>
  <c r="K11" i="51"/>
  <c r="K12" i="51"/>
  <c r="K13" i="51"/>
  <c r="K14" i="51"/>
  <c r="K15" i="51"/>
  <c r="K16" i="51"/>
  <c r="K17" i="51"/>
  <c r="K18" i="51"/>
  <c r="K19" i="51"/>
  <c r="K20" i="51"/>
  <c r="K21" i="51"/>
  <c r="K22" i="51"/>
  <c r="K23" i="51"/>
  <c r="K24" i="51"/>
  <c r="K25" i="51"/>
  <c r="K26" i="51"/>
  <c r="K27" i="51"/>
  <c r="K28" i="51"/>
  <c r="K29" i="51"/>
  <c r="K30" i="51"/>
  <c r="K31" i="51"/>
  <c r="K32" i="51"/>
  <c r="K33" i="51"/>
  <c r="K34" i="51"/>
  <c r="K35" i="51"/>
  <c r="K36" i="51"/>
  <c r="K37" i="51"/>
  <c r="K38" i="51"/>
  <c r="K39" i="51"/>
  <c r="K40" i="51"/>
  <c r="K41" i="51"/>
  <c r="K42" i="51"/>
  <c r="K43" i="51"/>
  <c r="K44" i="51"/>
  <c r="K45" i="51"/>
  <c r="K46" i="51"/>
  <c r="K47" i="51"/>
  <c r="K48" i="51"/>
  <c r="K49" i="51"/>
  <c r="K50" i="51"/>
  <c r="K51" i="51"/>
  <c r="K52" i="51"/>
  <c r="K53" i="51"/>
  <c r="K54" i="51"/>
  <c r="K55" i="51"/>
  <c r="K56" i="51"/>
  <c r="K57" i="51"/>
  <c r="K58" i="51"/>
  <c r="K59" i="51"/>
  <c r="K60" i="51"/>
  <c r="K61" i="51"/>
  <c r="K4" i="51"/>
  <c r="K3" i="51"/>
  <c r="K2" i="51"/>
  <c r="L60" i="61" l="1"/>
  <c r="L37" i="61"/>
  <c r="L12" i="61"/>
  <c r="L54" i="61"/>
  <c r="L36" i="61"/>
  <c r="L5" i="61"/>
  <c r="L53" i="61"/>
  <c r="L30" i="61"/>
  <c r="L4" i="61"/>
  <c r="L52" i="61"/>
  <c r="L29" i="61"/>
  <c r="L2" i="61"/>
  <c r="L46" i="61"/>
  <c r="L28" i="61"/>
  <c r="L68" i="61"/>
  <c r="L45" i="61"/>
  <c r="L21" i="61"/>
  <c r="L62" i="61"/>
  <c r="L44" i="61"/>
  <c r="L20" i="61"/>
  <c r="L61" i="61"/>
  <c r="L38" i="61"/>
  <c r="L13" i="61"/>
  <c r="Z9" i="61"/>
  <c r="AA9" i="61"/>
  <c r="L19" i="61"/>
  <c r="L11" i="61"/>
  <c r="L3" i="61"/>
  <c r="AA59" i="61"/>
  <c r="Z59" i="61"/>
  <c r="Z19" i="61"/>
  <c r="AA19" i="61"/>
  <c r="Z42" i="61"/>
  <c r="AA42" i="61"/>
  <c r="Z33" i="61"/>
  <c r="AA33" i="61"/>
  <c r="Z48" i="61"/>
  <c r="AA48" i="61"/>
  <c r="Z16" i="61"/>
  <c r="AA16" i="61"/>
  <c r="AA8" i="61"/>
  <c r="Z8" i="61"/>
  <c r="L67" i="61"/>
  <c r="L59" i="61"/>
  <c r="L51" i="61"/>
  <c r="L43" i="61"/>
  <c r="L35" i="61"/>
  <c r="L27" i="61"/>
  <c r="L18" i="61"/>
  <c r="L10" i="61"/>
  <c r="AA51" i="61"/>
  <c r="Z51" i="61"/>
  <c r="Z11" i="61"/>
  <c r="AA11" i="61"/>
  <c r="Z58" i="61"/>
  <c r="AA58" i="61"/>
  <c r="AA18" i="61"/>
  <c r="Z18" i="61"/>
  <c r="Z41" i="61"/>
  <c r="AA41" i="61"/>
  <c r="Z56" i="61"/>
  <c r="AA56" i="61"/>
  <c r="AA55" i="61"/>
  <c r="Z55" i="61"/>
  <c r="AA39" i="61"/>
  <c r="Z39" i="61"/>
  <c r="AA31" i="61"/>
  <c r="Z31" i="61"/>
  <c r="Z23" i="61"/>
  <c r="AA23" i="61"/>
  <c r="Z15" i="61"/>
  <c r="AA15" i="61"/>
  <c r="Z7" i="61"/>
  <c r="AA7" i="61"/>
  <c r="L66" i="61"/>
  <c r="L58" i="61"/>
  <c r="L50" i="61"/>
  <c r="L42" i="61"/>
  <c r="L34" i="61"/>
  <c r="L26" i="61"/>
  <c r="L17" i="61"/>
  <c r="L9" i="61"/>
  <c r="AA35" i="61"/>
  <c r="Z35" i="61"/>
  <c r="Z66" i="61"/>
  <c r="AA66" i="61"/>
  <c r="Z26" i="61"/>
  <c r="AA26" i="61"/>
  <c r="AA49" i="61"/>
  <c r="Z49" i="61"/>
  <c r="Z17" i="61"/>
  <c r="AA17" i="61"/>
  <c r="Z32" i="61"/>
  <c r="AA32" i="61"/>
  <c r="Z54" i="61"/>
  <c r="AA54" i="61"/>
  <c r="Z30" i="61"/>
  <c r="AA30" i="61"/>
  <c r="AA22" i="61"/>
  <c r="Z22" i="61"/>
  <c r="AA14" i="61"/>
  <c r="Z14" i="61"/>
  <c r="AA6" i="61"/>
  <c r="Z6" i="61"/>
  <c r="L65" i="61"/>
  <c r="L57" i="61"/>
  <c r="L49" i="61"/>
  <c r="L41" i="61"/>
  <c r="L33" i="61"/>
  <c r="L25" i="61"/>
  <c r="L16" i="61"/>
  <c r="L8" i="61"/>
  <c r="AA43" i="61"/>
  <c r="Z43" i="61"/>
  <c r="Z3" i="61"/>
  <c r="AA3" i="61"/>
  <c r="Z34" i="61"/>
  <c r="AA34" i="61"/>
  <c r="Z65" i="61"/>
  <c r="AA65" i="61"/>
  <c r="AA25" i="61"/>
  <c r="Z25" i="61"/>
  <c r="Z40" i="61"/>
  <c r="AA40" i="61"/>
  <c r="Z62" i="61"/>
  <c r="AA62" i="61"/>
  <c r="Z38" i="61"/>
  <c r="AA38" i="61"/>
  <c r="Z61" i="61"/>
  <c r="AA61" i="61"/>
  <c r="Z53" i="61"/>
  <c r="AA53" i="61"/>
  <c r="Z45" i="61"/>
  <c r="AA45" i="61"/>
  <c r="Z37" i="61"/>
  <c r="AA37" i="61"/>
  <c r="AA29" i="61"/>
  <c r="Z29" i="61"/>
  <c r="Z21" i="61"/>
  <c r="AA21" i="61"/>
  <c r="Z13" i="61"/>
  <c r="AA13" i="61"/>
  <c r="Z5" i="61"/>
  <c r="AA5" i="61"/>
  <c r="L64" i="61"/>
  <c r="L56" i="61"/>
  <c r="L48" i="61"/>
  <c r="L40" i="61"/>
  <c r="L32" i="61"/>
  <c r="L23" i="61"/>
  <c r="L15" i="61"/>
  <c r="L7" i="61"/>
  <c r="AA67" i="61"/>
  <c r="Z67" i="61"/>
  <c r="AA27" i="61"/>
  <c r="Z27" i="61"/>
  <c r="Z50" i="61"/>
  <c r="AA50" i="61"/>
  <c r="AA10" i="61"/>
  <c r="Z10" i="61"/>
  <c r="Z57" i="61"/>
  <c r="AA57" i="61"/>
  <c r="AA64" i="61"/>
  <c r="Z64" i="61"/>
  <c r="AA63" i="61"/>
  <c r="Z63" i="61"/>
  <c r="AA47" i="61"/>
  <c r="Z47" i="61"/>
  <c r="Z46" i="61"/>
  <c r="AA46" i="61"/>
  <c r="AA2" i="61"/>
  <c r="Z2" i="61"/>
  <c r="Z68" i="61"/>
  <c r="AA68" i="61"/>
  <c r="Z60" i="61"/>
  <c r="AA60" i="61"/>
  <c r="AA52" i="61"/>
  <c r="Z52" i="61"/>
  <c r="Z44" i="61"/>
  <c r="AA44" i="61"/>
  <c r="Z36" i="61"/>
  <c r="AA36" i="61"/>
  <c r="Z28" i="61"/>
  <c r="AA28" i="61"/>
  <c r="Z20" i="61"/>
  <c r="AA20" i="61"/>
  <c r="Z12" i="61"/>
  <c r="AA12" i="61"/>
  <c r="Z4" i="61"/>
  <c r="AA4" i="61"/>
  <c r="L63" i="61"/>
  <c r="L55" i="61"/>
  <c r="L47" i="61"/>
  <c r="L39" i="61"/>
  <c r="L31" i="61"/>
  <c r="L22" i="61"/>
  <c r="L14" i="61"/>
  <c r="L6" i="61"/>
  <c r="AA24" i="61"/>
  <c r="Z24" i="61"/>
  <c r="L24" i="61"/>
  <c r="AC44" i="61" l="1"/>
  <c r="AC21" i="61"/>
  <c r="AC15" i="61"/>
  <c r="AC37" i="61"/>
  <c r="AC61" i="61"/>
  <c r="AC64" i="61"/>
  <c r="AC22" i="61"/>
  <c r="AC31" i="61"/>
  <c r="AA69" i="61"/>
  <c r="AB44" i="61"/>
  <c r="AB37" i="61"/>
  <c r="AB15" i="61"/>
  <c r="AB21" i="61"/>
  <c r="AB64" i="61"/>
  <c r="AB22" i="61"/>
  <c r="AB31" i="61"/>
  <c r="AB61" i="61"/>
  <c r="Z69" i="61"/>
  <c r="Y70" i="7" l="1" a="1"/>
  <c r="Y70" i="7" s="1"/>
  <c r="Y26" i="7" a="1"/>
  <c r="Y26" i="7" s="1"/>
  <c r="U69" i="61" l="1"/>
  <c r="S69" i="61"/>
  <c r="R69" i="61"/>
  <c r="Q69" i="61"/>
  <c r="P69" i="61"/>
  <c r="T68" i="61"/>
  <c r="V68" i="61" s="1"/>
  <c r="W68" i="61" s="1"/>
  <c r="X68" i="61" s="1"/>
  <c r="T67" i="61"/>
  <c r="V67" i="61" s="1"/>
  <c r="W67" i="61" s="1"/>
  <c r="X67" i="61" s="1"/>
  <c r="T66" i="61"/>
  <c r="V66" i="61" s="1"/>
  <c r="W66" i="61" s="1"/>
  <c r="X66" i="61" s="1"/>
  <c r="T65" i="61"/>
  <c r="V65" i="61" s="1"/>
  <c r="W65" i="61" s="1"/>
  <c r="X65" i="61" s="1"/>
  <c r="T63" i="61"/>
  <c r="V63" i="61" s="1"/>
  <c r="W63" i="61" s="1"/>
  <c r="X63" i="61" s="1"/>
  <c r="T62" i="61"/>
  <c r="V62" i="61" s="1"/>
  <c r="W62" i="61" s="1"/>
  <c r="X62" i="61" s="1"/>
  <c r="T61" i="61"/>
  <c r="V61" i="61" s="1"/>
  <c r="W61" i="61" s="1"/>
  <c r="T60" i="61"/>
  <c r="V60" i="61" s="1"/>
  <c r="W60" i="61" s="1"/>
  <c r="X60" i="61" s="1"/>
  <c r="T59" i="61"/>
  <c r="V59" i="61" s="1"/>
  <c r="W59" i="61" s="1"/>
  <c r="X59" i="61" s="1"/>
  <c r="T58" i="61"/>
  <c r="V58" i="61" s="1"/>
  <c r="W58" i="61" s="1"/>
  <c r="X58" i="61" s="1"/>
  <c r="T57" i="61"/>
  <c r="V57" i="61" s="1"/>
  <c r="W57" i="61" s="1"/>
  <c r="X57" i="61" s="1"/>
  <c r="T56" i="61"/>
  <c r="V56" i="61" s="1"/>
  <c r="W56" i="61" s="1"/>
  <c r="X56" i="61" s="1"/>
  <c r="T55" i="61"/>
  <c r="V55" i="61" s="1"/>
  <c r="W55" i="61" s="1"/>
  <c r="X55" i="61" s="1"/>
  <c r="T54" i="61"/>
  <c r="V54" i="61" s="1"/>
  <c r="W54" i="61" s="1"/>
  <c r="X54" i="61" s="1"/>
  <c r="T53" i="61"/>
  <c r="V53" i="61" s="1"/>
  <c r="W53" i="61" s="1"/>
  <c r="X53" i="61" s="1"/>
  <c r="T52" i="61"/>
  <c r="V52" i="61" s="1"/>
  <c r="W52" i="61" s="1"/>
  <c r="X52" i="61" s="1"/>
  <c r="T51" i="61"/>
  <c r="V51" i="61" s="1"/>
  <c r="W51" i="61" s="1"/>
  <c r="X51" i="61" s="1"/>
  <c r="T50" i="61"/>
  <c r="V50" i="61" s="1"/>
  <c r="W50" i="61" s="1"/>
  <c r="X50" i="61" s="1"/>
  <c r="T49" i="61"/>
  <c r="V49" i="61" s="1"/>
  <c r="W49" i="61" s="1"/>
  <c r="X49" i="61" s="1"/>
  <c r="T48" i="61"/>
  <c r="V48" i="61" s="1"/>
  <c r="W48" i="61" s="1"/>
  <c r="X48" i="61" s="1"/>
  <c r="T47" i="61"/>
  <c r="V47" i="61" s="1"/>
  <c r="W47" i="61" s="1"/>
  <c r="X47" i="61" s="1"/>
  <c r="T46" i="61"/>
  <c r="V46" i="61" s="1"/>
  <c r="W46" i="61" s="1"/>
  <c r="X46" i="61" s="1"/>
  <c r="T45" i="61"/>
  <c r="V45" i="61" s="1"/>
  <c r="W45" i="61" s="1"/>
  <c r="X45" i="61" s="1"/>
  <c r="T43" i="61"/>
  <c r="V43" i="61" s="1"/>
  <c r="W43" i="61" s="1"/>
  <c r="X43" i="61" s="1"/>
  <c r="T42" i="61"/>
  <c r="V42" i="61" s="1"/>
  <c r="W42" i="61" s="1"/>
  <c r="X42" i="61" s="1"/>
  <c r="T41" i="61"/>
  <c r="V41" i="61" s="1"/>
  <c r="W41" i="61" s="1"/>
  <c r="X41" i="61" s="1"/>
  <c r="T40" i="61"/>
  <c r="V40" i="61" s="1"/>
  <c r="W40" i="61" s="1"/>
  <c r="X40" i="61" s="1"/>
  <c r="T39" i="61"/>
  <c r="V39" i="61" s="1"/>
  <c r="W39" i="61" s="1"/>
  <c r="X39" i="61" s="1"/>
  <c r="T38" i="61"/>
  <c r="V38" i="61" s="1"/>
  <c r="W38" i="61" s="1"/>
  <c r="X38" i="61" s="1"/>
  <c r="T36" i="61"/>
  <c r="V36" i="61" s="1"/>
  <c r="W36" i="61" s="1"/>
  <c r="X36" i="61" s="1"/>
  <c r="T35" i="61"/>
  <c r="V35" i="61" s="1"/>
  <c r="W35" i="61" s="1"/>
  <c r="X35" i="61" s="1"/>
  <c r="T34" i="61"/>
  <c r="V34" i="61" s="1"/>
  <c r="W34" i="61" s="1"/>
  <c r="X34" i="61" s="1"/>
  <c r="T33" i="61"/>
  <c r="V33" i="61" s="1"/>
  <c r="W33" i="61" s="1"/>
  <c r="X33" i="61" s="1"/>
  <c r="T32" i="61"/>
  <c r="V32" i="61" s="1"/>
  <c r="W32" i="61" s="1"/>
  <c r="X32" i="61" s="1"/>
  <c r="T30" i="61"/>
  <c r="V30" i="61" s="1"/>
  <c r="W30" i="61" s="1"/>
  <c r="X30" i="61" s="1"/>
  <c r="T29" i="61"/>
  <c r="V29" i="61" s="1"/>
  <c r="W29" i="61" s="1"/>
  <c r="X29" i="61" s="1"/>
  <c r="T28" i="61"/>
  <c r="V28" i="61" s="1"/>
  <c r="W28" i="61" s="1"/>
  <c r="X28" i="61" s="1"/>
  <c r="T27" i="61"/>
  <c r="V27" i="61" s="1"/>
  <c r="W27" i="61" s="1"/>
  <c r="X27" i="61" s="1"/>
  <c r="T26" i="61"/>
  <c r="V26" i="61" s="1"/>
  <c r="W26" i="61" s="1"/>
  <c r="X26" i="61" s="1"/>
  <c r="T25" i="61"/>
  <c r="V25" i="61" s="1"/>
  <c r="W25" i="61" s="1"/>
  <c r="X25" i="61" s="1"/>
  <c r="T24" i="61"/>
  <c r="V24" i="61" s="1"/>
  <c r="W24" i="61" s="1"/>
  <c r="X24" i="61" s="1"/>
  <c r="T23" i="61"/>
  <c r="V23" i="61" s="1"/>
  <c r="W23" i="61" s="1"/>
  <c r="X23" i="61" s="1"/>
  <c r="T20" i="61"/>
  <c r="V20" i="61" s="1"/>
  <c r="W20" i="61" s="1"/>
  <c r="X20" i="61" s="1"/>
  <c r="T19" i="61"/>
  <c r="V19" i="61" s="1"/>
  <c r="W19" i="61" s="1"/>
  <c r="X19" i="61" s="1"/>
  <c r="T18" i="61"/>
  <c r="V18" i="61" s="1"/>
  <c r="W18" i="61" s="1"/>
  <c r="X18" i="61" s="1"/>
  <c r="T17" i="61"/>
  <c r="V17" i="61" s="1"/>
  <c r="W17" i="61" s="1"/>
  <c r="X17" i="61" s="1"/>
  <c r="T16" i="61"/>
  <c r="V16" i="61" s="1"/>
  <c r="W16" i="61" s="1"/>
  <c r="X16" i="61" s="1"/>
  <c r="T14" i="61"/>
  <c r="V14" i="61" s="1"/>
  <c r="W14" i="61" s="1"/>
  <c r="X14" i="61" s="1"/>
  <c r="T13" i="61"/>
  <c r="V13" i="61" s="1"/>
  <c r="W13" i="61" s="1"/>
  <c r="X13" i="61" s="1"/>
  <c r="T12" i="61"/>
  <c r="V12" i="61" s="1"/>
  <c r="W12" i="61" s="1"/>
  <c r="X12" i="61" s="1"/>
  <c r="T11" i="61"/>
  <c r="V11" i="61" s="1"/>
  <c r="W11" i="61" s="1"/>
  <c r="X11" i="61" s="1"/>
  <c r="T10" i="61"/>
  <c r="V10" i="61" s="1"/>
  <c r="W10" i="61" s="1"/>
  <c r="X10" i="61" s="1"/>
  <c r="T9" i="61"/>
  <c r="V9" i="61" s="1"/>
  <c r="W9" i="61" s="1"/>
  <c r="X9" i="61" s="1"/>
  <c r="T8" i="61"/>
  <c r="V8" i="61" s="1"/>
  <c r="W8" i="61" s="1"/>
  <c r="X8" i="61" s="1"/>
  <c r="T7" i="61"/>
  <c r="V7" i="61" s="1"/>
  <c r="W7" i="61" s="1"/>
  <c r="X7" i="61" s="1"/>
  <c r="T6" i="61"/>
  <c r="V6" i="61" s="1"/>
  <c r="W6" i="61" s="1"/>
  <c r="X6" i="61" s="1"/>
  <c r="T5" i="61"/>
  <c r="V5" i="61" s="1"/>
  <c r="W5" i="61" s="1"/>
  <c r="X5" i="61" s="1"/>
  <c r="T4" i="61"/>
  <c r="V4" i="61" s="1"/>
  <c r="W4" i="61" s="1"/>
  <c r="X4" i="61" s="1"/>
  <c r="T3" i="61"/>
  <c r="V3" i="61" s="1"/>
  <c r="W3" i="61" s="1"/>
  <c r="X3" i="61" s="1"/>
  <c r="T2" i="61"/>
  <c r="V2" i="61" s="1"/>
  <c r="AB30" i="61" l="1"/>
  <c r="Y30" i="61"/>
  <c r="AC30" i="61" s="1"/>
  <c r="AB66" i="61"/>
  <c r="Y66" i="61"/>
  <c r="AC66" i="61" s="1"/>
  <c r="AB41" i="61"/>
  <c r="Y41" i="61"/>
  <c r="AC41" i="61" s="1"/>
  <c r="AB5" i="61"/>
  <c r="Y5" i="61"/>
  <c r="AC5" i="61" s="1"/>
  <c r="AB13" i="61"/>
  <c r="Y13" i="61"/>
  <c r="AC13" i="61" s="1"/>
  <c r="AB24" i="61"/>
  <c r="Y24" i="61"/>
  <c r="AC24" i="61" s="1"/>
  <c r="AB33" i="61"/>
  <c r="Y33" i="61"/>
  <c r="AC33" i="61" s="1"/>
  <c r="AB42" i="61"/>
  <c r="Y42" i="61"/>
  <c r="AC42" i="61" s="1"/>
  <c r="AB51" i="61"/>
  <c r="Y51" i="61"/>
  <c r="AC51" i="61" s="1"/>
  <c r="AB59" i="61"/>
  <c r="Y59" i="61"/>
  <c r="AC59" i="61" s="1"/>
  <c r="AB68" i="61"/>
  <c r="Y68" i="61"/>
  <c r="AC68" i="61" s="1"/>
  <c r="AB40" i="61"/>
  <c r="Y40" i="61"/>
  <c r="AC40" i="61" s="1"/>
  <c r="AB12" i="61"/>
  <c r="Y12" i="61"/>
  <c r="AC12" i="61" s="1"/>
  <c r="AB50" i="61"/>
  <c r="Y50" i="61"/>
  <c r="AC50" i="61" s="1"/>
  <c r="AB25" i="61"/>
  <c r="Y25" i="61"/>
  <c r="AC25" i="61" s="1"/>
  <c r="AB7" i="61"/>
  <c r="Y7" i="61"/>
  <c r="AC7" i="61" s="1"/>
  <c r="AB16" i="61"/>
  <c r="Y16" i="61"/>
  <c r="AC16" i="61" s="1"/>
  <c r="AB26" i="61"/>
  <c r="Y26" i="61"/>
  <c r="AC26" i="61" s="1"/>
  <c r="AB35" i="61"/>
  <c r="Y35" i="61"/>
  <c r="AC35" i="61" s="1"/>
  <c r="AB45" i="61"/>
  <c r="Y45" i="61"/>
  <c r="AC45" i="61" s="1"/>
  <c r="AB53" i="61"/>
  <c r="Y53" i="61"/>
  <c r="AC53" i="61" s="1"/>
  <c r="AB20" i="61"/>
  <c r="Y20" i="61"/>
  <c r="AC20" i="61" s="1"/>
  <c r="AB57" i="61"/>
  <c r="Y57" i="61"/>
  <c r="AC57" i="61" s="1"/>
  <c r="AB32" i="61"/>
  <c r="Y32" i="61"/>
  <c r="AC32" i="61" s="1"/>
  <c r="AB6" i="61"/>
  <c r="Y6" i="61"/>
  <c r="AC6" i="61" s="1"/>
  <c r="AD6" i="61" s="1"/>
  <c r="AB34" i="61"/>
  <c r="Y34" i="61"/>
  <c r="AC34" i="61" s="1"/>
  <c r="AB8" i="61"/>
  <c r="Y8" i="61"/>
  <c r="AC8" i="61" s="1"/>
  <c r="AB27" i="61"/>
  <c r="Y27" i="61"/>
  <c r="AC27" i="61" s="1"/>
  <c r="AB36" i="61"/>
  <c r="Y36" i="61"/>
  <c r="AC36" i="61" s="1"/>
  <c r="AB46" i="61"/>
  <c r="Y46" i="61"/>
  <c r="AC46" i="61" s="1"/>
  <c r="AB54" i="61"/>
  <c r="Y54" i="61"/>
  <c r="AC54" i="61" s="1"/>
  <c r="AB62" i="61"/>
  <c r="Y62" i="61"/>
  <c r="AC62" i="61" s="1"/>
  <c r="AB11" i="61"/>
  <c r="Y11" i="61"/>
  <c r="AC11" i="61" s="1"/>
  <c r="AB4" i="61"/>
  <c r="Y4" i="61"/>
  <c r="AC4" i="61" s="1"/>
  <c r="AB58" i="61"/>
  <c r="Y58" i="61"/>
  <c r="AC58" i="61" s="1"/>
  <c r="AB43" i="61"/>
  <c r="Y43" i="61"/>
  <c r="AC43" i="61" s="1"/>
  <c r="AB60" i="61"/>
  <c r="Y60" i="61"/>
  <c r="AC60" i="61" s="1"/>
  <c r="AB9" i="61"/>
  <c r="Y9" i="61"/>
  <c r="AC9" i="61" s="1"/>
  <c r="AB18" i="61"/>
  <c r="Y18" i="61"/>
  <c r="AC18" i="61" s="1"/>
  <c r="AB28" i="61"/>
  <c r="Y28" i="61"/>
  <c r="AC28" i="61" s="1"/>
  <c r="AB38" i="61"/>
  <c r="Y38" i="61"/>
  <c r="AC38" i="61" s="1"/>
  <c r="AB47" i="61"/>
  <c r="Y47" i="61"/>
  <c r="AC47" i="61" s="1"/>
  <c r="AB55" i="61"/>
  <c r="Y55" i="61"/>
  <c r="AC55" i="61" s="1"/>
  <c r="AB63" i="61"/>
  <c r="Y63" i="61"/>
  <c r="AC63" i="61" s="1"/>
  <c r="AB3" i="61"/>
  <c r="Y3" i="61"/>
  <c r="AC3" i="61" s="1"/>
  <c r="AD3" i="61" s="1"/>
  <c r="AB49" i="61"/>
  <c r="Y49" i="61"/>
  <c r="AC49" i="61" s="1"/>
  <c r="AB23" i="61"/>
  <c r="Y23" i="61"/>
  <c r="AC23" i="61" s="1"/>
  <c r="AB67" i="61"/>
  <c r="Y67" i="61"/>
  <c r="AC67" i="61" s="1"/>
  <c r="AB14" i="61"/>
  <c r="Y14" i="61"/>
  <c r="AC14" i="61" s="1"/>
  <c r="AB52" i="61"/>
  <c r="Y52" i="61"/>
  <c r="AC52" i="61" s="1"/>
  <c r="AB17" i="61"/>
  <c r="Y17" i="61"/>
  <c r="AC17" i="61" s="1"/>
  <c r="AB10" i="61"/>
  <c r="Y10" i="61"/>
  <c r="AC10" i="61" s="1"/>
  <c r="AB19" i="61"/>
  <c r="Y19" i="61"/>
  <c r="AC19" i="61" s="1"/>
  <c r="AB29" i="61"/>
  <c r="Y29" i="61"/>
  <c r="AC29" i="61" s="1"/>
  <c r="AB39" i="61"/>
  <c r="Y39" i="61"/>
  <c r="AC39" i="61" s="1"/>
  <c r="AB48" i="61"/>
  <c r="Y48" i="61"/>
  <c r="AC48" i="61" s="1"/>
  <c r="AB56" i="61"/>
  <c r="Y56" i="61"/>
  <c r="AC56" i="61" s="1"/>
  <c r="AB65" i="61"/>
  <c r="Y65" i="61"/>
  <c r="AC65" i="61" s="1"/>
  <c r="T69" i="61"/>
  <c r="V69" i="61"/>
  <c r="W2" i="61"/>
  <c r="W69" i="61" l="1"/>
  <c r="X2" i="61"/>
  <c r="Y2" i="61" s="1"/>
  <c r="AC2" i="61" s="1"/>
  <c r="AC69" i="61" s="1"/>
  <c r="X69" i="61" l="1"/>
  <c r="AB2" i="61"/>
  <c r="G80" i="45"/>
  <c r="J12" i="60" l="1"/>
  <c r="J9" i="60"/>
  <c r="M9" i="60" s="1"/>
  <c r="Y20" i="60"/>
  <c r="W20" i="60"/>
  <c r="U20" i="60"/>
  <c r="S20" i="60"/>
  <c r="Q20" i="60"/>
  <c r="P20" i="60"/>
  <c r="I20" i="60"/>
  <c r="N19" i="60"/>
  <c r="M19" i="60"/>
  <c r="K19" i="60"/>
  <c r="M18" i="60"/>
  <c r="K18" i="60"/>
  <c r="N17" i="60"/>
  <c r="M17" i="60"/>
  <c r="K17" i="60"/>
  <c r="M16" i="60"/>
  <c r="K16" i="60"/>
  <c r="M15" i="60"/>
  <c r="K15" i="60"/>
  <c r="M14" i="60"/>
  <c r="K14" i="60"/>
  <c r="M13" i="60"/>
  <c r="K13" i="60"/>
  <c r="M12" i="60"/>
  <c r="K12" i="60"/>
  <c r="M11" i="60"/>
  <c r="K11" i="60"/>
  <c r="M10" i="60"/>
  <c r="K10" i="60"/>
  <c r="M8" i="60"/>
  <c r="N8" i="60" s="1"/>
  <c r="N20" i="60" s="1"/>
  <c r="K8" i="60"/>
  <c r="M7" i="60"/>
  <c r="K7" i="60"/>
  <c r="M6" i="60"/>
  <c r="K6" i="60"/>
  <c r="M5" i="60"/>
  <c r="K5" i="60"/>
  <c r="M4" i="60"/>
  <c r="K4" i="60"/>
  <c r="M3" i="60"/>
  <c r="K3" i="60"/>
  <c r="K9" i="60" l="1"/>
  <c r="M20" i="60"/>
  <c r="Z3" i="51" l="1"/>
  <c r="Z4" i="51"/>
  <c r="Z5" i="51"/>
  <c r="Z6" i="51"/>
  <c r="Z7" i="51"/>
  <c r="Z8" i="51"/>
  <c r="Z9" i="51"/>
  <c r="Z10" i="51"/>
  <c r="Z11" i="51"/>
  <c r="Z12" i="51"/>
  <c r="Z13" i="51"/>
  <c r="Z14" i="51"/>
  <c r="Z15" i="51"/>
  <c r="Z16" i="51"/>
  <c r="Z17" i="51"/>
  <c r="Z18" i="51"/>
  <c r="Z19" i="51"/>
  <c r="Z20" i="51"/>
  <c r="Z21" i="51"/>
  <c r="Z22" i="51"/>
  <c r="Z23" i="51"/>
  <c r="Z24" i="51"/>
  <c r="Z25" i="51"/>
  <c r="Z26" i="51"/>
  <c r="Z27" i="51"/>
  <c r="Z28" i="51"/>
  <c r="Z29" i="51"/>
  <c r="Z30" i="51"/>
  <c r="Z31" i="51"/>
  <c r="Z32" i="51"/>
  <c r="Z33" i="51"/>
  <c r="Z34" i="51"/>
  <c r="Z35" i="51"/>
  <c r="Z36" i="51"/>
  <c r="Z37" i="51"/>
  <c r="Z38" i="51"/>
  <c r="Z39" i="51"/>
  <c r="Z40" i="51"/>
  <c r="Z41" i="51"/>
  <c r="Z42" i="51"/>
  <c r="Z43" i="51"/>
  <c r="Z44" i="51"/>
  <c r="Z45" i="51"/>
  <c r="Z46" i="51"/>
  <c r="Z47" i="51"/>
  <c r="Z48" i="51"/>
  <c r="Z49" i="51"/>
  <c r="Z50" i="51"/>
  <c r="Z51" i="51"/>
  <c r="Z52" i="51"/>
  <c r="Z53" i="51"/>
  <c r="Z54" i="51"/>
  <c r="Z55" i="51"/>
  <c r="Z56" i="51"/>
  <c r="Z57" i="51"/>
  <c r="Z58" i="51"/>
  <c r="Z59" i="51"/>
  <c r="Z60" i="51"/>
  <c r="Z61" i="51"/>
  <c r="Z2" i="51"/>
  <c r="Z62" i="51" l="1"/>
  <c r="Y2" i="51" l="1"/>
  <c r="AA2" i="51" s="1"/>
  <c r="Y3" i="51"/>
  <c r="AA3" i="51" s="1"/>
  <c r="Y4" i="51"/>
  <c r="AA4" i="51" s="1"/>
  <c r="Y5" i="51"/>
  <c r="AA5" i="51" s="1"/>
  <c r="Y6" i="51"/>
  <c r="AA6" i="51" s="1"/>
  <c r="Y7" i="51"/>
  <c r="AA7" i="51" s="1"/>
  <c r="Y8" i="51"/>
  <c r="AA8" i="51" s="1"/>
  <c r="Y9" i="51"/>
  <c r="AA9" i="51" s="1"/>
  <c r="Y10" i="51"/>
  <c r="AA10" i="51" s="1"/>
  <c r="Y11" i="51"/>
  <c r="AA11" i="51" s="1"/>
  <c r="Y12" i="51"/>
  <c r="AA12" i="51" s="1"/>
  <c r="Y13" i="51"/>
  <c r="AA13" i="51" s="1"/>
  <c r="Y14" i="51"/>
  <c r="AA14" i="51" s="1"/>
  <c r="Y15" i="51"/>
  <c r="AA15" i="51" s="1"/>
  <c r="Y16" i="51"/>
  <c r="AA16" i="51" s="1"/>
  <c r="Y17" i="51"/>
  <c r="AA17" i="51" s="1"/>
  <c r="Y18" i="51"/>
  <c r="AA18" i="51" s="1"/>
  <c r="K31" i="33"/>
  <c r="Y19" i="51" l="1"/>
  <c r="AA19" i="51" s="1"/>
  <c r="Y20" i="51"/>
  <c r="AA20" i="51" s="1"/>
  <c r="Y21" i="51"/>
  <c r="AA21" i="51" s="1"/>
  <c r="Y22" i="51"/>
  <c r="AA22" i="51" s="1"/>
  <c r="Y23" i="51"/>
  <c r="AA23" i="51" s="1"/>
  <c r="Y24" i="51"/>
  <c r="AA24" i="51" s="1"/>
  <c r="Y25" i="51"/>
  <c r="AA25" i="51" s="1"/>
  <c r="Y26" i="51"/>
  <c r="AA26" i="51" s="1"/>
  <c r="Y27" i="51"/>
  <c r="AA27" i="51" s="1"/>
  <c r="Y28" i="51"/>
  <c r="AA28" i="51" s="1"/>
  <c r="Y29" i="51"/>
  <c r="AA29" i="51" s="1"/>
  <c r="Y30" i="51"/>
  <c r="AA30" i="51" s="1"/>
  <c r="Y31" i="51"/>
  <c r="AA31" i="51" s="1"/>
  <c r="Y32" i="51"/>
  <c r="AA32" i="51" s="1"/>
  <c r="Y33" i="51"/>
  <c r="AA33" i="51" s="1"/>
  <c r="Y34" i="51"/>
  <c r="AA34" i="51" s="1"/>
  <c r="Y35" i="51"/>
  <c r="AA35" i="51" s="1"/>
  <c r="Y36" i="51"/>
  <c r="AA36" i="51" s="1"/>
  <c r="Y37" i="51"/>
  <c r="AA37" i="51" s="1"/>
  <c r="Y38" i="51"/>
  <c r="AA38" i="51" s="1"/>
  <c r="Y39" i="51"/>
  <c r="AA39" i="51" s="1"/>
  <c r="Y40" i="51"/>
  <c r="AA40" i="51" s="1"/>
  <c r="Y41" i="51"/>
  <c r="AA41" i="51" s="1"/>
  <c r="Y42" i="51"/>
  <c r="AA42" i="51" s="1"/>
  <c r="Y43" i="51"/>
  <c r="AA43" i="51" s="1"/>
  <c r="Y44" i="51"/>
  <c r="AA44" i="51" s="1"/>
  <c r="Y45" i="51"/>
  <c r="AA45" i="51" s="1"/>
  <c r="Y46" i="51"/>
  <c r="AA46" i="51" s="1"/>
  <c r="Y47" i="51"/>
  <c r="AA47" i="51" s="1"/>
  <c r="Y48" i="51"/>
  <c r="AA48" i="51" s="1"/>
  <c r="Y49" i="51"/>
  <c r="AA49" i="51" s="1"/>
  <c r="Y50" i="51"/>
  <c r="AA50" i="51" s="1"/>
  <c r="Y51" i="51"/>
  <c r="AA51" i="51" s="1"/>
  <c r="Y52" i="51"/>
  <c r="AA52" i="51" s="1"/>
  <c r="Y53" i="51"/>
  <c r="AA53" i="51" s="1"/>
  <c r="Y54" i="51"/>
  <c r="AA54" i="51" s="1"/>
  <c r="Y55" i="51"/>
  <c r="AA55" i="51" s="1"/>
  <c r="Y56" i="51"/>
  <c r="AA56" i="51" s="1"/>
  <c r="Y57" i="51"/>
  <c r="AA57" i="51" s="1"/>
  <c r="Y58" i="51"/>
  <c r="AA58" i="51" s="1"/>
  <c r="Y59" i="51"/>
  <c r="AA59" i="51" s="1"/>
  <c r="Y60" i="51"/>
  <c r="AA60" i="51" s="1"/>
  <c r="Y61" i="51"/>
  <c r="AA61" i="51" s="1"/>
  <c r="G72" i="45" l="1"/>
  <c r="G73" i="45"/>
  <c r="I148" i="33" l="1"/>
  <c r="Y62" i="51" l="1"/>
  <c r="S62" i="51"/>
  <c r="R62" i="51"/>
  <c r="Q62" i="51"/>
  <c r="P62" i="51"/>
  <c r="U61" i="51"/>
  <c r="T61" i="51"/>
  <c r="U60" i="51"/>
  <c r="T60" i="51"/>
  <c r="U59" i="51"/>
  <c r="T59" i="51"/>
  <c r="U58" i="51"/>
  <c r="T58" i="51"/>
  <c r="U57" i="51"/>
  <c r="T57" i="51"/>
  <c r="U56" i="51"/>
  <c r="T56" i="51"/>
  <c r="U55" i="51"/>
  <c r="T55" i="51"/>
  <c r="U54" i="51"/>
  <c r="T54" i="51"/>
  <c r="U53" i="51"/>
  <c r="T53" i="51"/>
  <c r="U52" i="51"/>
  <c r="T52" i="51"/>
  <c r="U51" i="51"/>
  <c r="T51" i="51"/>
  <c r="U50" i="51"/>
  <c r="T50" i="51"/>
  <c r="U49" i="51"/>
  <c r="T49" i="51"/>
  <c r="U48" i="51"/>
  <c r="T48" i="51"/>
  <c r="U47" i="51"/>
  <c r="T47" i="51"/>
  <c r="U46" i="51"/>
  <c r="T46" i="51"/>
  <c r="U45" i="51"/>
  <c r="T45" i="51"/>
  <c r="U44" i="51"/>
  <c r="T44" i="51"/>
  <c r="T43" i="51"/>
  <c r="V43" i="51" s="1"/>
  <c r="W43" i="51" s="1"/>
  <c r="X43" i="51" s="1"/>
  <c r="U42" i="51"/>
  <c r="T42" i="51"/>
  <c r="U41" i="51"/>
  <c r="T41" i="51"/>
  <c r="U40" i="51"/>
  <c r="T40" i="51"/>
  <c r="T39" i="51"/>
  <c r="V39" i="51" s="1"/>
  <c r="W39" i="51" s="1"/>
  <c r="X39" i="51" s="1"/>
  <c r="T38" i="51"/>
  <c r="V38" i="51" s="1"/>
  <c r="W38" i="51" s="1"/>
  <c r="X38" i="51" s="1"/>
  <c r="T37" i="51"/>
  <c r="V37" i="51" s="1"/>
  <c r="W37" i="51" s="1"/>
  <c r="X37" i="51" s="1"/>
  <c r="U36" i="51"/>
  <c r="T36" i="51"/>
  <c r="U35" i="51"/>
  <c r="T35" i="51"/>
  <c r="U34" i="51"/>
  <c r="T34" i="51"/>
  <c r="U33" i="51"/>
  <c r="T33" i="51"/>
  <c r="U32" i="51"/>
  <c r="T32" i="51"/>
  <c r="T31" i="51"/>
  <c r="V31" i="51" s="1"/>
  <c r="W31" i="51" s="1"/>
  <c r="X31" i="51" s="1"/>
  <c r="U30" i="51"/>
  <c r="T30" i="51"/>
  <c r="U29" i="51"/>
  <c r="T29" i="51"/>
  <c r="T28" i="51"/>
  <c r="V28" i="51" s="1"/>
  <c r="W28" i="51" s="1"/>
  <c r="X28" i="51" s="1"/>
  <c r="T27" i="51"/>
  <c r="V27" i="51" s="1"/>
  <c r="W27" i="51" s="1"/>
  <c r="X27" i="51" s="1"/>
  <c r="U26" i="51"/>
  <c r="T26" i="51"/>
  <c r="U25" i="51"/>
  <c r="T25" i="51"/>
  <c r="U24" i="51"/>
  <c r="T24" i="51"/>
  <c r="T23" i="51"/>
  <c r="V23" i="51" s="1"/>
  <c r="W23" i="51" s="1"/>
  <c r="X23" i="51" s="1"/>
  <c r="T22" i="51"/>
  <c r="V22" i="51" s="1"/>
  <c r="W22" i="51" s="1"/>
  <c r="X22" i="51" s="1"/>
  <c r="U21" i="51"/>
  <c r="T21" i="51"/>
  <c r="T20" i="51"/>
  <c r="V20" i="51" s="1"/>
  <c r="W20" i="51" s="1"/>
  <c r="X20" i="51" s="1"/>
  <c r="U19" i="51"/>
  <c r="T19" i="51"/>
  <c r="U18" i="51"/>
  <c r="T18" i="51"/>
  <c r="T17" i="51"/>
  <c r="V17" i="51" s="1"/>
  <c r="W17" i="51" s="1"/>
  <c r="X17" i="51" s="1"/>
  <c r="U16" i="51"/>
  <c r="T16" i="51"/>
  <c r="V16" i="51" s="1"/>
  <c r="W16" i="51" s="1"/>
  <c r="X16" i="51" s="1"/>
  <c r="U15" i="51"/>
  <c r="T15" i="51"/>
  <c r="U14" i="51"/>
  <c r="T14" i="51"/>
  <c r="U13" i="51"/>
  <c r="T13" i="51"/>
  <c r="T12" i="51"/>
  <c r="V12" i="51" s="1"/>
  <c r="W12" i="51" s="1"/>
  <c r="X12" i="51" s="1"/>
  <c r="U11" i="51"/>
  <c r="T11" i="51"/>
  <c r="U10" i="51"/>
  <c r="T10" i="51"/>
  <c r="U9" i="51"/>
  <c r="T9" i="51"/>
  <c r="U8" i="51"/>
  <c r="T8" i="51"/>
  <c r="U7" i="51"/>
  <c r="T7" i="51"/>
  <c r="U6" i="51"/>
  <c r="T6" i="51"/>
  <c r="U5" i="51"/>
  <c r="T5" i="51"/>
  <c r="U4" i="51"/>
  <c r="T4" i="51"/>
  <c r="U3" i="51"/>
  <c r="T3" i="51"/>
  <c r="U2" i="51"/>
  <c r="T2" i="51"/>
  <c r="V52" i="51" l="1"/>
  <c r="W52" i="51" s="1"/>
  <c r="X52" i="51" s="1"/>
  <c r="V8" i="51"/>
  <c r="W8" i="51" s="1"/>
  <c r="X8" i="51" s="1"/>
  <c r="V2" i="51"/>
  <c r="W2" i="51" s="1"/>
  <c r="V40" i="51"/>
  <c r="W40" i="51" s="1"/>
  <c r="X40" i="51" s="1"/>
  <c r="V35" i="51"/>
  <c r="W35" i="51" s="1"/>
  <c r="X35" i="51" s="1"/>
  <c r="V34" i="51"/>
  <c r="W34" i="51" s="1"/>
  <c r="X34" i="51" s="1"/>
  <c r="V6" i="51"/>
  <c r="W6" i="51" s="1"/>
  <c r="X6" i="51" s="1"/>
  <c r="V32" i="51"/>
  <c r="W32" i="51" s="1"/>
  <c r="X32" i="51" s="1"/>
  <c r="V13" i="51"/>
  <c r="W13" i="51" s="1"/>
  <c r="X13" i="51" s="1"/>
  <c r="V57" i="51"/>
  <c r="W57" i="51" s="1"/>
  <c r="X57" i="51" s="1"/>
  <c r="V5" i="51"/>
  <c r="W5" i="51" s="1"/>
  <c r="X5" i="51" s="1"/>
  <c r="V18" i="51"/>
  <c r="W18" i="51" s="1"/>
  <c r="X18" i="51" s="1"/>
  <c r="V14" i="51"/>
  <c r="W14" i="51" s="1"/>
  <c r="X14" i="51" s="1"/>
  <c r="V24" i="51"/>
  <c r="W24" i="51" s="1"/>
  <c r="X24" i="51" s="1"/>
  <c r="V42" i="51"/>
  <c r="W42" i="51" s="1"/>
  <c r="X42" i="51" s="1"/>
  <c r="V46" i="51"/>
  <c r="W46" i="51" s="1"/>
  <c r="X46" i="51" s="1"/>
  <c r="V50" i="51"/>
  <c r="W50" i="51" s="1"/>
  <c r="X50" i="51" s="1"/>
  <c r="V49" i="51"/>
  <c r="W49" i="51" s="1"/>
  <c r="X49" i="51" s="1"/>
  <c r="V25" i="51"/>
  <c r="W25" i="51" s="1"/>
  <c r="X25" i="51" s="1"/>
  <c r="V30" i="51"/>
  <c r="W30" i="51" s="1"/>
  <c r="X30" i="51" s="1"/>
  <c r="V47" i="51"/>
  <c r="W47" i="51" s="1"/>
  <c r="X47" i="51" s="1"/>
  <c r="V55" i="51"/>
  <c r="W55" i="51" s="1"/>
  <c r="V59" i="51"/>
  <c r="W59" i="51" s="1"/>
  <c r="X59" i="51" s="1"/>
  <c r="V3" i="51"/>
  <c r="W3" i="51" s="1"/>
  <c r="X3" i="51" s="1"/>
  <c r="V11" i="51"/>
  <c r="W11" i="51" s="1"/>
  <c r="X11" i="51" s="1"/>
  <c r="V26" i="51"/>
  <c r="W26" i="51" s="1"/>
  <c r="X26" i="51" s="1"/>
  <c r="V44" i="51"/>
  <c r="W44" i="51" s="1"/>
  <c r="X44" i="51" s="1"/>
  <c r="V60" i="51"/>
  <c r="W60" i="51" s="1"/>
  <c r="X60" i="51" s="1"/>
  <c r="V4" i="51"/>
  <c r="W4" i="51" s="1"/>
  <c r="X4" i="51" s="1"/>
  <c r="V45" i="51"/>
  <c r="W45" i="51" s="1"/>
  <c r="X45" i="51" s="1"/>
  <c r="V48" i="51"/>
  <c r="W48" i="51" s="1"/>
  <c r="X48" i="51" s="1"/>
  <c r="V58" i="51"/>
  <c r="W58" i="51" s="1"/>
  <c r="X58" i="51" s="1"/>
  <c r="V61" i="51"/>
  <c r="W61" i="51" s="1"/>
  <c r="X61" i="51" s="1"/>
  <c r="T62" i="51"/>
  <c r="V15" i="51"/>
  <c r="W15" i="51" s="1"/>
  <c r="X15" i="51" s="1"/>
  <c r="V9" i="51"/>
  <c r="W9" i="51" s="1"/>
  <c r="X9" i="51" s="1"/>
  <c r="V19" i="51"/>
  <c r="W19" i="51" s="1"/>
  <c r="X19" i="51" s="1"/>
  <c r="V29" i="51"/>
  <c r="W29" i="51" s="1"/>
  <c r="X29" i="51" s="1"/>
  <c r="V53" i="51"/>
  <c r="W53" i="51" s="1"/>
  <c r="X53" i="51" s="1"/>
  <c r="V56" i="51"/>
  <c r="W56" i="51" s="1"/>
  <c r="X56" i="51" s="1"/>
  <c r="V10" i="51"/>
  <c r="W10" i="51" s="1"/>
  <c r="X10" i="51" s="1"/>
  <c r="V33" i="51"/>
  <c r="W33" i="51" s="1"/>
  <c r="X33" i="51" s="1"/>
  <c r="V36" i="51"/>
  <c r="W36" i="51" s="1"/>
  <c r="X36" i="51" s="1"/>
  <c r="V54" i="51"/>
  <c r="W54" i="51" s="1"/>
  <c r="X54" i="51" s="1"/>
  <c r="V7" i="51"/>
  <c r="W7" i="51" s="1"/>
  <c r="X7" i="51" s="1"/>
  <c r="V21" i="51"/>
  <c r="W21" i="51" s="1"/>
  <c r="X21" i="51" s="1"/>
  <c r="V41" i="51"/>
  <c r="W41" i="51" s="1"/>
  <c r="X41" i="51" s="1"/>
  <c r="V51" i="51"/>
  <c r="W51" i="51" s="1"/>
  <c r="X51" i="51" s="1"/>
  <c r="U62" i="51"/>
  <c r="V62" i="51" l="1"/>
  <c r="W62" i="51"/>
  <c r="X2" i="51"/>
  <c r="X62" i="51" s="1"/>
  <c r="L113" i="33" l="1"/>
  <c r="L114" i="33"/>
  <c r="L115" i="33"/>
  <c r="L116" i="33"/>
  <c r="L117" i="33"/>
  <c r="L118" i="33"/>
  <c r="L119" i="33"/>
  <c r="L120" i="33"/>
  <c r="L121" i="33"/>
  <c r="L112" i="33"/>
  <c r="U127" i="33"/>
  <c r="V127" i="33"/>
  <c r="W127" i="33"/>
  <c r="T127" i="33"/>
  <c r="S127" i="33" l="1"/>
  <c r="R113" i="33"/>
  <c r="R114" i="33"/>
  <c r="R115" i="33"/>
  <c r="R116" i="33"/>
  <c r="R117" i="33"/>
  <c r="R118" i="33"/>
  <c r="R120" i="33"/>
  <c r="R121" i="33"/>
  <c r="R112" i="33"/>
  <c r="R127" i="33" s="1"/>
  <c r="AA35" i="47" l="1"/>
  <c r="AB35" i="47" s="1"/>
  <c r="I66" i="45"/>
  <c r="I63" i="45"/>
  <c r="I62" i="45"/>
  <c r="I60" i="45"/>
  <c r="G63" i="45" l="1"/>
  <c r="J3" i="45" a="1"/>
  <c r="G59" i="45"/>
  <c r="O11" i="45" l="1"/>
  <c r="O19" i="45"/>
  <c r="Q19" i="45" s="1"/>
  <c r="O27" i="45"/>
  <c r="O35" i="45"/>
  <c r="O43" i="45"/>
  <c r="O32" i="45"/>
  <c r="O33" i="45"/>
  <c r="O10" i="45"/>
  <c r="O4" i="45"/>
  <c r="O12" i="45"/>
  <c r="O20" i="45"/>
  <c r="O28" i="45"/>
  <c r="O36" i="45"/>
  <c r="O44" i="45"/>
  <c r="O40" i="45"/>
  <c r="O25" i="45"/>
  <c r="O26" i="45"/>
  <c r="O5" i="45"/>
  <c r="O13" i="45"/>
  <c r="O21" i="45"/>
  <c r="O29" i="45"/>
  <c r="O37" i="45"/>
  <c r="O45" i="45"/>
  <c r="O16" i="45"/>
  <c r="O9" i="45"/>
  <c r="O49" i="45"/>
  <c r="O6" i="45"/>
  <c r="O14" i="45"/>
  <c r="O22" i="45"/>
  <c r="O30" i="45"/>
  <c r="O38" i="45"/>
  <c r="O46" i="45"/>
  <c r="O24" i="45"/>
  <c r="O48" i="45"/>
  <c r="O41" i="45"/>
  <c r="O34" i="45"/>
  <c r="O7" i="45"/>
  <c r="O15" i="45"/>
  <c r="O23" i="45"/>
  <c r="O31" i="45"/>
  <c r="O39" i="45"/>
  <c r="O47" i="45"/>
  <c r="O8" i="45"/>
  <c r="O17" i="45"/>
  <c r="O18" i="45"/>
  <c r="O42" i="45"/>
  <c r="Y4" i="45" a="1"/>
  <c r="Y4" i="45" s="1"/>
  <c r="T3" i="45" a="1"/>
  <c r="T3" i="45" s="1"/>
  <c r="J3" i="45"/>
  <c r="O3" i="45"/>
  <c r="Q127" i="33" l="1"/>
  <c r="P127" i="33"/>
  <c r="O127" i="33"/>
  <c r="N127" i="33"/>
  <c r="O104" i="33"/>
  <c r="P104" i="33" s="1"/>
  <c r="Q104" i="33" s="1"/>
  <c r="J127" i="33"/>
  <c r="K127" i="33"/>
  <c r="K128" i="33" l="1"/>
  <c r="J37" i="33" l="1" a="1"/>
  <c r="J37" i="33" s="1"/>
  <c r="J38" i="33" a="1"/>
  <c r="J38" i="33" s="1"/>
  <c r="J39" i="33" a="1"/>
  <c r="J39" i="33" s="1"/>
  <c r="J40" i="33" a="1"/>
  <c r="J40" i="33" s="1"/>
  <c r="J41" i="33" a="1"/>
  <c r="J41" i="33" s="1"/>
  <c r="J42" i="33" a="1"/>
  <c r="J42" i="33" s="1"/>
  <c r="J43" i="33" a="1"/>
  <c r="J43" i="33" s="1"/>
  <c r="J44" i="33" a="1"/>
  <c r="J44" i="33" s="1"/>
  <c r="J45" i="33" a="1"/>
  <c r="J45" i="33" s="1"/>
  <c r="J46" i="33" a="1"/>
  <c r="J46" i="33" s="1"/>
  <c r="J47" i="33" a="1"/>
  <c r="J47" i="33" s="1"/>
  <c r="J48" i="33" a="1"/>
  <c r="J48" i="33" s="1"/>
  <c r="J49" i="33" a="1"/>
  <c r="J49" i="33" s="1"/>
  <c r="J36" i="33" a="1"/>
  <c r="J36" i="33" s="1"/>
  <c r="X7" i="7" l="1" a="1"/>
  <c r="X7" i="7" s="1"/>
  <c r="X26" i="7" a="1"/>
  <c r="X26" i="7" s="1"/>
  <c r="X111" i="7" a="1"/>
  <c r="X111" i="7" s="1"/>
  <c r="W26" i="7" a="1"/>
  <c r="W26" i="7" s="1"/>
  <c r="X3" i="7" a="1"/>
  <c r="X3" i="7" s="1"/>
  <c r="W7" i="7" a="1"/>
  <c r="W7" i="7" s="1"/>
  <c r="W111" i="7" a="1"/>
  <c r="W111" i="7" s="1"/>
  <c r="W3" i="7" a="1"/>
  <c r="W3" i="7" s="1"/>
  <c r="AN7" i="7"/>
  <c r="AN26" i="7"/>
  <c r="AN111" i="7"/>
  <c r="L2" i="33" l="1" a="1"/>
  <c r="L2" i="33" s="1"/>
  <c r="L3" i="33" a="1"/>
  <c r="L3" i="33" s="1"/>
  <c r="M3" i="33" s="1"/>
  <c r="L4" i="33" a="1"/>
  <c r="L4" i="33" s="1"/>
  <c r="M4" i="33" s="1"/>
  <c r="L5" i="33" a="1"/>
  <c r="L5" i="33" s="1"/>
  <c r="M5" i="33" s="1"/>
  <c r="L6" i="33" a="1"/>
  <c r="L6" i="33" s="1"/>
  <c r="M6" i="33" s="1"/>
  <c r="L7" i="33" a="1"/>
  <c r="L7" i="33" s="1"/>
  <c r="M7" i="33" s="1"/>
  <c r="L8" i="33" a="1"/>
  <c r="L8" i="33" s="1"/>
  <c r="M8" i="33" s="1"/>
  <c r="L9" i="33" a="1"/>
  <c r="L9" i="33" s="1"/>
  <c r="M9" i="33" s="1"/>
  <c r="L10" i="33" a="1"/>
  <c r="L10" i="33" s="1"/>
  <c r="M10" i="33" s="1"/>
  <c r="L11" i="33" a="1"/>
  <c r="L11" i="33" s="1"/>
  <c r="M11" i="33" s="1"/>
  <c r="L12" i="33" a="1"/>
  <c r="L12" i="33" s="1"/>
  <c r="M12" i="33" s="1"/>
  <c r="L13" i="33" a="1"/>
  <c r="L13" i="33" s="1"/>
  <c r="M13" i="33" s="1"/>
  <c r="L14" i="33" a="1"/>
  <c r="L14" i="33" s="1"/>
  <c r="M14" i="33" s="1"/>
  <c r="L15" i="33" a="1"/>
  <c r="L15" i="33" s="1"/>
  <c r="M15" i="33" s="1"/>
  <c r="L16" i="33" a="1"/>
  <c r="L16" i="33" s="1"/>
  <c r="M16" i="33" s="1"/>
  <c r="L17" i="33" a="1"/>
  <c r="L17" i="33" s="1"/>
  <c r="M17" i="33" s="1"/>
  <c r="L18" i="33" a="1"/>
  <c r="L18" i="33" s="1"/>
  <c r="M18" i="33" s="1"/>
  <c r="L19" i="33" a="1"/>
  <c r="L19" i="33" s="1"/>
  <c r="M19" i="33" s="1"/>
  <c r="L20" i="33" a="1"/>
  <c r="L20" i="33" s="1"/>
  <c r="M20" i="33" s="1"/>
  <c r="L21" i="33" a="1"/>
  <c r="L21" i="33" s="1"/>
  <c r="M21" i="33" s="1"/>
  <c r="L22" i="33" a="1"/>
  <c r="L22" i="33" s="1"/>
  <c r="M22" i="33" s="1"/>
  <c r="L23" i="33" a="1"/>
  <c r="L23" i="33" s="1"/>
  <c r="M23" i="33" s="1"/>
  <c r="L24" i="33" a="1"/>
  <c r="L24" i="33" s="1"/>
  <c r="M24" i="33" s="1"/>
  <c r="L25" i="33" a="1"/>
  <c r="L25" i="33" s="1"/>
  <c r="M25" i="33" s="1"/>
  <c r="L26" i="33" a="1"/>
  <c r="L26" i="33" s="1"/>
  <c r="M26" i="33" s="1"/>
  <c r="L28" i="33" a="1"/>
  <c r="L28" i="33" s="1"/>
  <c r="M28" i="33" s="1"/>
  <c r="L29" i="33" a="1"/>
  <c r="L29" i="33" s="1"/>
  <c r="M29" i="33" s="1"/>
  <c r="L30" i="33" a="1"/>
  <c r="L30" i="33" s="1"/>
  <c r="M30" i="33" s="1"/>
  <c r="L27" i="33" a="1"/>
  <c r="L27" i="33" s="1"/>
  <c r="M27" i="33" s="1"/>
  <c r="H52" i="33"/>
  <c r="M2" i="33" l="1"/>
  <c r="M31" i="33" s="1"/>
  <c r="L31" i="33"/>
  <c r="AA2" i="46" a="1"/>
  <c r="AA2" i="46" s="1"/>
  <c r="Z71" i="47"/>
  <c r="AB71" i="47" s="1"/>
  <c r="V2" i="46" l="1" a="1"/>
  <c r="V2" i="46" s="1"/>
  <c r="W2" i="46" s="1"/>
  <c r="G57" i="45"/>
  <c r="G55" i="45"/>
  <c r="G54" i="45"/>
  <c r="G52" i="45"/>
  <c r="G51" i="45"/>
  <c r="AA3" i="47"/>
  <c r="AA4" i="47"/>
  <c r="AA5" i="47"/>
  <c r="AA6" i="47"/>
  <c r="AA7" i="47"/>
  <c r="AA8" i="47"/>
  <c r="AA9" i="47"/>
  <c r="AA10" i="47"/>
  <c r="AA11" i="47"/>
  <c r="AA12" i="47"/>
  <c r="AA13" i="47"/>
  <c r="AA14" i="47"/>
  <c r="AA15" i="47"/>
  <c r="AA16" i="47"/>
  <c r="AA17" i="47"/>
  <c r="AA18" i="47"/>
  <c r="AA19" i="47"/>
  <c r="AA20" i="47"/>
  <c r="AA21" i="47"/>
  <c r="AA22" i="47"/>
  <c r="AA23" i="47"/>
  <c r="AA24" i="47"/>
  <c r="AA25" i="47"/>
  <c r="AA26" i="47"/>
  <c r="AA27" i="47"/>
  <c r="AA28" i="47"/>
  <c r="AA29" i="47"/>
  <c r="AA30" i="47"/>
  <c r="AA31" i="47"/>
  <c r="AA32" i="47"/>
  <c r="AA33" i="47"/>
  <c r="AA34" i="47"/>
  <c r="AA36" i="47"/>
  <c r="AA37" i="47"/>
  <c r="AA38" i="47"/>
  <c r="AA39" i="47"/>
  <c r="AA40" i="47"/>
  <c r="AA41" i="47"/>
  <c r="AA42" i="47"/>
  <c r="AA43" i="47"/>
  <c r="AA44" i="47"/>
  <c r="AA45" i="47"/>
  <c r="AA46" i="47"/>
  <c r="AA47" i="47"/>
  <c r="AA48" i="47"/>
  <c r="AA49" i="47"/>
  <c r="AA50" i="47"/>
  <c r="AA51" i="47"/>
  <c r="AA52" i="47"/>
  <c r="AA53" i="47"/>
  <c r="AA54" i="47"/>
  <c r="AA55" i="47"/>
  <c r="AA56" i="47"/>
  <c r="AA57" i="47"/>
  <c r="AA58" i="47"/>
  <c r="AA59" i="47"/>
  <c r="AA60" i="47"/>
  <c r="AA61" i="47"/>
  <c r="AA62" i="47"/>
  <c r="AA63" i="47"/>
  <c r="AA64" i="47"/>
  <c r="AA65" i="47"/>
  <c r="AA66" i="47"/>
  <c r="AA67" i="47"/>
  <c r="AA68" i="47"/>
  <c r="AA69" i="47"/>
  <c r="AA70" i="47"/>
  <c r="AA2" i="47"/>
  <c r="Z3" i="47"/>
  <c r="Z4" i="47"/>
  <c r="Z5" i="47"/>
  <c r="Z6" i="47"/>
  <c r="Z7" i="47"/>
  <c r="Z8" i="47"/>
  <c r="Z9" i="47"/>
  <c r="Z10" i="47"/>
  <c r="Z11" i="47"/>
  <c r="Z12" i="47"/>
  <c r="Z13" i="47"/>
  <c r="Z14" i="47"/>
  <c r="Z15" i="47"/>
  <c r="Z16" i="47"/>
  <c r="Z17" i="47"/>
  <c r="Z18" i="47"/>
  <c r="Z19" i="47"/>
  <c r="Z20" i="47"/>
  <c r="Z21" i="47"/>
  <c r="Z22" i="47"/>
  <c r="Z23" i="47"/>
  <c r="Z24" i="47"/>
  <c r="Z25" i="47"/>
  <c r="Z26" i="47"/>
  <c r="Z27" i="47"/>
  <c r="Z28" i="47"/>
  <c r="Z29" i="47"/>
  <c r="Z30" i="47"/>
  <c r="Z31" i="47"/>
  <c r="Z32" i="47"/>
  <c r="Z33" i="47"/>
  <c r="Z34" i="47"/>
  <c r="Z36" i="47"/>
  <c r="Z37" i="47"/>
  <c r="Z38" i="47"/>
  <c r="Z39" i="47"/>
  <c r="Z40" i="47"/>
  <c r="Z41" i="47"/>
  <c r="Z42" i="47"/>
  <c r="Z43" i="47"/>
  <c r="Z44" i="47"/>
  <c r="Z45" i="47"/>
  <c r="Z46" i="47"/>
  <c r="Z47" i="47"/>
  <c r="Z48" i="47"/>
  <c r="Z49" i="47"/>
  <c r="Z50" i="47"/>
  <c r="Z51" i="47"/>
  <c r="Z52" i="47"/>
  <c r="Z53" i="47"/>
  <c r="Z54" i="47"/>
  <c r="Z55" i="47"/>
  <c r="Z56" i="47"/>
  <c r="Z57" i="47"/>
  <c r="Z58" i="47"/>
  <c r="Z59" i="47"/>
  <c r="Z60" i="47"/>
  <c r="Z61" i="47"/>
  <c r="Z62" i="47"/>
  <c r="Z63" i="47"/>
  <c r="Z64" i="47"/>
  <c r="Z65" i="47"/>
  <c r="Z66" i="47"/>
  <c r="Z67" i="47"/>
  <c r="Z68" i="47"/>
  <c r="Z69" i="47"/>
  <c r="Z70" i="47"/>
  <c r="Z2" i="47"/>
  <c r="Y58" i="47"/>
  <c r="AB5" i="47" l="1"/>
  <c r="AB68" i="47"/>
  <c r="AB60" i="47"/>
  <c r="AB52" i="47"/>
  <c r="AB44" i="47"/>
  <c r="AB36" i="47"/>
  <c r="AB27" i="47"/>
  <c r="AB19" i="47"/>
  <c r="AB11" i="47"/>
  <c r="AB3" i="47"/>
  <c r="AB69" i="47"/>
  <c r="AB61" i="47"/>
  <c r="AB53" i="47"/>
  <c r="AB45" i="47"/>
  <c r="AB37" i="47"/>
  <c r="AB28" i="47"/>
  <c r="AB20" i="47"/>
  <c r="AB12" i="47"/>
  <c r="AB4" i="47"/>
  <c r="AB67" i="47"/>
  <c r="AB59" i="47"/>
  <c r="AB51" i="47"/>
  <c r="AB43" i="47"/>
  <c r="AB34" i="47"/>
  <c r="AB26" i="47"/>
  <c r="AB18" i="47"/>
  <c r="AB10" i="47"/>
  <c r="AB66" i="47"/>
  <c r="AB58" i="47"/>
  <c r="AB50" i="47"/>
  <c r="AB42" i="47"/>
  <c r="AB33" i="47"/>
  <c r="AB25" i="47"/>
  <c r="AB17" i="47"/>
  <c r="AB9" i="47"/>
  <c r="AB65" i="47"/>
  <c r="AB57" i="47"/>
  <c r="AB49" i="47"/>
  <c r="AB41" i="47"/>
  <c r="AB32" i="47"/>
  <c r="AB24" i="47"/>
  <c r="AB16" i="47"/>
  <c r="AB8" i="47"/>
  <c r="AB64" i="47"/>
  <c r="AB56" i="47"/>
  <c r="AB48" i="47"/>
  <c r="AB40" i="47"/>
  <c r="AB31" i="47"/>
  <c r="AB23" i="47"/>
  <c r="AB15" i="47"/>
  <c r="AB7" i="47"/>
  <c r="AB2" i="47"/>
  <c r="AB63" i="47"/>
  <c r="AB55" i="47"/>
  <c r="AB47" i="47"/>
  <c r="AB39" i="47"/>
  <c r="AB30" i="47"/>
  <c r="AB22" i="47"/>
  <c r="AB14" i="47"/>
  <c r="AB6" i="47"/>
  <c r="AB70" i="47"/>
  <c r="AB62" i="47"/>
  <c r="AB54" i="47"/>
  <c r="AB46" i="47"/>
  <c r="AB38" i="47"/>
  <c r="AB29" i="47"/>
  <c r="AB21" i="47"/>
  <c r="AB13" i="47"/>
  <c r="P7" i="45"/>
  <c r="Q7" i="45" s="1"/>
  <c r="P15" i="45"/>
  <c r="Q15" i="45" s="1"/>
  <c r="P3" i="45"/>
  <c r="Q3" i="45" s="1"/>
  <c r="P8" i="45"/>
  <c r="Q8" i="45" s="1"/>
  <c r="P6" i="45"/>
  <c r="Q6" i="45" s="1"/>
  <c r="P22" i="45"/>
  <c r="Q22" i="45" s="1"/>
  <c r="P20" i="45"/>
  <c r="Q20" i="45" s="1"/>
  <c r="P14" i="45"/>
  <c r="Q14" i="45" s="1"/>
  <c r="P23" i="45"/>
  <c r="Q23" i="45" s="1"/>
  <c r="P24" i="45"/>
  <c r="Q24" i="45" s="1"/>
  <c r="Q10" i="45"/>
  <c r="P11" i="45"/>
  <c r="Q11" i="45" s="1"/>
  <c r="P9" i="45"/>
  <c r="Q9" i="45" s="1"/>
  <c r="P5" i="45"/>
  <c r="Q5" i="45" s="1"/>
  <c r="P12" i="45"/>
  <c r="Q12" i="45" s="1"/>
  <c r="P16" i="45"/>
  <c r="Q16" i="45" s="1"/>
  <c r="P13" i="45"/>
  <c r="Q13" i="45" s="1"/>
  <c r="P18" i="45"/>
  <c r="Q18" i="45" s="1"/>
  <c r="P17" i="45"/>
  <c r="Q17" i="45" s="1"/>
  <c r="P4" i="45"/>
  <c r="Q4" i="45" s="1"/>
  <c r="Z72" i="47"/>
  <c r="W17" i="46"/>
  <c r="W9" i="46"/>
  <c r="W16" i="46"/>
  <c r="W8" i="46"/>
  <c r="W15" i="46"/>
  <c r="W7" i="46"/>
  <c r="W14" i="46"/>
  <c r="W6" i="46"/>
  <c r="W13" i="46"/>
  <c r="W5" i="46"/>
  <c r="W20" i="46"/>
  <c r="W12" i="46"/>
  <c r="W4" i="46"/>
  <c r="W19" i="46"/>
  <c r="W11" i="46"/>
  <c r="W3" i="46"/>
  <c r="W18" i="46"/>
  <c r="W10" i="46"/>
  <c r="P25" i="45" l="1"/>
  <c r="W1" i="46"/>
  <c r="G47" i="45" l="1"/>
  <c r="AA72" i="47"/>
  <c r="U72" i="47"/>
  <c r="S72" i="47"/>
  <c r="R72" i="47"/>
  <c r="Q72" i="47"/>
  <c r="P72" i="47"/>
  <c r="T70" i="47"/>
  <c r="V70" i="47" s="1"/>
  <c r="W70" i="47" s="1"/>
  <c r="X70" i="47" s="1"/>
  <c r="Y70" i="47" s="1"/>
  <c r="T69" i="47"/>
  <c r="V69" i="47" s="1"/>
  <c r="W69" i="47" s="1"/>
  <c r="X69" i="47" s="1"/>
  <c r="Y69" i="47" s="1"/>
  <c r="H69" i="47"/>
  <c r="T68" i="47"/>
  <c r="V68" i="47" s="1"/>
  <c r="W68" i="47" s="1"/>
  <c r="X68" i="47" s="1"/>
  <c r="Y68" i="47" s="1"/>
  <c r="H68" i="47"/>
  <c r="T67" i="47"/>
  <c r="V67" i="47" s="1"/>
  <c r="W67" i="47" s="1"/>
  <c r="X67" i="47" s="1"/>
  <c r="Y67" i="47" s="1"/>
  <c r="H67" i="47"/>
  <c r="T66" i="47"/>
  <c r="V66" i="47" s="1"/>
  <c r="W66" i="47" s="1"/>
  <c r="X66" i="47" s="1"/>
  <c r="Y66" i="47" s="1"/>
  <c r="H66" i="47"/>
  <c r="T65" i="47"/>
  <c r="V65" i="47" s="1"/>
  <c r="W65" i="47" s="1"/>
  <c r="X65" i="47" s="1"/>
  <c r="Y65" i="47" s="1"/>
  <c r="T64" i="47"/>
  <c r="V64" i="47" s="1"/>
  <c r="W64" i="47" s="1"/>
  <c r="X64" i="47" s="1"/>
  <c r="Y64" i="47" s="1"/>
  <c r="T63" i="47"/>
  <c r="V63" i="47" s="1"/>
  <c r="W63" i="47" s="1"/>
  <c r="X63" i="47" s="1"/>
  <c r="Y63" i="47" s="1"/>
  <c r="T62" i="47"/>
  <c r="V62" i="47" s="1"/>
  <c r="W62" i="47" s="1"/>
  <c r="X62" i="47" s="1"/>
  <c r="Y62" i="47" s="1"/>
  <c r="T61" i="47"/>
  <c r="V61" i="47" s="1"/>
  <c r="W61" i="47" s="1"/>
  <c r="X61" i="47" s="1"/>
  <c r="Y61" i="47" s="1"/>
  <c r="T60" i="47"/>
  <c r="V60" i="47" s="1"/>
  <c r="W60" i="47" s="1"/>
  <c r="X60" i="47" s="1"/>
  <c r="Y60" i="47" s="1"/>
  <c r="T59" i="47"/>
  <c r="V59" i="47" s="1"/>
  <c r="W59" i="47" s="1"/>
  <c r="X59" i="47" s="1"/>
  <c r="Y59" i="47" s="1"/>
  <c r="T58" i="47"/>
  <c r="V58" i="47" s="1"/>
  <c r="W58" i="47" s="1"/>
  <c r="T57" i="47"/>
  <c r="V57" i="47" s="1"/>
  <c r="W57" i="47" s="1"/>
  <c r="X57" i="47" s="1"/>
  <c r="Y57" i="47" s="1"/>
  <c r="T56" i="47"/>
  <c r="V56" i="47" s="1"/>
  <c r="W56" i="47" s="1"/>
  <c r="X56" i="47" s="1"/>
  <c r="Y56" i="47" s="1"/>
  <c r="T55" i="47"/>
  <c r="V55" i="47" s="1"/>
  <c r="W55" i="47" s="1"/>
  <c r="X55" i="47" s="1"/>
  <c r="Y55" i="47" s="1"/>
  <c r="X54" i="47"/>
  <c r="Y54" i="47" s="1"/>
  <c r="T54" i="47"/>
  <c r="V54" i="47" s="1"/>
  <c r="X53" i="47"/>
  <c r="Y53" i="47" s="1"/>
  <c r="T53" i="47"/>
  <c r="V53" i="47" s="1"/>
  <c r="T52" i="47"/>
  <c r="V52" i="47" s="1"/>
  <c r="W52" i="47" s="1"/>
  <c r="X52" i="47" s="1"/>
  <c r="Y52" i="47" s="1"/>
  <c r="T51" i="47"/>
  <c r="V51" i="47" s="1"/>
  <c r="W51" i="47" s="1"/>
  <c r="X51" i="47" s="1"/>
  <c r="Y51" i="47" s="1"/>
  <c r="T50" i="47"/>
  <c r="V50" i="47" s="1"/>
  <c r="W50" i="47" s="1"/>
  <c r="X50" i="47" s="1"/>
  <c r="Y50" i="47" s="1"/>
  <c r="T49" i="47"/>
  <c r="V49" i="47" s="1"/>
  <c r="W49" i="47" s="1"/>
  <c r="X49" i="47" s="1"/>
  <c r="Y49" i="47" s="1"/>
  <c r="T48" i="47"/>
  <c r="V48" i="47" s="1"/>
  <c r="W48" i="47" s="1"/>
  <c r="X48" i="47" s="1"/>
  <c r="Y48" i="47" s="1"/>
  <c r="T47" i="47"/>
  <c r="V47" i="47" s="1"/>
  <c r="W47" i="47" s="1"/>
  <c r="X47" i="47" s="1"/>
  <c r="Y47" i="47" s="1"/>
  <c r="T46" i="47"/>
  <c r="V46" i="47" s="1"/>
  <c r="W46" i="47" s="1"/>
  <c r="X46" i="47" s="1"/>
  <c r="Y46" i="47" s="1"/>
  <c r="T45" i="47"/>
  <c r="V45" i="47" s="1"/>
  <c r="W45" i="47" s="1"/>
  <c r="X45" i="47" s="1"/>
  <c r="Y45" i="47" s="1"/>
  <c r="T44" i="47"/>
  <c r="V44" i="47" s="1"/>
  <c r="W44" i="47" s="1"/>
  <c r="X44" i="47" s="1"/>
  <c r="Y44" i="47" s="1"/>
  <c r="T43" i="47"/>
  <c r="V43" i="47" s="1"/>
  <c r="W43" i="47" s="1"/>
  <c r="X43" i="47" s="1"/>
  <c r="Y43" i="47" s="1"/>
  <c r="T42" i="47"/>
  <c r="V42" i="47" s="1"/>
  <c r="W42" i="47" s="1"/>
  <c r="X42" i="47" s="1"/>
  <c r="Y42" i="47" s="1"/>
  <c r="T41" i="47"/>
  <c r="V41" i="47" s="1"/>
  <c r="W41" i="47" s="1"/>
  <c r="X41" i="47" s="1"/>
  <c r="Y41" i="47" s="1"/>
  <c r="T40" i="47"/>
  <c r="V40" i="47" s="1"/>
  <c r="W40" i="47" s="1"/>
  <c r="X40" i="47" s="1"/>
  <c r="Y40" i="47" s="1"/>
  <c r="T39" i="47"/>
  <c r="V39" i="47" s="1"/>
  <c r="W39" i="47" s="1"/>
  <c r="X39" i="47" s="1"/>
  <c r="Y39" i="47" s="1"/>
  <c r="T38" i="47"/>
  <c r="V38" i="47" s="1"/>
  <c r="W38" i="47" s="1"/>
  <c r="X38" i="47" s="1"/>
  <c r="Y38" i="47" s="1"/>
  <c r="T37" i="47"/>
  <c r="V37" i="47" s="1"/>
  <c r="W37" i="47" s="1"/>
  <c r="X37" i="47" s="1"/>
  <c r="Y37" i="47" s="1"/>
  <c r="T36" i="47"/>
  <c r="V36" i="47" s="1"/>
  <c r="W36" i="47" s="1"/>
  <c r="X36" i="47" s="1"/>
  <c r="Y36" i="47" s="1"/>
  <c r="T34" i="47"/>
  <c r="V34" i="47" s="1"/>
  <c r="W34" i="47" s="1"/>
  <c r="X34" i="47" s="1"/>
  <c r="Y34" i="47" s="1"/>
  <c r="T33" i="47"/>
  <c r="V33" i="47" s="1"/>
  <c r="W33" i="47" s="1"/>
  <c r="X33" i="47" s="1"/>
  <c r="Y33" i="47" s="1"/>
  <c r="T32" i="47"/>
  <c r="V32" i="47" s="1"/>
  <c r="W32" i="47" s="1"/>
  <c r="X32" i="47" s="1"/>
  <c r="Y32" i="47" s="1"/>
  <c r="T31" i="47"/>
  <c r="V31" i="47" s="1"/>
  <c r="W31" i="47" s="1"/>
  <c r="X31" i="47" s="1"/>
  <c r="Y31" i="47" s="1"/>
  <c r="T30" i="47"/>
  <c r="V30" i="47" s="1"/>
  <c r="W30" i="47" s="1"/>
  <c r="X30" i="47" s="1"/>
  <c r="Y30" i="47" s="1"/>
  <c r="T29" i="47"/>
  <c r="V29" i="47" s="1"/>
  <c r="W29" i="47" s="1"/>
  <c r="X29" i="47" s="1"/>
  <c r="Y29" i="47" s="1"/>
  <c r="T28" i="47"/>
  <c r="V28" i="47" s="1"/>
  <c r="W28" i="47" s="1"/>
  <c r="X28" i="47" s="1"/>
  <c r="Y28" i="47" s="1"/>
  <c r="T27" i="47"/>
  <c r="V27" i="47" s="1"/>
  <c r="W27" i="47" s="1"/>
  <c r="X27" i="47" s="1"/>
  <c r="Y27" i="47" s="1"/>
  <c r="T26" i="47"/>
  <c r="V26" i="47" s="1"/>
  <c r="W26" i="47" s="1"/>
  <c r="X26" i="47" s="1"/>
  <c r="Y26" i="47" s="1"/>
  <c r="T25" i="47"/>
  <c r="V25" i="47" s="1"/>
  <c r="W25" i="47" s="1"/>
  <c r="X25" i="47" s="1"/>
  <c r="Y25" i="47" s="1"/>
  <c r="T24" i="47"/>
  <c r="V24" i="47" s="1"/>
  <c r="W24" i="47" s="1"/>
  <c r="X24" i="47" s="1"/>
  <c r="Y24" i="47" s="1"/>
  <c r="T23" i="47"/>
  <c r="V23" i="47" s="1"/>
  <c r="W23" i="47" s="1"/>
  <c r="X23" i="47" s="1"/>
  <c r="Y23" i="47" s="1"/>
  <c r="T22" i="47"/>
  <c r="V22" i="47" s="1"/>
  <c r="W22" i="47" s="1"/>
  <c r="X22" i="47" s="1"/>
  <c r="Y22" i="47" s="1"/>
  <c r="T21" i="47"/>
  <c r="V21" i="47" s="1"/>
  <c r="W21" i="47" s="1"/>
  <c r="X21" i="47" s="1"/>
  <c r="Y21" i="47" s="1"/>
  <c r="X20" i="47"/>
  <c r="Y20" i="47" s="1"/>
  <c r="T20" i="47"/>
  <c r="V20" i="47" s="1"/>
  <c r="T19" i="47"/>
  <c r="V19" i="47" s="1"/>
  <c r="W19" i="47" s="1"/>
  <c r="X19" i="47" s="1"/>
  <c r="Y19" i="47" s="1"/>
  <c r="T18" i="47"/>
  <c r="V18" i="47" s="1"/>
  <c r="W18" i="47" s="1"/>
  <c r="X18" i="47" s="1"/>
  <c r="Y18" i="47" s="1"/>
  <c r="T17" i="47"/>
  <c r="V17" i="47" s="1"/>
  <c r="W17" i="47" s="1"/>
  <c r="X17" i="47" s="1"/>
  <c r="Y17" i="47" s="1"/>
  <c r="T16" i="47"/>
  <c r="V16" i="47" s="1"/>
  <c r="W16" i="47" s="1"/>
  <c r="X16" i="47" s="1"/>
  <c r="Y16" i="47" s="1"/>
  <c r="T15" i="47"/>
  <c r="V15" i="47" s="1"/>
  <c r="W15" i="47" s="1"/>
  <c r="X15" i="47" s="1"/>
  <c r="Y15" i="47" s="1"/>
  <c r="T14" i="47"/>
  <c r="V14" i="47" s="1"/>
  <c r="W14" i="47" s="1"/>
  <c r="X14" i="47" s="1"/>
  <c r="Y14" i="47" s="1"/>
  <c r="T13" i="47"/>
  <c r="V13" i="47" s="1"/>
  <c r="W13" i="47" s="1"/>
  <c r="X13" i="47" s="1"/>
  <c r="Y13" i="47" s="1"/>
  <c r="T12" i="47"/>
  <c r="V12" i="47" s="1"/>
  <c r="W12" i="47" s="1"/>
  <c r="X12" i="47" s="1"/>
  <c r="Y12" i="47" s="1"/>
  <c r="T11" i="47"/>
  <c r="V11" i="47" s="1"/>
  <c r="W11" i="47" s="1"/>
  <c r="X11" i="47" s="1"/>
  <c r="Y11" i="47" s="1"/>
  <c r="T10" i="47"/>
  <c r="V10" i="47" s="1"/>
  <c r="W10" i="47" s="1"/>
  <c r="X10" i="47" s="1"/>
  <c r="Y10" i="47" s="1"/>
  <c r="T9" i="47"/>
  <c r="V9" i="47" s="1"/>
  <c r="W9" i="47" s="1"/>
  <c r="X9" i="47" s="1"/>
  <c r="Y9" i="47" s="1"/>
  <c r="T8" i="47"/>
  <c r="V8" i="47" s="1"/>
  <c r="W8" i="47" s="1"/>
  <c r="X8" i="47" s="1"/>
  <c r="Y8" i="47" s="1"/>
  <c r="T7" i="47"/>
  <c r="V7" i="47" s="1"/>
  <c r="W7" i="47" s="1"/>
  <c r="X7" i="47" s="1"/>
  <c r="Y7" i="47" s="1"/>
  <c r="T6" i="47"/>
  <c r="V6" i="47" s="1"/>
  <c r="W6" i="47" s="1"/>
  <c r="X6" i="47" s="1"/>
  <c r="Y6" i="47" s="1"/>
  <c r="T5" i="47"/>
  <c r="V5" i="47" s="1"/>
  <c r="W5" i="47" s="1"/>
  <c r="X5" i="47" s="1"/>
  <c r="Y5" i="47" s="1"/>
  <c r="T4" i="47"/>
  <c r="V4" i="47" s="1"/>
  <c r="W4" i="47" s="1"/>
  <c r="X4" i="47" s="1"/>
  <c r="Y4" i="47" s="1"/>
  <c r="T3" i="47"/>
  <c r="V3" i="47" s="1"/>
  <c r="W3" i="47" s="1"/>
  <c r="X3" i="47" s="1"/>
  <c r="Y3" i="47" s="1"/>
  <c r="T2" i="47"/>
  <c r="T72" i="47" l="1"/>
  <c r="V2" i="47"/>
  <c r="W2" i="47" l="1"/>
  <c r="V72" i="47"/>
  <c r="W72" i="47" l="1"/>
  <c r="X2" i="47"/>
  <c r="X72" i="47" l="1"/>
  <c r="Y2" i="47"/>
  <c r="G35" i="45"/>
  <c r="G23" i="45" l="1"/>
  <c r="G26" i="45"/>
  <c r="G8" i="45"/>
  <c r="G11" i="45"/>
  <c r="G2" i="45"/>
  <c r="G6" i="45"/>
  <c r="G3" i="45"/>
  <c r="G12" i="45"/>
  <c r="G14" i="45"/>
  <c r="G15" i="45"/>
  <c r="G16" i="45"/>
  <c r="G17" i="45"/>
  <c r="G19" i="45"/>
  <c r="G18" i="45"/>
  <c r="G22" i="45"/>
  <c r="G24" i="45"/>
  <c r="G25" i="45"/>
  <c r="G28" i="45"/>
  <c r="A2" i="44" a="1"/>
  <c r="A2" i="44" l="1"/>
  <c r="G13" i="45"/>
  <c r="W10" i="33" l="1"/>
  <c r="AB3" i="7" l="1"/>
  <c r="AB7" i="7"/>
  <c r="AB26" i="7"/>
  <c r="AB111" i="7"/>
  <c r="AC3" i="7"/>
  <c r="AC7" i="7"/>
  <c r="AC26" i="7"/>
  <c r="AC111" i="7"/>
  <c r="AD3" i="7"/>
  <c r="AD26" i="7"/>
  <c r="AD111" i="7" l="1"/>
  <c r="AD7" i="7"/>
  <c r="AS26" i="7"/>
  <c r="A3" i="40" l="1" a="1"/>
  <c r="A3" i="40" s="1"/>
  <c r="E22" i="41" l="1"/>
  <c r="I13" i="41"/>
  <c r="I12" i="41"/>
  <c r="I14" i="41" s="1"/>
  <c r="E5" i="41"/>
  <c r="AM111" i="7" l="1"/>
  <c r="AM26" i="7"/>
  <c r="AM7" i="7"/>
  <c r="AM3" i="7"/>
  <c r="AH591" i="36" l="1"/>
  <c r="AC591" i="36"/>
  <c r="AI591" i="36" s="1"/>
  <c r="AB591" i="36"/>
  <c r="AD591" i="36" s="1"/>
  <c r="AA591" i="36"/>
  <c r="P591" i="36"/>
  <c r="AC590" i="36"/>
  <c r="AI590" i="36" s="1"/>
  <c r="AB590" i="36"/>
  <c r="AD590" i="36" s="1"/>
  <c r="AA590" i="36"/>
  <c r="P590" i="36"/>
  <c r="AN589" i="36"/>
  <c r="AC589" i="36"/>
  <c r="AI589" i="36" s="1"/>
  <c r="AB589" i="36"/>
  <c r="AH590" i="36" s="1"/>
  <c r="AA589" i="36"/>
  <c r="P589" i="36"/>
  <c r="AN588" i="36"/>
  <c r="AN590" i="36" s="1"/>
  <c r="AC588" i="36"/>
  <c r="AI588" i="36" s="1"/>
  <c r="AB588" i="36"/>
  <c r="AH588" i="36" s="1"/>
  <c r="AA588" i="36"/>
  <c r="P588" i="36"/>
  <c r="AC587" i="36"/>
  <c r="AI587" i="36" s="1"/>
  <c r="AB587" i="36"/>
  <c r="AH587" i="36" s="1"/>
  <c r="AA587" i="36"/>
  <c r="P587" i="36"/>
  <c r="AI586" i="36"/>
  <c r="AC586" i="36"/>
  <c r="AB586" i="36"/>
  <c r="AH586" i="36" s="1"/>
  <c r="AA586" i="36"/>
  <c r="P586" i="36"/>
  <c r="AI585" i="36"/>
  <c r="AC585" i="36"/>
  <c r="AB585" i="36"/>
  <c r="AH585" i="36" s="1"/>
  <c r="AA585" i="36"/>
  <c r="P585" i="36"/>
  <c r="AI584" i="36"/>
  <c r="AH584" i="36"/>
  <c r="AC584" i="36"/>
  <c r="AB584" i="36"/>
  <c r="AD584" i="36" s="1"/>
  <c r="AA584" i="36"/>
  <c r="P584" i="36"/>
  <c r="AI583" i="36"/>
  <c r="AH583" i="36"/>
  <c r="AD583" i="36"/>
  <c r="AC583" i="36"/>
  <c r="AB583" i="36"/>
  <c r="AA583" i="36"/>
  <c r="P583" i="36"/>
  <c r="AH582" i="36"/>
  <c r="AD582" i="36"/>
  <c r="AC582" i="36"/>
  <c r="AI582" i="36" s="1"/>
  <c r="AB582" i="36"/>
  <c r="AA582" i="36"/>
  <c r="P582" i="36"/>
  <c r="AC581" i="36"/>
  <c r="AI581" i="36" s="1"/>
  <c r="AB581" i="36"/>
  <c r="AH581" i="36" s="1"/>
  <c r="AA581" i="36"/>
  <c r="P581" i="36"/>
  <c r="AC580" i="36"/>
  <c r="AI580" i="36" s="1"/>
  <c r="AB580" i="36"/>
  <c r="AA580" i="36"/>
  <c r="P580" i="36"/>
  <c r="AC579" i="36"/>
  <c r="AI579" i="36" s="1"/>
  <c r="AB579" i="36"/>
  <c r="AH579" i="36" s="1"/>
  <c r="AA579" i="36"/>
  <c r="P579" i="36"/>
  <c r="AC578" i="36"/>
  <c r="AI578" i="36" s="1"/>
  <c r="AB578" i="36"/>
  <c r="AH578" i="36" s="1"/>
  <c r="AA578" i="36"/>
  <c r="P578" i="36"/>
  <c r="AI577" i="36"/>
  <c r="AC577" i="36"/>
  <c r="AB577" i="36"/>
  <c r="AH577" i="36" s="1"/>
  <c r="AA577" i="36"/>
  <c r="P577" i="36"/>
  <c r="AI576" i="36"/>
  <c r="AC576" i="36"/>
  <c r="AB576" i="36"/>
  <c r="AH576" i="36" s="1"/>
  <c r="AA576" i="36"/>
  <c r="P576" i="36"/>
  <c r="AI575" i="36"/>
  <c r="AH575" i="36"/>
  <c r="AC575" i="36"/>
  <c r="AB575" i="36"/>
  <c r="AD575" i="36" s="1"/>
  <c r="AA575" i="36"/>
  <c r="P575" i="36"/>
  <c r="AI574" i="36"/>
  <c r="AH574" i="36"/>
  <c r="AD574" i="36"/>
  <c r="AC574" i="36"/>
  <c r="AB574" i="36"/>
  <c r="AA574" i="36"/>
  <c r="P574" i="36"/>
  <c r="AH573" i="36"/>
  <c r="AD573" i="36"/>
  <c r="AC573" i="36"/>
  <c r="AI573" i="36" s="1"/>
  <c r="AB573" i="36"/>
  <c r="AA573" i="36"/>
  <c r="P573" i="36"/>
  <c r="AH572" i="36"/>
  <c r="AD572" i="36"/>
  <c r="AC572" i="36"/>
  <c r="AI572" i="36" s="1"/>
  <c r="AB572" i="36"/>
  <c r="AA572" i="36"/>
  <c r="P572" i="36"/>
  <c r="AC571" i="36"/>
  <c r="AI571" i="36" s="1"/>
  <c r="AB571" i="36"/>
  <c r="AH571" i="36" s="1"/>
  <c r="AA571" i="36"/>
  <c r="P571" i="36"/>
  <c r="AC570" i="36"/>
  <c r="AI570" i="36" s="1"/>
  <c r="AB570" i="36"/>
  <c r="AA570" i="36"/>
  <c r="P570" i="36"/>
  <c r="AD569" i="36"/>
  <c r="AC569" i="36"/>
  <c r="AI569" i="36" s="1"/>
  <c r="AB569" i="36"/>
  <c r="AH569" i="36" s="1"/>
  <c r="AA569" i="36"/>
  <c r="P569" i="36"/>
  <c r="AD568" i="36"/>
  <c r="AC568" i="36"/>
  <c r="AI568" i="36" s="1"/>
  <c r="AB568" i="36"/>
  <c r="AH568" i="36" s="1"/>
  <c r="AA568" i="36"/>
  <c r="P568" i="36"/>
  <c r="AD567" i="36"/>
  <c r="AC567" i="36"/>
  <c r="AI567" i="36" s="1"/>
  <c r="AB567" i="36"/>
  <c r="AH567" i="36" s="1"/>
  <c r="AA567" i="36"/>
  <c r="P567" i="36"/>
  <c r="AI566" i="36"/>
  <c r="AC566" i="36"/>
  <c r="AD566" i="36" s="1"/>
  <c r="AB566" i="36"/>
  <c r="AH566" i="36" s="1"/>
  <c r="AA566" i="36"/>
  <c r="P566" i="36"/>
  <c r="AH565" i="36"/>
  <c r="AC565" i="36"/>
  <c r="AB565" i="36"/>
  <c r="AI565" i="36" s="1"/>
  <c r="AA565" i="36"/>
  <c r="P565" i="36"/>
  <c r="AI564" i="36"/>
  <c r="AH564" i="36"/>
  <c r="AD564" i="36"/>
  <c r="AC564" i="36"/>
  <c r="AB564" i="36"/>
  <c r="AA564" i="36"/>
  <c r="P564" i="36"/>
  <c r="AI563" i="36"/>
  <c r="AH563" i="36"/>
  <c r="AD563" i="36"/>
  <c r="AC563" i="36"/>
  <c r="AB563" i="36"/>
  <c r="AA563" i="36"/>
  <c r="P563" i="36"/>
  <c r="AI562" i="36"/>
  <c r="AH562" i="36"/>
  <c r="AD562" i="36"/>
  <c r="AC562" i="36"/>
  <c r="AB562" i="36"/>
  <c r="AA562" i="36"/>
  <c r="P562" i="36"/>
  <c r="AI561" i="36"/>
  <c r="AH561" i="36"/>
  <c r="AC561" i="36"/>
  <c r="AD561" i="36" s="1"/>
  <c r="AB561" i="36"/>
  <c r="AA561" i="36"/>
  <c r="P561" i="36"/>
  <c r="AI560" i="36"/>
  <c r="AH560" i="36"/>
  <c r="AC560" i="36"/>
  <c r="AD560" i="36" s="1"/>
  <c r="AB560" i="36"/>
  <c r="AA560" i="36"/>
  <c r="P560" i="36"/>
  <c r="AH559" i="36"/>
  <c r="AD559" i="36"/>
  <c r="AC559" i="36"/>
  <c r="AB559" i="36"/>
  <c r="AI559" i="36" s="1"/>
  <c r="AA559" i="36"/>
  <c r="P559" i="36"/>
  <c r="AH558" i="36"/>
  <c r="AC558" i="36"/>
  <c r="AB558" i="36"/>
  <c r="AA558" i="36"/>
  <c r="P558" i="36"/>
  <c r="AC557" i="36"/>
  <c r="AI557" i="36" s="1"/>
  <c r="AB557" i="36"/>
  <c r="AA557" i="36"/>
  <c r="P557" i="36"/>
  <c r="AC556" i="36"/>
  <c r="AB556" i="36"/>
  <c r="AA556" i="36"/>
  <c r="P556" i="36"/>
  <c r="AC555" i="36"/>
  <c r="AI555" i="36" s="1"/>
  <c r="AB555" i="36"/>
  <c r="AH555" i="36" s="1"/>
  <c r="AA555" i="36"/>
  <c r="P555" i="36"/>
  <c r="AC554" i="36"/>
  <c r="AI554" i="36" s="1"/>
  <c r="AB554" i="36"/>
  <c r="AH554" i="36" s="1"/>
  <c r="AA554" i="36"/>
  <c r="P554" i="36"/>
  <c r="AI553" i="36"/>
  <c r="AC553" i="36"/>
  <c r="AB553" i="36"/>
  <c r="AH553" i="36" s="1"/>
  <c r="AA553" i="36"/>
  <c r="P553" i="36"/>
  <c r="AH552" i="36"/>
  <c r="AC552" i="36"/>
  <c r="AB552" i="36"/>
  <c r="AI552" i="36" s="1"/>
  <c r="AA552" i="36"/>
  <c r="P552" i="36"/>
  <c r="AI551" i="36"/>
  <c r="AH551" i="36"/>
  <c r="AD551" i="36"/>
  <c r="AC551" i="36"/>
  <c r="AB551" i="36"/>
  <c r="AA551" i="36"/>
  <c r="P551" i="36"/>
  <c r="AH550" i="36"/>
  <c r="AC550" i="36"/>
  <c r="AI550" i="36" s="1"/>
  <c r="AB550" i="36"/>
  <c r="AD550" i="36" s="1"/>
  <c r="AA550" i="36"/>
  <c r="P550" i="36"/>
  <c r="AD549" i="36"/>
  <c r="AC549" i="36"/>
  <c r="AB549" i="36"/>
  <c r="AA549" i="36"/>
  <c r="P549" i="36"/>
  <c r="AH548" i="36"/>
  <c r="AC548" i="36"/>
  <c r="AB548" i="36"/>
  <c r="AA548" i="36"/>
  <c r="P548" i="36"/>
  <c r="AH547" i="36"/>
  <c r="AC547" i="36"/>
  <c r="AB547" i="36"/>
  <c r="AA547" i="36"/>
  <c r="P547" i="36"/>
  <c r="AH546" i="36"/>
  <c r="AC546" i="36"/>
  <c r="AB546" i="36"/>
  <c r="AA546" i="36"/>
  <c r="P546" i="36"/>
  <c r="AC545" i="36"/>
  <c r="AI545" i="36" s="1"/>
  <c r="AB545" i="36"/>
  <c r="AA545" i="36"/>
  <c r="P545" i="36"/>
  <c r="AC544" i="36"/>
  <c r="AB544" i="36"/>
  <c r="AD544" i="36" s="1"/>
  <c r="AA544" i="36"/>
  <c r="P544" i="36"/>
  <c r="AH543" i="36"/>
  <c r="AC543" i="36"/>
  <c r="AI543" i="36" s="1"/>
  <c r="AB543" i="36"/>
  <c r="AD543" i="36" s="1"/>
  <c r="AA543" i="36"/>
  <c r="P543" i="36"/>
  <c r="AH542" i="36"/>
  <c r="AC542" i="36"/>
  <c r="AI542" i="36" s="1"/>
  <c r="AB542" i="36"/>
  <c r="AD542" i="36" s="1"/>
  <c r="AA542" i="36"/>
  <c r="P542" i="36"/>
  <c r="AI541" i="36"/>
  <c r="AD541" i="36"/>
  <c r="AC541" i="36"/>
  <c r="AB541" i="36"/>
  <c r="AH541" i="36" s="1"/>
  <c r="AA541" i="36"/>
  <c r="P541" i="36"/>
  <c r="AH540" i="36"/>
  <c r="AC540" i="36"/>
  <c r="AI540" i="36" s="1"/>
  <c r="AB540" i="36"/>
  <c r="AA540" i="36"/>
  <c r="P540" i="36"/>
  <c r="AB539" i="36"/>
  <c r="AD539" i="36" s="1"/>
  <c r="AA539" i="36"/>
  <c r="P539" i="36"/>
  <c r="AC538" i="36"/>
  <c r="AB538" i="36"/>
  <c r="AD538" i="36" s="1"/>
  <c r="AA538" i="36"/>
  <c r="P538" i="36"/>
  <c r="AI537" i="36"/>
  <c r="AD537" i="36"/>
  <c r="AC537" i="36"/>
  <c r="AB537" i="36"/>
  <c r="AH537" i="36" s="1"/>
  <c r="AA537" i="36"/>
  <c r="P537" i="36"/>
  <c r="AI536" i="36"/>
  <c r="AD536" i="36"/>
  <c r="AC536" i="36"/>
  <c r="AB536" i="36"/>
  <c r="AH536" i="36" s="1"/>
  <c r="AA536" i="36"/>
  <c r="P536" i="36"/>
  <c r="AI535" i="36"/>
  <c r="AD535" i="36"/>
  <c r="AC535" i="36"/>
  <c r="AB535" i="36"/>
  <c r="AH535" i="36" s="1"/>
  <c r="AA535" i="36"/>
  <c r="P535" i="36"/>
  <c r="AI534" i="36"/>
  <c r="AD534" i="36"/>
  <c r="AC534" i="36"/>
  <c r="AB534" i="36"/>
  <c r="AH534" i="36" s="1"/>
  <c r="AA534" i="36"/>
  <c r="P534" i="36"/>
  <c r="AC533" i="36"/>
  <c r="AD533" i="36" s="1"/>
  <c r="AB533" i="36"/>
  <c r="AA533" i="36"/>
  <c r="P533" i="36"/>
  <c r="AC532" i="36"/>
  <c r="AB532" i="36"/>
  <c r="AD532" i="36" s="1"/>
  <c r="AA532" i="36"/>
  <c r="P532" i="36"/>
  <c r="AC531" i="36"/>
  <c r="AB531" i="36"/>
  <c r="AD531" i="36" s="1"/>
  <c r="AA531" i="36"/>
  <c r="P531" i="36"/>
  <c r="AC530" i="36"/>
  <c r="AB530" i="36"/>
  <c r="AD530" i="36" s="1"/>
  <c r="AA530" i="36"/>
  <c r="P530" i="36"/>
  <c r="AC529" i="36"/>
  <c r="AB529" i="36"/>
  <c r="AD529" i="36" s="1"/>
  <c r="AA529" i="36"/>
  <c r="P529" i="36"/>
  <c r="AD528" i="36"/>
  <c r="AC528" i="36"/>
  <c r="AB528" i="36"/>
  <c r="AA528" i="36"/>
  <c r="P528" i="36"/>
  <c r="AC527" i="36"/>
  <c r="AB527" i="36"/>
  <c r="AD527" i="36" s="1"/>
  <c r="AA527" i="36"/>
  <c r="P527" i="36"/>
  <c r="AD526" i="36"/>
  <c r="AC526" i="36"/>
  <c r="AB526" i="36"/>
  <c r="AA526" i="36"/>
  <c r="P526" i="36"/>
  <c r="AC525" i="36"/>
  <c r="AD525" i="36" s="1"/>
  <c r="AB525" i="36"/>
  <c r="AA525" i="36"/>
  <c r="P525" i="36"/>
  <c r="AD524" i="36"/>
  <c r="AC524" i="36"/>
  <c r="AB524" i="36"/>
  <c r="AA524" i="36"/>
  <c r="P524" i="36"/>
  <c r="AC523" i="36"/>
  <c r="AB523" i="36"/>
  <c r="AD523" i="36" s="1"/>
  <c r="AA523" i="36"/>
  <c r="P523" i="36"/>
  <c r="AC522" i="36"/>
  <c r="AB522" i="36"/>
  <c r="AD522" i="36" s="1"/>
  <c r="AA522" i="36"/>
  <c r="P522" i="36"/>
  <c r="AC521" i="36"/>
  <c r="AB521" i="36"/>
  <c r="AD521" i="36" s="1"/>
  <c r="AA521" i="36"/>
  <c r="P521" i="36"/>
  <c r="AD520" i="36"/>
  <c r="AC520" i="36"/>
  <c r="AB520" i="36"/>
  <c r="AA520" i="36"/>
  <c r="P520" i="36"/>
  <c r="AC519" i="36"/>
  <c r="AB519" i="36"/>
  <c r="AD519" i="36" s="1"/>
  <c r="AA519" i="36"/>
  <c r="P519" i="36"/>
  <c r="AD518" i="36"/>
  <c r="AC518" i="36"/>
  <c r="AB518" i="36"/>
  <c r="AA518" i="36"/>
  <c r="P518" i="36"/>
  <c r="AC517" i="36"/>
  <c r="AD517" i="36" s="1"/>
  <c r="AB517" i="36"/>
  <c r="AA517" i="36"/>
  <c r="P517" i="36"/>
  <c r="AD516" i="36"/>
  <c r="AC516" i="36"/>
  <c r="AB516" i="36"/>
  <c r="AA516" i="36"/>
  <c r="P516" i="36"/>
  <c r="AC515" i="36"/>
  <c r="AB515" i="36"/>
  <c r="AA515" i="36"/>
  <c r="P515" i="36"/>
  <c r="AC514" i="36"/>
  <c r="AB514" i="36"/>
  <c r="AD514" i="36" s="1"/>
  <c r="AA514" i="36"/>
  <c r="P514" i="36"/>
  <c r="AC513" i="36"/>
  <c r="AB513" i="36"/>
  <c r="AD513" i="36" s="1"/>
  <c r="AA513" i="36"/>
  <c r="P513" i="36"/>
  <c r="AD512" i="36"/>
  <c r="AC512" i="36"/>
  <c r="AB512" i="36"/>
  <c r="AA512" i="36"/>
  <c r="P512" i="36"/>
  <c r="AC511" i="36"/>
  <c r="AB511" i="36"/>
  <c r="AD511" i="36" s="1"/>
  <c r="AA511" i="36"/>
  <c r="P511" i="36"/>
  <c r="AD510" i="36"/>
  <c r="AC510" i="36"/>
  <c r="AB510" i="36"/>
  <c r="AA510" i="36"/>
  <c r="P510" i="36"/>
  <c r="AC509" i="36"/>
  <c r="AD509" i="36" s="1"/>
  <c r="AB509" i="36"/>
  <c r="AA509" i="36"/>
  <c r="P509" i="36"/>
  <c r="AD508" i="36"/>
  <c r="AC508" i="36"/>
  <c r="AB508" i="36"/>
  <c r="AA508" i="36"/>
  <c r="P508" i="36"/>
  <c r="AC507" i="36"/>
  <c r="AB507" i="36"/>
  <c r="AD507" i="36" s="1"/>
  <c r="AA507" i="36"/>
  <c r="P507" i="36"/>
  <c r="AC506" i="36"/>
  <c r="AB506" i="36"/>
  <c r="AD506" i="36" s="1"/>
  <c r="AA506" i="36"/>
  <c r="P506" i="36"/>
  <c r="AC505" i="36"/>
  <c r="AB505" i="36"/>
  <c r="AD505" i="36" s="1"/>
  <c r="AA505" i="36"/>
  <c r="P505" i="36"/>
  <c r="AD504" i="36"/>
  <c r="AC504" i="36"/>
  <c r="AB504" i="36"/>
  <c r="AA504" i="36"/>
  <c r="P504" i="36"/>
  <c r="AC503" i="36"/>
  <c r="AB503" i="36"/>
  <c r="AD503" i="36" s="1"/>
  <c r="AA503" i="36"/>
  <c r="P503" i="36"/>
  <c r="AD502" i="36"/>
  <c r="AC502" i="36"/>
  <c r="AB502" i="36"/>
  <c r="AA502" i="36"/>
  <c r="P502" i="36"/>
  <c r="AC501" i="36"/>
  <c r="AD501" i="36" s="1"/>
  <c r="AB501" i="36"/>
  <c r="AA501" i="36"/>
  <c r="P501" i="36"/>
  <c r="AC500" i="36"/>
  <c r="AI500" i="36" s="1"/>
  <c r="AB500" i="36"/>
  <c r="AA500" i="36"/>
  <c r="P500" i="36"/>
  <c r="AC499" i="36"/>
  <c r="AB499" i="36"/>
  <c r="AD499" i="36" s="1"/>
  <c r="AA499" i="36"/>
  <c r="P499" i="36"/>
  <c r="AC498" i="36"/>
  <c r="AB498" i="36"/>
  <c r="AD498" i="36" s="1"/>
  <c r="AA498" i="36"/>
  <c r="P498" i="36"/>
  <c r="AC497" i="36"/>
  <c r="AB497" i="36"/>
  <c r="AD497" i="36" s="1"/>
  <c r="AA497" i="36"/>
  <c r="P497" i="36"/>
  <c r="AD496" i="36"/>
  <c r="AC496" i="36"/>
  <c r="AB496" i="36"/>
  <c r="AA496" i="36"/>
  <c r="P496" i="36"/>
  <c r="AD495" i="36"/>
  <c r="AC495" i="36"/>
  <c r="AB495" i="36"/>
  <c r="AA495" i="36"/>
  <c r="P495" i="36"/>
  <c r="AD494" i="36"/>
  <c r="AC494" i="36"/>
  <c r="AB494" i="36"/>
  <c r="AA494" i="36"/>
  <c r="P494" i="36"/>
  <c r="AC493" i="36"/>
  <c r="AB493" i="36"/>
  <c r="AA493" i="36"/>
  <c r="P493" i="36"/>
  <c r="AC492" i="36"/>
  <c r="AB492" i="36"/>
  <c r="AD492" i="36" s="1"/>
  <c r="AA492" i="36"/>
  <c r="P492" i="36"/>
  <c r="AC491" i="36"/>
  <c r="AB491" i="36"/>
  <c r="AD491" i="36" s="1"/>
  <c r="AA491" i="36"/>
  <c r="P491" i="36"/>
  <c r="AC490" i="36"/>
  <c r="AB490" i="36"/>
  <c r="AD490" i="36" s="1"/>
  <c r="AA490" i="36"/>
  <c r="P490" i="36"/>
  <c r="AC489" i="36"/>
  <c r="AB489" i="36"/>
  <c r="AD489" i="36" s="1"/>
  <c r="AA489" i="36"/>
  <c r="P489" i="36"/>
  <c r="AD488" i="36"/>
  <c r="AC488" i="36"/>
  <c r="AB488" i="36"/>
  <c r="AA488" i="36"/>
  <c r="P488" i="36"/>
  <c r="AD487" i="36"/>
  <c r="AC487" i="36"/>
  <c r="AB487" i="36"/>
  <c r="AA487" i="36"/>
  <c r="P487" i="36"/>
  <c r="AD486" i="36"/>
  <c r="AC486" i="36"/>
  <c r="AB486" i="36"/>
  <c r="AA486" i="36"/>
  <c r="P486" i="36"/>
  <c r="AC485" i="36"/>
  <c r="AB485" i="36"/>
  <c r="AD485" i="36" s="1"/>
  <c r="AA485" i="36"/>
  <c r="P485" i="36"/>
  <c r="AC484" i="36"/>
  <c r="AB484" i="36"/>
  <c r="AA484" i="36"/>
  <c r="P484" i="36"/>
  <c r="AC483" i="36"/>
  <c r="AB483" i="36"/>
  <c r="AD483" i="36" s="1"/>
  <c r="AA483" i="36"/>
  <c r="P483" i="36"/>
  <c r="AD482" i="36"/>
  <c r="AC482" i="36"/>
  <c r="AB482" i="36"/>
  <c r="AA482" i="36"/>
  <c r="P482" i="36"/>
  <c r="AC481" i="36"/>
  <c r="AB481" i="36"/>
  <c r="AD481" i="36" s="1"/>
  <c r="AA481" i="36"/>
  <c r="P481" i="36"/>
  <c r="AD480" i="36"/>
  <c r="AC480" i="36"/>
  <c r="AB480" i="36"/>
  <c r="AA480" i="36"/>
  <c r="P480" i="36"/>
  <c r="AD479" i="36"/>
  <c r="AC479" i="36"/>
  <c r="AB479" i="36"/>
  <c r="AA479" i="36"/>
  <c r="P479" i="36"/>
  <c r="AD478" i="36"/>
  <c r="AC478" i="36"/>
  <c r="AB478" i="36"/>
  <c r="AA478" i="36"/>
  <c r="P478" i="36"/>
  <c r="AC477" i="36"/>
  <c r="AB477" i="36"/>
  <c r="AA477" i="36"/>
  <c r="P477" i="36"/>
  <c r="AC476" i="36"/>
  <c r="AB476" i="36"/>
  <c r="AD476" i="36" s="1"/>
  <c r="AA476" i="36"/>
  <c r="P476" i="36"/>
  <c r="AC475" i="36"/>
  <c r="AB475" i="36"/>
  <c r="AD475" i="36" s="1"/>
  <c r="AA475" i="36"/>
  <c r="P475" i="36"/>
  <c r="AC474" i="36"/>
  <c r="AB474" i="36"/>
  <c r="AD474" i="36" s="1"/>
  <c r="AA474" i="36"/>
  <c r="P474" i="36"/>
  <c r="AC473" i="36"/>
  <c r="AB473" i="36"/>
  <c r="AD473" i="36" s="1"/>
  <c r="AA473" i="36"/>
  <c r="P473" i="36"/>
  <c r="AD472" i="36"/>
  <c r="AC472" i="36"/>
  <c r="AB472" i="36"/>
  <c r="AA472" i="36"/>
  <c r="P472" i="36"/>
  <c r="AD471" i="36"/>
  <c r="AC471" i="36"/>
  <c r="AB471" i="36"/>
  <c r="AA471" i="36"/>
  <c r="P471" i="36"/>
  <c r="AD470" i="36"/>
  <c r="AC470" i="36"/>
  <c r="AB470" i="36"/>
  <c r="AA470" i="36"/>
  <c r="P470" i="36"/>
  <c r="AH469" i="36"/>
  <c r="AC469" i="36"/>
  <c r="AI469" i="36" s="1"/>
  <c r="AB469" i="36"/>
  <c r="AD469" i="36" s="1"/>
  <c r="AA469" i="36"/>
  <c r="P469" i="36"/>
  <c r="AI468" i="36"/>
  <c r="AD468" i="36"/>
  <c r="AC468" i="36"/>
  <c r="AB468" i="36"/>
  <c r="AA468" i="36"/>
  <c r="P468" i="36"/>
  <c r="AI467" i="36"/>
  <c r="AH467" i="36"/>
  <c r="AC467" i="36"/>
  <c r="AB467" i="36"/>
  <c r="AH468" i="36" s="1"/>
  <c r="AA467" i="36"/>
  <c r="P467" i="36"/>
  <c r="AI466" i="36"/>
  <c r="AH466" i="36"/>
  <c r="AD466" i="36"/>
  <c r="AC466" i="36"/>
  <c r="AB466" i="36"/>
  <c r="AA466" i="36"/>
  <c r="P466" i="36"/>
  <c r="AC465" i="36"/>
  <c r="AB465" i="36"/>
  <c r="AA465" i="36"/>
  <c r="P465" i="36"/>
  <c r="AC464" i="36"/>
  <c r="AB464" i="36"/>
  <c r="AA464" i="36"/>
  <c r="P464" i="36"/>
  <c r="AC463" i="36"/>
  <c r="AI463" i="36" s="1"/>
  <c r="AB463" i="36"/>
  <c r="AA463" i="36"/>
  <c r="P463" i="36"/>
  <c r="AD462" i="36"/>
  <c r="AC462" i="36"/>
  <c r="AB462" i="36"/>
  <c r="AH463" i="36" s="1"/>
  <c r="AA462" i="36"/>
  <c r="P462" i="36"/>
  <c r="AD461" i="36"/>
  <c r="AC461" i="36"/>
  <c r="AB461" i="36"/>
  <c r="AA461" i="36"/>
  <c r="P461" i="36"/>
  <c r="AC460" i="36"/>
  <c r="AB460" i="36"/>
  <c r="AD460" i="36" s="1"/>
  <c r="AA460" i="36"/>
  <c r="P460" i="36"/>
  <c r="AC459" i="36"/>
  <c r="AB459" i="36"/>
  <c r="AA459" i="36"/>
  <c r="P459" i="36"/>
  <c r="AC458" i="36"/>
  <c r="AI458" i="36" s="1"/>
  <c r="AB458" i="36"/>
  <c r="AA458" i="36"/>
  <c r="P458" i="36"/>
  <c r="AI457" i="36"/>
  <c r="AC457" i="36"/>
  <c r="AB457" i="36"/>
  <c r="AH458" i="36" s="1"/>
  <c r="AA457" i="36"/>
  <c r="P457" i="36"/>
  <c r="AH456" i="36"/>
  <c r="AC456" i="36"/>
  <c r="AI456" i="36" s="1"/>
  <c r="AB456" i="36"/>
  <c r="AH457" i="36" s="1"/>
  <c r="AA456" i="36"/>
  <c r="P456" i="36"/>
  <c r="AI455" i="36"/>
  <c r="AD455" i="36"/>
  <c r="AC455" i="36"/>
  <c r="AB455" i="36"/>
  <c r="AA455" i="36"/>
  <c r="P455" i="36"/>
  <c r="Q455" i="36" s="1"/>
  <c r="AH454" i="36"/>
  <c r="AC454" i="36"/>
  <c r="AI454" i="36" s="1"/>
  <c r="AB454" i="36"/>
  <c r="AH455" i="36" s="1"/>
  <c r="AA454" i="36"/>
  <c r="P454" i="36"/>
  <c r="AI453" i="36"/>
  <c r="AD453" i="36"/>
  <c r="AC453" i="36"/>
  <c r="AB453" i="36"/>
  <c r="AA453" i="36"/>
  <c r="P453" i="36"/>
  <c r="AI452" i="36"/>
  <c r="AD452" i="36"/>
  <c r="AC452" i="36"/>
  <c r="AB452" i="36"/>
  <c r="AH453" i="36" s="1"/>
  <c r="AA452" i="36"/>
  <c r="P452" i="36"/>
  <c r="AI451" i="36"/>
  <c r="AH451" i="36"/>
  <c r="AC451" i="36"/>
  <c r="AB451" i="36"/>
  <c r="AH452" i="36" s="1"/>
  <c r="AA451" i="36"/>
  <c r="P451" i="36"/>
  <c r="AI450" i="36"/>
  <c r="AH450" i="36"/>
  <c r="AC450" i="36"/>
  <c r="AB450" i="36"/>
  <c r="AD450" i="36" s="1"/>
  <c r="AA450" i="36"/>
  <c r="P450" i="36"/>
  <c r="AI449" i="36"/>
  <c r="AH449" i="36"/>
  <c r="AD449" i="36"/>
  <c r="AC449" i="36"/>
  <c r="AB449" i="36"/>
  <c r="AA449" i="36"/>
  <c r="P449" i="36"/>
  <c r="AD448" i="36"/>
  <c r="AC448" i="36"/>
  <c r="AB448" i="36"/>
  <c r="AA448" i="36"/>
  <c r="P448" i="36"/>
  <c r="AC447" i="36"/>
  <c r="AI447" i="36" s="1"/>
  <c r="AB447" i="36"/>
  <c r="AH448" i="36" s="1"/>
  <c r="AA447" i="36"/>
  <c r="P447" i="36"/>
  <c r="AC446" i="36"/>
  <c r="AB446" i="36"/>
  <c r="AA446" i="36"/>
  <c r="P446" i="36"/>
  <c r="AI445" i="36"/>
  <c r="AC445" i="36"/>
  <c r="AB445" i="36"/>
  <c r="AA445" i="36"/>
  <c r="P445" i="36"/>
  <c r="AH444" i="36"/>
  <c r="AC444" i="36"/>
  <c r="AI444" i="36" s="1"/>
  <c r="AB444" i="36"/>
  <c r="AH445" i="36" s="1"/>
  <c r="AA444" i="36"/>
  <c r="P444" i="36"/>
  <c r="AI443" i="36"/>
  <c r="AD443" i="36"/>
  <c r="AC443" i="36"/>
  <c r="AB443" i="36"/>
  <c r="AA443" i="36"/>
  <c r="P443" i="36"/>
  <c r="AD442" i="36"/>
  <c r="AC442" i="36"/>
  <c r="AB442" i="36"/>
  <c r="AH443" i="36" s="1"/>
  <c r="AA442" i="36"/>
  <c r="P442" i="36"/>
  <c r="AC441" i="36"/>
  <c r="AB441" i="36"/>
  <c r="AD441" i="36" s="1"/>
  <c r="AA441" i="36"/>
  <c r="P441" i="36"/>
  <c r="AC440" i="36"/>
  <c r="AB440" i="36"/>
  <c r="AD440" i="36" s="1"/>
  <c r="AA440" i="36"/>
  <c r="P440" i="36"/>
  <c r="AC439" i="36"/>
  <c r="AB439" i="36"/>
  <c r="AA439" i="36"/>
  <c r="P439" i="36"/>
  <c r="AC438" i="36"/>
  <c r="AB438" i="36"/>
  <c r="AD438" i="36" s="1"/>
  <c r="AA438" i="36"/>
  <c r="P438" i="36"/>
  <c r="AD437" i="36"/>
  <c r="AC437" i="36"/>
  <c r="AB437" i="36"/>
  <c r="AA437" i="36"/>
  <c r="P437" i="36"/>
  <c r="AD436" i="36"/>
  <c r="AC436" i="36"/>
  <c r="AI436" i="36" s="1"/>
  <c r="AB436" i="36"/>
  <c r="AA436" i="36"/>
  <c r="P436" i="36"/>
  <c r="AC435" i="36"/>
  <c r="AB435" i="36"/>
  <c r="AH436" i="36" s="1"/>
  <c r="AA435" i="36"/>
  <c r="P435" i="36"/>
  <c r="AC434" i="36"/>
  <c r="AB434" i="36"/>
  <c r="AH435" i="36" s="1"/>
  <c r="AA434" i="36"/>
  <c r="P434" i="36"/>
  <c r="AC433" i="36"/>
  <c r="AI433" i="36" s="1"/>
  <c r="AB433" i="36"/>
  <c r="AA433" i="36"/>
  <c r="P433" i="36"/>
  <c r="AI432" i="36"/>
  <c r="AH432" i="36"/>
  <c r="AC432" i="36"/>
  <c r="AB432" i="36"/>
  <c r="AA432" i="36"/>
  <c r="P432" i="36"/>
  <c r="AD431" i="36"/>
  <c r="AC431" i="36"/>
  <c r="AB431" i="36"/>
  <c r="AA431" i="36"/>
  <c r="P431" i="36"/>
  <c r="AC430" i="36"/>
  <c r="AB430" i="36"/>
  <c r="AD430" i="36" s="1"/>
  <c r="AA430" i="36"/>
  <c r="P430" i="36"/>
  <c r="Q430" i="36" s="1"/>
  <c r="AC429" i="36"/>
  <c r="AB429" i="36"/>
  <c r="AD429" i="36" s="1"/>
  <c r="AA429" i="36"/>
  <c r="P429" i="36"/>
  <c r="AC428" i="36"/>
  <c r="AB428" i="36"/>
  <c r="AD428" i="36" s="1"/>
  <c r="AA428" i="36"/>
  <c r="P428" i="36"/>
  <c r="AI427" i="36"/>
  <c r="AH427" i="36"/>
  <c r="AC427" i="36"/>
  <c r="AB427" i="36"/>
  <c r="AD427" i="36" s="1"/>
  <c r="AA427" i="36"/>
  <c r="P427" i="36"/>
  <c r="AH426" i="36"/>
  <c r="AD426" i="36"/>
  <c r="AC426" i="36"/>
  <c r="AI426" i="36" s="1"/>
  <c r="AB426" i="36"/>
  <c r="AA426" i="36"/>
  <c r="P426" i="36"/>
  <c r="AD425" i="36"/>
  <c r="AC425" i="36"/>
  <c r="AB425" i="36"/>
  <c r="AA425" i="36"/>
  <c r="P425" i="36"/>
  <c r="AI424" i="36"/>
  <c r="AH424" i="36"/>
  <c r="AC424" i="36"/>
  <c r="AB424" i="36"/>
  <c r="AA424" i="36"/>
  <c r="P424" i="36"/>
  <c r="Q424" i="36" s="1"/>
  <c r="AC423" i="36"/>
  <c r="AD423" i="36" s="1"/>
  <c r="AB423" i="36"/>
  <c r="AA423" i="36"/>
  <c r="P423" i="36"/>
  <c r="AC422" i="36"/>
  <c r="AI422" i="36" s="1"/>
  <c r="AB422" i="36"/>
  <c r="AA422" i="36"/>
  <c r="P422" i="36"/>
  <c r="AI421" i="36"/>
  <c r="AH421" i="36"/>
  <c r="AC421" i="36"/>
  <c r="AB421" i="36"/>
  <c r="AA421" i="36"/>
  <c r="P421" i="36"/>
  <c r="AD420" i="36"/>
  <c r="AC420" i="36"/>
  <c r="AB420" i="36"/>
  <c r="AA420" i="36"/>
  <c r="P420" i="36"/>
  <c r="AC419" i="36"/>
  <c r="AB419" i="36"/>
  <c r="AH420" i="36" s="1"/>
  <c r="AA419" i="36"/>
  <c r="P419" i="36"/>
  <c r="AC418" i="36"/>
  <c r="AB418" i="36"/>
  <c r="AH419" i="36" s="1"/>
  <c r="AA418" i="36"/>
  <c r="P418" i="36"/>
  <c r="Q418" i="36" s="1"/>
  <c r="AC417" i="36"/>
  <c r="AD417" i="36" s="1"/>
  <c r="AB417" i="36"/>
  <c r="AH418" i="36" s="1"/>
  <c r="AA417" i="36"/>
  <c r="P417" i="36"/>
  <c r="AD416" i="36"/>
  <c r="AC416" i="36"/>
  <c r="AB416" i="36"/>
  <c r="AA416" i="36"/>
  <c r="P416" i="36"/>
  <c r="AD415" i="36"/>
  <c r="AC415" i="36"/>
  <c r="AB415" i="36"/>
  <c r="AA415" i="36"/>
  <c r="P415" i="36"/>
  <c r="AI414" i="36"/>
  <c r="AH414" i="36"/>
  <c r="AC414" i="36"/>
  <c r="AB414" i="36"/>
  <c r="AA414" i="36"/>
  <c r="P414" i="36"/>
  <c r="Q414" i="36" s="1"/>
  <c r="AC413" i="36"/>
  <c r="AB413" i="36"/>
  <c r="AA413" i="36"/>
  <c r="P413" i="36"/>
  <c r="Q413" i="36" s="1"/>
  <c r="AH412" i="36"/>
  <c r="AD412" i="36"/>
  <c r="AC412" i="36"/>
  <c r="AI412" i="36" s="1"/>
  <c r="AB412" i="36"/>
  <c r="AH413" i="36" s="1"/>
  <c r="AA412" i="36"/>
  <c r="P412" i="36"/>
  <c r="Q412" i="36" s="1"/>
  <c r="AC411" i="36"/>
  <c r="AB411" i="36"/>
  <c r="AD411" i="36" s="1"/>
  <c r="AA411" i="36"/>
  <c r="P411" i="36"/>
  <c r="Q411" i="36" s="1"/>
  <c r="AC410" i="36"/>
  <c r="AB410" i="36"/>
  <c r="AD410" i="36" s="1"/>
  <c r="AA410" i="36"/>
  <c r="P410" i="36"/>
  <c r="Q410" i="36" s="1"/>
  <c r="AH409" i="36"/>
  <c r="AC409" i="36"/>
  <c r="AI409" i="36" s="1"/>
  <c r="AB409" i="36"/>
  <c r="AH410" i="36" s="1"/>
  <c r="AA409" i="36"/>
  <c r="P409" i="36"/>
  <c r="Q409" i="36" s="1"/>
  <c r="AH408" i="36"/>
  <c r="AD408" i="36"/>
  <c r="AC408" i="36"/>
  <c r="AB408" i="36"/>
  <c r="AA408" i="36"/>
  <c r="P408" i="36"/>
  <c r="Q408" i="36" s="1"/>
  <c r="AI407" i="36"/>
  <c r="AH407" i="36"/>
  <c r="AC407" i="36"/>
  <c r="AB407" i="36"/>
  <c r="AD407" i="36" s="1"/>
  <c r="AA407" i="36"/>
  <c r="P407" i="36"/>
  <c r="Q407" i="36" s="1"/>
  <c r="AI406" i="36"/>
  <c r="AD406" i="36"/>
  <c r="AC406" i="36"/>
  <c r="AB406" i="36"/>
  <c r="AA406" i="36"/>
  <c r="P406" i="36"/>
  <c r="Q406" i="36" s="1"/>
  <c r="AD405" i="36"/>
  <c r="AC405" i="36"/>
  <c r="AB405" i="36"/>
  <c r="AH406" i="36" s="1"/>
  <c r="AA405" i="36"/>
  <c r="P405" i="36"/>
  <c r="Q405" i="36" s="1"/>
  <c r="AC404" i="36"/>
  <c r="AB404" i="36"/>
  <c r="AD404" i="36" s="1"/>
  <c r="AA404" i="36"/>
  <c r="P404" i="36"/>
  <c r="Q404" i="36" s="1"/>
  <c r="AI403" i="36"/>
  <c r="AC403" i="36"/>
  <c r="AB403" i="36"/>
  <c r="AA403" i="36"/>
  <c r="P403" i="36"/>
  <c r="Q403" i="36" s="1"/>
  <c r="AH402" i="36"/>
  <c r="AC402" i="36"/>
  <c r="AB402" i="36"/>
  <c r="AH403" i="36" s="1"/>
  <c r="AA402" i="36"/>
  <c r="P402" i="36"/>
  <c r="Q402" i="36" s="1"/>
  <c r="AH401" i="36"/>
  <c r="AD401" i="36"/>
  <c r="AC401" i="36"/>
  <c r="AI401" i="36" s="1"/>
  <c r="AB401" i="36"/>
  <c r="AA401" i="36"/>
  <c r="P401" i="36"/>
  <c r="AC400" i="36"/>
  <c r="AB400" i="36"/>
  <c r="AA400" i="36"/>
  <c r="P400" i="36"/>
  <c r="Q400" i="36" s="1"/>
  <c r="AI399" i="36"/>
  <c r="AH399" i="36"/>
  <c r="AC399" i="36"/>
  <c r="AB399" i="36"/>
  <c r="AA399" i="36"/>
  <c r="P399" i="36"/>
  <c r="Q399" i="36" s="1"/>
  <c r="AH398" i="36"/>
  <c r="AD398" i="36"/>
  <c r="AC398" i="36"/>
  <c r="AI398" i="36" s="1"/>
  <c r="AB398" i="36"/>
  <c r="AA398" i="36"/>
  <c r="P398" i="36"/>
  <c r="AI397" i="36"/>
  <c r="AC397" i="36"/>
  <c r="AD397" i="36" s="1"/>
  <c r="AB397" i="36"/>
  <c r="AA397" i="36"/>
  <c r="P397" i="36"/>
  <c r="Q397" i="36" s="1"/>
  <c r="AH396" i="36"/>
  <c r="AD396" i="36"/>
  <c r="AC396" i="36"/>
  <c r="AI396" i="36" s="1"/>
  <c r="AB396" i="36"/>
  <c r="AH397" i="36" s="1"/>
  <c r="AA396" i="36"/>
  <c r="P396" i="36"/>
  <c r="AD395" i="36"/>
  <c r="AC395" i="36"/>
  <c r="AI395" i="36" s="1"/>
  <c r="AB395" i="36"/>
  <c r="AA395" i="36"/>
  <c r="P395" i="36"/>
  <c r="Q395" i="36" s="1"/>
  <c r="AC394" i="36"/>
  <c r="AB394" i="36"/>
  <c r="AA394" i="36"/>
  <c r="P394" i="36"/>
  <c r="Q394" i="36" s="1"/>
  <c r="AC393" i="36"/>
  <c r="AB393" i="36"/>
  <c r="AA393" i="36"/>
  <c r="P393" i="36"/>
  <c r="Q393" i="36" s="1"/>
  <c r="AC392" i="36"/>
  <c r="AB392" i="36"/>
  <c r="AA392" i="36"/>
  <c r="P392" i="36"/>
  <c r="AF392" i="36" s="1"/>
  <c r="AE392" i="36" s="1"/>
  <c r="AI391" i="36"/>
  <c r="AC391" i="36"/>
  <c r="AB391" i="36"/>
  <c r="AA391" i="36"/>
  <c r="P391" i="36"/>
  <c r="Q391" i="36" s="1"/>
  <c r="AD390" i="36"/>
  <c r="AC390" i="36"/>
  <c r="AB390" i="36"/>
  <c r="AH391" i="36" s="1"/>
  <c r="AA390" i="36"/>
  <c r="P390" i="36"/>
  <c r="AC389" i="36"/>
  <c r="AB389" i="36"/>
  <c r="AA389" i="36"/>
  <c r="P389" i="36"/>
  <c r="AC388" i="36"/>
  <c r="AB388" i="36"/>
  <c r="AA388" i="36"/>
  <c r="P388" i="36"/>
  <c r="AC387" i="36"/>
  <c r="AB387" i="36"/>
  <c r="AA387" i="36"/>
  <c r="P387" i="36"/>
  <c r="Q387" i="36" s="1"/>
  <c r="AC386" i="36"/>
  <c r="AB386" i="36"/>
  <c r="AD386" i="36" s="1"/>
  <c r="AA386" i="36"/>
  <c r="P386" i="36"/>
  <c r="AC385" i="36"/>
  <c r="AB385" i="36"/>
  <c r="AA385" i="36"/>
  <c r="P385" i="36"/>
  <c r="AG385" i="36" s="1"/>
  <c r="AD384" i="36"/>
  <c r="AC384" i="36"/>
  <c r="AB384" i="36"/>
  <c r="AA384" i="36"/>
  <c r="P384" i="36"/>
  <c r="AG384" i="36" s="1"/>
  <c r="AD383" i="36"/>
  <c r="AC383" i="36"/>
  <c r="AB383" i="36"/>
  <c r="AA383" i="36"/>
  <c r="P383" i="36"/>
  <c r="AG383" i="36" s="1"/>
  <c r="AC382" i="36"/>
  <c r="AB382" i="36"/>
  <c r="AA382" i="36"/>
  <c r="P382" i="36"/>
  <c r="Q382" i="36" s="1"/>
  <c r="AC381" i="36"/>
  <c r="AB381" i="36"/>
  <c r="AI382" i="36" s="1"/>
  <c r="AA381" i="36"/>
  <c r="Q381" i="36"/>
  <c r="P381" i="36"/>
  <c r="AC380" i="36"/>
  <c r="AB380" i="36"/>
  <c r="AA380" i="36"/>
  <c r="P380" i="36"/>
  <c r="AF380" i="36" s="1"/>
  <c r="AC379" i="36"/>
  <c r="AB379" i="36"/>
  <c r="AA379" i="36"/>
  <c r="P379" i="36"/>
  <c r="Q379" i="36" s="1"/>
  <c r="AC378" i="36"/>
  <c r="AB378" i="36"/>
  <c r="AD378" i="36" s="1"/>
  <c r="AA378" i="36"/>
  <c r="P378" i="36"/>
  <c r="AC377" i="36"/>
  <c r="AB377" i="36"/>
  <c r="AA377" i="36"/>
  <c r="P377" i="36"/>
  <c r="AG377" i="36" s="1"/>
  <c r="AC376" i="36"/>
  <c r="AB376" i="36"/>
  <c r="AA376" i="36"/>
  <c r="P376" i="36"/>
  <c r="AC375" i="36"/>
  <c r="AB375" i="36"/>
  <c r="AA375" i="36"/>
  <c r="Q375" i="36"/>
  <c r="P375" i="36"/>
  <c r="AG375" i="36" s="1"/>
  <c r="AC374" i="36"/>
  <c r="AI374" i="36" s="1"/>
  <c r="AB374" i="36"/>
  <c r="AD374" i="36" s="1"/>
  <c r="AA374" i="36"/>
  <c r="P374" i="36"/>
  <c r="Q374" i="36" s="1"/>
  <c r="AC373" i="36"/>
  <c r="AB373" i="36"/>
  <c r="AH374" i="36" s="1"/>
  <c r="AA373" i="36"/>
  <c r="P373" i="36"/>
  <c r="AC372" i="36"/>
  <c r="AB372" i="36"/>
  <c r="AA372" i="36"/>
  <c r="P372" i="36"/>
  <c r="Q372" i="36" s="1"/>
  <c r="AC371" i="36"/>
  <c r="AB371" i="36"/>
  <c r="AA371" i="36"/>
  <c r="P371" i="36"/>
  <c r="AC370" i="36"/>
  <c r="AB370" i="36"/>
  <c r="AA370" i="36"/>
  <c r="P370" i="36"/>
  <c r="AG370" i="36" s="1"/>
  <c r="AC369" i="36"/>
  <c r="AB369" i="36"/>
  <c r="AA369" i="36"/>
  <c r="Q369" i="36"/>
  <c r="P369" i="36"/>
  <c r="AD368" i="36"/>
  <c r="AC368" i="36"/>
  <c r="AI368" i="36" s="1"/>
  <c r="AB368" i="36"/>
  <c r="AA368" i="36"/>
  <c r="P368" i="36"/>
  <c r="Q368" i="36" s="1"/>
  <c r="AC367" i="36"/>
  <c r="AB367" i="36"/>
  <c r="AH368" i="36" s="1"/>
  <c r="AA367" i="36"/>
  <c r="P367" i="36"/>
  <c r="Q367" i="36" s="1"/>
  <c r="AC366" i="36"/>
  <c r="AB366" i="36"/>
  <c r="AA366" i="36"/>
  <c r="P366" i="36"/>
  <c r="Q366" i="36" s="1"/>
  <c r="AC365" i="36"/>
  <c r="AB365" i="36"/>
  <c r="AI366" i="36" s="1"/>
  <c r="AA365" i="36"/>
  <c r="P365" i="36"/>
  <c r="AC364" i="36"/>
  <c r="AB364" i="36"/>
  <c r="AD364" i="36" s="1"/>
  <c r="AA364" i="36"/>
  <c r="P364" i="36"/>
  <c r="Q364" i="36" s="1"/>
  <c r="AC363" i="36"/>
  <c r="AB363" i="36"/>
  <c r="AA363" i="36"/>
  <c r="P363" i="36"/>
  <c r="AC362" i="36"/>
  <c r="AB362" i="36"/>
  <c r="AA362" i="36"/>
  <c r="P362" i="36"/>
  <c r="Q362" i="36" s="1"/>
  <c r="AF362" i="36" s="1"/>
  <c r="AC361" i="36"/>
  <c r="AB361" i="36"/>
  <c r="AA361" i="36"/>
  <c r="P361" i="36"/>
  <c r="AC360" i="36"/>
  <c r="AB360" i="36"/>
  <c r="AA360" i="36"/>
  <c r="P360" i="36"/>
  <c r="AD359" i="36"/>
  <c r="AC359" i="36"/>
  <c r="AB359" i="36"/>
  <c r="AA359" i="36"/>
  <c r="P359" i="36"/>
  <c r="AG359" i="36" s="1"/>
  <c r="AD358" i="36"/>
  <c r="AC358" i="36"/>
  <c r="AB358" i="36"/>
  <c r="AA358" i="36"/>
  <c r="P358" i="36"/>
  <c r="AC357" i="36"/>
  <c r="AD357" i="36" s="1"/>
  <c r="AB357" i="36"/>
  <c r="AA357" i="36"/>
  <c r="P357" i="36"/>
  <c r="AD356" i="36"/>
  <c r="AC356" i="36"/>
  <c r="AB356" i="36"/>
  <c r="AA356" i="36"/>
  <c r="P356" i="36"/>
  <c r="AC355" i="36"/>
  <c r="AB355" i="36"/>
  <c r="AA355" i="36"/>
  <c r="P355" i="36"/>
  <c r="AC354" i="36"/>
  <c r="AB354" i="36"/>
  <c r="AA354" i="36"/>
  <c r="P354" i="36"/>
  <c r="AC353" i="36"/>
  <c r="AB353" i="36"/>
  <c r="AA353" i="36"/>
  <c r="P353" i="36"/>
  <c r="AC352" i="36"/>
  <c r="AB352" i="36"/>
  <c r="AA352" i="36"/>
  <c r="P352" i="36"/>
  <c r="AG352" i="36" s="1"/>
  <c r="AC351" i="36"/>
  <c r="AD351" i="36" s="1"/>
  <c r="AB351" i="36"/>
  <c r="AA351" i="36"/>
  <c r="P351" i="36"/>
  <c r="AC350" i="36"/>
  <c r="AD350" i="36" s="1"/>
  <c r="AB350" i="36"/>
  <c r="AA350" i="36"/>
  <c r="P350" i="36"/>
  <c r="AG350" i="36" s="1"/>
  <c r="AC349" i="36"/>
  <c r="AB349" i="36"/>
  <c r="AA349" i="36"/>
  <c r="P349" i="36"/>
  <c r="AC348" i="36"/>
  <c r="AD348" i="36" s="1"/>
  <c r="AB348" i="36"/>
  <c r="AA348" i="36"/>
  <c r="P348" i="36"/>
  <c r="AC347" i="36"/>
  <c r="AB347" i="36"/>
  <c r="AD347" i="36" s="1"/>
  <c r="AA347" i="36"/>
  <c r="P347" i="36"/>
  <c r="Q347" i="36" s="1"/>
  <c r="AF347" i="36" s="1"/>
  <c r="AE347" i="36" s="1"/>
  <c r="AC346" i="36"/>
  <c r="AB346" i="36"/>
  <c r="AA346" i="36"/>
  <c r="P346" i="36"/>
  <c r="AI345" i="36"/>
  <c r="AH345" i="36"/>
  <c r="AD345" i="36"/>
  <c r="AC345" i="36"/>
  <c r="AB345" i="36"/>
  <c r="AA345" i="36"/>
  <c r="P345" i="36"/>
  <c r="AC344" i="36"/>
  <c r="AD344" i="36" s="1"/>
  <c r="AB344" i="36"/>
  <c r="AA344" i="36"/>
  <c r="P344" i="36"/>
  <c r="AD343" i="36"/>
  <c r="AC343" i="36"/>
  <c r="AB343" i="36"/>
  <c r="AA343" i="36"/>
  <c r="P343" i="36"/>
  <c r="AC342" i="36"/>
  <c r="AB342" i="36"/>
  <c r="AA342" i="36"/>
  <c r="P342" i="36"/>
  <c r="AD341" i="36"/>
  <c r="AC341" i="36"/>
  <c r="AB341" i="36"/>
  <c r="AH342" i="36" s="1"/>
  <c r="AA341" i="36"/>
  <c r="P341" i="36"/>
  <c r="AC340" i="36"/>
  <c r="AB340" i="36"/>
  <c r="AH341" i="36" s="1"/>
  <c r="AA340" i="36"/>
  <c r="P340" i="36"/>
  <c r="AD339" i="36"/>
  <c r="AC339" i="36"/>
  <c r="AB339" i="36"/>
  <c r="AH340" i="36" s="1"/>
  <c r="AA339" i="36"/>
  <c r="P339" i="36"/>
  <c r="AI338" i="36"/>
  <c r="AC338" i="36"/>
  <c r="AB338" i="36"/>
  <c r="AA338" i="36"/>
  <c r="P338" i="36"/>
  <c r="AI337" i="36"/>
  <c r="AH337" i="36"/>
  <c r="AD337" i="36"/>
  <c r="AC337" i="36"/>
  <c r="AB337" i="36"/>
  <c r="AH338" i="36" s="1"/>
  <c r="AA337" i="36"/>
  <c r="P337" i="36"/>
  <c r="AC336" i="36"/>
  <c r="AD336" i="36" s="1"/>
  <c r="AB336" i="36"/>
  <c r="AA336" i="36"/>
  <c r="P336" i="36"/>
  <c r="AI335" i="36"/>
  <c r="AC335" i="36"/>
  <c r="AB335" i="36"/>
  <c r="AI336" i="36" s="1"/>
  <c r="AA335" i="36"/>
  <c r="P335" i="36"/>
  <c r="AI334" i="36"/>
  <c r="AH334" i="36"/>
  <c r="AD334" i="36"/>
  <c r="AC334" i="36"/>
  <c r="AB334" i="36"/>
  <c r="AH335" i="36" s="1"/>
  <c r="AA334" i="36"/>
  <c r="P334" i="36"/>
  <c r="AC333" i="36"/>
  <c r="AB333" i="36"/>
  <c r="AD333" i="36" s="1"/>
  <c r="AA333" i="36"/>
  <c r="P333" i="36"/>
  <c r="AD332" i="36"/>
  <c r="AC332" i="36"/>
  <c r="AB332" i="36"/>
  <c r="AA332" i="36"/>
  <c r="P332" i="36"/>
  <c r="AC331" i="36"/>
  <c r="AB331" i="36"/>
  <c r="AA331" i="36"/>
  <c r="P331" i="36"/>
  <c r="AI330" i="36"/>
  <c r="AH330" i="36"/>
  <c r="AC330" i="36"/>
  <c r="AB330" i="36"/>
  <c r="AD330" i="36" s="1"/>
  <c r="AA330" i="36"/>
  <c r="P330" i="36"/>
  <c r="AI329" i="36"/>
  <c r="AH329" i="36"/>
  <c r="AD329" i="36"/>
  <c r="AC329" i="36"/>
  <c r="AB329" i="36"/>
  <c r="AA329" i="36"/>
  <c r="P329" i="36"/>
  <c r="AC328" i="36"/>
  <c r="AB328" i="36"/>
  <c r="AA328" i="36"/>
  <c r="P328" i="36"/>
  <c r="AC327" i="36"/>
  <c r="AB327" i="36"/>
  <c r="AD327" i="36" s="1"/>
  <c r="AA327" i="36"/>
  <c r="P327" i="36"/>
  <c r="AC326" i="36"/>
  <c r="AB326" i="36"/>
  <c r="AD326" i="36" s="1"/>
  <c r="AA326" i="36"/>
  <c r="P326" i="36"/>
  <c r="AD325" i="36"/>
  <c r="AC325" i="36"/>
  <c r="AB325" i="36"/>
  <c r="AA325" i="36"/>
  <c r="P325" i="36"/>
  <c r="AC324" i="36"/>
  <c r="AB324" i="36"/>
  <c r="AI325" i="36" s="1"/>
  <c r="AA324" i="36"/>
  <c r="P324" i="36"/>
  <c r="AC323" i="36"/>
  <c r="AB323" i="36"/>
  <c r="AD323" i="36" s="1"/>
  <c r="AA323" i="36"/>
  <c r="P323" i="36"/>
  <c r="AI322" i="36"/>
  <c r="AC322" i="36"/>
  <c r="AB322" i="36"/>
  <c r="AD322" i="36" s="1"/>
  <c r="AA322" i="36"/>
  <c r="P322" i="36"/>
  <c r="AC321" i="36"/>
  <c r="AB321" i="36"/>
  <c r="AH322" i="36" s="1"/>
  <c r="AA321" i="36"/>
  <c r="P321" i="36"/>
  <c r="AC320" i="36"/>
  <c r="AB320" i="36"/>
  <c r="AA320" i="36"/>
  <c r="P320" i="36"/>
  <c r="Q320" i="36" s="1"/>
  <c r="AI319" i="36"/>
  <c r="AH319" i="36"/>
  <c r="AC319" i="36"/>
  <c r="AB319" i="36"/>
  <c r="AH320" i="36" s="1"/>
  <c r="AA319" i="36"/>
  <c r="P319" i="36"/>
  <c r="Q319" i="36" s="1"/>
  <c r="AC318" i="36"/>
  <c r="AB318" i="36"/>
  <c r="AA318" i="36"/>
  <c r="P318" i="36"/>
  <c r="Q318" i="36" s="1"/>
  <c r="AC317" i="36"/>
  <c r="AB317" i="36"/>
  <c r="AA317" i="36"/>
  <c r="P317" i="36"/>
  <c r="Q317" i="36" s="1"/>
  <c r="AH316" i="36"/>
  <c r="AC316" i="36"/>
  <c r="AB316" i="36"/>
  <c r="AA316" i="36"/>
  <c r="P316" i="36"/>
  <c r="Q316" i="36" s="1"/>
  <c r="AI315" i="36"/>
  <c r="AH315" i="36"/>
  <c r="AD315" i="36"/>
  <c r="AC315" i="36"/>
  <c r="AB315" i="36"/>
  <c r="AA315" i="36"/>
  <c r="P315" i="36"/>
  <c r="Q315" i="36" s="1"/>
  <c r="AD314" i="36"/>
  <c r="AC314" i="36"/>
  <c r="AB314" i="36"/>
  <c r="AA314" i="36"/>
  <c r="P314" i="36"/>
  <c r="Q314" i="36" s="1"/>
  <c r="AI313" i="36"/>
  <c r="AH313" i="36"/>
  <c r="AC313" i="36"/>
  <c r="AB313" i="36"/>
  <c r="AD313" i="36" s="1"/>
  <c r="AA313" i="36"/>
  <c r="P313" i="36"/>
  <c r="Q313" i="36" s="1"/>
  <c r="AI312" i="36"/>
  <c r="AH312" i="36"/>
  <c r="AC312" i="36"/>
  <c r="AB312" i="36"/>
  <c r="AD312" i="36" s="1"/>
  <c r="AA312" i="36"/>
  <c r="P312" i="36"/>
  <c r="Q312" i="36" s="1"/>
  <c r="AC311" i="36"/>
  <c r="AD311" i="36" s="1"/>
  <c r="AB311" i="36"/>
  <c r="AA311" i="36"/>
  <c r="P311" i="36"/>
  <c r="Q311" i="36" s="1"/>
  <c r="AH310" i="36"/>
  <c r="AC310" i="36"/>
  <c r="AI310" i="36" s="1"/>
  <c r="AB310" i="36"/>
  <c r="AH311" i="36" s="1"/>
  <c r="AA310" i="36"/>
  <c r="P310" i="36"/>
  <c r="Q310" i="36" s="1"/>
  <c r="AC309" i="36"/>
  <c r="AB309" i="36"/>
  <c r="AA309" i="36"/>
  <c r="P309" i="36"/>
  <c r="Q309" i="36" s="1"/>
  <c r="AI308" i="36"/>
  <c r="AD308" i="36"/>
  <c r="AC308" i="36"/>
  <c r="AB308" i="36"/>
  <c r="AH309" i="36" s="1"/>
  <c r="AA308" i="36"/>
  <c r="P308" i="36"/>
  <c r="Q308" i="36" s="1"/>
  <c r="AH307" i="36"/>
  <c r="AC307" i="36"/>
  <c r="AI307" i="36" s="1"/>
  <c r="AB307" i="36"/>
  <c r="AH308" i="36" s="1"/>
  <c r="AA307" i="36"/>
  <c r="P307" i="36"/>
  <c r="Q307" i="36" s="1"/>
  <c r="AI306" i="36"/>
  <c r="AH306" i="36"/>
  <c r="AD306" i="36"/>
  <c r="AC306" i="36"/>
  <c r="AB306" i="36"/>
  <c r="AA306" i="36"/>
  <c r="P306" i="36"/>
  <c r="Q306" i="36" s="1"/>
  <c r="AI305" i="36"/>
  <c r="AH305" i="36"/>
  <c r="AD305" i="36"/>
  <c r="AC305" i="36"/>
  <c r="AB305" i="36"/>
  <c r="AA305" i="36"/>
  <c r="P305" i="36"/>
  <c r="Q305" i="36" s="1"/>
  <c r="AI304" i="36"/>
  <c r="AH304" i="36"/>
  <c r="AC304" i="36"/>
  <c r="AB304" i="36"/>
  <c r="AA304" i="36"/>
  <c r="P304" i="36"/>
  <c r="Q304" i="36" s="1"/>
  <c r="AI303" i="36"/>
  <c r="AD303" i="36"/>
  <c r="AC303" i="36"/>
  <c r="AB303" i="36"/>
  <c r="AA303" i="36"/>
  <c r="P303" i="36"/>
  <c r="Q303" i="36" s="1"/>
  <c r="AH302" i="36"/>
  <c r="AD302" i="36"/>
  <c r="AC302" i="36"/>
  <c r="AI302" i="36" s="1"/>
  <c r="AB302" i="36"/>
  <c r="AH303" i="36" s="1"/>
  <c r="AA302" i="36"/>
  <c r="P302" i="36"/>
  <c r="Q302" i="36" s="1"/>
  <c r="AI301" i="36"/>
  <c r="AH301" i="36"/>
  <c r="AD301" i="36"/>
  <c r="AC301" i="36"/>
  <c r="AB301" i="36"/>
  <c r="AA301" i="36"/>
  <c r="P301" i="36"/>
  <c r="Q301" i="36" s="1"/>
  <c r="AI300" i="36"/>
  <c r="AH300" i="36"/>
  <c r="AD300" i="36"/>
  <c r="AC300" i="36"/>
  <c r="AB300" i="36"/>
  <c r="AA300" i="36"/>
  <c r="P300" i="36"/>
  <c r="Q300" i="36" s="1"/>
  <c r="AI299" i="36"/>
  <c r="AH299" i="36"/>
  <c r="AD299" i="36"/>
  <c r="AC299" i="36"/>
  <c r="AB299" i="36"/>
  <c r="AA299" i="36"/>
  <c r="P299" i="36"/>
  <c r="Q299" i="36" s="1"/>
  <c r="AC298" i="36"/>
  <c r="AD298" i="36" s="1"/>
  <c r="AB298" i="36"/>
  <c r="AA298" i="36"/>
  <c r="P298" i="36"/>
  <c r="Q298" i="36" s="1"/>
  <c r="AD297" i="36"/>
  <c r="AC297" i="36"/>
  <c r="AB297" i="36"/>
  <c r="AH298" i="36" s="1"/>
  <c r="AA297" i="36"/>
  <c r="P297" i="36"/>
  <c r="Q297" i="36" s="1"/>
  <c r="AC296" i="36"/>
  <c r="AD296" i="36" s="1"/>
  <c r="AB296" i="36"/>
  <c r="AA296" i="36"/>
  <c r="P296" i="36"/>
  <c r="Q296" i="36" s="1"/>
  <c r="AI295" i="36"/>
  <c r="AH295" i="36"/>
  <c r="AC295" i="36"/>
  <c r="AD295" i="36" s="1"/>
  <c r="AB295" i="36"/>
  <c r="AA295" i="36"/>
  <c r="P295" i="36"/>
  <c r="Q295" i="36" s="1"/>
  <c r="AH294" i="36"/>
  <c r="AD294" i="36"/>
  <c r="AC294" i="36"/>
  <c r="AB294" i="36"/>
  <c r="AA294" i="36"/>
  <c r="P294" i="36"/>
  <c r="Q294" i="36" s="1"/>
  <c r="AC293" i="36"/>
  <c r="AB293" i="36"/>
  <c r="AD293" i="36" s="1"/>
  <c r="AA293" i="36"/>
  <c r="P293" i="36"/>
  <c r="Q293" i="36" s="1"/>
  <c r="AI292" i="36"/>
  <c r="AC292" i="36"/>
  <c r="AB292" i="36"/>
  <c r="AA292" i="36"/>
  <c r="P292" i="36"/>
  <c r="Q292" i="36" s="1"/>
  <c r="AD291" i="36"/>
  <c r="AC291" i="36"/>
  <c r="AB291" i="36"/>
  <c r="AH292" i="36" s="1"/>
  <c r="AA291" i="36"/>
  <c r="P291" i="36"/>
  <c r="Q291" i="36" s="1"/>
  <c r="AC290" i="36"/>
  <c r="AB290" i="36"/>
  <c r="AA290" i="36"/>
  <c r="P290" i="36"/>
  <c r="Q290" i="36" s="1"/>
  <c r="AC289" i="36"/>
  <c r="AI289" i="36" s="1"/>
  <c r="AB289" i="36"/>
  <c r="AD289" i="36" s="1"/>
  <c r="AA289" i="36"/>
  <c r="P289" i="36"/>
  <c r="Q289" i="36" s="1"/>
  <c r="AC288" i="36"/>
  <c r="AB288" i="36"/>
  <c r="AD288" i="36" s="1"/>
  <c r="AA288" i="36"/>
  <c r="P288" i="36"/>
  <c r="Q288" i="36" s="1"/>
  <c r="AH287" i="36"/>
  <c r="AC287" i="36"/>
  <c r="AI287" i="36" s="1"/>
  <c r="AB287" i="36"/>
  <c r="AD287" i="36" s="1"/>
  <c r="AA287" i="36"/>
  <c r="P287" i="36"/>
  <c r="Q287" i="36" s="1"/>
  <c r="AI286" i="36"/>
  <c r="AD286" i="36"/>
  <c r="AC286" i="36"/>
  <c r="AB286" i="36"/>
  <c r="AA286" i="36"/>
  <c r="P286" i="36"/>
  <c r="Q286" i="36" s="1"/>
  <c r="AH285" i="36"/>
  <c r="AD285" i="36"/>
  <c r="AC285" i="36"/>
  <c r="AB285" i="36"/>
  <c r="AH286" i="36" s="1"/>
  <c r="AA285" i="36"/>
  <c r="P285" i="36"/>
  <c r="Q285" i="36" s="1"/>
  <c r="AH284" i="36"/>
  <c r="AC284" i="36"/>
  <c r="AB284" i="36"/>
  <c r="AA284" i="36"/>
  <c r="P284" i="36"/>
  <c r="Q284" i="36" s="1"/>
  <c r="AC283" i="36"/>
  <c r="AB283" i="36"/>
  <c r="AI284" i="36" s="1"/>
  <c r="AA283" i="36"/>
  <c r="P283" i="36"/>
  <c r="Q283" i="36" s="1"/>
  <c r="AC282" i="36"/>
  <c r="AB282" i="36"/>
  <c r="AH283" i="36" s="1"/>
  <c r="AA282" i="36"/>
  <c r="P282" i="36"/>
  <c r="Q282" i="36" s="1"/>
  <c r="AI281" i="36"/>
  <c r="AH281" i="36"/>
  <c r="AC281" i="36"/>
  <c r="AB281" i="36"/>
  <c r="AD281" i="36" s="1"/>
  <c r="AA281" i="36"/>
  <c r="P281" i="36"/>
  <c r="Q281" i="36" s="1"/>
  <c r="AH280" i="36"/>
  <c r="AC280" i="36"/>
  <c r="AB280" i="36"/>
  <c r="AA280" i="36"/>
  <c r="P280" i="36"/>
  <c r="Q280" i="36" s="1"/>
  <c r="AI279" i="36"/>
  <c r="AH279" i="36"/>
  <c r="AC279" i="36"/>
  <c r="AB279" i="36"/>
  <c r="AA279" i="36"/>
  <c r="P279" i="36"/>
  <c r="Q279" i="36" s="1"/>
  <c r="AI278" i="36"/>
  <c r="AC278" i="36"/>
  <c r="AD278" i="36" s="1"/>
  <c r="AB278" i="36"/>
  <c r="AA278" i="36"/>
  <c r="P278" i="36"/>
  <c r="Q278" i="36" s="1"/>
  <c r="AC277" i="36"/>
  <c r="AB277" i="36"/>
  <c r="AA277" i="36"/>
  <c r="P277" i="36"/>
  <c r="Q277" i="36" s="1"/>
  <c r="AI276" i="36"/>
  <c r="AC276" i="36"/>
  <c r="AB276" i="36"/>
  <c r="AA276" i="36"/>
  <c r="P276" i="36"/>
  <c r="Q276" i="36" s="1"/>
  <c r="AC275" i="36"/>
  <c r="AI275" i="36" s="1"/>
  <c r="AB275" i="36"/>
  <c r="AA275" i="36"/>
  <c r="P275" i="36"/>
  <c r="Q275" i="36" s="1"/>
  <c r="AH274" i="36"/>
  <c r="AC274" i="36"/>
  <c r="AI274" i="36" s="1"/>
  <c r="AB274" i="36"/>
  <c r="AA274" i="36"/>
  <c r="P274" i="36"/>
  <c r="Q274" i="36" s="1"/>
  <c r="AH273" i="36"/>
  <c r="AC273" i="36"/>
  <c r="AI273" i="36" s="1"/>
  <c r="AB273" i="36"/>
  <c r="AA273" i="36"/>
  <c r="P273" i="36"/>
  <c r="Q273" i="36" s="1"/>
  <c r="AH272" i="36"/>
  <c r="AC272" i="36"/>
  <c r="AI272" i="36" s="1"/>
  <c r="AB272" i="36"/>
  <c r="AA272" i="36"/>
  <c r="P272" i="36"/>
  <c r="Q272" i="36" s="1"/>
  <c r="AH271" i="36"/>
  <c r="AC271" i="36"/>
  <c r="AI271" i="36" s="1"/>
  <c r="AB271" i="36"/>
  <c r="AA271" i="36"/>
  <c r="P271" i="36"/>
  <c r="Q271" i="36" s="1"/>
  <c r="AD270" i="36"/>
  <c r="AC270" i="36"/>
  <c r="AB270" i="36"/>
  <c r="AA270" i="36"/>
  <c r="P270" i="36"/>
  <c r="Q270" i="36" s="1"/>
  <c r="AC269" i="36"/>
  <c r="AB269" i="36"/>
  <c r="AA269" i="36"/>
  <c r="P269" i="36"/>
  <c r="Q269" i="36" s="1"/>
  <c r="AC268" i="36"/>
  <c r="AB268" i="36"/>
  <c r="AA268" i="36"/>
  <c r="P268" i="36"/>
  <c r="AC267" i="36"/>
  <c r="AB267" i="36"/>
  <c r="AA267" i="36"/>
  <c r="P267" i="36"/>
  <c r="AC266" i="36"/>
  <c r="AB266" i="36"/>
  <c r="AA266" i="36"/>
  <c r="P266" i="36"/>
  <c r="AG266" i="36" s="1"/>
  <c r="AC265" i="36"/>
  <c r="AB265" i="36"/>
  <c r="AA265" i="36"/>
  <c r="P265" i="36"/>
  <c r="AC264" i="36"/>
  <c r="AB264" i="36"/>
  <c r="AA264" i="36"/>
  <c r="P264" i="36"/>
  <c r="AC263" i="36"/>
  <c r="AB263" i="36"/>
  <c r="AA263" i="36"/>
  <c r="P263" i="36"/>
  <c r="AC262" i="36"/>
  <c r="AB262" i="36"/>
  <c r="AA262" i="36"/>
  <c r="P262" i="36"/>
  <c r="AC261" i="36"/>
  <c r="AB261" i="36"/>
  <c r="AA261" i="36"/>
  <c r="P261" i="36"/>
  <c r="AC260" i="36"/>
  <c r="AB260" i="36"/>
  <c r="AA260" i="36"/>
  <c r="P260" i="36"/>
  <c r="AC259" i="36"/>
  <c r="AB259" i="36"/>
  <c r="AA259" i="36"/>
  <c r="P259" i="36"/>
  <c r="AC258" i="36"/>
  <c r="AB258" i="36"/>
  <c r="AA258" i="36"/>
  <c r="P258" i="36"/>
  <c r="AC257" i="36"/>
  <c r="AB257" i="36"/>
  <c r="AA257" i="36"/>
  <c r="P257" i="36"/>
  <c r="AC256" i="36"/>
  <c r="AB256" i="36"/>
  <c r="AA256" i="36"/>
  <c r="P256" i="36"/>
  <c r="AC255" i="36"/>
  <c r="AB255" i="36"/>
  <c r="AA255" i="36"/>
  <c r="P255" i="36"/>
  <c r="AC254" i="36"/>
  <c r="AB254" i="36"/>
  <c r="AA254" i="36"/>
  <c r="P254" i="36"/>
  <c r="AG254" i="36" s="1"/>
  <c r="AC253" i="36"/>
  <c r="AB253" i="36"/>
  <c r="AA253" i="36"/>
  <c r="P253" i="36"/>
  <c r="AC252" i="36"/>
  <c r="AB252" i="36"/>
  <c r="AA252" i="36"/>
  <c r="P252" i="36"/>
  <c r="AC251" i="36"/>
  <c r="AB251" i="36"/>
  <c r="AA251" i="36"/>
  <c r="P251" i="36"/>
  <c r="AC250" i="36"/>
  <c r="AB250" i="36"/>
  <c r="AA250" i="36"/>
  <c r="P250" i="36"/>
  <c r="AC249" i="36"/>
  <c r="AB249" i="36"/>
  <c r="AA249" i="36"/>
  <c r="P249" i="36"/>
  <c r="AC248" i="36"/>
  <c r="AB248" i="36"/>
  <c r="AA248" i="36"/>
  <c r="P248" i="36"/>
  <c r="AG248" i="36" s="1"/>
  <c r="AC247" i="36"/>
  <c r="AB247" i="36"/>
  <c r="AA247" i="36"/>
  <c r="P247" i="36"/>
  <c r="AC246" i="36"/>
  <c r="AB246" i="36"/>
  <c r="AA246" i="36"/>
  <c r="P246" i="36"/>
  <c r="AC245" i="36"/>
  <c r="AB245" i="36"/>
  <c r="AA245" i="36"/>
  <c r="P245" i="36"/>
  <c r="AC244" i="36"/>
  <c r="AB244" i="36"/>
  <c r="AA244" i="36"/>
  <c r="P244" i="36"/>
  <c r="AC243" i="36"/>
  <c r="AB243" i="36"/>
  <c r="AA243" i="36"/>
  <c r="P243" i="36"/>
  <c r="AG243" i="36" s="1"/>
  <c r="AC242" i="36"/>
  <c r="AB242" i="36"/>
  <c r="AA242" i="36"/>
  <c r="P242" i="36"/>
  <c r="AC241" i="36"/>
  <c r="AB241" i="36"/>
  <c r="AA241" i="36"/>
  <c r="P241" i="36"/>
  <c r="AC240" i="36"/>
  <c r="AB240" i="36"/>
  <c r="AA240" i="36"/>
  <c r="P240" i="36"/>
  <c r="AC239" i="36"/>
  <c r="AB239" i="36"/>
  <c r="AA239" i="36"/>
  <c r="P239" i="36"/>
  <c r="AC238" i="36"/>
  <c r="AB238" i="36"/>
  <c r="AA238" i="36"/>
  <c r="P238" i="36"/>
  <c r="AG238" i="36" s="1"/>
  <c r="AC237" i="36"/>
  <c r="AB237" i="36"/>
  <c r="AA237" i="36"/>
  <c r="P237" i="36"/>
  <c r="AC236" i="36"/>
  <c r="AB236" i="36"/>
  <c r="AA236" i="36"/>
  <c r="P236" i="36"/>
  <c r="AC235" i="36"/>
  <c r="AB235" i="36"/>
  <c r="AA235" i="36"/>
  <c r="P235" i="36"/>
  <c r="AC234" i="36"/>
  <c r="AB234" i="36"/>
  <c r="AH235" i="36" s="1"/>
  <c r="AA234" i="36"/>
  <c r="P234" i="36"/>
  <c r="AC233" i="36"/>
  <c r="AB233" i="36"/>
  <c r="AA233" i="36"/>
  <c r="P233" i="36"/>
  <c r="AC232" i="36"/>
  <c r="AB232" i="36"/>
  <c r="AA232" i="36"/>
  <c r="P232" i="36"/>
  <c r="AC231" i="36"/>
  <c r="AB231" i="36"/>
  <c r="AA231" i="36"/>
  <c r="P231" i="36"/>
  <c r="AG231" i="36" s="1"/>
  <c r="AC230" i="36"/>
  <c r="AB230" i="36"/>
  <c r="AA230" i="36"/>
  <c r="P230" i="36"/>
  <c r="AC229" i="36"/>
  <c r="AB229" i="36"/>
  <c r="AA229" i="36"/>
  <c r="P229" i="36"/>
  <c r="AC228" i="36"/>
  <c r="AB228" i="36"/>
  <c r="AA228" i="36"/>
  <c r="P228" i="36"/>
  <c r="AC227" i="36"/>
  <c r="AB227" i="36"/>
  <c r="AA227" i="36"/>
  <c r="P227" i="36"/>
  <c r="Q227" i="36" s="1"/>
  <c r="AC226" i="36"/>
  <c r="AB226" i="36"/>
  <c r="AA226" i="36"/>
  <c r="P226" i="36"/>
  <c r="AG225" i="36"/>
  <c r="AF225" i="36"/>
  <c r="AC225" i="36"/>
  <c r="AB225" i="36"/>
  <c r="AA225" i="36"/>
  <c r="AC224" i="36"/>
  <c r="AB224" i="36"/>
  <c r="AA224" i="36"/>
  <c r="P224" i="36"/>
  <c r="AC223" i="36"/>
  <c r="AB223" i="36"/>
  <c r="AA223" i="36"/>
  <c r="P223" i="36"/>
  <c r="AG223" i="36" s="1"/>
  <c r="AC222" i="36"/>
  <c r="AI222" i="36" s="1"/>
  <c r="AB222" i="36"/>
  <c r="AD222" i="36" s="1"/>
  <c r="AA222" i="36"/>
  <c r="P222" i="36"/>
  <c r="AH221" i="36"/>
  <c r="AC221" i="36"/>
  <c r="AB221" i="36"/>
  <c r="AD221" i="36" s="1"/>
  <c r="AA221" i="36"/>
  <c r="P221" i="36"/>
  <c r="AI220" i="36"/>
  <c r="AD220" i="36"/>
  <c r="AC220" i="36"/>
  <c r="AB220" i="36"/>
  <c r="AA220" i="36"/>
  <c r="P220" i="36"/>
  <c r="AC219" i="36"/>
  <c r="AB219" i="36"/>
  <c r="AA219" i="36"/>
  <c r="P219" i="36"/>
  <c r="AC218" i="36"/>
  <c r="AB218" i="36"/>
  <c r="AA218" i="36"/>
  <c r="P218" i="36"/>
  <c r="AG218" i="36" s="1"/>
  <c r="AC217" i="36"/>
  <c r="AB217" i="36"/>
  <c r="AA217" i="36"/>
  <c r="P217" i="36"/>
  <c r="AC216" i="36"/>
  <c r="AB216" i="36"/>
  <c r="AA216" i="36"/>
  <c r="P216" i="36"/>
  <c r="AG216" i="36" s="1"/>
  <c r="AC215" i="36"/>
  <c r="AB215" i="36"/>
  <c r="AA215" i="36"/>
  <c r="P215" i="36"/>
  <c r="Q215" i="36" s="1"/>
  <c r="AC214" i="36"/>
  <c r="AB214" i="36"/>
  <c r="AA214" i="36"/>
  <c r="P214" i="36"/>
  <c r="AC213" i="36"/>
  <c r="AB213" i="36"/>
  <c r="AA213" i="36"/>
  <c r="P213" i="36"/>
  <c r="AC212" i="36"/>
  <c r="AB212" i="36"/>
  <c r="AA212" i="36"/>
  <c r="P212" i="36"/>
  <c r="AC211" i="36"/>
  <c r="AB211" i="36"/>
  <c r="AA211" i="36"/>
  <c r="P211" i="36"/>
  <c r="AC210" i="36"/>
  <c r="AB210" i="36"/>
  <c r="AA210" i="36"/>
  <c r="P210" i="36"/>
  <c r="AC209" i="36"/>
  <c r="AB209" i="36"/>
  <c r="AA209" i="36"/>
  <c r="P209" i="36"/>
  <c r="AC208" i="36"/>
  <c r="AB208" i="36"/>
  <c r="AA208" i="36"/>
  <c r="P208" i="36"/>
  <c r="AC207" i="36"/>
  <c r="AB207" i="36"/>
  <c r="AA207" i="36"/>
  <c r="P207" i="36"/>
  <c r="AG207" i="36" s="1"/>
  <c r="AC206" i="36"/>
  <c r="AB206" i="36"/>
  <c r="AA206" i="36"/>
  <c r="P206" i="36"/>
  <c r="AC205" i="36"/>
  <c r="AB205" i="36"/>
  <c r="AA205" i="36"/>
  <c r="P205" i="36"/>
  <c r="AC204" i="36"/>
  <c r="AB204" i="36"/>
  <c r="AA204" i="36"/>
  <c r="P204" i="36"/>
  <c r="AG204" i="36" s="1"/>
  <c r="AC203" i="36"/>
  <c r="AB203" i="36"/>
  <c r="AA203" i="36"/>
  <c r="P203" i="36"/>
  <c r="AG203" i="36" s="1"/>
  <c r="AC202" i="36"/>
  <c r="AB202" i="36"/>
  <c r="AA202" i="36"/>
  <c r="P202" i="36"/>
  <c r="AG202" i="36" s="1"/>
  <c r="AC201" i="36"/>
  <c r="AB201" i="36"/>
  <c r="AA201" i="36"/>
  <c r="P201" i="36"/>
  <c r="AG201" i="36" s="1"/>
  <c r="AC200" i="36"/>
  <c r="AB200" i="36"/>
  <c r="AA200" i="36"/>
  <c r="P200" i="36"/>
  <c r="Q200" i="36" s="1"/>
  <c r="AC199" i="36"/>
  <c r="AB199" i="36"/>
  <c r="AA199" i="36"/>
  <c r="P199" i="36"/>
  <c r="AG199" i="36" s="1"/>
  <c r="AC198" i="36"/>
  <c r="AB198" i="36"/>
  <c r="AA198" i="36"/>
  <c r="P198" i="36"/>
  <c r="AG198" i="36" s="1"/>
  <c r="AC197" i="36"/>
  <c r="AI197" i="36" s="1"/>
  <c r="AB197" i="36"/>
  <c r="AD197" i="36" s="1"/>
  <c r="AA197" i="36"/>
  <c r="P197" i="36"/>
  <c r="AI196" i="36"/>
  <c r="AC196" i="36"/>
  <c r="AB196" i="36"/>
  <c r="AH197" i="36" s="1"/>
  <c r="AA196" i="36"/>
  <c r="P196" i="36"/>
  <c r="AI195" i="36"/>
  <c r="AH195" i="36"/>
  <c r="AC195" i="36"/>
  <c r="AB195" i="36"/>
  <c r="AH196" i="36" s="1"/>
  <c r="AA195" i="36"/>
  <c r="P195" i="36"/>
  <c r="AD194" i="36"/>
  <c r="AC194" i="36"/>
  <c r="AB194" i="36"/>
  <c r="AA194" i="36"/>
  <c r="P194" i="36"/>
  <c r="AC193" i="36"/>
  <c r="AB193" i="36"/>
  <c r="AH194" i="36" s="1"/>
  <c r="AA193" i="36"/>
  <c r="P193" i="36"/>
  <c r="AC192" i="36"/>
  <c r="AI192" i="36" s="1"/>
  <c r="AB192" i="36"/>
  <c r="AD192" i="36" s="1"/>
  <c r="AA192" i="36"/>
  <c r="P192" i="36"/>
  <c r="AC191" i="36"/>
  <c r="AI191" i="36" s="1"/>
  <c r="AB191" i="36"/>
  <c r="AH192" i="36" s="1"/>
  <c r="AA191" i="36"/>
  <c r="P191" i="36"/>
  <c r="AI190" i="36"/>
  <c r="AC190" i="36"/>
  <c r="AB190" i="36"/>
  <c r="AH191" i="36" s="1"/>
  <c r="AA190" i="36"/>
  <c r="P190" i="36"/>
  <c r="AI189" i="36"/>
  <c r="AH189" i="36"/>
  <c r="AC189" i="36"/>
  <c r="AB189" i="36"/>
  <c r="AH190" i="36" s="1"/>
  <c r="AA189" i="36"/>
  <c r="P189" i="36"/>
  <c r="AI188" i="36"/>
  <c r="AH188" i="36"/>
  <c r="AD188" i="36"/>
  <c r="AC188" i="36"/>
  <c r="AB188" i="36"/>
  <c r="AA188" i="36"/>
  <c r="P188" i="36"/>
  <c r="Q188" i="36" s="1"/>
  <c r="AI187" i="36"/>
  <c r="AH187" i="36"/>
  <c r="AC187" i="36"/>
  <c r="AB187" i="36"/>
  <c r="AD187" i="36" s="1"/>
  <c r="AA187" i="36"/>
  <c r="P187" i="36"/>
  <c r="AI186" i="36"/>
  <c r="AH186" i="36"/>
  <c r="AD186" i="36"/>
  <c r="AC186" i="36"/>
  <c r="AB186" i="36"/>
  <c r="AA186" i="36"/>
  <c r="P186" i="36"/>
  <c r="AH185" i="36"/>
  <c r="AC185" i="36"/>
  <c r="AI185" i="36" s="1"/>
  <c r="AB185" i="36"/>
  <c r="AA185" i="36"/>
  <c r="P185" i="36"/>
  <c r="Q185" i="36" s="1"/>
  <c r="AI184" i="36"/>
  <c r="AH184" i="36"/>
  <c r="AD184" i="36"/>
  <c r="AC184" i="36"/>
  <c r="AB184" i="36"/>
  <c r="AA184" i="36"/>
  <c r="P184" i="36"/>
  <c r="AD183" i="36"/>
  <c r="AC183" i="36"/>
  <c r="AB183" i="36"/>
  <c r="AA183" i="36"/>
  <c r="P183" i="36"/>
  <c r="AC182" i="36"/>
  <c r="AB182" i="36"/>
  <c r="AA182" i="36"/>
  <c r="P182" i="36"/>
  <c r="AH181" i="36"/>
  <c r="AC181" i="36"/>
  <c r="AI181" i="36" s="1"/>
  <c r="AB181" i="36"/>
  <c r="AA181" i="36"/>
  <c r="P181" i="36"/>
  <c r="AC180" i="36"/>
  <c r="AB180" i="36"/>
  <c r="AD180" i="36" s="1"/>
  <c r="AA180" i="36"/>
  <c r="P180" i="36"/>
  <c r="AC179" i="36"/>
  <c r="AI179" i="36" s="1"/>
  <c r="AB179" i="36"/>
  <c r="AH180" i="36" s="1"/>
  <c r="AA179" i="36"/>
  <c r="P179" i="36"/>
  <c r="AD178" i="36"/>
  <c r="AC178" i="36"/>
  <c r="AB178" i="36"/>
  <c r="AH179" i="36" s="1"/>
  <c r="AA178" i="36"/>
  <c r="P178" i="36"/>
  <c r="AH177" i="36"/>
  <c r="AC177" i="36"/>
  <c r="AI177" i="36" s="1"/>
  <c r="AB177" i="36"/>
  <c r="AA177" i="36"/>
  <c r="P177" i="36"/>
  <c r="AC176" i="36"/>
  <c r="AB176" i="36"/>
  <c r="AA176" i="36"/>
  <c r="P176" i="36"/>
  <c r="AI175" i="36"/>
  <c r="AC175" i="36"/>
  <c r="AB175" i="36"/>
  <c r="AA175" i="36"/>
  <c r="P175" i="36"/>
  <c r="Q175" i="36" s="1"/>
  <c r="AI174" i="36"/>
  <c r="AH174" i="36"/>
  <c r="AC174" i="36"/>
  <c r="AB174" i="36"/>
  <c r="AA174" i="36"/>
  <c r="P174" i="36"/>
  <c r="Q174" i="36" s="1"/>
  <c r="AH173" i="36"/>
  <c r="AC173" i="36"/>
  <c r="AI173" i="36" s="1"/>
  <c r="AB173" i="36"/>
  <c r="AA173" i="36"/>
  <c r="P173" i="36"/>
  <c r="AH172" i="36"/>
  <c r="AD172" i="36"/>
  <c r="AC172" i="36"/>
  <c r="AI172" i="36" s="1"/>
  <c r="AB172" i="36"/>
  <c r="AA172" i="36"/>
  <c r="P172" i="36"/>
  <c r="AH171" i="36"/>
  <c r="AC171" i="36"/>
  <c r="AI171" i="36" s="1"/>
  <c r="AB171" i="36"/>
  <c r="AA171" i="36"/>
  <c r="P171" i="36"/>
  <c r="Q171" i="36" s="1"/>
  <c r="AI170" i="36"/>
  <c r="AH170" i="36"/>
  <c r="AD170" i="36"/>
  <c r="AC170" i="36"/>
  <c r="AB170" i="36"/>
  <c r="AA170" i="36"/>
  <c r="P170" i="36"/>
  <c r="AI169" i="36"/>
  <c r="AH169" i="36"/>
  <c r="AD169" i="36"/>
  <c r="AC169" i="36"/>
  <c r="AB169" i="36"/>
  <c r="AA169" i="36"/>
  <c r="P169" i="36"/>
  <c r="AI168" i="36"/>
  <c r="AH168" i="36"/>
  <c r="AD168" i="36"/>
  <c r="AC168" i="36"/>
  <c r="AB168" i="36"/>
  <c r="AA168" i="36"/>
  <c r="P168" i="36"/>
  <c r="AC167" i="36"/>
  <c r="AI167" i="36" s="1"/>
  <c r="AB167" i="36"/>
  <c r="AA167" i="36"/>
  <c r="P167" i="36"/>
  <c r="AI166" i="36"/>
  <c r="AH166" i="36"/>
  <c r="AC166" i="36"/>
  <c r="AB166" i="36"/>
  <c r="AA166" i="36"/>
  <c r="P166" i="36"/>
  <c r="AC165" i="36"/>
  <c r="AI165" i="36" s="1"/>
  <c r="AB165" i="36"/>
  <c r="AA165" i="36"/>
  <c r="P165" i="36"/>
  <c r="AH164" i="36"/>
  <c r="AC164" i="36"/>
  <c r="AI164" i="36" s="1"/>
  <c r="AB164" i="36"/>
  <c r="AD164" i="36" s="1"/>
  <c r="AA164" i="36"/>
  <c r="P164" i="36"/>
  <c r="AC163" i="36"/>
  <c r="AI163" i="36" s="1"/>
  <c r="AB163" i="36"/>
  <c r="AA163" i="36"/>
  <c r="P163" i="36"/>
  <c r="AD162" i="36"/>
  <c r="AC162" i="36"/>
  <c r="AI162" i="36" s="1"/>
  <c r="AB162" i="36"/>
  <c r="AH163" i="36" s="1"/>
  <c r="AA162" i="36"/>
  <c r="P162" i="36"/>
  <c r="AC161" i="36"/>
  <c r="AB161" i="36"/>
  <c r="AA161" i="36"/>
  <c r="P161" i="36"/>
  <c r="AC160" i="36"/>
  <c r="AB160" i="36"/>
  <c r="AA160" i="36"/>
  <c r="P160" i="36"/>
  <c r="AC159" i="36"/>
  <c r="AI159" i="36" s="1"/>
  <c r="AB159" i="36"/>
  <c r="AA159" i="36"/>
  <c r="P159" i="36"/>
  <c r="AI158" i="36"/>
  <c r="AC158" i="36"/>
  <c r="AB158" i="36"/>
  <c r="AA158" i="36"/>
  <c r="P158" i="36"/>
  <c r="Q158" i="36" s="1"/>
  <c r="AC157" i="36"/>
  <c r="AI157" i="36" s="1"/>
  <c r="AB157" i="36"/>
  <c r="AA157" i="36"/>
  <c r="P157" i="36"/>
  <c r="AC156" i="36"/>
  <c r="AB156" i="36"/>
  <c r="AA156" i="36"/>
  <c r="P156" i="36"/>
  <c r="AI155" i="36"/>
  <c r="AC155" i="36"/>
  <c r="AB155" i="36"/>
  <c r="AA155" i="36"/>
  <c r="P155" i="36"/>
  <c r="AI154" i="36"/>
  <c r="AH154" i="36"/>
  <c r="AC154" i="36"/>
  <c r="AB154" i="36"/>
  <c r="AA154" i="36"/>
  <c r="P154" i="36"/>
  <c r="AI153" i="36"/>
  <c r="AH153" i="36"/>
  <c r="AD153" i="36"/>
  <c r="AC153" i="36"/>
  <c r="AB153" i="36"/>
  <c r="AA153" i="36"/>
  <c r="P153" i="36"/>
  <c r="AI152" i="36"/>
  <c r="AH152" i="36"/>
  <c r="AD152" i="36"/>
  <c r="AC152" i="36"/>
  <c r="AB152" i="36"/>
  <c r="AA152" i="36"/>
  <c r="P152" i="36"/>
  <c r="AC151" i="36"/>
  <c r="AI151" i="36" s="1"/>
  <c r="AB151" i="36"/>
  <c r="AA151" i="36"/>
  <c r="P151" i="36"/>
  <c r="AI150" i="36"/>
  <c r="AC150" i="36"/>
  <c r="AB150" i="36"/>
  <c r="AA150" i="36"/>
  <c r="P150" i="36"/>
  <c r="AH149" i="36"/>
  <c r="AD149" i="36"/>
  <c r="AC149" i="36"/>
  <c r="AI149" i="36" s="1"/>
  <c r="AB149" i="36"/>
  <c r="AH150" i="36" s="1"/>
  <c r="AA149" i="36"/>
  <c r="P149" i="36"/>
  <c r="AC148" i="36"/>
  <c r="AI148" i="36" s="1"/>
  <c r="AB148" i="36"/>
  <c r="AA148" i="36"/>
  <c r="P148" i="36"/>
  <c r="AC147" i="36"/>
  <c r="AI147" i="36" s="1"/>
  <c r="AB147" i="36"/>
  <c r="AA147" i="36"/>
  <c r="P147" i="36"/>
  <c r="AD146" i="36"/>
  <c r="AC146" i="36"/>
  <c r="AB146" i="36"/>
  <c r="AH147" i="36" s="1"/>
  <c r="AA146" i="36"/>
  <c r="P146" i="36"/>
  <c r="AC145" i="36"/>
  <c r="AB145" i="36"/>
  <c r="AD145" i="36" s="1"/>
  <c r="AA145" i="36"/>
  <c r="P145" i="36"/>
  <c r="AH144" i="36"/>
  <c r="AC144" i="36"/>
  <c r="AB144" i="36"/>
  <c r="AD144" i="36" s="1"/>
  <c r="AA144" i="36"/>
  <c r="P144" i="36"/>
  <c r="AD143" i="36"/>
  <c r="AC143" i="36"/>
  <c r="AB143" i="36"/>
  <c r="AA143" i="36"/>
  <c r="P143" i="36"/>
  <c r="AC142" i="36"/>
  <c r="AB142" i="36"/>
  <c r="AD142" i="36" s="1"/>
  <c r="AA142" i="36"/>
  <c r="P142" i="36"/>
  <c r="AH141" i="36"/>
  <c r="AC141" i="36"/>
  <c r="AD141" i="36" s="1"/>
  <c r="AB141" i="36"/>
  <c r="AA141" i="36"/>
  <c r="P141" i="36"/>
  <c r="AC140" i="36"/>
  <c r="AB140" i="36"/>
  <c r="AA140" i="36"/>
  <c r="P140" i="36"/>
  <c r="AC139" i="36"/>
  <c r="AB139" i="36"/>
  <c r="AD139" i="36" s="1"/>
  <c r="AA139" i="36"/>
  <c r="P139" i="36"/>
  <c r="AH138" i="36"/>
  <c r="AC138" i="36"/>
  <c r="AI138" i="36" s="1"/>
  <c r="AB138" i="36"/>
  <c r="AH139" i="36" s="1"/>
  <c r="AA138" i="36"/>
  <c r="P138" i="36"/>
  <c r="AD137" i="36"/>
  <c r="AC137" i="36"/>
  <c r="AI137" i="36" s="1"/>
  <c r="AB137" i="36"/>
  <c r="AA137" i="36"/>
  <c r="P137" i="36"/>
  <c r="Q137" i="36" s="1"/>
  <c r="AH136" i="36"/>
  <c r="AC136" i="36"/>
  <c r="AB136" i="36"/>
  <c r="AH137" i="36" s="1"/>
  <c r="AA136" i="36"/>
  <c r="P136" i="36"/>
  <c r="Q136" i="36" s="1"/>
  <c r="AC135" i="36"/>
  <c r="AB135" i="36"/>
  <c r="AD135" i="36" s="1"/>
  <c r="AA135" i="36"/>
  <c r="P135" i="36"/>
  <c r="AH134" i="36"/>
  <c r="AC134" i="36"/>
  <c r="AI134" i="36" s="1"/>
  <c r="AB134" i="36"/>
  <c r="AD134" i="36" s="1"/>
  <c r="AA134" i="36"/>
  <c r="P134" i="36"/>
  <c r="AC133" i="36"/>
  <c r="AI133" i="36" s="1"/>
  <c r="AB133" i="36"/>
  <c r="AA133" i="36"/>
  <c r="P133" i="36"/>
  <c r="AC132" i="36"/>
  <c r="AB132" i="36"/>
  <c r="AA132" i="36"/>
  <c r="P132" i="36"/>
  <c r="AI131" i="36"/>
  <c r="AH131" i="36"/>
  <c r="AD131" i="36"/>
  <c r="AC131" i="36"/>
  <c r="AB131" i="36"/>
  <c r="AH132" i="36" s="1"/>
  <c r="AA131" i="36"/>
  <c r="P131" i="36"/>
  <c r="AC130" i="36"/>
  <c r="AD130" i="36" s="1"/>
  <c r="AB130" i="36"/>
  <c r="AA130" i="36"/>
  <c r="P130" i="36"/>
  <c r="AH129" i="36"/>
  <c r="AC129" i="36"/>
  <c r="AB129" i="36"/>
  <c r="AH130" i="36" s="1"/>
  <c r="AA129" i="36"/>
  <c r="P129" i="36"/>
  <c r="AC128" i="36"/>
  <c r="AB128" i="36"/>
  <c r="AD128" i="36" s="1"/>
  <c r="AA128" i="36"/>
  <c r="P128" i="36"/>
  <c r="AC127" i="36"/>
  <c r="AI127" i="36" s="1"/>
  <c r="AB127" i="36"/>
  <c r="AI129" i="36" s="1"/>
  <c r="AA127" i="36"/>
  <c r="P127" i="36"/>
  <c r="AC126" i="36"/>
  <c r="AB126" i="36"/>
  <c r="AA126" i="36"/>
  <c r="P126" i="36"/>
  <c r="AI125" i="36"/>
  <c r="AH125" i="36"/>
  <c r="AC125" i="36"/>
  <c r="AB125" i="36"/>
  <c r="AD125" i="36" s="1"/>
  <c r="AA125" i="36"/>
  <c r="P125" i="36"/>
  <c r="AI124" i="36"/>
  <c r="AC124" i="36"/>
  <c r="AD124" i="36" s="1"/>
  <c r="AB124" i="36"/>
  <c r="AA124" i="36"/>
  <c r="P124" i="36"/>
  <c r="AI123" i="36"/>
  <c r="AH123" i="36"/>
  <c r="AD123" i="36"/>
  <c r="AC123" i="36"/>
  <c r="AB123" i="36"/>
  <c r="AH124" i="36" s="1"/>
  <c r="AA123" i="36"/>
  <c r="P123" i="36"/>
  <c r="AD122" i="36"/>
  <c r="AC122" i="36"/>
  <c r="AB122" i="36"/>
  <c r="AA122" i="36"/>
  <c r="P122" i="36"/>
  <c r="AC121" i="36"/>
  <c r="AI121" i="36" s="1"/>
  <c r="AB121" i="36"/>
  <c r="AI122" i="36" s="1"/>
  <c r="AA121" i="36"/>
  <c r="P121" i="36"/>
  <c r="AH120" i="36"/>
  <c r="AC120" i="36"/>
  <c r="AI120" i="36" s="1"/>
  <c r="AB120" i="36"/>
  <c r="AD120" i="36" s="1"/>
  <c r="AA120" i="36"/>
  <c r="P120" i="36"/>
  <c r="AI119" i="36"/>
  <c r="AD119" i="36"/>
  <c r="AC119" i="36"/>
  <c r="AB119" i="36"/>
  <c r="AA119" i="36"/>
  <c r="P119" i="36"/>
  <c r="AC118" i="36"/>
  <c r="AD118" i="36" s="1"/>
  <c r="AB118" i="36"/>
  <c r="AH119" i="36" s="1"/>
  <c r="AA118" i="36"/>
  <c r="P118" i="36"/>
  <c r="AI117" i="36"/>
  <c r="AH117" i="36"/>
  <c r="AC117" i="36"/>
  <c r="AB117" i="36"/>
  <c r="AD117" i="36" s="1"/>
  <c r="AA117" i="36"/>
  <c r="P117" i="36"/>
  <c r="AI116" i="36"/>
  <c r="AC116" i="36"/>
  <c r="AD116" i="36" s="1"/>
  <c r="AB116" i="36"/>
  <c r="AA116" i="36"/>
  <c r="P116" i="36"/>
  <c r="AC115" i="36"/>
  <c r="AI115" i="36" s="1"/>
  <c r="AB115" i="36"/>
  <c r="AA115" i="36"/>
  <c r="P115" i="36"/>
  <c r="AH114" i="36"/>
  <c r="AD114" i="36"/>
  <c r="AC114" i="36"/>
  <c r="AI114" i="36" s="1"/>
  <c r="AB114" i="36"/>
  <c r="AH115" i="36" s="1"/>
  <c r="AA114" i="36"/>
  <c r="P114" i="36"/>
  <c r="AC113" i="36"/>
  <c r="AI113" i="36" s="1"/>
  <c r="AB113" i="36"/>
  <c r="AA113" i="36"/>
  <c r="P113" i="36"/>
  <c r="AC112" i="36"/>
  <c r="AB112" i="36"/>
  <c r="AA112" i="36"/>
  <c r="P112" i="36"/>
  <c r="AC111" i="36"/>
  <c r="AB111" i="36"/>
  <c r="AD111" i="36" s="1"/>
  <c r="AA111" i="36"/>
  <c r="P111" i="36"/>
  <c r="AH110" i="36"/>
  <c r="AC110" i="36"/>
  <c r="AB110" i="36"/>
  <c r="AH111" i="36" s="1"/>
  <c r="AA110" i="36"/>
  <c r="P110" i="36"/>
  <c r="AD109" i="36"/>
  <c r="AC109" i="36"/>
  <c r="AI109" i="36" s="1"/>
  <c r="AB109" i="36"/>
  <c r="AA109" i="36"/>
  <c r="P109" i="36"/>
  <c r="AC108" i="36"/>
  <c r="AB108" i="36"/>
  <c r="AA108" i="36"/>
  <c r="P108" i="36"/>
  <c r="AC107" i="36"/>
  <c r="AB107" i="36"/>
  <c r="AD107" i="36" s="1"/>
  <c r="AA107" i="36"/>
  <c r="P107" i="36"/>
  <c r="AC106" i="36"/>
  <c r="AB106" i="36"/>
  <c r="AD106" i="36" s="1"/>
  <c r="AA106" i="36"/>
  <c r="P106" i="36"/>
  <c r="AC105" i="36"/>
  <c r="AI105" i="36" s="1"/>
  <c r="AB105" i="36"/>
  <c r="AA105" i="36"/>
  <c r="P105" i="36"/>
  <c r="AD104" i="36"/>
  <c r="AC104" i="36"/>
  <c r="AB104" i="36"/>
  <c r="AH105" i="36" s="1"/>
  <c r="AA104" i="36"/>
  <c r="P104" i="36"/>
  <c r="AC103" i="36"/>
  <c r="AB103" i="36"/>
  <c r="AH104" i="36" s="1"/>
  <c r="AA103" i="36"/>
  <c r="P103" i="36"/>
  <c r="AI102" i="36"/>
  <c r="AH102" i="36"/>
  <c r="AC102" i="36"/>
  <c r="AB102" i="36"/>
  <c r="AH103" i="36" s="1"/>
  <c r="AA102" i="36"/>
  <c r="P102" i="36"/>
  <c r="AI101" i="36"/>
  <c r="AH101" i="36"/>
  <c r="AC101" i="36"/>
  <c r="AD101" i="36" s="1"/>
  <c r="AB101" i="36"/>
  <c r="AA101" i="36"/>
  <c r="P101" i="36"/>
  <c r="AC100" i="36"/>
  <c r="AB100" i="36"/>
  <c r="AD100" i="36" s="1"/>
  <c r="AA100" i="36"/>
  <c r="P100" i="36"/>
  <c r="Q100" i="36" s="1"/>
  <c r="AC99" i="36"/>
  <c r="AI99" i="36" s="1"/>
  <c r="AB99" i="36"/>
  <c r="AA99" i="36"/>
  <c r="P99" i="36"/>
  <c r="AH98" i="36"/>
  <c r="AC98" i="36"/>
  <c r="AI98" i="36" s="1"/>
  <c r="AB98" i="36"/>
  <c r="AA98" i="36"/>
  <c r="P98" i="36"/>
  <c r="Q98" i="36" s="1"/>
  <c r="AD97" i="36"/>
  <c r="AC97" i="36"/>
  <c r="AB97" i="36"/>
  <c r="AA97" i="36"/>
  <c r="P97" i="36"/>
  <c r="Q97" i="36" s="1"/>
  <c r="AI96" i="36"/>
  <c r="AH96" i="36"/>
  <c r="AC96" i="36"/>
  <c r="AB96" i="36"/>
  <c r="AH97" i="36" s="1"/>
  <c r="AA96" i="36"/>
  <c r="P96" i="36"/>
  <c r="Q96" i="36" s="1"/>
  <c r="AI95" i="36"/>
  <c r="AH95" i="36"/>
  <c r="AC95" i="36"/>
  <c r="AD95" i="36" s="1"/>
  <c r="AB95" i="36"/>
  <c r="AA95" i="36"/>
  <c r="P95" i="36"/>
  <c r="AI94" i="36"/>
  <c r="AH94" i="36"/>
  <c r="AD94" i="36"/>
  <c r="AC94" i="36"/>
  <c r="AB94" i="36"/>
  <c r="AA94" i="36"/>
  <c r="P94" i="36"/>
  <c r="AI93" i="36"/>
  <c r="AC93" i="36"/>
  <c r="AD93" i="36" s="1"/>
  <c r="AB93" i="36"/>
  <c r="AA93" i="36"/>
  <c r="P93" i="36"/>
  <c r="Q93" i="36" s="1"/>
  <c r="AC92" i="36"/>
  <c r="AB92" i="36"/>
  <c r="AD92" i="36" s="1"/>
  <c r="AA92" i="36"/>
  <c r="AD91" i="36"/>
  <c r="AC91" i="36"/>
  <c r="AI91" i="36" s="1"/>
  <c r="AB91" i="36"/>
  <c r="AH93" i="36" s="1"/>
  <c r="AA91" i="36"/>
  <c r="P91" i="36"/>
  <c r="AH90" i="36"/>
  <c r="AC90" i="36"/>
  <c r="AI90" i="36" s="1"/>
  <c r="AB90" i="36"/>
  <c r="AA90" i="36"/>
  <c r="P90" i="36"/>
  <c r="Q90" i="36" s="1"/>
  <c r="AI89" i="36"/>
  <c r="AD89" i="36"/>
  <c r="AC89" i="36"/>
  <c r="AB89" i="36"/>
  <c r="AA89" i="36"/>
  <c r="P89" i="36"/>
  <c r="AC88" i="36"/>
  <c r="AI88" i="36" s="1"/>
  <c r="AB88" i="36"/>
  <c r="AH89" i="36" s="1"/>
  <c r="AA88" i="36"/>
  <c r="P88" i="36"/>
  <c r="AC87" i="36"/>
  <c r="AI87" i="36" s="1"/>
  <c r="AB87" i="36"/>
  <c r="AA87" i="36"/>
  <c r="P87" i="36"/>
  <c r="AI86" i="36"/>
  <c r="AH86" i="36"/>
  <c r="AC86" i="36"/>
  <c r="AB86" i="36"/>
  <c r="AD86" i="36" s="1"/>
  <c r="AA86" i="36"/>
  <c r="P86" i="36"/>
  <c r="AI85" i="36"/>
  <c r="AH85" i="36"/>
  <c r="AD85" i="36"/>
  <c r="AC85" i="36"/>
  <c r="AB85" i="36"/>
  <c r="AA85" i="36"/>
  <c r="P85" i="36"/>
  <c r="AI84" i="36"/>
  <c r="AC84" i="36"/>
  <c r="AD84" i="36" s="1"/>
  <c r="AB84" i="36"/>
  <c r="AA84" i="36"/>
  <c r="P84" i="36"/>
  <c r="AH83" i="36"/>
  <c r="AD83" i="36"/>
  <c r="AC83" i="36"/>
  <c r="AB83" i="36"/>
  <c r="AH84" i="36" s="1"/>
  <c r="AA83" i="36"/>
  <c r="P83" i="36"/>
  <c r="AC82" i="36"/>
  <c r="AI82" i="36" s="1"/>
  <c r="AB82" i="36"/>
  <c r="AA82" i="36"/>
  <c r="P82" i="36"/>
  <c r="AC81" i="36"/>
  <c r="AB81" i="36"/>
  <c r="AH82" i="36" s="1"/>
  <c r="AA81" i="36"/>
  <c r="P81" i="36"/>
  <c r="AH80" i="36"/>
  <c r="AC80" i="36"/>
  <c r="AB80" i="36"/>
  <c r="AI81" i="36" s="1"/>
  <c r="AA80" i="36"/>
  <c r="P80" i="36"/>
  <c r="AC79" i="36"/>
  <c r="AI79" i="36" s="1"/>
  <c r="AB79" i="36"/>
  <c r="AD79" i="36" s="1"/>
  <c r="AA79" i="36"/>
  <c r="P79" i="36"/>
  <c r="AI78" i="36"/>
  <c r="AC78" i="36"/>
  <c r="AB78" i="36"/>
  <c r="AH79" i="36" s="1"/>
  <c r="AA78" i="36"/>
  <c r="P78" i="36"/>
  <c r="AC77" i="36"/>
  <c r="AI77" i="36" s="1"/>
  <c r="AB77" i="36"/>
  <c r="AA77" i="36"/>
  <c r="P77" i="36"/>
  <c r="AI76" i="36"/>
  <c r="AH76" i="36"/>
  <c r="AC76" i="36"/>
  <c r="AB76" i="36"/>
  <c r="AD76" i="36" s="1"/>
  <c r="AA76" i="36"/>
  <c r="P76" i="36"/>
  <c r="AH75" i="36"/>
  <c r="AC75" i="36"/>
  <c r="AI75" i="36" s="1"/>
  <c r="AB75" i="36"/>
  <c r="AA75" i="36"/>
  <c r="P75" i="36"/>
  <c r="AC74" i="36"/>
  <c r="AI74" i="36" s="1"/>
  <c r="AB74" i="36"/>
  <c r="AA74" i="36"/>
  <c r="P74" i="36"/>
  <c r="AH73" i="36"/>
  <c r="AC73" i="36"/>
  <c r="AI73" i="36" s="1"/>
  <c r="AB73" i="36"/>
  <c r="AH74" i="36" s="1"/>
  <c r="AA73" i="36"/>
  <c r="P73" i="36"/>
  <c r="AD72" i="36"/>
  <c r="AC72" i="36"/>
  <c r="AI72" i="36" s="1"/>
  <c r="AB72" i="36"/>
  <c r="AA72" i="36"/>
  <c r="P72" i="36"/>
  <c r="AI71" i="36"/>
  <c r="AC71" i="36"/>
  <c r="AB71" i="36"/>
  <c r="AH72" i="36" s="1"/>
  <c r="AA71" i="36"/>
  <c r="P71" i="36"/>
  <c r="AD70" i="36"/>
  <c r="AC70" i="36"/>
  <c r="AB70" i="36"/>
  <c r="AH71" i="36" s="1"/>
  <c r="AA70" i="36"/>
  <c r="P70" i="36"/>
  <c r="AC69" i="36"/>
  <c r="AI69" i="36" s="1"/>
  <c r="AB69" i="36"/>
  <c r="AD69" i="36" s="1"/>
  <c r="AA69" i="36"/>
  <c r="P69" i="36"/>
  <c r="AI68" i="36"/>
  <c r="AH68" i="36"/>
  <c r="AC68" i="36"/>
  <c r="AB68" i="36"/>
  <c r="AA68" i="36"/>
  <c r="P68" i="36"/>
  <c r="AI67" i="36"/>
  <c r="AH67" i="36"/>
  <c r="AD67" i="36"/>
  <c r="AC67" i="36"/>
  <c r="AB67" i="36"/>
  <c r="AA67" i="36"/>
  <c r="P67" i="36"/>
  <c r="AI66" i="36"/>
  <c r="AC66" i="36"/>
  <c r="AD66" i="36" s="1"/>
  <c r="AB66" i="36"/>
  <c r="AA66" i="36"/>
  <c r="P66" i="36"/>
  <c r="AI65" i="36"/>
  <c r="AH65" i="36"/>
  <c r="AC65" i="36"/>
  <c r="AB65" i="36"/>
  <c r="AH66" i="36" s="1"/>
  <c r="AA65" i="36"/>
  <c r="P65" i="36"/>
  <c r="AI64" i="36"/>
  <c r="AH64" i="36"/>
  <c r="AD64" i="36"/>
  <c r="AC64" i="36"/>
  <c r="AB64" i="36"/>
  <c r="AA64" i="36"/>
  <c r="P64" i="36"/>
  <c r="AH63" i="36"/>
  <c r="AC63" i="36"/>
  <c r="AI63" i="36" s="1"/>
  <c r="AB63" i="36"/>
  <c r="AA63" i="36"/>
  <c r="P63" i="36"/>
  <c r="AH62" i="36"/>
  <c r="AC62" i="36"/>
  <c r="AI62" i="36" s="1"/>
  <c r="AB62" i="36"/>
  <c r="AD62" i="36" s="1"/>
  <c r="AA62" i="36"/>
  <c r="P62" i="36"/>
  <c r="AD61" i="36"/>
  <c r="AC61" i="36"/>
  <c r="AI61" i="36" s="1"/>
  <c r="AB61" i="36"/>
  <c r="AA61" i="36"/>
  <c r="P61" i="36"/>
  <c r="AI60" i="36"/>
  <c r="AC60" i="36"/>
  <c r="AB60" i="36"/>
  <c r="AA60" i="36"/>
  <c r="P60" i="36"/>
  <c r="AI59" i="36"/>
  <c r="AH59" i="36"/>
  <c r="AD59" i="36"/>
  <c r="AC59" i="36"/>
  <c r="AB59" i="36"/>
  <c r="AH60" i="36" s="1"/>
  <c r="AA59" i="36"/>
  <c r="P59" i="36"/>
  <c r="AC58" i="36"/>
  <c r="AI58" i="36" s="1"/>
  <c r="AB58" i="36"/>
  <c r="AA58" i="36"/>
  <c r="P58" i="36"/>
  <c r="AC57" i="36"/>
  <c r="AI57" i="36" s="1"/>
  <c r="AB57" i="36"/>
  <c r="AH58" i="36" s="1"/>
  <c r="AA57" i="36"/>
  <c r="P57" i="36"/>
  <c r="AC56" i="36"/>
  <c r="AI56" i="36" s="1"/>
  <c r="AB56" i="36"/>
  <c r="AH57" i="36" s="1"/>
  <c r="AA56" i="36"/>
  <c r="P56" i="36"/>
  <c r="AC55" i="36"/>
  <c r="AI55" i="36" s="1"/>
  <c r="AB55" i="36"/>
  <c r="AH56" i="36" s="1"/>
  <c r="AA55" i="36"/>
  <c r="P55" i="36"/>
  <c r="AC54" i="36"/>
  <c r="AI54" i="36" s="1"/>
  <c r="AB54" i="36"/>
  <c r="AH55" i="36" s="1"/>
  <c r="AA54" i="36"/>
  <c r="P54" i="36"/>
  <c r="AI53" i="36"/>
  <c r="AH53" i="36"/>
  <c r="AC53" i="36"/>
  <c r="AB53" i="36"/>
  <c r="AH54" i="36" s="1"/>
  <c r="AA53" i="36"/>
  <c r="P53" i="36"/>
  <c r="AD52" i="36"/>
  <c r="AC52" i="36"/>
  <c r="AB52" i="36"/>
  <c r="AA52" i="36"/>
  <c r="P52" i="36"/>
  <c r="AH51" i="36"/>
  <c r="AC51" i="36"/>
  <c r="AI51" i="36" s="1"/>
  <c r="AB51" i="36"/>
  <c r="AH52" i="36" s="1"/>
  <c r="AA51" i="36"/>
  <c r="P51" i="36"/>
  <c r="AC50" i="36"/>
  <c r="AI50" i="36" s="1"/>
  <c r="AB50" i="36"/>
  <c r="AA50" i="36"/>
  <c r="P50" i="36"/>
  <c r="AC49" i="36"/>
  <c r="AI49" i="36" s="1"/>
  <c r="AB49" i="36"/>
  <c r="AH50" i="36" s="1"/>
  <c r="AA49" i="36"/>
  <c r="P49" i="36"/>
  <c r="AI48" i="36"/>
  <c r="AH48" i="36"/>
  <c r="AC48" i="36"/>
  <c r="AB48" i="36"/>
  <c r="AA48" i="36"/>
  <c r="P48" i="36"/>
  <c r="AI47" i="36"/>
  <c r="AH47" i="36"/>
  <c r="AD47" i="36"/>
  <c r="AC47" i="36"/>
  <c r="AB47" i="36"/>
  <c r="AA47" i="36"/>
  <c r="P47" i="36"/>
  <c r="AI46" i="36"/>
  <c r="AD46" i="36"/>
  <c r="AC46" i="36"/>
  <c r="AB46" i="36"/>
  <c r="AA46" i="36"/>
  <c r="P46" i="36"/>
  <c r="AC45" i="36"/>
  <c r="AI45" i="36" s="1"/>
  <c r="AB45" i="36"/>
  <c r="AH46" i="36" s="1"/>
  <c r="AA45" i="36"/>
  <c r="P45" i="36"/>
  <c r="AI44" i="36"/>
  <c r="AH44" i="36"/>
  <c r="AC44" i="36"/>
  <c r="AB44" i="36"/>
  <c r="AH45" i="36" s="1"/>
  <c r="AA44" i="36"/>
  <c r="P44" i="36"/>
  <c r="AC43" i="36"/>
  <c r="AD43" i="36" s="1"/>
  <c r="AB43" i="36"/>
  <c r="AA43" i="36"/>
  <c r="P43" i="36"/>
  <c r="AH42" i="36"/>
  <c r="AC42" i="36"/>
  <c r="AI42" i="36" s="1"/>
  <c r="AB42" i="36"/>
  <c r="AH43" i="36" s="1"/>
  <c r="AA42" i="36"/>
  <c r="P42" i="36"/>
  <c r="AI41" i="36"/>
  <c r="AC41" i="36"/>
  <c r="AD41" i="36" s="1"/>
  <c r="AB41" i="36"/>
  <c r="AA41" i="36"/>
  <c r="P41" i="36"/>
  <c r="AD40" i="36"/>
  <c r="AC40" i="36"/>
  <c r="AI40" i="36" s="1"/>
  <c r="AB40" i="36"/>
  <c r="AH41" i="36" s="1"/>
  <c r="AA40" i="36"/>
  <c r="P40" i="36"/>
  <c r="AC39" i="36"/>
  <c r="AD39" i="36" s="1"/>
  <c r="AB39" i="36"/>
  <c r="AH40" i="36" s="1"/>
  <c r="AA39" i="36"/>
  <c r="P39" i="36"/>
  <c r="AC38" i="36"/>
  <c r="AI38" i="36" s="1"/>
  <c r="AB38" i="36"/>
  <c r="AD38" i="36" s="1"/>
  <c r="AA38" i="36"/>
  <c r="P38" i="36"/>
  <c r="AC37" i="36"/>
  <c r="AI37" i="36" s="1"/>
  <c r="AB37" i="36"/>
  <c r="AH38" i="36" s="1"/>
  <c r="AA37" i="36"/>
  <c r="P37" i="36"/>
  <c r="AC36" i="36"/>
  <c r="AI36" i="36" s="1"/>
  <c r="AB36" i="36"/>
  <c r="AH37" i="36" s="1"/>
  <c r="AA36" i="36"/>
  <c r="P36" i="36"/>
  <c r="AC35" i="36"/>
  <c r="AI35" i="36" s="1"/>
  <c r="AB35" i="36"/>
  <c r="AH36" i="36" s="1"/>
  <c r="AA35" i="36"/>
  <c r="P35" i="36"/>
  <c r="AC34" i="36"/>
  <c r="AI34" i="36" s="1"/>
  <c r="AB34" i="36"/>
  <c r="AH35" i="36" s="1"/>
  <c r="AA34" i="36"/>
  <c r="P34" i="36"/>
  <c r="AC33" i="36"/>
  <c r="AI33" i="36" s="1"/>
  <c r="AB33" i="36"/>
  <c r="AH34" i="36" s="1"/>
  <c r="AA33" i="36"/>
  <c r="P33" i="36"/>
  <c r="AH32" i="36"/>
  <c r="AC32" i="36"/>
  <c r="AI32" i="36" s="1"/>
  <c r="AB32" i="36"/>
  <c r="AH33" i="36" s="1"/>
  <c r="AA32" i="36"/>
  <c r="P32" i="36"/>
  <c r="AC31" i="36"/>
  <c r="AD31" i="36" s="1"/>
  <c r="AB31" i="36"/>
  <c r="AA31" i="36"/>
  <c r="P31" i="36"/>
  <c r="AD30" i="36"/>
  <c r="AC30" i="36"/>
  <c r="AB30" i="36"/>
  <c r="AA30" i="36"/>
  <c r="P30" i="36"/>
  <c r="AC29" i="36"/>
  <c r="AB29" i="36"/>
  <c r="AH30" i="36" s="1"/>
  <c r="AA29" i="36"/>
  <c r="P29" i="36"/>
  <c r="AH28" i="36"/>
  <c r="AC28" i="36"/>
  <c r="AI28" i="36" s="1"/>
  <c r="AB28" i="36"/>
  <c r="AA28" i="36"/>
  <c r="P28" i="36"/>
  <c r="AH27" i="36"/>
  <c r="AD27" i="36"/>
  <c r="AC27" i="36"/>
  <c r="AB27" i="36"/>
  <c r="AA27" i="36"/>
  <c r="P27" i="36"/>
  <c r="AH26" i="36"/>
  <c r="AC26" i="36"/>
  <c r="AI26" i="36" s="1"/>
  <c r="AB26" i="36"/>
  <c r="AA26" i="36"/>
  <c r="P26" i="36"/>
  <c r="AD25" i="36"/>
  <c r="AC25" i="36"/>
  <c r="AB25" i="36"/>
  <c r="AA25" i="36"/>
  <c r="P25" i="36"/>
  <c r="AB24" i="36"/>
  <c r="AH25" i="36" s="1"/>
  <c r="AA24" i="36"/>
  <c r="P24" i="36"/>
  <c r="AB23" i="36"/>
  <c r="AD23" i="36" s="1"/>
  <c r="AA23" i="36"/>
  <c r="P23" i="36"/>
  <c r="AB22" i="36"/>
  <c r="AD22" i="36" s="1"/>
  <c r="AA22" i="36"/>
  <c r="P22" i="36"/>
  <c r="AB21" i="36"/>
  <c r="AD21" i="36" s="1"/>
  <c r="AA21" i="36"/>
  <c r="P21" i="36"/>
  <c r="AB20" i="36"/>
  <c r="AB2" i="36" s="1"/>
  <c r="AA20" i="36"/>
  <c r="P20" i="36"/>
  <c r="AI19" i="36"/>
  <c r="AH19" i="36"/>
  <c r="AC19" i="36"/>
  <c r="AB19" i="36"/>
  <c r="AD19" i="36" s="1"/>
  <c r="AA19" i="36"/>
  <c r="P19" i="36"/>
  <c r="AI18" i="36"/>
  <c r="AH18" i="36"/>
  <c r="AD18" i="36"/>
  <c r="AC18" i="36"/>
  <c r="AB18" i="36"/>
  <c r="AA18" i="36"/>
  <c r="P18" i="36"/>
  <c r="AI17" i="36"/>
  <c r="AH17" i="36"/>
  <c r="AD17" i="36"/>
  <c r="AC17" i="36"/>
  <c r="AB17" i="36"/>
  <c r="AA17" i="36"/>
  <c r="P17" i="36"/>
  <c r="AH16" i="36"/>
  <c r="AC16" i="36"/>
  <c r="AI16" i="36" s="1"/>
  <c r="AB16" i="36"/>
  <c r="AA16" i="36"/>
  <c r="P16" i="36"/>
  <c r="AH15" i="36"/>
  <c r="AC15" i="36"/>
  <c r="AI15" i="36" s="1"/>
  <c r="AB15" i="36"/>
  <c r="AA15" i="36"/>
  <c r="P15" i="36"/>
  <c r="AI14" i="36"/>
  <c r="AD14" i="36"/>
  <c r="AC14" i="36"/>
  <c r="AB14" i="36"/>
  <c r="AA14" i="36"/>
  <c r="P14" i="36"/>
  <c r="AH13" i="36"/>
  <c r="AC13" i="36"/>
  <c r="AI13" i="36" s="1"/>
  <c r="AB13" i="36"/>
  <c r="AH14" i="36" s="1"/>
  <c r="AA13" i="36"/>
  <c r="P13" i="36"/>
  <c r="AC12" i="36"/>
  <c r="AI12" i="36" s="1"/>
  <c r="AB12" i="36"/>
  <c r="AA12" i="36"/>
  <c r="P12" i="36"/>
  <c r="AC11" i="36"/>
  <c r="AI11" i="36" s="1"/>
  <c r="AB11" i="36"/>
  <c r="AH12" i="36" s="1"/>
  <c r="AA11" i="36"/>
  <c r="P11" i="36"/>
  <c r="AI10" i="36"/>
  <c r="AC10" i="36"/>
  <c r="AB10" i="36"/>
  <c r="AA10" i="36"/>
  <c r="P10" i="36"/>
  <c r="AI9" i="36"/>
  <c r="AD9" i="36"/>
  <c r="AC9" i="36"/>
  <c r="AB9" i="36"/>
  <c r="AH10" i="36" s="1"/>
  <c r="AA9" i="36"/>
  <c r="P9" i="36"/>
  <c r="AC8" i="36"/>
  <c r="AD8" i="36" s="1"/>
  <c r="AB8" i="36"/>
  <c r="AH9" i="36" s="1"/>
  <c r="AA8" i="36"/>
  <c r="P8" i="36"/>
  <c r="AC7" i="36"/>
  <c r="AI7" i="36" s="1"/>
  <c r="AB7" i="36"/>
  <c r="AD7" i="36" s="1"/>
  <c r="AA7" i="36"/>
  <c r="P7" i="36"/>
  <c r="AC6" i="36"/>
  <c r="AB6" i="36"/>
  <c r="AD6" i="36" s="1"/>
  <c r="AA6" i="36"/>
  <c r="P6" i="36"/>
  <c r="AD5" i="36"/>
  <c r="AC5" i="36"/>
  <c r="AI5" i="36" s="1"/>
  <c r="AB5" i="36"/>
  <c r="AH6" i="36" s="1"/>
  <c r="AA5" i="36"/>
  <c r="P5" i="36"/>
  <c r="AI4" i="36"/>
  <c r="AH4" i="36"/>
  <c r="AC4" i="36"/>
  <c r="AB4" i="36"/>
  <c r="AA4" i="36"/>
  <c r="P4" i="36"/>
  <c r="AH2" i="36"/>
  <c r="AF2" i="36"/>
  <c r="AC2" i="36"/>
  <c r="AA2" i="36"/>
  <c r="Z2" i="36"/>
  <c r="Y2" i="36"/>
  <c r="AD246" i="36" l="1"/>
  <c r="AI249" i="36"/>
  <c r="AD240" i="36"/>
  <c r="AD218" i="36"/>
  <c r="AD202" i="36"/>
  <c r="AD208" i="36"/>
  <c r="AD211" i="36"/>
  <c r="AD223" i="36"/>
  <c r="AD255" i="36"/>
  <c r="AD254" i="36"/>
  <c r="AD260" i="36"/>
  <c r="AD263" i="36"/>
  <c r="AD200" i="36"/>
  <c r="AD209" i="36"/>
  <c r="AD212" i="36"/>
  <c r="AD215" i="36"/>
  <c r="AD225" i="36"/>
  <c r="AD229" i="36"/>
  <c r="AD232" i="36"/>
  <c r="AD235" i="36"/>
  <c r="AD238" i="36"/>
  <c r="AD241" i="36"/>
  <c r="AD253" i="36"/>
  <c r="AD259" i="36"/>
  <c r="AD268" i="36"/>
  <c r="AD198" i="36"/>
  <c r="AD204" i="36"/>
  <c r="AD213" i="36"/>
  <c r="AD230" i="36"/>
  <c r="AD233" i="36"/>
  <c r="AD236" i="36"/>
  <c r="AD245" i="36"/>
  <c r="AD248" i="36"/>
  <c r="AD251" i="36"/>
  <c r="AG205" i="36"/>
  <c r="Q205" i="36"/>
  <c r="AF205" i="36" s="1"/>
  <c r="AE205" i="36" s="1"/>
  <c r="Q206" i="36"/>
  <c r="AG206" i="36"/>
  <c r="AG208" i="36"/>
  <c r="Q208" i="36"/>
  <c r="AG210" i="36"/>
  <c r="Q210" i="36"/>
  <c r="AG212" i="36"/>
  <c r="Q212" i="36"/>
  <c r="AG213" i="36"/>
  <c r="Q213" i="36"/>
  <c r="Q214" i="36"/>
  <c r="AF214" i="36" s="1"/>
  <c r="AE214" i="36" s="1"/>
  <c r="AG217" i="36"/>
  <c r="Q217" i="36"/>
  <c r="AE225" i="36"/>
  <c r="AG229" i="36"/>
  <c r="Q229" i="36"/>
  <c r="Q233" i="36"/>
  <c r="AG233" i="36"/>
  <c r="AI235" i="36"/>
  <c r="AG237" i="36"/>
  <c r="Q237" i="36"/>
  <c r="AH240" i="36"/>
  <c r="AD239" i="36"/>
  <c r="AG241" i="36"/>
  <c r="Q241" i="36"/>
  <c r="AG245" i="36"/>
  <c r="Q245" i="36"/>
  <c r="Q246" i="36"/>
  <c r="AG246" i="36"/>
  <c r="Q250" i="36"/>
  <c r="AG250" i="36"/>
  <c r="AI251" i="36"/>
  <c r="AG252" i="36"/>
  <c r="Q252" i="36"/>
  <c r="AD252" i="36"/>
  <c r="AH253" i="36"/>
  <c r="AD256" i="36"/>
  <c r="AG257" i="36"/>
  <c r="Q257" i="36"/>
  <c r="AH258" i="36"/>
  <c r="AD257" i="36"/>
  <c r="AD262" i="36"/>
  <c r="AI262" i="36"/>
  <c r="AG263" i="36"/>
  <c r="Q263" i="36"/>
  <c r="AG264" i="36"/>
  <c r="Q264" i="36"/>
  <c r="AH265" i="36"/>
  <c r="AD264" i="36"/>
  <c r="AI265" i="36"/>
  <c r="AG267" i="36"/>
  <c r="Q267" i="36"/>
  <c r="AF267" i="36" s="1"/>
  <c r="AE267" i="36" s="1"/>
  <c r="AG268" i="36"/>
  <c r="Q268" i="36"/>
  <c r="AG353" i="36"/>
  <c r="Q353" i="36"/>
  <c r="AF353" i="36" s="1"/>
  <c r="AI353" i="36" s="1"/>
  <c r="AG354" i="36"/>
  <c r="Q354" i="36"/>
  <c r="AG355" i="36"/>
  <c r="Q355" i="36"/>
  <c r="AG358" i="36"/>
  <c r="Q358" i="36"/>
  <c r="AF358" i="36" s="1"/>
  <c r="AE358" i="36" s="1"/>
  <c r="Q360" i="36"/>
  <c r="AG360" i="36"/>
  <c r="AG361" i="36"/>
  <c r="Q361" i="36"/>
  <c r="AG371" i="36"/>
  <c r="Q371" i="36"/>
  <c r="AF371" i="36" s="1"/>
  <c r="AE371" i="36" s="1"/>
  <c r="AG376" i="36"/>
  <c r="Q376" i="36"/>
  <c r="AF376" i="36" s="1"/>
  <c r="AE376" i="36" s="1"/>
  <c r="AG378" i="36"/>
  <c r="Q378" i="36"/>
  <c r="AF381" i="36"/>
  <c r="AI381" i="36" s="1"/>
  <c r="AG381" i="36"/>
  <c r="Q386" i="36"/>
  <c r="AG386" i="36"/>
  <c r="AG388" i="36"/>
  <c r="Q388" i="36"/>
  <c r="Q389" i="36"/>
  <c r="AG389" i="36"/>
  <c r="Q198" i="36"/>
  <c r="Q223" i="36"/>
  <c r="AF223" i="36" s="1"/>
  <c r="Q238" i="36"/>
  <c r="AF241" i="36"/>
  <c r="AE241" i="36" s="1"/>
  <c r="Q248" i="36"/>
  <c r="AF248" i="36" s="1"/>
  <c r="AH248" i="36" s="1"/>
  <c r="AF252" i="36"/>
  <c r="AE252" i="36" s="1"/>
  <c r="AG227" i="36"/>
  <c r="AD249" i="36"/>
  <c r="AG364" i="36"/>
  <c r="AG380" i="36"/>
  <c r="Q390" i="36"/>
  <c r="AF390" i="36" s="1"/>
  <c r="AG392" i="36"/>
  <c r="AH249" i="36"/>
  <c r="Q202" i="36"/>
  <c r="AF202" i="36" s="1"/>
  <c r="AF208" i="36"/>
  <c r="AH208" i="36" s="1"/>
  <c r="Q216" i="36"/>
  <c r="AF216" i="36" s="1"/>
  <c r="AH216" i="36" s="1"/>
  <c r="Q231" i="36"/>
  <c r="AF231" i="36" s="1"/>
  <c r="AI253" i="36"/>
  <c r="AI270" i="36"/>
  <c r="AG347" i="36"/>
  <c r="AF198" i="36"/>
  <c r="AE198" i="36" s="1"/>
  <c r="AD228" i="36"/>
  <c r="Q254" i="36"/>
  <c r="AF254" i="36" s="1"/>
  <c r="AI258" i="36"/>
  <c r="Q266" i="36"/>
  <c r="AF266" i="36" s="1"/>
  <c r="AE266" i="36" s="1"/>
  <c r="Q350" i="36"/>
  <c r="AF350" i="36" s="1"/>
  <c r="Q377" i="36"/>
  <c r="AF377" i="36" s="1"/>
  <c r="AH377" i="36" s="1"/>
  <c r="AF210" i="36"/>
  <c r="AE210" i="36" s="1"/>
  <c r="AF229" i="36"/>
  <c r="AI229" i="36" s="1"/>
  <c r="AD234" i="36"/>
  <c r="AF245" i="36"/>
  <c r="AI245" i="36" s="1"/>
  <c r="AI247" i="36"/>
  <c r="Q359" i="36"/>
  <c r="AF359" i="36" s="1"/>
  <c r="AG362" i="36"/>
  <c r="Q383" i="36"/>
  <c r="AF383" i="36" s="1"/>
  <c r="Q384" i="36"/>
  <c r="AF384" i="36" s="1"/>
  <c r="AG390" i="36"/>
  <c r="AI380" i="36"/>
  <c r="AH225" i="36"/>
  <c r="AI225" i="36"/>
  <c r="AI25" i="36"/>
  <c r="AH29" i="36"/>
  <c r="AD28" i="36"/>
  <c r="AD29" i="36"/>
  <c r="AH176" i="36"/>
  <c r="AD175" i="36"/>
  <c r="AD203" i="36"/>
  <c r="AH108" i="36"/>
  <c r="AH161" i="36"/>
  <c r="AD160" i="36"/>
  <c r="AD12" i="36"/>
  <c r="AD58" i="36"/>
  <c r="AD63" i="36"/>
  <c r="AH70" i="36"/>
  <c r="AH77" i="36"/>
  <c r="AD82" i="36"/>
  <c r="AH88" i="36"/>
  <c r="AD87" i="36"/>
  <c r="AD88" i="36"/>
  <c r="AH99" i="36"/>
  <c r="AD98" i="36"/>
  <c r="AD99" i="36"/>
  <c r="AI107" i="36"/>
  <c r="AI108" i="36"/>
  <c r="AD127" i="36"/>
  <c r="AI135" i="36"/>
  <c r="AH143" i="36"/>
  <c r="AH158" i="36"/>
  <c r="AD157" i="36"/>
  <c r="AI160" i="36"/>
  <c r="AD163" i="36"/>
  <c r="AH167" i="36"/>
  <c r="AD166" i="36"/>
  <c r="AD167" i="36"/>
  <c r="AH175" i="36"/>
  <c r="AD174" i="36"/>
  <c r="AI183" i="36"/>
  <c r="AF200" i="36"/>
  <c r="AD231" i="36"/>
  <c r="AD165" i="36"/>
  <c r="AD193" i="36"/>
  <c r="AI194" i="36"/>
  <c r="AD199" i="36"/>
  <c r="AG200" i="36"/>
  <c r="AD207" i="36"/>
  <c r="AF215" i="36"/>
  <c r="AH215" i="36" s="1"/>
  <c r="AD216" i="36"/>
  <c r="AI6" i="36"/>
  <c r="AH7" i="36"/>
  <c r="AH11" i="36"/>
  <c r="AD10" i="36"/>
  <c r="AD11" i="36"/>
  <c r="AD32" i="36"/>
  <c r="AD33" i="36"/>
  <c r="AD34" i="36"/>
  <c r="AD35" i="36"/>
  <c r="AD36" i="36"/>
  <c r="AD37" i="36"/>
  <c r="AD42" i="36"/>
  <c r="AI43" i="36"/>
  <c r="AD54" i="36"/>
  <c r="AD55" i="36"/>
  <c r="AD56" i="36"/>
  <c r="AD74" i="36"/>
  <c r="AD75" i="36"/>
  <c r="AI80" i="36"/>
  <c r="AH81" i="36"/>
  <c r="AH87" i="36"/>
  <c r="AI103" i="36"/>
  <c r="AH107" i="36"/>
  <c r="AI111" i="36"/>
  <c r="AI126" i="36"/>
  <c r="AI130" i="36"/>
  <c r="AH160" i="36"/>
  <c r="AD159" i="36"/>
  <c r="Q204" i="36"/>
  <c r="AF204" i="36" s="1"/>
  <c r="AH204" i="36" s="1"/>
  <c r="AG228" i="36"/>
  <c r="Q228" i="36"/>
  <c r="AD244" i="36"/>
  <c r="AI244" i="36"/>
  <c r="AD53" i="36"/>
  <c r="AD73" i="36"/>
  <c r="AD80" i="36"/>
  <c r="AD96" i="36"/>
  <c r="AD110" i="36"/>
  <c r="AH121" i="36"/>
  <c r="AH126" i="36"/>
  <c r="AD129" i="36"/>
  <c r="AD133" i="36"/>
  <c r="AD138" i="36"/>
  <c r="AD148" i="36"/>
  <c r="AH157" i="36"/>
  <c r="AD156" i="36"/>
  <c r="AH165" i="36"/>
  <c r="AH183" i="36"/>
  <c r="AD182" i="36"/>
  <c r="Q218" i="36"/>
  <c r="AD44" i="36"/>
  <c r="AH112" i="36"/>
  <c r="AH135" i="36"/>
  <c r="AD20" i="36"/>
  <c r="AD24" i="36"/>
  <c r="AI29" i="36"/>
  <c r="AD50" i="36"/>
  <c r="AH49" i="36"/>
  <c r="AD48" i="36"/>
  <c r="AD49" i="36"/>
  <c r="AD57" i="36"/>
  <c r="AH69" i="36"/>
  <c r="AD68" i="36"/>
  <c r="AD81" i="36"/>
  <c r="AD102" i="36"/>
  <c r="AD103" i="36"/>
  <c r="AI104" i="36"/>
  <c r="AH122" i="36"/>
  <c r="AD121" i="36"/>
  <c r="AH127" i="36"/>
  <c r="AD126" i="36"/>
  <c r="AI139" i="36"/>
  <c r="AD15" i="36"/>
  <c r="AD16" i="36"/>
  <c r="AD26" i="36"/>
  <c r="AI30" i="36"/>
  <c r="AI52" i="36"/>
  <c r="AH61" i="36"/>
  <c r="AD60" i="36"/>
  <c r="AI97" i="36"/>
  <c r="AD105" i="36"/>
  <c r="AH106" i="36"/>
  <c r="AD113" i="36"/>
  <c r="AH133" i="36"/>
  <c r="AD132" i="36"/>
  <c r="AH151" i="36"/>
  <c r="AD150" i="36"/>
  <c r="AD151" i="36"/>
  <c r="AH162" i="36"/>
  <c r="AD161" i="36"/>
  <c r="AD173" i="36"/>
  <c r="AD177" i="36"/>
  <c r="AI182" i="36"/>
  <c r="AD201" i="36"/>
  <c r="AD205" i="36"/>
  <c r="AF206" i="36"/>
  <c r="AH206" i="36" s="1"/>
  <c r="AD243" i="36"/>
  <c r="AH244" i="36"/>
  <c r="AH5" i="36"/>
  <c r="AD4" i="36"/>
  <c r="AD71" i="36"/>
  <c r="AH91" i="36"/>
  <c r="AD90" i="36"/>
  <c r="AH109" i="36"/>
  <c r="AD108" i="36"/>
  <c r="AH113" i="36"/>
  <c r="AD112" i="36"/>
  <c r="AI132" i="36"/>
  <c r="AI136" i="36"/>
  <c r="AI141" i="36"/>
  <c r="AI144" i="36"/>
  <c r="AH148" i="36"/>
  <c r="AD147" i="36"/>
  <c r="AH156" i="36"/>
  <c r="AD155" i="36"/>
  <c r="AI156" i="36"/>
  <c r="AH159" i="36"/>
  <c r="AD158" i="36"/>
  <c r="AI161" i="36"/>
  <c r="AI176" i="36"/>
  <c r="AD13" i="36"/>
  <c r="AD45" i="36"/>
  <c r="AD51" i="36"/>
  <c r="AD65" i="36"/>
  <c r="AI70" i="36"/>
  <c r="AH78" i="36"/>
  <c r="AD77" i="36"/>
  <c r="AD78" i="36"/>
  <c r="AI83" i="36"/>
  <c r="AI112" i="36"/>
  <c r="AH116" i="36"/>
  <c r="AD115" i="36"/>
  <c r="AD136" i="36"/>
  <c r="AD140" i="36"/>
  <c r="AI143" i="36"/>
  <c r="AH155" i="36"/>
  <c r="AD154" i="36"/>
  <c r="AD171" i="36"/>
  <c r="AD176" i="36"/>
  <c r="AH182" i="36"/>
  <c r="AD181" i="36"/>
  <c r="AD185" i="36"/>
  <c r="AG211" i="36"/>
  <c r="Q211" i="36"/>
  <c r="AF211" i="36" s="1"/>
  <c r="AG214" i="36"/>
  <c r="AG234" i="36"/>
  <c r="Q234" i="36"/>
  <c r="AF234" i="36" s="1"/>
  <c r="AI240" i="36"/>
  <c r="AG259" i="36"/>
  <c r="Q259" i="36"/>
  <c r="AF259" i="36" s="1"/>
  <c r="AF264" i="36"/>
  <c r="AD284" i="36"/>
  <c r="AI285" i="36"/>
  <c r="AH291" i="36"/>
  <c r="AD290" i="36"/>
  <c r="AI318" i="36"/>
  <c r="AD318" i="36"/>
  <c r="AG346" i="36"/>
  <c r="Q346" i="36"/>
  <c r="AD352" i="36"/>
  <c r="AF369" i="36"/>
  <c r="AG369" i="36"/>
  <c r="AF212" i="36"/>
  <c r="AG215" i="36"/>
  <c r="AG219" i="36"/>
  <c r="Q219" i="36"/>
  <c r="AD226" i="36"/>
  <c r="AF250" i="36"/>
  <c r="AI250" i="36" s="1"/>
  <c r="AG255" i="36"/>
  <c r="Q255" i="36"/>
  <c r="AG256" i="36"/>
  <c r="Q256" i="36"/>
  <c r="AG261" i="36"/>
  <c r="Q261" i="36"/>
  <c r="AH278" i="36"/>
  <c r="AD277" i="36"/>
  <c r="AI290" i="36"/>
  <c r="AI342" i="36"/>
  <c r="AD342" i="36"/>
  <c r="AE362" i="36"/>
  <c r="AI362" i="36"/>
  <c r="AD377" i="36"/>
  <c r="AD276" i="36"/>
  <c r="AI277" i="36"/>
  <c r="AH290" i="36"/>
  <c r="AH325" i="36"/>
  <c r="AD331" i="36"/>
  <c r="AH336" i="36"/>
  <c r="AD335" i="36"/>
  <c r="AG343" i="36"/>
  <c r="Q343" i="36"/>
  <c r="AF343" i="36" s="1"/>
  <c r="AH347" i="36"/>
  <c r="AD346" i="36"/>
  <c r="AG209" i="36"/>
  <c r="Q209" i="36"/>
  <c r="AD210" i="36"/>
  <c r="AD217" i="36"/>
  <c r="AH222" i="36"/>
  <c r="AD224" i="36"/>
  <c r="AG230" i="36"/>
  <c r="Q230" i="36"/>
  <c r="AD237" i="36"/>
  <c r="AD179" i="36"/>
  <c r="AD191" i="36"/>
  <c r="Q199" i="36"/>
  <c r="AF199" i="36" s="1"/>
  <c r="AE199" i="36" s="1"/>
  <c r="Q201" i="36"/>
  <c r="AF201" i="36" s="1"/>
  <c r="AE201" i="36" s="1"/>
  <c r="Q203" i="36"/>
  <c r="AF203" i="36" s="1"/>
  <c r="AE203" i="36" s="1"/>
  <c r="Q207" i="36"/>
  <c r="AF217" i="36"/>
  <c r="AE217" i="36" s="1"/>
  <c r="AI221" i="36"/>
  <c r="AI224" i="36"/>
  <c r="AD227" i="36"/>
  <c r="AI236" i="36"/>
  <c r="AF237" i="36"/>
  <c r="AE237" i="36" s="1"/>
  <c r="AG242" i="36"/>
  <c r="Q242" i="36"/>
  <c r="AD266" i="36"/>
  <c r="AH276" i="36"/>
  <c r="AD275" i="36"/>
  <c r="AH277" i="36"/>
  <c r="AD283" i="36"/>
  <c r="AD292" i="36"/>
  <c r="AH293" i="36"/>
  <c r="AI293" i="36"/>
  <c r="AI294" i="36"/>
  <c r="AD321" i="36"/>
  <c r="Q333" i="36"/>
  <c r="AF333" i="36" s="1"/>
  <c r="AH339" i="36"/>
  <c r="AD338" i="36"/>
  <c r="AI339" i="36"/>
  <c r="AD375" i="36"/>
  <c r="AD190" i="36"/>
  <c r="AD196" i="36"/>
  <c r="AD206" i="36"/>
  <c r="AD214" i="36"/>
  <c r="AD219" i="36"/>
  <c r="AH220" i="36"/>
  <c r="AG226" i="36"/>
  <c r="Q226" i="36"/>
  <c r="AH236" i="36"/>
  <c r="AH262" i="36"/>
  <c r="AD261" i="36"/>
  <c r="AD265" i="36"/>
  <c r="AD267" i="36"/>
  <c r="AD269" i="36"/>
  <c r="AH270" i="36"/>
  <c r="AH275" i="36"/>
  <c r="AD274" i="36"/>
  <c r="AD282" i="36"/>
  <c r="AI283" i="36"/>
  <c r="AH289" i="36"/>
  <c r="AI298" i="36"/>
  <c r="AI311" i="36"/>
  <c r="AI316" i="36"/>
  <c r="AD316" i="36"/>
  <c r="AD324" i="36"/>
  <c r="Q332" i="36"/>
  <c r="AG332" i="36"/>
  <c r="AI347" i="36"/>
  <c r="AD189" i="36"/>
  <c r="AD195" i="36"/>
  <c r="AF213" i="36"/>
  <c r="AI213" i="36" s="1"/>
  <c r="AF227" i="36"/>
  <c r="AG232" i="36"/>
  <c r="Q232" i="36"/>
  <c r="AF238" i="36"/>
  <c r="AG239" i="36"/>
  <c r="Q239" i="36"/>
  <c r="Q243" i="36"/>
  <c r="AH251" i="36"/>
  <c r="AD250" i="36"/>
  <c r="AF263" i="36"/>
  <c r="AH263" i="36" s="1"/>
  <c r="AD271" i="36"/>
  <c r="AD272" i="36"/>
  <c r="AD273" i="36"/>
  <c r="AH282" i="36"/>
  <c r="AI288" i="36"/>
  <c r="AI309" i="36"/>
  <c r="AD309" i="36"/>
  <c r="AD310" i="36"/>
  <c r="AD320" i="36"/>
  <c r="AI341" i="36"/>
  <c r="Q352" i="36"/>
  <c r="AD361" i="36"/>
  <c r="AH362" i="36"/>
  <c r="AF233" i="36"/>
  <c r="AD242" i="36"/>
  <c r="AF269" i="36"/>
  <c r="AH269" i="36" s="1"/>
  <c r="AH288" i="36"/>
  <c r="AD319" i="36"/>
  <c r="AI328" i="36"/>
  <c r="AD328" i="36"/>
  <c r="AD349" i="36"/>
  <c r="AF354" i="36"/>
  <c r="AE354" i="36" s="1"/>
  <c r="AG357" i="36"/>
  <c r="Q357" i="36"/>
  <c r="AF357" i="36" s="1"/>
  <c r="AI357" i="36" s="1"/>
  <c r="AG373" i="36"/>
  <c r="Q373" i="36"/>
  <c r="AF268" i="36"/>
  <c r="AG269" i="36"/>
  <c r="AD279" i="36"/>
  <c r="AI280" i="36"/>
  <c r="AI291" i="36"/>
  <c r="AH323" i="36"/>
  <c r="AH328" i="36"/>
  <c r="AG333" i="36"/>
  <c r="AD340" i="36"/>
  <c r="AG351" i="36"/>
  <c r="Q351" i="36"/>
  <c r="AD360" i="36"/>
  <c r="AI367" i="36"/>
  <c r="AD367" i="36"/>
  <c r="AD376" i="36"/>
  <c r="AD247" i="36"/>
  <c r="AD258" i="36"/>
  <c r="AG260" i="36"/>
  <c r="Q260" i="36"/>
  <c r="AD280" i="36"/>
  <c r="AG331" i="36"/>
  <c r="Q331" i="36"/>
  <c r="AF355" i="36"/>
  <c r="AH367" i="36"/>
  <c r="AD366" i="36"/>
  <c r="AD380" i="36"/>
  <c r="AD399" i="36"/>
  <c r="AH400" i="36"/>
  <c r="AD363" i="36"/>
  <c r="AD370" i="36"/>
  <c r="AD372" i="36"/>
  <c r="AD353" i="36"/>
  <c r="AD365" i="36"/>
  <c r="AH366" i="36"/>
  <c r="AD373" i="36"/>
  <c r="AF246" i="36"/>
  <c r="AE246" i="36" s="1"/>
  <c r="AF257" i="36"/>
  <c r="AI320" i="36"/>
  <c r="AG344" i="36"/>
  <c r="Q344" i="36"/>
  <c r="AD354" i="36"/>
  <c r="AF361" i="36"/>
  <c r="AI361" i="36" s="1"/>
  <c r="AF372" i="36"/>
  <c r="AH372" i="36" s="1"/>
  <c r="AF378" i="36"/>
  <c r="AE378" i="36" s="1"/>
  <c r="AH380" i="36"/>
  <c r="AD379" i="36"/>
  <c r="AG372" i="36"/>
  <c r="AD389" i="36"/>
  <c r="AD307" i="36"/>
  <c r="AH318" i="36"/>
  <c r="AD317" i="36"/>
  <c r="AG321" i="36"/>
  <c r="Q321" i="36"/>
  <c r="AI323" i="36"/>
  <c r="AG348" i="36"/>
  <c r="Q348" i="36"/>
  <c r="AD355" i="36"/>
  <c r="AG365" i="36"/>
  <c r="Q365" i="36"/>
  <c r="AF365" i="36" s="1"/>
  <c r="AD388" i="36"/>
  <c r="AD394" i="36"/>
  <c r="AH395" i="36"/>
  <c r="AI413" i="36"/>
  <c r="AD413" i="36"/>
  <c r="AI419" i="36"/>
  <c r="AD419" i="36"/>
  <c r="AD421" i="36"/>
  <c r="AH422" i="36"/>
  <c r="AI400" i="36"/>
  <c r="AD400" i="36"/>
  <c r="AD403" i="36"/>
  <c r="AI404" i="36"/>
  <c r="AH404" i="36"/>
  <c r="AI282" i="36"/>
  <c r="AG356" i="36"/>
  <c r="Q356" i="36"/>
  <c r="AF360" i="36"/>
  <c r="AI360" i="36" s="1"/>
  <c r="AF364" i="36"/>
  <c r="AH364" i="36" s="1"/>
  <c r="Q370" i="36"/>
  <c r="AF370" i="36" s="1"/>
  <c r="AE370" i="36" s="1"/>
  <c r="AD382" i="36"/>
  <c r="Q385" i="36"/>
  <c r="AD393" i="36"/>
  <c r="AI394" i="36"/>
  <c r="AH394" i="36"/>
  <c r="AD392" i="36"/>
  <c r="AH393" i="36"/>
  <c r="AI418" i="36"/>
  <c r="AD418" i="36"/>
  <c r="AH465" i="36"/>
  <c r="AD464" i="36"/>
  <c r="AE380" i="36"/>
  <c r="AI393" i="36"/>
  <c r="AH415" i="36"/>
  <c r="AD414" i="36"/>
  <c r="AI415" i="36"/>
  <c r="AI423" i="36"/>
  <c r="AD439" i="36"/>
  <c r="AF379" i="36"/>
  <c r="AE379" i="36" s="1"/>
  <c r="AG379" i="36"/>
  <c r="AD381" i="36"/>
  <c r="AH382" i="36"/>
  <c r="AF386" i="36"/>
  <c r="AE386" i="36" s="1"/>
  <c r="AI402" i="36"/>
  <c r="AD402" i="36"/>
  <c r="AI434" i="36"/>
  <c r="AD434" i="36"/>
  <c r="AD385" i="36"/>
  <c r="AF389" i="36"/>
  <c r="AI410" i="36"/>
  <c r="AH459" i="36"/>
  <c r="AD458" i="36"/>
  <c r="AI465" i="36"/>
  <c r="AD465" i="36"/>
  <c r="AH425" i="36"/>
  <c r="AD424" i="36"/>
  <c r="AI435" i="36"/>
  <c r="AD435" i="36"/>
  <c r="AD409" i="36"/>
  <c r="AI425" i="36"/>
  <c r="AD447" i="36"/>
  <c r="AD515" i="36"/>
  <c r="AI548" i="36"/>
  <c r="AD548" i="36"/>
  <c r="AH556" i="36"/>
  <c r="AD556" i="36"/>
  <c r="AD362" i="36"/>
  <c r="AG363" i="36"/>
  <c r="Q363" i="36"/>
  <c r="AD371" i="36"/>
  <c r="AH405" i="36"/>
  <c r="AH423" i="36"/>
  <c r="AD422" i="36"/>
  <c r="AH447" i="36"/>
  <c r="AD446" i="36"/>
  <c r="AH434" i="36"/>
  <c r="AD433" i="36"/>
  <c r="AI446" i="36"/>
  <c r="AH460" i="36"/>
  <c r="AD459" i="36"/>
  <c r="AD304" i="36"/>
  <c r="AI340" i="36"/>
  <c r="AF375" i="36"/>
  <c r="AH375" i="36" s="1"/>
  <c r="AD387" i="36"/>
  <c r="AH411" i="36"/>
  <c r="AH433" i="36"/>
  <c r="AD432" i="36"/>
  <c r="AI411" i="36"/>
  <c r="AH446" i="36"/>
  <c r="AD445" i="36"/>
  <c r="AH464" i="36"/>
  <c r="AD463" i="36"/>
  <c r="AH557" i="36"/>
  <c r="AD557" i="36"/>
  <c r="AI460" i="36"/>
  <c r="AH545" i="36"/>
  <c r="AD545" i="36"/>
  <c r="AH580" i="36"/>
  <c r="AD580" i="36"/>
  <c r="AD369" i="36"/>
  <c r="AF388" i="36"/>
  <c r="AE388" i="36" s="1"/>
  <c r="AD391" i="36"/>
  <c r="AH392" i="36"/>
  <c r="AI392" i="36"/>
  <c r="AI405" i="36"/>
  <c r="AI408" i="36"/>
  <c r="AI420" i="36"/>
  <c r="AI448" i="36"/>
  <c r="AI464" i="36"/>
  <c r="AD477" i="36"/>
  <c r="AD484" i="36"/>
  <c r="AD493" i="36"/>
  <c r="AD500" i="36"/>
  <c r="AI556" i="36"/>
  <c r="AI547" i="36"/>
  <c r="AD547" i="36"/>
  <c r="AI558" i="36"/>
  <c r="AD558" i="36"/>
  <c r="AI459" i="36"/>
  <c r="AH570" i="36"/>
  <c r="AD570" i="36"/>
  <c r="AD540" i="36"/>
  <c r="AI546" i="36"/>
  <c r="AD546" i="36"/>
  <c r="AI549" i="36"/>
  <c r="AH549" i="36"/>
  <c r="AD571" i="36"/>
  <c r="AD581" i="36"/>
  <c r="AH500" i="36"/>
  <c r="AD554" i="36"/>
  <c r="AD555" i="36"/>
  <c r="AD579" i="36"/>
  <c r="AD457" i="36"/>
  <c r="AD553" i="36"/>
  <c r="AD578" i="36"/>
  <c r="AD587" i="36"/>
  <c r="AD588" i="36"/>
  <c r="AD589" i="36"/>
  <c r="AD444" i="36"/>
  <c r="AD454" i="36"/>
  <c r="AD456" i="36"/>
  <c r="AD552" i="36"/>
  <c r="AD565" i="36"/>
  <c r="AD576" i="36"/>
  <c r="AD577" i="36"/>
  <c r="AD585" i="36"/>
  <c r="AD586" i="36"/>
  <c r="AH589" i="36"/>
  <c r="AD451" i="36"/>
  <c r="AD467" i="36"/>
  <c r="AH205" i="36" l="1"/>
  <c r="AI205" i="36"/>
  <c r="AE381" i="36"/>
  <c r="AH353" i="36"/>
  <c r="AE353" i="36"/>
  <c r="AI214" i="36"/>
  <c r="AH381" i="36"/>
  <c r="AH214" i="36"/>
  <c r="AH267" i="36"/>
  <c r="AI267" i="36"/>
  <c r="AI252" i="36"/>
  <c r="AH241" i="36"/>
  <c r="AI241" i="36"/>
  <c r="AE245" i="36"/>
  <c r="AH252" i="36"/>
  <c r="AI376" i="36"/>
  <c r="AH358" i="36"/>
  <c r="AH376" i="36"/>
  <c r="AI358" i="36"/>
  <c r="AE208" i="36"/>
  <c r="AI216" i="36"/>
  <c r="AE248" i="36"/>
  <c r="AE216" i="36"/>
  <c r="AI208" i="36"/>
  <c r="AI248" i="36"/>
  <c r="AH198" i="36"/>
  <c r="AE377" i="36"/>
  <c r="AI198" i="36"/>
  <c r="AE383" i="36"/>
  <c r="AI383" i="36"/>
  <c r="AH383" i="36"/>
  <c r="AH384" i="36"/>
  <c r="AE384" i="36"/>
  <c r="AI384" i="36"/>
  <c r="AE350" i="36"/>
  <c r="AI350" i="36"/>
  <c r="AH350" i="36"/>
  <c r="AE390" i="36"/>
  <c r="AH390" i="36"/>
  <c r="AI390" i="36"/>
  <c r="AE359" i="36"/>
  <c r="AH359" i="36"/>
  <c r="AI359" i="36"/>
  <c r="AH254" i="36"/>
  <c r="AE254" i="36"/>
  <c r="AI254" i="36"/>
  <c r="AH231" i="36"/>
  <c r="AE231" i="36"/>
  <c r="AI231" i="36"/>
  <c r="AH210" i="36"/>
  <c r="AE229" i="36"/>
  <c r="AI377" i="36"/>
  <c r="AI210" i="36"/>
  <c r="AH229" i="36"/>
  <c r="AI378" i="36"/>
  <c r="AI237" i="36"/>
  <c r="AH354" i="36"/>
  <c r="AF344" i="36"/>
  <c r="AE355" i="36"/>
  <c r="AH355" i="36"/>
  <c r="AE357" i="36"/>
  <c r="AH357" i="36"/>
  <c r="AF352" i="36"/>
  <c r="AF207" i="36"/>
  <c r="AI266" i="36"/>
  <c r="AF218" i="36"/>
  <c r="AF209" i="36"/>
  <c r="AH199" i="36"/>
  <c r="AH203" i="36"/>
  <c r="AE365" i="36"/>
  <c r="AI365" i="36"/>
  <c r="AF348" i="36"/>
  <c r="AH371" i="36"/>
  <c r="AI386" i="36"/>
  <c r="AH388" i="36"/>
  <c r="AF321" i="36"/>
  <c r="AF260" i="36"/>
  <c r="AH386" i="36"/>
  <c r="AF356" i="36"/>
  <c r="AI375" i="36"/>
  <c r="AE375" i="36"/>
  <c r="AF363" i="36"/>
  <c r="AE238" i="36"/>
  <c r="AH238" i="36"/>
  <c r="AF256" i="36"/>
  <c r="AH246" i="36"/>
  <c r="AE202" i="36"/>
  <c r="AI202" i="36"/>
  <c r="AH202" i="36"/>
  <c r="AH217" i="36"/>
  <c r="AI388" i="36"/>
  <c r="AF351" i="36"/>
  <c r="AE351" i="36" s="1"/>
  <c r="AI370" i="36"/>
  <c r="AE269" i="36"/>
  <c r="AI269" i="36"/>
  <c r="AE234" i="36"/>
  <c r="AI234" i="36"/>
  <c r="AH234" i="36"/>
  <c r="AF232" i="36"/>
  <c r="AI355" i="36"/>
  <c r="AH343" i="36"/>
  <c r="AE343" i="36"/>
  <c r="AI343" i="36"/>
  <c r="AI238" i="36"/>
  <c r="AI212" i="36"/>
  <c r="AH212" i="36"/>
  <c r="AE212" i="36"/>
  <c r="AF346" i="36"/>
  <c r="AH237" i="36"/>
  <c r="AI199" i="36"/>
  <c r="AE215" i="36"/>
  <c r="AI215" i="36"/>
  <c r="AI372" i="36"/>
  <c r="AE372" i="36"/>
  <c r="AF331" i="36"/>
  <c r="AE268" i="36"/>
  <c r="AI268" i="36"/>
  <c r="AI233" i="36"/>
  <c r="AE233" i="36"/>
  <c r="AH233" i="36"/>
  <c r="AE263" i="36"/>
  <c r="AI263" i="36"/>
  <c r="AF243" i="36"/>
  <c r="AF255" i="36"/>
  <c r="AI264" i="36"/>
  <c r="AE264" i="36"/>
  <c r="AH264" i="36"/>
  <c r="AE211" i="36"/>
  <c r="AI211" i="36"/>
  <c r="AH211" i="36"/>
  <c r="AH201" i="36"/>
  <c r="AD2" i="36"/>
  <c r="AI217" i="36"/>
  <c r="AE259" i="36"/>
  <c r="AI259" i="36"/>
  <c r="AH259" i="36"/>
  <c r="AI227" i="36"/>
  <c r="AE227" i="36"/>
  <c r="AH268" i="36"/>
  <c r="AI371" i="36"/>
  <c r="AF228" i="36"/>
  <c r="AI203" i="36"/>
  <c r="AE389" i="36"/>
  <c r="AH389" i="36"/>
  <c r="AF385" i="36"/>
  <c r="AI364" i="36"/>
  <c r="AE364" i="36"/>
  <c r="AI389" i="36"/>
  <c r="AH365" i="36"/>
  <c r="AH257" i="36"/>
  <c r="AE257" i="36"/>
  <c r="AF373" i="36"/>
  <c r="AI257" i="36"/>
  <c r="AF332" i="36"/>
  <c r="AF226" i="36"/>
  <c r="AH223" i="36"/>
  <c r="AE223" i="36"/>
  <c r="AF219" i="36"/>
  <c r="AI201" i="36"/>
  <c r="AE200" i="36"/>
  <c r="AI200" i="36"/>
  <c r="AH200" i="36"/>
  <c r="AH227" i="36"/>
  <c r="AI354" i="36"/>
  <c r="AH213" i="36"/>
  <c r="AE213" i="36"/>
  <c r="AH266" i="36"/>
  <c r="AF242" i="36"/>
  <c r="AH250" i="36"/>
  <c r="AE250" i="36"/>
  <c r="AH369" i="36"/>
  <c r="AE369" i="36"/>
  <c r="AI369" i="36"/>
  <c r="AH360" i="36"/>
  <c r="AE360" i="36"/>
  <c r="AH361" i="36"/>
  <c r="AE361" i="36"/>
  <c r="AH370" i="36"/>
  <c r="AF239" i="36"/>
  <c r="AF230" i="36"/>
  <c r="AE333" i="36"/>
  <c r="AH333" i="36"/>
  <c r="AH378" i="36"/>
  <c r="AF261" i="36"/>
  <c r="AI246" i="36"/>
  <c r="AE206" i="36"/>
  <c r="AI206" i="36"/>
  <c r="AI223" i="36"/>
  <c r="AE204" i="36"/>
  <c r="AI204" i="36"/>
  <c r="AE232" i="36" l="1"/>
  <c r="AH232" i="36"/>
  <c r="AI232" i="36"/>
  <c r="AE219" i="36"/>
  <c r="AI219" i="36"/>
  <c r="AH219" i="36"/>
  <c r="AI373" i="36"/>
  <c r="AE373" i="36"/>
  <c r="AH373" i="36"/>
  <c r="AE260" i="36"/>
  <c r="AI260" i="36"/>
  <c r="AH260" i="36"/>
  <c r="AI207" i="36"/>
  <c r="AE207" i="36"/>
  <c r="AH207" i="36"/>
  <c r="AE332" i="36"/>
  <c r="AI332" i="36"/>
  <c r="AH332" i="36"/>
  <c r="AE239" i="36"/>
  <c r="AH239" i="36"/>
  <c r="AI239" i="36"/>
  <c r="AE363" i="36"/>
  <c r="AH363" i="36"/>
  <c r="AI363" i="36"/>
  <c r="AE352" i="36"/>
  <c r="AH352" i="36"/>
  <c r="AI352" i="36"/>
  <c r="AI261" i="36"/>
  <c r="AE261" i="36"/>
  <c r="AH261" i="36"/>
  <c r="AE230" i="36"/>
  <c r="AI230" i="36"/>
  <c r="AH230" i="36"/>
  <c r="AE228" i="36"/>
  <c r="AH228" i="36"/>
  <c r="AI228" i="36"/>
  <c r="AE321" i="36"/>
  <c r="AI321" i="36"/>
  <c r="AH321" i="36"/>
  <c r="AE385" i="36"/>
  <c r="AI385" i="36"/>
  <c r="AH385" i="36"/>
  <c r="AE226" i="36"/>
  <c r="AH226" i="36"/>
  <c r="AI226" i="36"/>
  <c r="AE255" i="36"/>
  <c r="AH255" i="36"/>
  <c r="AI255" i="36"/>
  <c r="AH242" i="36"/>
  <c r="AE242" i="36"/>
  <c r="AI242" i="36"/>
  <c r="AE243" i="36"/>
  <c r="AH243" i="36"/>
  <c r="AI243" i="36"/>
  <c r="AE346" i="36"/>
  <c r="AH346" i="36"/>
  <c r="AI346" i="36"/>
  <c r="AE256" i="36"/>
  <c r="AI256" i="36"/>
  <c r="AH256" i="36"/>
  <c r="AE356" i="36"/>
  <c r="AI356" i="36"/>
  <c r="AH356" i="36"/>
  <c r="AH209" i="36"/>
  <c r="AE209" i="36"/>
  <c r="AI209" i="36"/>
  <c r="AE218" i="36"/>
  <c r="AI218" i="36"/>
  <c r="AH218" i="36"/>
  <c r="AE331" i="36"/>
  <c r="AH331" i="36"/>
  <c r="AI331" i="36"/>
  <c r="AE348" i="36"/>
  <c r="AI348" i="36"/>
  <c r="AH348" i="36"/>
  <c r="AH344" i="36"/>
  <c r="AE344" i="36"/>
  <c r="AI344" i="36"/>
  <c r="T6" i="33" l="1" a="1"/>
  <c r="T6" i="33" s="1"/>
  <c r="U7" i="33" l="1"/>
  <c r="U8" i="33"/>
  <c r="U9" i="33"/>
  <c r="K68" i="33"/>
  <c r="L68" i="33" s="1"/>
  <c r="U10" i="33" l="1"/>
  <c r="O3" i="33" l="1"/>
  <c r="O4" i="33"/>
  <c r="O5" i="33"/>
  <c r="O6" i="33"/>
  <c r="O7" i="33"/>
  <c r="O8" i="33"/>
  <c r="O9" i="33"/>
  <c r="O10" i="33"/>
  <c r="O11" i="33"/>
  <c r="O12" i="33"/>
  <c r="O13" i="33"/>
  <c r="O14" i="33"/>
  <c r="O15" i="33"/>
  <c r="O16" i="33"/>
  <c r="O17" i="33"/>
  <c r="O18" i="33"/>
  <c r="O19" i="33"/>
  <c r="O20" i="33"/>
  <c r="O21" i="33"/>
  <c r="O22" i="33"/>
  <c r="O23" i="33"/>
  <c r="O24" i="33"/>
  <c r="O25" i="33"/>
  <c r="O26" i="33"/>
  <c r="O27" i="33"/>
  <c r="O28" i="33"/>
  <c r="O29" i="33"/>
  <c r="O30" i="33"/>
  <c r="O2" i="33"/>
  <c r="N3" i="33"/>
  <c r="N4" i="33"/>
  <c r="N5" i="33"/>
  <c r="N6" i="33"/>
  <c r="N7" i="33"/>
  <c r="N8" i="33"/>
  <c r="N9" i="33"/>
  <c r="N10" i="33"/>
  <c r="N11" i="33"/>
  <c r="N12" i="33"/>
  <c r="N13" i="33"/>
  <c r="N14" i="33"/>
  <c r="N15" i="33"/>
  <c r="N16" i="33"/>
  <c r="N17" i="33"/>
  <c r="N18" i="33"/>
  <c r="N19" i="33"/>
  <c r="N20" i="33"/>
  <c r="N21" i="33"/>
  <c r="N22" i="33"/>
  <c r="N23" i="33"/>
  <c r="N24" i="33"/>
  <c r="N25" i="33"/>
  <c r="N26" i="33"/>
  <c r="N27" i="33"/>
  <c r="N28" i="33"/>
  <c r="N29" i="33"/>
  <c r="N30" i="33"/>
  <c r="N2" i="33"/>
  <c r="P12" i="33"/>
  <c r="P7" i="33"/>
  <c r="P16" i="33"/>
  <c r="P15" i="33"/>
  <c r="P5" i="33"/>
  <c r="P4" i="33"/>
  <c r="P3" i="33"/>
  <c r="P2" i="33"/>
  <c r="P25" i="33"/>
  <c r="P24" i="33"/>
  <c r="P14" i="33"/>
  <c r="P30" i="33"/>
  <c r="P29" i="33"/>
  <c r="O31" i="33" l="1"/>
  <c r="N31" i="33"/>
  <c r="L32" i="33"/>
  <c r="V7" i="33"/>
  <c r="V8" i="33"/>
  <c r="V9" i="33"/>
  <c r="V10" i="33" l="1"/>
  <c r="P6" i="33"/>
  <c r="P8" i="33"/>
  <c r="P9" i="33"/>
  <c r="P10" i="33"/>
  <c r="P11" i="33"/>
  <c r="P13" i="33"/>
  <c r="P17" i="33"/>
  <c r="P18" i="33"/>
  <c r="P19" i="33"/>
  <c r="P20" i="33"/>
  <c r="P21" i="33"/>
  <c r="P22" i="33"/>
  <c r="P26" i="33"/>
  <c r="P27" i="33"/>
  <c r="P28" i="33"/>
  <c r="P23" i="33"/>
  <c r="P31" i="33" l="1"/>
  <c r="C34" i="30" l="1"/>
  <c r="B34" i="30"/>
  <c r="AP26" i="7" l="1"/>
  <c r="H40" i="7"/>
  <c r="AN40" i="7" l="1"/>
  <c r="AO40" i="7"/>
  <c r="X40" i="7" a="1"/>
  <c r="X40" i="7" s="1"/>
  <c r="W40" i="7" a="1"/>
  <c r="W40" i="7" s="1"/>
  <c r="AC40" i="7"/>
  <c r="AB40" i="7"/>
  <c r="AM40" i="7"/>
  <c r="AD40" i="7"/>
  <c r="K40" i="7" l="1"/>
  <c r="Z40" i="7"/>
  <c r="AF40" i="7"/>
  <c r="K3" i="7"/>
  <c r="Z3" i="7"/>
  <c r="AF3" i="7"/>
  <c r="K26" i="7"/>
  <c r="AF26" i="7"/>
  <c r="AH3" i="7" l="1"/>
  <c r="AK3" i="7"/>
  <c r="AH40" i="7"/>
  <c r="AK40" i="7"/>
  <c r="Y3" i="7" a="1"/>
  <c r="Y3" i="7" s="1"/>
  <c r="AQ40" i="7"/>
  <c r="AR40" i="7" s="1"/>
  <c r="Y40" i="7" a="1"/>
  <c r="Y40" i="7" s="1"/>
  <c r="AQ3" i="7"/>
  <c r="AR3" i="7" s="1"/>
  <c r="AP3" i="7"/>
  <c r="AS3" i="7"/>
  <c r="AP40" i="7"/>
  <c r="AS40" i="7"/>
  <c r="I82" i="25" l="1"/>
  <c r="I81" i="25"/>
  <c r="I80" i="25"/>
  <c r="I79" i="25"/>
  <c r="I78" i="25"/>
  <c r="I76" i="25"/>
  <c r="I77" i="25"/>
  <c r="I75" i="25"/>
  <c r="I74" i="25"/>
  <c r="I73" i="25"/>
  <c r="I72" i="25"/>
  <c r="I71" i="25"/>
  <c r="I70" i="25"/>
  <c r="I69" i="25"/>
  <c r="I68" i="25"/>
  <c r="I67" i="25"/>
  <c r="I66" i="25"/>
  <c r="I63" i="25"/>
  <c r="I65" i="25"/>
  <c r="I64" i="25"/>
  <c r="I62" i="25"/>
  <c r="I61" i="25"/>
  <c r="I60" i="25"/>
  <c r="I59" i="25"/>
  <c r="I58" i="25"/>
  <c r="I57" i="25"/>
  <c r="I56" i="25" l="1"/>
  <c r="F2" i="44" l="1"/>
  <c r="L2" i="23" l="1" a="1"/>
  <c r="L2" i="23" s="1"/>
  <c r="F3" i="44"/>
  <c r="BA2" i="10" l="1" a="1"/>
  <c r="BA2" i="10" l="1"/>
  <c r="BB2" i="10" s="1" a="1"/>
  <c r="BB2" i="10" l="1"/>
  <c r="H4" i="7" l="1"/>
  <c r="AN4" i="7" l="1"/>
  <c r="AO4" i="7"/>
  <c r="W4" i="7" a="1"/>
  <c r="W4" i="7" s="1"/>
  <c r="X4" i="7" a="1"/>
  <c r="X4" i="7" s="1"/>
  <c r="AC4" i="7"/>
  <c r="AB4" i="7"/>
  <c r="AM4" i="7"/>
  <c r="AD4" i="7" l="1"/>
  <c r="Z7" i="7"/>
  <c r="Z111" i="7"/>
  <c r="AK111" i="7" l="1"/>
  <c r="AK7" i="7"/>
  <c r="Y111" i="7" a="1"/>
  <c r="Y111" i="7" s="1"/>
  <c r="AH111" i="7"/>
  <c r="Y7" i="7" a="1"/>
  <c r="Y7" i="7" s="1"/>
  <c r="AH7" i="7"/>
  <c r="AQ7" i="7"/>
  <c r="AR7" i="7" s="1"/>
  <c r="AQ111" i="7"/>
  <c r="AR111" i="7" s="1"/>
  <c r="AP111" i="7"/>
  <c r="AS111" i="7"/>
  <c r="AP7" i="7"/>
  <c r="AS7" i="7"/>
  <c r="C7" i="7" l="1"/>
  <c r="H42" i="7" l="1"/>
  <c r="K42" i="7"/>
  <c r="AW2" i="10" a="1"/>
  <c r="AW2" i="10" s="1"/>
  <c r="AR3" i="10"/>
  <c r="AR4" i="10"/>
  <c r="AR5" i="10"/>
  <c r="AR6" i="10"/>
  <c r="AR7" i="10"/>
  <c r="AR8" i="10"/>
  <c r="AR9" i="10"/>
  <c r="AR10" i="10"/>
  <c r="AR11" i="10"/>
  <c r="AR12" i="10"/>
  <c r="AR13" i="10"/>
  <c r="AR14" i="10"/>
  <c r="AR15" i="10"/>
  <c r="AR16" i="10"/>
  <c r="AR17" i="10"/>
  <c r="AR18" i="10"/>
  <c r="AR19" i="10"/>
  <c r="AR20" i="10"/>
  <c r="AR21" i="10"/>
  <c r="AR22" i="10"/>
  <c r="AR23" i="10"/>
  <c r="AR24" i="10"/>
  <c r="AR25" i="10"/>
  <c r="AR26" i="10"/>
  <c r="AR27" i="10"/>
  <c r="AR28" i="10"/>
  <c r="AR29" i="10"/>
  <c r="AR30" i="10"/>
  <c r="AR31" i="10"/>
  <c r="AR32" i="10"/>
  <c r="AR33" i="10"/>
  <c r="AR2" i="10"/>
  <c r="AD2" i="10" a="1"/>
  <c r="AD2" i="10" s="1"/>
  <c r="AO42" i="7" l="1"/>
  <c r="AN42" i="7"/>
  <c r="X42" i="7" a="1"/>
  <c r="X42" i="7" s="1"/>
  <c r="W42" i="7" a="1"/>
  <c r="W42" i="7" s="1"/>
  <c r="AC42" i="7"/>
  <c r="AB42" i="7"/>
  <c r="AM42" i="7"/>
  <c r="Z42" i="7"/>
  <c r="AF42" i="7"/>
  <c r="AS2" i="10" a="1"/>
  <c r="AK42" i="7" l="1"/>
  <c r="Y42" i="7" a="1"/>
  <c r="Y42" i="7" s="1"/>
  <c r="AH42" i="7"/>
  <c r="AQ42" i="7"/>
  <c r="AR42" i="7" s="1"/>
  <c r="AD42" i="7"/>
  <c r="AP42" i="7"/>
  <c r="AS42" i="7"/>
  <c r="AS2" i="10"/>
  <c r="AM2" i="10" l="1"/>
  <c r="AM3" i="10"/>
  <c r="AM4" i="10"/>
  <c r="AM5" i="10"/>
  <c r="AM6" i="10"/>
  <c r="AM7" i="10"/>
  <c r="AM8" i="10"/>
  <c r="AM9" i="10"/>
  <c r="AM10" i="10"/>
  <c r="AM11" i="10"/>
  <c r="AM12" i="10"/>
  <c r="AM13" i="10"/>
  <c r="AM14" i="10"/>
  <c r="AM15" i="10"/>
  <c r="AM16" i="10"/>
  <c r="AM17" i="10"/>
  <c r="AM18" i="10"/>
  <c r="AM19" i="10"/>
  <c r="AM20" i="10"/>
  <c r="AM21" i="10"/>
  <c r="AM22" i="10"/>
  <c r="AM23" i="10"/>
  <c r="AM24" i="10"/>
  <c r="AM25" i="10"/>
  <c r="AM1" i="10"/>
  <c r="AJ1" i="10" a="1"/>
  <c r="AJ1" i="10" s="1"/>
  <c r="X2" i="10" a="1"/>
  <c r="X2" i="10" s="1"/>
  <c r="AR4" i="9" l="1"/>
  <c r="AR5" i="9"/>
  <c r="AR6" i="9"/>
  <c r="AR3" i="9"/>
  <c r="AF111" i="7" l="1"/>
  <c r="J2" i="10" l="1" a="1"/>
  <c r="J2" i="10" s="1"/>
  <c r="I2" i="10" a="1"/>
  <c r="I2" i="10" s="1"/>
  <c r="H62" i="7" l="1"/>
  <c r="K62" i="7"/>
  <c r="AN62" i="7" l="1"/>
  <c r="AO62" i="7"/>
  <c r="X62" i="7" a="1"/>
  <c r="X62" i="7" s="1"/>
  <c r="W62" i="7" a="1"/>
  <c r="W62" i="7" s="1"/>
  <c r="AC62" i="7"/>
  <c r="AB62" i="7"/>
  <c r="AM62" i="7"/>
  <c r="Z62" i="7"/>
  <c r="AF62" i="7"/>
  <c r="AK62" i="7" l="1"/>
  <c r="Y62" i="7" a="1"/>
  <c r="Y62" i="7" s="1"/>
  <c r="AH62" i="7"/>
  <c r="AQ62" i="7"/>
  <c r="AR62" i="7" s="1"/>
  <c r="AD62" i="7"/>
  <c r="AP62" i="7"/>
  <c r="AS62" i="7"/>
  <c r="E2" i="12" a="1"/>
  <c r="E2" i="12" s="1"/>
  <c r="D2" i="12" a="1"/>
  <c r="D2" i="12" s="1"/>
  <c r="H35" i="7" l="1"/>
  <c r="H34" i="7"/>
  <c r="H31" i="7"/>
  <c r="H33" i="7"/>
  <c r="H32" i="7"/>
  <c r="H20" i="7"/>
  <c r="H19" i="7"/>
  <c r="H18" i="7"/>
  <c r="H17" i="7"/>
  <c r="H16" i="7"/>
  <c r="H15" i="7"/>
  <c r="AN18" i="7" l="1"/>
  <c r="AO18" i="7"/>
  <c r="AO20" i="7"/>
  <c r="AN32" i="7"/>
  <c r="AO32" i="7"/>
  <c r="AN33" i="7"/>
  <c r="AO33" i="7"/>
  <c r="AO15" i="7"/>
  <c r="AN15" i="7"/>
  <c r="AO31" i="7"/>
  <c r="AN31" i="7"/>
  <c r="AN16" i="7"/>
  <c r="AO16" i="7"/>
  <c r="AO34" i="7"/>
  <c r="AO19" i="7"/>
  <c r="AN19" i="7"/>
  <c r="AN17" i="7"/>
  <c r="AO17" i="7"/>
  <c r="AN35" i="7"/>
  <c r="AO35" i="7"/>
  <c r="W18" i="7" a="1"/>
  <c r="W18" i="7" s="1"/>
  <c r="X18" i="7" a="1"/>
  <c r="X18" i="7" s="1"/>
  <c r="I18" i="7"/>
  <c r="AA18" i="7" s="1"/>
  <c r="W20" i="7" a="1"/>
  <c r="W20" i="7" s="1"/>
  <c r="X20" i="7" a="1"/>
  <c r="X20" i="7" s="1"/>
  <c r="X32" i="7" a="1"/>
  <c r="X32" i="7" s="1"/>
  <c r="W32" i="7" a="1"/>
  <c r="W32" i="7" s="1"/>
  <c r="W19" i="7" a="1"/>
  <c r="W19" i="7" s="1"/>
  <c r="X19" i="7" a="1"/>
  <c r="X19" i="7" s="1"/>
  <c r="W33" i="7" a="1"/>
  <c r="W33" i="7" s="1"/>
  <c r="X33" i="7" a="1"/>
  <c r="X33" i="7" s="1"/>
  <c r="X15" i="7" a="1"/>
  <c r="X15" i="7" s="1"/>
  <c r="W15" i="7" a="1"/>
  <c r="W15" i="7" s="1"/>
  <c r="W31" i="7" a="1"/>
  <c r="W31" i="7" s="1"/>
  <c r="X31" i="7" a="1"/>
  <c r="X31" i="7" s="1"/>
  <c r="X16" i="7" a="1"/>
  <c r="X16" i="7" s="1"/>
  <c r="W16" i="7" a="1"/>
  <c r="W16" i="7" s="1"/>
  <c r="X34" i="7" a="1"/>
  <c r="X34" i="7" s="1"/>
  <c r="W34" i="7" a="1"/>
  <c r="W34" i="7" s="1"/>
  <c r="W17" i="7" a="1"/>
  <c r="W17" i="7" s="1"/>
  <c r="X17" i="7" a="1"/>
  <c r="X17" i="7" s="1"/>
  <c r="X35" i="7" a="1"/>
  <c r="X35" i="7" s="1"/>
  <c r="W35" i="7" a="1"/>
  <c r="W35" i="7" s="1"/>
  <c r="AC16" i="7"/>
  <c r="AB16" i="7"/>
  <c r="AC33" i="7"/>
  <c r="AB33" i="7"/>
  <c r="AC31" i="7"/>
  <c r="AB31" i="7"/>
  <c r="AC34" i="7"/>
  <c r="AB34" i="7"/>
  <c r="AC35" i="7"/>
  <c r="AB35" i="7"/>
  <c r="AC15" i="7"/>
  <c r="AB15" i="7"/>
  <c r="AC18" i="7"/>
  <c r="AD18" i="7" s="1"/>
  <c r="AB18" i="7"/>
  <c r="AC19" i="7"/>
  <c r="AB19" i="7"/>
  <c r="AC20" i="7"/>
  <c r="AB20" i="7"/>
  <c r="AC17" i="7"/>
  <c r="AB17" i="7"/>
  <c r="AC32" i="7"/>
  <c r="AB32" i="7"/>
  <c r="AM15" i="7"/>
  <c r="AM33" i="7"/>
  <c r="AM34" i="7"/>
  <c r="AM35" i="7"/>
  <c r="AM18" i="7"/>
  <c r="AM31" i="7"/>
  <c r="AM19" i="7"/>
  <c r="AM16" i="7"/>
  <c r="AM20" i="7"/>
  <c r="AM17" i="7"/>
  <c r="AM32" i="7"/>
  <c r="Z32" i="7"/>
  <c r="Z15" i="7"/>
  <c r="Z18" i="7"/>
  <c r="Z19" i="7"/>
  <c r="Z20" i="7"/>
  <c r="Z16" i="7"/>
  <c r="Z34" i="7"/>
  <c r="Z33" i="7"/>
  <c r="Z31" i="7"/>
  <c r="Z17" i="7"/>
  <c r="Z35" i="7"/>
  <c r="AF19" i="7"/>
  <c r="AF20" i="7"/>
  <c r="AF32" i="7"/>
  <c r="AF33" i="7"/>
  <c r="AF15" i="7"/>
  <c r="AF31" i="7"/>
  <c r="AF18" i="7"/>
  <c r="AF34" i="7"/>
  <c r="AF16" i="7"/>
  <c r="AF17" i="7"/>
  <c r="AF35" i="7"/>
  <c r="H13" i="7"/>
  <c r="H14" i="7"/>
  <c r="H8" i="7"/>
  <c r="H6" i="7"/>
  <c r="H64" i="7"/>
  <c r="H63" i="7"/>
  <c r="H66" i="7"/>
  <c r="H73" i="7"/>
  <c r="H74" i="7"/>
  <c r="H78" i="7"/>
  <c r="H79" i="7"/>
  <c r="H85" i="7"/>
  <c r="H100" i="7"/>
  <c r="H99" i="7"/>
  <c r="H106" i="7"/>
  <c r="H105" i="7"/>
  <c r="AK16" i="7" l="1"/>
  <c r="AK19" i="7"/>
  <c r="AK35" i="7"/>
  <c r="AK18" i="7"/>
  <c r="AK17" i="7"/>
  <c r="AK15" i="7"/>
  <c r="AK33" i="7"/>
  <c r="AK31" i="7"/>
  <c r="AK32" i="7"/>
  <c r="AK34" i="7"/>
  <c r="AK20" i="7"/>
  <c r="Y33" i="7" a="1"/>
  <c r="Y33" i="7" s="1"/>
  <c r="AH33" i="7"/>
  <c r="Y20" i="7" a="1"/>
  <c r="Y20" i="7" s="1"/>
  <c r="AH20" i="7"/>
  <c r="Y35" i="7" a="1"/>
  <c r="Y35" i="7" s="1"/>
  <c r="AH35" i="7"/>
  <c r="Y18" i="7" a="1"/>
  <c r="Y18" i="7" s="1"/>
  <c r="AH18" i="7"/>
  <c r="Y19" i="7" a="1"/>
  <c r="Y19" i="7" s="1"/>
  <c r="AH19" i="7"/>
  <c r="Y34" i="7" a="1"/>
  <c r="Y34" i="7" s="1"/>
  <c r="AH34" i="7"/>
  <c r="Y17" i="7" a="1"/>
  <c r="Y17" i="7" s="1"/>
  <c r="AH17" i="7"/>
  <c r="Y15" i="7" a="1"/>
  <c r="Y15" i="7" s="1"/>
  <c r="AH15" i="7"/>
  <c r="Y31" i="7" a="1"/>
  <c r="Y31" i="7" s="1"/>
  <c r="AH31" i="7"/>
  <c r="Y32" i="7" a="1"/>
  <c r="Y32" i="7" s="1"/>
  <c r="AH32" i="7"/>
  <c r="Y16" i="7" a="1"/>
  <c r="Y16" i="7" s="1"/>
  <c r="AH16" i="7"/>
  <c r="AD20" i="7"/>
  <c r="AL18" i="7"/>
  <c r="AQ34" i="7"/>
  <c r="AR34" i="7" s="1"/>
  <c r="AQ20" i="7"/>
  <c r="AR20" i="7" s="1"/>
  <c r="AQ19" i="7"/>
  <c r="AR19" i="7" s="1"/>
  <c r="AQ33" i="7"/>
  <c r="AR33" i="7" s="1"/>
  <c r="AQ35" i="7"/>
  <c r="AR35" i="7" s="1"/>
  <c r="AQ18" i="7"/>
  <c r="AR18" i="7" s="1"/>
  <c r="AQ17" i="7"/>
  <c r="AR17" i="7" s="1"/>
  <c r="AQ15" i="7"/>
  <c r="AR15" i="7" s="1"/>
  <c r="AQ16" i="7"/>
  <c r="AR16" i="7" s="1"/>
  <c r="AQ31" i="7"/>
  <c r="AR31" i="7" s="1"/>
  <c r="AQ32" i="7"/>
  <c r="AR32" i="7" s="1"/>
  <c r="AN74" i="7"/>
  <c r="AO74" i="7"/>
  <c r="AO13" i="7"/>
  <c r="AN106" i="7"/>
  <c r="AO106" i="7"/>
  <c r="AO66" i="7"/>
  <c r="AN100" i="7"/>
  <c r="AO100" i="7"/>
  <c r="AO64" i="7"/>
  <c r="AN64" i="7"/>
  <c r="AN105" i="7"/>
  <c r="AO105" i="7"/>
  <c r="AO73" i="7"/>
  <c r="AN73" i="7"/>
  <c r="AN6" i="7"/>
  <c r="AO6" i="7"/>
  <c r="AO85" i="7"/>
  <c r="AN79" i="7"/>
  <c r="AO79" i="7"/>
  <c r="AN8" i="7"/>
  <c r="AO8" i="7"/>
  <c r="AN99" i="7"/>
  <c r="AO99" i="7"/>
  <c r="AN63" i="7"/>
  <c r="AO63" i="7"/>
  <c r="AN78" i="7"/>
  <c r="AO78" i="7"/>
  <c r="AO14" i="7"/>
  <c r="X79" i="7" a="1"/>
  <c r="X79" i="7" s="1"/>
  <c r="W79" i="7" a="1"/>
  <c r="W79" i="7" s="1"/>
  <c r="X8" i="7" a="1"/>
  <c r="X8" i="7" s="1"/>
  <c r="W8" i="7" a="1"/>
  <c r="W8" i="7" s="1"/>
  <c r="W78" i="7" a="1"/>
  <c r="W78" i="7" s="1"/>
  <c r="X78" i="7" a="1"/>
  <c r="X78" i="7" s="1"/>
  <c r="W14" i="7" a="1"/>
  <c r="W14" i="7" s="1"/>
  <c r="X14" i="7" a="1"/>
  <c r="X14" i="7" s="1"/>
  <c r="X74" i="7" a="1"/>
  <c r="X74" i="7" s="1"/>
  <c r="W74" i="7" a="1"/>
  <c r="W74" i="7" s="1"/>
  <c r="W13" i="7" a="1"/>
  <c r="W13" i="7" s="1"/>
  <c r="X13" i="7" a="1"/>
  <c r="X13" i="7" s="1"/>
  <c r="X99" i="7" a="1"/>
  <c r="X99" i="7" s="1"/>
  <c r="W99" i="7" a="1"/>
  <c r="W99" i="7" s="1"/>
  <c r="W63" i="7" a="1"/>
  <c r="W63" i="7" s="1"/>
  <c r="X63" i="7" a="1"/>
  <c r="X63" i="7" s="1"/>
  <c r="X100" i="7" a="1"/>
  <c r="X100" i="7" s="1"/>
  <c r="W100" i="7" a="1"/>
  <c r="W100" i="7" s="1"/>
  <c r="W64" i="7" a="1"/>
  <c r="W64" i="7" s="1"/>
  <c r="X64" i="7" a="1"/>
  <c r="X64" i="7" s="1"/>
  <c r="X85" i="7" a="1"/>
  <c r="X85" i="7" s="1"/>
  <c r="W85" i="7" a="1"/>
  <c r="W85" i="7" s="1"/>
  <c r="X6" i="7" a="1"/>
  <c r="X6" i="7" s="1"/>
  <c r="W6" i="7" a="1"/>
  <c r="W6" i="7" s="1"/>
  <c r="X105" i="7" a="1"/>
  <c r="X105" i="7" s="1"/>
  <c r="I105" i="7"/>
  <c r="AA105" i="7" s="1"/>
  <c r="W105" i="7" a="1"/>
  <c r="W105" i="7" s="1"/>
  <c r="X73" i="7" a="1"/>
  <c r="X73" i="7" s="1"/>
  <c r="I73" i="7"/>
  <c r="AA73" i="7" s="1"/>
  <c r="W73" i="7" a="1"/>
  <c r="W73" i="7" s="1"/>
  <c r="X106" i="7" a="1"/>
  <c r="X106" i="7" s="1"/>
  <c r="W106" i="7" a="1"/>
  <c r="W106" i="7" s="1"/>
  <c r="X66" i="7" a="1"/>
  <c r="X66" i="7" s="1"/>
  <c r="W66" i="7" a="1"/>
  <c r="W66" i="7" s="1"/>
  <c r="AD34" i="7"/>
  <c r="AD31" i="7"/>
  <c r="AD19" i="7"/>
  <c r="AD32" i="7"/>
  <c r="AD15" i="7"/>
  <c r="AD33" i="7"/>
  <c r="AD17" i="7"/>
  <c r="AD35" i="7"/>
  <c r="AD16" i="7"/>
  <c r="AJ18" i="7"/>
  <c r="AC85" i="7"/>
  <c r="AD85" i="7" s="1"/>
  <c r="AB85" i="7"/>
  <c r="AC6" i="7"/>
  <c r="AB6" i="7"/>
  <c r="AC66" i="7"/>
  <c r="AB66" i="7"/>
  <c r="AC79" i="7"/>
  <c r="AB79" i="7"/>
  <c r="AC8" i="7"/>
  <c r="AB8" i="7"/>
  <c r="AC78" i="7"/>
  <c r="AB78" i="7"/>
  <c r="AC14" i="7"/>
  <c r="AB14" i="7"/>
  <c r="AC74" i="7"/>
  <c r="AB74" i="7"/>
  <c r="AC13" i="7"/>
  <c r="AB13" i="7"/>
  <c r="AC105" i="7"/>
  <c r="AD105" i="7" s="1"/>
  <c r="AB105" i="7"/>
  <c r="AC73" i="7"/>
  <c r="AD73" i="7" s="1"/>
  <c r="AB73" i="7"/>
  <c r="AC106" i="7"/>
  <c r="AB106" i="7"/>
  <c r="AC99" i="7"/>
  <c r="AB99" i="7"/>
  <c r="AC63" i="7"/>
  <c r="AB63" i="7"/>
  <c r="AC100" i="7"/>
  <c r="AB100" i="7"/>
  <c r="AC64" i="7"/>
  <c r="AB64" i="7"/>
  <c r="AM63" i="7"/>
  <c r="AM78" i="7"/>
  <c r="AM14" i="7"/>
  <c r="AM105" i="7"/>
  <c r="AM73" i="7"/>
  <c r="AM74" i="7"/>
  <c r="AM13" i="7"/>
  <c r="AM106" i="7"/>
  <c r="AM66" i="7"/>
  <c r="AM99" i="7"/>
  <c r="AM85" i="7"/>
  <c r="AM6" i="7"/>
  <c r="AM100" i="7"/>
  <c r="AM64" i="7"/>
  <c r="AM79" i="7"/>
  <c r="AM8" i="7"/>
  <c r="AP31" i="7"/>
  <c r="AS31" i="7"/>
  <c r="AP19" i="7"/>
  <c r="AS19" i="7"/>
  <c r="AP33" i="7"/>
  <c r="AS33" i="7"/>
  <c r="AP18" i="7"/>
  <c r="AS18" i="7"/>
  <c r="AP34" i="7"/>
  <c r="AS34" i="7"/>
  <c r="AP35" i="7"/>
  <c r="AS35" i="7"/>
  <c r="AP15" i="7"/>
  <c r="AS15" i="7"/>
  <c r="AP16" i="7"/>
  <c r="AS16" i="7"/>
  <c r="AP17" i="7"/>
  <c r="AS17" i="7"/>
  <c r="AP20" i="7"/>
  <c r="AS20" i="7"/>
  <c r="AP32" i="7"/>
  <c r="AS32" i="7"/>
  <c r="Z106" i="7"/>
  <c r="Z66" i="7"/>
  <c r="Z100" i="7"/>
  <c r="Z64" i="7"/>
  <c r="Z85" i="7"/>
  <c r="Z6" i="7"/>
  <c r="Z79" i="7"/>
  <c r="Z8" i="7"/>
  <c r="Z105" i="7"/>
  <c r="Z73" i="7"/>
  <c r="Z99" i="7"/>
  <c r="Z63" i="7"/>
  <c r="Z78" i="7"/>
  <c r="Z14" i="7"/>
  <c r="Z74" i="7"/>
  <c r="Z13" i="7"/>
  <c r="AI18" i="7"/>
  <c r="AF79" i="7"/>
  <c r="AF7" i="7"/>
  <c r="AF78" i="7"/>
  <c r="AF8" i="7"/>
  <c r="AF105" i="7"/>
  <c r="AF73" i="7"/>
  <c r="AF13" i="7"/>
  <c r="AF74" i="7"/>
  <c r="AF14" i="7"/>
  <c r="AF106" i="7"/>
  <c r="AF66" i="7"/>
  <c r="AF99" i="7"/>
  <c r="AF63" i="7"/>
  <c r="AF100" i="7"/>
  <c r="AF64" i="7"/>
  <c r="AF85" i="7"/>
  <c r="AF6" i="7"/>
  <c r="H112" i="7"/>
  <c r="H113" i="7"/>
  <c r="H114" i="7"/>
  <c r="H107" i="7"/>
  <c r="H101" i="7"/>
  <c r="H104" i="7"/>
  <c r="H102" i="7"/>
  <c r="H103" i="7"/>
  <c r="H98" i="7"/>
  <c r="H97" i="7"/>
  <c r="H96" i="7"/>
  <c r="H95" i="7"/>
  <c r="H72" i="7"/>
  <c r="H71" i="7"/>
  <c r="H69" i="7"/>
  <c r="H68" i="7"/>
  <c r="H67" i="7"/>
  <c r="H45" i="7"/>
  <c r="H77" i="7"/>
  <c r="H76" i="7"/>
  <c r="H75" i="7"/>
  <c r="H110" i="7"/>
  <c r="H109" i="7"/>
  <c r="H108" i="7"/>
  <c r="AK106" i="7" l="1"/>
  <c r="AK13" i="7"/>
  <c r="AK8" i="7"/>
  <c r="AK79" i="7"/>
  <c r="AK14" i="7"/>
  <c r="AK6" i="7"/>
  <c r="AK74" i="7"/>
  <c r="AK78" i="7"/>
  <c r="AK85" i="7"/>
  <c r="AK63" i="7"/>
  <c r="AK64" i="7"/>
  <c r="AK73" i="7"/>
  <c r="AK66" i="7"/>
  <c r="AH105" i="7"/>
  <c r="AK105" i="7"/>
  <c r="AH100" i="7"/>
  <c r="AK100" i="7"/>
  <c r="AH99" i="7"/>
  <c r="AK99" i="7"/>
  <c r="Y106" i="7" a="1"/>
  <c r="Y106" i="7" s="1"/>
  <c r="AH106" i="7"/>
  <c r="Y13" i="7" a="1"/>
  <c r="Y13" i="7" s="1"/>
  <c r="AH13" i="7"/>
  <c r="Y8" i="7" a="1"/>
  <c r="Y8" i="7" s="1"/>
  <c r="AH8" i="7"/>
  <c r="Y74" i="7" a="1"/>
  <c r="Y74" i="7" s="1"/>
  <c r="AH74" i="7"/>
  <c r="Y79" i="7" a="1"/>
  <c r="Y79" i="7" s="1"/>
  <c r="AH79" i="7"/>
  <c r="Y66" i="7" a="1"/>
  <c r="Y66" i="7" s="1"/>
  <c r="AH66" i="7"/>
  <c r="Y73" i="7" a="1"/>
  <c r="Y73" i="7" s="1"/>
  <c r="AH73" i="7"/>
  <c r="Y14" i="7" a="1"/>
  <c r="Y14" i="7" s="1"/>
  <c r="AH14" i="7"/>
  <c r="Y6" i="7" a="1"/>
  <c r="Y6" i="7" s="1"/>
  <c r="AH6" i="7"/>
  <c r="Y78" i="7" a="1"/>
  <c r="Y78" i="7" s="1"/>
  <c r="AH78" i="7"/>
  <c r="Y85" i="7" a="1"/>
  <c r="Y85" i="7" s="1"/>
  <c r="AH85" i="7"/>
  <c r="Y63" i="7" a="1"/>
  <c r="Y63" i="7" s="1"/>
  <c r="AH63" i="7"/>
  <c r="Y64" i="7" a="1"/>
  <c r="Y64" i="7" s="1"/>
  <c r="AH64" i="7"/>
  <c r="AD78" i="7"/>
  <c r="AL105" i="7"/>
  <c r="AL73" i="7"/>
  <c r="AQ74" i="7"/>
  <c r="AR74" i="7" s="1"/>
  <c r="AQ79" i="7"/>
  <c r="AR79" i="7" s="1"/>
  <c r="AQ14" i="7"/>
  <c r="AR14" i="7" s="1"/>
  <c r="AQ6" i="7"/>
  <c r="AR6" i="7" s="1"/>
  <c r="AQ85" i="7"/>
  <c r="AR85" i="7" s="1"/>
  <c r="AQ63" i="7"/>
  <c r="AR63" i="7" s="1"/>
  <c r="AQ64" i="7"/>
  <c r="AR64" i="7" s="1"/>
  <c r="AQ78" i="7"/>
  <c r="AR78" i="7" s="1"/>
  <c r="AQ99" i="7"/>
  <c r="AR99" i="7" s="1"/>
  <c r="Y99" i="7" a="1"/>
  <c r="Y99" i="7" s="1"/>
  <c r="AQ100" i="7"/>
  <c r="AR100" i="7" s="1"/>
  <c r="Y100" i="7" a="1"/>
  <c r="Y100" i="7" s="1"/>
  <c r="AQ73" i="7"/>
  <c r="AR73" i="7" s="1"/>
  <c r="AQ66" i="7"/>
  <c r="AR66" i="7" s="1"/>
  <c r="AQ105" i="7"/>
  <c r="AR105" i="7" s="1"/>
  <c r="Y105" i="7" a="1"/>
  <c r="Y105" i="7" s="1"/>
  <c r="AQ13" i="7"/>
  <c r="AR13" i="7" s="1"/>
  <c r="AQ8" i="7"/>
  <c r="AR8" i="7" s="1"/>
  <c r="AQ106" i="7"/>
  <c r="AR106" i="7" s="1"/>
  <c r="AO112" i="7"/>
  <c r="AO108" i="7"/>
  <c r="AN108" i="7"/>
  <c r="AO68" i="7"/>
  <c r="AN103" i="7"/>
  <c r="AO103" i="7"/>
  <c r="AN69" i="7"/>
  <c r="AO69" i="7"/>
  <c r="AN109" i="7"/>
  <c r="AO109" i="7"/>
  <c r="AN102" i="7"/>
  <c r="AO102" i="7"/>
  <c r="AO110" i="7"/>
  <c r="AO71" i="7"/>
  <c r="AO104" i="7"/>
  <c r="AN104" i="7"/>
  <c r="AO101" i="7"/>
  <c r="AN101" i="7"/>
  <c r="AN67" i="7"/>
  <c r="AO67" i="7"/>
  <c r="AN76" i="7"/>
  <c r="AO76" i="7"/>
  <c r="AO95" i="7"/>
  <c r="AN107" i="7"/>
  <c r="AO107" i="7"/>
  <c r="AN75" i="7"/>
  <c r="AO75" i="7"/>
  <c r="AN72" i="7"/>
  <c r="AO72" i="7"/>
  <c r="AO96" i="7"/>
  <c r="AO98" i="7"/>
  <c r="AO77" i="7"/>
  <c r="AN77" i="7"/>
  <c r="AN114" i="7"/>
  <c r="AO114" i="7"/>
  <c r="AN45" i="7"/>
  <c r="AO45" i="7"/>
  <c r="AN97" i="7"/>
  <c r="AO97" i="7"/>
  <c r="AO113" i="7"/>
  <c r="AN113" i="7"/>
  <c r="X109" i="7" a="1"/>
  <c r="X109" i="7" s="1"/>
  <c r="W109" i="7" a="1"/>
  <c r="W109" i="7" s="1"/>
  <c r="W69" i="7" a="1"/>
  <c r="W69" i="7" s="1"/>
  <c r="X69" i="7" a="1"/>
  <c r="X69" i="7" s="1"/>
  <c r="X102" i="7" a="1"/>
  <c r="X102" i="7" s="1"/>
  <c r="W102" i="7" a="1"/>
  <c r="W102" i="7" s="1"/>
  <c r="X45" i="7" a="1"/>
  <c r="X45" i="7" s="1"/>
  <c r="W45" i="7" a="1"/>
  <c r="W45" i="7" s="1"/>
  <c r="X97" i="7" a="1"/>
  <c r="X97" i="7" s="1"/>
  <c r="W97" i="7" a="1"/>
  <c r="W97" i="7" s="1"/>
  <c r="X113" i="7" a="1"/>
  <c r="X113" i="7" s="1"/>
  <c r="W113" i="7" a="1"/>
  <c r="W113" i="7" s="1"/>
  <c r="X108" i="7" a="1"/>
  <c r="X108" i="7" s="1"/>
  <c r="W108" i="7" a="1"/>
  <c r="W108" i="7" s="1"/>
  <c r="X68" i="7" a="1"/>
  <c r="X68" i="7" s="1"/>
  <c r="W68" i="7" a="1"/>
  <c r="W68" i="7" s="1"/>
  <c r="X103" i="7" a="1"/>
  <c r="X103" i="7" s="1"/>
  <c r="W103" i="7" a="1"/>
  <c r="W103" i="7" s="1"/>
  <c r="X110" i="7" a="1"/>
  <c r="X110" i="7" s="1"/>
  <c r="W110" i="7" a="1"/>
  <c r="W110" i="7" s="1"/>
  <c r="X71" i="7" a="1"/>
  <c r="X71" i="7" s="1"/>
  <c r="W71" i="7" a="1"/>
  <c r="W71" i="7" s="1"/>
  <c r="X104" i="7" a="1"/>
  <c r="X104" i="7" s="1"/>
  <c r="W104" i="7" a="1"/>
  <c r="W104" i="7" s="1"/>
  <c r="X75" i="7" a="1"/>
  <c r="X75" i="7" s="1"/>
  <c r="W75" i="7" a="1"/>
  <c r="W75" i="7" s="1"/>
  <c r="X72" i="7" a="1"/>
  <c r="X72" i="7" s="1"/>
  <c r="W72" i="7" a="1"/>
  <c r="W72" i="7" s="1"/>
  <c r="X101" i="7" a="1"/>
  <c r="X101" i="7" s="1"/>
  <c r="W101" i="7" a="1"/>
  <c r="W101" i="7" s="1"/>
  <c r="X67" i="7" a="1"/>
  <c r="X67" i="7" s="1"/>
  <c r="W67" i="7" a="1"/>
  <c r="W67" i="7" s="1"/>
  <c r="W98" i="7" a="1"/>
  <c r="W98" i="7" s="1"/>
  <c r="X98" i="7" a="1"/>
  <c r="X98" i="7" s="1"/>
  <c r="X112" i="7" a="1"/>
  <c r="X112" i="7" s="1"/>
  <c r="W112" i="7" a="1"/>
  <c r="W112" i="7" s="1"/>
  <c r="X76" i="7" a="1"/>
  <c r="X76" i="7" s="1"/>
  <c r="W76" i="7" a="1"/>
  <c r="W76" i="7" s="1"/>
  <c r="X95" i="7" a="1"/>
  <c r="X95" i="7" s="1"/>
  <c r="W95" i="7" a="1"/>
  <c r="W95" i="7" s="1"/>
  <c r="X107" i="7" a="1"/>
  <c r="X107" i="7" s="1"/>
  <c r="W107" i="7" a="1"/>
  <c r="W107" i="7" s="1"/>
  <c r="W77" i="7" a="1"/>
  <c r="W77" i="7" s="1"/>
  <c r="X77" i="7" a="1"/>
  <c r="X77" i="7" s="1"/>
  <c r="X96" i="7" a="1"/>
  <c r="X96" i="7" s="1"/>
  <c r="W96" i="7" a="1"/>
  <c r="W96" i="7" s="1"/>
  <c r="W114" i="7" a="1"/>
  <c r="W114" i="7" s="1"/>
  <c r="X114" i="7" a="1"/>
  <c r="X114" i="7" s="1"/>
  <c r="AD63" i="7"/>
  <c r="AD6" i="7"/>
  <c r="AD99" i="7"/>
  <c r="AD13" i="7"/>
  <c r="AD8" i="7"/>
  <c r="AD64" i="7"/>
  <c r="AD106" i="7"/>
  <c r="AD74" i="7"/>
  <c r="AD79" i="7"/>
  <c r="AD100" i="7"/>
  <c r="AD14" i="7"/>
  <c r="AD66" i="7"/>
  <c r="AJ73" i="7"/>
  <c r="AJ105" i="7"/>
  <c r="AC68" i="7"/>
  <c r="AB68" i="7"/>
  <c r="AC109" i="7"/>
  <c r="AB109" i="7"/>
  <c r="AC69" i="7"/>
  <c r="AB69" i="7"/>
  <c r="AC102" i="7"/>
  <c r="AB102" i="7"/>
  <c r="AC110" i="7"/>
  <c r="AB110" i="7"/>
  <c r="AC71" i="7"/>
  <c r="AB71" i="7"/>
  <c r="AC104" i="7"/>
  <c r="AB104" i="7"/>
  <c r="AC75" i="7"/>
  <c r="AB75" i="7"/>
  <c r="AC72" i="7"/>
  <c r="AB72" i="7"/>
  <c r="AC101" i="7"/>
  <c r="AB101" i="7"/>
  <c r="AC95" i="7"/>
  <c r="AB95" i="7"/>
  <c r="AC76" i="7"/>
  <c r="AB76" i="7"/>
  <c r="AC107" i="7"/>
  <c r="AB107" i="7"/>
  <c r="AC77" i="7"/>
  <c r="AB77" i="7"/>
  <c r="AC96" i="7"/>
  <c r="AB96" i="7"/>
  <c r="AC114" i="7"/>
  <c r="AB114" i="7"/>
  <c r="AC45" i="7"/>
  <c r="AB45" i="7"/>
  <c r="AC97" i="7"/>
  <c r="AB97" i="7"/>
  <c r="AC113" i="7"/>
  <c r="AB113" i="7"/>
  <c r="AC67" i="7"/>
  <c r="AB67" i="7"/>
  <c r="AC98" i="7"/>
  <c r="AB98" i="7"/>
  <c r="AC112" i="7"/>
  <c r="AB112" i="7"/>
  <c r="AC108" i="7"/>
  <c r="AB108" i="7"/>
  <c r="AC103" i="7"/>
  <c r="AB103" i="7"/>
  <c r="AM114" i="7"/>
  <c r="AM109" i="7"/>
  <c r="AM69" i="7"/>
  <c r="AM102" i="7"/>
  <c r="AM110" i="7"/>
  <c r="AM71" i="7"/>
  <c r="AM104" i="7"/>
  <c r="AM77" i="7"/>
  <c r="AM75" i="7"/>
  <c r="AM72" i="7"/>
  <c r="AM101" i="7"/>
  <c r="AM76" i="7"/>
  <c r="AM95" i="7"/>
  <c r="AM107" i="7"/>
  <c r="AM96" i="7"/>
  <c r="AM45" i="7"/>
  <c r="AM97" i="7"/>
  <c r="AM113" i="7"/>
  <c r="AM67" i="7"/>
  <c r="AM98" i="7"/>
  <c r="AM112" i="7"/>
  <c r="AM108" i="7"/>
  <c r="AM68" i="7"/>
  <c r="AM103" i="7"/>
  <c r="AP13" i="7"/>
  <c r="AS13" i="7"/>
  <c r="AP100" i="7"/>
  <c r="AS100" i="7"/>
  <c r="AP74" i="7"/>
  <c r="AS74" i="7"/>
  <c r="AP14" i="7"/>
  <c r="AS14" i="7"/>
  <c r="AP73" i="7"/>
  <c r="AS73" i="7"/>
  <c r="AP6" i="7"/>
  <c r="AS6" i="7"/>
  <c r="AP106" i="7"/>
  <c r="AS106" i="7"/>
  <c r="AP85" i="7"/>
  <c r="AS85" i="7"/>
  <c r="AP99" i="7"/>
  <c r="AS99" i="7"/>
  <c r="AP79" i="7"/>
  <c r="AS79" i="7"/>
  <c r="AP66" i="7"/>
  <c r="AS66" i="7"/>
  <c r="AP78" i="7"/>
  <c r="AS78" i="7"/>
  <c r="AP105" i="7"/>
  <c r="AS105" i="7"/>
  <c r="AP64" i="7"/>
  <c r="AS64" i="7"/>
  <c r="AP63" i="7"/>
  <c r="AS63" i="7"/>
  <c r="AP8" i="7"/>
  <c r="AS8" i="7"/>
  <c r="Z76" i="7"/>
  <c r="Z95" i="7"/>
  <c r="Z107" i="7"/>
  <c r="Z72" i="7"/>
  <c r="Z114" i="7"/>
  <c r="Z68" i="7"/>
  <c r="Z103" i="7"/>
  <c r="Z77" i="7"/>
  <c r="Z96" i="7"/>
  <c r="Z109" i="7"/>
  <c r="Z75" i="7"/>
  <c r="Z101" i="7"/>
  <c r="Z45" i="7"/>
  <c r="Z97" i="7"/>
  <c r="Z113" i="7"/>
  <c r="Z67" i="7"/>
  <c r="Z98" i="7"/>
  <c r="Z112" i="7"/>
  <c r="Z108" i="7"/>
  <c r="Z69" i="7"/>
  <c r="Z102" i="7"/>
  <c r="Z110" i="7"/>
  <c r="Z71" i="7"/>
  <c r="Z104" i="7"/>
  <c r="AI73" i="7"/>
  <c r="AI105" i="7"/>
  <c r="AF77" i="7"/>
  <c r="AF96" i="7"/>
  <c r="AF114" i="7"/>
  <c r="AF76" i="7"/>
  <c r="AF95" i="7"/>
  <c r="AF107" i="7"/>
  <c r="AF67" i="7"/>
  <c r="AF98" i="7"/>
  <c r="AF97" i="7"/>
  <c r="AF112" i="7"/>
  <c r="AF108" i="7"/>
  <c r="AF68" i="7"/>
  <c r="AF103" i="7"/>
  <c r="AF109" i="7"/>
  <c r="AF69" i="7"/>
  <c r="AF102" i="7"/>
  <c r="AF113" i="7"/>
  <c r="AF110" i="7"/>
  <c r="AF71" i="7"/>
  <c r="AF104" i="7"/>
  <c r="AF45" i="7"/>
  <c r="AF75" i="7"/>
  <c r="AF72" i="7"/>
  <c r="AF101" i="7"/>
  <c r="H61" i="7"/>
  <c r="H60" i="7"/>
  <c r="H59" i="7"/>
  <c r="H58" i="7"/>
  <c r="H57" i="7"/>
  <c r="H56" i="7"/>
  <c r="H65" i="7"/>
  <c r="H81" i="7"/>
  <c r="H80" i="7"/>
  <c r="H82" i="7"/>
  <c r="H83" i="7"/>
  <c r="H84" i="7"/>
  <c r="H55" i="7"/>
  <c r="H53" i="7"/>
  <c r="H54" i="7"/>
  <c r="H52" i="7"/>
  <c r="H50" i="7"/>
  <c r="H51" i="7"/>
  <c r="H49" i="7"/>
  <c r="H48" i="7"/>
  <c r="H47" i="7"/>
  <c r="H46" i="7"/>
  <c r="H44" i="7"/>
  <c r="H36" i="7"/>
  <c r="H12" i="7"/>
  <c r="H11" i="7"/>
  <c r="H10" i="7"/>
  <c r="H9" i="7"/>
  <c r="H5" i="7"/>
  <c r="H23" i="7"/>
  <c r="H22" i="7"/>
  <c r="H21" i="7"/>
  <c r="H30" i="7"/>
  <c r="H29" i="7"/>
  <c r="H28" i="7"/>
  <c r="H27" i="7"/>
  <c r="H25" i="7"/>
  <c r="H24" i="7"/>
  <c r="H87" i="7"/>
  <c r="H94" i="7"/>
  <c r="H92" i="7"/>
  <c r="H93" i="7"/>
  <c r="H90" i="7"/>
  <c r="H91" i="7"/>
  <c r="H89" i="7"/>
  <c r="H88" i="7"/>
  <c r="H86" i="7"/>
  <c r="H43" i="7"/>
  <c r="H41" i="7"/>
  <c r="H39" i="7"/>
  <c r="H38" i="7"/>
  <c r="H37" i="7"/>
  <c r="A11" i="11" a="1"/>
  <c r="B10" i="11" a="1"/>
  <c r="B10" i="11" s="1"/>
  <c r="A2" i="11" a="1"/>
  <c r="A2" i="11" s="1"/>
  <c r="B1" i="11" a="1"/>
  <c r="B1" i="11" s="1"/>
  <c r="B1" i="10" a="1"/>
  <c r="AK96" i="7" l="1"/>
  <c r="AK104" i="7"/>
  <c r="AK98" i="7"/>
  <c r="AK113" i="7"/>
  <c r="AK103" i="7"/>
  <c r="AK110" i="7"/>
  <c r="AK97" i="7"/>
  <c r="AK68" i="7"/>
  <c r="AK102" i="7"/>
  <c r="AK114" i="7"/>
  <c r="AK101" i="7"/>
  <c r="AK72" i="7"/>
  <c r="AK75" i="7"/>
  <c r="AK107" i="7"/>
  <c r="AK112" i="7"/>
  <c r="AK109" i="7"/>
  <c r="AK95" i="7"/>
  <c r="AH71" i="7"/>
  <c r="AK71" i="7"/>
  <c r="AH69" i="7"/>
  <c r="AK69" i="7"/>
  <c r="AH77" i="7"/>
  <c r="AK77" i="7"/>
  <c r="AH108" i="7"/>
  <c r="AK108" i="7"/>
  <c r="AH67" i="7"/>
  <c r="AK67" i="7"/>
  <c r="AH45" i="7"/>
  <c r="AK45" i="7"/>
  <c r="AH76" i="7"/>
  <c r="AK76" i="7"/>
  <c r="Y104" i="7" a="1"/>
  <c r="Y104" i="7" s="1"/>
  <c r="AH104" i="7"/>
  <c r="Y110" i="7" a="1"/>
  <c r="Y110" i="7" s="1"/>
  <c r="AH110" i="7"/>
  <c r="Y97" i="7" a="1"/>
  <c r="Y97" i="7" s="1"/>
  <c r="AH97" i="7"/>
  <c r="Y68" i="7" a="1"/>
  <c r="Y68" i="7" s="1"/>
  <c r="AH68" i="7"/>
  <c r="Y102" i="7" a="1"/>
  <c r="Y102" i="7" s="1"/>
  <c r="AH102" i="7"/>
  <c r="Y113" i="7" a="1"/>
  <c r="Y113" i="7" s="1"/>
  <c r="AH113" i="7"/>
  <c r="Y103" i="7" a="1"/>
  <c r="Y103" i="7" s="1"/>
  <c r="AH103" i="7"/>
  <c r="Y114" i="7" a="1"/>
  <c r="Y114" i="7" s="1"/>
  <c r="AH114" i="7"/>
  <c r="Y101" i="7" a="1"/>
  <c r="Y101" i="7" s="1"/>
  <c r="AH101" i="7"/>
  <c r="Y72" i="7" a="1"/>
  <c r="Y72" i="7" s="1"/>
  <c r="AH72" i="7"/>
  <c r="Y75" i="7" a="1"/>
  <c r="Y75" i="7" s="1"/>
  <c r="AH75" i="7"/>
  <c r="Y107" i="7" a="1"/>
  <c r="Y107" i="7" s="1"/>
  <c r="AH107" i="7"/>
  <c r="Y112" i="7" a="1"/>
  <c r="Y112" i="7" s="1"/>
  <c r="AH112" i="7"/>
  <c r="Y109" i="7" a="1"/>
  <c r="Y109" i="7" s="1"/>
  <c r="AH109" i="7"/>
  <c r="Y95" i="7" a="1"/>
  <c r="Y95" i="7" s="1"/>
  <c r="AH95" i="7"/>
  <c r="Y98" i="7" a="1"/>
  <c r="Y98" i="7" s="1"/>
  <c r="AH98" i="7"/>
  <c r="Y96" i="7" a="1"/>
  <c r="Y96" i="7" s="1"/>
  <c r="AH96" i="7"/>
  <c r="AD112" i="7"/>
  <c r="AQ97" i="7"/>
  <c r="AR97" i="7" s="1"/>
  <c r="AQ45" i="7"/>
  <c r="AR45" i="7" s="1"/>
  <c r="Y45" i="7" a="1"/>
  <c r="Y45" i="7" s="1"/>
  <c r="AQ114" i="7"/>
  <c r="AR114" i="7" s="1"/>
  <c r="AQ69" i="7"/>
  <c r="AR69" i="7" s="1"/>
  <c r="Y69" i="7" a="1"/>
  <c r="Y69" i="7" s="1"/>
  <c r="AQ101" i="7"/>
  <c r="AR101" i="7" s="1"/>
  <c r="AQ72" i="7"/>
  <c r="AR72" i="7" s="1"/>
  <c r="AQ108" i="7"/>
  <c r="AR108" i="7" s="1"/>
  <c r="Y108" i="7" a="1"/>
  <c r="Y108" i="7" s="1"/>
  <c r="AQ107" i="7"/>
  <c r="AR107" i="7" s="1"/>
  <c r="AQ112" i="7"/>
  <c r="AR112" i="7" s="1"/>
  <c r="AQ109" i="7"/>
  <c r="AR109" i="7" s="1"/>
  <c r="AQ98" i="7"/>
  <c r="AR98" i="7" s="1"/>
  <c r="AQ76" i="7"/>
  <c r="AR76" i="7" s="1"/>
  <c r="Y76" i="7" a="1"/>
  <c r="Y76" i="7" s="1"/>
  <c r="AQ67" i="7"/>
  <c r="AR67" i="7" s="1"/>
  <c r="Y67" i="7" a="1"/>
  <c r="Y67" i="7" s="1"/>
  <c r="AQ77" i="7"/>
  <c r="AR77" i="7" s="1"/>
  <c r="Y77" i="7" a="1"/>
  <c r="Y77" i="7" s="1"/>
  <c r="AQ71" i="7"/>
  <c r="AR71" i="7" s="1"/>
  <c r="Y71" i="7" a="1"/>
  <c r="Y71" i="7" s="1"/>
  <c r="AQ113" i="7"/>
  <c r="AR113" i="7" s="1"/>
  <c r="AQ75" i="7"/>
  <c r="AR75" i="7" s="1"/>
  <c r="AQ95" i="7"/>
  <c r="AR95" i="7" s="1"/>
  <c r="AQ96" i="7"/>
  <c r="AR96" i="7" s="1"/>
  <c r="AQ104" i="7"/>
  <c r="AR104" i="7" s="1"/>
  <c r="AQ103" i="7"/>
  <c r="AR103" i="7" s="1"/>
  <c r="AQ68" i="7"/>
  <c r="AR68" i="7" s="1"/>
  <c r="AQ110" i="7"/>
  <c r="AR110" i="7" s="1"/>
  <c r="AQ102" i="7"/>
  <c r="AR102" i="7" s="1"/>
  <c r="AN90" i="7"/>
  <c r="AO90" i="7"/>
  <c r="AN49" i="7"/>
  <c r="AO49" i="7"/>
  <c r="AN39" i="7"/>
  <c r="AO39" i="7"/>
  <c r="AN93" i="7"/>
  <c r="AO93" i="7"/>
  <c r="AO29" i="7"/>
  <c r="AO11" i="7"/>
  <c r="AO51" i="7"/>
  <c r="AN82" i="7"/>
  <c r="AO82" i="7"/>
  <c r="AO60" i="7"/>
  <c r="AN60" i="7"/>
  <c r="AO92" i="7"/>
  <c r="AN80" i="7"/>
  <c r="AO80" i="7"/>
  <c r="AN38" i="7"/>
  <c r="AO38" i="7"/>
  <c r="AN10" i="7"/>
  <c r="AO10" i="7"/>
  <c r="AN59" i="7"/>
  <c r="AO59" i="7"/>
  <c r="AO41" i="7"/>
  <c r="AO12" i="7"/>
  <c r="AN61" i="7"/>
  <c r="AO61" i="7"/>
  <c r="AN43" i="7"/>
  <c r="AO43" i="7"/>
  <c r="AO94" i="7"/>
  <c r="AO21" i="7"/>
  <c r="AN21" i="7"/>
  <c r="AO36" i="7"/>
  <c r="AO52" i="7"/>
  <c r="AN81" i="7"/>
  <c r="AO81" i="7"/>
  <c r="AN86" i="7"/>
  <c r="AO86" i="7"/>
  <c r="AN87" i="7"/>
  <c r="AO87" i="7"/>
  <c r="AN22" i="7"/>
  <c r="AO22" i="7"/>
  <c r="AO44" i="7"/>
  <c r="AN54" i="7"/>
  <c r="AO54" i="7"/>
  <c r="AN65" i="7"/>
  <c r="AO65" i="7"/>
  <c r="AO30" i="7"/>
  <c r="AO50" i="7"/>
  <c r="AO5" i="7"/>
  <c r="AO28" i="7"/>
  <c r="AN83" i="7"/>
  <c r="AO83" i="7"/>
  <c r="AN88" i="7"/>
  <c r="AO88" i="7"/>
  <c r="AN24" i="7"/>
  <c r="AO24" i="7"/>
  <c r="AO23" i="7"/>
  <c r="AN46" i="7"/>
  <c r="AO46" i="7"/>
  <c r="AN53" i="7"/>
  <c r="AO53" i="7"/>
  <c r="AN56" i="7"/>
  <c r="AO56" i="7"/>
  <c r="AO89" i="7"/>
  <c r="AN89" i="7"/>
  <c r="AO25" i="7"/>
  <c r="AN25" i="7"/>
  <c r="AN47" i="7"/>
  <c r="AO47" i="7"/>
  <c r="AN55" i="7"/>
  <c r="AO55" i="7"/>
  <c r="AN57" i="7"/>
  <c r="AO57" i="7"/>
  <c r="AO37" i="7"/>
  <c r="AN91" i="7"/>
  <c r="AO91" i="7"/>
  <c r="AN27" i="7"/>
  <c r="AO27" i="7"/>
  <c r="AN9" i="7"/>
  <c r="AO9" i="7"/>
  <c r="AO48" i="7"/>
  <c r="AN48" i="7"/>
  <c r="AO84" i="7"/>
  <c r="AN84" i="7"/>
  <c r="AN58" i="7"/>
  <c r="AO58" i="7"/>
  <c r="X89" i="7" a="1"/>
  <c r="X89" i="7" s="1"/>
  <c r="I89" i="7"/>
  <c r="AA89" i="7" s="1"/>
  <c r="W89" i="7" a="1"/>
  <c r="W89" i="7" s="1"/>
  <c r="X25" i="7" a="1"/>
  <c r="X25" i="7" s="1"/>
  <c r="W25" i="7" a="1"/>
  <c r="W25" i="7" s="1"/>
  <c r="X5" i="7" a="1"/>
  <c r="X5" i="7" s="1"/>
  <c r="W5" i="7" a="1"/>
  <c r="W5" i="7" s="1"/>
  <c r="I47" i="7"/>
  <c r="AA47" i="7" s="1"/>
  <c r="W47" i="7" a="1"/>
  <c r="W47" i="7" s="1"/>
  <c r="X47" i="7" a="1"/>
  <c r="X47" i="7" s="1"/>
  <c r="W55" i="7" a="1"/>
  <c r="W55" i="7" s="1"/>
  <c r="X55" i="7" a="1"/>
  <c r="X55" i="7" s="1"/>
  <c r="W57" i="7" a="1"/>
  <c r="W57" i="7" s="1"/>
  <c r="X57" i="7" a="1"/>
  <c r="X57" i="7" s="1"/>
  <c r="X37" i="7" a="1"/>
  <c r="X37" i="7" s="1"/>
  <c r="W37" i="7" a="1"/>
  <c r="W37" i="7" s="1"/>
  <c r="W91" i="7" a="1"/>
  <c r="W91" i="7" s="1"/>
  <c r="X91" i="7" a="1"/>
  <c r="X91" i="7" s="1"/>
  <c r="W27" i="7" a="1"/>
  <c r="W27" i="7" s="1"/>
  <c r="X27" i="7" a="1"/>
  <c r="X27" i="7" s="1"/>
  <c r="X9" i="7" a="1"/>
  <c r="X9" i="7" s="1"/>
  <c r="W9" i="7" a="1"/>
  <c r="W9" i="7" s="1"/>
  <c r="X48" i="7" a="1"/>
  <c r="X48" i="7" s="1"/>
  <c r="W48" i="7" a="1"/>
  <c r="W48" i="7" s="1"/>
  <c r="W84" i="7" a="1"/>
  <c r="W84" i="7" s="1"/>
  <c r="X84" i="7" a="1"/>
  <c r="X84" i="7" s="1"/>
  <c r="W58" i="7" a="1"/>
  <c r="W58" i="7" s="1"/>
  <c r="X58" i="7" a="1"/>
  <c r="X58" i="7" s="1"/>
  <c r="W90" i="7" a="1"/>
  <c r="W90" i="7" s="1"/>
  <c r="X90" i="7" a="1"/>
  <c r="X90" i="7" s="1"/>
  <c r="X49" i="7" a="1"/>
  <c r="X49" i="7" s="1"/>
  <c r="W49" i="7" a="1"/>
  <c r="W49" i="7" s="1"/>
  <c r="X59" i="7" a="1"/>
  <c r="X59" i="7" s="1"/>
  <c r="W59" i="7" a="1"/>
  <c r="W59" i="7" s="1"/>
  <c r="W38" i="7" a="1"/>
  <c r="W38" i="7" s="1"/>
  <c r="X38" i="7" a="1"/>
  <c r="X38" i="7" s="1"/>
  <c r="W83" i="7" a="1"/>
  <c r="W83" i="7" s="1"/>
  <c r="X83" i="7" a="1"/>
  <c r="X83" i="7" s="1"/>
  <c r="X39" i="7" a="1"/>
  <c r="X39" i="7" s="1"/>
  <c r="W39" i="7" a="1"/>
  <c r="W39" i="7" s="1"/>
  <c r="X93" i="7" a="1"/>
  <c r="X93" i="7" s="1"/>
  <c r="W93" i="7" a="1"/>
  <c r="W93" i="7" s="1"/>
  <c r="X29" i="7" a="1"/>
  <c r="X29" i="7" s="1"/>
  <c r="W29" i="7" a="1"/>
  <c r="W29" i="7" s="1"/>
  <c r="W11" i="7" a="1"/>
  <c r="W11" i="7" s="1"/>
  <c r="X11" i="7" a="1"/>
  <c r="X11" i="7" s="1"/>
  <c r="W51" i="7" a="1"/>
  <c r="W51" i="7" s="1"/>
  <c r="X51" i="7" a="1"/>
  <c r="X51" i="7" s="1"/>
  <c r="W82" i="7" a="1"/>
  <c r="W82" i="7" s="1"/>
  <c r="X82" i="7" a="1"/>
  <c r="X82" i="7" s="1"/>
  <c r="X60" i="7" a="1"/>
  <c r="X60" i="7" s="1"/>
  <c r="W60" i="7" a="1"/>
  <c r="W60" i="7" s="1"/>
  <c r="I60" i="7"/>
  <c r="AA60" i="7" s="1"/>
  <c r="W28" i="7" a="1"/>
  <c r="W28" i="7" s="1"/>
  <c r="X28" i="7" a="1"/>
  <c r="X28" i="7" s="1"/>
  <c r="X10" i="7" a="1"/>
  <c r="X10" i="7" s="1"/>
  <c r="W10" i="7" a="1"/>
  <c r="W10" i="7" s="1"/>
  <c r="X41" i="7" a="1"/>
  <c r="X41" i="7" s="1"/>
  <c r="W41" i="7" a="1"/>
  <c r="W41" i="7" s="1"/>
  <c r="W92" i="7" a="1"/>
  <c r="W92" i="7" s="1"/>
  <c r="X92" i="7" a="1"/>
  <c r="X92" i="7" s="1"/>
  <c r="X30" i="7" a="1"/>
  <c r="X30" i="7" s="1"/>
  <c r="W30" i="7" a="1"/>
  <c r="W30" i="7" s="1"/>
  <c r="W12" i="7" a="1"/>
  <c r="W12" i="7" s="1"/>
  <c r="X12" i="7" a="1"/>
  <c r="X12" i="7" s="1"/>
  <c r="W50" i="7" a="1"/>
  <c r="W50" i="7" s="1"/>
  <c r="X50" i="7" a="1"/>
  <c r="X50" i="7" s="1"/>
  <c r="X80" i="7" a="1"/>
  <c r="X80" i="7" s="1"/>
  <c r="W80" i="7" a="1"/>
  <c r="W80" i="7" s="1"/>
  <c r="X61" i="7" a="1"/>
  <c r="X61" i="7" s="1"/>
  <c r="W61" i="7" a="1"/>
  <c r="W61" i="7" s="1"/>
  <c r="X43" i="7" a="1"/>
  <c r="X43" i="7" s="1"/>
  <c r="W43" i="7" a="1"/>
  <c r="W43" i="7" s="1"/>
  <c r="X94" i="7" a="1"/>
  <c r="X94" i="7" s="1"/>
  <c r="W94" i="7" a="1"/>
  <c r="W94" i="7" s="1"/>
  <c r="W21" i="7" a="1"/>
  <c r="W21" i="7" s="1"/>
  <c r="X21" i="7" a="1"/>
  <c r="X21" i="7" s="1"/>
  <c r="X36" i="7" a="1"/>
  <c r="X36" i="7" s="1"/>
  <c r="W36" i="7" a="1"/>
  <c r="W36" i="7" s="1"/>
  <c r="W52" i="7" a="1"/>
  <c r="W52" i="7" s="1"/>
  <c r="X52" i="7" a="1"/>
  <c r="X52" i="7" s="1"/>
  <c r="X81" i="7" a="1"/>
  <c r="X81" i="7" s="1"/>
  <c r="W81" i="7" a="1"/>
  <c r="W81" i="7" s="1"/>
  <c r="W87" i="7" a="1"/>
  <c r="W87" i="7" s="1"/>
  <c r="X87" i="7" a="1"/>
  <c r="X87" i="7" s="1"/>
  <c r="W86" i="7" a="1"/>
  <c r="W86" i="7" s="1"/>
  <c r="X86" i="7" a="1"/>
  <c r="X86" i="7" s="1"/>
  <c r="I22" i="7"/>
  <c r="AA22" i="7" s="1"/>
  <c r="W22" i="7" a="1"/>
  <c r="W22" i="7" s="1"/>
  <c r="X22" i="7" a="1"/>
  <c r="X22" i="7" s="1"/>
  <c r="X44" i="7" a="1"/>
  <c r="X44" i="7" s="1"/>
  <c r="W44" i="7" a="1"/>
  <c r="W44" i="7" s="1"/>
  <c r="X54" i="7" a="1"/>
  <c r="X54" i="7" s="1"/>
  <c r="W54" i="7" a="1"/>
  <c r="W54" i="7" s="1"/>
  <c r="W65" i="7" a="1"/>
  <c r="W65" i="7" s="1"/>
  <c r="X65" i="7" a="1"/>
  <c r="X65" i="7" s="1"/>
  <c r="X88" i="7" a="1"/>
  <c r="X88" i="7" s="1"/>
  <c r="W88" i="7" a="1"/>
  <c r="W88" i="7" s="1"/>
  <c r="X24" i="7" a="1"/>
  <c r="X24" i="7" s="1"/>
  <c r="W24" i="7" a="1"/>
  <c r="W24" i="7" s="1"/>
  <c r="X23" i="7" a="1"/>
  <c r="X23" i="7" s="1"/>
  <c r="W23" i="7" a="1"/>
  <c r="W23" i="7" s="1"/>
  <c r="X46" i="7" a="1"/>
  <c r="X46" i="7" s="1"/>
  <c r="W46" i="7" a="1"/>
  <c r="W46" i="7" s="1"/>
  <c r="X53" i="7" a="1"/>
  <c r="X53" i="7" s="1"/>
  <c r="W53" i="7" a="1"/>
  <c r="W53" i="7" s="1"/>
  <c r="X56" i="7" a="1"/>
  <c r="X56" i="7" s="1"/>
  <c r="W56" i="7" a="1"/>
  <c r="W56" i="7" s="1"/>
  <c r="A11" i="11"/>
  <c r="J29" i="11"/>
  <c r="I28" i="11"/>
  <c r="H27" i="11"/>
  <c r="G26" i="11"/>
  <c r="F25" i="11"/>
  <c r="E24" i="11"/>
  <c r="J21" i="11"/>
  <c r="I20" i="11"/>
  <c r="H19" i="11"/>
  <c r="G18" i="11"/>
  <c r="F17" i="11"/>
  <c r="E16" i="11"/>
  <c r="J13" i="11"/>
  <c r="F23" i="11"/>
  <c r="I29" i="11"/>
  <c r="H28" i="11"/>
  <c r="G27" i="11"/>
  <c r="F26" i="11"/>
  <c r="E25" i="11"/>
  <c r="D24" i="11"/>
  <c r="J22" i="11"/>
  <c r="I21" i="11"/>
  <c r="H20" i="11"/>
  <c r="G19" i="11"/>
  <c r="F18" i="11"/>
  <c r="D16" i="11"/>
  <c r="J14" i="11"/>
  <c r="I13" i="11"/>
  <c r="H12" i="11"/>
  <c r="C13" i="11"/>
  <c r="B28" i="11"/>
  <c r="H29" i="11"/>
  <c r="F27" i="11"/>
  <c r="D25" i="11"/>
  <c r="J23" i="11"/>
  <c r="I22" i="11"/>
  <c r="F19" i="11"/>
  <c r="J15" i="11"/>
  <c r="I14" i="11"/>
  <c r="H13" i="11"/>
  <c r="G12" i="11"/>
  <c r="B24" i="11"/>
  <c r="B16" i="11"/>
  <c r="C22" i="11"/>
  <c r="J19" i="11"/>
  <c r="D13" i="11"/>
  <c r="G29" i="11"/>
  <c r="F28" i="11"/>
  <c r="E27" i="11"/>
  <c r="J24" i="11"/>
  <c r="I23" i="11"/>
  <c r="H22" i="11"/>
  <c r="G21" i="11"/>
  <c r="F20" i="11"/>
  <c r="E19" i="11"/>
  <c r="J16" i="11"/>
  <c r="I15" i="11"/>
  <c r="H14" i="11"/>
  <c r="G13" i="11"/>
  <c r="F12" i="11"/>
  <c r="B23" i="11"/>
  <c r="B15" i="11"/>
  <c r="C16" i="11"/>
  <c r="B13" i="11"/>
  <c r="J27" i="11"/>
  <c r="F29" i="11"/>
  <c r="H23" i="11"/>
  <c r="G22" i="11"/>
  <c r="F21" i="11"/>
  <c r="E20" i="11"/>
  <c r="D19" i="11"/>
  <c r="J17" i="11"/>
  <c r="I16" i="11"/>
  <c r="H15" i="11"/>
  <c r="G14" i="11"/>
  <c r="F13" i="11"/>
  <c r="B22" i="11"/>
  <c r="C24" i="11"/>
  <c r="I26" i="11"/>
  <c r="B20" i="11"/>
  <c r="E29" i="11"/>
  <c r="D28" i="11"/>
  <c r="J26" i="11"/>
  <c r="I25" i="11"/>
  <c r="G23" i="11"/>
  <c r="F22" i="11"/>
  <c r="E21" i="11"/>
  <c r="J18" i="11"/>
  <c r="I17" i="11"/>
  <c r="H16" i="11"/>
  <c r="G15" i="11"/>
  <c r="E13" i="11"/>
  <c r="B29" i="11"/>
  <c r="B21" i="11"/>
  <c r="H25" i="11"/>
  <c r="G16" i="11"/>
  <c r="J28" i="11"/>
  <c r="I27" i="11"/>
  <c r="H26" i="11"/>
  <c r="G25" i="11"/>
  <c r="F24" i="11"/>
  <c r="J20" i="11"/>
  <c r="I19" i="11"/>
  <c r="H18" i="11"/>
  <c r="F16" i="11"/>
  <c r="J12" i="11"/>
  <c r="B27" i="11"/>
  <c r="B19" i="11"/>
  <c r="C19" i="11"/>
  <c r="C27" i="11"/>
  <c r="I12" i="11"/>
  <c r="B26" i="11"/>
  <c r="B18" i="11"/>
  <c r="C28" i="11"/>
  <c r="B25" i="11"/>
  <c r="C29" i="11"/>
  <c r="G24" i="11"/>
  <c r="H17" i="11"/>
  <c r="AD75" i="7"/>
  <c r="AD68" i="7"/>
  <c r="AD98" i="7"/>
  <c r="AD45" i="7"/>
  <c r="AD107" i="7"/>
  <c r="AD72" i="7"/>
  <c r="AD110" i="7"/>
  <c r="AD102" i="7"/>
  <c r="AD103" i="7"/>
  <c r="AD67" i="7"/>
  <c r="AD114" i="7"/>
  <c r="AD76" i="7"/>
  <c r="AD108" i="7"/>
  <c r="AD113" i="7"/>
  <c r="AD96" i="7"/>
  <c r="AD95" i="7"/>
  <c r="AD104" i="7"/>
  <c r="AD69" i="7"/>
  <c r="AD97" i="7"/>
  <c r="AD77" i="7"/>
  <c r="AD101" i="7"/>
  <c r="AD71" i="7"/>
  <c r="AD109" i="7"/>
  <c r="AC39" i="7"/>
  <c r="AB39" i="7"/>
  <c r="AC93" i="7"/>
  <c r="AB93" i="7"/>
  <c r="AC29" i="7"/>
  <c r="AB29" i="7"/>
  <c r="AC11" i="7"/>
  <c r="AB11" i="7"/>
  <c r="AC51" i="7"/>
  <c r="AB51" i="7"/>
  <c r="AC59" i="7"/>
  <c r="AB59" i="7"/>
  <c r="AC41" i="7"/>
  <c r="AB41" i="7"/>
  <c r="AC92" i="7"/>
  <c r="AB92" i="7"/>
  <c r="AC30" i="7"/>
  <c r="AB30" i="7"/>
  <c r="AC12" i="7"/>
  <c r="AB12" i="7"/>
  <c r="AC50" i="7"/>
  <c r="AB50" i="7"/>
  <c r="AC82" i="7"/>
  <c r="AB82" i="7"/>
  <c r="AC60" i="7"/>
  <c r="AD60" i="7" s="1"/>
  <c r="AB60" i="7"/>
  <c r="AC43" i="7"/>
  <c r="AB43" i="7"/>
  <c r="AC94" i="7"/>
  <c r="AB94" i="7"/>
  <c r="AC21" i="7"/>
  <c r="AB21" i="7"/>
  <c r="AC36" i="7"/>
  <c r="AB36" i="7"/>
  <c r="AC52" i="7"/>
  <c r="AB52" i="7"/>
  <c r="AC80" i="7"/>
  <c r="AB80" i="7"/>
  <c r="AC61" i="7"/>
  <c r="AB61" i="7"/>
  <c r="AC86" i="7"/>
  <c r="AB86" i="7"/>
  <c r="AC87" i="7"/>
  <c r="AB87" i="7"/>
  <c r="AC22" i="7"/>
  <c r="AD22" i="7" s="1"/>
  <c r="AB22" i="7"/>
  <c r="AC44" i="7"/>
  <c r="AB44" i="7"/>
  <c r="AC54" i="7"/>
  <c r="AB54" i="7"/>
  <c r="AC81" i="7"/>
  <c r="AB81" i="7"/>
  <c r="AC88" i="7"/>
  <c r="AB88" i="7"/>
  <c r="AC24" i="7"/>
  <c r="AB24" i="7"/>
  <c r="AC23" i="7"/>
  <c r="AB23" i="7"/>
  <c r="AC46" i="7"/>
  <c r="AB46" i="7"/>
  <c r="AC53" i="7"/>
  <c r="AB53" i="7"/>
  <c r="AC65" i="7"/>
  <c r="AB65" i="7"/>
  <c r="AC89" i="7"/>
  <c r="AD89" i="7" s="1"/>
  <c r="AB89" i="7"/>
  <c r="AC25" i="7"/>
  <c r="AB25" i="7"/>
  <c r="AC5" i="7"/>
  <c r="AB5" i="7"/>
  <c r="AC47" i="7"/>
  <c r="AD47" i="7" s="1"/>
  <c r="AB47" i="7"/>
  <c r="AC55" i="7"/>
  <c r="AB55" i="7"/>
  <c r="AC56" i="7"/>
  <c r="AB56" i="7"/>
  <c r="AC37" i="7"/>
  <c r="AB37" i="7"/>
  <c r="AC91" i="7"/>
  <c r="AB91" i="7"/>
  <c r="AC27" i="7"/>
  <c r="AB27" i="7"/>
  <c r="AC9" i="7"/>
  <c r="AB9" i="7"/>
  <c r="AC48" i="7"/>
  <c r="AB48" i="7"/>
  <c r="AC84" i="7"/>
  <c r="AB84" i="7"/>
  <c r="AC57" i="7"/>
  <c r="AB57" i="7"/>
  <c r="AC38" i="7"/>
  <c r="AB38" i="7"/>
  <c r="AC90" i="7"/>
  <c r="AB90" i="7"/>
  <c r="AC28" i="7"/>
  <c r="AB28" i="7"/>
  <c r="AC10" i="7"/>
  <c r="AB10" i="7"/>
  <c r="AC49" i="7"/>
  <c r="AB49" i="7"/>
  <c r="AC83" i="7"/>
  <c r="AB83" i="7"/>
  <c r="AC58" i="7"/>
  <c r="AB58" i="7"/>
  <c r="AM39" i="7"/>
  <c r="AM93" i="7"/>
  <c r="AM29" i="7"/>
  <c r="AM11" i="7"/>
  <c r="AM51" i="7"/>
  <c r="AM59" i="7"/>
  <c r="AM41" i="7"/>
  <c r="AM92" i="7"/>
  <c r="AM30" i="7"/>
  <c r="AM12" i="7"/>
  <c r="AM50" i="7"/>
  <c r="AM82" i="7"/>
  <c r="AM60" i="7"/>
  <c r="AM43" i="7"/>
  <c r="AM94" i="7"/>
  <c r="AM21" i="7"/>
  <c r="AM36" i="7"/>
  <c r="AM52" i="7"/>
  <c r="AM80" i="7"/>
  <c r="AM61" i="7"/>
  <c r="AM86" i="7"/>
  <c r="AM87" i="7"/>
  <c r="AM22" i="7"/>
  <c r="AM44" i="7"/>
  <c r="AM54" i="7"/>
  <c r="AM81" i="7"/>
  <c r="AM88" i="7"/>
  <c r="AM24" i="7"/>
  <c r="AM23" i="7"/>
  <c r="AM46" i="7"/>
  <c r="AM53" i="7"/>
  <c r="AM65" i="7"/>
  <c r="AM89" i="7"/>
  <c r="AM25" i="7"/>
  <c r="AM5" i="7"/>
  <c r="AM47" i="7"/>
  <c r="AM55" i="7"/>
  <c r="AM56" i="7"/>
  <c r="AM37" i="7"/>
  <c r="AM91" i="7"/>
  <c r="AM27" i="7"/>
  <c r="AM9" i="7"/>
  <c r="AM48" i="7"/>
  <c r="AM84" i="7"/>
  <c r="AM57" i="7"/>
  <c r="AM38" i="7"/>
  <c r="AM90" i="7"/>
  <c r="AM28" i="7"/>
  <c r="AM10" i="7"/>
  <c r="AM49" i="7"/>
  <c r="AM83" i="7"/>
  <c r="AM58" i="7"/>
  <c r="AP110" i="7"/>
  <c r="AS110" i="7"/>
  <c r="AP45" i="7"/>
  <c r="AS45" i="7"/>
  <c r="AP71" i="7"/>
  <c r="AS71" i="7"/>
  <c r="AP112" i="7"/>
  <c r="AS112" i="7"/>
  <c r="AP96" i="7"/>
  <c r="AS96" i="7"/>
  <c r="AP98" i="7"/>
  <c r="AS98" i="7"/>
  <c r="AP77" i="7"/>
  <c r="AS77" i="7"/>
  <c r="AP72" i="7"/>
  <c r="AS72" i="7"/>
  <c r="AP102" i="7"/>
  <c r="AS102" i="7"/>
  <c r="AP67" i="7"/>
  <c r="AS67" i="7"/>
  <c r="AP101" i="7"/>
  <c r="AS101" i="7"/>
  <c r="AP107" i="7"/>
  <c r="AS107" i="7"/>
  <c r="AP103" i="7"/>
  <c r="AS103" i="7"/>
  <c r="AP95" i="7"/>
  <c r="AS95" i="7"/>
  <c r="AP69" i="7"/>
  <c r="AS69" i="7"/>
  <c r="AP113" i="7"/>
  <c r="AS113" i="7"/>
  <c r="AP75" i="7"/>
  <c r="AS75" i="7"/>
  <c r="AP68" i="7"/>
  <c r="AS68" i="7"/>
  <c r="AP76" i="7"/>
  <c r="AS76" i="7"/>
  <c r="AP104" i="7"/>
  <c r="AS104" i="7"/>
  <c r="AP108" i="7"/>
  <c r="AS108" i="7"/>
  <c r="AP97" i="7"/>
  <c r="AS97" i="7"/>
  <c r="AP109" i="7"/>
  <c r="AS109" i="7"/>
  <c r="AP114" i="7"/>
  <c r="AS114" i="7"/>
  <c r="AF44" i="7"/>
  <c r="AF48" i="7"/>
  <c r="Z48" i="7"/>
  <c r="L2" i="11"/>
  <c r="B1" i="10"/>
  <c r="Z88" i="7"/>
  <c r="Z24" i="7"/>
  <c r="Z23" i="7"/>
  <c r="Z44" i="7"/>
  <c r="Z54" i="7"/>
  <c r="Z89" i="7"/>
  <c r="Z25" i="7"/>
  <c r="Z4" i="7"/>
  <c r="Z46" i="7"/>
  <c r="Z53" i="7"/>
  <c r="Z65" i="7"/>
  <c r="Z37" i="7"/>
  <c r="Z91" i="7"/>
  <c r="Z5" i="7"/>
  <c r="Z47" i="7"/>
  <c r="Z55" i="7"/>
  <c r="Z56" i="7"/>
  <c r="Z81" i="7"/>
  <c r="Z38" i="7"/>
  <c r="Z90" i="7"/>
  <c r="Z28" i="7"/>
  <c r="Z9" i="7"/>
  <c r="Z84" i="7"/>
  <c r="Z57" i="7"/>
  <c r="Z29" i="7"/>
  <c r="Z83" i="7"/>
  <c r="Z58" i="7"/>
  <c r="Z39" i="7"/>
  <c r="Z49" i="7"/>
  <c r="Z41" i="7"/>
  <c r="Z92" i="7"/>
  <c r="Z30" i="7"/>
  <c r="Z11" i="7"/>
  <c r="Z51" i="7"/>
  <c r="Z59" i="7"/>
  <c r="Z93" i="7"/>
  <c r="Z10" i="7"/>
  <c r="Z43" i="7"/>
  <c r="Z21" i="7"/>
  <c r="Z50" i="7"/>
  <c r="Z60" i="7"/>
  <c r="Z27" i="7"/>
  <c r="Z94" i="7"/>
  <c r="Z12" i="7"/>
  <c r="Z82" i="7"/>
  <c r="Z86" i="7"/>
  <c r="Z87" i="7"/>
  <c r="Z22" i="7"/>
  <c r="Z36" i="7"/>
  <c r="Z52" i="7"/>
  <c r="Z80" i="7"/>
  <c r="Z61" i="7"/>
  <c r="AF37" i="7"/>
  <c r="AF5" i="7"/>
  <c r="AF56" i="7"/>
  <c r="AF38" i="7"/>
  <c r="AF90" i="7"/>
  <c r="AF28" i="7"/>
  <c r="AF9" i="7"/>
  <c r="AF84" i="7"/>
  <c r="AF57" i="7"/>
  <c r="AF47" i="7"/>
  <c r="AF39" i="7"/>
  <c r="AF93" i="7"/>
  <c r="AF29" i="7"/>
  <c r="AF10" i="7"/>
  <c r="AF49" i="7"/>
  <c r="AF83" i="7"/>
  <c r="AF58" i="7"/>
  <c r="AF92" i="7"/>
  <c r="AF11" i="7"/>
  <c r="AF94" i="7"/>
  <c r="AF12" i="7"/>
  <c r="AF50" i="7"/>
  <c r="AF82" i="7"/>
  <c r="AF43" i="7"/>
  <c r="AF21" i="7"/>
  <c r="AF60" i="7"/>
  <c r="AF86" i="7"/>
  <c r="AF87" i="7"/>
  <c r="AF22" i="7"/>
  <c r="AF36" i="7"/>
  <c r="AF52" i="7"/>
  <c r="AF80" i="7"/>
  <c r="AF61" i="7"/>
  <c r="AF91" i="7"/>
  <c r="AF55" i="7"/>
  <c r="AF59" i="7"/>
  <c r="AF24" i="7"/>
  <c r="AF54" i="7"/>
  <c r="AF27" i="7"/>
  <c r="AF41" i="7"/>
  <c r="AF30" i="7"/>
  <c r="AF51" i="7"/>
  <c r="AF88" i="7"/>
  <c r="AF23" i="7"/>
  <c r="AF81" i="7"/>
  <c r="AF89" i="7"/>
  <c r="AF25" i="7"/>
  <c r="AF4" i="7"/>
  <c r="AF46" i="7"/>
  <c r="AF53" i="7"/>
  <c r="AF65" i="7"/>
  <c r="T5" i="11"/>
  <c r="W5" i="11"/>
  <c r="O5" i="11"/>
  <c r="S4" i="11"/>
  <c r="W3" i="11"/>
  <c r="O3" i="11"/>
  <c r="S2" i="11"/>
  <c r="V5" i="11"/>
  <c r="N5" i="11"/>
  <c r="R4" i="11"/>
  <c r="V3" i="11"/>
  <c r="N3" i="11"/>
  <c r="R2" i="11"/>
  <c r="U5" i="11"/>
  <c r="M5" i="11"/>
  <c r="Q4" i="11"/>
  <c r="U3" i="11"/>
  <c r="M3" i="11"/>
  <c r="Q2" i="11"/>
  <c r="L5" i="11"/>
  <c r="P4" i="11"/>
  <c r="T3" i="11"/>
  <c r="L3" i="11"/>
  <c r="P2" i="11"/>
  <c r="S5" i="11"/>
  <c r="W4" i="11"/>
  <c r="O4" i="11"/>
  <c r="S3" i="11"/>
  <c r="W2" i="11"/>
  <c r="O2" i="11"/>
  <c r="R5" i="11"/>
  <c r="V4" i="11"/>
  <c r="N4" i="11"/>
  <c r="R3" i="11"/>
  <c r="V2" i="11"/>
  <c r="N2" i="11"/>
  <c r="Q5" i="11"/>
  <c r="U4" i="11"/>
  <c r="M4" i="11"/>
  <c r="Q3" i="11"/>
  <c r="U2" i="11"/>
  <c r="M2" i="11"/>
  <c r="P5" i="11"/>
  <c r="T4" i="11"/>
  <c r="L4" i="11"/>
  <c r="P3" i="11"/>
  <c r="T2" i="11"/>
  <c r="G4" i="11"/>
  <c r="G5" i="11"/>
  <c r="H4" i="11"/>
  <c r="K5" i="11"/>
  <c r="J5" i="11"/>
  <c r="C4" i="11"/>
  <c r="I5" i="11"/>
  <c r="H5" i="11"/>
  <c r="D5" i="11"/>
  <c r="C5" i="11"/>
  <c r="K4" i="11"/>
  <c r="D3" i="11"/>
  <c r="J4" i="11"/>
  <c r="I4" i="11"/>
  <c r="I2" i="11"/>
  <c r="J2" i="11"/>
  <c r="K2" i="11"/>
  <c r="F2" i="11"/>
  <c r="G2" i="11"/>
  <c r="H2" i="11"/>
  <c r="D2" i="11"/>
  <c r="B5" i="11"/>
  <c r="B4" i="11"/>
  <c r="AS4" i="9" a="1"/>
  <c r="AH3" i="9" a="1"/>
  <c r="AS6" i="9" a="1"/>
  <c r="AS5" i="9" a="1"/>
  <c r="U454" i="50" l="1"/>
  <c r="U281" i="50"/>
  <c r="U444" i="50"/>
  <c r="U109" i="50"/>
  <c r="U145" i="50"/>
  <c r="U362" i="50"/>
  <c r="U369" i="50"/>
  <c r="U469" i="50"/>
  <c r="U368" i="50"/>
  <c r="U142" i="50"/>
  <c r="U263" i="50"/>
  <c r="U26" i="50"/>
  <c r="U84" i="50"/>
  <c r="U556" i="50"/>
  <c r="U459" i="50"/>
  <c r="U574" i="50"/>
  <c r="U555" i="50"/>
  <c r="U573" i="50"/>
  <c r="U295" i="50"/>
  <c r="U110" i="50"/>
  <c r="U547" i="50"/>
  <c r="U545" i="50"/>
  <c r="U127" i="50"/>
  <c r="U382" i="50"/>
  <c r="U286" i="50"/>
  <c r="U310" i="50"/>
  <c r="U307" i="50"/>
  <c r="U49" i="50"/>
  <c r="U306" i="50"/>
  <c r="U709" i="50"/>
  <c r="U121" i="50"/>
  <c r="U112" i="50"/>
  <c r="U370" i="50"/>
  <c r="U140" i="50"/>
  <c r="U267" i="50"/>
  <c r="U509" i="50"/>
  <c r="U118" i="50"/>
  <c r="U366" i="50"/>
  <c r="U360" i="50"/>
  <c r="U117" i="50"/>
  <c r="U116" i="50"/>
  <c r="U262" i="50"/>
  <c r="U506" i="50"/>
  <c r="U357" i="50"/>
  <c r="U254" i="50"/>
  <c r="U552" i="50"/>
  <c r="U100" i="50"/>
  <c r="U452" i="50"/>
  <c r="U341" i="50"/>
  <c r="U387" i="50"/>
  <c r="U125" i="50"/>
  <c r="U481" i="50"/>
  <c r="U364" i="50"/>
  <c r="U285" i="50"/>
  <c r="U123" i="50"/>
  <c r="U309" i="50"/>
  <c r="U47" i="50"/>
  <c r="U374" i="50"/>
  <c r="U280" i="50"/>
  <c r="U443" i="50"/>
  <c r="U733" i="50"/>
  <c r="U114" i="50"/>
  <c r="U141" i="50"/>
  <c r="U143" i="50"/>
  <c r="U470" i="50"/>
  <c r="U468" i="50"/>
  <c r="U466" i="50"/>
  <c r="U361" i="50"/>
  <c r="U359" i="50"/>
  <c r="U576" i="50"/>
  <c r="U358" i="50"/>
  <c r="U257" i="50"/>
  <c r="U256" i="50"/>
  <c r="U456" i="50"/>
  <c r="U390" i="50"/>
  <c r="U111" i="50"/>
  <c r="U451" i="50"/>
  <c r="U450" i="50"/>
  <c r="U386" i="50"/>
  <c r="U33" i="50"/>
  <c r="U504" i="50"/>
  <c r="U531" i="50"/>
  <c r="U138" i="50"/>
  <c r="U126" i="50"/>
  <c r="U376" i="50"/>
  <c r="U308" i="50"/>
  <c r="U702" i="50"/>
  <c r="U305" i="50"/>
  <c r="U283" i="50"/>
  <c r="U297" i="50"/>
  <c r="U68" i="50"/>
  <c r="U282" i="50"/>
  <c r="V263" i="50"/>
  <c r="U594" i="50"/>
  <c r="U590" i="50"/>
  <c r="U592" i="50"/>
  <c r="V591" i="50"/>
  <c r="V593" i="50"/>
  <c r="U519" i="50"/>
  <c r="V297" i="50"/>
  <c r="U591" i="50"/>
  <c r="U596" i="50"/>
  <c r="V595" i="50"/>
  <c r="V597" i="50"/>
  <c r="V592" i="50"/>
  <c r="V283" i="50"/>
  <c r="V519" i="50"/>
  <c r="U593" i="50"/>
  <c r="U595" i="50"/>
  <c r="U597" i="50"/>
  <c r="V594" i="50"/>
  <c r="V590" i="50"/>
  <c r="V596" i="50"/>
  <c r="V116" i="50"/>
  <c r="V138" i="50"/>
  <c r="V561" i="50"/>
  <c r="V49" i="50"/>
  <c r="V307" i="50"/>
  <c r="V310" i="50"/>
  <c r="U560" i="50"/>
  <c r="V306" i="50"/>
  <c r="V560" i="50"/>
  <c r="V702" i="50"/>
  <c r="V376" i="50"/>
  <c r="V309" i="50"/>
  <c r="U561" i="50"/>
  <c r="U562" i="50"/>
  <c r="V286" i="50"/>
  <c r="V285" i="50"/>
  <c r="V47" i="50"/>
  <c r="V562" i="50"/>
  <c r="V308" i="50"/>
  <c r="U559" i="50"/>
  <c r="V358" i="50"/>
  <c r="V281" i="50"/>
  <c r="V386" i="50"/>
  <c r="V390" i="50"/>
  <c r="V262" i="50"/>
  <c r="V374" i="50"/>
  <c r="U150" i="50"/>
  <c r="V295" i="50"/>
  <c r="V282" i="50"/>
  <c r="V387" i="50"/>
  <c r="V151" i="50"/>
  <c r="V361" i="50"/>
  <c r="U151" i="50"/>
  <c r="V280" i="50"/>
  <c r="V559" i="50"/>
  <c r="V150" i="50"/>
  <c r="V556" i="50"/>
  <c r="V100" i="50"/>
  <c r="V370" i="50"/>
  <c r="V145" i="50"/>
  <c r="V359" i="50"/>
  <c r="V360" i="50"/>
  <c r="V140" i="50"/>
  <c r="V362" i="50"/>
  <c r="V366" i="50"/>
  <c r="V142" i="50"/>
  <c r="V564" i="50"/>
  <c r="V34" i="50"/>
  <c r="V267" i="50"/>
  <c r="V470" i="50"/>
  <c r="V368" i="50"/>
  <c r="V110" i="50"/>
  <c r="V369" i="50"/>
  <c r="V143" i="50"/>
  <c r="V111" i="50"/>
  <c r="V452" i="50"/>
  <c r="V555" i="50"/>
  <c r="V357" i="50"/>
  <c r="V256" i="50"/>
  <c r="V451" i="50"/>
  <c r="V547" i="50"/>
  <c r="V341" i="50"/>
  <c r="V450" i="50"/>
  <c r="V573" i="50"/>
  <c r="V545" i="50"/>
  <c r="V506" i="50"/>
  <c r="V257" i="50"/>
  <c r="V459" i="50"/>
  <c r="V574" i="50"/>
  <c r="V644" i="50"/>
  <c r="V645" i="50"/>
  <c r="V642" i="50"/>
  <c r="V643" i="50"/>
  <c r="V466" i="50"/>
  <c r="V118" i="50"/>
  <c r="V577" i="50"/>
  <c r="V576" i="50"/>
  <c r="V26" i="50"/>
  <c r="V117" i="50"/>
  <c r="V84" i="50"/>
  <c r="V254" i="50"/>
  <c r="V456" i="50"/>
  <c r="V509" i="50"/>
  <c r="V468" i="50"/>
  <c r="V469" i="50"/>
  <c r="U642" i="50"/>
  <c r="U643" i="50"/>
  <c r="U645" i="50"/>
  <c r="U644" i="50"/>
  <c r="U564" i="50"/>
  <c r="U34" i="50"/>
  <c r="U577" i="50"/>
  <c r="AK61" i="7"/>
  <c r="AK94" i="7"/>
  <c r="AK59" i="7"/>
  <c r="AK38" i="7"/>
  <c r="AK23" i="7"/>
  <c r="AK55" i="7"/>
  <c r="AK92" i="7"/>
  <c r="AK84" i="7"/>
  <c r="AK25" i="7"/>
  <c r="AK52" i="7"/>
  <c r="AK51" i="7"/>
  <c r="AK83" i="7"/>
  <c r="AK81" i="7"/>
  <c r="AK53" i="7"/>
  <c r="AK56" i="7"/>
  <c r="AK43" i="7"/>
  <c r="AK41" i="7"/>
  <c r="AK49" i="7"/>
  <c r="AK91" i="7"/>
  <c r="AK54" i="7"/>
  <c r="AK44" i="7"/>
  <c r="AH80" i="7"/>
  <c r="AK80" i="7"/>
  <c r="AH22" i="7"/>
  <c r="AK22" i="7"/>
  <c r="AH82" i="7"/>
  <c r="AK82" i="7"/>
  <c r="AH27" i="7"/>
  <c r="AK27" i="7"/>
  <c r="AH21" i="7"/>
  <c r="AK21" i="7"/>
  <c r="AH93" i="7"/>
  <c r="AK93" i="7"/>
  <c r="AH11" i="7"/>
  <c r="AK11" i="7"/>
  <c r="AH58" i="7"/>
  <c r="AK58" i="7"/>
  <c r="AH57" i="7"/>
  <c r="AK57" i="7"/>
  <c r="AH28" i="7"/>
  <c r="AK28" i="7"/>
  <c r="AH47" i="7"/>
  <c r="AK47" i="7"/>
  <c r="AH37" i="7"/>
  <c r="AK37" i="7"/>
  <c r="AH46" i="7"/>
  <c r="AK46" i="7"/>
  <c r="AH89" i="7"/>
  <c r="AK89" i="7"/>
  <c r="AH87" i="7"/>
  <c r="AK87" i="7"/>
  <c r="AH12" i="7"/>
  <c r="AK12" i="7"/>
  <c r="AH60" i="7"/>
  <c r="AK60" i="7"/>
  <c r="AH30" i="7"/>
  <c r="AK30" i="7"/>
  <c r="AH90" i="7"/>
  <c r="AK90" i="7"/>
  <c r="AH5" i="7"/>
  <c r="AK5" i="7"/>
  <c r="AH65" i="7"/>
  <c r="AK65" i="7"/>
  <c r="AH4" i="7"/>
  <c r="AK4" i="7"/>
  <c r="AH24" i="7"/>
  <c r="AK24" i="7"/>
  <c r="AH36" i="7"/>
  <c r="AK36" i="7"/>
  <c r="AH86" i="7"/>
  <c r="AK86" i="7"/>
  <c r="AH50" i="7"/>
  <c r="AK50" i="7"/>
  <c r="AH10" i="7"/>
  <c r="AK10" i="7"/>
  <c r="AH39" i="7"/>
  <c r="AK39" i="7"/>
  <c r="AH29" i="7"/>
  <c r="AK29" i="7"/>
  <c r="AH9" i="7"/>
  <c r="AK9" i="7"/>
  <c r="AH88" i="7"/>
  <c r="AK88" i="7"/>
  <c r="AH48" i="7"/>
  <c r="AK48" i="7"/>
  <c r="Y94" i="7" a="1"/>
  <c r="Y94" i="7" s="1"/>
  <c r="AH94" i="7"/>
  <c r="Y59" i="7" a="1"/>
  <c r="Y59" i="7" s="1"/>
  <c r="AH59" i="7"/>
  <c r="Y38" i="7" a="1"/>
  <c r="Y38" i="7" s="1"/>
  <c r="AH38" i="7"/>
  <c r="Y23" i="7" a="1"/>
  <c r="Y23" i="7" s="1"/>
  <c r="AH23" i="7"/>
  <c r="Y56" i="7" a="1"/>
  <c r="Y56" i="7" s="1"/>
  <c r="AH56" i="7"/>
  <c r="Y51" i="7" a="1"/>
  <c r="Y51" i="7" s="1"/>
  <c r="AH51" i="7"/>
  <c r="Y83" i="7" a="1"/>
  <c r="Y83" i="7" s="1"/>
  <c r="AH83" i="7"/>
  <c r="Y81" i="7" a="1"/>
  <c r="Y81" i="7" s="1"/>
  <c r="AH81" i="7"/>
  <c r="Y53" i="7" a="1"/>
  <c r="Y53" i="7" s="1"/>
  <c r="AH53" i="7"/>
  <c r="Y55" i="7" a="1"/>
  <c r="Y55" i="7" s="1"/>
  <c r="AH55" i="7"/>
  <c r="Y92" i="7" a="1"/>
  <c r="Y92" i="7" s="1"/>
  <c r="AH92" i="7"/>
  <c r="Y84" i="7" a="1"/>
  <c r="Y84" i="7" s="1"/>
  <c r="AH84" i="7"/>
  <c r="Y25" i="7" a="1"/>
  <c r="Y25" i="7" s="1"/>
  <c r="AH25" i="7"/>
  <c r="Y52" i="7" a="1"/>
  <c r="Y52" i="7" s="1"/>
  <c r="AH52" i="7"/>
  <c r="Y91" i="7" a="1"/>
  <c r="Y91" i="7" s="1"/>
  <c r="AH91" i="7"/>
  <c r="Y54" i="7" a="1"/>
  <c r="Y54" i="7" s="1"/>
  <c r="AH54" i="7"/>
  <c r="Y43" i="7" a="1"/>
  <c r="Y43" i="7" s="1"/>
  <c r="AH43" i="7"/>
  <c r="Y41" i="7" a="1"/>
  <c r="Y41" i="7" s="1"/>
  <c r="AH41" i="7"/>
  <c r="Y49" i="7" a="1"/>
  <c r="Y49" i="7" s="1"/>
  <c r="AH49" i="7"/>
  <c r="Y61" i="7" a="1"/>
  <c r="Y61" i="7" s="1"/>
  <c r="AH61" i="7"/>
  <c r="Y44" i="7" a="1"/>
  <c r="Y44" i="7" s="1"/>
  <c r="AH44" i="7"/>
  <c r="AF1" i="7"/>
  <c r="AC1" i="7"/>
  <c r="AB1" i="7"/>
  <c r="AL89" i="7"/>
  <c r="Y4" i="7" a="1"/>
  <c r="Y4" i="7" s="1"/>
  <c r="T63" i="29"/>
  <c r="U63" i="29"/>
  <c r="V63" i="29"/>
  <c r="AL60" i="7"/>
  <c r="AL22" i="7"/>
  <c r="AL47" i="7"/>
  <c r="AQ61" i="7"/>
  <c r="AR61" i="7" s="1"/>
  <c r="U32" i="50" s="1"/>
  <c r="AQ93" i="7"/>
  <c r="AR93" i="7" s="1"/>
  <c r="Y93" i="7" a="1"/>
  <c r="Y93" i="7" s="1"/>
  <c r="AQ90" i="7"/>
  <c r="AR90" i="7" s="1"/>
  <c r="Y90" i="7" a="1"/>
  <c r="Y90" i="7" s="1"/>
  <c r="AQ65" i="7"/>
  <c r="AR65" i="7" s="1"/>
  <c r="Y65" i="7" a="1"/>
  <c r="Y65" i="7" s="1"/>
  <c r="AQ23" i="7"/>
  <c r="AR23" i="7" s="1"/>
  <c r="U377" i="50" s="1"/>
  <c r="AQ52" i="7"/>
  <c r="AR52" i="7" s="1"/>
  <c r="U383" i="50" s="1"/>
  <c r="AQ27" i="7"/>
  <c r="AR27" i="7" s="1"/>
  <c r="U316" i="50" s="1"/>
  <c r="Y27" i="7" a="1"/>
  <c r="Y27" i="7" s="1"/>
  <c r="AQ83" i="7"/>
  <c r="AR83" i="7" s="1"/>
  <c r="U273" i="50" s="1"/>
  <c r="AQ24" i="7"/>
  <c r="AR24" i="7" s="1"/>
  <c r="U13" i="50" s="1"/>
  <c r="Y24" i="7" a="1"/>
  <c r="Y24" i="7" s="1"/>
  <c r="AQ82" i="7"/>
  <c r="AR82" i="7" s="1"/>
  <c r="U353" i="50" s="1"/>
  <c r="Y82" i="7" a="1"/>
  <c r="Y82" i="7" s="1"/>
  <c r="AQ36" i="7"/>
  <c r="AR36" i="7" s="1"/>
  <c r="U721" i="50" s="1"/>
  <c r="Y36" i="7" a="1"/>
  <c r="Y36" i="7" s="1"/>
  <c r="AQ60" i="7"/>
  <c r="AR60" i="7" s="1"/>
  <c r="Y60" i="7" a="1"/>
  <c r="Y60" i="7" s="1"/>
  <c r="AQ11" i="7"/>
  <c r="AR11" i="7" s="1"/>
  <c r="U699" i="50" s="1"/>
  <c r="Y11" i="7" a="1"/>
  <c r="Y11" i="7" s="1"/>
  <c r="AQ29" i="7"/>
  <c r="AR29" i="7" s="1"/>
  <c r="U404" i="50" s="1"/>
  <c r="Y29" i="7" a="1"/>
  <c r="Y29" i="7" s="1"/>
  <c r="AQ12" i="7"/>
  <c r="AR12" i="7" s="1"/>
  <c r="U701" i="50" s="1"/>
  <c r="Y12" i="7" a="1"/>
  <c r="Y12" i="7" s="1"/>
  <c r="AQ39" i="7"/>
  <c r="AR39" i="7" s="1"/>
  <c r="U566" i="50" s="1"/>
  <c r="Y39" i="7" a="1"/>
  <c r="Y39" i="7" s="1"/>
  <c r="AQ37" i="7"/>
  <c r="AR37" i="7" s="1"/>
  <c r="U431" i="50" s="1"/>
  <c r="Y37" i="7" a="1"/>
  <c r="Y37" i="7" s="1"/>
  <c r="AQ80" i="7"/>
  <c r="AR80" i="7" s="1"/>
  <c r="U270" i="50" s="1"/>
  <c r="Y80" i="7" a="1"/>
  <c r="Y80" i="7" s="1"/>
  <c r="AQ58" i="7"/>
  <c r="AR58" i="7" s="1"/>
  <c r="Y58" i="7" a="1"/>
  <c r="Y58" i="7" s="1"/>
  <c r="AQ46" i="7"/>
  <c r="AR46" i="7" s="1"/>
  <c r="U336" i="50" s="1"/>
  <c r="Y46" i="7" a="1"/>
  <c r="Y46" i="7" s="1"/>
  <c r="AQ88" i="7"/>
  <c r="AR88" i="7" s="1"/>
  <c r="U70" i="50" s="1"/>
  <c r="Y88" i="7" a="1"/>
  <c r="Y88" i="7" s="1"/>
  <c r="AQ22" i="7"/>
  <c r="AR22" i="7" s="1"/>
  <c r="Y22" i="7" a="1"/>
  <c r="Y22" i="7" s="1"/>
  <c r="AQ50" i="7"/>
  <c r="AR50" i="7" s="1"/>
  <c r="U339" i="50" s="1"/>
  <c r="Y50" i="7" a="1"/>
  <c r="Y50" i="7" s="1"/>
  <c r="AQ30" i="7"/>
  <c r="AR30" i="7" s="1"/>
  <c r="U718" i="50" s="1"/>
  <c r="Y30" i="7" a="1"/>
  <c r="Y30" i="7" s="1"/>
  <c r="AQ57" i="7"/>
  <c r="AR57" i="7" s="1"/>
  <c r="U63" i="50" s="1"/>
  <c r="Y57" i="7" a="1"/>
  <c r="Y57" i="7" s="1"/>
  <c r="AQ55" i="7"/>
  <c r="AR55" i="7" s="1"/>
  <c r="U276" i="50" s="1"/>
  <c r="AQ84" i="7"/>
  <c r="AR84" i="7" s="1"/>
  <c r="AQ47" i="7"/>
  <c r="AR47" i="7" s="1"/>
  <c r="Y47" i="7" a="1"/>
  <c r="Y47" i="7" s="1"/>
  <c r="AQ87" i="7"/>
  <c r="AR87" i="7" s="1"/>
  <c r="Y87" i="7" a="1"/>
  <c r="Y87" i="7" s="1"/>
  <c r="AQ21" i="7"/>
  <c r="AR21" i="7" s="1"/>
  <c r="Y21" i="7" a="1"/>
  <c r="Y21" i="7" s="1"/>
  <c r="AQ86" i="7"/>
  <c r="AR86" i="7" s="1"/>
  <c r="Y86" i="7" a="1"/>
  <c r="Y86" i="7" s="1"/>
  <c r="AQ5" i="7"/>
  <c r="AR5" i="7" s="1"/>
  <c r="U694" i="50" s="1"/>
  <c r="Y5" i="7" a="1"/>
  <c r="Y5" i="7" s="1"/>
  <c r="AQ89" i="7"/>
  <c r="AR89" i="7" s="1"/>
  <c r="Y89" i="7" a="1"/>
  <c r="Y89" i="7" s="1"/>
  <c r="AQ48" i="7"/>
  <c r="AR48" i="7" s="1"/>
  <c r="Y48" i="7" a="1"/>
  <c r="Y48" i="7" s="1"/>
  <c r="AQ28" i="7"/>
  <c r="AR28" i="7" s="1"/>
  <c r="Y28" i="7" a="1"/>
  <c r="Y28" i="7" s="1"/>
  <c r="AQ54" i="7"/>
  <c r="AR54" i="7" s="1"/>
  <c r="U290" i="50" s="1"/>
  <c r="AQ51" i="7"/>
  <c r="AR51" i="7" s="1"/>
  <c r="U445" i="50" s="1"/>
  <c r="AQ81" i="7"/>
  <c r="AR81" i="7" s="1"/>
  <c r="U346" i="50" s="1"/>
  <c r="AQ53" i="7"/>
  <c r="AR53" i="7" s="1"/>
  <c r="U570" i="50" s="1"/>
  <c r="AQ56" i="7"/>
  <c r="AR56" i="7" s="1"/>
  <c r="U544" i="50" s="1"/>
  <c r="AQ92" i="7"/>
  <c r="AR92" i="7" s="1"/>
  <c r="U745" i="50" s="1"/>
  <c r="AQ25" i="7"/>
  <c r="AR25" i="7" s="1"/>
  <c r="U18" i="50" s="1"/>
  <c r="AQ94" i="7"/>
  <c r="AR94" i="7" s="1"/>
  <c r="U508" i="50" s="1"/>
  <c r="AQ59" i="7"/>
  <c r="AR59" i="7" s="1"/>
  <c r="U65" i="50" s="1"/>
  <c r="AQ43" i="7"/>
  <c r="AR43" i="7" s="1"/>
  <c r="AQ41" i="7"/>
  <c r="AR41" i="7" s="1"/>
  <c r="U331" i="50" s="1"/>
  <c r="AQ9" i="7"/>
  <c r="AR9" i="7" s="1"/>
  <c r="Y9" i="7" a="1"/>
  <c r="Y9" i="7" s="1"/>
  <c r="AQ38" i="7"/>
  <c r="AR38" i="7" s="1"/>
  <c r="AQ10" i="7"/>
  <c r="AR10" i="7" s="1"/>
  <c r="U697" i="50" s="1"/>
  <c r="Y10" i="7" a="1"/>
  <c r="Y10" i="7" s="1"/>
  <c r="AQ49" i="7"/>
  <c r="AR49" i="7" s="1"/>
  <c r="U25" i="50" s="1"/>
  <c r="AQ91" i="7"/>
  <c r="AR91" i="7" s="1"/>
  <c r="U554" i="50" s="1"/>
  <c r="AQ44" i="7"/>
  <c r="AR44" i="7" s="1"/>
  <c r="U500" i="50" s="1"/>
  <c r="AQ4" i="7"/>
  <c r="AR4" i="7" s="1"/>
  <c r="U36" i="50" s="1"/>
  <c r="V54" i="29"/>
  <c r="T54" i="29"/>
  <c r="U54" i="29"/>
  <c r="I18" i="11"/>
  <c r="B17" i="11"/>
  <c r="V2" i="29"/>
  <c r="V35" i="29"/>
  <c r="V74" i="29"/>
  <c r="V36" i="29"/>
  <c r="V76" i="29"/>
  <c r="V77" i="29"/>
  <c r="T85" i="29"/>
  <c r="T9" i="29"/>
  <c r="V10" i="29"/>
  <c r="V58" i="29"/>
  <c r="T51" i="29"/>
  <c r="T72" i="29"/>
  <c r="T75" i="29"/>
  <c r="U85" i="29"/>
  <c r="U67" i="29"/>
  <c r="T86" i="29"/>
  <c r="V87" i="29"/>
  <c r="T68" i="29"/>
  <c r="V64" i="29"/>
  <c r="T58" i="29"/>
  <c r="V21" i="29"/>
  <c r="V22" i="29"/>
  <c r="V45" i="29"/>
  <c r="V75" i="29"/>
  <c r="V42" i="29"/>
  <c r="V7" i="29"/>
  <c r="U65" i="29"/>
  <c r="V95" i="29"/>
  <c r="V96" i="29"/>
  <c r="T87" i="29"/>
  <c r="T39" i="29"/>
  <c r="T88" i="29"/>
  <c r="U64" i="29"/>
  <c r="U101" i="29"/>
  <c r="V48" i="29"/>
  <c r="V31" i="29"/>
  <c r="V44" i="29"/>
  <c r="V8" i="29"/>
  <c r="V23" i="29"/>
  <c r="V38" i="29"/>
  <c r="T76" i="29"/>
  <c r="T82" i="29"/>
  <c r="T41" i="29"/>
  <c r="T32" i="29"/>
  <c r="T3" i="29"/>
  <c r="T46" i="29"/>
  <c r="T79" i="29"/>
  <c r="T74" i="29"/>
  <c r="T89" i="29"/>
  <c r="T44" i="29"/>
  <c r="T35" i="29"/>
  <c r="T24" i="29"/>
  <c r="U99" i="29"/>
  <c r="U98" i="29"/>
  <c r="U90" i="29"/>
  <c r="V98" i="29"/>
  <c r="T99" i="29"/>
  <c r="T59" i="29"/>
  <c r="U55" i="29"/>
  <c r="V68" i="29"/>
  <c r="T53" i="29"/>
  <c r="V73" i="29"/>
  <c r="V19" i="29"/>
  <c r="V24" i="29"/>
  <c r="V82" i="29"/>
  <c r="U86" i="29"/>
  <c r="U58" i="29"/>
  <c r="V100" i="29"/>
  <c r="U5" i="29"/>
  <c r="U80" i="29"/>
  <c r="V69" i="29"/>
  <c r="T94" i="29"/>
  <c r="U97" i="29"/>
  <c r="U4" i="29"/>
  <c r="V84" i="29"/>
  <c r="T77" i="29"/>
  <c r="T19" i="29"/>
  <c r="V18" i="29"/>
  <c r="V52" i="29"/>
  <c r="V93" i="29"/>
  <c r="V89" i="29"/>
  <c r="V83" i="29"/>
  <c r="V33" i="29"/>
  <c r="T42" i="29"/>
  <c r="T33" i="29"/>
  <c r="T7" i="29"/>
  <c r="T49" i="29"/>
  <c r="T21" i="29"/>
  <c r="T40" i="29"/>
  <c r="T73" i="29"/>
  <c r="T93" i="29"/>
  <c r="T45" i="29"/>
  <c r="T36" i="29"/>
  <c r="T10" i="29"/>
  <c r="T52" i="29"/>
  <c r="T83" i="29"/>
  <c r="U87" i="29"/>
  <c r="T100" i="29"/>
  <c r="V67" i="29"/>
  <c r="U11" i="29"/>
  <c r="U57" i="29"/>
  <c r="V86" i="29"/>
  <c r="V85" i="29"/>
  <c r="S59" i="29"/>
  <c r="T61" i="29"/>
  <c r="U66" i="29"/>
  <c r="V94" i="29"/>
  <c r="T23" i="29"/>
  <c r="T38" i="29"/>
  <c r="V72" i="29"/>
  <c r="V79" i="29"/>
  <c r="V47" i="29"/>
  <c r="V78" i="29"/>
  <c r="V9" i="29"/>
  <c r="V34" i="29"/>
  <c r="V49" i="29"/>
  <c r="U62" i="29"/>
  <c r="U59" i="29"/>
  <c r="U61" i="29"/>
  <c r="T64" i="29"/>
  <c r="U12" i="29"/>
  <c r="V59" i="29"/>
  <c r="T62" i="29"/>
  <c r="T101" i="29"/>
  <c r="T81" i="29"/>
  <c r="V46" i="29"/>
  <c r="V43" i="29"/>
  <c r="V81" i="29"/>
  <c r="V88" i="29"/>
  <c r="V3" i="29"/>
  <c r="V37" i="29"/>
  <c r="T37" i="29"/>
  <c r="V20" i="29"/>
  <c r="T20" i="29"/>
  <c r="T6" i="29"/>
  <c r="U92" i="29"/>
  <c r="U6" i="29"/>
  <c r="T92" i="29"/>
  <c r="T2" i="29"/>
  <c r="U2" i="29"/>
  <c r="V92" i="29"/>
  <c r="T26" i="29"/>
  <c r="V26" i="29"/>
  <c r="V17" i="29"/>
  <c r="T28" i="29"/>
  <c r="T15" i="29"/>
  <c r="T30" i="29"/>
  <c r="T17" i="29"/>
  <c r="V29" i="29"/>
  <c r="T13" i="29"/>
  <c r="T14" i="29"/>
  <c r="T29" i="29"/>
  <c r="V27" i="29"/>
  <c r="T27" i="29"/>
  <c r="V28" i="29"/>
  <c r="V15" i="29"/>
  <c r="V13" i="29"/>
  <c r="V30" i="29"/>
  <c r="V14" i="29"/>
  <c r="V97" i="29"/>
  <c r="V11" i="29"/>
  <c r="T90" i="29"/>
  <c r="V12" i="29"/>
  <c r="T97" i="29"/>
  <c r="V70" i="29"/>
  <c r="V6" i="29"/>
  <c r="V71" i="29"/>
  <c r="T12" i="29"/>
  <c r="T66" i="29"/>
  <c r="T5" i="29"/>
  <c r="T71" i="29"/>
  <c r="T91" i="29"/>
  <c r="T55" i="29"/>
  <c r="T80" i="29"/>
  <c r="U14" i="29"/>
  <c r="T11" i="29"/>
  <c r="T70" i="29"/>
  <c r="U29" i="29"/>
  <c r="T57" i="29"/>
  <c r="U27" i="29"/>
  <c r="T4" i="29"/>
  <c r="V90" i="29"/>
  <c r="U28" i="29"/>
  <c r="V55" i="29"/>
  <c r="U15" i="29"/>
  <c r="U13" i="29"/>
  <c r="U26" i="29"/>
  <c r="V66" i="29"/>
  <c r="V91" i="29"/>
  <c r="V5" i="29"/>
  <c r="V4" i="29"/>
  <c r="V80" i="29"/>
  <c r="V56" i="29"/>
  <c r="T56" i="29"/>
  <c r="V57" i="29"/>
  <c r="T8" i="29"/>
  <c r="T50" i="29"/>
  <c r="T22" i="29"/>
  <c r="T47" i="29"/>
  <c r="T18" i="29"/>
  <c r="T48" i="29"/>
  <c r="T78" i="29"/>
  <c r="T31" i="29"/>
  <c r="T25" i="29"/>
  <c r="T43" i="29"/>
  <c r="T34" i="29"/>
  <c r="U96" i="29"/>
  <c r="U94" i="29"/>
  <c r="U91" i="29"/>
  <c r="V62" i="29"/>
  <c r="T96" i="29"/>
  <c r="V61" i="29"/>
  <c r="V101" i="29"/>
  <c r="T65" i="29"/>
  <c r="V40" i="29"/>
  <c r="V25" i="29"/>
  <c r="V53" i="29"/>
  <c r="V39" i="29"/>
  <c r="V51" i="29"/>
  <c r="V50" i="29"/>
  <c r="V32" i="29"/>
  <c r="V41" i="29"/>
  <c r="S19" i="29"/>
  <c r="U100" i="29"/>
  <c r="U95" i="29"/>
  <c r="T67" i="29"/>
  <c r="T69" i="29"/>
  <c r="V65" i="29"/>
  <c r="T84" i="29"/>
  <c r="T95" i="29"/>
  <c r="U56" i="29"/>
  <c r="V99" i="29"/>
  <c r="T98" i="29"/>
  <c r="H11" i="11"/>
  <c r="G11" i="11"/>
  <c r="F11" i="11"/>
  <c r="E11" i="11"/>
  <c r="I11" i="11"/>
  <c r="B11" i="11"/>
  <c r="J11" i="11"/>
  <c r="AD93" i="7"/>
  <c r="AD84" i="7"/>
  <c r="AD83" i="7"/>
  <c r="AD48" i="7"/>
  <c r="AD5" i="7"/>
  <c r="AD53" i="7"/>
  <c r="AD80" i="7"/>
  <c r="AD94" i="7"/>
  <c r="AD50" i="7"/>
  <c r="AD41" i="7"/>
  <c r="AD29" i="7"/>
  <c r="AD90" i="7"/>
  <c r="AD37" i="7"/>
  <c r="AD88" i="7"/>
  <c r="AD49" i="7"/>
  <c r="AD38" i="7"/>
  <c r="AD9" i="7"/>
  <c r="AD56" i="7"/>
  <c r="AD25" i="7"/>
  <c r="AD46" i="7"/>
  <c r="AD81" i="7"/>
  <c r="AD87" i="7"/>
  <c r="AD52" i="7"/>
  <c r="AD43" i="7"/>
  <c r="U36" i="29" s="1"/>
  <c r="AD12" i="7"/>
  <c r="AD59" i="7"/>
  <c r="AD10" i="7"/>
  <c r="AD57" i="7"/>
  <c r="AD27" i="7"/>
  <c r="AD55" i="7"/>
  <c r="AD23" i="7"/>
  <c r="AD54" i="7"/>
  <c r="AD86" i="7"/>
  <c r="AD36" i="7"/>
  <c r="AD30" i="7"/>
  <c r="AD51" i="7"/>
  <c r="AD39" i="7"/>
  <c r="AD58" i="7"/>
  <c r="AD28" i="7"/>
  <c r="AD91" i="7"/>
  <c r="AD65" i="7"/>
  <c r="AD24" i="7"/>
  <c r="AD44" i="7"/>
  <c r="AD61" i="7"/>
  <c r="AD21" i="7"/>
  <c r="AD82" i="7"/>
  <c r="AD92" i="7"/>
  <c r="AD11" i="7"/>
  <c r="AJ47" i="7"/>
  <c r="AJ22" i="7"/>
  <c r="AJ89" i="7"/>
  <c r="AJ60" i="7"/>
  <c r="AP80" i="7"/>
  <c r="AS80" i="7"/>
  <c r="AP86" i="7"/>
  <c r="AS86" i="7"/>
  <c r="AP60" i="7"/>
  <c r="AS60" i="7"/>
  <c r="AP10" i="7"/>
  <c r="AS10" i="7"/>
  <c r="AP51" i="7"/>
  <c r="AS51" i="7"/>
  <c r="AP39" i="7"/>
  <c r="AS39" i="7"/>
  <c r="AP48" i="7"/>
  <c r="AS48" i="7"/>
  <c r="AP52" i="7"/>
  <c r="AS52" i="7"/>
  <c r="AP36" i="7"/>
  <c r="AS36" i="7"/>
  <c r="AP82" i="7"/>
  <c r="AS82" i="7"/>
  <c r="AP50" i="7"/>
  <c r="AS50" i="7"/>
  <c r="AP93" i="7"/>
  <c r="AS93" i="7"/>
  <c r="AP30" i="7"/>
  <c r="AS30" i="7"/>
  <c r="AP58" i="7"/>
  <c r="AS58" i="7"/>
  <c r="AP5" i="7"/>
  <c r="AS5" i="7"/>
  <c r="AP47" i="7"/>
  <c r="AS47" i="7"/>
  <c r="AP89" i="7"/>
  <c r="AS89" i="7"/>
  <c r="AP88" i="7"/>
  <c r="AS88" i="7"/>
  <c r="AP12" i="7"/>
  <c r="AS12" i="7"/>
  <c r="AP92" i="7"/>
  <c r="AS92" i="7"/>
  <c r="AP81" i="7"/>
  <c r="AS81" i="7"/>
  <c r="AP46" i="7"/>
  <c r="AS46" i="7"/>
  <c r="AP54" i="7"/>
  <c r="AS54" i="7"/>
  <c r="AP22" i="7"/>
  <c r="AS22" i="7"/>
  <c r="AP94" i="7"/>
  <c r="AS94" i="7"/>
  <c r="AP21" i="7"/>
  <c r="AS21" i="7"/>
  <c r="AP59" i="7"/>
  <c r="AS59" i="7"/>
  <c r="AP41" i="7"/>
  <c r="AS41" i="7"/>
  <c r="AP83" i="7"/>
  <c r="AS83" i="7"/>
  <c r="AP9" i="7"/>
  <c r="AS9" i="7"/>
  <c r="AP91" i="7"/>
  <c r="AS91" i="7"/>
  <c r="AP44" i="7"/>
  <c r="AS44" i="7"/>
  <c r="AP11" i="7"/>
  <c r="AS11" i="7"/>
  <c r="AP38" i="7"/>
  <c r="AS38" i="7"/>
  <c r="AP53" i="7"/>
  <c r="AS53" i="7"/>
  <c r="AP29" i="7"/>
  <c r="AS29" i="7"/>
  <c r="AP28" i="7"/>
  <c r="AS28" i="7"/>
  <c r="AP56" i="7"/>
  <c r="AS56" i="7"/>
  <c r="AP37" i="7"/>
  <c r="AS37" i="7"/>
  <c r="AS4" i="7"/>
  <c r="AP23" i="7"/>
  <c r="AS23" i="7"/>
  <c r="AP84" i="7"/>
  <c r="AS84" i="7"/>
  <c r="AP61" i="7"/>
  <c r="AS61" i="7"/>
  <c r="AP87" i="7"/>
  <c r="AS87" i="7"/>
  <c r="AP27" i="7"/>
  <c r="AS27" i="7"/>
  <c r="AP43" i="7"/>
  <c r="AS43" i="7"/>
  <c r="AP49" i="7"/>
  <c r="AS49" i="7"/>
  <c r="AP57" i="7"/>
  <c r="AS57" i="7"/>
  <c r="AP90" i="7"/>
  <c r="AS90" i="7"/>
  <c r="AP55" i="7"/>
  <c r="AS55" i="7"/>
  <c r="AP65" i="7"/>
  <c r="AS65" i="7"/>
  <c r="AP25" i="7"/>
  <c r="AS25" i="7"/>
  <c r="AP24" i="7"/>
  <c r="AS24" i="7"/>
  <c r="AP4" i="7"/>
  <c r="R405" i="36"/>
  <c r="R227" i="36"/>
  <c r="R383" i="36"/>
  <c r="R278" i="36"/>
  <c r="R380" i="36"/>
  <c r="R137" i="36"/>
  <c r="R312" i="36"/>
  <c r="R372" i="36"/>
  <c r="R409" i="36"/>
  <c r="R455" i="36"/>
  <c r="R158" i="36"/>
  <c r="R214" i="36"/>
  <c r="R280" i="36"/>
  <c r="R233" i="36"/>
  <c r="R204" i="36"/>
  <c r="R218" i="36"/>
  <c r="R201" i="36"/>
  <c r="R332" i="36"/>
  <c r="R209" i="36"/>
  <c r="R401" i="36"/>
  <c r="R396" i="36"/>
  <c r="R316" i="36"/>
  <c r="R273" i="36"/>
  <c r="R364" i="36"/>
  <c r="R350" i="36"/>
  <c r="R275" i="36"/>
  <c r="R246" i="36"/>
  <c r="R320" i="36"/>
  <c r="R395" i="36"/>
  <c r="R366" i="36"/>
  <c r="R411" i="36"/>
  <c r="R307" i="36"/>
  <c r="R387" i="36"/>
  <c r="R314" i="36"/>
  <c r="R266" i="36"/>
  <c r="R359" i="36"/>
  <c r="R379" i="36"/>
  <c r="R315" i="36"/>
  <c r="R362" i="36"/>
  <c r="R232" i="36"/>
  <c r="R385" i="36"/>
  <c r="R199" i="36"/>
  <c r="R351" i="36"/>
  <c r="R368" i="36"/>
  <c r="R388" i="36"/>
  <c r="R311" i="36"/>
  <c r="R100" i="36"/>
  <c r="R301" i="36"/>
  <c r="R297" i="36"/>
  <c r="R231" i="36"/>
  <c r="R319" i="36"/>
  <c r="R292" i="36"/>
  <c r="R279" i="36"/>
  <c r="R223" i="36"/>
  <c r="R414" i="36"/>
  <c r="R217" i="36"/>
  <c r="R245" i="36"/>
  <c r="R287" i="36"/>
  <c r="R93" i="36"/>
  <c r="R386" i="36"/>
  <c r="R206" i="36"/>
  <c r="R412" i="36"/>
  <c r="R378" i="36"/>
  <c r="R352" i="36"/>
  <c r="R344" i="36"/>
  <c r="R370" i="36"/>
  <c r="R203" i="36"/>
  <c r="R219" i="36"/>
  <c r="R404" i="36"/>
  <c r="R354" i="36"/>
  <c r="R304" i="36"/>
  <c r="R310" i="36"/>
  <c r="R384" i="36"/>
  <c r="R289" i="36"/>
  <c r="R267" i="36"/>
  <c r="R299" i="36"/>
  <c r="R252" i="36"/>
  <c r="R270" i="36"/>
  <c r="R200" i="36"/>
  <c r="R430" i="36"/>
  <c r="R358" i="36"/>
  <c r="R272" i="36"/>
  <c r="R399" i="36"/>
  <c r="R136" i="36"/>
  <c r="R406" i="36"/>
  <c r="R308" i="36"/>
  <c r="R198" i="36"/>
  <c r="R361" i="36"/>
  <c r="R410" i="36"/>
  <c r="R285" i="36"/>
  <c r="R317" i="36"/>
  <c r="R234" i="36"/>
  <c r="R356" i="36"/>
  <c r="R255" i="36"/>
  <c r="R321" i="36"/>
  <c r="R207" i="36"/>
  <c r="R367" i="36"/>
  <c r="R216" i="36"/>
  <c r="R283" i="36"/>
  <c r="R282" i="36"/>
  <c r="R365" i="36"/>
  <c r="R210" i="36"/>
  <c r="R374" i="36"/>
  <c r="R269" i="36"/>
  <c r="R318" i="36"/>
  <c r="R274" i="36"/>
  <c r="R400" i="36"/>
  <c r="R355" i="36"/>
  <c r="R241" i="36"/>
  <c r="R353" i="36"/>
  <c r="R300" i="36"/>
  <c r="R347" i="36"/>
  <c r="R202" i="36"/>
  <c r="R208" i="36"/>
  <c r="R238" i="36"/>
  <c r="R254" i="36"/>
  <c r="R407" i="36"/>
  <c r="R295" i="36"/>
  <c r="R212" i="36"/>
  <c r="R305" i="36"/>
  <c r="R371" i="36"/>
  <c r="R357" i="36"/>
  <c r="R256" i="36"/>
  <c r="R331" i="36"/>
  <c r="R363" i="36"/>
  <c r="R348" i="36"/>
  <c r="R239" i="36"/>
  <c r="R298" i="36"/>
  <c r="R394" i="36"/>
  <c r="R291" i="36"/>
  <c r="R381" i="36"/>
  <c r="R393" i="36"/>
  <c r="R382" i="36"/>
  <c r="R373" i="36"/>
  <c r="R229" i="36"/>
  <c r="R369" i="36"/>
  <c r="R90" i="36"/>
  <c r="R408" i="36"/>
  <c r="R213" i="36"/>
  <c r="R377" i="36"/>
  <c r="R286" i="36"/>
  <c r="R402" i="36"/>
  <c r="R257" i="36"/>
  <c r="R288" i="36"/>
  <c r="R306" i="36"/>
  <c r="R424" i="36"/>
  <c r="R263" i="36"/>
  <c r="R397" i="36"/>
  <c r="R248" i="36"/>
  <c r="R294" i="36"/>
  <c r="R205" i="36"/>
  <c r="R303" i="36"/>
  <c r="R97" i="36"/>
  <c r="R284" i="36"/>
  <c r="R261" i="36"/>
  <c r="R242" i="36"/>
  <c r="R226" i="36"/>
  <c r="R392" i="36"/>
  <c r="R271" i="36"/>
  <c r="R418" i="36"/>
  <c r="R309" i="36"/>
  <c r="R215" i="36"/>
  <c r="R250" i="36"/>
  <c r="R230" i="36"/>
  <c r="R276" i="36"/>
  <c r="R96" i="36"/>
  <c r="R375" i="36"/>
  <c r="R390" i="36"/>
  <c r="R264" i="36"/>
  <c r="R360" i="36"/>
  <c r="R188" i="36"/>
  <c r="R281" i="36"/>
  <c r="R171" i="36"/>
  <c r="R389" i="36"/>
  <c r="R391" i="36"/>
  <c r="R313" i="36"/>
  <c r="R376" i="36"/>
  <c r="R277" i="36"/>
  <c r="R290" i="36"/>
  <c r="R185" i="36"/>
  <c r="R268" i="36"/>
  <c r="R403" i="36"/>
  <c r="R237" i="36"/>
  <c r="R346" i="36"/>
  <c r="R333" i="36"/>
  <c r="R243" i="36"/>
  <c r="R228" i="36"/>
  <c r="R343" i="36"/>
  <c r="R174" i="36"/>
  <c r="R302" i="36"/>
  <c r="R293" i="36"/>
  <c r="R296" i="36"/>
  <c r="R98" i="36"/>
  <c r="R413" i="36"/>
  <c r="R259" i="36"/>
  <c r="R211" i="36"/>
  <c r="R260" i="36"/>
  <c r="D4" i="11"/>
  <c r="E2" i="11"/>
  <c r="AS5" i="9"/>
  <c r="AT5" i="9" s="1"/>
  <c r="AS6" i="9"/>
  <c r="AT6" i="9" s="1"/>
  <c r="AH3" i="9"/>
  <c r="AS4" i="9"/>
  <c r="AT4" i="9" s="1"/>
  <c r="AI47" i="7"/>
  <c r="AI89" i="7"/>
  <c r="AI60" i="7"/>
  <c r="AI22" i="7"/>
  <c r="K5" i="7"/>
  <c r="K6" i="7"/>
  <c r="K7" i="7"/>
  <c r="K8" i="7"/>
  <c r="K9" i="7"/>
  <c r="K10" i="7"/>
  <c r="K11" i="7"/>
  <c r="K12" i="7"/>
  <c r="K14" i="7"/>
  <c r="K13" i="7"/>
  <c r="K15" i="7"/>
  <c r="K16" i="7"/>
  <c r="K17" i="7"/>
  <c r="K18" i="7"/>
  <c r="K19" i="7"/>
  <c r="K20" i="7"/>
  <c r="K23" i="7"/>
  <c r="K24" i="7"/>
  <c r="K25" i="7"/>
  <c r="K27" i="7"/>
  <c r="K28" i="7"/>
  <c r="K29" i="7"/>
  <c r="K30" i="7"/>
  <c r="K32" i="7"/>
  <c r="K33" i="7"/>
  <c r="K31" i="7"/>
  <c r="K34" i="7"/>
  <c r="K35" i="7"/>
  <c r="K36" i="7"/>
  <c r="K37" i="7"/>
  <c r="K38" i="7"/>
  <c r="K39" i="7"/>
  <c r="K41" i="7"/>
  <c r="K43" i="7"/>
  <c r="K44" i="7"/>
  <c r="K21" i="7"/>
  <c r="K22" i="7"/>
  <c r="K46" i="7"/>
  <c r="K47" i="7"/>
  <c r="K48" i="7"/>
  <c r="K49" i="7"/>
  <c r="K51" i="7"/>
  <c r="K50" i="7"/>
  <c r="K52" i="7"/>
  <c r="K55" i="7"/>
  <c r="K54" i="7"/>
  <c r="K53" i="7"/>
  <c r="K56" i="7"/>
  <c r="K57" i="7"/>
  <c r="K58" i="7"/>
  <c r="K59" i="7"/>
  <c r="K60" i="7"/>
  <c r="K61" i="7"/>
  <c r="K63" i="7"/>
  <c r="K64" i="7"/>
  <c r="K66" i="7"/>
  <c r="K45" i="7"/>
  <c r="K67" i="7"/>
  <c r="K68" i="7"/>
  <c r="K69" i="7"/>
  <c r="K71" i="7"/>
  <c r="K72" i="7"/>
  <c r="K73" i="7"/>
  <c r="K74" i="7"/>
  <c r="K75" i="7"/>
  <c r="K76" i="7"/>
  <c r="K77" i="7"/>
  <c r="K78" i="7"/>
  <c r="K79" i="7"/>
  <c r="K65" i="7"/>
  <c r="K81" i="7"/>
  <c r="K80" i="7"/>
  <c r="K82" i="7"/>
  <c r="K83" i="7"/>
  <c r="K84" i="7"/>
  <c r="K86" i="7"/>
  <c r="K88" i="7"/>
  <c r="K85" i="7"/>
  <c r="K89" i="7"/>
  <c r="K91" i="7"/>
  <c r="K90" i="7"/>
  <c r="K93" i="7"/>
  <c r="K95" i="7"/>
  <c r="K96" i="7"/>
  <c r="K97" i="7"/>
  <c r="K98" i="7"/>
  <c r="K92" i="7"/>
  <c r="K94" i="7"/>
  <c r="K99" i="7"/>
  <c r="K100" i="7"/>
  <c r="K101" i="7"/>
  <c r="K87" i="7"/>
  <c r="K103" i="7"/>
  <c r="K102" i="7"/>
  <c r="K104" i="7"/>
  <c r="K105" i="7"/>
  <c r="K106" i="7"/>
  <c r="K107" i="7"/>
  <c r="K108" i="7"/>
  <c r="K109" i="7"/>
  <c r="K110" i="7"/>
  <c r="K112" i="7"/>
  <c r="K113" i="7"/>
  <c r="K114" i="7"/>
  <c r="K111" i="7"/>
  <c r="K4" i="7"/>
  <c r="U715" i="50" l="1"/>
  <c r="U301" i="50"/>
  <c r="U214" i="50"/>
  <c r="U211" i="50"/>
  <c r="V214" i="50"/>
  <c r="V211" i="50"/>
  <c r="U7" i="50"/>
  <c r="U43" i="50"/>
  <c r="U8" i="50"/>
  <c r="U44" i="50"/>
  <c r="U486" i="50"/>
  <c r="U11" i="50"/>
  <c r="U61" i="50"/>
  <c r="U394" i="50"/>
  <c r="U695" i="50"/>
  <c r="U303" i="50"/>
  <c r="U14" i="50"/>
  <c r="U23" i="50"/>
  <c r="U494" i="50"/>
  <c r="U714" i="50"/>
  <c r="U419" i="50"/>
  <c r="U426" i="50"/>
  <c r="U429" i="50"/>
  <c r="U725" i="50"/>
  <c r="U540" i="50"/>
  <c r="U447" i="50"/>
  <c r="U344" i="50"/>
  <c r="U351" i="50"/>
  <c r="U553" i="50"/>
  <c r="U259" i="50"/>
  <c r="U115" i="50"/>
  <c r="U4" i="50"/>
  <c r="U311" i="50"/>
  <c r="U20" i="50"/>
  <c r="U408" i="50"/>
  <c r="U712" i="50"/>
  <c r="U717" i="50"/>
  <c r="U319" i="50"/>
  <c r="U322" i="50"/>
  <c r="U328" i="50"/>
  <c r="U441" i="50"/>
  <c r="U340" i="50"/>
  <c r="U350" i="50"/>
  <c r="U113" i="50"/>
  <c r="U315" i="50"/>
  <c r="U700" i="50"/>
  <c r="U40" i="50"/>
  <c r="U213" i="50"/>
  <c r="U534" i="50"/>
  <c r="U406" i="50"/>
  <c r="U51" i="50"/>
  <c r="U416" i="50"/>
  <c r="U320" i="50"/>
  <c r="U246" i="50"/>
  <c r="U729" i="50"/>
  <c r="U542" i="50"/>
  <c r="U735" i="50"/>
  <c r="U108" i="50"/>
  <c r="U349" i="50"/>
  <c r="U572" i="50"/>
  <c r="U260" i="50"/>
  <c r="U12" i="50"/>
  <c r="U62" i="50"/>
  <c r="U487" i="50"/>
  <c r="U35" i="50"/>
  <c r="U488" i="50"/>
  <c r="U103" i="50"/>
  <c r="U691" i="50"/>
  <c r="U698" i="50"/>
  <c r="U300" i="50"/>
  <c r="U240" i="50"/>
  <c r="U706" i="50"/>
  <c r="U50" i="50"/>
  <c r="U414" i="50"/>
  <c r="U421" i="50"/>
  <c r="U539" i="50"/>
  <c r="U565" i="50"/>
  <c r="U727" i="50"/>
  <c r="U332" i="50"/>
  <c r="U734" i="50"/>
  <c r="U736" i="50"/>
  <c r="U275" i="50"/>
  <c r="U251" i="50"/>
  <c r="U551" i="50"/>
  <c r="U711" i="50"/>
  <c r="U507" i="50"/>
  <c r="U261" i="50"/>
  <c r="U696" i="50"/>
  <c r="U302" i="50"/>
  <c r="U16" i="50"/>
  <c r="U535" i="50"/>
  <c r="U411" i="50"/>
  <c r="U716" i="50"/>
  <c r="U420" i="50"/>
  <c r="U55" i="50"/>
  <c r="U323" i="50"/>
  <c r="U430" i="50"/>
  <c r="U105" i="50"/>
  <c r="U437" i="50"/>
  <c r="U31" i="50"/>
  <c r="U345" i="50"/>
  <c r="U352" i="50"/>
  <c r="U72" i="50"/>
  <c r="U461" i="50"/>
  <c r="U464" i="50"/>
  <c r="U304" i="50"/>
  <c r="U22" i="50"/>
  <c r="U492" i="50"/>
  <c r="U713" i="50"/>
  <c r="U354" i="50"/>
  <c r="U424" i="50"/>
  <c r="U428" i="50"/>
  <c r="U247" i="50"/>
  <c r="U330" i="50"/>
  <c r="U567" i="50"/>
  <c r="U568" i="50"/>
  <c r="U549" i="50"/>
  <c r="U71" i="50"/>
  <c r="U79" i="50"/>
  <c r="U312" i="50"/>
  <c r="U38" i="50"/>
  <c r="U298" i="50"/>
  <c r="U692" i="50"/>
  <c r="U39" i="50"/>
  <c r="U296" i="50"/>
  <c r="U693" i="50"/>
  <c r="U41" i="50"/>
  <c r="U686" i="50"/>
  <c r="U314" i="50"/>
  <c r="U407" i="50"/>
  <c r="U413" i="50"/>
  <c r="U418" i="50"/>
  <c r="U321" i="50"/>
  <c r="U327" i="50"/>
  <c r="U433" i="50"/>
  <c r="U501" i="50"/>
  <c r="U446" i="50"/>
  <c r="U571" i="50"/>
  <c r="U74" i="50"/>
  <c r="U78" i="50"/>
  <c r="U9" i="50"/>
  <c r="U299" i="50"/>
  <c r="U106" i="50"/>
  <c r="U378" i="50"/>
  <c r="U313" i="50"/>
  <c r="U405" i="50"/>
  <c r="U707" i="50"/>
  <c r="U318" i="50"/>
  <c r="U723" i="50"/>
  <c r="U724" i="50"/>
  <c r="U432" i="50"/>
  <c r="U333" i="50"/>
  <c r="U73" i="50"/>
  <c r="U463" i="50"/>
  <c r="U541" i="50"/>
  <c r="U412" i="50"/>
  <c r="U54" i="50"/>
  <c r="U325" i="50"/>
  <c r="V570" i="50"/>
  <c r="V65" i="50"/>
  <c r="V290" i="50"/>
  <c r="V273" i="50"/>
  <c r="V378" i="50"/>
  <c r="V686" i="50"/>
  <c r="V377" i="50"/>
  <c r="V500" i="50"/>
  <c r="V441" i="50"/>
  <c r="V734" i="50"/>
  <c r="V735" i="50"/>
  <c r="V501" i="50"/>
  <c r="V59" i="50"/>
  <c r="V383" i="50"/>
  <c r="V146" i="50"/>
  <c r="V411" i="50"/>
  <c r="V405" i="50"/>
  <c r="V407" i="50"/>
  <c r="V493" i="50"/>
  <c r="V408" i="50"/>
  <c r="V492" i="50"/>
  <c r="V412" i="50"/>
  <c r="V406" i="50"/>
  <c r="V51" i="50"/>
  <c r="V50" i="50"/>
  <c r="V707" i="50"/>
  <c r="V494" i="50"/>
  <c r="V404" i="50"/>
  <c r="V706" i="50"/>
  <c r="V541" i="50"/>
  <c r="V330" i="50"/>
  <c r="V106" i="50"/>
  <c r="V332" i="50"/>
  <c r="V433" i="50"/>
  <c r="V432" i="50"/>
  <c r="V437" i="50"/>
  <c r="V729" i="50"/>
  <c r="V540" i="50"/>
  <c r="V331" i="50"/>
  <c r="V542" i="50"/>
  <c r="V333" i="50"/>
  <c r="V507" i="50"/>
  <c r="V463" i="50"/>
  <c r="V745" i="50"/>
  <c r="V259" i="50"/>
  <c r="V260" i="50"/>
  <c r="V461" i="50"/>
  <c r="V9" i="50"/>
  <c r="V679" i="50"/>
  <c r="V680" i="50"/>
  <c r="V697" i="50"/>
  <c r="V12" i="50"/>
  <c r="V678" i="50"/>
  <c r="V7" i="50"/>
  <c r="V11" i="50"/>
  <c r="V8" i="50"/>
  <c r="V312" i="50"/>
  <c r="V315" i="50"/>
  <c r="V16" i="50"/>
  <c r="V683" i="50"/>
  <c r="V681" i="50"/>
  <c r="V534" i="50"/>
  <c r="V23" i="50"/>
  <c r="V18" i="50"/>
  <c r="V314" i="50"/>
  <c r="V14" i="50"/>
  <c r="V313" i="50"/>
  <c r="V682" i="50"/>
  <c r="V22" i="50"/>
  <c r="V684" i="50"/>
  <c r="V20" i="50"/>
  <c r="V63" i="50"/>
  <c r="V62" i="50"/>
  <c r="V674" i="50"/>
  <c r="V675" i="50"/>
  <c r="V677" i="50"/>
  <c r="V672" i="50"/>
  <c r="V673" i="50"/>
  <c r="V676" i="50"/>
  <c r="V689" i="50"/>
  <c r="V35" i="50"/>
  <c r="V36" i="50"/>
  <c r="V398" i="50"/>
  <c r="V44" i="50"/>
  <c r="V43" i="50"/>
  <c r="V699" i="50"/>
  <c r="V397" i="50"/>
  <c r="V698" i="50"/>
  <c r="V327" i="50"/>
  <c r="V428" i="50"/>
  <c r="V727" i="50"/>
  <c r="V431" i="50"/>
  <c r="V325" i="50"/>
  <c r="V322" i="50"/>
  <c r="V328" i="50"/>
  <c r="V246" i="50"/>
  <c r="V723" i="50"/>
  <c r="V247" i="50"/>
  <c r="V539" i="50"/>
  <c r="V321" i="50"/>
  <c r="V430" i="50"/>
  <c r="V320" i="50"/>
  <c r="V429" i="50"/>
  <c r="V565" i="50"/>
  <c r="V725" i="50"/>
  <c r="V323" i="50"/>
  <c r="V724" i="50"/>
  <c r="V74" i="50"/>
  <c r="V71" i="50"/>
  <c r="V553" i="50"/>
  <c r="V235" i="50"/>
  <c r="V237" i="50"/>
  <c r="V572" i="50"/>
  <c r="V72" i="50"/>
  <c r="V554" i="50"/>
  <c r="V73" i="50"/>
  <c r="V236" i="50"/>
  <c r="V40" i="50"/>
  <c r="V394" i="50"/>
  <c r="V691" i="50"/>
  <c r="V693" i="50"/>
  <c r="V692" i="50"/>
  <c r="V4" i="50"/>
  <c r="V694" i="50"/>
  <c r="V487" i="50"/>
  <c r="V695" i="50"/>
  <c r="V38" i="50"/>
  <c r="V486" i="50"/>
  <c r="V296" i="50"/>
  <c r="V41" i="50"/>
  <c r="V39" i="50"/>
  <c r="V696" i="50"/>
  <c r="V316" i="50"/>
  <c r="V535" i="50"/>
  <c r="V700" i="50"/>
  <c r="V701" i="50"/>
  <c r="V488" i="50"/>
  <c r="V103" i="50"/>
  <c r="V400" i="50"/>
  <c r="V339" i="50"/>
  <c r="V447" i="50"/>
  <c r="V646" i="50"/>
  <c r="V648" i="50"/>
  <c r="V647" i="50"/>
  <c r="V230" i="50"/>
  <c r="V25" i="50"/>
  <c r="V32" i="50"/>
  <c r="V31" i="50"/>
  <c r="V13" i="50"/>
  <c r="V311" i="50"/>
  <c r="V219" i="50"/>
  <c r="V340" i="50"/>
  <c r="V544" i="50"/>
  <c r="V213" i="50"/>
  <c r="V212" i="50"/>
  <c r="V215" i="50"/>
  <c r="V301" i="50"/>
  <c r="V302" i="50"/>
  <c r="V303" i="50"/>
  <c r="V299" i="50"/>
  <c r="V300" i="50"/>
  <c r="V304" i="50"/>
  <c r="V298" i="50"/>
  <c r="V336" i="50"/>
  <c r="V228" i="50"/>
  <c r="V229" i="50"/>
  <c r="V105" i="50"/>
  <c r="V566" i="50"/>
  <c r="V567" i="50"/>
  <c r="V634" i="50"/>
  <c r="V629" i="50"/>
  <c r="V615" i="50"/>
  <c r="V637" i="50"/>
  <c r="V624" i="50"/>
  <c r="V617" i="50"/>
  <c r="V609" i="50"/>
  <c r="V626" i="50"/>
  <c r="V605" i="50"/>
  <c r="V630" i="50"/>
  <c r="V618" i="50"/>
  <c r="V641" i="50"/>
  <c r="V627" i="50"/>
  <c r="V610" i="50"/>
  <c r="V598" i="50"/>
  <c r="V638" i="50"/>
  <c r="V632" i="50"/>
  <c r="V606" i="50"/>
  <c r="V622" i="50"/>
  <c r="V633" i="50"/>
  <c r="V623" i="50"/>
  <c r="V620" i="50"/>
  <c r="V625" i="50"/>
  <c r="V600" i="50"/>
  <c r="V601" i="50"/>
  <c r="V614" i="50"/>
  <c r="V613" i="50"/>
  <c r="V621" i="50"/>
  <c r="V607" i="50"/>
  <c r="V611" i="50"/>
  <c r="V635" i="50"/>
  <c r="V602" i="50"/>
  <c r="V636" i="50"/>
  <c r="V608" i="50"/>
  <c r="V619" i="50"/>
  <c r="V604" i="50"/>
  <c r="V612" i="50"/>
  <c r="V640" i="50"/>
  <c r="V603" i="50"/>
  <c r="V616" i="50"/>
  <c r="V631" i="50"/>
  <c r="V628" i="50"/>
  <c r="V233" i="50"/>
  <c r="V70" i="50"/>
  <c r="V571" i="50"/>
  <c r="V549" i="50"/>
  <c r="V551" i="50"/>
  <c r="V352" i="50"/>
  <c r="V353" i="50"/>
  <c r="V354" i="50"/>
  <c r="V351" i="50"/>
  <c r="V349" i="50"/>
  <c r="V639" i="50"/>
  <c r="V665" i="50"/>
  <c r="V204" i="50"/>
  <c r="V667" i="50"/>
  <c r="V652" i="50"/>
  <c r="V660" i="50"/>
  <c r="V663" i="50"/>
  <c r="V662" i="50"/>
  <c r="V659" i="50"/>
  <c r="V209" i="50"/>
  <c r="V651" i="50"/>
  <c r="V669" i="50"/>
  <c r="V657" i="50"/>
  <c r="V655" i="50"/>
  <c r="V661" i="50"/>
  <c r="V671" i="50"/>
  <c r="V200" i="50"/>
  <c r="V649" i="50"/>
  <c r="V198" i="50"/>
  <c r="V654" i="50"/>
  <c r="V206" i="50"/>
  <c r="V666" i="50"/>
  <c r="V650" i="50"/>
  <c r="V656" i="50"/>
  <c r="V664" i="50"/>
  <c r="V668" i="50"/>
  <c r="V653" i="50"/>
  <c r="V658" i="50"/>
  <c r="V670" i="50"/>
  <c r="V275" i="50"/>
  <c r="V276" i="50"/>
  <c r="V115" i="50"/>
  <c r="V261" i="50"/>
  <c r="V113" i="50"/>
  <c r="V464" i="50"/>
  <c r="V79" i="50"/>
  <c r="V78" i="50"/>
  <c r="V508" i="50"/>
  <c r="V345" i="50"/>
  <c r="V344" i="50"/>
  <c r="V346" i="50"/>
  <c r="V251" i="50"/>
  <c r="V713" i="50"/>
  <c r="V413" i="50"/>
  <c r="V420" i="50"/>
  <c r="V421" i="50"/>
  <c r="V54" i="50"/>
  <c r="V712" i="50"/>
  <c r="V717" i="50"/>
  <c r="V419" i="50"/>
  <c r="V52" i="50"/>
  <c r="V53" i="50"/>
  <c r="V714" i="50"/>
  <c r="V716" i="50"/>
  <c r="V318" i="50"/>
  <c r="V414" i="50"/>
  <c r="V418" i="50"/>
  <c r="V718" i="50"/>
  <c r="V416" i="50"/>
  <c r="V426" i="50"/>
  <c r="V55" i="50"/>
  <c r="V721" i="50"/>
  <c r="V424" i="50"/>
  <c r="V319" i="50"/>
  <c r="V543" i="50"/>
  <c r="V446" i="50"/>
  <c r="V568" i="50"/>
  <c r="V736" i="50"/>
  <c r="V108" i="50"/>
  <c r="V445" i="50"/>
  <c r="V231" i="50"/>
  <c r="V61" i="50"/>
  <c r="V270" i="50"/>
  <c r="U605" i="50"/>
  <c r="U634" i="50"/>
  <c r="U622" i="50"/>
  <c r="U611" i="50"/>
  <c r="U616" i="50"/>
  <c r="U625" i="50"/>
  <c r="U637" i="50"/>
  <c r="U613" i="50"/>
  <c r="U641" i="50"/>
  <c r="U640" i="50"/>
  <c r="U618" i="50"/>
  <c r="U638" i="50"/>
  <c r="U600" i="50"/>
  <c r="U598" i="50"/>
  <c r="U633" i="50"/>
  <c r="U632" i="50"/>
  <c r="U631" i="50"/>
  <c r="U607" i="50"/>
  <c r="U602" i="50"/>
  <c r="U604" i="50"/>
  <c r="U636" i="50"/>
  <c r="U612" i="50"/>
  <c r="U606" i="50"/>
  <c r="U614" i="50"/>
  <c r="U620" i="50"/>
  <c r="U626" i="50"/>
  <c r="U621" i="50"/>
  <c r="U627" i="50"/>
  <c r="U608" i="50"/>
  <c r="U619" i="50"/>
  <c r="U624" i="50"/>
  <c r="U603" i="50"/>
  <c r="U635" i="50"/>
  <c r="U610" i="50"/>
  <c r="U623" i="50"/>
  <c r="U617" i="50"/>
  <c r="U601" i="50"/>
  <c r="U615" i="50"/>
  <c r="U630" i="50"/>
  <c r="U629" i="50"/>
  <c r="U628" i="50"/>
  <c r="U609" i="50"/>
  <c r="U233" i="50"/>
  <c r="U398" i="50"/>
  <c r="U397" i="50"/>
  <c r="U219" i="50"/>
  <c r="U689" i="50"/>
  <c r="U215" i="50"/>
  <c r="U212" i="50"/>
  <c r="U59" i="50"/>
  <c r="U673" i="50"/>
  <c r="U675" i="50"/>
  <c r="U676" i="50"/>
  <c r="U672" i="50"/>
  <c r="U677" i="50"/>
  <c r="U674" i="50"/>
  <c r="U53" i="50"/>
  <c r="U52" i="50"/>
  <c r="U229" i="50"/>
  <c r="U228" i="50"/>
  <c r="U235" i="50"/>
  <c r="U237" i="50"/>
  <c r="U236" i="50"/>
  <c r="U543" i="50"/>
  <c r="U231" i="50"/>
  <c r="U230" i="50"/>
  <c r="U400" i="50"/>
  <c r="U146" i="50"/>
  <c r="U679" i="50"/>
  <c r="U678" i="50"/>
  <c r="U680" i="50"/>
  <c r="U684" i="50"/>
  <c r="U681" i="50"/>
  <c r="U683" i="50"/>
  <c r="U682" i="50"/>
  <c r="U670" i="50"/>
  <c r="U663" i="50"/>
  <c r="U204" i="50"/>
  <c r="U206" i="50"/>
  <c r="U657" i="50"/>
  <c r="U200" i="50"/>
  <c r="U652" i="50"/>
  <c r="U639" i="50"/>
  <c r="U668" i="50"/>
  <c r="U655" i="50"/>
  <c r="U671" i="50"/>
  <c r="U669" i="50"/>
  <c r="U667" i="50"/>
  <c r="U659" i="50"/>
  <c r="U664" i="50"/>
  <c r="U649" i="50"/>
  <c r="U656" i="50"/>
  <c r="U209" i="50"/>
  <c r="U666" i="50"/>
  <c r="U662" i="50"/>
  <c r="U658" i="50"/>
  <c r="U661" i="50"/>
  <c r="U660" i="50"/>
  <c r="U665" i="50"/>
  <c r="U650" i="50"/>
  <c r="U651" i="50"/>
  <c r="U654" i="50"/>
  <c r="U653" i="50"/>
  <c r="U198" i="50"/>
  <c r="U493" i="50"/>
  <c r="U647" i="50"/>
  <c r="U646" i="50"/>
  <c r="U648" i="50"/>
  <c r="AH1" i="7"/>
  <c r="U93" i="29"/>
  <c r="W93" i="29" s="1"/>
  <c r="Y93" i="29" s="1"/>
  <c r="U82" i="29"/>
  <c r="W82" i="29" s="1"/>
  <c r="Y82" i="29" s="1"/>
  <c r="U25" i="29"/>
  <c r="W25" i="29" s="1"/>
  <c r="Y25" i="29" s="1"/>
  <c r="U8" i="29"/>
  <c r="W8" i="29" s="1"/>
  <c r="U76" i="29"/>
  <c r="W76" i="29" s="1"/>
  <c r="U19" i="29"/>
  <c r="W19" i="29" s="1"/>
  <c r="X19" i="29" s="1"/>
  <c r="U52" i="29"/>
  <c r="W52" i="29" s="1"/>
  <c r="Y52" i="29" s="1"/>
  <c r="U35" i="29"/>
  <c r="W35" i="29" s="1"/>
  <c r="U10" i="29"/>
  <c r="W10" i="29" s="1"/>
  <c r="U7" i="29"/>
  <c r="W7" i="29" s="1"/>
  <c r="U79" i="29"/>
  <c r="W79" i="29" s="1"/>
  <c r="Y79" i="29" s="1"/>
  <c r="U9" i="29"/>
  <c r="W9" i="29" s="1"/>
  <c r="U81" i="29"/>
  <c r="W81" i="29" s="1"/>
  <c r="U89" i="29"/>
  <c r="W89" i="29" s="1"/>
  <c r="Y89" i="29" s="1"/>
  <c r="U3" i="29"/>
  <c r="W3" i="29" s="1"/>
  <c r="AD1" i="7"/>
  <c r="U75" i="29"/>
  <c r="W75" i="29" s="1"/>
  <c r="Y75" i="29" s="1"/>
  <c r="W63" i="29"/>
  <c r="U17" i="29"/>
  <c r="W17" i="29" s="1"/>
  <c r="U23" i="29"/>
  <c r="W23" i="29" s="1"/>
  <c r="U51" i="29"/>
  <c r="W51" i="29" s="1"/>
  <c r="U39" i="29"/>
  <c r="W39" i="29" s="1"/>
  <c r="U34" i="29"/>
  <c r="W34" i="29" s="1"/>
  <c r="U73" i="29"/>
  <c r="W73" i="29" s="1"/>
  <c r="U32" i="29"/>
  <c r="W32" i="29" s="1"/>
  <c r="Y32" i="29" s="1"/>
  <c r="U38" i="29"/>
  <c r="W38" i="29" s="1"/>
  <c r="U21" i="29"/>
  <c r="W21" i="29" s="1"/>
  <c r="Y21" i="29" s="1"/>
  <c r="U49" i="29"/>
  <c r="W49" i="29" s="1"/>
  <c r="U78" i="29"/>
  <c r="W78" i="29" s="1"/>
  <c r="U88" i="29"/>
  <c r="W88" i="29" s="1"/>
  <c r="Y88" i="29" s="1"/>
  <c r="U42" i="29"/>
  <c r="W42" i="29" s="1"/>
  <c r="Y42" i="29" s="1"/>
  <c r="U74" i="29"/>
  <c r="W74" i="29" s="1"/>
  <c r="U22" i="29"/>
  <c r="W22" i="29" s="1"/>
  <c r="U83" i="29"/>
  <c r="W83" i="29" s="1"/>
  <c r="U43" i="29"/>
  <c r="W43" i="29" s="1"/>
  <c r="U50" i="29"/>
  <c r="W50" i="29" s="1"/>
  <c r="U41" i="29"/>
  <c r="W41" i="29" s="1"/>
  <c r="U37" i="29"/>
  <c r="W37" i="29" s="1"/>
  <c r="U24" i="29"/>
  <c r="W24" i="29" s="1"/>
  <c r="U20" i="29"/>
  <c r="W20" i="29" s="1"/>
  <c r="Y20" i="29" s="1"/>
  <c r="U31" i="29"/>
  <c r="W31" i="29" s="1"/>
  <c r="Y31" i="29" s="1"/>
  <c r="U71" i="29"/>
  <c r="W71" i="29" s="1"/>
  <c r="U72" i="29"/>
  <c r="W72" i="29" s="1"/>
  <c r="U44" i="29"/>
  <c r="W44" i="29" s="1"/>
  <c r="U84" i="29"/>
  <c r="W84" i="29" s="1"/>
  <c r="Y84" i="29" s="1"/>
  <c r="U33" i="29"/>
  <c r="W33" i="29" s="1"/>
  <c r="Y33" i="29" s="1"/>
  <c r="U70" i="29"/>
  <c r="W70" i="29" s="1"/>
  <c r="U68" i="29"/>
  <c r="W68" i="29" s="1"/>
  <c r="U69" i="29"/>
  <c r="W69" i="29" s="1"/>
  <c r="U46" i="29"/>
  <c r="W46" i="29" s="1"/>
  <c r="U30" i="29"/>
  <c r="W30" i="29" s="1"/>
  <c r="W54" i="29"/>
  <c r="U48" i="29"/>
  <c r="U77" i="29"/>
  <c r="U18" i="29"/>
  <c r="U45" i="29"/>
  <c r="U47" i="29"/>
  <c r="U53" i="29"/>
  <c r="W100" i="29"/>
  <c r="W87" i="29"/>
  <c r="W13" i="29"/>
  <c r="W94" i="29"/>
  <c r="W14" i="29"/>
  <c r="W58" i="29"/>
  <c r="W36" i="29"/>
  <c r="W67" i="29"/>
  <c r="W26" i="29"/>
  <c r="W91" i="29"/>
  <c r="W27" i="29"/>
  <c r="W96" i="29"/>
  <c r="W15" i="29"/>
  <c r="W2" i="29"/>
  <c r="W55" i="29"/>
  <c r="Y55" i="29" s="1"/>
  <c r="W56" i="29"/>
  <c r="W95" i="29"/>
  <c r="Y95" i="29" s="1"/>
  <c r="W97" i="29"/>
  <c r="W64" i="29"/>
  <c r="W57" i="29"/>
  <c r="W90" i="29"/>
  <c r="Y90" i="29" s="1"/>
  <c r="W29" i="29"/>
  <c r="W12" i="29"/>
  <c r="W11" i="29"/>
  <c r="W98" i="29"/>
  <c r="W6" i="29"/>
  <c r="W86" i="29"/>
  <c r="W99" i="29"/>
  <c r="W28" i="29"/>
  <c r="W61" i="29"/>
  <c r="Y61" i="29" s="1"/>
  <c r="W66" i="29"/>
  <c r="W80" i="29"/>
  <c r="W85" i="29"/>
  <c r="Y85" i="29" s="1"/>
  <c r="W59" i="29"/>
  <c r="W5" i="29"/>
  <c r="W65" i="29"/>
  <c r="W92" i="29"/>
  <c r="Y92" i="29" s="1"/>
  <c r="W62" i="29"/>
  <c r="W4" i="29"/>
  <c r="W101" i="29"/>
  <c r="U40" i="29"/>
  <c r="Y8" i="29" l="1"/>
  <c r="Y36" i="29"/>
  <c r="Y69" i="29"/>
  <c r="Y10" i="29"/>
  <c r="Y96" i="29"/>
  <c r="Y67" i="29"/>
  <c r="Y73" i="29"/>
  <c r="Y58" i="29"/>
  <c r="Y81" i="29"/>
  <c r="Y72" i="29"/>
  <c r="Y78" i="29"/>
  <c r="Y101" i="29"/>
  <c r="Y68" i="29"/>
  <c r="Y39" i="29"/>
  <c r="Y34" i="29"/>
  <c r="X59" i="29"/>
  <c r="Y59" i="29"/>
  <c r="Y23" i="29"/>
  <c r="Y94" i="29"/>
  <c r="Y41" i="29"/>
  <c r="W18" i="29"/>
  <c r="Y44" i="29"/>
  <c r="W77" i="29"/>
  <c r="Y50" i="29"/>
  <c r="W48" i="29"/>
  <c r="Y3" i="29"/>
  <c r="W40" i="29"/>
  <c r="Y46" i="29"/>
  <c r="W53" i="29"/>
  <c r="W47" i="29"/>
  <c r="W45" i="29"/>
  <c r="Y62" i="29"/>
  <c r="Y64" i="29"/>
  <c r="AS3" i="9" a="1"/>
  <c r="Y40" i="29" l="1"/>
  <c r="AS3" i="9"/>
  <c r="AT3" i="9" s="1"/>
  <c r="T18" i="7" l="1"/>
  <c r="U18" i="7" s="1"/>
  <c r="T22" i="7"/>
  <c r="U22" i="7" s="1"/>
  <c r="T47" i="7"/>
  <c r="U47" i="7" s="1"/>
  <c r="T60" i="7"/>
  <c r="U60" i="7" s="1"/>
  <c r="T73" i="7"/>
  <c r="U73" i="7" s="1"/>
  <c r="T89" i="7"/>
  <c r="U89" i="7" s="1"/>
  <c r="T105" i="7"/>
  <c r="U105" i="7" s="1"/>
  <c r="A111" i="7"/>
  <c r="C23" i="11" l="1"/>
  <c r="C26" i="11" l="1"/>
  <c r="Q4" i="40" l="1" a="1"/>
  <c r="Z50" i="40" s="1"/>
  <c r="Z58" i="40"/>
  <c r="Z57" i="40"/>
  <c r="Z41" i="40" l="1"/>
  <c r="Z48" i="40"/>
  <c r="Z14" i="40"/>
  <c r="Z28" i="40"/>
  <c r="Z19" i="40"/>
  <c r="Z54" i="40"/>
  <c r="Z34" i="40"/>
  <c r="Z43" i="40"/>
  <c r="Z6" i="40"/>
  <c r="Z23" i="40"/>
  <c r="Z25" i="40"/>
  <c r="Z24" i="40"/>
  <c r="Z45" i="40"/>
  <c r="Z20" i="40"/>
  <c r="Z11" i="40"/>
  <c r="Z38" i="40"/>
  <c r="Z26" i="40"/>
  <c r="Z52" i="40"/>
  <c r="Z30" i="40"/>
  <c r="Z27" i="40"/>
  <c r="Z56" i="40"/>
  <c r="Z16" i="40"/>
  <c r="Z37" i="40"/>
  <c r="Z12" i="40"/>
  <c r="Z49" i="40"/>
  <c r="Z22" i="40"/>
  <c r="Z18" i="40"/>
  <c r="Z9" i="40"/>
  <c r="Z15" i="40"/>
  <c r="Z42" i="40"/>
  <c r="Z32" i="40"/>
  <c r="Z55" i="40"/>
  <c r="Z29" i="40"/>
  <c r="Z4" i="40"/>
  <c r="Z33" i="40"/>
  <c r="Z53" i="40"/>
  <c r="Z10" i="40"/>
  <c r="Z5" i="40"/>
  <c r="Z8" i="40"/>
  <c r="Z17" i="40"/>
  <c r="Z36" i="40"/>
  <c r="Q4" i="40"/>
  <c r="Z47" i="40"/>
  <c r="Z31" i="40"/>
  <c r="Z13" i="40"/>
  <c r="Z51" i="40"/>
  <c r="Z40" i="40"/>
  <c r="Z21" i="40"/>
  <c r="Z7" i="40"/>
  <c r="Z46" i="40"/>
  <c r="Z44" i="40"/>
  <c r="Z35" i="40"/>
  <c r="Z39" i="40"/>
  <c r="AN3" i="7" l="1"/>
  <c r="I3" i="7"/>
  <c r="AA3" i="7" s="1"/>
  <c r="AL3" i="7" l="1"/>
  <c r="T3" i="7"/>
  <c r="U3" i="7" s="1"/>
  <c r="AI3" i="7"/>
  <c r="AJ3" i="7"/>
  <c r="AN12" i="7" l="1"/>
  <c r="I14" i="7"/>
  <c r="I114" i="7"/>
  <c r="I112" i="7"/>
  <c r="I113" i="7"/>
  <c r="I97" i="7"/>
  <c r="I101" i="7"/>
  <c r="I31" i="7"/>
  <c r="I40" i="7"/>
  <c r="I100" i="7"/>
  <c r="I13" i="7"/>
  <c r="AN13" i="7"/>
  <c r="AN36" i="7"/>
  <c r="AN14" i="7"/>
  <c r="I90" i="7"/>
  <c r="AN92" i="7"/>
  <c r="AN37" i="7"/>
  <c r="AN112" i="7"/>
  <c r="I58" i="7"/>
  <c r="AN34" i="7"/>
  <c r="I38" i="7"/>
  <c r="I109" i="7"/>
  <c r="AN85" i="7"/>
  <c r="I53" i="7"/>
  <c r="I28" i="7"/>
  <c r="AN28" i="7"/>
  <c r="I67" i="7"/>
  <c r="I35" i="7"/>
  <c r="AN11" i="7"/>
  <c r="I7" i="7"/>
  <c r="AN52" i="7"/>
  <c r="I54" i="7"/>
  <c r="I56" i="7"/>
  <c r="AN110" i="7"/>
  <c r="I20" i="7"/>
  <c r="AN20" i="7"/>
  <c r="I110" i="7" l="1"/>
  <c r="T110" i="7" s="1"/>
  <c r="U110" i="7" s="1"/>
  <c r="I34" i="7"/>
  <c r="T34" i="7" s="1"/>
  <c r="U34" i="7" s="1"/>
  <c r="I74" i="7"/>
  <c r="T74" i="7" s="1"/>
  <c r="U74" i="7" s="1"/>
  <c r="AN96" i="7"/>
  <c r="AN51" i="7"/>
  <c r="I16" i="7"/>
  <c r="AI16" i="7" s="1"/>
  <c r="I11" i="7"/>
  <c r="AA11" i="7" s="1"/>
  <c r="I83" i="7"/>
  <c r="T83" i="7" s="1"/>
  <c r="U83" i="7" s="1"/>
  <c r="I99" i="7"/>
  <c r="AI99" i="7" s="1"/>
  <c r="I62" i="7"/>
  <c r="AN30" i="7"/>
  <c r="I72" i="7"/>
  <c r="T72" i="7" s="1"/>
  <c r="U72" i="7" s="1"/>
  <c r="I87" i="7"/>
  <c r="AI87" i="7" s="1"/>
  <c r="I107" i="7"/>
  <c r="AA107" i="7" s="1"/>
  <c r="I19" i="7"/>
  <c r="AA19" i="7" s="1"/>
  <c r="I44" i="7"/>
  <c r="AA44" i="7" s="1"/>
  <c r="I85" i="7"/>
  <c r="AI85" i="7" s="1"/>
  <c r="I26" i="7"/>
  <c r="AI26" i="7" s="1"/>
  <c r="AN44" i="7"/>
  <c r="I12" i="7"/>
  <c r="T12" i="7" s="1"/>
  <c r="U12" i="7" s="1"/>
  <c r="AN29" i="7"/>
  <c r="I8" i="7"/>
  <c r="AI8" i="7" s="1"/>
  <c r="I33" i="7"/>
  <c r="AA33" i="7" s="1"/>
  <c r="I82" i="7"/>
  <c r="T82" i="7" s="1"/>
  <c r="U82" i="7" s="1"/>
  <c r="I32" i="7"/>
  <c r="AA32" i="7" s="1"/>
  <c r="I81" i="7"/>
  <c r="AI81" i="7" s="1"/>
  <c r="I50" i="7"/>
  <c r="AI50" i="7" s="1"/>
  <c r="I42" i="7"/>
  <c r="F4" i="11" s="1"/>
  <c r="I4" i="7"/>
  <c r="T4" i="7" s="1"/>
  <c r="U4" i="7" s="1"/>
  <c r="AN50" i="7"/>
  <c r="I66" i="7"/>
  <c r="AA66" i="7" s="1"/>
  <c r="I41" i="7"/>
  <c r="AA41" i="7" s="1"/>
  <c r="I24" i="7"/>
  <c r="AA24" i="7" s="1"/>
  <c r="AN71" i="7"/>
  <c r="AN5" i="7"/>
  <c r="I27" i="7"/>
  <c r="AA27" i="7" s="1"/>
  <c r="AN41" i="7"/>
  <c r="I52" i="7"/>
  <c r="AA52" i="7" s="1"/>
  <c r="I46" i="7"/>
  <c r="AI46" i="7" s="1"/>
  <c r="I104" i="7"/>
  <c r="AA104" i="7" s="1"/>
  <c r="I65" i="7"/>
  <c r="AI65" i="7" s="1"/>
  <c r="I45" i="7"/>
  <c r="T45" i="7" s="1"/>
  <c r="U45" i="7" s="1"/>
  <c r="I5" i="7"/>
  <c r="T5" i="7" s="1"/>
  <c r="U5" i="7" s="1"/>
  <c r="I96" i="7"/>
  <c r="AA96" i="7" s="1"/>
  <c r="I69" i="7"/>
  <c r="AI69" i="7" s="1"/>
  <c r="AN66" i="7"/>
  <c r="I71" i="7"/>
  <c r="AA71" i="7" s="1"/>
  <c r="I75" i="7"/>
  <c r="AI75" i="7" s="1"/>
  <c r="I51" i="7"/>
  <c r="T51" i="7" s="1"/>
  <c r="U51" i="7" s="1"/>
  <c r="I9" i="7"/>
  <c r="AA9" i="7" s="1"/>
  <c r="I106" i="7"/>
  <c r="AI106" i="7" s="1"/>
  <c r="AN94" i="7"/>
  <c r="AN95" i="7"/>
  <c r="I79" i="7"/>
  <c r="AA79" i="7" s="1"/>
  <c r="I68" i="7"/>
  <c r="I95" i="7"/>
  <c r="AI95" i="7" s="1"/>
  <c r="I94" i="7"/>
  <c r="AI94" i="7" s="1"/>
  <c r="I64" i="7"/>
  <c r="AI64" i="7" s="1"/>
  <c r="I25" i="7"/>
  <c r="AI25" i="7" s="1"/>
  <c r="I80" i="7"/>
  <c r="E5" i="11" s="1"/>
  <c r="AN68" i="7"/>
  <c r="I36" i="7"/>
  <c r="AI36" i="7" s="1"/>
  <c r="I37" i="7"/>
  <c r="AA37" i="7" s="1"/>
  <c r="I92" i="7"/>
  <c r="AA92" i="7" s="1"/>
  <c r="I21" i="7"/>
  <c r="AA21" i="7" s="1"/>
  <c r="I102" i="7"/>
  <c r="E4" i="11" s="1"/>
  <c r="I43" i="7"/>
  <c r="AA43" i="7" s="1"/>
  <c r="I30" i="7"/>
  <c r="I98" i="7"/>
  <c r="T98" i="7" s="1"/>
  <c r="U98" i="7" s="1"/>
  <c r="I29" i="7"/>
  <c r="AI29" i="7" s="1"/>
  <c r="AN98" i="7"/>
  <c r="I63" i="7"/>
  <c r="AA63" i="7" s="1"/>
  <c r="I91" i="7"/>
  <c r="AA91" i="7" s="1"/>
  <c r="I17" i="7"/>
  <c r="AA17" i="7" s="1"/>
  <c r="I10" i="7"/>
  <c r="AA10" i="7" s="1"/>
  <c r="I86" i="7"/>
  <c r="AI86" i="7" s="1"/>
  <c r="I23" i="7"/>
  <c r="AI23" i="7" s="1"/>
  <c r="I48" i="7"/>
  <c r="T48" i="7" s="1"/>
  <c r="U48" i="7" s="1"/>
  <c r="AN23" i="7"/>
  <c r="I84" i="7"/>
  <c r="I77" i="7"/>
  <c r="I55" i="7"/>
  <c r="AA55" i="7" s="1"/>
  <c r="I111" i="7"/>
  <c r="I78" i="7"/>
  <c r="I49" i="7"/>
  <c r="I103" i="7"/>
  <c r="I59" i="7"/>
  <c r="I108" i="7"/>
  <c r="I6" i="7"/>
  <c r="I61" i="7"/>
  <c r="I93" i="7"/>
  <c r="I76" i="7"/>
  <c r="I15" i="7"/>
  <c r="I88" i="7"/>
  <c r="I39" i="7"/>
  <c r="I57" i="7"/>
  <c r="AA13" i="7"/>
  <c r="T13" i="7"/>
  <c r="U13" i="7" s="1"/>
  <c r="AI13" i="7"/>
  <c r="AI101" i="7"/>
  <c r="T101" i="7"/>
  <c r="U101" i="7" s="1"/>
  <c r="AA101" i="7"/>
  <c r="AA7" i="7"/>
  <c r="AI7" i="7"/>
  <c r="T7" i="7"/>
  <c r="U7" i="7" s="1"/>
  <c r="AA90" i="7"/>
  <c r="AI90" i="7"/>
  <c r="T90" i="7"/>
  <c r="U90" i="7" s="1"/>
  <c r="T100" i="7"/>
  <c r="U100" i="7" s="1"/>
  <c r="K3" i="11"/>
  <c r="AI100" i="7"/>
  <c r="AA100" i="7"/>
  <c r="T56" i="7"/>
  <c r="U56" i="7" s="1"/>
  <c r="AI56" i="7"/>
  <c r="AA56" i="7"/>
  <c r="AA14" i="7"/>
  <c r="T14" i="7"/>
  <c r="U14" i="7" s="1"/>
  <c r="AI14" i="7"/>
  <c r="AI40" i="7"/>
  <c r="AA40" i="7"/>
  <c r="T40" i="7"/>
  <c r="U40" i="7" s="1"/>
  <c r="AA114" i="7"/>
  <c r="AI114" i="7"/>
  <c r="T114" i="7"/>
  <c r="U114" i="7" s="1"/>
  <c r="T35" i="7"/>
  <c r="U35" i="7" s="1"/>
  <c r="AA35" i="7"/>
  <c r="AI35" i="7"/>
  <c r="T67" i="7"/>
  <c r="U67" i="7" s="1"/>
  <c r="AA67" i="7"/>
  <c r="AI67" i="7"/>
  <c r="AA53" i="7"/>
  <c r="AI53" i="7"/>
  <c r="T53" i="7"/>
  <c r="U53" i="7" s="1"/>
  <c r="AI58" i="7"/>
  <c r="T58" i="7"/>
  <c r="U58" i="7" s="1"/>
  <c r="AA58" i="7"/>
  <c r="AI113" i="7"/>
  <c r="T113" i="7"/>
  <c r="U113" i="7" s="1"/>
  <c r="AA113" i="7"/>
  <c r="AI54" i="7"/>
  <c r="AA54" i="7"/>
  <c r="T54" i="7"/>
  <c r="U54" i="7" s="1"/>
  <c r="AI109" i="7"/>
  <c r="U109" i="7"/>
  <c r="AA109" i="7"/>
  <c r="AA112" i="7"/>
  <c r="T112" i="7"/>
  <c r="U112" i="7" s="1"/>
  <c r="AI112" i="7"/>
  <c r="AA31" i="7"/>
  <c r="AI31" i="7"/>
  <c r="T31" i="7"/>
  <c r="U31" i="7" s="1"/>
  <c r="T38" i="7"/>
  <c r="U38" i="7" s="1"/>
  <c r="AI38" i="7"/>
  <c r="AA38" i="7"/>
  <c r="AI97" i="7"/>
  <c r="AA97" i="7"/>
  <c r="T97" i="7"/>
  <c r="U97" i="7" s="1"/>
  <c r="AI20" i="7"/>
  <c r="AA20" i="7"/>
  <c r="T20" i="7"/>
  <c r="U20" i="7" s="1"/>
  <c r="T28" i="7"/>
  <c r="U28" i="7" s="1"/>
  <c r="AA28" i="7"/>
  <c r="AI28" i="7"/>
  <c r="S6" i="29" l="1"/>
  <c r="X6" i="29" s="1"/>
  <c r="S31" i="29"/>
  <c r="X31" i="29" s="1"/>
  <c r="S54" i="29"/>
  <c r="X54" i="29" s="1"/>
  <c r="S26" i="29"/>
  <c r="X26" i="29" s="1"/>
  <c r="S95" i="29"/>
  <c r="X95" i="29" s="1"/>
  <c r="S56" i="29"/>
  <c r="X56" i="29" s="1"/>
  <c r="S12" i="29"/>
  <c r="X12" i="29" s="1"/>
  <c r="S86" i="29"/>
  <c r="X86" i="29" s="1"/>
  <c r="S34" i="29"/>
  <c r="X34" i="29" s="1"/>
  <c r="S37" i="29"/>
  <c r="X37" i="29" s="1"/>
  <c r="S93" i="29"/>
  <c r="X93" i="29" s="1"/>
  <c r="S27" i="29"/>
  <c r="X27" i="29" s="1"/>
  <c r="S47" i="29"/>
  <c r="X47" i="29" s="1"/>
  <c r="S15" i="29"/>
  <c r="X15" i="29" s="1"/>
  <c r="S44" i="29"/>
  <c r="X44" i="29" s="1"/>
  <c r="S81" i="29"/>
  <c r="X81" i="29" s="1"/>
  <c r="S11" i="29"/>
  <c r="X11" i="29" s="1"/>
  <c r="S80" i="29"/>
  <c r="X80" i="29" s="1"/>
  <c r="S29" i="29"/>
  <c r="X29" i="29" s="1"/>
  <c r="S98" i="29"/>
  <c r="X98" i="29" s="1"/>
  <c r="S99" i="29"/>
  <c r="X99" i="29" s="1"/>
  <c r="S22" i="29"/>
  <c r="X22" i="29" s="1"/>
  <c r="S97" i="29"/>
  <c r="X97" i="29" s="1"/>
  <c r="S100" i="29"/>
  <c r="X100" i="29" s="1"/>
  <c r="S67" i="29"/>
  <c r="X67" i="29" s="1"/>
  <c r="AI63" i="7"/>
  <c r="T17" i="7"/>
  <c r="U17" i="7" s="1"/>
  <c r="AI32" i="7"/>
  <c r="AL104" i="7"/>
  <c r="S91" i="29"/>
  <c r="X91" i="29" s="1"/>
  <c r="AL27" i="7"/>
  <c r="S21" i="29"/>
  <c r="X21" i="29" s="1"/>
  <c r="AL53" i="7"/>
  <c r="S45" i="29"/>
  <c r="X45" i="29" s="1"/>
  <c r="AL56" i="7"/>
  <c r="S48" i="29"/>
  <c r="X48" i="29" s="1"/>
  <c r="AL10" i="7"/>
  <c r="S8" i="29"/>
  <c r="X8" i="29" s="1"/>
  <c r="AL43" i="7"/>
  <c r="S36" i="29"/>
  <c r="X36" i="29" s="1"/>
  <c r="AL11" i="7"/>
  <c r="S9" i="29"/>
  <c r="X9" i="29" s="1"/>
  <c r="AL38" i="7"/>
  <c r="S32" i="29"/>
  <c r="X32" i="29" s="1"/>
  <c r="AL90" i="7"/>
  <c r="S78" i="29"/>
  <c r="X78" i="29" s="1"/>
  <c r="AL9" i="7"/>
  <c r="S7" i="29"/>
  <c r="X7" i="29" s="1"/>
  <c r="AL58" i="7"/>
  <c r="AL40" i="7"/>
  <c r="AL92" i="7"/>
  <c r="S83" i="29"/>
  <c r="X83" i="29" s="1"/>
  <c r="AL91" i="7"/>
  <c r="S77" i="29"/>
  <c r="X77" i="29" s="1"/>
  <c r="AL21" i="7"/>
  <c r="S38" i="29"/>
  <c r="X38" i="29" s="1"/>
  <c r="AL24" i="7"/>
  <c r="S18" i="29"/>
  <c r="X18" i="29" s="1"/>
  <c r="AL7" i="7"/>
  <c r="AA110" i="7"/>
  <c r="AI110" i="7"/>
  <c r="AL37" i="7"/>
  <c r="AL41" i="7"/>
  <c r="AL44" i="7"/>
  <c r="AL71" i="7"/>
  <c r="AL101" i="7"/>
  <c r="AL28" i="7"/>
  <c r="AL96" i="7"/>
  <c r="AL100" i="7"/>
  <c r="AL109" i="7"/>
  <c r="AL67" i="7"/>
  <c r="AL52" i="7"/>
  <c r="AL107" i="7"/>
  <c r="AL31" i="7"/>
  <c r="AL79" i="7"/>
  <c r="AL66" i="7"/>
  <c r="AL20" i="7"/>
  <c r="AL112" i="7"/>
  <c r="AL114" i="7"/>
  <c r="AL33" i="7"/>
  <c r="AL113" i="7"/>
  <c r="AL13" i="7"/>
  <c r="AL35" i="7"/>
  <c r="AL54" i="7"/>
  <c r="AL19" i="7"/>
  <c r="AL14" i="7"/>
  <c r="AL97" i="7"/>
  <c r="AA34" i="7"/>
  <c r="AI34" i="7"/>
  <c r="T16" i="7"/>
  <c r="U16" i="7" s="1"/>
  <c r="AA16" i="7"/>
  <c r="AI11" i="7"/>
  <c r="AI74" i="7"/>
  <c r="AA74" i="7"/>
  <c r="T11" i="7"/>
  <c r="U11" i="7" s="1"/>
  <c r="AA87" i="7"/>
  <c r="AI83" i="7"/>
  <c r="AA8" i="7"/>
  <c r="AA83" i="7"/>
  <c r="AI42" i="7"/>
  <c r="T99" i="7"/>
  <c r="U99" i="7" s="1"/>
  <c r="AA99" i="7"/>
  <c r="T8" i="7"/>
  <c r="U8" i="7" s="1"/>
  <c r="T87" i="7"/>
  <c r="U87" i="7" s="1"/>
  <c r="AA62" i="7"/>
  <c r="T62" i="7"/>
  <c r="U62" i="7" s="1"/>
  <c r="AI62" i="7"/>
  <c r="G3" i="11"/>
  <c r="AA72" i="7"/>
  <c r="AI24" i="7"/>
  <c r="AI72" i="7"/>
  <c r="AI41" i="7"/>
  <c r="T26" i="7"/>
  <c r="U26" i="7" s="1"/>
  <c r="AA26" i="7"/>
  <c r="T19" i="7"/>
  <c r="U19" i="7" s="1"/>
  <c r="AI107" i="7"/>
  <c r="AA12" i="7"/>
  <c r="AI19" i="7"/>
  <c r="AI12" i="7"/>
  <c r="T107" i="7"/>
  <c r="U107" i="7" s="1"/>
  <c r="AI52" i="7"/>
  <c r="AA94" i="7"/>
  <c r="T44" i="7"/>
  <c r="U44" i="7" s="1"/>
  <c r="T94" i="7"/>
  <c r="U94" i="7" s="1"/>
  <c r="AA42" i="7"/>
  <c r="T42" i="7"/>
  <c r="U42" i="7" s="1"/>
  <c r="J3" i="11"/>
  <c r="T50" i="7"/>
  <c r="U50" i="7" s="1"/>
  <c r="AI44" i="7"/>
  <c r="T75" i="7"/>
  <c r="U75" i="7" s="1"/>
  <c r="AA75" i="7"/>
  <c r="AA106" i="7"/>
  <c r="AI27" i="7"/>
  <c r="AI66" i="7"/>
  <c r="AA85" i="7"/>
  <c r="T85" i="7"/>
  <c r="U85" i="7" s="1"/>
  <c r="T106" i="7"/>
  <c r="U106" i="7" s="1"/>
  <c r="T69" i="7"/>
  <c r="U69" i="7" s="1"/>
  <c r="T24" i="7"/>
  <c r="U24" i="7" s="1"/>
  <c r="T65" i="7"/>
  <c r="U65" i="7" s="1"/>
  <c r="AA65" i="7"/>
  <c r="T52" i="7"/>
  <c r="U52" i="7" s="1"/>
  <c r="T96" i="7"/>
  <c r="U96" i="7" s="1"/>
  <c r="T79" i="7"/>
  <c r="U79" i="7" s="1"/>
  <c r="T46" i="7"/>
  <c r="U46" i="7" s="1"/>
  <c r="AI96" i="7"/>
  <c r="AI51" i="7"/>
  <c r="T32" i="7"/>
  <c r="U32" i="7" s="1"/>
  <c r="T66" i="7"/>
  <c r="U66" i="7" s="1"/>
  <c r="T27" i="7"/>
  <c r="U27" i="7" s="1"/>
  <c r="AA46" i="7"/>
  <c r="AA95" i="7"/>
  <c r="AA82" i="7"/>
  <c r="AA64" i="7"/>
  <c r="AA69" i="7"/>
  <c r="I3" i="11"/>
  <c r="U21" i="7"/>
  <c r="U64" i="7"/>
  <c r="AA51" i="7"/>
  <c r="T25" i="7"/>
  <c r="U25" i="7" s="1"/>
  <c r="AI98" i="7"/>
  <c r="T102" i="7"/>
  <c r="U102" i="7" s="1"/>
  <c r="AA98" i="7"/>
  <c r="AA102" i="7"/>
  <c r="AI79" i="7"/>
  <c r="AI5" i="7"/>
  <c r="B2" i="11"/>
  <c r="AA5" i="7"/>
  <c r="AI102" i="7"/>
  <c r="AA45" i="7"/>
  <c r="AI9" i="7"/>
  <c r="AI45" i="7"/>
  <c r="AA4" i="7"/>
  <c r="T104" i="7"/>
  <c r="U104" i="7" s="1"/>
  <c r="S52" i="29"/>
  <c r="X52" i="29" s="1"/>
  <c r="AI71" i="7"/>
  <c r="AI4" i="7"/>
  <c r="AI104" i="7"/>
  <c r="AA50" i="7"/>
  <c r="U63" i="7"/>
  <c r="T71" i="7"/>
  <c r="U71" i="7" s="1"/>
  <c r="AI21" i="7"/>
  <c r="U41" i="7"/>
  <c r="T9" i="7"/>
  <c r="U9" i="7" s="1"/>
  <c r="T43" i="7"/>
  <c r="U43" i="7" s="1"/>
  <c r="T95" i="7"/>
  <c r="U95" i="7" s="1"/>
  <c r="AI82" i="7"/>
  <c r="T10" i="7"/>
  <c r="U10" i="7" s="1"/>
  <c r="F5" i="11"/>
  <c r="H3" i="11"/>
  <c r="B3" i="11"/>
  <c r="T33" i="7"/>
  <c r="U33" i="7" s="1"/>
  <c r="AA25" i="7"/>
  <c r="AI33" i="7"/>
  <c r="AA81" i="7"/>
  <c r="T81" i="7"/>
  <c r="U81" i="7" s="1"/>
  <c r="T36" i="7"/>
  <c r="U36" i="7" s="1"/>
  <c r="AI10" i="7"/>
  <c r="T92" i="7"/>
  <c r="U92" i="7" s="1"/>
  <c r="AI17" i="7"/>
  <c r="AA36" i="7"/>
  <c r="AI30" i="7"/>
  <c r="AI43" i="7"/>
  <c r="T30" i="7"/>
  <c r="U30" i="7" s="1"/>
  <c r="AA80" i="7"/>
  <c r="AA30" i="7"/>
  <c r="T80" i="7"/>
  <c r="U80" i="7" s="1"/>
  <c r="AI80" i="7"/>
  <c r="T23" i="7"/>
  <c r="U23" i="7" s="1"/>
  <c r="S14" i="29"/>
  <c r="X14" i="29" s="1"/>
  <c r="AI92" i="7"/>
  <c r="AA23" i="7"/>
  <c r="C3" i="11"/>
  <c r="T91" i="7"/>
  <c r="U91" i="7" s="1"/>
  <c r="AI68" i="7"/>
  <c r="T68" i="7"/>
  <c r="U68" i="7" s="1"/>
  <c r="AA68" i="7"/>
  <c r="AI37" i="7"/>
  <c r="T37" i="7"/>
  <c r="U37" i="7" s="1"/>
  <c r="AI91" i="7"/>
  <c r="C2" i="11"/>
  <c r="AA86" i="7"/>
  <c r="AA29" i="7"/>
  <c r="T29" i="7"/>
  <c r="U29" i="7" s="1"/>
  <c r="U86" i="7"/>
  <c r="AA48" i="7"/>
  <c r="AI48" i="7"/>
  <c r="E3" i="11"/>
  <c r="F3" i="11"/>
  <c r="AA61" i="7"/>
  <c r="T61" i="7"/>
  <c r="U61" i="7" s="1"/>
  <c r="AI61" i="7"/>
  <c r="S46" i="29"/>
  <c r="X46" i="29" s="1"/>
  <c r="AI55" i="7"/>
  <c r="T55" i="7"/>
  <c r="U55" i="7" s="1"/>
  <c r="AI39" i="7"/>
  <c r="AA39" i="7"/>
  <c r="T39" i="7"/>
  <c r="U39" i="7" s="1"/>
  <c r="AA108" i="7"/>
  <c r="T108" i="7"/>
  <c r="U108" i="7" s="1"/>
  <c r="AI108" i="7"/>
  <c r="AI103" i="7"/>
  <c r="U103" i="7"/>
  <c r="AA103" i="7"/>
  <c r="T49" i="7"/>
  <c r="U49" i="7" s="1"/>
  <c r="AI49" i="7"/>
  <c r="AA49" i="7"/>
  <c r="T57" i="7"/>
  <c r="U57" i="7" s="1"/>
  <c r="AA57" i="7"/>
  <c r="AI57" i="7"/>
  <c r="T77" i="7"/>
  <c r="U77" i="7" s="1"/>
  <c r="AI77" i="7"/>
  <c r="AA77" i="7"/>
  <c r="AA88" i="7"/>
  <c r="T88" i="7"/>
  <c r="U88" i="7" s="1"/>
  <c r="AI88" i="7"/>
  <c r="AI76" i="7"/>
  <c r="AA76" i="7"/>
  <c r="T76" i="7"/>
  <c r="U76" i="7" s="1"/>
  <c r="T78" i="7"/>
  <c r="U78" i="7" s="1"/>
  <c r="AA78" i="7"/>
  <c r="AI78" i="7"/>
  <c r="AI6" i="7"/>
  <c r="AA6" i="7"/>
  <c r="T6" i="7"/>
  <c r="U6" i="7" s="1"/>
  <c r="AI111" i="7"/>
  <c r="AA111" i="7"/>
  <c r="T111" i="7"/>
  <c r="U111" i="7" s="1"/>
  <c r="AA15" i="7"/>
  <c r="T15" i="7"/>
  <c r="U15" i="7" s="1"/>
  <c r="AI15" i="7"/>
  <c r="AI84" i="7"/>
  <c r="AA84" i="7"/>
  <c r="T84" i="7"/>
  <c r="U84" i="7" s="1"/>
  <c r="AA59" i="7"/>
  <c r="AI59" i="7"/>
  <c r="T59" i="7"/>
  <c r="U59" i="7" s="1"/>
  <c r="T93" i="7"/>
  <c r="U93" i="7" s="1"/>
  <c r="AA93" i="7"/>
  <c r="AI93" i="7"/>
  <c r="C12" i="11"/>
  <c r="AJ10" i="7"/>
  <c r="AJ28" i="7"/>
  <c r="AJ43" i="7"/>
  <c r="AJ38" i="7"/>
  <c r="AJ92" i="7"/>
  <c r="AJ112" i="7"/>
  <c r="AJ96" i="7"/>
  <c r="I24" i="11"/>
  <c r="F15" i="11"/>
  <c r="AJ44" i="7"/>
  <c r="AJ109" i="7"/>
  <c r="AJ52" i="7"/>
  <c r="AJ58" i="7"/>
  <c r="G17" i="11"/>
  <c r="AJ53" i="7"/>
  <c r="AJ35" i="7"/>
  <c r="AJ90" i="7"/>
  <c r="AJ101" i="7"/>
  <c r="AJ13" i="7"/>
  <c r="AJ79" i="7"/>
  <c r="D12" i="11"/>
  <c r="AJ11" i="7"/>
  <c r="AJ21" i="7"/>
  <c r="AJ31" i="7"/>
  <c r="B12" i="11"/>
  <c r="AJ9" i="7"/>
  <c r="AJ107" i="7"/>
  <c r="AJ40" i="7"/>
  <c r="AJ37" i="7"/>
  <c r="D15" i="11"/>
  <c r="AJ66" i="7"/>
  <c r="AJ100" i="7"/>
  <c r="J25" i="11"/>
  <c r="B14" i="11"/>
  <c r="AJ24" i="7"/>
  <c r="G20" i="11"/>
  <c r="AJ71" i="7"/>
  <c r="AJ14" i="7"/>
  <c r="AJ20" i="7"/>
  <c r="AJ91" i="7"/>
  <c r="AJ54" i="7"/>
  <c r="AJ114" i="7"/>
  <c r="AJ27" i="7"/>
  <c r="D14" i="11"/>
  <c r="AJ41" i="7"/>
  <c r="AJ19" i="7"/>
  <c r="E26" i="11"/>
  <c r="AJ104" i="7"/>
  <c r="AJ33" i="7"/>
  <c r="AJ7" i="7"/>
  <c r="AJ97" i="7"/>
  <c r="AJ113" i="7"/>
  <c r="AJ67" i="7"/>
  <c r="AJ56" i="7"/>
  <c r="C18" i="11"/>
  <c r="S5" i="29" l="1"/>
  <c r="X5" i="29" s="1"/>
  <c r="S101" i="29"/>
  <c r="X101" i="29" s="1"/>
  <c r="S24" i="29"/>
  <c r="X24" i="29" s="1"/>
  <c r="S69" i="29"/>
  <c r="X69" i="29" s="1"/>
  <c r="S82" i="29"/>
  <c r="X82" i="29" s="1"/>
  <c r="S72" i="29"/>
  <c r="X72" i="29" s="1"/>
  <c r="S13" i="29"/>
  <c r="X13" i="29" s="1"/>
  <c r="S25" i="29"/>
  <c r="X25" i="29" s="1"/>
  <c r="S30" i="29"/>
  <c r="X30" i="29" s="1"/>
  <c r="S53" i="29"/>
  <c r="X53" i="29" s="1"/>
  <c r="S4" i="29"/>
  <c r="X4" i="29" s="1"/>
  <c r="S79" i="29"/>
  <c r="X79" i="29" s="1"/>
  <c r="S28" i="29"/>
  <c r="X28" i="29" s="1"/>
  <c r="S41" i="29"/>
  <c r="X41" i="29" s="1"/>
  <c r="S94" i="29"/>
  <c r="X94" i="29" s="1"/>
  <c r="S23" i="29"/>
  <c r="X23" i="29" s="1"/>
  <c r="S42" i="29"/>
  <c r="X42" i="29" s="1"/>
  <c r="S76" i="29"/>
  <c r="X76" i="29" s="1"/>
  <c r="S73" i="29"/>
  <c r="X73" i="29" s="1"/>
  <c r="S71" i="29"/>
  <c r="X71" i="29" s="1"/>
  <c r="S2" i="29"/>
  <c r="X2" i="29" s="1"/>
  <c r="S61" i="29"/>
  <c r="X61" i="29" s="1"/>
  <c r="S64" i="29"/>
  <c r="X64" i="29" s="1"/>
  <c r="S51" i="29"/>
  <c r="X51" i="29" s="1"/>
  <c r="S62" i="29"/>
  <c r="X62" i="29" s="1"/>
  <c r="S66" i="29"/>
  <c r="X66" i="29" s="1"/>
  <c r="S65" i="29"/>
  <c r="S33" i="29"/>
  <c r="X33" i="29" s="1"/>
  <c r="S17" i="29"/>
  <c r="X17" i="29" s="1"/>
  <c r="AL93" i="7"/>
  <c r="AL87" i="7"/>
  <c r="S88" i="29"/>
  <c r="X88" i="29" s="1"/>
  <c r="AL88" i="7"/>
  <c r="S75" i="29"/>
  <c r="X75" i="29" s="1"/>
  <c r="AL86" i="7"/>
  <c r="S74" i="29"/>
  <c r="X74" i="29" s="1"/>
  <c r="AL46" i="7"/>
  <c r="S39" i="29"/>
  <c r="X39" i="29" s="1"/>
  <c r="AL103" i="7"/>
  <c r="S89" i="29"/>
  <c r="X89" i="29" s="1"/>
  <c r="AL102" i="7"/>
  <c r="S90" i="29"/>
  <c r="X90" i="29" s="1"/>
  <c r="AL65" i="7"/>
  <c r="S68" i="29"/>
  <c r="X68" i="29" s="1"/>
  <c r="AL42" i="7"/>
  <c r="S35" i="29"/>
  <c r="X35" i="29" s="1"/>
  <c r="AL12" i="7"/>
  <c r="S10" i="29"/>
  <c r="X10" i="29" s="1"/>
  <c r="AL80" i="7"/>
  <c r="S70" i="29"/>
  <c r="X70" i="29" s="1"/>
  <c r="AL99" i="7"/>
  <c r="S85" i="29"/>
  <c r="X85" i="29" s="1"/>
  <c r="AL59" i="7"/>
  <c r="S50" i="29"/>
  <c r="X50" i="29" s="1"/>
  <c r="AL111" i="7"/>
  <c r="S87" i="29"/>
  <c r="X87" i="29" s="1"/>
  <c r="AL50" i="7"/>
  <c r="S43" i="29"/>
  <c r="X43" i="29" s="1"/>
  <c r="AL106" i="7"/>
  <c r="S92" i="29"/>
  <c r="X92" i="29" s="1"/>
  <c r="AL110" i="7"/>
  <c r="S96" i="29"/>
  <c r="X96" i="29" s="1"/>
  <c r="AL48" i="7"/>
  <c r="S40" i="29"/>
  <c r="X40" i="29" s="1"/>
  <c r="AL45" i="7"/>
  <c r="S55" i="29"/>
  <c r="X55" i="29" s="1"/>
  <c r="AL69" i="7"/>
  <c r="S58" i="29"/>
  <c r="X58" i="29" s="1"/>
  <c r="AL75" i="7"/>
  <c r="S63" i="29"/>
  <c r="X63" i="29" s="1"/>
  <c r="AL5" i="7"/>
  <c r="S3" i="29"/>
  <c r="X3" i="29" s="1"/>
  <c r="AL57" i="7"/>
  <c r="S49" i="29"/>
  <c r="X49" i="29" s="1"/>
  <c r="AL68" i="7"/>
  <c r="S57" i="29"/>
  <c r="X57" i="29" s="1"/>
  <c r="AL25" i="7"/>
  <c r="S20" i="29"/>
  <c r="X20" i="29" s="1"/>
  <c r="AL94" i="7"/>
  <c r="S84" i="29"/>
  <c r="X84" i="29" s="1"/>
  <c r="AL26" i="7"/>
  <c r="AL4" i="7"/>
  <c r="AA1" i="7"/>
  <c r="G28" i="11"/>
  <c r="AJ110" i="7"/>
  <c r="AJ87" i="7"/>
  <c r="AL51" i="7"/>
  <c r="AL95" i="7"/>
  <c r="AL30" i="7"/>
  <c r="AL78" i="7"/>
  <c r="AL77" i="7"/>
  <c r="AL39" i="7"/>
  <c r="AL81" i="7"/>
  <c r="AL76" i="7"/>
  <c r="AL36" i="7"/>
  <c r="AL83" i="7"/>
  <c r="AL49" i="7"/>
  <c r="AL108" i="7"/>
  <c r="AL29" i="7"/>
  <c r="AL82" i="7"/>
  <c r="AL74" i="7"/>
  <c r="AL84" i="7"/>
  <c r="AL55" i="7"/>
  <c r="AL17" i="7"/>
  <c r="AL98" i="7"/>
  <c r="AL72" i="7"/>
  <c r="AL6" i="7"/>
  <c r="AL64" i="7"/>
  <c r="AL16" i="7"/>
  <c r="AL23" i="7"/>
  <c r="AL61" i="7"/>
  <c r="AL8" i="7"/>
  <c r="AL15" i="7"/>
  <c r="AL63" i="7"/>
  <c r="AL62" i="7"/>
  <c r="AL32" i="7"/>
  <c r="AL85" i="7"/>
  <c r="AL34" i="7"/>
  <c r="AJ74" i="7"/>
  <c r="AJ99" i="7"/>
  <c r="AJ34" i="7"/>
  <c r="C25" i="11"/>
  <c r="AJ16" i="7"/>
  <c r="D23" i="11"/>
  <c r="E14" i="11"/>
  <c r="AJ5" i="7"/>
  <c r="E15" i="11"/>
  <c r="AJ86" i="7"/>
  <c r="AJ51" i="7"/>
  <c r="F14" i="11"/>
  <c r="AJ32" i="7"/>
  <c r="C17" i="11"/>
  <c r="AJ80" i="7"/>
  <c r="AJ4" i="7"/>
  <c r="AJ102" i="7"/>
  <c r="D18" i="11"/>
  <c r="AJ17" i="7"/>
  <c r="AJ81" i="7"/>
  <c r="AJ50" i="7"/>
  <c r="AJ98" i="7"/>
  <c r="AJ72" i="7"/>
  <c r="AJ45" i="7"/>
  <c r="AJ75" i="7"/>
  <c r="E23" i="11"/>
  <c r="C14" i="11"/>
  <c r="AJ64" i="7"/>
  <c r="AJ83" i="7"/>
  <c r="AJ8" i="7"/>
  <c r="AJ26" i="7"/>
  <c r="C21" i="11"/>
  <c r="AJ62" i="7"/>
  <c r="AJ94" i="7"/>
  <c r="D20" i="11"/>
  <c r="D27" i="11"/>
  <c r="AJ106" i="7"/>
  <c r="AJ12" i="7"/>
  <c r="AJ42" i="7"/>
  <c r="E12" i="11"/>
  <c r="AJ69" i="7"/>
  <c r="AJ85" i="7"/>
  <c r="AJ46" i="7"/>
  <c r="H24" i="11"/>
  <c r="AJ95" i="7"/>
  <c r="AJ63" i="7"/>
  <c r="E17" i="11"/>
  <c r="AJ65" i="7"/>
  <c r="AJ29" i="7"/>
  <c r="E22" i="11"/>
  <c r="AJ82" i="7"/>
  <c r="AJ25" i="7"/>
  <c r="C15" i="11"/>
  <c r="D11" i="11"/>
  <c r="D22" i="11"/>
  <c r="AJ30" i="7"/>
  <c r="AJ23" i="7"/>
  <c r="C11" i="11"/>
  <c r="AJ36" i="7"/>
  <c r="AJ48" i="7"/>
  <c r="D17" i="11"/>
  <c r="C20" i="11"/>
  <c r="AJ68" i="7"/>
  <c r="A2" i="57" a="1"/>
  <c r="A2" i="57" s="1"/>
  <c r="A2" i="70" a="1"/>
  <c r="A2" i="70" s="1"/>
  <c r="AJ15" i="7"/>
  <c r="AJ78" i="7"/>
  <c r="AJ77" i="7"/>
  <c r="H21" i="11"/>
  <c r="AJ39" i="7"/>
  <c r="AJ103" i="7"/>
  <c r="D26" i="11"/>
  <c r="AJ59" i="7"/>
  <c r="E18" i="11"/>
  <c r="D29" i="11"/>
  <c r="AJ111" i="7"/>
  <c r="D21" i="11"/>
  <c r="AJ76" i="7"/>
  <c r="AJ84" i="7"/>
  <c r="AJ57" i="7"/>
  <c r="AJ55" i="7"/>
  <c r="AJ6" i="7"/>
  <c r="AJ93" i="7"/>
  <c r="AJ49" i="7"/>
  <c r="AJ108" i="7"/>
  <c r="E28" i="11"/>
  <c r="AJ88" i="7"/>
  <c r="AJ61" i="7"/>
  <c r="Y65" i="29" l="1"/>
  <c r="X65" i="29"/>
  <c r="G4" i="40" a="1"/>
  <c r="G4" i="40" s="1"/>
  <c r="U16" i="29"/>
  <c r="V16" i="29"/>
  <c r="T16" i="29"/>
  <c r="S16" i="29"/>
  <c r="S60" i="29"/>
  <c r="U60" i="29"/>
  <c r="A2" i="29" a="1"/>
  <c r="A2" i="29" s="1"/>
  <c r="T60" i="29"/>
  <c r="V60" i="29"/>
  <c r="P106" i="29" a="1"/>
  <c r="P106" i="29" s="1"/>
  <c r="W60" i="29" l="1"/>
  <c r="X60" i="29" s="1"/>
  <c r="W16" i="29"/>
  <c r="X16" i="29" s="1"/>
  <c r="F16" i="44" l="1"/>
  <c r="F7" i="44"/>
  <c r="F5" i="44"/>
  <c r="F38" i="44"/>
  <c r="F4" i="44"/>
  <c r="F37" i="44"/>
  <c r="F21" i="44"/>
  <c r="F25" i="44"/>
  <c r="F23" i="44"/>
  <c r="F33" i="44"/>
  <c r="F28" i="44"/>
  <c r="F17" i="44"/>
  <c r="F24" i="44"/>
  <c r="F27" i="44"/>
  <c r="F18" i="44"/>
  <c r="F11" i="44"/>
  <c r="F20" i="44"/>
  <c r="F13" i="44"/>
  <c r="F35" i="44"/>
  <c r="F19" i="44"/>
  <c r="F8" i="44"/>
  <c r="F29" i="44"/>
  <c r="F32" i="44"/>
  <c r="F6" i="44"/>
  <c r="F14" i="44"/>
  <c r="F34" i="44"/>
  <c r="F9" i="44"/>
  <c r="F15" i="44"/>
  <c r="F26" i="44"/>
  <c r="F31" i="44"/>
  <c r="F22" i="44"/>
  <c r="F39" i="44"/>
  <c r="F36" i="44"/>
  <c r="F30" i="44"/>
  <c r="F10"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tc={04CCD3E8-3EC0-4278-968E-EE2B04326CC9}</author>
  </authors>
  <commentList>
    <comment ref="A4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Check new intro by sandhar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tc={095CF645-D8CE-44C1-B2ED-A2B68ECC4A2F}</author>
  </authors>
  <commentList>
    <comment ref="A38"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Check new intro by sandhar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2C97A4-04A0-42ED-B314-11E13986EB64}" keepAlive="1" name="Query - 4318_ll_req" description="Connection to the '4318_ll_req' query in the workbook." type="5" refreshedVersion="8" background="1" saveData="1">
    <dbPr connection="Provider=Microsoft.Mashup.OleDb.1;Data Source=$Workbook$;Location=4318_ll_req;Extended Properties=&quot;&quot;" command="SELECT * FROM [4318_ll_req]"/>
  </connection>
  <connection id="2" xr16:uid="{00000000-0015-0000-FFFF-FFFF00000000}" keepAlive="1" name="Query - buckets" description="Connection to the 'buckets' query in the workbook." type="5" refreshedVersion="0" background="1">
    <dbPr connection="Provider=Microsoft.Mashup.OleDb.1;Data Source=$Workbook$;Location=buckets;Extended Properties=&quot;&quot;" command="SELECT * FROM [buckets]"/>
  </connection>
  <connection id="3" xr16:uid="{6183F645-8843-44BB-AB9E-94BF807B6638}" keepAlive="1" name="Query - meghbuckets" description="Connection to the 'meghbuckets' query in the workbook." type="5" refreshedVersion="0" background="1">
    <dbPr connection="Provider=Microsoft.Mashup.OleDb.1;Data Source=$Workbook$;Location=meghbuckets;Extended Properties=&quot;&quot;" command="SELECT * FROM [meghbuckets]"/>
  </connection>
  <connection id="4" xr16:uid="{B881AF06-4583-427A-92AE-15E9C1CFE99C}" keepAlive="1" name="Query - meghsteelsales_currentmonth" description="Connection to the 'meghsteelsales_currentmonth' query in the workbook." type="5" refreshedVersion="8" background="1" saveData="1">
    <dbPr connection="Provider=Microsoft.Mashup.OleDb.1;Data Source=$Workbook$;Location=meghsteelsales_currentmonth;Extended Properties=&quot;&quot;" command="SELECT * FROM [meghsteelsales_currentmonth]"/>
  </connection>
  <connection id="5" xr16:uid="{189286A4-0064-43B1-B050-656ABCF25200}" keepAlive="1" name="Query - meghsteelsales_previousmonth" description="Connection to the 'meghsteelsales_previousmonth' query in the workbook." type="5" refreshedVersion="8" background="1" saveData="1">
    <dbPr connection="Provider=Microsoft.Mashup.OleDb.1;Data Source=$Workbook$;Location=meghsteelsales_previousmonth;Extended Properties=&quot;&quot;" command="SELECT * FROM [meghsteelsales_previousmonth]"/>
  </connection>
  <connection id="6" xr16:uid="{00000000-0015-0000-FFFF-FFFF01000000}" keepAlive="1" name="Query - OEM_Key" description="Connection to the 'OEM_Key' query in the workbook." type="5" refreshedVersion="0" background="1">
    <dbPr connection="Provider=Microsoft.Mashup.OleDb.1;Data Source=$Workbook$;Location=OEM_Key;Extended Properties=&quot;&quot;" command="SELECT * FROM [OEM_Key]"/>
  </connection>
  <connection id="7" xr16:uid="{3AF586A5-11C8-4314-BF9D-129B50FA371E}" keepAlive="1" name="Query - salesALL" description="Connection to the 'salesALL' query in the workbook." type="5" refreshedVersion="8" background="1" saveData="1">
    <dbPr connection="Provider=Microsoft.Mashup.OleDb.1;Data Source=$Workbook$;Location=salesALL;Extended Properties=&quot;&quot;" command="SELECT * FROM [salesALL]"/>
  </connection>
  <connection id="8" xr16:uid="{00000000-0015-0000-FFFF-FFFF03000000}" keepAlive="1" name="Query - salesnew" description="Connection to the 'salesnew' query in the workbook." type="5" refreshedVersion="0" background="1">
    <dbPr connection="Provider=Microsoft.Mashup.OleDb.1;Data Source=$Workbook$;Location=salesnew;Extended Properties=&quot;&quot;" command="SELECT * FROM [salesnew]"/>
  </connection>
  <connection id="9" xr16:uid="{00000000-0015-0000-FFFF-FFFF02000000}" keepAlive="1" name="Query - salesTVS" description="Connection to the 'salesTVS' query in the workbook." type="5" refreshedVersion="8" background="1" saveData="1">
    <dbPr connection="Provider=Microsoft.Mashup.OleDb.1;Data Source=$Workbook$;Location=salesTVS;Extended Properties=&quot;&quot;" command="SELECT * FROM [salesTVS]"/>
  </connection>
  <connection id="10" xr16:uid="{00000000-0015-0000-FFFF-FFFF04000000}" keepAlive="1" name="Query - saleswipstock_customer" description="Connection to the 'saleswipstock_customer' query in the workbook." type="5" refreshedVersion="8" background="1" saveData="1">
    <dbPr connection="Provider=Microsoft.Mashup.OleDb.1;Data Source=$Workbook$;Location=saleswipstock_customer;Extended Properties=&quot;&quot;" command="SELECT * FROM [saleswipstock_customer]"/>
  </connection>
  <connection id="11" xr16:uid="{00000000-0015-0000-FFFF-FFFF05000000}" keepAlive="1" name="Query - saleswipstock_matnos" description="Connection to the 'saleswipstock_matnos' query in the workbook." type="5" refreshedVersion="8" background="1" saveData="1">
    <dbPr connection="Provider=Microsoft.Mashup.OleDb.1;Data Source=$Workbook$;Location=saleswipstock_matnos;Extended Properties=&quot;&quot;" command="SELECT * FROM [saleswipstock_matnos]"/>
  </connection>
  <connection id="12" xr16:uid="{00000000-0015-0000-FFFF-FFFF06000000}" keepAlive="1" name="Query - stock" description="Connection to the 'stock' query in the workbook." type="5" refreshedVersion="8" background="1" saveData="1">
    <dbPr connection="Provider=Microsoft.Mashup.OleDb.1;Data Source=$Workbook$;Location=stock;Extended Properties=&quot;&quot;" command="SELECT * FROM [stock]"/>
  </connection>
  <connection id="13" xr16:uid="{00000000-0015-0000-FFFF-FFFF07000000}" keepAlive="1" name="Query - stocknew" description="Connection to the 'stocknew' query in the workbook." type="5" refreshedVersion="0" background="1">
    <dbPr connection="Provider=Microsoft.Mashup.OleDb.1;Data Source=$Workbook$;Location=stocknew;Extended Properties=&quot;&quot;" command="SELECT * FROM [stocknew]"/>
  </connection>
  <connection id="14" xr16:uid="{00000000-0015-0000-FFFF-FFFF08000000}" keepAlive="1" name="Query - wip" description="Connection to the 'wip' query in the workbook." type="5" refreshedVersion="8" background="1" saveData="1">
    <dbPr connection="Provider=Microsoft.Mashup.OleDb.1;Data Source=$Workbook$;Location=wip;Extended Properties=&quot;&quot;" command="SELECT * FROM [wip]"/>
  </connection>
  <connection id="15" xr16:uid="{4BE2370C-A79B-4158-89C9-EA38BBDB0EE3}" keepAlive="1" name="Query - wip_ystockn_newest" description="Connection to the 'wip_ystockn_newest' query in the workbook." type="5" refreshedVersion="0" background="1" saveData="1">
    <dbPr connection="Provider=Microsoft.Mashup.OleDb.1;Data Source=$Workbook$;Location=wip_ystockn_newest;Extended Properties=&quot;&quot;" command="SELECT * FROM [wip_ystockn_newest]"/>
  </connection>
  <connection id="16" xr16:uid="{CCF3D3F9-FBE1-4046-8648-2C32EC95D8F1}" keepAlive="1" name="Query - wip_ystockn_newest_codes_bucket" description="Connection to the 'wip_ystockn_newest_codes_bucket' query in the workbook." type="5" refreshedVersion="8" background="1" saveData="1">
    <dbPr connection="Provider=Microsoft.Mashup.OleDb.1;Data Source=$Workbook$;Location=wip_ystockn_newest_codes_bucket;Extended Properties=&quot;&quot;" command="SELECT * FROM [wip_ystockn_newest_codes_bucket]"/>
  </connection>
  <connection id="17" xr16:uid="{00000000-0015-0000-FFFF-FFFF09000000}" keepAlive="1" name="Query - wipnew" description="Connection to the 'wipnew' query in the workbook." type="5" refreshedVersion="0" background="1">
    <dbPr connection="Provider=Microsoft.Mashup.OleDb.1;Data Source=$Workbook$;Location=wipnew;Extended Properties=&quot;&quot;" command="SELECT * FROM [wipnew]"/>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<sst xmlns="http://schemas.openxmlformats.org/spreadsheetml/2006/main" count="104037" uniqueCount="6625">
  <si>
    <t>Last refreshed: 9/28/2025, 5:30:27 AM</t>
  </si>
  <si>
    <t xml:space="preserve">Customer </t>
  </si>
  <si>
    <t>OEM</t>
  </si>
  <si>
    <t>CAM</t>
  </si>
  <si>
    <t>A.R.Automotive And Engg Industries</t>
  </si>
  <si>
    <t>RE</t>
  </si>
  <si>
    <t>Abhishek</t>
  </si>
  <si>
    <t>BALAJI INDUSTRIES</t>
  </si>
  <si>
    <t>HMSIL</t>
  </si>
  <si>
    <t>BALAJI PRESS PRODUCTS INDIA</t>
  </si>
  <si>
    <t>TVS</t>
  </si>
  <si>
    <t>Apoorv</t>
  </si>
  <si>
    <t>BCC PIPES &amp; TUBES PRIVATE LIMITED</t>
  </si>
  <si>
    <t>GE</t>
  </si>
  <si>
    <t>Jitendra</t>
  </si>
  <si>
    <t>BHARAT TUBES CORPORATION</t>
  </si>
  <si>
    <t>Boiler</t>
  </si>
  <si>
    <t>ELKAYEM AUTO ANCILLARIES (PVT) LTD.</t>
  </si>
  <si>
    <t>ELKAYEM AUTO ANCILLARIES PRIVATE LI</t>
  </si>
  <si>
    <t>ELKAYEM AUTO ANCILLARIES PVT LTD -U</t>
  </si>
  <si>
    <t>GANESH INDUSTRAIL SUPPLIES</t>
  </si>
  <si>
    <t>Indo Autotech Limited (Unit V)</t>
  </si>
  <si>
    <t>JBM AUTO LIMITED</t>
  </si>
  <si>
    <t>JK ENGINEERING WORKS</t>
  </si>
  <si>
    <t>Kay Jay Forgings Pvt Ltd Unit Vi</t>
  </si>
  <si>
    <t>KNITVEL NEEDLES P LTD</t>
  </si>
  <si>
    <t>KNITVEL NEEDLES PRIVATE LIMITED</t>
  </si>
  <si>
    <t>LAXMI METAL PRESSING WORKS PVT LTD</t>
  </si>
  <si>
    <t>LOCHANA INDUSTRIES</t>
  </si>
  <si>
    <t>Auction</t>
  </si>
  <si>
    <t>Marathwada Auto Compo Pvt. Ltd.</t>
  </si>
  <si>
    <t>Maruthi Auto Components</t>
  </si>
  <si>
    <t>MEGH STEELS PRIVATE LIMITED - HMSIL</t>
  </si>
  <si>
    <t>Direct</t>
  </si>
  <si>
    <t>MEGH STEELS PRIVATE LIMITED - RANE</t>
  </si>
  <si>
    <t>Rane</t>
  </si>
  <si>
    <t>MEGH STEELS PRIVATE LIMITED - RE</t>
  </si>
  <si>
    <t>MEGH STEELS PRIVATE LIMITED - TVS A</t>
  </si>
  <si>
    <t>METAL TECH ENGINEERS</t>
  </si>
  <si>
    <t>Metalman Auto Private Limited</t>
  </si>
  <si>
    <t>NAHARS ENGINEERING INDIA PRIVATE LI</t>
  </si>
  <si>
    <t>Navaladian Engineering Industries</t>
  </si>
  <si>
    <t>NEEL METAL PRODUCTS LIMITED</t>
  </si>
  <si>
    <t>Ragul Industries</t>
  </si>
  <si>
    <t>RAJSRIYA AUTOMOTIVE IND. P LTD</t>
  </si>
  <si>
    <t>Rajsriya Automotive Ind.P.Ltd Unit-</t>
  </si>
  <si>
    <t>Rajsriya Automotive Industries</t>
  </si>
  <si>
    <t>RAJSRIYA AUTOMOTIVE INDUSTRIES PVT</t>
  </si>
  <si>
    <t>Rajsriya Automotive Industries(P)</t>
  </si>
  <si>
    <t>Rucha Engineers Pvt Ltd.</t>
  </si>
  <si>
    <t>Sadhan Tool Room (P) Ltd.</t>
  </si>
  <si>
    <t>SAKURA AUTOPARTS INDIA PRIVATE LIMI</t>
  </si>
  <si>
    <t>SANDHAR ENGINEERING PVT LTD.(KA) -U</t>
  </si>
  <si>
    <t>Sandhar EngineeringPvt.Ltd.(KA)-Uni</t>
  </si>
  <si>
    <t>Sandhar Technologies (KA)–Unit-III</t>
  </si>
  <si>
    <t>Shetdass Engineers (P) Ltd.</t>
  </si>
  <si>
    <t>SHREE SIVAM ENTERPRISES</t>
  </si>
  <si>
    <t>Skb Industries</t>
  </si>
  <si>
    <t>SM EXHAUST TECHNOLOGY PVT LTD</t>
  </si>
  <si>
    <t>SREE VENKATESWARA ENTERPRISES</t>
  </si>
  <si>
    <t>Sri Balaji Gears</t>
  </si>
  <si>
    <t>SRIKAM HITECH ENGINEERING PRIVATE L</t>
  </si>
  <si>
    <t>Star Engineering Works</t>
  </si>
  <si>
    <t>Surya Steels</t>
  </si>
  <si>
    <t>TECHNICO INDUSTRIES LIMITED</t>
  </si>
  <si>
    <t>Thai Summit Autoparts India Pvt Ltd</t>
  </si>
  <si>
    <t>Thirupathi Industries</t>
  </si>
  <si>
    <t>Ttp Technologies Private Ltd</t>
  </si>
  <si>
    <t>TUBE INVESTMENTS OF INDIA LIMITED</t>
  </si>
  <si>
    <t>U M A Industries</t>
  </si>
  <si>
    <t>YOSHIKA ENGINEERING PVT LTD</t>
  </si>
  <si>
    <t>Narasipur Auto Component(P)Ltd</t>
  </si>
  <si>
    <t>Rajsriya Automotive Ind Pvt Ltd.</t>
  </si>
  <si>
    <t>Allied Industries (India)</t>
  </si>
  <si>
    <t>Others</t>
  </si>
  <si>
    <t>other</t>
  </si>
  <si>
    <t>FREE STOCK</t>
  </si>
  <si>
    <t>FREE</t>
  </si>
  <si>
    <t>Rajsriya Automotive Ind. Pvt Ltd</t>
  </si>
  <si>
    <t>Krishna Industries</t>
  </si>
  <si>
    <t>others</t>
  </si>
  <si>
    <t>NALANDA INDUSTRIAL CORPOR</t>
  </si>
  <si>
    <t>Hi-Esteem Auto Komponents Pvt Ltd</t>
  </si>
  <si>
    <t>BALAJI GEARS</t>
  </si>
  <si>
    <t>ELKAYEM AUTO ANCILLARIES PVT LTD</t>
  </si>
  <si>
    <t>ROYAL ENFIELD</t>
  </si>
  <si>
    <t>HI-TECH INDUSTRIES</t>
  </si>
  <si>
    <t>K P ENGINEERING</t>
  </si>
  <si>
    <t>HI-ESTEEM AUTO KOMPONENTS PRIVATE L</t>
  </si>
  <si>
    <t>M.S.K. Enterprises</t>
  </si>
  <si>
    <t>NASH INDUSTRIES (I) PVT LTD</t>
  </si>
  <si>
    <t>Sandhar Automach</t>
  </si>
  <si>
    <t>INDO AUTO</t>
  </si>
  <si>
    <t>MEGH STEELS PRIVATE LIMITED</t>
  </si>
  <si>
    <t>Tushar Steel Traders</t>
  </si>
  <si>
    <t>SANDHAR ENGINEERING PVT LTD.</t>
  </si>
  <si>
    <t>ALF ENGINEERING PRIVATE LIMITED</t>
  </si>
  <si>
    <t>Alf</t>
  </si>
  <si>
    <t>A.S.(E) Exports Pvt.Ltd.</t>
  </si>
  <si>
    <t>C.S.K.Tube Corporation</t>
  </si>
  <si>
    <t>Shri Durga Steel Tubes</t>
  </si>
  <si>
    <t>Elkayem Auto Ancillaries ( P ) LTD</t>
  </si>
  <si>
    <t>TELUGUNADU STEELS PVT LTD</t>
  </si>
  <si>
    <t>Tenneco Automotive India Pvt Ltd.</t>
  </si>
  <si>
    <t>THAI SUMMIT</t>
  </si>
  <si>
    <t>NARASIPUR AUTO</t>
  </si>
  <si>
    <t>kaYJAY FORGING</t>
  </si>
  <si>
    <t>SHETDASS ENGG</t>
  </si>
  <si>
    <t>Indo AutoTech</t>
  </si>
  <si>
    <t>MEGH STEELS PVT LTD - TVS</t>
  </si>
  <si>
    <t>KAYJAY FORGING/ NARASIPUR AUTO</t>
  </si>
  <si>
    <t>HITECH/METALMAN</t>
  </si>
  <si>
    <t>METALMAN</t>
  </si>
  <si>
    <t>JBM AUTO</t>
  </si>
  <si>
    <t>KNITVEL</t>
  </si>
  <si>
    <t>ether</t>
  </si>
  <si>
    <t>RUCHA</t>
  </si>
  <si>
    <t>SHIVAM PRIME STEELS PRIVATE LIMITED</t>
  </si>
  <si>
    <t>SICAGEN INDIA LIMITED</t>
  </si>
  <si>
    <t>P E ENGINEERS PVT LIMITED</t>
  </si>
  <si>
    <t>V.R.Steel Traders</t>
  </si>
  <si>
    <t>Vardhman Tube Industries</t>
  </si>
  <si>
    <t>JAICO TUBES CORPORATION- BAN</t>
  </si>
  <si>
    <t>PAMS ENGINEERING</t>
  </si>
  <si>
    <t>TRANSIT STOCK</t>
  </si>
  <si>
    <t>Transit</t>
  </si>
  <si>
    <t>OWERE PRECISION</t>
  </si>
  <si>
    <t>SANDHAR TECHNOLOGIESPvt.Ltd.(KA)Uni</t>
  </si>
  <si>
    <t>GOLDEN INDUSTRIES</t>
  </si>
  <si>
    <t>SANDHAR ENGINEERING PRIVATE LIMITED</t>
  </si>
  <si>
    <t>BENDTECH INDUSTRIES</t>
  </si>
  <si>
    <t>DEVI DASS &amp; SONS</t>
  </si>
  <si>
    <t>A.V.M. TUBE CO.</t>
  </si>
  <si>
    <t>SGR TRADING COMPANY</t>
  </si>
  <si>
    <t>Golas Steel Tubes</t>
  </si>
  <si>
    <t>TARANG ENGINEERING PVT.LTD</t>
  </si>
  <si>
    <t>Garg Steel Centre</t>
  </si>
  <si>
    <t>SATHYA METAL PROCESS</t>
  </si>
  <si>
    <t>GALAXY STEELS</t>
  </si>
  <si>
    <t>NA  STEELS AND SCRAPS</t>
  </si>
  <si>
    <t>SHIVAMPRIME STEELS PRIVATE LIMITED</t>
  </si>
  <si>
    <t>FIRETECH BOILERS PRIVATE LIMITED</t>
  </si>
  <si>
    <t>Garuda Pipes Private Limited</t>
  </si>
  <si>
    <t>M/S.TVS MOTOR COMPANY LIMITED</t>
  </si>
  <si>
    <t>Owari Preecision Products (India)</t>
  </si>
  <si>
    <t>VISHAL ENTERPRISES</t>
  </si>
  <si>
    <t>FIRETECH INDUSTRIES</t>
  </si>
  <si>
    <t>MAXTHERM BOILERS PRIVATE LIMITED</t>
  </si>
  <si>
    <t>M/S VARDHMAN TUBE INDUSTRIES</t>
  </si>
  <si>
    <t>Arisings</t>
  </si>
  <si>
    <t>TVS MOTOR COMPANY LIMITED</t>
  </si>
  <si>
    <t>Neel Metal Products Limited</t>
  </si>
  <si>
    <t>INDO AUTOTECH LIMITED UNIT-V</t>
  </si>
  <si>
    <t>HERO MOTORS LIMITED</t>
  </si>
  <si>
    <t>Chanda Enterprises Pvt Ltd</t>
  </si>
  <si>
    <t>CHANDI CREATIVES</t>
  </si>
  <si>
    <t>RANAE</t>
  </si>
  <si>
    <t>Hosur EPA</t>
  </si>
  <si>
    <t>Thai Summit Autoparts India Pv</t>
  </si>
  <si>
    <t>ELKAYEM AUTO ANCILLARIES PVT L</t>
  </si>
  <si>
    <t>SANDHAR ENGINEERING PVT LTD.(K</t>
  </si>
  <si>
    <t>NAHARS ENGINEERING INDIA PRIVA</t>
  </si>
  <si>
    <t>MEGH STEELS PRIVATE LIMITED -</t>
  </si>
  <si>
    <t>SAKURA AUTOPARTS INDIA PRIVATE</t>
  </si>
  <si>
    <t>ELKAYEM AUTO ANCILLARIES (PVT)</t>
  </si>
  <si>
    <t>A.R.Automotive And Engg Indust</t>
  </si>
  <si>
    <t>SRIKAM HITECH ENGINEERING PRIV</t>
  </si>
  <si>
    <t>Sandhar EngineeringPvt.Ltd.(KA</t>
  </si>
  <si>
    <t>Tisco Tubes C/A -Hosur</t>
  </si>
  <si>
    <t>Sandhar Technologies (KA)–Unit</t>
  </si>
  <si>
    <t>ELKAYEM AUTO ANCILLARIES PRIVA</t>
  </si>
  <si>
    <t>Marathwada Auto Compo Pvt. Ltd</t>
  </si>
  <si>
    <t>LAXMI METAL PRESSING WORKS PVT</t>
  </si>
  <si>
    <t>Hosur Tube Plant</t>
  </si>
  <si>
    <t>SURYA STEELS</t>
  </si>
  <si>
    <t>Sri Sai Tubes And Pipes</t>
  </si>
  <si>
    <t>M/S TAJ TRADING CORPORATION</t>
  </si>
  <si>
    <t>KAY JAY FORGINGS LIMITED</t>
  </si>
  <si>
    <t>MYSORE PIPE SUPPLIERS</t>
  </si>
  <si>
    <t>ADISHWAR STEELS</t>
  </si>
  <si>
    <t>SANDHAR ENGINEERING PVTLTD(KA)U-III</t>
  </si>
  <si>
    <t>SANDHAR ENGINEERING PVTLTD (KA)UIII</t>
  </si>
  <si>
    <t>NY TECH BOILER TUBES CORPORATION</t>
  </si>
  <si>
    <t>Rajsriya Automotive Ind.P.Ltd</t>
  </si>
  <si>
    <t>SANDHAR ENGINEERING PVTLTD(KA)</t>
  </si>
  <si>
    <t>Rajsriya Automotive Ind. Pvt L</t>
  </si>
  <si>
    <t>SANDHAR ENGINEERING PVTLTD (KA</t>
  </si>
  <si>
    <t>INDUSTRIAL STEEL AND TUBES</t>
  </si>
  <si>
    <t>SATYAM AUTO COMPONENTS PRIVATE LIMI</t>
  </si>
  <si>
    <t>Unknown</t>
  </si>
  <si>
    <t>MICRO TECH CNC PRIVATE LIMITED</t>
  </si>
  <si>
    <t>Ola</t>
  </si>
  <si>
    <t>Diwakar</t>
  </si>
  <si>
    <t>KURMI ENTERPRISES</t>
  </si>
  <si>
    <t>SREEVATSA TUBE CORPORATION</t>
  </si>
  <si>
    <t>Sree Lakshmi Precision Tools</t>
  </si>
  <si>
    <t>DEVSHAR RETAIL PVT LTD</t>
  </si>
  <si>
    <t>Sam India Engineering</t>
  </si>
  <si>
    <t>A R AUTOMOTIVE INDUSTRIES PRIVATE L</t>
  </si>
  <si>
    <t>Grade</t>
  </si>
  <si>
    <t>TDC</t>
  </si>
  <si>
    <t>THIK</t>
  </si>
  <si>
    <t>Key</t>
  </si>
  <si>
    <t>MATERIAL</t>
  </si>
  <si>
    <t>Material Description</t>
  </si>
  <si>
    <t>Micro alloy</t>
  </si>
  <si>
    <t>BR45</t>
  </si>
  <si>
    <t>CR COIL TATXHS BR45 1.600X1300</t>
  </si>
  <si>
    <t>BR03</t>
  </si>
  <si>
    <t>CR COIL TATXHS BR03 1.600X1300</t>
  </si>
  <si>
    <t>CR COIL TATXHS BR03 1.600X1250</t>
  </si>
  <si>
    <t>CR COIL TATXHS BR45 2X1300</t>
  </si>
  <si>
    <t>CR COIL TATXHS BR03  2X1300</t>
  </si>
  <si>
    <t>CR COIL TATXHS BR03  2X1250</t>
  </si>
  <si>
    <t>CR COIL TSBHSL LA45 2.300X1300</t>
  </si>
  <si>
    <t>C20</t>
  </si>
  <si>
    <t>TU99</t>
  </si>
  <si>
    <t>CRCA COIL TSBHSQ TU99 1.400X1270</t>
  </si>
  <si>
    <t>CRCA COIL TSBHSQ TU99 1.600X1270</t>
  </si>
  <si>
    <t>CRCA COIL TSBHSQ TU99 2 X1270</t>
  </si>
  <si>
    <t>CR COIL TSBHSQ TU99 2.300X1270</t>
  </si>
  <si>
    <t>CRCA</t>
  </si>
  <si>
    <t>TU98</t>
  </si>
  <si>
    <t>CRCA COIL SA1008 TU98 1X1250</t>
  </si>
  <si>
    <t>CRCA COIL SA1008 TU98 1.200X1250</t>
  </si>
  <si>
    <t>CRCA COIL SA1008 TU98 1.400X1250</t>
  </si>
  <si>
    <t>CRCA COIL SA1008 TU98 1.500X1250</t>
  </si>
  <si>
    <t>CRCA COIL SA1008 TU98 1.600X1250</t>
  </si>
  <si>
    <t>CRCA COIL SA1008 TU98 1.900X1250</t>
  </si>
  <si>
    <t>CRFH</t>
  </si>
  <si>
    <t>RE03</t>
  </si>
  <si>
    <t>CRFH COIL TATFHC RE03 1X1250</t>
  </si>
  <si>
    <t>RE04</t>
  </si>
  <si>
    <t>CRFH COIL TATFHC RE04 1X1250</t>
  </si>
  <si>
    <t>TI15</t>
  </si>
  <si>
    <t>CR COIL TATFHC TI15 1X500</t>
  </si>
  <si>
    <t>CR COIL TATFHC TI15 1.150X500</t>
  </si>
  <si>
    <t>CR COIL TATFHC TI15 1.200X500</t>
  </si>
  <si>
    <t>CRFH COIL TATFHC RE03 1.200X1250</t>
  </si>
  <si>
    <t>HR</t>
  </si>
  <si>
    <t>TU02</t>
  </si>
  <si>
    <t>HRPO COIL T01579 TU02 1.60X1250</t>
  </si>
  <si>
    <t>HR99</t>
  </si>
  <si>
    <t>HR COILS-PO THR099 HR99 1.90X1250</t>
  </si>
  <si>
    <t>HR COILS-PO T01579 1.90X1250</t>
  </si>
  <si>
    <t>HR COILS-PO THR099 HR99 2X1250</t>
  </si>
  <si>
    <t>HRPO COIL T01579 TU02 2X1250</t>
  </si>
  <si>
    <t>HR COILS-PO IS 1079 HR2 2.30X1250</t>
  </si>
  <si>
    <t>HR COILS-PO T01579 TU02 2.30X1250</t>
  </si>
  <si>
    <t>HR COILS-POIS 1079 HR2  2.50X1250</t>
  </si>
  <si>
    <t>HRPO COIL-T01579-TU02-2.5X1250</t>
  </si>
  <si>
    <t>HR COILS-PO PT 2.50X1250</t>
  </si>
  <si>
    <t>HR COILS-POIS 1079 HR2  2.90X1250</t>
  </si>
  <si>
    <t>HRPO COIL-T01579-TU02-3.15X1250</t>
  </si>
  <si>
    <t>HR COILS-PO PT 3.15X1250</t>
  </si>
  <si>
    <t>HR COILS-POIS 1079 HR2  3.15X1250</t>
  </si>
  <si>
    <t>HR COILS-POIS 1079 HR2  3.40X1250</t>
  </si>
  <si>
    <t>HR COILS-PO T01579 3.40X1250</t>
  </si>
  <si>
    <t>Customer</t>
  </si>
  <si>
    <t>Mat Nos</t>
  </si>
  <si>
    <t>Mat Desc</t>
  </si>
  <si>
    <t>Bucket</t>
  </si>
  <si>
    <t>CUT-R-AW-AUT-50.00X30.00X2.500X0.7650</t>
  </si>
  <si>
    <t>TUB-R-AW-AUT-19.00X19.00X1.000X0.8850</t>
  </si>
  <si>
    <t>TUB-E-O-AUT-AW-FC-22.23X2.000X0.7380</t>
  </si>
  <si>
    <t>TUB-O-N-AUT-AW-FC-25.40X2.000X0.3230</t>
  </si>
  <si>
    <t>CR COIL TATFHC TI15 1.150X73.50</t>
  </si>
  <si>
    <t>TUB-O-N-AUT-AW-FC-28.58X1.600X0.4200</t>
  </si>
  <si>
    <t>Connection</t>
  </si>
  <si>
    <t>Sales</t>
  </si>
  <si>
    <t>Stock</t>
  </si>
  <si>
    <t>Wip</t>
  </si>
  <si>
    <t>Append</t>
  </si>
  <si>
    <t>Merge</t>
  </si>
  <si>
    <t>Material Codes</t>
  </si>
  <si>
    <t>Table</t>
  </si>
  <si>
    <t>OEM_Key Different Customer</t>
  </si>
  <si>
    <t>Material Codes different</t>
  </si>
  <si>
    <t>SCHEDULE</t>
  </si>
  <si>
    <t>(Multiple Items)</t>
  </si>
  <si>
    <t>Sum of SCHEDULE IN MT</t>
  </si>
  <si>
    <t>CUSTOMER NAME</t>
  </si>
  <si>
    <t>CUSTOMER CODE</t>
  </si>
  <si>
    <t>Balaji press product</t>
  </si>
  <si>
    <t>ELKAYEM AUTO</t>
  </si>
  <si>
    <t>129663|948721</t>
  </si>
  <si>
    <t>129663|948722</t>
  </si>
  <si>
    <t xml:space="preserve">ELKAYEM AUTO MYSORE </t>
  </si>
  <si>
    <t>KAY JAY</t>
  </si>
  <si>
    <t>Marathwada</t>
  </si>
  <si>
    <t>Metalman</t>
  </si>
  <si>
    <t>Rajsriya Automotive</t>
  </si>
  <si>
    <t>129695|187884|188415|189239|189240</t>
  </si>
  <si>
    <t xml:space="preserve">Rajsriya Mysore </t>
  </si>
  <si>
    <t>930883|189481</t>
  </si>
  <si>
    <t>Rajsriya Unit 1</t>
  </si>
  <si>
    <t>Rajsriya Unit 2</t>
  </si>
  <si>
    <t>Rajsriya Unit 4</t>
  </si>
  <si>
    <t>Rajsriya Unit 5</t>
  </si>
  <si>
    <t>Rajsriya Unit 8</t>
  </si>
  <si>
    <t xml:space="preserve">Sandhar Engg Mysore </t>
  </si>
  <si>
    <t>SRI BALAJI GEARS V4</t>
  </si>
  <si>
    <t>SRIKAM HITECH</t>
  </si>
  <si>
    <t>Laxmi</t>
  </si>
  <si>
    <t>SRI BALAJI GEARS V7</t>
  </si>
  <si>
    <t>Marathwada v7</t>
  </si>
  <si>
    <t>Balaji Gears V3</t>
  </si>
  <si>
    <t>NMPL TVSM</t>
  </si>
  <si>
    <t>189226|930794</t>
  </si>
  <si>
    <t>930801|189227</t>
  </si>
  <si>
    <t>NMPL HUB</t>
  </si>
  <si>
    <t>Total</t>
  </si>
  <si>
    <t>Customer Code</t>
  </si>
  <si>
    <t>Metallurgy condition</t>
  </si>
  <si>
    <t>Material Type</t>
  </si>
  <si>
    <t>GRADE</t>
  </si>
  <si>
    <t>OD</t>
  </si>
  <si>
    <t>ID</t>
  </si>
  <si>
    <t>THK</t>
  </si>
  <si>
    <t>LENGTH</t>
  </si>
  <si>
    <t>Length in Mtrs</t>
  </si>
  <si>
    <t>Bucket CTL</t>
  </si>
  <si>
    <t>plant</t>
  </si>
  <si>
    <t>TSL Material Code</t>
  </si>
  <si>
    <t>SCH SEP- 25</t>
  </si>
  <si>
    <t>BALANCE TO BE SUPPLY</t>
  </si>
  <si>
    <t>Stock     22-09-25</t>
  </si>
  <si>
    <t xml:space="preserve">intransist </t>
  </si>
  <si>
    <t>OPENIG STOCK FOR NOV-2025</t>
  </si>
  <si>
    <t xml:space="preserve">order logg </t>
  </si>
  <si>
    <t>Opening stock including order logger</t>
  </si>
  <si>
    <t xml:space="preserve">    INDENT  FOR NOV-25 as per VSM</t>
  </si>
  <si>
    <t xml:space="preserve"> INDENT  FOR NOV-25 recommended</t>
  </si>
  <si>
    <t>Before 20th</t>
  </si>
  <si>
    <t>ofter 20th</t>
  </si>
  <si>
    <t>Total Indent</t>
  </si>
  <si>
    <t>Total Supplied</t>
  </si>
  <si>
    <t>Gap</t>
  </si>
  <si>
    <t>ERW1</t>
  </si>
  <si>
    <t>NON FIN</t>
  </si>
  <si>
    <t>ERW</t>
  </si>
  <si>
    <t>HMSI</t>
  </si>
  <si>
    <t>BADVE</t>
  </si>
  <si>
    <t>Rucha</t>
  </si>
  <si>
    <t>ERW2</t>
  </si>
  <si>
    <t>0789</t>
  </si>
  <si>
    <t>RUCHA,METALMAN</t>
  </si>
  <si>
    <t>ERW-2</t>
  </si>
  <si>
    <t>FIN CUT</t>
  </si>
  <si>
    <t>HST</t>
  </si>
  <si>
    <t>CR ERW 1</t>
  </si>
  <si>
    <t xml:space="preserve">CR ERW </t>
  </si>
  <si>
    <t>BELRISE CHENNAI</t>
  </si>
  <si>
    <t>MICRO ALLOY</t>
  </si>
  <si>
    <t>25.4-0-1.6-ERW 2 MAHS-PE</t>
  </si>
  <si>
    <t>25.4-0-1.6-ERW 2 MAHS-PE-5.84</t>
  </si>
  <si>
    <t>CEW1</t>
  </si>
  <si>
    <t>CEW</t>
  </si>
  <si>
    <t>BELRISE</t>
  </si>
  <si>
    <t>RAJSRIYA</t>
  </si>
  <si>
    <t>ERW370</t>
  </si>
  <si>
    <t>ERW -2</t>
  </si>
  <si>
    <t>0788</t>
  </si>
  <si>
    <t>40x25</t>
  </si>
  <si>
    <t>ERW AN</t>
  </si>
  <si>
    <t>40x30</t>
  </si>
  <si>
    <t>CEW-1</t>
  </si>
  <si>
    <t>056</t>
  </si>
  <si>
    <t>59x30</t>
  </si>
  <si>
    <t>KUNAL</t>
  </si>
  <si>
    <t>50X50</t>
  </si>
  <si>
    <t>788</t>
  </si>
  <si>
    <t>TOTAL</t>
  </si>
  <si>
    <t>new sizes in nov</t>
  </si>
  <si>
    <t>Material Description3</t>
  </si>
  <si>
    <t>Spec</t>
  </si>
  <si>
    <t>FC/NFC</t>
  </si>
  <si>
    <t>SO</t>
  </si>
  <si>
    <t>STATUS</t>
  </si>
  <si>
    <t>MCR 42136</t>
  </si>
  <si>
    <t>CUSTOMER  CD</t>
  </si>
  <si>
    <t>CUSTOMER  NAME</t>
  </si>
  <si>
    <t>SALES  UNIT</t>
  </si>
  <si>
    <t>qty in no</t>
  </si>
  <si>
    <t>Domain for z_qty_meter</t>
  </si>
  <si>
    <t>MATERAIL NUMBER</t>
  </si>
  <si>
    <t>buckets.Bucket</t>
  </si>
  <si>
    <t>Quantity</t>
  </si>
  <si>
    <t>Material   Description</t>
  </si>
  <si>
    <t>OEM_Key.OEM</t>
  </si>
  <si>
    <t>buckets.CTL Bucket</t>
  </si>
  <si>
    <t>0000187546</t>
  </si>
  <si>
    <t>KG</t>
  </si>
  <si>
    <t>29.4-20.4-4.5-CEW-CEW</t>
  </si>
  <si>
    <t>TUB-O-C-AUT-AD-FC-29.40X4.500X4.4400</t>
  </si>
  <si>
    <t>29.4-20.4-4.5-CEW-CEW-1</t>
  </si>
  <si>
    <t>0000944141</t>
  </si>
  <si>
    <t>NOS</t>
  </si>
  <si>
    <t>12.7-0-1.2-ERW 1-PE</t>
  </si>
  <si>
    <t>TUB-O-O-AUT-AW-PE-12.70X1.200X0.2780</t>
  </si>
  <si>
    <t>12.7-0-1.2-ERW 1-PE-0.278</t>
  </si>
  <si>
    <t>0000129663</t>
  </si>
  <si>
    <t>TUB-O-O-AUT-AW-PE-12.70X1.200X0.4080</t>
  </si>
  <si>
    <t>12.7-0-1.2-ERW 1-PE-0.408</t>
  </si>
  <si>
    <t>25.4-18.4-3.5-CEW-CEW</t>
  </si>
  <si>
    <t>TUB-O-C-AUT-AD-FC-25.40X3.500X5.6000</t>
  </si>
  <si>
    <t>25.4-18.4-3.5-CEW-CEW-1</t>
  </si>
  <si>
    <t>19.05-0-2.3-ERW 1-PE</t>
  </si>
  <si>
    <t>TUB-O-O-AUT-AW-PE-19.05X2.300X0.2520</t>
  </si>
  <si>
    <t>19.05-0-2.3-ERW 1-PE-0.252</t>
  </si>
  <si>
    <t>TUB-O-O-AUT-AW-PE-19.05X2.300X0.2950</t>
  </si>
  <si>
    <t>19.05-0-2.3-ERW 1-PE-0.295</t>
  </si>
  <si>
    <t>22.23-0-1.6-ERW 1-PE</t>
  </si>
  <si>
    <t>TUB-O-N-AUT-HR-PE-22.23X1.600X0.7000</t>
  </si>
  <si>
    <t>22.23-0-1.6-ERW 1-PE-0.7</t>
  </si>
  <si>
    <t>0000189287</t>
  </si>
  <si>
    <t>12.7-0-1.6-ERW 1-PE</t>
  </si>
  <si>
    <t>TUB-O-N-AUT-AW-PE-12.70X1.600X0.1890</t>
  </si>
  <si>
    <t>12.7-0-1.6-ERW 1-PE-0.189</t>
  </si>
  <si>
    <t>0000189481</t>
  </si>
  <si>
    <t>TUB-O-O-AUT-AW-PE-12.70X1.600X0.2500</t>
  </si>
  <si>
    <t>12.7-0-1.6-ERW 1-PE-0.25</t>
  </si>
  <si>
    <t>0000189002</t>
  </si>
  <si>
    <t>15.88-0-1-ERW 1-PE</t>
  </si>
  <si>
    <t>TUB-O-N-AUT-AW-PE-15.88X1.000X1.7450</t>
  </si>
  <si>
    <t>15.88-0-1-ERW 1-PE-1.745</t>
  </si>
  <si>
    <t>TUB-O-N-AUT-AW-PE-12.70X1.600X0.2600</t>
  </si>
  <si>
    <t>12.7-0-1.6-ERW 1-PE-0.26</t>
  </si>
  <si>
    <t>40-25-1.6-ERW 1-FC</t>
  </si>
  <si>
    <t>TUB-R-AW-RHS-40.00X25.00X1.600X0.5380</t>
  </si>
  <si>
    <t>40-25-1.6-ERW 1-FC-0.538</t>
  </si>
  <si>
    <t>TUB-O-O-AUT-AW-PE-12.70X1.600X0.2800</t>
  </si>
  <si>
    <t>12.7-0-1.6-ERW 1-PE-0.28</t>
  </si>
  <si>
    <t>TUB-O-O-AUT-AW-PE-12.70X1.600X0.2950</t>
  </si>
  <si>
    <t>12.7-0-1.6-ERW 1-PE-0.295</t>
  </si>
  <si>
    <t>TUB-R-AW-RHS-40.00X25.00X1.600X0.5870</t>
  </si>
  <si>
    <t>40-25-1.6-ERW 1-FC-0.587</t>
  </si>
  <si>
    <t>0000948721</t>
  </si>
  <si>
    <t>TUB-O-N-AUT-AW-PE-12.70X1.600X0.9500</t>
  </si>
  <si>
    <t>12.7-0-1.6-ERW 1-PE-0.95</t>
  </si>
  <si>
    <t>TUB-E-O-AUT-AW-FC-15.88X1.000X1.6030</t>
  </si>
  <si>
    <t>15.88-0-1-ERW 1-PE-1.603</t>
  </si>
  <si>
    <t>TUB-E-O-AUT-AW-FC-15.88X1.000X2.1850</t>
  </si>
  <si>
    <t>15.88-0-1-ERW 1-PE-2.185</t>
  </si>
  <si>
    <t>M</t>
  </si>
  <si>
    <t>40-40-1.2-CRFH-PE</t>
  </si>
  <si>
    <t>TUB-S-AW-SHS-40.00X40.00X1.200X6.0000</t>
  </si>
  <si>
    <t>40-40-1.2-CRFH-PE-1</t>
  </si>
  <si>
    <t>TUB-O-O-GEN-AW-PE-12.70X1.600X6.0000</t>
  </si>
  <si>
    <t>12.7-0-1.6-ERW 1-PE-1</t>
  </si>
  <si>
    <t>19-19-1-CRFH-PE</t>
  </si>
  <si>
    <t>TUB-S-FH-SHS-19.00X19.00X1.000X6.0000</t>
  </si>
  <si>
    <t>19-19-1-CRFH-PE-1</t>
  </si>
  <si>
    <t>0000188595</t>
  </si>
  <si>
    <t>TUB-O-O-AUT-AW-PE-19.05X2.300X0.2360</t>
  </si>
  <si>
    <t>19.05-0-2.3-ERW 1-PE-0.236</t>
  </si>
  <si>
    <t>40-20-1.2-CRFH-PE</t>
  </si>
  <si>
    <t>TUB-R-AW-RHS-40.00X20.00X1.210X6.1000</t>
  </si>
  <si>
    <t>40-20-1.2-CRFH-PE-1</t>
  </si>
  <si>
    <t>TUB-S-AW-AUT-19.00X19.00X1.000X6.1400</t>
  </si>
  <si>
    <t>TUB-O-N-AUT-AW-PE-15.88X1.000X1.7150</t>
  </si>
  <si>
    <t>15.88-0-1-ERW 1-PE-1.715</t>
  </si>
  <si>
    <t>TUB-R-AW-AUT-40.00X20.00X1.210X5.3100</t>
  </si>
  <si>
    <t>15.88-0-1.2-ERW 1-PE</t>
  </si>
  <si>
    <t>TUB-O-O-AUT-AW-PE-15.88X1.200X0.5400</t>
  </si>
  <si>
    <t>15.88-0-1.2-ERW 1-PE-0.54</t>
  </si>
  <si>
    <t>TUB-O-O-AUT-AW-PE-15.88X1.200X1.3100</t>
  </si>
  <si>
    <t>15.88-0-1.2-ERW 1-PE-1.31</t>
  </si>
  <si>
    <t>25.4-0-1.6-ERW 1-PE</t>
  </si>
  <si>
    <t>TUB-O-N-AUT-AW-PE-25.40X1.600X2.5900</t>
  </si>
  <si>
    <t>25.4-0-1.6-ERW 1-PE-2.59</t>
  </si>
  <si>
    <t>19.05-0-1.2-ERW 1-PE</t>
  </si>
  <si>
    <t>TUB-O-N-AUT-AW-PE-19.05X1.200X1.0750</t>
  </si>
  <si>
    <t>19.05-0-1.2-ERW 1-PE-1.075</t>
  </si>
  <si>
    <t>50-30-1.6-ERW 1-FC</t>
  </si>
  <si>
    <t>TUB-R-AW-AUT-50.00X30.00X1.600X1.1000</t>
  </si>
  <si>
    <t>50-30-1.6-ERW 1-FC-1.1</t>
  </si>
  <si>
    <t>TUB-O-N-AUT-AW-PE-19.05X1.200X1.1450</t>
  </si>
  <si>
    <t>TUB-R-AW-RHS-40.00X20.00X1.210X1.3100</t>
  </si>
  <si>
    <t>40-20-1.2-CRFH-PE-1.31</t>
  </si>
  <si>
    <t>TUB-R-AW-AUT-40.00X20.00X1.210X1.2460</t>
  </si>
  <si>
    <t>40-20-1.2-CRFH-PE-1.246</t>
  </si>
  <si>
    <t>TUB-R-AW-AUT-40.00X20.00X1.210X1.1200</t>
  </si>
  <si>
    <t>40-20-1.2-CRFH-PE-1.12</t>
  </si>
  <si>
    <t>TUB-R-AW-AUT-40.00X20.00X1.200X0.8600</t>
  </si>
  <si>
    <t>40-20-1.2-CRFH-PE-0.86</t>
  </si>
  <si>
    <t>TUB-O-O-AUT-AW-PE-15.88X1.200X0.8880</t>
  </si>
  <si>
    <t>15.88-0-1.2-ERW 1-PE-0.888</t>
  </si>
  <si>
    <t>TUB-R-AW-AUT-40.00X20.00X1.200X0.7550</t>
  </si>
  <si>
    <t>40-20-1.2-CRFH-PE-0.755</t>
  </si>
  <si>
    <t>TUB-R-AW-AUT-40.00X20.00X1.210X0.1200</t>
  </si>
  <si>
    <t>40-20-1.2-CRFH-PE-0.12</t>
  </si>
  <si>
    <t>TUB-R-AW-AUT-40.00X20.00X1.200X0.1100</t>
  </si>
  <si>
    <t>40-20-1.2-CRFH-PE-0.11</t>
  </si>
  <si>
    <t>TUB-S-AW-AUT-19.00X19.00X1.000X0.7950</t>
  </si>
  <si>
    <t>19-19-1-CRFH-PE-0.795</t>
  </si>
  <si>
    <t>TUB-S-AW-AUT-19.00X19.00X1.000X0.4700</t>
  </si>
  <si>
    <t>19-19-1-CRFH-PE-0.47</t>
  </si>
  <si>
    <t>TUB-S-AW-AUT-19.00X19.00X1.000X0.4000</t>
  </si>
  <si>
    <t>19-19-1-CRFH-PE-0.4</t>
  </si>
  <si>
    <t>CUT-R-AW-AUT-19.00X19.00X1.000X0.1000</t>
  </si>
  <si>
    <t>19-19-1-CRFH-PE-0.1</t>
  </si>
  <si>
    <t>TUB-O-N-AUT-AW-PE-15.88X1.220X0.1500</t>
  </si>
  <si>
    <t>15.88-0-1.2-ERW 1-PE-0.15</t>
  </si>
  <si>
    <t>TUB-S-AW-AUT-19.00X19.00X1.000X0.1150</t>
  </si>
  <si>
    <t>19-19-1-CRFH-PE-0.115</t>
  </si>
  <si>
    <t>15.88-0-1.6-ERW 1-PE</t>
  </si>
  <si>
    <t>TUB-O-N-AUT-AW-PE-15.88X1.600X0.4350</t>
  </si>
  <si>
    <t>15.88-0-1.6-ERW 1-PE-0.435</t>
  </si>
  <si>
    <t>TUB-S-AW-AUT-19.00X19.00X1.000X0.9630</t>
  </si>
  <si>
    <t>19-19-1-CRFH-PE-0.963</t>
  </si>
  <si>
    <t>TUB-S-AW-AUT-19.00X19.00X1.000X0.7550</t>
  </si>
  <si>
    <t>19-19-1-CRFH-PE-0.755</t>
  </si>
  <si>
    <t>TUB-O-N-AUT-AP-PE-15.88X1.600X6.0000</t>
  </si>
  <si>
    <t>15.88-0-1.6-ERW 1-PE-1</t>
  </si>
  <si>
    <t>TUB-S-AW-AUT-19.00X19.00X1.000X0.3550</t>
  </si>
  <si>
    <t>19-19-1-CRFH-PE-0.355</t>
  </si>
  <si>
    <t>0000940921</t>
  </si>
  <si>
    <t>TUB-O-O-GEN-AW-PE-15.88X1.600X6.0000</t>
  </si>
  <si>
    <t>TUB-S-AW-AUT-19.00X19.00X1.000X1.3040</t>
  </si>
  <si>
    <t>19-19-1-CRFH-PE-1.304</t>
  </si>
  <si>
    <t>TUB-S-AW-AUT-19.00X19.00X1.000X1.2460</t>
  </si>
  <si>
    <t>19-19-1-CRFH-PE-1.246</t>
  </si>
  <si>
    <t>TUB-S-AW-AUT-19.00X19.00X1.000X0.8350</t>
  </si>
  <si>
    <t>19-19-1-CRFH-PE-0.835</t>
  </si>
  <si>
    <t>TUB-S-AW-AUT-19.00X19.00X1.000X0.5400</t>
  </si>
  <si>
    <t>19-19-1-CRFH-PE-0.54</t>
  </si>
  <si>
    <t>CUT-R-AW-AUT-19.00X19.00X1.000X0.1100</t>
  </si>
  <si>
    <t>19-19-1-CRFH-PE-0.11</t>
  </si>
  <si>
    <t>25-25-1.2-CRFH-PE</t>
  </si>
  <si>
    <t>TUB-S-AW-AUT-25.00X25.00X1.200X0.6400</t>
  </si>
  <si>
    <t>25-25-1.2-CRFH-PE-0.64</t>
  </si>
  <si>
    <t>19.05-0-1.2-CRFH-PE</t>
  </si>
  <si>
    <t>CUT-O-N-AUT-AW-PE-19.05X1.200X1.2300</t>
  </si>
  <si>
    <t>19.05-0-1.2-CRFH-PE-1.23</t>
  </si>
  <si>
    <t>CUT-O-N-AUT-AW-PE-19.05X1.200X0.2000</t>
  </si>
  <si>
    <t>19.05-0-1.2-CRFH-PE-0.2</t>
  </si>
  <si>
    <t>15.88-0-2-ERW 1-PE</t>
  </si>
  <si>
    <t>TUB-O-O-AUT-AW-PE-15.88X2.000X0.2910</t>
  </si>
  <si>
    <t>15.88-0-2-ERW 1-PE-0.291</t>
  </si>
  <si>
    <t>TUB-O-O-AUT-AW-PE-15.88X2.000X6.0000</t>
  </si>
  <si>
    <t>15.88-0-2-ERW 1-PE-1</t>
  </si>
  <si>
    <t>TUB-S-AW-AUT-40.00X40.00X1.200X0.1580</t>
  </si>
  <si>
    <t>40-40-1.2-CRFH-PE-0.158</t>
  </si>
  <si>
    <t>TUB-S-AW-SHS-40.00X40.00X1.200X0.1150</t>
  </si>
  <si>
    <t>40-40-1.2-CRFH-PE-0.115</t>
  </si>
  <si>
    <t>16.1-0-2.8-CEW-CEW</t>
  </si>
  <si>
    <t>TUB-O-C-AUT-AD-FC-16.00X2.800X04-06</t>
  </si>
  <si>
    <t>16.1-0-2.8-CEW-CEW-1</t>
  </si>
  <si>
    <t>30-30-1.2-CRFH-PE</t>
  </si>
  <si>
    <t>TUB-S-AW-AUT-30.00X30.00X1.200X0.1900</t>
  </si>
  <si>
    <t>30-30-1.2-CRFH-PE-0.19</t>
  </si>
  <si>
    <t>CUT-R-AW-AUT-19.00X19.00X1.000X1.0070</t>
  </si>
  <si>
    <t>19-19-1-CRFH-PE-1.007</t>
  </si>
  <si>
    <t>TUB-S-AW-AUT-19.00X19.00X1.000X0.1290</t>
  </si>
  <si>
    <t>19-19-1-CRFH-PE-0.129</t>
  </si>
  <si>
    <t>0000189227</t>
  </si>
  <si>
    <t>17.3-0-1.2-ERW 1-PE</t>
  </si>
  <si>
    <t>TUB-O-N-AUT-AW-PE-17.30X1.200X0.1500</t>
  </si>
  <si>
    <t>17.3-0-1.2-ERW 1-PE-0.15</t>
  </si>
  <si>
    <t>CUT-O-N-AUT-AW-PE-19.05X1.200X0.33</t>
  </si>
  <si>
    <t>19.05-0-1.2-CRFH-PE-0.33</t>
  </si>
  <si>
    <t>22.23-0-2-ERW 1-FC</t>
  </si>
  <si>
    <t>CUT-O-N-AUT-AW-FC-22.23X2.000X0.7150</t>
  </si>
  <si>
    <t>22.23-0-2-ERW 1-FC-0.715</t>
  </si>
  <si>
    <t>34.93-0-1.6-ERW 1-FC</t>
  </si>
  <si>
    <t>TUB-O-O-AUT-AW-FC-34.93X1.600X1.7260</t>
  </si>
  <si>
    <t>34.93-0-1.6-ERW 1-FC-1.726</t>
  </si>
  <si>
    <t>59-30-1.6-ERW 1-FIN CUT</t>
  </si>
  <si>
    <t>TUB-E-AW-AUT-59.00X30.00X1.600X0.6410</t>
  </si>
  <si>
    <t>59-30-1.6-ERW 1-FIN CUT-0.641</t>
  </si>
  <si>
    <t>TUB-R-AW-RHS-40.00X25.00X1.600X0.5130</t>
  </si>
  <si>
    <t>40-25-1.6-ERW 1-FC-0.513</t>
  </si>
  <si>
    <t>0000941496</t>
  </si>
  <si>
    <t>TUB-R-AW-RHS-40.00X25.00X1.600X0.5360</t>
  </si>
  <si>
    <t>40-25-1.6-ERW 1-FC-0.536</t>
  </si>
  <si>
    <t>TUB-R-AW-RHS-40.00X25.00X1.600X0.5600</t>
  </si>
  <si>
    <t>40-25-1.6-ERW 1-FC-0.56</t>
  </si>
  <si>
    <t>40-30-2-ERW 1-FC</t>
  </si>
  <si>
    <t>TUB-R-AW-AUT-40.00X30.00X2.000X0.1480</t>
  </si>
  <si>
    <t>40-30-2-ERW 1-FC-0.148</t>
  </si>
  <si>
    <t>0000952904</t>
  </si>
  <si>
    <t>28.58-0-2-ERW 1-FC</t>
  </si>
  <si>
    <t>TUB-O-O-AUT-AW-FC-28.58X2.000X0.4750</t>
  </si>
  <si>
    <t>28.58-0-2-ERW 1-FC-0.475</t>
  </si>
  <si>
    <t>0000188415</t>
  </si>
  <si>
    <t>40-30-1.6-ERW 1-FC</t>
  </si>
  <si>
    <t>TUB-R-AW-RHS-40.00X30.00X1.600X0.8600</t>
  </si>
  <si>
    <t>40-30-1.6-ERW 1-FC-0.86</t>
  </si>
  <si>
    <t>0000187884</t>
  </si>
  <si>
    <t>19-12.5-3.25-CEW-CEW</t>
  </si>
  <si>
    <t>TUB-I-C-AUT-AD-FC-12.50X3.250X0.5880</t>
  </si>
  <si>
    <t>19-12.5-3.25-CEW-CEW-0.588</t>
  </si>
  <si>
    <t>TUB-R-AW-RHS-40.00X30.00X2.000X0.8700</t>
  </si>
  <si>
    <t>40-30-2-ERW 1-FC-0.87</t>
  </si>
  <si>
    <t>TUB-I-C-AUT-AD-FC-12.50X3.250X6.2000</t>
  </si>
  <si>
    <t>19-12.5-3.25-CEW-CEW-1</t>
  </si>
  <si>
    <t>0000189239</t>
  </si>
  <si>
    <t>TUB-O-O-AUT-AW-PE-22.23X1.600X0.4010</t>
  </si>
  <si>
    <t>22.23-0-1.6-ERW 1-PE-0.401</t>
  </si>
  <si>
    <t>TUB-O-N-AUT-AW-PE-22.20X1.600X0.6400</t>
  </si>
  <si>
    <t>22.23-0-1.6-ERW 1-PE-0.64</t>
  </si>
  <si>
    <t>TUB-S-AW-AUT-19.00X19.00X1.000X0.1500</t>
  </si>
  <si>
    <t>19-19-1-CRFH-PE-0.15</t>
  </si>
  <si>
    <t>19.05-0-2-ERW 1-PE</t>
  </si>
  <si>
    <t>TUB-O-O-AUT-AW-PE-19.05X2.000X0.8150</t>
  </si>
  <si>
    <t>19.05-0-2-ERW 1-PE-0.815</t>
  </si>
  <si>
    <t>22.23-0-1.2-ERW 1-PE</t>
  </si>
  <si>
    <t>CUT-O-N-AUT-AW-PE-22.23X1.200X1.3080</t>
  </si>
  <si>
    <t>22.23-0-1.2-ERW 1-PE-1.308</t>
  </si>
  <si>
    <t>TUB-R-AW-AUT-40.00X20.00X1.210X0.8000</t>
  </si>
  <si>
    <t>40-20-1.2-CRFH-PE-0.8</t>
  </si>
  <si>
    <t>CUT-R-AW-AUT-19.00X19.00X1.000X0.8000</t>
  </si>
  <si>
    <t>19-19-1-CRFH-PE-0.8</t>
  </si>
  <si>
    <t>TUB-S-AW-AUT-19.00X19.00X1.000X0.8800</t>
  </si>
  <si>
    <t>19-19-1-CRFH-PE-0.88</t>
  </si>
  <si>
    <t>TUB-S-AW-AUT-19.00X19.00X1.000X0.8400</t>
  </si>
  <si>
    <t>19-19-1-CRFH-PE-0.84</t>
  </si>
  <si>
    <t>TUB-S-AW-AUT-19.00X19.00X1.000X0.8750</t>
  </si>
  <si>
    <t>19-19-1-CRFH-PE-0.875</t>
  </si>
  <si>
    <t>TUB-S-AW-AUT-19.00X19.00X1.010X0.8710</t>
  </si>
  <si>
    <t>19-19-1-CRFH-PE-0.871</t>
  </si>
  <si>
    <t>CUT-S-AW-AUT-25.00X25.00X1.200X1.2980</t>
  </si>
  <si>
    <t>25-25-1.2-CRFH-PE-1.298</t>
  </si>
  <si>
    <t>TUB-S-AW-AUT-25.00X25.00X1.200X0.7870</t>
  </si>
  <si>
    <t>25-25-1.2-CRFH-PE-0.787</t>
  </si>
  <si>
    <t>19-19-1.2-CRFH-PE</t>
  </si>
  <si>
    <t>CUT-O-N-AUT-AW-PE-19.05X1.200X0.6820</t>
  </si>
  <si>
    <t>19-19-1.2-CRFH-PE-0.682</t>
  </si>
  <si>
    <t>TUB-S-AW-AUT-30.00X30.00X1.200X0.2200</t>
  </si>
  <si>
    <t>30-30-1.2-CRFH-PE-0.22</t>
  </si>
  <si>
    <t>CUT-R-AW-RHS-40.00X30.00X1.600X0.8350</t>
  </si>
  <si>
    <t>40-30-1.6-ERW 1-FC-0.835</t>
  </si>
  <si>
    <t>22.23-0-2-ERW 1-PE</t>
  </si>
  <si>
    <t>TUB-O-N-AUT-AW-PE-22.23X2.000X0.8150</t>
  </si>
  <si>
    <t>22.23-0-2-ERW 1-PE-0.815</t>
  </si>
  <si>
    <t>0000189226</t>
  </si>
  <si>
    <t>TUB-O-O-AUT-AW-PE-22.23X2.000X0.3940</t>
  </si>
  <si>
    <t>22.23-0-2-ERW 1-PE-0.394</t>
  </si>
  <si>
    <t>CUT-O-N-AUT-AW-PE-22.20X1.200X0.6730</t>
  </si>
  <si>
    <t>22.23-0-1.2-ERW 1-PE-0.673</t>
  </si>
  <si>
    <t>0000949970</t>
  </si>
  <si>
    <t>22.23-0-2-ERW 2 MAHS-PE</t>
  </si>
  <si>
    <t>TUB-O-O-AUT-AW-PE-22.23X2.00X0.905-MAHS</t>
  </si>
  <si>
    <t>22.23-0-2-ERW 2 MAHS-PE-0.905</t>
  </si>
  <si>
    <t>22.23-0-2-ERW 2-PE</t>
  </si>
  <si>
    <t>CUT-O-N-AUT-AW-FC-22.23X2.000X0.8650</t>
  </si>
  <si>
    <t>22.23-0-2-ERW 2-PE-0.865</t>
  </si>
  <si>
    <t>19.05-0-1-ERW 1-PE</t>
  </si>
  <si>
    <t>TUB-O-N-AUT-AW-PE-19.05X1.000X1.2000</t>
  </si>
  <si>
    <t>19.05-0-1-ERW 1-PE-1.2</t>
  </si>
  <si>
    <t>TUB-O-N-AUT-AW-PE-22.23X1.600X1.3040</t>
  </si>
  <si>
    <t>22.23-0-1.6-ERW 1-PE-1.304</t>
  </si>
  <si>
    <t>0000188647</t>
  </si>
  <si>
    <t>41.28-0-3.2-ERW 1-FC</t>
  </si>
  <si>
    <t>CUT-O-N-AUT-AW-FC-41.28X3.200X0.2460</t>
  </si>
  <si>
    <t>41.28-0-3.2-ERW 1-FC-0.246</t>
  </si>
  <si>
    <t>TUB-R-AW-RHS-40.00X30.00X1.600X0.8800</t>
  </si>
  <si>
    <t>40-30-1.6-ERW 1-FC-0.88</t>
  </si>
  <si>
    <t>TUB-R-AW-RHS-40.00X30.00X2.000X0.8800</t>
  </si>
  <si>
    <t>40-30-2-ERW 1-FC-0.88</t>
  </si>
  <si>
    <t>40-20-1.6-ERW 1-FC</t>
  </si>
  <si>
    <t>TUB-R-AW-AUT-40.00X20.00X1.600X0.3560</t>
  </si>
  <si>
    <t>40-20-1.6-ERW 1-FC-0.356</t>
  </si>
  <si>
    <t>28.58-0-1.6-ERW 1-FC</t>
  </si>
  <si>
    <t>TUB-O-N-AUT-AW-FC-28.58X1.600X0.4140</t>
  </si>
  <si>
    <t>28.58-0-1.6-ERW 1-FC-0.414</t>
  </si>
  <si>
    <t>TUB-O-N-AUT-AW-PE-19.05X1.200X1.2750</t>
  </si>
  <si>
    <t>19.05-0-1.2-ERW 1-PE-1.275</t>
  </si>
  <si>
    <t>TUB-O-N-AUT-AW-FC-28.58X1.600X0.2150</t>
  </si>
  <si>
    <t>28.58-0-1.6-ERW 1-FC-0.215</t>
  </si>
  <si>
    <t>TUB-R-AW-AUT-50.00X30.00X1.600X0.6040</t>
  </si>
  <si>
    <t>50-30-1.6-ERW 1-FC-0.604</t>
  </si>
  <si>
    <t>34.93-0-2.6-ERW 1-FC</t>
  </si>
  <si>
    <t>TUB-O-O-AUT-AW-FC-34.93X2.500X1.7210</t>
  </si>
  <si>
    <t>34.93-0-2.6-ERW 1-FC-1.721</t>
  </si>
  <si>
    <t>TUB-R-AW-RHS-50.00X30.00X1.600X0.6360</t>
  </si>
  <si>
    <t>50-30-1.6-ERW 1-FC-0.636</t>
  </si>
  <si>
    <t>0000949971</t>
  </si>
  <si>
    <t>22.23-0-2-ERW 2 MAHS-FC</t>
  </si>
  <si>
    <t>CUT-O-N-AUT-AW-FC-22.23X2.000X0.8550</t>
  </si>
  <si>
    <t>22.23-0-2-ERW 2 MAHS-FC-0.855</t>
  </si>
  <si>
    <t>TUB-R-AW-AUT-40.00X25.00X1.600X0.5140</t>
  </si>
  <si>
    <t>40-25-1.6-ERW 1-FC-0.514</t>
  </si>
  <si>
    <t>CUT-O-N-AUT-AW-PE-19.05X2.000X0.7750</t>
  </si>
  <si>
    <t>19.05-0-2-ERW 1-PE-0.775</t>
  </si>
  <si>
    <t>TUB-R-AW-RHS-40.00X20.00X1.200X0.1300</t>
  </si>
  <si>
    <t>40-20-1.2-CRFH-PE-0.13</t>
  </si>
  <si>
    <t>TUB-S-AW-SHS-40.00X40.00X1.200X0.1400</t>
  </si>
  <si>
    <t>40-40-1.2-CRFH-PE-0.14</t>
  </si>
  <si>
    <t>TUB-S-AW-SHS-40.00X40.00X1.200X0.1250</t>
  </si>
  <si>
    <t>40-40-1.2-CRFH-PE-0.125</t>
  </si>
  <si>
    <t>28.58-0-1.2-ERW 1-PE</t>
  </si>
  <si>
    <t>TUB-O-O-AUT-AW-PE-28.58X1.200X0.5950</t>
  </si>
  <si>
    <t>28.58-0-1.2-ERW 1-PE-0.595</t>
  </si>
  <si>
    <t>22.23-0-1.6-ERW 2 MAHS-PE</t>
  </si>
  <si>
    <t>TUB-O-O-AUT-AW-PE-22.23X1.60X0.935-MAHS</t>
  </si>
  <si>
    <t>22.23-0-1.6-ERW 2 MAHS-PE-0.935</t>
  </si>
  <si>
    <t>TUB-O-O-AUT-AW-PE-22.23X2.00X0.930-MAHS</t>
  </si>
  <si>
    <t>22.23-0-2-ERW 2 MAHS-PE-0.93</t>
  </si>
  <si>
    <t>TUB-O-N-AUT-AW-PE-19.05X2.300X0.2550</t>
  </si>
  <si>
    <t>19.05-0-2.3-ERW 1-PE-0.255</t>
  </si>
  <si>
    <t>CUT-O-N-AUT-AW-PE-19.05X2.300X0.2550</t>
  </si>
  <si>
    <t>TUB-O-O-AUT-AW-PE-19.05X2.300X0.2650</t>
  </si>
  <si>
    <t>19.05-0-2.3-ERW 1-PE-0.265</t>
  </si>
  <si>
    <t>TUB-O-N-AUT-AW-PE-19.05X2.300X0.2850</t>
  </si>
  <si>
    <t>19.05-0-2.3-ERW 1-PE-0.285</t>
  </si>
  <si>
    <t>TUB-O-O-AUT-AW-PE-19.05X2.300X0.3030</t>
  </si>
  <si>
    <t>19.05-0-2.3-ERW 1-PE-0.303</t>
  </si>
  <si>
    <t>CUT-O-N-AUT-AW-PE-19.05X2.300X0.3030</t>
  </si>
  <si>
    <t>TUB-O-O-AUT-AW-PE-19.05X2.300X0.3940</t>
  </si>
  <si>
    <t>19.05-0-2.3-ERW 1-PE-0.394</t>
  </si>
  <si>
    <t>48.6-0-3.5-ERW 1-FC</t>
  </si>
  <si>
    <t>TUB-O-N-AUT-AW-FC-48.60X3.500X0.1960</t>
  </si>
  <si>
    <t>48.6-0-3.5-ERW 1-FC-0.196</t>
  </si>
  <si>
    <t>TUB-O-O-AUT-AW-PE-19.05X2.300X0.5700</t>
  </si>
  <si>
    <t>19.05-0-2.3-ERW 1-PE-0.57</t>
  </si>
  <si>
    <t>CUT-O-N-AUT-AW-PE-19.05X2.300X0.570</t>
  </si>
  <si>
    <t>CUT-O-N-AUT-AW-PE-19.05X2.300X0.5700</t>
  </si>
  <si>
    <t>TUB-O-O-AUT-AW-PE-19.05X2.300X0.5850</t>
  </si>
  <si>
    <t>19.05-0-2.3-ERW 1-PE-0.585</t>
  </si>
  <si>
    <t>CUT-O-N-AUT-AW-PE-19.05X2.300X0.6100</t>
  </si>
  <si>
    <t>19.05-0-2.3-ERW 1-PE-0.61</t>
  </si>
  <si>
    <t>0000185254</t>
  </si>
  <si>
    <t>20-17.16-1.42-CEW-CEW</t>
  </si>
  <si>
    <t>TUB-O-C-AUT-AD-FC-20.00X1.420X0.2730</t>
  </si>
  <si>
    <t>20-17.16-1.42-CEW-CEW-0.273</t>
  </si>
  <si>
    <t>21.7-16.2-2.75-CEW-CEW</t>
  </si>
  <si>
    <t>TUB-O-C-AUT-AD-FC-21.70X2.750X04-05</t>
  </si>
  <si>
    <t>21.7-16.2-2.75-CEW-CEW-1</t>
  </si>
  <si>
    <t>CUT-O-N-AUT-AW-PE-22.20X1.600X1.1750</t>
  </si>
  <si>
    <t>22.23-0-1.6-ERW 1-PE-1.175</t>
  </si>
  <si>
    <t>0000819045</t>
  </si>
  <si>
    <t>CUT-O-N-AUT-AW-PE-22.20X1.600X1.2220</t>
  </si>
  <si>
    <t>22.23-0-1.6-ERW 1-PE-1.222</t>
  </si>
  <si>
    <t>CUT-O-N-AUT-AW-PE-22.20X1.600X1.2900</t>
  </si>
  <si>
    <t>22.23-0-1.6-ERW 1-PE-1.29</t>
  </si>
  <si>
    <t>25.4-0-2-ERW 1-FC</t>
  </si>
  <si>
    <t>TUB-O-N-AUT-AW-FC-25.40X2.000X0.3500</t>
  </si>
  <si>
    <t>25.4-0-2-ERW 1-FC-0.35</t>
  </si>
  <si>
    <t>CUT-R-AW-RHS-40.00X25.00X1.600X0.6470</t>
  </si>
  <si>
    <t>40-25-1.6-ERW 1-FC-0.647</t>
  </si>
  <si>
    <t>TUB-R-AW-AUT-40.00X20.00X1.600X5.8600</t>
  </si>
  <si>
    <t>40-20-1.6-ERW 1-FC-1</t>
  </si>
  <si>
    <t>TUB-R-AW-AUT-40.00X20.00X1.200X5.6800</t>
  </si>
  <si>
    <t>CUT-O-N-AUT-AW-PE-22.20X2.000X0.8050</t>
  </si>
  <si>
    <t>22.23-0-2-ERW 1-PE-0.805</t>
  </si>
  <si>
    <t>CUT-O-N-AUT-AW-PE-22.20X2.000X0.8150</t>
  </si>
  <si>
    <t>22.23-0-2.3-ERW 1-PE</t>
  </si>
  <si>
    <t>TUB-O-N-AUT-AW-PE-22.20X2.300X0.2250</t>
  </si>
  <si>
    <t>22.23-0-2.3-ERW 1-PE-0.225</t>
  </si>
  <si>
    <t>CUT-O-N-AUT-AW-PE-22.20X2.300X0.2810</t>
  </si>
  <si>
    <t>22.23-0-2.3-ERW 1-PE-0.281</t>
  </si>
  <si>
    <t>PT2-O-N-AUT-NR-PE-22.20X2.300X0.4270</t>
  </si>
  <si>
    <t>22.23-0-2.3-ERW 1-PE-0.427</t>
  </si>
  <si>
    <t>TUB-O-N-AUT-AW-PE-22.20X2.30X6.220-ERW 1</t>
  </si>
  <si>
    <t>22.23-0-2.3-ERW 1-PE-1</t>
  </si>
  <si>
    <t>0000945539</t>
  </si>
  <si>
    <t>TUB-O-N-AUT-AW-PE-22.23X1.600X0.690</t>
  </si>
  <si>
    <t>22.23-0-1.6-ERW 1-PE-0.69</t>
  </si>
  <si>
    <t>TUB-O-N-AUT-AW--22.23X1.600X1.3380</t>
  </si>
  <si>
    <t>22.23-0-1.6-ERW 1-PE-1.338</t>
  </si>
  <si>
    <t>TUB-O-O-AUT-AW-PE-22.23X2.000X0.2200</t>
  </si>
  <si>
    <t>22.23-0-2-ERW 1-PE-0.22</t>
  </si>
  <si>
    <t>TUB-O-O-AUT-AW-PE-22.23X2.000X0.8090</t>
  </si>
  <si>
    <t>22.23-0-2-ERW 1-PE-0.809</t>
  </si>
  <si>
    <t>TUB-O-O-AUT-AW-PE-22.23X2.00X0.812-MAHS</t>
  </si>
  <si>
    <t>22.23-0-2-ERW 2 MAHS-PE-0.812</t>
  </si>
  <si>
    <t>CUT-O-N-AUT-AW-FC-22.23X2.000X0.8400</t>
  </si>
  <si>
    <t>22.23-0-2-ERW 2 MAHS-FC-0.84</t>
  </si>
  <si>
    <t>22.23-0-2-ERW 2-FC</t>
  </si>
  <si>
    <t>CUT-O-N-AUT-AS-FC-22.23X2.000X0.8550</t>
  </si>
  <si>
    <t>22.23-0-2-ERW 2-FC-0.855</t>
  </si>
  <si>
    <t>CUT-O-N-AUT-AW-FC-22.23X2.000X0.8630</t>
  </si>
  <si>
    <t>22.23-0-2-ERW 2-FC-0.863</t>
  </si>
  <si>
    <t>TUB-O-N-AUT-AW-PE-22.23X2.000X1.3250</t>
  </si>
  <si>
    <t>22.23-0-2-ERW 1-PE-1.325</t>
  </si>
  <si>
    <t>TUB-O-O-AUT-AW-PE-22.23X2.000X1.3850</t>
  </si>
  <si>
    <t>22.23-0-2-ERW 2 MAHS-PE-1.385</t>
  </si>
  <si>
    <t>TUB-O-O-AUT-AW-FC-25.40X2.000X0.2810</t>
  </si>
  <si>
    <t>25.4-0-2-ERW 1-FC-0.281</t>
  </si>
  <si>
    <t>TUB-O-N-GEN-AW-PE-22.23X2.000X6.0000</t>
  </si>
  <si>
    <t>22.23-0-2-ERW 1-PE-1</t>
  </si>
  <si>
    <t>TUB-O-N-AUT-AW-PE-22.23X2.300X0.37</t>
  </si>
  <si>
    <t>22.23-0-2-ERW 2-PE-0.37</t>
  </si>
  <si>
    <t>25.4-0-1.2-ERW 1-PE</t>
  </si>
  <si>
    <t>TUB-O-N-AUT-AW-PE-25.40X1.200X2.5500</t>
  </si>
  <si>
    <t>25.4-0-1.2-ERW 1-PE-2.55</t>
  </si>
  <si>
    <t>TUB-R-AW-RHS-40.00X25.00X1.600X0.5850</t>
  </si>
  <si>
    <t>40-25-1.6-ERW 1-FC-0.585</t>
  </si>
  <si>
    <t>TUB-R-AW-RHS-40.00X20.00X1.600X0.4800</t>
  </si>
  <si>
    <t>40-20-1.6-ERW 1-FC-0.48</t>
  </si>
  <si>
    <t>TUB-O-N-AUT-AW-PE-25.40X1.630X2.5800</t>
  </si>
  <si>
    <t>25.4-0-1.6-ERW 1-PE-2.58</t>
  </si>
  <si>
    <t>48.6-0-1.2-ERW 1-FC</t>
  </si>
  <si>
    <t>TUB-O-N-AUT-AW-FC-48.60X1.200X0.3360</t>
  </si>
  <si>
    <t>48.6-0-1.2-ERW 1-FC-0.336</t>
  </si>
  <si>
    <t>TUB-O-O-AUT-AW-FC-25.40X2.000X0.3550</t>
  </si>
  <si>
    <t>25.4-0-2-ERW 1-FC-0.355</t>
  </si>
  <si>
    <t>31.75-0-2.5-ERW 1-FC</t>
  </si>
  <si>
    <t>CUT-O-N-AUT-AW-PE-31.75X2.500X0.1930</t>
  </si>
  <si>
    <t>31.75-0-2.5-ERW 1-FC-0.193</t>
  </si>
  <si>
    <t>CUT-O-N-AUT-AW-FC-25.40X2.000X0.4120</t>
  </si>
  <si>
    <t>25.4-0-2-ERW 1-FC-0.412</t>
  </si>
  <si>
    <t>CUT-O-N-AUT-AW-FC-25.40X2.000X0.4180</t>
  </si>
  <si>
    <t>25.4-0-2-ERW 1-FC-0.418</t>
  </si>
  <si>
    <t>25.4-0-2.5-CEW-CEW</t>
  </si>
  <si>
    <t>TUB-O-C-CEW-AD-FC-25.40X2.500X0.2170</t>
  </si>
  <si>
    <t>25.4-0-2.5-CEW-CEW-0.217</t>
  </si>
  <si>
    <t>0000189240</t>
  </si>
  <si>
    <t>25.4-0-2.5-ERW 1-FC</t>
  </si>
  <si>
    <t>TUB-O-O-AUT-AW-FC-25.40X2.500X0.7830</t>
  </si>
  <si>
    <t>25.4-0-2.5-ERW 1-FC-0.783</t>
  </si>
  <si>
    <t>25.4-19-3.2-CEW-CEW</t>
  </si>
  <si>
    <t>TUB-O-C-AUT-AD-FC-25.40X3.200X04-05</t>
  </si>
  <si>
    <t>25.4-19-3.2-CEW-CEW-1</t>
  </si>
  <si>
    <t>28.6-0-2.65-CEW-CEW</t>
  </si>
  <si>
    <t>TUB-O-C-AUT-AD-FC-28.60X2.650X0.2090</t>
  </si>
  <si>
    <t>28.6-0-2.65-CEW-CEW-0.209</t>
  </si>
  <si>
    <t>TUB-O-C-AUT-AD-FC-28.60X2.650X04-05</t>
  </si>
  <si>
    <t>28.6-0-2.65-CEW-CEW-1</t>
  </si>
  <si>
    <t>0000188934</t>
  </si>
  <si>
    <t>CUT-O-C-AUT-AD-FC-29.40X4.500X0.3570</t>
  </si>
  <si>
    <t>29.4-20.4-4.5-CEW-CEW-0.357</t>
  </si>
  <si>
    <t>29.4-20.4-4.5-CEW STKM 13C-CEW</t>
  </si>
  <si>
    <t>TUB-O-C-CEW-AD-FC-29.40X4.500X0.3760</t>
  </si>
  <si>
    <t>29.4-20.4-4.5-CEW STKM 13C-CEW-0.376</t>
  </si>
  <si>
    <t>30-25.5-2.25-CEW-CEW</t>
  </si>
  <si>
    <t>TUB-O-C-AUT-AD-FC-30.00X2.250X0.4850</t>
  </si>
  <si>
    <t>30-25.5-2.25-CEW-CEW-0.485</t>
  </si>
  <si>
    <t>CUT-I-C-AUT-AD-CH-25.50X2.320X0.4650</t>
  </si>
  <si>
    <t>30-25.5-2.25-CEW-CEW-0.465</t>
  </si>
  <si>
    <t>31.75-0-1.2-ERW 1-PE</t>
  </si>
  <si>
    <t>CUT-O-N-AUT-AW-PE-31.75X1.200X0.2100</t>
  </si>
  <si>
    <t>31.75-0-1.2-ERW 1-PE-0.21</t>
  </si>
  <si>
    <t>0000129695</t>
  </si>
  <si>
    <t>31.75-0-1.2-ERW 1-FC</t>
  </si>
  <si>
    <t>CUT-O-N-AUT-AW-FC-31.75X1.200X0.5980</t>
  </si>
  <si>
    <t>31.75-0-1.2-ERW 1-FC-0.598</t>
  </si>
  <si>
    <t>CUT-O-N-AUT-AW-PE-31.75X1.200X0.6800</t>
  </si>
  <si>
    <t>31.75-0-1.2-ERW 1-PE-0.68</t>
  </si>
  <si>
    <t>50-30-2-ERW 1-FC</t>
  </si>
  <si>
    <t>TUB-R-AW-RHS-50.00X30.00X2.000X0.7300</t>
  </si>
  <si>
    <t>50-30-2-ERW 1-FC-0.73</t>
  </si>
  <si>
    <t>TUB-O-N-AUT-AW-FC-31.75X2.500X6.0000</t>
  </si>
  <si>
    <t>31.75-0-2.5-ERW 1-FC-1</t>
  </si>
  <si>
    <t>31.75-25-3.37-CEW-CEW</t>
  </si>
  <si>
    <t>TUB-O-C-AUT-AD-FC-31.75X3.375X04-05</t>
  </si>
  <si>
    <t>31.75-25-3.37-CEW-CEW-1</t>
  </si>
  <si>
    <t>34.93-0-2.3-ERW 2-FC-Ampere</t>
  </si>
  <si>
    <t>CUT-O-N-AUT-AW-FC-34.93X2.300X0.2980</t>
  </si>
  <si>
    <t>34.93-0-2.3-ERW 2-FC-Ampere-0.298</t>
  </si>
  <si>
    <t>CUT-O-N-AUT-AW-FC-34.93X2.300X0.3330</t>
  </si>
  <si>
    <t>34.93-0-2.3-ERW 2-FC-Ampere-0.333</t>
  </si>
  <si>
    <t>0000941506</t>
  </si>
  <si>
    <t>CUT-O-N-AUT-AW-FC-34.93X2.300X1.5010</t>
  </si>
  <si>
    <t>34.93-0-2.3-ERW 2-FC-Ampere-1.501</t>
  </si>
  <si>
    <t>38.1-0-1.6-ERW 1.6 MAHS-FC</t>
  </si>
  <si>
    <t>TUB-O-N-AUT-AW-FC-38.10X1.600X6.1900</t>
  </si>
  <si>
    <t>38.1-0-1.6-ERW 1.6 MAHS-FC-1</t>
  </si>
  <si>
    <t>38.1-0-2-ERW 1-FC</t>
  </si>
  <si>
    <t>CUT-O-N-AUT-AW-FC-38.10X2.000X0.4100</t>
  </si>
  <si>
    <t>38.1-0-2-ERW 1-FC-0.41</t>
  </si>
  <si>
    <t>TUB-O-O-AUT-AW-FC-38.10X2.000X0.4250</t>
  </si>
  <si>
    <t>38.1-0-2-ERW 1-FC-0.425</t>
  </si>
  <si>
    <t>TUB-O-N-AUT-AW-FC-38.10X2.000X0.4320</t>
  </si>
  <si>
    <t>38.1-0-2-ERW 1-FC-0.432</t>
  </si>
  <si>
    <t>TUB-O-O-AUT-AW-FC-38.10X2.000X0.8120</t>
  </si>
  <si>
    <t>38.1-0-2-ERW 1-FC-0.812</t>
  </si>
  <si>
    <t>39-34-2.5-CEW-CEW</t>
  </si>
  <si>
    <t>TUB-I-C-AUT-AN-FC-39.00X34.00X0.2720</t>
  </si>
  <si>
    <t>39-34-2.5-CEW-CEW-0.272</t>
  </si>
  <si>
    <t>63.5-0-4-ERW 1-FC</t>
  </si>
  <si>
    <t>CUT-O-N-AUT-BH-FC-63.50X4.000X0.2360</t>
  </si>
  <si>
    <t>63.5-0-4-ERW 1-FC-0.236</t>
  </si>
  <si>
    <t>42.7-0-3.5-ERW 1-FC</t>
  </si>
  <si>
    <t>TUB-O-N-AUT-AN-FC-42.70X3.500X0.2100</t>
  </si>
  <si>
    <t>42.7-0-3.5-ERW 1-FC-0.21</t>
  </si>
  <si>
    <t>TUB-O-N-AUT-AW-FC-41.28X3.200X0.2300</t>
  </si>
  <si>
    <t>41.28-0-3.2-ERW 1-FC-0.23</t>
  </si>
  <si>
    <t>CUT-O-N-AUT-BH-FC-63.50X4.000X0.2340</t>
  </si>
  <si>
    <t>63.5-0-4-ERW 1-FC-0.234</t>
  </si>
  <si>
    <t>CUT-O-N-AUT-BH-FC-63.50X4.000X0.2630</t>
  </si>
  <si>
    <t>63.5-0-4-ERW 1-FC-0.263</t>
  </si>
  <si>
    <t>TUB-O-N-AUT-AN--42.70X3.500X0.2080</t>
  </si>
  <si>
    <t>42.7-0-3.5-ERW 1-FC-0.208</t>
  </si>
  <si>
    <t>41.28-0-2.6-ERW 1-FC</t>
  </si>
  <si>
    <t>CUT-O-N-AUT-AW-FC-41.28X2.600X0.8500</t>
  </si>
  <si>
    <t>41.28-0-2.6-ERW 1-FC-0.85</t>
  </si>
  <si>
    <t>CUT-AW-AUT-40.00X25.00X1.600X0.5610</t>
  </si>
  <si>
    <t>40-25-1.6-ERW 1-FC-0.561</t>
  </si>
  <si>
    <t>42.7-0-4-ERW 1-FC</t>
  </si>
  <si>
    <t>TUB-O-N-AUT-AN-FC-42.70X4.000X0.2540</t>
  </si>
  <si>
    <t>42.7-0-4-ERW 1-FC-0.254</t>
  </si>
  <si>
    <t>TUB-O-N-AUT-AN-FC-63.50X4.000X0.2360</t>
  </si>
  <si>
    <t>50-50-1.6-ERW 2-PE</t>
  </si>
  <si>
    <t>CUT-S-AW-SHS-50.00X50.00X1.600X0.8470</t>
  </si>
  <si>
    <t>50-50-1.6-ERW 2-PE-0.847</t>
  </si>
  <si>
    <t>CUT-O-N-AUT-BH-FC-42.70X3.500X0.2050</t>
  </si>
  <si>
    <t>42.7-0-3.5-ERW 1-FC-0.205</t>
  </si>
  <si>
    <t>CUT-O-N-AUT-AW-FC-48.60X3.500X0.1960</t>
  </si>
  <si>
    <t>CUT-O-N-AUT-NR-FC-42.70X3.500X0.2100</t>
  </si>
  <si>
    <t>CUT-N-AUT-AN-FC-42.70X4.000X0.2150</t>
  </si>
  <si>
    <t>42.7-0-4-ERW 1-FC-0.215</t>
  </si>
  <si>
    <t>57.15-0-2.3-ERW 2-FC</t>
  </si>
  <si>
    <t>CUT-O-N-AUT-AW-FC-57.15X2.300X1.3650</t>
  </si>
  <si>
    <t>57.15-0-2.3-ERW 2-FC-1.365</t>
  </si>
  <si>
    <t>CUT-O-N-AUT-BH-FC-42.70X4.000X0.2900</t>
  </si>
  <si>
    <t>42.7-0-4-ERW 1-FC-0.29</t>
  </si>
  <si>
    <t>57.15-0-2-ERW 1-FC</t>
  </si>
  <si>
    <t>TUB-O-N-AUT-AW-FC-57.15X2.000X0.4090</t>
  </si>
  <si>
    <t>57.15-0-2-ERW 1-FC-0.409</t>
  </si>
  <si>
    <t>CUT-O-N-AUT-NR-AG-57.15X2.000X0.7130</t>
  </si>
  <si>
    <t>57.15-0-2-ERW 1-FC-0.713</t>
  </si>
  <si>
    <t>70-0-3.2-ERW 2-FC</t>
  </si>
  <si>
    <t>CUT-O-N-AUT-AN-AG-70.00X3.200X0.490 HST</t>
  </si>
  <si>
    <t>70-0-3.2-ERW 2-FC-0.49</t>
  </si>
  <si>
    <t>48.6-0-4-ERW 2-FC-Ampere</t>
  </si>
  <si>
    <t>CUT-O-N-AUT-AW-FC-48.60X4.000X0.5570</t>
  </si>
  <si>
    <t>48.6-0-4-ERW 2-FC-Ampere-0.557</t>
  </si>
  <si>
    <t>54-0-3-ERW 2-FC</t>
  </si>
  <si>
    <t>TUB-O-N-AUT-AN-FC-54.00X3.000X1.1400</t>
  </si>
  <si>
    <t>54-0-3-ERW 2-FC-1.14</t>
  </si>
  <si>
    <t>CUT-N-AUT-AN-FC-70.00X3.200X0.5120</t>
  </si>
  <si>
    <t>70-0-3.2-ERW 2-FC-0.512</t>
  </si>
  <si>
    <t>CUT-O-N-AUT-AW-FC-54.00X3.000X1.1400</t>
  </si>
  <si>
    <t>57.15-0-2.5-ERW 1-FC</t>
  </si>
  <si>
    <t>CUT-O-N-AUT-AW-PE-57.15X2.500X0.7720</t>
  </si>
  <si>
    <t>57.15-0-2.5-ERW 1-FC-0.772</t>
  </si>
  <si>
    <t>TUB-R-AW-RHS-50.00X30.00X1.600X0.6070</t>
  </si>
  <si>
    <t>50-30-1.6-ERW 1-FC-0.607</t>
  </si>
  <si>
    <t>CUT-O-N-AUT-AW-PE-19.05X2.300X0.2650</t>
  </si>
  <si>
    <t>CUT-O-N-AUT-AW-PE-22.20X1.200X1.1620</t>
  </si>
  <si>
    <t>22.23-0-1.2-ERW 1-PE-1.162</t>
  </si>
  <si>
    <t>Row Labels</t>
  </si>
  <si>
    <t>Grand Total</t>
  </si>
  <si>
    <t>Sandhar</t>
  </si>
  <si>
    <t>ACTUAL OD</t>
  </si>
  <si>
    <t>TICKNESS</t>
  </si>
  <si>
    <t>UoM</t>
  </si>
  <si>
    <t>DISPATCH</t>
  </si>
  <si>
    <t>BAL IN NOS</t>
  </si>
  <si>
    <t>CTL stock in nos</t>
  </si>
  <si>
    <t>LL Stock</t>
  </si>
  <si>
    <t>WIP</t>
  </si>
  <si>
    <t>Model</t>
  </si>
  <si>
    <t>Application</t>
  </si>
  <si>
    <t>Balaji Press</t>
  </si>
  <si>
    <t>Elkayem</t>
  </si>
  <si>
    <t>Kay Jay</t>
  </si>
  <si>
    <t>Knitvel</t>
  </si>
  <si>
    <t>Narsipur</t>
  </si>
  <si>
    <t>NMPL</t>
  </si>
  <si>
    <t>NMPL (HUB)</t>
  </si>
  <si>
    <t>NMPL 1</t>
  </si>
  <si>
    <t>Rajsriya</t>
  </si>
  <si>
    <t>Sandhar Technology</t>
  </si>
  <si>
    <t>Sandhar Engineering Hosur</t>
  </si>
  <si>
    <t>SRI BALAJI GEARS V3</t>
  </si>
  <si>
    <t>Sri Balaji</t>
  </si>
  <si>
    <t>SRIKAM</t>
  </si>
  <si>
    <t>Tvs</t>
  </si>
  <si>
    <t>ERW 1</t>
  </si>
  <si>
    <t>PE</t>
  </si>
  <si>
    <t>12.7-0-2-ERW 1-PE</t>
  </si>
  <si>
    <t>14-0-1.6-CEW-CEW</t>
  </si>
  <si>
    <t>14-0-2.45-CEW-CEW</t>
  </si>
  <si>
    <t>(blank)</t>
  </si>
  <si>
    <t>14-0-2.45-CEW-</t>
  </si>
  <si>
    <t>14-9.1-2.45-CEW-</t>
  </si>
  <si>
    <t>14-10.1-1.95-CEW-CEW</t>
  </si>
  <si>
    <t>16.1-0-2-CEW-CEW</t>
  </si>
  <si>
    <t>16.1-10.4-2.7-CEW-CEW</t>
  </si>
  <si>
    <t>16.1-10.7-2.95-CEW-CEW</t>
  </si>
  <si>
    <t>17.3-0-1.2-CEW-CEW</t>
  </si>
  <si>
    <t>17.3-0-1.2-CEW-</t>
  </si>
  <si>
    <t>17.3-0-1.2-ERW 1-</t>
  </si>
  <si>
    <t>17.3-0-1.6-CEW-</t>
  </si>
  <si>
    <t>17.3-0-1.6-ERW 1-PE</t>
  </si>
  <si>
    <t>26-18-4-CEW-</t>
  </si>
  <si>
    <t>18.2-0-1-ERW 1-PE</t>
  </si>
  <si>
    <t>18.2-12.3-2.95-CEW-CEW</t>
  </si>
  <si>
    <t>19-12.5-3.25-CEW-</t>
  </si>
  <si>
    <t>19.05-0-1.6-ERW 1-PE</t>
  </si>
  <si>
    <t>19.05-0-1.6-ERW 1-</t>
  </si>
  <si>
    <t>ERW 2 MAHS</t>
  </si>
  <si>
    <t>19.05-0-1.6-ERW 2 MAHS-PE</t>
  </si>
  <si>
    <t>19.05-0-1.6--</t>
  </si>
  <si>
    <t>19.05-0-1.63--</t>
  </si>
  <si>
    <t>19.05-0-2-ERW 1-</t>
  </si>
  <si>
    <t>19.05-0-2--</t>
  </si>
  <si>
    <t>19.05-0-2.3-ERW 1-</t>
  </si>
  <si>
    <t>19.05-0-2.34-ERW 1-</t>
  </si>
  <si>
    <t>ERW 2</t>
  </si>
  <si>
    <t>19.05-0-2.5-ERW 2-</t>
  </si>
  <si>
    <t>20-12.4-3.8-CEW-CEW</t>
  </si>
  <si>
    <t>20-12.4-4.5-CEW-CEW</t>
  </si>
  <si>
    <t>21.75-0-3.5-CEW-CEW</t>
  </si>
  <si>
    <t>21.75-0-3.5-CEW-</t>
  </si>
  <si>
    <t>22.2-0-1.2--</t>
  </si>
  <si>
    <t>22.23-0-1.2-ERW 1-</t>
  </si>
  <si>
    <t>22.23-0-1.2--</t>
  </si>
  <si>
    <t>22.23-0-1.6-ERW 1-</t>
  </si>
  <si>
    <t>FC</t>
  </si>
  <si>
    <t>22.23-0-2-ERW 1-</t>
  </si>
  <si>
    <t>22.23-0-2--</t>
  </si>
  <si>
    <t>22.23-0-2.3--PE</t>
  </si>
  <si>
    <t>25.4-0-1.6-ERW 1-FC</t>
  </si>
  <si>
    <t>25.4-0-2-ERW 1-PE</t>
  </si>
  <si>
    <t>25.4-0-2-ERW 1-</t>
  </si>
  <si>
    <t>25.4-0-2--</t>
  </si>
  <si>
    <t>25.4-0-2.5-ERW 1-</t>
  </si>
  <si>
    <t>25.4-0-2.6-ERW 1-</t>
  </si>
  <si>
    <t>25.4-18.4-3.5-CEW-</t>
  </si>
  <si>
    <t>25.4-19-3.2-CEW-</t>
  </si>
  <si>
    <t>25.4-20.4-2.5-CEW-CEW</t>
  </si>
  <si>
    <t>25.4-20.4-2.5-CEW-</t>
  </si>
  <si>
    <t>30.15-25.5-2.32-CEW-CEW</t>
  </si>
  <si>
    <t>25.6-16.6-4.5-CEW-</t>
  </si>
  <si>
    <t>28.58-0-1.6-ERW 1-PE</t>
  </si>
  <si>
    <t>28.58-0-1.6-ERW 1-</t>
  </si>
  <si>
    <t>28.58-0-1.6-ERW 2-PE</t>
  </si>
  <si>
    <t>28.6-0-2.6-CEW-CEW</t>
  </si>
  <si>
    <t>CEW STKM 13C</t>
  </si>
  <si>
    <t xml:space="preserve">CEW </t>
  </si>
  <si>
    <t>30-25.5-2.25-CEW-</t>
  </si>
  <si>
    <t>37.6-31.2-3.2--</t>
  </si>
  <si>
    <t>25-25-2-ERW 1-</t>
  </si>
  <si>
    <t>31.75-0-1.6-ERW 1-FC</t>
  </si>
  <si>
    <t>31.75-0-2.3-ERW 1-FC</t>
  </si>
  <si>
    <t>32-0-4.5-CEW-</t>
  </si>
  <si>
    <t>0.0960109875294564-0-2-CEW-</t>
  </si>
  <si>
    <t>33.3-29.3-2-CEW-CEW</t>
  </si>
  <si>
    <t>2.29999955264502-29.3-2-CEW-</t>
  </si>
  <si>
    <t>34.93-0-1.2-ERW 1-FC</t>
  </si>
  <si>
    <t>34.93-0-1.2-ERW 1-</t>
  </si>
  <si>
    <t>34.93-0-2-ERW 1-FC</t>
  </si>
  <si>
    <t>34.93-0-2--</t>
  </si>
  <si>
    <t>34.93-0-2.5-ERW 1-FC</t>
  </si>
  <si>
    <t>36-34-0.91-CEW-CEW</t>
  </si>
  <si>
    <t>36-34-0.91-CEW-</t>
  </si>
  <si>
    <t>37.6-31.2-3.2-CEW-CEW</t>
  </si>
  <si>
    <t>37.95-32-2.95-CEW-CEW</t>
  </si>
  <si>
    <t>38.1-0-1.6-ERW 1-FC</t>
  </si>
  <si>
    <t>38.1-0-1.6-ERW 1-</t>
  </si>
  <si>
    <t>38.1-0-1.6-ERW 2 MAHS-FC</t>
  </si>
  <si>
    <t>38.1-0-2-ERW 1-</t>
  </si>
  <si>
    <t>38.1-0-2-ERW 2 MAHS-</t>
  </si>
  <si>
    <t>38.1-0-2.5-ERW 2 MAHS-FC</t>
  </si>
  <si>
    <t>38.1-0-3.66-ERW 1-FC</t>
  </si>
  <si>
    <t>39-34-2.5-CEW-</t>
  </si>
  <si>
    <t>40-40-1.2-ERW 1-PE</t>
  </si>
  <si>
    <t>40-25-2-ERW 1-FC</t>
  </si>
  <si>
    <t>41.28-0-2.9--</t>
  </si>
  <si>
    <t>41.28-0-3.2-ERW 1-</t>
  </si>
  <si>
    <t>0-0-4-ERW 1-</t>
  </si>
  <si>
    <t>42.7-0-3.5-CEW-</t>
  </si>
  <si>
    <t>42.7-0-4-CEW-CEW</t>
  </si>
  <si>
    <t>42.7-0-4-CEW-</t>
  </si>
  <si>
    <t>42.7-0-4-ERW 1-</t>
  </si>
  <si>
    <t>40-30-1.6-ERW 1-</t>
  </si>
  <si>
    <t>48.6-0-2-ERW 1-</t>
  </si>
  <si>
    <t>48.6-0-3.5--</t>
  </si>
  <si>
    <t>48.6-0-4-ERW 1-</t>
  </si>
  <si>
    <t>50-30-2.5-ERW 1-FC</t>
  </si>
  <si>
    <t>50.8-0-1.6-ERW 1-FC</t>
  </si>
  <si>
    <t>57.15-0-2-ERW 1-</t>
  </si>
  <si>
    <t>57.15-0-2.5-ERW 1-</t>
  </si>
  <si>
    <t>57.15-0-2.5--</t>
  </si>
  <si>
    <t>60.3-0-2-CEW-CEW</t>
  </si>
  <si>
    <t>60.3-0-2-ERW 1-FC</t>
  </si>
  <si>
    <t>60.3-0-2--</t>
  </si>
  <si>
    <t>29.35-20.4-4.4-CEW STKM 13C-CEW</t>
  </si>
  <si>
    <t>29.28-0-3.4-CEW-CEW</t>
  </si>
  <si>
    <t>SCH DEC- 25</t>
  </si>
  <si>
    <t>Stock     24-11-25</t>
  </si>
  <si>
    <t>OPENIG STOCK FOR DEC-2025</t>
  </si>
  <si>
    <t xml:space="preserve">    INDENT  FOR DEC-25 as per VSM</t>
  </si>
  <si>
    <t xml:space="preserve"> INDENT  FOR DEC-25 recommended</t>
  </si>
  <si>
    <t>CEW AN</t>
  </si>
  <si>
    <t xml:space="preserve">111.56CEW </t>
  </si>
  <si>
    <t>12.71.26ERW</t>
  </si>
  <si>
    <t>12.71.46ERW</t>
  </si>
  <si>
    <t>12.71.66ERW</t>
  </si>
  <si>
    <t>12.726ERW</t>
  </si>
  <si>
    <t>15.8816ERW</t>
  </si>
  <si>
    <t>15.881.26ERW</t>
  </si>
  <si>
    <t>15.881.66ERW</t>
  </si>
  <si>
    <t>15.8826ERW</t>
  </si>
  <si>
    <t>18.316ERW</t>
  </si>
  <si>
    <t>19.051.66ERW</t>
  </si>
  <si>
    <t>19.051.46ERW2</t>
  </si>
  <si>
    <t>19.052.37ERW</t>
  </si>
  <si>
    <t>21.41.66ERW</t>
  </si>
  <si>
    <t>22.21.25.87ERW</t>
  </si>
  <si>
    <t>22.21.46ERW-2</t>
  </si>
  <si>
    <t>;;;;;o;;l;ll;;;;l;l;;;l;;;l;;;;l;l;;l;;;;l;;;;;;l;l;;;;;;l;;;;;;;l;;;;;lll;;;;;l;l;o;;;;;;;;;l;;;;;;;;;l;;;;l;;;l;l;;;;;l;;ll;l;;;l;;;ll;;o;l;;;lll;;lll;l;;l;;;;;lllllllllllllllllllllllllllllllllllllllll;o;ooooooooooooooooooooooooooooooooooooooooooooooooooooooooooooooooooo;o</t>
  </si>
  <si>
    <t>22.226.15HST</t>
  </si>
  <si>
    <t xml:space="preserve">22.225.39CR ERW </t>
  </si>
  <si>
    <t>25.41.45.531HST</t>
  </si>
  <si>
    <t>25.41.46.06ERW</t>
  </si>
  <si>
    <t>25.41.66ERW</t>
  </si>
  <si>
    <t>25.42.55.53ERW</t>
  </si>
  <si>
    <t>28.61.26ERW</t>
  </si>
  <si>
    <t>28.62.656CEW</t>
  </si>
  <si>
    <t>31.751.26ERW</t>
  </si>
  <si>
    <t>34.931.26ERW</t>
  </si>
  <si>
    <t>341.45.66ERW</t>
  </si>
  <si>
    <t>38.11.66.19HST</t>
  </si>
  <si>
    <t>38.125.65ERW</t>
  </si>
  <si>
    <t>38.12.56.19HST</t>
  </si>
  <si>
    <t>khopoli</t>
  </si>
  <si>
    <t>41.282.66.08ERW</t>
  </si>
  <si>
    <t>41.283.155.86ERW</t>
  </si>
  <si>
    <t>42.73.56ERW</t>
  </si>
  <si>
    <t>42.746ERW</t>
  </si>
  <si>
    <t>451.46.42HST</t>
  </si>
  <si>
    <t>451.45.7ERW</t>
  </si>
  <si>
    <t>451.66.42HST</t>
  </si>
  <si>
    <t>48.626.27HST</t>
  </si>
  <si>
    <t>48.62.36.27HST</t>
  </si>
  <si>
    <t>48.63.56ERW</t>
  </si>
  <si>
    <t>59x301.60.5725ERW</t>
  </si>
  <si>
    <t>0</t>
  </si>
  <si>
    <t>57.1535.65ERW</t>
  </si>
  <si>
    <t>Outer Diameter of Material</t>
  </si>
  <si>
    <t>Thickness for TATA Tubes Material</t>
  </si>
  <si>
    <t>Length for TATA Tubes Material</t>
  </si>
  <si>
    <t>Cham/Angle Cut</t>
  </si>
  <si>
    <t>000000000001939963</t>
  </si>
  <si>
    <t>De-burring</t>
  </si>
  <si>
    <t>000000000001939966</t>
  </si>
  <si>
    <t>000000000001939974</t>
  </si>
  <si>
    <t>TUB-O-O-AUT-AW-PE-12.70X1.200X0.7720</t>
  </si>
  <si>
    <t>000000000001939986</t>
  </si>
  <si>
    <t>TUB-O-O-GEN-AW-PE-12.70X1.200X6.0000</t>
  </si>
  <si>
    <t>000000000001939985</t>
  </si>
  <si>
    <t>TUB-O-O-AUT-AW-PE-12.70X1.200X6.0000</t>
  </si>
  <si>
    <t>000000000003181176</t>
  </si>
  <si>
    <t>TUB-O-N-AUT-AW-PE-12.70X1.500X0.1640</t>
  </si>
  <si>
    <t>000000000003204542</t>
  </si>
  <si>
    <t>TUB-O-N-AUT-AW-PE-12.70X1.500X0.1703</t>
  </si>
  <si>
    <t>000000000003181177</t>
  </si>
  <si>
    <t>TUB-O-N-AUT-AW-PE-12.70X1.500X0.1740</t>
  </si>
  <si>
    <t>000000000003204544</t>
  </si>
  <si>
    <t>TUB-O-N-AUT-AW-PE-12.70X1.500X0.1840</t>
  </si>
  <si>
    <t>000000000001939991</t>
  </si>
  <si>
    <t>TUB-O-O-AUT-AW-PE-12.70X1.600X0.1450</t>
  </si>
  <si>
    <t>000000000003432081</t>
  </si>
  <si>
    <t>000000000003223304</t>
  </si>
  <si>
    <t>TUB-O-N-AUT-AW-PE-12.70X1.600X0.2550</t>
  </si>
  <si>
    <t>000000000003676336</t>
  </si>
  <si>
    <t>TUB-O-N-AUT-AW-PE-12.70X1.600X0.2570</t>
  </si>
  <si>
    <t>000000000001932848</t>
  </si>
  <si>
    <t>000000000001939994</t>
  </si>
  <si>
    <t>000000000003676337</t>
  </si>
  <si>
    <t>TUB-O-N-AUT-AW-PE-12.70X1.600X0.3200</t>
  </si>
  <si>
    <t>000000000002276261</t>
  </si>
  <si>
    <t>TUB-O-N-AUT-AW-PE-12.70X1.600X0.3380</t>
  </si>
  <si>
    <t>000000000002319114</t>
  </si>
  <si>
    <t>TUB-O-N-AUT-AW-PE-12.70X1.600X0.7000</t>
  </si>
  <si>
    <t>000000000003172238</t>
  </si>
  <si>
    <t>000000000003620427</t>
  </si>
  <si>
    <t>000000000001940014</t>
  </si>
  <si>
    <t>000000000002410389</t>
  </si>
  <si>
    <t>TUB-O-C-AUT-AN-FC-14.00X1.600X04-05</t>
  </si>
  <si>
    <t>000000000002410988</t>
  </si>
  <si>
    <t>TUB-O-C-AUT-AD-FC-15.00X2.300X04-05</t>
  </si>
  <si>
    <t>000000000003398266</t>
  </si>
  <si>
    <t>TUB-O-N-AUT-AW-PE-15.88X1.000X0.5940</t>
  </si>
  <si>
    <t>000000000003241518</t>
  </si>
  <si>
    <t>TUB-O-N-AUT-AW-PE-15.88X1.000X0.7650</t>
  </si>
  <si>
    <t>000000000001941845</t>
  </si>
  <si>
    <t>TUB-E-O-AUT-AW-FC-15.88X1.000X1.2340</t>
  </si>
  <si>
    <t>000000000001941847</t>
  </si>
  <si>
    <t>000000000003541434</t>
  </si>
  <si>
    <t>TUB-O-N-AUT-AW-PE-15.88X1.000X2.9050</t>
  </si>
  <si>
    <t>000000000003701633</t>
  </si>
  <si>
    <t>TUB-O-N-AUT-AW-PE-15.88X1.000X6.0000</t>
  </si>
  <si>
    <t>000000000003241517</t>
  </si>
  <si>
    <t>TUB-O-N-AUT-AW-PE-15.88X1.200X0.4840</t>
  </si>
  <si>
    <t>000000000003447258</t>
  </si>
  <si>
    <t>TUB-O-N-AUT-AW-PE-15.88X1.200X0.5050</t>
  </si>
  <si>
    <t>000000000001940034</t>
  </si>
  <si>
    <t>000000000001940038</t>
  </si>
  <si>
    <t>TUB-O-O-AUT-AW-PE-15.88X1.200X0.6800</t>
  </si>
  <si>
    <t>000000000003715199</t>
  </si>
  <si>
    <t>TUB-O-O-AUT-AW-PE-15.88X1.200X0.7550</t>
  </si>
  <si>
    <t>000000000001940043</t>
  </si>
  <si>
    <t>000000000001940045</t>
  </si>
  <si>
    <t>TUB-O-O-AUT-AW-PE-15.88X1.200X1.1300</t>
  </si>
  <si>
    <t>000000000003241515</t>
  </si>
  <si>
    <t>TUB-O-N-AUT-AW-PE-15.88X1.200X1.2540</t>
  </si>
  <si>
    <t>000000000003241514</t>
  </si>
  <si>
    <t>TUB-O-N-AUT-AW-PE-15.88X1.200X1.2940</t>
  </si>
  <si>
    <t>000000000001940046</t>
  </si>
  <si>
    <t>000000000003620428</t>
  </si>
  <si>
    <t>000000000001940078</t>
  </si>
  <si>
    <t>000000000002243792</t>
  </si>
  <si>
    <t>TUB-O-N-GEN-AP-PE-15.88X1.600X6.0000</t>
  </si>
  <si>
    <t>000000000001900224</t>
  </si>
  <si>
    <t>000000000001940077</t>
  </si>
  <si>
    <t>TUB-O-O-AUT-AW-PE-15.88X1.600X6.0000</t>
  </si>
  <si>
    <t>000000000001940090</t>
  </si>
  <si>
    <t>000000000003696706</t>
  </si>
  <si>
    <t>TUB-O-N-AUT-AW-PE-15.88X2.000X0.3800</t>
  </si>
  <si>
    <t>000000000002243845</t>
  </si>
  <si>
    <t>TUB-O-N-AUT-HR-PE-15.88X2.000X0.4420</t>
  </si>
  <si>
    <t>000000000003696705</t>
  </si>
  <si>
    <t>TUB-O-N-AUT-AW-PE-15.88X2.000X0.4600</t>
  </si>
  <si>
    <t>000000000003436935</t>
  </si>
  <si>
    <t>TUB-O-N-AUT-AW-PE-15.88X2.000X0.4930</t>
  </si>
  <si>
    <t>000000000003442448</t>
  </si>
  <si>
    <t>TUB-O-N-AUT-AW-PE-15.88X2.000X0.5000</t>
  </si>
  <si>
    <t>000000000003442449</t>
  </si>
  <si>
    <t>TUB-O-N-AUT-AW-PE-15.88X2.000X0.5070</t>
  </si>
  <si>
    <t>000000000002420714</t>
  </si>
  <si>
    <t>TUB-O-N-AUT-AW-PE-15.88X2.000X0.5100</t>
  </si>
  <si>
    <t>000000000001940099</t>
  </si>
  <si>
    <t>TUB-O-O-AUT-AW-PE-15.88X2.000X0.5150</t>
  </si>
  <si>
    <t>000000000003696704</t>
  </si>
  <si>
    <t>TUB-O-N-AUT-AW-PE-15.88X2.000X0.5850</t>
  </si>
  <si>
    <t>000000000001940109</t>
  </si>
  <si>
    <t>TUB-O-O-AUT-AW-PE-15.88X2.000X0.6100</t>
  </si>
  <si>
    <t>000000000003863795</t>
  </si>
  <si>
    <t>CUT-O-N-AUT-AW-PE-15.88X2.000X0.6680</t>
  </si>
  <si>
    <t>000000000003722839</t>
  </si>
  <si>
    <t>TUB-O-N-AUT-AW-PE-15.88X2.000X0.7450</t>
  </si>
  <si>
    <t>000000000001940120</t>
  </si>
  <si>
    <t>000000000002410996</t>
  </si>
  <si>
    <t>TUB-O-C-AUT-AD-FC-16.10X2.700X04-05</t>
  </si>
  <si>
    <t>000000000001938195</t>
  </si>
  <si>
    <t>000000000001938118</t>
  </si>
  <si>
    <t>TUB-O-N-AUT-AW-PE-17.30X1.600X0.3550</t>
  </si>
  <si>
    <t>000000000001938119</t>
  </si>
  <si>
    <t>TUB-O-N-AUT-AW-PE-17.30X1.600X0.4000</t>
  </si>
  <si>
    <t>000000000001938116</t>
  </si>
  <si>
    <t>TUB-O-N-GEN-AW-PE-18.20X1.000X0.1100</t>
  </si>
  <si>
    <t>000000000001938117</t>
  </si>
  <si>
    <t>TUB-O-N-GEN-AW-PE-18.20X1.000X0.1450</t>
  </si>
  <si>
    <t>000000000002288945</t>
  </si>
  <si>
    <t>TUB-O-N-AUT-AW-PE-18.20X1.000X6.1450</t>
  </si>
  <si>
    <t>000000000001931621</t>
  </si>
  <si>
    <t>TUB-S-FH-SHS-19.00X19.00X0.810X6.0000</t>
  </si>
  <si>
    <t>000000000003230486</t>
  </si>
  <si>
    <t>000000000003571862</t>
  </si>
  <si>
    <t>TUB-S-AW-AUT-19.00X19.00X1.000X0.1640</t>
  </si>
  <si>
    <t>000000000003584173</t>
  </si>
  <si>
    <t>TUB-S-AW-SHS-19.00X19.00X1.000X0.2000</t>
  </si>
  <si>
    <t>000000000003571863</t>
  </si>
  <si>
    <t>TUB-S-AW-AUT-19.00X19.00X1.000X0.2200</t>
  </si>
  <si>
    <t>000000000003571864</t>
  </si>
  <si>
    <t>TUB-S-AW-AUT-19.00X19.00X1.000X0.2900</t>
  </si>
  <si>
    <t>000000000003571866</t>
  </si>
  <si>
    <t>TUB-S-AW-AUT-19.00X19.00X1.000X0.3200</t>
  </si>
  <si>
    <t>000000000003838020</t>
  </si>
  <si>
    <t>CUT-S-AW-AUT-19.00X19.00X1.000X0.3300</t>
  </si>
  <si>
    <t>000000000003230490</t>
  </si>
  <si>
    <t>000000000003571867</t>
  </si>
  <si>
    <t>TUB-S-AW-AUT-19.00X19.00X1.000X0.3770</t>
  </si>
  <si>
    <t>000000000003571868</t>
  </si>
  <si>
    <t>TUB-S-AW-AUT-19.00X19.00X1.000X0.3920</t>
  </si>
  <si>
    <t>000000000003230487</t>
  </si>
  <si>
    <t>000000000003234371</t>
  </si>
  <si>
    <t>TUB-S-AW-AUT-19.00X19.00X1.000X0.4620</t>
  </si>
  <si>
    <t>000000000003230488</t>
  </si>
  <si>
    <t>000000000003571869</t>
  </si>
  <si>
    <t>TUB-S-AW-AUT-19.00X19.00X1.000X0.4860</t>
  </si>
  <si>
    <t>000000000003571870</t>
  </si>
  <si>
    <t>000000000003230491</t>
  </si>
  <si>
    <t>TUB-S-AW-AUT-19.00X19.00X1.000X0.6820</t>
  </si>
  <si>
    <t>000000000003572031</t>
  </si>
  <si>
    <t>TUB-S-AW-AUT-19.00X19.00X1.000X0.7100</t>
  </si>
  <si>
    <t>000000000003572032</t>
  </si>
  <si>
    <t>TUB-S-AW-AUT-19.00X19.00X1.000X0.7500</t>
  </si>
  <si>
    <t>000000000003572033</t>
  </si>
  <si>
    <t>TUB-S-AW-AUT-19.00X19.00X1.000X0.7900</t>
  </si>
  <si>
    <t>000000000003230485</t>
  </si>
  <si>
    <t>000000000003233560</t>
  </si>
  <si>
    <t>000000000003230492</t>
  </si>
  <si>
    <t>000000000003572034</t>
  </si>
  <si>
    <t>TUB-S-AW-AUT-19.00X19.00X1.000X0.8880</t>
  </si>
  <si>
    <t>000000000003572035</t>
  </si>
  <si>
    <t>TUB-S-AW-AUT-19.00X19.00X1.000X0.8900</t>
  </si>
  <si>
    <t>000000000003572036</t>
  </si>
  <si>
    <t>TUB-S-AW-AUT-19.00X19.00X1.000X0.9600</t>
  </si>
  <si>
    <t>000000000003572037</t>
  </si>
  <si>
    <t>TUB-S-AW-AUT-19.00X19.00X1.000X1.1000</t>
  </si>
  <si>
    <t>000000000003572038</t>
  </si>
  <si>
    <t>000000000003230494</t>
  </si>
  <si>
    <t>TUB-S-AW-AUT-19.00X19.00X1.000X1.3000</t>
  </si>
  <si>
    <t>000000000003572039</t>
  </si>
  <si>
    <t>000000000003572040</t>
  </si>
  <si>
    <t>TUB-S-AW-AUT-19.00X19.00X1.000X1.3100</t>
  </si>
  <si>
    <t>000000000001940146</t>
  </si>
  <si>
    <t>000000000003605740</t>
  </si>
  <si>
    <t>TUB-S-AW-AUT-19.00X19.00X1.010X0.6750</t>
  </si>
  <si>
    <t>000000000003605739</t>
  </si>
  <si>
    <t>000000000001931878</t>
  </si>
  <si>
    <t>TUB-S-AW-SHS-19.00X19.00X1.010X6.0000</t>
  </si>
  <si>
    <t>000000000003234372</t>
  </si>
  <si>
    <t>TUB-S-AW-AUT-19.00X19.00X1.200X0.1290</t>
  </si>
  <si>
    <t>000000000001932237</t>
  </si>
  <si>
    <t>TUB-S-AW-SHS-19.00X19.00X1.200X6.0000</t>
  </si>
  <si>
    <t>000000000003432217</t>
  </si>
  <si>
    <t>TUB-S-AW-AUT-19.00X19.00X1.210X0.3300</t>
  </si>
  <si>
    <t>000000000001938191</t>
  </si>
  <si>
    <t>000000000003702324</t>
  </si>
  <si>
    <t>TUB-O-N-AUT-AW-PE-19.05X0.800X6.0000</t>
  </si>
  <si>
    <t>000000000003635694</t>
  </si>
  <si>
    <t>000000000003518158</t>
  </si>
  <si>
    <t>TUB-O-N-AUT-AW-PE-19.05X1.020X1.0950</t>
  </si>
  <si>
    <t>000000000003409366</t>
  </si>
  <si>
    <t>TUB-O-N-AUT-AW-PE-19.05X1.200X0.1090</t>
  </si>
  <si>
    <t>000000000003239890</t>
  </si>
  <si>
    <t>TUB-O-N-AUT-AW-PE-19.05X1.200X0.3300</t>
  </si>
  <si>
    <t>000000000002409616</t>
  </si>
  <si>
    <t>TUB-O-N-AUT-AW-PE-19.05X1.200X0.5130</t>
  </si>
  <si>
    <t>000000000003506438</t>
  </si>
  <si>
    <t>CUT-O-N-AUT-AW-PE-19.05X1.200X0.631</t>
  </si>
  <si>
    <t>000000000001937022</t>
  </si>
  <si>
    <t>TUB-O-N-AUT-AW-PE-19.05X1.200X0.6500</t>
  </si>
  <si>
    <t>000000000003229740</t>
  </si>
  <si>
    <t>000000000003229739</t>
  </si>
  <si>
    <t>TUB-O-N-AUT-AW-PE-19.05X1.200X1.1300</t>
  </si>
  <si>
    <t>000000000003409367</t>
  </si>
  <si>
    <t>000000000001940204</t>
  </si>
  <si>
    <t>TUB-O-O-AUT-AW-PE-19.05X1.400X0.2730</t>
  </si>
  <si>
    <t>000000000003891285</t>
  </si>
  <si>
    <t>TUB-O-N-AUT-AW-PE-19.05X1.40X6.000 HST</t>
  </si>
  <si>
    <t>000000000001904450</t>
  </si>
  <si>
    <t>TUB-O-N-AUT-AW-PE-19.05X1.600X0.2300</t>
  </si>
  <si>
    <t>000000000003677063</t>
  </si>
  <si>
    <t>TUB-O-N-AUT-AW-PE-19.05X1.600X0.2500</t>
  </si>
  <si>
    <t>000000000003838038</t>
  </si>
  <si>
    <t>CUT-O-N-AUT-AW-PE-19.05X1.600X0.2580</t>
  </si>
  <si>
    <t>000000000003181179</t>
  </si>
  <si>
    <t>TUB-O-N-AUT-AW-PE-19.05X1.600X0.2650</t>
  </si>
  <si>
    <t>000000000003850310</t>
  </si>
  <si>
    <t>CUT-O-N-AUT-AW-PE-19.05X1.600X0.2680</t>
  </si>
  <si>
    <t>000000000003217232</t>
  </si>
  <si>
    <t>TUB-O-N-AUT-AW-PE-19.05X1.600X0.2750</t>
  </si>
  <si>
    <t>000000000003508615</t>
  </si>
  <si>
    <t>CUT-O-N-AUT-AW-PE-19.05X1.600X0.3550</t>
  </si>
  <si>
    <t>000000000003605738</t>
  </si>
  <si>
    <t>TUB-O-N-AUT-AW-PE-19.05X1.600X0.3850</t>
  </si>
  <si>
    <t>000000000003122347</t>
  </si>
  <si>
    <t>TUB-O-N-AUT-AW-PE-19.05X1.600X0.3940</t>
  </si>
  <si>
    <t>000000000001940247</t>
  </si>
  <si>
    <t>TUB-O-O-AUT-AW-PE-19.05X1.600X0.5950</t>
  </si>
  <si>
    <t>000000000001908799</t>
  </si>
  <si>
    <t>TUB-O-N-AUT-AW-PE-19.05X1.600X0.7750</t>
  </si>
  <si>
    <t>000000000002418569</t>
  </si>
  <si>
    <t>TUB-O-N-AUT-AW-PE-19.05X1.600X1.4050</t>
  </si>
  <si>
    <t>000000000003498997</t>
  </si>
  <si>
    <t>TUB-O-N-AUT-AW-PE-19.05X1.60X6.000-ERW 1</t>
  </si>
  <si>
    <t>000000000001940262</t>
  </si>
  <si>
    <t>TUB-O-O-AUT-AW-PE-19.05X2.000X0.1040</t>
  </si>
  <si>
    <t>000000000003781674</t>
  </si>
  <si>
    <t>CUT-O-N-AUT-AW-PE-19.05X2.000X0.1040</t>
  </si>
  <si>
    <t>000000000001940266</t>
  </si>
  <si>
    <t>TUB-O-O-AUT-AW-PE-19.05X2.000X0.2130</t>
  </si>
  <si>
    <t>000000000003507089</t>
  </si>
  <si>
    <t>CUT-O-N-AUT-AW-PE-19.05X2.000X0.258</t>
  </si>
  <si>
    <t>000000000002403384</t>
  </si>
  <si>
    <t>TUB-O-N-AUT-AW-PE-19.05X2.000X0.4490</t>
  </si>
  <si>
    <t>000000000003676836</t>
  </si>
  <si>
    <t>TUB-O-N-AUT-AW-PE-19.05X2.000X0.5470</t>
  </si>
  <si>
    <t>000000000001188598</t>
  </si>
  <si>
    <t>TUB-O-N-AUT-AW-PE-19.05X2.000X0.785</t>
  </si>
  <si>
    <t>000000000003784368</t>
  </si>
  <si>
    <t>CUT-O-N-AUT-AW-PE-19.05X2.000X0.7850</t>
  </si>
  <si>
    <t>000000000001940284</t>
  </si>
  <si>
    <t>TUB-O-O-AUT-AW-PE-19.05X2.000X0.7850</t>
  </si>
  <si>
    <t>000000000001284065</t>
  </si>
  <si>
    <t>TUB-O-N-AUT-AW-PE-19.05X2.000X0.8150</t>
  </si>
  <si>
    <t>000000000001940287</t>
  </si>
  <si>
    <t>000000000003509196</t>
  </si>
  <si>
    <t>CUT-O-N-AUT-AW-PE-19.05X2.000X0.8200</t>
  </si>
  <si>
    <t>000000000001399341</t>
  </si>
  <si>
    <t>TUB-O-N-AUT-AW-PE-19.05X2.000X0.8300</t>
  </si>
  <si>
    <t>000000000003673888</t>
  </si>
  <si>
    <t>TUB-O-N-AUT-AW-PE-19.05X2.000X5.8410</t>
  </si>
  <si>
    <t>000000000000235292</t>
  </si>
  <si>
    <t>TUB-O-N-AUT-AW-PE-19.05X2.00X6.000-ERW 1</t>
  </si>
  <si>
    <t>000000000001937438</t>
  </si>
  <si>
    <t>TUB-O-N-AUT-AW-PE-19.05X2.030X0.8300</t>
  </si>
  <si>
    <t>000000000001333189</t>
  </si>
  <si>
    <t>TUB-O-N-AUT-AW-PE-19.05X2.300X0.1950</t>
  </si>
  <si>
    <t>000000000001940302</t>
  </si>
  <si>
    <t>TUB-O-O-AUT-AW-PE-19.05X2.300X0.1950</t>
  </si>
  <si>
    <t>000000000000511879</t>
  </si>
  <si>
    <t>PT2-O-N-AUT-AW-PE-19.05X2.300X0.236</t>
  </si>
  <si>
    <t>000000000001940306</t>
  </si>
  <si>
    <t>000000000000437147</t>
  </si>
  <si>
    <t>PT2-O-N-AUT-AW-PE-19.05X2.300X0.252</t>
  </si>
  <si>
    <t>000000000001940307</t>
  </si>
  <si>
    <t>000000000001442308</t>
  </si>
  <si>
    <t>000000000002427712</t>
  </si>
  <si>
    <t>000000000001300148</t>
  </si>
  <si>
    <t>TUB-O-N-AUT-AW-PE-19.05X2.300X0.2650</t>
  </si>
  <si>
    <t>000000000001940309</t>
  </si>
  <si>
    <t>000000000000437156</t>
  </si>
  <si>
    <t>PT2-O-N-AUT-AW-PE-19.05X2.300X0.279</t>
  </si>
  <si>
    <t>000000000002427711</t>
  </si>
  <si>
    <t>000000000000437154</t>
  </si>
  <si>
    <t>PT2-O-N-AUT-AW-PE-19.05X2.300X0.295</t>
  </si>
  <si>
    <t>000000000001940312</t>
  </si>
  <si>
    <t>000000000000508988</t>
  </si>
  <si>
    <t>PT2-O-N-AUT-AW-PE-19.05X2.300X0.303</t>
  </si>
  <si>
    <t>000000000000437148</t>
  </si>
  <si>
    <t>PT2-O-N-AUT-AW-PE-19.05X2.300X0.394</t>
  </si>
  <si>
    <t>000000000001940318</t>
  </si>
  <si>
    <t>000000000002320564</t>
  </si>
  <si>
    <t>TUB-O-N-AUT-AW-PE-19.05X2.300X0.4000</t>
  </si>
  <si>
    <t>000000000003507077</t>
  </si>
  <si>
    <t>000000000001940325</t>
  </si>
  <si>
    <t>000000000003508521</t>
  </si>
  <si>
    <t>000000000001940329</t>
  </si>
  <si>
    <t>TUB-O-O-AUT-AW-PE-19.05X2.300X0.6100</t>
  </si>
  <si>
    <t>000000000003691082</t>
  </si>
  <si>
    <t>TUB-O-N-AUT-AW-PE-19.05X2.300X6.9990</t>
  </si>
  <si>
    <t>000000000003500582</t>
  </si>
  <si>
    <t>TUB-O-N-AUT-AW-PE-19.05X2.300X7.00-ERW 1</t>
  </si>
  <si>
    <t>000000000000238726</t>
  </si>
  <si>
    <t>PT2-O-N-AUT-AW-PE-19.05X2.340X0.250</t>
  </si>
  <si>
    <t>000000000003228788</t>
  </si>
  <si>
    <t>000000000002439536</t>
  </si>
  <si>
    <t>TUB-O-C-AUT-AD-FC-20.00X3.800X04-05</t>
  </si>
  <si>
    <t>000000000002439535</t>
  </si>
  <si>
    <t>TUB-O-C-AUT-AD-FC-20.00X4.500X04-05</t>
  </si>
  <si>
    <t>000000000002411624</t>
  </si>
  <si>
    <t>TUB-O-C-AUT-AD-FC-21.20X2.750X04-05</t>
  </si>
  <si>
    <t>000000000003219710</t>
  </si>
  <si>
    <t>TUB-O-N-AUT-AW-PE-21.40X1.600X6.0000</t>
  </si>
  <si>
    <t>000000000002436110</t>
  </si>
  <si>
    <t>TUB-O-N-AUT-AW-PE-21.40X2.000X0.4260</t>
  </si>
  <si>
    <t>000000000003614495</t>
  </si>
  <si>
    <t>TUB-O-N-AUT-AW-PE-21.40X2.000X0.4510</t>
  </si>
  <si>
    <t>000000000003181178</t>
  </si>
  <si>
    <t>TUB-O-N-AUT-AW-PE-21.40X2.000X0.4540</t>
  </si>
  <si>
    <t>000000000001938393</t>
  </si>
  <si>
    <t>TUB-I-C-AUT-AD-FC-16.80X2.450X4.4000</t>
  </si>
  <si>
    <t>000000000002410999</t>
  </si>
  <si>
    <t>000000000000314118</t>
  </si>
  <si>
    <t>TUB-O-N-AUT-AW-PE-22.20X1.200X0.300</t>
  </si>
  <si>
    <t>000000000003667938</t>
  </si>
  <si>
    <t>000000000001270328</t>
  </si>
  <si>
    <t>TUB-O-N-AUT-AW-PE-22.20X1.200X0.6810</t>
  </si>
  <si>
    <t>000000000000521118</t>
  </si>
  <si>
    <t>PT2-O-N-AUT-AW-PE-22.20X1.200X1.162</t>
  </si>
  <si>
    <t>000000000003669081</t>
  </si>
  <si>
    <t>TUB-O-N-AUT-AW-PE-22.20X1.200X1.3000</t>
  </si>
  <si>
    <t>000000000003882110</t>
  </si>
  <si>
    <t>TUB-O-N-AUT-AW-PE-22.20X1.200X5.8700</t>
  </si>
  <si>
    <t>000000000003829175</t>
  </si>
  <si>
    <t>TUB-O-N-AUT-AW-PE-22.20X1.40X6.000 HST</t>
  </si>
  <si>
    <t>000000000000237644</t>
  </si>
  <si>
    <t>PT2-O-N-AUT-AW-PE-22.20X1.600X0.285</t>
  </si>
  <si>
    <t>000000000000292334</t>
  </si>
  <si>
    <t>TUB-O-N-AUT-AW-PE-22.20X1.600X0.394</t>
  </si>
  <si>
    <t>000000000000508985</t>
  </si>
  <si>
    <t>PT2-O-N-AUT-AW-PE-22.20X1.600X0.401</t>
  </si>
  <si>
    <t>000000000003556680</t>
  </si>
  <si>
    <t>000000000000292333</t>
  </si>
  <si>
    <t>TUB-O-N-AUT-AW-PE-22.20X1.600X0.809</t>
  </si>
  <si>
    <t>000000000001254735</t>
  </si>
  <si>
    <t>Use--00003507486</t>
  </si>
  <si>
    <t>000000000003533249</t>
  </si>
  <si>
    <t>000000000003533248</t>
  </si>
  <si>
    <t>000000000000267070</t>
  </si>
  <si>
    <t>PT2-O-N-AUT-AW-PE-22.20X1.600X1.300</t>
  </si>
  <si>
    <t>000000000003499239</t>
  </si>
  <si>
    <t>TUB-O-N-AUT-AW-PE-22.20X1.600X6.00-ERW 1</t>
  </si>
  <si>
    <t>000000000000296754</t>
  </si>
  <si>
    <t>PT2-O-N-AUT-AW-PE-22.20X1.630X0.700</t>
  </si>
  <si>
    <t>000000000000471489</t>
  </si>
  <si>
    <t>PT2-O-N-AUT-AW-PE-22.20X2.000X0.220</t>
  </si>
  <si>
    <t>000000000001154248</t>
  </si>
  <si>
    <t>TUB-O-N-AUT-AW-PE-22.20X2.000X0.394HB</t>
  </si>
  <si>
    <t>000000000000288719</t>
  </si>
  <si>
    <t>PT2-O-N-AUT-AW-PE-22.20X2.000X0.715</t>
  </si>
  <si>
    <t>000000000000319684</t>
  </si>
  <si>
    <t>PT2-O-N-AUT-AW-PE-22.20X2.000X0.815</t>
  </si>
  <si>
    <t>000000000003500554</t>
  </si>
  <si>
    <t>TUB-O-N-AUT-AW-PE-22.20X2.000X5.1000</t>
  </si>
  <si>
    <t>000000000003905466</t>
  </si>
  <si>
    <t>TUB-O-N-AUT-AW-PE-22.20X2.000X5.9510</t>
  </si>
  <si>
    <t>000000000003484652</t>
  </si>
  <si>
    <t>000000000001241174</t>
  </si>
  <si>
    <t>TUB-O-N-AUT-AW-PE-22.20X2.300X0.370</t>
  </si>
  <si>
    <t>000000000003087645</t>
  </si>
  <si>
    <t>PT2-O-N-AUT-AW-PE-22.20X2.300X0.4250</t>
  </si>
  <si>
    <t>000000000000235488</t>
  </si>
  <si>
    <t>TUB-O-N-AUT-AW-PE-22.20X2.30X6.000-ERW 1</t>
  </si>
  <si>
    <t>000000000003659973</t>
  </si>
  <si>
    <t>TUB-O-N-HST-AH-PE-22.20X2.600X1.0820</t>
  </si>
  <si>
    <t>000000000003702303</t>
  </si>
  <si>
    <t>TUB-O-N-AUT-AW-PE-22.23X0.800X6.0000</t>
  </si>
  <si>
    <t>000000000001940363</t>
  </si>
  <si>
    <t>TUB-O-O-AUT-AW-PE-22.23X1.200X1.1620</t>
  </si>
  <si>
    <t>000000000003747393</t>
  </si>
  <si>
    <t>000000000003701605</t>
  </si>
  <si>
    <t>TUB-O-N-AUT-AW-PE-22.23X1.500X6.0000</t>
  </si>
  <si>
    <t>000000000003553684</t>
  </si>
  <si>
    <t>TUB-O-N-AUT-AW-PE-22.23X1.600X0.2740</t>
  </si>
  <si>
    <t>000000000001940390</t>
  </si>
  <si>
    <t>TUB-O-O-AUT-AW-PE-22.23X1.600X0.2830</t>
  </si>
  <si>
    <t>000000000003868655</t>
  </si>
  <si>
    <t>CUT-O-N-AUT-AW-FC-22.23X1.600X0.3210</t>
  </si>
  <si>
    <t>000000000001938251</t>
  </si>
  <si>
    <t>TUB-O-N-AUT-AW-PE-22.23X1.600X0.3940</t>
  </si>
  <si>
    <t>TUB-O-N-AUT-AW-PE-22.23X1.600X0.6750</t>
  </si>
  <si>
    <t>Taper Cutting</t>
  </si>
  <si>
    <t>TUB-O-O-AUT-AW-PE-22.23X1.600X0.7400</t>
  </si>
  <si>
    <t>TUB-O-N-AUT-AW-PE-22.23X1.600X0.8800</t>
  </si>
  <si>
    <t>Chamferring</t>
  </si>
  <si>
    <t>TUB-O-N-AUT-AW-PE-22.23X1.600X0.9450</t>
  </si>
  <si>
    <t>TUB-O-N-AUT-AW-PE-22.23X1.600X0.9490</t>
  </si>
  <si>
    <t>TUB-O-O-AUT-AW-PE-22.23X1.600X1.1750</t>
  </si>
  <si>
    <t>TUB-O-N-AUT-AW-PE-22.23X2.000X0.1240</t>
  </si>
  <si>
    <t>TUB-O-N-AUT-AW-PE-22.23X2.000X0.1780</t>
  </si>
  <si>
    <t>TUB-O-N-AUT-AW-PE-22.23X2.00X0.242-MAHS</t>
  </si>
  <si>
    <t>TUB-O-N-AUT-AW-PE-22.23X2.000X0.4680</t>
  </si>
  <si>
    <t>TUB-O-N-AUT-AW-PE-22.23X2.000X0.7600</t>
  </si>
  <si>
    <t>TUB-O-C-AUT-AP-PE-22.23X2.000X0.7750</t>
  </si>
  <si>
    <t>CUT-O-N-AUT-AW-CH-22.23X2.000X0.7860</t>
  </si>
  <si>
    <t>TUB-O-N-AUT-AW-CH-22.23X2.000X0.8160</t>
  </si>
  <si>
    <t>TUB-O-N-AUT-AW-CH-22.23X2.000X0.8250</t>
  </si>
  <si>
    <t>CUT-O-N-AUT-AW-CH-22.23X2.000X0.8270</t>
  </si>
  <si>
    <t>TUB-O-N-AUT-AW-PE-22.23X2.00X0.845-MAHS</t>
  </si>
  <si>
    <t>TUB-O-N-AUT-AW-PE-22.23X2.00X0.872-MAHS</t>
  </si>
  <si>
    <t>TUB-O-N-AUT-AW-PE-22.23X2.000X0.8840</t>
  </si>
  <si>
    <t>TUB-O-N-AUT-AW-PE-22.23X2.000X0.8880</t>
  </si>
  <si>
    <t>TUB-O-N-AUT-AW-PE-22.23X2.030X0.8590</t>
  </si>
  <si>
    <t>TUB-O-O-AUT-AW-PE-22.23X2.300X0.2810</t>
  </si>
  <si>
    <t>TUB-O-O-AUT-AW-PE-22.23X2.300X6.0000</t>
  </si>
  <si>
    <t>TUB-O-N-AUT-AW-PE-22.23X2.600X0.2700</t>
  </si>
  <si>
    <t>TUB-O-N-AUT-AW-PE-22.23X2.600X0.8960</t>
  </si>
  <si>
    <t>TUB-O-N-AUT-AW-PE-22.23X2.600X0.9070</t>
  </si>
  <si>
    <t>TUB-S-BU-SHS-25.00X25.00X1.000X6.000-210</t>
  </si>
  <si>
    <t>TUB-S-AW-SHS-25.00X25.00X1.150X6.0000</t>
  </si>
  <si>
    <t>TUB-S-AW-SHS-25.00X25.00X1.160X6.0000</t>
  </si>
  <si>
    <t>TUB-S-AW-AUT-25.00X25.00X1.200X0.3300</t>
  </si>
  <si>
    <t>TUB-S-AW-AUT-25.00X25.00X1.200X0.6420</t>
  </si>
  <si>
    <t>TUB-S-AW-AUT-25.00X25.00X1.200X1.2460</t>
  </si>
  <si>
    <t>TUB-S-AW-AUT-25.00X25.00X1.200X6.0000</t>
  </si>
  <si>
    <t>TUB-S-AW-SHS-25.00X25.00X1.510X6.0000</t>
  </si>
  <si>
    <t>TUB-O-N-AUT-AW-PE-25.40X0.800X6.0000</t>
  </si>
  <si>
    <t>TUB-O-N-AUT-AW-PE-25.40X1.000X6.0000</t>
  </si>
  <si>
    <t>TUB-O-N-GEN-GP-PE-25.40X1.000X6.0000</t>
  </si>
  <si>
    <t>TUB-O-N-GEN-AW-PE-25.40X1.000X6.0000</t>
  </si>
  <si>
    <t>TUB-O-N-AUT-AW-PE-25.40X1.020X0.8700</t>
  </si>
  <si>
    <t>TUB-O-O-AUT-AW-PE-25.40X1.200X0.8450</t>
  </si>
  <si>
    <t>Angle Cut</t>
  </si>
  <si>
    <t>TUB-O-N-AUT-AW-PE-25.40X1.200X6.0000</t>
  </si>
  <si>
    <t>TUB-O-N-AUT-AW-PE-25.40X1.200X6.2000</t>
  </si>
  <si>
    <t>CUT-O-N-AUT-AW-FC-25.40X1.400X0.4080</t>
  </si>
  <si>
    <t>TUB-O-N-AUT-AW-PE-25.40X1.400X0.4570</t>
  </si>
  <si>
    <t>CUT-O-N-AUT-AW-PE-25.40X1.400X0.4600</t>
  </si>
  <si>
    <t>CUT-O-N-AUT-AW-PE-25.40X1.400X0.7780</t>
  </si>
  <si>
    <t>TUB-O-O-AUT-AP-PE-25.40X1.400X0.7830</t>
  </si>
  <si>
    <t>TUB-O-N-AUT-AW-FC-25.40X1.400X0.9020</t>
  </si>
  <si>
    <t>TUB-O-N-AUT-AW-FC-25.40X1.400X5.531 HST</t>
  </si>
  <si>
    <t>TUB-O-N-AUT-AW-FC-25.40X1.400X6.0600</t>
  </si>
  <si>
    <t>TUB-O-N-AUT-AW-PE-25.40X1.500X6.0000</t>
  </si>
  <si>
    <t>TUB-O-O-AUT-AW-FC-25.40X1.600X0.2080</t>
  </si>
  <si>
    <t>TUB-O-N-AUT-AW-PE-25.40X1.600X0.2300</t>
  </si>
  <si>
    <t>PT2-O-N-AUT-AW-PE-25.40X1.600X0.4120</t>
  </si>
  <si>
    <t>TUB-O-N-AUT-AW-FC-25.40X1.600X0.4150</t>
  </si>
  <si>
    <t>TUB-O-N-AUT-AW-FC-25.40X2.000X0.1810</t>
  </si>
  <si>
    <t>TUB-O-N-AUT-AW-FC-25.40X2.000X0.2210</t>
  </si>
  <si>
    <t>CUT-O-N-AUT-AW-PE-25.40X2.000X0.281</t>
  </si>
  <si>
    <t>CUT-N-AUT-AW-FC-25.40X2.000X0.4500</t>
  </si>
  <si>
    <t>TUB-O-N-AUT-AW-PE-25.40X2.000X0.4580</t>
  </si>
  <si>
    <t>TUB-O-N-AUT-AW-FC-25.40X2.000X0.4700</t>
  </si>
  <si>
    <t>TUB-O-N-AUT-AW-PE-25.40X2.000X0.4730</t>
  </si>
  <si>
    <t>TUB-O-N-AUT-HR-FC-25.40X2.000X0.7300</t>
  </si>
  <si>
    <t>TUB-O-N-AUT-AW-FC-25.40X2.000X0.8250</t>
  </si>
  <si>
    <t>TUB-O-N-AUT-AW-PE-25.40X2.500X0.1800</t>
  </si>
  <si>
    <t>TUB-O-N-AUT-AW-PE-25.40X2.500X5.5300</t>
  </si>
  <si>
    <t>TUB-O-N-AUT-AW-FC-25.40X2.500X5.5600</t>
  </si>
  <si>
    <t>TUB-O-N-AUT-AW-PE-25.40X2.500X5.9000</t>
  </si>
  <si>
    <t>TUB-O-N-AUT-AW-PE-25.40X2.500X5.9700</t>
  </si>
  <si>
    <t>TUB-O-O-AUT-AW-FC-25.40X2.600X0.0850</t>
  </si>
  <si>
    <t>TUB-O-C-CEW-AD-FC-25.40X3.500X0.2470</t>
  </si>
  <si>
    <t>TUB-O-C-CEW-AD-FC-25.40X3.500X0.2630</t>
  </si>
  <si>
    <t>TUB-O-O-AUT-AW-FC-28.58X3.200X6.0000</t>
  </si>
  <si>
    <t>TUB-O-C-AUT-AD-FC-29.40X4.500X0.3570</t>
  </si>
  <si>
    <t>TUB-O-C-CEW-AD-FC-29.40X4.500X0.3610</t>
  </si>
  <si>
    <t>TUB-O-C-AUT-AD-FC-29.40X4.500X0.3610</t>
  </si>
  <si>
    <t>TUB-S-AW-SHS-30.00X30.00X1.160X6.0000</t>
  </si>
  <si>
    <t>TUB-S-AW-AUT-30.00X30.00X1.200X0.1400</t>
  </si>
  <si>
    <t>TUB-S-AW-SHS-30.00X30.00X1.510X6.0000</t>
  </si>
  <si>
    <t>TUB-I-C-AUT-AD-FC-30.00X25.50X0.4850</t>
  </si>
  <si>
    <t>TUB-O-C-AUT-AD-FC-30.00X3.025X04-05</t>
  </si>
  <si>
    <t>TUB-O-C-AUT-AD-FC-30.00X3.030X03-04</t>
  </si>
  <si>
    <t>PT3-I-C-AUT-AD-CH-25.50X2.320X0.465</t>
  </si>
  <si>
    <t>TUB-O-N-AUT-AW-FC-31.75X1.200X0.2100</t>
  </si>
  <si>
    <t>PT2-O-N-AUT-AW-PE-31.75X1.200X0.670</t>
  </si>
  <si>
    <t>CUT-O-N-AUT-AW-PE-31.75X1.200X0.670</t>
  </si>
  <si>
    <t>TUB-O-O-AUT-AW-PE-31.75X1.200X0.6700</t>
  </si>
  <si>
    <t>TUB-O-N-AUT-AW-PE-31.75X1.200X0.6858</t>
  </si>
  <si>
    <t>TUB-O-N-AUT-AW-PE-31.75X1.200X5.4500</t>
  </si>
  <si>
    <t>TUB-O-N-AUT-AW-FC-31.75X1.200X6.0010</t>
  </si>
  <si>
    <t>TUB-O-N-AUT-AW-FC-31.75X1.600X0.7800</t>
  </si>
  <si>
    <t>TUB-O-N-AUT-AW-FC-31.75X2.000X0.4830</t>
  </si>
  <si>
    <t>TUB-O-N-AUT-AW-FC-31.75X2.000X0.4850</t>
  </si>
  <si>
    <t>TUB-O-N-AUT-AW-FC-31.75X2.000X0.7920</t>
  </si>
  <si>
    <t>CUT-O-N-AUT-AW-FC-31.75X2.000X0.9680</t>
  </si>
  <si>
    <t>TUB-O-N-AUT-AW-FC-31.75X2.30X6.000-ERW 1</t>
  </si>
  <si>
    <t>TUB-O-N-AUT-AW-FC-31.75X2.50X6.000-ERW 1</t>
  </si>
  <si>
    <t>TUB-O-N-GEN-AW-FC-31.75X2.900X5.7000</t>
  </si>
  <si>
    <t>TUB-O-N-GEN-AW-FC-31.75X2.900X5.9000</t>
  </si>
  <si>
    <t>TUB-O-N-BOT-NR-FC-31.75X3.250X6.100</t>
  </si>
  <si>
    <t>TUB-O-C-SLT-DT-FC-32.00X4.500X6.4000</t>
  </si>
  <si>
    <t>TUB-O-C-CEW-AD-FC-34.00X1.000X6.0000</t>
  </si>
  <si>
    <t>TUB-O-N-AUT-AW-FC-34.93X1.200X0.6200</t>
  </si>
  <si>
    <t>TUB-O-N-AUT-AW-FC-34.93X1.200X0.6600</t>
  </si>
  <si>
    <t>CUT-O-N-AUT-AW-FC-34.93X1.200X0.6700</t>
  </si>
  <si>
    <t>TUB-O-N-AUT-AW-FC-34.93X1.200X6.0-ERW 1</t>
  </si>
  <si>
    <t>CUT-O-N-AUT-AW-FC-34.93X1.600X0.4000</t>
  </si>
  <si>
    <t>TUB-O-N-AUT-AW-FC-34.93X1.600X0.4050</t>
  </si>
  <si>
    <t>TUB-O-N-AUT-AW-FC-34.93X1.600X0.4550</t>
  </si>
  <si>
    <t>CUT-O-N-AUT-AW-FC-34.93X1.600X0.5800</t>
  </si>
  <si>
    <t>TUB-O-N-AUT-AW-FC-34.93X1.600X0.5900</t>
  </si>
  <si>
    <t>TUB-O-N-AUT-AW-FC-34.93X1.600X0.6400</t>
  </si>
  <si>
    <t>TUB-O-N-AUT-AW-PE-34.93X1.600X1.726</t>
  </si>
  <si>
    <t>TUB-O-N-AUT-AW-PE-34.93X2.00X6.000-ERW 1</t>
  </si>
  <si>
    <t>CUT-O-N-AUT-AW-FC-34.93X2.300X0.3340</t>
  </si>
  <si>
    <t>TUB-O-N-AUT-NR-PE-34.93X2.500X1.723</t>
  </si>
  <si>
    <t>TUB-O-O-AUT-AW-FC-34.93X2.600X1.7210</t>
  </si>
  <si>
    <t>CUT-C-SLT-DT-FC-36.00X4.000X1.4100</t>
  </si>
  <si>
    <t>TUB-O-C-SLT-DT-FC-36.00X4.000X5.7000</t>
  </si>
  <si>
    <t>TUB-O-C-CEW-AD-FC-37.00X1.000X6.0000</t>
  </si>
  <si>
    <t>PT3-I-C-AUT-AD-CH-31.20X3.200X0.295</t>
  </si>
  <si>
    <t>CUT-I-C-AUT-AD-PE-32.00X2.950X0.9400</t>
  </si>
  <si>
    <t>TUB-O-C-AUT-AD-FC-38.00X3.000X0.3580</t>
  </si>
  <si>
    <t>TUB-O-N-AUT-AW-PE-38.10X1.000X6.0000</t>
  </si>
  <si>
    <t>TUB-O-N-GEN-AW-FC-38.10X1.500X6.0000</t>
  </si>
  <si>
    <t>TUB-O-O-AUT-AW-FC-38.10X1.600X0.4880</t>
  </si>
  <si>
    <t>TUB-O-N-AUT-AW-FC-38.10X1.600X0.812</t>
  </si>
  <si>
    <t>TUB-O-O-AUT-AW-FC-38.10X1.600X0.8120</t>
  </si>
  <si>
    <t>TUB-O-N-AUT-AW-FC-38.10X1.600X0.8750</t>
  </si>
  <si>
    <t>CUT-O-N-AUT-AW-FC-38.10X1.600X0.8780</t>
  </si>
  <si>
    <t>TUB-O-N-AUT-AW-FC-38.10X1.600X5.6300</t>
  </si>
  <si>
    <t>CUT-O-N-AUT-AW-FC-38.10X2.000X0.2770</t>
  </si>
  <si>
    <t>PT2-O-N-AUT-AW-FC-38.10X2.000X0.425</t>
  </si>
  <si>
    <t>PT3-O-N-AUT-AW-FC-38.10X2.000X0.488</t>
  </si>
  <si>
    <t>TUB-O-O-AUT-AW-FC-38.10X2.000X0.4880</t>
  </si>
  <si>
    <t>TUB-O-N-AUT-AW-FC-38.10X2.000X0.4940</t>
  </si>
  <si>
    <t>TUB-O-N-AUT-AW-FC-38.10X2.00X5.650-ERW 1</t>
  </si>
  <si>
    <t>TUB-O-N-AUT-AW-FC-38.10X2.000X5.8500</t>
  </si>
  <si>
    <t>TUB-O-N-AUT-AW-PE-38.10X2.030X0.812</t>
  </si>
  <si>
    <t>CUT-O-N-AUT-AW-FC-38.10X2.500X0.8750</t>
  </si>
  <si>
    <t>CUT-O-N-AUT-AW-FC-38.10X2.500X0.8780</t>
  </si>
  <si>
    <t>TUB-O-C-CEW-AD-FC-38.10X3.200X0.3190</t>
  </si>
  <si>
    <t>TUB-O-N-AUT-AW-FC-38.10X3.66X4.735-ERW 1</t>
  </si>
  <si>
    <t>TUB-O-N-BOT-NR-FC-38.10X3.660X6.100</t>
  </si>
  <si>
    <t>TUB-O-C-SLT-NR-FC-39.80X5.800X6.6000</t>
  </si>
  <si>
    <t>TUB-R-FH-RHS-40.00X20.00X0.810X6.0000</t>
  </si>
  <si>
    <t>TUB-R-AW-RHS-40.00X20.00X1.160X6.0000</t>
  </si>
  <si>
    <t>TUB-R-AW-AUT-40.00X20.00X1.200X0.1050</t>
  </si>
  <si>
    <t>TUB-R-AW-RHS-40.00X20.00X1.200X0.1130</t>
  </si>
  <si>
    <t>TUB-R-AW-AUT-40.00X20.00X1.200X0.1400</t>
  </si>
  <si>
    <t>TUB-R-AW-AUT-40.00X20.00X1.200X0.6500</t>
  </si>
  <si>
    <t>TUB-R-AW-AUT-40.00X20.00X1.200X0.7100</t>
  </si>
  <si>
    <t>TUB-R-AW-AUT-40.00X20.00X1.200X0.8900</t>
  </si>
  <si>
    <t>TUB-R-AW-AUT-40.00X20.00X1.200X0.9300</t>
  </si>
  <si>
    <t>TUB-R-AW-AUT-40.00X20.00X1.200X1.0600</t>
  </si>
  <si>
    <t>TUB-R-AW-AUT-40.00X20.00X1.200X1.1200</t>
  </si>
  <si>
    <t>TUB-R-AW-AUT-40.00X20.00X1.200X1.2460</t>
  </si>
  <si>
    <t>TUB-R-AW-AUT-40.00X20.00X1.210X0.9400</t>
  </si>
  <si>
    <t>TUB-R-AW-AUT-40.00X20.00X1.210X1.2980</t>
  </si>
  <si>
    <t>TUB-R-AW-RHS-40.00X20.00X1.210X6.0000</t>
  </si>
  <si>
    <t>TUB-R-FH-RHS-40.00X20.00X1.510X6.0000</t>
  </si>
  <si>
    <t>TUB-R-AW-AUT-40.00X25.00X1.600X0.3180</t>
  </si>
  <si>
    <t>CUT-R-AW-AUT-40.00X25.00X1.600X0.3220</t>
  </si>
  <si>
    <t>TUB-R-AW-RHS-40.00X30.00X1.600X0.4000</t>
  </si>
  <si>
    <t>TUB-R-AW-RHS-40.00X20.00X1.600X0.5460</t>
  </si>
  <si>
    <t>TUB-R-AW-AUT-40.00X30.00X1.600X5.9300</t>
  </si>
  <si>
    <t>TUB-R-AW-AUT-40.00X30.00X1.600X6.0000</t>
  </si>
  <si>
    <t>TUB-R-AP-AUT-40.00X25.00X1.600X6.0500</t>
  </si>
  <si>
    <t>TUB-R-AW-RHS-40.00X30.00X1.600X6.1000</t>
  </si>
  <si>
    <t>TUB-R-AW-RHS-40.00X30.00X2.000X6.0000</t>
  </si>
  <si>
    <t>TUB-R-AW-AUT-40.00X30.00X2.000X6.1750</t>
  </si>
  <si>
    <t>TUB-O-C-AUT-AD-FC-41.28X2.410X0.2040</t>
  </si>
  <si>
    <t>CUT-O-N-AUT-AW-FC-41.28X2.600X0.8480</t>
  </si>
  <si>
    <t>TUB-O-N-AUT-AW-FC-41.28X2.600X6.0800</t>
  </si>
  <si>
    <t>TUB-O-O-AUT-AW-CH-41.28X3.150X0.2910</t>
  </si>
  <si>
    <t>TUB-O-N-AUT-AW-FC-42.70X1.600X0.4160</t>
  </si>
  <si>
    <t>TUB-O-N-AUT-AW-FC-42.70X1.600X0.4170</t>
  </si>
  <si>
    <t>TUB-O-N-AUT-NR-FC-42.70X3.500X0.2100</t>
  </si>
  <si>
    <t>TUB-O-N-AUT-BH-FC-42.70X3.500X0.2470</t>
  </si>
  <si>
    <t>TUB-O-N-AUT-BH-FC-42.70X3.500X6.000</t>
  </si>
  <si>
    <t>TUB-O-N-AUT-AN-FC-42.70X4.000X0.2350</t>
  </si>
  <si>
    <t>TUB-N-AUT-BH-FC-42.70X4.000X0.2900</t>
  </si>
  <si>
    <t>TUB-O-N-AUT-BH-FC-42.70X4.000X0.3440</t>
  </si>
  <si>
    <t>TUB-O-N-AUT-AW-FC-45.00X1.400X1.0540</t>
  </si>
  <si>
    <t>CUT-O-N-AUT-AW-FC-45.00X1.600X1.0540</t>
  </si>
  <si>
    <t>TUB-O-C-CEW-AN-FC-47.63X4.000X0.2120</t>
  </si>
  <si>
    <t>TUB-O-C-AUT-AN-FC-47.63X4.000X0.2150</t>
  </si>
  <si>
    <t>TUB-O-N-AUT-AW-FC-48.00X1.200X0.1800</t>
  </si>
  <si>
    <t>TUB-O-N-AUT-AW-FC-48.00X1.200X0.6200</t>
  </si>
  <si>
    <t>TUB-O-N-AUT-AW-FC-48.00X1.200X0.6500</t>
  </si>
  <si>
    <t>TUB-O-N-AUT-AW-FC-48.00X1.200X0.6600</t>
  </si>
  <si>
    <t>TUB-O-N-AUT-AW-FC-48.00X1.200X5.0100</t>
  </si>
  <si>
    <t>CUT-O-N-AUT-AW-FC-48.00X1.600X0.4000</t>
  </si>
  <si>
    <t>TUB-O-N-AUT-AW-FC-48.00X1.600X0.4150</t>
  </si>
  <si>
    <t>TUB-O-N-AUT-AW-FC-48.00X1.600X0.4650</t>
  </si>
  <si>
    <t>CUT-O-N-AUT-AW-FC-48.00X1.600X0.5800</t>
  </si>
  <si>
    <t>TUB-O-N-AUT-AW-FC-48.00X1.600X0.6000</t>
  </si>
  <si>
    <t>TUB-O-N-AUT-AW-FC-48.00X1.600X0.6500</t>
  </si>
  <si>
    <t>TUB-O-N-AUT-AW-FC-48.60X2.000X0.3100</t>
  </si>
  <si>
    <t>TUB-O-N-AUT-AW-FC-48.60X2.300X0.3100</t>
  </si>
  <si>
    <t>TUB-O-O-AUT-AW-FC-48.60X3.400X0.1840</t>
  </si>
  <si>
    <t>TUB-O-N-AUT-AW-FC-48.60X3.400X0.1970</t>
  </si>
  <si>
    <t>TUB-O-N-AUT-AW-CH-48.60X3.500X0.1850</t>
  </si>
  <si>
    <t>TUB-O-N-AUT-BH-FC-48.60X3.500X0.1960</t>
  </si>
  <si>
    <t>PT4-O-N-AUT-AW-FC-48.60X3.500X0.196</t>
  </si>
  <si>
    <t>TUB-O-N-AUT-AW-FC-48.60X4.000X0.5650</t>
  </si>
  <si>
    <t>TUB-V-AW-AUT-49.00X38.00X2.000X0.6290</t>
  </si>
  <si>
    <t>TUB-V-AW-AUT-49.00X38.00X2.000X0.6330</t>
  </si>
  <si>
    <t>TUB-R-AW-RHS-50.00X25.00X1.010X6.0000</t>
  </si>
  <si>
    <t>TUB-R-AW-RHS-50.00X25.00X1.160X6.0000</t>
  </si>
  <si>
    <t>TUB-S-AW-GEN-50.00X50.00X1.500X6.0000</t>
  </si>
  <si>
    <t>TUB-R-AW-RHS-50.00X25.00X1.510X6.0000</t>
  </si>
  <si>
    <t>TUB-S-AW-AUT-50.00X50.00X1.600X0.5420</t>
  </si>
  <si>
    <t>TUB-R-AW-AUT-50.00X30.00X1.600X0.5970</t>
  </si>
  <si>
    <t>TUB-R-AW-AUT-50.00X30.00X1.600X0.6000</t>
  </si>
  <si>
    <t>TUB-R-AW-AUT-50.00X30.00X1.600X0.6070</t>
  </si>
  <si>
    <t>TUB-R-AW-AUT-50.00X30.00X1.600X0.6380</t>
  </si>
  <si>
    <t>PT3-S-AW-SHS-50.00X50.00X1.600X0.847</t>
  </si>
  <si>
    <t>TUB-S-AW-SHS-50.00X50.00X1.600X0.8470</t>
  </si>
  <si>
    <t>TUB-R-AW-AUT-50.00X30.00X2.000X0.5650</t>
  </si>
  <si>
    <t>TUB-R-AP-AUT-50.00X25.00X2.000X6.0000</t>
  </si>
  <si>
    <t>TUB-O-C-SLT-NR-FC-50.00X6.000X4.775</t>
  </si>
  <si>
    <t>TUB-O-N-AUT-AW-FC-50.80X1.400X0.7390</t>
  </si>
  <si>
    <t>TUB-O-N-AUT-AW-FC-50.80X1.420X0.7370</t>
  </si>
  <si>
    <t>TUB-O-N-AUT-AW-FC-50.80X2.000X0.7330</t>
  </si>
  <si>
    <t>TUB-O-N-AUT-AW-FC-50.80X2.600X0.1300</t>
  </si>
  <si>
    <t>CUT-O-C-AUT-AD-FC-50.80X2.600X0.1420</t>
  </si>
  <si>
    <t>TUB-O-C-AUT-AD-FC-50.80X2.600X0.1420</t>
  </si>
  <si>
    <t>460176|1940908</t>
  </si>
  <si>
    <t>PT4-O-N-AUT-NR-AG-57.15X2.000X0.713</t>
  </si>
  <si>
    <t>TUB-O-N-AUT-AW-FC-57.15X2.300X1.3650</t>
  </si>
  <si>
    <t>TUB-O-N-AUT-AW-AG-57.15X2.500X0.3260</t>
  </si>
  <si>
    <t>TUB-O-N-AUT-AW-FC-57.15X2.500X0.3750</t>
  </si>
  <si>
    <t>CUT-O-N-AUT-AW-AG-57.15X2.500X0.5260</t>
  </si>
  <si>
    <t>TUB-O-N-AUT-AW-FC-57.15X2.500X5.7110</t>
  </si>
  <si>
    <t>TUB-O-N-AUT-AP-FC-57.15X2.500X6.0000</t>
  </si>
  <si>
    <t>TUB-O-N-AUT-HR-FC-57.15X2.500X6.0200</t>
  </si>
  <si>
    <t>TUB-O-N-AUT-AW-FC-57.15X2.500X6.1000</t>
  </si>
  <si>
    <t>TUB-O-N-AUT-AW-FC-57.15X3.000X0.4600</t>
  </si>
  <si>
    <t>TUB-O-N-AUT-AW-FC-57.15X3.000X5.65-ERW 1</t>
  </si>
  <si>
    <t>TUB-E-AW-AUT-59.00X30.00X1.600X0.5710</t>
  </si>
  <si>
    <t>TUB-E-AW-AUT-59.00X30.00X1.600X0.5725</t>
  </si>
  <si>
    <t>TUB-E-HR-AUT-59.00X30.00X1.600X0.6450</t>
  </si>
  <si>
    <t>TUB-R-AW-GEN-60.00X40.00X1.200X6.0000</t>
  </si>
  <si>
    <t>CUT-O-N-AUT-AW-FC-60.30X2.000X0.5250</t>
  </si>
  <si>
    <t>TUB-O-N-BOT-NR-FC-63.50X3.660X3.750</t>
  </si>
  <si>
    <t>TUB-O-N-BOT-NR-FC-63.50X3.660X4.000</t>
  </si>
  <si>
    <t>TUB-O-N-BOT-NR-FC-63.50X3.660X5.000</t>
  </si>
  <si>
    <t>TUB-O-N-BOT-NR-FC-63.50X3.660X6.100</t>
  </si>
  <si>
    <t>TUB-O-N-AUT-BH-FC-63.50X4.000X0.2360</t>
  </si>
  <si>
    <t>CUT-O-N-AUT-BH-FC-63.50X4.000X0.2650</t>
  </si>
  <si>
    <t>TUB-N-N-STU-BU-PE-65 X 3.6 X 6 - 310</t>
  </si>
  <si>
    <t>TUB-O-C-AUT-AD-FC-67.00X1.20X5.500-HDPE</t>
  </si>
  <si>
    <t>TUB-O-N-AUT-AN-AG-70.00X3.200X0.490 HST</t>
  </si>
  <si>
    <t>3801263|3768903</t>
  </si>
  <si>
    <t>000000000003702274</t>
  </si>
  <si>
    <t>TUB-O-N-GEN-AW-FC-88.90X3.200X6.0000</t>
  </si>
  <si>
    <t>000000000003702251</t>
  </si>
  <si>
    <t>TUB-O-N-GEN-AW-FC-88.90X4.500X6.0000</t>
  </si>
  <si>
    <t>000000000003504753</t>
  </si>
  <si>
    <t>TUB-R-BU-RHS-96.00X48.00X3.600X6.00-210</t>
  </si>
  <si>
    <t>000000000003503970</t>
  </si>
  <si>
    <t>TUB-R-BU-RHS-96.00X48.00X3.60X6.000-310</t>
  </si>
  <si>
    <t>000000000003505208</t>
  </si>
  <si>
    <t>TUB-S-BL-SHS-100.00X100.00X2.50X6.00 310</t>
  </si>
  <si>
    <t>000000000003702252</t>
  </si>
  <si>
    <t>TUB-O-N-GEN-AW-FC-101.60X3.200X6.0000</t>
  </si>
  <si>
    <t>000000000003504024</t>
  </si>
  <si>
    <t>TUB-S-BU-SHS-113.50X113.50X4.50X6.00-310</t>
  </si>
  <si>
    <t>000000000003702253</t>
  </si>
  <si>
    <t>TUB-O-N-GEN-AW-FC-114.30X3.200X6.0000</t>
  </si>
  <si>
    <t>000000000003693901</t>
  </si>
  <si>
    <t>TUB-R-BU-RHS-122.00X61.00X3.60X6.000-240</t>
  </si>
  <si>
    <t>000000000003503188</t>
  </si>
  <si>
    <t>TUB-S-BU-SHS-132.00X132.00X3.60X6.00-210</t>
  </si>
  <si>
    <t>000000000003504369</t>
  </si>
  <si>
    <t>TUB-R-BU-RHS-145.00X82.00X2.900X6.00-310</t>
  </si>
  <si>
    <t>000000000003505295</t>
  </si>
  <si>
    <t>TUB-R-BU-RHS-145.00X82.00X3.200X6.00-310</t>
  </si>
  <si>
    <t>000000000003509371</t>
  </si>
  <si>
    <t>TUB-S-BU-SHS-150.00X150.00X6.000X6.0-210</t>
  </si>
  <si>
    <t>1940911 | 114860</t>
  </si>
  <si>
    <t>TUB-O-N-AUT-AW-PE-19.05X1.600X0.3940(HSST)</t>
  </si>
  <si>
    <t>TUB-O-N-AUT-AW-FC-19.05X1.600X0.7750</t>
  </si>
  <si>
    <t>Buckets not in paster rm tracker but are in RM tracker</t>
  </si>
  <si>
    <t>Buckets not in RM tracker but are in paster rm tracker</t>
  </si>
  <si>
    <t>Plant</t>
  </si>
  <si>
    <t>Requirement</t>
  </si>
  <si>
    <t>Stock CTL</t>
  </si>
  <si>
    <t>Stock LL</t>
  </si>
  <si>
    <t>Total Stock</t>
  </si>
  <si>
    <t>GAP</t>
  </si>
  <si>
    <t>Remark</t>
  </si>
  <si>
    <t>ACTUAL OD2</t>
  </si>
  <si>
    <t>OD3</t>
  </si>
  <si>
    <t>ID4</t>
  </si>
  <si>
    <t>TICKNESS5</t>
  </si>
  <si>
    <t>GRADE6</t>
  </si>
  <si>
    <t>FC/NFC7</t>
  </si>
  <si>
    <t>Bucket8</t>
  </si>
  <si>
    <t>Bucket9</t>
  </si>
  <si>
    <t>Hosur</t>
  </si>
  <si>
    <t>Khopoli</t>
  </si>
  <si>
    <t>no order</t>
  </si>
  <si>
    <t>No Commitment</t>
  </si>
  <si>
    <t>16 MT supplied in Apr against schedule of 6 MT. Next Lot expected in last week of May'25</t>
  </si>
  <si>
    <t>Available from week 2</t>
  </si>
  <si>
    <t>Available from week 4</t>
  </si>
  <si>
    <t>40-25-1.6-ERW 2-FC</t>
  </si>
  <si>
    <t>50-30-1.6-ERW 2-FC</t>
  </si>
  <si>
    <t>80% Coverage. Rest by 15th</t>
  </si>
  <si>
    <t>Jamshedpur</t>
  </si>
  <si>
    <t>Available by Week 2</t>
  </si>
  <si>
    <t>Material No</t>
  </si>
  <si>
    <t>Schedule</t>
  </si>
  <si>
    <t>Dispatch</t>
  </si>
  <si>
    <t>Balance</t>
  </si>
  <si>
    <t>LL or CTL</t>
  </si>
  <si>
    <t>789</t>
  </si>
  <si>
    <t>4731</t>
  </si>
  <si>
    <t>8406</t>
  </si>
  <si>
    <t>Transfer Required</t>
  </si>
  <si>
    <t>FG Code</t>
  </si>
  <si>
    <t>LL</t>
  </si>
  <si>
    <t xml:space="preserve"> </t>
  </si>
  <si>
    <t>SNO</t>
  </si>
  <si>
    <t>RM Loaction</t>
  </si>
  <si>
    <t>Helper Customer</t>
  </si>
  <si>
    <t>MATERIAL NO</t>
  </si>
  <si>
    <t>MATERIAL DES</t>
  </si>
  <si>
    <t>h</t>
  </si>
  <si>
    <t>HR/CR</t>
  </si>
  <si>
    <t>HR/CR Check</t>
  </si>
  <si>
    <t xml:space="preserve">Chamferring </t>
  </si>
  <si>
    <t>Surface Critical</t>
  </si>
  <si>
    <t>CTL Bucket</t>
  </si>
  <si>
    <t>Check if CTL bucket is in sales sheet or not</t>
  </si>
  <si>
    <t>4731 LL Stock</t>
  </si>
  <si>
    <t>4318 + 8406 stock</t>
  </si>
  <si>
    <t>Source Plant</t>
  </si>
  <si>
    <t>Commitment Date</t>
  </si>
  <si>
    <t>SCHEDULE in nos</t>
  </si>
  <si>
    <t>Customer remarks</t>
  </si>
  <si>
    <t>SCHEDULE IN MT</t>
  </si>
  <si>
    <t>DISPATCH MT</t>
  </si>
  <si>
    <t>BALANCE FOR DISP</t>
  </si>
  <si>
    <t>CTL Stock</t>
  </si>
  <si>
    <t>Total Long Stock in MT</t>
  </si>
  <si>
    <t>BALANCE REQUIRED IN MT</t>
  </si>
  <si>
    <t>% COMP</t>
  </si>
  <si>
    <t>so</t>
  </si>
  <si>
    <t>Balaji Press Product</t>
  </si>
  <si>
    <t>CR</t>
  </si>
  <si>
    <t>HROP</t>
  </si>
  <si>
    <t>Hosur Plant</t>
  </si>
  <si>
    <t>CUT-O-N-AUT-AW-PE-19.05X1.200X0.4030</t>
  </si>
  <si>
    <t>ara</t>
  </si>
  <si>
    <t xml:space="preserve">Khopoli </t>
  </si>
  <si>
    <t>ELKAYEM AUTO Hosur</t>
  </si>
  <si>
    <t>KGR2</t>
  </si>
  <si>
    <t>TUB-O-C-AUT-AD-FC-16.10X2.950X04-05</t>
  </si>
  <si>
    <t>TUB-O-N-AUT-AW-PE-17.30X1.600X6.0000</t>
  </si>
  <si>
    <t>TUB-O-C-AUT-AD-FC-29.28X3.400X3.5000</t>
  </si>
  <si>
    <t>NO MATERIAL CODE</t>
  </si>
  <si>
    <t>TUB-O-N-AUT-AW-PE-12.70X1.600X0.9070</t>
  </si>
  <si>
    <t>TUB-O-O-AUT-AW-PE-15.88X1.6.000X6.0000</t>
  </si>
  <si>
    <t>WG</t>
  </si>
  <si>
    <t>TUB-O-N-AUT-AW-PE-15.88X2.000X0.291</t>
  </si>
  <si>
    <t>D</t>
  </si>
  <si>
    <t>TUB-O-N-AUT-AW-PE-17.30X1.600X0.3850</t>
  </si>
  <si>
    <t>TUB-O-O-AUT-AW-PE-22.23X2.000X6.0000</t>
  </si>
  <si>
    <t>TUB-O-N-AUT-AH-PE-25.40X2.000X0.3150 HST</t>
  </si>
  <si>
    <t>TUB-O-N-AUT-AW-FC-28.58X2.000X0.4690</t>
  </si>
  <si>
    <t>TUB-O-N-AUT-AW-FC-28.58X2.000X0.475</t>
  </si>
  <si>
    <t>TUB-S-AW-SHS-25.00X25.00X2.000X6.0000</t>
  </si>
  <si>
    <t>TUB-O-N-AUT-AW-PE-34.93X2.000X1.1750</t>
  </si>
  <si>
    <t>GR1</t>
  </si>
  <si>
    <t>SC</t>
  </si>
  <si>
    <t>TUB-R-AW-RHS-40.00X25.00X2.000X6.0000</t>
  </si>
  <si>
    <t>Annealed</t>
  </si>
  <si>
    <t>AG</t>
  </si>
  <si>
    <t>TUB-R-AW-AUT-40.00X30.00X2.000X0.1620</t>
  </si>
  <si>
    <t>TUB-O-N-AUT-AW-FC-48.60X2.000X0.5450</t>
  </si>
  <si>
    <t>CUT-N-AUT-AW-FC-48.60X4.000X0.5950</t>
  </si>
  <si>
    <t>CUT-O-N-AUT-AW-FC-19.05X1.600X0.2380</t>
  </si>
  <si>
    <t>PT2-O-N-AUT-AW-PE-19.05X1.600X0.310</t>
  </si>
  <si>
    <t>TUB-O-N-AUT-AW-FC-19.05X1.600X0.3500</t>
  </si>
  <si>
    <t>TUB-O-N-AUT-AW-PE-19.05X1.600X0.3800</t>
  </si>
  <si>
    <t>CUT-O-N-AUT-AW-FC-19.05X1.600X0.4690</t>
  </si>
  <si>
    <t>TUB-O-N-AUT-AW-PE-19.05X1.60X0.485-MAHS</t>
  </si>
  <si>
    <t>PT2-O-N-AUT-AW-PE-19.05X1.630X0.336</t>
  </si>
  <si>
    <t>TUB-O-N-AUT-AW-PE-25.40X2.000X0.4780</t>
  </si>
  <si>
    <t>TUB-O-N-AUT-AW-PE-25.40X2.000X0.4960</t>
  </si>
  <si>
    <t>TUB-O-N-AUT-AW-PE-34.93X2.000X0.2840</t>
  </si>
  <si>
    <t>TUB-O-N-AUT-AW-FC-34.93X2.000X0.339</t>
  </si>
  <si>
    <t>ELKAYEM AUTO Mysore</t>
  </si>
  <si>
    <t>m</t>
  </si>
  <si>
    <t>TUB-O-N-AUT-AW-PE-22.23X2.000X5.5300</t>
  </si>
  <si>
    <t>Plan</t>
  </si>
  <si>
    <t/>
  </si>
  <si>
    <t>CUT-O-C-AUT-AD-FC-29.40X4.500X0.3600</t>
  </si>
  <si>
    <t>TUB-O-C-CEW-AD-FC-29.40X4.500X5.2000</t>
  </si>
  <si>
    <t>CUT-O-C-AUT-AN-FC-29.35X4.400X0.3780</t>
  </si>
  <si>
    <t>CUT-O-C-AUT-AN-FC-29.35X4.400X0.3630</t>
  </si>
  <si>
    <t>TUB-O-C-AUT-AD-FC-29.40X4.500X0.3850</t>
  </si>
  <si>
    <t>TUB-O-C-CEW-AD-FC-29.40X4.500X0.4500</t>
  </si>
  <si>
    <t>TUB-O-N-AUT-AW-FC-34.93X1.200X0.3900</t>
  </si>
  <si>
    <t>TUB-O-N-AUT-BH-FC-42.70X4.000X5.50-ERW 1</t>
  </si>
  <si>
    <t>TUB-O-O-AUT-AW-PE-22.23X2.000X0.8120</t>
  </si>
  <si>
    <t>ST52AL</t>
  </si>
  <si>
    <t>CUT-O-N-AUT-AW-PE-22.20X2.000X0.7720</t>
  </si>
  <si>
    <t>TUB-O-N-AUT-AW-PE-34.93X2.000X1.2800</t>
  </si>
  <si>
    <t>CUT-N-AUT-AW-FC-48.60X3.500X0.5950</t>
  </si>
  <si>
    <t>JSR</t>
  </si>
  <si>
    <t>TUB-O-C-AUT-AD-FC-25.40X2.500X3.7300</t>
  </si>
  <si>
    <t>TUB-O-C-AUT-AD-FC-30.00X2.250X5.9300</t>
  </si>
  <si>
    <t>TUB-I-C-AUT-AN-FC-34.00X2.500X0.2720</t>
  </si>
  <si>
    <t>TUB-I-C-AUT-AN-FC-39.00X34.00X4.5000</t>
  </si>
  <si>
    <t>TUB-S-AW-AUT-19.00X19.00X1.010X0.800</t>
  </si>
  <si>
    <t>TUB-S-AW-AUT-19.00X19.00X1.000X0.871</t>
  </si>
  <si>
    <t>TUB-R-AW-AUT-19.00X19.00X1.000X0.8800</t>
  </si>
  <si>
    <t>TUB-S-AW-SHS-19.00X19.00X1.000X6.0000</t>
  </si>
  <si>
    <t>TUB-R-AW-AUT-40.00X20.00X1.210X0.860</t>
  </si>
  <si>
    <t>TUB-R-AW-AUT-40.00X20.00X1.200X5.2600</t>
  </si>
  <si>
    <t>TUB-O-N-AUT-AW-PE-15.88X1.000X2.3400</t>
  </si>
  <si>
    <t>TUB-O-O-AUT-AW-PE-22.23X1.600X0.2850</t>
  </si>
  <si>
    <t>CUT-O-N-AUT-AW-PE-22.23X2.300X0.1880</t>
  </si>
  <si>
    <t>CUT-O-N-AUT-AW-PE-22.23X2.310X0.2950</t>
  </si>
  <si>
    <t>TUB-O-N-AUT-AW-PE-25.40X1.200X2.5850</t>
  </si>
  <si>
    <t>PT3-O-N-AUT-AW-FC-38.10X3.660X0.2010</t>
  </si>
  <si>
    <t>TUB-S-FH-RHS-40.00X20.00X1.600X6.0000</t>
  </si>
  <si>
    <t>TUB-O-C-AUT-AN-FC-14.00X2.450X5.0000</t>
  </si>
  <si>
    <t>TUB-O-C-AUT-AD-FC-19.00X3.250X0.1800</t>
  </si>
  <si>
    <t>TUB-O-C-AUT-AD-FC-19.00X3.250X0.1950</t>
  </si>
  <si>
    <t>TUB-O-C-AUT-AD-FC-21.75X3.500X04-05</t>
  </si>
  <si>
    <t>TUB-O-N-AUT-AN-FC-42.70X3.500X6.0000</t>
  </si>
  <si>
    <t>TUB-O-N-AUT-AN-FC-42.70X4.000X5.7300</t>
  </si>
  <si>
    <t>NORMAL</t>
  </si>
  <si>
    <t>TUB-O-O-AUT-AW-FC-25.40X2.500X0.3220</t>
  </si>
  <si>
    <t>TUB-O-O-AUT-AW-FC-38.10X1.600X0.8210</t>
  </si>
  <si>
    <t xml:space="preserve">CUT-O-N-AUT-AW-FC-38.10X2.000X0.2770 </t>
  </si>
  <si>
    <t>TUB-R-AW-RHS-40.00X30.00X1.600X0.3140</t>
  </si>
  <si>
    <t>CUT-O-N-AUT-AW-AG-57.15X2.500X0.3460</t>
  </si>
  <si>
    <t>TUB-O-N-AUT-AW-AG-57.15X2.500X0.8120</t>
  </si>
  <si>
    <t>TUB-O-N-AUT-AW-FC-38.10X1.600X0.9300</t>
  </si>
  <si>
    <t>TUB-O-N-AUT-AW-FC-38.10X1.600X5.3500</t>
  </si>
  <si>
    <t>TUB-O-N-AUT-AW-FC-38.10X2.000X0.9300</t>
  </si>
  <si>
    <t>TUB-O-N-AUT-AW-FC-38.10X2.500X5.3500</t>
  </si>
  <si>
    <t>TUB-I-C-AUT-AD-FC-18.00X4.000X3.7000</t>
  </si>
  <si>
    <t>TUB-O-C-AUT-AD-FC-25.40X3.500X04-05</t>
  </si>
  <si>
    <t>TUB-O-C-AUT-AD-FC-25.40X3.500X.26300</t>
  </si>
  <si>
    <t>TUB-O-C-AUT-AD-FC-25.60X4.500X4.2000</t>
  </si>
  <si>
    <t>TUB-O-C-CEW-AD-FC-32.00X4.500X3.3000</t>
  </si>
  <si>
    <t>TUB-O-N-AUT-AW-PE-17.30X1.200X6.0000</t>
  </si>
  <si>
    <t>TUB-O-C-AUT-AD-FC-33.30X2.000X4.3000</t>
  </si>
  <si>
    <t>TUB-O-C-AUT-AD-FC-33.30X2.000X04-05</t>
  </si>
  <si>
    <t>TUB-I-C-AUT-AD-PE-32.00X2.950X0.940</t>
  </si>
  <si>
    <t>TUB-O-N-GEN-AW-PE-12.70X2.000X5.0500</t>
  </si>
  <si>
    <t>TUB-O-O-GEN-AW-PE-15.88X1.000X0.1400</t>
  </si>
  <si>
    <t>TUB-E-O-AUT-AW-FC-15.88X1.000X2.4900</t>
  </si>
  <si>
    <t>Khopli</t>
  </si>
  <si>
    <t>TUB-O-O-AUT-AW-PE-19.05X1.200X0.6310</t>
  </si>
  <si>
    <t>TUB-O-O-AUT-AW-PE-19.05X1.200X0.6800</t>
  </si>
  <si>
    <t>TUB-O-N-AUT-AW-PE-19.05X1.600X0.610</t>
  </si>
  <si>
    <t>TUB-O-N-AUT-AW-PE-19.05X1.60X5.475-ERW 1</t>
  </si>
  <si>
    <t>TUB-O-O-AUT-AW-PE-22.23X1.200X0.1400</t>
  </si>
  <si>
    <t>TUB-O-N-AUT-AW-PE-22.23X1.600X0.6700</t>
  </si>
  <si>
    <t>TUB-O-O-AUT-AW-PE-22.23X1.600X0.8090</t>
  </si>
  <si>
    <t>TUB-O-N-AUT-AW-PE-22.20X2.000X0.180</t>
  </si>
  <si>
    <t>CUT-O-N-AUT-AW-PE-22.20X2.300X0.430</t>
  </si>
  <si>
    <t>CUT-O-N-AUT-AW-PE-25.40X1.600X0.5120</t>
  </si>
  <si>
    <t>TUB-O-O-AUT-AW-PE-25.40X2.00X0.4120</t>
  </si>
  <si>
    <t>PT2-O-N-AUT-AW-FC-28.58X1.200X0.610</t>
  </si>
  <si>
    <t>TUB-O-O-AUT-AW-FC-34.93X1.200X6.0000</t>
  </si>
  <si>
    <t>CUT-O-N-AUT-AW-FC-38.10X1.600X0.8150</t>
  </si>
  <si>
    <t>TUB-O-N-AUT-AW-FC-38.10X1.600X0.970</t>
  </si>
  <si>
    <t>CUT-O-N-AUT-AW-PE-38.10X2.000X0.4060</t>
  </si>
  <si>
    <t>TUB-O-N-AUT-AN-FC-42.70X3.500X0.2040</t>
  </si>
  <si>
    <t>TUB-O-N-AUT-AN--42.70X3.500X0.2096</t>
  </si>
  <si>
    <t>TUB-O-AW-RHS-50.00X30.00X2.000X0.1400</t>
  </si>
  <si>
    <t>TUB-O-N-AUT-AW--50.80X1.600X0.3850</t>
  </si>
  <si>
    <t>TUB-O-N-AUT-AN-FC-63.50X4.000X5.0600</t>
  </si>
  <si>
    <t>TUB-O-N-AUT-AW-PE-28.58X1.600X0.8450</t>
  </si>
  <si>
    <t>TUB-O-N-AUT-AN-FC-54.00X3.000X5.7500</t>
  </si>
  <si>
    <t>TUB-O-N-AUT-AN-FC-70.00X3.200X0.4900</t>
  </si>
  <si>
    <t>TUB-O-N-AUT-AN-FC-70.00X3.200X6.4550</t>
  </si>
  <si>
    <t>TUB-O-N-AUT-AW-PE-41.28X2.900X0.4200</t>
  </si>
  <si>
    <t>Rajsriya Automotive Hosur</t>
  </si>
  <si>
    <t>TUB-O-C-AUT-AD-FC-18.20X2.950X04-05</t>
  </si>
  <si>
    <t>TUB-O-C-AUT-AD-FC-19.00X3.250X5.0000</t>
  </si>
  <si>
    <t>TUB-I-C-AUT-AD-FC-12.50X3.250X0.3190</t>
  </si>
  <si>
    <t>PT3-I-C-AUT-AD-CH-25.50X2.320X0.485</t>
  </si>
  <si>
    <t>TUB-O-N-AUT-AW-FC-60.30X2.000X6.0000</t>
  </si>
  <si>
    <t>TUB-O-O-AUT-AW-PE-12.70X1.600X0.1870</t>
  </si>
  <si>
    <t>TUB-O-O-AUT-AW-PE-12.70X1.600X0.3930</t>
  </si>
  <si>
    <t>TUB-O-N-AUT-AW-PE-15.88X1.600X0.4420</t>
  </si>
  <si>
    <t>TUB-O-N-AUT-AW-PE-19.05X1.600X0.2890</t>
  </si>
  <si>
    <t>TUB-O-N-AUT-AW-PE-19.05X1.600X0.2990</t>
  </si>
  <si>
    <t>TUB-O-O-AUT-AW-PE-19.05X2.000X0.2400</t>
  </si>
  <si>
    <t>TUB-O-O-AUT-AW-PE-19.05X2.000X0.2590</t>
  </si>
  <si>
    <t>TUB-O-N-AUT-AW-PE-19.05X2.000X0.2650</t>
  </si>
  <si>
    <t>TUB-O-N-AUT-AW-PE-19.05X2.000X0.3580</t>
  </si>
  <si>
    <t>TUB-O-N-AUT-AW-PE-19.05X2.000X0.4300</t>
  </si>
  <si>
    <t>TUB-O-N-AUT-AW-PE-19.05X2.000X0.4750</t>
  </si>
  <si>
    <t>TUB-O-N-AUT-AW-FC-19.05X2.00X0.7750</t>
  </si>
  <si>
    <t>PT2-O-N-AUT-AW-PE-19.05X2.300X0.459</t>
  </si>
  <si>
    <t>TUB-O-O-AUT-AW-PE-19.05X2.300X0.5540</t>
  </si>
  <si>
    <t>PT2-O-N-AUT-AW-PE-19.05X2.300X0.555</t>
  </si>
  <si>
    <t>TUB-O-N-AUT-AW-PE-19.05X2.300X0.6000</t>
  </si>
  <si>
    <t>TUB-O-N-AUT-AW-PE-19.05X2.300X0.5500</t>
  </si>
  <si>
    <t>HT1-O-N-AUT-AW-PE-22.23X1.200X0.2970</t>
  </si>
  <si>
    <t>TUB-O-O-AUT-AW-PE-22.23X1.200X0.6000</t>
  </si>
  <si>
    <t>CUT-O-N-AUT-AW-PE-22.20X1.200X0.6810</t>
  </si>
  <si>
    <t>PT2-O-N-AUT-AW-PE-22.20X1.600X0.361</t>
  </si>
  <si>
    <t>TUB-N-AUT-AW-PE-22.20X1.600X0.6400</t>
  </si>
  <si>
    <t>CUT-O-N-AUT-AW-PE-22.20X1.600X1.2100</t>
  </si>
  <si>
    <t>TUB-O-N-AUT-AW-PE-22.23X2.000X0.2360</t>
  </si>
  <si>
    <t>TUB-O-N-AUT-AW-FC-22.20X2.000X0.505</t>
  </si>
  <si>
    <t>PT2-O-N-AUT-AW-PE-22.20X2.000X0.851</t>
  </si>
  <si>
    <t>TUB-O-N-AUT-AW-PE-22.20X2.000X0.8620</t>
  </si>
  <si>
    <t>TUB-O-O-AUT-AW-PE-22.23X2.300X0.3500</t>
  </si>
  <si>
    <t>TUB-O-O-AUT-AW-PE-22.23X2.300X0.4990</t>
  </si>
  <si>
    <t>PT2-O-N-AUT-AW-PE-25.40X1.600X0.360</t>
  </si>
  <si>
    <t>NEW SIZE</t>
  </si>
  <si>
    <t>PT2-O-N-AUT-AW-PE-25.40X2.600X0.360</t>
  </si>
  <si>
    <t>TUB-O-N-AUT-AW-PE-31.75X1.200X6.0000</t>
  </si>
  <si>
    <t>TUB-O-O-AUT-AW-FC-31.75X2.500X6.0000</t>
  </si>
  <si>
    <t>TUB-O-O-AUT-AW-FC-38.10X2.000X0.9270</t>
  </si>
  <si>
    <t>PT4-O-N-AUT-AW-FC-41.28X2.600X0.8480</t>
  </si>
  <si>
    <t>TUB-O-N-AUT-AW-FC-41.28X3.200X0.2350</t>
  </si>
  <si>
    <t>TUB-O-N-AUT-BH-FC-42.70X4.000X0.2080</t>
  </si>
  <si>
    <t>TUB-R-AW-AUT-40.00X30.00X1.600X0.8520</t>
  </si>
  <si>
    <t>CUT-O-N-AUT-AW-FC-57.15X2.000X0.409</t>
  </si>
  <si>
    <t>CUT-O-N-AUT-AW-FC-57.15X2.000X0.4130</t>
  </si>
  <si>
    <t>\</t>
  </si>
  <si>
    <t>TUB-O-O-AUT-AW-AG-57.15X2.500X0.7720</t>
  </si>
  <si>
    <t>TUB-O-N-AUT-AW-FC-25.40X2.000X0.6000</t>
  </si>
  <si>
    <t>TUB-O-N-AUT-AW-PE-25.40X2.000X0.657</t>
  </si>
  <si>
    <t>PT2-O-N-AUT-AW-PE-31.75X1.200X0.600</t>
  </si>
  <si>
    <t>TUB-O-O-AUT-AW-FC-57.15X2.500X0.8120</t>
  </si>
  <si>
    <t>TUB-O-N-AUT-AW-FC-60.30X2.000X0.4930</t>
  </si>
  <si>
    <t>Rajsriya Automotive Mysore</t>
  </si>
  <si>
    <t>TUB-O-C-AUT-AD-PE-21.70X3.500X5.000</t>
  </si>
  <si>
    <t>TUB-O-N-AUT-AN-FC-42.70X4.000X0.2080</t>
  </si>
  <si>
    <t>TUB-O-N-AUT-AW-PE-19.05X2.000X0.2385(Angle Cut)</t>
  </si>
  <si>
    <t>TUB-O-N-AUT-AW-PE-19.05X2.000X0.3940</t>
  </si>
  <si>
    <t>TUB-O-O-AUT-AW-PE-22.23X2.000X0.5050</t>
  </si>
  <si>
    <t>TUB-O-O-AUT-AW-PE-22.23X2.000X0.8510</t>
  </si>
  <si>
    <t>TUB-O-O-AUT-AW-PE-22.23X2.000X0.8620</t>
  </si>
  <si>
    <t>TUB-O-N-AUT-AW-PE-22.20X2.300X0.4250</t>
  </si>
  <si>
    <t>TUB-O-O-AUT-AW-FC-25.40X1.600X0.3600</t>
  </si>
  <si>
    <t>TUB-O-O-AUT-AW-FC-25.40X2.600X0.3600</t>
  </si>
  <si>
    <t>TUB-E-O-AUT-AW-FC-31.75X2.500X6.0000</t>
  </si>
  <si>
    <t>TUB-O-N-AUT-AW-FC-41.28X2.600X0.8480</t>
  </si>
  <si>
    <t>Rucha Hosur</t>
  </si>
  <si>
    <t>CUT-O-N-AUT-AW-PE-15.88X2.000X0.291</t>
  </si>
  <si>
    <t>TUB-O-O-AUT-AW-PE-19.05X2.000X0.8200</t>
  </si>
  <si>
    <t>TUB-O-O-AUT-AW-FC-25.40X2.000X0.2830</t>
  </si>
  <si>
    <t xml:space="preserve">JSR </t>
  </si>
  <si>
    <t>TUB-O-N-AUT-AW-FC-38.10X2.500X0.8750</t>
  </si>
  <si>
    <t>TUB-O-N-AUT-AW-PE-19.05X1.600X0.3550</t>
  </si>
  <si>
    <t>TUB-O-N-AUT-AW-AG-57.15X2.500X0.2950</t>
  </si>
  <si>
    <t>SANDHAR Hosur</t>
  </si>
  <si>
    <t>941496-1938118</t>
  </si>
  <si>
    <t>TUB-O-N-GEN-AW-PE-19.05X1.200X0.6500</t>
  </si>
  <si>
    <t>exhaust pipe</t>
  </si>
  <si>
    <t>PT2-O-N-AUT-AW-PE-19.05X2.340X0.4020</t>
  </si>
  <si>
    <t>CUT-O-N-AUT-AW-PE-31.75X1.200X0.6570</t>
  </si>
  <si>
    <t>TUB-O-N-AUT-AW-PE-31.75X1.200X0.6800</t>
  </si>
  <si>
    <t>TUB-O-O-AUT-AW-FC-31.75X1.600X0.6580</t>
  </si>
  <si>
    <t>TUB-O-N-AUT-AW-FC-40.00X1.200X0.4500</t>
  </si>
  <si>
    <t>TUB-O-N-AUT-AN-FC-42.70X3.500X0.2080</t>
  </si>
  <si>
    <t>HT2-O-N-AUT-AS-FC-22.23X2.000X0.8550</t>
  </si>
  <si>
    <t>SAE1020</t>
  </si>
  <si>
    <t>SANDHAR Mysore</t>
  </si>
  <si>
    <t>HT2-O-N-AUT-AW-FC-22.23X2.000X0.8630</t>
  </si>
  <si>
    <t>TUB-O-N-AUT-AW-PE-25.40X1.600X0.4700</t>
  </si>
  <si>
    <t>CUT-R-AW-AUT-40.00X25.00X1.600X0.5610</t>
  </si>
  <si>
    <t>HT2-O-N-AUT-AW-FC-41.28X2.600X0.8500</t>
  </si>
  <si>
    <t>TUB-O-N-AUT-AW-FC-48.60X3.500X0.202.5</t>
  </si>
  <si>
    <t>TUB-R-AW-RHS-50.00X30.00X1.600X0.6380</t>
  </si>
  <si>
    <t>TUB-O-N-AUT-AW-PE-12.70X1.200X0.6000</t>
  </si>
  <si>
    <t>TUB-O-N-AUT-AW-PE-22.23X1.200X1.3280</t>
  </si>
  <si>
    <t>TUB-O-N-AUT-AW-PE-22.23X2.000X0.7750</t>
  </si>
  <si>
    <t>PT2-O-N-AUT-AW-PE-22.20X2.000X1.3850</t>
  </si>
  <si>
    <t>TUB-O-O-AUT-AW-PE-22.23X1.600X0.9350</t>
  </si>
  <si>
    <t>TUB-O-O-AUT-AW-PE-22.23X2.00X0.865-MAHS</t>
  </si>
  <si>
    <t>TUB-O-O-AUT-AW-PE-22.23X2.000X0.9050</t>
  </si>
  <si>
    <t>TUB-O-O-AUT-AW-PE-22.23X2.00X0.925-MAHS</t>
  </si>
  <si>
    <t>Sri Balaji Gear</t>
  </si>
  <si>
    <t>CUT-O-N-AUT-AW-PE-19.05X1.200X0.200</t>
  </si>
  <si>
    <t>TUB-O-N-AUT-AW-PE-19.05X1.200X0.2200</t>
  </si>
  <si>
    <t>TUB-O-N-AUT-AW-PE-19.05X1.200X0.3200</t>
  </si>
  <si>
    <t>TUB-O-N-AUT-AW-PE-19.05X1.200X0.3770</t>
  </si>
  <si>
    <t>HT1-R-AW-AUT-19.00X19.00X1.000X0.1000</t>
  </si>
  <si>
    <t>CUT-R-AW-AUT-19.00X19.00X1.000X0.115</t>
  </si>
  <si>
    <t>TUB-S-AW-AUT-19.00X19.00X1.000X0.755</t>
  </si>
  <si>
    <t>TUB-S-AW-AUT-19.00X19.00X1.000X0.795</t>
  </si>
  <si>
    <t>CUT-S-AW-AUT-19.00X19.00X1.000X0.835</t>
  </si>
  <si>
    <t>TUB-S-AW-AUT-19.00X19.00X1.000X0.9620</t>
  </si>
  <si>
    <t>TUB-S-AW-AUT-19.00X19.00X1.000X0.963</t>
  </si>
  <si>
    <t>CUT-R-AW-AUT-19.00X19.00X1.000X1.007</t>
  </si>
  <si>
    <t>TUB-S-AW-AUT-19.00X19.00X1.000X1.304</t>
  </si>
  <si>
    <t>TUB-S-AW-AUT-25.00X25.00X1.200X0.640</t>
  </si>
  <si>
    <t>TUB-S-AW-AUT-30.00X30.00X1.200X0.190</t>
  </si>
  <si>
    <t>TUB-S-AW-AUT-40.00X20.00X1.200X0.095</t>
  </si>
  <si>
    <t>TUB-R-AW-RHS-40.00X20.00X1.200X0.110</t>
  </si>
  <si>
    <t>TUB-R-AW-AUT-40.00X20.00X1.210X0.755</t>
  </si>
  <si>
    <t>TUB-R-AW-AUT-40.00X40.00X1.200X0.0850</t>
  </si>
  <si>
    <t>TUB-S-AW-SHS-40.00X40.00X1.200X0.115</t>
  </si>
  <si>
    <t>TUB-S-AW-SHS-40.00X40.00X1.200X0.158</t>
  </si>
  <si>
    <t>CUT-O-N-AUT-AW-PE-15.88X1.220X0.150</t>
  </si>
  <si>
    <t>HT1-O-N-AUT-AW-PE-15.88X1.220X0.1500</t>
  </si>
  <si>
    <t>Srikam HI-Tech</t>
  </si>
  <si>
    <t>TUB-O-C-AUT-AD-FC-14.00X1.950X04-05</t>
  </si>
  <si>
    <t>Indico</t>
  </si>
  <si>
    <t>TUB-O-C-AUT-AD-FC-19.00X3.250X4.8000</t>
  </si>
  <si>
    <t>TUB-O-N-AUT-AW-PE-15.88X2.000X0.1550</t>
  </si>
  <si>
    <t>CUT-O-N-AUT-AW-PE-15.88X2.000X0.1600</t>
  </si>
  <si>
    <t>TUB-O-N-AUT-AW-PE-17.30X1.600X0.6400</t>
  </si>
  <si>
    <t>Megh Steel</t>
  </si>
  <si>
    <t>CUT-O-O-AUT-AW-PE-19.05X2.000X0.9000</t>
  </si>
  <si>
    <t>TUB-O-N-AUT-AW-PE-19.05X2.300X0.2100</t>
  </si>
  <si>
    <t>TUB-O-O-AUT-AW-PE-19.05X2.300X0.2810</t>
  </si>
  <si>
    <t>PT2-O-N-AUT-AW-PE-19.05X2.300X0.245</t>
  </si>
  <si>
    <t>TUB-O-N-AUT-AW-PE-22.20X1.200X0.6300</t>
  </si>
  <si>
    <t>TUB-O-N-AUT-AW-PE-22.23X1.600X0.2100</t>
  </si>
  <si>
    <t>TUB-O-O-AUT-AW-PE-22.23X1.600X0.9670</t>
  </si>
  <si>
    <t>TUB-O-N-AUT-AW-PE-22.20X1.600X1.3370</t>
  </si>
  <si>
    <t>TUB-O-N-AUT-AW-PE-22.23X2.000X0.3050</t>
  </si>
  <si>
    <t>TUB-O-O-AUT-AW-PE-22.23X2.000X0.5740</t>
  </si>
  <si>
    <t>TUB-O-N-AUT-AW-PE-22.20X2.000X0.8050</t>
  </si>
  <si>
    <t>TUB-O-O-AUT-AW-PE-22.23X2.300X0.4270</t>
  </si>
  <si>
    <t>TUB-O-O-GEN-AW-PE-28.58X1.600X6.0000</t>
  </si>
  <si>
    <t>CUT-O-N-AUT-AW-PE-22.23X2.000X0.6040</t>
  </si>
  <si>
    <t>TUB-O-N-AUT-AW-PE-19.05X2.000X0.271</t>
  </si>
  <si>
    <t>TUB-O-N-AUT-AW-PE-19.05X2.000X0.4520</t>
  </si>
  <si>
    <t>PT2-O-N-AUT-AW-PE-19.05X2.000X0.925</t>
  </si>
  <si>
    <t>CUT-O-N-AUT-AW-PE-22.20X2.300X0.2450</t>
  </si>
  <si>
    <t>TVSM direct</t>
  </si>
  <si>
    <t>NMPL pla</t>
  </si>
  <si>
    <t>CTL to be planned as per capacity constraint</t>
  </si>
  <si>
    <t>22</t>
  </si>
  <si>
    <t>23</t>
  </si>
  <si>
    <t>24</t>
  </si>
  <si>
    <t>25</t>
  </si>
  <si>
    <t>26</t>
  </si>
  <si>
    <t>27</t>
  </si>
  <si>
    <t>28</t>
  </si>
  <si>
    <t>29</t>
  </si>
  <si>
    <t>30</t>
  </si>
  <si>
    <t>31</t>
  </si>
  <si>
    <t>Material</t>
  </si>
  <si>
    <t>MT</t>
  </si>
  <si>
    <t>Index</t>
  </si>
  <si>
    <t>Length</t>
  </si>
  <si>
    <t>CTL</t>
  </si>
  <si>
    <t>19.05-0-2-ERW 1-PE-0.104</t>
  </si>
  <si>
    <t>12.7-0-1.2-ERW 1-PE-1</t>
  </si>
  <si>
    <t>12.7-0-1.2-ERW 1-PE-0.772</t>
  </si>
  <si>
    <t>TUB-O-O-AUT-AW-PE-22.23X1.200X6.0000</t>
  </si>
  <si>
    <t>22.23-0-1.2-ERW 1-PE-1</t>
  </si>
  <si>
    <t>TUB-O-N-AUT-AW-FC-48.60X3.500X4.6500</t>
  </si>
  <si>
    <t>48.6-0-3.5-ERW 1-FC-1</t>
  </si>
  <si>
    <t>TUB-O-N-AUT-AW-PE-25.40X1.600X5.2700</t>
  </si>
  <si>
    <t>25.4-0-1.6-ERW 1-PE-1</t>
  </si>
  <si>
    <t>TUB-O-N-AUT-AW-PE-12.70X1.600X0.2520</t>
  </si>
  <si>
    <t>12.7-0-1.6-ERW 1-PE-0.252</t>
  </si>
  <si>
    <t>12.7-0-1.6-ERW 1-PE-0.255</t>
  </si>
  <si>
    <t>12.7-0-1.6-ERW 1-PE-0.257</t>
  </si>
  <si>
    <t>12.7-0-1.6-ERW 1-PE-0.32</t>
  </si>
  <si>
    <t>TUB-O-O-AUT-AW-PE-22.23X2.000X0.7050</t>
  </si>
  <si>
    <t>22.23-0-2-ERW 1-PE-0.705</t>
  </si>
  <si>
    <t>15.88-0-1-ERW 1-PE-2.49</t>
  </si>
  <si>
    <t>15.88-0-1-ERW 1-PE-1.234</t>
  </si>
  <si>
    <t>50.80X1.600X0.3850</t>
  </si>
  <si>
    <t>50.8-0-1.6-ERW 1-FC-0.385</t>
  </si>
  <si>
    <t>TUB-O-N-GEN-AW-PE-15.88X1.000X6.0000</t>
  </si>
  <si>
    <t>15.88-0-1-ERW 1-PE-1</t>
  </si>
  <si>
    <t>15.88-0-1-ERW 1-PE-2.34</t>
  </si>
  <si>
    <t>TUB-O-N-AUT-AW-FC-25.40X2.000X5.8600</t>
  </si>
  <si>
    <t>15.88-0-1-ERW 1-PE-2.905</t>
  </si>
  <si>
    <t>TUB-O-N-AUT-AW-PE-22.23X2.000X5.7500</t>
  </si>
  <si>
    <t>TUB-O-N-AUT-AW-FC-38.10X2.000X5.0300</t>
  </si>
  <si>
    <t>38.1-0-2-ERW 1-FC-1</t>
  </si>
  <si>
    <t>19.05-0-1.6-ERW 1-PE-0.595</t>
  </si>
  <si>
    <t>TUB-O-N-AUT-AW-PE-31.75X1.200X6.1250</t>
  </si>
  <si>
    <t>31.75-0-1.2-ERW 1-PE-1</t>
  </si>
  <si>
    <t>CUT-O-N-AUT-AW-PE-15.88X1.200X0.7300</t>
  </si>
  <si>
    <t>15.88-0-1.2-ERW 1-PE-0.755</t>
  </si>
  <si>
    <t>15.88-0-1.2-ERW 1-PE-1.13</t>
  </si>
  <si>
    <t>TUB-O-O-AUT-AW-PE-15.88X1.200X6.0000</t>
  </si>
  <si>
    <t>15.88-0-1.2-ERW 1-PE-1</t>
  </si>
  <si>
    <t>CUT-O-N-AUT-AW-PE-15.88X1.220X0.1000</t>
  </si>
  <si>
    <t>15.88-0-1.2-ERW 1-PE-0.1</t>
  </si>
  <si>
    <t>TUB-O-N-AUT-AW-PE-15.88X1.220X6.0000</t>
  </si>
  <si>
    <t>TUB-O-N-AUT-AW-PE-15.88X1.600X0.1500</t>
  </si>
  <si>
    <t>15.88-0-1.6-ERW 1-PE-0.15</t>
  </si>
  <si>
    <t>TUB-O-N-AUT-AW-PE-15.88X1.600X0.1540</t>
  </si>
  <si>
    <t>15.88-0-1.6-ERW 1-PE-0.154</t>
  </si>
  <si>
    <t>38.1-0-1.6-ERW 2 MAHS-FC-1</t>
  </si>
  <si>
    <t>40-30-1.6-ERW 1-FC-0.4</t>
  </si>
  <si>
    <t>19.05-0-2-ERW 1-PE-0.475</t>
  </si>
  <si>
    <t>22.23-0-2-ERW 1-PE-0.775</t>
  </si>
  <si>
    <t>22.23-0-1.2-ERW 1-PE-1.328</t>
  </si>
  <si>
    <t>15.88-0-2-ERW 1-PE-0.155</t>
  </si>
  <si>
    <t>15.88-0-2-ERW 1-PE-0.16</t>
  </si>
  <si>
    <t>25.4-0-2.5-ERW 1-PE</t>
  </si>
  <si>
    <t>25.4-0-2.5-ERW 1-PE-1</t>
  </si>
  <si>
    <t>16.1-10.4-2.7-CEW-CEW-1</t>
  </si>
  <si>
    <t>17.3-0-1.2-ERW 1-PE-1</t>
  </si>
  <si>
    <t>17.3-0-1.6-ERW 1-PE-0.355</t>
  </si>
  <si>
    <t>17.3-0-1.6-ERW 1-PE-0.4</t>
  </si>
  <si>
    <t>17.3-0-1.6-ERW 1-PE-1</t>
  </si>
  <si>
    <t>18.2-0-1-ERW 1-PE-0.11</t>
  </si>
  <si>
    <t>CUT-O-N-AUT-AW-FC-25.40X2.500X0.2730</t>
  </si>
  <si>
    <t>25.4-0-2.5-ERW 1-FC-0.273</t>
  </si>
  <si>
    <t>18.2-0-1-ERW 1-PE-0.145</t>
  </si>
  <si>
    <t>18.2-0-1-ERW 1-PE-1</t>
  </si>
  <si>
    <t>TUB-O-N-AUT-AW-FC-22.23X2.000X0.9340</t>
  </si>
  <si>
    <t>22.23-0-2-ERW 2 MAHS-PE-0.934</t>
  </si>
  <si>
    <t>CUT-I-C-AUT-AD-FC-12.50X3.250X0.1800</t>
  </si>
  <si>
    <t>19-12.5-3.25-CEW-CEW-0.18</t>
  </si>
  <si>
    <t>CUT-I-C-AUT-AD-FC-12.50X3.250X0.1950</t>
  </si>
  <si>
    <t>19-12.5-3.25-CEW-CEW-0.195</t>
  </si>
  <si>
    <t>22.23-0-1.6-ERW 1-PE-0.285</t>
  </si>
  <si>
    <t>19.05-0-2-ERW 1-PE-0.358</t>
  </si>
  <si>
    <t>TUB-O-N-AUT-AW-FC-48.60X2.300X6.0100</t>
  </si>
  <si>
    <t>48.6--2.3-HST-FIN CUT</t>
  </si>
  <si>
    <t>48.6--2.3-HST-FIN CUT-1</t>
  </si>
  <si>
    <t>19-19-1-CRFH-PE-0.29</t>
  </si>
  <si>
    <t>19.05-0-2-ERW 1-PE-0.265</t>
  </si>
  <si>
    <t>22.23-0-1.6-ERW 1-PE-0.67</t>
  </si>
  <si>
    <t>19-19-1-CRFH-PE-0.486</t>
  </si>
  <si>
    <t>TUB-O-N-AUT-AW-FC-48.00X1.200X5.6700</t>
  </si>
  <si>
    <t>48-0-1.2-ERW 1-FIN CUT</t>
  </si>
  <si>
    <t>48--1.2-ERW 1-FIN CUT-1</t>
  </si>
  <si>
    <t>19-19-1-CRFH-PE-0.71</t>
  </si>
  <si>
    <t>19-19-1-CRFH-PE-0.75</t>
  </si>
  <si>
    <t>22.23-0-1.2-ERW 1-PE-0.681</t>
  </si>
  <si>
    <t>19-19-1-CRFH-PE-0.79</t>
  </si>
  <si>
    <t>19-19-1-CRFH-PE-0.89</t>
  </si>
  <si>
    <t>19-19-1-CRFH-PE-0.962</t>
  </si>
  <si>
    <t>CUT-R-AW-AUT-19.00X19.00X1.000X1.1500</t>
  </si>
  <si>
    <t>19-19-1-CRFH-PE-1.15</t>
  </si>
  <si>
    <t>22.23-0-1.6-ERW 1-PE-0.949</t>
  </si>
  <si>
    <t>19-19-1-CRFH-PE-0.675</t>
  </si>
  <si>
    <t>22.23-0-1.6-ERW 1-PE-0.394</t>
  </si>
  <si>
    <t>25.4-0-1.2-ERW 1-PE-0.845</t>
  </si>
  <si>
    <t>19.05-0-1-ERW 1-PE-1.095</t>
  </si>
  <si>
    <t>19.05-0-1.2-ERW 1-PE-0.33</t>
  </si>
  <si>
    <t>19.05-0-1.2-ERW 1-PE-0.109</t>
  </si>
  <si>
    <t>40-20-1.2-CRFH-PE-0.71</t>
  </si>
  <si>
    <t>19.05-0-1.2-CRFH-PE-0.22</t>
  </si>
  <si>
    <t>19.05-0-1.2-CRFH-PE-0.32</t>
  </si>
  <si>
    <t>19.05-0-1.2-CRFH-PE-0.377</t>
  </si>
  <si>
    <t>19.05-0-1.2-ERW 1-PE-0.513</t>
  </si>
  <si>
    <t>19.05-0-1.2-ERW 1-PE-0.631</t>
  </si>
  <si>
    <t>19.05-0-1.2-ERW 1-PE-0.65</t>
  </si>
  <si>
    <t>19.05-0-1.2-ERW 1-PE-0.68</t>
  </si>
  <si>
    <t>19.05-0-1.2-ERW 1-PE-1.13</t>
  </si>
  <si>
    <t>TUB-O-N-AUT-AW-FC-48.00X1.200X0.7000</t>
  </si>
  <si>
    <t>48--1.2-ERW 1-FIN CUT-0.7</t>
  </si>
  <si>
    <t>25.4-0-1.2-ERW 1-PE-2.585</t>
  </si>
  <si>
    <t>TUB-E-AW-AUT-59.00X30.00X1.600X0.5720</t>
  </si>
  <si>
    <t>59-30-1.6-ERW 1-FIN CUT-0.572</t>
  </si>
  <si>
    <t>19.05-0-2-ERW 1-PE-0.213</t>
  </si>
  <si>
    <t>19.05-0-1.6-ERW 2 MAHS-PE-0.394</t>
  </si>
  <si>
    <t>TUB-O-N-AUT-AW-PE-19.05X1.600X0.6100</t>
  </si>
  <si>
    <t>19.05-0-1.6-ERW 1-PE-0.61</t>
  </si>
  <si>
    <t>19.05-0-1.6-ERW 2 MAHS-PE-0.775</t>
  </si>
  <si>
    <t>22.23-0-1.6-ERW 1-PE-0.274</t>
  </si>
  <si>
    <t>19.05-0-2-ERW 1-PE-0.24</t>
  </si>
  <si>
    <t>TUB-O-N-AUT-AW-PE-19.05X2.000X0.2385</t>
  </si>
  <si>
    <t>19.05-0-2-ERW 1-PE-0.2385</t>
  </si>
  <si>
    <t>22.23-0-2-ERW 2 MAHS-PE-0.865</t>
  </si>
  <si>
    <t>19.05-0-2-ERW 1-PE-0.259</t>
  </si>
  <si>
    <t>TUB-O-N-AUT-AW-PE-22.23X1.600X5.2700</t>
  </si>
  <si>
    <t>22.23-0-1.6-ERW 1-PE-1</t>
  </si>
  <si>
    <t>TUB-R-AW-AUT-40.00X20.00X1.200X0.0950</t>
  </si>
  <si>
    <t>40-20-1.2-CRFH-PE-0.095</t>
  </si>
  <si>
    <t>TUB-O-N-AUT-AW-PE-22.23X2.300X0.2300</t>
  </si>
  <si>
    <t>22.23-0-2.3-ERW 1-PE-0.23</t>
  </si>
  <si>
    <t>TUB-O-O-AUT-AW-PE-19.05X2.300X6.0000</t>
  </si>
  <si>
    <t>19.05-0-2.3-ERW 1-PE-1</t>
  </si>
  <si>
    <t>TUB-O-N-AUT-AW-PE-22.23X2.000X5.4000</t>
  </si>
  <si>
    <t>CUT-O-N-AUT-AW-PE-19.05X2.300X0.2100</t>
  </si>
  <si>
    <t>19.05-0-2.3-ERW 1-PE-0.21</t>
  </si>
  <si>
    <t>TUB-O-O-AUT-AW-PE-19.05X2.300X6.3200</t>
  </si>
  <si>
    <t>22.23-0-1.6-ERW 1-PE-1.21</t>
  </si>
  <si>
    <t>50.8-0-1.4-ERW 2-FC</t>
  </si>
  <si>
    <t>50.8-0-1.4-ERW 2-FC-0.739</t>
  </si>
  <si>
    <t>CUT-O-N-AUT-AW-PE-22.20X1.600X0.2850</t>
  </si>
  <si>
    <t>40-30-2-ERW 1-FC-0.162</t>
  </si>
  <si>
    <t>42.7-0-1.6-ERW 2-FC-HMSIL</t>
  </si>
  <si>
    <t>42.7-0-1.6-ERW 2-FC-HMSIL-0.417</t>
  </si>
  <si>
    <t>50-30-1.6-ERW 2-FC-0.607</t>
  </si>
  <si>
    <t>TUB-O-N-AUT-AW-PE-22.20X1.600X5.8000</t>
  </si>
  <si>
    <t>TUB-S-AW-AUT-40.00X40.00X1.200X0.085</t>
  </si>
  <si>
    <t>40-40-1.2-CRFH-PE-0.085</t>
  </si>
  <si>
    <t>25-25-1.2-CRFH-PE-0.642</t>
  </si>
  <si>
    <t>57.15-0-2.5-ERW 1-FC-1</t>
  </si>
  <si>
    <t>CUT-O-N-AUT-AW-PE-25.40X2.000X0.2900</t>
  </si>
  <si>
    <t>25.4-0-2-ERW 1-PE-0.29</t>
  </si>
  <si>
    <t>22.23-0-2-ERW 1-PE-0.862</t>
  </si>
  <si>
    <t>31.75-0-1.2-ERW 1-FC-0.21</t>
  </si>
  <si>
    <t>TUB-O-N-AUT-AW-FC-22.20X2.000X5.3900</t>
  </si>
  <si>
    <t>22.23-0-2-ERW 1-FC-1</t>
  </si>
  <si>
    <t>25.4-0-1.6-ERW 1-FC-0.208</t>
  </si>
  <si>
    <t>31.75-0-1.2-ERW 1-PE-0.67</t>
  </si>
  <si>
    <t>31.75-0-1.6-ERW 1-FC-0.658</t>
  </si>
  <si>
    <t>TUB-O-N-AUT-AW-PE-28.58X1.200X0.6100</t>
  </si>
  <si>
    <t>28.58-0-1.2-ERW 1-PE-0.61</t>
  </si>
  <si>
    <t>22.23X1.600X1.3380</t>
  </si>
  <si>
    <t>TUB-O-N-AUT-AW-PE-22.23X2.000X6.1330</t>
  </si>
  <si>
    <t>22.23-0-2-ERW 2 MAHS-PE-1</t>
  </si>
  <si>
    <t>TUB-S-AW-AUT-25.00X25.00X1.200X6.4000</t>
  </si>
  <si>
    <t>25-25-1.2-CRFH-PE-1</t>
  </si>
  <si>
    <t>30-30-1.2-CRFH-PE-0.14</t>
  </si>
  <si>
    <t>TUB-O-N-AUT-AP-FC-38.10X2.000X6.0000</t>
  </si>
  <si>
    <t>TUB-R-FH-GEN-40.00X20.00X1.200X6.0000</t>
  </si>
  <si>
    <t>38.1-0-1.6-ERW 1-FC-0.812</t>
  </si>
  <si>
    <t>TUB-O-N-AUT-AW-PE-25.40X2.000X6.0000</t>
  </si>
  <si>
    <t>TUB-R-AW-RHS-40.00X30.00X1.600X6.2300</t>
  </si>
  <si>
    <t>40-30-1.6-ERW 1-FC-1</t>
  </si>
  <si>
    <t>TUB-O-N-AUT-AW-FC-25.40X2.500X5.9500</t>
  </si>
  <si>
    <t>25.4-0-2.5-ERW 1-FC-1</t>
  </si>
  <si>
    <t>30-25.5-2.25-CEW-CEW-1</t>
  </si>
  <si>
    <t>TUB-O-C-AUT-AD-FC-25.40X2.500X6.0500</t>
  </si>
  <si>
    <t>25.4-0-2.5-CEW-CEW-1</t>
  </si>
  <si>
    <t>TUB-O-N-AUT-AW-PE-28.58X1.200X6.0000</t>
  </si>
  <si>
    <t>28.58-0-1.2-ERW 1-PE-1</t>
  </si>
  <si>
    <t>29.28-0-3.4-CEW-CEW-1</t>
  </si>
  <si>
    <t>42.7-0-4-ERW 1-FC-0.235</t>
  </si>
  <si>
    <t>TUB-O-N-AUT-AW-FC-28.58X2.000X6.0000</t>
  </si>
  <si>
    <t>28.58-0-2-ERW 1-FC-1</t>
  </si>
  <si>
    <t>TUB-O-N-AUT-AN-FC-70.00X3.200X6.00 HST</t>
  </si>
  <si>
    <t>70-0-3.2-ERW 2-FC-1</t>
  </si>
  <si>
    <t>TUB-O-C-AUT-AD-FC-29.40X4.500X5.5500</t>
  </si>
  <si>
    <t>29.4-20.4-4.5-CEW STKM 13C-CEW-1</t>
  </si>
  <si>
    <t>TUB-O-N-AUT-AW-FC-38.10X1.60X4.950-ERW 1</t>
  </si>
  <si>
    <t>38.1-0-1.6-ERW 1-FC-1</t>
  </si>
  <si>
    <t>TUB-I-C-AUT-AD-FC-25.50X2.250X5.9500</t>
  </si>
  <si>
    <t>TUB-O-N-AUT-AH-FC-38.10X2.5X5.65 HSTERW2</t>
  </si>
  <si>
    <t>38.1-0-2.5-ERW 2 MAHS-FC-1</t>
  </si>
  <si>
    <t>TUB-S-AW-SHS-50.00X50.00X1.600X6.000 HST</t>
  </si>
  <si>
    <t>50-50-1.6-ERW 2-PE-1</t>
  </si>
  <si>
    <t>TUB-O-N-AUT-AW-FC-31.75X2.300X5.9200</t>
  </si>
  <si>
    <t>42.7-0-3.5-ERW 1-FC-1</t>
  </si>
  <si>
    <t>42.7-0-4-ERW 1-FC-1</t>
  </si>
  <si>
    <t>TUB-O-N-AUT-BH-FC-63.50X4.000X6.0000</t>
  </si>
  <si>
    <t>63.5-0-4-ERW 1-FC-1</t>
  </si>
  <si>
    <t>34.93-0-2.3-ERW 2-FC-Ampere-0.334</t>
  </si>
  <si>
    <t>TUB-O-N-AUT-AW-FC-34.93X2.500X5.2300</t>
  </si>
  <si>
    <t>TUB-O-C-AUT-AD-FC-38.00X3.000X6.0000</t>
  </si>
  <si>
    <t>37.95-32-2.95-CEW-CEW-1</t>
  </si>
  <si>
    <t>TUB-O-N-AUT-AW-FC-57.15X2.50X5.750-ERW 1</t>
  </si>
  <si>
    <t>TUB-O-N-AUT-AW-FC-57.15X2.000X6.0000</t>
  </si>
  <si>
    <t>57.15-0-2-ERW 1-FC-1</t>
  </si>
  <si>
    <t>TUB-O-N-AUT-AW-FC-48.60X3.500X6.0500</t>
  </si>
  <si>
    <t>38.1-0-2-ERW 1-FC-0.406</t>
  </si>
  <si>
    <t>48.6-0-3.5-ERW 1-FC-0.185</t>
  </si>
  <si>
    <t>TUB-O-N-AUT-AW-FC-25.40X2.500X5.8700</t>
  </si>
  <si>
    <t>TUB-O-N-AUT-AW-FC-45.00X1.400X5.7000</t>
  </si>
  <si>
    <t>45--1.4-ERW 1-FIN CUT</t>
  </si>
  <si>
    <t>45--1.4-ERW 1-FIN CUT-1</t>
  </si>
  <si>
    <t>TUB-O-N-AUT-AW-FC-38.10X2.000X5.8010</t>
  </si>
  <si>
    <t>TUB-O-N-AUT-AW-FC-48.60X1.200X5.8200</t>
  </si>
  <si>
    <t>TUB-R-AW-RHS-40.00X25.00X1.600X5.9900</t>
  </si>
  <si>
    <t>38.1-0-3.66-ERW 1-FC-1</t>
  </si>
  <si>
    <t>TUB-I-C-AUT-AN-FC-34.00X2.500X6.1500</t>
  </si>
  <si>
    <t>39-34-2.5-CEW-CEW-1</t>
  </si>
  <si>
    <t>TUB-O-N-AUT-AW-FC-57.15X2.300X6.9500</t>
  </si>
  <si>
    <t>57.15-0-2.3-ERW 2-FC-1</t>
  </si>
  <si>
    <t>60.3-0-2-ERW 1-FC-1</t>
  </si>
  <si>
    <t>42.70X3.500X0.2080</t>
  </si>
  <si>
    <t>TUB-O-N-AUT-AW-FC-54.00X3.00X5.790 HST</t>
  </si>
  <si>
    <t>54-0-3-ERW 2-FC-1</t>
  </si>
  <si>
    <t>TUB-R-AW-AUT-50.00X30.00X1.600X6.1000</t>
  </si>
  <si>
    <t>50-30-1.6-ERW 2-FC-1</t>
  </si>
  <si>
    <t>TUB-O-N-AUT-AW-FC-41.28X2.600X6.0010</t>
  </si>
  <si>
    <t>41.28-0-2.6-ERW 1-FC-1</t>
  </si>
  <si>
    <t>TUB-O-N-AUT-AW-FC-54.00X3.000X5.910</t>
  </si>
  <si>
    <t>54-0-3-ERW 1-FC</t>
  </si>
  <si>
    <t>TUB-O-N-AUT-AW-FC-60.30X2.000X5.9000</t>
  </si>
  <si>
    <t>TUB-O-N-AUT-AW-FC-48.60X2.000X6.5500 HST</t>
  </si>
  <si>
    <t>48.6--2-HST-FIN CUT</t>
  </si>
  <si>
    <t>48.6--2-HST-FIN CUT-1</t>
  </si>
  <si>
    <t>57.15--3-ERW 1-FIN CUT</t>
  </si>
  <si>
    <t>57.15--3-ERW 1-FIN CUT-1</t>
  </si>
  <si>
    <t>July Schedule</t>
  </si>
  <si>
    <t>LL Material Code</t>
  </si>
  <si>
    <t>count error</t>
  </si>
  <si>
    <t>Correct Code</t>
  </si>
  <si>
    <t>Column2</t>
  </si>
  <si>
    <t>FY25 Min</t>
  </si>
  <si>
    <t>FY25 Max</t>
  </si>
  <si>
    <t>FY25 Average</t>
  </si>
  <si>
    <t>Forecast</t>
  </si>
  <si>
    <t>Difference</t>
  </si>
  <si>
    <t>Plant2</t>
  </si>
  <si>
    <t>CTL Size</t>
  </si>
  <si>
    <t>CTL Codes</t>
  </si>
  <si>
    <t>Bucket2</t>
  </si>
  <si>
    <t>Stock LL Check</t>
  </si>
  <si>
    <t>WIP Check</t>
  </si>
  <si>
    <t>Khopoli Stock LL</t>
  </si>
  <si>
    <t>Coverage Days</t>
  </si>
  <si>
    <t>Coverage without WIP</t>
  </si>
  <si>
    <t>0789 LL Stock</t>
  </si>
  <si>
    <t>Scehdule - Sales</t>
  </si>
  <si>
    <t>Stock Khopoli</t>
  </si>
  <si>
    <t>Rajsriya Schedule</t>
  </si>
  <si>
    <t>Rajsriya Sales</t>
  </si>
  <si>
    <t>4318 Stock</t>
  </si>
  <si>
    <t>4731 Stock CTL</t>
  </si>
  <si>
    <t>4731 StockLL</t>
  </si>
  <si>
    <t>8406 Stock</t>
  </si>
  <si>
    <t>12-0-1.6-CEW-CEW</t>
  </si>
  <si>
    <t>TUB-O-N-GEN-AW-PE-12.70X1.600X6.2500</t>
  </si>
  <si>
    <t>TUB-O-C-AUT-AN-FC-14.00X1.600X04-06</t>
  </si>
  <si>
    <t>TUB-O-N-GEN-AW-PE-15.88X1.000X6.0500</t>
  </si>
  <si>
    <t>TUB-O-O-AUT-AW-PE-15.88X1.200X6.2000</t>
  </si>
  <si>
    <t>TUB-O-N-AUT-AW-PE-15.88X1.600X5.7600</t>
  </si>
  <si>
    <t>TUB-O-O-AUT-AW-PE-15.88X2.000X6.1000</t>
  </si>
  <si>
    <t>TUB-O-C-AUT-AD-FC-18.00X3.600X04-05</t>
  </si>
  <si>
    <t>close</t>
  </si>
  <si>
    <t>TUB-S-AW-SHS-19.00X19.00X1.200X6.0300</t>
  </si>
  <si>
    <t>TUB-O-O-GEN-AW-PE-19.05X1.000X6.0000</t>
  </si>
  <si>
    <t>TUB-O-O-AUT-AW-PE-19.05X1.200X6.0000</t>
  </si>
  <si>
    <t>TUB-O-O-AUT-AW-PE-19.05X1.600X6.0000</t>
  </si>
  <si>
    <t>TUB-O-N-AUT-AW-PE-19.05X1.600X6.0000</t>
  </si>
  <si>
    <t>TUB-O-N-AUT-AW-PE-19.05X2.000X6.0000</t>
  </si>
  <si>
    <t>TUB-O-N-AUT-AW-PE-19.05X2.300X6.0500</t>
  </si>
  <si>
    <t>TUB-O-C-CEW-AD-FC-20.00X1.420X5.8500</t>
  </si>
  <si>
    <t>TUB-O-N-AUT-AW-PE-22.23X1.200X5.8500</t>
  </si>
  <si>
    <t>TUB-O-N-AUT-AW-PE-22.23X1.600X6.0100</t>
  </si>
  <si>
    <t>TUB-O-N-AUT-AW-PE-22.23X1.600X5.8200</t>
  </si>
  <si>
    <t>TUB-O-N-AUT-AW-FC-22.23X2.000X5.3700</t>
  </si>
  <si>
    <t>TUB-O-C-AUT-AP-PE-22.23X2.000X6.1000</t>
  </si>
  <si>
    <t>TUB-O-N-AUT-AW-PE-22.23X2.000X6.2000</t>
  </si>
  <si>
    <t>TUB-O-N-AUT-AW-PE-22.23X2.300X6.0200</t>
  </si>
  <si>
    <t>TUB-S-N-GEN-AW-PE-25.00X1.200X6.0000</t>
  </si>
  <si>
    <t>TUB-O-N-AUT-AW-PE-25.40X1.200X5.1700</t>
  </si>
  <si>
    <t>TUB-O-N-AUT-AW-FC-25.40X1.400X6.0820</t>
  </si>
  <si>
    <t>TUB-O-N-GEN-AW-FC-25.40X1.600X4.9500</t>
  </si>
  <si>
    <t>TUB-O-O-AUT-AW-PE-25.40X1.600X5.9000</t>
  </si>
  <si>
    <t>TUB-O-N-AUT-AW-PE-25.40X2.000X5.8400</t>
  </si>
  <si>
    <t>TUB-O-O-AUT-AW-FC-25.40X2.000X6.0000</t>
  </si>
  <si>
    <t>TUB-O-O-AUT-AW-PE-28.58X1.200X6.0550</t>
  </si>
  <si>
    <t>TUB-O-N-AUT-AW-FC-28.58X1.600X5.9000</t>
  </si>
  <si>
    <t>TUB-O-O-AUT-AW-PE-28.58X1.600X6.0000</t>
  </si>
  <si>
    <t>TUB-O-N-AUT-AW-FC-28.58X2.000X6.2000</t>
  </si>
  <si>
    <t>TUB-O-C-AUT-AD-FC-29.40X4.500X4.5000</t>
  </si>
  <si>
    <t>TUB-S-AW-AUT-30.00X30.00X1.200X6.0000</t>
  </si>
  <si>
    <t>TUB-O-N-GEN-AW-FC-31.75X1.200X6.0700</t>
  </si>
  <si>
    <t>TUB-O-O-GEN-AW-PE-31.75X1.200X6.0500</t>
  </si>
  <si>
    <t>TUB-O-O-AUT-AW-FC-31.75X1.600X6.2000</t>
  </si>
  <si>
    <t>TUB-O-C-AUT-AD-FC-32.00X4.500X4.0000</t>
  </si>
  <si>
    <t>TUB-O-N-AUT-AN-FC-34.93X2.600X5.4500</t>
  </si>
  <si>
    <t>TUB-I-C-AUT-AD-PE-31.20X3.200X5.130-CEW1</t>
  </si>
  <si>
    <t>TUB-O-N-AUT-AW-FC-38.10X1.600X5.6600</t>
  </si>
  <si>
    <t>TUB-O-N-AUT-AW-FC-38.10X2.000X6.0700</t>
  </si>
  <si>
    <t>TUB-R-AW-RHS-40.00X20.00X1.200X6.0000</t>
  </si>
  <si>
    <t>TUB-S-FH-AUT-40.00X40.00X1.200X6.0000</t>
  </si>
  <si>
    <t>TUB-R-AW-RHS-40.00X20.00X1.600X6.1200</t>
  </si>
  <si>
    <t>TUB-R-AW-AUT-40.00X25.00X1.600X5.6400</t>
  </si>
  <si>
    <t>TUB-R-AW-RHS-40.00X25.00X1.600X6.0000</t>
  </si>
  <si>
    <t>TUB-R-AW-AUT-40.00X30.00X1.600X6.2000</t>
  </si>
  <si>
    <t>TUB-R-AW-RHS-40.00X25.00X2.000X5.6800</t>
  </si>
  <si>
    <t>TUB-R-AW-AUT-40.00X30.00X2.000X6.1740</t>
  </si>
  <si>
    <t>TUB-O-N-AUT-AW-FC-41.28X3.150X5.9400</t>
  </si>
  <si>
    <t>TUB-O-N-AUT-BH-FC-42.70X3.500X6.000 NPD</t>
  </si>
  <si>
    <t>TUB-R-AW-AUT-50.00X30.00X1.600X5.5000</t>
  </si>
  <si>
    <t>TUB-R-AW-RHS-50.00X30.00X1.600X5.8200</t>
  </si>
  <si>
    <t>TUB-R-AW-RHS-50.00X30.00X2.000X5.9300</t>
  </si>
  <si>
    <t>TUB-O-N-AUT-AW-FC-50.80X1.400X5.9860</t>
  </si>
  <si>
    <t>TUB-O-N-AUT-AW-FC-50.80X1.600X5.9880</t>
  </si>
  <si>
    <t>TUB-O-N-AUT-AN-PE-70.00X3.200X6.00 HST</t>
  </si>
  <si>
    <t>Batch</t>
  </si>
  <si>
    <t>PCS</t>
  </si>
  <si>
    <t>Base Unit of Measure</t>
  </si>
  <si>
    <t>Storage location</t>
  </si>
  <si>
    <t>T-PKD_TUBE</t>
  </si>
  <si>
    <t>Tube Qty.(Mtr)</t>
  </si>
  <si>
    <t>Special stock number</t>
  </si>
  <si>
    <t>Item (SD)</t>
  </si>
  <si>
    <t>CUSTOMER</t>
  </si>
  <si>
    <t>Ageing days</t>
  </si>
  <si>
    <t>AGE WISE</t>
  </si>
  <si>
    <t>CAM NAME</t>
  </si>
  <si>
    <t>Thickness</t>
  </si>
  <si>
    <t>FC/PE</t>
  </si>
  <si>
    <t>kG/nos</t>
  </si>
  <si>
    <t>Alf and Ampere Buckets</t>
  </si>
  <si>
    <t>4B20BH2050</t>
  </si>
  <si>
    <t>R001</t>
  </si>
  <si>
    <t>2750</t>
  </si>
  <si>
    <t>9518397864/ 11</t>
  </si>
  <si>
    <t>11</t>
  </si>
  <si>
    <t>0-30</t>
  </si>
  <si>
    <t>Jitendra Kumar Sharma</t>
  </si>
  <si>
    <t>AD</t>
  </si>
  <si>
    <t>11--1.5-CEW-NON FIN</t>
  </si>
  <si>
    <t>11--1.5-CEW-NON FIN-0.263</t>
  </si>
  <si>
    <t>AW</t>
  </si>
  <si>
    <t>TUB-O-N-GEN-AW-PE-22.23X1.600X6.0000</t>
  </si>
  <si>
    <t>4214AH1240</t>
  </si>
  <si>
    <t>275</t>
  </si>
  <si>
    <t>ABOVE 90</t>
  </si>
  <si>
    <t>11--1.5-CEW-NON FIN-0.33</t>
  </si>
  <si>
    <t>4318CH2090</t>
  </si>
  <si>
    <t>138</t>
  </si>
  <si>
    <t>11--1.5-CEW-NON FIN-1</t>
  </si>
  <si>
    <t>TUB-O-N-AUT-AW-PE-12.70X1.600X6.0000</t>
  </si>
  <si>
    <t>4B04BH1010</t>
  </si>
  <si>
    <t>610</t>
  </si>
  <si>
    <t>31-60</t>
  </si>
  <si>
    <t>TUB-O-N-AUT-AW-PE-19.05X1.400X6.0000</t>
  </si>
  <si>
    <t>4826CH2040</t>
  </si>
  <si>
    <t>920</t>
  </si>
  <si>
    <t>9518057459/ 1</t>
  </si>
  <si>
    <t>1</t>
  </si>
  <si>
    <t>4920CH2120</t>
  </si>
  <si>
    <t>231</t>
  </si>
  <si>
    <t>12.7-0-1.2-ERW 1-PE-0.6</t>
  </si>
  <si>
    <t>4920CH2130</t>
  </si>
  <si>
    <t>238</t>
  </si>
  <si>
    <t>4920CH2140</t>
  </si>
  <si>
    <t>235</t>
  </si>
  <si>
    <t>12.7-0-1.2-ERW 1-PE-0.98</t>
  </si>
  <si>
    <t>2501010001</t>
  </si>
  <si>
    <t>9518314443/ 4</t>
  </si>
  <si>
    <t>4</t>
  </si>
  <si>
    <t>4810H30009</t>
  </si>
  <si>
    <t>850</t>
  </si>
  <si>
    <t>4820H30731</t>
  </si>
  <si>
    <t>1700</t>
  </si>
  <si>
    <t>4B16AH2130</t>
  </si>
  <si>
    <t>4100</t>
  </si>
  <si>
    <t>4B16AH2160</t>
  </si>
  <si>
    <t>4C04CH1020</t>
  </si>
  <si>
    <t>11826</t>
  </si>
  <si>
    <t>9518395341/ 1</t>
  </si>
  <si>
    <t>TUB-O-O-AUT-AW-PE-12.70X1.200X0.4120</t>
  </si>
  <si>
    <t>PV24030045</t>
  </si>
  <si>
    <t>Free Stock</t>
  </si>
  <si>
    <t>TUB-O-O-AUT-AW-PE-12.70X1.200X0.5600</t>
  </si>
  <si>
    <t>PV24030093</t>
  </si>
  <si>
    <t>12.7--1.4-ERW 1-NON FIN</t>
  </si>
  <si>
    <t>12.7--1.4-ERW 1-NON FIN-1</t>
  </si>
  <si>
    <t>4A07BH1070</t>
  </si>
  <si>
    <t>762</t>
  </si>
  <si>
    <t>9518134245/ 1</t>
  </si>
  <si>
    <t>4C05CH1040</t>
  </si>
  <si>
    <t>1101</t>
  </si>
  <si>
    <t>9518315138/ 29</t>
  </si>
  <si>
    <t>AN</t>
  </si>
  <si>
    <t>check tdc for Annealed</t>
  </si>
  <si>
    <t>check tdc for Annealed-1</t>
  </si>
  <si>
    <t>4A03BH1020</t>
  </si>
  <si>
    <t>136</t>
  </si>
  <si>
    <t>9518390450/ 32</t>
  </si>
  <si>
    <t>32</t>
  </si>
  <si>
    <t>61-90</t>
  </si>
  <si>
    <t>12.7-0-1.6-ERW 1-PE-0.145</t>
  </si>
  <si>
    <t>5104H41088</t>
  </si>
  <si>
    <t>20000</t>
  </si>
  <si>
    <t>9518314382/ 18</t>
  </si>
  <si>
    <t>18</t>
  </si>
  <si>
    <t>12.7-0-1.6-ERW 1-PE-0.187</t>
  </si>
  <si>
    <t>4C27H40606</t>
  </si>
  <si>
    <t>4350</t>
  </si>
  <si>
    <t>9518390450/ 3</t>
  </si>
  <si>
    <t>3</t>
  </si>
  <si>
    <t>4C27H40605</t>
  </si>
  <si>
    <t>4400</t>
  </si>
  <si>
    <t>9518220218/ 3</t>
  </si>
  <si>
    <t>PV24030041</t>
  </si>
  <si>
    <t>4A05BH1060</t>
  </si>
  <si>
    <t>571</t>
  </si>
  <si>
    <t>9518137189/ 30</t>
  </si>
  <si>
    <t>EXC2405036</t>
  </si>
  <si>
    <t>9517698308/ 1</t>
  </si>
  <si>
    <t>SEN2306117</t>
  </si>
  <si>
    <t>SEN2306172</t>
  </si>
  <si>
    <t>TUB-O-O-GEN-AW-PE-15.88X1.000X6.1900</t>
  </si>
  <si>
    <t>4211AH1020</t>
  </si>
  <si>
    <t>1087</t>
  </si>
  <si>
    <t>9518037895/ 2</t>
  </si>
  <si>
    <t>2</t>
  </si>
  <si>
    <t>4913H32838</t>
  </si>
  <si>
    <t>6106</t>
  </si>
  <si>
    <t>9518219863/ 5</t>
  </si>
  <si>
    <t>5</t>
  </si>
  <si>
    <t>4A14BH1030</t>
  </si>
  <si>
    <t>1300</t>
  </si>
  <si>
    <t>4A14BH1040</t>
  </si>
  <si>
    <t>12.7-0-1.6-ERW 1-PE-0.393</t>
  </si>
  <si>
    <t>4A14BH1060</t>
  </si>
  <si>
    <t>800</t>
  </si>
  <si>
    <t>4A21H35873</t>
  </si>
  <si>
    <t>500</t>
  </si>
  <si>
    <t>4B08BH1070</t>
  </si>
  <si>
    <t>1746</t>
  </si>
  <si>
    <t>4B14H37485</t>
  </si>
  <si>
    <t>550</t>
  </si>
  <si>
    <t>4C31H40887</t>
  </si>
  <si>
    <t>665</t>
  </si>
  <si>
    <t>9517985361/ 14</t>
  </si>
  <si>
    <t>14</t>
  </si>
  <si>
    <t>4914H32888</t>
  </si>
  <si>
    <t>1850</t>
  </si>
  <si>
    <t>9518219863/ 14</t>
  </si>
  <si>
    <t>4A14BH1070</t>
  </si>
  <si>
    <t>4A21H35825</t>
  </si>
  <si>
    <t>207</t>
  </si>
  <si>
    <t>4A21H35826</t>
  </si>
  <si>
    <t>1000</t>
  </si>
  <si>
    <t>4905BH2030</t>
  </si>
  <si>
    <t>450</t>
  </si>
  <si>
    <t>9518219863/ 3</t>
  </si>
  <si>
    <t>4A21H35833</t>
  </si>
  <si>
    <t>1150</t>
  </si>
  <si>
    <t>4A21H35834</t>
  </si>
  <si>
    <t>2568</t>
  </si>
  <si>
    <t>4B08BH1030</t>
  </si>
  <si>
    <t>620</t>
  </si>
  <si>
    <t>4830BH1040</t>
  </si>
  <si>
    <t>9518219863/ 4</t>
  </si>
  <si>
    <t>4905BH2080</t>
  </si>
  <si>
    <t>4050</t>
  </si>
  <si>
    <t>check tdc for CEW</t>
  </si>
  <si>
    <t>check tdc for CEW-1</t>
  </si>
  <si>
    <t>4C31H40889</t>
  </si>
  <si>
    <t>341</t>
  </si>
  <si>
    <t>14-0-1.6-CEW-CEW-1</t>
  </si>
  <si>
    <t>4B08AH1050</t>
  </si>
  <si>
    <t>446</t>
  </si>
  <si>
    <t>14-0-2.45-CEW-CEW-1</t>
  </si>
  <si>
    <t>4B08BH1010</t>
  </si>
  <si>
    <t>444</t>
  </si>
  <si>
    <t>4B08BH1020</t>
  </si>
  <si>
    <t>430</t>
  </si>
  <si>
    <t>14-10.1-1.95-CEW-CEW-0.508</t>
  </si>
  <si>
    <t>4B08AH1070</t>
  </si>
  <si>
    <t>443</t>
  </si>
  <si>
    <t>9518215163/ 1</t>
  </si>
  <si>
    <t>14-10.1-1.95-CEW-CEW-1</t>
  </si>
  <si>
    <t>4C24CH2010</t>
  </si>
  <si>
    <t>660</t>
  </si>
  <si>
    <t>9518390450/ 34</t>
  </si>
  <si>
    <t>34</t>
  </si>
  <si>
    <t>15-10.3-2.35-CEW-FIN CUT</t>
  </si>
  <si>
    <t>15-10.3-2.35-CEW-FIN CUT-1</t>
  </si>
  <si>
    <t>4A21H35871</t>
  </si>
  <si>
    <t>1100</t>
  </si>
  <si>
    <t>9518397264/ 1</t>
  </si>
  <si>
    <t>15.88-0-1-ERW 1-PE-0.14</t>
  </si>
  <si>
    <t>4C19H40045</t>
  </si>
  <si>
    <t>1500</t>
  </si>
  <si>
    <t>15.88-0-1-ERW 1-PE-0.29</t>
  </si>
  <si>
    <t>4A13AH2050</t>
  </si>
  <si>
    <t>416</t>
  </si>
  <si>
    <t>4B06AH2020</t>
  </si>
  <si>
    <t>371</t>
  </si>
  <si>
    <t>4A23AH1020</t>
  </si>
  <si>
    <t>594</t>
  </si>
  <si>
    <t>9518133082/ 1</t>
  </si>
  <si>
    <t>4A23AH1030</t>
  </si>
  <si>
    <t>593</t>
  </si>
  <si>
    <t>4A23AH1040</t>
  </si>
  <si>
    <t>809</t>
  </si>
  <si>
    <t>4B26BH1020</t>
  </si>
  <si>
    <t>725</t>
  </si>
  <si>
    <t>9518224307/ 1</t>
  </si>
  <si>
    <t>4B26BH1030</t>
  </si>
  <si>
    <t>479</t>
  </si>
  <si>
    <t>4B26AH1090</t>
  </si>
  <si>
    <t>714</t>
  </si>
  <si>
    <t>9518232457/ 1</t>
  </si>
  <si>
    <t>4B26AH1100</t>
  </si>
  <si>
    <t>473</t>
  </si>
  <si>
    <t>TUB-S-AW-SHS-19.00X19.00X1.200X0.1500</t>
  </si>
  <si>
    <t>EXC2405052</t>
  </si>
  <si>
    <t>PV24030006</t>
  </si>
  <si>
    <t>TUB-O-O-AUT-AW-PE-19.05X1.600X0.1800</t>
  </si>
  <si>
    <t>EXC2405051</t>
  </si>
  <si>
    <t>PV24030027</t>
  </si>
  <si>
    <t>TUB-O-O-AUT-AW-PE-19.05X1.600X0.3900</t>
  </si>
  <si>
    <t>PV24030040</t>
  </si>
  <si>
    <t>TUB-O-O-AUT-AW-PE-19.05X1.600X0.4350</t>
  </si>
  <si>
    <t>PV24030103</t>
  </si>
  <si>
    <t>4C31H40838</t>
  </si>
  <si>
    <t>5050</t>
  </si>
  <si>
    <t>9518314387/ 5</t>
  </si>
  <si>
    <t>4C31H40832</t>
  </si>
  <si>
    <t>3930</t>
  </si>
  <si>
    <t>9518315138/ 1</t>
  </si>
  <si>
    <t>4C30H40801</t>
  </si>
  <si>
    <t>6284</t>
  </si>
  <si>
    <t>9518390450/ 14</t>
  </si>
  <si>
    <t>TUB-O-O-AUT-AW-PE-19.05X2.000X0.3190</t>
  </si>
  <si>
    <t>PV24030037</t>
  </si>
  <si>
    <t>TUB-O-O-AUT-AW-PE-19.05X2.000X5.8000</t>
  </si>
  <si>
    <t>4A15H35393</t>
  </si>
  <si>
    <t>93</t>
  </si>
  <si>
    <t>4A30H36682</t>
  </si>
  <si>
    <t>260</t>
  </si>
  <si>
    <t>TUB-O-O-AUT-AW-PE-19.05X2.000X6.2000</t>
  </si>
  <si>
    <t>4B30H38947</t>
  </si>
  <si>
    <t>300</t>
  </si>
  <si>
    <t>15.88-0-1.2-ERW 1-PE-0.68</t>
  </si>
  <si>
    <t>4B30H38933</t>
  </si>
  <si>
    <t>6200</t>
  </si>
  <si>
    <t>9518390450/ 16</t>
  </si>
  <si>
    <t>16</t>
  </si>
  <si>
    <t>4C25H40427</t>
  </si>
  <si>
    <t>3720</t>
  </si>
  <si>
    <t>9518390450/ 18</t>
  </si>
  <si>
    <t>4C26H40486</t>
  </si>
  <si>
    <t>2350</t>
  </si>
  <si>
    <t>4A30H36678</t>
  </si>
  <si>
    <t>980</t>
  </si>
  <si>
    <t>9518390450/ 19</t>
  </si>
  <si>
    <t>19</t>
  </si>
  <si>
    <t>4C28H40708</t>
  </si>
  <si>
    <t>2650</t>
  </si>
  <si>
    <t>9518418795/ 6</t>
  </si>
  <si>
    <t>6</t>
  </si>
  <si>
    <t>4715BH2110</t>
  </si>
  <si>
    <t>5430</t>
  </si>
  <si>
    <t>621291266 / 5</t>
  </si>
  <si>
    <t>4B28BH2020</t>
  </si>
  <si>
    <t>5305</t>
  </si>
  <si>
    <t>9518314382/ 16</t>
  </si>
  <si>
    <t>TUB-O-O-AUT-AW-PE-19.05X2.300X0.4750</t>
  </si>
  <si>
    <t>PV24030112</t>
  </si>
  <si>
    <t>4C12BH2030</t>
  </si>
  <si>
    <t>1900</t>
  </si>
  <si>
    <t>9518390450/ 20</t>
  </si>
  <si>
    <t>20</t>
  </si>
  <si>
    <t>4C12BH2050</t>
  </si>
  <si>
    <t>4500</t>
  </si>
  <si>
    <t>9518390450/ 21</t>
  </si>
  <si>
    <t>21</t>
  </si>
  <si>
    <t>4C17H39891</t>
  </si>
  <si>
    <t>4C12AH2050</t>
  </si>
  <si>
    <t>244</t>
  </si>
  <si>
    <t>TUB-O-O-AUT-AW-PE-19.05X2.300X6.0500</t>
  </si>
  <si>
    <t>4715BH2070</t>
  </si>
  <si>
    <t>285</t>
  </si>
  <si>
    <t>9518134245/ 15</t>
  </si>
  <si>
    <t>15</t>
  </si>
  <si>
    <t>4B18AH2050</t>
  </si>
  <si>
    <t>661</t>
  </si>
  <si>
    <t>9518315125/ 20</t>
  </si>
  <si>
    <t>TUB-O-O-AUT-AW-PE-22.23X1.200X1.2600</t>
  </si>
  <si>
    <t>PV24030079</t>
  </si>
  <si>
    <t>4513BH1020</t>
  </si>
  <si>
    <t>398</t>
  </si>
  <si>
    <t>5106H41162</t>
  </si>
  <si>
    <t>2000</t>
  </si>
  <si>
    <t>9518390450/ 23</t>
  </si>
  <si>
    <t>5111H41406</t>
  </si>
  <si>
    <t>TUB-O-O-AUT-AW-PE-22.23X1.600X0.2930</t>
  </si>
  <si>
    <t>EXC2405050</t>
  </si>
  <si>
    <t>PV24030034</t>
  </si>
  <si>
    <t>TUB-O-O-AUT-AW-PE-22.23X1.60X0.570-MAHS</t>
  </si>
  <si>
    <t>EXC2405030</t>
  </si>
  <si>
    <t>9517691504/ 1</t>
  </si>
  <si>
    <t>TUB-O-O-AUT-AW-PE-22.23X1.600X0.6540</t>
  </si>
  <si>
    <t>PV24030061</t>
  </si>
  <si>
    <t>5111H41412</t>
  </si>
  <si>
    <t>763</t>
  </si>
  <si>
    <t>9518314246/ 4</t>
  </si>
  <si>
    <t>4C11AH1100</t>
  </si>
  <si>
    <t>3100</t>
  </si>
  <si>
    <t>9518397670/ 4</t>
  </si>
  <si>
    <t>15.88-0-1.6-ERW 1-PE-0.442</t>
  </si>
  <si>
    <t>4C11AH1120</t>
  </si>
  <si>
    <t>9518314443/ 3</t>
  </si>
  <si>
    <t>4C11CH1020</t>
  </si>
  <si>
    <t>4C06BH2050</t>
  </si>
  <si>
    <t>3400</t>
  </si>
  <si>
    <t>9518395413/ 1</t>
  </si>
  <si>
    <t>AP</t>
  </si>
  <si>
    <t>4820H30740</t>
  </si>
  <si>
    <t>311</t>
  </si>
  <si>
    <t>9518390450/ 26</t>
  </si>
  <si>
    <t>4729AH2080</t>
  </si>
  <si>
    <t>202</t>
  </si>
  <si>
    <t>9517917936/ 2</t>
  </si>
  <si>
    <t>4C08BH2050</t>
  </si>
  <si>
    <t>9518080410/ 9</t>
  </si>
  <si>
    <t>9</t>
  </si>
  <si>
    <t>4C08BH2080</t>
  </si>
  <si>
    <t>9518314496/ 23</t>
  </si>
  <si>
    <t>4C08CH2020</t>
  </si>
  <si>
    <t>4C12H39550</t>
  </si>
  <si>
    <t>1534</t>
  </si>
  <si>
    <t>4B12BH2140</t>
  </si>
  <si>
    <t>9800</t>
  </si>
  <si>
    <t>9518390450/ 29</t>
  </si>
  <si>
    <t>TUB-O-O-AUT-AW-PE-22.23X2.000X0.2700</t>
  </si>
  <si>
    <t>PV24030031</t>
  </si>
  <si>
    <t>TPT</t>
  </si>
  <si>
    <t>4B14H37491</t>
  </si>
  <si>
    <t>6250</t>
  </si>
  <si>
    <t>9518314443/ 1</t>
  </si>
  <si>
    <t>4B14H37492</t>
  </si>
  <si>
    <t>AKN2410R13</t>
  </si>
  <si>
    <t>9518229392/ 9</t>
  </si>
  <si>
    <t>15.88-0-2-ERW 1-PE-0.442</t>
  </si>
  <si>
    <t>4B12AH2100</t>
  </si>
  <si>
    <t>3170</t>
  </si>
  <si>
    <t>9518314443/ 2</t>
  </si>
  <si>
    <t>15.88-0-2-ERW 1-PE-0.515</t>
  </si>
  <si>
    <t>4B12BH2060</t>
  </si>
  <si>
    <t>4A15AH2050</t>
  </si>
  <si>
    <t>1818</t>
  </si>
  <si>
    <t>9518135820/ 26</t>
  </si>
  <si>
    <t>4A15AH2060</t>
  </si>
  <si>
    <t>4B12BH2090</t>
  </si>
  <si>
    <t>670</t>
  </si>
  <si>
    <t>9518220218/ 21</t>
  </si>
  <si>
    <t>4B28H38644</t>
  </si>
  <si>
    <t>4927H34004</t>
  </si>
  <si>
    <t>1875</t>
  </si>
  <si>
    <t>9517917936/ 18</t>
  </si>
  <si>
    <t>4918AH2030</t>
  </si>
  <si>
    <t>1225</t>
  </si>
  <si>
    <t>9518073975/ 23</t>
  </si>
  <si>
    <t>TUB-O-O-AUT-AW-PE-22.23X2.000X1.0120</t>
  </si>
  <si>
    <t>PV24030078</t>
  </si>
  <si>
    <t>16.1-10.7-2.95-CEW-CEW-1</t>
  </si>
  <si>
    <t>PV24040043</t>
  </si>
  <si>
    <t>9518077971/ 2</t>
  </si>
  <si>
    <t>5107CH2060</t>
  </si>
  <si>
    <t>452</t>
  </si>
  <si>
    <t>5107CH2070</t>
  </si>
  <si>
    <t>451</t>
  </si>
  <si>
    <t>MAR2426004</t>
  </si>
  <si>
    <t>TUB-O-O-AUT-AW-PE-22.23X2.300X0.2450</t>
  </si>
  <si>
    <t>PV24030028</t>
  </si>
  <si>
    <t>5107CH2110</t>
  </si>
  <si>
    <t>4600</t>
  </si>
  <si>
    <t>9518390450/ 30</t>
  </si>
  <si>
    <t>5107CH2120</t>
  </si>
  <si>
    <t>5550</t>
  </si>
  <si>
    <t>17.3-0-1.6-ERW 1-PE-0.387</t>
  </si>
  <si>
    <t>PV24030054</t>
  </si>
  <si>
    <t>5107CH2080</t>
  </si>
  <si>
    <t>220</t>
  </si>
  <si>
    <t>17.3-0-1.6-ERW 1-PE-0.64</t>
  </si>
  <si>
    <t>5107CH2090</t>
  </si>
  <si>
    <t>155</t>
  </si>
  <si>
    <t>4A01H34598</t>
  </si>
  <si>
    <t>9517876417/ 1</t>
  </si>
  <si>
    <t>4A11H35133</t>
  </si>
  <si>
    <t>280</t>
  </si>
  <si>
    <t>9517989541/ 7</t>
  </si>
  <si>
    <t>7</t>
  </si>
  <si>
    <t>18-10.8-3.6-CEW-CEW</t>
  </si>
  <si>
    <t>18-10.8-3.6-CEW-CEW-1</t>
  </si>
  <si>
    <t>4A15H35362</t>
  </si>
  <si>
    <t>175</t>
  </si>
  <si>
    <t>4A10H35076</t>
  </si>
  <si>
    <t>2362</t>
  </si>
  <si>
    <t>9518133298/ 15</t>
  </si>
  <si>
    <t>4A10H35077</t>
  </si>
  <si>
    <t>SEN25010R2</t>
  </si>
  <si>
    <t>267</t>
  </si>
  <si>
    <t>9518390450/ 31</t>
  </si>
  <si>
    <t>4C30H40787</t>
  </si>
  <si>
    <t>2585</t>
  </si>
  <si>
    <t>9518314387/ 2</t>
  </si>
  <si>
    <t>18.2-12.3-2.95-CEW-CEW-1</t>
  </si>
  <si>
    <t>4C14AH2050</t>
  </si>
  <si>
    <t>9518395341/ 13</t>
  </si>
  <si>
    <t>13</t>
  </si>
  <si>
    <t>4C14CH2110</t>
  </si>
  <si>
    <t>9518313350/ 1</t>
  </si>
  <si>
    <t>5110H41357</t>
  </si>
  <si>
    <t>1550</t>
  </si>
  <si>
    <t>9518314382/ 4</t>
  </si>
  <si>
    <t>TUB-O-O-AUT-AW-FC-34.93X2.500X6.0000</t>
  </si>
  <si>
    <t>4B06CH2030</t>
  </si>
  <si>
    <t>10</t>
  </si>
  <si>
    <t>9518224413/ 2</t>
  </si>
  <si>
    <t>4A23CH2250</t>
  </si>
  <si>
    <t>1610</t>
  </si>
  <si>
    <t>9517607720/ 5</t>
  </si>
  <si>
    <t>4527H16184</t>
  </si>
  <si>
    <t>243</t>
  </si>
  <si>
    <t>9518314246/ 5</t>
  </si>
  <si>
    <t>19-12.5-3.25-CEW-CEW-0.215</t>
  </si>
  <si>
    <t>4628AH2150</t>
  </si>
  <si>
    <t>2005</t>
  </si>
  <si>
    <t>9517607720/ 3</t>
  </si>
  <si>
    <t>19-12.5-3.25-CEW-CEW-0.319</t>
  </si>
  <si>
    <t>5111H41410</t>
  </si>
  <si>
    <t>404</t>
  </si>
  <si>
    <t>9518219636/ 12</t>
  </si>
  <si>
    <t>12</t>
  </si>
  <si>
    <t>4B26H38499</t>
  </si>
  <si>
    <t>440</t>
  </si>
  <si>
    <t>9518219998/ 2</t>
  </si>
  <si>
    <t>TUB-R-AW-RHS-40.00X20.00X1.210X0.3300</t>
  </si>
  <si>
    <t>AKN2307389</t>
  </si>
  <si>
    <t>TUB-R-AW-RHS-40.00X20.00X1.210X0.8270</t>
  </si>
  <si>
    <t>AKN2307388</t>
  </si>
  <si>
    <t>TUB-R-AW-RHS-40.00X20.00X1.210X0.8500</t>
  </si>
  <si>
    <t>PV24030018</t>
  </si>
  <si>
    <t>4923AH1050</t>
  </si>
  <si>
    <t>1750</t>
  </si>
  <si>
    <t>9518315452/ 1</t>
  </si>
  <si>
    <t>5101BH1030</t>
  </si>
  <si>
    <t>9518395829/ 1</t>
  </si>
  <si>
    <t>5101BH1040</t>
  </si>
  <si>
    <t>4925AH1010</t>
  </si>
  <si>
    <t>377</t>
  </si>
  <si>
    <t>9518070258/ 3</t>
  </si>
  <si>
    <t>19-19-1-CRFH-PE-0.164</t>
  </si>
  <si>
    <t>4925AH1020</t>
  </si>
  <si>
    <t>19-19-1-CRFH-PE-0.2</t>
  </si>
  <si>
    <t>4821CH2120</t>
  </si>
  <si>
    <t>384</t>
  </si>
  <si>
    <t>9518133047/ 3</t>
  </si>
  <si>
    <t>19-19-1-CRFH-PE-0.22</t>
  </si>
  <si>
    <t>4821CH2140</t>
  </si>
  <si>
    <t>396</t>
  </si>
  <si>
    <t>4A24BH1030</t>
  </si>
  <si>
    <t>393</t>
  </si>
  <si>
    <t>19-19-1-CRFH-PE-0.3</t>
  </si>
  <si>
    <t>4A24BH1040</t>
  </si>
  <si>
    <t>19-19-1-CRFH-PE-0.32</t>
  </si>
  <si>
    <t>4A24BH1050</t>
  </si>
  <si>
    <t>392</t>
  </si>
  <si>
    <t>19-19-1-CRFH-PE-0.33</t>
  </si>
  <si>
    <t>4A24BH1060</t>
  </si>
  <si>
    <t>9518133082/ 4</t>
  </si>
  <si>
    <t>4A24BH1070</t>
  </si>
  <si>
    <t>19-19-1-CRFH-PE-0.377</t>
  </si>
  <si>
    <t>4B22BH2170</t>
  </si>
  <si>
    <t>394</t>
  </si>
  <si>
    <t>9518224307/ 5</t>
  </si>
  <si>
    <t>19-19-1-CRFH-PE-0.392</t>
  </si>
  <si>
    <t>4B22AH2080</t>
  </si>
  <si>
    <t>189</t>
  </si>
  <si>
    <t>9518232457/ 3</t>
  </si>
  <si>
    <t>TUB-R-AW-RHS-40.00X20.00X1.600X0.5450</t>
  </si>
  <si>
    <t>AKN2309241</t>
  </si>
  <si>
    <t>19-19-1-CRFH-PE-0.462</t>
  </si>
  <si>
    <t>EXC2405134</t>
  </si>
  <si>
    <t>9517445820/ 2</t>
  </si>
  <si>
    <t>19-19-1-CRFH-PE-0.463</t>
  </si>
  <si>
    <t>TUB-R-AW-RHS-40.00X20.00X1.600X0.6070</t>
  </si>
  <si>
    <t>PV24030062</t>
  </si>
  <si>
    <t>4A05H34721</t>
  </si>
  <si>
    <t>880</t>
  </si>
  <si>
    <t>621291846 / 1</t>
  </si>
  <si>
    <t>4A05H34720</t>
  </si>
  <si>
    <t>640</t>
  </si>
  <si>
    <t>621291846 / 2</t>
  </si>
  <si>
    <t>4A20AH2120</t>
  </si>
  <si>
    <t>3200</t>
  </si>
  <si>
    <t>9518314387/ 13</t>
  </si>
  <si>
    <t>19-19-1-CRFH-PE-0.682</t>
  </si>
  <si>
    <t>4A31AH2110</t>
  </si>
  <si>
    <t>1440</t>
  </si>
  <si>
    <t>9518395341/ 16</t>
  </si>
  <si>
    <t>4C22H40272</t>
  </si>
  <si>
    <t>1690</t>
  </si>
  <si>
    <t>9518395341/ 17</t>
  </si>
  <si>
    <t>17</t>
  </si>
  <si>
    <t>4C28H40681</t>
  </si>
  <si>
    <t>1718</t>
  </si>
  <si>
    <t>5108CH2030</t>
  </si>
  <si>
    <t>2880</t>
  </si>
  <si>
    <t>5110H41315</t>
  </si>
  <si>
    <t>320</t>
  </si>
  <si>
    <t>5110H41316</t>
  </si>
  <si>
    <t>2640</t>
  </si>
  <si>
    <t>5110H41309</t>
  </si>
  <si>
    <t>9518395341/ 18</t>
  </si>
  <si>
    <t>5108CH2150</t>
  </si>
  <si>
    <t>2830</t>
  </si>
  <si>
    <t>9518395341/ 19</t>
  </si>
  <si>
    <t>5108CH2160</t>
  </si>
  <si>
    <t>2680</t>
  </si>
  <si>
    <t>5108CH2170</t>
  </si>
  <si>
    <t>2700</t>
  </si>
  <si>
    <t>5109AH2010</t>
  </si>
  <si>
    <t>19-19-1-CRFH-PE-0.888</t>
  </si>
  <si>
    <t>5109AH2020</t>
  </si>
  <si>
    <t>1280</t>
  </si>
  <si>
    <t>5109AH2030</t>
  </si>
  <si>
    <t>2480</t>
  </si>
  <si>
    <t>19-19-1-CRFH-PE-0.925</t>
  </si>
  <si>
    <t>5109AH2040</t>
  </si>
  <si>
    <t>2450</t>
  </si>
  <si>
    <t>19-19-1-CRFH-PE-0.96</t>
  </si>
  <si>
    <t>4626AH2060</t>
  </si>
  <si>
    <t>9517814608/ 9</t>
  </si>
  <si>
    <t>4B24AH2050</t>
  </si>
  <si>
    <t>1930</t>
  </si>
  <si>
    <t>9518198323/ 3</t>
  </si>
  <si>
    <t>4B24BH2160</t>
  </si>
  <si>
    <t>950</t>
  </si>
  <si>
    <t>4C20BH2090</t>
  </si>
  <si>
    <t>19-19-1-CRFH-PE-1.1</t>
  </si>
  <si>
    <t>TUB-R-AW-RHS-40.00X30.00X2.000X0.2540</t>
  </si>
  <si>
    <t>PV24030030</t>
  </si>
  <si>
    <t>TUB-S-AW-SHS-40.00X40.00X1.200X0.1200</t>
  </si>
  <si>
    <t>3B25H00985</t>
  </si>
  <si>
    <t>9517304002/ 11</t>
  </si>
  <si>
    <t>4B16H37691</t>
  </si>
  <si>
    <t>4000</t>
  </si>
  <si>
    <t>9518315613/ 27</t>
  </si>
  <si>
    <t>19-19-1-CRFH-PE-1.3</t>
  </si>
  <si>
    <t>4B22H38144</t>
  </si>
  <si>
    <t>5000</t>
  </si>
  <si>
    <t>9518315613/ 25</t>
  </si>
  <si>
    <t>4B04BH2020</t>
  </si>
  <si>
    <t>170</t>
  </si>
  <si>
    <t>9518224307/ 4</t>
  </si>
  <si>
    <t>19-19-1-CRFH-PE-1.31</t>
  </si>
  <si>
    <t>4B04BH2010</t>
  </si>
  <si>
    <t>9518232457/ 2</t>
  </si>
  <si>
    <t>4B04BH2030</t>
  </si>
  <si>
    <t>184</t>
  </si>
  <si>
    <t>4C13CH2210</t>
  </si>
  <si>
    <t>900</t>
  </si>
  <si>
    <t>9518315392/ 6</t>
  </si>
  <si>
    <t>4C18H39967</t>
  </si>
  <si>
    <t>200</t>
  </si>
  <si>
    <t>4C18H39968</t>
  </si>
  <si>
    <t>EXC2405027</t>
  </si>
  <si>
    <t>4C21H40213</t>
  </si>
  <si>
    <t>360</t>
  </si>
  <si>
    <t>9518314496/ 35</t>
  </si>
  <si>
    <t>35</t>
  </si>
  <si>
    <t>TUB-O-N-AUT-AW-PE-15.88X2.000X0.5150</t>
  </si>
  <si>
    <t>PV24030056</t>
  </si>
  <si>
    <t>4A14BH1110</t>
  </si>
  <si>
    <t>1125</t>
  </si>
  <si>
    <t>9518133298/ 17</t>
  </si>
  <si>
    <t>FH</t>
  </si>
  <si>
    <t>4B09AH1020</t>
  </si>
  <si>
    <t>1026</t>
  </si>
  <si>
    <t>9518219998/ 11</t>
  </si>
  <si>
    <t>4B24BH2040</t>
  </si>
  <si>
    <t>3900</t>
  </si>
  <si>
    <t>9517990343/ 1</t>
  </si>
  <si>
    <t>4728H28737</t>
  </si>
  <si>
    <t>9518080410/ 12</t>
  </si>
  <si>
    <t>4927H33984</t>
  </si>
  <si>
    <t>4086</t>
  </si>
  <si>
    <t>AKN2410R12</t>
  </si>
  <si>
    <t>TUB-O-N-AUT-AW-PE-15.88X1.000X0.2900</t>
  </si>
  <si>
    <t>PV24030032</t>
  </si>
  <si>
    <t>4530H16581</t>
  </si>
  <si>
    <t>2400</t>
  </si>
  <si>
    <t>9518397864/ 3</t>
  </si>
  <si>
    <t>SEN2308257</t>
  </si>
  <si>
    <t>9517078856/ 4</t>
  </si>
  <si>
    <t>EXC2405009</t>
  </si>
  <si>
    <t>9517303409/ 3</t>
  </si>
  <si>
    <t>SEN2311119</t>
  </si>
  <si>
    <t>TUB-O-N-AUT-AW-FC-57.15X2.500X0.3790</t>
  </si>
  <si>
    <t>AKN2306257</t>
  </si>
  <si>
    <t>9516935690/ 9</t>
  </si>
  <si>
    <t>4C13H39661</t>
  </si>
  <si>
    <t>2500</t>
  </si>
  <si>
    <t>9518219636/ 8</t>
  </si>
  <si>
    <t>8</t>
  </si>
  <si>
    <t>19-19-1.2-CRFH-PE-0.129</t>
  </si>
  <si>
    <t>4C20H40120</t>
  </si>
  <si>
    <t>1860</t>
  </si>
  <si>
    <t>9518219789/ 1</t>
  </si>
  <si>
    <t>19-19-1.2-CRFH-PE-0.15</t>
  </si>
  <si>
    <t>4A30H36692</t>
  </si>
  <si>
    <t>3825</t>
  </si>
  <si>
    <t>9518314382/ 7</t>
  </si>
  <si>
    <t>TE13</t>
  </si>
  <si>
    <t>check for ALF</t>
  </si>
  <si>
    <t>check for ALF-0.22</t>
  </si>
  <si>
    <t>4A08BH1070</t>
  </si>
  <si>
    <t>1350</t>
  </si>
  <si>
    <t>9518133298/ 13</t>
  </si>
  <si>
    <t>check for ALF-0.253</t>
  </si>
  <si>
    <t>4A16H35460</t>
  </si>
  <si>
    <t>9518390450/ 28</t>
  </si>
  <si>
    <t>19-19-1.2-CRFH-PE-0.261</t>
  </si>
  <si>
    <t>4C11AH1030</t>
  </si>
  <si>
    <t>2100</t>
  </si>
  <si>
    <t>check for ALF-0.296</t>
  </si>
  <si>
    <t>4C11AH1050</t>
  </si>
  <si>
    <t>2150</t>
  </si>
  <si>
    <t>check for ALF-0.3</t>
  </si>
  <si>
    <t>TUB-O-N-AUT-AW-PE-57.15X2.500X5.7500</t>
  </si>
  <si>
    <t>4C25CH2200</t>
  </si>
  <si>
    <t>70</t>
  </si>
  <si>
    <t>9518359453/ 1</t>
  </si>
  <si>
    <t>check for ALF-0.305</t>
  </si>
  <si>
    <t>4C25CH2210</t>
  </si>
  <si>
    <t>134</t>
  </si>
  <si>
    <t>check for ALF-0.319</t>
  </si>
  <si>
    <t>TUB-O-N-AUT-AW-PE-48.60X3.400X6.0500</t>
  </si>
  <si>
    <t>4510CH2070</t>
  </si>
  <si>
    <t>113</t>
  </si>
  <si>
    <t>check for ALF-0.392</t>
  </si>
  <si>
    <t>TUB-O-N-AUT-AW-FC-25.40X2.000X6.0000</t>
  </si>
  <si>
    <t>4A04CH2170</t>
  </si>
  <si>
    <t>277</t>
  </si>
  <si>
    <t>check for ALF-0.415</t>
  </si>
  <si>
    <t>PV24030089</t>
  </si>
  <si>
    <t>9517814672/ 4</t>
  </si>
  <si>
    <t>check for ALF-0.46</t>
  </si>
  <si>
    <t>TUB-O-N-AUT-AW-FC-22.23X2.000X6.2250</t>
  </si>
  <si>
    <t>4918BH2070</t>
  </si>
  <si>
    <t>193</t>
  </si>
  <si>
    <t>check for ALF-0.503</t>
  </si>
  <si>
    <t>4A26CH2100</t>
  </si>
  <si>
    <t>7500</t>
  </si>
  <si>
    <t>9518080410/ 2</t>
  </si>
  <si>
    <t>check for ALF-0.507</t>
  </si>
  <si>
    <t>4C18H39963</t>
  </si>
  <si>
    <t>9518314496/ 14</t>
  </si>
  <si>
    <t>check for ALF-0.545</t>
  </si>
  <si>
    <t>4825CH2090</t>
  </si>
  <si>
    <t>9900</t>
  </si>
  <si>
    <t>9518229392/ 13</t>
  </si>
  <si>
    <t>check for ALF-0.59</t>
  </si>
  <si>
    <t>4928AH2100</t>
  </si>
  <si>
    <t>check for ALF-0.6</t>
  </si>
  <si>
    <t>4A14H35320</t>
  </si>
  <si>
    <t>check for ALF-0.858</t>
  </si>
  <si>
    <t>4B30H38946</t>
  </si>
  <si>
    <t>check for ALF-1.058</t>
  </si>
  <si>
    <t>4B25H38374</t>
  </si>
  <si>
    <t>9518314496/ 13</t>
  </si>
  <si>
    <t>check for ALF-1.52</t>
  </si>
  <si>
    <t>4C17H39900</t>
  </si>
  <si>
    <t>check for ALF-1.73</t>
  </si>
  <si>
    <t>SEN25010R1</t>
  </si>
  <si>
    <t>9518397519/ 11</t>
  </si>
  <si>
    <t>19-19-1.2-CRFH-PE-1</t>
  </si>
  <si>
    <t>4B12CH2110</t>
  </si>
  <si>
    <t>2850</t>
  </si>
  <si>
    <t>9518314382/ 17</t>
  </si>
  <si>
    <t>19-19-1.2-CRFH-PE-0.33</t>
  </si>
  <si>
    <t>5111H41404</t>
  </si>
  <si>
    <t>1424</t>
  </si>
  <si>
    <t>9518314246/ 3</t>
  </si>
  <si>
    <t>19.05-0-1-ERW 1-PE-1.1</t>
  </si>
  <si>
    <t>4C12AH1010</t>
  </si>
  <si>
    <t>9518397670/ 3</t>
  </si>
  <si>
    <t>EXC2405013</t>
  </si>
  <si>
    <t>9518080369/ 4</t>
  </si>
  <si>
    <t>4C10H39392</t>
  </si>
  <si>
    <t>1625</t>
  </si>
  <si>
    <t>9518135820/ 28</t>
  </si>
  <si>
    <t>19.05-0-1-ERW 1-PE-1</t>
  </si>
  <si>
    <t>TUB-O-N-AUT-AW-PE-22.23X2.000X0.6400</t>
  </si>
  <si>
    <t>AKN2305325</t>
  </si>
  <si>
    <t>9516883001/ 2</t>
  </si>
  <si>
    <t>4C14H39724</t>
  </si>
  <si>
    <t>9518314259/ 2</t>
  </si>
  <si>
    <t>4C13CH2120</t>
  </si>
  <si>
    <t>9518395341/ 21</t>
  </si>
  <si>
    <t>4C12AH2060</t>
  </si>
  <si>
    <t>3050</t>
  </si>
  <si>
    <t>9518395341/ 6</t>
  </si>
  <si>
    <t>TUB-O-N-AUT-AW-PE-22.23X1.600X5.9500</t>
  </si>
  <si>
    <t>4B15CH2050</t>
  </si>
  <si>
    <t>251</t>
  </si>
  <si>
    <t>4B15CH2090</t>
  </si>
  <si>
    <t>314</t>
  </si>
  <si>
    <t>TUB-R-AW-AUT-40.00X25.00X1.600X5.7500</t>
  </si>
  <si>
    <t>4808CH2030</t>
  </si>
  <si>
    <t>139</t>
  </si>
  <si>
    <t>4B27AH2170</t>
  </si>
  <si>
    <t>132</t>
  </si>
  <si>
    <t>4C30H40797</t>
  </si>
  <si>
    <t>183</t>
  </si>
  <si>
    <t>9518065308/ 12</t>
  </si>
  <si>
    <t>4B02BH2210</t>
  </si>
  <si>
    <t>740</t>
  </si>
  <si>
    <t>9518219863/ 12</t>
  </si>
  <si>
    <t>TUB-O-N-AUT-AW-FC-57.15X2.500X0.5120</t>
  </si>
  <si>
    <t>PV24030057</t>
  </si>
  <si>
    <t>5108BH2120</t>
  </si>
  <si>
    <t>9518397264/ 2</t>
  </si>
  <si>
    <t>4C26AH2100</t>
  </si>
  <si>
    <t>1650</t>
  </si>
  <si>
    <t>9518314246/ 10</t>
  </si>
  <si>
    <t>4C26AH2120</t>
  </si>
  <si>
    <t>4A25BH2020</t>
  </si>
  <si>
    <t>355</t>
  </si>
  <si>
    <t>19.05-0-1.2-ERW 1-PE-0.403</t>
  </si>
  <si>
    <t>4A25BH2010</t>
  </si>
  <si>
    <t>350</t>
  </si>
  <si>
    <t>9518134245/ 4</t>
  </si>
  <si>
    <t>4619H24099</t>
  </si>
  <si>
    <t>680</t>
  </si>
  <si>
    <t>9517814608/ 5</t>
  </si>
  <si>
    <t>TUB-O-N-AUT-AW-FC-25.40X2.000X0.2280</t>
  </si>
  <si>
    <t>PV24030102</t>
  </si>
  <si>
    <t>4B18CH2010</t>
  </si>
  <si>
    <t>400</t>
  </si>
  <si>
    <t>9518209855/ 1</t>
  </si>
  <si>
    <t>check for ALF-0.633</t>
  </si>
  <si>
    <t>4B18CH2020</t>
  </si>
  <si>
    <t>475</t>
  </si>
  <si>
    <t>4B22BH2130</t>
  </si>
  <si>
    <t>9518224278/ 7</t>
  </si>
  <si>
    <t>4924BH1110</t>
  </si>
  <si>
    <t>9518224278/ 6</t>
  </si>
  <si>
    <t>4A25BH1060</t>
  </si>
  <si>
    <t>4B22BH2120</t>
  </si>
  <si>
    <t>4B28BH1050</t>
  </si>
  <si>
    <t>3300</t>
  </si>
  <si>
    <t>9518315452/ 18</t>
  </si>
  <si>
    <t>check for ALF-0.7</t>
  </si>
  <si>
    <t>5106H41158</t>
  </si>
  <si>
    <t>9518133078/ 13</t>
  </si>
  <si>
    <t>check for ALF-0.787</t>
  </si>
  <si>
    <t>4B27BH1050</t>
  </si>
  <si>
    <t>9000</t>
  </si>
  <si>
    <t>9518315613/ 20</t>
  </si>
  <si>
    <t>check for ALF-0.8</t>
  </si>
  <si>
    <t>4C25H40446</t>
  </si>
  <si>
    <t>7000</t>
  </si>
  <si>
    <t>9518315452/ 14</t>
  </si>
  <si>
    <t>check for ALF-0.93</t>
  </si>
  <si>
    <t>4B27AH1030</t>
  </si>
  <si>
    <t>9518315452/ 12</t>
  </si>
  <si>
    <t>check for ALF-1.005</t>
  </si>
  <si>
    <t>4B21H38086</t>
  </si>
  <si>
    <t>4200</t>
  </si>
  <si>
    <t>9518315452/ 15</t>
  </si>
  <si>
    <t>check for ALF-1.011</t>
  </si>
  <si>
    <t>4A19BH1060</t>
  </si>
  <si>
    <t>9518315613/ 14</t>
  </si>
  <si>
    <t>check for ALF-1.04</t>
  </si>
  <si>
    <t>4B26BH1070</t>
  </si>
  <si>
    <t>9518315452/ 8</t>
  </si>
  <si>
    <t>check for ALF-1.05</t>
  </si>
  <si>
    <t>5106H41152</t>
  </si>
  <si>
    <t>600</t>
  </si>
  <si>
    <t>9518232440/ 7</t>
  </si>
  <si>
    <t>4A18BH1030</t>
  </si>
  <si>
    <t>9518315452/ 7</t>
  </si>
  <si>
    <t>check for ALF-1.083</t>
  </si>
  <si>
    <t>4B30H38881</t>
  </si>
  <si>
    <t>700</t>
  </si>
  <si>
    <t>9518315452/ 19</t>
  </si>
  <si>
    <t>check for ALF-1.1</t>
  </si>
  <si>
    <t>5105CH1030</t>
  </si>
  <si>
    <t>5300</t>
  </si>
  <si>
    <t>9518395829/ 18</t>
  </si>
  <si>
    <t>check for ALF-1.12</t>
  </si>
  <si>
    <t>4924BH1130</t>
  </si>
  <si>
    <t>9518315452/ 2</t>
  </si>
  <si>
    <t>2412310002</t>
  </si>
  <si>
    <t>9518315452/ 3</t>
  </si>
  <si>
    <t>5101BH1070</t>
  </si>
  <si>
    <t>910</t>
  </si>
  <si>
    <t>9518395829/ 3</t>
  </si>
  <si>
    <t>4923AH1060</t>
  </si>
  <si>
    <t>2050</t>
  </si>
  <si>
    <t>9518315452/ 4</t>
  </si>
  <si>
    <t>19.05-0-1.2-ERW 1-PE-1.2</t>
  </si>
  <si>
    <t>4C25H40450</t>
  </si>
  <si>
    <t>930</t>
  </si>
  <si>
    <t>5101CH1030</t>
  </si>
  <si>
    <t>2080</t>
  </si>
  <si>
    <t>9518395829/ 4</t>
  </si>
  <si>
    <t>check for ALF-1.235</t>
  </si>
  <si>
    <t>4C31H40865</t>
  </si>
  <si>
    <t>9518315452/ 5</t>
  </si>
  <si>
    <t>5101CH1020</t>
  </si>
  <si>
    <t>9518395829/ 5</t>
  </si>
  <si>
    <t>check for ALF-1.283</t>
  </si>
  <si>
    <t>4A18AH1090</t>
  </si>
  <si>
    <t>1480</t>
  </si>
  <si>
    <t>9518315452/ 6</t>
  </si>
  <si>
    <t>check for ALF-1.29</t>
  </si>
  <si>
    <t>5101CH1160</t>
  </si>
  <si>
    <t>2900</t>
  </si>
  <si>
    <t>9518395829/ 6</t>
  </si>
  <si>
    <t>19.05-0-1.2-ERW 1-PE-1</t>
  </si>
  <si>
    <t>TUB-R-AW-AUT-40.00X20.00X1.210X0.1680</t>
  </si>
  <si>
    <t>AKN2306480</t>
  </si>
  <si>
    <t>9516935670/ 21</t>
  </si>
  <si>
    <t>4B22H38148</t>
  </si>
  <si>
    <t>9518315613/ 9</t>
  </si>
  <si>
    <t>19.05-0-1.2-CRFH-PE-1</t>
  </si>
  <si>
    <t>4B30H38856</t>
  </si>
  <si>
    <t>5106H41154</t>
  </si>
  <si>
    <t>1260</t>
  </si>
  <si>
    <t>9518224230/ 16</t>
  </si>
  <si>
    <t>4C21H40193</t>
  </si>
  <si>
    <t>2800</t>
  </si>
  <si>
    <t>9518315452/ 13</t>
  </si>
  <si>
    <t>RECOV0511F</t>
  </si>
  <si>
    <t>9518315613/ 24</t>
  </si>
  <si>
    <t>5109H41260</t>
  </si>
  <si>
    <t>9518314181/ 3</t>
  </si>
  <si>
    <t>4921AH1080</t>
  </si>
  <si>
    <t>9518397519/ 6</t>
  </si>
  <si>
    <t>4B24BH2170</t>
  </si>
  <si>
    <t>269</t>
  </si>
  <si>
    <t>4B24CH2030</t>
  </si>
  <si>
    <t>273</t>
  </si>
  <si>
    <t>9518209855/ 6</t>
  </si>
  <si>
    <t>4B25CH2070</t>
  </si>
  <si>
    <t>9518080410/ 5</t>
  </si>
  <si>
    <t>4B25CH2090</t>
  </si>
  <si>
    <t>79</t>
  </si>
  <si>
    <t>9518229392/ 10</t>
  </si>
  <si>
    <t>4B11AH2040</t>
  </si>
  <si>
    <t>114</t>
  </si>
  <si>
    <t>4B11AH2050</t>
  </si>
  <si>
    <t>117</t>
  </si>
  <si>
    <t>4B11AH2070</t>
  </si>
  <si>
    <t>4B11AH2080</t>
  </si>
  <si>
    <t>not mine</t>
  </si>
  <si>
    <t>not mine-0.222</t>
  </si>
  <si>
    <t>4B11AH2090</t>
  </si>
  <si>
    <t>not mine-0.31</t>
  </si>
  <si>
    <t>4B11AH2100</t>
  </si>
  <si>
    <t>104</t>
  </si>
  <si>
    <t>9518220060/ 11</t>
  </si>
  <si>
    <t>not mine-1</t>
  </si>
  <si>
    <t>CUT-O-N-AUT-AW-PE-22.20X2.000X0.715</t>
  </si>
  <si>
    <t>SEN2310020</t>
  </si>
  <si>
    <t>9517579132/ 4</t>
  </si>
  <si>
    <t>CUT-O-N-AUT-AW-FC-38.10X1.600X0.970</t>
  </si>
  <si>
    <t>4A26H36392</t>
  </si>
  <si>
    <t>9518133298/ 20</t>
  </si>
  <si>
    <t>4B21AH2040</t>
  </si>
  <si>
    <t>2920</t>
  </si>
  <si>
    <t>9518397914/ 1</t>
  </si>
  <si>
    <t>check grade tdc</t>
  </si>
  <si>
    <t>check grade tdc-1</t>
  </si>
  <si>
    <t>4B23H38170</t>
  </si>
  <si>
    <t>790</t>
  </si>
  <si>
    <t>19.05-0-1.6-ERW 1-PE-0.18</t>
  </si>
  <si>
    <t>4B24H38285</t>
  </si>
  <si>
    <t>check TDC for FC</t>
  </si>
  <si>
    <t>check TDC for FC-0.238</t>
  </si>
  <si>
    <t>4B26H38465</t>
  </si>
  <si>
    <t>1010</t>
  </si>
  <si>
    <t>19.05-0-1.6-ERW 1-PE-0.238</t>
  </si>
  <si>
    <t>4C10H39422</t>
  </si>
  <si>
    <t>19.05-0-1.6-ERW 1-PE-0.258</t>
  </si>
  <si>
    <t>CUT-O-N-AUT-AW-PE-19.05X2.300X0.2750</t>
  </si>
  <si>
    <t>EXC2405006</t>
  </si>
  <si>
    <t>9517232325/ 9</t>
  </si>
  <si>
    <t>19.05-0-1.6-ERW 1-PE-0.268</t>
  </si>
  <si>
    <t>SEN2308212</t>
  </si>
  <si>
    <t>2412280003</t>
  </si>
  <si>
    <t>9518314443/ 9</t>
  </si>
  <si>
    <t>19.05-0-1.6-ERW 1-PE-0.275</t>
  </si>
  <si>
    <t>CUT-O-N-AUT-AW-PE-19.05X2.000X0.4520</t>
  </si>
  <si>
    <t>EXC2405045</t>
  </si>
  <si>
    <t>19.05-0-1.6-ERW 1-PE-0.289</t>
  </si>
  <si>
    <t>PV24030108</t>
  </si>
  <si>
    <t>19.05-0-1.6-ERW 1-PE-0.299</t>
  </si>
  <si>
    <t>CUT-O-N-AUT-AW-PE-22.20X2.300X0.4250</t>
  </si>
  <si>
    <t>4A18BH2080</t>
  </si>
  <si>
    <t>4700</t>
  </si>
  <si>
    <t>9518135820/ 30</t>
  </si>
  <si>
    <t>19.05-0-1.6-ERW 1-PE-0.3</t>
  </si>
  <si>
    <t>4A18BH2130</t>
  </si>
  <si>
    <t>4B15BH2110</t>
  </si>
  <si>
    <t>4150</t>
  </si>
  <si>
    <t>9518220218/ 25</t>
  </si>
  <si>
    <t>19.05-0-1.6-ERW 1-PE-0.31</t>
  </si>
  <si>
    <t>4C08CH2050</t>
  </si>
  <si>
    <t>9518314496/ 29</t>
  </si>
  <si>
    <t>19.05-0-1.6-ERW 1-PE-0.311</t>
  </si>
  <si>
    <t>4627CH2030</t>
  </si>
  <si>
    <t>19.05-0-1.6-ERW 1-PE-0.33</t>
  </si>
  <si>
    <t>4627CH2060</t>
  </si>
  <si>
    <t>check TDC for FC-0.35</t>
  </si>
  <si>
    <t>4627CH2070</t>
  </si>
  <si>
    <t>215</t>
  </si>
  <si>
    <t>19.05-0-1.6-ERW 1-PE-0.355</t>
  </si>
  <si>
    <t>4920H33306</t>
  </si>
  <si>
    <t>76</t>
  </si>
  <si>
    <t>9518343705/ 4</t>
  </si>
  <si>
    <t>19.05-0-1.6-ERW 1-PE-0.38</t>
  </si>
  <si>
    <t>TUB-O-N-AUT-AW-FC-38.10X2.000X5.6300</t>
  </si>
  <si>
    <t>4628BH2060</t>
  </si>
  <si>
    <t>177</t>
  </si>
  <si>
    <t>9518057430/ 8</t>
  </si>
  <si>
    <t>19.05-0-1.6-ERW 1-PE-0.39</t>
  </si>
  <si>
    <t>TUB-O-N-AUT-AW-PE-22.23X1.600X5.7700</t>
  </si>
  <si>
    <t>4A09BH1090</t>
  </si>
  <si>
    <t>592</t>
  </si>
  <si>
    <t>4B13H37442</t>
  </si>
  <si>
    <t>340</t>
  </si>
  <si>
    <t>19.05-0-1.6-ERW 1-PE-0.435</t>
  </si>
  <si>
    <t>4B21H38099</t>
  </si>
  <si>
    <t>45</t>
  </si>
  <si>
    <t>check TDC for FC-0.469</t>
  </si>
  <si>
    <t>TUB-O-N-AUT-AW-FC-34.93X2.000X6.2000</t>
  </si>
  <si>
    <t>4B07AH2030</t>
  </si>
  <si>
    <t>9518224413/ 1</t>
  </si>
  <si>
    <t>19.05-0-1.6-ERW 1-PE-0.469</t>
  </si>
  <si>
    <t>4B07AH2040</t>
  </si>
  <si>
    <t>195</t>
  </si>
  <si>
    <t>19.05-0-1.6-ERW 2 MAHS-PE-0.485</t>
  </si>
  <si>
    <t>4B07AH2050</t>
  </si>
  <si>
    <t>4B07AH2060</t>
  </si>
  <si>
    <t>150</t>
  </si>
  <si>
    <t>4B07AH2070</t>
  </si>
  <si>
    <t>191</t>
  </si>
  <si>
    <t>4B07AH2080</t>
  </si>
  <si>
    <t>4B07AH2090</t>
  </si>
  <si>
    <t>19.05-0-1.6-ERW 1-PE-0.775</t>
  </si>
  <si>
    <t>4B07AH2100</t>
  </si>
  <si>
    <t>192</t>
  </si>
  <si>
    <t>4B07AH2110</t>
  </si>
  <si>
    <t>196</t>
  </si>
  <si>
    <t>19.05-0-1.2-ERW 1-PE-0.775</t>
  </si>
  <si>
    <t>4B07AH2120</t>
  </si>
  <si>
    <t>19.05-0-1.6-ERW 1-PE-1.405</t>
  </si>
  <si>
    <t>4B25AH1060</t>
  </si>
  <si>
    <t>4538</t>
  </si>
  <si>
    <t>9518219998/ 9</t>
  </si>
  <si>
    <t>AU27</t>
  </si>
  <si>
    <t>19.05-0-1.6-ERW 1-PE-1</t>
  </si>
  <si>
    <t>4C02H39042</t>
  </si>
  <si>
    <t>284</t>
  </si>
  <si>
    <t>4C07H39256</t>
  </si>
  <si>
    <t>9518151600/ 4</t>
  </si>
  <si>
    <t>4C13AH2180</t>
  </si>
  <si>
    <t>9518314455/ 1</t>
  </si>
  <si>
    <t>19.05-0-1.6-ERW 2 MAHS-PE-1</t>
  </si>
  <si>
    <t>4C13BH2010</t>
  </si>
  <si>
    <t>check TDC for FC-1</t>
  </si>
  <si>
    <t>4C13BH2020</t>
  </si>
  <si>
    <t>4B27BH2060</t>
  </si>
  <si>
    <t>9518314455/ 2</t>
  </si>
  <si>
    <t>4C07H39237</t>
  </si>
  <si>
    <t>5109BH2070</t>
  </si>
  <si>
    <t>219</t>
  </si>
  <si>
    <t>5109BH2110</t>
  </si>
  <si>
    <t>217</t>
  </si>
  <si>
    <t>19.05-0-1.6-ERW 1-PE-0.336</t>
  </si>
  <si>
    <t>5109BH2150</t>
  </si>
  <si>
    <t>212</t>
  </si>
  <si>
    <t>5109CH2030</t>
  </si>
  <si>
    <t>226</t>
  </si>
  <si>
    <t>5109CH2050</t>
  </si>
  <si>
    <t>228</t>
  </si>
  <si>
    <t>4323BH2270</t>
  </si>
  <si>
    <t>9518057430/ 9</t>
  </si>
  <si>
    <t>3C06H01390</t>
  </si>
  <si>
    <t>3850</t>
  </si>
  <si>
    <t>9517701140/ 1</t>
  </si>
  <si>
    <t>19.05-0-2-ERW 1-PE-0.215</t>
  </si>
  <si>
    <t>4715BH2080</t>
  </si>
  <si>
    <t>445</t>
  </si>
  <si>
    <t>9517917936/ 12</t>
  </si>
  <si>
    <t>4825BH2090</t>
  </si>
  <si>
    <t>9517989845/ 27</t>
  </si>
  <si>
    <t>4506CH1010</t>
  </si>
  <si>
    <t>9517622286/ 3</t>
  </si>
  <si>
    <t>4A14BH1120</t>
  </si>
  <si>
    <t>4B09AH1050</t>
  </si>
  <si>
    <t>5107H41197</t>
  </si>
  <si>
    <t>635</t>
  </si>
  <si>
    <t>9518314496/ 21</t>
  </si>
  <si>
    <t>19.05-0-2-ERW 1-PE-0.258</t>
  </si>
  <si>
    <t>4B16BH2100</t>
  </si>
  <si>
    <t>336</t>
  </si>
  <si>
    <t>9518222458/ 1</t>
  </si>
  <si>
    <t>4B23BH2100</t>
  </si>
  <si>
    <t>4A22BH1110</t>
  </si>
  <si>
    <t>9518224278/ 29</t>
  </si>
  <si>
    <t>4A22BH1100</t>
  </si>
  <si>
    <t>3600</t>
  </si>
  <si>
    <t>9518224278/ 28</t>
  </si>
  <si>
    <t>4914AH1120</t>
  </si>
  <si>
    <t>9518224278/ 27</t>
  </si>
  <si>
    <t>4B19H37880</t>
  </si>
  <si>
    <t>9518224278/ 26</t>
  </si>
  <si>
    <t>19.05-0-2-ERW 1-PE-0.319</t>
  </si>
  <si>
    <t>4724H28251</t>
  </si>
  <si>
    <t>9518224278/ 25</t>
  </si>
  <si>
    <t>4A19BH1100</t>
  </si>
  <si>
    <t>9518224278/ 24</t>
  </si>
  <si>
    <t>4B27BH1120</t>
  </si>
  <si>
    <t>9518224278/ 23</t>
  </si>
  <si>
    <t>4B27BH1100</t>
  </si>
  <si>
    <t>1800</t>
  </si>
  <si>
    <t>9518224278/ 21</t>
  </si>
  <si>
    <t>4A19BH1020</t>
  </si>
  <si>
    <t>9518224278/ 22</t>
  </si>
  <si>
    <t>19.05-0-2-ERW 1-PE-0.43</t>
  </si>
  <si>
    <t>4A18BH1110</t>
  </si>
  <si>
    <t>9518224278/ 20</t>
  </si>
  <si>
    <t>4A18BH1100</t>
  </si>
  <si>
    <t>9518224278/ 19</t>
  </si>
  <si>
    <t>19.05-0-2-ERW 1-PE-0.449</t>
  </si>
  <si>
    <t>4B27BH1090</t>
  </si>
  <si>
    <t>9518224278/ 18</t>
  </si>
  <si>
    <t>4618AH1020</t>
  </si>
  <si>
    <t>9518224278/ 17</t>
  </si>
  <si>
    <t>19.05-0-2-ERW 1-PE-0.452</t>
  </si>
  <si>
    <t>4B27BH1080</t>
  </si>
  <si>
    <t>9518224278/ 16</t>
  </si>
  <si>
    <t>4B27BH1070</t>
  </si>
  <si>
    <t>9518224278/ 15</t>
  </si>
  <si>
    <t>4B19H37874</t>
  </si>
  <si>
    <t>9518133124/ 14</t>
  </si>
  <si>
    <t>4B27BH1060</t>
  </si>
  <si>
    <t>9518224278/ 14</t>
  </si>
  <si>
    <t>4B28BH1060</t>
  </si>
  <si>
    <t>9518224278/ 33</t>
  </si>
  <si>
    <t>33</t>
  </si>
  <si>
    <t>19.05-0-2-ERW 2-PE</t>
  </si>
  <si>
    <t>19.05-0-2-ERW 2-PE-0.548</t>
  </si>
  <si>
    <t>4B28BH1070</t>
  </si>
  <si>
    <t>9518224307/ 3</t>
  </si>
  <si>
    <t>4B30H38854</t>
  </si>
  <si>
    <t>9518224278/ 13</t>
  </si>
  <si>
    <t>4A16H35494</t>
  </si>
  <si>
    <t>9518224278/ 12</t>
  </si>
  <si>
    <t>19.05-0-2-ERW 1-PE-0.785</t>
  </si>
  <si>
    <t>4923AH1010</t>
  </si>
  <si>
    <t>9518224278/ 10</t>
  </si>
  <si>
    <t>4B11H37321</t>
  </si>
  <si>
    <t>4B16H37688</t>
  </si>
  <si>
    <t>RECOV0511J</t>
  </si>
  <si>
    <t>4A25BH1080</t>
  </si>
  <si>
    <t>9518224278/ 5</t>
  </si>
  <si>
    <t>19.05-0-2-ERW 1-PE-0.82</t>
  </si>
  <si>
    <t>4A18AH1020</t>
  </si>
  <si>
    <t>3250</t>
  </si>
  <si>
    <t>9518224278/ 9</t>
  </si>
  <si>
    <t>4911AH1060</t>
  </si>
  <si>
    <t>1330</t>
  </si>
  <si>
    <t>9518224278/ 8</t>
  </si>
  <si>
    <t>4926AH1010</t>
  </si>
  <si>
    <t>9518224278/ 3</t>
  </si>
  <si>
    <t>19.05-0-2-ERW 1-PE-0.83</t>
  </si>
  <si>
    <t>4A25AH1100</t>
  </si>
  <si>
    <t>1250</t>
  </si>
  <si>
    <t>9518224278/ 4</t>
  </si>
  <si>
    <t>4A17AH1030</t>
  </si>
  <si>
    <t>9518224278/ 2</t>
  </si>
  <si>
    <t>19.05-0-2-ERW 1-PE-0.925</t>
  </si>
  <si>
    <t>4A26AH1030</t>
  </si>
  <si>
    <t>19.05-0-2-ERW 1-PE-1</t>
  </si>
  <si>
    <t>4B19H37884</t>
  </si>
  <si>
    <t>5500</t>
  </si>
  <si>
    <t>9518224278/ 35</t>
  </si>
  <si>
    <t>TUB-O-N-AUT-AW-PE-19.05X2.000X6.1400</t>
  </si>
  <si>
    <t>4B28AH2090</t>
  </si>
  <si>
    <t>100</t>
  </si>
  <si>
    <t>4B16AH2170</t>
  </si>
  <si>
    <t>4B20H38014</t>
  </si>
  <si>
    <t>48</t>
  </si>
  <si>
    <t>TUB-S-AW-SHS-19.00X19.00X1.200X5.6600</t>
  </si>
  <si>
    <t>A240229008</t>
  </si>
  <si>
    <t>9518133082/ 5</t>
  </si>
  <si>
    <t>4B27BH1140</t>
  </si>
  <si>
    <t>407</t>
  </si>
  <si>
    <t>9518224307/ 2</t>
  </si>
  <si>
    <t>4B27BH1150</t>
  </si>
  <si>
    <t>424</t>
  </si>
  <si>
    <t>TUB-R-AW-AUT-40.00X20.00X1.200X6.0000</t>
  </si>
  <si>
    <t>G230924002</t>
  </si>
  <si>
    <t>4B16H37683</t>
  </si>
  <si>
    <t>9518315613/ 7</t>
  </si>
  <si>
    <t>TUB-S-AW-SHS-40.00X40.00X1.200X0.1550</t>
  </si>
  <si>
    <t>4722H28022</t>
  </si>
  <si>
    <t>9518315613/ 26</t>
  </si>
  <si>
    <t>4829H31490</t>
  </si>
  <si>
    <t>2035</t>
  </si>
  <si>
    <t>AKN2410R37</t>
  </si>
  <si>
    <t>4C19H40094</t>
  </si>
  <si>
    <t>1200</t>
  </si>
  <si>
    <t>9518315613/ 8</t>
  </si>
  <si>
    <t>4B12BH2040</t>
  </si>
  <si>
    <t>302</t>
  </si>
  <si>
    <t>4B12CH2070</t>
  </si>
  <si>
    <t>106</t>
  </si>
  <si>
    <t>TUB-O-N-AUT-AW-PE-22.23X2.000X5.8000</t>
  </si>
  <si>
    <t>4C05CH2020</t>
  </si>
  <si>
    <t>502</t>
  </si>
  <si>
    <t>4C06H39204</t>
  </si>
  <si>
    <t>TUB-O-N-AUT-AW-PE-22.23X2.000X6.3250</t>
  </si>
  <si>
    <t>4410CH2080</t>
  </si>
  <si>
    <t>417</t>
  </si>
  <si>
    <t>4411AH2030</t>
  </si>
  <si>
    <t>98</t>
  </si>
  <si>
    <t>4527H16208</t>
  </si>
  <si>
    <t>9518254961/ 1</t>
  </si>
  <si>
    <t>19.05-0-2.3-ERW 1-PE-0.195</t>
  </si>
  <si>
    <t>4527H16211</t>
  </si>
  <si>
    <t>4527H16216</t>
  </si>
  <si>
    <t>4A05AH2070</t>
  </si>
  <si>
    <t>40</t>
  </si>
  <si>
    <t>4B26AH1010</t>
  </si>
  <si>
    <t>1506</t>
  </si>
  <si>
    <t>9518232440/ 9</t>
  </si>
  <si>
    <t>4C21H40195</t>
  </si>
  <si>
    <t>9518315452/ 9</t>
  </si>
  <si>
    <t>4A19BH1080</t>
  </si>
  <si>
    <t>9518315452/ 11</t>
  </si>
  <si>
    <t>4B26AH1030</t>
  </si>
  <si>
    <t>PV24030070</t>
  </si>
  <si>
    <t>5108H41201</t>
  </si>
  <si>
    <t>1489</t>
  </si>
  <si>
    <t>9518137189/ 24</t>
  </si>
  <si>
    <t>4616AH1010</t>
  </si>
  <si>
    <t>5400</t>
  </si>
  <si>
    <t>9517814654/ 11</t>
  </si>
  <si>
    <t>4616AH1020</t>
  </si>
  <si>
    <t>4711AH1120</t>
  </si>
  <si>
    <t>5556</t>
  </si>
  <si>
    <t>9517917886/ 13</t>
  </si>
  <si>
    <t>4816CH2030</t>
  </si>
  <si>
    <t>5746</t>
  </si>
  <si>
    <t>9517989672/ 10</t>
  </si>
  <si>
    <t>CUT-O-N-AUT-AW-PE-34.93X2.000X1.2800</t>
  </si>
  <si>
    <t>4511AH2010</t>
  </si>
  <si>
    <t>732</t>
  </si>
  <si>
    <t>9517773733/ 2</t>
  </si>
  <si>
    <t>4616BH2090</t>
  </si>
  <si>
    <t>940</t>
  </si>
  <si>
    <t>9517862455/ 1</t>
  </si>
  <si>
    <t>4C26H40494</t>
  </si>
  <si>
    <t>15200</t>
  </si>
  <si>
    <t>9518390450/ 10</t>
  </si>
  <si>
    <t>19.05-0-2.3-ERW 1-PE-0.275</t>
  </si>
  <si>
    <t>4B24BH2100</t>
  </si>
  <si>
    <t>19.05-0-2.3-ERW 1-PE-0.279</t>
  </si>
  <si>
    <t>4B24BH2110</t>
  </si>
  <si>
    <t>1970</t>
  </si>
  <si>
    <t>19.05-0-2.3-ERW 1-PE-0.281</t>
  </si>
  <si>
    <t>4B30H38953</t>
  </si>
  <si>
    <t>240</t>
  </si>
  <si>
    <t>4C20BH2050</t>
  </si>
  <si>
    <t>4C20BH2080</t>
  </si>
  <si>
    <t>720</t>
  </si>
  <si>
    <t>9518219789/ 7</t>
  </si>
  <si>
    <t>4705H26371</t>
  </si>
  <si>
    <t>9518314387/ 1</t>
  </si>
  <si>
    <t>4C25AH2040</t>
  </si>
  <si>
    <t>895</t>
  </si>
  <si>
    <t>9518418795/ 4</t>
  </si>
  <si>
    <t>4C25AH2050</t>
  </si>
  <si>
    <t>4C26AH2080</t>
  </si>
  <si>
    <t>1390</t>
  </si>
  <si>
    <t>9518317045/ 2</t>
  </si>
  <si>
    <t>5111H41414</t>
  </si>
  <si>
    <t>703</t>
  </si>
  <si>
    <t>TUB-N-AUT-AW-FC-22.23X2.000X6.2800</t>
  </si>
  <si>
    <t>4410CH2030</t>
  </si>
  <si>
    <t>423</t>
  </si>
  <si>
    <t>9518134245/ 17</t>
  </si>
  <si>
    <t>4C13AH1010</t>
  </si>
  <si>
    <t>1188</t>
  </si>
  <si>
    <t>9518315138/ 27</t>
  </si>
  <si>
    <t>4530H16568</t>
  </si>
  <si>
    <t>91</t>
  </si>
  <si>
    <t>9517860314/ 4</t>
  </si>
  <si>
    <t>5108H41211</t>
  </si>
  <si>
    <t>9518219789/ 12</t>
  </si>
  <si>
    <t>19.05-0-2.3-ERW 1-PE-0.4</t>
  </si>
  <si>
    <t>4B26CH2070</t>
  </si>
  <si>
    <t>1630</t>
  </si>
  <si>
    <t>9518397670/ 8</t>
  </si>
  <si>
    <t>TUB-O-N-AUT-AW-FC-48.60X3.400X3.0350</t>
  </si>
  <si>
    <t>4510CH2050</t>
  </si>
  <si>
    <t>19.05-0-2.3-ERW 1-PE-0.459</t>
  </si>
  <si>
    <t>4718CH2100</t>
  </si>
  <si>
    <t>1340</t>
  </si>
  <si>
    <t>9518122585/ 2</t>
  </si>
  <si>
    <t>19.05-0-2.3-ERW 1-PE-0.475</t>
  </si>
  <si>
    <t>4C28H40679</t>
  </si>
  <si>
    <t>420</t>
  </si>
  <si>
    <t>9518216595/ 2</t>
  </si>
  <si>
    <t>19.05-0-2.3-ERW 1-PE-0.55</t>
  </si>
  <si>
    <t>5111H41430</t>
  </si>
  <si>
    <t>9518395851/ 2</t>
  </si>
  <si>
    <t>4C18H39957</t>
  </si>
  <si>
    <t>2738</t>
  </si>
  <si>
    <t>9518314387/ 16</t>
  </si>
  <si>
    <t>19.05-0-2.3-ERW 1-PE-0.554</t>
  </si>
  <si>
    <t>4A21AH1020</t>
  </si>
  <si>
    <t>9518315613/ 21</t>
  </si>
  <si>
    <t>19.05-0-2.3-ERW 1-PE-0.555</t>
  </si>
  <si>
    <t>4A08AH1050</t>
  </si>
  <si>
    <t>9550</t>
  </si>
  <si>
    <t>9518390450/ 11</t>
  </si>
  <si>
    <t>4A26H36386</t>
  </si>
  <si>
    <t>5780</t>
  </si>
  <si>
    <t>4A26H36387</t>
  </si>
  <si>
    <t>4C27H40595</t>
  </si>
  <si>
    <t>10000</t>
  </si>
  <si>
    <t>241227006A</t>
  </si>
  <si>
    <t>9518397264/ 7</t>
  </si>
  <si>
    <t>5110AH2020</t>
  </si>
  <si>
    <t>1820</t>
  </si>
  <si>
    <t>4A11H35136</t>
  </si>
  <si>
    <t>1780</t>
  </si>
  <si>
    <t>9518390450/ 12</t>
  </si>
  <si>
    <t>19.05-0-2.3-ERW 1-PE-0.6</t>
  </si>
  <si>
    <t>4A27H36478</t>
  </si>
  <si>
    <t>4C27H40593</t>
  </si>
  <si>
    <t>10150</t>
  </si>
  <si>
    <t>4C27H40594</t>
  </si>
  <si>
    <t>TUB-O-N-AUT-AW-FC-57.15X2.500X6.5000</t>
  </si>
  <si>
    <t>4817H30466</t>
  </si>
  <si>
    <t>58</t>
  </si>
  <si>
    <t>9518254961/ 2</t>
  </si>
  <si>
    <t>4B08H37143</t>
  </si>
  <si>
    <t>054</t>
  </si>
  <si>
    <t>19.05-0-2.3-ERW 1-PE-0.739</t>
  </si>
  <si>
    <t>4C18CH2130</t>
  </si>
  <si>
    <t>75</t>
  </si>
  <si>
    <t>19.05-0-2.3-ERW 1-PE-0.887</t>
  </si>
  <si>
    <t>4C19AH2040</t>
  </si>
  <si>
    <t>74</t>
  </si>
  <si>
    <t>SEN25010R3</t>
  </si>
  <si>
    <t>9518397914/ 8</t>
  </si>
  <si>
    <t>4C09AH2020</t>
  </si>
  <si>
    <t>9518350424/ 4</t>
  </si>
  <si>
    <t>4C17H39938</t>
  </si>
  <si>
    <t>759</t>
  </si>
  <si>
    <t>SEN2501007</t>
  </si>
  <si>
    <t>9518350424/ 5</t>
  </si>
  <si>
    <t>5111H41522</t>
  </si>
  <si>
    <t>9518397914/ 9</t>
  </si>
  <si>
    <t>4530AK3090</t>
  </si>
  <si>
    <t>126</t>
  </si>
  <si>
    <t>9517656078/ 1</t>
  </si>
  <si>
    <t>4413AK3100</t>
  </si>
  <si>
    <t>201</t>
  </si>
  <si>
    <t>9517450413/ 1</t>
  </si>
  <si>
    <t>4B2064660A</t>
  </si>
  <si>
    <t>84</t>
  </si>
  <si>
    <t>9518209794/ 2</t>
  </si>
  <si>
    <t>4B2064660B</t>
  </si>
  <si>
    <t>96</t>
  </si>
  <si>
    <t>4B2064660C</t>
  </si>
  <si>
    <t>4510CK2130</t>
  </si>
  <si>
    <t>9518271483/ 3</t>
  </si>
  <si>
    <t>4C04AK2010</t>
  </si>
  <si>
    <t>9518316619/ 1</t>
  </si>
  <si>
    <t>4C04AK2020</t>
  </si>
  <si>
    <t>19.05-0-2.3-ERW 1-PE-0.25</t>
  </si>
  <si>
    <t>4C04AK2030</t>
  </si>
  <si>
    <t>210</t>
  </si>
  <si>
    <t>19.05-0-2.3-ERW 1-PE-0.402</t>
  </si>
  <si>
    <t>4C0765500A</t>
  </si>
  <si>
    <t>120</t>
  </si>
  <si>
    <t>4C0765500C</t>
  </si>
  <si>
    <t>19.1-16.1-1.5-CEW-FIN CUT</t>
  </si>
  <si>
    <t>19.1-16.1-1.5-CEW-FIN CUT-1</t>
  </si>
  <si>
    <t>4C07K39264</t>
  </si>
  <si>
    <t>4C1265780A</t>
  </si>
  <si>
    <t>110</t>
  </si>
  <si>
    <t>20-17.16-1.42-CEW-CEW-1</t>
  </si>
  <si>
    <t>4C1265780B</t>
  </si>
  <si>
    <t>20-12.4-3.8-CEW-CEW-1</t>
  </si>
  <si>
    <t>4C1465850A</t>
  </si>
  <si>
    <t>20-12.4-4.5-CEW-CEW-1</t>
  </si>
  <si>
    <t>4C1465850B</t>
  </si>
  <si>
    <t>4C1465850C</t>
  </si>
  <si>
    <t>21.4--1.6-ERW 1-PE</t>
  </si>
  <si>
    <t>21.4--1.6-ERW 1-PE-1</t>
  </si>
  <si>
    <t>4C04CK2010</t>
  </si>
  <si>
    <t>174</t>
  </si>
  <si>
    <t>9518316715/ 1</t>
  </si>
  <si>
    <t>21.4-0-1.6- ERW 1-PE</t>
  </si>
  <si>
    <t>21.4-0-1.6- ERW 1-PE-1</t>
  </si>
  <si>
    <t>4C1165640A</t>
  </si>
  <si>
    <t>check grade tdc-0.93</t>
  </si>
  <si>
    <t>4C1165640B</t>
  </si>
  <si>
    <t>80</t>
  </si>
  <si>
    <t>4C1165640C</t>
  </si>
  <si>
    <t>21.75-0-3.5-CEW-CEW-1</t>
  </si>
  <si>
    <t>4C1165650A</t>
  </si>
  <si>
    <t>22.23-0-2-ERW 1-PE-0.3</t>
  </si>
  <si>
    <t>4C1165650B</t>
  </si>
  <si>
    <t>22.23-0-2-ERW 1-PE-0.6</t>
  </si>
  <si>
    <t>4C1165650C</t>
  </si>
  <si>
    <t>4C1165720A</t>
  </si>
  <si>
    <t>22.23-0-2-ERW 1-PE-0.63</t>
  </si>
  <si>
    <t>4C1165720B</t>
  </si>
  <si>
    <t>90</t>
  </si>
  <si>
    <t>4C1165720C</t>
  </si>
  <si>
    <t>4707BK3090</t>
  </si>
  <si>
    <t>9518298429/ 4</t>
  </si>
  <si>
    <t>TUB-I-C-AUT-AD-FC-23.30X2.650X6.0700</t>
  </si>
  <si>
    <t>4B19K37919</t>
  </si>
  <si>
    <t>145</t>
  </si>
  <si>
    <t>9518132963/ 1</t>
  </si>
  <si>
    <t>4B19K37920</t>
  </si>
  <si>
    <t>22.23-0-2-ERW 1-PE-1.162</t>
  </si>
  <si>
    <t>4509K13788</t>
  </si>
  <si>
    <t>99</t>
  </si>
  <si>
    <t>4606K17586</t>
  </si>
  <si>
    <t>22.23-0-2-ERW 1-PE-1.3</t>
  </si>
  <si>
    <t>4B20AK3180</t>
  </si>
  <si>
    <t>A2306029</t>
  </si>
  <si>
    <t>203</t>
  </si>
  <si>
    <t>4A09AK1110</t>
  </si>
  <si>
    <t>22.2--1.4-ERW 2-NON FIN</t>
  </si>
  <si>
    <t>22.2--1.4-ERW 2-NON FIN-1</t>
  </si>
  <si>
    <t>5101AK1010</t>
  </si>
  <si>
    <t>304</t>
  </si>
  <si>
    <t>check thickness tdc</t>
  </si>
  <si>
    <t>check thickness tdc-1</t>
  </si>
  <si>
    <t>5101AK1020</t>
  </si>
  <si>
    <t>5101AK1030</t>
  </si>
  <si>
    <t>556</t>
  </si>
  <si>
    <t>22.23-0-1.6-ERW 1-PE-0.283</t>
  </si>
  <si>
    <t>5101AK1040</t>
  </si>
  <si>
    <t>523</t>
  </si>
  <si>
    <t>5101AK1050</t>
  </si>
  <si>
    <t>337</t>
  </si>
  <si>
    <t>4A21BK3020</t>
  </si>
  <si>
    <t>68</t>
  </si>
  <si>
    <t>4B26BK3050</t>
  </si>
  <si>
    <t>165</t>
  </si>
  <si>
    <t>22.23-0-1.6-ERW 1-PE-0.361</t>
  </si>
  <si>
    <t>510867010A</t>
  </si>
  <si>
    <t>510867010B</t>
  </si>
  <si>
    <t>60</t>
  </si>
  <si>
    <t>510867010C</t>
  </si>
  <si>
    <t>4B2764810A</t>
  </si>
  <si>
    <t>4B2764810B</t>
  </si>
  <si>
    <t>4B2764810C</t>
  </si>
  <si>
    <t>22.23-0-1.6-ERW 1-PE-0.57</t>
  </si>
  <si>
    <t>4B2965070A</t>
  </si>
  <si>
    <t>160</t>
  </si>
  <si>
    <t>4B2965070B</t>
  </si>
  <si>
    <t>4B2965070C</t>
  </si>
  <si>
    <t>4B2965120A</t>
  </si>
  <si>
    <t>22.23-0-1.6-ERW 1-PE-0.675</t>
  </si>
  <si>
    <t>4B3065220A</t>
  </si>
  <si>
    <t>180</t>
  </si>
  <si>
    <t>22.23-0-1.6-ERW 1-PE-0.809</t>
  </si>
  <si>
    <t>4B3065220B</t>
  </si>
  <si>
    <t>4B3065220C</t>
  </si>
  <si>
    <t>22.23-0-1.6-ERW 1-PE-0.967</t>
  </si>
  <si>
    <t>4C0565370A</t>
  </si>
  <si>
    <t>4C0565370B</t>
  </si>
  <si>
    <t>4C0565370C</t>
  </si>
  <si>
    <t>4C0665460A</t>
  </si>
  <si>
    <t>4C0665460B</t>
  </si>
  <si>
    <t>4C0665460C</t>
  </si>
  <si>
    <t>4C0665490A</t>
  </si>
  <si>
    <t>22.23-0-1.6-ERW 1-PE-1.3</t>
  </si>
  <si>
    <t>4C0665490B</t>
  </si>
  <si>
    <t>22.23-0-1.6-ERW 1-PE-1.337</t>
  </si>
  <si>
    <t>4C0665490C</t>
  </si>
  <si>
    <t>4C0765530A</t>
  </si>
  <si>
    <t>4C0765530B</t>
  </si>
  <si>
    <t>4C0765530C</t>
  </si>
  <si>
    <t>4C0765560A</t>
  </si>
  <si>
    <t>4C0765560B</t>
  </si>
  <si>
    <t>325</t>
  </si>
  <si>
    <t>4C0765560C</t>
  </si>
  <si>
    <t>4A28CK2040</t>
  </si>
  <si>
    <t>288</t>
  </si>
  <si>
    <t>4B02AK2020</t>
  </si>
  <si>
    <t>4B02CK2010</t>
  </si>
  <si>
    <t>4B02CK2020</t>
  </si>
  <si>
    <t>295</t>
  </si>
  <si>
    <t>4B02CK2030</t>
  </si>
  <si>
    <t>22.23-0-2-ERW 1-PE-0.18</t>
  </si>
  <si>
    <t>4B02CK2050</t>
  </si>
  <si>
    <t>306</t>
  </si>
  <si>
    <t>4C0665450A</t>
  </si>
  <si>
    <t>22.23-0-2-ERW 1-PE-0.236</t>
  </si>
  <si>
    <t>4C0665450B</t>
  </si>
  <si>
    <t>140</t>
  </si>
  <si>
    <t>4C0665470A</t>
  </si>
  <si>
    <t>4C0665470B</t>
  </si>
  <si>
    <t>22.23-0-2-ERW 1-FC-0.505</t>
  </si>
  <si>
    <t>4C0665470C</t>
  </si>
  <si>
    <t>22.23-0-2-ERW 1-PE-0.574</t>
  </si>
  <si>
    <t>4B09BK2070</t>
  </si>
  <si>
    <t>471565020A</t>
  </si>
  <si>
    <t>22.23-0-2-ERW 1-PE-0.706</t>
  </si>
  <si>
    <t>471565020B</t>
  </si>
  <si>
    <t>22.23-0-2-ERW 1-PE-0.708</t>
  </si>
  <si>
    <t>471565020C</t>
  </si>
  <si>
    <t>22.23-0-2-ERW 1-PE-0.715</t>
  </si>
  <si>
    <t>4B07BK2080</t>
  </si>
  <si>
    <t>4B23CK2010</t>
  </si>
  <si>
    <t>158</t>
  </si>
  <si>
    <t>4B23CK2020</t>
  </si>
  <si>
    <t>173</t>
  </si>
  <si>
    <t>22.23-0-2-ERW 1-PE-0.772</t>
  </si>
  <si>
    <t>4B23CK2030</t>
  </si>
  <si>
    <t>4B23CK2040</t>
  </si>
  <si>
    <t>172</t>
  </si>
  <si>
    <t>4B23CK2050</t>
  </si>
  <si>
    <t>4B23CK2070</t>
  </si>
  <si>
    <t>179</t>
  </si>
  <si>
    <t>4B23CK2080</t>
  </si>
  <si>
    <t>4B23CK2090</t>
  </si>
  <si>
    <t>167</t>
  </si>
  <si>
    <t>22.23-0-2-ERW 1-PE-0.851</t>
  </si>
  <si>
    <t>4B2764960A</t>
  </si>
  <si>
    <t>4B2764960B</t>
  </si>
  <si>
    <t>4B2764960C</t>
  </si>
  <si>
    <t>4B27K38579</t>
  </si>
  <si>
    <t>37</t>
  </si>
  <si>
    <t>4B2865020A</t>
  </si>
  <si>
    <t>22.23-0-2-ERW 1-PE-1.385</t>
  </si>
  <si>
    <t>4B2865020B</t>
  </si>
  <si>
    <t>4B28K38664</t>
  </si>
  <si>
    <t>66</t>
  </si>
  <si>
    <t>4C0465320A</t>
  </si>
  <si>
    <t>82</t>
  </si>
  <si>
    <t>4C0465320B</t>
  </si>
  <si>
    <t>83</t>
  </si>
  <si>
    <t>4C0465320C</t>
  </si>
  <si>
    <t>4C2166180A</t>
  </si>
  <si>
    <t>4C2166180B</t>
  </si>
  <si>
    <t>4C21K40242</t>
  </si>
  <si>
    <t>43</t>
  </si>
  <si>
    <t>22.23-0-2-ERW 2 MAHS-FC-1</t>
  </si>
  <si>
    <t>4C2366290A</t>
  </si>
  <si>
    <t>4C2366290B</t>
  </si>
  <si>
    <t>4C2366290C</t>
  </si>
  <si>
    <t>4A24BK3030</t>
  </si>
  <si>
    <t>62</t>
  </si>
  <si>
    <t>4A24BK3040</t>
  </si>
  <si>
    <t>72</t>
  </si>
  <si>
    <t>4A24BK3050</t>
  </si>
  <si>
    <t>4A24BK3060</t>
  </si>
  <si>
    <t>22.23-0-2.3-ERW 1-PE-0.245</t>
  </si>
  <si>
    <t>4A24BK3070</t>
  </si>
  <si>
    <t>67</t>
  </si>
  <si>
    <t>4A24BK3080</t>
  </si>
  <si>
    <t>69</t>
  </si>
  <si>
    <t>4A24BK3090</t>
  </si>
  <si>
    <t>22.23-0-2.3-ERW 1-PE-0.35</t>
  </si>
  <si>
    <t>4A24BK3100</t>
  </si>
  <si>
    <t>73</t>
  </si>
  <si>
    <t>22.23-0-2.3-ERW 1-PE-0.37</t>
  </si>
  <si>
    <t>4B03AK4070</t>
  </si>
  <si>
    <t>41</t>
  </si>
  <si>
    <t>4B03AK4080</t>
  </si>
  <si>
    <t>22.23-0-2.3-ERW 1-PE-0.425</t>
  </si>
  <si>
    <t>4B03AK4090</t>
  </si>
  <si>
    <t>TUB-S-AW-SHS-50.0X50.0X1.6X6.1210BSVIHDP</t>
  </si>
  <si>
    <t>4C28AK4030</t>
  </si>
  <si>
    <t>NR</t>
  </si>
  <si>
    <t>4C28AK4040</t>
  </si>
  <si>
    <t>119</t>
  </si>
  <si>
    <t>22.23-0-2.3-ERW 1-PE-0.43</t>
  </si>
  <si>
    <t>4C28AK4050</t>
  </si>
  <si>
    <t>127</t>
  </si>
  <si>
    <t>4C28AK4060</t>
  </si>
  <si>
    <t>4927CK3010</t>
  </si>
  <si>
    <t>4927CK3070</t>
  </si>
  <si>
    <t>4A11AK3030</t>
  </si>
  <si>
    <t>4A11BK3010</t>
  </si>
  <si>
    <t>4A28CK3010</t>
  </si>
  <si>
    <t>101</t>
  </si>
  <si>
    <t>22.23-0-1.2-ERW 1-PE-0.14</t>
  </si>
  <si>
    <t>4A28CK3090</t>
  </si>
  <si>
    <t>4A28CK3160</t>
  </si>
  <si>
    <t>22.23-0-1.2-ERW 1-PE-0.6</t>
  </si>
  <si>
    <t>4A28CK3170</t>
  </si>
  <si>
    <t>4A28CK3180</t>
  </si>
  <si>
    <t>115</t>
  </si>
  <si>
    <t>4A29AK3020</t>
  </si>
  <si>
    <t>116</t>
  </si>
  <si>
    <t>22.23-0-1.2-ERW 1-PE-1.26</t>
  </si>
  <si>
    <t>4A29AK3130</t>
  </si>
  <si>
    <t>4A29AK3160</t>
  </si>
  <si>
    <t>4A29AK3170</t>
  </si>
  <si>
    <t>112</t>
  </si>
  <si>
    <t>4A29AK3190</t>
  </si>
  <si>
    <t>4A29BK3010</t>
  </si>
  <si>
    <t>4B10AK3010</t>
  </si>
  <si>
    <t>95</t>
  </si>
  <si>
    <t>4B10AK3020</t>
  </si>
  <si>
    <t>4B10AK3030</t>
  </si>
  <si>
    <t>4B10AK3050</t>
  </si>
  <si>
    <t>4B10AK3070</t>
  </si>
  <si>
    <t>123</t>
  </si>
  <si>
    <t>4B10AK3080</t>
  </si>
  <si>
    <t>121</t>
  </si>
  <si>
    <t>4B10AK3100</t>
  </si>
  <si>
    <t>122</t>
  </si>
  <si>
    <t>4B10AK3110</t>
  </si>
  <si>
    <t>4B10AK3130</t>
  </si>
  <si>
    <t>124</t>
  </si>
  <si>
    <t>4B10AK3140</t>
  </si>
  <si>
    <t>4B10AK3160</t>
  </si>
  <si>
    <t>4B10BK3100</t>
  </si>
  <si>
    <t>4B10BK3110</t>
  </si>
  <si>
    <t>check thickness usage</t>
  </si>
  <si>
    <t>check thickness usage-1</t>
  </si>
  <si>
    <t>4B10BK3120</t>
  </si>
  <si>
    <t>4B10BK3140</t>
  </si>
  <si>
    <t>22.23-0-1.6-ERW 1-PE-0.21</t>
  </si>
  <si>
    <t>4B10BK3170</t>
  </si>
  <si>
    <t>4B10BK3190</t>
  </si>
  <si>
    <t>4B10BK3200</t>
  </si>
  <si>
    <t>4B10BK3210</t>
  </si>
  <si>
    <t>22.23-0-1.6-ERW 1-PE-0.293</t>
  </si>
  <si>
    <t>4B10BK3230</t>
  </si>
  <si>
    <t>108</t>
  </si>
  <si>
    <t>4B10BK3240</t>
  </si>
  <si>
    <t>4B10BK3250</t>
  </si>
  <si>
    <t>4B10BK3260</t>
  </si>
  <si>
    <t>4B10CK3030</t>
  </si>
  <si>
    <t>22.23-0-1.6-ERW 1-PE-0.427</t>
  </si>
  <si>
    <t>4B19K37956</t>
  </si>
  <si>
    <t>22.23-0-1.6-ERW 2 MAHS-PE-0.57</t>
  </si>
  <si>
    <t>4C19K40111</t>
  </si>
  <si>
    <t>22.23-0-1.6-ERW 2 MAHS-PE-0.654</t>
  </si>
  <si>
    <t>4C19K40112</t>
  </si>
  <si>
    <t>4C28CK3020</t>
  </si>
  <si>
    <t>4C28CK3030</t>
  </si>
  <si>
    <t>111</t>
  </si>
  <si>
    <t>4C28CK3040</t>
  </si>
  <si>
    <t>4C28CK3100</t>
  </si>
  <si>
    <t>22.23-0-1.6-ERW 1-PE-0.74</t>
  </si>
  <si>
    <t>4C28CK3110</t>
  </si>
  <si>
    <t>4C28CK3120</t>
  </si>
  <si>
    <t>22.23-0-1.6-ERW 2 MAHS-PE-0.844</t>
  </si>
  <si>
    <t>4C28CK3130</t>
  </si>
  <si>
    <t>22.23-0-1.6-ERW 1-PE-0.88</t>
  </si>
  <si>
    <t>4C28CK3140</t>
  </si>
  <si>
    <t>22.23-0-1.6-ERW 2 MAHS-PE-0.925</t>
  </si>
  <si>
    <t>4C29AK3010</t>
  </si>
  <si>
    <t>4C29AK3020</t>
  </si>
  <si>
    <t>22.23-0-1.6-ERW 1-PE-0.945</t>
  </si>
  <si>
    <t>4C29AK3030</t>
  </si>
  <si>
    <t>109</t>
  </si>
  <si>
    <t>4C30K40815</t>
  </si>
  <si>
    <t>4C30K40816</t>
  </si>
  <si>
    <t>5104BK3040</t>
  </si>
  <si>
    <t>142</t>
  </si>
  <si>
    <t>5104BK3050</t>
  </si>
  <si>
    <t>5104BK3060</t>
  </si>
  <si>
    <t>146</t>
  </si>
  <si>
    <t>5104BK3070</t>
  </si>
  <si>
    <t>4623BK3080</t>
  </si>
  <si>
    <t>4724AK4110</t>
  </si>
  <si>
    <t>52</t>
  </si>
  <si>
    <t>4727AK4010</t>
  </si>
  <si>
    <t>4727AK4030</t>
  </si>
  <si>
    <t>4A07CK3020</t>
  </si>
  <si>
    <t>4A07K34852</t>
  </si>
  <si>
    <t>4A07K34856</t>
  </si>
  <si>
    <t>4A16AK4070</t>
  </si>
  <si>
    <t>4A16AK4090</t>
  </si>
  <si>
    <t>4A16AK4120</t>
  </si>
  <si>
    <t>54</t>
  </si>
  <si>
    <t>22.23-0-1.6-ERW 2 MAHS-PE-1</t>
  </si>
  <si>
    <t>4A16AK4140</t>
  </si>
  <si>
    <t>44</t>
  </si>
  <si>
    <t>4A16AK4150</t>
  </si>
  <si>
    <t>4B18BK4020</t>
  </si>
  <si>
    <t>4B18BK4030</t>
  </si>
  <si>
    <t>4B18BK4080</t>
  </si>
  <si>
    <t>4B18CK4010</t>
  </si>
  <si>
    <t>4B18CK4020</t>
  </si>
  <si>
    <t>MG19B2405</t>
  </si>
  <si>
    <t>4B14CK3030</t>
  </si>
  <si>
    <t>D2402016</t>
  </si>
  <si>
    <t>D2402132</t>
  </si>
  <si>
    <t>4609BK1080</t>
  </si>
  <si>
    <t>4905AK1030</t>
  </si>
  <si>
    <t>374</t>
  </si>
  <si>
    <t>4906CK1010</t>
  </si>
  <si>
    <t>4A27CK1020</t>
  </si>
  <si>
    <t>133</t>
  </si>
  <si>
    <t>4A27CK1040</t>
  </si>
  <si>
    <t>266</t>
  </si>
  <si>
    <t>22.23-0-2-ERW 1-PE-0.263</t>
  </si>
  <si>
    <t>A2407761</t>
  </si>
  <si>
    <t>22.23-0-2-ERW 1-PE-0.27</t>
  </si>
  <si>
    <t>4A27CK1050</t>
  </si>
  <si>
    <t>744</t>
  </si>
  <si>
    <t>4A27CK1060</t>
  </si>
  <si>
    <t>545</t>
  </si>
  <si>
    <t>22.23-0-2-ERW 1-PE-0.505</t>
  </si>
  <si>
    <t>4A27CK1070</t>
  </si>
  <si>
    <t>547</t>
  </si>
  <si>
    <t>4A28AK1030</t>
  </si>
  <si>
    <t>546</t>
  </si>
  <si>
    <t>263</t>
  </si>
  <si>
    <t>22.23-0-2-ERW 2 MAHS-FC-0.604</t>
  </si>
  <si>
    <t>4A28AK1050</t>
  </si>
  <si>
    <t>22.23-0-2-ERW 1-PE-0.64</t>
  </si>
  <si>
    <t>4A28BK1040</t>
  </si>
  <si>
    <t>4C0465340C</t>
  </si>
  <si>
    <t>4908K32472</t>
  </si>
  <si>
    <t>4910K32586</t>
  </si>
  <si>
    <t>CH</t>
  </si>
  <si>
    <t>22.23-0-2-ERW 2 MAHS-PE-0.775</t>
  </si>
  <si>
    <t>4C11K39472</t>
  </si>
  <si>
    <t>187</t>
  </si>
  <si>
    <t>4C12K39639</t>
  </si>
  <si>
    <t>4808K29789</t>
  </si>
  <si>
    <t>4A04CK3010</t>
  </si>
  <si>
    <t>77</t>
  </si>
  <si>
    <t>22.23-0-2-ERW 2 MAHS-PE-0.827</t>
  </si>
  <si>
    <t>4A25K36287</t>
  </si>
  <si>
    <t>4B20BK3030</t>
  </si>
  <si>
    <t>97</t>
  </si>
  <si>
    <t>4A26K36453</t>
  </si>
  <si>
    <t>AS</t>
  </si>
  <si>
    <t>4B10CK2040</t>
  </si>
  <si>
    <t>186</t>
  </si>
  <si>
    <t>4B10CK2140</t>
  </si>
  <si>
    <t>206</t>
  </si>
  <si>
    <t>4B10CK2150</t>
  </si>
  <si>
    <t>4B10CK2160</t>
  </si>
  <si>
    <t>209</t>
  </si>
  <si>
    <t>4B11AK2060</t>
  </si>
  <si>
    <t>208</t>
  </si>
  <si>
    <t>4B11AK2070</t>
  </si>
  <si>
    <t>4B11AK2140</t>
  </si>
  <si>
    <t>4B14K37536</t>
  </si>
  <si>
    <t>168</t>
  </si>
  <si>
    <t>4B19K37970</t>
  </si>
  <si>
    <t>143</t>
  </si>
  <si>
    <t>22.23-0-2-ERW 2 MAHS-PE-0.935</t>
  </si>
  <si>
    <t>4B20K38021</t>
  </si>
  <si>
    <t>178</t>
  </si>
  <si>
    <t>22.23-0-2-ERW 1-PE-1.012</t>
  </si>
  <si>
    <t>4B20K38023</t>
  </si>
  <si>
    <t>4B20K38029</t>
  </si>
  <si>
    <t>197</t>
  </si>
  <si>
    <t>4B20K38031</t>
  </si>
  <si>
    <t>164</t>
  </si>
  <si>
    <t>4B21K38053</t>
  </si>
  <si>
    <t>4B21K38059</t>
  </si>
  <si>
    <t>92</t>
  </si>
  <si>
    <t>4B21K38061</t>
  </si>
  <si>
    <t>4B21K38062</t>
  </si>
  <si>
    <t>156</t>
  </si>
  <si>
    <t>4C07K39261</t>
  </si>
  <si>
    <t>4C16K39819</t>
  </si>
  <si>
    <t>MG0312502</t>
  </si>
  <si>
    <t>86</t>
  </si>
  <si>
    <t>4B08CK2080</t>
  </si>
  <si>
    <t>204</t>
  </si>
  <si>
    <t>4B09AK2010</t>
  </si>
  <si>
    <t>182</t>
  </si>
  <si>
    <t>4B09AK2020</t>
  </si>
  <si>
    <t>4B09AK2050</t>
  </si>
  <si>
    <t>4B09AK2060</t>
  </si>
  <si>
    <t>4B24K38315</t>
  </si>
  <si>
    <t>4B24K38316</t>
  </si>
  <si>
    <t>4B24K38317</t>
  </si>
  <si>
    <t>4B24K38318</t>
  </si>
  <si>
    <t>4B24K38319</t>
  </si>
  <si>
    <t>4A31BK3010</t>
  </si>
  <si>
    <t>4C29BK3010</t>
  </si>
  <si>
    <t>4C29BK3020</t>
  </si>
  <si>
    <t>4C29BK3030</t>
  </si>
  <si>
    <t>36</t>
  </si>
  <si>
    <t>4C29BK3040</t>
  </si>
  <si>
    <t>4C29BK3050</t>
  </si>
  <si>
    <t>4C29CK3010</t>
  </si>
  <si>
    <t>59</t>
  </si>
  <si>
    <t>22.23-0-2-ERW 2-FC-1</t>
  </si>
  <si>
    <t>4C29CK3020</t>
  </si>
  <si>
    <t>4C29CK3030</t>
  </si>
  <si>
    <t>78</t>
  </si>
  <si>
    <t>4C29CK3040</t>
  </si>
  <si>
    <t>4C29CK3050</t>
  </si>
  <si>
    <t>4C29CK3060</t>
  </si>
  <si>
    <t>4C29CK3070</t>
  </si>
  <si>
    <t>4C29CK3080</t>
  </si>
  <si>
    <t>4C29CK3090</t>
  </si>
  <si>
    <t>65</t>
  </si>
  <si>
    <t>4C29CK3100</t>
  </si>
  <si>
    <t>4C29CK3110</t>
  </si>
  <si>
    <t>85</t>
  </si>
  <si>
    <t>22.23-0-2-ERW 2 MAHS-PE-0.924</t>
  </si>
  <si>
    <t>4C29CK3120</t>
  </si>
  <si>
    <t>71</t>
  </si>
  <si>
    <t>4C29CK3130</t>
  </si>
  <si>
    <t>4C29CK3140</t>
  </si>
  <si>
    <t>4C29CK3150</t>
  </si>
  <si>
    <t>5101AK3010</t>
  </si>
  <si>
    <t>22.23-0-2.3-ERW 1-PE-0.499</t>
  </si>
  <si>
    <t>4A25C40110</t>
  </si>
  <si>
    <t>4722BK1030</t>
  </si>
  <si>
    <t>313</t>
  </si>
  <si>
    <t>4722BK1090</t>
  </si>
  <si>
    <t>476</t>
  </si>
  <si>
    <t>TUB-R-AW-RHS-60.00X30.00X1.600X6.0000</t>
  </si>
  <si>
    <t>D2308058</t>
  </si>
  <si>
    <t>230</t>
  </si>
  <si>
    <t>22.23-0-2.3-ERW 2-PE</t>
  </si>
  <si>
    <t>22.23-0-2.3-ERW 2-PE-1</t>
  </si>
  <si>
    <t>TUB-O-N-GEN-AW-PE-25.40X1.400X6.0000</t>
  </si>
  <si>
    <t>A2306462</t>
  </si>
  <si>
    <t>331</t>
  </si>
  <si>
    <t>4330CK1090</t>
  </si>
  <si>
    <t>245</t>
  </si>
  <si>
    <t>A2406203</t>
  </si>
  <si>
    <t>437</t>
  </si>
  <si>
    <t>checkness thickness tdc</t>
  </si>
  <si>
    <t>checkness thickness tdc-1</t>
  </si>
  <si>
    <t>SH62307032</t>
  </si>
  <si>
    <t>E34</t>
  </si>
  <si>
    <t>22.23-0-2-ERW 2 MAHS-PE-0.27</t>
  </si>
  <si>
    <t>4C09BK3040</t>
  </si>
  <si>
    <t>4C16K39876</t>
  </si>
  <si>
    <t>25-25-1.2-CRFH-PE-0.33</t>
  </si>
  <si>
    <t>4A25BK4040</t>
  </si>
  <si>
    <t>4B06CK4090</t>
  </si>
  <si>
    <t>4B24K38323</t>
  </si>
  <si>
    <t>4722BK1080</t>
  </si>
  <si>
    <t>477</t>
  </si>
  <si>
    <t>25-25-1.2-CRFH-PE-1.246</t>
  </si>
  <si>
    <t>4B16CK3150</t>
  </si>
  <si>
    <t>4C05CK3010</t>
  </si>
  <si>
    <t>55</t>
  </si>
  <si>
    <t>4C05CK3030</t>
  </si>
  <si>
    <t>135</t>
  </si>
  <si>
    <t>4528CK2050</t>
  </si>
  <si>
    <t>322</t>
  </si>
  <si>
    <t>4A04CK3020</t>
  </si>
  <si>
    <t>4A25K36284</t>
  </si>
  <si>
    <t>4A25K36348</t>
  </si>
  <si>
    <t>4927CK1010</t>
  </si>
  <si>
    <t>603</t>
  </si>
  <si>
    <t>4927CK1020</t>
  </si>
  <si>
    <t>25.4-0-1.2-ERW 1-PE-1</t>
  </si>
  <si>
    <t>4927CK1040</t>
  </si>
  <si>
    <t>25.4-0-1.2-ERW 1-PE-1.33</t>
  </si>
  <si>
    <t>4928AK1020</t>
  </si>
  <si>
    <t>464</t>
  </si>
  <si>
    <t>4B29BK3020</t>
  </si>
  <si>
    <t>154</t>
  </si>
  <si>
    <t>NS20242</t>
  </si>
  <si>
    <t>4606K17516</t>
  </si>
  <si>
    <t>4530K16594</t>
  </si>
  <si>
    <t>574</t>
  </si>
  <si>
    <t>S62401383</t>
  </si>
  <si>
    <t>431362440A</t>
  </si>
  <si>
    <t>431362440B</t>
  </si>
  <si>
    <t>461262790A</t>
  </si>
  <si>
    <t>461262790B</t>
  </si>
  <si>
    <t>461262790C</t>
  </si>
  <si>
    <t>461563010B</t>
  </si>
  <si>
    <t>check thickness tdc-0.459</t>
  </si>
  <si>
    <t>461563010C</t>
  </si>
  <si>
    <t>25.4-0-1.4-ERW 2-PE</t>
  </si>
  <si>
    <t>25.4-0-1.4-ERW 2-PE-0.783</t>
  </si>
  <si>
    <t>4813BK3060</t>
  </si>
  <si>
    <t>25.4-0-1.4-ERW 2-PE-1</t>
  </si>
  <si>
    <t>441165530A</t>
  </si>
  <si>
    <t>255</t>
  </si>
  <si>
    <t>441165530B</t>
  </si>
  <si>
    <t>25.4--1.4-ERW 1-FIN CUT</t>
  </si>
  <si>
    <t>25.4--1.4-ERW 1-FIN CUT-1</t>
  </si>
  <si>
    <t>S6230Z113</t>
  </si>
  <si>
    <t>S6230Z115</t>
  </si>
  <si>
    <t>366</t>
  </si>
  <si>
    <t>4A29AK3150</t>
  </si>
  <si>
    <t>25.4-0-1.6-ERW 1-PE-0.126</t>
  </si>
  <si>
    <t>TUB-O-C-AUT-AD-FC-25.40X4.000X04-05</t>
  </si>
  <si>
    <t>S62303077</t>
  </si>
  <si>
    <t>25.4-0-1.6-ERW 1-PE-0.208</t>
  </si>
  <si>
    <t>S62303450</t>
  </si>
  <si>
    <t>4B06CK3080</t>
  </si>
  <si>
    <t>144</t>
  </si>
  <si>
    <t>25.4-0-1.6-ERW 1-PE-0.36</t>
  </si>
  <si>
    <t>4B06CK3120</t>
  </si>
  <si>
    <t>25.4-0-1.6-ERW 1-FC-0.36</t>
  </si>
  <si>
    <t>4B15K37589</t>
  </si>
  <si>
    <t>25.4-0-1.6-ERW 1-PE-0.412</t>
  </si>
  <si>
    <t>4A09CK3040</t>
  </si>
  <si>
    <t>MG25A2415</t>
  </si>
  <si>
    <t>4831K31714</t>
  </si>
  <si>
    <t>25.4-0-1.6-ERW 1-FC-0.415</t>
  </si>
  <si>
    <t>25.4-0-1.6-ERW 1-PE-0.47</t>
  </si>
  <si>
    <t>4A25CK4050</t>
  </si>
  <si>
    <t>118</t>
  </si>
  <si>
    <t>25.4-0-1.6-ERW 1-PE-0.512</t>
  </si>
  <si>
    <t>4B06CK4110</t>
  </si>
  <si>
    <t>4B06CK4120</t>
  </si>
  <si>
    <t>A2311346</t>
  </si>
  <si>
    <t>TUB-O-C-AUT-AN-FC-37.50X3.400X4.1000</t>
  </si>
  <si>
    <t>4708BK3080</t>
  </si>
  <si>
    <t>211</t>
  </si>
  <si>
    <t>4814K30342</t>
  </si>
  <si>
    <t>TUB-O-N-AUT-AW-FC-41.28X3.150X5.05-ERW 1</t>
  </si>
  <si>
    <t>4611B40060</t>
  </si>
  <si>
    <t>4A20C40080</t>
  </si>
  <si>
    <t>4A20C40110</t>
  </si>
  <si>
    <t>25.4-0-1.6-ERW 1-FC-1</t>
  </si>
  <si>
    <t>4830K31577</t>
  </si>
  <si>
    <t>4A29AK3030</t>
  </si>
  <si>
    <t>4B10AK3060</t>
  </si>
  <si>
    <t>4B10BK3130</t>
  </si>
  <si>
    <t>4B10CK3040</t>
  </si>
  <si>
    <t>25.4-0-2-ERW 1-FC-0.213</t>
  </si>
  <si>
    <t>4830BK3130</t>
  </si>
  <si>
    <t>25.4-0-2-ERW 1-FC-0.228</t>
  </si>
  <si>
    <t>4830BK3140</t>
  </si>
  <si>
    <t>4830BK3160</t>
  </si>
  <si>
    <t>25.4-0-2-ERW 1-PE-0.281</t>
  </si>
  <si>
    <t>4C28CK3050</t>
  </si>
  <si>
    <t>4C28CK3060</t>
  </si>
  <si>
    <t>4C28CK3070</t>
  </si>
  <si>
    <t>25.4-0-2-ERW 1-PE-0.31</t>
  </si>
  <si>
    <t>4C28CK3080</t>
  </si>
  <si>
    <t>AH</t>
  </si>
  <si>
    <t>25.4-0-2-ERW 1-PE-0.315</t>
  </si>
  <si>
    <t>4C28CK3090</t>
  </si>
  <si>
    <t>25.4-0-2-ERW 1-FC-0.32</t>
  </si>
  <si>
    <t>4B29CK3110</t>
  </si>
  <si>
    <t>131</t>
  </si>
  <si>
    <t>4B29CK3160</t>
  </si>
  <si>
    <t>4724BK4110</t>
  </si>
  <si>
    <t>25.4-0-2-ERW 1-FC-0.405</t>
  </si>
  <si>
    <t>4916BK4100</t>
  </si>
  <si>
    <t>46</t>
  </si>
  <si>
    <t>4A17BK4060</t>
  </si>
  <si>
    <t>25.4-0-2-ERW 1-PE-0.412</t>
  </si>
  <si>
    <t>4B11AH2060</t>
  </si>
  <si>
    <t>25.4-0-2-ERW 1-FC-0.452</t>
  </si>
  <si>
    <t>25.4-0-2-ERW 1-FC-0.47</t>
  </si>
  <si>
    <t>4C18CH2110</t>
  </si>
  <si>
    <t>4424BK3050</t>
  </si>
  <si>
    <t>25.4-0-2-ERW 1-PE-0.478</t>
  </si>
  <si>
    <t>4A27BK1020</t>
  </si>
  <si>
    <t>335</t>
  </si>
  <si>
    <t>4A27CK1030</t>
  </si>
  <si>
    <t>25.4-0-2-ERW 1-PE-0.496</t>
  </si>
  <si>
    <t>4A28AK1010</t>
  </si>
  <si>
    <t>496</t>
  </si>
  <si>
    <t>4A28AK1020</t>
  </si>
  <si>
    <t>520</t>
  </si>
  <si>
    <t>25.4-0-2-ERW 1-FC-0.6</t>
  </si>
  <si>
    <t>4A28AK1040</t>
  </si>
  <si>
    <t>4A28AK1060</t>
  </si>
  <si>
    <t>25.4-0-2-ERW 1-PE-0.657</t>
  </si>
  <si>
    <t>4A28BK1010</t>
  </si>
  <si>
    <t>494</t>
  </si>
  <si>
    <t>25.4-0-2-ERW 1-FC-0.825</t>
  </si>
  <si>
    <t>4A28BK1030</t>
  </si>
  <si>
    <t>470</t>
  </si>
  <si>
    <t>25.4-0-2-ERW 1-FC-1</t>
  </si>
  <si>
    <t>TUB-O-N-AUT-AP-FC-48.60X3.500X6.0500</t>
  </si>
  <si>
    <t>4316CK3010</t>
  </si>
  <si>
    <t>4317AK3010</t>
  </si>
  <si>
    <t>TUB-O-N-AUT-AP-PE-22.20X2.600X5.0000</t>
  </si>
  <si>
    <t>4B14BK1030</t>
  </si>
  <si>
    <t>463</t>
  </si>
  <si>
    <t>25.4-0-2-ERW 1-PE-1</t>
  </si>
  <si>
    <t>TUB-O-N-AUT-AN-PE-22.23X2.000X6.2500</t>
  </si>
  <si>
    <t>4530H16531</t>
  </si>
  <si>
    <t>4B02AK1030</t>
  </si>
  <si>
    <t>4B02AK1040</t>
  </si>
  <si>
    <t>4724BK4020</t>
  </si>
  <si>
    <t>4A20C40090</t>
  </si>
  <si>
    <t>4818AK3020</t>
  </si>
  <si>
    <t>4818AK3030</t>
  </si>
  <si>
    <t>129</t>
  </si>
  <si>
    <t>4A09BK3010</t>
  </si>
  <si>
    <t>4A09CK3030</t>
  </si>
  <si>
    <t>153</t>
  </si>
  <si>
    <t>4B10AK2050</t>
  </si>
  <si>
    <t>4B10CK2050</t>
  </si>
  <si>
    <t>4B10CK2060</t>
  </si>
  <si>
    <t>25.4-0-2.3ERW 1-PE</t>
  </si>
  <si>
    <t>25.4-0-2.3ERW 1-PE-.273</t>
  </si>
  <si>
    <t>4B10CK2070</t>
  </si>
  <si>
    <t>222</t>
  </si>
  <si>
    <t>4B10CK2090</t>
  </si>
  <si>
    <t>4B10CK2100</t>
  </si>
  <si>
    <t>25.4-0-2.5-CEW-CEW-0.218</t>
  </si>
  <si>
    <t>4B10CK2110</t>
  </si>
  <si>
    <t>4B10CK2120</t>
  </si>
  <si>
    <t>25.4-0-2.5-ERW 1-FC-0.322</t>
  </si>
  <si>
    <t>4B10CK2130</t>
  </si>
  <si>
    <t>4724AK4140</t>
  </si>
  <si>
    <t>50</t>
  </si>
  <si>
    <t>4B09AK2040</t>
  </si>
  <si>
    <t>25.4-0-2.5-ERW 1-FC-0.79</t>
  </si>
  <si>
    <t>4B09AK2080</t>
  </si>
  <si>
    <t>190</t>
  </si>
  <si>
    <t>4B09AK2090</t>
  </si>
  <si>
    <t>4B09AK2130</t>
  </si>
  <si>
    <t>4B24K38320</t>
  </si>
  <si>
    <t>216</t>
  </si>
  <si>
    <t>4C12K39643</t>
  </si>
  <si>
    <t>185</t>
  </si>
  <si>
    <t>4C12K39645</t>
  </si>
  <si>
    <t>4C12K39654</t>
  </si>
  <si>
    <t>4B29AK3100</t>
  </si>
  <si>
    <t>check PE tdc</t>
  </si>
  <si>
    <t>check PE tdc-0.36</t>
  </si>
  <si>
    <t>4B29AK3110</t>
  </si>
  <si>
    <t>GR2 SPL</t>
  </si>
  <si>
    <t>25.4-0-2.5-ERW 1-FC-0.36</t>
  </si>
  <si>
    <t>4B29AK3120</t>
  </si>
  <si>
    <t>4B29BK3010</t>
  </si>
  <si>
    <t>check PE tdc-1</t>
  </si>
  <si>
    <t>4B29CK3010</t>
  </si>
  <si>
    <t>159</t>
  </si>
  <si>
    <t>4C26CK1060</t>
  </si>
  <si>
    <t>25.4-18.4-3.5-CEW-CEW-0.247</t>
  </si>
  <si>
    <t>25.4-18.4-3.5-CEW-CEW-0.263</t>
  </si>
  <si>
    <t>4C18CH2120</t>
  </si>
  <si>
    <t>166</t>
  </si>
  <si>
    <t>4C19AH2010</t>
  </si>
  <si>
    <t>4C19AH2020</t>
  </si>
  <si>
    <t>157</t>
  </si>
  <si>
    <t>Check tdc for thickness</t>
  </si>
  <si>
    <t>Check tdc for thickness-1</t>
  </si>
  <si>
    <t>4C19AH2030</t>
  </si>
  <si>
    <t>25.4--4-CEW-FIN CUT</t>
  </si>
  <si>
    <t>25.4--4-CEW-FIN CUT-1</t>
  </si>
  <si>
    <t>4C05AH2040</t>
  </si>
  <si>
    <t>415</t>
  </si>
  <si>
    <t>4B20C20110</t>
  </si>
  <si>
    <t>TF01</t>
  </si>
  <si>
    <t>4318</t>
  </si>
  <si>
    <t>4C04B20020</t>
  </si>
  <si>
    <t>check FC tdc</t>
  </si>
  <si>
    <t>check FC tdc-0.61</t>
  </si>
  <si>
    <t>4919B20020</t>
  </si>
  <si>
    <t>4A30B20040</t>
  </si>
  <si>
    <t>4A30B20060</t>
  </si>
  <si>
    <t>4511C30020</t>
  </si>
  <si>
    <t>4511C3001</t>
  </si>
  <si>
    <t>28.58-0-1.6-ERW 2-PE-0.845</t>
  </si>
  <si>
    <t>4A26A40040</t>
  </si>
  <si>
    <t>28.58-0-1.6-ERW 1-FC-1</t>
  </si>
  <si>
    <t>4921AK3060</t>
  </si>
  <si>
    <t>TUB-O-N-GEN-AW-PE-25.40X1.500X6.0000</t>
  </si>
  <si>
    <t>4718CK2050</t>
  </si>
  <si>
    <t>4929AK1080</t>
  </si>
  <si>
    <t>4808CK1070</t>
  </si>
  <si>
    <t>28.58-0-1.6-ERW 1-PE-1</t>
  </si>
  <si>
    <t>4808CK1060</t>
  </si>
  <si>
    <t>28.58-0-2-ERW 1-FC-0.469</t>
  </si>
  <si>
    <t>4905BK1010</t>
  </si>
  <si>
    <t>4722CK1020</t>
  </si>
  <si>
    <t>4722BK1110</t>
  </si>
  <si>
    <t>GRADE2</t>
  </si>
  <si>
    <t>4722BK1100</t>
  </si>
  <si>
    <t>4722BK1060</t>
  </si>
  <si>
    <t>28.58-0-3.2-ERW 1-FC</t>
  </si>
  <si>
    <t>28.58-0-3.2-ERW 1-FC-1</t>
  </si>
  <si>
    <t>4722BK1050</t>
  </si>
  <si>
    <t>4722BK1040</t>
  </si>
  <si>
    <t>28.6-0-2.65-CEW-CEW-0.444</t>
  </si>
  <si>
    <t>4722BK1020</t>
  </si>
  <si>
    <t>4609CK1050</t>
  </si>
  <si>
    <t>4722BK1070</t>
  </si>
  <si>
    <t>4609CK1040</t>
  </si>
  <si>
    <t>29.4-20.4-4.5-CEW STKM 13C-CEW-0.363</t>
  </si>
  <si>
    <t>4928BK1020</t>
  </si>
  <si>
    <t>CUT-O-C-AUT-AN-FC-29.35X4.400X0.3780-0.378</t>
  </si>
  <si>
    <t>4928BK1010</t>
  </si>
  <si>
    <t>TUB-O-C-AUT-AN-FC-29.35X4.400X4.1000</t>
  </si>
  <si>
    <t>TUB-O-C-AUT-AN-FC-29.35X4.400X4.1000-1</t>
  </si>
  <si>
    <t>4927AK1040</t>
  </si>
  <si>
    <t>29.4-20.4-4.5-CEW STKM 13C-CEW-0.357</t>
  </si>
  <si>
    <t>4927AK1010</t>
  </si>
  <si>
    <t>4926CK1070</t>
  </si>
  <si>
    <t>29.4-20.4-4.5-CEW-CEW-0.36</t>
  </si>
  <si>
    <t>4905AK1060</t>
  </si>
  <si>
    <t>29.4-20.4-4.5-CEW STKM 13C-CEW-0.361</t>
  </si>
  <si>
    <t>4927AK1050</t>
  </si>
  <si>
    <t>4906AK1010</t>
  </si>
  <si>
    <t>4905CK1080</t>
  </si>
  <si>
    <t>29.4-20.4-4.5-CEW-CEW-0.364</t>
  </si>
  <si>
    <t>4905CK1070</t>
  </si>
  <si>
    <t>4915CK3030</t>
  </si>
  <si>
    <t>29.4-20.4-4.5-CEW-CEW-0.379</t>
  </si>
  <si>
    <t>4907AK1040</t>
  </si>
  <si>
    <t>29.4-20.4-4.5-CEW STKM 13C-CEW-0.385</t>
  </si>
  <si>
    <t>4A12K35176</t>
  </si>
  <si>
    <t>29.4-20.4-4.5-CEW STKM 13C-CEW-0.45</t>
  </si>
  <si>
    <t>4A12K35175</t>
  </si>
  <si>
    <t>D012</t>
  </si>
  <si>
    <t>29.4-20.4-4.5-CEW-CEW-0.453</t>
  </si>
  <si>
    <t>4928BK3200</t>
  </si>
  <si>
    <t>4928BK3150</t>
  </si>
  <si>
    <t>TUB-O-N-AUT-AW-PE-17.30X1.600X0.3870</t>
  </si>
  <si>
    <t>4906BK1010</t>
  </si>
  <si>
    <t>4906AK1040</t>
  </si>
  <si>
    <t>MG12B2401</t>
  </si>
  <si>
    <t>4B07BK2090</t>
  </si>
  <si>
    <t>check tdc</t>
  </si>
  <si>
    <t>check tdc-1</t>
  </si>
  <si>
    <t>4A3063140A</t>
  </si>
  <si>
    <t>4806AK3120</t>
  </si>
  <si>
    <t>MG24A2404</t>
  </si>
  <si>
    <t>4B10C40030</t>
  </si>
  <si>
    <t>30-30-1.2-CRFH-PE-1</t>
  </si>
  <si>
    <t>TUB-O-O-GEN-AW-PE-19.05X1.500X6.0000</t>
  </si>
  <si>
    <t>4715BK7020</t>
  </si>
  <si>
    <t>4B13AH2010</t>
  </si>
  <si>
    <t>4909C20100</t>
  </si>
  <si>
    <t>4B15BH2100</t>
  </si>
  <si>
    <t>F001</t>
  </si>
  <si>
    <t>4B15CH2040</t>
  </si>
  <si>
    <t>4B15CH2030</t>
  </si>
  <si>
    <t>4B15BH2120</t>
  </si>
  <si>
    <t>K3SPL</t>
  </si>
  <si>
    <t>31-24.6-3.2-CEW-FIN CUT</t>
  </si>
  <si>
    <t>31-24.6-3.2-CEW-FIN CUT-1</t>
  </si>
  <si>
    <t>4917CH2010</t>
  </si>
  <si>
    <t>4917BH2120</t>
  </si>
  <si>
    <t>4928BK3050</t>
  </si>
  <si>
    <t>31.75-0-1.2-ERW 1-PE-0.6</t>
  </si>
  <si>
    <t>4928AK1090</t>
  </si>
  <si>
    <t>31.75-0-1.2-ERW 1-PE-0.657</t>
  </si>
  <si>
    <t>4928AK1080</t>
  </si>
  <si>
    <t>4928AK1070</t>
  </si>
  <si>
    <t>4928AK1060</t>
  </si>
  <si>
    <t>4928AK1050</t>
  </si>
  <si>
    <t>4928AK1040</t>
  </si>
  <si>
    <t>31.75-0-1.2-ERW 1-PE-0.6858</t>
  </si>
  <si>
    <t>4928AK1030</t>
  </si>
  <si>
    <t>4928AK1010</t>
  </si>
  <si>
    <t>4927CK1050</t>
  </si>
  <si>
    <t>31.75-0-1.2-ERW 1-FC-1</t>
  </si>
  <si>
    <t>4927CK1030</t>
  </si>
  <si>
    <t>4B10AK2040</t>
  </si>
  <si>
    <t>4B10AK2030</t>
  </si>
  <si>
    <t>4809AK2050</t>
  </si>
  <si>
    <t>4820BK3040</t>
  </si>
  <si>
    <t>4820BK3030</t>
  </si>
  <si>
    <t>4820BK3020</t>
  </si>
  <si>
    <t>31.75-0-1.6-ERW 1-FC-0.78</t>
  </si>
  <si>
    <t>4820BK3050</t>
  </si>
  <si>
    <t>31.75-0-1.6-ERW 1-FC-1</t>
  </si>
  <si>
    <t>4820AK3070</t>
  </si>
  <si>
    <t>31.75--2.3-ERW 1-FIN CUT-1</t>
  </si>
  <si>
    <t>B2401071</t>
  </si>
  <si>
    <t>4B0863690A</t>
  </si>
  <si>
    <t>4B0863680C</t>
  </si>
  <si>
    <t>4B0863680B</t>
  </si>
  <si>
    <t>4B0863670C</t>
  </si>
  <si>
    <t>4B0863670B</t>
  </si>
  <si>
    <t>4B0863670A</t>
  </si>
  <si>
    <t>4B0863660C</t>
  </si>
  <si>
    <t>4B0863660B</t>
  </si>
  <si>
    <t>4B0863660A</t>
  </si>
  <si>
    <t>4B0763620C</t>
  </si>
  <si>
    <t>DT</t>
  </si>
  <si>
    <t>32-0-4.5-CEW-CEW</t>
  </si>
  <si>
    <t>32-0-4.5-CEW-CEW-1.27</t>
  </si>
  <si>
    <t>4B0763620B</t>
  </si>
  <si>
    <t>32-0-4.5-CEW-CEW-1.288</t>
  </si>
  <si>
    <t>4B0763620A</t>
  </si>
  <si>
    <t>32-0-4.5-CEW-CEW-1.591</t>
  </si>
  <si>
    <t>4B0763510C</t>
  </si>
  <si>
    <t>32-0-4.5-CEW-CEW-3.3</t>
  </si>
  <si>
    <t>4B0763510B</t>
  </si>
  <si>
    <t>32-0-4.5-CEW-CEW-1</t>
  </si>
  <si>
    <t>4B0763510A</t>
  </si>
  <si>
    <t>4B05AK2010</t>
  </si>
  <si>
    <t>33.3-29.3-2-CEW-CEW-1</t>
  </si>
  <si>
    <t>4B03BK2080</t>
  </si>
  <si>
    <t>4A2963050C</t>
  </si>
  <si>
    <t>4A2963050B</t>
  </si>
  <si>
    <t>4A2963050A</t>
  </si>
  <si>
    <t>34.93-0-1.2-ERW 1-FC-0.39</t>
  </si>
  <si>
    <t>492460280C</t>
  </si>
  <si>
    <t>492460280B</t>
  </si>
  <si>
    <t>check tdc for PE</t>
  </si>
  <si>
    <t>check tdc for PE-0.394</t>
  </si>
  <si>
    <t>4B0763530C</t>
  </si>
  <si>
    <t>check tdc for PE-0.45</t>
  </si>
  <si>
    <t>4B03BK2130</t>
  </si>
  <si>
    <t>34.93-0-1.2-ERW 1-FC-0.62</t>
  </si>
  <si>
    <t>4B0863690B</t>
  </si>
  <si>
    <t>34.93-0-1.2-ERW 1-FC-0.7</t>
  </si>
  <si>
    <t>460361790C</t>
  </si>
  <si>
    <t>34.93-0-1.2-ERW 1-FC-1</t>
  </si>
  <si>
    <t>460361790B</t>
  </si>
  <si>
    <t>4A2762920B</t>
  </si>
  <si>
    <t>4A2762920A</t>
  </si>
  <si>
    <t>4A2462730C</t>
  </si>
  <si>
    <t>4A2462730B</t>
  </si>
  <si>
    <t>4A2462730A</t>
  </si>
  <si>
    <t>4A21AK3100</t>
  </si>
  <si>
    <t>34.93-0-1.6-ERW 1-FC-1</t>
  </si>
  <si>
    <t>4A19AK3090</t>
  </si>
  <si>
    <t>492160090C</t>
  </si>
  <si>
    <t>check tdc for PE-0.248</t>
  </si>
  <si>
    <t>492160090B</t>
  </si>
  <si>
    <t>check tdc for PE-0.284</t>
  </si>
  <si>
    <t>492160090A</t>
  </si>
  <si>
    <t>492160080C</t>
  </si>
  <si>
    <t>check tdc for thickness</t>
  </si>
  <si>
    <t>check tdc for thickness-0.339</t>
  </si>
  <si>
    <t>492160080B</t>
  </si>
  <si>
    <t>check tdc for PE-1.175</t>
  </si>
  <si>
    <t>492160080A</t>
  </si>
  <si>
    <t>check tdc for PE-1.28</t>
  </si>
  <si>
    <t>492160070C</t>
  </si>
  <si>
    <t>492160070B</t>
  </si>
  <si>
    <t>check tdc for PE-1</t>
  </si>
  <si>
    <t>492160070A</t>
  </si>
  <si>
    <t>check tdc for thickness-1</t>
  </si>
  <si>
    <t>4917BK3110</t>
  </si>
  <si>
    <t>480766650C</t>
  </si>
  <si>
    <t>480766650B</t>
  </si>
  <si>
    <t>4714CK3110</t>
  </si>
  <si>
    <t>480866720B</t>
  </si>
  <si>
    <t>480866720A</t>
  </si>
  <si>
    <t>480866710C</t>
  </si>
  <si>
    <t>34.93-0-2.3-ERW 2-FC-Ampere-1.1</t>
  </si>
  <si>
    <t>480866710B</t>
  </si>
  <si>
    <t>34.93-0-2.3-ERW 2-FC-Ampere-1.5</t>
  </si>
  <si>
    <t>480566490C</t>
  </si>
  <si>
    <t>472065350C</t>
  </si>
  <si>
    <t>34.93-0-2.3-ERW 2-FC-Ampere-1</t>
  </si>
  <si>
    <t>472065350B</t>
  </si>
  <si>
    <t>471865240C</t>
  </si>
  <si>
    <t>480266340C</t>
  </si>
  <si>
    <t>34.93-0-2.6-ERW 1-FC-1.723</t>
  </si>
  <si>
    <t>4717CK2030</t>
  </si>
  <si>
    <t>4717CK2020</t>
  </si>
  <si>
    <t>34.93-0-2.6-ERW 1-FC-1</t>
  </si>
  <si>
    <t>4717BK2050</t>
  </si>
  <si>
    <t>4A0761400D</t>
  </si>
  <si>
    <t>4A0761400C</t>
  </si>
  <si>
    <t>4A0761400B</t>
  </si>
  <si>
    <t>4A0761400A</t>
  </si>
  <si>
    <t>check tdc-1.41</t>
  </si>
  <si>
    <t>4A0761350B</t>
  </si>
  <si>
    <t>4B3065190B</t>
  </si>
  <si>
    <t>4B3065190A</t>
  </si>
  <si>
    <t>4B0663500C</t>
  </si>
  <si>
    <t>4B0663500B</t>
  </si>
  <si>
    <t>4B0663500A</t>
  </si>
  <si>
    <t>37.6-31.2-3.2-CEW-CEW-0.295</t>
  </si>
  <si>
    <t>4B05K37033</t>
  </si>
  <si>
    <t>4B0563470B</t>
  </si>
  <si>
    <t>37.6-31.2-3.2-CEW-CEW-1</t>
  </si>
  <si>
    <t>4B0563470A</t>
  </si>
  <si>
    <t>37.95-32-2.95-CEW-CEW-0.94</t>
  </si>
  <si>
    <t>4A28BK2050</t>
  </si>
  <si>
    <t>4A1261820C</t>
  </si>
  <si>
    <t>4A1261820B</t>
  </si>
  <si>
    <t>4A1261820A</t>
  </si>
  <si>
    <t>4A08K34968</t>
  </si>
  <si>
    <t>38.1-0-1.6-ERW 1-FC-0.488</t>
  </si>
  <si>
    <t>4A08K34966</t>
  </si>
  <si>
    <t>4A0861460C</t>
  </si>
  <si>
    <t>4A0861460B</t>
  </si>
  <si>
    <t>4A0861460A</t>
  </si>
  <si>
    <t>38.1-0-1.6-ERW 1-FC-0.815</t>
  </si>
  <si>
    <t>4930AK2070</t>
  </si>
  <si>
    <t>38.1-0-1.6-ERW 1-FC-0.821</t>
  </si>
  <si>
    <t>4910CK2060</t>
  </si>
  <si>
    <t>38.1-0-1.6-ERW 2 MAHS-FC-0.875</t>
  </si>
  <si>
    <t>4B0563400C</t>
  </si>
  <si>
    <t>4B0563400B</t>
  </si>
  <si>
    <t>4B0563400A</t>
  </si>
  <si>
    <t>38.1-0-1.6-ERW 2 MAHS-FC-0.878</t>
  </si>
  <si>
    <t>4A28BK2080</t>
  </si>
  <si>
    <t>38.1-0-1.6-ERW 2 MAHS-FC-0.93</t>
  </si>
  <si>
    <t>4A28BK2070</t>
  </si>
  <si>
    <t>38.1-0-1.6-ERW 1-FC-0.97</t>
  </si>
  <si>
    <t>4C0465330B</t>
  </si>
  <si>
    <t>482167790C</t>
  </si>
  <si>
    <t>482167780A</t>
  </si>
  <si>
    <t>4B23CK2100</t>
  </si>
  <si>
    <t>4A1061590B</t>
  </si>
  <si>
    <t>4A1061590A</t>
  </si>
  <si>
    <t>4929BK2100</t>
  </si>
  <si>
    <t>4B0463370C</t>
  </si>
  <si>
    <t>4B0463370B</t>
  </si>
  <si>
    <t>4B0463370A</t>
  </si>
  <si>
    <t>4B0463340C</t>
  </si>
  <si>
    <t>4B0463340B</t>
  </si>
  <si>
    <t>4B0163270B</t>
  </si>
  <si>
    <t>4B0163270A</t>
  </si>
  <si>
    <t>4A28CK2030</t>
  </si>
  <si>
    <t>4A28CK2020</t>
  </si>
  <si>
    <t>38.1-0-2-ERW 1-FC-0.277</t>
  </si>
  <si>
    <t>4A28CK2010</t>
  </si>
  <si>
    <t>38.1-0-2-ERW 1-PE</t>
  </si>
  <si>
    <t>38.1-0-2-ERW 1-PE-0.406</t>
  </si>
  <si>
    <t>4910CK2080</t>
  </si>
  <si>
    <t>4A15K35390</t>
  </si>
  <si>
    <t>4A1562120C</t>
  </si>
  <si>
    <t>4A1562110B</t>
  </si>
  <si>
    <t>4A1562110A</t>
  </si>
  <si>
    <t>4A1562100B</t>
  </si>
  <si>
    <t>4A1562100A</t>
  </si>
  <si>
    <t>38.1-0-2-ERW 1-FC-0.435</t>
  </si>
  <si>
    <t>4A11CK2010</t>
  </si>
  <si>
    <t>4A11BK2070</t>
  </si>
  <si>
    <t>38.1-0-2-ERW 1-FC-0.488</t>
  </si>
  <si>
    <t>4A11BK2030</t>
  </si>
  <si>
    <t>4A11BK2020</t>
  </si>
  <si>
    <t>4825K31210</t>
  </si>
  <si>
    <t>38.1-0-2-ERW 1-FC-0.494</t>
  </si>
  <si>
    <t>481867580B</t>
  </si>
  <si>
    <t>481867580A</t>
  </si>
  <si>
    <t>38.1-0-2-ERW 1-FC-0.815</t>
  </si>
  <si>
    <t>4803BK2100</t>
  </si>
  <si>
    <t>4421K12012</t>
  </si>
  <si>
    <t>38.1-0-2-ERW 1-FC-0.927</t>
  </si>
  <si>
    <t>481167070A</t>
  </si>
  <si>
    <t>check usage for grade</t>
  </si>
  <si>
    <t>check usage for grade-0.93</t>
  </si>
  <si>
    <t>481167060C</t>
  </si>
  <si>
    <t>481167060B</t>
  </si>
  <si>
    <t>481167060A</t>
  </si>
  <si>
    <t>check usage for grade-1</t>
  </si>
  <si>
    <t>481166990B</t>
  </si>
  <si>
    <t>433164560B</t>
  </si>
  <si>
    <t>431862870B</t>
  </si>
  <si>
    <t>MG1132404</t>
  </si>
  <si>
    <t>4610K17949</t>
  </si>
  <si>
    <t>4B19K37960</t>
  </si>
  <si>
    <t>4B07CK2110</t>
  </si>
  <si>
    <t>4B07CK2090</t>
  </si>
  <si>
    <t>4B07CK2080</t>
  </si>
  <si>
    <t>4B07CK2070</t>
  </si>
  <si>
    <t>4B19K37964</t>
  </si>
  <si>
    <t>4B19K37963</t>
  </si>
  <si>
    <t>4830K31561</t>
  </si>
  <si>
    <t>4821K30853</t>
  </si>
  <si>
    <t>38.1-0-2.5-ERW 2 MAHS-FC-0.875</t>
  </si>
  <si>
    <t>4813AK3030</t>
  </si>
  <si>
    <t>4813AK3020</t>
  </si>
  <si>
    <t>38.1-0-2.5-ERW 2 MAHS-FC-0.878</t>
  </si>
  <si>
    <t>4813BK3040</t>
  </si>
  <si>
    <t>4813BK3020</t>
  </si>
  <si>
    <t>4928AK3030</t>
  </si>
  <si>
    <t>4919BK3140</t>
  </si>
  <si>
    <t>38.1-0-2.5-ERW 2 MAHS-FC-0.648</t>
  </si>
  <si>
    <t>492660560C</t>
  </si>
  <si>
    <t>38.1-0-2.5-ERW 2 MAHS-FC-0.927</t>
  </si>
  <si>
    <t>492660560B</t>
  </si>
  <si>
    <t>check thickness usage-0.319</t>
  </si>
  <si>
    <t>492660560A</t>
  </si>
  <si>
    <t>38.1-0-3.66-ERW 1-FC-0.201</t>
  </si>
  <si>
    <t>492660480C</t>
  </si>
  <si>
    <t>492460220C</t>
  </si>
  <si>
    <t>492460220B</t>
  </si>
  <si>
    <t>4B08A40010</t>
  </si>
  <si>
    <t>4A08K34984</t>
  </si>
  <si>
    <t>4C0665410B</t>
  </si>
  <si>
    <t>SL</t>
  </si>
  <si>
    <t>UP</t>
  </si>
  <si>
    <t>4B16K37676</t>
  </si>
  <si>
    <t>ST52</t>
  </si>
  <si>
    <t>SLT-40-5.8-Rane-SLT</t>
  </si>
  <si>
    <t>SLT-40-5.8-Rane-SLT-0.78</t>
  </si>
  <si>
    <t>4A11AK3020</t>
  </si>
  <si>
    <t>SLT-40-5.8-Rane-SLT-0.8</t>
  </si>
  <si>
    <t>4814K30341</t>
  </si>
  <si>
    <t>SLT-40-5.8-Rane-SLT-0.82</t>
  </si>
  <si>
    <t>4805CK3110</t>
  </si>
  <si>
    <t>SLT-40-5.8-Rane-SLT-0.84</t>
  </si>
  <si>
    <t>TUB-O-N-AUT-AW-PE-22.20X1.20X6.000-ERW 1</t>
  </si>
  <si>
    <t>4B30A20140</t>
  </si>
  <si>
    <t>SLT-40-5.8-Rane-SLT-1.45</t>
  </si>
  <si>
    <t>4B30A20130</t>
  </si>
  <si>
    <t>ST52AM</t>
  </si>
  <si>
    <t>SLT-40-5.8-Rane-SLT-1.454</t>
  </si>
  <si>
    <t>4B30A20120</t>
  </si>
  <si>
    <t>SLT-40-5.8-Rane-SLT-1.578</t>
  </si>
  <si>
    <t>4B30A20110</t>
  </si>
  <si>
    <t>SLT-40-5.8-Rane-SLT-1</t>
  </si>
  <si>
    <t>4B30A20100</t>
  </si>
  <si>
    <t>4B30A20070</t>
  </si>
  <si>
    <t>4B30A20050</t>
  </si>
  <si>
    <t>40-20-1.2-CRFH-PE-0.105</t>
  </si>
  <si>
    <t>4B30A20020</t>
  </si>
  <si>
    <t>4B29C20020</t>
  </si>
  <si>
    <t>40-20-1.2-CRFH-PE-0.113</t>
  </si>
  <si>
    <t>TUB-O-N-AUT-AW-PE-25.40X1.20X6.000-ERW 1</t>
  </si>
  <si>
    <t>4619B20010</t>
  </si>
  <si>
    <t>4621A20040</t>
  </si>
  <si>
    <t>40-20-1.2-CRFH-PE-0.14</t>
  </si>
  <si>
    <t>4918A20080</t>
  </si>
  <si>
    <t>40-20-1.2-CRFH-PE-0.243</t>
  </si>
  <si>
    <t>4918A20060</t>
  </si>
  <si>
    <t>40-20-1.2-CRFH-PE-0.4</t>
  </si>
  <si>
    <t>4A07C40120</t>
  </si>
  <si>
    <t>40-20-1.2-CRFH-PE-0.62</t>
  </si>
  <si>
    <t>4A07C40110</t>
  </si>
  <si>
    <t>40-20-1.2-CRFH-PE-0.65</t>
  </si>
  <si>
    <t>4A07C40100</t>
  </si>
  <si>
    <t>4A07C40091</t>
  </si>
  <si>
    <t>4A07C40090</t>
  </si>
  <si>
    <t>40-20-1.2-CRFH-PE-0.858</t>
  </si>
  <si>
    <t>4B03AK4060</t>
  </si>
  <si>
    <t>4B03AK4050</t>
  </si>
  <si>
    <t>40-20-1.2-CRFH-PE-0.878</t>
  </si>
  <si>
    <t>4B03AK4040</t>
  </si>
  <si>
    <t>40-20-1.2-CRFH-PE-0.881</t>
  </si>
  <si>
    <t>4B03AK4030</t>
  </si>
  <si>
    <t>40-20-1.2-CRFH-PE-0.89</t>
  </si>
  <si>
    <t>4B03AK4020</t>
  </si>
  <si>
    <t>40-20-1.2-CRFH-PE-0.92</t>
  </si>
  <si>
    <t>4B03AK4010</t>
  </si>
  <si>
    <t>40-20-1.2-CRFH-PE-0.928</t>
  </si>
  <si>
    <t>4A21A40010</t>
  </si>
  <si>
    <t>40-20-1.2-CRFH-PE-0.93</t>
  </si>
  <si>
    <t>4A20C40120</t>
  </si>
  <si>
    <t>40-20-1.2-CRFH-PE-1.06</t>
  </si>
  <si>
    <t>4911B40090</t>
  </si>
  <si>
    <t>4B09B40140</t>
  </si>
  <si>
    <t>40-20-1.2-CRFH-PE-1.249</t>
  </si>
  <si>
    <t>4B09B40130</t>
  </si>
  <si>
    <t>4B09A40080</t>
  </si>
  <si>
    <t>4B09A40070</t>
  </si>
  <si>
    <t>4B09A40060</t>
  </si>
  <si>
    <t>4B09A40050</t>
  </si>
  <si>
    <t>4B09A40040</t>
  </si>
  <si>
    <t>4B09A40030</t>
  </si>
  <si>
    <t>4B05A20090</t>
  </si>
  <si>
    <t>4B05A20070</t>
  </si>
  <si>
    <t>40-20-1.2-CRFH-PE-0.168</t>
  </si>
  <si>
    <t>4B05A20060</t>
  </si>
  <si>
    <t>40-20-1.2-CRFH-PE-0.33</t>
  </si>
  <si>
    <t>4B05A20050</t>
  </si>
  <si>
    <t>4B05A20040</t>
  </si>
  <si>
    <t>40-20-1.2-CRFH-PE-0.827</t>
  </si>
  <si>
    <t>4B05A20030</t>
  </si>
  <si>
    <t>40-20-1.2-CRFH-PE-0.85</t>
  </si>
  <si>
    <t>4B05A20020</t>
  </si>
  <si>
    <t>40-20-1.2-CRFH-PE-0.94</t>
  </si>
  <si>
    <t>4B05A20010</t>
  </si>
  <si>
    <t>4A05C20150</t>
  </si>
  <si>
    <t>4A05C20140</t>
  </si>
  <si>
    <t>40-20-1.2-CRFH-PE-1.298</t>
  </si>
  <si>
    <t>4A05C20130</t>
  </si>
  <si>
    <t>4A05C20110</t>
  </si>
  <si>
    <t>4A05C20100</t>
  </si>
  <si>
    <t>4A05C20090</t>
  </si>
  <si>
    <t>4A05C20080</t>
  </si>
  <si>
    <t>4A05C20070</t>
  </si>
  <si>
    <t>4A05C20060</t>
  </si>
  <si>
    <t>4A05C20050</t>
  </si>
  <si>
    <t>4A05C20040</t>
  </si>
  <si>
    <t>4A05C20030</t>
  </si>
  <si>
    <t>4A05C20020</t>
  </si>
  <si>
    <t>4A05C20010</t>
  </si>
  <si>
    <t>40-20-1.6-ERW 1-FC-0.545</t>
  </si>
  <si>
    <t>4A05B20110</t>
  </si>
  <si>
    <t>40-20-1.6-ERW 1-FC-0.607</t>
  </si>
  <si>
    <t>4A05B20100</t>
  </si>
  <si>
    <t>4A05B20090</t>
  </si>
  <si>
    <t>4A05B20070</t>
  </si>
  <si>
    <t>40-20-1.6-ERW 1-PE</t>
  </si>
  <si>
    <t>40-20-1.6-ERW 1-PE-1</t>
  </si>
  <si>
    <t>4A05B20060</t>
  </si>
  <si>
    <t>40-20-1.6-CRFH-PE</t>
  </si>
  <si>
    <t>40-20-1.6-CRFH-PE-1</t>
  </si>
  <si>
    <t>4A05B20040</t>
  </si>
  <si>
    <t>4A05B20030</t>
  </si>
  <si>
    <t>4A05B20020</t>
  </si>
  <si>
    <t>40-25-1.6-ERW 1-FC-0.318</t>
  </si>
  <si>
    <t>TUB-O-N-AUT-NR-PE-34.93X2.500X6.000</t>
  </si>
  <si>
    <t>4B05B20060</t>
  </si>
  <si>
    <t>40-25-1.6-ERW 1-FC-0.322</t>
  </si>
  <si>
    <t>4B05B20050</t>
  </si>
  <si>
    <t>4B05B20040</t>
  </si>
  <si>
    <t>4B05B20030</t>
  </si>
  <si>
    <t>4B05B20020</t>
  </si>
  <si>
    <t>4C04B20320</t>
  </si>
  <si>
    <t>4C04B20300</t>
  </si>
  <si>
    <t>4C04B20280</t>
  </si>
  <si>
    <t>4C04B20270</t>
  </si>
  <si>
    <t>4C04B20260</t>
  </si>
  <si>
    <t>4C04B20250</t>
  </si>
  <si>
    <t>4C04B20220</t>
  </si>
  <si>
    <t>40-25-1.6-ERW 2-FC-1</t>
  </si>
  <si>
    <t>4C04B20210</t>
  </si>
  <si>
    <t>4C04B20170</t>
  </si>
  <si>
    <t>40-25-1.6-ERW 1-FC-1</t>
  </si>
  <si>
    <t>4C04B20160</t>
  </si>
  <si>
    <t>4C04B20090</t>
  </si>
  <si>
    <t>4B20B20020</t>
  </si>
  <si>
    <t>4B20B20010</t>
  </si>
  <si>
    <t>4B20A20180</t>
  </si>
  <si>
    <t>4B20A20160</t>
  </si>
  <si>
    <t>4B20A20150</t>
  </si>
  <si>
    <t>4B20A20140</t>
  </si>
  <si>
    <t>4B20A20130</t>
  </si>
  <si>
    <t>4B20A20110</t>
  </si>
  <si>
    <t>40-25-2-ERW 1-FC-1</t>
  </si>
  <si>
    <t>4B20A20100</t>
  </si>
  <si>
    <t>40-30-1.6-ERW 1-FC-0.264</t>
  </si>
  <si>
    <t>4B20A20090</t>
  </si>
  <si>
    <t>40-30-1.6-ERW 1-FC-0.314</t>
  </si>
  <si>
    <t>4B20A20080</t>
  </si>
  <si>
    <t>4B20A20070</t>
  </si>
  <si>
    <t>4B20A20060</t>
  </si>
  <si>
    <t>40-30-1.6-ERW 1-FC-0.852</t>
  </si>
  <si>
    <t>4B20A20030</t>
  </si>
  <si>
    <t>4B20A20020</t>
  </si>
  <si>
    <t>4A28A30160</t>
  </si>
  <si>
    <t>40-30-1.6-ERW 1-FC-5.9</t>
  </si>
  <si>
    <t>4A28A30150</t>
  </si>
  <si>
    <t>4A28A30130</t>
  </si>
  <si>
    <t>4A28A30120</t>
  </si>
  <si>
    <t>TUB-O-N-AUT-AW-FC-34.93X1.600X6.000</t>
  </si>
  <si>
    <t>4B30C20130</t>
  </si>
  <si>
    <t>4B30C20120</t>
  </si>
  <si>
    <t>4C18C20010</t>
  </si>
  <si>
    <t>4C18B20070</t>
  </si>
  <si>
    <t>4C18B20050</t>
  </si>
  <si>
    <t>4C18B20040</t>
  </si>
  <si>
    <t>4B12CH2190</t>
  </si>
  <si>
    <t>4B12CH2180</t>
  </si>
  <si>
    <t>40-30-2-ERW 1-FC-0.254</t>
  </si>
  <si>
    <t>4B12CH2170</t>
  </si>
  <si>
    <t>4929B20090</t>
  </si>
  <si>
    <t>4929B20080</t>
  </si>
  <si>
    <t>40-30-2-ERW 1-FC-1</t>
  </si>
  <si>
    <t>4929B20070</t>
  </si>
  <si>
    <t>4929B20030</t>
  </si>
  <si>
    <t>4929B20010</t>
  </si>
  <si>
    <t>4B15BH2090</t>
  </si>
  <si>
    <t>4B15BH2080</t>
  </si>
  <si>
    <t>4B15BH2070</t>
  </si>
  <si>
    <t>MG2982404</t>
  </si>
  <si>
    <t>TA01</t>
  </si>
  <si>
    <t>4B06CK4100</t>
  </si>
  <si>
    <t>4B06CK4080</t>
  </si>
  <si>
    <t>40-40-1.2-CRFH-PE-0.12</t>
  </si>
  <si>
    <t>4B06CK4070</t>
  </si>
  <si>
    <t>4A25CK4040</t>
  </si>
  <si>
    <t>4A25CK4010</t>
  </si>
  <si>
    <t>40-40-1.2-CRFH-PE-0.155</t>
  </si>
  <si>
    <t>4A25CK4020</t>
  </si>
  <si>
    <t>4B10CK3020</t>
  </si>
  <si>
    <t>4B10BK3180</t>
  </si>
  <si>
    <t>4B10AK3120</t>
  </si>
  <si>
    <t>4B10AK3040</t>
  </si>
  <si>
    <t>4A28CK3100</t>
  </si>
  <si>
    <t>40-40-1.6-CRFH-PE</t>
  </si>
  <si>
    <t>40-40-1.6-CRFH-PE-1</t>
  </si>
  <si>
    <t>4927CK3050</t>
  </si>
  <si>
    <t>4A11CK3080</t>
  </si>
  <si>
    <t>4A11CK3060</t>
  </si>
  <si>
    <t>41.28-0-2.6-ERW 1-FC-0.848</t>
  </si>
  <si>
    <t>4831BK3050</t>
  </si>
  <si>
    <t>4831BK3020</t>
  </si>
  <si>
    <t>41.28-0-2.6-ERW 1-FC-0.86</t>
  </si>
  <si>
    <t>4B21CK4010</t>
  </si>
  <si>
    <t>4B21BK4070</t>
  </si>
  <si>
    <t>4A24CK4150</t>
  </si>
  <si>
    <t>4A24CK4140</t>
  </si>
  <si>
    <t>4A07AK3050</t>
  </si>
  <si>
    <t>4916BK4130</t>
  </si>
  <si>
    <t>4916BK4110</t>
  </si>
  <si>
    <t>41.28-0-2.9-ERW 1-PE</t>
  </si>
  <si>
    <t>41.28-0-2.9-ERW 1-PE-0.42</t>
  </si>
  <si>
    <t>4808BK3120</t>
  </si>
  <si>
    <t>41.28-0-3.2-ERW 1-FC-0.288</t>
  </si>
  <si>
    <t>4808BK3100</t>
  </si>
  <si>
    <t>4808BK3090</t>
  </si>
  <si>
    <t>41.28-0-3.2-ERW 1-FC-1</t>
  </si>
  <si>
    <t>4727AK4020</t>
  </si>
  <si>
    <t>4726CK4100</t>
  </si>
  <si>
    <t>4724BK4140</t>
  </si>
  <si>
    <t>4A24CK4180</t>
  </si>
  <si>
    <t>4916BK4120</t>
  </si>
  <si>
    <t>4916BK4090</t>
  </si>
  <si>
    <t>TUB-O-N-AUT-AH-FC-50.8X1.4X5.954 HSTERW2</t>
  </si>
  <si>
    <t>4420C30100</t>
  </si>
  <si>
    <t>41.28-0-3.2-ERW 1-FC-0.235</t>
  </si>
  <si>
    <t>4B05C40150</t>
  </si>
  <si>
    <t>TUB-O-C-SLT-NR-FC-40.00X6.000X5.1960</t>
  </si>
  <si>
    <t>4B28B40040</t>
  </si>
  <si>
    <t>4527A40050</t>
  </si>
  <si>
    <t>4A25C40060</t>
  </si>
  <si>
    <t>4B11AH2030</t>
  </si>
  <si>
    <t>TUB-O-N-AUT-AW-FC-19.05X1.600X6.0010</t>
  </si>
  <si>
    <t>4C10C20060</t>
  </si>
  <si>
    <t>4C10C20050</t>
  </si>
  <si>
    <t>4C10C20040</t>
  </si>
  <si>
    <t>42.7-0-3.5-ERW 1-FC-0.202</t>
  </si>
  <si>
    <t>4C10C20030</t>
  </si>
  <si>
    <t>BH</t>
  </si>
  <si>
    <t>42.7-0-3.5-ERW 1-FC-0.203</t>
  </si>
  <si>
    <t>4C10C20020</t>
  </si>
  <si>
    <t>4C10B20070</t>
  </si>
  <si>
    <t>4831CK1060</t>
  </si>
  <si>
    <t>4A30C20100</t>
  </si>
  <si>
    <t>42.7-0-3.5-ERW 1-FC-0.2096</t>
  </si>
  <si>
    <t>TUB-O-N-AUT-AW-FC-50.80X1.420X5.9860</t>
  </si>
  <si>
    <t>4C23AK1020</t>
  </si>
  <si>
    <t>B2311082</t>
  </si>
  <si>
    <t>TUB-O-N-AUT-AW-FC-42.70X3.500X6.0000</t>
  </si>
  <si>
    <t>4A29AK3110</t>
  </si>
  <si>
    <t>42.7-0-3.5-ERW 1-FC-0.247</t>
  </si>
  <si>
    <t>PV24040010</t>
  </si>
  <si>
    <t>PV24040009</t>
  </si>
  <si>
    <t>PV24040008</t>
  </si>
  <si>
    <t>PV24040007</t>
  </si>
  <si>
    <t>PV24040004</t>
  </si>
  <si>
    <t>42.7-0-4-ERW 1-FC-0.208</t>
  </si>
  <si>
    <t>4B21A20030</t>
  </si>
  <si>
    <t>4B21A20020</t>
  </si>
  <si>
    <t>4B19B20020</t>
  </si>
  <si>
    <t>4C17A40090</t>
  </si>
  <si>
    <t>42.7-0-4-ERW 1-FC-0.219</t>
  </si>
  <si>
    <t>4C17A40080</t>
  </si>
  <si>
    <t>42.7-0-4-ERW 1-FC-0.233</t>
  </si>
  <si>
    <t>4C17A40050</t>
  </si>
  <si>
    <t>4C17A40040</t>
  </si>
  <si>
    <t>4C17A40030</t>
  </si>
  <si>
    <t>4C17A40010</t>
  </si>
  <si>
    <t>4C16C40130</t>
  </si>
  <si>
    <t>42.7-0-4-ERW 1-FC-0.266</t>
  </si>
  <si>
    <t>4C16C40120</t>
  </si>
  <si>
    <t>42.7-0-4-ERW 1-FC-Ampere</t>
  </si>
  <si>
    <t>42.7-0-4-ERW 1-FC-Ampere-0.29</t>
  </si>
  <si>
    <t>4C16C40110</t>
  </si>
  <si>
    <t>4C16C40100</t>
  </si>
  <si>
    <t>42.7-0-4-ERW 1-FC-1.11</t>
  </si>
  <si>
    <t>4C16C40090</t>
  </si>
  <si>
    <t>4C16C40080</t>
  </si>
  <si>
    <t>4C16C40070</t>
  </si>
  <si>
    <t>4C16C40060</t>
  </si>
  <si>
    <t>45--1.4-ERW 2-FIN CUT</t>
  </si>
  <si>
    <t>45--1.4-ERW 2-FIN CUT-1.06</t>
  </si>
  <si>
    <t>4C16C40050</t>
  </si>
  <si>
    <t>45--1.4-ERW 2-FIN CUT-1</t>
  </si>
  <si>
    <t>4C16C40040</t>
  </si>
  <si>
    <t>4C16C40010</t>
  </si>
  <si>
    <t>4C16B40110</t>
  </si>
  <si>
    <t>4C16B40100</t>
  </si>
  <si>
    <t>4C16B40060</t>
  </si>
  <si>
    <t>4C16B40050</t>
  </si>
  <si>
    <t>45-0-1.6-ERW 2-FIN CUT</t>
  </si>
  <si>
    <t>45--1.6-ERW 2-FIN CUT-1.06</t>
  </si>
  <si>
    <t>4C16B40040</t>
  </si>
  <si>
    <t>4B16B40010</t>
  </si>
  <si>
    <t>45--1.6-ERW 2-FIN CUT-1</t>
  </si>
  <si>
    <t>4B07C40150</t>
  </si>
  <si>
    <t>TUB-O-N-AUT-AW-FC-31.75X1.200X6.1500</t>
  </si>
  <si>
    <t>4C20C20130</t>
  </si>
  <si>
    <t>4C20C20100</t>
  </si>
  <si>
    <t>48--1.2-ERW 1-FIN CUT-0.62</t>
  </si>
  <si>
    <t>4C20C20070</t>
  </si>
  <si>
    <t>4C19C20020</t>
  </si>
  <si>
    <t>4C19C20010</t>
  </si>
  <si>
    <t>4C19B20140</t>
  </si>
  <si>
    <t>4C19B20120</t>
  </si>
  <si>
    <t>48.6-0-1.2-ERW 1-FC-1</t>
  </si>
  <si>
    <t>4C19B20110</t>
  </si>
  <si>
    <t>4C19B20100</t>
  </si>
  <si>
    <t>48.6--2-HST-FIN CUT-0.545</t>
  </si>
  <si>
    <t>4C19B20090</t>
  </si>
  <si>
    <t>4C19B20080</t>
  </si>
  <si>
    <t>4C19B20070</t>
  </si>
  <si>
    <t>4C19B20060</t>
  </si>
  <si>
    <t>4C19B20050</t>
  </si>
  <si>
    <t>4C19B20040</t>
  </si>
  <si>
    <t>48.6--2.3-HST-FIN CUT-0.308</t>
  </si>
  <si>
    <t>4C19B20020</t>
  </si>
  <si>
    <t>TUB-O-N-AUT-AW-PE-22.20X1.600X5.4510</t>
  </si>
  <si>
    <t>4B26B20070</t>
  </si>
  <si>
    <t>TUB-O-N-AUT-AW-PE-22.20X1.600X6.4500</t>
  </si>
  <si>
    <t>5104C20040</t>
  </si>
  <si>
    <t>5104C20030</t>
  </si>
  <si>
    <t>5104C20020</t>
  </si>
  <si>
    <t>5104C20010</t>
  </si>
  <si>
    <t>5104B20240</t>
  </si>
  <si>
    <t>48.6-0-3.5-ERW 1-FC-3.035</t>
  </si>
  <si>
    <t>5104B20230</t>
  </si>
  <si>
    <t>5104B20220</t>
  </si>
  <si>
    <t>5103B20040</t>
  </si>
  <si>
    <t>48.6-0-3.5-ERW 1-FC-0.172</t>
  </si>
  <si>
    <t>5103B20020</t>
  </si>
  <si>
    <t>48.6-0-3.5-ERW 1-FC-0.184</t>
  </si>
  <si>
    <t>5103B20010</t>
  </si>
  <si>
    <t>5103A20020</t>
  </si>
  <si>
    <t>5103A20010</t>
  </si>
  <si>
    <t>TUB-O-N-AUT-NR-FC-57.15X2.000X6.5500</t>
  </si>
  <si>
    <t>4B07A40050</t>
  </si>
  <si>
    <t>4B07A40040</t>
  </si>
  <si>
    <t>4B07A40020</t>
  </si>
  <si>
    <t>4B07A40010</t>
  </si>
  <si>
    <t>48.6-0-3.5-ERW 1-FC-0.204</t>
  </si>
  <si>
    <t>4B06A40090</t>
  </si>
  <si>
    <t>48.6-0-3.5-ERW 1-FC-0.595</t>
  </si>
  <si>
    <t>4B06A40020</t>
  </si>
  <si>
    <t>4B06A40010</t>
  </si>
  <si>
    <t>4B05C40160</t>
  </si>
  <si>
    <t>4B05C40140</t>
  </si>
  <si>
    <t>4B05C40130</t>
  </si>
  <si>
    <t>4B05C40120</t>
  </si>
  <si>
    <t>4B05C40110</t>
  </si>
  <si>
    <t>48.6-0-4-ERW 2-FC-Ampere-0.565</t>
  </si>
  <si>
    <t>4B05C40100</t>
  </si>
  <si>
    <t>48.6-0-4-ERW 2-FC-Ampere-0.595</t>
  </si>
  <si>
    <t>4B05C40090</t>
  </si>
  <si>
    <t>48.6-0-4-ERW 2-FC-Ampere-1</t>
  </si>
  <si>
    <t>4B05C40080</t>
  </si>
  <si>
    <t>SLT-50-5.8-Rane-SLT</t>
  </si>
  <si>
    <t>SLT-50-5.8-Rane-SLT-1</t>
  </si>
  <si>
    <t>4B05C40070</t>
  </si>
  <si>
    <t>4B05C40060</t>
  </si>
  <si>
    <t>4B05C40050</t>
  </si>
  <si>
    <t>50-25-1.6-CRFH-FC</t>
  </si>
  <si>
    <t>4B05C40040</t>
  </si>
  <si>
    <t>4B05C40030</t>
  </si>
  <si>
    <t>4B05C40020</t>
  </si>
  <si>
    <t>4B05C40010</t>
  </si>
  <si>
    <t>4927BK1020</t>
  </si>
  <si>
    <t>50-30-1.6-ERW 2-FC-0.638</t>
  </si>
  <si>
    <t>4927BK1010</t>
  </si>
  <si>
    <t>4926CK1060</t>
  </si>
  <si>
    <t>4926CK1050</t>
  </si>
  <si>
    <t>50-30-1.6-ERW 1-FC-1</t>
  </si>
  <si>
    <t>4926CK1040</t>
  </si>
  <si>
    <t>4926CK1030</t>
  </si>
  <si>
    <t>4926CK1020</t>
  </si>
  <si>
    <t>4926CK1010</t>
  </si>
  <si>
    <t>4926BK1060</t>
  </si>
  <si>
    <t>4926BK1040</t>
  </si>
  <si>
    <t>4926BK1030</t>
  </si>
  <si>
    <t>4926BK1020</t>
  </si>
  <si>
    <t>50-30-2-ERW 1-FC-0.14</t>
  </si>
  <si>
    <t>4926BK1010</t>
  </si>
  <si>
    <t>50-30-2-ERW 1-FC-0.565</t>
  </si>
  <si>
    <t>4907AK1020</t>
  </si>
  <si>
    <t>50-30-2-ERW 1-FC-1</t>
  </si>
  <si>
    <t>4905AK1020</t>
  </si>
  <si>
    <t>4906CK1040</t>
  </si>
  <si>
    <t>4906CK1030</t>
  </si>
  <si>
    <t>50-50-1.6-ERW 2-PE-0.542</t>
  </si>
  <si>
    <t>4906CK1020</t>
  </si>
  <si>
    <t>TUB-R-AW-AUT-60.00X30.00X1.600X6.0000</t>
  </si>
  <si>
    <t>MG1482406</t>
  </si>
  <si>
    <t>4915K32947</t>
  </si>
  <si>
    <t>GR5</t>
  </si>
  <si>
    <t>4711BK4080</t>
  </si>
  <si>
    <t>check tdc for grade</t>
  </si>
  <si>
    <t>check tdc for grade-1</t>
  </si>
  <si>
    <t>4714AK4120</t>
  </si>
  <si>
    <t>4714AK4110</t>
  </si>
  <si>
    <t>4714AK4100</t>
  </si>
  <si>
    <t>4714AK4090</t>
  </si>
  <si>
    <t>4702CK3070</t>
  </si>
  <si>
    <t>50.8-0-1.4-ERW 2-FC-1</t>
  </si>
  <si>
    <t>4702CK3060</t>
  </si>
  <si>
    <t>50.8-0-1.4-ERW 2-FC-0.737</t>
  </si>
  <si>
    <t>4702CK3040</t>
  </si>
  <si>
    <t>4702CK3030</t>
  </si>
  <si>
    <t>4512A40030</t>
  </si>
  <si>
    <t>4A30BK3050</t>
  </si>
  <si>
    <t>50.8-0-1.6-ERW 1-FC-1</t>
  </si>
  <si>
    <t>4820CK3060</t>
  </si>
  <si>
    <t>4607A20060</t>
  </si>
  <si>
    <t>4B10BK3090</t>
  </si>
  <si>
    <t>4A11CK3040</t>
  </si>
  <si>
    <t>4916BK4140</t>
  </si>
  <si>
    <t>4B02K36908</t>
  </si>
  <si>
    <t>4A18BK2070</t>
  </si>
  <si>
    <t>4C0465340B</t>
  </si>
  <si>
    <t>4C0465340A</t>
  </si>
  <si>
    <t>57.15-0-2-ERW 1-FC-0.375</t>
  </si>
  <si>
    <t>4C12K39638</t>
  </si>
  <si>
    <t>4C12K39552</t>
  </si>
  <si>
    <t>57.15-0-2-ERW 1-FC-0.413</t>
  </si>
  <si>
    <t>4C11K39473</t>
  </si>
  <si>
    <t>57.15-0-2-ERW 1-FC-0.415</t>
  </si>
  <si>
    <t>4C11K39471</t>
  </si>
  <si>
    <t>4C03CK2070</t>
  </si>
  <si>
    <t>4C03CK2060</t>
  </si>
  <si>
    <t>4B23K38190</t>
  </si>
  <si>
    <t>4B23K38176</t>
  </si>
  <si>
    <t>4B18CK2080</t>
  </si>
  <si>
    <t>4B18CK2060</t>
  </si>
  <si>
    <t>4B18AK2070</t>
  </si>
  <si>
    <t>4B18AK2040</t>
  </si>
  <si>
    <t>4908K32471</t>
  </si>
  <si>
    <t>4905AK2040</t>
  </si>
  <si>
    <t>4B25K38391</t>
  </si>
  <si>
    <t>4B19AK2030</t>
  </si>
  <si>
    <t>57.15-0-2.5-ERW 1-FC-0.326</t>
  </si>
  <si>
    <t>4B19AK2020</t>
  </si>
  <si>
    <t>57.15-0-2.5-ERW 1-FC-0.346</t>
  </si>
  <si>
    <t>4B18CK2090</t>
  </si>
  <si>
    <t>57.15-0-2.5-ERW 1-FC-0.375</t>
  </si>
  <si>
    <t>4B18CK2070</t>
  </si>
  <si>
    <t>57.15-0-2.5-ERW 1-FC-0.376</t>
  </si>
  <si>
    <t>4B18AK2050</t>
  </si>
  <si>
    <t>57.15-0-2.5-ERW 1-FC-0.379</t>
  </si>
  <si>
    <t>4B18AK2010</t>
  </si>
  <si>
    <t>57.15-0-2.5-ERW 1-FC-0.512</t>
  </si>
  <si>
    <t>4B17CK2100</t>
  </si>
  <si>
    <t>57.15-0-2.5-ERW 1-FC-0.526</t>
  </si>
  <si>
    <t>4B23K38265</t>
  </si>
  <si>
    <t>4B10AK2070</t>
  </si>
  <si>
    <t>4B15K37582</t>
  </si>
  <si>
    <t>4B10AK2020</t>
  </si>
  <si>
    <t>57.15-0-2.5-ERW 1-FC-0.778</t>
  </si>
  <si>
    <t>4A26K36455</t>
  </si>
  <si>
    <t>57.15-0-2.5-ERW 1-PE</t>
  </si>
  <si>
    <t>57.15-0-2.5-ERW 1-PE-0.8</t>
  </si>
  <si>
    <t>57.15-0-2.5-ERW 1-PE-0.811</t>
  </si>
  <si>
    <t>4B10AK2010</t>
  </si>
  <si>
    <t>57.15-0-2.5-ERW 1-FC-0.812</t>
  </si>
  <si>
    <t>4905CK3080</t>
  </si>
  <si>
    <t>MG2792407</t>
  </si>
  <si>
    <t>57.15-0-2.5-ERW 1-PE-1</t>
  </si>
  <si>
    <t>MG1692402</t>
  </si>
  <si>
    <t>MG1172402</t>
  </si>
  <si>
    <t>MG0992405</t>
  </si>
  <si>
    <t>4C13K39686</t>
  </si>
  <si>
    <t>4A05K34724</t>
  </si>
  <si>
    <t>4929K34341</t>
  </si>
  <si>
    <t>4926K33966</t>
  </si>
  <si>
    <t>MG1772402</t>
  </si>
  <si>
    <t>MG1492411</t>
  </si>
  <si>
    <t>4C06K39209</t>
  </si>
  <si>
    <t>4C06K39207</t>
  </si>
  <si>
    <t>4C06K39205</t>
  </si>
  <si>
    <t>4C03K39050</t>
  </si>
  <si>
    <t>4B25K38424</t>
  </si>
  <si>
    <t>MG09A2410</t>
  </si>
  <si>
    <t>TUB-O-C-SLT-DT-FC-36.00X4.000X5.2000</t>
  </si>
  <si>
    <t>4A27A40050</t>
  </si>
  <si>
    <t>4A27A40030</t>
  </si>
  <si>
    <t>4A26C40070</t>
  </si>
  <si>
    <t>57.15--3-ERW 1-FIN CUT-0.46</t>
  </si>
  <si>
    <t>4A26C40060</t>
  </si>
  <si>
    <t>4910BK3010</t>
  </si>
  <si>
    <t>4A31CK3030</t>
  </si>
  <si>
    <t>4A31CK3020</t>
  </si>
  <si>
    <t>4A31CK3010</t>
  </si>
  <si>
    <t>4A31BK3020</t>
  </si>
  <si>
    <t>4A31AK3130</t>
  </si>
  <si>
    <t>59-30-1.6-ERW 1-FIN CUT-0.5725</t>
  </si>
  <si>
    <t>4A31AK3120</t>
  </si>
  <si>
    <t>4A31AK3110</t>
  </si>
  <si>
    <t>4A31AK3100</t>
  </si>
  <si>
    <t>59-30-1.6-ERW 1-FIN CUT-0.645</t>
  </si>
  <si>
    <t>4A31AK3090</t>
  </si>
  <si>
    <t>59-30-1.6-ERW 1-FIN CUT-1</t>
  </si>
  <si>
    <t>4A31AK3080</t>
  </si>
  <si>
    <t>4A31AK3070</t>
  </si>
  <si>
    <t>4A31AK3060</t>
  </si>
  <si>
    <t>4A31AK3050</t>
  </si>
  <si>
    <t>4A31AK3040</t>
  </si>
  <si>
    <t>4820BK3120</t>
  </si>
  <si>
    <t>4C26CK1040</t>
  </si>
  <si>
    <t>4C26CK1030</t>
  </si>
  <si>
    <t>60.3-0-2-ERW 1-FC-0.493</t>
  </si>
  <si>
    <t>4C26CK1020</t>
  </si>
  <si>
    <t>60.3-0-2-ERW 1-FC-0.525</t>
  </si>
  <si>
    <t>4B24CK1030</t>
  </si>
  <si>
    <t>CUT-O-N-AUT-AW-PE-19.05X2.300X0.2950</t>
  </si>
  <si>
    <t>4919B20040</t>
  </si>
  <si>
    <t>4919A20080</t>
  </si>
  <si>
    <t>4919A20010</t>
  </si>
  <si>
    <t>4918C20030</t>
  </si>
  <si>
    <t>CUT-O-N-AUT-BH-FC-42.70X4.000X0.2080</t>
  </si>
  <si>
    <t>4B20A20170</t>
  </si>
  <si>
    <t>4B10CK1050</t>
  </si>
  <si>
    <t>63.5-0-4-ERW 1-FC-0.265</t>
  </si>
  <si>
    <t>4B10CK1040</t>
  </si>
  <si>
    <t>4B10BK1150</t>
  </si>
  <si>
    <t>TUB-I-C-AUT-AN-FC-26.30X3.200X6.0000</t>
  </si>
  <si>
    <t>4917BK3120</t>
  </si>
  <si>
    <t>4C27AK1060</t>
  </si>
  <si>
    <t>4C26CK1120</t>
  </si>
  <si>
    <t>4C26CK1110</t>
  </si>
  <si>
    <t>4C26CK1100</t>
  </si>
  <si>
    <t>4C26CK1090</t>
  </si>
  <si>
    <t>4C26CK1050</t>
  </si>
  <si>
    <t>4B10CK1060</t>
  </si>
  <si>
    <t>70-0-3.2-ERW 2-FC-0.513</t>
  </si>
  <si>
    <t>4B10CK1030</t>
  </si>
  <si>
    <t>4B10CK1020</t>
  </si>
  <si>
    <t>4B10CK1010</t>
  </si>
  <si>
    <t>4B10BK1180</t>
  </si>
  <si>
    <t>4B10BK1160</t>
  </si>
  <si>
    <t>4928BK3210</t>
  </si>
  <si>
    <t>4928BK3120</t>
  </si>
  <si>
    <t>4928BK3070</t>
  </si>
  <si>
    <t>4928BK3030</t>
  </si>
  <si>
    <t>4928AK3110</t>
  </si>
  <si>
    <t>4B06A40030</t>
  </si>
  <si>
    <t>4B06A40100</t>
  </si>
  <si>
    <t>4B07A40030</t>
  </si>
  <si>
    <t>4802C20040</t>
  </si>
  <si>
    <t>4923C20020</t>
  </si>
  <si>
    <t>4C07A20010</t>
  </si>
  <si>
    <t>4B30A20080</t>
  </si>
  <si>
    <t>4B09B40150</t>
  </si>
  <si>
    <t>4C19C20060</t>
  </si>
  <si>
    <t>4C20C20040</t>
  </si>
  <si>
    <t>4C20C20090</t>
  </si>
  <si>
    <t>4C20C20080</t>
  </si>
  <si>
    <t>4C19B20130</t>
  </si>
  <si>
    <t>4C19C20040</t>
  </si>
  <si>
    <t>4C19C20050</t>
  </si>
  <si>
    <t>4C20C20060</t>
  </si>
  <si>
    <t>4C20C20010</t>
  </si>
  <si>
    <t>4C20C20030</t>
  </si>
  <si>
    <t>4C20C20050</t>
  </si>
  <si>
    <t>4C20C20150</t>
  </si>
  <si>
    <t>4C20C20140</t>
  </si>
  <si>
    <t>5103B20030</t>
  </si>
  <si>
    <t>4C05A40310</t>
  </si>
  <si>
    <t>4C05A40290</t>
  </si>
  <si>
    <t>5105A20010</t>
  </si>
  <si>
    <t>5105A20020</t>
  </si>
  <si>
    <t>5105A20050</t>
  </si>
  <si>
    <t>5105A20060</t>
  </si>
  <si>
    <t>5105A20040</t>
  </si>
  <si>
    <t>TUB-O-N-AUT-AW-FC-48.60X4.000X6.0030 HST</t>
  </si>
  <si>
    <t>5107B40080</t>
  </si>
  <si>
    <t>5107B40090</t>
  </si>
  <si>
    <t>5108A20060</t>
  </si>
  <si>
    <t>5108A20070</t>
  </si>
  <si>
    <t>5108B20070</t>
  </si>
  <si>
    <t>5108C20010</t>
  </si>
  <si>
    <t>5108B20080</t>
  </si>
  <si>
    <t>5105A20080</t>
  </si>
  <si>
    <t>5106A20100</t>
  </si>
  <si>
    <t>5106B20020</t>
  </si>
  <si>
    <t>5106B20070</t>
  </si>
  <si>
    <t>5106B20080</t>
  </si>
  <si>
    <t>5106A20090</t>
  </si>
  <si>
    <t>5108A20020</t>
  </si>
  <si>
    <t>5108A20050</t>
  </si>
  <si>
    <t>5108A20030</t>
  </si>
  <si>
    <t>5108A20040</t>
  </si>
  <si>
    <t>5108A20090</t>
  </si>
  <si>
    <t>5108A20100</t>
  </si>
  <si>
    <t>5108A20010</t>
  </si>
  <si>
    <t>5108C20030</t>
  </si>
  <si>
    <t>5108C20020</t>
  </si>
  <si>
    <t>5106B20180</t>
  </si>
  <si>
    <t>5106B20190</t>
  </si>
  <si>
    <t>5107C20010</t>
  </si>
  <si>
    <t>5108B20060</t>
  </si>
  <si>
    <t>5108C20040</t>
  </si>
  <si>
    <t>5108C20050</t>
  </si>
  <si>
    <t>5108C20060</t>
  </si>
  <si>
    <t>5109A20010</t>
  </si>
  <si>
    <t>5109A20020</t>
  </si>
  <si>
    <t>5108C20080</t>
  </si>
  <si>
    <t>5108C20070</t>
  </si>
  <si>
    <t>5108C20090</t>
  </si>
  <si>
    <t>4C05A40320</t>
  </si>
  <si>
    <t>4C05A40330</t>
  </si>
  <si>
    <t>4C05A40340</t>
  </si>
  <si>
    <t>4C05A40300</t>
  </si>
  <si>
    <t>4918A20020</t>
  </si>
  <si>
    <t>5107B40040</t>
  </si>
  <si>
    <t>5107B40050</t>
  </si>
  <si>
    <t>5107B40060</t>
  </si>
  <si>
    <t>5107B40070</t>
  </si>
  <si>
    <t>5107B40100</t>
  </si>
  <si>
    <t>5107B40110</t>
  </si>
  <si>
    <t>5107C40010</t>
  </si>
  <si>
    <t>5106B20200</t>
  </si>
  <si>
    <t>5106B20210</t>
  </si>
  <si>
    <t>TUB-S-AW-SHS-50.00X50.00X1.60X6.250 HST</t>
  </si>
  <si>
    <t>4C30B30030</t>
  </si>
  <si>
    <t>4C30B30040</t>
  </si>
  <si>
    <t>4C30B30050</t>
  </si>
  <si>
    <t>4C30B30060</t>
  </si>
  <si>
    <t>4C30B30070</t>
  </si>
  <si>
    <t>4C30B30080</t>
  </si>
  <si>
    <t>4C30B30090</t>
  </si>
  <si>
    <t>4C30B30180</t>
  </si>
  <si>
    <t>4C30B30190</t>
  </si>
  <si>
    <t>4C28B30010</t>
  </si>
  <si>
    <t>4C30B30230</t>
  </si>
  <si>
    <t>5108A20080</t>
  </si>
  <si>
    <t>5108B20010</t>
  </si>
  <si>
    <t>5108B20020</t>
  </si>
  <si>
    <t>5108B20030</t>
  </si>
  <si>
    <t>5108B20040</t>
  </si>
  <si>
    <t>5108B20050</t>
  </si>
  <si>
    <t>5109A20030</t>
  </si>
  <si>
    <t>5109A20040</t>
  </si>
  <si>
    <t>5109A20060</t>
  </si>
  <si>
    <t>5109A20070</t>
  </si>
  <si>
    <t>5109A20080</t>
  </si>
  <si>
    <t>5109B20030</t>
  </si>
  <si>
    <t>5109B20010</t>
  </si>
  <si>
    <t>5109B20040</t>
  </si>
  <si>
    <t>5109A20050</t>
  </si>
  <si>
    <t>5109B20020</t>
  </si>
  <si>
    <t>5109A20090</t>
  </si>
  <si>
    <t>TUB-O-N-AUT-AW-FC-34.93X2.300X5.2000</t>
  </si>
  <si>
    <t>4B12A20080</t>
  </si>
  <si>
    <t>4B12A20070</t>
  </si>
  <si>
    <t>4B12A20040</t>
  </si>
  <si>
    <t>4B12A20060</t>
  </si>
  <si>
    <t>4B12A20090</t>
  </si>
  <si>
    <t>4B12A20130</t>
  </si>
  <si>
    <t>4B12A20100</t>
  </si>
  <si>
    <t>5110A20010</t>
  </si>
  <si>
    <t>5111B20060</t>
  </si>
  <si>
    <t>5111B20040</t>
  </si>
  <si>
    <t>5111A20020</t>
  </si>
  <si>
    <t>5111B20050</t>
  </si>
  <si>
    <t>5111B20020</t>
  </si>
  <si>
    <t>5109C20040</t>
  </si>
  <si>
    <t>5109C20050</t>
  </si>
  <si>
    <t>5109C20070</t>
  </si>
  <si>
    <t>5111B20010</t>
  </si>
  <si>
    <t>5111B20030</t>
  </si>
  <si>
    <t>5109C20060</t>
  </si>
  <si>
    <t>5111A20010</t>
  </si>
  <si>
    <t>5111B20070</t>
  </si>
  <si>
    <t>5110A20030</t>
  </si>
  <si>
    <t>5106B20240</t>
  </si>
  <si>
    <t>5106AK1040</t>
  </si>
  <si>
    <t>5106AK1010</t>
  </si>
  <si>
    <t>5106AK1020</t>
  </si>
  <si>
    <t>4B05K37032</t>
  </si>
  <si>
    <t>4B02BK2090</t>
  </si>
  <si>
    <t>4B2864990B</t>
  </si>
  <si>
    <t>4B2864990A</t>
  </si>
  <si>
    <t>4B26BK3040</t>
  </si>
  <si>
    <t>4C3166700B</t>
  </si>
  <si>
    <t>4C3166700A</t>
  </si>
  <si>
    <t>4B26BK3030</t>
  </si>
  <si>
    <t>4B26BK3010</t>
  </si>
  <si>
    <t>TUB-O-C-AUT-BH-FC-47.63X4.000X6.0000</t>
  </si>
  <si>
    <t>4C22AK3050</t>
  </si>
  <si>
    <t>4C22AK3040</t>
  </si>
  <si>
    <t>4C21CK3060</t>
  </si>
  <si>
    <t>4C13K39684</t>
  </si>
  <si>
    <t>4C13K39672</t>
  </si>
  <si>
    <t>4C03K39059</t>
  </si>
  <si>
    <t>4B22K38149</t>
  </si>
  <si>
    <t>4B19AK2040</t>
  </si>
  <si>
    <t>4B17CK2090</t>
  </si>
  <si>
    <t>4C09AK4010</t>
  </si>
  <si>
    <t>4314K05751</t>
  </si>
  <si>
    <t>4827K31356</t>
  </si>
  <si>
    <t>MG19B2409</t>
  </si>
  <si>
    <t>4B08AK3020</t>
  </si>
  <si>
    <t>4B08AK3030</t>
  </si>
  <si>
    <t>4B08AK3050</t>
  </si>
  <si>
    <t>4B08AK3060</t>
  </si>
  <si>
    <t>4B08AK3070</t>
  </si>
  <si>
    <t>4B08BK3010</t>
  </si>
  <si>
    <t>4B20AK3110</t>
  </si>
  <si>
    <t>4B20AK3120</t>
  </si>
  <si>
    <t>4B20BK3020</t>
  </si>
  <si>
    <t>4B20BK3040</t>
  </si>
  <si>
    <t>4B28CK3110</t>
  </si>
  <si>
    <t>4B28CK3130</t>
  </si>
  <si>
    <t>4B28CK3140</t>
  </si>
  <si>
    <t>4B29AK3010</t>
  </si>
  <si>
    <t>4C20K40180</t>
  </si>
  <si>
    <t>4920K33341</t>
  </si>
  <si>
    <t>4917K33126</t>
  </si>
  <si>
    <t>4B02BK2030</t>
  </si>
  <si>
    <t>MG31C2429</t>
  </si>
  <si>
    <t>MG31C2430</t>
  </si>
  <si>
    <t>4B06CK3070</t>
  </si>
  <si>
    <t>4B06CK3100</t>
  </si>
  <si>
    <t>TUB-I-C-AUT-AD-FC-24.60X3.200X6.0010</t>
  </si>
  <si>
    <t>4C22BK2050</t>
  </si>
  <si>
    <t>4B25K38421</t>
  </si>
  <si>
    <t>4C05K39151</t>
  </si>
  <si>
    <t>4C05K39180</t>
  </si>
  <si>
    <t>4C06K39210</t>
  </si>
  <si>
    <t>4C06K39211</t>
  </si>
  <si>
    <t>4C24BK3010</t>
  </si>
  <si>
    <t>4C24BK3020</t>
  </si>
  <si>
    <t>4C24BK3030</t>
  </si>
  <si>
    <t>4C24CK3030</t>
  </si>
  <si>
    <t>4C24CK3040</t>
  </si>
  <si>
    <t>4C24CK3050</t>
  </si>
  <si>
    <t>4C24CK3060</t>
  </si>
  <si>
    <t>4C24CK3070</t>
  </si>
  <si>
    <t>4C24CK3080</t>
  </si>
  <si>
    <t>MG27C2403</t>
  </si>
  <si>
    <t>4C27BK1010</t>
  </si>
  <si>
    <t>4C23BK1120</t>
  </si>
  <si>
    <t>4C23BK1110</t>
  </si>
  <si>
    <t>4C23BK1100</t>
  </si>
  <si>
    <t>4C23BK1090</t>
  </si>
  <si>
    <t>4C23BK1080</t>
  </si>
  <si>
    <t>4C23BK1050</t>
  </si>
  <si>
    <t>4C23BK1040</t>
  </si>
  <si>
    <t>4C23BK1020</t>
  </si>
  <si>
    <t>5104CK4040</t>
  </si>
  <si>
    <t>5104AK4100</t>
  </si>
  <si>
    <t>5104AK4080</t>
  </si>
  <si>
    <t>4B2764930B</t>
  </si>
  <si>
    <t>4B2764930A</t>
  </si>
  <si>
    <t>4B26K38526</t>
  </si>
  <si>
    <t>4B26K38525</t>
  </si>
  <si>
    <t>4B24K38341</t>
  </si>
  <si>
    <t>4B06CK3090</t>
  </si>
  <si>
    <t>4B06CK3060</t>
  </si>
  <si>
    <t>4B06CK3050</t>
  </si>
  <si>
    <t>4B26BK3020</t>
  </si>
  <si>
    <t>4B16BK3010</t>
  </si>
  <si>
    <t>4B16AK3080</t>
  </si>
  <si>
    <t>Status Desc</t>
  </si>
  <si>
    <t>Stock(Net Wt)</t>
  </si>
  <si>
    <t>Customer Name</t>
  </si>
  <si>
    <t>Order Thickness</t>
  </si>
  <si>
    <t>Order Odia</t>
  </si>
  <si>
    <t>Order Idia</t>
  </si>
  <si>
    <t>Order Length</t>
  </si>
  <si>
    <t>WIP Material No.</t>
  </si>
  <si>
    <t>WIP Material Desc</t>
  </si>
  <si>
    <t>FG Material No.</t>
  </si>
  <si>
    <t>FG Material Desc.</t>
  </si>
  <si>
    <t>Scheduled at CTL-1</t>
  </si>
  <si>
    <t>000000000111116476</t>
  </si>
  <si>
    <t>TM-O-N-AUT-AW-PE-15.88X2.000X5.9400</t>
  </si>
  <si>
    <t>000000000111002371</t>
  </si>
  <si>
    <t>TM-O-N-AUT-AW-PE-19.05X1.000X5.5750</t>
  </si>
  <si>
    <t>000000000111117266</t>
  </si>
  <si>
    <t>TM-O-N-AUT-AW-PE-19.05X1.600X6.3000</t>
  </si>
  <si>
    <t>000000000111116470</t>
  </si>
  <si>
    <t>TM-O-N-AUT-AW-PE-12.70X1.600X5.8600</t>
  </si>
  <si>
    <t>000000000111114034</t>
  </si>
  <si>
    <t>TM-O-N-AUT-AW-PE-15.88X1.200X4.6300</t>
  </si>
  <si>
    <t>000000000111120664</t>
  </si>
  <si>
    <t>TM-O-N-AUT-AW-PE-15.88X1.200X5.7300</t>
  </si>
  <si>
    <t>000000000111116473</t>
  </si>
  <si>
    <t>TM-O-N-AUT-AW-PE-12.70X1.600X5.1500</t>
  </si>
  <si>
    <t>000000000111001373</t>
  </si>
  <si>
    <t>TM-O-N-AUT-AW-PE-19.05X2.300X5.8000</t>
  </si>
  <si>
    <t>000000000110102155</t>
  </si>
  <si>
    <t>TM-O-O-AUT-AW-PE-12.70X1.600X6.0000</t>
  </si>
  <si>
    <t>000000000111106833</t>
  </si>
  <si>
    <t>TM-O-N-AUT-AW-PE-12.70X1.600X5.7800</t>
  </si>
  <si>
    <t>000000000110102436</t>
  </si>
  <si>
    <t>TM-O-O-AUT-AW-PE-19.05X2.000X5.8000</t>
  </si>
  <si>
    <t>Packing</t>
  </si>
  <si>
    <t>000000000110102443</t>
  </si>
  <si>
    <t>TM-O-O-AUT-AW-PE-19.05X2.000X6.2000</t>
  </si>
  <si>
    <t>000000000111002199</t>
  </si>
  <si>
    <t>TM-O-N-AUT-AW-PE-19.05X2.000X5.9550</t>
  </si>
  <si>
    <t>000000000111106834</t>
  </si>
  <si>
    <t>TM-O-N-AUT-AW-PE-12.70X1.600X6.4000</t>
  </si>
  <si>
    <t>12.7-0-1.6-ERW 1-PE-0.907</t>
  </si>
  <si>
    <t>000000000111106948</t>
  </si>
  <si>
    <t>TM-O-N-AUT-AW-PE-19.05X2.300X5.6300</t>
  </si>
  <si>
    <t>000000000111102395</t>
  </si>
  <si>
    <t>TM-S-AW-AUT-19.00X19.00X1.000X5.7400</t>
  </si>
  <si>
    <t>000000000111117608</t>
  </si>
  <si>
    <t>TM-S-AW-AUT-19.00X19.00X1.000X5.8400</t>
  </si>
  <si>
    <t>000000000111002144</t>
  </si>
  <si>
    <t>TM-O-N-AUT-AW-PE-19.05X1.200X5.7400</t>
  </si>
  <si>
    <t>000000000111002146</t>
  </si>
  <si>
    <t>TM-O-N-AUT-AW-PE-19.05X1.200X6.0750</t>
  </si>
  <si>
    <t>000000000111116350</t>
  </si>
  <si>
    <t>TM-O-N-AUT-AW-PE-19.05X1.020X6.0800</t>
  </si>
  <si>
    <t>000000000111116483</t>
  </si>
  <si>
    <t>TM-O-N-AUT-AW-PE-19.05X1.200X6.4500</t>
  </si>
  <si>
    <t>000000000110102339</t>
  </si>
  <si>
    <t>TM-O-O-AUT-AW-PE-19.05X1.200X6.2150</t>
  </si>
  <si>
    <t>000000000111116475</t>
  </si>
  <si>
    <t>TM-O-N-AUT-AW-PE-15.88X1.200X5.5200</t>
  </si>
  <si>
    <t>000000000111121736</t>
  </si>
  <si>
    <t>000000000110102205</t>
  </si>
  <si>
    <t>TM-O-O-AUT-AW-PE-15.88X1.200X5.3200</t>
  </si>
  <si>
    <t>000000000111120702</t>
  </si>
  <si>
    <t>TM-O-N-AUT-AW-PE-19.05X1.200X5.7700</t>
  </si>
  <si>
    <t>000000000111106839</t>
  </si>
  <si>
    <t>TM-O-N-AUT-AW-PE-15.88X1.600X5.7600</t>
  </si>
  <si>
    <t>000000000110102390</t>
  </si>
  <si>
    <t>TM-O-O-AUT-AW-PE-19.05X1.600X5.7700</t>
  </si>
  <si>
    <t>000000000111116358</t>
  </si>
  <si>
    <t>TM-S-AW-AUT-19.00X19.00X1.000X5.3200</t>
  </si>
  <si>
    <t>000000000111117591</t>
  </si>
  <si>
    <t>TM-S-AW-AUT-19.00X19.00X1.000X6.1400</t>
  </si>
  <si>
    <t>000000000111002143</t>
  </si>
  <si>
    <t>TM-O-N-AUT-AW-PE-19.05X1.200X6.1600</t>
  </si>
  <si>
    <t>000000000111107152</t>
  </si>
  <si>
    <t>000000000110102297</t>
  </si>
  <si>
    <t>TM-S-AW-SHS-19.00X19.00X1.000X6.0000</t>
  </si>
  <si>
    <t>000000000110102368</t>
  </si>
  <si>
    <t>TM-O-O-AUT-AW-PE-19.05X1.600X6.0700</t>
  </si>
  <si>
    <t>000000000111120700</t>
  </si>
  <si>
    <t>TM-O-N-AUT-AW-PE-19.05X1.600X6.0500</t>
  </si>
  <si>
    <t>000000000111116486</t>
  </si>
  <si>
    <t>TM-R-AW-AUT-19.00X19.00X1.000X6.3000</t>
  </si>
  <si>
    <t>000000000110102428</t>
  </si>
  <si>
    <t>TM-O-O-AUT-AW-PE-19.05X2.000X5.5800</t>
  </si>
  <si>
    <t>000000000111120703</t>
  </si>
  <si>
    <t>TM-O-O-AUT-AW-PE-19.05X1.200X5.9500</t>
  </si>
  <si>
    <t>000000000111121701</t>
  </si>
  <si>
    <t>TM-O-O-AUT-AW-PE-19.05X1.200X6.2250</t>
  </si>
  <si>
    <t>000000000111116351</t>
  </si>
  <si>
    <t>TM-O-N-AUT-AW-PE-19.05X1.200X5.4500</t>
  </si>
  <si>
    <t>000000000111124764</t>
  </si>
  <si>
    <t>TM-O-N-AUT-AW-PE-19.05X1.200X5.8000</t>
  </si>
  <si>
    <t>000000000110102496</t>
  </si>
  <si>
    <t>TM-O-O-AUT-AW-PE-22.23X1.200X6.1300</t>
  </si>
  <si>
    <t>000000000110102502</t>
  </si>
  <si>
    <t>TM-O-O-AUT-AW-PE-22.23X1.200X5.6500</t>
  </si>
  <si>
    <t>000000000110102503</t>
  </si>
  <si>
    <t>TM-O-O-AUT-AW-PE-22.23X1.200X5.8850</t>
  </si>
  <si>
    <t>000000000110102509</t>
  </si>
  <si>
    <t>TM-O-O-AUT-AW-PE-22.23X1.200X6.0000</t>
  </si>
  <si>
    <t>000000000110102570</t>
  </si>
  <si>
    <t>TM-O-O-AUT-AW-PE-22.23X2.000X5.8250</t>
  </si>
  <si>
    <t>000000000111113835</t>
  </si>
  <si>
    <t>TM-O-N-AUT-AW-PE-22.23X2.000X6.2800</t>
  </si>
  <si>
    <t>000000000111002661</t>
  </si>
  <si>
    <t>TM-O-N-AUT-AW-PE-22.23X2.000X6.1600</t>
  </si>
  <si>
    <t>000000000111121427</t>
  </si>
  <si>
    <t>TM-O-N-AUT-AW-PE-22.23X2.300X6.0500</t>
  </si>
  <si>
    <t>000000000111116364</t>
  </si>
  <si>
    <t>TM-S-AW-AUT-25.00X25.00X1.200X5.8600</t>
  </si>
  <si>
    <t>000000000111116491</t>
  </si>
  <si>
    <t>TM-R-AW-AUT-25.00X25.00X1.200X6.4000</t>
  </si>
  <si>
    <t>000000000111121738</t>
  </si>
  <si>
    <t>TM-S-AW-AUT-25.00X25.00X1.200X5.2700</t>
  </si>
  <si>
    <t>000000000111002373</t>
  </si>
  <si>
    <t>TM-O-N-AUT-AW-PE-25.40X1.200X5.1700</t>
  </si>
  <si>
    <t>000000000111002372</t>
  </si>
  <si>
    <t>TM-O-N-AUT-AW-PE-25.40X1.200X5.2700</t>
  </si>
  <si>
    <t>000000000111001994</t>
  </si>
  <si>
    <t>TM-O-N-AUT-AW-PE-25.40X1.600X5.2700</t>
  </si>
  <si>
    <t>000000000111116360</t>
  </si>
  <si>
    <t>TM-O-N-AUT-AW-PE-25.40X1.600X5.9100</t>
  </si>
  <si>
    <t>000000000111002133</t>
  </si>
  <si>
    <t>TM-O-N-AUT-AW-FC-25.40X2.000X5.6800</t>
  </si>
  <si>
    <t>CUT-O-O-AUT-AW-FC-25.40X2.000X0.2130</t>
  </si>
  <si>
    <t>000000000111002135</t>
  </si>
  <si>
    <t>TM-O-N-AUT-AW-FC-25.40X2.000X5.7400</t>
  </si>
  <si>
    <t>000000000111116361</t>
  </si>
  <si>
    <t>TM-O-N-AUT-AW-FC-25.40X2.000X5.9200</t>
  </si>
  <si>
    <t>000000000110102717</t>
  </si>
  <si>
    <t>TM-O-O-AUT-AW-FC-25.40X2.000X6.0340</t>
  </si>
  <si>
    <t>CUT-O-O-AUT-AW-FC-25.40X2.000X0.3100</t>
  </si>
  <si>
    <t>000000000111116488</t>
  </si>
  <si>
    <t>TM-O-N-AUT-AW-PE-25.40X2.000X6.1000</t>
  </si>
  <si>
    <t>000000000111001243</t>
  </si>
  <si>
    <t>TM-O-N-AUT-AW-FC-25.40X2.000X5.8000</t>
  </si>
  <si>
    <t>000000000111120564</t>
  </si>
  <si>
    <t>TM-O-N-AUT-AW-FC-25.40X2.000X5.9500</t>
  </si>
  <si>
    <t>000000000111106958</t>
  </si>
  <si>
    <t>TM-O-N-AUT-AW-PE-25.40X2.500X5.9000</t>
  </si>
  <si>
    <t>000000000111002141</t>
  </si>
  <si>
    <t>TM-O-N-AUT-AW-FC-25.40X2.500X5.5600</t>
  </si>
  <si>
    <t>000000000110102749</t>
  </si>
  <si>
    <t>TM-O-O-AUT-AW-PE-28.58X1.200X6.0550</t>
  </si>
  <si>
    <t>000000000111002097</t>
  </si>
  <si>
    <t>TM-O-N-AUT-AW-PE-28.58X1.200X6.2000</t>
  </si>
  <si>
    <t>000000000111118633</t>
  </si>
  <si>
    <t>TM-O-N-AUT-AW-FC-28.58X1.600X5.9500</t>
  </si>
  <si>
    <t>000000000111107137</t>
  </si>
  <si>
    <t>TM-O-N-AUT-AW-FC-28.58X1.600X5.9000</t>
  </si>
  <si>
    <t>000000000110102758</t>
  </si>
  <si>
    <t>TM-O-O-AUT-AW-FC-28.58X2.000X5.8100</t>
  </si>
  <si>
    <t>000000000111116368</t>
  </si>
  <si>
    <t>TM-S-AW-AUT-30.00X30.00X1.200X5.6400</t>
  </si>
  <si>
    <t>000000000110102787</t>
  </si>
  <si>
    <t>TM-O-O-AUT-AW-FC-31.75X1.600X6.0330</t>
  </si>
  <si>
    <t>000000000111120347</t>
  </si>
  <si>
    <t>TM-O-N-AUT-AW-FC-38.10X1.600X5.3500</t>
  </si>
  <si>
    <t>000000000110102875</t>
  </si>
  <si>
    <t>TM-O-O-AUT-AW-FC-38.10X2.000X5.7800</t>
  </si>
  <si>
    <t>000000000111116370</t>
  </si>
  <si>
    <t>TM-O-N-AUT-AW-FC-38.10X2.000X5.0300</t>
  </si>
  <si>
    <t>000000000111120693</t>
  </si>
  <si>
    <t>TM-O-O-AUT-AW-FC-38.10X2.000X6.1500</t>
  </si>
  <si>
    <t>000000000111100961</t>
  </si>
  <si>
    <t>TM-O-N-AUT-AW-FC-38.10X2.000X5.6600</t>
  </si>
  <si>
    <t>000000000110102922</t>
  </si>
  <si>
    <t>TM-R-AW-RHS-40.00X20.00X1.210X6.0350</t>
  </si>
  <si>
    <t>000000000111116372</t>
  </si>
  <si>
    <t>TM-R-AW-AUT-40.00X20.00X1.200X6.3100</t>
  </si>
  <si>
    <t>000000000111001341</t>
  </si>
  <si>
    <t>TM-R-AD-RHS-40.00X20.00X1.210X6.1000</t>
  </si>
  <si>
    <t>000000000111117595</t>
  </si>
  <si>
    <t>TM-R-AW-AUT-40.00X20.00X1.200X5.6800</t>
  </si>
  <si>
    <t>000000000110102927</t>
  </si>
  <si>
    <t>TM-R-AW-RHS-40.00X20.00X1.210X5.3100</t>
  </si>
  <si>
    <t>000000000111116373</t>
  </si>
  <si>
    <t>TM-R-AW-AUT-40.00X20.00X1.600X5.8600</t>
  </si>
  <si>
    <t>000000000111001353</t>
  </si>
  <si>
    <t>TM-O-AW-AUT-40.00X30.00X2.000X6.1000</t>
  </si>
  <si>
    <t>000000000111001352</t>
  </si>
  <si>
    <t>TM-O-AW-AUT-40.00X30.00X2.000X6.1700</t>
  </si>
  <si>
    <t>000000000110102963</t>
  </si>
  <si>
    <t>TM-R-AW-RHS-40.00X30.00X2.000X6.1750</t>
  </si>
  <si>
    <t>000000000110102977</t>
  </si>
  <si>
    <t>TM-S-AW-SHS-40.00X40.00X1.200X5.9700</t>
  </si>
  <si>
    <t>000000000111117555</t>
  </si>
  <si>
    <t>TM-S-AW-AUT-40.00X40.00X1.200X5.9500</t>
  </si>
  <si>
    <t>000000000111107162</t>
  </si>
  <si>
    <t>TM-S-AW-SHS-40.00X40.00X1.200X5.9500</t>
  </si>
  <si>
    <t>000000000111122744</t>
  </si>
  <si>
    <t>TM-O-N-AUT-AW-FC-41.28X3.200X5.9000</t>
  </si>
  <si>
    <t>000000000111118634</t>
  </si>
  <si>
    <t>TM-O-N-AUT-AW-FC-41.28X3.200X6.2850</t>
  </si>
  <si>
    <t>000000000111106621</t>
  </si>
  <si>
    <t>TM-O-N-AUT-AW-FC-48.60X1.200X5.8200</t>
  </si>
  <si>
    <t>000000000111002411</t>
  </si>
  <si>
    <t>TM-R-AW-AUT-50.00X30.00X1.600X5.5250</t>
  </si>
  <si>
    <t>000000000111002503</t>
  </si>
  <si>
    <t>TM-R-AW-AUT-50.00X30.00X1.600X5.5750</t>
  </si>
  <si>
    <t>000000000110103004</t>
  </si>
  <si>
    <t>TM-R-AW-RHS-50.00X30.00X1.600X5.8190</t>
  </si>
  <si>
    <t>000000000111119454</t>
  </si>
  <si>
    <t>TM-R-AW-AUT-50.00X30.00X1.600X5.8300</t>
  </si>
  <si>
    <t>000000000111117697</t>
  </si>
  <si>
    <t>TM-O-N-AUT-AW-FC-50.80X1.600X5.9500</t>
  </si>
  <si>
    <t>000000000111118812</t>
  </si>
  <si>
    <t>TM-E-AW-AUT-59.00X30.00X1.600X5.8900</t>
  </si>
  <si>
    <t>000000000111125646</t>
  </si>
  <si>
    <t>TM-O-AW-AUT-50.00X30.00X2.500X5.4800</t>
  </si>
  <si>
    <t>000000000111117593</t>
  </si>
  <si>
    <t>000000000111129285</t>
  </si>
  <si>
    <t>TM-O-N-AUT-AW-FC-22.23X2.000X6.0000</t>
  </si>
  <si>
    <t>000000000110102752</t>
  </si>
  <si>
    <t>TM-O-O-AUT-AW-PE-28.58X1.600X6.0000</t>
  </si>
  <si>
    <t>Schedule (MT)</t>
  </si>
  <si>
    <t>Sales (MT)</t>
  </si>
  <si>
    <t>Difference (MT)</t>
  </si>
  <si>
    <t>Reason for Sales Loss</t>
  </si>
  <si>
    <t>Metalman|Rajsriya Automotive|Rajsriya Unit 1|Rajsriya Unit 8|SRIKAM HITECH</t>
  </si>
  <si>
    <t>180|195|200|319|588|5000</t>
  </si>
  <si>
    <t>RM Unavailability</t>
  </si>
  <si>
    <t xml:space="preserve">NMPL (HUB)|NMPL 1|Sandhar Engg Mysore </t>
  </si>
  <si>
    <t>Customer Clearance</t>
  </si>
  <si>
    <t>KAY JAY|Narasipur Auto Component(P)Ltd</t>
  </si>
  <si>
    <t>357|360|385|450|5200</t>
  </si>
  <si>
    <t>SY Chamfering Processing Constraint</t>
  </si>
  <si>
    <t>Metalman|RUCHA</t>
  </si>
  <si>
    <t>875|878</t>
  </si>
  <si>
    <t>ELKAYEM AUTO|Marathwada|Metalman|RUCHA</t>
  </si>
  <si>
    <t>318|322|513|514|536|538|560|585|587</t>
  </si>
  <si>
    <t>Delay in Rolling</t>
  </si>
  <si>
    <t>Metalman|NMPL 1|RUCHA|SANDHAR ENGINEERING PVT LTD.</t>
  </si>
  <si>
    <t>208|210|247</t>
  </si>
  <si>
    <t xml:space="preserve">ELKAYEM AUTO|Metalman|Rajsriya Mysore |Rajsriya Unit 8|Sandhar Engg Mysore </t>
  </si>
  <si>
    <t>215|235|254|290</t>
  </si>
  <si>
    <t>Metalman|Rajsriya Mysore |Rajsriya Unit 8|RUCHA</t>
  </si>
  <si>
    <t>326|346|375|526|772</t>
  </si>
  <si>
    <t>SY Angle Cutting Processing Constraint</t>
  </si>
  <si>
    <t>Balaji Gear</t>
  </si>
  <si>
    <t>Packing Structure</t>
  </si>
  <si>
    <t>Payment Issue</t>
  </si>
  <si>
    <t>Srikam Hitech</t>
  </si>
  <si>
    <t>Credit Issue</t>
  </si>
  <si>
    <t>Description for sales Loss</t>
  </si>
  <si>
    <t>Volume (MT)</t>
  </si>
  <si>
    <t>Sales Loss</t>
  </si>
  <si>
    <t>Rajsriya Mysore |Rajsriya Unit 5</t>
  </si>
  <si>
    <t>ELKAYEM AUTO|SANDHAR ENGINEERING PVT LTD.|SRIKAM HITECH</t>
  </si>
  <si>
    <t>355|385|400|640</t>
  </si>
  <si>
    <t>Balaji press product|NMPL 1|SANDHAR ENGINEERING PVT LTD.</t>
  </si>
  <si>
    <t>109|330|403|513|631|650|680|1075|1130|1275</t>
  </si>
  <si>
    <t>Metalman|SANDHAR ENGINEERING PVT LTD.|SRIKAM HITECH</t>
  </si>
  <si>
    <t>258|268|275|595|1405</t>
  </si>
  <si>
    <t>Rajsriya Mysore |Rajsriya Unit 8</t>
  </si>
  <si>
    <t>394|775</t>
  </si>
  <si>
    <t>ELKAYEM AUTO|NMPL (HUB)|Rajsriya Unit 4|SANDHAR ENGINEERING PVT LTD.|SRIKAM HITECH</t>
  </si>
  <si>
    <t>140|297|673|681|1162|1308</t>
  </si>
  <si>
    <t>840|855</t>
  </si>
  <si>
    <t xml:space="preserve">NMPL (HUB)|Sandhar Engg Mysore </t>
  </si>
  <si>
    <t>412|470</t>
  </si>
  <si>
    <t>247|263</t>
  </si>
  <si>
    <t>ELKAYEM AUTO|Marathwada</t>
  </si>
  <si>
    <t>209|1000</t>
  </si>
  <si>
    <t>SY Cutting Constraint</t>
  </si>
  <si>
    <t>Marathwada|Rajsriya Unit 1</t>
  </si>
  <si>
    <t>465|485</t>
  </si>
  <si>
    <t>NMPL 1|Rajsriya Unit 2|Rajsriya Unit 4|SANDHAR ENGINEERING PVT LTD.</t>
  </si>
  <si>
    <t>598|670|680|1000</t>
  </si>
  <si>
    <t>NMPL (HUB)|NMPL 1|RUCHA|Sandhar Engg Mysore |SANDHAR ENGINEERING PVT LTD.</t>
  </si>
  <si>
    <t>278|406|410|425|432|488|494|812</t>
  </si>
  <si>
    <t>ELKAYEM AUTO|Metalman|Rajsriya Mysore |Rajsriya Unit 8|TVS MOTOR COMPANY LIMITED</t>
  </si>
  <si>
    <t>400|835|860|880|1000</t>
  </si>
  <si>
    <t>Metalman|Rajsriya Unit 8</t>
  </si>
  <si>
    <t>491|525</t>
  </si>
  <si>
    <t xml:space="preserve">ELKAYEM AUTO|ELKAYEM AUTO MYSORE </t>
  </si>
  <si>
    <t>Volume (MT) in Apr'25</t>
  </si>
  <si>
    <t>Volume (MT) in May'25</t>
  </si>
  <si>
    <t>June'25</t>
  </si>
  <si>
    <t>Remarks</t>
  </si>
  <si>
    <t>847</t>
  </si>
  <si>
    <t>1365</t>
  </si>
  <si>
    <t>ELKAYEM AUTO|Rajsriya Automotive</t>
  </si>
  <si>
    <t>1000|4500</t>
  </si>
  <si>
    <t>0789 Cutting Constraint</t>
  </si>
  <si>
    <t>NMPL (HUB)|NMPL 1</t>
  </si>
  <si>
    <t>110|145</t>
  </si>
  <si>
    <t>357|361|363|376</t>
  </si>
  <si>
    <t>NMPL 1|NMPL (HUB)</t>
  </si>
  <si>
    <t>ELKAYEM AUTO|SRIKAM HITECH</t>
  </si>
  <si>
    <t>278|408|772|1000</t>
  </si>
  <si>
    <t>Balaji press product|ELKAYEM AUTO|NMPL 1|Rajsriya Automotive|Rajsriya Mysore |Rajsriya Unit 5|Rajsriya Unit 2|SRIKAM HITECH</t>
  </si>
  <si>
    <t>145|187|189|250|252|255|257|260|280|295|320|393|950|1000|6000</t>
  </si>
  <si>
    <t>Balaji press product|SRI BALAJI GEARS V3|SRIKAM HITECH</t>
  </si>
  <si>
    <t>100|540|680|755|888|1130|1310</t>
  </si>
  <si>
    <t>ELKAYEM AUTO|Rajsriya Unit 2|SRIKAM HITECH</t>
  </si>
  <si>
    <t>435|442|1000</t>
  </si>
  <si>
    <t>ELKAYEM AUTO|KNITVEL NEEDLES P LTD|Rajsriya Unit 2|Rajsriya Mysore |Rajsriya Unit 5|RUCHA|SRIKAM HITECH</t>
  </si>
  <si>
    <t>104|213|240|259|358|475|785|815|820|830|900|6000</t>
  </si>
  <si>
    <t>ELKAYEM AUTO|NMPL (HUB)|Rajsriya Unit 4|SANDHAR ENGINEERING PVT LTD.|Sandhar Automach|SRIKAM HITECH</t>
  </si>
  <si>
    <t>140|297|673|681|1162|1308|1328</t>
  </si>
  <si>
    <t>ELKAYEM AUTO|KNITVEL NEEDLES P LTD|Metalman|NMPL (HUB)|NMPL 1|SANDHAR ENGINEERING PVT LTD.|Rajsriya Unit 2|Sandhar Engg Mysore |Rajsriya Unit 5|SRIKAM HITECH</t>
  </si>
  <si>
    <t>210|274|283|285|394|401|640|670|675|690|700|740|809|880|945|949|967|1175|1210|1222|1290|1304|1337</t>
  </si>
  <si>
    <t>935</t>
  </si>
  <si>
    <t>NMPL (HUB)|NMPL 1|Rajsriya Unit 2|Rajsriya Unit 5|SANDHAR ENGINEERING PVT LTD.|Sandhar Automach|SRIKAM HITECH</t>
  </si>
  <si>
    <t>180|220|236|394|775|809|815|1000|1325|1385</t>
  </si>
  <si>
    <t>Sandhar Engg Mysore |SANDHAR ENGINEERING PVT LTD.</t>
  </si>
  <si>
    <t>855|863</t>
  </si>
  <si>
    <t>KNITVEL NEEDLES P LTD|Sandhar Automach|SRIKAM HITECH</t>
  </si>
  <si>
    <t>604|812|905|925</t>
  </si>
  <si>
    <t>NMPL 1|Rajsriya Automotive|Rajsriya Unit 2|Rajsriya Mysore |Rajsriya Unit 5|SRIKAM HITECH</t>
  </si>
  <si>
    <t>281|350|425|427|430|1000</t>
  </si>
  <si>
    <t>ELKAYEM AUTO|SANDHAR ENGINEERING PVT LTD.|Sandhar Engg Mysore |Rajsriya Automotive|SRIKAM HITECH</t>
  </si>
  <si>
    <t>281|355|418|660</t>
  </si>
  <si>
    <t xml:space="preserve">NMPL (HUB)|Rajsriya Unit 2|Sandhar Engg Mysore </t>
  </si>
  <si>
    <t>412|470|567</t>
  </si>
  <si>
    <t>783</t>
  </si>
  <si>
    <t>Metalman|NMPL (HUB)|NMPL 1</t>
  </si>
  <si>
    <t>488|812|815|821</t>
  </si>
  <si>
    <t>875|878|930</t>
  </si>
  <si>
    <t>278|406|410|425|432|488|494|812|1000</t>
  </si>
  <si>
    <t xml:space="preserve">Rajsriya Automotive|Rajsriya Mysore |Sandhar Engg Mysore </t>
  </si>
  <si>
    <t>848|850</t>
  </si>
  <si>
    <t>230|246</t>
  </si>
  <si>
    <t>ELKAYEM AUTO|Metalman|Rajsriya Unit 8|Rajsriya Mysore |TVS MOTOR COMPANY LIMITED</t>
  </si>
  <si>
    <t>196|202.5</t>
  </si>
  <si>
    <t>Metalman|RUCHA|Rajsriya Mysore |Rajsriya Unit 8</t>
  </si>
  <si>
    <t>Sales Loss Volume (MT) in Apr'25</t>
  </si>
  <si>
    <t>Sales Loss Volume (MT) in May'25</t>
  </si>
  <si>
    <t>Sales Loss Volume (MT) in June'25</t>
  </si>
  <si>
    <t>Balance schedule TSL</t>
  </si>
  <si>
    <t>Stock TSL</t>
  </si>
  <si>
    <t>GAP TSL</t>
  </si>
  <si>
    <t>Balaji press product|ELKAYEM AUTO|NMPL 1|Rajsriya Unit 2|Rajsriya Automotive|Rajsriya Mysore |Rajsriya Unit 5|SRIKAM HITECH</t>
  </si>
  <si>
    <t>145|187|189|250|252|255|257|260|280|295|320|393|907|950|1000|6000</t>
  </si>
  <si>
    <t>ELKAYEM AUTO|ELKAYEM AUTO MYSORE |Rajsriya Mysore |Rajsriya Unit 1|Rajsriya Unit 8|RUCHA|SRIKAM HITECH</t>
  </si>
  <si>
    <t>155|160|291|442|537</t>
  </si>
  <si>
    <t>Balaji press product|Marathwada|NMPL 1|SANDHAR ENGINEERING PVT LTD.</t>
  </si>
  <si>
    <t>109|200|330|403|513|631|650|680|682|1075|1130|1230|1275</t>
  </si>
  <si>
    <t>ELKAYEM AUTO|KNITVEL NEEDLES P LTD|Rajsriya Unit 5|Rajsriya Mysore |Rajsriya Unit 8|Rajsriya Unit 2|Rajsriya Unit 1|RUCHA|SRIKAM HITECH</t>
  </si>
  <si>
    <t>104|213|240|259|265|358|394|475|775|785|815|820|830|900|1000</t>
  </si>
  <si>
    <t>ELKAYEM AUTO|KNITVEL NEEDLES P LTD|Marathwada|Metalman|NMPL 1|NMPL (HUB)|NMPL Plant|Rajsriya Unit 2|Sandhar Engg Mysore |Rajsriya Unit 5|SANDHAR ENGINEERING PVT LTD.|SRIKAM HITECH</t>
  </si>
  <si>
    <t>706|715|1000</t>
  </si>
  <si>
    <t>ELKAYEM AUTO MYSORE |NMPL 1|NMPL (HUB)|Rajsriya Unit 2|Rajsriya Unit 5|Sandhar Automach|SANDHAR ENGINEERING PVT LTD.|SRIKAM HITECH</t>
  </si>
  <si>
    <t>NMPL (HUB)|Sandhar Engg Mysore |SANDHAR ENGINEERING PVT LTD.</t>
  </si>
  <si>
    <t>394|855|863</t>
  </si>
  <si>
    <t>ELKAYEM AUTO|Marathwada|NMPL 1|Rajsriya Automotive|Rajsriya Unit 2|Rajsriya Mysore |Rajsriya Unit 5|SRIKAM HITECH</t>
  </si>
  <si>
    <t>188|220|281|295|350|425|427|430|499|1000</t>
  </si>
  <si>
    <t>Marathwada|NMPL (HUB)|NMPL 1</t>
  </si>
  <si>
    <t>845|1000|2550|2585</t>
  </si>
  <si>
    <t>Balaji press product|Marathwada|NMPL 1|Rajsriya Automotive</t>
  </si>
  <si>
    <t>360|512|2580|2590</t>
  </si>
  <si>
    <t>ELKAYEM AUTO|ELKAYEM AUTO MYSORE |Marathwada|Sandhar Engg Mysore |Rajsriya Automotive|SANDHAR ENGINEERING PVT LTD.|SRIKAM HITECH</t>
  </si>
  <si>
    <t>281|290|350|355|418|660</t>
  </si>
  <si>
    <t>215|414</t>
  </si>
  <si>
    <t>1721</t>
  </si>
  <si>
    <t>875|878|930|1000</t>
  </si>
  <si>
    <t>ELKAYEM AUTO|Marathwada|Metalman|RUCHA|SANDHAR ENGINEERING PVT LTD.</t>
  </si>
  <si>
    <t>561</t>
  </si>
  <si>
    <t xml:space="preserve">Balaji press product|ELKAYEM AUTO|ELKAYEM AUTO MYSORE </t>
  </si>
  <si>
    <t>604|636|1100</t>
  </si>
  <si>
    <t>140|730</t>
  </si>
  <si>
    <t>ELKAYEM AUTO MYSORE |Rajsriya Unit 8</t>
  </si>
  <si>
    <t>409|713</t>
  </si>
  <si>
    <t>ELKAYEM AUTO|ELKAYEM AUTO MYSORE |Laxmi</t>
  </si>
  <si>
    <t>641|645</t>
  </si>
  <si>
    <t>Metalman|Rajsriya Automotive|Rajsriya Unit 8|Rajsriya Unit 1|SRIKAM HITECH</t>
  </si>
  <si>
    <t>NEEL METAL PRODUCTS LIMITED|NMPL 1|Laxmi</t>
  </si>
  <si>
    <t>1140|5750</t>
  </si>
  <si>
    <t>234|236|5060</t>
  </si>
  <si>
    <t>Sales Loss Volume (MT) in Jan'26</t>
  </si>
  <si>
    <t>O D</t>
  </si>
  <si>
    <t>Thk.</t>
  </si>
  <si>
    <t>Wt/Len</t>
  </si>
  <si>
    <t>key</t>
  </si>
  <si>
    <t>In Transit</t>
  </si>
  <si>
    <t>NFC</t>
  </si>
  <si>
    <t>FY25</t>
  </si>
  <si>
    <t>kg/Vehicle</t>
  </si>
  <si>
    <t>kG/Vehicle</t>
  </si>
  <si>
    <t>Handlebar and Front Fork</t>
  </si>
  <si>
    <t>Tot</t>
  </si>
  <si>
    <t>Vehicles</t>
  </si>
  <si>
    <t>Tubes Qty (MT)</t>
  </si>
  <si>
    <t>2W Total</t>
  </si>
  <si>
    <t>Moped</t>
  </si>
  <si>
    <t>2W North</t>
  </si>
  <si>
    <t>Bike</t>
  </si>
  <si>
    <t>2W South</t>
  </si>
  <si>
    <t>Scooter</t>
  </si>
  <si>
    <t>3W South</t>
  </si>
  <si>
    <t>Average</t>
  </si>
  <si>
    <t>TSL to TVS South</t>
  </si>
  <si>
    <t>3W</t>
  </si>
  <si>
    <t>SOB%</t>
  </si>
  <si>
    <t>on 15th Morning</t>
  </si>
  <si>
    <t>15th May</t>
  </si>
  <si>
    <t>16th May</t>
  </si>
  <si>
    <t>17th May</t>
  </si>
  <si>
    <t>19th May</t>
  </si>
  <si>
    <t>20th May</t>
  </si>
  <si>
    <t>21st May</t>
  </si>
  <si>
    <t>Thk</t>
  </si>
  <si>
    <t>CTL Length</t>
  </si>
  <si>
    <t>Despacthed</t>
  </si>
  <si>
    <t>Compliance</t>
  </si>
  <si>
    <t>FG Stk</t>
  </si>
  <si>
    <t>Exp Shortage due to capacity</t>
  </si>
  <si>
    <t>Actual</t>
  </si>
  <si>
    <t>Head Pipe</t>
  </si>
  <si>
    <t>Lathe</t>
  </si>
  <si>
    <t>Sandhar Hosur</t>
  </si>
  <si>
    <t>Sandhar Mysore</t>
  </si>
  <si>
    <t>Ampere</t>
  </si>
  <si>
    <t>Nahar</t>
  </si>
  <si>
    <t>Thai Summit</t>
  </si>
  <si>
    <t>JBM</t>
  </si>
  <si>
    <t>Indo Auto</t>
  </si>
  <si>
    <t>Ather</t>
  </si>
  <si>
    <t>Plan for 11000 nos.</t>
  </si>
  <si>
    <t>Plan for 12000 nos.</t>
  </si>
  <si>
    <t>Plan for 13000 nos.</t>
  </si>
  <si>
    <t>0000943209</t>
  </si>
  <si>
    <t>TUB-O-N-AUT-AW-FC-57.15X2.500X5.9500</t>
  </si>
  <si>
    <t>0000943210</t>
  </si>
  <si>
    <t>TUB-O-N-AUT-AW-FC-41.28X3.150X5.8600</t>
  </si>
  <si>
    <t>TUB-O-N-AUT-AW-FC-48.60X2.000X6.270 HST</t>
  </si>
  <si>
    <t>TUB-O-N-AUT-AW-FC-48.60X2.300X6.270 HST</t>
  </si>
  <si>
    <t>TUB-O-N-AUT-AW-PE-22.20X1.600X5.6850</t>
  </si>
  <si>
    <t>0000950043</t>
  </si>
  <si>
    <t>TUB-O-N-BOT-NR-FC-63.50X3.660X6.6700</t>
  </si>
  <si>
    <t>TUB-O-N-BOT-NR-FC-63.50X3.660X7.200</t>
  </si>
  <si>
    <t>TUB-O-N-BOT-NR-FC-63.50X3.660X5.8400</t>
  </si>
  <si>
    <t>TUB-O-N-BOT-NR-FC-63.50X3.660X5.600</t>
  </si>
  <si>
    <t>TUB-O-N-BOT-NR-FC-63.50X3.660X6.400</t>
  </si>
  <si>
    <t>0000945274</t>
  </si>
  <si>
    <t>TUB-O-N-BOT-NR-FC-63.50X3.660X6.000</t>
  </si>
  <si>
    <t>0000948751</t>
  </si>
  <si>
    <t>TUB-O-N-AUT-AW-PE-22.20X1.600X5.6700</t>
  </si>
  <si>
    <t>TUB-O-N-AUT-AW-PE-22.20X1.600X5.2640</t>
  </si>
  <si>
    <t>0000944119</t>
  </si>
  <si>
    <t>TUB-O-N-BOT-NR-FC-38.10X3.250X6.100</t>
  </si>
  <si>
    <t>TUB-O-N-BOT-NR-FC-63.50X3.660X6.500</t>
  </si>
  <si>
    <t>TUB-O-N-BOT-NR-FC-63.50X4.060X6.100</t>
  </si>
  <si>
    <t>TUB-O-N-AHT-NR-FC-63.50X2.640X3.557</t>
  </si>
  <si>
    <t>TUB-O-N-BOT-NR-FC-63.50X4.060X4.000</t>
  </si>
  <si>
    <t>TUB-O-N-BOT-NR-FC-63.50X3.660X7.000</t>
  </si>
  <si>
    <t>TUB-O-N-BOT-NR-FC-63.50X3.660X3.700</t>
  </si>
  <si>
    <t>TUB-O-N-BOT-NR-FC-63.50X3.660X7.500</t>
  </si>
  <si>
    <t>TUB-O-N-AUT-AH-FC-38.10X2.500X6.1900 HST</t>
  </si>
  <si>
    <t>0000931321</t>
  </si>
  <si>
    <t>TUB-O-N-BOT-NR-FC-50.80X3.250X6.100</t>
  </si>
  <si>
    <t>TUB-O-N-BOT-NR-FC-76.20X3.660X4.000</t>
  </si>
  <si>
    <t>TUB-O-N-BOT-NR-FC-76.20X3.660X5.000</t>
  </si>
  <si>
    <t>TUB-O-N-BOT-NR-FC-50.80X4.060X6.100</t>
  </si>
  <si>
    <t>0000943211</t>
  </si>
  <si>
    <t>TUB-O-N-AUT-AW-FC-34.93X1.200X5.900</t>
  </si>
  <si>
    <t>0000927112</t>
  </si>
  <si>
    <t>TUB-O-N-BOT-NR-FC-50.80X3.660X12.000</t>
  </si>
  <si>
    <t>TUB-O-N-BOT-NR-FC-63.50X3.660X12.000</t>
  </si>
  <si>
    <t>0000187765</t>
  </si>
  <si>
    <t>0000188170</t>
  </si>
  <si>
    <t>0000184248</t>
  </si>
  <si>
    <t>TUB-O-N-AHT-NR-FC-63.50X2.640X3.355</t>
  </si>
  <si>
    <t>TUB-O-N-AHT-NR-FC-63.50X2.640X5.0710</t>
  </si>
  <si>
    <t>TUB-S-AW-SHS-50.0X50.0X1.6X6.121 FC HDP</t>
  </si>
  <si>
    <t>0000188251</t>
  </si>
  <si>
    <t>TUB-O-N-BOT-NR-FC-63.50X3.250X5.1010</t>
  </si>
  <si>
    <t>0000184192</t>
  </si>
  <si>
    <t>TUB-O-N-AUT-AW-PE-22.20X2.000X0.1660</t>
  </si>
  <si>
    <t>TUB-O-N-AUT-AW-PE-22.20X2.000X0.1360</t>
  </si>
  <si>
    <t>0000188356</t>
  </si>
  <si>
    <t>TUB-O-N-AUT-AW-PE-19.05X1.600X0.2630</t>
  </si>
  <si>
    <t>CUT-O-N-AUT-AW-PE-19.05X1.600X0.2500</t>
  </si>
  <si>
    <t>0000189270</t>
  </si>
  <si>
    <t>0000952265</t>
  </si>
  <si>
    <t>CUT-O-N-AUT-AW-PE-19.05X1.600X0.3850</t>
  </si>
  <si>
    <t>TUB-O-O-AUT-AW-FC-28.58X2.000X0.4480</t>
  </si>
  <si>
    <t>TUB-O-N-AUT-AW-PE-15.88X2.000X0.2470</t>
  </si>
  <si>
    <t>CUT-O-N-AUT-AW-PE-12.70X1.600X0.9250</t>
  </si>
  <si>
    <t>TUB-O-N-AUT-AW-PE-19.05X1.600X0.4500</t>
  </si>
  <si>
    <t>0000189454</t>
  </si>
  <si>
    <t>TUB-O-N-AUT-AW-FC-50.80X2.000X0.7310</t>
  </si>
  <si>
    <t>TUB-R-AW-AUT-50.00X30.00X2.500X6.1930</t>
  </si>
  <si>
    <t>TUB-O-N-AUT-HR-FC-25.40X2.000X0.7250</t>
  </si>
  <si>
    <t>0000940085</t>
  </si>
  <si>
    <t>TUB-O-O-AUT-AW-PE-12.70X1.600X1.2000</t>
  </si>
  <si>
    <t>TUB-O-N-AUT-AW-FC-48.00X1.200X5.2850</t>
  </si>
  <si>
    <t>TUB-O-O-AUT-AW-FC-31.75X2.300X6.0000</t>
  </si>
  <si>
    <t>0000952287</t>
  </si>
  <si>
    <t>TUB-O-N-GEN-AW-PE-19.05X1.150X5.0000</t>
  </si>
  <si>
    <t>TUB-S-FH-SHS-19.00X19.00X1.150X6.0000</t>
  </si>
  <si>
    <t>TUB-S-FH-GEN-30.00X30.00X1.000X6.0000</t>
  </si>
  <si>
    <t>TUB-R-AW-AUT-50.00X30.00X2.500X0.7700</t>
  </si>
  <si>
    <t>CUT-O-N-AUT-AW-FC-25.40X1.400X0.8950</t>
  </si>
  <si>
    <t>CUT-O-N-AUT-AW-FC-25.40X1.400X0.4660</t>
  </si>
  <si>
    <t>0000947306</t>
  </si>
  <si>
    <t>TUB-O-N-AUT-AW-PE-22.23X1.200X5.3000</t>
  </si>
  <si>
    <t>0000186864</t>
  </si>
  <si>
    <t>0000185499</t>
  </si>
  <si>
    <t>TUB-S-FH-SHS-25.00X25.00X1.150X6.0000</t>
  </si>
  <si>
    <t>0000185014</t>
  </si>
  <si>
    <t>0000188405</t>
  </si>
  <si>
    <t>TUB-O-N-AUT-AP-PE-22.23X2.000X0.7750</t>
  </si>
  <si>
    <t>TUB-O-N-AUT-AW-PE-15.88X2.000X0.5500</t>
  </si>
  <si>
    <t>CUT-O-N-AUT-AW-PE-12.70X1.600X0.6550</t>
  </si>
  <si>
    <t>TUB-O-N-AUT-AW-PE-12.70X1.600X0.2850</t>
  </si>
  <si>
    <t>TUB-O-N-AUT-AW-PE-12.70X1.600X1.0650</t>
  </si>
  <si>
    <t>TUB-O-N-AUT-AW-PE-15.88X2.000X0.5600</t>
  </si>
  <si>
    <t>0000940329</t>
  </si>
  <si>
    <t>CUT-O-N-AUT-AW-PE-19.05X1.400X0.2730</t>
  </si>
  <si>
    <t>TUB-O-N-AUT-AW-FC-22.23X2.000X6.0000</t>
  </si>
  <si>
    <t>TUB-O-N-AUT-AW-FC-22.20X2.000X5.9500</t>
  </si>
  <si>
    <t>0000184334</t>
  </si>
  <si>
    <t>0000949752</t>
  </si>
  <si>
    <t>METALMAN AUTO PRIVATE LIMITED</t>
  </si>
  <si>
    <t>TUB-O-N-AUT-AW-FC-22.23X2.000X0.7560</t>
  </si>
  <si>
    <t>0000130189</t>
  </si>
  <si>
    <t>COMTUBE-12.70 X 57.15 &amp; THICK UPTO 2.50M</t>
  </si>
  <si>
    <t>ERW RND OD SEC.TI THK O.N</t>
  </si>
  <si>
    <t>TUB-R-FH-RHS-40.00X20.00X1.150X6.0000</t>
  </si>
  <si>
    <t>TUB-R-AW-RHS-40.00X20.00X1.000X6.0000</t>
  </si>
  <si>
    <t>TUB-O-N-GEN-AW-PE-15.88X1.000X5.5000</t>
  </si>
  <si>
    <t>TUB-R-FH-GEN-40.00X20.00X1.510X6.0000</t>
  </si>
  <si>
    <t>0000940954</t>
  </si>
  <si>
    <t>TUB-O-N-AUT-AW-PE-21.40X2.000X0.4620</t>
  </si>
  <si>
    <t>TUB-O-N-AUT-AW-PE-41.28X2.600X6.0200</t>
  </si>
  <si>
    <t>TUB-O-N-AUT-AW-FC-41.28X2.600X6.0000</t>
  </si>
  <si>
    <t>CUT-O-C-AUT-BH-FC-47.63X4.000X0.2160</t>
  </si>
  <si>
    <t>PT4-O-N-AUT-AW-FC-38.10X3.200X0.3190</t>
  </si>
  <si>
    <t>0000947788</t>
  </si>
  <si>
    <t>TUB-O-N-AUT-AN-FC-44.45X4.000X0.3430</t>
  </si>
  <si>
    <t>0000183569</t>
  </si>
  <si>
    <t>CUT-O-N-AUT-AW-FC-48.60X2.30X0.310 ERW 2</t>
  </si>
  <si>
    <t>PT4-O-N-AUT-AW-FC-50.80X2.600X0.1420</t>
  </si>
  <si>
    <t>0000952905</t>
  </si>
  <si>
    <t>CUT-O-C-AUT-AD-FC-29.40X4.500X0.3590</t>
  </si>
  <si>
    <t>TUB-O-O-AUT-AW-PE-22.23X2.000X0.7390</t>
  </si>
  <si>
    <t>TUB-O-N-AUT-AW-FC-28.58X3.250X6.0600</t>
  </si>
  <si>
    <t>0000941159</t>
  </si>
  <si>
    <t>TUB-R-AW-RHS-40.00X30.00X2.000X6.2400</t>
  </si>
  <si>
    <t>Machine</t>
  </si>
  <si>
    <t>Material codes</t>
  </si>
  <si>
    <t>SCHEDULE in MT</t>
  </si>
  <si>
    <t>Dispached in MT</t>
  </si>
  <si>
    <t>BAL in MT</t>
  </si>
  <si>
    <t>Minimum Quantity Required</t>
  </si>
  <si>
    <t>DEC</t>
  </si>
  <si>
    <t>Yoshika</t>
  </si>
  <si>
    <t>SKB</t>
  </si>
  <si>
    <t>STKM 13 C</t>
  </si>
  <si>
    <t>Kayjay/Narsipur</t>
  </si>
  <si>
    <t>Nos</t>
  </si>
  <si>
    <t>CEW 1</t>
  </si>
  <si>
    <t>1939285|1941303</t>
  </si>
  <si>
    <t>3909903</t>
  </si>
  <si>
    <t>SEC</t>
  </si>
  <si>
    <t>403040</t>
  </si>
  <si>
    <t>2359755|1938121|503108</t>
  </si>
  <si>
    <t>Rajsriya/Marathawada</t>
  </si>
  <si>
    <t>403039</t>
  </si>
  <si>
    <t>1938125|1130592</t>
  </si>
  <si>
    <t>Indo</t>
  </si>
  <si>
    <t>3605867</t>
  </si>
  <si>
    <t>3768907</t>
  </si>
  <si>
    <t>2417649|2417648|1310731</t>
  </si>
  <si>
    <t>3722021</t>
  </si>
  <si>
    <t>3433148</t>
  </si>
  <si>
    <t>1938358|1311453</t>
  </si>
  <si>
    <t>2428441|1399335</t>
  </si>
  <si>
    <t>3901714</t>
  </si>
  <si>
    <t>3499121</t>
  </si>
  <si>
    <t>Thai Submit</t>
  </si>
  <si>
    <t>3238860|3531650</t>
  </si>
  <si>
    <t xml:space="preserve">1568170|281785|3677062 </t>
  </si>
  <si>
    <t>3718726</t>
  </si>
  <si>
    <t>1342575|3784470</t>
  </si>
  <si>
    <t>CTL Buckets</t>
  </si>
  <si>
    <t>1399344|2427939</t>
  </si>
  <si>
    <t>1940538|435963</t>
  </si>
  <si>
    <t>3508740|2353927|1399336</t>
  </si>
  <si>
    <t>3182342|3157631</t>
  </si>
  <si>
    <t>3122347</t>
  </si>
  <si>
    <t>2425969|1908799</t>
  </si>
  <si>
    <t>1174860|1940911</t>
  </si>
  <si>
    <t>3662752</t>
  </si>
  <si>
    <t>3768903</t>
  </si>
  <si>
    <t>3768906</t>
  </si>
  <si>
    <t>3801263|424601|1931860</t>
  </si>
  <si>
    <t>3732177</t>
  </si>
  <si>
    <t>3731697</t>
  </si>
  <si>
    <t>Saturday</t>
  </si>
  <si>
    <t>Sunday</t>
  </si>
  <si>
    <t>Monday</t>
  </si>
  <si>
    <t>Total Plan 10-13</t>
  </si>
  <si>
    <t>Actual 10-13</t>
  </si>
  <si>
    <t>Kayjay</t>
  </si>
  <si>
    <t>Capacity</t>
  </si>
  <si>
    <t>Marathawada</t>
  </si>
  <si>
    <t>Buckets</t>
  </si>
  <si>
    <t>Length Buckets</t>
  </si>
  <si>
    <t>SCH MAR- 25</t>
  </si>
  <si>
    <t>Stock     22-03-25</t>
  </si>
  <si>
    <t>OPENIG STOCK FOR APR-2025</t>
  </si>
  <si>
    <t xml:space="preserve">    INDENT  FOR APR-25 as per VSM</t>
  </si>
  <si>
    <t xml:space="preserve"> INDENT  FOR APR-25 recommended</t>
  </si>
  <si>
    <t>Order + Indent</t>
  </si>
  <si>
    <t>in Mar</t>
  </si>
  <si>
    <t>in Apr</t>
  </si>
  <si>
    <t>Pending</t>
  </si>
  <si>
    <t>No Key</t>
  </si>
  <si>
    <t>12.7-0-1.2-ERW 1-PE-6</t>
  </si>
  <si>
    <t>15.88-0-1-ERW 1-PE-6</t>
  </si>
  <si>
    <t>15.88-0-1.2-ERW 1-PE-6</t>
  </si>
  <si>
    <t>15.88-0-1.6-ERW 1-PE-6</t>
  </si>
  <si>
    <t>15.88-0-2-ERW 1-PE-6</t>
  </si>
  <si>
    <t>18.2-0-1-ERW 1-PE-6</t>
  </si>
  <si>
    <t>19.05-0-1.6-ERW 1-PE-6</t>
  </si>
  <si>
    <t>19.0525.84ERW</t>
  </si>
  <si>
    <t>19.05-0-2-ERW 1-PE-5.841</t>
  </si>
  <si>
    <t>19.05-0-2.3-ERW 1-PE-7</t>
  </si>
  <si>
    <t>22.23-0-1.2-ERW 1-PE-5.87</t>
  </si>
  <si>
    <t>22.21.66ERW</t>
  </si>
  <si>
    <t>22.23-0-1.6-ERW 1-PE-5.67</t>
  </si>
  <si>
    <t>22.23-0-2-ERW 1-PE-5.951</t>
  </si>
  <si>
    <t>22.23-0-2-ERW 1-PE-5.1</t>
  </si>
  <si>
    <t>22.23-0-2-ERW 2 MAHS-FC-6.001</t>
  </si>
  <si>
    <t>22.23-0-2-ERW 1-PE-5.39</t>
  </si>
  <si>
    <t>25.4-0-1.6-ERW 1-PE-6</t>
  </si>
  <si>
    <t>25.425.82ERW</t>
  </si>
  <si>
    <t>25.4-0-2-ERW 1-PE-5.82</t>
  </si>
  <si>
    <t>25.4-0-2.5-ERW 1-PE-5.53</t>
  </si>
  <si>
    <t>25.42.66CEW</t>
  </si>
  <si>
    <t>25.446CEW</t>
  </si>
  <si>
    <t>31.75-0-1.2-ERW 1-PE-6</t>
  </si>
  <si>
    <t>31.752.36ERW</t>
  </si>
  <si>
    <t>31.75--2.3-ERW 1-FIN CUT</t>
  </si>
  <si>
    <t>31.75--2.3-ERW 1-FIN CUT-6</t>
  </si>
  <si>
    <t>31.753.656ERW</t>
  </si>
  <si>
    <t>31.75--3.65-ERW 1-FC</t>
  </si>
  <si>
    <t>31.75--3.65-ERW 1-FC-6</t>
  </si>
  <si>
    <t>34.93-0-1.2-ERW 1-FC-0.620</t>
  </si>
  <si>
    <t>38.1-0-1.6-ERW 1-FC-6.19</t>
  </si>
  <si>
    <t>38.1-0-2-ERW 1-FC-5.65</t>
  </si>
  <si>
    <t>38.1-0-2.5-ERW 2 MAHS-FC-6.19</t>
  </si>
  <si>
    <t>41.28-0-2.6-ERW 1-FC-6</t>
  </si>
  <si>
    <t>40-25-1.6-ERW 1-FC-5.88</t>
  </si>
  <si>
    <t>40-25-1.6-ERW 1-FC-6.13</t>
  </si>
  <si>
    <t>41.28-0-3.15-ERW 1-FC</t>
  </si>
  <si>
    <t>41.28-0-3.15-ERW 1-FC-5.86</t>
  </si>
  <si>
    <t>42.7-0-3.5-ERW 1-FC-6</t>
  </si>
  <si>
    <t>42.7-0-4-ERW 1-FC-6</t>
  </si>
  <si>
    <t>45--1.4-ERW 2-FIN CUT-6.4</t>
  </si>
  <si>
    <t>45--1.4-ERW 1-FIN CUT-5.7</t>
  </si>
  <si>
    <t>48--1.2-ERW 1-FIN CUT</t>
  </si>
  <si>
    <t>48--1.2-ERW 1-FIN CUT-0.620</t>
  </si>
  <si>
    <t>48.6-0-2.3-ERW 2-FC</t>
  </si>
  <si>
    <t>48.6-0-2.3-ERW 2-FC-6.27</t>
  </si>
  <si>
    <t>48.6-0-3.5-ERW 1-FC-6</t>
  </si>
  <si>
    <t>59-30-1.6-ERW 1-FIN CUT-6</t>
  </si>
  <si>
    <t>59-30-1.6-ERW 1-FIN CUT-0.573</t>
  </si>
  <si>
    <t>57.15-0-2.5-ERW 1-FC-5.711</t>
  </si>
  <si>
    <t>57.15-0-2.5-ERW 1-FC-6.1</t>
  </si>
  <si>
    <t>57.15-0-2.5-ERW 1-FC-5.75</t>
  </si>
  <si>
    <t>60.3-0-2-ERW 1-FC-5.9</t>
  </si>
  <si>
    <t>INDO</t>
  </si>
  <si>
    <t>CEW2</t>
  </si>
  <si>
    <t>50-6-SLT</t>
  </si>
  <si>
    <t>50-6-SLT-4.775</t>
  </si>
  <si>
    <t xml:space="preserve"> INDENT  FOR May-25 recommended</t>
  </si>
  <si>
    <t>in May</t>
  </si>
  <si>
    <t>Not Available</t>
  </si>
  <si>
    <t>21.4-0-1.6-ERW 1-PE</t>
  </si>
  <si>
    <t>21.4-0-1.6-ERW 1-PE-6</t>
  </si>
  <si>
    <t>25.4-0-1.4-ERW 2-PE-5.531</t>
  </si>
  <si>
    <t>SCH jun- 25</t>
  </si>
  <si>
    <t>Stock     22-05-25</t>
  </si>
  <si>
    <t>OPENIG STOCK FOR jun-2025</t>
  </si>
  <si>
    <t xml:space="preserve">    INDENT  FOR jun-25 as per VSM</t>
  </si>
  <si>
    <t xml:space="preserve"> INDENT  FOR jun-25 recommended</t>
  </si>
  <si>
    <t>Total Order Log</t>
  </si>
  <si>
    <t>Pending Orders</t>
  </si>
  <si>
    <t>Order logged</t>
  </si>
  <si>
    <t>SO Number</t>
  </si>
  <si>
    <t>Column1</t>
  </si>
  <si>
    <t>No order logged</t>
  </si>
  <si>
    <t>order to be logged</t>
  </si>
  <si>
    <t>MCR 42134</t>
  </si>
  <si>
    <t>MCR 42135</t>
  </si>
  <si>
    <t>MCR 42137</t>
  </si>
  <si>
    <t xml:space="preserve">Metallurgy condition </t>
  </si>
  <si>
    <t>Indent to be placed</t>
  </si>
  <si>
    <t>S.O. REF</t>
  </si>
  <si>
    <t>LOADED / RELEASED</t>
  </si>
  <si>
    <t>CR ERW</t>
  </si>
  <si>
    <t>MCR - 1485036</t>
  </si>
  <si>
    <t>MCR - 1485035</t>
  </si>
  <si>
    <t>MCR - 42107</t>
  </si>
  <si>
    <t>Stock     12-06-25</t>
  </si>
  <si>
    <t>Excess Order Logged</t>
  </si>
  <si>
    <t>Minimum 3 MT moq</t>
  </si>
  <si>
    <t>25.4-0-1.4-ERW 2-FC</t>
  </si>
  <si>
    <t>25.4-0-1.4-ERW 2-FC-5.531</t>
  </si>
  <si>
    <t>25.4-0-1.4-ERW 1-FC</t>
  </si>
  <si>
    <t>25.4-0-1.4-ERW 1-FC-6.06</t>
  </si>
  <si>
    <t>22.23-0-1.6-ERW 1-PE-5.27</t>
  </si>
  <si>
    <t>25.4-0-2-ERW 1-PE-6.05</t>
  </si>
  <si>
    <t>57.15-0-2.5-ERW 1-FC-5.95</t>
  </si>
  <si>
    <t>INDENT  FOR jun-25 recommended</t>
  </si>
  <si>
    <t>S.O.</t>
  </si>
  <si>
    <t>MCR # - 42321</t>
  </si>
  <si>
    <t xml:space="preserve">0789 – </t>
  </si>
  <si>
    <t>MCR # - 42322</t>
  </si>
  <si>
    <t>Addl Order</t>
  </si>
  <si>
    <t>S.O.NO</t>
  </si>
  <si>
    <t>Addl Order to log</t>
  </si>
  <si>
    <t xml:space="preserve">count of </t>
  </si>
  <si>
    <t>Value added</t>
  </si>
  <si>
    <t>plant july</t>
  </si>
  <si>
    <t>Material code july</t>
  </si>
  <si>
    <t>Exact</t>
  </si>
  <si>
    <t>SCH AUG- 25</t>
  </si>
  <si>
    <t>Stock     22-07-25</t>
  </si>
  <si>
    <t>OPENIG STOCK FOR AUG-2025</t>
  </si>
  <si>
    <t xml:space="preserve">    INDENT  FOR AUG-25 as per VSM</t>
  </si>
  <si>
    <t xml:space="preserve"> INDENT  FOR AUG-25 recommended</t>
  </si>
  <si>
    <t>Total Delivered</t>
  </si>
  <si>
    <t>Todays Stock</t>
  </si>
  <si>
    <t>Value Added</t>
  </si>
  <si>
    <t>31.75-0-2-ERW 1-FC-6</t>
  </si>
  <si>
    <t>31.75-0-2-ERW 1-FC</t>
  </si>
  <si>
    <t>45-0-1.4-ERW 2-FIN CUT</t>
  </si>
  <si>
    <t>45-0-1.4-ERW 2-FIN CUT-6.4</t>
  </si>
  <si>
    <t>45-0-1.6-ERW 2-FIN CUT-6.4</t>
  </si>
  <si>
    <t>57.15-0-3-ERW 1-FC</t>
  </si>
  <si>
    <t>57.15-0-3-ERW 1-FC-5.65</t>
  </si>
  <si>
    <t>New material in Aug indent</t>
  </si>
  <si>
    <t>Mateiral removed in Aug vs July</t>
  </si>
  <si>
    <t>(All)</t>
  </si>
  <si>
    <t>Sum of  INDENT  FOR AUG-25 recommended</t>
  </si>
  <si>
    <t>20th July Indent</t>
  </si>
  <si>
    <t>5th Aug Indent</t>
  </si>
  <si>
    <t>56</t>
  </si>
  <si>
    <t>TVSM</t>
  </si>
  <si>
    <t>TUB-O-N-AUT-AW-PE-22.23X1.600X5.6700</t>
  </si>
  <si>
    <t>TUB-O-N-AUT-AW-PE-25.40X2.000X6.0500</t>
  </si>
  <si>
    <t>TUB-O-N-AUT-AW-PE-25.40X1.60X6.000-ERW 1</t>
  </si>
  <si>
    <t>TUB-S-AW-SHS-50.00X50.0X1.6X6.1 210 BSVI</t>
  </si>
  <si>
    <t>TUB-O-C-AUT-BH-FC-45.00X3.50X6.100-CEW 1</t>
  </si>
  <si>
    <t>TUB-O-N-AUT-AW-FC-50.80X2.600X6.00-ERW 1</t>
  </si>
  <si>
    <t>TUB-O-C-AUT-AD-FC-50.8X2.6X6.0-BSVI-CEW1</t>
  </si>
  <si>
    <t>TUB-S-AW-SHS-50.00X50.00X1.600X6.0600</t>
  </si>
  <si>
    <t>TUB-O-N-AUT-AW-FC-22.20X2.000X6.0010</t>
  </si>
  <si>
    <t>TUB-O-N-AUT-AW-FC-34.00X1.400X6.5200</t>
  </si>
  <si>
    <t>Log STR to 4318</t>
  </si>
  <si>
    <t>TUB-O-C-AUT-AD-FC-38.1X3.20X6.0BSVI-CEW1</t>
  </si>
  <si>
    <t>TUB-O-N-AUT-AW-FC-34.93X1.200X0.7000</t>
  </si>
  <si>
    <t>TUB-O-N-AUT-AW-FC-31.75X2.000X6.0000</t>
  </si>
  <si>
    <t>TUB-R-AW-AUT-40.00X25.00X1.600X6.1300</t>
  </si>
  <si>
    <t>TUB-E-AW-AUT-59.00X30.00X1.600X6.0000</t>
  </si>
  <si>
    <t>LEN</t>
  </si>
  <si>
    <t>QTY MT</t>
  </si>
  <si>
    <t>GRD</t>
  </si>
  <si>
    <t>Order Location</t>
  </si>
  <si>
    <t>ERW-1</t>
  </si>
  <si>
    <t>3 MT order at Hosur</t>
  </si>
  <si>
    <t>Rolled but material code creation pending</t>
  </si>
  <si>
    <t>No indent</t>
  </si>
  <si>
    <t>No indent. 6 MT rolled in 6050</t>
  </si>
  <si>
    <t>40X25</t>
  </si>
  <si>
    <t>40X30</t>
  </si>
  <si>
    <t>Material code creation pending. Material Created</t>
  </si>
  <si>
    <t>OUT_DIA</t>
  </si>
  <si>
    <t>THICKNESS</t>
  </si>
  <si>
    <t>DRAW_TYPE</t>
  </si>
  <si>
    <t>SPEC</t>
  </si>
  <si>
    <t>DISPATCH CLARANCE</t>
  </si>
  <si>
    <t>Material Code</t>
  </si>
  <si>
    <t>N</t>
  </si>
  <si>
    <t>Dispatch   </t>
  </si>
  <si>
    <t>C</t>
  </si>
  <si>
    <t>Dispatch 10 MT ONLY</t>
  </si>
  <si>
    <t>Stock     18-08-25</t>
  </si>
  <si>
    <t>OPENIG STOCK FOR SEP-2025</t>
  </si>
  <si>
    <t xml:space="preserve">    INDENT  FOR SEP-25 as per VSM</t>
  </si>
  <si>
    <t xml:space="preserve"> INDENT  FOR SEP-25 recommended</t>
  </si>
  <si>
    <t>after 20th</t>
  </si>
  <si>
    <t>Total Dispatched</t>
  </si>
  <si>
    <t>31.75-0-2.3-ERW 1-FC-5.92</t>
  </si>
  <si>
    <t>34.93-0-1.2-ERW 1-FC-6</t>
  </si>
  <si>
    <t>MCR - 42959</t>
  </si>
  <si>
    <t>47.63-0-4-ERW 1-FC</t>
  </si>
  <si>
    <t>47.63-0-4-ERW 1-FC-6.04</t>
  </si>
  <si>
    <t>50-50-1.6-ERW 1-FIN CUT</t>
  </si>
  <si>
    <t>50-50-1.6-ERW 1-FIN CUT-6.04</t>
  </si>
  <si>
    <t>50.8-0-2.6-ERW 1-FC</t>
  </si>
  <si>
    <t>50.8-0-2.6-ERW 1-FC-6</t>
  </si>
  <si>
    <t>50.8-0-2.6-CEW-FC</t>
  </si>
  <si>
    <t>50.8-0-2.6-CEW-FC-6</t>
  </si>
  <si>
    <t>Material Description32</t>
  </si>
  <si>
    <t>TUB-O-N-AUT-AW-PE-19.05X2.000X5.8010</t>
  </si>
  <si>
    <t>CODE BLOCKED</t>
  </si>
  <si>
    <t>ORDER LOAD RELEASED</t>
  </si>
  <si>
    <t>TUB-O-N-AUT-AW-PE-25.40X2.000X5.8500</t>
  </si>
  <si>
    <t>ORDER CANCEL</t>
  </si>
  <si>
    <t>TUB-O-N-AUT-AW-PE-12.70X2.000X6.000</t>
  </si>
  <si>
    <t>NOT PLACE ORDER</t>
  </si>
  <si>
    <t>TUB-R-AW-AUT-40.00X30.00X1.600X5.9000</t>
  </si>
  <si>
    <t>TUB-O-N-AUT-AW-FC-45.00X1.400X6.4200 HST</t>
  </si>
  <si>
    <t>TUB-O-N-AUT-AW-PE-45.00X1.600X6.4200 HST</t>
  </si>
  <si>
    <t>9519031061</t>
  </si>
  <si>
    <t>Description</t>
  </si>
  <si>
    <t>Source</t>
  </si>
  <si>
    <t>EDD</t>
  </si>
  <si>
    <t>DR01</t>
  </si>
  <si>
    <t>AU51</t>
  </si>
  <si>
    <t>TU43</t>
  </si>
  <si>
    <t>Length Bucket</t>
  </si>
  <si>
    <t>All meghsteel buckets</t>
  </si>
  <si>
    <t>NEW HERE</t>
  </si>
  <si>
    <t>HERE BUT NOT IN SEPT INDENT</t>
  </si>
  <si>
    <t>TUB-O-N-AUT-AW-FC-45.00X1.400X6.460 HST</t>
  </si>
  <si>
    <t>CUT-O-N-AUT-AW-PE-22.20X1.630X0.700</t>
  </si>
  <si>
    <t>TUB-O-O-AUT-AW-FC-38.10X1.600X5.7690</t>
  </si>
  <si>
    <t>TUB-O-O-AUT-AW-FC-38.10X2.000X5.7800</t>
  </si>
  <si>
    <t>TUB-O-N-AUT-AW-FC-38.10X1.600X5.900</t>
  </si>
  <si>
    <t>TUB-O-O-AUT-AW-FC-25.40X1.600X6.0000</t>
  </si>
  <si>
    <t>40-30-1.6-ERW 1-FC-6.23</t>
  </si>
  <si>
    <t>32-4.5-SLT</t>
  </si>
  <si>
    <t>32-4.5-SLT-6.4</t>
  </si>
  <si>
    <t>TUB-O-N-AUT-AW-PE-22.23X1.200X5.8700</t>
  </si>
  <si>
    <t>TUB-O-O-AUT-AW-PE-19.05X1.600X5.7700</t>
  </si>
  <si>
    <t>TUB-O-N-AUT-AW-PE-19.05X1.600X6.0500</t>
  </si>
  <si>
    <t>TUB-O-N-AUT-AW-PE-22.23X1.200X5.8850</t>
  </si>
  <si>
    <t>TUB-O-N-AUT-AW-PE-22.23X1.200X5.9600</t>
  </si>
  <si>
    <t>TUB-O-N-AUT-AW-FC-31.75X3.650X6.0000</t>
  </si>
  <si>
    <t>TUB-O-N-AUT-AW-FC-48.60X3.50X5.60-ERW 1</t>
  </si>
  <si>
    <t>TUB-O-N-AUT-AW-FC-48.6X2.3X5.945 HSTERW2</t>
  </si>
  <si>
    <t>TUB-O-N-AUT-AW-FC-48.60X2.300X6.5500</t>
  </si>
  <si>
    <t>TUB-O-N-AUT-AW-FC-25.40X2.000X5.8000</t>
  </si>
  <si>
    <t>TUB-O-N-AUT-AW-FC-25.40X2.000X5.9500</t>
  </si>
  <si>
    <t>TUB-O-O-AUT-AW-PE-19.05X2.000X5.8360</t>
  </si>
  <si>
    <t>TUB-O-AW-AUT-59.00X30.00X1.600X5.8100</t>
  </si>
  <si>
    <t>57.15-0-2.5-ERW 1-FC-5.65</t>
  </si>
  <si>
    <t>25.4-0-1.4-ERW 2-FC-6.06</t>
  </si>
  <si>
    <t>TUB-O-N-AUT-AW-PE-19.05X2.000X5.8020</t>
  </si>
  <si>
    <t>TUB-O-N-AUT-AW-FC-22.20X2.000X6.000</t>
  </si>
  <si>
    <t>TUB-O-N-AUT-AW-FC-41.28X3.150X5.8800</t>
  </si>
  <si>
    <t>TUB-O-N-AUT-AW-PE-45.00X1.600X6.4000 HST</t>
  </si>
  <si>
    <t>TUB-O-N-AUT-AW-FC-45.00X1.400X6.4000 HST</t>
  </si>
  <si>
    <t>TUB-O-N-AUT-AW-FC-38.10X1.600X5.7000</t>
  </si>
  <si>
    <t>TUB-O-N-AUT-AW-FC-34.93X1.200X0.6500</t>
  </si>
  <si>
    <t>48.62.36.27HSTFIN CUT</t>
  </si>
  <si>
    <t>TUB-O-O-AUT-AW-PE-19.05X1.400X6.0000</t>
  </si>
  <si>
    <t>19.051.46ERW2NON FIN</t>
  </si>
  <si>
    <t>TUB-O-O-AUT-AW-FC-57.15X3.000X5.6500</t>
  </si>
  <si>
    <t>TUB-O-O-AUT-AW-FC-41.28X3.150X6.2850</t>
  </si>
  <si>
    <t>TUB-O-N-AUT-AW-FC-34.93X1.20X5.100-ERW 1</t>
  </si>
  <si>
    <t>TUB-O-N-AUT-AW-PE-25.40X2.000X5.9500</t>
  </si>
  <si>
    <t>TUB-O-N-AUT-AW-FC-31.75X1.200X6.0000</t>
  </si>
  <si>
    <t>DESP P LANT</t>
  </si>
  <si>
    <t>Inner Diameter of Material</t>
  </si>
  <si>
    <t>48.62.36.27HSTFIN CUT-6.27</t>
  </si>
  <si>
    <t>BILLING  DATE</t>
  </si>
  <si>
    <t>CUT-S-AW-SHS-50.00X50.00X1.600X0.5430</t>
  </si>
  <si>
    <t>TUB-O-N-AUT-AW-FC-25.40X2.500X0.7830</t>
  </si>
  <si>
    <t>TUB-O-N-AUT-AW-FC-34.93X1.200X5.1000</t>
  </si>
  <si>
    <t>TUB-O-N-AUT-AW-FC-48.00X1.200X5.5500</t>
  </si>
  <si>
    <t>TUB-O-N-AUT-AW-FC-42.70X1.600X5.9400</t>
  </si>
  <si>
    <t>0000943213</t>
  </si>
  <si>
    <t>TUB-O-C-SLT-NR-FC-50.00X6.000X6.2500</t>
  </si>
  <si>
    <t>TUB-O-C-SLT-NR-FC-50.00X6.000X6.4500</t>
  </si>
  <si>
    <t>plant2</t>
  </si>
  <si>
    <t>TSL Material Code3</t>
  </si>
  <si>
    <t>check from 17092025 orderbook sent by ashish</t>
  </si>
  <si>
    <t>GAP of order log and 17092025 orderbook</t>
  </si>
  <si>
    <t xml:space="preserve"> INDENT  FOR Oct-25 recommended</t>
  </si>
  <si>
    <t>19.05-0-2-ERW 1-PE-5.8</t>
  </si>
  <si>
    <t>key in oct indent but not in sept indent</t>
  </si>
  <si>
    <t>MFGPL</t>
  </si>
  <si>
    <t>CUSTNO</t>
  </si>
  <si>
    <t>ZONE</t>
  </si>
  <si>
    <t>DESTINATION</t>
  </si>
  <si>
    <t>SHIPTO</t>
  </si>
  <si>
    <t>AGE</t>
  </si>
  <si>
    <t>ORDER_NO</t>
  </si>
  <si>
    <t>ITEM_NO</t>
  </si>
  <si>
    <t>MATL_NO</t>
  </si>
  <si>
    <t>DESCRIPTION</t>
  </si>
  <si>
    <t>CATG</t>
  </si>
  <si>
    <t>CTG</t>
  </si>
  <si>
    <t>SFIN</t>
  </si>
  <si>
    <t>IN_DIA</t>
  </si>
  <si>
    <t>CLASS</t>
  </si>
  <si>
    <t>GEOMETRY</t>
  </si>
  <si>
    <t>ORDQ</t>
  </si>
  <si>
    <t>ORDUM</t>
  </si>
  <si>
    <t>Bal to Desp</t>
  </si>
  <si>
    <t>SOUTH</t>
  </si>
  <si>
    <t>HOSUR</t>
  </si>
  <si>
    <t>9518879623</t>
  </si>
  <si>
    <t>000001</t>
  </si>
  <si>
    <t>AUT</t>
  </si>
  <si>
    <t>O</t>
  </si>
  <si>
    <t>9519071152</t>
  </si>
  <si>
    <t>9519030855</t>
  </si>
  <si>
    <t>000002</t>
  </si>
  <si>
    <t>9518997237</t>
  </si>
  <si>
    <t>9518955752</t>
  </si>
  <si>
    <t>9518845944</t>
  </si>
  <si>
    <t>055</t>
  </si>
  <si>
    <t>000004</t>
  </si>
  <si>
    <t>9518997184</t>
  </si>
  <si>
    <t>9518955635</t>
  </si>
  <si>
    <t>000003</t>
  </si>
  <si>
    <t>9519038725</t>
  </si>
  <si>
    <t>000006</t>
  </si>
  <si>
    <t>9519070974</t>
  </si>
  <si>
    <t>25.425.82ERWNON FIN</t>
  </si>
  <si>
    <t>L</t>
  </si>
  <si>
    <t>000005</t>
  </si>
  <si>
    <t>9519031891</t>
  </si>
  <si>
    <t>9518845919</t>
  </si>
  <si>
    <t>000007</t>
  </si>
  <si>
    <t>9518832217</t>
  </si>
  <si>
    <t>9519003911</t>
  </si>
  <si>
    <t>SLT</t>
  </si>
  <si>
    <t>093</t>
  </si>
  <si>
    <t>9518884011</t>
  </si>
  <si>
    <t>9519003930</t>
  </si>
  <si>
    <t>9519062213</t>
  </si>
  <si>
    <t>000009</t>
  </si>
  <si>
    <t>000008</t>
  </si>
  <si>
    <t>9519071189</t>
  </si>
  <si>
    <t>9518797132</t>
  </si>
  <si>
    <t>41.282.66ERWFIN CUT</t>
  </si>
  <si>
    <t>CEW-R</t>
  </si>
  <si>
    <t>9519031013</t>
  </si>
  <si>
    <t>9518916279</t>
  </si>
  <si>
    <t>9519062118</t>
  </si>
  <si>
    <t>9518955819</t>
  </si>
  <si>
    <t>SHS</t>
  </si>
  <si>
    <t>S</t>
  </si>
  <si>
    <t>9519031095</t>
  </si>
  <si>
    <t>9519064218</t>
  </si>
  <si>
    <t>000011</t>
  </si>
  <si>
    <t>57.152.55.75ERWFIN CUT</t>
  </si>
  <si>
    <t>000010</t>
  </si>
  <si>
    <t>SCH Sept</t>
  </si>
  <si>
    <t>Total Order Logged for Sept</t>
  </si>
  <si>
    <t>Delivered</t>
  </si>
  <si>
    <t>12.71.26ERWNON FIN</t>
  </si>
  <si>
    <t>19.0525.8ERWNON FIN</t>
  </si>
  <si>
    <t>22.21.25.87ERWNON FIN</t>
  </si>
  <si>
    <t>22.21.65.27ERWNON FIN</t>
  </si>
  <si>
    <t>22.21.65.67ERWNON FIN</t>
  </si>
  <si>
    <t>22.225.95ERWNON FIN</t>
  </si>
  <si>
    <t>22.226000HSTFIN CUT</t>
  </si>
  <si>
    <t>38.125.65ERWFIN CUT</t>
  </si>
  <si>
    <t>57.152.55.71ERWFIN CUT</t>
  </si>
  <si>
    <t>57.152.55.95ERWFIN CUT</t>
  </si>
  <si>
    <t>57.152.56.1ERWFIN CUT</t>
  </si>
  <si>
    <t>60.325.9ERWFIN CUT</t>
  </si>
  <si>
    <t>S. No.</t>
  </si>
  <si>
    <t>Item ID</t>
  </si>
  <si>
    <t>Units</t>
  </si>
  <si>
    <t>Total Schedule</t>
  </si>
  <si>
    <t>Mother Length</t>
  </si>
  <si>
    <t>AAA231082AR</t>
  </si>
  <si>
    <t>19.05 x 2.00 x R/L ERW UN ANN</t>
  </si>
  <si>
    <t>Mtrs</t>
  </si>
  <si>
    <t>AAA247224AR</t>
  </si>
  <si>
    <t>22.23 x 1.60 x 1222 ERW1-270</t>
  </si>
  <si>
    <t>AAA247225AR</t>
  </si>
  <si>
    <t>22.23 x 1.60 x 1290 ERW1-270</t>
  </si>
  <si>
    <t>AAA147196AR</t>
  </si>
  <si>
    <t>34.93 x 1.20 x 390 ERW UNANN</t>
  </si>
  <si>
    <t>AAA231266AR</t>
  </si>
  <si>
    <t>22.23 x 2.00 x 812 ERW HST</t>
  </si>
  <si>
    <t>TVS Material Codes</t>
  </si>
  <si>
    <t>All sales material sheet tvs megh</t>
  </si>
  <si>
    <t>unique</t>
  </si>
  <si>
    <t>Customer name from stock sheet</t>
  </si>
  <si>
    <t>unique name</t>
  </si>
  <si>
    <t>customer name in oem_key</t>
  </si>
  <si>
    <t xml:space="preserve">index number of local stock sheet </t>
  </si>
  <si>
    <t xml:space="preserve">index number of prakash stock sheet </t>
  </si>
  <si>
    <t>sales</t>
  </si>
  <si>
    <t>TVSM sales forecast sheet Bucket</t>
  </si>
  <si>
    <t>ELKAYEM AUTO(Mysore + Hosur)</t>
  </si>
  <si>
    <t>Material Codes codes from sales data</t>
  </si>
  <si>
    <t>bucket sheet</t>
  </si>
  <si>
    <t>Schedule Sheet</t>
  </si>
  <si>
    <t>14-0-1.95-CEW-CEW</t>
  </si>
  <si>
    <t>14-0-2.5-CEW-CEW</t>
  </si>
  <si>
    <t>Rajsriya Automotive(Mysore + Hosur)</t>
  </si>
  <si>
    <t>34.93-0-2.5-ERW 1-PE</t>
  </si>
  <si>
    <t>34.93-0-1.6-ERW 1-PE</t>
  </si>
  <si>
    <t>59-30-1.6-ERW-FIN CUT</t>
  </si>
  <si>
    <t>check fc usage</t>
  </si>
  <si>
    <t>40-25-1.6-CRFH-FC</t>
  </si>
  <si>
    <t>check tdc for ERW 2</t>
  </si>
  <si>
    <t>21.4--1.6-ERW 1-NON FIN</t>
  </si>
  <si>
    <t>31.75--2-ERW 1-FIN CUT</t>
  </si>
  <si>
    <t>45--1.6-ERW 2-FIN CUT</t>
  </si>
  <si>
    <t>MATERIAL DESCRIPTION</t>
  </si>
  <si>
    <t>Annealed/Unannealed</t>
  </si>
  <si>
    <t>CTL stock Numbers</t>
  </si>
  <si>
    <t>TUB-O-N-GEN-AW-PE-19.05X1.200X0.3300</t>
  </si>
  <si>
    <t>TUB-O-N-AUT-AW-PE-15.88X1.200X0.7550</t>
  </si>
  <si>
    <t>ELKAYEM AMPERE</t>
  </si>
  <si>
    <t>TUB-O-C-AUT-AD-FC-16.00X2.950X04-06</t>
  </si>
  <si>
    <t>TUB-O-C-AUT-AD-FC-29.40X4.500X0.360</t>
  </si>
  <si>
    <t>PT2-O-N-AUT-AW-PE-19.05X2.00X6.000-ERW 1</t>
  </si>
  <si>
    <t>TUB-O-N-AUT-AW-PE-25.40X1.220X2.5850</t>
  </si>
  <si>
    <t>TUB-S-AW-AUT-19.00X19.00X1.000X6.2500</t>
  </si>
  <si>
    <t>TUB-O-C-AUT-AD-FC-25.40X3.500X.24700</t>
  </si>
  <si>
    <t>TUB-O-N-AUT-AW-PE-38.10X2.000X0.4060</t>
  </si>
  <si>
    <t>TUB-O-N-AUT-AW-FC-57.15X2.30X1.365-MAHS</t>
  </si>
  <si>
    <t>TUB-O-C-AUT-AD-FC-11.00X1.500X0.2630</t>
  </si>
  <si>
    <t>TUB-O-C-AUT-AD-FC-11.00X1.500X0.330</t>
  </si>
  <si>
    <t>TUB-E-O-AUT-AW-FC-15.88X1.000X2.9050</t>
  </si>
  <si>
    <t>TUB-O-N-AUT-AW-PE-19.05X1.000X1.0950</t>
  </si>
  <si>
    <t>PT3-O-N-AUT-AW-PE-38.10X1.600X0.488</t>
  </si>
  <si>
    <t>TUB-O-N-AUT-AN-FC-42.70X3.500X0.2096</t>
  </si>
  <si>
    <t>129695|189481|187884|188415|189239|189240</t>
  </si>
  <si>
    <t>TUB-O-O-AUT-AW-PE-19.05X2.000X0.240</t>
  </si>
  <si>
    <t>TUB-O-O-AUT-AW-PE-22.23X2.000X0.905</t>
  </si>
  <si>
    <t>TUB-O-O-AUT-AW-CH-22.23X2.000X0.7750</t>
  </si>
  <si>
    <t xml:space="preserve">TUB-R-AW-RHS-40.00X25.00X1.600X0.5610 </t>
  </si>
  <si>
    <t>CUT-O-N-AUT-AW-PE-19.05X1.200X33.0000</t>
  </si>
  <si>
    <t>TUB-S-AW-AUT-40.00X40.00X1.200X85.0000</t>
  </si>
  <si>
    <t>TUB-O-N-AUT-AW-PE-22.23X2.000X0.2200</t>
  </si>
  <si>
    <t>TUB-O-N-AUT-AW-PE-22.23X1.600X1.304</t>
  </si>
  <si>
    <t>nmpl</t>
  </si>
  <si>
    <t>Header of Sales Forecast TVS</t>
  </si>
  <si>
    <t>NMPL Schedule</t>
  </si>
  <si>
    <t>NMPL Sales</t>
  </si>
  <si>
    <t>4318 Requirement</t>
  </si>
  <si>
    <t>4731 Stock</t>
  </si>
  <si>
    <t>Balance to be transferred</t>
  </si>
  <si>
    <t>Stock Long Length</t>
  </si>
  <si>
    <t>Order</t>
  </si>
  <si>
    <t>wip</t>
  </si>
  <si>
    <t>fg</t>
  </si>
  <si>
    <t>btr</t>
  </si>
  <si>
    <t>schedule unique</t>
  </si>
  <si>
    <t>sales forcast unique</t>
  </si>
  <si>
    <t>878|875</t>
  </si>
  <si>
    <t>TVSM Direct</t>
  </si>
  <si>
    <t>KNITVEL NEEDLES P LTD|Sandhar Automach</t>
  </si>
  <si>
    <t>812|905|925</t>
  </si>
  <si>
    <t>607|638</t>
  </si>
  <si>
    <t>NEEL METAL PRODUCTS LIMITED|NMPL 1</t>
  </si>
  <si>
    <t>490|6455</t>
  </si>
  <si>
    <t>0000184283</t>
  </si>
  <si>
    <t>CUT-O-N-AUT-AW-FC-34.93X1.200X0.7460</t>
  </si>
  <si>
    <t>CUT-O-N-AUT-AW-FC-48.00X1.200X0.7360</t>
  </si>
  <si>
    <t>TUB-R-FH-RHS-40.00X20.00X1.200X6.0000</t>
  </si>
  <si>
    <t>TUB-O-N-AUT-AW-PE-19.05X2.300X0.7390</t>
  </si>
  <si>
    <t>TUB-O-N-AUT-AW-PE-19.05X2.300X0.8870</t>
  </si>
  <si>
    <t>50-30-2.5-ERW 1-FC-1</t>
  </si>
  <si>
    <t>50-30-2.5-ERW 1-FC-0.765</t>
  </si>
  <si>
    <t>50-30-2.5-ERW 1-FC-0.770</t>
  </si>
  <si>
    <t>25.4-18.4-3.5-CEW-CEW-0.245</t>
  </si>
  <si>
    <t>22.23-0-2-ERW 1-FC-0.738</t>
  </si>
  <si>
    <t>22.23-0-2-ERW 1-FC-0.739</t>
  </si>
  <si>
    <t>19.05-0-2-ERW 1-PE-0.245</t>
  </si>
  <si>
    <t>19.05-0-2-ERW 1-PE-0.271</t>
  </si>
  <si>
    <t>19.05-0-2-ERW 1-PE-0.394</t>
  </si>
  <si>
    <t>22.23-0-1.2-ERW 1-PE-0.297</t>
  </si>
  <si>
    <t>22.23-0-2.3-ERW 1-PE-0.295</t>
  </si>
  <si>
    <t>25-25-1.2-CRFH-PE-0.872</t>
  </si>
  <si>
    <t>25.4-0-2-ERW 1-FC-0.567</t>
  </si>
  <si>
    <t>29.4-20.4-4.5-CEW-CEW-0.361</t>
  </si>
  <si>
    <t>29.4-20.4-4.5-CEW-CEW-0.376</t>
  </si>
  <si>
    <t>31.75-0-2.3-ERW 1-FC-1</t>
  </si>
  <si>
    <t>34.93-0-2.3-ERW 2-FC-Ampere-0.856</t>
  </si>
  <si>
    <t>34.93-0-2.3-ERW 2-FC-Ampere-0.865</t>
  </si>
  <si>
    <t>60.3-0-2-ERW 1-FC-0.491</t>
  </si>
  <si>
    <t>29.4-20.4-4.5-CEW-CEW-0.358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</si>
</sst>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quot;₹&quot;\ * #,##0.00_ ;_ &quot;₹&quot;\ * \-#,##0.00_ ;_ &quot;₹&quot;\ * &quot;-&quot;??_ ;_ @_ "/>
    <numFmt numFmtId="43" formatCode="_ * #,##0.00_ ;_ * \-#,##0.00_ ;_ * &quot;-&quot;??_ ;_ @_ "/>
    <numFmt numFmtId="164" formatCode="0.000"/>
    <numFmt numFmtId="165" formatCode="#,##0.000"/>
    <numFmt numFmtId="166" formatCode="_ * #,##0_ ;_ * \-#,##0_ ;_ * &quot;-&quot;??_ ;_ @_ "/>
    <numFmt numFmtId="167" formatCode="0.0"/>
    <numFmt numFmtId="168" formatCode="0.0000"/>
    <numFmt numFmtId="169" formatCode="_(* #,##0_);_(* \(#,##0\);_(* &quot;-&quot;??_);_(@_)"/>
    <numFmt numFmtId="170" formatCode="#,##0.00\ ;&quot; (&quot;#,##0.00\);\-#\ ;@\ "/>
    <numFmt numFmtId="171" formatCode="#,##0\ ;&quot; (&quot;#,##0\);\-#\ ;@\ "/>
    <numFmt numFmtId="172" formatCode="#,##0.0000"/>
  </numFmts>
  <fonts count="57"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b/>
      <sz val="10"/>
      <color theme="1"/>
      <name val="Arial"/>
      <family val="2"/>
    </font>
    <font>
      <b/>
      <sz val="14"/>
      <color theme="1"/>
      <name val="Calibri"/>
      <family val="2"/>
      <scheme val="minor"/>
    </font>
    <font>
      <sz val="10"/>
      <color theme="1"/>
      <name val="Arial"/>
      <family val="2"/>
    </font>
    <font>
      <sz val="11"/>
      <color rgb="FFFF0000"/>
      <name val="Calibri"/>
      <family val="2"/>
      <scheme val="minor"/>
    </font>
    <font>
      <b/>
      <sz val="14"/>
      <color rgb="FFFF0000"/>
      <name val="Calibri"/>
      <family val="2"/>
      <scheme val="minor"/>
    </font>
    <font>
      <sz val="11"/>
      <name val="Calibri"/>
      <family val="2"/>
      <scheme val="minor"/>
    </font>
    <font>
      <sz val="8"/>
      <name val="Calibri"/>
      <family val="2"/>
      <scheme val="minor"/>
    </font>
    <font>
      <b/>
      <sz val="11"/>
      <color theme="0"/>
      <name val="Calibri"/>
      <family val="2"/>
      <scheme val="minor"/>
    </font>
    <font>
      <sz val="10"/>
      <name val="Arial"/>
      <family val="2"/>
    </font>
    <font>
      <sz val="10"/>
      <color rgb="FF000000"/>
      <name val="Arial"/>
      <family val="2"/>
    </font>
    <font>
      <b/>
      <sz val="13.5"/>
      <color rgb="FF000080"/>
      <name val="Arial"/>
      <family val="2"/>
    </font>
    <font>
      <sz val="10"/>
      <color indexed="8"/>
      <name val="Calibri"/>
      <family val="2"/>
      <scheme val="minor"/>
    </font>
    <font>
      <sz val="12"/>
      <color rgb="FF000000"/>
      <name val="Calibri"/>
      <family val="2"/>
      <scheme val="minor"/>
    </font>
    <font>
      <sz val="11"/>
      <color rgb="FF000000"/>
      <name val="Calibri"/>
      <family val="2"/>
    </font>
    <font>
      <sz val="10"/>
      <color theme="1"/>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sz val="9"/>
      <name val="Arial"/>
      <family val="2"/>
    </font>
    <font>
      <b/>
      <sz val="11"/>
      <color rgb="FF000000"/>
      <name val="Calibri"/>
      <family val="2"/>
    </font>
    <font>
      <sz val="10"/>
      <color theme="1"/>
      <name val="Times New Roman"/>
      <family val="1"/>
    </font>
    <font>
      <b/>
      <sz val="11"/>
      <color rgb="FFFFFFFF"/>
      <name val="Calibri"/>
      <family val="2"/>
    </font>
    <font>
      <sz val="10"/>
      <color rgb="FF000000"/>
      <name val="Calibri"/>
      <family val="2"/>
    </font>
    <font>
      <b/>
      <sz val="16"/>
      <color rgb="FF000000"/>
      <name val="Calibri"/>
      <family val="2"/>
    </font>
    <font>
      <sz val="10"/>
      <color rgb="FF000000"/>
      <name val="Times New Roman"/>
      <family val="1"/>
    </font>
    <font>
      <sz val="10"/>
      <color rgb="FFFFFFFF"/>
      <name val="Calibri"/>
      <family val="2"/>
    </font>
    <font>
      <b/>
      <sz val="10"/>
      <color rgb="FF000000"/>
      <name val="Calibri"/>
      <family val="2"/>
    </font>
    <font>
      <b/>
      <sz val="16"/>
      <color theme="1"/>
      <name val="Calibri"/>
      <family val="2"/>
      <scheme val="minor"/>
    </font>
    <font>
      <sz val="10"/>
      <color rgb="FFFF0000"/>
      <name val="Calibri"/>
      <family val="2"/>
    </font>
    <font>
      <b/>
      <u/>
      <sz val="12"/>
      <color rgb="FF000000"/>
      <name val="Calibri"/>
      <family val="2"/>
    </font>
    <font>
      <sz val="11"/>
      <color theme="0"/>
      <name val="Calibri"/>
      <family val="2"/>
      <scheme val="minor"/>
    </font>
    <font>
      <sz val="10"/>
      <color theme="0"/>
      <name val="Calibri"/>
      <family val="2"/>
      <scheme val="minor"/>
    </font>
    <font>
      <sz val="10"/>
      <color theme="1"/>
      <name val="Calibri"/>
      <family val="2"/>
    </font>
    <font>
      <b/>
      <sz val="10"/>
      <color rgb="FF00B050"/>
      <name val="Calibri"/>
      <family val="2"/>
    </font>
    <font>
      <sz val="11"/>
      <color indexed="8"/>
      <name val="Times New Roman"/>
      <family val="1"/>
    </font>
    <font>
      <u/>
      <sz val="7.7"/>
      <color indexed="12"/>
      <name val="Calibri"/>
      <family val="2"/>
    </font>
    <font>
      <b/>
      <sz val="11"/>
      <color indexed="8"/>
      <name val="Times New Roman"/>
      <family val="1"/>
    </font>
    <font>
      <sz val="11"/>
      <name val="Times New Roman"/>
      <family val="1"/>
    </font>
    <font>
      <sz val="10"/>
      <name val="Mangal"/>
      <family val="2"/>
    </font>
    <font>
      <b/>
      <sz val="12"/>
      <color rgb="FF000000"/>
      <name val="Aptos Narrow"/>
      <family val="2"/>
    </font>
    <font>
      <sz val="12"/>
      <color rgb="FF000000"/>
      <name val="Aptos Narrow"/>
      <family val="2"/>
    </font>
    <font>
      <sz val="12"/>
      <color theme="1"/>
      <name val="Arial"/>
      <family val="2"/>
    </font>
    <font>
      <b/>
      <sz val="14"/>
      <color rgb="FF000000"/>
      <name val="Aptos Narrow"/>
      <family val="2"/>
    </font>
    <font>
      <b/>
      <sz val="14"/>
      <color rgb="FF000000"/>
      <name val="Calibri"/>
      <family val="2"/>
    </font>
    <font>
      <sz val="12"/>
      <color rgb="FF000000"/>
      <name val="Aptos"/>
      <family val="2"/>
    </font>
    <font>
      <b/>
      <sz val="12"/>
      <color rgb="FF000000"/>
      <name val="Aptos"/>
      <family val="2"/>
    </font>
    <font>
      <b/>
      <sz val="10"/>
      <color rgb="FF0000CC"/>
      <name val="Arial"/>
      <family val="2"/>
    </font>
    <font>
      <b/>
      <sz val="10"/>
      <color theme="0"/>
      <name val="Calibri"/>
      <family val="2"/>
      <scheme val="minor"/>
    </font>
    <font>
      <b/>
      <sz val="10"/>
      <color theme="0"/>
      <name val="Calibri"/>
      <family val="2"/>
    </font>
    <font>
      <sz val="11"/>
      <color rgb="FFFF0000"/>
      <name val="Calibri"/>
      <family val="2"/>
    </font>
  </fonts>
  <fills count="33">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4"/>
        <bgColor theme="4"/>
      </patternFill>
    </fill>
    <fill>
      <patternFill patternType="solid">
        <fgColor rgb="FFFFC000"/>
        <bgColor indexed="64"/>
      </patternFill>
    </fill>
    <fill>
      <patternFill patternType="solid">
        <fgColor indexed="22"/>
        <bgColor indexed="64"/>
      </patternFill>
    </fill>
    <fill>
      <patternFill patternType="solid">
        <fgColor rgb="FF00B050"/>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bgColor theme="9"/>
      </patternFill>
    </fill>
    <fill>
      <patternFill patternType="solid">
        <fgColor theme="7" tint="0.79998168889431442"/>
        <bgColor indexed="64"/>
      </patternFill>
    </fill>
    <fill>
      <patternFill patternType="solid">
        <fgColor rgb="FFE2EFDA"/>
        <bgColor indexed="64"/>
      </patternFill>
    </fill>
    <fill>
      <patternFill patternType="solid">
        <fgColor rgb="FF222B35"/>
        <bgColor indexed="64"/>
      </patternFill>
    </fill>
    <fill>
      <patternFill patternType="solid">
        <fgColor rgb="FFFFFFFF"/>
        <bgColor indexed="64"/>
      </patternFill>
    </fill>
    <fill>
      <patternFill patternType="solid">
        <fgColor theme="5" tint="-0.249977111117893"/>
        <bgColor indexed="64"/>
      </patternFill>
    </fill>
    <fill>
      <patternFill patternType="solid">
        <fgColor rgb="FFBDD7EE"/>
        <bgColor indexed="64"/>
      </patternFill>
    </fill>
    <fill>
      <patternFill patternType="solid">
        <fgColor rgb="FFFFF2CC"/>
        <bgColor indexed="64"/>
      </patternFill>
    </fill>
    <fill>
      <patternFill patternType="solid">
        <fgColor theme="7" tint="0.39997558519241921"/>
        <bgColor indexed="64"/>
      </patternFill>
    </fill>
    <fill>
      <patternFill patternType="solid">
        <fgColor rgb="FF5B9BD5"/>
        <bgColor indexed="64"/>
      </patternFill>
    </fill>
    <fill>
      <patternFill patternType="solid">
        <fgColor rgb="FF9BC2E6"/>
        <bgColor indexed="64"/>
      </patternFill>
    </fill>
    <fill>
      <patternFill patternType="solid">
        <fgColor theme="1"/>
        <bgColor indexed="64"/>
      </patternFill>
    </fill>
    <fill>
      <patternFill patternType="solid">
        <fgColor indexed="31"/>
        <bgColor indexed="22"/>
      </patternFill>
    </fill>
    <fill>
      <patternFill patternType="solid">
        <fgColor rgb="FF0070C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right/>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indexed="64"/>
      </top>
      <bottom/>
      <diagonal/>
    </border>
    <border>
      <left/>
      <right/>
      <top/>
      <bottom style="thin">
        <color indexed="64"/>
      </bottom>
      <diagonal/>
    </border>
    <border>
      <left/>
      <right/>
      <top/>
      <bottom style="thin">
        <color rgb="FF000000"/>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rgb="FF000000"/>
      </top>
      <bottom style="medium">
        <color indexed="64"/>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right/>
      <top/>
      <bottom style="medium">
        <color rgb="FF000000"/>
      </bottom>
      <diagonal/>
    </border>
    <border>
      <left/>
      <right/>
      <top style="medium">
        <color indexed="64"/>
      </top>
      <bottom/>
      <diagonal/>
    </border>
    <border>
      <left style="thin">
        <color indexed="64"/>
      </left>
      <right style="thin">
        <color indexed="64"/>
      </right>
      <top/>
      <bottom/>
      <diagonal/>
    </border>
    <border>
      <left/>
      <right/>
      <top style="thin">
        <color theme="4" tint="0.79998168889431442"/>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15" fillId="0" borderId="0"/>
    <xf numFmtId="0" fontId="15" fillId="0" borderId="0"/>
    <xf numFmtId="170" fontId="45" fillId="0" borderId="0" applyFill="0" applyBorder="0" applyAlignment="0" applyProtection="0"/>
    <xf numFmtId="0" fontId="42" fillId="0" borderId="0" applyNumberFormat="0" applyFill="0" applyBorder="0" applyAlignment="0" applyProtection="0"/>
    <xf numFmtId="44" fontId="3" fillId="0" borderId="0" applyFont="0" applyFill="0" applyBorder="0" applyAlignment="0" applyProtection="0"/>
    <xf numFmtId="44" fontId="2" fillId="0" borderId="0" applyFont="0" applyFill="0" applyBorder="0" applyAlignment="0" applyProtection="0"/>
  </cellStyleXfs>
  <cellXfs count="593">
    <xf numFmtId="0" fontId="0" fillId="0" borderId="0" xfId="0"/>
    <xf numFmtId="2"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 fontId="0" fillId="0" borderId="1" xfId="0" applyNumberFormat="1" applyBorder="1" applyAlignment="1">
      <alignment horizontal="center" vertical="center" shrinkToFit="1"/>
    </xf>
    <xf numFmtId="0" fontId="0" fillId="0" borderId="1" xfId="0" applyBorder="1" applyAlignment="1">
      <alignment horizontal="center" vertical="center" wrapText="1"/>
    </xf>
    <xf numFmtId="2" fontId="0" fillId="0" borderId="1" xfId="0" applyNumberFormat="1" applyBorder="1" applyAlignment="1">
      <alignment horizontal="center" vertical="center" shrinkToFit="1"/>
    </xf>
    <xf numFmtId="0" fontId="0" fillId="0" borderId="1" xfId="0" applyBorder="1" applyAlignment="1">
      <alignment horizontal="center" vertical="center" shrinkToFit="1"/>
    </xf>
    <xf numFmtId="0" fontId="6" fillId="0" borderId="1" xfId="0" applyFont="1" applyBorder="1" applyAlignment="1">
      <alignment horizontal="center"/>
    </xf>
    <xf numFmtId="0" fontId="0" fillId="0" borderId="1" xfId="0" applyBorder="1" applyAlignment="1">
      <alignment horizontal="center" vertical="top"/>
    </xf>
    <xf numFmtId="0" fontId="0" fillId="0" borderId="1" xfId="0" applyBorder="1" applyAlignment="1">
      <alignment horizontal="center"/>
    </xf>
    <xf numFmtId="0" fontId="6" fillId="0" borderId="1" xfId="0" applyFont="1" applyBorder="1" applyAlignment="1">
      <alignment horizontal="left"/>
    </xf>
    <xf numFmtId="2" fontId="6" fillId="0" borderId="1" xfId="0" applyNumberFormat="1" applyFont="1" applyBorder="1" applyAlignment="1">
      <alignment horizontal="center" shrinkToFit="1"/>
    </xf>
    <xf numFmtId="1" fontId="6" fillId="0" borderId="1" xfId="0" applyNumberFormat="1" applyFont="1" applyBorder="1" applyAlignment="1">
      <alignment horizontal="center" shrinkToFit="1"/>
    </xf>
    <xf numFmtId="2" fontId="8" fillId="0" borderId="1" xfId="0" applyNumberFormat="1" applyFont="1" applyBorder="1" applyAlignment="1">
      <alignment horizontal="center" vertical="center"/>
    </xf>
    <xf numFmtId="0" fontId="0" fillId="0" borderId="1" xfId="0" applyBorder="1"/>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left"/>
    </xf>
    <xf numFmtId="1" fontId="11" fillId="2" borderId="1" xfId="0" applyNumberFormat="1" applyFont="1" applyFill="1" applyBorder="1" applyAlignment="1">
      <alignment horizontal="center" vertical="center"/>
    </xf>
    <xf numFmtId="2" fontId="11" fillId="2" borderId="1" xfId="0" applyNumberFormat="1" applyFont="1" applyFill="1" applyBorder="1" applyAlignment="1">
      <alignment horizontal="center" vertical="center"/>
    </xf>
    <xf numFmtId="1" fontId="12" fillId="0" borderId="1" xfId="0" applyNumberFormat="1" applyFont="1" applyBorder="1" applyAlignment="1">
      <alignment horizontal="center" vertical="center"/>
    </xf>
    <xf numFmtId="1" fontId="12" fillId="0" borderId="1" xfId="0" applyNumberFormat="1" applyFont="1" applyBorder="1" applyAlignment="1">
      <alignment horizontal="center" vertical="center" shrinkToFit="1"/>
    </xf>
    <xf numFmtId="0" fontId="12" fillId="0" borderId="1" xfId="0" applyFont="1" applyBorder="1" applyAlignment="1">
      <alignment horizontal="center" vertical="center"/>
    </xf>
    <xf numFmtId="1" fontId="12" fillId="8" borderId="1" xfId="0" applyNumberFormat="1" applyFont="1" applyFill="1" applyBorder="1" applyAlignment="1">
      <alignment horizontal="center" vertical="center" shrinkToFit="1"/>
    </xf>
    <xf numFmtId="1" fontId="12" fillId="8" borderId="1" xfId="0" applyNumberFormat="1" applyFont="1" applyFill="1" applyBorder="1" applyAlignment="1">
      <alignment horizontal="center" vertical="center"/>
    </xf>
    <xf numFmtId="0" fontId="12" fillId="0" borderId="1" xfId="0" applyFont="1" applyBorder="1" applyAlignment="1">
      <alignment horizontal="center" vertical="center" shrinkToFit="1"/>
    </xf>
    <xf numFmtId="0" fontId="0" fillId="0" borderId="0" xfId="0" applyAlignment="1">
      <alignment vertical="top"/>
    </xf>
    <xf numFmtId="1" fontId="12" fillId="2" borderId="1" xfId="0" applyNumberFormat="1" applyFont="1" applyFill="1" applyBorder="1" applyAlignment="1">
      <alignment horizontal="center" vertical="center" shrinkToFit="1"/>
    </xf>
    <xf numFmtId="0" fontId="0" fillId="0" borderId="2" xfId="0"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49" fontId="5" fillId="7" borderId="5" xfId="0" applyNumberFormat="1" applyFont="1" applyFill="1" applyBorder="1" applyAlignment="1">
      <alignment horizontal="center" vertical="center" wrapText="1"/>
    </xf>
    <xf numFmtId="2" fontId="0" fillId="5" borderId="5" xfId="0" applyNumberFormat="1" applyFill="1" applyBorder="1" applyAlignment="1">
      <alignment horizontal="center" vertical="center" shrinkToFit="1"/>
    </xf>
    <xf numFmtId="3" fontId="0" fillId="8" borderId="5" xfId="0" applyNumberFormat="1" applyFill="1" applyBorder="1" applyAlignment="1">
      <alignment horizontal="center" vertical="center"/>
    </xf>
    <xf numFmtId="164" fontId="5" fillId="4" borderId="5" xfId="0" applyNumberFormat="1" applyFont="1" applyFill="1" applyBorder="1" applyAlignment="1">
      <alignment horizontal="center" vertical="center" shrinkToFit="1"/>
    </xf>
    <xf numFmtId="1" fontId="5" fillId="9" borderId="5" xfId="0" applyNumberFormat="1" applyFont="1" applyFill="1" applyBorder="1" applyAlignment="1">
      <alignment horizontal="center" vertical="center" shrinkToFit="1"/>
    </xf>
    <xf numFmtId="0" fontId="0" fillId="0" borderId="0" xfId="0" pivotButton="1"/>
    <xf numFmtId="2" fontId="0" fillId="0" borderId="0" xfId="0" applyNumberFormat="1"/>
    <xf numFmtId="0" fontId="0" fillId="2" borderId="1" xfId="0" applyFill="1" applyBorder="1" applyAlignment="1">
      <alignment horizontal="center" vertical="center"/>
    </xf>
    <xf numFmtId="0" fontId="0" fillId="2" borderId="0" xfId="0" applyFill="1"/>
    <xf numFmtId="0" fontId="0" fillId="0" borderId="2" xfId="0" applyBorder="1" applyAlignment="1">
      <alignment vertical="top"/>
    </xf>
    <xf numFmtId="0" fontId="0" fillId="0" borderId="0" xfId="0" quotePrefix="1"/>
    <xf numFmtId="0" fontId="0" fillId="0" borderId="0" xfId="0" applyAlignment="1">
      <alignment horizontal="center" vertical="center"/>
    </xf>
    <xf numFmtId="0" fontId="0" fillId="8" borderId="1" xfId="0" applyFill="1" applyBorder="1" applyAlignment="1">
      <alignment horizontal="center" vertical="center"/>
    </xf>
    <xf numFmtId="0" fontId="0" fillId="8" borderId="0" xfId="0" applyFill="1"/>
    <xf numFmtId="0" fontId="0" fillId="11" borderId="1" xfId="0" applyFill="1" applyBorder="1" applyAlignment="1">
      <alignment horizontal="center" vertical="center"/>
    </xf>
    <xf numFmtId="1" fontId="0" fillId="0" borderId="0" xfId="0" applyNumberFormat="1"/>
    <xf numFmtId="0" fontId="15" fillId="12" borderId="1" xfId="0" applyFont="1" applyFill="1" applyBorder="1" applyAlignment="1">
      <alignment horizontal="left" vertical="top"/>
    </xf>
    <xf numFmtId="0" fontId="0" fillId="12" borderId="1" xfId="0" applyFill="1" applyBorder="1" applyAlignment="1">
      <alignment horizontal="left" vertical="top"/>
    </xf>
    <xf numFmtId="0" fontId="0" fillId="12" borderId="1" xfId="0" applyFill="1" applyBorder="1" applyAlignment="1">
      <alignment horizontal="left" vertical="top" wrapText="1"/>
    </xf>
    <xf numFmtId="0" fontId="0" fillId="0" borderId="1" xfId="0" applyBorder="1" applyAlignment="1">
      <alignment horizontal="left" vertical="top"/>
    </xf>
    <xf numFmtId="165" fontId="0" fillId="0" borderId="1" xfId="0" applyNumberFormat="1" applyBorder="1" applyAlignment="1">
      <alignment horizontal="left" vertical="top"/>
    </xf>
    <xf numFmtId="3" fontId="0" fillId="0" borderId="1" xfId="0" applyNumberFormat="1" applyBorder="1" applyAlignment="1">
      <alignment horizontal="left" vertical="top"/>
    </xf>
    <xf numFmtId="3" fontId="15" fillId="0" borderId="1" xfId="0" applyNumberFormat="1" applyFont="1" applyBorder="1" applyAlignment="1">
      <alignment horizontal="left" vertical="top"/>
    </xf>
    <xf numFmtId="0" fontId="15" fillId="0" borderId="1" xfId="0" applyFont="1" applyBorder="1" applyAlignment="1">
      <alignment horizontal="left" vertical="top"/>
    </xf>
    <xf numFmtId="0" fontId="0" fillId="0" borderId="1" xfId="0" quotePrefix="1" applyBorder="1"/>
    <xf numFmtId="1" fontId="0" fillId="0" borderId="1" xfId="0" applyNumberFormat="1" applyBorder="1"/>
    <xf numFmtId="0" fontId="15" fillId="0" borderId="0" xfId="0" applyFont="1" applyAlignment="1">
      <alignment vertical="top"/>
    </xf>
    <xf numFmtId="2" fontId="0" fillId="8" borderId="0" xfId="0" applyNumberFormat="1" applyFill="1"/>
    <xf numFmtId="0" fontId="14" fillId="10" borderId="0" xfId="0" applyFont="1" applyFill="1"/>
    <xf numFmtId="0" fontId="0" fillId="0" borderId="0" xfId="0" applyAlignment="1">
      <alignment wrapText="1"/>
    </xf>
    <xf numFmtId="2" fontId="0" fillId="2" borderId="0" xfId="0" applyNumberFormat="1" applyFill="1"/>
    <xf numFmtId="0" fontId="0" fillId="2" borderId="0" xfId="0" quotePrefix="1" applyFill="1"/>
    <xf numFmtId="1" fontId="0" fillId="2" borderId="0" xfId="0" applyNumberFormat="1" applyFill="1"/>
    <xf numFmtId="2" fontId="0" fillId="13" borderId="0" xfId="0" applyNumberFormat="1" applyFill="1"/>
    <xf numFmtId="0" fontId="14" fillId="10" borderId="1" xfId="0" applyFont="1" applyFill="1" applyBorder="1" applyAlignment="1">
      <alignment horizontal="center" vertical="center"/>
    </xf>
    <xf numFmtId="2" fontId="0" fillId="0" borderId="1" xfId="0" applyNumberFormat="1" applyBorder="1"/>
    <xf numFmtId="0" fontId="14" fillId="10" borderId="1" xfId="0" applyFont="1" applyFill="1" applyBorder="1"/>
    <xf numFmtId="0" fontId="0" fillId="9" borderId="0" xfId="0" applyFill="1"/>
    <xf numFmtId="2" fontId="0" fillId="9" borderId="0" xfId="0" applyNumberFormat="1" applyFill="1"/>
    <xf numFmtId="0" fontId="0" fillId="9" borderId="0" xfId="0" quotePrefix="1" applyFill="1"/>
    <xf numFmtId="1" fontId="0" fillId="9" borderId="0" xfId="0" applyNumberFormat="1" applyFill="1"/>
    <xf numFmtId="0" fontId="0" fillId="2" borderId="1" xfId="0" applyFill="1" applyBorder="1" applyAlignment="1">
      <alignment horizontal="center" vertical="center" wrapText="1"/>
    </xf>
    <xf numFmtId="2" fontId="0" fillId="2" borderId="1" xfId="0" applyNumberFormat="1" applyFill="1" applyBorder="1" applyAlignment="1">
      <alignment horizontal="center" vertical="center"/>
    </xf>
    <xf numFmtId="0" fontId="0" fillId="2" borderId="1" xfId="0" applyFill="1" applyBorder="1"/>
    <xf numFmtId="0" fontId="12" fillId="2" borderId="1" xfId="0" applyFont="1" applyFill="1" applyBorder="1" applyAlignment="1">
      <alignment horizontal="center" vertical="center"/>
    </xf>
    <xf numFmtId="1" fontId="0" fillId="2" borderId="1" xfId="0" applyNumberFormat="1" applyFill="1" applyBorder="1" applyAlignment="1">
      <alignment horizontal="center" vertical="center" shrinkToFit="1"/>
    </xf>
    <xf numFmtId="0" fontId="17" fillId="0" borderId="0" xfId="0" applyFont="1"/>
    <xf numFmtId="0" fontId="18" fillId="14" borderId="1" xfId="1" applyFont="1" applyFill="1" applyBorder="1" applyAlignment="1">
      <alignment horizontal="center"/>
    </xf>
    <xf numFmtId="1" fontId="0" fillId="2" borderId="1" xfId="0" applyNumberFormat="1" applyFill="1" applyBorder="1" applyAlignment="1">
      <alignment horizontal="center" vertical="center"/>
    </xf>
    <xf numFmtId="0" fontId="10" fillId="0" borderId="1" xfId="0" applyFont="1" applyBorder="1" applyAlignment="1">
      <alignment horizontal="center" vertical="center"/>
    </xf>
    <xf numFmtId="0" fontId="0" fillId="2" borderId="1" xfId="0" applyFill="1" applyBorder="1" applyAlignment="1">
      <alignment horizontal="center" vertical="top"/>
    </xf>
    <xf numFmtId="0" fontId="19" fillId="2" borderId="1" xfId="0" applyFont="1" applyFill="1" applyBorder="1" applyAlignment="1">
      <alignment horizontal="center"/>
    </xf>
    <xf numFmtId="0" fontId="5" fillId="2" borderId="1" xfId="0" applyFont="1" applyFill="1" applyBorder="1" applyAlignment="1">
      <alignment horizontal="center" vertical="center"/>
    </xf>
    <xf numFmtId="0" fontId="0" fillId="0" borderId="0" xfId="0" applyAlignment="1">
      <alignment horizontal="left"/>
    </xf>
    <xf numFmtId="0" fontId="0" fillId="0" borderId="2" xfId="0" applyBorder="1"/>
    <xf numFmtId="0" fontId="0" fillId="0" borderId="3" xfId="0" applyBorder="1"/>
    <xf numFmtId="2" fontId="0" fillId="0" borderId="3" xfId="0" applyNumberFormat="1" applyBorder="1"/>
    <xf numFmtId="2" fontId="0" fillId="2" borderId="3" xfId="0" applyNumberFormat="1" applyFill="1" applyBorder="1"/>
    <xf numFmtId="2" fontId="0" fillId="4" borderId="3" xfId="0" applyNumberFormat="1" applyFill="1" applyBorder="1"/>
    <xf numFmtId="2" fontId="0" fillId="8" borderId="3" xfId="0" applyNumberFormat="1" applyFill="1" applyBorder="1"/>
    <xf numFmtId="2" fontId="0" fillId="9" borderId="3" xfId="0" applyNumberFormat="1" applyFill="1" applyBorder="1"/>
    <xf numFmtId="0" fontId="5" fillId="0" borderId="4" xfId="0" applyFont="1" applyBorder="1"/>
    <xf numFmtId="0" fontId="5" fillId="0" borderId="5" xfId="0" applyFont="1" applyBorder="1"/>
    <xf numFmtId="0" fontId="0" fillId="0" borderId="7" xfId="0" applyBorder="1" applyAlignment="1">
      <alignment horizontal="center" vertical="center"/>
    </xf>
    <xf numFmtId="2" fontId="0" fillId="5" borderId="1" xfId="0" applyNumberFormat="1" applyFill="1" applyBorder="1" applyAlignment="1">
      <alignment horizontal="center" vertical="center" shrinkToFit="1"/>
    </xf>
    <xf numFmtId="3" fontId="0" fillId="8" borderId="1" xfId="0" applyNumberFormat="1" applyFill="1" applyBorder="1" applyAlignment="1">
      <alignment horizontal="center" vertical="center"/>
    </xf>
    <xf numFmtId="0" fontId="20" fillId="0" borderId="1" xfId="0" applyFont="1" applyBorder="1" applyAlignment="1">
      <alignment vertical="center"/>
    </xf>
    <xf numFmtId="2" fontId="5" fillId="2" borderId="5" xfId="0" applyNumberFormat="1" applyFont="1" applyFill="1" applyBorder="1" applyAlignment="1">
      <alignment horizontal="center" vertical="center" wrapText="1"/>
    </xf>
    <xf numFmtId="2" fontId="5" fillId="8" borderId="5" xfId="0" applyNumberFormat="1" applyFont="1" applyFill="1" applyBorder="1" applyAlignment="1">
      <alignment horizontal="center" vertical="center" wrapText="1"/>
    </xf>
    <xf numFmtId="0" fontId="0" fillId="0" borderId="7" xfId="0" applyBorder="1" applyAlignment="1">
      <alignment horizontal="left" vertical="top"/>
    </xf>
    <xf numFmtId="14" fontId="0" fillId="0" borderId="0" xfId="0" applyNumberFormat="1" applyAlignment="1">
      <alignment horizontal="center"/>
    </xf>
    <xf numFmtId="166" fontId="0" fillId="0" borderId="0" xfId="3" applyNumberFormat="1" applyFont="1"/>
    <xf numFmtId="166" fontId="0" fillId="0" borderId="1" xfId="3" applyNumberFormat="1" applyFont="1" applyBorder="1"/>
    <xf numFmtId="0" fontId="0" fillId="15" borderId="1" xfId="0" applyFill="1" applyBorder="1" applyAlignment="1">
      <alignment horizontal="center" vertical="center" wrapText="1"/>
    </xf>
    <xf numFmtId="0" fontId="0" fillId="15" borderId="1" xfId="0" applyFill="1" applyBorder="1" applyAlignment="1">
      <alignment horizontal="center" vertical="center"/>
    </xf>
    <xf numFmtId="2" fontId="0" fillId="15" borderId="1" xfId="0" applyNumberFormat="1" applyFill="1" applyBorder="1" applyAlignment="1">
      <alignment horizontal="center" vertical="center"/>
    </xf>
    <xf numFmtId="2" fontId="0" fillId="15" borderId="1" xfId="0" applyNumberFormat="1" applyFill="1" applyBorder="1" applyAlignment="1">
      <alignment horizontal="center" vertical="center" shrinkToFit="1"/>
    </xf>
    <xf numFmtId="1" fontId="12" fillId="15" borderId="1" xfId="0" applyNumberFormat="1" applyFont="1" applyFill="1" applyBorder="1" applyAlignment="1">
      <alignment horizontal="center" vertical="center"/>
    </xf>
    <xf numFmtId="1" fontId="0" fillId="15" borderId="1" xfId="0" applyNumberFormat="1" applyFill="1" applyBorder="1" applyAlignment="1">
      <alignment horizontal="center" vertical="center"/>
    </xf>
    <xf numFmtId="1" fontId="0" fillId="15" borderId="1" xfId="0" applyNumberFormat="1" applyFill="1" applyBorder="1" applyAlignment="1">
      <alignment horizontal="center" vertical="center" shrinkToFit="1"/>
    </xf>
    <xf numFmtId="2" fontId="5" fillId="8" borderId="6" xfId="0" applyNumberFormat="1" applyFont="1" applyFill="1" applyBorder="1" applyAlignment="1">
      <alignment horizontal="center" vertical="center" wrapText="1"/>
    </xf>
    <xf numFmtId="9" fontId="0" fillId="0" borderId="3" xfId="2" applyFont="1" applyFill="1" applyBorder="1" applyAlignment="1">
      <alignment horizontal="center" vertical="center"/>
    </xf>
    <xf numFmtId="0" fontId="0" fillId="15" borderId="1" xfId="0" applyFill="1" applyBorder="1" applyAlignment="1">
      <alignment horizontal="center" vertical="top"/>
    </xf>
    <xf numFmtId="9" fontId="0" fillId="15" borderId="3" xfId="2" applyFont="1" applyFill="1" applyBorder="1" applyAlignment="1">
      <alignment horizontal="center" vertical="center"/>
    </xf>
    <xf numFmtId="0" fontId="0" fillId="0" borderId="3" xfId="0" applyBorder="1" applyAlignment="1">
      <alignment horizontal="center"/>
    </xf>
    <xf numFmtId="0" fontId="18" fillId="2" borderId="1" xfId="1" applyFont="1" applyFill="1" applyBorder="1" applyAlignment="1">
      <alignment horizontal="center"/>
    </xf>
    <xf numFmtId="0" fontId="0" fillId="15" borderId="1" xfId="0" applyFill="1" applyBorder="1" applyAlignment="1">
      <alignment horizontal="center"/>
    </xf>
    <xf numFmtId="2" fontId="0" fillId="15" borderId="1" xfId="0" applyNumberFormat="1" applyFill="1" applyBorder="1" applyAlignment="1">
      <alignment horizontal="center"/>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vertical="top"/>
    </xf>
    <xf numFmtId="0" fontId="0" fillId="2" borderId="7" xfId="0" applyFill="1" applyBorder="1" applyAlignment="1">
      <alignment horizontal="center" vertical="center"/>
    </xf>
    <xf numFmtId="2" fontId="0" fillId="0" borderId="7" xfId="0" applyNumberFormat="1" applyBorder="1" applyAlignment="1">
      <alignment horizontal="center" vertical="center"/>
    </xf>
    <xf numFmtId="1" fontId="12" fillId="0" borderId="7" xfId="0" applyNumberFormat="1" applyFont="1" applyBorder="1" applyAlignment="1">
      <alignment horizontal="center" vertical="center" shrinkToFit="1"/>
    </xf>
    <xf numFmtId="1" fontId="0" fillId="0" borderId="7" xfId="0" applyNumberFormat="1" applyBorder="1" applyAlignment="1">
      <alignment horizontal="center" vertical="center" shrinkToFit="1"/>
    </xf>
    <xf numFmtId="9" fontId="0" fillId="0" borderId="8" xfId="2" applyFont="1" applyFill="1" applyBorder="1" applyAlignment="1">
      <alignment horizontal="center" vertical="center"/>
    </xf>
    <xf numFmtId="0" fontId="14" fillId="4" borderId="1" xfId="0" applyFont="1" applyFill="1" applyBorder="1" applyAlignment="1">
      <alignment horizontal="center" vertical="center"/>
    </xf>
    <xf numFmtId="166" fontId="0" fillId="0" borderId="1" xfId="0" applyNumberFormat="1" applyBorder="1"/>
    <xf numFmtId="1" fontId="5" fillId="0" borderId="0" xfId="0" applyNumberFormat="1" applyFont="1"/>
    <xf numFmtId="2" fontId="5" fillId="0" borderId="0" xfId="0" applyNumberFormat="1" applyFont="1"/>
    <xf numFmtId="2" fontId="5" fillId="0" borderId="11" xfId="0" applyNumberFormat="1" applyFont="1" applyBorder="1"/>
    <xf numFmtId="0" fontId="21" fillId="2" borderId="1" xfId="0" applyFont="1" applyFill="1" applyBorder="1" applyAlignment="1">
      <alignment vertical="center"/>
    </xf>
    <xf numFmtId="44" fontId="21" fillId="2" borderId="1" xfId="4" applyFont="1" applyFill="1" applyBorder="1" applyAlignment="1">
      <alignment vertical="center" wrapText="1"/>
    </xf>
    <xf numFmtId="0" fontId="21" fillId="2" borderId="1" xfId="0" applyFont="1" applyFill="1" applyBorder="1" applyAlignment="1">
      <alignment vertical="center" wrapText="1"/>
    </xf>
    <xf numFmtId="2" fontId="21" fillId="2" borderId="1" xfId="0" applyNumberFormat="1" applyFont="1" applyFill="1" applyBorder="1" applyAlignment="1">
      <alignment vertical="center"/>
    </xf>
    <xf numFmtId="0" fontId="21" fillId="16" borderId="1" xfId="0" applyFont="1" applyFill="1" applyBorder="1" applyAlignment="1">
      <alignment vertical="center"/>
    </xf>
    <xf numFmtId="17" fontId="21" fillId="2" borderId="1" xfId="4" applyNumberFormat="1" applyFont="1" applyFill="1" applyBorder="1" applyAlignment="1">
      <alignment vertical="center"/>
    </xf>
    <xf numFmtId="0" fontId="21" fillId="7" borderId="1" xfId="0" applyFont="1" applyFill="1" applyBorder="1" applyAlignment="1">
      <alignment vertical="center" wrapText="1"/>
    </xf>
    <xf numFmtId="0" fontId="0" fillId="16" borderId="1" xfId="0" applyFill="1" applyBorder="1" applyAlignment="1">
      <alignment vertical="center" wrapText="1"/>
    </xf>
    <xf numFmtId="0" fontId="21" fillId="17" borderId="1" xfId="0" applyFont="1" applyFill="1" applyBorder="1" applyAlignment="1">
      <alignment vertical="center" wrapText="1"/>
    </xf>
    <xf numFmtId="0" fontId="21" fillId="0" borderId="1" xfId="0" applyFont="1" applyBorder="1" applyAlignment="1">
      <alignment horizontal="left"/>
    </xf>
    <xf numFmtId="2" fontId="21" fillId="0" borderId="1" xfId="0" applyNumberFormat="1" applyFont="1" applyBorder="1" applyAlignment="1">
      <alignment horizontal="left"/>
    </xf>
    <xf numFmtId="0" fontId="21" fillId="0" borderId="1" xfId="0" applyFont="1" applyBorder="1" applyAlignment="1">
      <alignment horizontal="center"/>
    </xf>
    <xf numFmtId="0" fontId="21" fillId="0" borderId="1" xfId="0" applyFont="1" applyBorder="1" applyAlignment="1">
      <alignment horizontal="center" vertical="top"/>
    </xf>
    <xf numFmtId="49" fontId="21" fillId="0" borderId="1" xfId="0" applyNumberFormat="1" applyFont="1" applyBorder="1" applyAlignment="1">
      <alignment horizontal="center"/>
    </xf>
    <xf numFmtId="0" fontId="5" fillId="0" borderId="1" xfId="0" applyFont="1" applyBorder="1" applyAlignment="1">
      <alignment horizontal="left"/>
    </xf>
    <xf numFmtId="0" fontId="22" fillId="0" borderId="1" xfId="0" applyFont="1" applyBorder="1" applyAlignment="1">
      <alignment horizontal="left"/>
    </xf>
    <xf numFmtId="2" fontId="21" fillId="0" borderId="1" xfId="5" applyNumberFormat="1" applyFont="1" applyBorder="1" applyAlignment="1">
      <alignment horizontal="left" vertical="top"/>
    </xf>
    <xf numFmtId="0" fontId="21" fillId="0" borderId="1" xfId="5" applyFont="1" applyBorder="1" applyAlignment="1">
      <alignment horizontal="left" vertical="top"/>
    </xf>
    <xf numFmtId="0" fontId="21" fillId="2" borderId="1" xfId="0" applyFont="1" applyFill="1" applyBorder="1" applyAlignment="1">
      <alignment horizontal="left"/>
    </xf>
    <xf numFmtId="0" fontId="22" fillId="2" borderId="1" xfId="0" applyFont="1" applyFill="1" applyBorder="1" applyAlignment="1">
      <alignment horizontal="left"/>
    </xf>
    <xf numFmtId="0" fontId="21" fillId="0" borderId="1" xfId="0" quotePrefix="1" applyFont="1" applyBorder="1" applyAlignment="1">
      <alignment horizontal="center"/>
    </xf>
    <xf numFmtId="0" fontId="24" fillId="0" borderId="1" xfId="0" applyFont="1" applyBorder="1" applyAlignment="1">
      <alignment horizontal="left" vertical="center"/>
    </xf>
    <xf numFmtId="0" fontId="21" fillId="0" borderId="5" xfId="0" applyFont="1" applyBorder="1" applyAlignment="1">
      <alignment horizontal="left"/>
    </xf>
    <xf numFmtId="0" fontId="0" fillId="16" borderId="0" xfId="0" applyFill="1"/>
    <xf numFmtId="0" fontId="0" fillId="18" borderId="0" xfId="0" applyFill="1"/>
    <xf numFmtId="0" fontId="14" fillId="19" borderId="12" xfId="0" applyFont="1" applyFill="1" applyBorder="1"/>
    <xf numFmtId="0" fontId="14" fillId="19" borderId="13" xfId="0" applyFont="1" applyFill="1" applyBorder="1"/>
    <xf numFmtId="49" fontId="21" fillId="0" borderId="1" xfId="0" quotePrefix="1" applyNumberFormat="1" applyFont="1" applyBorder="1" applyAlignment="1">
      <alignment horizontal="center"/>
    </xf>
    <xf numFmtId="0" fontId="14" fillId="19" borderId="0" xfId="0" applyFont="1" applyFill="1"/>
    <xf numFmtId="0" fontId="0" fillId="0" borderId="1" xfId="0" applyBorder="1" applyAlignment="1">
      <alignment horizontal="left" vertical="center"/>
    </xf>
    <xf numFmtId="2" fontId="21" fillId="0" borderId="1" xfId="0" applyNumberFormat="1" applyFont="1" applyBorder="1" applyAlignment="1">
      <alignment horizontal="left" vertical="center"/>
    </xf>
    <xf numFmtId="0" fontId="21" fillId="0" borderId="1" xfId="0" applyFont="1" applyBorder="1" applyAlignment="1">
      <alignment horizontal="left" vertical="center"/>
    </xf>
    <xf numFmtId="0" fontId="23" fillId="2" borderId="1" xfId="0" applyFont="1" applyFill="1" applyBorder="1" applyAlignment="1">
      <alignment horizontal="left"/>
    </xf>
    <xf numFmtId="0" fontId="10" fillId="2" borderId="0" xfId="0" applyFont="1" applyFill="1"/>
    <xf numFmtId="0" fontId="5" fillId="0" borderId="1" xfId="0" applyFont="1" applyBorder="1" applyAlignment="1">
      <alignment horizontal="left" vertical="center"/>
    </xf>
    <xf numFmtId="0" fontId="0" fillId="0" borderId="0" xfId="0" applyAlignment="1">
      <alignment vertical="center"/>
    </xf>
    <xf numFmtId="0" fontId="0" fillId="18" borderId="0" xfId="0" applyFill="1" applyAlignment="1">
      <alignment vertical="center"/>
    </xf>
    <xf numFmtId="0" fontId="14" fillId="19" borderId="14" xfId="0" applyFont="1" applyFill="1" applyBorder="1"/>
    <xf numFmtId="2" fontId="0" fillId="0" borderId="2" xfId="0" applyNumberFormat="1" applyBorder="1" applyAlignment="1">
      <alignment horizontal="center" vertical="center"/>
    </xf>
    <xf numFmtId="1" fontId="0" fillId="0" borderId="3" xfId="0" applyNumberFormat="1" applyBorder="1" applyAlignment="1">
      <alignment horizontal="center" vertical="center" shrinkToFit="1"/>
    </xf>
    <xf numFmtId="2" fontId="0" fillId="5" borderId="4" xfId="0" applyNumberFormat="1" applyFill="1" applyBorder="1" applyAlignment="1">
      <alignment horizontal="center" vertical="center" shrinkToFit="1"/>
    </xf>
    <xf numFmtId="1" fontId="5" fillId="9" borderId="6" xfId="0" applyNumberFormat="1" applyFont="1" applyFill="1" applyBorder="1" applyAlignment="1">
      <alignment horizontal="center" vertical="center" shrinkToFit="1"/>
    </xf>
    <xf numFmtId="2" fontId="0" fillId="0" borderId="10" xfId="0" applyNumberFormat="1" applyBorder="1" applyAlignment="1">
      <alignment horizontal="center" vertical="center"/>
    </xf>
    <xf numFmtId="0" fontId="12" fillId="0" borderId="7" xfId="0" applyFont="1" applyBorder="1" applyAlignment="1">
      <alignment horizontal="center" vertical="center"/>
    </xf>
    <xf numFmtId="1" fontId="12" fillId="0" borderId="7" xfId="0" applyNumberFormat="1" applyFont="1" applyBorder="1" applyAlignment="1">
      <alignment horizontal="center" vertical="center"/>
    </xf>
    <xf numFmtId="1" fontId="0" fillId="0" borderId="7" xfId="0" applyNumberFormat="1" applyBorder="1" applyAlignment="1">
      <alignment horizontal="center" vertical="center"/>
    </xf>
    <xf numFmtId="1" fontId="0" fillId="0" borderId="8" xfId="0" applyNumberFormat="1" applyBorder="1" applyAlignment="1">
      <alignment horizontal="center" vertical="center" shrinkToFit="1"/>
    </xf>
    <xf numFmtId="1" fontId="0" fillId="0" borderId="1" xfId="0" applyNumberFormat="1" applyBorder="1" applyAlignment="1">
      <alignment horizontal="left"/>
    </xf>
    <xf numFmtId="0" fontId="0" fillId="0" borderId="15" xfId="0" applyBorder="1"/>
    <xf numFmtId="0" fontId="21" fillId="0" borderId="0" xfId="0" applyFont="1" applyAlignment="1">
      <alignment horizontal="left"/>
    </xf>
    <xf numFmtId="0" fontId="22" fillId="0" borderId="0" xfId="0" applyFont="1" applyAlignment="1">
      <alignment horizontal="left"/>
    </xf>
    <xf numFmtId="2" fontId="21" fillId="0" borderId="0" xfId="0" applyNumberFormat="1" applyFont="1" applyAlignment="1">
      <alignment horizontal="left"/>
    </xf>
    <xf numFmtId="167" fontId="0" fillId="0" borderId="0" xfId="0" applyNumberFormat="1"/>
    <xf numFmtId="1" fontId="5" fillId="9" borderId="1" xfId="0" applyNumberFormat="1" applyFont="1" applyFill="1" applyBorder="1" applyAlignment="1">
      <alignment horizontal="center" vertical="center" shrinkToFit="1"/>
    </xf>
    <xf numFmtId="1" fontId="0" fillId="0" borderId="5" xfId="0" applyNumberFormat="1" applyBorder="1" applyAlignment="1">
      <alignment horizontal="center" vertical="center"/>
    </xf>
    <xf numFmtId="9" fontId="0" fillId="0" borderId="0" xfId="2" applyFont="1"/>
    <xf numFmtId="14" fontId="0" fillId="5" borderId="1" xfId="0" applyNumberFormat="1" applyFill="1" applyBorder="1" applyAlignment="1">
      <alignment horizontal="center" vertical="center" shrinkToFit="1"/>
    </xf>
    <xf numFmtId="0" fontId="21" fillId="16" borderId="1" xfId="0" applyFont="1" applyFill="1" applyBorder="1" applyAlignment="1">
      <alignment horizontal="center" vertical="center"/>
    </xf>
    <xf numFmtId="0" fontId="25" fillId="18" borderId="0" xfId="6" applyFont="1" applyFill="1" applyAlignment="1">
      <alignment horizontal="center"/>
    </xf>
    <xf numFmtId="0" fontId="5" fillId="0" borderId="1" xfId="0" applyFont="1" applyBorder="1" applyAlignment="1">
      <alignment horizontal="center"/>
    </xf>
    <xf numFmtId="0" fontId="0" fillId="0" borderId="0" xfId="0" applyAlignment="1">
      <alignment horizontal="center"/>
    </xf>
    <xf numFmtId="0" fontId="0" fillId="16" borderId="0" xfId="0" applyFill="1" applyAlignment="1">
      <alignment horizontal="center"/>
    </xf>
    <xf numFmtId="0" fontId="21" fillId="2" borderId="1" xfId="0" applyFont="1" applyFill="1" applyBorder="1" applyAlignment="1">
      <alignment horizontal="center"/>
    </xf>
    <xf numFmtId="49" fontId="21" fillId="2" borderId="1" xfId="0" applyNumberFormat="1" applyFont="1" applyFill="1" applyBorder="1" applyAlignment="1">
      <alignment horizontal="center"/>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shrinkToFit="1"/>
    </xf>
    <xf numFmtId="2" fontId="5" fillId="2" borderId="1" xfId="0" applyNumberFormat="1" applyFont="1" applyFill="1" applyBorder="1" applyAlignment="1">
      <alignment horizontal="center" vertical="center" wrapText="1"/>
    </xf>
    <xf numFmtId="0" fontId="0" fillId="0" borderId="16" xfId="0" applyBorder="1"/>
    <xf numFmtId="0" fontId="5" fillId="20" borderId="1" xfId="0" applyFont="1" applyFill="1" applyBorder="1"/>
    <xf numFmtId="2" fontId="0" fillId="9" borderId="2" xfId="0" applyNumberFormat="1" applyFill="1" applyBorder="1" applyAlignment="1">
      <alignment horizontal="center" vertical="center"/>
    </xf>
    <xf numFmtId="2" fontId="0" fillId="9" borderId="1" xfId="0" applyNumberFormat="1" applyFill="1" applyBorder="1" applyAlignment="1">
      <alignment horizontal="center" vertic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1" fontId="0" fillId="9" borderId="1" xfId="0" applyNumberFormat="1" applyFill="1" applyBorder="1" applyAlignment="1">
      <alignment horizontal="center" vertical="center" shrinkToFit="1"/>
    </xf>
    <xf numFmtId="1" fontId="0" fillId="9" borderId="3" xfId="0" applyNumberFormat="1" applyFill="1" applyBorder="1" applyAlignment="1">
      <alignment horizontal="center" vertical="center" shrinkToFit="1"/>
    </xf>
    <xf numFmtId="0" fontId="0" fillId="9" borderId="1" xfId="0" applyFill="1" applyBorder="1"/>
    <xf numFmtId="0" fontId="14" fillId="10" borderId="1" xfId="0" applyFont="1" applyFill="1" applyBorder="1" applyAlignment="1">
      <alignment horizontal="center" vertical="center" wrapText="1"/>
    </xf>
    <xf numFmtId="167" fontId="0" fillId="0" borderId="1" xfId="0" applyNumberFormat="1" applyBorder="1"/>
    <xf numFmtId="2" fontId="0" fillId="4" borderId="3" xfId="0" applyNumberFormat="1" applyFill="1" applyBorder="1" applyAlignment="1">
      <alignment wrapText="1"/>
    </xf>
    <xf numFmtId="168" fontId="0" fillId="2" borderId="3" xfId="0" applyNumberFormat="1" applyFill="1" applyBorder="1"/>
    <xf numFmtId="168" fontId="0" fillId="8" borderId="3" xfId="0" applyNumberFormat="1" applyFill="1" applyBorder="1"/>
    <xf numFmtId="0" fontId="26" fillId="0" borderId="1" xfId="0" applyFont="1" applyBorder="1" applyAlignment="1">
      <alignment horizontal="center" vertical="center"/>
    </xf>
    <xf numFmtId="0" fontId="27" fillId="0" borderId="1" xfId="0" applyFont="1" applyBorder="1" applyAlignment="1">
      <alignment horizontal="center"/>
    </xf>
    <xf numFmtId="0" fontId="27" fillId="0" borderId="1" xfId="0" applyFont="1" applyBorder="1"/>
    <xf numFmtId="0" fontId="20" fillId="0" borderId="1" xfId="0" applyFont="1" applyBorder="1" applyAlignment="1">
      <alignment horizontal="center" vertical="center"/>
    </xf>
    <xf numFmtId="0" fontId="26" fillId="11" borderId="1" xfId="0" applyFont="1" applyFill="1" applyBorder="1" applyAlignment="1">
      <alignment vertical="center"/>
    </xf>
    <xf numFmtId="0" fontId="26" fillId="11" borderId="1" xfId="0" applyFont="1" applyFill="1" applyBorder="1" applyAlignment="1">
      <alignment horizontal="center" vertical="center"/>
    </xf>
    <xf numFmtId="9" fontId="26" fillId="11" borderId="1" xfId="2" applyFont="1" applyFill="1" applyBorder="1" applyAlignment="1">
      <alignment horizontal="center" vertical="center"/>
    </xf>
    <xf numFmtId="0" fontId="26" fillId="2" borderId="1" xfId="0" applyFont="1" applyFill="1" applyBorder="1" applyAlignment="1">
      <alignment vertical="center"/>
    </xf>
    <xf numFmtId="0" fontId="26" fillId="2" borderId="1" xfId="0" applyFont="1" applyFill="1" applyBorder="1" applyAlignment="1">
      <alignment horizontal="center" vertical="center"/>
    </xf>
    <xf numFmtId="9" fontId="26" fillId="2" borderId="1" xfId="2" applyFont="1" applyFill="1" applyBorder="1" applyAlignment="1">
      <alignment horizontal="center" vertical="center"/>
    </xf>
    <xf numFmtId="0" fontId="26" fillId="4" borderId="1" xfId="0" applyFont="1" applyFill="1" applyBorder="1" applyAlignment="1">
      <alignment vertical="center"/>
    </xf>
    <xf numFmtId="0" fontId="26" fillId="4" borderId="1" xfId="0" applyFont="1" applyFill="1" applyBorder="1" applyAlignment="1">
      <alignment horizontal="center" vertical="center"/>
    </xf>
    <xf numFmtId="9" fontId="26" fillId="4" borderId="1" xfId="2" applyFont="1" applyFill="1" applyBorder="1" applyAlignment="1">
      <alignment horizontal="center" vertical="center"/>
    </xf>
    <xf numFmtId="0" fontId="26" fillId="21" borderId="1" xfId="0" applyFont="1" applyFill="1" applyBorder="1" applyAlignment="1">
      <alignment vertical="center"/>
    </xf>
    <xf numFmtId="0" fontId="26" fillId="21" borderId="1" xfId="0" applyFont="1" applyFill="1" applyBorder="1" applyAlignment="1">
      <alignment horizontal="center" vertical="center"/>
    </xf>
    <xf numFmtId="9" fontId="26" fillId="21" borderId="1" xfId="2" applyFont="1" applyFill="1" applyBorder="1" applyAlignment="1">
      <alignment horizontal="center" vertical="center"/>
    </xf>
    <xf numFmtId="0" fontId="26" fillId="0" borderId="1" xfId="0" applyFont="1" applyBorder="1" applyAlignment="1">
      <alignment vertical="center"/>
    </xf>
    <xf numFmtId="0" fontId="20" fillId="0" borderId="1" xfId="0" applyFont="1" applyBorder="1" applyAlignment="1">
      <alignment horizontal="right" vertical="center"/>
    </xf>
    <xf numFmtId="0" fontId="28" fillId="22" borderId="1" xfId="0" applyFont="1" applyFill="1" applyBorder="1" applyAlignment="1">
      <alignment vertical="center"/>
    </xf>
    <xf numFmtId="0" fontId="28" fillId="22" borderId="1" xfId="0" applyFont="1" applyFill="1" applyBorder="1" applyAlignment="1">
      <alignment horizontal="center" vertical="center"/>
    </xf>
    <xf numFmtId="9" fontId="28" fillId="22" borderId="1" xfId="2" applyFont="1" applyFill="1" applyBorder="1" applyAlignment="1">
      <alignment horizontal="center" vertical="center"/>
    </xf>
    <xf numFmtId="0" fontId="26" fillId="23" borderId="1" xfId="0" applyFont="1" applyFill="1" applyBorder="1" applyAlignment="1">
      <alignment vertical="center"/>
    </xf>
    <xf numFmtId="0" fontId="26" fillId="23" borderId="1" xfId="0" applyFont="1" applyFill="1" applyBorder="1" applyAlignment="1">
      <alignment horizontal="center" vertical="center"/>
    </xf>
    <xf numFmtId="9" fontId="26" fillId="23" borderId="1" xfId="2" applyFont="1" applyFill="1" applyBorder="1" applyAlignment="1">
      <alignment horizontal="center" vertical="center"/>
    </xf>
    <xf numFmtId="2" fontId="21" fillId="2" borderId="1" xfId="5" applyNumberFormat="1" applyFont="1" applyFill="1" applyBorder="1" applyAlignment="1">
      <alignment horizontal="left" vertical="top"/>
    </xf>
    <xf numFmtId="0" fontId="21" fillId="2" borderId="1" xfId="5" applyFont="1" applyFill="1" applyBorder="1" applyAlignment="1">
      <alignment horizontal="left" vertical="top"/>
    </xf>
    <xf numFmtId="0" fontId="21" fillId="2" borderId="1" xfId="0" applyFont="1" applyFill="1" applyBorder="1" applyAlignment="1">
      <alignment horizontal="center" vertical="top"/>
    </xf>
    <xf numFmtId="0" fontId="0" fillId="2" borderId="1" xfId="0" applyFill="1" applyBorder="1" applyAlignment="1">
      <alignment horizontal="left"/>
    </xf>
    <xf numFmtId="0" fontId="0" fillId="2" borderId="1" xfId="0" applyFill="1" applyBorder="1" applyAlignment="1">
      <alignment horizontal="left" vertical="center"/>
    </xf>
    <xf numFmtId="2" fontId="21" fillId="2" borderId="1" xfId="0" applyNumberFormat="1" applyFont="1" applyFill="1" applyBorder="1" applyAlignment="1">
      <alignment horizontal="left"/>
    </xf>
    <xf numFmtId="0" fontId="21" fillId="2" borderId="1" xfId="0" quotePrefix="1" applyFont="1" applyFill="1" applyBorder="1" applyAlignment="1">
      <alignment horizontal="center" vertical="top"/>
    </xf>
    <xf numFmtId="49" fontId="21" fillId="2" borderId="1" xfId="0" quotePrefix="1" applyNumberFormat="1" applyFont="1" applyFill="1" applyBorder="1" applyAlignment="1">
      <alignment horizontal="center"/>
    </xf>
    <xf numFmtId="0" fontId="21" fillId="2" borderId="1" xfId="0" quotePrefix="1" applyFont="1" applyFill="1" applyBorder="1" applyAlignment="1">
      <alignment horizontal="center"/>
    </xf>
    <xf numFmtId="0" fontId="0" fillId="24" borderId="1" xfId="0" applyFill="1" applyBorder="1" applyAlignment="1">
      <alignment horizontal="center" vertical="center"/>
    </xf>
    <xf numFmtId="2" fontId="0" fillId="24" borderId="1" xfId="0" applyNumberFormat="1" applyFill="1" applyBorder="1" applyAlignment="1">
      <alignment horizontal="center" vertical="center"/>
    </xf>
    <xf numFmtId="2" fontId="0" fillId="24" borderId="1" xfId="0" applyNumberFormat="1" applyFill="1" applyBorder="1" applyAlignment="1">
      <alignment horizontal="center" vertical="center" shrinkToFit="1"/>
    </xf>
    <xf numFmtId="0" fontId="29"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29" fillId="25" borderId="1" xfId="0" applyFont="1" applyFill="1" applyBorder="1" applyAlignment="1">
      <alignment horizontal="center" vertical="center"/>
    </xf>
    <xf numFmtId="0" fontId="29" fillId="26" borderId="1" xfId="0" applyFont="1" applyFill="1" applyBorder="1" applyAlignment="1">
      <alignment horizontal="center" vertical="center" wrapText="1"/>
    </xf>
    <xf numFmtId="0" fontId="30" fillId="0" borderId="1" xfId="0" applyFont="1" applyBorder="1" applyAlignment="1">
      <alignment horizontal="center" vertical="center"/>
    </xf>
    <xf numFmtId="0" fontId="29" fillId="0" borderId="1" xfId="0" applyFont="1" applyBorder="1" applyAlignment="1">
      <alignment horizontal="center" vertical="center"/>
    </xf>
    <xf numFmtId="0" fontId="31" fillId="0" borderId="1" xfId="0" applyFont="1" applyBorder="1" applyAlignment="1">
      <alignment horizontal="center" vertical="center"/>
    </xf>
    <xf numFmtId="0" fontId="29" fillId="26" borderId="1" xfId="0" applyFont="1" applyFill="1" applyBorder="1" applyAlignment="1">
      <alignment horizontal="center" vertical="center"/>
    </xf>
    <xf numFmtId="0" fontId="32" fillId="9" borderId="1" xfId="0" applyFont="1" applyFill="1" applyBorder="1" applyAlignment="1">
      <alignment horizontal="center" vertical="center"/>
    </xf>
    <xf numFmtId="0" fontId="33" fillId="0" borderId="1" xfId="0" applyFont="1" applyBorder="1" applyAlignment="1">
      <alignment horizontal="center" vertical="center"/>
    </xf>
    <xf numFmtId="0" fontId="21" fillId="0" borderId="2" xfId="0" applyFont="1" applyBorder="1" applyAlignment="1">
      <alignment horizontal="left"/>
    </xf>
    <xf numFmtId="0" fontId="21" fillId="2" borderId="2" xfId="0" applyFont="1" applyFill="1" applyBorder="1" applyAlignment="1">
      <alignment horizontal="left"/>
    </xf>
    <xf numFmtId="1" fontId="0" fillId="0" borderId="3" xfId="0" applyNumberFormat="1" applyBorder="1" applyAlignment="1">
      <alignment horizontal="left"/>
    </xf>
    <xf numFmtId="0" fontId="21" fillId="2" borderId="4" xfId="0" applyFont="1" applyFill="1" applyBorder="1" applyAlignment="1">
      <alignment vertical="center"/>
    </xf>
    <xf numFmtId="0" fontId="21" fillId="2" borderId="5" xfId="0" applyFont="1" applyFill="1" applyBorder="1" applyAlignment="1">
      <alignment vertical="center"/>
    </xf>
    <xf numFmtId="44" fontId="21" fillId="2" borderId="5" xfId="4" applyFont="1" applyFill="1" applyBorder="1" applyAlignment="1">
      <alignment vertical="center" wrapText="1"/>
    </xf>
    <xf numFmtId="0" fontId="21" fillId="2" borderId="5" xfId="0" applyFont="1" applyFill="1" applyBorder="1" applyAlignment="1">
      <alignment vertical="center" wrapText="1"/>
    </xf>
    <xf numFmtId="2" fontId="21" fillId="2" borderId="5" xfId="0" applyNumberFormat="1" applyFont="1" applyFill="1" applyBorder="1" applyAlignment="1">
      <alignment vertical="center"/>
    </xf>
    <xf numFmtId="0" fontId="21" fillId="16" borderId="5" xfId="0" applyFont="1" applyFill="1" applyBorder="1" applyAlignment="1">
      <alignment horizontal="center" vertical="center"/>
    </xf>
    <xf numFmtId="17" fontId="21" fillId="2" borderId="5" xfId="4" applyNumberFormat="1" applyFont="1" applyFill="1" applyBorder="1" applyAlignment="1">
      <alignment vertical="center"/>
    </xf>
    <xf numFmtId="0" fontId="21" fillId="7" borderId="5" xfId="0" applyFont="1" applyFill="1" applyBorder="1" applyAlignment="1">
      <alignment vertical="center" wrapText="1"/>
    </xf>
    <xf numFmtId="0" fontId="0" fillId="16" borderId="5" xfId="0" applyFill="1" applyBorder="1" applyAlignment="1">
      <alignment vertical="center" wrapText="1"/>
    </xf>
    <xf numFmtId="0" fontId="21" fillId="17" borderId="5" xfId="0" applyFont="1" applyFill="1" applyBorder="1" applyAlignment="1">
      <alignment vertical="center" wrapText="1"/>
    </xf>
    <xf numFmtId="0" fontId="5" fillId="20" borderId="5" xfId="0" applyFont="1" applyFill="1" applyBorder="1" applyAlignment="1">
      <alignment horizontal="center" vertical="center"/>
    </xf>
    <xf numFmtId="0" fontId="5" fillId="18" borderId="5" xfId="0" applyFont="1" applyFill="1" applyBorder="1" applyAlignment="1">
      <alignment horizontal="center" vertical="center"/>
    </xf>
    <xf numFmtId="0" fontId="5" fillId="18" borderId="6" xfId="0" applyFont="1" applyFill="1" applyBorder="1" applyAlignment="1">
      <alignment horizontal="center" vertical="center"/>
    </xf>
    <xf numFmtId="0" fontId="21" fillId="2" borderId="10" xfId="0" applyFont="1" applyFill="1" applyBorder="1" applyAlignment="1">
      <alignment horizontal="left"/>
    </xf>
    <xf numFmtId="0" fontId="21" fillId="2" borderId="7" xfId="0" applyFont="1" applyFill="1" applyBorder="1" applyAlignment="1">
      <alignment horizontal="left"/>
    </xf>
    <xf numFmtId="0" fontId="22" fillId="2" borderId="7" xfId="0" applyFont="1" applyFill="1" applyBorder="1" applyAlignment="1">
      <alignment horizontal="left"/>
    </xf>
    <xf numFmtId="2" fontId="21" fillId="2" borderId="7" xfId="0" applyNumberFormat="1" applyFont="1" applyFill="1" applyBorder="1" applyAlignment="1">
      <alignment horizontal="left"/>
    </xf>
    <xf numFmtId="0" fontId="21" fillId="0" borderId="7" xfId="0" applyFont="1" applyBorder="1" applyAlignment="1">
      <alignment horizontal="left"/>
    </xf>
    <xf numFmtId="49" fontId="21" fillId="2" borderId="7" xfId="0" applyNumberFormat="1" applyFont="1" applyFill="1" applyBorder="1" applyAlignment="1">
      <alignment horizontal="center"/>
    </xf>
    <xf numFmtId="0" fontId="21" fillId="2" borderId="7" xfId="0" applyFont="1" applyFill="1" applyBorder="1" applyAlignment="1">
      <alignment horizontal="center" vertical="top"/>
    </xf>
    <xf numFmtId="0" fontId="0" fillId="2" borderId="7" xfId="0" applyFill="1" applyBorder="1" applyAlignment="1">
      <alignment horizontal="left"/>
    </xf>
    <xf numFmtId="0" fontId="0" fillId="2" borderId="7" xfId="0" applyFill="1" applyBorder="1" applyAlignment="1">
      <alignment horizontal="left" vertical="center"/>
    </xf>
    <xf numFmtId="1" fontId="0" fillId="0" borderId="7" xfId="0" applyNumberFormat="1" applyBorder="1" applyAlignment="1">
      <alignment horizontal="left"/>
    </xf>
    <xf numFmtId="1" fontId="0" fillId="0" borderId="8" xfId="0" applyNumberFormat="1" applyBorder="1" applyAlignment="1">
      <alignment horizontal="left"/>
    </xf>
    <xf numFmtId="1" fontId="0" fillId="2" borderId="1" xfId="0" applyNumberFormat="1" applyFill="1" applyBorder="1" applyAlignment="1">
      <alignment horizontal="left"/>
    </xf>
    <xf numFmtId="1" fontId="10" fillId="2" borderId="1" xfId="0" applyNumberFormat="1" applyFont="1" applyFill="1" applyBorder="1" applyAlignment="1">
      <alignment horizontal="left"/>
    </xf>
    <xf numFmtId="1" fontId="0" fillId="0" borderId="5" xfId="0" applyNumberFormat="1" applyBorder="1" applyAlignment="1">
      <alignment horizontal="left"/>
    </xf>
    <xf numFmtId="1" fontId="0" fillId="2" borderId="7" xfId="0" applyNumberFormat="1" applyFill="1" applyBorder="1" applyAlignment="1">
      <alignment horizontal="left"/>
    </xf>
    <xf numFmtId="0" fontId="0" fillId="18" borderId="5" xfId="0" applyFill="1" applyBorder="1" applyAlignment="1">
      <alignment vertical="center" wrapText="1"/>
    </xf>
    <xf numFmtId="0" fontId="0" fillId="18" borderId="1" xfId="0" applyFill="1" applyBorder="1" applyAlignment="1">
      <alignment horizontal="left" vertical="center"/>
    </xf>
    <xf numFmtId="0" fontId="0" fillId="18" borderId="7" xfId="0" applyFill="1" applyBorder="1" applyAlignment="1">
      <alignment horizontal="left" vertical="center"/>
    </xf>
    <xf numFmtId="0" fontId="5" fillId="18" borderId="1" xfId="0" applyFont="1" applyFill="1" applyBorder="1" applyAlignment="1">
      <alignment horizontal="left" vertical="center"/>
    </xf>
    <xf numFmtId="0" fontId="21" fillId="27" borderId="5" xfId="0" applyFont="1" applyFill="1" applyBorder="1" applyAlignment="1">
      <alignment vertical="center" wrapText="1"/>
    </xf>
    <xf numFmtId="0" fontId="21" fillId="27" borderId="1" xfId="0" applyFont="1" applyFill="1" applyBorder="1" applyAlignment="1">
      <alignment horizontal="left"/>
    </xf>
    <xf numFmtId="0" fontId="21" fillId="27" borderId="7" xfId="0" applyFont="1" applyFill="1" applyBorder="1" applyAlignment="1">
      <alignment horizontal="left"/>
    </xf>
    <xf numFmtId="0" fontId="5" fillId="27" borderId="1" xfId="0" applyFont="1" applyFill="1" applyBorder="1" applyAlignment="1">
      <alignment horizontal="left"/>
    </xf>
    <xf numFmtId="0" fontId="0" fillId="27" borderId="0" xfId="0" applyFill="1"/>
    <xf numFmtId="43" fontId="0" fillId="0" borderId="0" xfId="0" applyNumberFormat="1"/>
    <xf numFmtId="43" fontId="0" fillId="0" borderId="1" xfId="0" applyNumberFormat="1" applyBorder="1"/>
    <xf numFmtId="169" fontId="15" fillId="0" borderId="1" xfId="3" applyNumberFormat="1" applyFont="1" applyFill="1" applyBorder="1" applyAlignment="1" applyProtection="1">
      <alignment horizontal="right" vertical="top" readingOrder="1"/>
      <protection locked="0"/>
    </xf>
    <xf numFmtId="166" fontId="5" fillId="0" borderId="1" xfId="0" applyNumberFormat="1" applyFont="1" applyBorder="1"/>
    <xf numFmtId="0" fontId="5" fillId="2" borderId="1" xfId="0" applyFont="1" applyFill="1" applyBorder="1"/>
    <xf numFmtId="0" fontId="5" fillId="0" borderId="0" xfId="0" applyFont="1"/>
    <xf numFmtId="43" fontId="5" fillId="0" borderId="0" xfId="0" applyNumberFormat="1" applyFont="1"/>
    <xf numFmtId="166" fontId="5" fillId="0" borderId="0" xfId="0" applyNumberFormat="1" applyFont="1"/>
    <xf numFmtId="0" fontId="0" fillId="20" borderId="1" xfId="0" applyFill="1" applyBorder="1"/>
    <xf numFmtId="9" fontId="5" fillId="20" borderId="1" xfId="2" applyFont="1" applyFill="1" applyBorder="1"/>
    <xf numFmtId="0" fontId="0" fillId="0" borderId="17" xfId="0" applyBorder="1"/>
    <xf numFmtId="0" fontId="25" fillId="18" borderId="1" xfId="6" applyFont="1" applyFill="1" applyBorder="1" applyAlignment="1">
      <alignment horizontal="center"/>
    </xf>
    <xf numFmtId="0" fontId="21" fillId="0" borderId="0" xfId="0" applyFont="1" applyAlignment="1">
      <alignment horizontal="center" vertical="top"/>
    </xf>
    <xf numFmtId="0" fontId="21" fillId="2" borderId="0" xfId="0" quotePrefix="1" applyFont="1" applyFill="1" applyAlignment="1">
      <alignment horizontal="center" vertical="top"/>
    </xf>
    <xf numFmtId="0" fontId="34" fillId="0" borderId="0" xfId="0" applyFont="1" applyAlignment="1">
      <alignment vertical="center"/>
    </xf>
    <xf numFmtId="0" fontId="29" fillId="2" borderId="18" xfId="0" applyFont="1" applyFill="1" applyBorder="1" applyAlignment="1">
      <alignment horizontal="center" vertical="center"/>
    </xf>
    <xf numFmtId="0" fontId="29" fillId="2" borderId="19" xfId="0" applyFont="1" applyFill="1" applyBorder="1" applyAlignment="1">
      <alignment horizontal="center" vertical="center"/>
    </xf>
    <xf numFmtId="0" fontId="29" fillId="2" borderId="19" xfId="0" applyFont="1" applyFill="1" applyBorder="1" applyAlignment="1">
      <alignment horizontal="center" vertical="center" wrapText="1"/>
    </xf>
    <xf numFmtId="0" fontId="29" fillId="25" borderId="19" xfId="0" applyFont="1" applyFill="1" applyBorder="1" applyAlignment="1">
      <alignment horizontal="center" vertical="center"/>
    </xf>
    <xf numFmtId="0" fontId="29" fillId="21" borderId="20" xfId="0" applyFont="1" applyFill="1" applyBorder="1" applyAlignment="1">
      <alignment horizontal="center" vertical="center" wrapText="1"/>
    </xf>
    <xf numFmtId="0" fontId="29" fillId="25" borderId="21" xfId="0" applyFont="1" applyFill="1" applyBorder="1" applyAlignment="1">
      <alignment horizontal="center" vertical="center"/>
    </xf>
    <xf numFmtId="0" fontId="29" fillId="25" borderId="22" xfId="0" applyFont="1" applyFill="1" applyBorder="1" applyAlignment="1">
      <alignment horizontal="center" vertical="center"/>
    </xf>
    <xf numFmtId="0" fontId="29" fillId="0" borderId="23" xfId="0" applyFont="1" applyBorder="1" applyAlignment="1">
      <alignment horizontal="center" vertical="center"/>
    </xf>
    <xf numFmtId="0" fontId="29" fillId="0" borderId="24" xfId="0" applyFont="1" applyBorder="1" applyAlignment="1">
      <alignment horizontal="center" vertical="center"/>
    </xf>
    <xf numFmtId="0" fontId="29" fillId="21" borderId="25" xfId="0" applyFont="1" applyFill="1" applyBorder="1" applyAlignment="1">
      <alignment horizontal="center" vertical="center"/>
    </xf>
    <xf numFmtId="0" fontId="29" fillId="0" borderId="26" xfId="0" applyFont="1" applyBorder="1" applyAlignment="1">
      <alignment horizontal="center" vertical="center"/>
    </xf>
    <xf numFmtId="0" fontId="29" fillId="0" borderId="0" xfId="0" applyFont="1" applyAlignment="1">
      <alignment horizontal="center" vertical="center"/>
    </xf>
    <xf numFmtId="0" fontId="29" fillId="0" borderId="22" xfId="0" applyFont="1" applyBorder="1" applyAlignment="1">
      <alignment horizontal="center" vertical="center"/>
    </xf>
    <xf numFmtId="0" fontId="29" fillId="23" borderId="23" xfId="0" applyFont="1" applyFill="1" applyBorder="1" applyAlignment="1">
      <alignment horizontal="center" vertical="center"/>
    </xf>
    <xf numFmtId="0" fontId="29" fillId="23" borderId="24" xfId="0" applyFont="1" applyFill="1" applyBorder="1" applyAlignment="1">
      <alignment horizontal="center" vertical="center"/>
    </xf>
    <xf numFmtId="0" fontId="29" fillId="23" borderId="0" xfId="0" applyFont="1" applyFill="1" applyAlignment="1">
      <alignment horizontal="center" vertical="center"/>
    </xf>
    <xf numFmtId="0" fontId="29" fillId="21" borderId="24" xfId="0" applyFont="1" applyFill="1" applyBorder="1" applyAlignment="1">
      <alignment horizontal="center" vertical="center"/>
    </xf>
    <xf numFmtId="0" fontId="27" fillId="0" borderId="0" xfId="0" applyFont="1"/>
    <xf numFmtId="0" fontId="29" fillId="2" borderId="0" xfId="0" applyFont="1" applyFill="1" applyAlignment="1">
      <alignment horizontal="center" vertical="center"/>
    </xf>
    <xf numFmtId="0" fontId="29" fillId="23" borderId="22" xfId="0" applyFont="1" applyFill="1" applyBorder="1" applyAlignment="1">
      <alignment horizontal="center" vertical="center"/>
    </xf>
    <xf numFmtId="0" fontId="29" fillId="0" borderId="21" xfId="0" applyFont="1" applyBorder="1" applyAlignment="1">
      <alignment horizontal="center" vertical="center"/>
    </xf>
    <xf numFmtId="0" fontId="35" fillId="23" borderId="24" xfId="0" applyFont="1" applyFill="1" applyBorder="1" applyAlignment="1">
      <alignment horizontal="center" vertical="center"/>
    </xf>
    <xf numFmtId="0" fontId="29" fillId="0" borderId="27" xfId="0" applyFont="1" applyBorder="1" applyAlignment="1">
      <alignment horizontal="center" vertical="center"/>
    </xf>
    <xf numFmtId="0" fontId="29" fillId="0" borderId="28" xfId="0" applyFont="1" applyBorder="1" applyAlignment="1">
      <alignment horizontal="center" vertical="center"/>
    </xf>
    <xf numFmtId="0" fontId="29" fillId="21" borderId="29" xfId="0" applyFont="1" applyFill="1" applyBorder="1" applyAlignment="1">
      <alignment horizontal="center" vertical="center"/>
    </xf>
    <xf numFmtId="0" fontId="33" fillId="0" borderId="26" xfId="0" applyFont="1" applyBorder="1" applyAlignment="1">
      <alignment horizontal="center" vertical="center"/>
    </xf>
    <xf numFmtId="0" fontId="33" fillId="0" borderId="24" xfId="0" applyFont="1" applyBorder="1" applyAlignment="1">
      <alignment horizontal="center" vertical="center"/>
    </xf>
    <xf numFmtId="0" fontId="27" fillId="0" borderId="0" xfId="0" applyFont="1" applyAlignment="1">
      <alignment vertical="center"/>
    </xf>
    <xf numFmtId="0" fontId="36" fillId="0" borderId="0" xfId="0" applyFont="1" applyAlignment="1">
      <alignment horizontal="center" vertical="center"/>
    </xf>
    <xf numFmtId="0" fontId="29" fillId="21" borderId="19" xfId="0" applyFont="1" applyFill="1" applyBorder="1" applyAlignment="1">
      <alignment horizontal="center" vertical="center" wrapText="1"/>
    </xf>
    <xf numFmtId="0" fontId="29" fillId="2" borderId="24" xfId="0" applyFont="1" applyFill="1" applyBorder="1" applyAlignment="1">
      <alignment horizontal="center" vertical="center"/>
    </xf>
    <xf numFmtId="0" fontId="14" fillId="10" borderId="1" xfId="0" applyFont="1" applyFill="1" applyBorder="1" applyAlignment="1">
      <alignment wrapText="1"/>
    </xf>
    <xf numFmtId="0" fontId="0" fillId="0" borderId="1" xfId="0" applyBorder="1" applyAlignment="1">
      <alignment wrapText="1"/>
    </xf>
    <xf numFmtId="0" fontId="5" fillId="15" borderId="1" xfId="0" applyFont="1" applyFill="1" applyBorder="1" applyAlignment="1">
      <alignment horizontal="center" vertical="center"/>
    </xf>
    <xf numFmtId="1" fontId="0" fillId="0" borderId="1" xfId="0" applyNumberFormat="1" applyBorder="1" applyAlignment="1">
      <alignment horizontal="left" indent="5"/>
    </xf>
    <xf numFmtId="0" fontId="28" fillId="28" borderId="21" xfId="0" applyFont="1" applyFill="1" applyBorder="1" applyAlignment="1">
      <alignment vertical="center"/>
    </xf>
    <xf numFmtId="0" fontId="28" fillId="28" borderId="22" xfId="0" applyFont="1" applyFill="1" applyBorder="1" applyAlignment="1">
      <alignment vertical="center" wrapText="1"/>
    </xf>
    <xf numFmtId="0" fontId="28" fillId="28" borderId="22" xfId="0" applyFont="1" applyFill="1" applyBorder="1" applyAlignment="1">
      <alignment vertical="center"/>
    </xf>
    <xf numFmtId="0" fontId="20" fillId="0" borderId="26" xfId="0" applyFont="1" applyBorder="1" applyAlignment="1">
      <alignment vertical="center" wrapText="1"/>
    </xf>
    <xf numFmtId="0" fontId="20" fillId="0" borderId="24" xfId="0" applyFont="1" applyBorder="1" applyAlignment="1">
      <alignment vertical="center" wrapText="1"/>
    </xf>
    <xf numFmtId="0" fontId="20" fillId="0" borderId="24" xfId="0" applyFont="1" applyBorder="1" applyAlignment="1">
      <alignment vertical="center"/>
    </xf>
    <xf numFmtId="0" fontId="20" fillId="0" borderId="24" xfId="0" applyFont="1" applyBorder="1" applyAlignment="1">
      <alignment horizontal="right" vertical="center"/>
    </xf>
    <xf numFmtId="0" fontId="27" fillId="0" borderId="0" xfId="0" applyFont="1" applyAlignment="1">
      <alignment wrapText="1"/>
    </xf>
    <xf numFmtId="0" fontId="20" fillId="0" borderId="0" xfId="0" applyFont="1" applyAlignment="1">
      <alignment horizontal="right" vertical="center"/>
    </xf>
    <xf numFmtId="0" fontId="26" fillId="29" borderId="1" xfId="0" applyFont="1" applyFill="1" applyBorder="1" applyAlignment="1">
      <alignment horizontal="center" vertical="center"/>
    </xf>
    <xf numFmtId="0" fontId="20" fillId="0" borderId="1" xfId="0" applyFont="1" applyBorder="1" applyAlignment="1">
      <alignment vertical="center" wrapText="1"/>
    </xf>
    <xf numFmtId="0" fontId="27" fillId="0" borderId="1" xfId="0" applyFont="1" applyBorder="1" applyAlignment="1">
      <alignment wrapText="1"/>
    </xf>
    <xf numFmtId="0" fontId="20" fillId="0" borderId="1" xfId="0" applyFont="1" applyBorder="1" applyAlignment="1">
      <alignment horizontal="right" vertical="center" wrapText="1"/>
    </xf>
    <xf numFmtId="0" fontId="0" fillId="0" borderId="2" xfId="0" quotePrefix="1" applyBorder="1"/>
    <xf numFmtId="0" fontId="14" fillId="4" borderId="4" xfId="0" applyFont="1" applyFill="1" applyBorder="1"/>
    <xf numFmtId="0" fontId="14" fillId="4" borderId="5" xfId="0" applyFont="1" applyFill="1" applyBorder="1"/>
    <xf numFmtId="0" fontId="14" fillId="4" borderId="6" xfId="0" applyFont="1" applyFill="1" applyBorder="1"/>
    <xf numFmtId="1" fontId="20" fillId="0" borderId="1" xfId="0" applyNumberFormat="1" applyFont="1" applyBorder="1" applyAlignment="1">
      <alignment vertical="center"/>
    </xf>
    <xf numFmtId="0" fontId="26" fillId="0" borderId="1" xfId="0" applyFont="1" applyBorder="1" applyAlignment="1">
      <alignment horizontal="right" vertical="center" wrapText="1"/>
    </xf>
    <xf numFmtId="0" fontId="26" fillId="0" borderId="1" xfId="0" applyFont="1" applyBorder="1" applyAlignment="1">
      <alignment horizontal="right" vertical="center"/>
    </xf>
    <xf numFmtId="1" fontId="26" fillId="0" borderId="1" xfId="0" applyNumberFormat="1" applyFont="1" applyBorder="1" applyAlignment="1">
      <alignment horizontal="right" vertical="center"/>
    </xf>
    <xf numFmtId="0" fontId="29" fillId="2" borderId="21" xfId="0" applyFont="1" applyFill="1" applyBorder="1" applyAlignment="1">
      <alignment horizontal="center" vertical="center"/>
    </xf>
    <xf numFmtId="0" fontId="29" fillId="2" borderId="22" xfId="0" applyFont="1" applyFill="1" applyBorder="1" applyAlignment="1">
      <alignment horizontal="center" vertical="center"/>
    </xf>
    <xf numFmtId="0" fontId="29" fillId="2" borderId="22" xfId="0" applyFont="1" applyFill="1" applyBorder="1" applyAlignment="1">
      <alignment horizontal="center" vertical="center" wrapText="1"/>
    </xf>
    <xf numFmtId="0" fontId="29" fillId="21" borderId="22" xfId="0" applyFont="1" applyFill="1" applyBorder="1" applyAlignment="1">
      <alignment horizontal="center" vertical="center" wrapText="1"/>
    </xf>
    <xf numFmtId="0" fontId="29" fillId="23" borderId="26" xfId="0" applyFont="1" applyFill="1" applyBorder="1" applyAlignment="1">
      <alignment horizontal="center" vertical="center"/>
    </xf>
    <xf numFmtId="0" fontId="31" fillId="0" borderId="26" xfId="0" applyFont="1" applyBorder="1" applyAlignment="1">
      <alignment horizontal="center" vertical="center"/>
    </xf>
    <xf numFmtId="0" fontId="31" fillId="0" borderId="24" xfId="0" applyFont="1" applyBorder="1" applyAlignment="1">
      <alignment horizontal="center" vertical="center"/>
    </xf>
    <xf numFmtId="0" fontId="35" fillId="0" borderId="26" xfId="0" applyFont="1" applyBorder="1" applyAlignment="1">
      <alignment horizontal="center" vertical="center"/>
    </xf>
    <xf numFmtId="0" fontId="35" fillId="0" borderId="24" xfId="0" applyFont="1" applyBorder="1" applyAlignment="1">
      <alignment horizontal="center" vertical="center"/>
    </xf>
    <xf numFmtId="0" fontId="25" fillId="0" borderId="0" xfId="6" applyFont="1" applyAlignment="1">
      <alignment horizontal="center"/>
    </xf>
    <xf numFmtId="0" fontId="10" fillId="0" borderId="0" xfId="0" applyFont="1"/>
    <xf numFmtId="0" fontId="0" fillId="0" borderId="3" xfId="0" applyBorder="1" applyAlignment="1">
      <alignment horizontal="left" vertical="center"/>
    </xf>
    <xf numFmtId="0" fontId="0" fillId="2" borderId="3" xfId="0" applyFill="1" applyBorder="1" applyAlignment="1">
      <alignment horizontal="left" vertical="center"/>
    </xf>
    <xf numFmtId="0" fontId="21" fillId="0" borderId="10" xfId="0" applyFont="1" applyBorder="1" applyAlignment="1">
      <alignment horizontal="left"/>
    </xf>
    <xf numFmtId="0" fontId="22" fillId="0" borderId="7" xfId="0" applyFont="1" applyBorder="1" applyAlignment="1">
      <alignment horizontal="left"/>
    </xf>
    <xf numFmtId="2" fontId="21" fillId="0" borderId="7" xfId="0" applyNumberFormat="1" applyFont="1" applyBorder="1" applyAlignment="1">
      <alignment horizontal="left"/>
    </xf>
    <xf numFmtId="0" fontId="0" fillId="0" borderId="7" xfId="0" applyBorder="1" applyAlignment="1">
      <alignment horizontal="left"/>
    </xf>
    <xf numFmtId="0" fontId="0" fillId="0" borderId="8" xfId="0" applyBorder="1" applyAlignment="1">
      <alignment horizontal="left" vertical="center"/>
    </xf>
    <xf numFmtId="44" fontId="38" fillId="30" borderId="5" xfId="4" applyFont="1" applyFill="1" applyBorder="1" applyAlignment="1">
      <alignment vertical="center" wrapText="1"/>
    </xf>
    <xf numFmtId="0" fontId="38" fillId="30" borderId="5" xfId="0" applyFont="1" applyFill="1" applyBorder="1" applyAlignment="1">
      <alignment vertical="center" wrapText="1"/>
    </xf>
    <xf numFmtId="0" fontId="37" fillId="30" borderId="5" xfId="0" applyFont="1" applyFill="1" applyBorder="1" applyAlignment="1">
      <alignment vertical="center" wrapText="1"/>
    </xf>
    <xf numFmtId="0" fontId="37" fillId="30" borderId="6" xfId="0" applyFont="1" applyFill="1" applyBorder="1" applyAlignment="1">
      <alignment vertical="center" wrapText="1"/>
    </xf>
    <xf numFmtId="2" fontId="21" fillId="2" borderId="1" xfId="0" applyNumberFormat="1" applyFont="1" applyFill="1" applyBorder="1" applyAlignment="1">
      <alignment horizontal="left" vertical="center"/>
    </xf>
    <xf numFmtId="0" fontId="21" fillId="2" borderId="1" xfId="0" applyFont="1" applyFill="1" applyBorder="1" applyAlignment="1">
      <alignment horizontal="left" vertical="center"/>
    </xf>
    <xf numFmtId="0" fontId="21" fillId="0" borderId="1" xfId="0" quotePrefix="1" applyFont="1" applyBorder="1" applyAlignment="1">
      <alignment horizontal="left"/>
    </xf>
    <xf numFmtId="0" fontId="33" fillId="2" borderId="1" xfId="0" applyFont="1" applyFill="1" applyBorder="1" applyAlignment="1">
      <alignment horizontal="center" vertical="center"/>
    </xf>
    <xf numFmtId="0" fontId="39" fillId="0" borderId="1" xfId="0" applyFont="1" applyBorder="1" applyAlignment="1">
      <alignment horizontal="center" vertical="center"/>
    </xf>
    <xf numFmtId="0" fontId="40" fillId="0" borderId="1" xfId="0" applyFont="1" applyBorder="1" applyAlignment="1">
      <alignment horizontal="center" vertical="center"/>
    </xf>
    <xf numFmtId="0" fontId="40" fillId="2" borderId="1" xfId="0" applyFont="1" applyFill="1" applyBorder="1" applyAlignment="1">
      <alignment horizontal="center" vertical="center"/>
    </xf>
    <xf numFmtId="0" fontId="35" fillId="0" borderId="1"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vertical="center"/>
    </xf>
    <xf numFmtId="0" fontId="29" fillId="0" borderId="1" xfId="0" quotePrefix="1" applyFont="1" applyBorder="1" applyAlignment="1">
      <alignment horizontal="center" vertical="center"/>
    </xf>
    <xf numFmtId="0" fontId="29" fillId="0" borderId="31" xfId="0" applyFont="1" applyBorder="1" applyAlignment="1">
      <alignment horizontal="center" vertical="center"/>
    </xf>
    <xf numFmtId="0" fontId="38" fillId="30" borderId="4" xfId="0" applyFont="1" applyFill="1" applyBorder="1" applyAlignment="1">
      <alignment vertical="center" wrapText="1"/>
    </xf>
    <xf numFmtId="2" fontId="38" fillId="30" borderId="5" xfId="0" applyNumberFormat="1" applyFont="1" applyFill="1" applyBorder="1" applyAlignment="1">
      <alignment vertical="center" wrapText="1"/>
    </xf>
    <xf numFmtId="0" fontId="38" fillId="30" borderId="5" xfId="0" applyFont="1" applyFill="1" applyBorder="1" applyAlignment="1">
      <alignment horizontal="center" vertical="center" wrapText="1"/>
    </xf>
    <xf numFmtId="17" fontId="38" fillId="30" borderId="5" xfId="4" applyNumberFormat="1" applyFont="1" applyFill="1" applyBorder="1" applyAlignment="1">
      <alignment vertical="center" wrapText="1"/>
    </xf>
    <xf numFmtId="0" fontId="9" fillId="0" borderId="9" xfId="0" applyFont="1" applyBorder="1"/>
    <xf numFmtId="1" fontId="21" fillId="0" borderId="5" xfId="0" applyNumberFormat="1" applyFont="1" applyBorder="1" applyAlignment="1">
      <alignment horizontal="left"/>
    </xf>
    <xf numFmtId="1" fontId="21" fillId="0" borderId="1" xfId="0" applyNumberFormat="1" applyFont="1" applyBorder="1" applyAlignment="1">
      <alignment horizontal="left"/>
    </xf>
    <xf numFmtId="1" fontId="21" fillId="0" borderId="7" xfId="0" applyNumberFormat="1" applyFont="1" applyBorder="1" applyAlignment="1">
      <alignment horizontal="left"/>
    </xf>
    <xf numFmtId="0" fontId="0" fillId="0" borderId="10" xfId="0" applyBorder="1"/>
    <xf numFmtId="0" fontId="0" fillId="0" borderId="3" xfId="0" applyBorder="1" applyAlignment="1">
      <alignment horizontal="left"/>
    </xf>
    <xf numFmtId="0" fontId="21" fillId="17" borderId="6" xfId="0" applyFont="1" applyFill="1" applyBorder="1" applyAlignment="1">
      <alignment vertical="center" wrapText="1"/>
    </xf>
    <xf numFmtId="0" fontId="21" fillId="0" borderId="7" xfId="0" applyFont="1" applyBorder="1" applyAlignment="1">
      <alignment horizontal="center"/>
    </xf>
    <xf numFmtId="0" fontId="0" fillId="0" borderId="7" xfId="0" applyBorder="1" applyAlignment="1">
      <alignment horizontal="left" vertical="center"/>
    </xf>
    <xf numFmtId="0" fontId="0" fillId="0" borderId="7" xfId="0" applyBorder="1"/>
    <xf numFmtId="0" fontId="29" fillId="2" borderId="4" xfId="0" applyFont="1" applyFill="1" applyBorder="1" applyAlignment="1">
      <alignment horizontal="center" vertical="center"/>
    </xf>
    <xf numFmtId="0" fontId="29" fillId="2" borderId="5" xfId="0" applyFont="1" applyFill="1" applyBorder="1" applyAlignment="1">
      <alignment horizontal="center" vertical="center"/>
    </xf>
    <xf numFmtId="0" fontId="0" fillId="0" borderId="5" xfId="0" applyBorder="1"/>
    <xf numFmtId="1" fontId="21" fillId="0" borderId="0" xfId="0" applyNumberFormat="1" applyFont="1" applyAlignment="1">
      <alignment horizontal="left"/>
    </xf>
    <xf numFmtId="0" fontId="41" fillId="0" borderId="1" xfId="6" applyFont="1" applyBorder="1"/>
    <xf numFmtId="0" fontId="43" fillId="31" borderId="1" xfId="6" applyFont="1" applyFill="1" applyBorder="1" applyAlignment="1">
      <alignment horizontal="center" vertical="center" wrapText="1"/>
    </xf>
    <xf numFmtId="0" fontId="44" fillId="0" borderId="1" xfId="6" applyFont="1" applyBorder="1" applyAlignment="1">
      <alignment horizontal="left" vertical="center"/>
    </xf>
    <xf numFmtId="0" fontId="44" fillId="0" borderId="1" xfId="6" applyFont="1" applyBorder="1" applyAlignment="1">
      <alignment vertical="center"/>
    </xf>
    <xf numFmtId="171" fontId="41" fillId="0" borderId="1" xfId="7" applyNumberFormat="1" applyFont="1" applyFill="1" applyBorder="1" applyAlignment="1" applyProtection="1"/>
    <xf numFmtId="0" fontId="20" fillId="0" borderId="1" xfId="0" applyFont="1" applyBorder="1" applyAlignment="1">
      <alignment horizontal="center" vertical="center" wrapText="1"/>
    </xf>
    <xf numFmtId="0" fontId="46" fillId="28" borderId="1" xfId="0" applyFont="1" applyFill="1" applyBorder="1" applyAlignment="1">
      <alignment horizontal="center" vertical="center" wrapText="1"/>
    </xf>
    <xf numFmtId="0" fontId="20" fillId="28"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50" fillId="0" borderId="1" xfId="0" applyFont="1" applyBorder="1" applyAlignment="1">
      <alignment horizontal="center" vertical="center" wrapText="1"/>
    </xf>
    <xf numFmtId="166" fontId="47" fillId="0" borderId="1" xfId="3" applyNumberFormat="1" applyFont="1" applyBorder="1" applyAlignment="1">
      <alignment horizontal="center" vertical="center" wrapText="1"/>
    </xf>
    <xf numFmtId="166" fontId="49" fillId="0" borderId="1" xfId="3" applyNumberFormat="1" applyFont="1" applyBorder="1" applyAlignment="1">
      <alignment horizontal="center" vertical="center" wrapText="1"/>
    </xf>
    <xf numFmtId="0" fontId="46" fillId="28" borderId="31" xfId="0" applyFont="1" applyFill="1" applyBorder="1" applyAlignment="1">
      <alignment horizontal="center" vertical="center" wrapText="1"/>
    </xf>
    <xf numFmtId="0" fontId="35" fillId="0" borderId="0" xfId="0" applyFont="1" applyAlignment="1">
      <alignment horizontal="center" vertical="center"/>
    </xf>
    <xf numFmtId="0" fontId="21" fillId="2" borderId="0" xfId="0" applyFont="1" applyFill="1" applyAlignment="1">
      <alignment horizontal="left"/>
    </xf>
    <xf numFmtId="1" fontId="0" fillId="0" borderId="5" xfId="0" applyNumberFormat="1" applyBorder="1"/>
    <xf numFmtId="0" fontId="51" fillId="0" borderId="1" xfId="0" applyFont="1" applyBorder="1" applyAlignment="1">
      <alignment vertical="center" wrapText="1"/>
    </xf>
    <xf numFmtId="0" fontId="52" fillId="0" borderId="1" xfId="0" applyFont="1" applyBorder="1" applyAlignment="1">
      <alignment horizontal="right" vertical="center"/>
    </xf>
    <xf numFmtId="0" fontId="51" fillId="2" borderId="1" xfId="0" applyFont="1" applyFill="1" applyBorder="1" applyAlignment="1">
      <alignment vertical="center" wrapText="1"/>
    </xf>
    <xf numFmtId="0" fontId="51" fillId="0" borderId="5" xfId="0" applyFont="1" applyBorder="1" applyAlignment="1">
      <alignment vertical="center" wrapText="1"/>
    </xf>
    <xf numFmtId="0" fontId="52" fillId="0" borderId="5" xfId="0" applyFont="1" applyBorder="1" applyAlignment="1">
      <alignment horizontal="right" vertical="center"/>
    </xf>
    <xf numFmtId="0" fontId="51" fillId="0" borderId="7" xfId="0" applyFont="1" applyBorder="1" applyAlignment="1">
      <alignment vertical="center" wrapText="1"/>
    </xf>
    <xf numFmtId="0" fontId="52" fillId="0" borderId="7" xfId="0" applyFont="1" applyBorder="1" applyAlignment="1">
      <alignment horizontal="right" vertical="center"/>
    </xf>
    <xf numFmtId="0" fontId="0" fillId="0" borderId="32" xfId="0" applyBorder="1"/>
    <xf numFmtId="0" fontId="0" fillId="0" borderId="8" xfId="0" applyBorder="1"/>
    <xf numFmtId="0" fontId="5" fillId="2" borderId="4" xfId="0" applyFont="1" applyFill="1" applyBorder="1"/>
    <xf numFmtId="0" fontId="5" fillId="2" borderId="5" xfId="0" applyFont="1" applyFill="1" applyBorder="1"/>
    <xf numFmtId="0" fontId="5" fillId="2" borderId="6" xfId="0" applyFont="1" applyFill="1" applyBorder="1"/>
    <xf numFmtId="0" fontId="5" fillId="0" borderId="2" xfId="0" applyFont="1" applyBorder="1"/>
    <xf numFmtId="0" fontId="5" fillId="0" borderId="1" xfId="0" applyFont="1" applyBorder="1"/>
    <xf numFmtId="0" fontId="5" fillId="18" borderId="2" xfId="0" applyFont="1" applyFill="1" applyBorder="1"/>
    <xf numFmtId="0" fontId="5" fillId="18" borderId="1" xfId="0" applyFont="1" applyFill="1" applyBorder="1"/>
    <xf numFmtId="0" fontId="0" fillId="18" borderId="1" xfId="0" applyFill="1" applyBorder="1"/>
    <xf numFmtId="0" fontId="0" fillId="18" borderId="3" xfId="0" applyFill="1" applyBorder="1"/>
    <xf numFmtId="0" fontId="5" fillId="0" borderId="10" xfId="0" applyFont="1" applyBorder="1"/>
    <xf numFmtId="0" fontId="5" fillId="0" borderId="7" xfId="0" applyFont="1" applyBorder="1"/>
    <xf numFmtId="2" fontId="0" fillId="0" borderId="33" xfId="0" applyNumberFormat="1" applyBorder="1"/>
    <xf numFmtId="2" fontId="0" fillId="0" borderId="6" xfId="0" applyNumberFormat="1" applyBorder="1"/>
    <xf numFmtId="2" fontId="0" fillId="0" borderId="16" xfId="0" applyNumberFormat="1" applyBorder="1"/>
    <xf numFmtId="2" fontId="0" fillId="0" borderId="8" xfId="0" applyNumberFormat="1" applyBorder="1"/>
    <xf numFmtId="2" fontId="0" fillId="0" borderId="15" xfId="0" applyNumberFormat="1" applyBorder="1"/>
    <xf numFmtId="0" fontId="5" fillId="0" borderId="16" xfId="0" applyFont="1" applyBorder="1" applyAlignment="1">
      <alignment horizontal="center" vertical="center" wrapText="1"/>
    </xf>
    <xf numFmtId="0" fontId="5" fillId="0" borderId="16" xfId="0" applyFont="1" applyBorder="1" applyAlignment="1">
      <alignment horizontal="center" vertical="center"/>
    </xf>
    <xf numFmtId="0" fontId="12" fillId="15" borderId="1" xfId="0" applyFont="1" applyFill="1" applyBorder="1" applyAlignment="1">
      <alignment horizontal="center" vertical="center"/>
    </xf>
    <xf numFmtId="0" fontId="0" fillId="0" borderId="6" xfId="0" applyBorder="1"/>
    <xf numFmtId="0" fontId="0" fillId="0" borderId="4" xfId="0" applyBorder="1"/>
    <xf numFmtId="0" fontId="15" fillId="0" borderId="1" xfId="0" applyFont="1" applyBorder="1"/>
    <xf numFmtId="2" fontId="0" fillId="0" borderId="1" xfId="0" applyNumberFormat="1" applyBorder="1" applyAlignment="1">
      <alignment shrinkToFit="1"/>
    </xf>
    <xf numFmtId="164" fontId="0" fillId="0" borderId="1" xfId="0" applyNumberFormat="1" applyBorder="1" applyAlignment="1">
      <alignment horizontal="center" shrinkToFit="1"/>
    </xf>
    <xf numFmtId="49" fontId="21" fillId="0" borderId="7" xfId="0" applyNumberFormat="1" applyFont="1" applyBorder="1" applyAlignment="1">
      <alignment horizontal="center"/>
    </xf>
    <xf numFmtId="0" fontId="21" fillId="0" borderId="7" xfId="0" applyFont="1" applyBorder="1" applyAlignment="1">
      <alignment horizontal="center" vertical="top"/>
    </xf>
    <xf numFmtId="17" fontId="22" fillId="2" borderId="5" xfId="4" applyNumberFormat="1" applyFont="1" applyFill="1" applyBorder="1" applyAlignment="1">
      <alignment vertical="center" wrapText="1"/>
    </xf>
    <xf numFmtId="0" fontId="22" fillId="2" borderId="5" xfId="0" applyFont="1" applyFill="1" applyBorder="1" applyAlignment="1">
      <alignment vertical="center" wrapText="1"/>
    </xf>
    <xf numFmtId="0" fontId="22" fillId="7" borderId="5" xfId="0" applyFont="1" applyFill="1" applyBorder="1" applyAlignment="1">
      <alignment vertical="center" wrapText="1"/>
    </xf>
    <xf numFmtId="0" fontId="12" fillId="16" borderId="5" xfId="0" applyFont="1" applyFill="1" applyBorder="1" applyAlignment="1">
      <alignment vertical="center" wrapText="1"/>
    </xf>
    <xf numFmtId="0" fontId="22" fillId="2" borderId="4" xfId="0" applyFont="1" applyFill="1" applyBorder="1" applyAlignment="1">
      <alignment vertical="center"/>
    </xf>
    <xf numFmtId="44" fontId="22" fillId="2" borderId="5" xfId="4" applyFont="1" applyFill="1" applyBorder="1" applyAlignment="1">
      <alignment vertical="center" wrapText="1"/>
    </xf>
    <xf numFmtId="0" fontId="22" fillId="2" borderId="5" xfId="0" applyFont="1" applyFill="1" applyBorder="1" applyAlignment="1">
      <alignment vertical="center"/>
    </xf>
    <xf numFmtId="2" fontId="22" fillId="2" borderId="5" xfId="0" applyNumberFormat="1" applyFont="1" applyFill="1" applyBorder="1" applyAlignment="1">
      <alignment vertical="center"/>
    </xf>
    <xf numFmtId="0" fontId="22" fillId="16" borderId="5" xfId="0" applyFont="1" applyFill="1" applyBorder="1" applyAlignment="1">
      <alignment horizontal="center" vertical="center"/>
    </xf>
    <xf numFmtId="0" fontId="21" fillId="0" borderId="4" xfId="0" applyFont="1" applyBorder="1" applyAlignment="1">
      <alignment horizontal="left"/>
    </xf>
    <xf numFmtId="164" fontId="53" fillId="0" borderId="3" xfId="0" applyNumberFormat="1" applyFont="1" applyBorder="1" applyAlignment="1">
      <alignment horizontal="center"/>
    </xf>
    <xf numFmtId="0" fontId="15" fillId="0" borderId="5" xfId="0" applyFont="1" applyBorder="1"/>
    <xf numFmtId="2" fontId="0" fillId="0" borderId="5" xfId="0" applyNumberFormat="1" applyBorder="1" applyAlignment="1">
      <alignment shrinkToFit="1"/>
    </xf>
    <xf numFmtId="164" fontId="0" fillId="0" borderId="5" xfId="0" applyNumberFormat="1" applyBorder="1" applyAlignment="1">
      <alignment horizontal="center" shrinkToFit="1"/>
    </xf>
    <xf numFmtId="0" fontId="15" fillId="0" borderId="7" xfId="0" applyFont="1" applyBorder="1"/>
    <xf numFmtId="2" fontId="0" fillId="0" borderId="7" xfId="0" applyNumberFormat="1" applyBorder="1" applyAlignment="1">
      <alignment shrinkToFit="1"/>
    </xf>
    <xf numFmtId="164" fontId="0" fillId="0" borderId="7" xfId="0" applyNumberFormat="1" applyBorder="1" applyAlignment="1">
      <alignment horizontal="center" shrinkToFit="1"/>
    </xf>
    <xf numFmtId="164" fontId="53" fillId="0" borderId="8" xfId="0" applyNumberFormat="1" applyFont="1" applyBorder="1" applyAlignment="1">
      <alignment horizontal="center"/>
    </xf>
    <xf numFmtId="0" fontId="21" fillId="20" borderId="1" xfId="0" applyFont="1" applyFill="1" applyBorder="1" applyAlignment="1">
      <alignment horizontal="left"/>
    </xf>
    <xf numFmtId="0" fontId="21" fillId="0" borderId="1" xfId="0" quotePrefix="1" applyFont="1" applyBorder="1" applyAlignment="1">
      <alignment horizontal="center" vertical="top"/>
    </xf>
    <xf numFmtId="0" fontId="55" fillId="0" borderId="5" xfId="0" applyFont="1" applyBorder="1" applyAlignment="1">
      <alignment horizontal="center" vertical="center"/>
    </xf>
    <xf numFmtId="0" fontId="54" fillId="0" borderId="5" xfId="0" applyFont="1" applyBorder="1" applyAlignment="1">
      <alignment vertical="center"/>
    </xf>
    <xf numFmtId="2" fontId="54" fillId="0" borderId="5" xfId="0" applyNumberFormat="1" applyFont="1" applyBorder="1" applyAlignment="1">
      <alignment vertical="center"/>
    </xf>
    <xf numFmtId="44" fontId="54" fillId="0" borderId="5" xfId="4" applyFont="1" applyFill="1" applyBorder="1" applyAlignment="1">
      <alignment vertical="center" wrapText="1"/>
    </xf>
    <xf numFmtId="0" fontId="54" fillId="0" borderId="5" xfId="0" applyFont="1" applyBorder="1" applyAlignment="1">
      <alignment vertical="center" wrapText="1"/>
    </xf>
    <xf numFmtId="1" fontId="0" fillId="0" borderId="0" xfId="0" applyNumberFormat="1" applyAlignment="1">
      <alignment horizontal="center" vertical="top"/>
    </xf>
    <xf numFmtId="1" fontId="7" fillId="0" borderId="0" xfId="0" applyNumberFormat="1" applyFont="1" applyAlignment="1">
      <alignment vertical="top"/>
    </xf>
    <xf numFmtId="1" fontId="19" fillId="0" borderId="0" xfId="0" applyNumberFormat="1" applyFont="1" applyAlignment="1">
      <alignment horizontal="center"/>
    </xf>
    <xf numFmtId="1" fontId="18" fillId="0" borderId="0" xfId="1" applyNumberFormat="1" applyFont="1" applyAlignment="1">
      <alignment horizontal="center"/>
    </xf>
    <xf numFmtId="0" fontId="0" fillId="0" borderId="0" xfId="0" applyAlignment="1">
      <alignment horizontal="left" vertical="top"/>
    </xf>
    <xf numFmtId="0" fontId="21" fillId="0" borderId="4" xfId="0" applyFont="1" applyBorder="1" applyAlignment="1">
      <alignment vertical="center"/>
    </xf>
    <xf numFmtId="0" fontId="21" fillId="0" borderId="5" xfId="0" applyFont="1" applyBorder="1" applyAlignment="1">
      <alignment vertical="center"/>
    </xf>
    <xf numFmtId="44" fontId="21" fillId="0" borderId="5" xfId="9" applyFont="1" applyFill="1" applyBorder="1" applyAlignment="1">
      <alignment vertical="center" wrapText="1"/>
    </xf>
    <xf numFmtId="0" fontId="21" fillId="0" borderId="5" xfId="0" applyFont="1" applyBorder="1" applyAlignment="1">
      <alignment vertical="center" wrapText="1"/>
    </xf>
    <xf numFmtId="2" fontId="21" fillId="0" borderId="5" xfId="0" applyNumberFormat="1" applyFont="1" applyBorder="1" applyAlignment="1">
      <alignment vertical="center"/>
    </xf>
    <xf numFmtId="0" fontId="21" fillId="0" borderId="5" xfId="0" applyFont="1" applyBorder="1" applyAlignment="1">
      <alignment horizontal="center" vertical="center"/>
    </xf>
    <xf numFmtId="17" fontId="21" fillId="0" borderId="5" xfId="9" applyNumberFormat="1" applyFont="1" applyFill="1" applyBorder="1" applyAlignment="1">
      <alignment vertical="center" wrapText="1"/>
    </xf>
    <xf numFmtId="0" fontId="0" fillId="0" borderId="5" xfId="0" applyBorder="1" applyAlignment="1">
      <alignment vertical="center" wrapText="1"/>
    </xf>
    <xf numFmtId="0" fontId="21" fillId="0" borderId="6" xfId="0" applyFont="1" applyBorder="1" applyAlignment="1">
      <alignment vertical="center" wrapText="1"/>
    </xf>
    <xf numFmtId="0" fontId="21" fillId="0" borderId="16" xfId="0" applyFont="1" applyBorder="1" applyAlignment="1">
      <alignment vertical="center" wrapText="1"/>
    </xf>
    <xf numFmtId="9" fontId="11" fillId="2" borderId="1" xfId="2" applyFont="1" applyFill="1" applyBorder="1" applyAlignment="1">
      <alignment horizontal="center" vertical="center"/>
    </xf>
    <xf numFmtId="0" fontId="20" fillId="0" borderId="1" xfId="0" applyFont="1" applyBorder="1"/>
    <xf numFmtId="44" fontId="21" fillId="2" borderId="1" xfId="10" applyFont="1" applyFill="1" applyBorder="1" applyAlignment="1">
      <alignment vertical="center" wrapText="1"/>
    </xf>
    <xf numFmtId="17" fontId="21" fillId="2" borderId="1" xfId="10" applyNumberFormat="1" applyFont="1" applyFill="1" applyBorder="1" applyAlignment="1">
      <alignment vertical="center" wrapText="1"/>
    </xf>
    <xf numFmtId="0" fontId="10" fillId="0" borderId="1" xfId="0" applyFont="1" applyBorder="1"/>
    <xf numFmtId="0" fontId="6" fillId="0" borderId="3" xfId="0" applyFont="1" applyBorder="1" applyAlignment="1">
      <alignment horizontal="left"/>
    </xf>
    <xf numFmtId="0" fontId="0" fillId="0" borderId="0" xfId="0" applyAlignment="1">
      <alignment horizontal="center" vertical="center" wrapText="1"/>
    </xf>
    <xf numFmtId="2" fontId="0" fillId="0" borderId="1" xfId="2" applyNumberFormat="1" applyFont="1" applyFill="1" applyBorder="1" applyAlignment="1">
      <alignment horizontal="center" vertical="center"/>
    </xf>
    <xf numFmtId="0" fontId="0" fillId="0" borderId="0" xfId="0" applyAlignment="1">
      <alignment vertical="center" wrapText="1"/>
    </xf>
    <xf numFmtId="0" fontId="5" fillId="0" borderId="0" xfId="0" applyFont="1" applyAlignment="1">
      <alignment vertical="center" wrapText="1"/>
    </xf>
    <xf numFmtId="0" fontId="14" fillId="32" borderId="7" xfId="0" applyFont="1" applyFill="1" applyBorder="1" applyAlignment="1">
      <alignment horizontal="center" vertical="center"/>
    </xf>
    <xf numFmtId="0" fontId="14" fillId="32" borderId="7" xfId="0" applyFont="1" applyFill="1" applyBorder="1" applyAlignment="1">
      <alignment horizontal="center" vertical="center" wrapText="1"/>
    </xf>
    <xf numFmtId="0" fontId="14" fillId="32" borderId="31" xfId="0" applyFont="1" applyFill="1" applyBorder="1" applyAlignment="1">
      <alignment horizontal="center" vertical="center"/>
    </xf>
    <xf numFmtId="0" fontId="14" fillId="32" borderId="10" xfId="0" applyFont="1" applyFill="1" applyBorder="1" applyAlignment="1">
      <alignment horizontal="center" vertical="center"/>
    </xf>
    <xf numFmtId="0" fontId="0" fillId="20" borderId="2" xfId="0" applyFill="1" applyBorder="1"/>
    <xf numFmtId="1" fontId="9" fillId="0" borderId="0" xfId="0" applyNumberFormat="1" applyFont="1" applyAlignment="1">
      <alignment vertical="top"/>
    </xf>
    <xf numFmtId="1" fontId="12" fillId="0" borderId="0" xfId="0" applyNumberFormat="1" applyFont="1"/>
    <xf numFmtId="0" fontId="0" fillId="0" borderId="5" xfId="0" applyBorder="1" applyAlignment="1">
      <alignment horizontal="center" vertical="center"/>
    </xf>
    <xf numFmtId="0" fontId="0" fillId="0" borderId="34" xfId="0" applyBorder="1" applyAlignment="1">
      <alignment horizontal="center" vertical="center"/>
    </xf>
    <xf numFmtId="9" fontId="17" fillId="0" borderId="3" xfId="2" applyFont="1" applyFill="1" applyBorder="1" applyAlignment="1">
      <alignment horizontal="center" vertical="center"/>
    </xf>
    <xf numFmtId="0" fontId="20" fillId="0" borderId="1" xfId="0" applyFont="1" applyBorder="1" applyAlignment="1">
      <alignment horizontal="center"/>
    </xf>
    <xf numFmtId="0" fontId="0" fillId="0" borderId="5" xfId="0" applyBorder="1" applyAlignment="1">
      <alignment horizontal="center" vertical="top"/>
    </xf>
    <xf numFmtId="0" fontId="56" fillId="0" borderId="1" xfId="0" applyFont="1" applyBorder="1"/>
    <xf numFmtId="166" fontId="11" fillId="2" borderId="1" xfId="3" applyNumberFormat="1" applyFont="1" applyFill="1" applyBorder="1" applyAlignment="1">
      <alignment horizontal="center" vertical="center"/>
    </xf>
    <xf numFmtId="4" fontId="0" fillId="0" borderId="0" xfId="0" applyNumberFormat="1" applyAlignment="1">
      <alignment horizontal="right" vertical="top"/>
    </xf>
    <xf numFmtId="165" fontId="0" fillId="0" borderId="0" xfId="0" applyNumberFormat="1" applyAlignment="1">
      <alignment horizontal="right" vertical="top"/>
    </xf>
    <xf numFmtId="172" fontId="0" fillId="0" borderId="0" xfId="0" applyNumberFormat="1" applyAlignment="1">
      <alignment horizontal="right" vertical="top"/>
    </xf>
    <xf numFmtId="0" fontId="0" fillId="0" borderId="7" xfId="0" applyBorder="1" applyAlignment="1">
      <alignment horizontal="center" vertical="top"/>
    </xf>
    <xf numFmtId="0" fontId="20" fillId="0" borderId="7" xfId="0" applyFont="1" applyBorder="1"/>
    <xf numFmtId="49" fontId="5" fillId="7" borderId="1" xfId="0" applyNumberFormat="1" applyFont="1" applyFill="1" applyBorder="1" applyAlignment="1">
      <alignment horizontal="center" vertical="center" wrapText="1"/>
    </xf>
    <xf numFmtId="0" fontId="0" fillId="0" borderId="2" xfId="0" applyBorder="1" applyAlignment="1">
      <alignment horizontal="center" vertical="center"/>
    </xf>
    <xf numFmtId="49" fontId="5" fillId="7" borderId="4" xfId="0" applyNumberFormat="1" applyFont="1" applyFill="1" applyBorder="1" applyAlignment="1">
      <alignment horizontal="center" vertical="center" wrapText="1"/>
    </xf>
    <xf numFmtId="166" fontId="5" fillId="0" borderId="0" xfId="3" applyNumberFormat="1" applyFont="1"/>
    <xf numFmtId="1" fontId="0" fillId="0" borderId="7" xfId="0" applyNumberFormat="1" applyBorder="1"/>
    <xf numFmtId="0" fontId="1" fillId="0" borderId="2"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2"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shrinkToFit="1"/>
    </xf>
    <xf numFmtId="2" fontId="1" fillId="2" borderId="1" xfId="0" applyNumberFormat="1" applyFont="1" applyFill="1" applyBorder="1" applyAlignment="1">
      <alignment horizontal="center" vertical="center"/>
    </xf>
    <xf numFmtId="1" fontId="1"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7" xfId="0" applyFont="1" applyBorder="1" applyAlignment="1">
      <alignment horizontal="center" vertical="center"/>
    </xf>
    <xf numFmtId="2" fontId="1" fillId="0" borderId="7" xfId="0" applyNumberFormat="1" applyFont="1" applyBorder="1" applyAlignment="1">
      <alignment horizontal="center" vertical="center"/>
    </xf>
    <xf numFmtId="0" fontId="1" fillId="0" borderId="5" xfId="0" applyFont="1" applyBorder="1" applyAlignment="1">
      <alignment horizontal="center" vertical="center"/>
    </xf>
    <xf numFmtId="0" fontId="1" fillId="15" borderId="1" xfId="0" applyFont="1" applyFill="1" applyBorder="1" applyAlignment="1">
      <alignment horizontal="center" vertical="center" wrapText="1"/>
    </xf>
    <xf numFmtId="0" fontId="1" fillId="15" borderId="1" xfId="0" applyFont="1" applyFill="1" applyBorder="1" applyAlignment="1">
      <alignment horizontal="center" vertical="center"/>
    </xf>
    <xf numFmtId="2" fontId="1" fillId="15" borderId="1" xfId="0" applyNumberFormat="1" applyFont="1" applyFill="1" applyBorder="1" applyAlignment="1">
      <alignment horizontal="center" vertical="center"/>
    </xf>
    <xf numFmtId="1" fontId="1" fillId="15" borderId="1" xfId="0" applyNumberFormat="1" applyFont="1" applyFill="1" applyBorder="1" applyAlignment="1">
      <alignment horizontal="center" vertical="center" shrinkToFit="1"/>
    </xf>
    <xf numFmtId="0" fontId="1" fillId="0" borderId="1" xfId="0" applyFont="1" applyBorder="1" applyAlignment="1">
      <alignment horizontal="center"/>
    </xf>
    <xf numFmtId="1" fontId="1" fillId="2" borderId="1" xfId="0" applyNumberFormat="1" applyFont="1" applyFill="1" applyBorder="1" applyAlignment="1">
      <alignment horizontal="center" vertical="center" shrinkToFit="1"/>
    </xf>
    <xf numFmtId="0" fontId="20" fillId="0" borderId="0" xfId="0" applyFont="1"/>
    <xf numFmtId="0" fontId="0" fillId="0" borderId="0" xfId="0" applyAlignment="1">
      <alignment horizontal="center" vertical="top"/>
    </xf>
    <xf numFmtId="0" fontId="15" fillId="0" borderId="0" xfId="0" applyFont="1"/>
    <xf numFmtId="1" fontId="1" fillId="0" borderId="7" xfId="0" applyNumberFormat="1" applyFont="1" applyBorder="1" applyAlignment="1">
      <alignment horizontal="center" vertical="center"/>
    </xf>
    <xf numFmtId="1" fontId="12" fillId="2" borderId="1" xfId="0" applyNumberFormat="1" applyFont="1" applyFill="1" applyBorder="1" applyAlignment="1">
      <alignment horizontal="center" vertical="center"/>
    </xf>
    <xf numFmtId="0" fontId="17" fillId="0" borderId="3" xfId="0" applyFont="1" applyBorder="1"/>
    <xf numFmtId="9" fontId="0" fillId="0" borderId="0" xfId="2" applyFont="1" applyFill="1" applyBorder="1" applyAlignment="1">
      <alignment horizontal="center" vertical="center"/>
    </xf>
    <xf numFmtId="0" fontId="0" fillId="15" borderId="5" xfId="0" applyFill="1" applyBorder="1" applyAlignment="1">
      <alignment horizontal="center" vertical="top"/>
    </xf>
    <xf numFmtId="0" fontId="0" fillId="0" borderId="0" xfId="0" applyNumberFormat="1"/>
    <xf numFmtId="0" fontId="20" fillId="0" borderId="1" xfId="0" applyFont="1" applyBorder="1" applyAlignment="1">
      <alignment horizontal="center" vertical="center" wrapText="1"/>
    </xf>
    <xf numFmtId="0" fontId="27" fillId="0" borderId="0" xfId="0" applyFont="1" applyAlignment="1"/>
    <xf numFmtId="0" fontId="27" fillId="0" borderId="0" xfId="0" applyFont="1" applyAlignment="1">
      <alignment vertical="center"/>
    </xf>
    <xf numFmtId="0" fontId="27" fillId="0" borderId="0" xfId="0" applyFont="1" applyAlignment="1">
      <alignment horizontal="center" vertical="center"/>
    </xf>
    <xf numFmtId="0" fontId="27" fillId="0" borderId="30" xfId="0" applyFont="1" applyBorder="1" applyAlignment="1"/>
    <xf numFmtId="1" fontId="0" fillId="0" borderId="0" xfId="0" applyNumberFormat="1" applyFill="1"/>
    <xf numFmtId="0" fontId="0" fillId="0" borderId="0" xfId="0" applyBorder="1"/>
    <xf numFmtId="1" fontId="0" fillId="0" borderId="0" xfId="0" applyNumberFormat="1" applyBorder="1"/>
    <xf numFmtId="1" fontId="12" fillId="0" borderId="0" xfId="0" applyNumberFormat="1" applyFont="1" applyBorder="1"/>
    <xf numFmtId="1" fontId="0" fillId="0" borderId="0" xfId="0" applyNumberFormat="1" applyBorder="1" applyAlignment="1">
      <alignment vertical="top"/>
    </xf>
  </cellXfs>
  <cellStyles count="11">
    <cellStyle name="Comma" xfId="3" builtinId="3"/>
    <cellStyle name="Comma 2" xfId="7" xr:uid="{F717CF93-F3BD-4C27-89A7-08ADF21A3FB4}"/>
    <cellStyle name="Currency 2" xfId="4" xr:uid="{33B94105-9716-4D77-9255-B349C15F5BD5}"/>
    <cellStyle name="Currency 2 2" xfId="9" xr:uid="{3F196608-C442-4373-A88F-49E804280B44}"/>
    <cellStyle name="Currency 2 3" xfId="10" xr:uid="{A8000487-F645-441E-BDCB-FC21F455CCE7}"/>
    <cellStyle name="Hyperlink 2" xfId="8" xr:uid="{2E928D8D-6939-432B-A5BA-6F0FD16D27D0}"/>
    <cellStyle name="Normal" xfId="0" builtinId="0"/>
    <cellStyle name="Normal 2" xfId="1" xr:uid="{00000000-0005-0000-0000-000003000000}"/>
    <cellStyle name="Normal 2 2" xfId="6" xr:uid="{12E0371B-CBEC-480E-BAD0-72EC234E0D4E}"/>
    <cellStyle name="Normal_Sheet1" xfId="5" xr:uid="{346D0A9A-E37C-404C-B572-297677877D21}"/>
    <cellStyle name="Percent" xfId="2" builtinId="5"/>
  </cellStyles>
  <dxfs count="7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fill>
        <patternFill patternType="none">
          <fgColor indexed="64"/>
          <bgColor auto="1"/>
        </patternFill>
      </fill>
    </dxf>
    <dxf>
      <font>
        <i/>
      </font>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textRotation="0" indent="0" justifyLastLine="0" readingOrder="0"/>
      <border diagonalUp="0" diagonalDown="0" outline="0">
        <left style="thin">
          <color indexed="64"/>
        </left>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rgb="FF9BC2E6"/>
          <bgColor rgb="FF000000"/>
        </patternFill>
      </fill>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center" textRotation="0" indent="0" justifyLastLine="0" readingOrder="0"/>
    </dxf>
    <dxf>
      <border>
        <bottom style="thin">
          <color rgb="FF000000"/>
        </bottom>
      </border>
    </dxf>
    <dxf>
      <alignment horizontal="center" textRotation="0" indent="0" justifyLastLine="0" readingOrder="0"/>
      <border diagonalUp="0" diagonalDown="0" outline="0">
        <left style="thin">
          <color indexed="64"/>
        </left>
        <right style="thin">
          <color indexed="64"/>
        </right>
        <top/>
        <bottom/>
      </border>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
      <border outline="0">
        <top style="thin">
          <color indexed="64"/>
        </top>
      </border>
    </dxf>
    <dxf>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rgb="FF0000CC"/>
        <name val="Arial"/>
        <family val="2"/>
        <scheme val="none"/>
      </font>
      <numFmt numFmtId="164" formatCode="0.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00"/>
      <alignment horizontal="center"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general"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general"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general"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border diagonalUp="0" diagonalDown="0" outline="0">
        <left/>
        <right/>
        <top style="thin">
          <color indexed="64"/>
        </top>
        <bottom/>
      </border>
    </dxf>
    <dxf>
      <font>
        <sz val="12"/>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border diagonalUp="0" diagonalDown="0" outline="0">
        <left/>
        <right/>
        <top style="thin">
          <color indexed="64"/>
        </top>
        <bottom/>
      </border>
    </dxf>
    <dxf>
      <font>
        <b/>
        <sz val="12"/>
        <color rgb="FF000000"/>
        <name val="Aptos"/>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solid">
          <fgColor indexed="64"/>
          <bgColor theme="4" tint="0.59999389629810485"/>
        </patternFill>
      </fill>
      <alignment horizontal="center" vertical="bottom" textRotation="0" wrapText="0" indent="0" justifyLastLine="0" shrinkToFit="0" readingOrder="0"/>
      <border diagonalUp="0" diagonalDown="0" outline="0">
        <left/>
        <right/>
        <top style="thin">
          <color indexed="64"/>
        </top>
        <bottom/>
      </border>
    </dxf>
    <dxf>
      <font>
        <sz val="12"/>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0"/>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 formatCode="0"/>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Calibri"/>
        <family val="2"/>
        <scheme val="minor"/>
      </font>
      <fill>
        <patternFill patternType="solid">
          <fgColor indexed="64"/>
          <bgColor theme="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rgb="FF000000"/>
        </left>
        <right style="thin">
          <color rgb="FF000000"/>
        </right>
        <top style="thin">
          <color rgb="FF000000"/>
        </top>
        <bottom style="thin">
          <color rgb="FF000000"/>
        </bottom>
      </border>
    </dxf>
    <dxf>
      <alignment horizontal="left" vertical="bottom" textRotation="0" wrapText="0" indent="0" justifyLastLine="0" shrinkToFit="0" readingOrder="0"/>
    </dxf>
    <dxf>
      <border outline="0">
        <bottom style="thin">
          <color rgb="FF000000"/>
        </bottom>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top style="thin">
          <color indexed="64"/>
        </top>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right style="thin">
          <color indexed="64"/>
        </right>
        <top style="thin">
          <color indexed="64"/>
        </top>
        <bottom style="thin">
          <color indexed="64"/>
        </bottom>
        <vertical/>
        <horizontal/>
      </border>
    </dxf>
    <dxf>
      <border outline="0">
        <left style="thin">
          <color indexed="64"/>
        </left>
      </border>
    </dxf>
    <dxf>
      <fill>
        <patternFill patternType="solid">
          <fgColor indexed="64"/>
          <bgColor theme="7"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dxf>
    <dxf>
      <numFmt numFmtId="2" formatCode="0.00"/>
    </dxf>
    <dxf>
      <numFmt numFmtId="0" formatCode="General"/>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textRotation="0" indent="0" justifyLastLine="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font>
      <border diagonalUp="0" diagonalDown="0" outline="0">
        <left style="thin">
          <color indexed="64"/>
        </left>
        <right style="thin">
          <color indexed="64"/>
        </right>
        <top/>
        <bottom/>
      </border>
    </dxf>
    <dxf>
      <numFmt numFmtId="167" formatCode="0.0"/>
    </dxf>
    <dxf>
      <fill>
        <patternFill patternType="solid">
          <bgColor rgb="FFFFFF00"/>
        </patternFill>
      </fill>
    </dxf>
    <dxf>
      <fill>
        <patternFill patternType="solid">
          <bgColor rgb="FFFFFF00"/>
        </patternFill>
      </fill>
    </dxf>
    <dxf>
      <fill>
        <patternFill patternType="solid">
          <bgColor rgb="FFFFFF00"/>
        </patternFill>
      </fill>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auto="1"/>
        </patternFill>
      </fill>
    </dxf>
    <dxf>
      <numFmt numFmtId="167" formatCode="0.0"/>
    </dxf>
    <dxf>
      <numFmt numFmtId="1" formatCode="0"/>
    </dxf>
    <dxf>
      <numFmt numFmtId="1" formatCode="0"/>
    </dxf>
    <dxf>
      <font>
        <b val="0"/>
        <i val="0"/>
        <strike val="0"/>
        <condense val="0"/>
        <extend val="0"/>
        <outline val="0"/>
        <shadow val="0"/>
        <u val="none"/>
        <vertAlign val="baseline"/>
        <sz val="10"/>
        <color auto="1"/>
        <name val="Arial"/>
        <scheme val="none"/>
      </font>
      <alignment horizontal="general" vertical="top" textRotation="0" wrapText="0" indent="0" justifyLastLine="0" shrinkToFit="0" readingOrder="0"/>
    </dxf>
    <dxf>
      <fill>
        <patternFill patternType="none">
          <bgColor auto="1"/>
        </patternFill>
      </fill>
    </dxf>
    <dxf>
      <numFmt numFmtId="0" formatCode="General"/>
    </dxf>
    <dxf>
      <numFmt numFmtId="0" formatCode="General"/>
    </dxf>
    <dxf>
      <font>
        <b val="0"/>
        <i val="0"/>
        <strike val="0"/>
        <condense val="0"/>
        <extend val="0"/>
        <outline val="0"/>
        <shadow val="0"/>
        <u val="none"/>
        <vertAlign val="baseline"/>
        <sz val="10"/>
        <color auto="1"/>
        <name val="Arial"/>
        <scheme val="none"/>
      </font>
      <alignment horizontal="general" vertical="top" textRotation="0" wrapText="0" indent="0" justifyLastLine="0" shrinkToFit="0" readingOrder="0"/>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5.xml"/><Relationship Id="rId68" Type="http://schemas.microsoft.com/office/2007/relationships/slicerCache" Target="slicerCaches/slicerCache1.xml"/><Relationship Id="rId76" Type="http://schemas.microsoft.com/office/2007/relationships/slicerCache" Target="slicerCaches/slicerCache9.xml"/><Relationship Id="rId84" Type="http://schemas.microsoft.com/office/2007/relationships/slicerCache" Target="slicerCaches/slicerCache17.xml"/><Relationship Id="rId89" Type="http://schemas.openxmlformats.org/officeDocument/2006/relationships/styles" Target="styles.xml"/><Relationship Id="rId97" Type="http://schemas.openxmlformats.org/officeDocument/2006/relationships/customXml" Target="../customXml/item1.xml"/><Relationship Id="rId7" Type="http://schemas.openxmlformats.org/officeDocument/2006/relationships/worksheet" Target="worksheets/sheet7.xml"/><Relationship Id="rId71" Type="http://schemas.microsoft.com/office/2007/relationships/slicerCache" Target="slicerCaches/slicerCache4.xml"/><Relationship Id="rId9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pivotCacheDefinition" Target="pivotCache/pivotCacheDefinition2.xml"/><Relationship Id="rId74" Type="http://schemas.microsoft.com/office/2007/relationships/slicerCache" Target="slicerCaches/slicerCache7.xml"/><Relationship Id="rId79" Type="http://schemas.microsoft.com/office/2007/relationships/slicerCache" Target="slicerCaches/slicerCache12.xml"/><Relationship Id="rId87"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3.xml"/><Relationship Id="rId82" Type="http://schemas.microsoft.com/office/2007/relationships/slicerCache" Target="slicerCaches/slicerCache15.xml"/><Relationship Id="rId90" Type="http://schemas.openxmlformats.org/officeDocument/2006/relationships/sharedStrings" Target="sharedStrings.xml"/><Relationship Id="rId95"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6.xml"/><Relationship Id="rId69" Type="http://schemas.microsoft.com/office/2007/relationships/slicerCache" Target="slicerCaches/slicerCache2.xml"/><Relationship Id="rId77" Type="http://schemas.microsoft.com/office/2007/relationships/slicerCache" Target="slicerCaches/slicerCache10.xml"/><Relationship Id="rId100"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07/relationships/slicerCache" Target="slicerCaches/slicerCache5.xml"/><Relationship Id="rId80" Type="http://schemas.microsoft.com/office/2007/relationships/slicerCache" Target="slicerCaches/slicerCache13.xml"/><Relationship Id="rId85" Type="http://schemas.microsoft.com/office/2007/relationships/slicerCache" Target="slicerCaches/slicerCache18.xml"/><Relationship Id="rId93" Type="http://schemas.microsoft.com/office/2017/06/relationships/rdRichValueStructure" Target="richData/rdrichvaluestructure.xml"/><Relationship Id="rId98"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pivotCacheDefinition" Target="pivotCache/pivotCacheDefinition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4.xml"/><Relationship Id="rId70" Type="http://schemas.microsoft.com/office/2007/relationships/slicerCache" Target="slicerCaches/slicerCache3.xml"/><Relationship Id="rId75" Type="http://schemas.microsoft.com/office/2007/relationships/slicerCache" Target="slicerCaches/slicerCache8.xml"/><Relationship Id="rId83" Type="http://schemas.microsoft.com/office/2007/relationships/slicerCache" Target="slicerCaches/slicerCache16.xml"/><Relationship Id="rId88" Type="http://schemas.openxmlformats.org/officeDocument/2006/relationships/connections" Target="connections.xml"/><Relationship Id="rId91" Type="http://schemas.openxmlformats.org/officeDocument/2006/relationships/sheetMetadata" Target="metadata.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openxmlformats.org/officeDocument/2006/relationships/pivotCacheDefinition" Target="pivotCache/pivotCacheDefinition1.xml"/><Relationship Id="rId73" Type="http://schemas.microsoft.com/office/2007/relationships/slicerCache" Target="slicerCaches/slicerCache6.xml"/><Relationship Id="rId78" Type="http://schemas.microsoft.com/office/2007/relationships/slicerCache" Target="slicerCaches/slicerCache11.xml"/><Relationship Id="rId81" Type="http://schemas.microsoft.com/office/2007/relationships/slicerCache" Target="slicerCaches/slicerCache14.xml"/><Relationship Id="rId86" Type="http://schemas.microsoft.com/office/2007/relationships/slicerCache" Target="slicerCaches/slicerCache19.xml"/><Relationship Id="rId94" Type="http://schemas.microsoft.com/office/2017/06/relationships/rdRichValueTypes" Target="richData/rdRichValueTypes.xml"/><Relationship Id="rId99" Type="http://schemas.openxmlformats.org/officeDocument/2006/relationships/customXml" Target="../customXml/item3.xml"/><Relationship Id="rId10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Loss'!$C$16</c:f>
              <c:strCache>
                <c:ptCount val="1"/>
                <c:pt idx="0">
                  <c:v>Volume (MT)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Loss'!$B$17:$B$23</c:f>
              <c:strCache>
                <c:ptCount val="7"/>
                <c:pt idx="0">
                  <c:v>RM Unavailability</c:v>
                </c:pt>
                <c:pt idx="1">
                  <c:v>Customer Clearance</c:v>
                </c:pt>
                <c:pt idx="2">
                  <c:v>SY Chamfering Processing Constraint</c:v>
                </c:pt>
                <c:pt idx="3">
                  <c:v>Delay in Rolling</c:v>
                </c:pt>
                <c:pt idx="4">
                  <c:v>SY Angle Cutting Processing Constraint</c:v>
                </c:pt>
                <c:pt idx="5">
                  <c:v>Payment Issue</c:v>
                </c:pt>
                <c:pt idx="6">
                  <c:v>Credit Issue</c:v>
                </c:pt>
              </c:strCache>
            </c:strRef>
          </c:cat>
          <c:val>
            <c:numRef>
              <c:f>'Sales Loss'!$C$17:$C$23</c:f>
              <c:numCache>
                <c:formatCode>0</c:formatCode>
                <c:ptCount val="7"/>
                <c:pt idx="0">
                  <c:v>43.186428110375005</c:v>
                </c:pt>
                <c:pt idx="1">
                  <c:v>19.944606231359998</c:v>
                </c:pt>
                <c:pt idx="2">
                  <c:v>69.67880358354239</c:v>
                </c:pt>
                <c:pt idx="3">
                  <c:v>25.740816633692184</c:v>
                </c:pt>
                <c:pt idx="4">
                  <c:v>43.406966223656127</c:v>
                </c:pt>
                <c:pt idx="5">
                  <c:v>16</c:v>
                </c:pt>
                <c:pt idx="6">
                  <c:v>50</c:v>
                </c:pt>
              </c:numCache>
            </c:numRef>
          </c:val>
          <c:extLst>
            <c:ext xmlns:c16="http://schemas.microsoft.com/office/drawing/2014/chart" uri="{C3380CC4-5D6E-409C-BE32-E72D297353CC}">
              <c16:uniqueId val="{00000000-182F-44F3-8339-096DF5A0B601}"/>
            </c:ext>
          </c:extLst>
        </c:ser>
        <c:dLbls>
          <c:showLegendKey val="0"/>
          <c:showVal val="0"/>
          <c:showCatName val="0"/>
          <c:showSerName val="0"/>
          <c:showPercent val="0"/>
          <c:showBubbleSize val="0"/>
        </c:dLbls>
        <c:gapWidth val="219"/>
        <c:overlap val="-27"/>
        <c:axId val="816398440"/>
        <c:axId val="816393760"/>
      </c:barChart>
      <c:catAx>
        <c:axId val="816398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93760"/>
        <c:crosses val="autoZero"/>
        <c:auto val="1"/>
        <c:lblAlgn val="ctr"/>
        <c:lblOffset val="100"/>
        <c:noMultiLvlLbl val="0"/>
      </c:catAx>
      <c:valAx>
        <c:axId val="816393760"/>
        <c:scaling>
          <c:orientation val="minMax"/>
        </c:scaling>
        <c:delete val="1"/>
        <c:axPos val="l"/>
        <c:numFmt formatCode="0" sourceLinked="1"/>
        <c:majorTickMark val="none"/>
        <c:minorTickMark val="none"/>
        <c:tickLblPos val="nextTo"/>
        <c:crossAx val="816398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'Sales Loss'!$D$133</c:f>
              <c:strCache>
                <c:ptCount val="1"/>
                <c:pt idx="0">
                  <c:v>Sales Loss Volume (MT) in June'25</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Loss'!$A$134:$A$141</c:f>
              <c:strCache>
                <c:ptCount val="8"/>
                <c:pt idx="0">
                  <c:v>RM Unavailability</c:v>
                </c:pt>
                <c:pt idx="1">
                  <c:v>Delay in Rolling</c:v>
                </c:pt>
                <c:pt idx="2">
                  <c:v>SY Chamfering Processing Constraint</c:v>
                </c:pt>
                <c:pt idx="3">
                  <c:v>SY Angle Cutting Processing Constraint</c:v>
                </c:pt>
                <c:pt idx="4">
                  <c:v>Customer Clearance</c:v>
                </c:pt>
                <c:pt idx="5">
                  <c:v>Payment Issue</c:v>
                </c:pt>
                <c:pt idx="6">
                  <c:v>Credit Issue</c:v>
                </c:pt>
                <c:pt idx="7">
                  <c:v>SY Cutting Constraint</c:v>
                </c:pt>
              </c:strCache>
            </c:strRef>
          </c:cat>
          <c:val>
            <c:numRef>
              <c:f>'Sales Loss'!$D$134:$D$141</c:f>
              <c:numCache>
                <c:formatCode>0</c:formatCode>
                <c:ptCount val="8"/>
                <c:pt idx="0">
                  <c:v>12.778525789474994</c:v>
                </c:pt>
                <c:pt idx="1">
                  <c:v>307.25851702361751</c:v>
                </c:pt>
                <c:pt idx="2">
                  <c:v>14.861270694562499</c:v>
                </c:pt>
                <c:pt idx="3">
                  <c:v>0</c:v>
                </c:pt>
                <c:pt idx="4">
                  <c:v>47.944139595509128</c:v>
                </c:pt>
                <c:pt idx="5">
                  <c:v>1.8864003762500019</c:v>
                </c:pt>
                <c:pt idx="6">
                  <c:v>0</c:v>
                </c:pt>
                <c:pt idx="7">
                  <c:v>16.467135039361509</c:v>
                </c:pt>
              </c:numCache>
            </c:numRef>
          </c:val>
          <c:extLst>
            <c:ext xmlns:c16="http://schemas.microsoft.com/office/drawing/2014/chart" uri="{C3380CC4-5D6E-409C-BE32-E72D297353CC}">
              <c16:uniqueId val="{00000002-BADA-4545-A116-799639C41651}"/>
            </c:ext>
          </c:extLst>
        </c:ser>
        <c:dLbls>
          <c:showLegendKey val="0"/>
          <c:showVal val="0"/>
          <c:showCatName val="0"/>
          <c:showSerName val="0"/>
          <c:showPercent val="0"/>
          <c:showBubbleSize val="0"/>
        </c:dLbls>
        <c:gapWidth val="219"/>
        <c:overlap val="-27"/>
        <c:axId val="946063144"/>
        <c:axId val="946067104"/>
      </c:barChart>
      <c:catAx>
        <c:axId val="94606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067104"/>
        <c:crosses val="autoZero"/>
        <c:auto val="1"/>
        <c:lblAlgn val="ctr"/>
        <c:lblOffset val="100"/>
        <c:noMultiLvlLbl val="0"/>
      </c:catAx>
      <c:valAx>
        <c:axId val="946067104"/>
        <c:scaling>
          <c:orientation val="minMax"/>
        </c:scaling>
        <c:delete val="1"/>
        <c:axPos val="l"/>
        <c:numFmt formatCode="0" sourceLinked="1"/>
        <c:majorTickMark val="none"/>
        <c:minorTickMark val="none"/>
        <c:tickLblPos val="nextTo"/>
        <c:crossAx val="9460631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228600</xdr:colOff>
      <xdr:row>1</xdr:row>
      <xdr:rowOff>101600</xdr:rowOff>
    </xdr:to>
    <xdr:sp macro="" textlink="">
      <xdr:nvSpPr>
        <xdr:cNvPr id="2" name="Rounded Rectangle 1">
          <a:extLst>
            <a:ext uri="{FF2B5EF4-FFF2-40B4-BE49-F238E27FC236}">
              <a16:creationId xmlns:a16="http://schemas.microsoft.com/office/drawing/2014/main" id="{A74B990D-09AD-47E8-BF32-4612F8EC4E99}"/>
            </a:ext>
            <a:ext uri="{6ECC49D1-AA05-4338-93AA-15A1B29DFB0A}">
              <asl:scriptLink xmlns:asl="http://schemas.microsoft.com/office/drawing/2021/scriptlink" val="{&quot;shareId&quot;:&quot;ms-officescript%3A%2F%2Fonedrive_business_sharinglink%2Fu!aHR0cHM6Ly90c2xpbi1teS5zaGFyZXBvaW50LmNvbS86dTovZy9wZXJzb25hbC8xNjM1NTlfdGF0YXN0ZWVsX2NvbS9FZFZIR0xsN1NpbEdvcjF3dDBUbGc4TUJNbW5JN0JVdjRiSFZsTGl2eXlYaV93&quot;}"/>
            </a:ext>
          </a:extLst>
        </xdr:cNvPr>
        <xdr:cNvSpPr/>
      </xdr:nvSpPr>
      <xdr:spPr>
        <a:xfrm>
          <a:off x="0" y="0"/>
          <a:ext cx="2057400" cy="29210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script_refresh_tracker</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219075</xdr:colOff>
      <xdr:row>1</xdr:row>
      <xdr:rowOff>95250</xdr:rowOff>
    </xdr:from>
    <xdr:to>
      <xdr:col>10</xdr:col>
      <xdr:colOff>219075</xdr:colOff>
      <xdr:row>14</xdr:row>
      <xdr:rowOff>142875</xdr:rowOff>
    </xdr:to>
    <mc:AlternateContent xmlns:mc="http://schemas.openxmlformats.org/markup-compatibility/2006" xmlns:sle15="http://schemas.microsoft.com/office/drawing/2012/slicer">
      <mc:Choice Requires="sle15">
        <xdr:graphicFrame macro="">
          <xdr:nvGraphicFramePr>
            <xdr:cNvPr id="2" name="TDC">
              <a:extLst>
                <a:ext uri="{FF2B5EF4-FFF2-40B4-BE49-F238E27FC236}">
                  <a16:creationId xmlns:a16="http://schemas.microsoft.com/office/drawing/2014/main" id="{AB232828-9C3F-5266-EBE4-56B190652F8C}"/>
                </a:ext>
              </a:extLst>
            </xdr:cNvPr>
            <xdr:cNvGraphicFramePr/>
          </xdr:nvGraphicFramePr>
          <xdr:xfrm>
            <a:off x="0" y="0"/>
            <a:ext cx="0" cy="0"/>
          </xdr:xfrm>
          <a:graphic>
            <a:graphicData uri="http://schemas.microsoft.com/office/drawing/2010/slicer">
              <sle:slicer xmlns:sle="http://schemas.microsoft.com/office/drawing/2010/slicer" name="TDC"/>
            </a:graphicData>
          </a:graphic>
        </xdr:graphicFrame>
      </mc:Choice>
      <mc:Fallback xmlns="">
        <xdr:sp macro="" textlink="">
          <xdr:nvSpPr>
            <xdr:cNvPr id="0" name=""/>
            <xdr:cNvSpPr>
              <a:spLocks noTextEdit="1"/>
            </xdr:cNvSpPr>
          </xdr:nvSpPr>
          <xdr:spPr>
            <a:xfrm>
              <a:off x="6400800" y="285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38100</xdr:colOff>
      <xdr:row>2</xdr:row>
      <xdr:rowOff>47625</xdr:rowOff>
    </xdr:from>
    <xdr:to>
      <xdr:col>15</xdr:col>
      <xdr:colOff>38100</xdr:colOff>
      <xdr:row>15</xdr:row>
      <xdr:rowOff>95250</xdr:rowOff>
    </xdr:to>
    <mc:AlternateContent xmlns:mc="http://schemas.openxmlformats.org/markup-compatibility/2006" xmlns:sle15="http://schemas.microsoft.com/office/drawing/2012/slicer">
      <mc:Choice Requires="sle15">
        <xdr:graphicFrame macro="">
          <xdr:nvGraphicFramePr>
            <xdr:cNvPr id="3" name="THIK">
              <a:extLst>
                <a:ext uri="{FF2B5EF4-FFF2-40B4-BE49-F238E27FC236}">
                  <a16:creationId xmlns:a16="http://schemas.microsoft.com/office/drawing/2014/main" id="{A9783CFB-9A01-C741-47A9-6365C99881AF}"/>
                </a:ext>
              </a:extLst>
            </xdr:cNvPr>
            <xdr:cNvGraphicFramePr/>
          </xdr:nvGraphicFramePr>
          <xdr:xfrm>
            <a:off x="0" y="0"/>
            <a:ext cx="0" cy="0"/>
          </xdr:xfrm>
          <a:graphic>
            <a:graphicData uri="http://schemas.microsoft.com/office/drawing/2010/slicer">
              <sle:slicer xmlns:sle="http://schemas.microsoft.com/office/drawing/2010/slicer" name="THIK"/>
            </a:graphicData>
          </a:graphic>
        </xdr:graphicFrame>
      </mc:Choice>
      <mc:Fallback xmlns="">
        <xdr:sp macro="" textlink="">
          <xdr:nvSpPr>
            <xdr:cNvPr id="0" name=""/>
            <xdr:cNvSpPr>
              <a:spLocks noTextEdit="1"/>
            </xdr:cNvSpPr>
          </xdr:nvSpPr>
          <xdr:spPr>
            <a:xfrm>
              <a:off x="9267825" y="428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320406</xdr:colOff>
      <xdr:row>0</xdr:row>
      <xdr:rowOff>28088</xdr:rowOff>
    </xdr:from>
    <xdr:to>
      <xdr:col>4</xdr:col>
      <xdr:colOff>363912</xdr:colOff>
      <xdr:row>0</xdr:row>
      <xdr:rowOff>1266337</xdr:rowOff>
    </xdr:to>
    <mc:AlternateContent xmlns:mc="http://schemas.openxmlformats.org/markup-compatibility/2006" xmlns:sle15="http://schemas.microsoft.com/office/drawing/2012/slicer">
      <mc:Choice Requires="sle15">
        <xdr:graphicFrame macro="">
          <xdr:nvGraphicFramePr>
            <xdr:cNvPr id="7" name="CUSTOMER NAME 1">
              <a:extLst>
                <a:ext uri="{FF2B5EF4-FFF2-40B4-BE49-F238E27FC236}">
                  <a16:creationId xmlns:a16="http://schemas.microsoft.com/office/drawing/2014/main" id="{5B137DEB-668D-F7BD-7081-1952B91F2CF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320406" y="28088"/>
              <a:ext cx="4593094" cy="12382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1079370</xdr:colOff>
      <xdr:row>0</xdr:row>
      <xdr:rowOff>86188</xdr:rowOff>
    </xdr:from>
    <xdr:to>
      <xdr:col>24</xdr:col>
      <xdr:colOff>185346</xdr:colOff>
      <xdr:row>0</xdr:row>
      <xdr:rowOff>1307353</xdr:rowOff>
    </xdr:to>
    <mc:AlternateContent xmlns:mc="http://schemas.openxmlformats.org/markup-compatibility/2006" xmlns:sle15="http://schemas.microsoft.com/office/drawing/2012/slicer">
      <mc:Choice Requires="sle15">
        <xdr:graphicFrame macro="">
          <xdr:nvGraphicFramePr>
            <xdr:cNvPr id="9" name="SCHEDULE">
              <a:extLst>
                <a:ext uri="{FF2B5EF4-FFF2-40B4-BE49-F238E27FC236}">
                  <a16:creationId xmlns:a16="http://schemas.microsoft.com/office/drawing/2014/main" id="{2F0C367E-B423-ECB4-3E3D-69A6D5DE0598}"/>
                </a:ext>
              </a:extLst>
            </xdr:cNvPr>
            <xdr:cNvGraphicFramePr/>
          </xdr:nvGraphicFramePr>
          <xdr:xfrm>
            <a:off x="0" y="0"/>
            <a:ext cx="0" cy="0"/>
          </xdr:xfrm>
          <a:graphic>
            <a:graphicData uri="http://schemas.microsoft.com/office/drawing/2010/slicer">
              <sle:slicer xmlns:sle="http://schemas.microsoft.com/office/drawing/2010/slicer" name="SCHEDULE"/>
            </a:graphicData>
          </a:graphic>
        </xdr:graphicFrame>
      </mc:Choice>
      <mc:Fallback xmlns="">
        <xdr:sp macro="" textlink="">
          <xdr:nvSpPr>
            <xdr:cNvPr id="0" name=""/>
            <xdr:cNvSpPr>
              <a:spLocks noTextEdit="1"/>
            </xdr:cNvSpPr>
          </xdr:nvSpPr>
          <xdr:spPr>
            <a:xfrm>
              <a:off x="19277723" y="86188"/>
              <a:ext cx="7465564" cy="122116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701488</xdr:colOff>
      <xdr:row>0</xdr:row>
      <xdr:rowOff>61384</xdr:rowOff>
    </xdr:from>
    <xdr:to>
      <xdr:col>16</xdr:col>
      <xdr:colOff>1043205</xdr:colOff>
      <xdr:row>0</xdr:row>
      <xdr:rowOff>1320801</xdr:rowOff>
    </xdr:to>
    <mc:AlternateContent xmlns:mc="http://schemas.openxmlformats.org/markup-compatibility/2006" xmlns:sle15="http://schemas.microsoft.com/office/drawing/2012/slicer">
      <mc:Choice Requires="sle15">
        <xdr:graphicFrame macro="">
          <xdr:nvGraphicFramePr>
            <xdr:cNvPr id="3" name="TICKNESS">
              <a:extLst>
                <a:ext uri="{FF2B5EF4-FFF2-40B4-BE49-F238E27FC236}">
                  <a16:creationId xmlns:a16="http://schemas.microsoft.com/office/drawing/2014/main" id="{56D9318B-772F-9D9C-ACFB-60B70A75A016}"/>
                </a:ext>
                <a:ext uri="{147F2762-F138-4A5C-976F-8EAC2B608ADB}">
                  <a16:predDERef xmlns:a16="http://schemas.microsoft.com/office/drawing/2014/main" pred="{B59BD392-65DE-BEA7-65AA-523C49FCF8DE}"/>
                </a:ext>
              </a:extLst>
            </xdr:cNvPr>
            <xdr:cNvGraphicFramePr/>
          </xdr:nvGraphicFramePr>
          <xdr:xfrm>
            <a:off x="0" y="0"/>
            <a:ext cx="0" cy="0"/>
          </xdr:xfrm>
          <a:graphic>
            <a:graphicData uri="http://schemas.microsoft.com/office/drawing/2010/slicer">
              <sle:slicer xmlns:sle="http://schemas.microsoft.com/office/drawing/2010/slicer" name="TICKNESS"/>
            </a:graphicData>
          </a:graphic>
        </xdr:graphicFrame>
      </mc:Choice>
      <mc:Fallback xmlns="">
        <xdr:sp macro="" textlink="">
          <xdr:nvSpPr>
            <xdr:cNvPr id="0" name=""/>
            <xdr:cNvSpPr>
              <a:spLocks noTextEdit="1"/>
            </xdr:cNvSpPr>
          </xdr:nvSpPr>
          <xdr:spPr>
            <a:xfrm>
              <a:off x="17407467" y="42334"/>
              <a:ext cx="1828799" cy="125941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1315851</xdr:colOff>
      <xdr:row>0</xdr:row>
      <xdr:rowOff>73819</xdr:rowOff>
    </xdr:from>
    <xdr:to>
      <xdr:col>7</xdr:col>
      <xdr:colOff>1524420</xdr:colOff>
      <xdr:row>0</xdr:row>
      <xdr:rowOff>1309687</xdr:rowOff>
    </xdr:to>
    <mc:AlternateContent xmlns:mc="http://schemas.openxmlformats.org/markup-compatibility/2006" xmlns:sle15="http://schemas.microsoft.com/office/drawing/2012/slicer">
      <mc:Choice Requires="sle15">
        <xdr:graphicFrame macro="">
          <xdr:nvGraphicFramePr>
            <xdr:cNvPr id="4" name="Bucket">
              <a:extLst>
                <a:ext uri="{FF2B5EF4-FFF2-40B4-BE49-F238E27FC236}">
                  <a16:creationId xmlns:a16="http://schemas.microsoft.com/office/drawing/2014/main" id="{E0850323-4757-1A47-F44A-0C4D175C08BB}"/>
                </a:ext>
                <a:ext uri="{147F2762-F138-4A5C-976F-8EAC2B608ADB}">
                  <a16:predDERef xmlns:a16="http://schemas.microsoft.com/office/drawing/2014/main" pred="{56D9318B-772F-9D9C-ACFB-60B70A75A016}"/>
                </a:ext>
              </a:extLst>
            </xdr:cNvPr>
            <xdr:cNvGraphicFramePr/>
          </xdr:nvGraphicFramePr>
          <xdr:xfrm>
            <a:off x="0" y="0"/>
            <a:ext cx="0" cy="0"/>
          </xdr:xfrm>
          <a:graphic>
            <a:graphicData uri="http://schemas.microsoft.com/office/drawing/2010/slicer">
              <sle:slicer xmlns:sle="http://schemas.microsoft.com/office/drawing/2010/slicer" name="Bucket"/>
            </a:graphicData>
          </a:graphic>
        </xdr:graphicFrame>
      </mc:Choice>
      <mc:Fallback xmlns="">
        <xdr:sp macro="" textlink="">
          <xdr:nvSpPr>
            <xdr:cNvPr id="0" name=""/>
            <xdr:cNvSpPr>
              <a:spLocks noTextEdit="1"/>
            </xdr:cNvSpPr>
          </xdr:nvSpPr>
          <xdr:spPr>
            <a:xfrm>
              <a:off x="8517731" y="73819"/>
              <a:ext cx="1831181" cy="25146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1524562</xdr:colOff>
      <xdr:row>0</xdr:row>
      <xdr:rowOff>35859</xdr:rowOff>
    </xdr:from>
    <xdr:to>
      <xdr:col>14</xdr:col>
      <xdr:colOff>666751</xdr:colOff>
      <xdr:row>0</xdr:row>
      <xdr:rowOff>1297081</xdr:rowOff>
    </xdr:to>
    <mc:AlternateContent xmlns:mc="http://schemas.openxmlformats.org/markup-compatibility/2006" xmlns:sle15="http://schemas.microsoft.com/office/drawing/2012/slicer">
      <mc:Choice Requires="sle15">
        <xdr:graphicFrame macro="">
          <xdr:nvGraphicFramePr>
            <xdr:cNvPr id="2" name="ACTUAL OD">
              <a:extLst>
                <a:ext uri="{FF2B5EF4-FFF2-40B4-BE49-F238E27FC236}">
                  <a16:creationId xmlns:a16="http://schemas.microsoft.com/office/drawing/2014/main" id="{7E12441B-349E-BEF4-1035-A1990A0E5846}"/>
                </a:ext>
                <a:ext uri="{147F2762-F138-4A5C-976F-8EAC2B608ADB}">
                  <a16:predDERef xmlns:a16="http://schemas.microsoft.com/office/drawing/2014/main" pred="{E0850323-4757-1A47-F44A-0C4D175C08BB}"/>
                </a:ext>
              </a:extLst>
            </xdr:cNvPr>
            <xdr:cNvGraphicFramePr/>
          </xdr:nvGraphicFramePr>
          <xdr:xfrm>
            <a:off x="0" y="0"/>
            <a:ext cx="0" cy="0"/>
          </xdr:xfrm>
          <a:graphic>
            <a:graphicData uri="http://schemas.microsoft.com/office/drawing/2010/slicer">
              <sle:slicer xmlns:sle="http://schemas.microsoft.com/office/drawing/2010/slicer" name="ACTUAL OD"/>
            </a:graphicData>
          </a:graphic>
        </xdr:graphicFrame>
      </mc:Choice>
      <mc:Fallback xmlns="">
        <xdr:sp macro="" textlink="">
          <xdr:nvSpPr>
            <xdr:cNvPr id="0" name=""/>
            <xdr:cNvSpPr>
              <a:spLocks noTextEdit="1"/>
            </xdr:cNvSpPr>
          </xdr:nvSpPr>
          <xdr:spPr>
            <a:xfrm>
              <a:off x="10322860" y="64434"/>
              <a:ext cx="7026088" cy="125954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687481</xdr:colOff>
      <xdr:row>0</xdr:row>
      <xdr:rowOff>38100</xdr:rowOff>
    </xdr:from>
    <xdr:to>
      <xdr:col>6</xdr:col>
      <xdr:colOff>1195108</xdr:colOff>
      <xdr:row>0</xdr:row>
      <xdr:rowOff>1200150</xdr:rowOff>
    </xdr:to>
    <mc:AlternateContent xmlns:mc="http://schemas.openxmlformats.org/markup-compatibility/2006" xmlns:sle15="http://schemas.microsoft.com/office/drawing/2012/slicer">
      <mc:Choice Requires="sle15">
        <xdr:graphicFrame macro="">
          <xdr:nvGraphicFramePr>
            <xdr:cNvPr id="6" name="Grade 1">
              <a:extLst>
                <a:ext uri="{FF2B5EF4-FFF2-40B4-BE49-F238E27FC236}">
                  <a16:creationId xmlns:a16="http://schemas.microsoft.com/office/drawing/2014/main" id="{94500858-4411-00C8-351B-326ECAA72B0F}"/>
                </a:ext>
                <a:ext uri="{147F2762-F138-4A5C-976F-8EAC2B608ADB}">
                  <a16:predDERef xmlns:a16="http://schemas.microsoft.com/office/drawing/2014/main" pred="{7E12441B-349E-BEF4-1035-A1990A0E5846}"/>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6600265" y="515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24</xdr:col>
      <xdr:colOff>652461</xdr:colOff>
      <xdr:row>0</xdr:row>
      <xdr:rowOff>0</xdr:rowOff>
    </xdr:from>
    <xdr:to>
      <xdr:col>26</xdr:col>
      <xdr:colOff>188515</xdr:colOff>
      <xdr:row>0</xdr:row>
      <xdr:rowOff>701278</xdr:rowOff>
    </xdr:to>
    <mc:AlternateContent xmlns:mc="http://schemas.openxmlformats.org/markup-compatibility/2006" xmlns:sle15="http://schemas.microsoft.com/office/drawing/2012/slicer">
      <mc:Choice Requires="sle15">
        <xdr:graphicFrame macro="">
          <xdr:nvGraphicFramePr>
            <xdr:cNvPr id="2" name="Plant">
              <a:extLst>
                <a:ext uri="{FF2B5EF4-FFF2-40B4-BE49-F238E27FC236}">
                  <a16:creationId xmlns:a16="http://schemas.microsoft.com/office/drawing/2014/main" id="{8959E173-F350-5B3D-42AC-9BB07CA6E146}"/>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21875352" y="0"/>
              <a:ext cx="3703241" cy="70127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20</xdr:col>
      <xdr:colOff>9524</xdr:colOff>
      <xdr:row>0</xdr:row>
      <xdr:rowOff>38101</xdr:rowOff>
    </xdr:from>
    <xdr:to>
      <xdr:col>22</xdr:col>
      <xdr:colOff>28575</xdr:colOff>
      <xdr:row>1</xdr:row>
      <xdr:rowOff>1</xdr:rowOff>
    </xdr:to>
    <mc:AlternateContent xmlns:mc="http://schemas.openxmlformats.org/markup-compatibility/2006" xmlns:sle15="http://schemas.microsoft.com/office/drawing/2012/slicer">
      <mc:Choice Requires="sle15">
        <xdr:graphicFrame macro="">
          <xdr:nvGraphicFramePr>
            <xdr:cNvPr id="2" name="OD">
              <a:extLst>
                <a:ext uri="{FF2B5EF4-FFF2-40B4-BE49-F238E27FC236}">
                  <a16:creationId xmlns:a16="http://schemas.microsoft.com/office/drawing/2014/main" id="{5851CDA2-87BC-80ED-957D-77C28AAA4D1A}"/>
                </a:ext>
              </a:extLst>
            </xdr:cNvPr>
            <xdr:cNvGraphicFramePr/>
          </xdr:nvGraphicFramePr>
          <xdr:xfrm>
            <a:off x="0" y="0"/>
            <a:ext cx="0" cy="0"/>
          </xdr:xfrm>
          <a:graphic>
            <a:graphicData uri="http://schemas.microsoft.com/office/drawing/2010/slicer">
              <sle:slicer xmlns:sle="http://schemas.microsoft.com/office/drawing/2010/slicer" name="OD"/>
            </a:graphicData>
          </a:graphic>
        </xdr:graphicFrame>
      </mc:Choice>
      <mc:Fallback xmlns="">
        <xdr:sp macro="" textlink="">
          <xdr:nvSpPr>
            <xdr:cNvPr id="0" name=""/>
            <xdr:cNvSpPr>
              <a:spLocks noTextEdit="1"/>
            </xdr:cNvSpPr>
          </xdr:nvSpPr>
          <xdr:spPr>
            <a:xfrm>
              <a:off x="12286191" y="38101"/>
              <a:ext cx="3654426" cy="122131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113242</xdr:colOff>
      <xdr:row>0</xdr:row>
      <xdr:rowOff>38101</xdr:rowOff>
    </xdr:from>
    <xdr:to>
      <xdr:col>24</xdr:col>
      <xdr:colOff>548216</xdr:colOff>
      <xdr:row>0</xdr:row>
      <xdr:rowOff>1238251</xdr:rowOff>
    </xdr:to>
    <mc:AlternateContent xmlns:mc="http://schemas.openxmlformats.org/markup-compatibility/2006" xmlns:sle15="http://schemas.microsoft.com/office/drawing/2012/slicer">
      <mc:Choice Requires="sle15">
        <xdr:graphicFrame macro="">
          <xdr:nvGraphicFramePr>
            <xdr:cNvPr id="3" name="ID">
              <a:extLst>
                <a:ext uri="{FF2B5EF4-FFF2-40B4-BE49-F238E27FC236}">
                  <a16:creationId xmlns:a16="http://schemas.microsoft.com/office/drawing/2014/main" id="{6C12612D-1A63-97B0-0EEF-CE886F68D560}"/>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16030575" y="38101"/>
              <a:ext cx="1837267" cy="12001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576791</xdr:colOff>
      <xdr:row>0</xdr:row>
      <xdr:rowOff>38101</xdr:rowOff>
    </xdr:from>
    <xdr:to>
      <xdr:col>27</xdr:col>
      <xdr:colOff>582083</xdr:colOff>
      <xdr:row>0</xdr:row>
      <xdr:rowOff>1219201</xdr:rowOff>
    </xdr:to>
    <mc:AlternateContent xmlns:mc="http://schemas.openxmlformats.org/markup-compatibility/2006" xmlns:sle15="http://schemas.microsoft.com/office/drawing/2012/slicer">
      <mc:Choice Requires="sle15">
        <xdr:graphicFrame macro="">
          <xdr:nvGraphicFramePr>
            <xdr:cNvPr id="4" name="Thickness">
              <a:extLst>
                <a:ext uri="{FF2B5EF4-FFF2-40B4-BE49-F238E27FC236}">
                  <a16:creationId xmlns:a16="http://schemas.microsoft.com/office/drawing/2014/main" id="{23E2355D-F7D0-C571-CE79-55BE9F36EEEB}"/>
                </a:ext>
              </a:extLst>
            </xdr:cNvPr>
            <xdr:cNvGraphicFramePr/>
          </xdr:nvGraphicFramePr>
          <xdr:xfrm>
            <a:off x="0" y="0"/>
            <a:ext cx="0" cy="0"/>
          </xdr:xfrm>
          <a:graphic>
            <a:graphicData uri="http://schemas.microsoft.com/office/drawing/2010/slicer">
              <sle:slicer xmlns:sle="http://schemas.microsoft.com/office/drawing/2010/slicer" name="Thickness"/>
            </a:graphicData>
          </a:graphic>
        </xdr:graphicFrame>
      </mc:Choice>
      <mc:Fallback xmlns="">
        <xdr:sp macro="" textlink="">
          <xdr:nvSpPr>
            <xdr:cNvPr id="0" name=""/>
            <xdr:cNvSpPr>
              <a:spLocks noTextEdit="1"/>
            </xdr:cNvSpPr>
          </xdr:nvSpPr>
          <xdr:spPr>
            <a:xfrm>
              <a:off x="17896417" y="38101"/>
              <a:ext cx="1830916" cy="11811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611716</xdr:colOff>
      <xdr:row>0</xdr:row>
      <xdr:rowOff>47625</xdr:rowOff>
    </xdr:from>
    <xdr:to>
      <xdr:col>29</xdr:col>
      <xdr:colOff>319615</xdr:colOff>
      <xdr:row>0</xdr:row>
      <xdr:rowOff>1238250</xdr:rowOff>
    </xdr:to>
    <mc:AlternateContent xmlns:mc="http://schemas.openxmlformats.org/markup-compatibility/2006" xmlns:sle15="http://schemas.microsoft.com/office/drawing/2012/slicer">
      <mc:Choice Requires="sle15">
        <xdr:graphicFrame macro="">
          <xdr:nvGraphicFramePr>
            <xdr:cNvPr id="5" name="Length">
              <a:extLst>
                <a:ext uri="{FF2B5EF4-FFF2-40B4-BE49-F238E27FC236}">
                  <a16:creationId xmlns:a16="http://schemas.microsoft.com/office/drawing/2014/main" id="{4C42D2C8-DBA5-5E55-B1DE-4B2861AC8DE8}"/>
                </a:ext>
              </a:extLst>
            </xdr:cNvPr>
            <xdr:cNvGraphicFramePr/>
          </xdr:nvGraphicFramePr>
          <xdr:xfrm>
            <a:off x="0" y="0"/>
            <a:ext cx="0" cy="0"/>
          </xdr:xfrm>
          <a:graphic>
            <a:graphicData uri="http://schemas.microsoft.com/office/drawing/2010/slicer">
              <sle:slicer xmlns:sle="http://schemas.microsoft.com/office/drawing/2010/slicer" name="Length"/>
            </a:graphicData>
          </a:graphic>
        </xdr:graphicFrame>
      </mc:Choice>
      <mc:Fallback xmlns="">
        <xdr:sp macro="" textlink="">
          <xdr:nvSpPr>
            <xdr:cNvPr id="0" name=""/>
            <xdr:cNvSpPr>
              <a:spLocks noTextEdit="1"/>
            </xdr:cNvSpPr>
          </xdr:nvSpPr>
          <xdr:spPr>
            <a:xfrm>
              <a:off x="19756966" y="47625"/>
              <a:ext cx="3004608" cy="11906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23</xdr:row>
      <xdr:rowOff>9525</xdr:rowOff>
    </xdr:from>
    <xdr:to>
      <xdr:col>1</xdr:col>
      <xdr:colOff>1895475</xdr:colOff>
      <xdr:row>37</xdr:row>
      <xdr:rowOff>85725</xdr:rowOff>
    </xdr:to>
    <xdr:graphicFrame macro="">
      <xdr:nvGraphicFramePr>
        <xdr:cNvPr id="2" name="Chart 1">
          <a:extLst>
            <a:ext uri="{FF2B5EF4-FFF2-40B4-BE49-F238E27FC236}">
              <a16:creationId xmlns:a16="http://schemas.microsoft.com/office/drawing/2014/main" id="{CC15B6C9-6500-467B-90AF-9308ED0E6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1009650</xdr:colOff>
      <xdr:row>23</xdr:row>
      <xdr:rowOff>171450</xdr:rowOff>
    </xdr:from>
    <xdr:to>
      <xdr:col>6</xdr:col>
      <xdr:colOff>104775</xdr:colOff>
      <xdr:row>38</xdr:row>
      <xdr:rowOff>57150</xdr:rowOff>
    </xdr:to>
    <xdr:pic>
      <xdr:nvPicPr>
        <xdr:cNvPr id="3" name="Picture 2">
          <a:extLst>
            <a:ext uri="{FF2B5EF4-FFF2-40B4-BE49-F238E27FC236}">
              <a16:creationId xmlns:a16="http://schemas.microsoft.com/office/drawing/2014/main" id="{EE504B7E-F7AA-531A-158D-C57FD92AA6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81750" y="5505450"/>
          <a:ext cx="4572000" cy="274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990600</xdr:colOff>
      <xdr:row>142</xdr:row>
      <xdr:rowOff>128587</xdr:rowOff>
    </xdr:from>
    <xdr:to>
      <xdr:col>2</xdr:col>
      <xdr:colOff>190500</xdr:colOff>
      <xdr:row>157</xdr:row>
      <xdr:rowOff>14287</xdr:rowOff>
    </xdr:to>
    <xdr:graphicFrame macro="">
      <xdr:nvGraphicFramePr>
        <xdr:cNvPr id="4" name="Chart 3">
          <a:extLst>
            <a:ext uri="{FF2B5EF4-FFF2-40B4-BE49-F238E27FC236}">
              <a16:creationId xmlns:a16="http://schemas.microsoft.com/office/drawing/2014/main" id="{56FCCD28-DCD8-4F00-641D-59EC62FE0764}"/>
            </a:ext>
            <a:ext uri="{147F2762-F138-4A5C-976F-8EAC2B608ADB}">
              <a16:predDERef xmlns:a16="http://schemas.microsoft.com/office/drawing/2014/main" pred="{EE504B7E-F7AA-531A-158D-C57FD92AA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40482</xdr:rowOff>
    </xdr:from>
    <xdr:to>
      <xdr:col>2</xdr:col>
      <xdr:colOff>276000</xdr:colOff>
      <xdr:row>0</xdr:row>
      <xdr:rowOff>1840482</xdr:rowOff>
    </xdr:to>
    <mc:AlternateContent xmlns:mc="http://schemas.openxmlformats.org/markup-compatibility/2006" xmlns:sle15="http://schemas.microsoft.com/office/drawing/2012/slicer">
      <mc:Choice Requires="sle15">
        <xdr:graphicFrame macro="">
          <xdr:nvGraphicFramePr>
            <xdr:cNvPr id="2" name="Material Type">
              <a:extLst>
                <a:ext uri="{FF2B5EF4-FFF2-40B4-BE49-F238E27FC236}">
                  <a16:creationId xmlns:a16="http://schemas.microsoft.com/office/drawing/2014/main" id="{3D04D14A-9A59-6E53-03BF-2F7046D3574D}"/>
                </a:ext>
              </a:extLst>
            </xdr:cNvPr>
            <xdr:cNvGraphicFramePr/>
          </xdr:nvGraphicFramePr>
          <xdr:xfrm>
            <a:off x="0" y="0"/>
            <a:ext cx="0" cy="0"/>
          </xdr:xfrm>
          <a:graphic>
            <a:graphicData uri="http://schemas.microsoft.com/office/drawing/2010/slicer">
              <sle:slicer xmlns:sle="http://schemas.microsoft.com/office/drawing/2010/slicer" name="Material Type"/>
            </a:graphicData>
          </a:graphic>
        </xdr:graphicFrame>
      </mc:Choice>
      <mc:Fallback xmlns="">
        <xdr:sp macro="" textlink="">
          <xdr:nvSpPr>
            <xdr:cNvPr id="0" name=""/>
            <xdr:cNvSpPr>
              <a:spLocks noTextEdit="1"/>
            </xdr:cNvSpPr>
          </xdr:nvSpPr>
          <xdr:spPr>
            <a:xfrm>
              <a:off x="0" y="40482"/>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292894</xdr:colOff>
      <xdr:row>0</xdr:row>
      <xdr:rowOff>40483</xdr:rowOff>
    </xdr:from>
    <xdr:to>
      <xdr:col>5</xdr:col>
      <xdr:colOff>33113</xdr:colOff>
      <xdr:row>0</xdr:row>
      <xdr:rowOff>1840483</xdr:rowOff>
    </xdr:to>
    <mc:AlternateContent xmlns:mc="http://schemas.openxmlformats.org/markup-compatibility/2006" xmlns:sle15="http://schemas.microsoft.com/office/drawing/2012/slicer">
      <mc:Choice Requires="sle15">
        <xdr:graphicFrame macro="">
          <xdr:nvGraphicFramePr>
            <xdr:cNvPr id="3" name="GRADE">
              <a:extLst>
                <a:ext uri="{FF2B5EF4-FFF2-40B4-BE49-F238E27FC236}">
                  <a16:creationId xmlns:a16="http://schemas.microsoft.com/office/drawing/2014/main" id="{9B3F5123-612A-4347-F644-0A40DA59A98C}"/>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816894" y="40483"/>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50006</xdr:colOff>
      <xdr:row>0</xdr:row>
      <xdr:rowOff>52388</xdr:rowOff>
    </xdr:from>
    <xdr:to>
      <xdr:col>9</xdr:col>
      <xdr:colOff>285749</xdr:colOff>
      <xdr:row>0</xdr:row>
      <xdr:rowOff>1852388</xdr:rowOff>
    </xdr:to>
    <mc:AlternateContent xmlns:mc="http://schemas.openxmlformats.org/markup-compatibility/2006" xmlns:sle15="http://schemas.microsoft.com/office/drawing/2012/slicer">
      <mc:Choice Requires="sle15">
        <xdr:graphicFrame macro="">
          <xdr:nvGraphicFramePr>
            <xdr:cNvPr id="4" name="OD 3">
              <a:extLst>
                <a:ext uri="{FF2B5EF4-FFF2-40B4-BE49-F238E27FC236}">
                  <a16:creationId xmlns:a16="http://schemas.microsoft.com/office/drawing/2014/main" id="{318C44FF-37CD-ED1F-F650-73A34A5746BB}"/>
                </a:ext>
              </a:extLst>
            </xdr:cNvPr>
            <xdr:cNvGraphicFramePr/>
          </xdr:nvGraphicFramePr>
          <xdr:xfrm>
            <a:off x="0" y="0"/>
            <a:ext cx="0" cy="0"/>
          </xdr:xfrm>
          <a:graphic>
            <a:graphicData uri="http://schemas.microsoft.com/office/drawing/2010/slicer">
              <sle:slicer xmlns:sle="http://schemas.microsoft.com/office/drawing/2010/slicer" name="OD 3"/>
            </a:graphicData>
          </a:graphic>
        </xdr:graphicFrame>
      </mc:Choice>
      <mc:Fallback xmlns="">
        <xdr:sp macro="" textlink="">
          <xdr:nvSpPr>
            <xdr:cNvPr id="0" name=""/>
            <xdr:cNvSpPr>
              <a:spLocks noTextEdit="1"/>
            </xdr:cNvSpPr>
          </xdr:nvSpPr>
          <xdr:spPr>
            <a:xfrm>
              <a:off x="3633787" y="52388"/>
              <a:ext cx="2521743"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319089</xdr:colOff>
      <xdr:row>0</xdr:row>
      <xdr:rowOff>52389</xdr:rowOff>
    </xdr:from>
    <xdr:to>
      <xdr:col>10</xdr:col>
      <xdr:colOff>1666651</xdr:colOff>
      <xdr:row>0</xdr:row>
      <xdr:rowOff>1852389</xdr:rowOff>
    </xdr:to>
    <mc:AlternateContent xmlns:mc="http://schemas.openxmlformats.org/markup-compatibility/2006" xmlns:sle15="http://schemas.microsoft.com/office/drawing/2012/slicer">
      <mc:Choice Requires="sle15">
        <xdr:graphicFrame macro="">
          <xdr:nvGraphicFramePr>
            <xdr:cNvPr id="5" name="ID 1">
              <a:extLst>
                <a:ext uri="{FF2B5EF4-FFF2-40B4-BE49-F238E27FC236}">
                  <a16:creationId xmlns:a16="http://schemas.microsoft.com/office/drawing/2014/main" id="{68B2E6C5-05FA-022D-5417-197651F7D306}"/>
                </a:ext>
              </a:extLst>
            </xdr:cNvPr>
            <xdr:cNvGraphicFramePr/>
          </xdr:nvGraphicFramePr>
          <xdr:xfrm>
            <a:off x="0" y="0"/>
            <a:ext cx="0" cy="0"/>
          </xdr:xfrm>
          <a:graphic>
            <a:graphicData uri="http://schemas.microsoft.com/office/drawing/2010/slicer">
              <sle:slicer xmlns:sle="http://schemas.microsoft.com/office/drawing/2010/slicer" name="ID 1"/>
            </a:graphicData>
          </a:graphic>
        </xdr:graphicFrame>
      </mc:Choice>
      <mc:Fallback xmlns="">
        <xdr:sp macro="" textlink="">
          <xdr:nvSpPr>
            <xdr:cNvPr id="0" name=""/>
            <xdr:cNvSpPr>
              <a:spLocks noTextEdit="1"/>
            </xdr:cNvSpPr>
          </xdr:nvSpPr>
          <xdr:spPr>
            <a:xfrm>
              <a:off x="6188870" y="52389"/>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1659733</xdr:colOff>
      <xdr:row>0</xdr:row>
      <xdr:rowOff>64294</xdr:rowOff>
    </xdr:from>
    <xdr:to>
      <xdr:col>12</xdr:col>
      <xdr:colOff>6921</xdr:colOff>
      <xdr:row>0</xdr:row>
      <xdr:rowOff>1864294</xdr:rowOff>
    </xdr:to>
    <mc:AlternateContent xmlns:mc="http://schemas.openxmlformats.org/markup-compatibility/2006" xmlns:sle15="http://schemas.microsoft.com/office/drawing/2012/slicer">
      <mc:Choice Requires="sle15">
        <xdr:graphicFrame macro="">
          <xdr:nvGraphicFramePr>
            <xdr:cNvPr id="6" name="THK">
              <a:extLst>
                <a:ext uri="{FF2B5EF4-FFF2-40B4-BE49-F238E27FC236}">
                  <a16:creationId xmlns:a16="http://schemas.microsoft.com/office/drawing/2014/main" id="{F840DACA-A8F2-E005-CAA1-B76D3E5B4B36}"/>
                </a:ext>
              </a:extLst>
            </xdr:cNvPr>
            <xdr:cNvGraphicFramePr/>
          </xdr:nvGraphicFramePr>
          <xdr:xfrm>
            <a:off x="0" y="0"/>
            <a:ext cx="0" cy="0"/>
          </xdr:xfrm>
          <a:graphic>
            <a:graphicData uri="http://schemas.microsoft.com/office/drawing/2010/slicer">
              <sle:slicer xmlns:sle="http://schemas.microsoft.com/office/drawing/2010/slicer" name="THK"/>
            </a:graphicData>
          </a:graphic>
        </xdr:graphicFrame>
      </mc:Choice>
      <mc:Fallback xmlns="">
        <xdr:sp macro="" textlink="">
          <xdr:nvSpPr>
            <xdr:cNvPr id="0" name=""/>
            <xdr:cNvSpPr>
              <a:spLocks noTextEdit="1"/>
            </xdr:cNvSpPr>
          </xdr:nvSpPr>
          <xdr:spPr>
            <a:xfrm>
              <a:off x="7981952" y="64294"/>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202407</xdr:colOff>
      <xdr:row>0</xdr:row>
      <xdr:rowOff>88107</xdr:rowOff>
    </xdr:from>
    <xdr:to>
      <xdr:col>13</xdr:col>
      <xdr:colOff>276000</xdr:colOff>
      <xdr:row>0</xdr:row>
      <xdr:rowOff>1888107</xdr:rowOff>
    </xdr:to>
    <mc:AlternateContent xmlns:mc="http://schemas.openxmlformats.org/markup-compatibility/2006" xmlns:sle15="http://schemas.microsoft.com/office/drawing/2012/slicer">
      <mc:Choice Requires="sle15">
        <xdr:graphicFrame macro="">
          <xdr:nvGraphicFramePr>
            <xdr:cNvPr id="7" name="LENGTH 1">
              <a:extLst>
                <a:ext uri="{FF2B5EF4-FFF2-40B4-BE49-F238E27FC236}">
                  <a16:creationId xmlns:a16="http://schemas.microsoft.com/office/drawing/2014/main" id="{3A158C22-5EA0-441D-8CBA-D839A2423F40}"/>
                </a:ext>
              </a:extLst>
            </xdr:cNvPr>
            <xdr:cNvGraphicFramePr/>
          </xdr:nvGraphicFramePr>
          <xdr:xfrm>
            <a:off x="0" y="0"/>
            <a:ext cx="0" cy="0"/>
          </xdr:xfrm>
          <a:graphic>
            <a:graphicData uri="http://schemas.microsoft.com/office/drawing/2010/slicer">
              <sle:slicer xmlns:sle="http://schemas.microsoft.com/office/drawing/2010/slicer" name="LENGTH 1"/>
            </a:graphicData>
          </a:graphic>
        </xdr:graphicFrame>
      </mc:Choice>
      <mc:Fallback xmlns="">
        <xdr:sp macro="" textlink="">
          <xdr:nvSpPr>
            <xdr:cNvPr id="0" name=""/>
            <xdr:cNvSpPr>
              <a:spLocks noTextEdit="1"/>
            </xdr:cNvSpPr>
          </xdr:nvSpPr>
          <xdr:spPr>
            <a:xfrm>
              <a:off x="9977438" y="88107"/>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mple%20files/zma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163559\Desktop\scehdule%20fil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163559\Desktop\TVSM%20August%20Schedule.2025_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163559_tatasteel_com/Documents/Tubes/DM/Mar'26/pq/Jan26%20rm%20tracker%20v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163559\OneDrive%20-%20Tata%20Steel%20Limited\Tubes\DM\Material%20Mapping%20Sheet\zmat_tube%20material%20master.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tslin-my.sharepoint.com/personal/163559_tatasteel_com/Documents/Tubes/DM/Material%20Mapping%20Sheet/zmat_tube%20material%20master.xlsx" TargetMode="External"/><Relationship Id="rId1" Type="http://schemas.openxmlformats.org/officeDocument/2006/relationships/externalLinkPath" Target="/personal/163559_tatasteel_com/Documents/Tubes/DM/Material%20Mapping%20Sheet/zmat_tube%20material%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zmat"/>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M_key_1_rev codes"/>
      <sheetName val="Methodology"/>
      <sheetName val="saleswipstock_matnos"/>
      <sheetName val="saleswipstock_customer"/>
      <sheetName val="OEM_key"/>
      <sheetName val="Chamferring and Angle cut"/>
      <sheetName val="stock"/>
      <sheetName val="Pivot_schedule"/>
      <sheetName val="Schedule Pivot"/>
      <sheetName val="RM Tracker"/>
      <sheetName val="RM Tracker Pasted"/>
      <sheetName val="OMS_v2"/>
      <sheetName val="Schedule aug"/>
      <sheetName val="salesTVS"/>
      <sheetName val="pivot schedule copy check"/>
      <sheetName val="Bucketting"/>
      <sheetName val="Schedule for Printing"/>
      <sheetName val="Sales Forecast TVS"/>
      <sheetName val="Printing Forecast"/>
      <sheetName val="Sales Loss"/>
      <sheetName val="SOB"/>
      <sheetName val="All Chamferring"/>
      <sheetName val="salesALL"/>
      <sheetName val="Chamferring Sizes"/>
      <sheetName val="rm types"/>
      <sheetName val="Sales Forecast For Printing"/>
      <sheetName val="Apr VSM Schedule"/>
      <sheetName val="VSM May Indent"/>
      <sheetName val="VSM June Indent"/>
      <sheetName val="VSM July Indent"/>
      <sheetName val="Aug Indent"/>
      <sheetName val="MeghSteel Buckets_use file"/>
      <sheetName val="Sep Indent"/>
      <sheetName val="Megh Value Added SKU Tracker"/>
      <sheetName val="OMS_TsubramaniG"/>
      <sheetName val="Knitvel Sizes"/>
      <sheetName val="PCR"/>
      <sheetName val="meghsteelsales"/>
      <sheetName val="meghsteelsales_previous month"/>
      <sheetName val="MeghSteel Buckets_refresh file"/>
      <sheetName val="helper sheet"/>
      <sheetName val="Schedule Ampere"/>
      <sheetName val="wip"/>
      <sheetName val="Customer view of Sales Forecast"/>
      <sheetName val="NMPL Schedule vs Sales"/>
      <sheetName val="Critical sizes 27012025"/>
      <sheetName val="Pivot"/>
      <sheetName val="Bucket and Schedule Matching"/>
      <sheetName val="ERW 2 and ERW 2 MAHS"/>
      <sheetName val="scehdule 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wipstock_matnos"/>
      <sheetName val="saleswipstock_customer"/>
      <sheetName val="OEM_key"/>
      <sheetName val="Methodology"/>
      <sheetName val="Alf and Ampere"/>
      <sheetName val="Chamferring and Angle cut"/>
      <sheetName val="stock"/>
      <sheetName val="Pivot_schedule"/>
      <sheetName val="Schedule Pivot"/>
      <sheetName val="RM Tracker"/>
      <sheetName val="salesTVS"/>
      <sheetName val="RM Tracker Pasted"/>
      <sheetName val="pivot schedule copy check"/>
      <sheetName val="Bucketting"/>
      <sheetName val="Schedule apr"/>
      <sheetName val="Schedule for Printing"/>
      <sheetName val="Sales Forecast TVS"/>
      <sheetName val="Sheet1"/>
      <sheetName val="OMS_TsubramaniG"/>
      <sheetName val="Printing Forecast"/>
      <sheetName val="Sales Loss"/>
      <sheetName val="SOB"/>
      <sheetName val="All Chamferring"/>
      <sheetName val="Sheet5"/>
      <sheetName val="salesALL"/>
      <sheetName val="Cutting Plan 4731 june"/>
      <sheetName val="Chamferring Sizes"/>
      <sheetName val="rm types"/>
      <sheetName val="Sales Forecast For Printing"/>
      <sheetName val="Apr VSM Schedule"/>
      <sheetName val="VSM May Indent"/>
      <sheetName val="VSM June Indent"/>
      <sheetName val="VSM July Indent"/>
      <sheetName val="Aug Indent"/>
      <sheetName val="MeghSteel Buckets_use file"/>
      <sheetName val="JSR_OMS_REFRESH FILE"/>
      <sheetName val="meghsteelsales"/>
      <sheetName val="meghsteelsales_previous month"/>
      <sheetName val="MeghSteel Buckets_refresh file"/>
      <sheetName val="helper sheet"/>
      <sheetName val="Pivot_schedule_ampere"/>
      <sheetName val="Schedule Ampere"/>
      <sheetName val="wip"/>
      <sheetName val="NMPL Rajsriya Rucha Hosur Order"/>
      <sheetName val="ERW 2 and ERW 2 MAHS"/>
      <sheetName val="Customer view of Sales Forecast"/>
      <sheetName val="NMPL Schedule vs Sales"/>
      <sheetName val="Critical sizes 27012025"/>
      <sheetName val="Pivot"/>
      <sheetName val="Bucket and Schedule Matching"/>
      <sheetName val="TVSM August Schedule.2025_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26 rm tracker v2"/>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2"/>
      <sheetName val="zmat_tube material master"/>
      <sheetName val=""/>
    </sheetNames>
    <sheetDataSet>
      <sheetData sheetId="0">
        <row r="1">
          <cell r="A1" t="str">
            <v>Column1</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sheetDataSet>
      <sheetData sheetId="0"/>
      <sheetData sheetId="1"/>
      <sheetData sheetId="2"/>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poorv Gupta" id="{EE4EF38F-FD06-4829-9F36-CEC288A6F9CC}" userId="S::163559@tatasteel.com::9ecb0929-8677-49c6-b468-f366e90eac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5814.567041087961" createdVersion="8" refreshedVersion="8" minRefreshableVersion="3" recordCount="585" xr:uid="{00000000-000A-0000-FFFF-FFFF09000000}">
  <cacheSource type="worksheet">
    <worksheetSource name="schedule"/>
  </cacheSource>
  <cacheFields count="35">
    <cacheField name="SNO" numFmtId="0">
      <sharedItems containsString="0" containsBlank="1" containsNumber="1" containsInteger="1" minValue="1" maxValue="583"/>
    </cacheField>
    <cacheField name="RM Loaction" numFmtId="0">
      <sharedItems containsBlank="1"/>
    </cacheField>
    <cacheField name="CUSTOMER NAME" numFmtId="0">
      <sharedItems containsBlank="1" count="30">
        <s v="Balaji press product"/>
        <s v="ELKAYEM AUTO"/>
        <s v="ELKAYEM AUTO ANCILLARIES (PVT)"/>
        <s v="ELKAYEM AUTO MYSORE "/>
        <s v="KAY JAY"/>
        <m/>
        <s v="KNITVEL NEEDLES P LTD"/>
        <s v="Marathwada"/>
        <s v="Metalman"/>
        <s v="Narasipur Auto Component(P)Ltd"/>
        <s v="NEEL METAL PRODUCTS LIMITED"/>
        <s v="NMPL (HUB)"/>
        <s v="NMPL 1"/>
        <s v="Rajsriya Automotive"/>
        <s v="Rajsriya Mysore "/>
        <s v="Rajsriya Unit 1"/>
        <s v="Rajsriya Unit 2"/>
        <s v="Rajsriya Unit 4"/>
        <s v="Rajsriya Unit 5"/>
        <s v="Rajsriya Unit 8"/>
        <s v="RUCHA"/>
        <s v="Sandhar Automach"/>
        <s v="Sandhar Engg Mysore "/>
        <s v="SANDHAR ENGINEERING PVT LTD."/>
        <s v="SRI BALAJI GEARS V3"/>
        <s v="SRI BALAJI GEARS V4"/>
        <s v="SRIKAM HITECH"/>
        <s v="TVS MOTOR COMPANY LIMITED"/>
        <s v="Sri Balaji Gear" u="1"/>
        <s v="ELKAYEM AMPERE" u="1"/>
      </sharedItems>
    </cacheField>
    <cacheField name="Helper Customer" numFmtId="0">
      <sharedItems containsBlank="1" containsMixedTypes="1" containsNumber="1" containsInteger="1" minValue="189226" maxValue="189226"/>
    </cacheField>
    <cacheField name="CUSTOMER CODE" numFmtId="0">
      <sharedItems containsBlank="1" containsMixedTypes="1" containsNumber="1" containsInteger="1" minValue="129663" maxValue="945539"/>
    </cacheField>
    <cacheField name="MATERIAL NO" numFmtId="0">
      <sharedItems containsBlank="1" containsMixedTypes="1" containsNumber="1" containsInteger="1" minValue="234926" maxValue="3974533"/>
    </cacheField>
    <cacheField name="." numFmtId="0">
      <sharedItems containsBlank="1"/>
    </cacheField>
    <cacheField name="GRADE" numFmtId="0">
      <sharedItems containsBlank="1" count="8">
        <s v="ERW 1"/>
        <m/>
        <s v="CEW"/>
        <s v="CEW STKM 13C"/>
        <s v="ERW 2 MAHS"/>
        <s v="CRFH"/>
        <s v="ERW 2"/>
        <s v="CEW STKM 13" u="1"/>
      </sharedItems>
    </cacheField>
    <cacheField name="Annealed/Unannealed" numFmtId="0">
      <sharedItems containsBlank="1"/>
    </cacheField>
    <cacheField name="FC/NFC" numFmtId="0">
      <sharedItems containsBlank="1" containsMixedTypes="1" containsNumber="1" minValue="21.75" maxValue="21.75" count="6">
        <s v="PE"/>
        <s v="FC"/>
        <s v="CEW"/>
        <m/>
        <s v="FIN CUT"/>
        <n v="21.75" u="1"/>
      </sharedItems>
    </cacheField>
    <cacheField name="HR/CR" numFmtId="0">
      <sharedItems containsBlank="1" containsMixedTypes="1" containsNumber="1" containsInteger="1" minValue="0" maxValue="0" count="4">
        <s v="CR"/>
        <s v="HR"/>
        <m/>
        <n v="0" u="1"/>
      </sharedItems>
    </cacheField>
    <cacheField name="HR/CR Check" numFmtId="0">
      <sharedItems containsBlank="1"/>
    </cacheField>
    <cacheField name="Chamferring " numFmtId="0">
      <sharedItems containsBlank="1"/>
    </cacheField>
    <cacheField name="Angle Cut" numFmtId="0">
      <sharedItems containsBlank="1"/>
    </cacheField>
    <cacheField name="Surface Critical" numFmtId="0">
      <sharedItems containsBlank="1"/>
    </cacheField>
    <cacheField name="Bucket" numFmtId="0">
      <sharedItems/>
    </cacheField>
    <cacheField name="CTL Bucket" numFmtId="0">
      <sharedItems containsBlank="1"/>
    </cacheField>
    <cacheField name="Check if CTL bucket is in sales sheet or not" numFmtId="0">
      <sharedItems containsString="0" containsBlank="1" containsNumber="1" containsInteger="1" minValue="0" maxValue="5"/>
    </cacheField>
    <cacheField name="ACTUAL OD" numFmtId="2">
      <sharedItems containsString="0" containsBlank="1" containsNumber="1" minValue="11" maxValue="70" count="48">
        <n v="12.7"/>
        <n v="15.88"/>
        <n v="19.05"/>
        <n v="25.4"/>
        <n v="50.8"/>
        <n v="14"/>
        <n v="16.100000000000001"/>
        <n v="17.3"/>
        <n v="22.23"/>
        <n v="28.58"/>
        <n v="28.6"/>
        <n v="31.2"/>
        <n v="31.75"/>
        <n v="34.93"/>
        <n v="38.1"/>
        <n v="41.28"/>
        <n v="42.7"/>
        <n v="44.45"/>
        <n v="48.6"/>
        <n v="57.15"/>
        <n v="37.6"/>
        <n v="29.4"/>
        <m/>
        <n v="23.42"/>
        <n v="30"/>
        <n v="30.15"/>
        <n v="39"/>
        <n v="19"/>
        <n v="21.75"/>
        <n v="60.3"/>
        <n v="18"/>
        <n v="25.6"/>
        <n v="32"/>
        <n v="54"/>
        <n v="63.5"/>
        <n v="70"/>
        <n v="18.2"/>
        <n v="20"/>
        <n v="33.299999999999997"/>
        <n v="11"/>
        <n v="21.7"/>
        <n v="37.950000000000003"/>
        <n v="25.5"/>
        <n v="36"/>
        <n v="12"/>
        <n v="40"/>
        <n v="16" u="1"/>
        <n v="50" u="1"/>
      </sharedItems>
    </cacheField>
    <cacheField name="OD" numFmtId="2">
      <sharedItems containsString="0" containsBlank="1" containsNumber="1" minValue="0" maxValue="70" count="57">
        <n v="12.7"/>
        <n v="15.88"/>
        <n v="19.05"/>
        <n v="25.4"/>
        <n v="50"/>
        <n v="14"/>
        <n v="16.100000000000001"/>
        <n v="17.3"/>
        <n v="22.23"/>
        <n v="28.58"/>
        <n v="28.6"/>
        <n v="37.6"/>
        <n v="25"/>
        <n v="31.75"/>
        <n v="34.93"/>
        <n v="40"/>
        <n v="42.7"/>
        <n v="48.6"/>
        <n v="59"/>
        <n v="57.15"/>
        <n v="29.4"/>
        <m/>
        <n v="19"/>
        <n v="30"/>
        <n v="38.1"/>
        <n v="39"/>
        <n v="21.75"/>
        <n v="41.28"/>
        <n v="0"/>
        <n v="60.3"/>
        <n v="26"/>
        <n v="25.6"/>
        <n v="32"/>
        <n v="54"/>
        <n v="63.5"/>
        <n v="70"/>
        <n v="18.2"/>
        <n v="20"/>
        <n v="2.2999995526450192"/>
        <n v="50.8"/>
        <n v="11"/>
        <n v="21.7"/>
        <n v="9.601098752945636E-2"/>
        <n v="37.950000000000003"/>
        <n v="22.2"/>
        <n v="30.15"/>
        <n v="36"/>
        <n v="12"/>
        <n v="33.299999999999997"/>
        <n v="16.099993369413511" u="1"/>
        <n v="2.2999993823152991" u="1"/>
        <n v="16" u="1"/>
        <n v="16.099993369405496" u="1"/>
        <n v="16.099990844726563" u="1"/>
        <n v="10.5" u="1"/>
        <n v="31.2" u="1"/>
        <n v="33.299992842315135" u="1"/>
      </sharedItems>
    </cacheField>
    <cacheField name="ID" numFmtId="2">
      <sharedItems containsString="0" containsBlank="1" containsNumber="1" minValue="0" maxValue="50" count="30">
        <n v="0"/>
        <n v="30"/>
        <n v="10.7"/>
        <n v="31.2"/>
        <n v="25"/>
        <n v="20"/>
        <n v="20.399999999999999"/>
        <m/>
        <n v="19"/>
        <n v="25.5"/>
        <n v="34"/>
        <n v="40"/>
        <n v="9.1"/>
        <n v="12.5"/>
        <n v="18"/>
        <n v="18.399999999999999"/>
        <n v="16.600000000000001"/>
        <n v="12.4"/>
        <n v="29.3"/>
        <n v="8"/>
        <n v="17.16"/>
        <n v="16.2"/>
        <n v="32"/>
        <n v="50"/>
        <n v="10.4"/>
        <n v="12.3"/>
        <n v="10.1"/>
        <n v="22.23" u="1"/>
        <n v="23.3" u="1"/>
        <n v="10" u="1"/>
      </sharedItems>
    </cacheField>
    <cacheField name="TICKNESS" numFmtId="2">
      <sharedItems containsString="0" containsBlank="1" containsNumber="1" minValue="0.91" maxValue="4.5" count="36">
        <n v="1.6"/>
        <n v="1.2"/>
        <n v="1"/>
        <n v="2"/>
        <n v="2.8"/>
        <n v="2.95"/>
        <n v="1.63"/>
        <n v="2.2999999999999998"/>
        <n v="2.65"/>
        <n v="3.2"/>
        <n v="3.37"/>
        <n v="2.5"/>
        <n v="4"/>
        <n v="2.6"/>
        <n v="4.5"/>
        <m/>
        <n v="3.5"/>
        <n v="1.22"/>
        <n v="2.25"/>
        <n v="3.66"/>
        <n v="2.4500000000000002"/>
        <n v="3.25"/>
        <n v="3"/>
        <n v="3.8"/>
        <n v="1.5"/>
        <n v="1.42"/>
        <n v="2.75"/>
        <n v="2.9"/>
        <n v="2.34"/>
        <n v="2.3199999999999998"/>
        <n v="0.91"/>
        <n v="2.7"/>
        <n v="1.95"/>
        <n v="1.21" u="1"/>
        <n v="3.2750000000000004" u="1"/>
        <n v="3.4" u="1"/>
      </sharedItems>
    </cacheField>
    <cacheField name="LENGTH" numFmtId="0">
      <sharedItems containsString="0" containsBlank="1" containsNumber="1" minValue="85" maxValue="7000"/>
    </cacheField>
    <cacheField name="UoM" numFmtId="0">
      <sharedItems containsBlank="1"/>
    </cacheField>
    <cacheField name="SCHEDULE" numFmtId="0">
      <sharedItems containsString="0" containsBlank="1" containsNumber="1" minValue="0" maxValue="55000" count="196">
        <n v="40000"/>
        <n v="1500"/>
        <n v="4000"/>
        <n v="8000"/>
        <n v="10000"/>
        <m/>
        <n v="5000"/>
        <n v="2000"/>
        <n v="9000"/>
        <n v="1000"/>
        <n v="25000"/>
        <n v="3000"/>
        <n v="6000"/>
        <n v="11000"/>
        <n v="2500"/>
        <n v="12500"/>
        <n v="7500"/>
        <n v="7000"/>
        <n v="12000"/>
        <n v="28000"/>
        <n v="14000"/>
        <n v="34000"/>
        <n v="10200"/>
        <n v="17700"/>
        <n v="2950"/>
        <n v="2550"/>
        <n v="5300"/>
        <n v="20200"/>
        <n v="5550"/>
        <n v="4250"/>
        <n v="0"/>
        <n v="20000"/>
        <n v="4500"/>
        <n v="27000"/>
        <n v="14346"/>
        <n v="12110"/>
        <n v="33320"/>
        <n v="13500"/>
        <n v="18000"/>
        <n v="3504"/>
        <n v="30240"/>
        <n v="2802"/>
        <n v="7350"/>
        <n v="6900"/>
        <n v="1002"/>
        <n v="2880"/>
        <n v="13000"/>
        <n v="30000"/>
        <n v="3500"/>
        <n v="15000"/>
        <n v="100"/>
        <n v="504"/>
        <n v="500"/>
        <n v="9500"/>
        <n v="5004"/>
        <n v="14500"/>
        <n v="19580"/>
        <n v="19318"/>
        <n v="7337"/>
        <n v="7457"/>
        <n v="24814"/>
        <n v="12129"/>
        <n v="10670"/>
        <n v="7247"/>
        <n v="7412"/>
        <n v="355"/>
        <n v="144"/>
        <n v="526.5"/>
        <n v="990"/>
        <n v="19645"/>
        <n v="13553"/>
        <n v="10356"/>
        <n v="426"/>
        <n v="616.5"/>
        <n v="16779"/>
        <n v="27167"/>
        <n v="7389"/>
        <n v="11830"/>
        <n v="22000"/>
        <n v="5500"/>
        <n v="16500"/>
        <n v="3001.5"/>
        <n v="45000"/>
        <n v="55000"/>
        <n v="1700" u="1"/>
        <n v="6882" u="1"/>
        <n v="12961" u="1"/>
        <n v="79" u="1"/>
        <n v="800" u="1"/>
        <n v="5084" u="1"/>
        <n v="761" u="1"/>
        <n v="1776" u="1"/>
        <n v="11500" u="1"/>
        <n v="108" u="1"/>
        <n v="27500" u="1"/>
        <n v="209" u="1"/>
        <n v="87" u="1"/>
        <n v="2200" u="1"/>
        <n v="112" u="1"/>
        <n v="167" u="1"/>
        <n v="217" u="1"/>
        <n v="3800" u="1"/>
        <n v="9750" u="1"/>
        <n v="11170" u="1"/>
        <n v="420" u="1"/>
        <n v="9400" u="1"/>
        <n v="11200" u="1"/>
        <n v="889" u="1"/>
        <n v="50000" u="1"/>
        <n v="9648" u="1"/>
        <n v="220" u="1"/>
        <n v="397" u="1"/>
        <n v="6762" u="1"/>
        <n v="1334" u="1"/>
        <n v="9100" u="1"/>
        <n v="3550" u="1"/>
        <n v="1850" u="1"/>
        <n v="8400" u="1"/>
        <n v="11600" u="1"/>
        <n v="445" u="1"/>
        <n v="520" u="1"/>
        <n v="223" u="1"/>
        <n v="3825" u="1"/>
        <n v="32000" u="1"/>
        <n v="1100" u="1"/>
        <n v="13547" u="1"/>
        <n v="1900" u="1"/>
        <n v="4700" u="1"/>
        <n v="9728" u="1"/>
        <n v="5874" u="1"/>
        <n v="6300" u="1"/>
        <n v="1112" u="1"/>
        <n v="1254" u="1"/>
        <n v="4350" u="1"/>
        <n v="8389" u="1"/>
        <n v="218" u="1"/>
        <n v="127" u="1"/>
        <n v="280" u="1"/>
        <n v="1" u="1"/>
        <n v="1692" u="1"/>
        <n v="85" u="1"/>
        <n v="9915" u="1"/>
        <n v="2600" u="1"/>
        <n v="6500" u="1"/>
        <n v="8500" u="1"/>
        <n v="667" u="1"/>
        <n v="4550" u="1"/>
        <n v="370" u="1"/>
        <n v="1002.8" u="1"/>
        <n v="7002" u="1"/>
        <n v="17960" u="1"/>
        <n v="221" u="1"/>
        <n v="257" u="1"/>
        <n v="4006" u="1"/>
        <n v="7750" u="1"/>
        <n v="5800" u="1"/>
        <n v="8001" u="1"/>
        <n v="10650" u="1"/>
        <n v="11289" u="1"/>
        <n v="35000" u="1"/>
        <n v="250" u="1"/>
        <n v="544" u="1"/>
        <n v="1200" u="1"/>
        <n v="137" u="1"/>
        <n v="6837" u="1"/>
        <n v="17016" u="1"/>
        <n v="17300" u="1"/>
        <n v="16000" u="1"/>
        <n v="834" u="1"/>
        <n v="6099" u="1"/>
        <n v="29400" u="1"/>
        <n v="33700" u="1"/>
        <n v="750" u="1"/>
        <n v="2002.5" u="1"/>
        <n v="6672" u="1"/>
        <n v="38000" u="1"/>
        <n v="334" u="1"/>
        <n v="4864" u="1"/>
        <n v="10553" u="1"/>
        <n v="15807" u="1"/>
        <n v="556" u="1"/>
        <n v="350" u="1"/>
        <n v="22512" u="1"/>
        <n v="24500" u="1"/>
        <n v="23800" u="1"/>
        <n v="3600" u="1"/>
        <n v="1778" u="1"/>
        <n v="2502" u="1"/>
        <n v="117" u="1"/>
        <n v="2450" u="1"/>
        <n v="6200" u="1"/>
        <n v="32" u="1"/>
        <n v="71" u="1"/>
        <n v="523" u="1"/>
        <n v="7800" u="1"/>
        <n v="8331" u="1"/>
      </sharedItems>
    </cacheField>
    <cacheField name="DISPATCH" numFmtId="0">
      <sharedItems containsMixedTypes="1" containsNumber="1" minValue="0" maxValue="14865"/>
    </cacheField>
    <cacheField name="BAL IN NOS" numFmtId="1">
      <sharedItems containsMixedTypes="1" containsNumber="1" minValue="-6482" maxValue="45000"/>
    </cacheField>
    <cacheField name="SCHEDULE IN MT" numFmtId="2">
      <sharedItems containsSemiMixedTypes="0" containsString="0" containsNumber="1" minValue="0" maxValue="63.668949332625004"/>
    </cacheField>
    <cacheField name="DISPATCH MT" numFmtId="2">
      <sharedItems containsMixedTypes="1" containsNumber="1" minValue="0" maxValue="8.8853390069759985"/>
    </cacheField>
    <cacheField name="BALANCE FOR DISP" numFmtId="2">
      <sharedItems containsMixedTypes="1" containsNumber="1" minValue="-3.5085351721664999" maxValue="56.028675412710001"/>
    </cacheField>
    <cacheField name="CTL stock Numbers" numFmtId="2">
      <sharedItems containsMixedTypes="1" containsNumber="1" minValue="0" maxValue="36970.172576446967"/>
    </cacheField>
    <cacheField name="CTL Stock" numFmtId="2">
      <sharedItems containsSemiMixedTypes="0" containsString="0" containsNumber="1" minValue="0" maxValue="62.666294999999984"/>
    </cacheField>
    <cacheField name="LL Stock" numFmtId="2">
      <sharedItems containsSemiMixedTypes="0" containsString="0" containsNumber="1" minValue="0" maxValue="108.008921"/>
    </cacheField>
    <cacheField name="BALANCE REQUIRED IN MT" numFmtId="0">
      <sharedItems containsBlank="1" containsMixedTypes="1" containsNumber="1" minValue="-58.237976594156237" maxValue="63.668949332625004"/>
    </cacheField>
    <cacheField name="% COMP" numFmtId="0">
      <sharedItems containsBlank="1" containsMixedTypes="1" containsNumber="1" minValue="0" maxValue="27.861827736822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27.576327430557" createdVersion="8" refreshedVersion="8" minRefreshableVersion="3" recordCount="742" xr:uid="{BBD4D15D-4B4B-4860-862F-FF9A4E3D3F25}">
  <cacheSource type="worksheet">
    <worksheetSource name="scheduleapr"/>
  </cacheSource>
  <cacheFields count="45">
    <cacheField name="SNO" numFmtId="0">
      <sharedItems containsString="0" containsBlank="1" containsNumber="1" containsInteger="1" minValue="1" maxValue="778"/>
    </cacheField>
    <cacheField name="RM Loaction" numFmtId="0">
      <sharedItems containsBlank="1"/>
    </cacheField>
    <cacheField name="CUSTOMER NAME" numFmtId="0">
      <sharedItems containsBlank="1" count="36">
        <s v="Balaji press product"/>
        <s v="ELKAYEM AUTO"/>
        <s v="ELKAYEM AUTO MYSORE "/>
        <s v="KAY JAY"/>
        <s v="KNITVEL NEEDLES P LTD"/>
        <s v="Laxmi"/>
        <s v="Marathwada"/>
        <s v="Marathwada v7"/>
        <s v="Metalman"/>
        <s v="Narasipur Auto Component(P)Ltd"/>
        <s v="NMPL TVSM"/>
        <s v="NMPL HUB"/>
        <s v="Rajsriya Automotive"/>
        <s v="Rajsriya Unit 5"/>
        <s v="Rajsriya Unit 8"/>
        <s v="Rajsriya Unit 1"/>
        <s v="Rajsriya Unit 2"/>
        <s v="Rajsriya Unit 4"/>
        <s v="Rajsriya Mysore "/>
        <s v="RUCHA"/>
        <s v="SANDHAR ENGINEERING PVT LTD."/>
        <s v="Sandhar Engg Mysore "/>
        <s v="Sandhar Automach"/>
        <s v="SRI BALAJI GEARS V4"/>
        <s v="SRI BALAJI GEARS V7"/>
        <s v="Balaji Gears V3"/>
        <s v="SRIKAM HITECH"/>
        <s v="TVS MOTOR COMPANY LIMITED"/>
        <m u="1"/>
        <s v="NMPL (HUB)" u="1"/>
        <s v="NMPL 1" u="1"/>
        <s v="ELKAYEM AUTO ANCILLARIES (PVT)" u="1"/>
        <s v="SRI BALAJI GEARS V3" u="1"/>
        <s v="NEEL METAL PRODUCTS LIMITED" u="1"/>
        <s v="ELKAYEM mysore" u="1"/>
        <s v="NMPL Plant" u="1"/>
      </sharedItems>
    </cacheField>
    <cacheField name="Helper Customer" numFmtId="0">
      <sharedItems/>
    </cacheField>
    <cacheField name="CUSTOMER CODE" numFmtId="0">
      <sharedItems containsMixedTypes="1" containsNumber="1" containsInteger="1" minValue="185254" maxValue="945539" count="22">
        <n v="189287"/>
        <s v="129663|948721"/>
        <s v="129663|948722"/>
        <n v="940921"/>
        <n v="188934"/>
        <n v="819045"/>
        <n v="185254"/>
        <n v="189002"/>
        <n v="188647"/>
        <n v="187546"/>
        <s v="189226|930794"/>
        <s v="930801|189227"/>
        <n v="189226"/>
        <s v="129695|187884|188415|189239|189240"/>
        <s v="930883|189481"/>
        <n v="188534"/>
        <n v="941496"/>
        <n v="945539"/>
        <n v="187702"/>
        <n v="188595"/>
        <n v="944141"/>
        <n v="187268"/>
      </sharedItems>
    </cacheField>
    <cacheField name="MATERIAL NO" numFmtId="0">
      <sharedItems containsBlank="1" containsMixedTypes="1" containsNumber="1" containsInteger="1" minValue="234926" maxValue="4228296"/>
    </cacheField>
    <cacheField name="Key" numFmtId="0">
      <sharedItems/>
    </cacheField>
    <cacheField name="MATERIAL DES" numFmtId="0">
      <sharedItems containsBlank="1"/>
    </cacheField>
    <cacheField name="Grade" numFmtId="0">
      <sharedItems containsBlank="1" count="10">
        <s v="ERW 1"/>
        <s v="CEW"/>
        <m/>
        <s v="CEW "/>
        <s v="CEW STKM 13C"/>
        <s v="ERW 2 MAHS"/>
        <s v="ERW 2"/>
        <s v="CRFH"/>
        <s v="ERW" u="1"/>
        <s v="ERW1" u="1"/>
      </sharedItems>
    </cacheField>
    <cacheField name="h" numFmtId="0">
      <sharedItems containsBlank="1"/>
    </cacheField>
    <cacheField name="FC/NFC" numFmtId="0">
      <sharedItems containsBlank="1" count="6">
        <s v="PE"/>
        <m/>
        <s v="FC"/>
        <s v="CEW"/>
        <s v="FIN CUT"/>
        <s v="CEW "/>
      </sharedItems>
    </cacheField>
    <cacheField name="HR/CR" numFmtId="0">
      <sharedItems containsBlank="1"/>
    </cacheField>
    <cacheField name="HR/CR Check" numFmtId="0">
      <sharedItems containsBlank="1"/>
    </cacheField>
    <cacheField name="Chamferring " numFmtId="0">
      <sharedItems containsBlank="1"/>
    </cacheField>
    <cacheField name="Angle Cut" numFmtId="0">
      <sharedItems containsBlank="1"/>
    </cacheField>
    <cacheField name="Surface Critical" numFmtId="0">
      <sharedItems containsBlank="1"/>
    </cacheField>
    <cacheField name="Bucket" numFmtId="0">
      <sharedItems containsBlank="1" count="223">
        <s v="12.7-0-1.6-ERW 1-PE"/>
        <m/>
        <s v="15.88-0-1.2-ERW 1-PE"/>
        <s v="19.05-0-1-ERW 1-PE"/>
        <s v="19.05-0-1.2-ERW 1-PE"/>
        <s v="25.4-0-1.6-ERW 1-PE"/>
        <s v="50-30-1.6-ERW 1-FC"/>
        <s v="14-0-1.6-CEW-CEW"/>
        <s v="16.1-0-2.8-CEW-CEW"/>
        <s v="16.1-10.7-2.95-CEW-CEW"/>
        <s v="17.3-0-1.6-CEW-"/>
        <s v="28.6-0-2.65-CEW-CEW"/>
        <s v="29.28-0-3.4-CEW-CEW"/>
        <s v="31.75-25-3.37-CEW-CEW"/>
        <s v="12.7-0-1.2-ERW 1-PE"/>
        <s v="15.88-0-1.6-ERW 1-PE"/>
        <s v="15.88-0-2-ERW 1-PE"/>
        <s v="17.3-0-1.6-ERW 1-PE"/>
        <s v="19.05-0-2-ERW 1-PE"/>
        <s v="19.05-0-2.3-ERW 1-PE"/>
        <s v="22.23-0-1.2-ERW 1-PE"/>
        <s v="22.23-0-1.6-ERW 1-PE"/>
        <s v="22.23-0-2-ERW 1-"/>
        <s v="22.23-0-2-ERW 1-FC"/>
        <s v="22.23-0-2.3-ERW 1-PE"/>
        <s v="25.4-0-2-ERW 1-FC"/>
        <s v="28.58-0-1.6-ERW 1-FC"/>
        <s v="28.58-0-2-ERW 1-FC"/>
        <s v="25-25-2-ERW 1-"/>
        <s v="34.93-0-1.6-ERW 1-FC"/>
        <s v="34.93-0-2-ERW 1-FC"/>
        <s v="34.93-0-2.5-ERW 1-FC"/>
        <s v="40-20-1.6-ERW 1-FC"/>
        <s v="40-25-1.6-ERW 1-FC"/>
        <s v="40-25-2-ERW 1-FC"/>
        <s v="42.7-0-4-ERW 1-FC"/>
        <s v="40-30-1.6-ERW 1-FC"/>
        <s v="40-30-2-ERW 1-FC"/>
        <s v="48.6-0-2-ERW 1-"/>
        <s v="48.6-0-4-ERW 1-"/>
        <s v="59-30-1.6-ERW 1-FIN CUT"/>
        <s v="57.15-0-2-ERW 1-"/>
        <s v="19.05-0-1.6--"/>
        <s v="19.05-0-1.63--"/>
        <s v="25.4-0-2--"/>
        <s v="37.6-31.2-3.2--"/>
        <s v="34.93-0-2--"/>
        <s v="28.6-0-2.6-CEW-CEW"/>
        <s v="37.6-31.2-3.2-CEW-CEW"/>
        <s v="22.23-0-2-ERW 1-PE"/>
        <s v="34.93-0-2.6-ERW 1-FC"/>
        <s v="57.15-0-2-ERW 1-FC"/>
        <s v="29.4-20.4-4.5-CEW-CEW"/>
        <s v="29.35-20.4-4.4-CEW STKM 13C-CEW"/>
        <s v="29.4-20.4-4.5-CEW STKM 13C-CEW"/>
        <s v="34.93-0-1.2-ERW 1-FC"/>
        <s v="42.7-0-4-ERW 1-"/>
        <s v="22.23-0-2-ERW 2 MAHS-PE"/>
        <s v="22.23-0-2--"/>
        <s v="48.6-0-3.5--"/>
        <s v="20-17.16-1.42-CEW-CEW"/>
        <s v="63.5-0-4-ERW 1-FC"/>
        <s v="54-0-3-ERW 2-FC"/>
        <s v="50-50-1.6-ERW 2-PE"/>
        <s v="70-0-3.2-ERW 2-FC"/>
        <s v="25.4-0-2.5-CEW-CEW"/>
        <s v="25.4-20.4-2.5-CEW-"/>
        <s v="30-25.5-2.25-CEW-"/>
        <s v="30-25.5-2.25-CEW-CEW"/>
        <s v="39-34-2.5-CEW-CEW"/>
        <s v="39-34-2.5-CEW-"/>
        <s v="19.05-0-1.2-CRFH-PE"/>
        <s v="19-19-1-CRFH-PE"/>
        <s v="25-25-1.2-CRFH-PE"/>
        <s v="30-30-1.2-CRFH-PE"/>
        <s v="40-20-1.2-CRFH-PE"/>
        <s v="40-40-1.2-CRFH-PE"/>
        <s v="15.88-0-1-ERW 1-PE"/>
        <s v="25.4-0-1.2-ERW 1-PE"/>
        <s v="38.1-0-3.66-ERW 1-FC"/>
        <s v="14-9.1-2.45-CEW-"/>
        <s v="19-12.5-3.25-CEW-CEW"/>
        <s v="21.75-0-3.5-CEW-"/>
        <s v="42.7-0-3.5-CEW-"/>
        <s v="42.7-0-4-CEW-"/>
        <s v="19.05-0-1.6-ERW 1-PE"/>
        <s v="25.4-0-1.6-ERW 1-FC"/>
        <s v="25.4-0-2.5-ERW 1-"/>
        <s v="28.58-0-1.6-ERW 1-"/>
        <s v="38.1-0-1.6-ERW 1-FC"/>
        <s v="38.1-0-2-ERW 1-"/>
        <s v="41.28-0-3.2-ERW 1-FC"/>
        <s v="0-0-4-ERW 1-"/>
        <s v="42.7-0-3.5-ERW 1-FC"/>
        <s v="40-30-1.6-ERW 1-"/>
        <s v="48.6-0-1.2-ERW 1-FC"/>
        <s v="50-30-2.5-ERW 1-FC"/>
        <s v="57.15-0-2.5-ERW 1-FC"/>
        <s v="57.15-0-2.5-ERW 1-"/>
        <s v="60.3-0-2-ERW 1-FC"/>
        <s v="38.1-0-1.6-ERW 2 MAHS-FC"/>
        <s v="38.1-0-2-ERW 2 MAHS-"/>
        <s v="38.1-0-2.5-ERW 2 MAHS-FC"/>
        <s v="26-18-4-CEW-"/>
        <s v="25.4-18.4-3.5-CEW-CEW"/>
        <s v="25.4-18.4-3.5-CEW-"/>
        <s v="25.6-16.6-4.5-CEW-"/>
        <s v="32-0-4.5-CEW-"/>
        <s v="14-0-2.45-CEW-CEW"/>
        <s v="16.1-0-2-CEW-CEW"/>
        <s v="17.3-0-1.2-CEW-"/>
        <s v="20-12.4-4.5-CEW-CEW"/>
        <s v="21.7-16.2-2.75-CEW-CEW"/>
        <s v="21.75-0-3.5-CEW-CEW"/>
        <s v="25.4-19-3.2-CEW-CEW"/>
        <s v="0.0960109875294564-0-2-CEW-"/>
        <s v="2.29999955264502-29.3-2-CEW-"/>
        <s v="37.95-32-2.95-CEW-CEW"/>
        <s v="12.7-0-2-ERW 1-PE"/>
        <s v="17.3-0-1.2-ERW 1-PE"/>
        <s v="18.2-0-1-ERW 1-PE"/>
        <s v="19.05-0-1.6-ERW 1-"/>
        <s v="25.4-0-2-ERW 1-PE"/>
        <s v="28.58-0-1.2-ERW 1-PE"/>
        <s v="31.75-0-1.2-ERW 1-FC"/>
        <s v="34.93-0-1.2-ERW 1-"/>
        <s v="38.1-0-1.6-ERW 1-"/>
        <s v="38.1-0-2-ERW 1-FC"/>
        <s v="48.6-0-3.5-ERW 1-FC"/>
        <s v="50-30-2-ERW 1-FC"/>
        <s v="50.8-0-1.6-ERW 1-FC"/>
        <s v="22.23-0-2-ERW 2-FC"/>
        <s v="28.58-0-1.6-ERW 2-PE"/>
        <s v="57.15-0-2.3-ERW 2-FC"/>
        <s v="41.28-0-2.9--"/>
        <s v="16.1-10.4-2.7-CEW-CEW"/>
        <s v="17.3-0-1.2-CEW-CEW"/>
        <s v="18.2-12.3-2.95-CEW-CEW"/>
        <s v="25.4-20.4-2.5-CEW-CEW"/>
        <s v="30.15-25.5-2.32-CEW-CEW"/>
        <s v="36-34-0.91-CEW-CEW"/>
        <s v="36-34-0.91-CEW-"/>
        <s v="42.7-0-4-CEW-CEW"/>
        <s v="60.3-0-2-CEW-CEW"/>
        <s v="19.05-0-2-ERW 1-"/>
        <s v="19.05-0-2.3-ERW 1-"/>
        <s v="19.05-0-2.34-ERW 1-"/>
        <s v="22.23-0-1.6-ERW 1-"/>
        <s v="25.4-0-2.6-ERW 1-"/>
        <s v="31.75-0-2.5-ERW 1-FC"/>
        <s v="41.28-0-2.6-ERW 1-FC"/>
        <s v="41.28-0-3.2-ERW 1-"/>
        <s v="19.05-0-2.5-ERW 2-"/>
        <s v="19.05-0-1.6-ERW 2 MAHS-PE"/>
        <s v="22.2-0-1.2--"/>
        <s v="57.15-0-2.5--"/>
        <s v="60.3-0-2--"/>
        <s v="14-0-2.45-CEW-"/>
        <s v="25.4-19-3.2-CEW-"/>
        <s v="17.3-0-1.2-ERW 1-"/>
        <s v="25.4-0-2-ERW 1-"/>
        <s v="31.75-0-2.3-ERW 1-FC"/>
        <s v="33.3-29.3-2-CEW-CEW"/>
        <s v="31.75-0-1.6-ERW 1-FC"/>
        <s v="40-40-1.2-ERW 1-PE"/>
        <s v="20-12.4-3.8-CEW-CEW"/>
        <s v="25.4-0-2.5-ERW 1-FC"/>
        <s v="22.23-0-1.6-ERW 2 MAHS-PE"/>
        <s v="22.23-0-2-ERW 2 MAHS-FC"/>
        <s v="14-10.1-1.95-CEW-CEW"/>
        <s v="19-12.5-3.25-CEW-"/>
        <s v="22.23-0-1.2-ERW 1-"/>
        <s v="28.58-0-1.6-ERW 1-PE"/>
        <s v="19.05-0-2--"/>
        <s v="22.23-0-1.2--"/>
        <s v="22.23-0-2.3--PE"/>
        <s v="31.75-0-1.2-ERW 1-PE" u="1"/>
        <s v="31.75-0-1.2--" u="1"/>
        <s v="31.75-0-1.2-ERW 1-" u="1"/>
        <s v="29.28-0-3.4-CEW-" u="1"/>
        <s v="25.4-0-1.6-ERW 1-" u="1"/>
        <s v="19.05--1.2-ERW 1-PE" u="1"/>
        <s v="15.88-0-1.2-CRFH-PE" u="1"/>
        <s v="25.4-0-1.22-ERW 1-PE" u="1"/>
        <s v="15.88-0-1.2--" u="1"/>
        <s v="59-30-1.6-ERW 1-" u="1"/>
        <s v="22.23-0-2.3-ERW 1-" u="1"/>
        <s v="59-30-1.6-ERW 1-FC" u="1"/>
        <s v="19.05-19.05-1.2-CRFH-PE" u="1"/>
        <s v="31.75-0-2.3--FC" u="1"/>
        <s v="15.88--1.2-ERW 1-PE" u="1"/>
        <s v="25.4-0-2--FC" u="1"/>
        <s v="31.75-0-2.3--" u="1"/>
        <s v="29.4-20.4-4.5-CEW -CEW" u="1"/>
        <s v="40-20-1.6-ERW 2-FC" u="1"/>
        <s v="40-25-1.6-ERW 2-FC" u="1"/>
        <s v="11-8-1.5-CEW-CEW" u="1"/>
        <s v="37.95-32-2.95-CEW-" u="1"/>
        <s v="ara-0-2.5-ERW 1-FC" u="1"/>
        <s v="22.23-0-1.6-ERW 1-FC" u="1"/>
        <s v="----" u="1"/>
        <s v="12.7-0-1.2-ERW 1-" u="1"/>
        <s v="15.88-0-2--PE" u="1"/>
        <s v="12-0-1.6-CEW-CEW" u="1"/>
        <s v="48.6-0-4--" u="1"/>
        <s v="34.93-0-2-ERW 1-" u="1"/>
        <s v="70-0-3.2-ERW 2-" u="1"/>
        <s v="40-0-1.2-ERW 1-PE" u="1"/>
        <s v="57.15-0-2--" u="1"/>
        <s v="50-30-1.6-ERW 2-FC" u="1"/>
        <s v="14-0-2.5-CEW-CEW" u="1"/>
        <s v="31.75-0-2.3-ERW1-FC" u="1"/>
        <s v="11-8-1.5-CEW-" u="1"/>
        <s v="12.7-0-1.6-ERW 1-" u="1"/>
        <s v="19-19-1-CRFH-" u="1"/>
        <s v="40-30-2-ERW 1-" u="1"/>
        <s v="22.23-0-2-ERW 2 MAHS-" u="1"/>
        <s v="48.6-0-2--" u="1"/>
        <s v="57.15-0-2.5--FC" u="1"/>
        <s v="18.2-12.3-2.95-CEW-" u="1"/>
        <s v="15.88-0-1.6-ERW 1-" u="1"/>
        <s v="40-0-1.2-ERW 1-" u="1"/>
        <s v="12.7-0-2-ERW 1-" u="1"/>
      </sharedItems>
    </cacheField>
    <cacheField name="CTL Bucket" numFmtId="0">
      <sharedItems containsBlank="1"/>
    </cacheField>
    <cacheField name="Check if CTL bucket is in sales sheet or not" numFmtId="0">
      <sharedItems containsBlank="1" containsMixedTypes="1" containsNumber="1" containsInteger="1" minValue="1" maxValue="6"/>
    </cacheField>
    <cacheField name="Plant" numFmtId="0">
      <sharedItems containsBlank="1"/>
    </cacheField>
    <cacheField name="4731 LL Stock" numFmtId="0">
      <sharedItems containsBlank="1" containsMixedTypes="1" containsNumber="1" minValue="0" maxValue="30.650651000000007"/>
    </cacheField>
    <cacheField name="4318 + 8406 stock" numFmtId="0">
      <sharedItems containsString="0" containsBlank="1" containsNumber="1" minValue="0" maxValue="60.82106499999999"/>
    </cacheField>
    <cacheField name="Application" numFmtId="0">
      <sharedItems containsBlank="1"/>
    </cacheField>
    <cacheField name="ACTUAL OD" numFmtId="2">
      <sharedItems containsSemiMixedTypes="0" containsString="0" containsNumber="1" minValue="11" maxValue="70" count="47">
        <n v="12.7"/>
        <n v="15.88"/>
        <n v="19.05"/>
        <n v="25.4"/>
        <n v="50.8"/>
        <n v="14"/>
        <n v="16.100000000000001"/>
        <n v="17.3"/>
        <n v="28.6"/>
        <n v="29.28"/>
        <n v="31.75"/>
        <n v="22.23"/>
        <n v="28.58"/>
        <n v="34.93"/>
        <n v="38.1"/>
        <n v="41.28"/>
        <n v="42.7"/>
        <n v="44.45"/>
        <n v="48.6"/>
        <n v="57.15"/>
        <n v="31.2"/>
        <n v="37.6"/>
        <n v="29.4"/>
        <n v="29.35"/>
        <n v="20"/>
        <n v="63.5"/>
        <n v="54"/>
        <n v="70"/>
        <n v="30"/>
        <n v="30.15"/>
        <n v="39"/>
        <n v="23.42"/>
        <n v="19"/>
        <n v="21.75"/>
        <n v="60.3"/>
        <n v="18"/>
        <n v="25.6"/>
        <n v="32"/>
        <n v="21.7"/>
        <n v="33.299999999999997"/>
        <n v="37.950000000000003"/>
        <n v="18.2"/>
        <n v="25.5"/>
        <n v="36"/>
        <n v="40"/>
        <n v="11" u="1"/>
        <n v="12" u="1"/>
      </sharedItems>
    </cacheField>
    <cacheField name="OD" numFmtId="2">
      <sharedItems containsSemiMixedTypes="0" containsString="0" containsNumber="1" minValue="0" maxValue="70" count="50">
        <n v="12.7"/>
        <n v="15.88"/>
        <n v="19.05"/>
        <n v="25.4"/>
        <n v="50"/>
        <n v="14"/>
        <n v="16.100000000000001"/>
        <n v="17.3"/>
        <n v="28.6"/>
        <n v="29.28"/>
        <n v="31.75"/>
        <n v="22.23"/>
        <n v="28.58"/>
        <n v="25"/>
        <n v="34.93"/>
        <n v="40"/>
        <n v="42.7"/>
        <n v="48.6"/>
        <n v="59"/>
        <n v="57.15"/>
        <n v="37.6"/>
        <n v="29.4"/>
        <n v="29.35"/>
        <n v="20"/>
        <n v="63.5"/>
        <n v="54"/>
        <n v="70"/>
        <n v="30"/>
        <n v="39"/>
        <n v="19"/>
        <n v="38.1"/>
        <n v="21.75"/>
        <n v="41.28"/>
        <n v="0"/>
        <n v="60.3"/>
        <n v="26"/>
        <n v="25.6"/>
        <n v="32"/>
        <n v="21.7"/>
        <n v="9.601098752945636E-2"/>
        <n v="2.2999995526450192"/>
        <n v="37.950000000000003"/>
        <n v="18.2"/>
        <n v="50.8"/>
        <n v="30.15"/>
        <n v="36"/>
        <n v="22.2"/>
        <n v="33.299999999999997"/>
        <n v="11" u="1"/>
        <n v="12" u="1"/>
      </sharedItems>
    </cacheField>
    <cacheField name="ID" numFmtId="2">
      <sharedItems containsSemiMixedTypes="0" containsString="0" containsNumber="1" minValue="0" maxValue="50" count="27">
        <n v="0"/>
        <n v="30"/>
        <n v="10.7"/>
        <n v="25"/>
        <n v="20"/>
        <n v="31.2"/>
        <n v="20.399999999999999"/>
        <n v="17.16"/>
        <n v="50"/>
        <n v="25.5"/>
        <n v="34"/>
        <n v="19"/>
        <n v="40"/>
        <n v="9.1"/>
        <n v="12.5"/>
        <n v="18"/>
        <n v="18.399999999999999"/>
        <n v="16.600000000000001"/>
        <n v="12.4"/>
        <n v="16.2"/>
        <n v="29.3"/>
        <n v="32"/>
        <n v="10.4"/>
        <n v="12.3"/>
        <n v="10.1"/>
        <n v="19.05" u="1"/>
        <n v="8" u="1"/>
      </sharedItems>
    </cacheField>
    <cacheField name="TICKNESS" numFmtId="2">
      <sharedItems containsSemiMixedTypes="0" containsString="0" containsNumber="1" minValue="0.91" maxValue="4.5" count="34">
        <n v="1.6"/>
        <n v="1"/>
        <n v="1.2"/>
        <n v="2.8"/>
        <n v="2.95"/>
        <n v="2.65"/>
        <n v="3.4"/>
        <n v="3.37"/>
        <n v="2"/>
        <n v="2.2999999999999998"/>
        <n v="2.5"/>
        <n v="4"/>
        <n v="1.63"/>
        <n v="3.2"/>
        <n v="2.6"/>
        <n v="4.5"/>
        <n v="4.4000000000000004"/>
        <n v="3.5"/>
        <n v="1.42"/>
        <n v="3"/>
        <n v="2.25"/>
        <n v="3.66"/>
        <n v="2.4500000000000002"/>
        <n v="3.25"/>
        <n v="2.75"/>
        <n v="2.9"/>
        <n v="2.7"/>
        <n v="2.3199999999999998"/>
        <n v="0.91"/>
        <n v="2.34"/>
        <n v="3.8"/>
        <n v="1.95"/>
        <n v="1.22" u="1"/>
        <n v="1.5" u="1"/>
      </sharedItems>
    </cacheField>
    <cacheField name="LENGTH" numFmtId="0">
      <sharedItems containsSemiMixedTypes="0" containsString="0" containsNumber="1" minValue="85" maxValue="6455"/>
    </cacheField>
    <cacheField name="UoM" numFmtId="0">
      <sharedItems containsBlank="1"/>
    </cacheField>
    <cacheField name="Source Plant" numFmtId="0">
      <sharedItems containsBlank="1"/>
    </cacheField>
    <cacheField name="Commitment Date" numFmtId="0">
      <sharedItems containsString="0" containsBlank="1" containsNumber="1" containsInteger="1" minValue="1000" maxValue="8000"/>
    </cacheField>
    <cacheField name="SCHEDULE in nos" numFmtId="0">
      <sharedItems containsString="0" containsBlank="1" containsNumber="1" containsInteger="1" minValue="500" maxValue="80000"/>
    </cacheField>
    <cacheField name="Customer remarks" numFmtId="0">
      <sharedItems containsBlank="1"/>
    </cacheField>
    <cacheField name="DISPATCH" numFmtId="0">
      <sharedItems containsMixedTypes="1" containsNumber="1" minValue="0" maxValue="44250"/>
    </cacheField>
    <cacheField name="BAL IN NOS" numFmtId="1">
      <sharedItems containsMixedTypes="1" containsNumber="1" minValue="-27000" maxValue="70000"/>
    </cacheField>
    <cacheField name="SCHEDULE IN MT" numFmtId="2">
      <sharedItems containsSemiMixedTypes="0" containsString="0" containsNumber="1" minValue="0" maxValue="66.705480776677604"/>
    </cacheField>
    <cacheField name="DISPATCH MT" numFmtId="2">
      <sharedItems containsMixedTypes="1" containsNumber="1" minValue="0" maxValue="50.799332374190399"/>
    </cacheField>
    <cacheField name="BALANCE FOR DISP" numFmtId="2">
      <sharedItems containsMixedTypes="1" containsNumber="1" minValue="-19.434020140832001" maxValue="63.178862508999998"/>
    </cacheField>
    <cacheField name="CTL stock in nos" numFmtId="2">
      <sharedItems containsMixedTypes="1" containsNumber="1" minValue="0" maxValue="71783.070708826868"/>
    </cacheField>
    <cacheField name="CTL Stock" numFmtId="2">
      <sharedItems containsSemiMixedTypes="0" containsString="0" containsNumber="1" minValue="0" maxValue="30.749380999999996"/>
    </cacheField>
    <cacheField name="Total Long Stock in MT" numFmtId="2">
      <sharedItems containsString="0" containsBlank="1" containsNumber="1" minValue="16.085999999999999" maxValue="129.15199999999999"/>
    </cacheField>
    <cacheField name="LL Stock" numFmtId="2">
      <sharedItems containsSemiMixedTypes="0" containsString="0" containsNumber="1" minValue="-5.0411681258400005" maxValue="21995.578955360001"/>
    </cacheField>
    <cacheField name="WIP" numFmtId="2">
      <sharedItems containsSemiMixedTypes="0" containsString="0" containsNumber="1" minValue="0" maxValue="129.15199999999999"/>
    </cacheField>
    <cacheField name="BALANCE REQUIRED IN MT" numFmtId="2">
      <sharedItems containsMixedTypes="1" containsNumber="1" minValue="-30.749380999999996" maxValue="65.819480776677608"/>
    </cacheField>
    <cacheField name="% COMP"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27.57632951389" createdVersion="8" refreshedVersion="8" minRefreshableVersion="3" recordCount="67" xr:uid="{9B9B585B-FEDB-47F1-B3A1-A394CC77B25B}">
  <cacheSource type="worksheet">
    <worksheetSource name="aug"/>
  </cacheSource>
  <cacheFields count="36">
    <cacheField name="OEM" numFmtId="0">
      <sharedItems containsMixedTypes="1" containsNumber="1" containsInteger="1" minValue="0" maxValue="0" count="4">
        <s v="TVS"/>
        <s v="HMSI"/>
        <s v="RE"/>
        <n v="0"/>
      </sharedItems>
    </cacheField>
    <cacheField name="Customer" numFmtId="0">
      <sharedItems/>
    </cacheField>
    <cacheField name="Metallurgy condition" numFmtId="0">
      <sharedItems/>
    </cacheField>
    <cacheField name="Material Type" numFmtId="0">
      <sharedItems/>
    </cacheField>
    <cacheField name="GRADE" numFmtId="0">
      <sharedItems/>
    </cacheField>
    <cacheField name="OD" numFmtId="2">
      <sharedItems containsMixedTypes="1" containsNumber="1" minValue="11" maxValue="60.3" count="26">
        <n v="11"/>
        <n v="12.7"/>
        <n v="15.88"/>
        <n v="18.3"/>
        <n v="19.05"/>
        <n v="21.4"/>
        <n v="22.2"/>
        <n v="25.4"/>
        <n v="28.6"/>
        <n v="31.75"/>
        <n v="34.93"/>
        <n v="34"/>
        <n v="38.1"/>
        <n v="41.28"/>
        <s v="40x25"/>
        <n v="42.7"/>
        <s v="40x30"/>
        <n v="45"/>
        <n v="47.63"/>
        <n v="48"/>
        <n v="48.6"/>
        <s v="59x30"/>
        <s v="50X50"/>
        <n v="50.8"/>
        <n v="57.15"/>
        <n v="60.3"/>
      </sharedItems>
    </cacheField>
    <cacheField name="ID" numFmtId="2">
      <sharedItems containsString="0" containsBlank="1" containsNumber="1" minValue="45.6" maxValue="45.6"/>
    </cacheField>
    <cacheField name="THK" numFmtId="2">
      <sharedItems containsSemiMixedTypes="0" containsString="0" containsNumber="1" minValue="1" maxValue="4" count="14">
        <n v="1.5"/>
        <n v="1.2"/>
        <n v="1.4"/>
        <n v="1.6"/>
        <n v="2"/>
        <n v="1"/>
        <n v="2.2999999999999998"/>
        <n v="2.5"/>
        <n v="2.65"/>
        <n v="2.6"/>
        <n v="3.15"/>
        <n v="3.5"/>
        <n v="4"/>
        <n v="3"/>
      </sharedItems>
    </cacheField>
    <cacheField name="LENGTH" numFmtId="0">
      <sharedItems containsSemiMixedTypes="0" containsString="0" containsNumber="1" minValue="572.5" maxValue="7000" count="30">
        <n v="6000"/>
        <n v="5800"/>
        <n v="7000"/>
        <n v="5870"/>
        <n v="5270"/>
        <n v="5670"/>
        <n v="5950"/>
        <n v="5100"/>
        <n v="5390"/>
        <n v="5531"/>
        <n v="6060"/>
        <n v="5840"/>
        <n v="6050"/>
        <n v="5530"/>
        <n v="5920"/>
        <n v="620"/>
        <n v="700"/>
        <n v="5660"/>
        <n v="6190"/>
        <n v="5650"/>
        <n v="6130"/>
        <n v="5860"/>
        <n v="5900"/>
        <n v="6400"/>
        <n v="5700"/>
        <n v="6040"/>
        <n v="6270"/>
        <n v="572.5"/>
        <n v="5710"/>
        <n v="6100"/>
      </sharedItems>
    </cacheField>
    <cacheField name="Length in Mtrs" numFmtId="0">
      <sharedItems containsSemiMixedTypes="0" containsString="0" containsNumber="1" minValue="0.57250000000000001" maxValue="6000" count="31">
        <n v="6"/>
        <n v="5.8"/>
        <n v="7"/>
        <n v="5.87"/>
        <n v="5.27"/>
        <n v="5.67"/>
        <n v="5.95"/>
        <n v="5.0999999999999996"/>
        <n v="6000"/>
        <n v="5.39"/>
        <n v="5.5309999999999997"/>
        <n v="6.06"/>
        <n v="5.82"/>
        <n v="6.05"/>
        <n v="5.53"/>
        <n v="5.92"/>
        <n v="0.62"/>
        <n v="0.7"/>
        <n v="5.66"/>
        <n v="6.19"/>
        <n v="5.65"/>
        <n v="6.13"/>
        <n v="5.86"/>
        <n v="5.9"/>
        <n v="6.42"/>
        <n v="5.7"/>
        <n v="6.04"/>
        <n v="6.27"/>
        <n v="0.57250000000000001"/>
        <n v="5.71"/>
        <n v="6.1"/>
      </sharedItems>
    </cacheField>
    <cacheField name="count of " numFmtId="0">
      <sharedItems containsSemiMixedTypes="0" containsString="0" containsNumber="1" containsInteger="1" minValue="0" maxValue="0"/>
    </cacheField>
    <cacheField name="Column1" numFmtId="0">
      <sharedItems containsNonDate="0" containsString="0" containsBlank="1"/>
    </cacheField>
    <cacheField name="Key" numFmtId="0">
      <sharedItems/>
    </cacheField>
    <cacheField name="Bucket" numFmtId="0">
      <sharedItems containsMixedTypes="1" containsNumber="1" containsInteger="1" minValue="0" maxValue="0"/>
    </cacheField>
    <cacheField name="Bucket CTL" numFmtId="0">
      <sharedItems/>
    </cacheField>
    <cacheField name="Value added" numFmtId="0">
      <sharedItems containsBlank="1"/>
    </cacheField>
    <cacheField name="plant july" numFmtId="0">
      <sharedItems count="4">
        <s v="0788"/>
        <s v="0789"/>
        <s v="056"/>
        <e v="#N/A"/>
      </sharedItems>
    </cacheField>
    <cacheField name="Material code july" numFmtId="0">
      <sharedItems containsBlank="1" containsMixedTypes="1" containsNumber="1" containsInteger="1" minValue="236166" maxValue="4055022"/>
    </cacheField>
    <cacheField name="Exact" numFmtId="0">
      <sharedItems containsBlank="1"/>
    </cacheField>
    <cacheField name="plant" numFmtId="0">
      <sharedItems containsBlank="1" count="5">
        <s v="0788"/>
        <s v="0789"/>
        <s v="056"/>
        <m u="1"/>
        <s v="788" u="1"/>
      </sharedItems>
    </cacheField>
    <cacheField name="TSL Material Code" numFmtId="0">
      <sharedItems containsMixedTypes="1" containsNumber="1" containsInteger="1" minValue="236166" maxValue="4055022" count="66">
        <n v="2442390"/>
        <n v="1939985"/>
        <n v="1931117"/>
        <n v="1931154"/>
        <n v="236166"/>
        <n v="1940054"/>
        <n v="1900224"/>
        <n v="1940120"/>
        <n v="2288945"/>
        <n v="3498997"/>
        <n v="3891285"/>
        <n v="3212868"/>
        <n v="3500582"/>
        <n v="3219710"/>
        <n v="3882110"/>
        <n v="3829175"/>
        <n v="3575894"/>
        <n v="4055022"/>
        <n v="3905466"/>
        <n v="3500554"/>
        <n v="3502494"/>
        <n v="2431251"/>
        <n v="3501900"/>
        <n v="3557792"/>
        <n v="3500097"/>
        <n v="3240023"/>
        <n v="4055021"/>
        <n v="3502256"/>
        <n v="3702101"/>
        <n v="2410388"/>
        <n v="3884381"/>
        <n v="1931387"/>
        <s v="MCR 42136"/>
        <n v="1940701"/>
        <n v="2397073"/>
        <n v="3649699"/>
        <n v="3702855"/>
        <n v="3502254"/>
        <n v="3500959"/>
        <n v="3502007"/>
        <n v="3500699"/>
        <n v="3974563"/>
        <n v="3919144"/>
        <n v="3673889"/>
        <n v="2396465"/>
        <n v="3501985"/>
        <n v="3836440"/>
        <n v="3502343"/>
        <n v="3545558"/>
        <n v="3502388"/>
        <n v="3500635"/>
        <n v="2397072"/>
        <n v="3649700"/>
        <n v="3502301"/>
        <n v="3549720"/>
        <n v="3502422"/>
        <n v="1940925"/>
        <n v="2420716"/>
        <n v="3751498"/>
        <n v="3518437"/>
        <n v="3500695"/>
        <n v="3907863"/>
        <n v="4054700"/>
        <n v="3910001"/>
        <n v="3501105"/>
        <n v="3905049"/>
      </sharedItems>
    </cacheField>
    <cacheField name="SCH AUG- 25" numFmtId="0">
      <sharedItems containsSemiMixedTypes="0" containsString="0" containsNumber="1" containsInteger="1" minValue="1" maxValue="80"/>
    </cacheField>
    <cacheField name="BALANCE TO BE SUPPLY" numFmtId="0">
      <sharedItems containsString="0" containsBlank="1" containsNumber="1" containsInteger="1" minValue="0" maxValue="30"/>
    </cacheField>
    <cacheField name="Stock     22-07-25" numFmtId="0">
      <sharedItems containsSemiMixedTypes="0" containsString="0" containsNumber="1" minValue="0" maxValue="69"/>
    </cacheField>
    <cacheField name="intransist " numFmtId="0">
      <sharedItems containsString="0" containsBlank="1" containsNumber="1" containsInteger="1" minValue="0" maxValue="101"/>
    </cacheField>
    <cacheField name="OPENIG STOCK FOR AUG-2025" numFmtId="0">
      <sharedItems containsSemiMixedTypes="0" containsString="0" containsNumber="1" minValue="-30" maxValue="54"/>
    </cacheField>
    <cacheField name="order logg " numFmtId="0">
      <sharedItems containsString="0" containsBlank="1" containsNumber="1" minValue="0" maxValue="147"/>
    </cacheField>
    <cacheField name="Opening stock including order logger" numFmtId="0">
      <sharedItems containsSemiMixedTypes="0" containsString="0" containsNumber="1" minValue="-20" maxValue="155"/>
    </cacheField>
    <cacheField name="    INDENT  FOR AUG-25 as per VSM" numFmtId="0">
      <sharedItems containsSemiMixedTypes="0" containsString="0" containsNumber="1" minValue="-135" maxValue="73.7"/>
    </cacheField>
    <cacheField name=" INDENT  FOR AUG-25 recommended" numFmtId="0">
      <sharedItems containsSemiMixedTypes="0" containsString="0" containsNumber="1" minValue="0" maxValue="73.7"/>
    </cacheField>
    <cacheField name="Before 20th" numFmtId="1">
      <sharedItems containsSemiMixedTypes="0" containsString="0" containsNumber="1" minValue="0" maxValue="105.75507600000003"/>
    </cacheField>
    <cacheField name="ofter 20th" numFmtId="0">
      <sharedItems containsSemiMixedTypes="0" containsString="0" containsNumber="1" minValue="0" maxValue="206.77804999999998"/>
    </cacheField>
    <cacheField name="Total Indent" numFmtId="0">
      <sharedItems containsSemiMixedTypes="0" containsString="0" containsNumber="1" minValue="0" maxValue="147"/>
    </cacheField>
    <cacheField name="Total Delivered" numFmtId="1">
      <sharedItems containsSemiMixedTypes="0" containsString="0" containsNumber="1" minValue="0" maxValue="222.91615399999998"/>
    </cacheField>
    <cacheField name="GAP" numFmtId="1">
      <sharedItems containsSemiMixedTypes="0" containsString="0" containsNumber="1" minValue="0" maxValue="140.36733599999999"/>
    </cacheField>
    <cacheField name="Todays Stock" numFmtId="0">
      <sharedItems containsString="0" containsBlank="1" containsNumber="1" containsInteger="1" minValue="0" maxValue="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
  <r>
    <n v="243"/>
    <s v="Hosur"/>
    <x v="0"/>
    <m/>
    <n v="189287"/>
    <n v="3432081"/>
    <s v="TUB-O-N-AUT-AW-PE-12.70X1.600X0.1890"/>
    <x v="0"/>
    <m/>
    <x v="0"/>
    <x v="0"/>
    <s v="HROP"/>
    <m/>
    <m/>
    <m/>
    <s v="12.7-0-1.6-ERW 1-PE"/>
    <s v="12.7-0-1.6-ERW 1-PE-0.189"/>
    <n v="1"/>
    <x v="0"/>
    <x v="0"/>
    <x v="0"/>
    <x v="0"/>
    <n v="189"/>
    <s v="NOS"/>
    <x v="0"/>
    <n v="0"/>
    <n v="40000"/>
    <n v="3.3095127743999999"/>
    <n v="0"/>
    <n v="3.3095127743999999"/>
    <n v="516.51107474873152"/>
    <n v="4.2735000000000002E-2"/>
    <n v="11.937059000000001"/>
    <e v="#VALUE!"/>
    <e v="#VALUE!"/>
  </r>
  <r>
    <n v="248"/>
    <s v="Hosur"/>
    <x v="0"/>
    <m/>
    <n v="189287"/>
    <n v="1940034"/>
    <s v="TUB-O-O-AUT-AW-PE-15.88X1.200X0.5400"/>
    <x v="0"/>
    <m/>
    <x v="0"/>
    <x v="1"/>
    <m/>
    <m/>
    <m/>
    <m/>
    <s v="15.88-0-1.2-ERW 1-PE"/>
    <s v="15.88-0-1.2-ERW 1-PE-0.54"/>
    <n v="1"/>
    <x v="1"/>
    <x v="1"/>
    <x v="0"/>
    <x v="1"/>
    <n v="540"/>
    <s v="NOS"/>
    <x v="1"/>
    <n v="2000"/>
    <n v="-500"/>
    <n v="0.35171559504"/>
    <n v="0.46895412671999998"/>
    <n v="-0.11723853167999998"/>
    <n v="2344.898866102892"/>
    <n v="0.54982500000000001"/>
    <n v="3.1547549999999998"/>
    <n v="2.7596877743999997"/>
    <n v="0.30783356831269526"/>
  </r>
  <r>
    <n v="258"/>
    <s v="Hosur"/>
    <x v="0"/>
    <m/>
    <n v="189287"/>
    <n v="1940038"/>
    <s v="TUB-O-O-AUT-AW-PE-15.88X1.200X0.6800"/>
    <x v="0"/>
    <m/>
    <x v="0"/>
    <x v="1"/>
    <m/>
    <m/>
    <m/>
    <m/>
    <s v="15.88-0-1.2-ERW 1-PE"/>
    <s v="15.88-0-1.2-ERW 1-PE-0.68"/>
    <n v="1"/>
    <x v="1"/>
    <x v="1"/>
    <x v="0"/>
    <x v="1"/>
    <n v="680"/>
    <s v="NOS"/>
    <x v="1"/>
    <n v="2000"/>
    <n v="-500"/>
    <n v="0.44290111968000007"/>
    <n v="0.59053482624000009"/>
    <n v="-0.14763370656000002"/>
    <n v="1715.5160965701893"/>
    <n v="0.50653599999999999"/>
    <n v="3.1547549999999998"/>
    <n v="-0.15482040495999999"/>
    <n v="3.1191986983552207"/>
  </r>
  <r>
    <n v="249"/>
    <s v="Hosur"/>
    <x v="0"/>
    <m/>
    <n v="189287"/>
    <n v="3715199"/>
    <s v="TUB-O-N-AUT-AW-PE-15.88X1.200X0.7550"/>
    <x v="0"/>
    <m/>
    <x v="0"/>
    <x v="0"/>
    <m/>
    <m/>
    <m/>
    <m/>
    <s v="15.88-0-1.2-ERW 1-PE"/>
    <s v="15.88-0-1.2-ERW 1-PE-0.755"/>
    <n v="2"/>
    <x v="1"/>
    <x v="1"/>
    <x v="0"/>
    <x v="1"/>
    <n v="755"/>
    <s v="NOS"/>
    <x v="2"/>
    <n v="0"/>
    <n v="4000"/>
    <n v="1.3113346876800003"/>
    <n v="0"/>
    <n v="1.3113346876800003"/>
    <n v="6.4331402800949959"/>
    <n v="2.1090000000000002E-3"/>
    <n v="3.1547549999999998"/>
    <n v="0.44079211968000004"/>
    <n v="4.7617852073252179E-3"/>
  </r>
  <r>
    <n v="245"/>
    <s v="Hosur"/>
    <x v="0"/>
    <m/>
    <n v="189287"/>
    <n v="1940045"/>
    <s v="TUB-O-O-AUT-AW-PE-15.88X1.200X1.1300"/>
    <x v="0"/>
    <m/>
    <x v="0"/>
    <x v="1"/>
    <m/>
    <m/>
    <m/>
    <m/>
    <s v="15.88-0-1.2-ERW 1-PE"/>
    <s v="15.88-0-1.2-ERW 1-PE-1.13"/>
    <n v="1"/>
    <x v="1"/>
    <x v="1"/>
    <x v="0"/>
    <x v="1"/>
    <n v="1130"/>
    <s v="NOS"/>
    <x v="1"/>
    <n v="0"/>
    <n v="1500"/>
    <n v="0.73599744887999996"/>
    <n v="0"/>
    <n v="0.73599744887999996"/>
    <n v="0"/>
    <n v="0"/>
    <n v="3.1547549999999998"/>
    <n v="1.3113346876800003"/>
    <n v="0"/>
  </r>
  <r>
    <n v="247"/>
    <s v="Hosur"/>
    <x v="0"/>
    <m/>
    <n v="189287"/>
    <n v="1940046"/>
    <s v="TUB-O-O-AUT-AW-PE-15.88X1.200X1.3100"/>
    <x v="0"/>
    <m/>
    <x v="0"/>
    <x v="1"/>
    <m/>
    <m/>
    <m/>
    <m/>
    <s v="15.88-0-1.2-ERW 1-PE"/>
    <s v="15.88-0-1.2-ERW 1-PE-1.31"/>
    <n v="1"/>
    <x v="1"/>
    <x v="1"/>
    <x v="0"/>
    <x v="1"/>
    <n v="1310"/>
    <s v="NOS"/>
    <x v="1"/>
    <n v="2000"/>
    <n v="-500"/>
    <n v="0.85323598056000005"/>
    <n v="1.1376479740800001"/>
    <n v="-0.28441199352000002"/>
    <n v="1002.1043644207568"/>
    <n v="0.570021"/>
    <n v="3.1547549999999998"/>
    <m/>
    <m/>
  </r>
  <r>
    <n v="250"/>
    <s v="Hosur"/>
    <x v="0"/>
    <m/>
    <n v="189287"/>
    <n v="3635694"/>
    <s v="TUB-O-N-AUT-AW-PE-19.05X1.000X1.2000"/>
    <x v="0"/>
    <m/>
    <x v="0"/>
    <x v="0"/>
    <m/>
    <m/>
    <m/>
    <m/>
    <s v="19.05-0-1-ERW 1-PE"/>
    <s v="19.05-0-1-ERW 1-PE-1.2"/>
    <n v="1"/>
    <x v="2"/>
    <x v="2"/>
    <x v="0"/>
    <x v="2"/>
    <n v="1200"/>
    <s v="NOS"/>
    <x v="3"/>
    <n v="75"/>
    <n v="7925"/>
    <n v="4.2711787200000009"/>
    <n v="4.004230050000001E-2"/>
    <n v="4.2311364195000012"/>
    <n v="205.02068805961832"/>
    <n v="0.10946"/>
    <n v="19.832242999999998"/>
    <n v="0.74377598056000005"/>
    <n v="0.17521799819304143"/>
  </r>
  <r>
    <n v="256"/>
    <s v="Hosur"/>
    <x v="0"/>
    <m/>
    <n v="189287"/>
    <n v="3409366"/>
    <s v="TUB-O-N-AUT-AW-PE-19.05X1.200X0.1090"/>
    <x v="0"/>
    <m/>
    <x v="0"/>
    <x v="0"/>
    <m/>
    <m/>
    <m/>
    <m/>
    <s v="19.05-0-1.2-ERW 1-PE"/>
    <s v="19.05-0-1.2-ERW 1-PE-0.109"/>
    <n v="1"/>
    <x v="2"/>
    <x v="2"/>
    <x v="0"/>
    <x v="1"/>
    <n v="109"/>
    <s v="NOS"/>
    <x v="2"/>
    <n v="0"/>
    <n v="4000"/>
    <n v="0.23019996888000002"/>
    <n v="0"/>
    <n v="0.23019996888000002"/>
    <n v="0"/>
    <n v="0"/>
    <n v="12.194379"/>
    <n v="4.2711787200000009"/>
    <n v="0"/>
  </r>
  <r>
    <n v="244"/>
    <s v="Hosur"/>
    <x v="0"/>
    <m/>
    <n v="189287"/>
    <n v="3239890"/>
    <s v="TUB-O-N-GEN-AW-PE-19.05X1.200X0.3300"/>
    <x v="0"/>
    <m/>
    <x v="0"/>
    <x v="0"/>
    <m/>
    <m/>
    <m/>
    <m/>
    <s v="19.05-0-1.2-ERW 1-PE"/>
    <s v="19.05-0-1.2-ERW 1-PE-0.33"/>
    <n v="2"/>
    <x v="2"/>
    <x v="2"/>
    <x v="0"/>
    <x v="1"/>
    <n v="330"/>
    <s v="NOS"/>
    <x v="4"/>
    <n v="0"/>
    <n v="10000"/>
    <n v="1.742339214"/>
    <n v="0"/>
    <n v="1.742339214"/>
    <n v="0"/>
    <n v="0"/>
    <n v="12.194379"/>
    <n v="0.23019996888000002"/>
    <n v="0"/>
  </r>
  <r>
    <n v="246"/>
    <s v="Hosur"/>
    <x v="0"/>
    <m/>
    <n v="189287"/>
    <n v="3929662"/>
    <s v="CUT-O-N-AUT-AW-PE-19.05X1.200X0.4030"/>
    <x v="0"/>
    <m/>
    <x v="0"/>
    <x v="0"/>
    <m/>
    <m/>
    <m/>
    <m/>
    <s v="19.05-0-1.2-ERW 1-PE"/>
    <m/>
    <m/>
    <x v="2"/>
    <x v="2"/>
    <x v="0"/>
    <x v="1"/>
    <n v="403"/>
    <m/>
    <x v="5"/>
    <e v="#N/A"/>
    <e v="#N/A"/>
    <n v="0"/>
    <e v="#N/A"/>
    <e v="#N/A"/>
    <e v="#DIV/0!"/>
    <n v="0"/>
    <n v="12.194379"/>
    <n v="1.742339214"/>
    <e v="#N/A"/>
  </r>
  <r>
    <n v="253"/>
    <s v="Hosur"/>
    <x v="0"/>
    <m/>
    <n v="189287"/>
    <n v="2409616"/>
    <s v="TUB-O-N-AUT-AW-PE-19.05X1.200X0.5130"/>
    <x v="0"/>
    <m/>
    <x v="0"/>
    <x v="0"/>
    <m/>
    <m/>
    <m/>
    <m/>
    <s v="19.05-0-1.2-ERW 1-PE"/>
    <s v="19.05-0-1.2-ERW 1-PE-0.513"/>
    <n v="1"/>
    <x v="2"/>
    <x v="2"/>
    <x v="0"/>
    <x v="1"/>
    <n v="513"/>
    <s v="NOS"/>
    <x v="6"/>
    <n v="1176"/>
    <n v="3824"/>
    <n v="1.3542727527000002"/>
    <n v="0.31852495143504"/>
    <n v="1.0357478012649604"/>
    <n v="0"/>
    <n v="0"/>
    <n v="12.194379"/>
    <n v="0"/>
    <e v="#DIV/0!"/>
  </r>
  <r>
    <n v="251"/>
    <s v="Hosur"/>
    <x v="0"/>
    <m/>
    <n v="189287"/>
    <n v="3229740"/>
    <s v="TUB-O-N-AUT-AW-PE-19.05X1.200X1.0750"/>
    <x v="0"/>
    <m/>
    <x v="0"/>
    <x v="0"/>
    <m/>
    <m/>
    <m/>
    <m/>
    <s v="19.05-0-1.2-ERW 1-PE"/>
    <s v="19.05-0-1.2-ERW 1-PE-1.075"/>
    <n v="1"/>
    <x v="2"/>
    <x v="2"/>
    <x v="0"/>
    <x v="1"/>
    <n v="1075"/>
    <s v="NOS"/>
    <x v="6"/>
    <n v="1537"/>
    <n v="3463"/>
    <n v="2.8379009925000003"/>
    <n v="0.87237076509450018"/>
    <n v="1.9655302274055"/>
    <n v="0"/>
    <n v="0"/>
    <n v="12.194379"/>
    <n v="1.3542727527000002"/>
    <n v="0.64416179337231971"/>
  </r>
  <r>
    <n v="254"/>
    <s v="Hosur"/>
    <x v="0"/>
    <m/>
    <n v="189287"/>
    <n v="3229739"/>
    <s v="TUB-O-N-AUT-AW-PE-19.05X1.200X1.1300"/>
    <x v="0"/>
    <m/>
    <x v="0"/>
    <x v="0"/>
    <m/>
    <m/>
    <m/>
    <m/>
    <s v="19.05-0-1.2-ERW 1-PE"/>
    <s v="19.05-0-1.2-ERW 1-PE-1.13"/>
    <n v="2"/>
    <x v="2"/>
    <x v="2"/>
    <x v="0"/>
    <x v="1"/>
    <n v="1130"/>
    <s v="NOS"/>
    <x v="2"/>
    <n v="0"/>
    <n v="4000"/>
    <n v="2.3864767415999997"/>
    <n v="0"/>
    <n v="2.3864767415999997"/>
    <n v="0"/>
    <n v="0"/>
    <n v="12.194379"/>
    <n v="2.8379009925000003"/>
    <n v="0"/>
  </r>
  <r>
    <n v="252"/>
    <s v="Hosur"/>
    <x v="0"/>
    <m/>
    <n v="189287"/>
    <n v="3409367"/>
    <s v="TUB-O-N-AUT-AW-PE-19.05X1.200X1.2750"/>
    <x v="0"/>
    <m/>
    <x v="0"/>
    <x v="0"/>
    <m/>
    <m/>
    <m/>
    <m/>
    <s v="19.05-0-1.2-ERW 1-PE"/>
    <s v="19.05-0-1.2-ERW 1-PE-1.275"/>
    <n v="1"/>
    <x v="2"/>
    <x v="2"/>
    <x v="0"/>
    <x v="1"/>
    <n v="1275"/>
    <s v="NOS"/>
    <x v="6"/>
    <n v="0"/>
    <n v="5000"/>
    <n v="3.3658825725000003"/>
    <n v="0"/>
    <n v="3.3658825725000003"/>
    <n v="14.189443324674984"/>
    <n v="9.5519999999999997E-3"/>
    <n v="12.194379"/>
    <n v="2.3769247415999999"/>
    <n v="4.0025531502125246E-3"/>
  </r>
  <r>
    <n v="257"/>
    <s v="Hosur"/>
    <x v="0"/>
    <m/>
    <n v="189287"/>
    <n v="2409618"/>
    <s v="TUB-O-N-AUT-AW-PE-25.40X1.600X2.5900"/>
    <x v="0"/>
    <m/>
    <x v="0"/>
    <x v="0"/>
    <s v="HROP"/>
    <m/>
    <m/>
    <m/>
    <s v="25.4-0-1.6-ERW 1-PE"/>
    <s v="25.4-0-1.6-ERW 1-PE-2.59"/>
    <n v="1"/>
    <x v="3"/>
    <x v="3"/>
    <x v="0"/>
    <x v="0"/>
    <n v="2590"/>
    <s v="NOS"/>
    <x v="2"/>
    <n v="772"/>
    <n v="3228"/>
    <n v="9.7242474112000004"/>
    <n v="1.8767797503615999"/>
    <n v="7.8474676608384009"/>
    <n v="0"/>
    <n v="0"/>
    <n v="4.9425059999999998"/>
    <n v="3.3658825725000003"/>
    <n v="0.55758919389978201"/>
  </r>
  <r>
    <n v="255"/>
    <s v="Hosur"/>
    <x v="0"/>
    <m/>
    <n v="189287"/>
    <n v="2430128"/>
    <s v="TUB-R-AW-AUT-50.00X30.00X1.600X1.1000"/>
    <x v="0"/>
    <m/>
    <x v="1"/>
    <x v="1"/>
    <s v="HROP"/>
    <m/>
    <m/>
    <m/>
    <s v="50-30-1.6-ERW 1-FC"/>
    <s v="50-30-1.6-ERW 1-FC-1.1"/>
    <n v="1"/>
    <x v="4"/>
    <x v="4"/>
    <x v="1"/>
    <x v="0"/>
    <n v="1100"/>
    <s v="NOS"/>
    <x v="7"/>
    <n v="0"/>
    <n v="2000"/>
    <n v="4.2688124160000003"/>
    <n v="0"/>
    <n v="4.2688124160000003"/>
    <n v="267.6988090919196"/>
    <n v="0.57137800000000005"/>
    <n v="30.741517999999999"/>
    <n v="9.1528694112000011"/>
    <n v="5.8758068962942021E-2"/>
  </r>
  <r>
    <n v="414"/>
    <s v="Hosur"/>
    <x v="1"/>
    <m/>
    <n v="129663"/>
    <n v="1939966"/>
    <s v="TUB-O-O-AUT-AW-PE-12.70X1.200X0.4080"/>
    <x v="0"/>
    <m/>
    <x v="0"/>
    <x v="0"/>
    <m/>
    <m/>
    <m/>
    <m/>
    <s v="12.7-0-1.2-ERW 1-PE"/>
    <s v="12.7-0-1.2-ERW 1-PE-0.408"/>
    <n v="1"/>
    <x v="0"/>
    <x v="0"/>
    <x v="0"/>
    <x v="1"/>
    <n v="408"/>
    <s v="NOS"/>
    <x v="4"/>
    <n v="0"/>
    <n v="10000"/>
    <n v="1.3878372960000001"/>
    <n v="0"/>
    <n v="1.3878372960000001"/>
    <n v="0"/>
    <n v="0"/>
    <n v="0.50777099999999997"/>
    <n v="4.2688124160000003"/>
    <n v="0"/>
  </r>
  <r>
    <n v="432"/>
    <s v="Hosur"/>
    <x v="1"/>
    <m/>
    <n v="129663"/>
    <n v="1939974"/>
    <s v="TUB-O-O-AUT-AW-PE-12.70X1.200X0.7720"/>
    <x v="0"/>
    <m/>
    <x v="0"/>
    <x v="0"/>
    <m/>
    <m/>
    <m/>
    <m/>
    <s v="12.7-0-1.2-ERW 1-PE"/>
    <s v="12.7-0-1.2-ERW 1-PE-0.772"/>
    <n v="1"/>
    <x v="0"/>
    <x v="0"/>
    <x v="0"/>
    <x v="1"/>
    <n v="772"/>
    <s v="NOS"/>
    <x v="4"/>
    <n v="0"/>
    <n v="10000"/>
    <n v="2.6260058640000001"/>
    <n v="0"/>
    <n v="2.6260058640000001"/>
    <n v="135.89459372204968"/>
    <n v="3.5686000000000002E-2"/>
    <n v="0.50777099999999997"/>
    <n v="1.3521512959999999"/>
    <n v="2.5713388812113318E-2"/>
  </r>
  <r>
    <n v="412"/>
    <s v="Hosur"/>
    <x v="1"/>
    <m/>
    <n v="129663"/>
    <s v="NO MATERIAL CODE"/>
    <m/>
    <x v="1"/>
    <m/>
    <x v="0"/>
    <x v="1"/>
    <m/>
    <m/>
    <m/>
    <m/>
    <s v="12.7-0-1.6--PE"/>
    <m/>
    <m/>
    <x v="0"/>
    <x v="0"/>
    <x v="0"/>
    <x v="0"/>
    <n v="252"/>
    <m/>
    <x v="5"/>
    <e v="#N/A"/>
    <e v="#N/A"/>
    <n v="0"/>
    <e v="#N/A"/>
    <e v="#N/A"/>
    <e v="#DIV/0!"/>
    <n v="0"/>
    <n v="0"/>
    <n v="2.6260058640000001"/>
    <m/>
  </r>
  <r>
    <n v="435"/>
    <s v="Hosur"/>
    <x v="1"/>
    <m/>
    <n v="129663"/>
    <n v="3172238"/>
    <s v="TUB-O-N-AUT-AW-PE-12.70X1.600X0.9500"/>
    <x v="0"/>
    <m/>
    <x v="0"/>
    <x v="0"/>
    <s v="HROP"/>
    <m/>
    <m/>
    <m/>
    <s v="12.7-0-1.6-ERW 1-PE"/>
    <s v="12.7-0-1.6-ERW 1-PE-0.95"/>
    <n v="2"/>
    <x v="0"/>
    <x v="0"/>
    <x v="0"/>
    <x v="0"/>
    <n v="950"/>
    <s v="NOS"/>
    <x v="4"/>
    <n v="0"/>
    <n v="10000"/>
    <n v="4.1587792800000001"/>
    <n v="0"/>
    <n v="4.1587792800000001"/>
    <n v="209.82599490108066"/>
    <n v="8.7261999999999992E-2"/>
    <n v="11.937059000000001"/>
    <n v="-8.7261999999999992E-2"/>
    <e v="#DIV/0!"/>
  </r>
  <r>
    <n v="436"/>
    <s v="Hosur"/>
    <x v="1"/>
    <m/>
    <n v="129663"/>
    <n v="1940014"/>
    <s v="TUB-O-O-GEN-AW-PE-12.70X1.600X6.0000"/>
    <x v="0"/>
    <m/>
    <x v="0"/>
    <x v="1"/>
    <m/>
    <m/>
    <m/>
    <m/>
    <s v="12.7-0-1.6-ERW 1-PE"/>
    <m/>
    <m/>
    <x v="0"/>
    <x v="0"/>
    <x v="0"/>
    <x v="0"/>
    <n v="6000"/>
    <m/>
    <x v="5"/>
    <e v="#N/A"/>
    <e v="#N/A"/>
    <n v="0"/>
    <e v="#N/A"/>
    <e v="#N/A"/>
    <e v="#DIV/0!"/>
    <n v="0"/>
    <n v="11.937059000000001"/>
    <n v="4.1587792800000001"/>
    <e v="#N/A"/>
  </r>
  <r>
    <n v="464"/>
    <s v="Khopoli "/>
    <x v="1"/>
    <m/>
    <n v="129663"/>
    <n v="2410389"/>
    <s v="TUB-O-C-AUT-AN-FC-14.00X1.600X04-05"/>
    <x v="2"/>
    <m/>
    <x v="2"/>
    <x v="0"/>
    <s v="KGR2"/>
    <m/>
    <m/>
    <m/>
    <s v="14-0-1.6-CEW-CEW"/>
    <s v="14-0-1.6-CEW-CEW"/>
    <n v="1"/>
    <x v="5"/>
    <x v="5"/>
    <x v="0"/>
    <x v="0"/>
    <n v="1000"/>
    <s v="M"/>
    <x v="7"/>
    <n v="0"/>
    <n v="2000"/>
    <n v="0.97807232000000011"/>
    <n v="0"/>
    <n v="0.97807232000000011"/>
    <n v="896.98684040051353"/>
    <n v="0.43865900000000002"/>
    <n v="0.43865900000000002"/>
    <n v="-0.43865900000000002"/>
    <e v="#DIV/0!"/>
  </r>
  <r>
    <n v="437"/>
    <s v="Hosur"/>
    <x v="1"/>
    <m/>
    <n v="129663"/>
    <n v="1900224"/>
    <s v="TUB-O-O-AUT-AW-PE-15.88X1.6.000X6.0000"/>
    <x v="0"/>
    <m/>
    <x v="0"/>
    <x v="0"/>
    <s v="HROP"/>
    <m/>
    <m/>
    <m/>
    <s v="15.88-0-1.6-ERW 1-PE"/>
    <s v="15.88-0-1.6-ERW 1-PE-1"/>
    <n v="0"/>
    <x v="1"/>
    <x v="1"/>
    <x v="0"/>
    <x v="0"/>
    <n v="1000"/>
    <s v="M"/>
    <x v="8"/>
    <n v="0"/>
    <n v="9000"/>
    <n v="5.0686231679999993"/>
    <n v="0"/>
    <n v="5.0686231679999993"/>
    <n v="0"/>
    <n v="0"/>
    <n v="15.499108000000001"/>
    <n v="0.97807232000000011"/>
    <n v="0"/>
  </r>
  <r>
    <n v="459"/>
    <s v="Hosur"/>
    <x v="1"/>
    <m/>
    <n v="129663"/>
    <n v="468311"/>
    <s v="TUB-O-N-AUT-AW-PE-15.88X2.000X0.291"/>
    <x v="1"/>
    <m/>
    <x v="0"/>
    <x v="1"/>
    <m/>
    <m/>
    <m/>
    <m/>
    <s v="15.88-0-2--PE"/>
    <m/>
    <m/>
    <x v="1"/>
    <x v="1"/>
    <x v="0"/>
    <x v="3"/>
    <n v="291"/>
    <m/>
    <x v="5"/>
    <e v="#N/A"/>
    <e v="#N/A"/>
    <n v="0"/>
    <e v="#N/A"/>
    <e v="#N/A"/>
    <e v="#DIV/0!"/>
    <n v="0"/>
    <n v="0"/>
    <n v="5.0686231679999993"/>
    <e v="#N/A"/>
  </r>
  <r>
    <n v="429"/>
    <s v="Khopoli "/>
    <x v="1"/>
    <m/>
    <n v="129663"/>
    <n v="3188792"/>
    <s v="TUB-O-C-AUT-AD-FC-16.00X2.800X04-06"/>
    <x v="2"/>
    <m/>
    <x v="2"/>
    <x v="1"/>
    <m/>
    <m/>
    <m/>
    <m/>
    <s v="16.1-0-2.8-CEW-CEW"/>
    <s v="16.1-0-2.8-CEW-CEW"/>
    <n v="1"/>
    <x v="6"/>
    <x v="6"/>
    <x v="0"/>
    <x v="4"/>
    <n v="1000"/>
    <s v="M"/>
    <x v="1"/>
    <n v="0"/>
    <n v="1500"/>
    <n v="1.37689314"/>
    <n v="0"/>
    <n v="1.37689314"/>
    <n v="2116.7219992104838"/>
    <n v="1.9430000000000001"/>
    <n v="1.9430000000000001"/>
    <n v="-1.9430000000000001"/>
    <e v="#DIV/0!"/>
  </r>
  <r>
    <n v="470"/>
    <s v="Hosur"/>
    <x v="1"/>
    <m/>
    <n v="129663"/>
    <n v="2410995"/>
    <s v="TUB-O-C-AUT-AD-FC-16.00X2.950X04-06"/>
    <x v="2"/>
    <m/>
    <x v="2"/>
    <x v="1"/>
    <m/>
    <m/>
    <m/>
    <m/>
    <s v="16.1-10.7-2.95-CEW-CEW"/>
    <s v="16.1-10.7-2.95-CEW-CEW"/>
    <n v="1"/>
    <x v="6"/>
    <x v="6"/>
    <x v="2"/>
    <x v="5"/>
    <n v="1000"/>
    <s v="M"/>
    <x v="9"/>
    <n v="0"/>
    <n v="1000"/>
    <n v="0.95619633250000025"/>
    <n v="0"/>
    <n v="0.95619633250000025"/>
    <n v="891.01052894908469"/>
    <n v="0.85198099999999999"/>
    <n v="0.85198099999999999"/>
    <n v="0.52491213999999997"/>
    <n v="0.61877060408624018"/>
  </r>
  <r>
    <n v="441"/>
    <s v="Khopoli "/>
    <x v="1"/>
    <m/>
    <n v="129663"/>
    <n v="1938118"/>
    <s v="TUB-O-N-AUT-AW-PE-17.30X1.600X0.3550"/>
    <x v="0"/>
    <m/>
    <x v="0"/>
    <x v="0"/>
    <s v="D"/>
    <m/>
    <m/>
    <m/>
    <s v="17.3-0-1.6-ERW 1-PE"/>
    <s v="17.3-0-1.6-ERW 1-PE-0.355"/>
    <n v="1"/>
    <x v="7"/>
    <x v="7"/>
    <x v="0"/>
    <x v="0"/>
    <n v="355"/>
    <s v="NOS"/>
    <x v="10"/>
    <n v="0"/>
    <n v="25000"/>
    <n v="5.4952480600000007"/>
    <n v="0"/>
    <n v="5.4952480600000007"/>
    <n v="0"/>
    <n v="0"/>
    <n v="3.2314159999999998"/>
    <n v="0.95619633250000025"/>
    <n v="0"/>
  </r>
  <r>
    <n v="442"/>
    <s v="Khopoli "/>
    <x v="1"/>
    <m/>
    <n v="129663"/>
    <n v="1938382"/>
    <s v="TUB-O-N-AUT-AW-PE-17.30X1.600X0.3870"/>
    <x v="0"/>
    <m/>
    <x v="0"/>
    <x v="1"/>
    <m/>
    <m/>
    <m/>
    <m/>
    <s v="17.3-0-1.6-ERW 1-PE"/>
    <s v="17.3-0-1.6-ERW 1-PE-0.385"/>
    <n v="0"/>
    <x v="7"/>
    <x v="7"/>
    <x v="0"/>
    <x v="0"/>
    <n v="385"/>
    <s v="NOS"/>
    <x v="11"/>
    <n v="0"/>
    <n v="3000"/>
    <n v="0.71515622639999987"/>
    <n v="0"/>
    <n v="0.71515622639999987"/>
    <n v="0"/>
    <n v="0"/>
    <n v="3.2314159999999998"/>
    <n v="5.4952480600000007"/>
    <n v="0"/>
  </r>
  <r>
    <n v="454"/>
    <s v="Khopoli "/>
    <x v="1"/>
    <m/>
    <n v="129663"/>
    <n v="1938382"/>
    <s v="TUB-O-N-AUT-AW-PE-17.30X1.600X0.3870"/>
    <x v="2"/>
    <m/>
    <x v="3"/>
    <x v="1"/>
    <m/>
    <m/>
    <m/>
    <m/>
    <s v="17.3-0-1.6-CEW-"/>
    <m/>
    <m/>
    <x v="7"/>
    <x v="7"/>
    <x v="0"/>
    <x v="0"/>
    <n v="387"/>
    <m/>
    <x v="5"/>
    <e v="#N/A"/>
    <e v="#N/A"/>
    <n v="0"/>
    <e v="#N/A"/>
    <e v="#N/A"/>
    <e v="#DIV/0!"/>
    <n v="0"/>
    <n v="0"/>
    <n v="0.71515622639999987"/>
    <e v="#N/A"/>
  </r>
  <r>
    <n v="440"/>
    <s v="Khopoli "/>
    <x v="1"/>
    <m/>
    <n v="129663"/>
    <n v="1938119"/>
    <s v="TUB-O-N-AUT-AW-PE-17.30X1.600X0.4000"/>
    <x v="0"/>
    <m/>
    <x v="0"/>
    <x v="0"/>
    <s v="D"/>
    <m/>
    <m/>
    <m/>
    <s v="17.3-0-1.6-ERW 1-PE"/>
    <s v="17.3-0-1.6-ERW 1-PE-0.4"/>
    <n v="1"/>
    <x v="7"/>
    <x v="7"/>
    <x v="0"/>
    <x v="0"/>
    <n v="400"/>
    <s v="NOS"/>
    <x v="4"/>
    <n v="0"/>
    <n v="10000"/>
    <n v="2.4767315200000004"/>
    <n v="0"/>
    <n v="2.4767315200000004"/>
    <n v="0"/>
    <n v="0"/>
    <n v="3.2314159999999998"/>
    <n v="0"/>
    <e v="#DIV/0!"/>
  </r>
  <r>
    <n v="448"/>
    <s v="Hosur"/>
    <x v="1"/>
    <m/>
    <n v="129663"/>
    <n v="3510169"/>
    <s v="CUT-O-N-AUT-AW-FC-19.05X1.600X0.2380"/>
    <x v="1"/>
    <m/>
    <x v="3"/>
    <x v="1"/>
    <m/>
    <m/>
    <m/>
    <m/>
    <s v="19.05-0-1.6--"/>
    <m/>
    <m/>
    <x v="2"/>
    <x v="2"/>
    <x v="0"/>
    <x v="0"/>
    <n v="238"/>
    <m/>
    <x v="5"/>
    <e v="#N/A"/>
    <e v="#N/A"/>
    <n v="0"/>
    <e v="#N/A"/>
    <e v="#N/A"/>
    <e v="#DIV/0!"/>
    <n v="0"/>
    <n v="0"/>
    <n v="2.4767315200000004"/>
    <e v="#N/A"/>
  </r>
  <r>
    <n v="452"/>
    <s v="Hosur"/>
    <x v="1"/>
    <m/>
    <n v="129663"/>
    <n v="464578"/>
    <s v="PT2-O-N-AUT-AW-PE-19.05X1.600X0.310"/>
    <x v="1"/>
    <m/>
    <x v="3"/>
    <x v="1"/>
    <m/>
    <m/>
    <m/>
    <m/>
    <s v="19.05-0-1.6--"/>
    <m/>
    <m/>
    <x v="2"/>
    <x v="2"/>
    <x v="0"/>
    <x v="0"/>
    <n v="310"/>
    <m/>
    <x v="5"/>
    <e v="#N/A"/>
    <e v="#N/A"/>
    <n v="0"/>
    <e v="#N/A"/>
    <e v="#N/A"/>
    <e v="#DIV/0!"/>
    <n v="0"/>
    <n v="0"/>
    <n v="0"/>
    <e v="#N/A"/>
  </r>
  <r>
    <n v="466"/>
    <s v="Hosur"/>
    <x v="1"/>
    <m/>
    <n v="129663"/>
    <n v="3453631"/>
    <s v="TUB-O-N-AUT-AW-FC-19.05X1.600X0.3500"/>
    <x v="1"/>
    <m/>
    <x v="3"/>
    <x v="1"/>
    <m/>
    <m/>
    <m/>
    <m/>
    <s v="19.05-0-1.6--"/>
    <m/>
    <m/>
    <x v="2"/>
    <x v="2"/>
    <x v="0"/>
    <x v="0"/>
    <n v="350"/>
    <m/>
    <x v="5"/>
    <e v="#N/A"/>
    <e v="#N/A"/>
    <n v="0"/>
    <e v="#N/A"/>
    <e v="#N/A"/>
    <e v="#DIV/0!"/>
    <n v="0"/>
    <n v="0"/>
    <n v="0"/>
    <e v="#N/A"/>
  </r>
  <r>
    <n v="447"/>
    <s v="Hosur"/>
    <x v="1"/>
    <m/>
    <n v="129663"/>
    <n v="1531612"/>
    <s v="TUB-O-N-AUT-AW-PE-19.05X1.600X0.3800"/>
    <x v="1"/>
    <m/>
    <x v="3"/>
    <x v="1"/>
    <m/>
    <m/>
    <m/>
    <m/>
    <s v="19.05-0-1.6--"/>
    <m/>
    <m/>
    <x v="2"/>
    <x v="2"/>
    <x v="0"/>
    <x v="0"/>
    <n v="380"/>
    <m/>
    <x v="5"/>
    <e v="#N/A"/>
    <e v="#N/A"/>
    <n v="0"/>
    <e v="#N/A"/>
    <e v="#N/A"/>
    <e v="#DIV/0!"/>
    <n v="0"/>
    <n v="0"/>
    <n v="0"/>
    <e v="#N/A"/>
  </r>
  <r>
    <n v="467"/>
    <s v="Hosur"/>
    <x v="1"/>
    <m/>
    <n v="129663"/>
    <n v="3510171"/>
    <s v="CUT-O-N-AUT-AW-FC-19.05X1.600X0.4690"/>
    <x v="1"/>
    <m/>
    <x v="3"/>
    <x v="1"/>
    <m/>
    <m/>
    <m/>
    <m/>
    <s v="19.05-0-1.6--"/>
    <m/>
    <m/>
    <x v="2"/>
    <x v="2"/>
    <x v="0"/>
    <x v="0"/>
    <n v="469"/>
    <m/>
    <x v="5"/>
    <e v="#N/A"/>
    <e v="#N/A"/>
    <n v="0"/>
    <e v="#N/A"/>
    <e v="#N/A"/>
    <e v="#DIV/0!"/>
    <n v="0"/>
    <n v="0"/>
    <n v="0"/>
    <e v="#N/A"/>
  </r>
  <r>
    <n v="449"/>
    <s v="Hosur"/>
    <x v="1"/>
    <m/>
    <n v="129663"/>
    <n v="3213875"/>
    <s v="TUB-O-N-AUT-AW-PE-19.05X1.60X0.485-MAHS"/>
    <x v="1"/>
    <m/>
    <x v="3"/>
    <x v="1"/>
    <m/>
    <m/>
    <m/>
    <m/>
    <s v="19.05-0-1.6--"/>
    <m/>
    <m/>
    <x v="2"/>
    <x v="2"/>
    <x v="0"/>
    <x v="0"/>
    <n v="485"/>
    <m/>
    <x v="5"/>
    <e v="#N/A"/>
    <e v="#N/A"/>
    <n v="0"/>
    <e v="#N/A"/>
    <e v="#N/A"/>
    <e v="#DIV/0!"/>
    <n v="0"/>
    <n v="0"/>
    <n v="0"/>
    <e v="#N/A"/>
  </r>
  <r>
    <n v="469"/>
    <s v="Hosur"/>
    <x v="1"/>
    <m/>
    <n v="129663"/>
    <n v="319456"/>
    <s v="PT2-O-N-AUT-AW-PE-19.05X1.630X0.336"/>
    <x v="1"/>
    <m/>
    <x v="3"/>
    <x v="1"/>
    <m/>
    <m/>
    <m/>
    <m/>
    <s v="19.05-0-1.63--"/>
    <m/>
    <m/>
    <x v="2"/>
    <x v="2"/>
    <x v="0"/>
    <x v="6"/>
    <n v="336"/>
    <m/>
    <x v="5"/>
    <e v="#N/A"/>
    <e v="#N/A"/>
    <n v="0"/>
    <e v="#N/A"/>
    <e v="#N/A"/>
    <e v="#DIV/0!"/>
    <n v="0"/>
    <n v="0"/>
    <n v="0"/>
    <e v="#N/A"/>
  </r>
  <r>
    <n v="433"/>
    <s v="Hosur"/>
    <x v="1"/>
    <m/>
    <n v="129663"/>
    <n v="1940284"/>
    <s v="TUB-O-O-AUT-AW-PE-19.05X2.000X0.7850"/>
    <x v="0"/>
    <m/>
    <x v="0"/>
    <x v="1"/>
    <m/>
    <m/>
    <m/>
    <m/>
    <s v="19.05-0-2-ERW 1-PE"/>
    <s v="19.05-0-2-ERW 1-PE-0.785"/>
    <n v="3"/>
    <x v="2"/>
    <x v="2"/>
    <x v="0"/>
    <x v="3"/>
    <n v="785"/>
    <s v="NOS"/>
    <x v="7"/>
    <n v="0"/>
    <n v="2000"/>
    <n v="1.3196335130000001"/>
    <n v="0"/>
    <n v="1.3196335130000001"/>
    <n v="26.946875514823336"/>
    <n v="1.7780000000000001E-2"/>
    <n v="96.995899000000009"/>
    <n v="-1.7780000000000001E-2"/>
    <e v="#DIV/0!"/>
  </r>
  <r>
    <n v="434"/>
    <s v="Hosur"/>
    <x v="1"/>
    <m/>
    <n v="129663"/>
    <n v="1937438"/>
    <s v="TUB-O-N-AUT-AW-PE-19.05X2.030X0.8300"/>
    <x v="0"/>
    <m/>
    <x v="0"/>
    <x v="1"/>
    <m/>
    <m/>
    <m/>
    <m/>
    <s v="19.05-0-2-ERW 1-PE"/>
    <s v="19.05-0-2-ERW 1-PE-0.83"/>
    <n v="5"/>
    <x v="2"/>
    <x v="2"/>
    <x v="0"/>
    <x v="3"/>
    <n v="830"/>
    <s v="NOS"/>
    <x v="7"/>
    <n v="0"/>
    <n v="2000"/>
    <n v="1.3952812940000001"/>
    <n v="0"/>
    <n v="1.3952812940000001"/>
    <n v="0"/>
    <n v="0"/>
    <n v="96.995899000000009"/>
    <n v="1.3196335130000001"/>
    <n v="0"/>
  </r>
  <r>
    <n v="430"/>
    <s v="Hosur"/>
    <x v="1"/>
    <m/>
    <n v="129663"/>
    <n v="2427712"/>
    <s v="TUB-O-N-AUT-AW-PE-19.05X2.300X0.2550"/>
    <x v="0"/>
    <m/>
    <x v="0"/>
    <x v="1"/>
    <m/>
    <m/>
    <m/>
    <m/>
    <s v="19.05-0-2.3-ERW 1-PE"/>
    <s v="19.05-0-2.3-ERW 1-PE-0.255"/>
    <n v="3"/>
    <x v="2"/>
    <x v="2"/>
    <x v="0"/>
    <x v="7"/>
    <n v="255"/>
    <s v="NOS"/>
    <x v="8"/>
    <n v="0"/>
    <n v="9000"/>
    <n v="2.1793382538749997"/>
    <n v="0"/>
    <n v="2.1793382538749997"/>
    <n v="40.293423861056446"/>
    <n v="9.757E-3"/>
    <n v="41.162200000000006"/>
    <n v="1.3855242940000001"/>
    <n v="6.9928551625805706E-3"/>
  </r>
  <r>
    <n v="425"/>
    <s v="Hosur"/>
    <x v="1"/>
    <m/>
    <n v="129663"/>
    <n v="2427711"/>
    <s v="TUB-O-N-AUT-AW-PE-19.05X2.300X0.2850"/>
    <x v="0"/>
    <m/>
    <x v="0"/>
    <x v="1"/>
    <m/>
    <m/>
    <m/>
    <m/>
    <s v="19.05-0-2.3-ERW 1-PE"/>
    <s v="19.05-0-2.3-ERW 1-PE-0.285"/>
    <n v="1"/>
    <x v="2"/>
    <x v="2"/>
    <x v="0"/>
    <x v="7"/>
    <n v="285"/>
    <s v="NOS"/>
    <x v="12"/>
    <n v="0"/>
    <n v="6000"/>
    <n v="1.62382065975"/>
    <n v="0"/>
    <n v="1.62382065975"/>
    <n v="48.559549680898805"/>
    <n v="1.3141999999999999E-2"/>
    <n v="41.162200000000006"/>
    <n v="2.1661962538749995"/>
    <n v="6.0302708754057348E-3"/>
  </r>
  <r>
    <n v="428"/>
    <s v="Hosur"/>
    <x v="1"/>
    <m/>
    <n v="129663"/>
    <n v="1940313"/>
    <s v="TUB-O-O-AUT-AW-PE-19.05X2.300X0.3030"/>
    <x v="0"/>
    <m/>
    <x v="0"/>
    <x v="1"/>
    <m/>
    <m/>
    <m/>
    <m/>
    <s v="19.05-0-2.3-ERW 1-PE"/>
    <s v="19.05-0-2.3-ERW 1-PE-0.303"/>
    <n v="2"/>
    <x v="2"/>
    <x v="2"/>
    <x v="0"/>
    <x v="7"/>
    <n v="303"/>
    <s v="NOS"/>
    <x v="13"/>
    <n v="0"/>
    <n v="11000"/>
    <n v="3.1650258824249993"/>
    <n v="0"/>
    <n v="3.1650258824249993"/>
    <n v="447.896179260895"/>
    <n v="0.12887299999999999"/>
    <n v="41.162200000000006"/>
    <n v="1.49494765975"/>
    <n v="7.936405983394805E-2"/>
  </r>
  <r>
    <n v="439"/>
    <s v="Hosur"/>
    <x v="1"/>
    <m/>
    <n v="129663"/>
    <n v="1940363"/>
    <s v="TUB-O-O-AUT-AW-PE-22.23X1.200X1.1620"/>
    <x v="0"/>
    <m/>
    <x v="0"/>
    <x v="0"/>
    <m/>
    <m/>
    <m/>
    <m/>
    <s v="22.23-0-1.2-ERW 1-PE"/>
    <s v="22.23-0-1.2-ERW 1-PE-1.162"/>
    <n v="1"/>
    <x v="8"/>
    <x v="8"/>
    <x v="0"/>
    <x v="1"/>
    <n v="1162"/>
    <s v="NOS"/>
    <x v="7"/>
    <n v="4280"/>
    <n v="-2280"/>
    <n v="1.4456259891359999"/>
    <n v="3.09363961675104"/>
    <n v="-1.6480136276150401"/>
    <n v="798.27009798689721"/>
    <n v="0.57699999999999996"/>
    <n v="6.2558429999999996"/>
    <n v="2.5880258824249993"/>
    <n v="1.1597502684365559"/>
  </r>
  <r>
    <n v="460"/>
    <s v="Hosur"/>
    <x v="1"/>
    <m/>
    <n v="129663"/>
    <n v="3599863"/>
    <s v="TUB-O-N-AUT-AW-PE-22.23X1.600X0.9450"/>
    <x v="0"/>
    <m/>
    <x v="0"/>
    <x v="0"/>
    <s v="HROP"/>
    <m/>
    <m/>
    <m/>
    <s v="22.23-0-1.6-ERW 1-PE"/>
    <s v="22.23-0-1.6-ERW 1-PE-0.945"/>
    <n v="2"/>
    <x v="8"/>
    <x v="8"/>
    <x v="0"/>
    <x v="0"/>
    <n v="945"/>
    <s v="NOS"/>
    <x v="14"/>
    <n v="0"/>
    <n v="2500"/>
    <n v="1.9221635286000003"/>
    <n v="0"/>
    <n v="1.9221635286000003"/>
    <n v="1577.052344868843"/>
    <n v="1.2125409999999999"/>
    <n v="68.25120299999999"/>
    <n v="0.23308498913600006"/>
    <n v="0.83876535778434169"/>
  </r>
  <r>
    <n v="458"/>
    <s v="Hosur"/>
    <x v="1"/>
    <m/>
    <n v="129663"/>
    <n v="288719"/>
    <s v="PT2-O-N-AUT-AW-PE-22.20X2.000X0.715"/>
    <x v="0"/>
    <m/>
    <x v="3"/>
    <x v="1"/>
    <m/>
    <m/>
    <m/>
    <m/>
    <s v="22.23-0-2-ERW 1-"/>
    <m/>
    <m/>
    <x v="8"/>
    <x v="8"/>
    <x v="0"/>
    <x v="3"/>
    <n v="715"/>
    <m/>
    <x v="5"/>
    <e v="#N/A"/>
    <e v="#N/A"/>
    <n v="0"/>
    <e v="#N/A"/>
    <e v="#N/A"/>
    <e v="#DIV/0!"/>
    <n v="0"/>
    <n v="0"/>
    <n v="1.9221635286000003"/>
    <e v="#N/A"/>
  </r>
  <r>
    <n v="455"/>
    <s v="Hosur"/>
    <x v="1"/>
    <m/>
    <n v="129663"/>
    <n v="1413976"/>
    <s v="TUB-O-N-AUT-AH-PE-25.40X2.000X0.3150 HST"/>
    <x v="1"/>
    <m/>
    <x v="3"/>
    <x v="1"/>
    <m/>
    <m/>
    <m/>
    <m/>
    <s v="25.4-0-2--"/>
    <m/>
    <m/>
    <x v="3"/>
    <x v="3"/>
    <x v="0"/>
    <x v="3"/>
    <n v="315"/>
    <m/>
    <x v="5"/>
    <e v="#N/A"/>
    <e v="#N/A"/>
    <n v="0"/>
    <e v="#N/A"/>
    <e v="#N/A"/>
    <e v="#DIV/0!"/>
    <n v="0"/>
    <n v="0"/>
    <n v="0"/>
    <e v="#N/A"/>
  </r>
  <r>
    <n v="413"/>
    <s v="Hosur"/>
    <x v="1"/>
    <m/>
    <n v="129663"/>
    <n v="1940588"/>
    <s v="TUB-O-O-AUT-AW-FC-25.40X2.000X0.3550"/>
    <x v="0"/>
    <m/>
    <x v="1"/>
    <x v="1"/>
    <m/>
    <m/>
    <m/>
    <m/>
    <s v="25.4-0-2-ERW 1-FC"/>
    <s v="25.4-0-2-ERW 1-FC-0.355"/>
    <n v="1"/>
    <x v="3"/>
    <x v="3"/>
    <x v="0"/>
    <x v="3"/>
    <n v="355"/>
    <s v="NOS"/>
    <x v="5"/>
    <n v="0"/>
    <n v="0"/>
    <n v="0"/>
    <n v="0"/>
    <n v="0"/>
    <e v="#DIV/0!"/>
    <n v="0.83869400000000005"/>
    <n v="18.579590000000003"/>
    <n v="-0.83869400000000005"/>
    <e v="#DIV/0!"/>
  </r>
  <r>
    <n v="446"/>
    <s v="Hosur"/>
    <x v="1"/>
    <m/>
    <n v="129663"/>
    <n v="1482265"/>
    <s v="TUB-O-N-AUT-AW-PE-25.40X2.000X0.4780"/>
    <x v="1"/>
    <m/>
    <x v="3"/>
    <x v="1"/>
    <m/>
    <m/>
    <m/>
    <m/>
    <s v="25.4-0-2--"/>
    <m/>
    <m/>
    <x v="3"/>
    <x v="3"/>
    <x v="0"/>
    <x v="3"/>
    <n v="478"/>
    <m/>
    <x v="5"/>
    <e v="#N/A"/>
    <e v="#N/A"/>
    <n v="0"/>
    <e v="#N/A"/>
    <e v="#N/A"/>
    <e v="#DIV/0!"/>
    <n v="0"/>
    <n v="0"/>
    <n v="0"/>
    <e v="#N/A"/>
  </r>
  <r>
    <n v="457"/>
    <s v="Hosur"/>
    <x v="1"/>
    <m/>
    <n v="129663"/>
    <n v="3218520"/>
    <s v="TUB-O-N-AUT-AW-PE-25.40X2.000X0.4960"/>
    <x v="1"/>
    <m/>
    <x v="3"/>
    <x v="1"/>
    <m/>
    <m/>
    <m/>
    <m/>
    <s v="25.4-0-2--"/>
    <m/>
    <m/>
    <x v="3"/>
    <x v="3"/>
    <x v="0"/>
    <x v="3"/>
    <n v="496"/>
    <m/>
    <x v="5"/>
    <e v="#N/A"/>
    <e v="#N/A"/>
    <n v="0"/>
    <e v="#N/A"/>
    <e v="#N/A"/>
    <e v="#DIV/0!"/>
    <n v="0"/>
    <n v="0"/>
    <n v="0"/>
    <e v="#N/A"/>
  </r>
  <r>
    <n v="419"/>
    <s v="Hosur"/>
    <x v="1"/>
    <m/>
    <n v="129663"/>
    <n v="3727212"/>
    <s v="TUB-O-N-AUT-AW-FC-28.58X1.600X0.2150"/>
    <x v="0"/>
    <m/>
    <x v="1"/>
    <x v="0"/>
    <s v="HROP"/>
    <m/>
    <m/>
    <m/>
    <s v="28.58-0-1.6-ERW 1-FC"/>
    <s v="28.58-0-1.6-ERW 1-FC-0.215"/>
    <n v="1"/>
    <x v="9"/>
    <x v="9"/>
    <x v="0"/>
    <x v="0"/>
    <n v="215"/>
    <s v="NOS"/>
    <x v="4"/>
    <n v="0"/>
    <n v="10000"/>
    <n v="2.2877032688000001"/>
    <n v="0"/>
    <n v="2.2877032688000001"/>
    <n v="0"/>
    <n v="0"/>
    <n v="14.420923999999999"/>
    <n v="0"/>
    <e v="#DIV/0!"/>
  </r>
  <r>
    <n v="416"/>
    <s v="Hosur"/>
    <x v="1"/>
    <m/>
    <n v="129663"/>
    <n v="3598957"/>
    <s v="TUB-O-N-AUT-AW-FC-28.58X1.600X0.4140"/>
    <x v="0"/>
    <m/>
    <x v="1"/>
    <x v="0"/>
    <s v="HROP"/>
    <m/>
    <m/>
    <m/>
    <s v="28.58-0-1.6-ERW 1-FC"/>
    <s v="28.58-0-1.6-ERW 1-FC-0.414"/>
    <n v="1"/>
    <x v="9"/>
    <x v="9"/>
    <x v="0"/>
    <x v="0"/>
    <n v="414"/>
    <s v="NOS"/>
    <x v="15"/>
    <n v="0"/>
    <n v="12500"/>
    <n v="5.5064485655999986"/>
    <n v="0"/>
    <n v="5.5064485655999986"/>
    <n v="3954.0435619464611"/>
    <n v="1.741819"/>
    <n v="14.420923999999999"/>
    <m/>
    <m/>
  </r>
  <r>
    <n v="410"/>
    <s v="Hosur"/>
    <x v="1"/>
    <m/>
    <n v="129663"/>
    <n v="2397074"/>
    <s v="TUB-O-N-AUT-AW-FC-28.58X2.000X0.4690"/>
    <x v="0"/>
    <m/>
    <x v="3"/>
    <x v="1"/>
    <m/>
    <m/>
    <m/>
    <m/>
    <s v="28.58-0-2-ERW 1-"/>
    <m/>
    <m/>
    <x v="9"/>
    <x v="9"/>
    <x v="0"/>
    <x v="3"/>
    <n v="469"/>
    <m/>
    <x v="5"/>
    <e v="#N/A"/>
    <e v="#N/A"/>
    <n v="0"/>
    <e v="#N/A"/>
    <e v="#N/A"/>
    <e v="#DIV/0!"/>
    <n v="0"/>
    <n v="0"/>
    <e v="#REF!"/>
    <e v="#N/A"/>
  </r>
  <r>
    <n v="415"/>
    <s v="Hosur"/>
    <x v="1"/>
    <m/>
    <n v="129663"/>
    <m/>
    <s v="TUB-O-N-AUT-AW-FC-28.58X2.000X0.475"/>
    <x v="0"/>
    <m/>
    <x v="1"/>
    <x v="1"/>
    <m/>
    <m/>
    <m/>
    <m/>
    <s v="28.58-0-2-ERW 1-FC"/>
    <s v="28.58-0-2-ERW 1-FC-0.475"/>
    <n v="1"/>
    <x v="9"/>
    <x v="9"/>
    <x v="0"/>
    <x v="3"/>
    <n v="475"/>
    <s v="NOS"/>
    <x v="16"/>
    <n v="0"/>
    <n v="7500"/>
    <n v="4.668089242499998"/>
    <n v="0"/>
    <n v="4.668089242499998"/>
    <n v="0"/>
    <n v="0"/>
    <n v="6.7990000000000004"/>
    <n v="0"/>
    <e v="#DIV/0!"/>
  </r>
  <r>
    <n v="451"/>
    <s v="Khopoli "/>
    <x v="1"/>
    <m/>
    <n v="129663"/>
    <n v="3617058"/>
    <s v="TUB-O-C-AUT-AD-FC-28.60X2.650X0.2090"/>
    <x v="2"/>
    <m/>
    <x v="2"/>
    <x v="1"/>
    <m/>
    <m/>
    <m/>
    <m/>
    <s v="28.6-0-2.65-CEW-CEW"/>
    <s v="28.6-0-2.65-CEW-CEW-0.209"/>
    <n v="1"/>
    <x v="10"/>
    <x v="10"/>
    <x v="0"/>
    <x v="8"/>
    <n v="209"/>
    <s v="NOS"/>
    <x v="15"/>
    <n v="0"/>
    <n v="12500"/>
    <n v="4.4283184058437506"/>
    <n v="0"/>
    <n v="4.4283184058437506"/>
    <n v="1999.1363964067141"/>
    <n v="0.70822499999999999"/>
    <n v="63.374519999999983"/>
    <n v="3.9598642424999979"/>
    <n v="0.15171625117019177"/>
  </r>
  <r>
    <n v="462"/>
    <s v="Khopoli "/>
    <x v="1"/>
    <m/>
    <n v="129663"/>
    <n v="2410388"/>
    <s v="TUB-O-C-AUT-AD-FC-28.60X2.650X04-05"/>
    <x v="2"/>
    <m/>
    <x v="2"/>
    <x v="1"/>
    <m/>
    <m/>
    <m/>
    <m/>
    <s v="28.6-0-2.65-CEW-CEW"/>
    <s v="28.6-0-2.65-CEW-CEW"/>
    <n v="2"/>
    <x v="10"/>
    <x v="10"/>
    <x v="0"/>
    <x v="8"/>
    <n v="1000"/>
    <s v="M"/>
    <x v="17"/>
    <n v="0"/>
    <n v="7000"/>
    <n v="11.865350752500001"/>
    <n v="0"/>
    <n v="11.865350752500001"/>
    <n v="36970.172576446967"/>
    <n v="62.666294999999984"/>
    <n v="63.374519999999983"/>
    <n v="-58.237976594156237"/>
    <n v="14.151262230218933"/>
  </r>
  <r>
    <n v="443"/>
    <s v="Khopoli "/>
    <x v="1"/>
    <m/>
    <n v="129663"/>
    <n v="403039"/>
    <s v="PT3-I-C-AUT-AD-CH-31.20X3.200X0.295"/>
    <x v="1"/>
    <m/>
    <x v="3"/>
    <x v="1"/>
    <m/>
    <m/>
    <m/>
    <m/>
    <s v="37.6-31.2-3.2--"/>
    <m/>
    <m/>
    <x v="11"/>
    <x v="11"/>
    <x v="3"/>
    <x v="9"/>
    <n v="295"/>
    <m/>
    <x v="5"/>
    <e v="#N/A"/>
    <e v="#N/A"/>
    <n v="0"/>
    <e v="#N/A"/>
    <e v="#N/A"/>
    <e v="#DIV/0!"/>
    <n v="0"/>
    <n v="0"/>
    <n v="11.865350752500001"/>
    <e v="#N/A"/>
  </r>
  <r>
    <n v="411"/>
    <s v="Hosur"/>
    <x v="1"/>
    <m/>
    <n v="129663"/>
    <n v="1932548"/>
    <s v="TUB-S-AW-SHS-25.00X25.00X2.000X6.0000"/>
    <x v="0"/>
    <m/>
    <x v="3"/>
    <x v="1"/>
    <m/>
    <m/>
    <m/>
    <m/>
    <s v="25-25-2-ERW 1-"/>
    <m/>
    <m/>
    <x v="12"/>
    <x v="12"/>
    <x v="4"/>
    <x v="3"/>
    <n v="6000"/>
    <m/>
    <x v="5"/>
    <e v="#N/A"/>
    <e v="#N/A"/>
    <n v="0"/>
    <e v="#N/A"/>
    <e v="#N/A"/>
    <e v="#DIV/0!"/>
    <n v="0"/>
    <n v="0"/>
    <n v="0"/>
    <e v="#N/A"/>
  </r>
  <r>
    <n v="438"/>
    <s v="Khopoli "/>
    <x v="1"/>
    <m/>
    <n v="129663"/>
    <n v="2410960"/>
    <s v="TUB-O-C-AUT-AD-FC-31.75X3.375X04-05"/>
    <x v="2"/>
    <m/>
    <x v="2"/>
    <x v="1"/>
    <m/>
    <m/>
    <m/>
    <m/>
    <s v="31.75-25-3.37-CEW-CEW"/>
    <s v="31.75-25-3.37-CEW-CEW"/>
    <n v="1"/>
    <x v="12"/>
    <x v="13"/>
    <x v="4"/>
    <x v="10"/>
    <n v="1000"/>
    <s v="M"/>
    <x v="14"/>
    <n v="0"/>
    <n v="2500"/>
    <n v="5.8936128735000004"/>
    <n v="0"/>
    <n v="5.8936128735000004"/>
    <n v="5429.0896241032178"/>
    <n v="12.798781"/>
    <n v="12.798781"/>
    <n v="-12.798781"/>
    <e v="#DIV/0!"/>
  </r>
  <r>
    <n v="445"/>
    <s v="Hosur"/>
    <x v="1"/>
    <m/>
    <n v="129663"/>
    <n v="1155165"/>
    <s v="TUB-O-N-AUT-AW-PE-34.93X1.600X1.726"/>
    <x v="0"/>
    <m/>
    <x v="1"/>
    <x v="1"/>
    <m/>
    <m/>
    <m/>
    <m/>
    <s v="34.93-0-1.6-ERW 1-FC"/>
    <m/>
    <m/>
    <x v="13"/>
    <x v="14"/>
    <x v="0"/>
    <x v="0"/>
    <n v="1726"/>
    <m/>
    <x v="5"/>
    <e v="#N/A"/>
    <e v="#N/A"/>
    <n v="0"/>
    <e v="#N/A"/>
    <e v="#N/A"/>
    <e v="#DIV/0!"/>
    <n v="0"/>
    <n v="1.119148"/>
    <n v="5.8936128735000004"/>
    <e v="#N/A"/>
  </r>
  <r>
    <n v="456"/>
    <s v="Hosur"/>
    <x v="1"/>
    <m/>
    <n v="129663"/>
    <n v="1551280"/>
    <s v="TUB-O-N-AUT-AW-PE-34.93X2.000X0.2840"/>
    <x v="1"/>
    <m/>
    <x v="3"/>
    <x v="1"/>
    <m/>
    <m/>
    <m/>
    <m/>
    <s v="34.93-0-2--"/>
    <m/>
    <m/>
    <x v="13"/>
    <x v="14"/>
    <x v="0"/>
    <x v="3"/>
    <n v="284"/>
    <m/>
    <x v="5"/>
    <e v="#N/A"/>
    <e v="#N/A"/>
    <n v="0"/>
    <e v="#N/A"/>
    <e v="#N/A"/>
    <e v="#DIV/0!"/>
    <n v="0"/>
    <n v="0"/>
    <n v="0"/>
    <e v="#N/A"/>
  </r>
  <r>
    <n v="453"/>
    <s v="Hosur"/>
    <x v="1"/>
    <m/>
    <n v="129663"/>
    <n v="1236370"/>
    <s v="TUB-O-N-AUT-AW-FC-34.93X2.000X0.339"/>
    <x v="1"/>
    <m/>
    <x v="3"/>
    <x v="1"/>
    <m/>
    <m/>
    <m/>
    <m/>
    <s v="34.93-0-2--"/>
    <m/>
    <m/>
    <x v="13"/>
    <x v="14"/>
    <x v="0"/>
    <x v="3"/>
    <n v="339"/>
    <m/>
    <x v="5"/>
    <e v="#N/A"/>
    <e v="#N/A"/>
    <n v="0"/>
    <e v="#N/A"/>
    <e v="#N/A"/>
    <e v="#DIV/0!"/>
    <n v="0"/>
    <n v="0"/>
    <n v="0"/>
    <e v="#N/A"/>
  </r>
  <r>
    <n v="465"/>
    <s v="Hosur"/>
    <x v="1"/>
    <m/>
    <n v="129663"/>
    <n v="3210056"/>
    <s v="TUB-O-N-AUT-AW-PE-34.93X2.000X1.1750"/>
    <x v="0"/>
    <m/>
    <x v="3"/>
    <x v="1"/>
    <m/>
    <m/>
    <m/>
    <m/>
    <s v="34.93-0-2-ERW 1-"/>
    <m/>
    <m/>
    <x v="13"/>
    <x v="14"/>
    <x v="0"/>
    <x v="3"/>
    <n v="1175"/>
    <m/>
    <x v="5"/>
    <e v="#N/A"/>
    <e v="#N/A"/>
    <n v="0"/>
    <e v="#N/A"/>
    <e v="#N/A"/>
    <e v="#DIV/0!"/>
    <n v="0"/>
    <n v="0"/>
    <n v="0"/>
    <e v="#N/A"/>
  </r>
  <r>
    <n v="444"/>
    <s v="Khopoli "/>
    <x v="1"/>
    <m/>
    <n v="129663"/>
    <n v="1155164"/>
    <s v="TUB-O-N-AUT-NR-PE-34.93X2.500X1.723"/>
    <x v="0"/>
    <m/>
    <x v="1"/>
    <x v="1"/>
    <m/>
    <m/>
    <m/>
    <m/>
    <s v="34.93-0-2.5-ERW 1-FC"/>
    <m/>
    <m/>
    <x v="13"/>
    <x v="14"/>
    <x v="0"/>
    <x v="11"/>
    <n v="1723"/>
    <m/>
    <x v="5"/>
    <e v="#N/A"/>
    <e v="#N/A"/>
    <n v="0"/>
    <e v="#N/A"/>
    <e v="#N/A"/>
    <e v="#DIV/0!"/>
    <n v="0"/>
    <n v="0"/>
    <n v="0"/>
    <e v="#N/A"/>
  </r>
  <r>
    <n v="417"/>
    <s v="Hosur"/>
    <x v="1"/>
    <m/>
    <n v="129663"/>
    <n v="1940815"/>
    <s v="TUB-R-AW-RHS-40.00X20.00X1.600X0.4800"/>
    <x v="0"/>
    <m/>
    <x v="1"/>
    <x v="1"/>
    <s v="GR1"/>
    <m/>
    <m/>
    <s v="SC"/>
    <s v="40-20-1.6-ERW 1-FC"/>
    <s v="40-20-1.6-ERW 1-FC-0.48"/>
    <n v="1"/>
    <x v="14"/>
    <x v="15"/>
    <x v="5"/>
    <x v="0"/>
    <n v="480"/>
    <s v="NOS"/>
    <x v="18"/>
    <n v="0"/>
    <n v="12000"/>
    <n v="8.2915292159999989"/>
    <n v="0"/>
    <n v="8.2915292159999989"/>
    <n v="395.70408721092548"/>
    <n v="0.27341599999999999"/>
    <n v="4.2634160000000003"/>
    <n v="-0.27341599999999999"/>
    <e v="#DIV/0!"/>
  </r>
  <r>
    <n v="418"/>
    <s v="Hosur"/>
    <x v="1"/>
    <m/>
    <n v="129663"/>
    <n v="1940821"/>
    <s v="TUB-R-AW-RHS-40.00X25.00X1.600X0.5130"/>
    <x v="0"/>
    <m/>
    <x v="1"/>
    <x v="0"/>
    <s v="GR1"/>
    <m/>
    <m/>
    <s v="SC"/>
    <s v="40-25-1.6-ERW 1-FC"/>
    <s v="40-25-1.6-ERW 1-FC-0.513"/>
    <n v="1"/>
    <x v="15"/>
    <x v="15"/>
    <x v="4"/>
    <x v="0"/>
    <n v="513"/>
    <s v="NOS"/>
    <x v="7"/>
    <n v="0"/>
    <n v="2000"/>
    <n v="1.6056035205120003"/>
    <n v="0"/>
    <n v="1.6056035205120003"/>
    <n v="0"/>
    <n v="0"/>
    <n v="25.909101"/>
    <n v="8.2915292159999989"/>
    <n v="0"/>
  </r>
  <r>
    <n v="420"/>
    <s v="Hosur"/>
    <x v="1"/>
    <m/>
    <n v="129663"/>
    <n v="1940822"/>
    <s v="TUB-R-AW-RHS-40.00X25.00X1.600X0.5360"/>
    <x v="0"/>
    <m/>
    <x v="1"/>
    <x v="0"/>
    <s v="GR1"/>
    <m/>
    <m/>
    <s v="SC"/>
    <s v="40-25-1.6-ERW 1-FC"/>
    <s v="40-25-1.6-ERW 1-FC-0.536"/>
    <n v="1"/>
    <x v="15"/>
    <x v="15"/>
    <x v="4"/>
    <x v="0"/>
    <n v="536"/>
    <s v="NOS"/>
    <x v="19"/>
    <n v="0"/>
    <n v="28000"/>
    <n v="23.486255005696002"/>
    <n v="0"/>
    <n v="23.486255005696002"/>
    <n v="695.33094978485906"/>
    <n v="0.58323999999999998"/>
    <n v="25.909101"/>
    <n v="1.0223635205120003"/>
    <n v="0.36325281587201208"/>
  </r>
  <r>
    <n v="421"/>
    <s v="Hosur"/>
    <x v="1"/>
    <m/>
    <n v="129663"/>
    <n v="1940823"/>
    <s v="TUB-R-AW-RHS-40.00X25.00X1.600X0.5600"/>
    <x v="0"/>
    <m/>
    <x v="1"/>
    <x v="0"/>
    <s v="GR1"/>
    <m/>
    <m/>
    <s v="SC"/>
    <s v="40-25-1.6-ERW 1-FC"/>
    <s v="40-25-1.6-ERW 1-FC-0.56"/>
    <n v="1"/>
    <x v="15"/>
    <x v="15"/>
    <x v="4"/>
    <x v="0"/>
    <n v="560"/>
    <s v="NOS"/>
    <x v="20"/>
    <n v="0"/>
    <n v="14000"/>
    <n v="12.26893918208"/>
    <n v="0"/>
    <n v="12.26893918208"/>
    <n v="890.13580048968151"/>
    <n v="0.78007300000000002"/>
    <n v="25.909101"/>
    <n v="22.706182005696"/>
    <n v="3.3214022406331402E-2"/>
  </r>
  <r>
    <n v="422"/>
    <s v="Hosur"/>
    <x v="1"/>
    <m/>
    <n v="129663"/>
    <n v="1940825"/>
    <s v="TUB-R-AW-RHS-40.00X25.00X1.600X0.5850"/>
    <x v="0"/>
    <m/>
    <x v="1"/>
    <x v="0"/>
    <s v="GR1"/>
    <m/>
    <m/>
    <s v="SC"/>
    <s v="40-25-1.6-ERW 1-FC"/>
    <s v="40-25-1.6-ERW 1-FC-0.585"/>
    <n v="1"/>
    <x v="15"/>
    <x v="15"/>
    <x v="4"/>
    <x v="0"/>
    <n v="585"/>
    <s v="NOS"/>
    <x v="4"/>
    <n v="0"/>
    <n v="10000"/>
    <n v="9.1547569152000019"/>
    <n v="0"/>
    <n v="9.1547569152000019"/>
    <n v="1.3107939523851178"/>
    <n v="1.1999999999999999E-3"/>
    <n v="25.909101"/>
    <n v="12.26773918208"/>
    <n v="9.7807967110369131E-5"/>
  </r>
  <r>
    <n v="424"/>
    <s v="Hosur"/>
    <x v="1"/>
    <m/>
    <n v="129663"/>
    <n v="1932559"/>
    <s v="TUB-R-AW-RHS-40.00X25.00X2.000X6.0000"/>
    <x v="0"/>
    <m/>
    <x v="1"/>
    <x v="1"/>
    <m/>
    <m/>
    <m/>
    <s v="SC"/>
    <s v="40-25-2-ERW 1-FC"/>
    <s v="40-25-2-ERW 1-FC-1"/>
    <n v="0"/>
    <x v="15"/>
    <x v="15"/>
    <x v="4"/>
    <x v="3"/>
    <n v="1000"/>
    <s v="M"/>
    <x v="5"/>
    <n v="0"/>
    <n v="0"/>
    <n v="0"/>
    <n v="0"/>
    <n v="0"/>
    <e v="#DIV/0!"/>
    <n v="0"/>
    <n v="7.7989999999999995"/>
    <m/>
    <m/>
  </r>
  <r>
    <n v="468"/>
    <s v="Hosur"/>
    <x v="1"/>
    <m/>
    <n v="129663"/>
    <n v="3499121"/>
    <s v="TUB-N-AUT-BH-FC-42.70X4.000X0.2900"/>
    <x v="0"/>
    <s v="Annealed"/>
    <x v="1"/>
    <x v="1"/>
    <m/>
    <m/>
    <m/>
    <m/>
    <s v="42.7-0-4-ERW 1-FC"/>
    <m/>
    <m/>
    <x v="16"/>
    <x v="16"/>
    <x v="0"/>
    <x v="12"/>
    <n v="290"/>
    <m/>
    <x v="5"/>
    <e v="#N/A"/>
    <e v="#N/A"/>
    <n v="0"/>
    <e v="#N/A"/>
    <e v="#N/A"/>
    <e v="#DIV/0!"/>
    <n v="0"/>
    <n v="91.265295999999992"/>
    <n v="0"/>
    <e v="#N/A"/>
  </r>
  <r>
    <n v="423"/>
    <s v="Hosur"/>
    <x v="1"/>
    <m/>
    <n v="129663"/>
    <n v="3441727"/>
    <s v="TUB-R-AW-AUT-40.00X30.00X1.600X6.0000"/>
    <x v="0"/>
    <m/>
    <x v="1"/>
    <x v="1"/>
    <m/>
    <m/>
    <m/>
    <m/>
    <s v="40-30-1.6-ERW 1-FC"/>
    <s v="40-30-1.6-ERW 1-FC-1"/>
    <n v="0"/>
    <x v="17"/>
    <x v="15"/>
    <x v="1"/>
    <x v="0"/>
    <n v="1000"/>
    <s v="M"/>
    <x v="1"/>
    <n v="0"/>
    <n v="1500"/>
    <n v="2.5349031600000003"/>
    <n v="0"/>
    <n v="2.5349031600000003"/>
    <n v="0"/>
    <n v="0"/>
    <n v="23.114797000000003"/>
    <n v="0"/>
    <e v="#DIV/0!"/>
  </r>
  <r>
    <n v="427"/>
    <s v="Hosur"/>
    <x v="1"/>
    <m/>
    <n v="129663"/>
    <n v="1940840"/>
    <s v="TUB-R-AW-RHS-40.00X30.00X2.000X6.0000"/>
    <x v="0"/>
    <m/>
    <x v="1"/>
    <x v="1"/>
    <m/>
    <m/>
    <m/>
    <m/>
    <s v="40-30-2-ERW 1-FC"/>
    <s v="40-30-2-ERW 1-FC-1"/>
    <n v="0"/>
    <x v="17"/>
    <x v="15"/>
    <x v="1"/>
    <x v="3"/>
    <n v="1000"/>
    <s v="M"/>
    <x v="11"/>
    <n v="0"/>
    <n v="3000"/>
    <n v="6.2781003000000002"/>
    <n v="0"/>
    <n v="6.2781003000000002"/>
    <n v="0"/>
    <n v="0"/>
    <n v="20.469456999999998"/>
    <n v="2.5349031600000003"/>
    <n v="0"/>
  </r>
  <r>
    <n v="463"/>
    <s v="Hosur"/>
    <x v="1"/>
    <m/>
    <n v="129663"/>
    <n v="3453634"/>
    <s v="TUB-O-N-AUT-AW-FC-48.60X2.000X0.5450"/>
    <x v="1"/>
    <m/>
    <x v="3"/>
    <x v="1"/>
    <m/>
    <m/>
    <m/>
    <m/>
    <s v="48.6-0-2--"/>
    <m/>
    <m/>
    <x v="18"/>
    <x v="17"/>
    <x v="0"/>
    <x v="3"/>
    <n v="545"/>
    <m/>
    <x v="5"/>
    <e v="#N/A"/>
    <e v="#N/A"/>
    <n v="0"/>
    <e v="#N/A"/>
    <e v="#N/A"/>
    <e v="#DIV/0!"/>
    <n v="0"/>
    <n v="0"/>
    <n v="6.2781003000000002"/>
    <e v="#N/A"/>
  </r>
  <r>
    <n v="461"/>
    <s v="Hosur"/>
    <x v="1"/>
    <m/>
    <n v="129663"/>
    <n v="3545983"/>
    <s v="CUT-N-AUT-AW-FC-48.60X4.000X0.5950"/>
    <x v="1"/>
    <m/>
    <x v="3"/>
    <x v="1"/>
    <m/>
    <m/>
    <m/>
    <m/>
    <s v="48.6-0-4--"/>
    <m/>
    <m/>
    <x v="18"/>
    <x v="17"/>
    <x v="0"/>
    <x v="12"/>
    <n v="595"/>
    <m/>
    <x v="5"/>
    <e v="#N/A"/>
    <e v="#N/A"/>
    <n v="0"/>
    <e v="#N/A"/>
    <e v="#N/A"/>
    <e v="#DIV/0!"/>
    <n v="0"/>
    <n v="0"/>
    <n v="0"/>
    <e v="#N/A"/>
  </r>
  <r>
    <n v="431"/>
    <s v="Hosur"/>
    <x v="1"/>
    <m/>
    <n v="129663"/>
    <n v="3164112"/>
    <s v="TUB-E-AW-AUT-59.00X30.00X1.600X0.6410"/>
    <x v="0"/>
    <m/>
    <x v="4"/>
    <x v="1"/>
    <m/>
    <m/>
    <m/>
    <m/>
    <s v="59-30-1.6-ERW 1-FIN CUT"/>
    <m/>
    <m/>
    <x v="18"/>
    <x v="18"/>
    <x v="1"/>
    <x v="0"/>
    <n v="641"/>
    <m/>
    <x v="5"/>
    <e v="#N/A"/>
    <e v="#N/A"/>
    <n v="0"/>
    <e v="#N/A"/>
    <e v="#N/A"/>
    <e v="#DIV/0!"/>
    <n v="0"/>
    <n v="7.2187040000000007"/>
    <n v="0"/>
    <e v="#N/A"/>
  </r>
  <r>
    <n v="426"/>
    <s v="Hosur"/>
    <x v="1"/>
    <m/>
    <n v="129663"/>
    <n v="2427158"/>
    <s v="TUB-R-AW-AUT-50.00X30.00X1.600X0.6040"/>
    <x v="0"/>
    <m/>
    <x v="1"/>
    <x v="1"/>
    <s v="HROP"/>
    <m/>
    <m/>
    <m/>
    <s v="50-30-1.6-ERW 1-FC"/>
    <s v="50-30-1.6-ERW 1-FC-0.604"/>
    <n v="1"/>
    <x v="4"/>
    <x v="4"/>
    <x v="1"/>
    <x v="0"/>
    <n v="604"/>
    <s v="NOS"/>
    <x v="21"/>
    <n v="0"/>
    <n v="34000"/>
    <n v="39.847423534080001"/>
    <n v="0"/>
    <n v="39.847423534080001"/>
    <n v="0"/>
    <n v="0"/>
    <n v="30.741517999999999"/>
    <n v="0"/>
    <e v="#DIV/0!"/>
  </r>
  <r>
    <n v="450"/>
    <s v="Khopoli "/>
    <x v="1"/>
    <m/>
    <n v="129663"/>
    <n v="460176"/>
    <s v="PT4-O-N-AUT-NR-AG-57.15X2.000X0.713"/>
    <x v="1"/>
    <m/>
    <x v="3"/>
    <x v="1"/>
    <m/>
    <m/>
    <m/>
    <m/>
    <s v="57.15-0-2--"/>
    <m/>
    <m/>
    <x v="19"/>
    <x v="19"/>
    <x v="0"/>
    <x v="3"/>
    <n v="713"/>
    <m/>
    <x v="5"/>
    <e v="#N/A"/>
    <e v="#N/A"/>
    <n v="0"/>
    <e v="#N/A"/>
    <e v="#N/A"/>
    <e v="#DIV/0!"/>
    <n v="0"/>
    <n v="0"/>
    <n v="39.847423534080001"/>
    <e v="#N/A"/>
  </r>
  <r>
    <n v="471"/>
    <s v="Khopoli "/>
    <x v="2"/>
    <m/>
    <n v="129663"/>
    <n v="1931823"/>
    <s v="TUB-O-N-AUT-AW-PE-17.30X1.600X6.0000"/>
    <x v="2"/>
    <m/>
    <x v="3"/>
    <x v="1"/>
    <m/>
    <m/>
    <m/>
    <m/>
    <s v="17.3-0-1.6-CEW-"/>
    <m/>
    <m/>
    <x v="7"/>
    <x v="7"/>
    <x v="0"/>
    <x v="0"/>
    <n v="6000"/>
    <m/>
    <x v="5"/>
    <e v="#N/A"/>
    <e v="#N/A"/>
    <n v="0"/>
    <e v="#N/A"/>
    <e v="#N/A"/>
    <e v="#DIV/0!"/>
    <n v="0"/>
    <n v="0"/>
    <n v="0"/>
    <e v="#N/A"/>
  </r>
  <r>
    <n v="476"/>
    <s v="Hosur"/>
    <x v="3"/>
    <m/>
    <n v="940921"/>
    <n v="468311"/>
    <s v="TUB-O-N-AUT-AW-PE-15.88X2.000X0.291"/>
    <x v="0"/>
    <m/>
    <x v="0"/>
    <x v="1"/>
    <m/>
    <m/>
    <m/>
    <m/>
    <s v="15.88-0-2-ERW 1-PE"/>
    <s v="15.88-0-2-ERW 1-PE-0.291"/>
    <n v="3"/>
    <x v="1"/>
    <x v="1"/>
    <x v="0"/>
    <x v="3"/>
    <n v="291"/>
    <s v="NOS"/>
    <x v="22"/>
    <n v="0"/>
    <n v="10200"/>
    <n v="2.031009371568"/>
    <n v="0"/>
    <n v="2.031009371568"/>
    <n v="4088.1220521350056"/>
    <n v="0.81402099999999999"/>
    <n v="14.942643"/>
    <n v="-0.81402099999999999"/>
    <e v="#DIV/0!"/>
  </r>
  <r>
    <n v="479"/>
    <s v="Hosur"/>
    <x v="3"/>
    <m/>
    <n v="940921"/>
    <m/>
    <m/>
    <x v="1"/>
    <m/>
    <x v="3"/>
    <x v="1"/>
    <m/>
    <m/>
    <m/>
    <m/>
    <s v="22.23-0-2--"/>
    <m/>
    <m/>
    <x v="8"/>
    <x v="8"/>
    <x v="0"/>
    <x v="3"/>
    <n v="706"/>
    <m/>
    <x v="5"/>
    <e v="#N/A"/>
    <e v="#N/A"/>
    <n v="0"/>
    <e v="#N/A"/>
    <e v="#N/A"/>
    <e v="#DIV/0!"/>
    <n v="0"/>
    <n v="0"/>
    <n v="2.031009371568"/>
    <e v="#N/A"/>
  </r>
  <r>
    <n v="480"/>
    <s v="Hosur"/>
    <x v="3"/>
    <m/>
    <n v="940921"/>
    <n v="288719"/>
    <s v="PT2-O-N-AUT-AW-PE-22.20X2.000X0.715"/>
    <x v="0"/>
    <m/>
    <x v="1"/>
    <x v="1"/>
    <m/>
    <m/>
    <m/>
    <m/>
    <s v="22.23-0-2-ERW 1-FC"/>
    <s v="22.23-0-2-ERW 1-FC-0.715"/>
    <n v="1"/>
    <x v="8"/>
    <x v="8"/>
    <x v="0"/>
    <x v="3"/>
    <n v="715"/>
    <s v="NOS"/>
    <x v="23"/>
    <n v="0"/>
    <n v="17700"/>
    <n v="12.62131167297"/>
    <n v="0"/>
    <n v="12.62131167297"/>
    <n v="646.19882713670358"/>
    <n v="0.46078400000000003"/>
    <n v="19.324635999999998"/>
    <n v="-0.46078400000000003"/>
    <e v="#DIV/0!"/>
  </r>
  <r>
    <n v="474"/>
    <s v="Hosur"/>
    <x v="3"/>
    <m/>
    <n v="940921"/>
    <n v="1155165"/>
    <s v="TUB-O-N-AUT-AW-PE-34.93X1.600X1.726"/>
    <x v="0"/>
    <m/>
    <x v="1"/>
    <x v="0"/>
    <s v=""/>
    <m/>
    <m/>
    <m/>
    <s v="34.93-0-1.6-ERW 1-FC"/>
    <s v="34.93-0-1.6-ERW 1-FC-1.726"/>
    <n v="3"/>
    <x v="13"/>
    <x v="14"/>
    <x v="0"/>
    <x v="0"/>
    <n v="1726"/>
    <s v="NOS"/>
    <x v="24"/>
    <n v="0"/>
    <n v="2950"/>
    <n v="6.6929473476623995"/>
    <n v="0"/>
    <n v="6.6929473476623995"/>
    <n v="18.136494087675121"/>
    <n v="4.1147999999999997E-2"/>
    <n v="1.119148"/>
    <n v="12.58016367297"/>
    <n v="3.2601999749458056E-3"/>
  </r>
  <r>
    <n v="473"/>
    <s v="Hosur"/>
    <x v="3"/>
    <m/>
    <n v="940921"/>
    <n v="1940718"/>
    <s v="TUB-O-O-AUT-AW-FC-34.93X2.600X1.7210"/>
    <x v="0"/>
    <m/>
    <x v="1"/>
    <x v="1"/>
    <m/>
    <m/>
    <m/>
    <m/>
    <s v="34.93-0-2.6-ERW 1-FC"/>
    <s v="34.93-0-2.6-ERW 1-FC-1.721"/>
    <n v="2"/>
    <x v="13"/>
    <x v="14"/>
    <x v="0"/>
    <x v="13"/>
    <n v="1721"/>
    <s v="NOS"/>
    <x v="25"/>
    <n v="0"/>
    <n v="2550"/>
    <n v="9.0928370471991009"/>
    <n v="0"/>
    <n v="9.0928370471991009"/>
    <n v="37.03301271672143"/>
    <n v="0.132053"/>
    <n v="0.132053"/>
    <n v="6.5608943476623995"/>
    <n v="1.9730171647939419E-2"/>
  </r>
  <r>
    <n v="478"/>
    <s v="Hosur"/>
    <x v="3"/>
    <m/>
    <n v="940921"/>
    <n v="403039"/>
    <s v="PT3-I-C-AUT-AD-CH-31.20X3.200X0.295"/>
    <x v="2"/>
    <m/>
    <x v="2"/>
    <x v="1"/>
    <m/>
    <m/>
    <m/>
    <m/>
    <s v="37.6-31.2-3.2-CEW-CEW"/>
    <s v="37.6-31.2-3.2-CEW-CEW-0.295"/>
    <n v="1"/>
    <x v="20"/>
    <x v="11"/>
    <x v="3"/>
    <x v="9"/>
    <n v="295"/>
    <s v="NOS"/>
    <x v="26"/>
    <n v="0"/>
    <n v="5300"/>
    <n v="4.2423413619200003"/>
    <n v="0"/>
    <n v="4.2423413619200003"/>
    <n v="0"/>
    <n v="0"/>
    <n v="0"/>
    <n v="6.6929473476623995"/>
    <n v="0"/>
  </r>
  <r>
    <n v="477"/>
    <s v="Hosur"/>
    <x v="3"/>
    <m/>
    <n v="940921"/>
    <n v="3164112"/>
    <s v="TUB-E-AW-AUT-59.00X30.00X1.600X0.6410"/>
    <x v="0"/>
    <m/>
    <x v="1"/>
    <x v="2"/>
    <m/>
    <m/>
    <m/>
    <m/>
    <s v="59-30-1.6-ERW 1-FIN CUT"/>
    <s v="59-30-1.6-ERW 1-FIN CUT-0.641"/>
    <n v="2"/>
    <x v="18"/>
    <x v="18"/>
    <x v="1"/>
    <x v="0"/>
    <n v="641"/>
    <s v="NOS"/>
    <x v="27"/>
    <n v="2800"/>
    <n v="17400"/>
    <n v="24.000845671360004"/>
    <n v="3.3268498950400005"/>
    <n v="20.673995776320005"/>
    <n v="1058.5268680893275"/>
    <n v="1.2577"/>
    <n v="7.2187040000000007"/>
    <m/>
    <m/>
  </r>
  <r>
    <n v="472"/>
    <s v="Hosur"/>
    <x v="3"/>
    <m/>
    <n v="940921"/>
    <n v="1940879"/>
    <s v="TUB-R-AW-RHS-50.00X30.00X1.600X0.6360"/>
    <x v="0"/>
    <m/>
    <x v="1"/>
    <x v="1"/>
    <s v="GR1"/>
    <m/>
    <m/>
    <m/>
    <s v="50-30-1.6-ERW 1-FC"/>
    <s v="50-30-1.6-ERW 1-FC-0.636"/>
    <n v="1"/>
    <x v="4"/>
    <x v="4"/>
    <x v="1"/>
    <x v="0"/>
    <n v="636"/>
    <s v="NOS"/>
    <x v="28"/>
    <n v="7200"/>
    <n v="-1650"/>
    <n v="6.8491154845439999"/>
    <n v="8.8853390069759985"/>
    <n v="-2.0362235224319987"/>
    <n v="2115.8683968320961"/>
    <n v="2.6111399999999998"/>
    <n v="30.741517999999999"/>
    <n v="21.389705671360005"/>
    <n v="0.47900308032456729"/>
  </r>
  <r>
    <n v="475"/>
    <s v="Hosur"/>
    <x v="3"/>
    <m/>
    <n v="940921"/>
    <n v="460176"/>
    <s v="PT4-O-N-AUT-NR-AG-57.15X2.000X0.713"/>
    <x v="0"/>
    <m/>
    <x v="1"/>
    <x v="1"/>
    <m/>
    <m/>
    <s v="AG"/>
    <m/>
    <s v="57.15-0-2-ERW 1-FC"/>
    <s v="57.15-0-2-ERW 1-FC-0.713"/>
    <n v="2"/>
    <x v="19"/>
    <x v="19"/>
    <x v="0"/>
    <x v="3"/>
    <n v="713"/>
    <s v="NOS"/>
    <x v="29"/>
    <n v="1765"/>
    <n v="2485"/>
    <n v="8.2385973371749994"/>
    <n v="3.4214410117914995"/>
    <n v="4.8171563253835004"/>
    <n v="352.7940656699995"/>
    <n v="0.68388899999999997"/>
    <n v="26.766147"/>
    <n v="6.1652264845440001"/>
    <n v="0.59939564766512687"/>
  </r>
  <r>
    <n v="261"/>
    <s v="Khopoli "/>
    <x v="4"/>
    <m/>
    <n v="188934"/>
    <n v="3190072"/>
    <s v="TUB-O-C-AUT-AD-FC-29.40X4.500X0.3570"/>
    <x v="3"/>
    <m/>
    <x v="2"/>
    <x v="1"/>
    <m/>
    <m/>
    <m/>
    <m/>
    <s v="29.4-20.4-4.5-CEW STKM 13C-CEW"/>
    <s v="29.4-20.4-4.5-CEW STKM 13C-CEW-0.357"/>
    <n v="1"/>
    <x v="21"/>
    <x v="20"/>
    <x v="6"/>
    <x v="14"/>
    <n v="357"/>
    <s v="NOS"/>
    <x v="30"/>
    <n v="0"/>
    <n v="0"/>
    <n v="0"/>
    <n v="0"/>
    <n v="0"/>
    <e v="#DIV/0!"/>
    <n v="1.114266"/>
    <n v="30.485330000000001"/>
    <n v="7.1243313371749997"/>
    <n v="0.13524947929814468"/>
  </r>
  <r>
    <n v="263"/>
    <s v="Khopoli "/>
    <x v="4"/>
    <m/>
    <n v="188934"/>
    <n v="3940551"/>
    <s v="TUB-O-C-AUT-AD-FC-29.40X4.500X0.360"/>
    <x v="2"/>
    <m/>
    <x v="2"/>
    <x v="1"/>
    <m/>
    <s v="Chamferring"/>
    <m/>
    <m/>
    <s v="29.4-20.4-4.5-CEW-CEW"/>
    <s v="29.4-20.4-4.5-CEW-CEW-0.36"/>
    <n v="1"/>
    <x v="21"/>
    <x v="20"/>
    <x v="6"/>
    <x v="14"/>
    <n v="360"/>
    <s v="NOS"/>
    <x v="31"/>
    <n v="0"/>
    <n v="20000"/>
    <n v="19.885827239999998"/>
    <n v="0"/>
    <n v="19.885827239999998"/>
    <n v="1469.2333211680868"/>
    <n v="1.4608460000000003"/>
    <n v="1.4608460000000003"/>
    <m/>
    <m/>
  </r>
  <r>
    <n v="260"/>
    <s v="Khopoli "/>
    <x v="4"/>
    <m/>
    <n v="188934"/>
    <n v="1941303"/>
    <s v="TUB-O-C-AUT-AD-FC-29.40X4.500X0.3610"/>
    <x v="3"/>
    <m/>
    <x v="2"/>
    <x v="1"/>
    <m/>
    <s v="Chamferring"/>
    <m/>
    <m/>
    <s v="29.4-20.4-4.5-CEW STKM 13C-CEW"/>
    <s v="29.4-20.4-4.5-CEW STKM 13C-CEW-0.361"/>
    <n v="2"/>
    <x v="21"/>
    <x v="20"/>
    <x v="6"/>
    <x v="14"/>
    <n v="361"/>
    <s v="NOS"/>
    <x v="5"/>
    <n v="0"/>
    <n v="0"/>
    <n v="0"/>
    <n v="0"/>
    <n v="0"/>
    <e v="#DIV/0!"/>
    <n v="3.466936"/>
    <n v="30.485330000000001"/>
    <n v="16.418891239999997"/>
    <n v="0.17434205568407626"/>
  </r>
  <r>
    <m/>
    <m/>
    <x v="4"/>
    <m/>
    <n v="188934"/>
    <n v="3974533"/>
    <s v="CUT-O-C-AUT-AN-FC-29.35X4.400X0.3630"/>
    <x v="3"/>
    <m/>
    <x v="2"/>
    <x v="1"/>
    <m/>
    <s v="Chamferring"/>
    <m/>
    <m/>
    <s v="29.4-20.4-4.5-CEW STKM 13C-CEW"/>
    <s v="29.4-20.4-4.5-CEW STKM 13C-CEW-0.363"/>
    <n v="1"/>
    <x v="21"/>
    <x v="20"/>
    <x v="6"/>
    <x v="14"/>
    <n v="363"/>
    <s v="NOS"/>
    <x v="3"/>
    <n v="0"/>
    <n v="8000"/>
    <n v="8.0206169867999986"/>
    <n v="0"/>
    <n v="8.0206169867999986"/>
    <n v="2311.7812545488105"/>
    <n v="2.317739"/>
    <n v="30.485330000000001"/>
    <m/>
    <m/>
  </r>
  <r>
    <n v="259"/>
    <s v="Khopoli "/>
    <x v="4"/>
    <m/>
    <n v="188934"/>
    <n v="2359912"/>
    <s v="TUB-O-C-CEW-AD-FC-29.40X4.500X0.3760"/>
    <x v="3"/>
    <m/>
    <x v="2"/>
    <x v="1"/>
    <m/>
    <s v="Chamferring"/>
    <m/>
    <m/>
    <s v="29.4-20.4-4.5-CEW STKM 13C-CEW"/>
    <s v="29.4-20.4-4.5-CEW STKM 13C-CEW-0.376"/>
    <n v="1"/>
    <x v="21"/>
    <x v="20"/>
    <x v="6"/>
    <x v="14"/>
    <n v="376"/>
    <s v="NOS"/>
    <x v="5"/>
    <n v="3000"/>
    <n v="-3000"/>
    <n v="0"/>
    <n v="3.1154462675999999"/>
    <n v="-3.1154462675999999"/>
    <e v="#DIV/0!"/>
    <n v="0.24838099999999999"/>
    <n v="30.485330000000001"/>
    <n v="-0.24838099999999999"/>
    <e v="#DIV/0!"/>
  </r>
  <r>
    <m/>
    <m/>
    <x v="5"/>
    <m/>
    <m/>
    <m/>
    <m/>
    <x v="1"/>
    <m/>
    <x v="3"/>
    <x v="2"/>
    <m/>
    <m/>
    <m/>
    <m/>
    <s v="----"/>
    <m/>
    <m/>
    <x v="22"/>
    <x v="21"/>
    <x v="7"/>
    <x v="15"/>
    <m/>
    <m/>
    <x v="5"/>
    <e v="#N/A"/>
    <e v="#N/A"/>
    <n v="0"/>
    <e v="#N/A"/>
    <e v="#N/A"/>
    <e v="#DIV/0!"/>
    <n v="0"/>
    <n v="0"/>
    <m/>
    <m/>
  </r>
  <r>
    <n v="262"/>
    <s v="Khopoli "/>
    <x v="4"/>
    <m/>
    <n v="188934"/>
    <n v="3190073"/>
    <s v="TUB-O-C-AUT-AD-FC-29.40X4.500X0.3850"/>
    <x v="2"/>
    <m/>
    <x v="2"/>
    <x v="1"/>
    <m/>
    <m/>
    <m/>
    <m/>
    <s v="29.4-20.4-4.5-CEW-CEW"/>
    <s v="29.4-20.4-4.5-CEW-CEW-0.385"/>
    <n v="0"/>
    <x v="21"/>
    <x v="20"/>
    <x v="6"/>
    <x v="14"/>
    <n v="385"/>
    <s v="NOS"/>
    <x v="5"/>
    <n v="0"/>
    <n v="0"/>
    <n v="0"/>
    <n v="0"/>
    <n v="0"/>
    <e v="#DIV/0!"/>
    <n v="0"/>
    <n v="1.4608460000000003"/>
    <n v="0"/>
    <e v="#DIV/0!"/>
  </r>
  <r>
    <n v="264"/>
    <s v="Khopoli "/>
    <x v="4"/>
    <m/>
    <n v="188934"/>
    <n v="1939282"/>
    <s v="TUB-O-C-CEW-AD-FC-29.40X4.500X0.4500"/>
    <x v="2"/>
    <m/>
    <x v="2"/>
    <x v="1"/>
    <m/>
    <m/>
    <m/>
    <m/>
    <s v="29.4-20.4-4.5-CEW-CEW"/>
    <s v="29.4-20.4-4.5-CEW-CEW-0.45"/>
    <n v="0"/>
    <x v="21"/>
    <x v="20"/>
    <x v="6"/>
    <x v="14"/>
    <n v="450"/>
    <s v="NOS"/>
    <x v="2"/>
    <n v="0"/>
    <n v="4000"/>
    <n v="4.9714568099999994"/>
    <n v="0"/>
    <n v="4.9714568099999994"/>
    <n v="0"/>
    <n v="0"/>
    <n v="1.4608460000000003"/>
    <n v="0"/>
    <e v="#DIV/0!"/>
  </r>
  <r>
    <n v="381"/>
    <s v="Khopoli "/>
    <x v="4"/>
    <m/>
    <n v="188934"/>
    <n v="1930110"/>
    <s v="TUB-O-C-CEW-AD-FC-29.40X4.500X5.2000"/>
    <x v="2"/>
    <m/>
    <x v="2"/>
    <x v="1"/>
    <m/>
    <m/>
    <m/>
    <m/>
    <s v="29.4-20.4-4.5-CEW-CEW"/>
    <m/>
    <m/>
    <x v="21"/>
    <x v="20"/>
    <x v="6"/>
    <x v="14"/>
    <n v="5200"/>
    <m/>
    <x v="30"/>
    <e v="#N/A"/>
    <e v="#N/A"/>
    <n v="0"/>
    <e v="#N/A"/>
    <e v="#N/A"/>
    <e v="#DIV/0!"/>
    <n v="0"/>
    <n v="1.4608460000000003"/>
    <n v="4.9714568099999994"/>
    <e v="#N/A"/>
  </r>
  <r>
    <n v="377"/>
    <s v="Hosur"/>
    <x v="6"/>
    <m/>
    <n v="819045"/>
    <n v="235292"/>
    <s v="PT2-O-N-AUT-AW-PE-19.05X2.00X6.000-ERW 1"/>
    <x v="0"/>
    <m/>
    <x v="0"/>
    <x v="1"/>
    <m/>
    <m/>
    <m/>
    <m/>
    <s v="19.05-0-2-ERW 1-PE"/>
    <m/>
    <m/>
    <x v="2"/>
    <x v="2"/>
    <x v="0"/>
    <x v="3"/>
    <n v="6000"/>
    <m/>
    <x v="30"/>
    <e v="#N/A"/>
    <e v="#N/A"/>
    <n v="0"/>
    <e v="#N/A"/>
    <e v="#N/A"/>
    <e v="#DIV/0!"/>
    <n v="0"/>
    <n v="96.995899000000009"/>
    <n v="0"/>
    <m/>
  </r>
  <r>
    <n v="370"/>
    <s v="Hosur"/>
    <x v="6"/>
    <m/>
    <n v="819045"/>
    <n v="3533249"/>
    <s v="CUT-O-N-AUT-AW-PE-22.20X1.600X1.2220"/>
    <x v="0"/>
    <m/>
    <x v="0"/>
    <x v="0"/>
    <s v="GR1"/>
    <m/>
    <m/>
    <m/>
    <s v="22.23-0-1.6-ERW 1-PE"/>
    <m/>
    <m/>
    <x v="8"/>
    <x v="8"/>
    <x v="0"/>
    <x v="0"/>
    <n v="1222"/>
    <m/>
    <x v="30"/>
    <e v="#N/A"/>
    <e v="#N/A"/>
    <n v="0"/>
    <e v="#N/A"/>
    <e v="#N/A"/>
    <e v="#DIV/0!"/>
    <n v="0"/>
    <n v="68.25120299999999"/>
    <n v="0"/>
    <e v="#N/A"/>
  </r>
  <r>
    <n v="373"/>
    <s v="Hosur"/>
    <x v="6"/>
    <m/>
    <n v="819045"/>
    <n v="3533248"/>
    <s v="CUT-O-N-AUT-AW-PE-22.20X1.600X1.2900"/>
    <x v="0"/>
    <m/>
    <x v="0"/>
    <x v="0"/>
    <s v="GR1"/>
    <m/>
    <m/>
    <m/>
    <s v="22.23-0-1.6-ERW 1-PE"/>
    <m/>
    <m/>
    <x v="8"/>
    <x v="8"/>
    <x v="0"/>
    <x v="0"/>
    <n v="1290"/>
    <m/>
    <x v="30"/>
    <e v="#N/A"/>
    <e v="#N/A"/>
    <n v="0"/>
    <e v="#N/A"/>
    <e v="#N/A"/>
    <e v="#DIV/0!"/>
    <n v="0"/>
    <n v="68.25120299999999"/>
    <n v="0"/>
    <m/>
  </r>
  <r>
    <n v="372"/>
    <s v="Hosur"/>
    <x v="6"/>
    <m/>
    <n v="819045"/>
    <n v="3775108"/>
    <s v="CUT-O-N-AUT-AW-PE-22.20X2.000X0.7720"/>
    <x v="1"/>
    <m/>
    <x v="3"/>
    <x v="1"/>
    <m/>
    <m/>
    <m/>
    <m/>
    <s v="22.23-0-2--"/>
    <m/>
    <m/>
    <x v="8"/>
    <x v="8"/>
    <x v="0"/>
    <x v="3"/>
    <n v="772"/>
    <m/>
    <x v="30"/>
    <e v="#N/A"/>
    <e v="#N/A"/>
    <n v="0"/>
    <e v="#N/A"/>
    <e v="#N/A"/>
    <e v="#DIV/0!"/>
    <n v="0"/>
    <n v="0"/>
    <n v="0"/>
    <e v="#N/A"/>
  </r>
  <r>
    <n v="371"/>
    <s v="Hosur"/>
    <x v="6"/>
    <m/>
    <n v="819045"/>
    <n v="1940467"/>
    <s v="TUB-O-O-AUT-AW-PE-22.23X2.00X0.812-MAHS"/>
    <x v="4"/>
    <m/>
    <x v="0"/>
    <x v="1"/>
    <s v="ST52AL"/>
    <m/>
    <m/>
    <m/>
    <s v="22.23-0-2-ERW 2 MAHS-PE"/>
    <m/>
    <m/>
    <x v="8"/>
    <x v="8"/>
    <x v="0"/>
    <x v="3"/>
    <n v="812"/>
    <m/>
    <x v="30"/>
    <e v="#N/A"/>
    <e v="#N/A"/>
    <n v="0"/>
    <e v="#N/A"/>
    <e v="#N/A"/>
    <e v="#DIV/0!"/>
    <n v="0"/>
    <n v="2.301186"/>
    <n v="0"/>
    <e v="#N/A"/>
  </r>
  <r>
    <n v="374"/>
    <s v="Hosur"/>
    <x v="6"/>
    <m/>
    <n v="819045"/>
    <m/>
    <m/>
    <x v="1"/>
    <m/>
    <x v="3"/>
    <x v="1"/>
    <m/>
    <m/>
    <m/>
    <m/>
    <s v="25.4-0-2--"/>
    <m/>
    <m/>
    <x v="3"/>
    <x v="3"/>
    <x v="0"/>
    <x v="3"/>
    <n v="600"/>
    <m/>
    <x v="30"/>
    <e v="#N/A"/>
    <e v="#N/A"/>
    <n v="0"/>
    <e v="#N/A"/>
    <e v="#N/A"/>
    <e v="#DIV/0!"/>
    <n v="0"/>
    <n v="0"/>
    <n v="0"/>
    <e v="#N/A"/>
  </r>
  <r>
    <n v="378"/>
    <s v="Hosur"/>
    <x v="6"/>
    <m/>
    <n v="819045"/>
    <n v="3138219"/>
    <s v="TUB-O-N-AUT-AW-FC-34.93X1.200X0.3900"/>
    <x v="0"/>
    <m/>
    <x v="1"/>
    <x v="0"/>
    <m/>
    <m/>
    <m/>
    <m/>
    <s v="34.93-0-1.2-ERW 1-FC"/>
    <m/>
    <m/>
    <x v="13"/>
    <x v="14"/>
    <x v="0"/>
    <x v="1"/>
    <n v="390"/>
    <m/>
    <x v="30"/>
    <e v="#N/A"/>
    <e v="#N/A"/>
    <n v="0"/>
    <e v="#N/A"/>
    <e v="#N/A"/>
    <e v="#DIV/0!"/>
    <n v="0"/>
    <n v="0.47499999999999998"/>
    <n v="0"/>
    <e v="#N/A"/>
  </r>
  <r>
    <n v="379"/>
    <s v="Hosur"/>
    <x v="6"/>
    <m/>
    <n v="819045"/>
    <n v="3484654"/>
    <s v="TUB-O-N-AUT-AW-PE-34.93X2.000X1.2800"/>
    <x v="1"/>
    <m/>
    <x v="3"/>
    <x v="1"/>
    <m/>
    <m/>
    <m/>
    <m/>
    <s v="34.93-0-2--"/>
    <m/>
    <m/>
    <x v="13"/>
    <x v="14"/>
    <x v="0"/>
    <x v="3"/>
    <n v="1280"/>
    <m/>
    <x v="30"/>
    <e v="#N/A"/>
    <e v="#N/A"/>
    <n v="0"/>
    <e v="#N/A"/>
    <e v="#N/A"/>
    <e v="#DIV/0!"/>
    <n v="0"/>
    <n v="0"/>
    <n v="0"/>
    <e v="#N/A"/>
  </r>
  <r>
    <n v="376"/>
    <s v="Khopoli "/>
    <x v="6"/>
    <m/>
    <n v="819045"/>
    <n v="3500714"/>
    <s v="TUB-O-N-AUT-BH-FC-42.70X4.000X5.50-ERW 1"/>
    <x v="0"/>
    <s v="Annealed"/>
    <x v="3"/>
    <x v="1"/>
    <m/>
    <m/>
    <m/>
    <m/>
    <s v="42.7-0-4-ERW 1-"/>
    <m/>
    <m/>
    <x v="16"/>
    <x v="16"/>
    <x v="0"/>
    <x v="12"/>
    <n v="5500"/>
    <m/>
    <x v="30"/>
    <e v="#N/A"/>
    <e v="#N/A"/>
    <n v="0"/>
    <e v="#N/A"/>
    <e v="#N/A"/>
    <e v="#DIV/0!"/>
    <n v="0"/>
    <n v="0"/>
    <n v="0"/>
    <e v="#N/A"/>
  </r>
  <r>
    <n v="375"/>
    <s v="Hosur"/>
    <x v="6"/>
    <m/>
    <n v="819045"/>
    <m/>
    <s v="CUT-N-AUT-AW-FC-48.60X3.500X0.5950"/>
    <x v="1"/>
    <m/>
    <x v="3"/>
    <x v="1"/>
    <m/>
    <m/>
    <m/>
    <m/>
    <s v="48.6-0-3.5--"/>
    <m/>
    <m/>
    <x v="18"/>
    <x v="17"/>
    <x v="0"/>
    <x v="16"/>
    <n v="595"/>
    <m/>
    <x v="30"/>
    <e v="#N/A"/>
    <e v="#N/A"/>
    <n v="0"/>
    <e v="#N/A"/>
    <e v="#N/A"/>
    <e v="#DIV/0!"/>
    <n v="0"/>
    <n v="0"/>
    <n v="0"/>
    <e v="#N/A"/>
  </r>
  <r>
    <n v="347"/>
    <s v="Hosur"/>
    <x v="7"/>
    <m/>
    <n v="189002"/>
    <n v="3432217"/>
    <s v="TUB-S-AW-AUT-19.00X19.00X1.210X0.3300"/>
    <x v="5"/>
    <m/>
    <x v="0"/>
    <x v="2"/>
    <m/>
    <m/>
    <m/>
    <m/>
    <s v="19-19-1-CRFH-PE"/>
    <m/>
    <m/>
    <x v="23"/>
    <x v="22"/>
    <x v="8"/>
    <x v="2"/>
    <n v="330"/>
    <s v="NOS"/>
    <x v="32"/>
    <n v="0"/>
    <n v="4500"/>
    <n v="0.82065641130000011"/>
    <n v="0"/>
    <n v="0.82065641130000011"/>
    <n v="0"/>
    <n v="0"/>
    <n v="57.050424999999997"/>
    <m/>
    <m/>
  </r>
  <r>
    <n v="350"/>
    <s v="Hosur"/>
    <x v="7"/>
    <m/>
    <n v="189002"/>
    <n v="3230490"/>
    <s v="TUB-S-AW-AUT-19.00X19.00X1.000X0.3550"/>
    <x v="5"/>
    <m/>
    <x v="0"/>
    <x v="0"/>
    <m/>
    <m/>
    <m/>
    <m/>
    <s v="19-19-1-CRFH-PE"/>
    <m/>
    <m/>
    <x v="23"/>
    <x v="22"/>
    <x v="8"/>
    <x v="2"/>
    <n v="355"/>
    <s v="NOS"/>
    <x v="8"/>
    <n v="0"/>
    <n v="9000"/>
    <n v="1.7656547031000003"/>
    <n v="0"/>
    <n v="1.7656547031000003"/>
    <n v="0"/>
    <n v="0"/>
    <n v="57.050424999999997"/>
    <n v="0.82065641130000011"/>
    <n v="0"/>
  </r>
  <r>
    <n v="346"/>
    <s v="Hosur"/>
    <x v="7"/>
    <m/>
    <n v="189002"/>
    <n v="3230487"/>
    <s v="TUB-S-AW-AUT-19.00X19.00X1.000X0.4000"/>
    <x v="5"/>
    <m/>
    <x v="0"/>
    <x v="0"/>
    <m/>
    <m/>
    <m/>
    <m/>
    <s v="19-19-1-CRFH-PE"/>
    <m/>
    <m/>
    <x v="23"/>
    <x v="22"/>
    <x v="8"/>
    <x v="2"/>
    <n v="400"/>
    <s v="NOS"/>
    <x v="33"/>
    <n v="0"/>
    <n v="27000"/>
    <n v="5.9684102640000001"/>
    <n v="0"/>
    <n v="5.9684102640000001"/>
    <n v="0"/>
    <n v="0"/>
    <n v="57.050424999999997"/>
    <n v="1.7656547031000003"/>
    <n v="0"/>
  </r>
  <r>
    <n v="345"/>
    <s v="Hosur"/>
    <x v="7"/>
    <m/>
    <n v="189002"/>
    <n v="3234371"/>
    <s v="TUB-S-AW-AUT-19.00X19.00X1.000X0.4620"/>
    <x v="5"/>
    <m/>
    <x v="0"/>
    <x v="0"/>
    <m/>
    <m/>
    <m/>
    <m/>
    <s v="19-19-1-CRFH-PE"/>
    <m/>
    <m/>
    <x v="23"/>
    <x v="22"/>
    <x v="8"/>
    <x v="2"/>
    <n v="462"/>
    <s v="NOS"/>
    <x v="8"/>
    <n v="0"/>
    <n v="9000"/>
    <n v="2.29783795164"/>
    <n v="0"/>
    <n v="2.29783795164"/>
    <n v="0"/>
    <n v="0"/>
    <n v="57.050424999999997"/>
    <n v="5.9684102640000001"/>
    <n v="0"/>
  </r>
  <r>
    <n v="344"/>
    <s v="Hosur"/>
    <x v="7"/>
    <m/>
    <n v="189002"/>
    <n v="3230488"/>
    <s v="TUB-S-AW-AUT-19.00X19.00X1.000X0.4700"/>
    <x v="5"/>
    <m/>
    <x v="0"/>
    <x v="0"/>
    <m/>
    <m/>
    <m/>
    <m/>
    <s v="19-19-1-CRFH-PE"/>
    <m/>
    <m/>
    <x v="23"/>
    <x v="22"/>
    <x v="8"/>
    <x v="2"/>
    <n v="470"/>
    <s v="NOS"/>
    <x v="8"/>
    <n v="0"/>
    <n v="9000"/>
    <n v="2.3376273533999998"/>
    <n v="0"/>
    <n v="2.3376273533999998"/>
    <n v="0"/>
    <n v="0"/>
    <n v="57.050424999999997"/>
    <n v="2.29783795164"/>
    <n v="0"/>
  </r>
  <r>
    <n v="343"/>
    <s v="Hosur"/>
    <x v="7"/>
    <m/>
    <n v="189002"/>
    <n v="3605740"/>
    <s v="TUB-S-AW-AUT-19.00X19.00X1.010X0.6750"/>
    <x v="5"/>
    <m/>
    <x v="0"/>
    <x v="0"/>
    <m/>
    <m/>
    <m/>
    <m/>
    <s v="19-19-1-CRFH-PE"/>
    <m/>
    <m/>
    <x v="23"/>
    <x v="22"/>
    <x v="8"/>
    <x v="2"/>
    <n v="675"/>
    <s v="NOS"/>
    <x v="8"/>
    <n v="0"/>
    <n v="9000"/>
    <n v="3.3572307735"/>
    <n v="0"/>
    <n v="3.3572307735"/>
    <n v="0"/>
    <n v="0"/>
    <n v="57.050424999999997"/>
    <n v="2.3376273533999998"/>
    <n v="0"/>
  </r>
  <r>
    <n v="349"/>
    <s v="Hosur"/>
    <x v="7"/>
    <m/>
    <n v="189002"/>
    <n v="3230491"/>
    <s v="TUB-S-AW-AUT-19.00X19.00X1.000X0.6820"/>
    <x v="5"/>
    <m/>
    <x v="3"/>
    <x v="1"/>
    <m/>
    <m/>
    <m/>
    <m/>
    <s v="19-19-1-CRFH-"/>
    <m/>
    <m/>
    <x v="23"/>
    <x v="22"/>
    <x v="8"/>
    <x v="2"/>
    <n v="682"/>
    <s v="NOS"/>
    <x v="30"/>
    <n v="0"/>
    <n v="0"/>
    <n v="0"/>
    <n v="0"/>
    <n v="0"/>
    <e v="#DIV/0!"/>
    <n v="0"/>
    <n v="0"/>
    <n v="3.3572307735"/>
    <n v="0"/>
  </r>
  <r>
    <n v="342"/>
    <s v="Hosur"/>
    <x v="7"/>
    <m/>
    <n v="189002"/>
    <n v="3230485"/>
    <s v="TUB-S-AW-AUT-19.00X19.00X1.000X0.8400"/>
    <x v="5"/>
    <m/>
    <x v="0"/>
    <x v="0"/>
    <m/>
    <m/>
    <m/>
    <m/>
    <s v="19-19-1-CRFH-PE"/>
    <m/>
    <m/>
    <x v="23"/>
    <x v="22"/>
    <x v="8"/>
    <x v="2"/>
    <n v="840"/>
    <s v="NOS"/>
    <x v="8"/>
    <n v="0"/>
    <n v="9000"/>
    <n v="4.1778871848000012"/>
    <n v="0"/>
    <n v="4.1778871848000012"/>
    <n v="0"/>
    <n v="0"/>
    <n v="57.050424999999997"/>
    <n v="0"/>
    <e v="#DIV/0!"/>
  </r>
  <r>
    <n v="341"/>
    <s v="Hosur"/>
    <x v="7"/>
    <m/>
    <n v="189002"/>
    <n v="3605739"/>
    <s v="TUB-S-AW-AUT-19.00X19.00X1.010X0.8710"/>
    <x v="5"/>
    <m/>
    <x v="0"/>
    <x v="0"/>
    <m/>
    <m/>
    <m/>
    <m/>
    <s v="19-19-1-CRFH-PE"/>
    <m/>
    <m/>
    <x v="23"/>
    <x v="22"/>
    <x v="8"/>
    <x v="2"/>
    <n v="871"/>
    <s v="NOS"/>
    <x v="8"/>
    <n v="0"/>
    <n v="9000"/>
    <n v="4.3320711166199999"/>
    <n v="0"/>
    <n v="4.3320711166199999"/>
    <n v="0"/>
    <n v="0"/>
    <n v="57.050424999999997"/>
    <n v="4.1778871848000012"/>
    <n v="0"/>
  </r>
  <r>
    <n v="348"/>
    <s v="Hosur"/>
    <x v="7"/>
    <m/>
    <n v="189002"/>
    <n v="3233560"/>
    <s v="TUB-S-AW-AUT-19.00X19.00X1.000X0.8750"/>
    <x v="5"/>
    <m/>
    <x v="3"/>
    <x v="1"/>
    <m/>
    <m/>
    <m/>
    <m/>
    <s v="19-19-1-CRFH-"/>
    <m/>
    <m/>
    <x v="23"/>
    <x v="22"/>
    <x v="8"/>
    <x v="2"/>
    <n v="875"/>
    <s v="NOS"/>
    <x v="30"/>
    <n v="0"/>
    <n v="0"/>
    <n v="0"/>
    <n v="0"/>
    <n v="0"/>
    <e v="#DIV/0!"/>
    <n v="0"/>
    <n v="0"/>
    <n v="4.1778871848000012"/>
    <n v="0"/>
  </r>
  <r>
    <n v="340"/>
    <s v="Hosur"/>
    <x v="7"/>
    <m/>
    <n v="189002"/>
    <n v="3230492"/>
    <s v="TUB-S-AW-AUT-19.00X19.00X1.000X0.8800"/>
    <x v="5"/>
    <m/>
    <x v="0"/>
    <x v="0"/>
    <m/>
    <m/>
    <m/>
    <m/>
    <s v="19-19-1-CRFH-PE"/>
    <m/>
    <m/>
    <x v="23"/>
    <x v="22"/>
    <x v="8"/>
    <x v="2"/>
    <n v="880"/>
    <s v="NOS"/>
    <x v="8"/>
    <n v="0"/>
    <n v="9000"/>
    <n v="4.3768341936000006"/>
    <n v="0"/>
    <n v="4.3768341936000006"/>
    <n v="0"/>
    <n v="0"/>
    <n v="57.050424999999997"/>
    <n v="0"/>
    <e v="#DIV/0!"/>
  </r>
  <r>
    <n v="365"/>
    <s v="Hosur"/>
    <x v="7"/>
    <m/>
    <n v="189002"/>
    <n v="1940146"/>
    <s v="TUB-S-AW-SHS-19.00X19.00X1.000X6.0000"/>
    <x v="5"/>
    <m/>
    <x v="0"/>
    <x v="0"/>
    <m/>
    <m/>
    <m/>
    <m/>
    <s v="19-19-1-CRFH-PE"/>
    <m/>
    <m/>
    <x v="23"/>
    <x v="22"/>
    <x v="8"/>
    <x v="2"/>
    <n v="1000"/>
    <s v="M"/>
    <x v="34"/>
    <n v="0"/>
    <n v="14346"/>
    <n v="7.928038300679999"/>
    <n v="0"/>
    <n v="7.928038300679999"/>
    <n v="0"/>
    <n v="0"/>
    <n v="57.050424999999997"/>
    <m/>
    <m/>
  </r>
  <r>
    <n v="382"/>
    <s v="Hosur"/>
    <x v="7"/>
    <m/>
    <n v="189002"/>
    <n v="3597679"/>
    <s v="TUB-S-AW-AUT-19.00X19.00X1.000X6.1400"/>
    <x v="5"/>
    <m/>
    <x v="3"/>
    <x v="1"/>
    <m/>
    <m/>
    <m/>
    <m/>
    <s v="19-19-1-CRFH-"/>
    <m/>
    <m/>
    <x v="23"/>
    <x v="22"/>
    <x v="8"/>
    <x v="2"/>
    <n v="1000"/>
    <s v="M"/>
    <x v="30"/>
    <n v="0"/>
    <n v="0"/>
    <n v="0"/>
    <n v="0"/>
    <n v="0"/>
    <e v="#DIV/0!"/>
    <n v="0"/>
    <n v="0"/>
    <n v="7.928038300679999"/>
    <n v="0"/>
  </r>
  <r>
    <n v="384"/>
    <s v="Hosur"/>
    <x v="7"/>
    <m/>
    <n v="189002"/>
    <n v="3695241"/>
    <s v="TUB-S-AW-AUT-19.00X19.00X1.000X6.2500"/>
    <x v="5"/>
    <m/>
    <x v="3"/>
    <x v="1"/>
    <m/>
    <m/>
    <m/>
    <m/>
    <s v="19-19-1-CRFH-"/>
    <m/>
    <m/>
    <x v="23"/>
    <x v="22"/>
    <x v="8"/>
    <x v="2"/>
    <n v="1000"/>
    <s v="M"/>
    <x v="30"/>
    <n v="0"/>
    <n v="0"/>
    <n v="0"/>
    <n v="0"/>
    <n v="0"/>
    <e v="#DIV/0!"/>
    <n v="0"/>
    <n v="0"/>
    <n v="0"/>
    <e v="#DIV/0!"/>
  </r>
  <r>
    <n v="339"/>
    <s v="Hosur"/>
    <x v="7"/>
    <m/>
    <n v="189002"/>
    <n v="3230494"/>
    <s v="TUB-S-AW-AUT-19.00X19.00X1.000X1.3000"/>
    <x v="5"/>
    <m/>
    <x v="0"/>
    <x v="0"/>
    <m/>
    <m/>
    <m/>
    <m/>
    <s v="19-19-1-CRFH-PE"/>
    <m/>
    <m/>
    <x v="23"/>
    <x v="22"/>
    <x v="8"/>
    <x v="2"/>
    <n v="1300"/>
    <s v="NOS"/>
    <x v="32"/>
    <n v="0"/>
    <n v="4500"/>
    <n v="3.2328888930000002"/>
    <n v="0"/>
    <n v="3.2328888930000002"/>
    <n v="0"/>
    <n v="0"/>
    <n v="57.050424999999997"/>
    <n v="0"/>
    <e v="#DIV/0!"/>
  </r>
  <r>
    <n v="383"/>
    <s v="Hosur"/>
    <x v="7"/>
    <m/>
    <n v="189002"/>
    <n v="3605862"/>
    <s v="TUB-O-N-AUT-AW-PE-25.40X1.220X2.5850"/>
    <x v="1"/>
    <m/>
    <x v="3"/>
    <x v="1"/>
    <m/>
    <m/>
    <m/>
    <m/>
    <s v="25.4-0-1.22--"/>
    <m/>
    <m/>
    <x v="3"/>
    <x v="3"/>
    <x v="0"/>
    <x v="17"/>
    <n v="2585"/>
    <s v="NOS"/>
    <x v="30"/>
    <n v="0"/>
    <n v="0"/>
    <n v="0"/>
    <n v="0"/>
    <n v="0"/>
    <e v="#DIV/0!"/>
    <n v="0"/>
    <n v="0"/>
    <n v="3.2328888930000002"/>
    <n v="0"/>
  </r>
  <r>
    <n v="357"/>
    <s v="Khopoli "/>
    <x v="7"/>
    <m/>
    <n v="189002"/>
    <n v="1939544"/>
    <s v="TUB-O-C-CEW-AD-FC-25.40X2.500X0.2170"/>
    <x v="2"/>
    <m/>
    <x v="2"/>
    <x v="1"/>
    <m/>
    <m/>
    <m/>
    <m/>
    <s v="25.4-0-2.5-CEW-CEW"/>
    <m/>
    <m/>
    <x v="3"/>
    <x v="3"/>
    <x v="0"/>
    <x v="11"/>
    <n v="217"/>
    <s v="NOS"/>
    <x v="35"/>
    <n v="0"/>
    <n v="12110"/>
    <n v="3.7083325468174992"/>
    <n v="0"/>
    <n v="3.7083325468174992"/>
    <n v="0"/>
    <n v="0"/>
    <n v="7.2918069999999995"/>
    <n v="0"/>
    <e v="#DIV/0!"/>
  </r>
  <r>
    <n v="388"/>
    <s v="Khopoli "/>
    <x v="7"/>
    <m/>
    <n v="189002"/>
    <n v="1941408"/>
    <s v="TUB-O-C-AUT-AD-FC-25.40X2.500X3.7300"/>
    <x v="2"/>
    <m/>
    <x v="3"/>
    <x v="1"/>
    <m/>
    <m/>
    <m/>
    <m/>
    <s v="25.4-20.4-2.5-CEW-"/>
    <m/>
    <m/>
    <x v="3"/>
    <x v="3"/>
    <x v="6"/>
    <x v="11"/>
    <n v="3730"/>
    <s v="NOS"/>
    <x v="30"/>
    <n v="0"/>
    <n v="0"/>
    <n v="0"/>
    <n v="0"/>
    <n v="0"/>
    <e v="#DIV/0!"/>
    <n v="0"/>
    <n v="0"/>
    <n v="3.7083325468174992"/>
    <n v="0"/>
  </r>
  <r>
    <n v="336"/>
    <s v="Hosur"/>
    <x v="7"/>
    <m/>
    <n v="189002"/>
    <n v="2410388"/>
    <s v="TUB-O-C-AUT-AD-FC-28.60X2.650X04-05"/>
    <x v="2"/>
    <m/>
    <x v="2"/>
    <x v="1"/>
    <m/>
    <m/>
    <m/>
    <m/>
    <s v="28.6-0-2.65-CEW-CEW"/>
    <m/>
    <m/>
    <x v="10"/>
    <x v="10"/>
    <x v="0"/>
    <x v="8"/>
    <n v="1000"/>
    <s v="M"/>
    <x v="30"/>
    <n v="0"/>
    <n v="0"/>
    <n v="0"/>
    <n v="0"/>
    <n v="0"/>
    <e v="#DIV/0!"/>
    <n v="0"/>
    <n v="63.374519999999983"/>
    <n v="0"/>
    <e v="#DIV/0!"/>
  </r>
  <r>
    <n v="387"/>
    <s v="Khopoli "/>
    <x v="7"/>
    <m/>
    <n v="189002"/>
    <n v="1942166"/>
    <s v="TUB-O-C-AUT-AD-FC-30.00X2.250X5.9300"/>
    <x v="2"/>
    <m/>
    <x v="3"/>
    <x v="1"/>
    <m/>
    <m/>
    <m/>
    <m/>
    <s v="30-25.5-2.25-CEW-"/>
    <m/>
    <m/>
    <x v="24"/>
    <x v="23"/>
    <x v="9"/>
    <x v="18"/>
    <n v="1000"/>
    <s v="M"/>
    <x v="30"/>
    <n v="0"/>
    <n v="0"/>
    <n v="0"/>
    <n v="0"/>
    <n v="0"/>
    <e v="#DIV/0!"/>
    <n v="0"/>
    <n v="0"/>
    <n v="0"/>
    <e v="#DIV/0!"/>
  </r>
  <r>
    <n v="356"/>
    <s v="Khopoli "/>
    <x v="7"/>
    <m/>
    <n v="189002"/>
    <n v="2359755"/>
    <s v="TUB-O-C-AUT-AD-FC-30.00X2.250X0.4850"/>
    <x v="2"/>
    <m/>
    <x v="2"/>
    <x v="1"/>
    <m/>
    <s v="Chamferring"/>
    <m/>
    <m/>
    <s v="30-25.5-2.25-CEW-CEW"/>
    <s v="30-25.5-2.25-CEW-CEW-0.485"/>
    <n v="3"/>
    <x v="25"/>
    <x v="23"/>
    <x v="9"/>
    <x v="18"/>
    <n v="485"/>
    <s v="NOS"/>
    <x v="36"/>
    <n v="11400"/>
    <n v="21920"/>
    <n v="25.005339624194999"/>
    <n v="8.5552482507749996"/>
    <n v="16.450091373420001"/>
    <n v="6484.7661194371894"/>
    <n v="4.8665599999999998"/>
    <n v="108.008921"/>
    <n v="-4.8665599999999998"/>
    <e v="#DIV/0!"/>
  </r>
  <r>
    <n v="353"/>
    <s v="Hosur"/>
    <x v="7"/>
    <m/>
    <n v="189002"/>
    <n v="3230483"/>
    <s v="TUB-S-AW-AUT-25.00X25.00X1.200X0.3300"/>
    <x v="5"/>
    <m/>
    <x v="0"/>
    <x v="0"/>
    <m/>
    <m/>
    <m/>
    <m/>
    <s v="25-25-1.2-CRFH-PE"/>
    <m/>
    <m/>
    <x v="12"/>
    <x v="12"/>
    <x v="4"/>
    <x v="1"/>
    <n v="330"/>
    <s v="NOS"/>
    <x v="32"/>
    <n v="0"/>
    <n v="4500"/>
    <n v="1.3418940249"/>
    <n v="0"/>
    <n v="1.3418940249"/>
    <n v="0"/>
    <n v="0"/>
    <n v="7.5034370000000008"/>
    <n v="25.005339624194999"/>
    <n v="0"/>
  </r>
  <r>
    <n v="352"/>
    <s v="Hosur"/>
    <x v="7"/>
    <m/>
    <n v="189002"/>
    <n v="3230482"/>
    <s v="TUB-S-AW-AUT-25.00X25.00X1.200X0.7870"/>
    <x v="5"/>
    <m/>
    <x v="0"/>
    <x v="0"/>
    <m/>
    <m/>
    <m/>
    <m/>
    <s v="25-25-1.2-CRFH-PE"/>
    <m/>
    <m/>
    <x v="12"/>
    <x v="12"/>
    <x v="4"/>
    <x v="1"/>
    <n v="787"/>
    <s v="NOS"/>
    <x v="8"/>
    <n v="0"/>
    <n v="9000"/>
    <n v="6.400427864220001"/>
    <n v="0"/>
    <n v="6.400427864220001"/>
    <n v="0"/>
    <n v="0"/>
    <n v="7.5034370000000008"/>
    <n v="1.3418940249"/>
    <n v="0"/>
  </r>
  <r>
    <n v="351"/>
    <s v="Hosur"/>
    <x v="7"/>
    <m/>
    <n v="189002"/>
    <n v="3230484"/>
    <s v="TUB-S-AW-AUT-25.00X25.00X1.200X1.2460"/>
    <x v="5"/>
    <m/>
    <x v="0"/>
    <x v="0"/>
    <m/>
    <m/>
    <m/>
    <m/>
    <s v="25-25-1.2-CRFH-PE"/>
    <m/>
    <m/>
    <x v="12"/>
    <x v="12"/>
    <x v="4"/>
    <x v="1"/>
    <n v="1246"/>
    <s v="NOS"/>
    <x v="32"/>
    <n v="0"/>
    <n v="4500"/>
    <n v="5.06666653038"/>
    <n v="0"/>
    <n v="5.06666653038"/>
    <n v="0"/>
    <n v="0"/>
    <n v="7.5034370000000008"/>
    <n v="6.400427864220001"/>
    <n v="0"/>
  </r>
  <r>
    <n v="354"/>
    <s v="Hosur"/>
    <x v="7"/>
    <m/>
    <n v="189002"/>
    <n v="3230495"/>
    <s v="TUB-S-AW-AUT-30.00X30.00X1.200X0.2200"/>
    <x v="5"/>
    <m/>
    <x v="0"/>
    <x v="0"/>
    <m/>
    <m/>
    <m/>
    <m/>
    <s v="30-30-1.2-CRFH-PE"/>
    <m/>
    <m/>
    <x v="14"/>
    <x v="23"/>
    <x v="1"/>
    <x v="1"/>
    <n v="220"/>
    <s v="NOS"/>
    <x v="8"/>
    <n v="0"/>
    <n v="9000"/>
    <n v="2.1610862855999997"/>
    <n v="0"/>
    <n v="2.1610862855999997"/>
    <n v="0"/>
    <n v="0"/>
    <n v="1.5546"/>
    <n v="5.06666653038"/>
    <n v="0"/>
  </r>
  <r>
    <n v="360"/>
    <s v="Khopoli "/>
    <x v="7"/>
    <m/>
    <n v="189002"/>
    <n v="3784540"/>
    <s v="PT3-O-N-AUT-AW-FC-38.10X3.660X0.2010"/>
    <x v="0"/>
    <m/>
    <x v="1"/>
    <x v="1"/>
    <m/>
    <m/>
    <m/>
    <m/>
    <s v="38.1-0-3.66-ERW 1-FC"/>
    <m/>
    <m/>
    <x v="14"/>
    <x v="24"/>
    <x v="0"/>
    <x v="19"/>
    <n v="201"/>
    <s v="NOS"/>
    <x v="37"/>
    <n v="0"/>
    <n v="13500"/>
    <n v="8.4308887560995984"/>
    <n v="0"/>
    <n v="8.4308887560995984"/>
    <n v="0"/>
    <n v="0"/>
    <n v="6.4483220000000001"/>
    <n v="2.1610862855999997"/>
    <n v="0"/>
  </r>
  <r>
    <n v="338"/>
    <s v="Hosur"/>
    <x v="7"/>
    <m/>
    <n v="189002"/>
    <n v="3233557"/>
    <s v="TUB-R-AW-AUT-40.00X20.00X1.210X0.8000"/>
    <x v="5"/>
    <m/>
    <x v="0"/>
    <x v="0"/>
    <m/>
    <m/>
    <m/>
    <m/>
    <s v="40-20-1.2-CRFH-PE"/>
    <m/>
    <m/>
    <x v="14"/>
    <x v="15"/>
    <x v="5"/>
    <x v="1"/>
    <n v="800"/>
    <s v="NOS"/>
    <x v="38"/>
    <n v="0"/>
    <n v="18000"/>
    <n v="15.716991168"/>
    <n v="0"/>
    <n v="15.716991168"/>
    <n v="0"/>
    <n v="0"/>
    <n v="48.544949999999993"/>
    <n v="8.4308887560995984"/>
    <n v="0"/>
  </r>
  <r>
    <n v="337"/>
    <s v="Hosur"/>
    <x v="7"/>
    <m/>
    <n v="189002"/>
    <n v="3233556"/>
    <s v="TUB-R-AW-AUT-40.00X20.00X1.210X0.9400"/>
    <x v="5"/>
    <m/>
    <x v="0"/>
    <x v="0"/>
    <m/>
    <m/>
    <m/>
    <m/>
    <s v="40-20-1.2-CRFH-PE"/>
    <m/>
    <m/>
    <x v="14"/>
    <x v="15"/>
    <x v="5"/>
    <x v="1"/>
    <n v="940"/>
    <s v="NOS"/>
    <x v="38"/>
    <n v="0"/>
    <n v="18000"/>
    <n v="18.467464622399998"/>
    <n v="0"/>
    <n v="18.467464622399998"/>
    <n v="0"/>
    <n v="0"/>
    <n v="48.544949999999993"/>
    <m/>
    <m/>
  </r>
  <r>
    <n v="361"/>
    <s v="Hosur"/>
    <x v="7"/>
    <m/>
    <n v="189002"/>
    <n v="3597713"/>
    <s v="TUB-R-AW-AUT-40.00X20.00X1.200X5.2600"/>
    <x v="5"/>
    <m/>
    <x v="3"/>
    <x v="1"/>
    <m/>
    <m/>
    <m/>
    <m/>
    <s v="40-20-1.2-CRFH-"/>
    <m/>
    <m/>
    <x v="14"/>
    <x v="15"/>
    <x v="5"/>
    <x v="1"/>
    <n v="1000"/>
    <s v="M"/>
    <x v="30"/>
    <n v="0"/>
    <n v="0"/>
    <n v="0"/>
    <n v="0"/>
    <n v="0"/>
    <e v="#DIV/0!"/>
    <n v="0"/>
    <n v="0"/>
    <m/>
    <m/>
  </r>
  <r>
    <n v="359"/>
    <s v="Hosur"/>
    <x v="7"/>
    <m/>
    <n v="189002"/>
    <n v="1940807"/>
    <s v="TUB-R-AW-RHS-40.00X20.00X1.210X6.0000"/>
    <x v="5"/>
    <m/>
    <x v="0"/>
    <x v="0"/>
    <m/>
    <m/>
    <m/>
    <m/>
    <s v="40-20-1.2-CRFH-PE"/>
    <m/>
    <m/>
    <x v="14"/>
    <x v="15"/>
    <x v="5"/>
    <x v="1"/>
    <n v="1000"/>
    <s v="M"/>
    <x v="39"/>
    <n v="0"/>
    <n v="3504"/>
    <n v="3.8244678508799987"/>
    <n v="0"/>
    <n v="3.8244678508799987"/>
    <n v="0"/>
    <n v="0"/>
    <n v="48.544949999999993"/>
    <m/>
    <m/>
  </r>
  <r>
    <n v="335"/>
    <s v="Hosur"/>
    <x v="7"/>
    <m/>
    <n v="189002"/>
    <n v="3233555"/>
    <s v="TUB-R-AW-AUT-40.00X20.00X1.210X1.1200"/>
    <x v="5"/>
    <m/>
    <x v="0"/>
    <x v="0"/>
    <m/>
    <m/>
    <m/>
    <m/>
    <s v="40-20-1.2-CRFH-PE"/>
    <m/>
    <m/>
    <x v="14"/>
    <x v="15"/>
    <x v="5"/>
    <x v="1"/>
    <n v="1120"/>
    <s v="NOS"/>
    <x v="38"/>
    <n v="0"/>
    <n v="18000"/>
    <n v="22.003787635199995"/>
    <n v="0"/>
    <n v="22.003787635199995"/>
    <n v="0"/>
    <n v="0"/>
    <n v="48.544949999999993"/>
    <n v="3.8244678508799987"/>
    <n v="0"/>
  </r>
  <r>
    <n v="334"/>
    <s v="Hosur"/>
    <x v="7"/>
    <m/>
    <n v="189002"/>
    <n v="3233554"/>
    <s v="TUB-R-AW-AUT-40.00X20.00X1.210X1.2460"/>
    <x v="5"/>
    <m/>
    <x v="0"/>
    <x v="0"/>
    <m/>
    <m/>
    <m/>
    <m/>
    <s v="40-20-1.2-CRFH-PE"/>
    <m/>
    <m/>
    <x v="14"/>
    <x v="15"/>
    <x v="5"/>
    <x v="1"/>
    <n v="1246"/>
    <s v="NOS"/>
    <x v="32"/>
    <n v="0"/>
    <n v="4500"/>
    <n v="6.1198034360399998"/>
    <n v="0"/>
    <n v="6.1198034360399998"/>
    <n v="0"/>
    <n v="0"/>
    <n v="48.544949999999993"/>
    <n v="22.003787635199995"/>
    <n v="0"/>
  </r>
  <r>
    <n v="333"/>
    <s v="Hosur"/>
    <x v="7"/>
    <m/>
    <n v="189002"/>
    <n v="3233553"/>
    <s v="TUB-R-AW-AUT-40.00X20.00X1.210X1.2980"/>
    <x v="5"/>
    <m/>
    <x v="0"/>
    <x v="0"/>
    <m/>
    <m/>
    <m/>
    <m/>
    <s v="40-20-1.2-CRFH-PE"/>
    <m/>
    <m/>
    <x v="14"/>
    <x v="15"/>
    <x v="5"/>
    <x v="1"/>
    <n v="1298"/>
    <s v="NOS"/>
    <x v="32"/>
    <n v="0"/>
    <n v="4500"/>
    <n v="6.3752045425199997"/>
    <n v="0"/>
    <n v="6.3752045425199997"/>
    <n v="0"/>
    <n v="0"/>
    <n v="48.544949999999993"/>
    <n v="6.1198034360399998"/>
    <n v="0"/>
  </r>
  <r>
    <n v="332"/>
    <s v="Hosur"/>
    <x v="7"/>
    <m/>
    <n v="189002"/>
    <n v="1940801"/>
    <s v="TUB-R-AW-RHS-40.00X20.00X1.210X1.3100"/>
    <x v="5"/>
    <m/>
    <x v="0"/>
    <x v="0"/>
    <m/>
    <m/>
    <m/>
    <m/>
    <s v="40-20-1.2-CRFH-PE"/>
    <m/>
    <m/>
    <x v="14"/>
    <x v="15"/>
    <x v="5"/>
    <x v="1"/>
    <n v="1310"/>
    <s v="NOS"/>
    <x v="37"/>
    <n v="0"/>
    <n v="13500"/>
    <n v="19.302429778199997"/>
    <n v="0"/>
    <n v="19.302429778199997"/>
    <n v="0"/>
    <n v="0"/>
    <n v="48.544949999999993"/>
    <n v="6.3752045425199997"/>
    <n v="0"/>
  </r>
  <r>
    <n v="355"/>
    <s v="Khopoli "/>
    <x v="7"/>
    <m/>
    <n v="189002"/>
    <n v="1938125"/>
    <s v="TUB-I-C-AUT-AN-FC-39.00X34.00X0.2720"/>
    <x v="2"/>
    <m/>
    <x v="2"/>
    <x v="1"/>
    <m/>
    <s v="Chamferring"/>
    <m/>
    <m/>
    <s v="39-34-2.5-CEW-CEW"/>
    <s v="39-34-2.5-CEW-CEW-0.272"/>
    <n v="2"/>
    <x v="26"/>
    <x v="25"/>
    <x v="10"/>
    <x v="11"/>
    <n v="272"/>
    <s v="NOS"/>
    <x v="40"/>
    <n v="8120"/>
    <n v="22120"/>
    <n v="18.500474563199997"/>
    <n v="4.967720021599999"/>
    <n v="13.532754541599999"/>
    <n v="4046.1634940380841"/>
    <n v="2.4753949999999998"/>
    <n v="57.924370000000017"/>
    <n v="16.827034778199998"/>
    <n v="0.38560508221644668"/>
  </r>
  <r>
    <n v="386"/>
    <s v="Khopoli "/>
    <x v="7"/>
    <m/>
    <n v="189002"/>
    <n v="1930116"/>
    <s v="TUB-I-C-AUT-AN-FC-39.00X34.00X4.5000"/>
    <x v="2"/>
    <m/>
    <x v="3"/>
    <x v="1"/>
    <m/>
    <m/>
    <m/>
    <m/>
    <s v="39-34-2.5-CEW-"/>
    <m/>
    <m/>
    <x v="26"/>
    <x v="25"/>
    <x v="10"/>
    <x v="11"/>
    <n v="1000"/>
    <s v="M"/>
    <x v="30"/>
    <n v="0"/>
    <n v="0"/>
    <n v="0"/>
    <n v="0"/>
    <n v="0"/>
    <e v="#DIV/0!"/>
    <n v="0"/>
    <n v="0"/>
    <n v="18.500474563199997"/>
    <n v="0"/>
  </r>
  <r>
    <n v="358"/>
    <s v="Hosur"/>
    <x v="7"/>
    <m/>
    <n v="189002"/>
    <n v="3438761"/>
    <s v="TUB-R-AW-AUT-40.00X25.00X1.600X0.5140"/>
    <x v="0"/>
    <m/>
    <x v="1"/>
    <x v="0"/>
    <s v="HROP"/>
    <m/>
    <m/>
    <m/>
    <s v="40-25-1.6-ERW 1-FC"/>
    <m/>
    <m/>
    <x v="15"/>
    <x v="15"/>
    <x v="4"/>
    <x v="0"/>
    <n v="514"/>
    <s v="NOS"/>
    <x v="41"/>
    <n v="0"/>
    <n v="2802"/>
    <n v="2.2538354260623361"/>
    <n v="0"/>
    <n v="2.2538354260623361"/>
    <n v="0"/>
    <n v="0"/>
    <n v="25.909101"/>
    <n v="0"/>
    <e v="#DIV/0!"/>
  </r>
  <r>
    <n v="364"/>
    <s v="Hosur"/>
    <x v="7"/>
    <m/>
    <n v="189002"/>
    <n v="3786201"/>
    <s v="TUB-R-AW-RHS-40.00X25.00X1.600X0.5380"/>
    <x v="0"/>
    <m/>
    <x v="1"/>
    <x v="0"/>
    <s v="KGR2"/>
    <m/>
    <m/>
    <m/>
    <s v="40-25-1.6-ERW 1-FC"/>
    <m/>
    <m/>
    <x v="15"/>
    <x v="15"/>
    <x v="4"/>
    <x v="0"/>
    <n v="538"/>
    <s v="NOS"/>
    <x v="42"/>
    <n v="0"/>
    <n v="7350"/>
    <n v="6.1881461999616008"/>
    <n v="0"/>
    <n v="6.1881461999616008"/>
    <n v="0"/>
    <n v="0"/>
    <n v="25.909101"/>
    <m/>
    <m/>
  </r>
  <r>
    <n v="363"/>
    <s v="Hosur"/>
    <x v="7"/>
    <m/>
    <n v="189002"/>
    <n v="3786202"/>
    <s v="TUB-R-AW-RHS-40.00X25.00X1.600X0.5870"/>
    <x v="0"/>
    <m/>
    <x v="1"/>
    <x v="0"/>
    <s v="KGR2"/>
    <m/>
    <m/>
    <m/>
    <s v="40-25-1.6-ERW 1-FC"/>
    <m/>
    <m/>
    <x v="15"/>
    <x v="15"/>
    <x v="4"/>
    <x v="0"/>
    <n v="587"/>
    <s v="NOS"/>
    <x v="43"/>
    <n v="0"/>
    <n v="6900"/>
    <n v="6.3383781083136013"/>
    <n v="0"/>
    <n v="6.3383781083136013"/>
    <n v="0"/>
    <n v="0"/>
    <n v="25.909101"/>
    <n v="6.1881461999616008"/>
    <n v="0"/>
  </r>
  <r>
    <n v="385"/>
    <s v="Hosur"/>
    <x v="7"/>
    <m/>
    <n v="189002"/>
    <n v="1940840"/>
    <s v="TUB-R-AW-RHS-40.00X30.00X2.000X6.0000"/>
    <x v="0"/>
    <m/>
    <x v="1"/>
    <x v="1"/>
    <m/>
    <m/>
    <m/>
    <m/>
    <s v="40-30-2-ERW 1-FC"/>
    <m/>
    <m/>
    <x v="17"/>
    <x v="15"/>
    <x v="1"/>
    <x v="3"/>
    <n v="1000"/>
    <s v="M"/>
    <x v="44"/>
    <n v="0"/>
    <n v="1002"/>
    <n v="2.0968855002"/>
    <n v="0"/>
    <n v="2.0968855002"/>
    <n v="0"/>
    <n v="0"/>
    <n v="20.469456999999998"/>
    <n v="6.3383781083136013"/>
    <n v="0"/>
  </r>
  <r>
    <n v="362"/>
    <s v="Hosur"/>
    <x v="7"/>
    <m/>
    <n v="189002"/>
    <n v="1940852"/>
    <s v="TUB-S-AW-SHS-40.00X40.00X1.200X6.0000"/>
    <x v="5"/>
    <m/>
    <x v="0"/>
    <x v="0"/>
    <m/>
    <m/>
    <m/>
    <m/>
    <s v="40-40-1.2-CRFH-PE"/>
    <m/>
    <m/>
    <x v="4"/>
    <x v="15"/>
    <x v="11"/>
    <x v="1"/>
    <n v="1000"/>
    <s v="M"/>
    <x v="45"/>
    <n v="0"/>
    <n v="2880"/>
    <n v="4.2252724223999998"/>
    <n v="0"/>
    <n v="4.2252724223999998"/>
    <n v="0"/>
    <n v="0"/>
    <n v="13.794447"/>
    <n v="2.0968855002"/>
    <n v="0"/>
  </r>
  <r>
    <n v="276"/>
    <s v="Khopoli "/>
    <x v="8"/>
    <m/>
    <n v="188647"/>
    <n v="2363145"/>
    <s v="TUB-O-C-AUT-AN-FC-14.00X2.450X5.0000"/>
    <x v="2"/>
    <m/>
    <x v="3"/>
    <x v="1"/>
    <m/>
    <m/>
    <m/>
    <m/>
    <s v="14-9.1-2.45-CEW-"/>
    <m/>
    <m/>
    <x v="5"/>
    <x v="5"/>
    <x v="12"/>
    <x v="20"/>
    <n v="5000"/>
    <m/>
    <x v="30"/>
    <e v="#N/A"/>
    <e v="#N/A"/>
    <n v="0"/>
    <e v="#N/A"/>
    <e v="#N/A"/>
    <e v="#DIV/0!"/>
    <n v="0"/>
    <n v="0"/>
    <n v="4.2252724223999998"/>
    <e v="#N/A"/>
  </r>
  <r>
    <n v="291"/>
    <s v="Khopoli "/>
    <x v="8"/>
    <m/>
    <n v="188647"/>
    <n v="3545493"/>
    <s v="TUB-O-C-AUT-AD-FC-19.00X3.250X0.1800"/>
    <x v="2"/>
    <m/>
    <x v="2"/>
    <x v="2"/>
    <m/>
    <m/>
    <m/>
    <m/>
    <s v="19-12.5-3.25-CEW-CEW"/>
    <s v="19-12.5-3.25-CEW-CEW-0.18"/>
    <n v="2"/>
    <x v="27"/>
    <x v="22"/>
    <x v="13"/>
    <x v="21"/>
    <n v="180"/>
    <s v="NOS"/>
    <x v="6"/>
    <n v="0"/>
    <n v="5000"/>
    <n v="1.1355486187500001"/>
    <n v="0"/>
    <n v="1.1355486187500001"/>
    <n v="0"/>
    <n v="0"/>
    <n v="20.418665999999998"/>
    <n v="0"/>
    <e v="#DIV/0!"/>
  </r>
  <r>
    <n v="290"/>
    <s v="Khopoli "/>
    <x v="8"/>
    <m/>
    <n v="188647"/>
    <n v="3545492"/>
    <s v="TUB-O-C-AUT-AD-FC-19.00X3.250X0.1950"/>
    <x v="2"/>
    <m/>
    <x v="2"/>
    <x v="2"/>
    <m/>
    <m/>
    <m/>
    <m/>
    <s v="19-12.5-3.25-CEW-CEW"/>
    <s v="19-12.5-3.25-CEW-CEW-0.195"/>
    <n v="2"/>
    <x v="27"/>
    <x v="22"/>
    <x v="13"/>
    <x v="21"/>
    <n v="195"/>
    <s v="NOS"/>
    <x v="3"/>
    <n v="0"/>
    <n v="8000"/>
    <n v="1.9682842725000003"/>
    <n v="0"/>
    <n v="1.9682842725000003"/>
    <n v="412.61113109869643"/>
    <n v="0.101517"/>
    <n v="20.418665999999998"/>
    <m/>
    <m/>
  </r>
  <r>
    <n v="266"/>
    <s v="Hosur"/>
    <x v="8"/>
    <m/>
    <n v="188647"/>
    <n v="2418569"/>
    <s v="TUB-O-N-AUT-AW-PE-19.05X1.600X1.4050"/>
    <x v="0"/>
    <m/>
    <x v="0"/>
    <x v="0"/>
    <s v="WG"/>
    <m/>
    <m/>
    <m/>
    <s v="19.05-0-1.6-ERW 1-PE"/>
    <s v="19.05-0-1.6-ERW 1-PE-1.405"/>
    <n v="1"/>
    <x v="2"/>
    <x v="2"/>
    <x v="0"/>
    <x v="0"/>
    <n v="1405"/>
    <s v="NOS"/>
    <x v="2"/>
    <n v="0"/>
    <n v="4000"/>
    <n v="3.8676844496"/>
    <n v="0"/>
    <n v="3.8676844496"/>
    <n v="2.5731158086149573"/>
    <n v="2.4880000000000002E-3"/>
    <n v="14.281976999999999"/>
    <n v="1.9657962725000002"/>
    <n v="1.2640450542440636E-3"/>
  </r>
  <r>
    <n v="278"/>
    <s v="Khopoli "/>
    <x v="8"/>
    <m/>
    <n v="188647"/>
    <n v="2410994"/>
    <s v="TUB-O-C-AUT-AD-FC-21.75X3.500X04-05"/>
    <x v="2"/>
    <m/>
    <x v="3"/>
    <x v="1"/>
    <m/>
    <m/>
    <m/>
    <m/>
    <s v="21.75-0-3.5-CEW-"/>
    <m/>
    <m/>
    <x v="28"/>
    <x v="26"/>
    <x v="0"/>
    <x v="16"/>
    <n v="4500"/>
    <s v="M"/>
    <x v="30"/>
    <n v="0"/>
    <n v="0"/>
    <n v="0"/>
    <n v="0"/>
    <n v="0"/>
    <e v="#DIV/0!"/>
    <n v="0"/>
    <n v="0"/>
    <n v="3.8676844496"/>
    <n v="0"/>
  </r>
  <r>
    <n v="274"/>
    <s v="Hosur"/>
    <x v="8"/>
    <m/>
    <n v="188647"/>
    <n v="1940407"/>
    <s v="TUB-O-O-AUT-AW-PE-22.23X1.600X0.7400"/>
    <x v="0"/>
    <m/>
    <x v="0"/>
    <x v="0"/>
    <s v="GR1"/>
    <m/>
    <m/>
    <m/>
    <s v="22.23-0-1.6-ERW 1-PE"/>
    <s v="22.23-0-1.6-ERW 1-PE-0.74"/>
    <n v="1"/>
    <x v="8"/>
    <x v="8"/>
    <x v="0"/>
    <x v="0"/>
    <n v="740"/>
    <s v="NOS"/>
    <x v="11"/>
    <n v="0"/>
    <n v="3000"/>
    <n v="1.8062235062400001"/>
    <n v="0"/>
    <n v="1.8062235062400001"/>
    <n v="2427.5002428284201"/>
    <n v="1.4615360000000002"/>
    <n v="68.25120299999999"/>
    <n v="-1.4615360000000002"/>
    <e v="#DIV/0!"/>
  </r>
  <r>
    <n v="267"/>
    <s v="Hosur"/>
    <x v="8"/>
    <m/>
    <n v="188647"/>
    <n v="2418687"/>
    <s v="TUB-O-N-AUT-AW-PE-22.23X1.600X0.8800"/>
    <x v="0"/>
    <m/>
    <x v="0"/>
    <x v="0"/>
    <s v="GR1"/>
    <m/>
    <m/>
    <m/>
    <s v="22.23-0-1.6-ERW 1-PE"/>
    <s v="22.23-0-1.6-ERW 1-PE-0.88"/>
    <n v="1"/>
    <x v="8"/>
    <x v="8"/>
    <x v="0"/>
    <x v="0"/>
    <n v="880"/>
    <s v="NOS"/>
    <x v="11"/>
    <n v="0"/>
    <n v="3000"/>
    <n v="2.1479414668799999"/>
    <n v="0"/>
    <n v="2.1479414668799999"/>
    <n v="2314.6552532559117"/>
    <n v="1.6572480000000003"/>
    <n v="68.25120299999999"/>
    <n v="0.14897550623999978"/>
    <n v="0.91752100129063163"/>
  </r>
  <r>
    <n v="292"/>
    <s v="Hosur"/>
    <x v="8"/>
    <m/>
    <n v="188647"/>
    <n v="3732180"/>
    <s v="TUB-O-O-AUT-AW-FC-25.40X1.600X0.2080"/>
    <x v="0"/>
    <m/>
    <x v="1"/>
    <x v="0"/>
    <s v="NORMAL"/>
    <m/>
    <m/>
    <m/>
    <s v="25.4-0-1.6-ERW 1-FC"/>
    <m/>
    <m/>
    <x v="3"/>
    <x v="3"/>
    <x v="0"/>
    <x v="0"/>
    <n v="208"/>
    <m/>
    <x v="30"/>
    <e v="#N/A"/>
    <e v="#N/A"/>
    <n v="0"/>
    <e v="#N/A"/>
    <e v="#N/A"/>
    <e v="#DIV/0!"/>
    <n v="0"/>
    <n v="4.1020000000000003"/>
    <n v="2.1479414668799999"/>
    <m/>
  </r>
  <r>
    <n v="268"/>
    <s v="Hosur"/>
    <x v="8"/>
    <m/>
    <n v="188647"/>
    <n v="1940595"/>
    <s v="TUB-O-O-AUT-AW-FC-25.40X2.500X0.3220"/>
    <x v="0"/>
    <m/>
    <x v="3"/>
    <x v="1"/>
    <m/>
    <m/>
    <m/>
    <m/>
    <s v="25.4-0-2.5-ERW 1-"/>
    <m/>
    <m/>
    <x v="3"/>
    <x v="3"/>
    <x v="0"/>
    <x v="11"/>
    <n v="322"/>
    <m/>
    <x v="30"/>
    <e v="#N/A"/>
    <e v="#N/A"/>
    <n v="0"/>
    <e v="#N/A"/>
    <e v="#N/A"/>
    <e v="#DIV/0!"/>
    <n v="0"/>
    <n v="0"/>
    <n v="0"/>
    <e v="#N/A"/>
  </r>
  <r>
    <n v="294"/>
    <s v="Hosur"/>
    <x v="8"/>
    <m/>
    <n v="188647"/>
    <m/>
    <m/>
    <x v="0"/>
    <m/>
    <x v="3"/>
    <x v="0"/>
    <m/>
    <m/>
    <m/>
    <m/>
    <s v="28.58-0-1.6-ERW 1-"/>
    <m/>
    <m/>
    <x v="9"/>
    <x v="9"/>
    <x v="0"/>
    <x v="0"/>
    <n v="6000"/>
    <m/>
    <x v="30"/>
    <e v="#N/A"/>
    <e v="#N/A"/>
    <n v="0"/>
    <e v="#N/A"/>
    <e v="#N/A"/>
    <e v="#DIV/0!"/>
    <n v="0"/>
    <n v="0"/>
    <n v="0"/>
    <e v="#N/A"/>
  </r>
  <r>
    <n v="277"/>
    <s v="Hosur"/>
    <x v="8"/>
    <m/>
    <n v="188647"/>
    <n v="1940732"/>
    <s v="TUB-O-O-AUT-AW-FC-38.10X1.600X0.8210"/>
    <x v="0"/>
    <m/>
    <x v="1"/>
    <x v="1"/>
    <s v="GR1"/>
    <m/>
    <m/>
    <m/>
    <s v="38.1-0-1.6-ERW 1-FC"/>
    <m/>
    <m/>
    <x v="14"/>
    <x v="24"/>
    <x v="0"/>
    <x v="0"/>
    <n v="821"/>
    <m/>
    <x v="30"/>
    <e v="#N/A"/>
    <e v="#N/A"/>
    <n v="0"/>
    <e v="#N/A"/>
    <e v="#N/A"/>
    <e v="#DIV/0!"/>
    <n v="0"/>
    <n v="13.630224999999999"/>
    <n v="0"/>
    <e v="#N/A"/>
  </r>
  <r>
    <n v="283"/>
    <s v="Hosur"/>
    <x v="8"/>
    <m/>
    <n v="188647"/>
    <n v="3768904"/>
    <s v="CUT-O-N-AUT-AW-FC-38.10X1.600X0.8780"/>
    <x v="4"/>
    <m/>
    <x v="1"/>
    <x v="0"/>
    <s v="ST52AL"/>
    <m/>
    <m/>
    <m/>
    <s v="38.1-0-1.6-ERW 2 MAHS-FC"/>
    <s v="38.1-0-1.6-ERW 2 MAHS-FC-0.878"/>
    <n v="1"/>
    <x v="14"/>
    <x v="24"/>
    <x v="0"/>
    <x v="0"/>
    <n v="878"/>
    <s v="NOS"/>
    <x v="12"/>
    <n v="1000"/>
    <n v="5000"/>
    <n v="7.5832944287999995"/>
    <n v="1.2638824047999999"/>
    <n v="6.319412024"/>
    <n v="5498.9293098828966"/>
    <n v="6.9499999999999993"/>
    <n v="30.274999999999999"/>
    <n v="-6.9499999999999993"/>
    <e v="#DIV/0!"/>
  </r>
  <r>
    <n v="271"/>
    <s v="Hosur"/>
    <x v="8"/>
    <m/>
    <n v="188647"/>
    <n v="3191747"/>
    <s v="TUB-O-N-AUT-AW-FC-38.10X1.600X0.9300"/>
    <x v="4"/>
    <m/>
    <x v="1"/>
    <x v="1"/>
    <s v="ST52AL"/>
    <m/>
    <m/>
    <m/>
    <s v="38.1-0-1.6-ERW 2 MAHS-FC"/>
    <m/>
    <m/>
    <x v="14"/>
    <x v="24"/>
    <x v="0"/>
    <x v="0"/>
    <n v="930"/>
    <m/>
    <x v="30"/>
    <e v="#N/A"/>
    <e v="#N/A"/>
    <n v="0"/>
    <e v="#N/A"/>
    <e v="#N/A"/>
    <e v="#DIV/0!"/>
    <n v="0"/>
    <n v="30.274999999999999"/>
    <n v="7.5832944287999995"/>
    <e v="#N/A"/>
  </r>
  <r>
    <n v="293"/>
    <s v="Hosur"/>
    <x v="8"/>
    <m/>
    <n v="188647"/>
    <n v="3768902"/>
    <s v="CUT-O-N-AUT-AW-FC-38.10X2.000X0.2770 "/>
    <x v="0"/>
    <m/>
    <x v="3"/>
    <x v="1"/>
    <m/>
    <m/>
    <m/>
    <m/>
    <s v="38.1-0-2-ERW 1-"/>
    <m/>
    <m/>
    <x v="14"/>
    <x v="24"/>
    <x v="0"/>
    <x v="3"/>
    <n v="276.5"/>
    <m/>
    <x v="30"/>
    <e v="#N/A"/>
    <e v="#N/A"/>
    <n v="0"/>
    <e v="#N/A"/>
    <e v="#N/A"/>
    <e v="#DIV/0!"/>
    <n v="0"/>
    <n v="0"/>
    <n v="0"/>
    <e v="#N/A"/>
  </r>
  <r>
    <n v="272"/>
    <s v="Hosur"/>
    <x v="8"/>
    <m/>
    <n v="188647"/>
    <n v="3191748"/>
    <s v="TUB-O-N-AUT-AW-FC-38.10X2.000X0.9300"/>
    <x v="4"/>
    <m/>
    <x v="3"/>
    <x v="1"/>
    <s v="ST52AL"/>
    <m/>
    <m/>
    <m/>
    <s v="38.1-0-2-ERW 2 MAHS-"/>
    <m/>
    <m/>
    <x v="14"/>
    <x v="24"/>
    <x v="0"/>
    <x v="3"/>
    <n v="930"/>
    <m/>
    <x v="30"/>
    <e v="#N/A"/>
    <e v="#N/A"/>
    <n v="0"/>
    <e v="#N/A"/>
    <e v="#N/A"/>
    <e v="#DIV/0!"/>
    <n v="0"/>
    <n v="0"/>
    <n v="0"/>
    <e v="#N/A"/>
  </r>
  <r>
    <n v="284"/>
    <s v="JSR"/>
    <x v="8"/>
    <m/>
    <n v="188647"/>
    <n v="3768904"/>
    <s v="CUT-O-N-AUT-AW-FC-38.10X2.500X0.8780"/>
    <x v="4"/>
    <m/>
    <x v="1"/>
    <x v="1"/>
    <s v="ST52AL"/>
    <m/>
    <m/>
    <m/>
    <s v="38.1-0-2.5-ERW 2 MAHS-FC"/>
    <s v="38.1-0-2.5-ERW 2 MAHS-FC-0.878"/>
    <n v="1"/>
    <x v="14"/>
    <x v="24"/>
    <x v="0"/>
    <x v="11"/>
    <n v="878"/>
    <s v="NOS"/>
    <x v="12"/>
    <n v="0"/>
    <n v="6000"/>
    <n v="11.556732948000002"/>
    <n v="0"/>
    <n v="11.556732948000002"/>
    <n v="153.55152775310106"/>
    <n v="0.29575899999999999"/>
    <n v="17.571283000000001"/>
    <n v="-0.29575899999999999"/>
    <e v="#DIV/0!"/>
  </r>
  <r>
    <n v="288"/>
    <s v="Hosur"/>
    <x v="8"/>
    <m/>
    <n v="188647"/>
    <n v="3768905"/>
    <s v="CUT-R-AW-AUT-40.00X25.00X1.600X0.3220"/>
    <x v="0"/>
    <m/>
    <x v="1"/>
    <x v="0"/>
    <s v="KGR2"/>
    <m/>
    <m/>
    <m/>
    <s v="40-25-1.6-ERW 1-FC"/>
    <m/>
    <m/>
    <x v="15"/>
    <x v="15"/>
    <x v="4"/>
    <x v="0"/>
    <n v="322"/>
    <m/>
    <x v="30"/>
    <e v="#N/A"/>
    <e v="#N/A"/>
    <n v="0"/>
    <e v="#N/A"/>
    <e v="#N/A"/>
    <e v="#DIV/0!"/>
    <n v="0"/>
    <n v="25.909101"/>
    <n v="11.556732948000002"/>
    <e v="#N/A"/>
  </r>
  <r>
    <n v="282"/>
    <s v="Khopoli "/>
    <x v="8"/>
    <m/>
    <n v="188647"/>
    <n v="3768907"/>
    <s v="CUT-O-N-AUT-AW-FC-41.28X3.200X0.2460"/>
    <x v="0"/>
    <m/>
    <x v="1"/>
    <x v="1"/>
    <m/>
    <s v="Chamferring"/>
    <m/>
    <m/>
    <s v="41.28-0-3.2-ERW 1-FC"/>
    <s v="41.28-0-3.2-ERW 1-FC-0.246"/>
    <n v="1"/>
    <x v="15"/>
    <x v="27"/>
    <x v="0"/>
    <x v="9"/>
    <n v="246"/>
    <s v="NOS"/>
    <x v="3"/>
    <n v="0"/>
    <n v="8000"/>
    <n v="5.9111409745920005"/>
    <n v="0"/>
    <n v="5.9111409745920005"/>
    <n v="9.8539351794127015"/>
    <n v="7.2810000000000001E-3"/>
    <n v="24.452539999999999"/>
    <n v="-7.2810000000000001E-3"/>
    <e v="#DIV/0!"/>
  </r>
  <r>
    <n v="280"/>
    <s v="Khopoli "/>
    <x v="8"/>
    <m/>
    <n v="188647"/>
    <m/>
    <m/>
    <x v="0"/>
    <s v="Annealed"/>
    <x v="3"/>
    <x v="1"/>
    <m/>
    <m/>
    <m/>
    <m/>
    <s v="0-0-4-ERW 1-"/>
    <m/>
    <m/>
    <x v="16"/>
    <x v="28"/>
    <x v="0"/>
    <x v="12"/>
    <n v="266"/>
    <m/>
    <x v="30"/>
    <e v="#N/A"/>
    <e v="#N/A"/>
    <n v="0"/>
    <e v="#N/A"/>
    <e v="#N/A"/>
    <e v="#DIV/0!"/>
    <n v="0"/>
    <n v="0"/>
    <n v="5.9111409745920005"/>
    <e v="#N/A"/>
  </r>
  <r>
    <n v="270"/>
    <s v="Khopoli "/>
    <x v="8"/>
    <m/>
    <n v="188647"/>
    <n v="2417648"/>
    <s v="TUB-O-N-AUT-AN-FC-42.70X3.500X0.2100"/>
    <x v="0"/>
    <s v="Annealed"/>
    <x v="1"/>
    <x v="1"/>
    <m/>
    <m/>
    <m/>
    <m/>
    <s v="42.7-0-3.5-ERW 1-FC"/>
    <s v="42.7-0-3.5-ERW 1-FC-0.21"/>
    <n v="3"/>
    <x v="16"/>
    <x v="16"/>
    <x v="0"/>
    <x v="16"/>
    <n v="210"/>
    <s v="NOS"/>
    <x v="7"/>
    <n v="0"/>
    <n v="2000"/>
    <n v="1.420373976"/>
    <n v="0"/>
    <n v="1.420373976"/>
    <n v="6432.3510247135091"/>
    <n v="4.5681720000000006"/>
    <n v="68.508342000000013"/>
    <n v="-4.5681720000000006"/>
    <e v="#DIV/0!"/>
  </r>
  <r>
    <n v="390"/>
    <s v="Khopoli "/>
    <x v="8"/>
    <m/>
    <n v="188647"/>
    <n v="2396465"/>
    <s v="TUB-O-N-AUT-AN-FC-42.70X3.500X6.0000"/>
    <x v="2"/>
    <s v="Annealed"/>
    <x v="3"/>
    <x v="1"/>
    <m/>
    <m/>
    <m/>
    <m/>
    <s v="42.7-0-3.5-CEW-"/>
    <m/>
    <m/>
    <x v="16"/>
    <x v="16"/>
    <x v="0"/>
    <x v="16"/>
    <n v="6000"/>
    <m/>
    <x v="30"/>
    <e v="#N/A"/>
    <e v="#N/A"/>
    <n v="0"/>
    <e v="#N/A"/>
    <e v="#N/A"/>
    <e v="#DIV/0!"/>
    <n v="0"/>
    <n v="0"/>
    <n v="1.420373976"/>
    <e v="#N/A"/>
  </r>
  <r>
    <n v="269"/>
    <s v="Khopoli "/>
    <x v="8"/>
    <m/>
    <n v="188647"/>
    <n v="2428441"/>
    <s v="TUB-O-N-AUT-AN-FC-42.70X4.000X0.2350"/>
    <x v="0"/>
    <s v="Annealed"/>
    <x v="1"/>
    <x v="1"/>
    <m/>
    <s v="Chamferring"/>
    <m/>
    <m/>
    <s v="42.7-0-4-ERW 1-FC"/>
    <s v="42.7-0-4-ERW 1-FC-0.235"/>
    <n v="2"/>
    <x v="16"/>
    <x v="16"/>
    <x v="0"/>
    <x v="12"/>
    <n v="235"/>
    <s v="NOS"/>
    <x v="2"/>
    <n v="0"/>
    <n v="4000"/>
    <n v="3.5867252880000002"/>
    <n v="0"/>
    <n v="3.5867252880000002"/>
    <n v="2636.0702983395026"/>
    <n v="2.363715"/>
    <n v="91.265295999999992"/>
    <n v="-2.363715"/>
    <e v="#DIV/0!"/>
  </r>
  <r>
    <n v="389"/>
    <s v="Khopoli "/>
    <x v="8"/>
    <m/>
    <n v="188647"/>
    <n v="2426233"/>
    <s v="TUB-O-N-AUT-AN-FC-42.70X4.000X5.7300"/>
    <x v="2"/>
    <s v="Annealed"/>
    <x v="3"/>
    <x v="1"/>
    <m/>
    <m/>
    <m/>
    <m/>
    <s v="42.7-0-4-CEW-"/>
    <m/>
    <m/>
    <x v="16"/>
    <x v="16"/>
    <x v="0"/>
    <x v="12"/>
    <n v="5730"/>
    <m/>
    <x v="30"/>
    <e v="#N/A"/>
    <e v="#N/A"/>
    <n v="0"/>
    <e v="#N/A"/>
    <e v="#N/A"/>
    <e v="#DIV/0!"/>
    <n v="0"/>
    <n v="0"/>
    <n v="3.5867252880000002"/>
    <e v="#N/A"/>
  </r>
  <r>
    <n v="275"/>
    <s v="Hosur"/>
    <x v="8"/>
    <m/>
    <n v="188647"/>
    <n v="1940829"/>
    <s v="TUB-R-AW-RHS-40.00X30.00X1.600X0.3140"/>
    <x v="0"/>
    <m/>
    <x v="3"/>
    <x v="1"/>
    <m/>
    <m/>
    <m/>
    <m/>
    <s v="40-30-1.6-ERW 1-"/>
    <m/>
    <m/>
    <x v="17"/>
    <x v="15"/>
    <x v="1"/>
    <x v="0"/>
    <n v="314"/>
    <m/>
    <x v="30"/>
    <e v="#N/A"/>
    <e v="#N/A"/>
    <n v="0"/>
    <e v="#N/A"/>
    <e v="#N/A"/>
    <e v="#DIV/0!"/>
    <n v="0"/>
    <n v="0"/>
    <n v="0"/>
    <e v="#N/A"/>
  </r>
  <r>
    <n v="281"/>
    <s v="Hosur"/>
    <x v="8"/>
    <m/>
    <n v="188647"/>
    <n v="3712521"/>
    <s v="CUT-R-AW-RHS-40.00X30.00X1.600X0.8350"/>
    <x v="0"/>
    <m/>
    <x v="1"/>
    <x v="0"/>
    <s v="HROP"/>
    <m/>
    <m/>
    <m/>
    <s v="40-30-1.6-ERW 1-FC"/>
    <s v="40-30-1.6-ERW 1-FC-0.835"/>
    <n v="1"/>
    <x v="17"/>
    <x v="15"/>
    <x v="1"/>
    <x v="0"/>
    <n v="835"/>
    <s v="NOS"/>
    <x v="46"/>
    <n v="510"/>
    <n v="12490"/>
    <n v="18.344249201200004"/>
    <n v="0.71965900712400011"/>
    <n v="17.624590194076003"/>
    <n v="3714.1212623486949"/>
    <n v="5.2409819999999998"/>
    <n v="23.114797000000003"/>
    <n v="-5.2409819999999998"/>
    <e v="#DIV/0!"/>
  </r>
  <r>
    <n v="279"/>
    <s v="Hosur"/>
    <x v="8"/>
    <m/>
    <n v="188647"/>
    <n v="1940831"/>
    <s v="TUB-R-AW-RHS-40.00X30.00X1.600X0.8800"/>
    <x v="0"/>
    <m/>
    <x v="1"/>
    <x v="0"/>
    <s v="GR1"/>
    <m/>
    <m/>
    <m/>
    <s v="40-30-1.6-ERW 1-FC"/>
    <s v="40-30-1.6-ERW 1-FC-0.88"/>
    <n v="1"/>
    <x v="17"/>
    <x v="15"/>
    <x v="1"/>
    <x v="0"/>
    <n v="880"/>
    <s v="NOS"/>
    <x v="14"/>
    <n v="0"/>
    <n v="2500"/>
    <n v="3.7178579680000001"/>
    <n v="0"/>
    <n v="3.7178579680000001"/>
    <n v="0"/>
    <n v="0"/>
    <n v="23.114797000000003"/>
    <n v="18.344249201200004"/>
    <n v="0"/>
  </r>
  <r>
    <n v="265"/>
    <s v="Hosur"/>
    <x v="8"/>
    <m/>
    <n v="188647"/>
    <n v="2325421"/>
    <s v="TUB-O-N-AUT-AW-FC-48.60X1.200X0.3360"/>
    <x v="0"/>
    <m/>
    <x v="1"/>
    <x v="0"/>
    <m/>
    <m/>
    <m/>
    <m/>
    <s v="48.6-0-1.2-ERW 1-FC"/>
    <s v="48.6-0-1.2-ERW 1-FC-0.336"/>
    <n v="1"/>
    <x v="18"/>
    <x v="17"/>
    <x v="0"/>
    <x v="1"/>
    <n v="336"/>
    <s v="NOS"/>
    <x v="4"/>
    <n v="5980"/>
    <n v="4020"/>
    <n v="4.7108380032000001"/>
    <n v="2.8170811259136004"/>
    <n v="1.8937568772863997"/>
    <n v="9.7816991305365519"/>
    <n v="4.6079999999999992E-3"/>
    <n v="7.1516080000000004"/>
    <n v="3.713249968"/>
    <n v="0.7589556002946265"/>
  </r>
  <r>
    <n v="286"/>
    <s v="Hosur"/>
    <x v="8"/>
    <m/>
    <n v="188647"/>
    <n v="3768906"/>
    <s v="CUT-O-N-AUT-AW-AG-57.15X2.500X0.3460"/>
    <x v="0"/>
    <m/>
    <x v="1"/>
    <x v="1"/>
    <m/>
    <m/>
    <s v="AG"/>
    <m/>
    <s v="57.15-0-2.5-ERW 1-FC"/>
    <s v="57.15-0-2.5-ERW 1-FC-0.346"/>
    <m/>
    <x v="19"/>
    <x v="19"/>
    <x v="0"/>
    <x v="11"/>
    <n v="346"/>
    <s v="NOS"/>
    <x v="30"/>
    <n v="0"/>
    <n v="0"/>
    <n v="0"/>
    <n v="0"/>
    <n v="0"/>
    <e v="#DIV/0!"/>
    <n v="0"/>
    <n v="32.796514000000002"/>
    <n v="4.7108380032000001"/>
    <n v="0"/>
  </r>
  <r>
    <n v="287"/>
    <s v="Hosur"/>
    <x v="8"/>
    <m/>
    <n v="188647"/>
    <n v="2440972"/>
    <s v="TUB-O-N-AUT-AW-FC-57.15X2.500X0.3750"/>
    <x v="0"/>
    <m/>
    <x v="1"/>
    <x v="1"/>
    <m/>
    <m/>
    <m/>
    <m/>
    <s v="57.15-0-2.5-ERW 1-FC"/>
    <m/>
    <m/>
    <x v="19"/>
    <x v="19"/>
    <x v="0"/>
    <x v="11"/>
    <n v="375"/>
    <m/>
    <x v="30"/>
    <e v="#N/A"/>
    <e v="#N/A"/>
    <n v="0"/>
    <e v="#N/A"/>
    <e v="#N/A"/>
    <e v="#DIV/0!"/>
    <n v="0"/>
    <n v="32.796514000000002"/>
    <n v="0"/>
    <e v="#N/A"/>
  </r>
  <r>
    <n v="273"/>
    <s v="Hosur"/>
    <x v="8"/>
    <m/>
    <n v="188647"/>
    <n v="3542857"/>
    <s v="TUB-O-N-AUT-AW-AG-57.15X2.500X0.8120"/>
    <x v="0"/>
    <m/>
    <x v="3"/>
    <x v="1"/>
    <m/>
    <m/>
    <m/>
    <m/>
    <s v="57.15-0-2.5-ERW 1-"/>
    <m/>
    <m/>
    <x v="19"/>
    <x v="19"/>
    <x v="0"/>
    <x v="11"/>
    <n v="812"/>
    <m/>
    <x v="30"/>
    <e v="#N/A"/>
    <e v="#N/A"/>
    <n v="0"/>
    <e v="#N/A"/>
    <e v="#N/A"/>
    <e v="#DIV/0!"/>
    <n v="0"/>
    <n v="0"/>
    <n v="0"/>
    <e v="#N/A"/>
  </r>
  <r>
    <n v="285"/>
    <s v="Khopoli "/>
    <x v="8"/>
    <m/>
    <n v="188647"/>
    <n v="3768903"/>
    <s v="CUT-O-N-AUT-AW-FC-60.30X2.000X0.5250"/>
    <x v="0"/>
    <m/>
    <x v="1"/>
    <x v="1"/>
    <m/>
    <m/>
    <s v="AG"/>
    <m/>
    <s v="60.3-0-2-ERW 1-FC"/>
    <s v="60.3-0-2-ERW 1-FC-0.525"/>
    <n v="1"/>
    <x v="29"/>
    <x v="29"/>
    <x v="0"/>
    <x v="3"/>
    <n v="525"/>
    <s v="NOS"/>
    <x v="12"/>
    <n v="0"/>
    <n v="6000"/>
    <n v="9.0533312099999979"/>
    <n v="0"/>
    <n v="9.0533312099999979"/>
    <n v="0"/>
    <n v="0"/>
    <n v="105.48806500000002"/>
    <n v="0"/>
    <e v="#DIV/0!"/>
  </r>
  <r>
    <n v="392"/>
    <s v="Khopoli "/>
    <x v="9"/>
    <m/>
    <n v="187546"/>
    <n v="1938483"/>
    <s v="TUB-I-C-AUT-AD-FC-18.00X4.000X3.7000"/>
    <x v="2"/>
    <m/>
    <x v="3"/>
    <x v="1"/>
    <m/>
    <m/>
    <m/>
    <m/>
    <s v="26-18-4-CEW-"/>
    <m/>
    <m/>
    <x v="30"/>
    <x v="30"/>
    <x v="14"/>
    <x v="12"/>
    <n v="3700"/>
    <m/>
    <x v="30"/>
    <e v="#N/A"/>
    <e v="#N/A"/>
    <n v="0"/>
    <e v="#N/A"/>
    <e v="#N/A"/>
    <e v="#DIV/0!"/>
    <n v="0"/>
    <n v="0"/>
    <n v="9.0533312099999979"/>
    <e v="#N/A"/>
  </r>
  <r>
    <n v="296"/>
    <s v="Khopoli "/>
    <x v="9"/>
    <m/>
    <n v="187546"/>
    <n v="2418610"/>
    <s v="TUB-O-C-AUT-AD-FC-25.40X3.500X.24700"/>
    <x v="2"/>
    <m/>
    <x v="2"/>
    <x v="2"/>
    <m/>
    <m/>
    <m/>
    <m/>
    <s v="25.4-18.4-3.5-CEW-CEW"/>
    <s v="25.4-18.4-3.5-CEW-CEW-0.247"/>
    <n v="1"/>
    <x v="3"/>
    <x v="3"/>
    <x v="15"/>
    <x v="16"/>
    <n v="247"/>
    <s v="NOS"/>
    <x v="21"/>
    <n v="215"/>
    <n v="33785"/>
    <n v="15.8667264483"/>
    <n v="0.10033371136425"/>
    <n v="15.766392736935749"/>
    <n v="1333.1135485899988"/>
    <n v="0.62212199999999995"/>
    <n v="72.619300999999993"/>
    <n v="-0.62212199999999995"/>
    <e v="#DIV/0!"/>
  </r>
  <r>
    <n v="297"/>
    <s v="Khopoli "/>
    <x v="9"/>
    <m/>
    <n v="187546"/>
    <n v="2418610"/>
    <s v="TUB-O-C-AUT-AD-FC-25.40X3.500X.26300"/>
    <x v="2"/>
    <m/>
    <x v="2"/>
    <x v="2"/>
    <m/>
    <m/>
    <m/>
    <m/>
    <s v="25.4-18.4-3.5-CEW-CEW"/>
    <s v="25.4-18.4-3.5-CEW-CEW-0.263"/>
    <n v="1"/>
    <x v="3"/>
    <x v="3"/>
    <x v="15"/>
    <x v="16"/>
    <n v="263"/>
    <s v="NOS"/>
    <x v="31"/>
    <n v="0"/>
    <n v="20000"/>
    <n v="9.9379591709999993"/>
    <n v="0"/>
    <n v="9.9379591709999993"/>
    <n v="0"/>
    <n v="0"/>
    <n v="72.619300999999993"/>
    <n v="15.8667264483"/>
    <n v="0"/>
  </r>
  <r>
    <n v="395"/>
    <s v="Khopoli "/>
    <x v="9"/>
    <m/>
    <n v="187546"/>
    <n v="2418610"/>
    <s v="TUB-O-C-AUT-AD-FC-25.40X3.500X04-05"/>
    <x v="2"/>
    <m/>
    <x v="3"/>
    <x v="1"/>
    <m/>
    <m/>
    <m/>
    <m/>
    <s v="25.4-18.4-3.5-CEW-"/>
    <m/>
    <m/>
    <x v="3"/>
    <x v="3"/>
    <x v="15"/>
    <x v="16"/>
    <n v="4500"/>
    <m/>
    <x v="30"/>
    <e v="#N/A"/>
    <e v="#N/A"/>
    <n v="0"/>
    <e v="#N/A"/>
    <e v="#N/A"/>
    <e v="#DIV/0!"/>
    <n v="0"/>
    <n v="0"/>
    <n v="9.9379591709999993"/>
    <e v="#N/A"/>
  </r>
  <r>
    <n v="393"/>
    <s v="Khopoli "/>
    <x v="9"/>
    <m/>
    <n v="187546"/>
    <n v="2426241"/>
    <s v="TUB-O-C-AUT-AD-FC-25.60X4.500X4.2000"/>
    <x v="2"/>
    <m/>
    <x v="3"/>
    <x v="1"/>
    <m/>
    <m/>
    <m/>
    <m/>
    <s v="25.6-16.6-4.5-CEW-"/>
    <m/>
    <m/>
    <x v="31"/>
    <x v="31"/>
    <x v="16"/>
    <x v="14"/>
    <n v="4200"/>
    <m/>
    <x v="30"/>
    <e v="#N/A"/>
    <e v="#N/A"/>
    <n v="0"/>
    <e v="#N/A"/>
    <e v="#N/A"/>
    <e v="#DIV/0!"/>
    <n v="0"/>
    <n v="0"/>
    <n v="0"/>
    <e v="#N/A"/>
  </r>
  <r>
    <n v="391"/>
    <s v="Khopoli "/>
    <x v="9"/>
    <m/>
    <n v="187546"/>
    <n v="3190072"/>
    <s v="TUB-O-C-AUT-AD-FC-29.40X4.500X0.3570"/>
    <x v="2"/>
    <m/>
    <x v="2"/>
    <x v="1"/>
    <m/>
    <s v="Chamferring"/>
    <m/>
    <m/>
    <s v="29.4-20.4-4.5-CEW-CEW"/>
    <s v="29.4-20.4-4.5-CEW-CEW-0.357"/>
    <n v="1"/>
    <x v="21"/>
    <x v="20"/>
    <x v="6"/>
    <x v="14"/>
    <n v="357"/>
    <s v="NOS"/>
    <x v="31"/>
    <n v="0"/>
    <n v="20000"/>
    <n v="19.720112012999998"/>
    <n v="0"/>
    <n v="19.720112012999998"/>
    <n v="0"/>
    <n v="0"/>
    <n v="1.4608460000000003"/>
    <n v="0"/>
    <e v="#DIV/0!"/>
  </r>
  <r>
    <n v="295"/>
    <s v="Khopoli "/>
    <x v="9"/>
    <m/>
    <n v="187546"/>
    <n v="1941303"/>
    <s v="TUB-O-C-AUT-AD-FC-29.40X4.500X0.3610"/>
    <x v="3"/>
    <m/>
    <x v="2"/>
    <x v="1"/>
    <m/>
    <s v="Chamferring"/>
    <m/>
    <m/>
    <s v="29.4-20.4-4.5-CEW STKM 13C-CEW"/>
    <s v="29.4-20.4-4.5-CEW STKM 13C-CEW-0.361"/>
    <n v="2"/>
    <x v="21"/>
    <x v="20"/>
    <x v="6"/>
    <x v="14"/>
    <n v="361"/>
    <s v="NOS"/>
    <x v="4"/>
    <n v="3170"/>
    <n v="6830"/>
    <n v="9.9705328244999976"/>
    <n v="3.1606589053664997"/>
    <n v="6.8098739191334978"/>
    <n v="3477.1822740314383"/>
    <n v="3.466936"/>
    <n v="30.485330000000001"/>
    <n v="16.253176012999997"/>
    <n v="0.33608302533968476"/>
  </r>
  <r>
    <n v="394"/>
    <s v="Khopoli "/>
    <x v="9"/>
    <m/>
    <n v="187546"/>
    <n v="1939872"/>
    <s v="TUB-O-C-CEW-AD-FC-32.00X4.500X3.3000"/>
    <x v="2"/>
    <m/>
    <x v="3"/>
    <x v="1"/>
    <m/>
    <m/>
    <m/>
    <m/>
    <s v="32-0-4.5-CEW-"/>
    <m/>
    <m/>
    <x v="32"/>
    <x v="32"/>
    <x v="0"/>
    <x v="14"/>
    <n v="3300"/>
    <m/>
    <x v="30"/>
    <e v="#N/A"/>
    <e v="#N/A"/>
    <n v="0"/>
    <e v="#N/A"/>
    <e v="#N/A"/>
    <e v="#DIV/0!"/>
    <n v="0"/>
    <n v="0"/>
    <n v="9.9705328244999976"/>
    <e v="#N/A"/>
  </r>
  <r>
    <n v="397"/>
    <s v="Khopoli "/>
    <x v="10"/>
    <m/>
    <n v="189226"/>
    <n v="1931824"/>
    <s v="TUB-O-N-AUT-AW-PE-17.30X1.200X6.0000"/>
    <x v="2"/>
    <m/>
    <x v="3"/>
    <x v="1"/>
    <m/>
    <m/>
    <m/>
    <m/>
    <s v="17.3-0-1.2-CEW-"/>
    <m/>
    <m/>
    <x v="7"/>
    <x v="7"/>
    <x v="0"/>
    <x v="1"/>
    <n v="6000"/>
    <m/>
    <x v="30"/>
    <e v="#N/A"/>
    <e v="#N/A"/>
    <n v="0"/>
    <e v="#N/A"/>
    <e v="#N/A"/>
    <e v="#DIV/0!"/>
    <n v="0"/>
    <n v="0"/>
    <m/>
    <m/>
  </r>
  <r>
    <n v="398"/>
    <s v="Khopoli "/>
    <x v="10"/>
    <m/>
    <n v="189226"/>
    <n v="2397139"/>
    <s v="TUB-O-N-AUT-AN-FC-54.00X3.000X5.7500"/>
    <x v="6"/>
    <m/>
    <x v="1"/>
    <x v="1"/>
    <m/>
    <m/>
    <m/>
    <m/>
    <s v="54-0-3-ERW 2-FC"/>
    <m/>
    <m/>
    <x v="33"/>
    <x v="33"/>
    <x v="0"/>
    <x v="22"/>
    <n v="5750"/>
    <m/>
    <x v="30"/>
    <e v="#N/A"/>
    <e v="#N/A"/>
    <n v="0"/>
    <e v="#N/A"/>
    <e v="#N/A"/>
    <e v="#DIV/0!"/>
    <n v="0"/>
    <n v="37.081592000000001"/>
    <n v="0"/>
    <e v="#N/A"/>
  </r>
  <r>
    <n v="399"/>
    <s v="Khopoli "/>
    <x v="10"/>
    <m/>
    <n v="189226"/>
    <n v="2429289"/>
    <s v="TUB-O-N-AUT-AN-FC-63.50X4.000X5.0600"/>
    <x v="0"/>
    <s v="Annealed"/>
    <x v="1"/>
    <x v="1"/>
    <m/>
    <m/>
    <m/>
    <m/>
    <s v="63.5-0-4-ERW 1-FC"/>
    <m/>
    <m/>
    <x v="34"/>
    <x v="34"/>
    <x v="0"/>
    <x v="12"/>
    <n v="5060"/>
    <m/>
    <x v="30"/>
    <e v="#N/A"/>
    <e v="#N/A"/>
    <n v="0"/>
    <e v="#N/A"/>
    <e v="#N/A"/>
    <e v="#DIV/0!"/>
    <n v="0"/>
    <n v="26.162720999999998"/>
    <n v="0"/>
    <e v="#N/A"/>
  </r>
  <r>
    <n v="400"/>
    <s v="Khopoli "/>
    <x v="10"/>
    <m/>
    <n v="189226"/>
    <n v="3557967"/>
    <s v="TUB-O-N-AUT-AN-FC-70.00X3.200X6.4550"/>
    <x v="6"/>
    <m/>
    <x v="1"/>
    <x v="1"/>
    <m/>
    <m/>
    <m/>
    <m/>
    <s v="70-0-3.2-ERW 2-FC"/>
    <m/>
    <m/>
    <x v="35"/>
    <x v="35"/>
    <x v="0"/>
    <x v="9"/>
    <n v="6455"/>
    <m/>
    <x v="30"/>
    <e v="#N/A"/>
    <e v="#N/A"/>
    <n v="0"/>
    <e v="#N/A"/>
    <e v="#N/A"/>
    <e v="#DIV/0!"/>
    <n v="0"/>
    <n v="67.981882000000013"/>
    <n v="0"/>
    <e v="#N/A"/>
  </r>
  <r>
    <n v="64"/>
    <s v="Hosur"/>
    <x v="11"/>
    <m/>
    <s v="930801|189227"/>
    <n v="1940019"/>
    <s v="TUB-O-O-GEN-AW-PE-15.88X1.000X0.1400"/>
    <x v="0"/>
    <m/>
    <x v="0"/>
    <x v="0"/>
    <m/>
    <m/>
    <m/>
    <m/>
    <s v="15.88-0-1-ERW 1-PE"/>
    <s v="15.88-0-1-ERW 1-PE-0.14"/>
    <n v="1"/>
    <x v="1"/>
    <x v="1"/>
    <x v="0"/>
    <x v="2"/>
    <n v="140"/>
    <s v="NOS"/>
    <x v="2"/>
    <n v="0"/>
    <n v="4000"/>
    <n v="0.2053951872"/>
    <n v="0"/>
    <n v="0.2053951872"/>
    <n v="155.79722405491691"/>
    <n v="8.0000000000000002E-3"/>
    <n v="10.207096"/>
    <n v="0.19739518719999999"/>
    <n v="3.8949306013729229E-2"/>
  </r>
  <r>
    <n v="70"/>
    <s v="Khopoli "/>
    <x v="11"/>
    <m/>
    <s v="930801|189227"/>
    <n v="1938195"/>
    <s v="TUB-O-N-AUT-AW-PE-17.30X1.200X0.1500"/>
    <x v="0"/>
    <m/>
    <x v="0"/>
    <x v="0"/>
    <m/>
    <m/>
    <m/>
    <m/>
    <s v="17.3-0-1.2-ERW 1-PE"/>
    <s v="17.3-0-1.2-ERW 1-PE-0.15"/>
    <n v="2"/>
    <x v="7"/>
    <x v="7"/>
    <x v="0"/>
    <x v="1"/>
    <n v="150"/>
    <s v="NOS"/>
    <x v="47"/>
    <n v="0"/>
    <n v="30000"/>
    <n v="2.1429840600000007"/>
    <n v="0"/>
    <n v="2.1429840600000007"/>
    <n v="10481.109224862827"/>
    <n v="0.748695"/>
    <n v="12.362344999999998"/>
    <n v="1.3942890600000006"/>
    <n v="0.34937030749542752"/>
  </r>
  <r>
    <n v="71"/>
    <s v="Khopoli "/>
    <x v="11"/>
    <m/>
    <s v="930801|189227"/>
    <n v="1938116"/>
    <s v="TUB-O-N-GEN-AW-PE-18.20X1.000X0.1100"/>
    <x v="0"/>
    <m/>
    <x v="0"/>
    <x v="0"/>
    <m/>
    <m/>
    <m/>
    <m/>
    <s v="18.2-0-1-ERW 1-PE"/>
    <s v="18.2-0-1-ERW 1-PE-0.11"/>
    <n v="1"/>
    <x v="36"/>
    <x v="36"/>
    <x v="0"/>
    <x v="2"/>
    <n v="110"/>
    <s v="NOS"/>
    <x v="47"/>
    <n v="3000"/>
    <n v="27000"/>
    <n v="1.3990772399999998"/>
    <n v="0.13990772400000001"/>
    <n v="1.2591695159999998"/>
    <n v="0"/>
    <n v="0"/>
    <n v="4.5705260000000001"/>
    <n v="1.3990772399999998"/>
    <n v="0.10000000000000002"/>
  </r>
  <r>
    <n v="73"/>
    <s v="Khopoli "/>
    <x v="11"/>
    <m/>
    <s v="930801|189227"/>
    <n v="1938117"/>
    <s v="TUB-O-N-GEN-AW-PE-18.20X1.000X0.1450"/>
    <x v="0"/>
    <m/>
    <x v="0"/>
    <x v="0"/>
    <m/>
    <m/>
    <m/>
    <m/>
    <s v="18.2-0-1-ERW 1-PE"/>
    <s v="18.2-0-1-ERW 1-PE-0.145"/>
    <n v="1"/>
    <x v="36"/>
    <x v="36"/>
    <x v="0"/>
    <x v="2"/>
    <n v="145"/>
    <s v="NOS"/>
    <x v="47"/>
    <n v="850"/>
    <n v="29150"/>
    <n v="1.8442381800000001"/>
    <n v="5.2253415099999999E-2"/>
    <n v="1.7919847649"/>
    <n v="0"/>
    <n v="0"/>
    <n v="4.5705260000000001"/>
    <n v="1.8442381800000001"/>
    <n v="2.8333333333333332E-2"/>
  </r>
  <r>
    <n v="81"/>
    <s v="Khopoli "/>
    <x v="11"/>
    <m/>
    <s v="930801|189227"/>
    <n v="2439536"/>
    <s v="TUB-O-C-AUT-AD-FC-20.00X3.800X04-05"/>
    <x v="2"/>
    <m/>
    <x v="2"/>
    <x v="1"/>
    <m/>
    <m/>
    <m/>
    <m/>
    <s v="20-12.4-3.8-CEW-CEW"/>
    <s v="20-12.4-3.8-CEW-CEW"/>
    <n v="1"/>
    <x v="37"/>
    <x v="37"/>
    <x v="17"/>
    <x v="23"/>
    <n v="1000"/>
    <s v="M"/>
    <x v="6"/>
    <n v="0"/>
    <n v="5000"/>
    <n v="7.5869621999999994"/>
    <n v="0"/>
    <n v="7.5869621999999994"/>
    <n v="16691.480946089338"/>
    <n v="25.327527000000003"/>
    <n v="25.327527000000003"/>
    <n v="-17.740564800000005"/>
    <n v="3.3382961892178673"/>
  </r>
  <r>
    <n v="83"/>
    <s v="Khopoli "/>
    <x v="11"/>
    <m/>
    <s v="930801|189227"/>
    <n v="2439535"/>
    <s v="TUB-O-C-AUT-AD-FC-20.00X4.500X04-05"/>
    <x v="2"/>
    <m/>
    <x v="2"/>
    <x v="1"/>
    <m/>
    <m/>
    <m/>
    <m/>
    <s v="20-12.4-4.5-CEW-CEW"/>
    <s v="20-12.4-4.5-CEW-CEW"/>
    <n v="1"/>
    <x v="37"/>
    <x v="37"/>
    <x v="17"/>
    <x v="14"/>
    <n v="1000"/>
    <s v="M"/>
    <x v="48"/>
    <n v="0"/>
    <n v="3500"/>
    <n v="6.0174371250000007"/>
    <n v="0"/>
    <n v="6.0174371250000007"/>
    <n v="6377.180634022825"/>
    <n v="10.964080999999998"/>
    <n v="10.964080999999998"/>
    <n v="-4.9466438749999977"/>
    <n v="1.8220516097208073"/>
  </r>
  <r>
    <n v="86"/>
    <s v="Hosur"/>
    <x v="11"/>
    <m/>
    <s v="930801|189227"/>
    <n v="1940357"/>
    <s v="TUB-O-O-AUT-AW-PE-22.23X1.200X0.1400"/>
    <x v="0"/>
    <m/>
    <x v="0"/>
    <x v="0"/>
    <m/>
    <m/>
    <m/>
    <m/>
    <s v="22.23-0-1.2-ERW 1-PE"/>
    <s v="22.23-0-1.2-ERW 1-PE-0.14"/>
    <n v="1"/>
    <x v="8"/>
    <x v="8"/>
    <x v="0"/>
    <x v="1"/>
    <n v="140"/>
    <s v="NOS"/>
    <x v="2"/>
    <n v="0"/>
    <n v="4000"/>
    <n v="0.34834361184000001"/>
    <n v="0"/>
    <n v="0.34834361184000001"/>
    <n v="314.18403059525446"/>
    <n v="2.7361E-2"/>
    <n v="6.2558429999999996"/>
    <n v="5.9900761250000008"/>
    <n v="7.8546007648813615E-2"/>
  </r>
  <r>
    <n v="88"/>
    <s v="Hosur"/>
    <x v="11"/>
    <m/>
    <s v="930801|189227"/>
    <n v="1938251"/>
    <s v="TUB-O-N-AUT-AW-PE-22.23X1.600X0.3940"/>
    <x v="0"/>
    <m/>
    <x v="0"/>
    <x v="0"/>
    <s v="D"/>
    <m/>
    <m/>
    <m/>
    <s v="22.23-0-1.6-ERW 1-PE"/>
    <s v="22.23-0-1.6-ERW 1-PE-0.394"/>
    <n v="3"/>
    <x v="8"/>
    <x v="8"/>
    <x v="0"/>
    <x v="0"/>
    <n v="394"/>
    <s v="NOS"/>
    <x v="12"/>
    <n v="2075"/>
    <n v="3925"/>
    <n v="1.9233839498880001"/>
    <n v="0.6651702826696001"/>
    <n v="1.2582136672184001"/>
    <n v="179.06253196095091"/>
    <n v="5.7401000000000001E-2"/>
    <n v="68.25120299999999"/>
    <n v="1.8659829498880001"/>
    <n v="0.37567708866015853"/>
  </r>
  <r>
    <n v="89"/>
    <s v="Hosur"/>
    <x v="11"/>
    <m/>
    <s v="930801|189227"/>
    <n v="2427960"/>
    <s v="TUB-O-N-AUT-AW-PE-22.23X1.600X0.6700"/>
    <x v="0"/>
    <m/>
    <x v="0"/>
    <x v="0"/>
    <s v="HROP"/>
    <m/>
    <m/>
    <m/>
    <s v="22.23-0-1.6-ERW 1-PE"/>
    <s v="22.23-0-1.6-ERW 1-PE-0.67"/>
    <n v="2"/>
    <x v="8"/>
    <x v="8"/>
    <x v="0"/>
    <x v="0"/>
    <n v="670"/>
    <s v="NOS"/>
    <x v="20"/>
    <n v="0"/>
    <n v="14000"/>
    <n v="7.6317011209599999"/>
    <n v="0"/>
    <n v="7.6317011209599999"/>
    <n v="17.463996281766672"/>
    <n v="9.5199999999999989E-3"/>
    <n v="68.25120299999999"/>
    <n v="7.6221811209599997"/>
    <n v="1.2474283058404767E-3"/>
  </r>
  <r>
    <n v="90"/>
    <s v="Hosur"/>
    <x v="11"/>
    <m/>
    <s v="930801|189227"/>
    <n v="2427939"/>
    <s v="TUB-O-N-AUT-AW-PE-22.23X1.600X0.6750"/>
    <x v="0"/>
    <m/>
    <x v="0"/>
    <x v="0"/>
    <s v="HROP"/>
    <m/>
    <s v="AG"/>
    <m/>
    <s v="22.23-0-1.6-ERW 1-PE"/>
    <s v="22.23-0-1.6-ERW 1-PE-0.675"/>
    <n v="2"/>
    <x v="8"/>
    <x v="8"/>
    <x v="0"/>
    <x v="0"/>
    <n v="675"/>
    <s v="NOS"/>
    <x v="20"/>
    <n v="0"/>
    <n v="14000"/>
    <n v="7.6886541144000002"/>
    <n v="0"/>
    <n v="7.6886541144000002"/>
    <n v="0"/>
    <n v="0"/>
    <n v="68.25120299999999"/>
    <n v="7.6886541144000002"/>
    <n v="0"/>
  </r>
  <r>
    <n v="91"/>
    <s v="Hosur"/>
    <x v="11"/>
    <m/>
    <s v="930801|189227"/>
    <n v="1940408"/>
    <s v="TUB-O-O-AUT-AW-PE-22.23X1.600X0.8090"/>
    <x v="0"/>
    <m/>
    <x v="0"/>
    <x v="0"/>
    <s v="GR1"/>
    <m/>
    <m/>
    <m/>
    <s v="22.23-0-1.6-ERW 1-PE"/>
    <s v="22.23-0-1.6-ERW 1-PE-0.809"/>
    <n v="2"/>
    <x v="8"/>
    <x v="8"/>
    <x v="0"/>
    <x v="0"/>
    <n v="809"/>
    <s v="NOS"/>
    <x v="7"/>
    <n v="275"/>
    <n v="1725"/>
    <n v="1.3164277626559999"/>
    <n v="0.1810088173652"/>
    <n v="1.1354189452907999"/>
    <n v="4135.4339025912732"/>
    <n v="2.722"/>
    <n v="68.25120299999999"/>
    <n v="-1.4055722373440001"/>
    <n v="2.2052169512956366"/>
  </r>
  <r>
    <n v="94"/>
    <s v="Hosur"/>
    <x v="11"/>
    <m/>
    <s v="930801|189227"/>
    <n v="1940437"/>
    <s v="TUB-O-O-AUT-AW-PE-22.23X2.000X0.3940"/>
    <x v="0"/>
    <m/>
    <x v="0"/>
    <x v="1"/>
    <m/>
    <m/>
    <m/>
    <m/>
    <s v="22.23-0-2-ERW 1-PE"/>
    <s v="22.23-0-2-ERW 1-PE-0.394"/>
    <n v="2"/>
    <x v="8"/>
    <x v="8"/>
    <x v="0"/>
    <x v="3"/>
    <n v="394"/>
    <s v="NOS"/>
    <x v="49"/>
    <n v="2925"/>
    <n v="12075"/>
    <n v="5.8940343714000001"/>
    <n v="1.1493367024229999"/>
    <n v="4.7446976689770004"/>
    <n v="6946.3566752623301"/>
    <n v="2.7294710000000002"/>
    <n v="45.493454"/>
    <n v="3.1645633713999999"/>
    <n v="0.65809044501748859"/>
  </r>
  <r>
    <n v="95"/>
    <s v="Hosur"/>
    <x v="11"/>
    <m/>
    <s v="930801|189227"/>
    <n v="1940466"/>
    <s v="TUB-O-O-AUT-AW-PE-22.23X2.000X0.8090"/>
    <x v="0"/>
    <m/>
    <x v="0"/>
    <x v="1"/>
    <m/>
    <m/>
    <m/>
    <m/>
    <s v="22.23-0-2-ERW 1-PE"/>
    <s v="22.23-0-2-ERW 1-PE-0.809"/>
    <n v="2"/>
    <x v="8"/>
    <x v="8"/>
    <x v="0"/>
    <x v="3"/>
    <n v="809"/>
    <s v="NOS"/>
    <x v="12"/>
    <n v="3000"/>
    <n v="3000"/>
    <n v="4.8408871131600009"/>
    <n v="2.4204435565800004"/>
    <n v="2.4204435565800004"/>
    <n v="9083.3119988407925"/>
    <n v="7.3285479999999996"/>
    <n v="45.493454"/>
    <n v="-2.4876608868399988"/>
    <n v="2.0138853331401321"/>
  </r>
  <r>
    <n v="101"/>
    <s v="Hosur"/>
    <x v="11"/>
    <m/>
    <s v="930801|189227"/>
    <m/>
    <s v="TUB-O-O-AUT-AW-PE-25.40X2.00X0.4120"/>
    <x v="0"/>
    <m/>
    <x v="0"/>
    <x v="1"/>
    <m/>
    <m/>
    <m/>
    <m/>
    <s v="25.4-0-2-ERW 1-PE"/>
    <s v="25.4-0-2-ERW 1-PE-0.412"/>
    <n v="1"/>
    <x v="3"/>
    <x v="3"/>
    <x v="0"/>
    <x v="3"/>
    <n v="412"/>
    <s v="NOS"/>
    <x v="3"/>
    <n v="0"/>
    <n v="8000"/>
    <n v="3.8021772672000003"/>
    <n v="0"/>
    <n v="3.8021772672000003"/>
    <n v="0"/>
    <n v="0"/>
    <n v="0"/>
    <n v="4.8408871131600009"/>
    <n v="0"/>
  </r>
  <r>
    <n v="102"/>
    <s v="Khopoli "/>
    <x v="11"/>
    <m/>
    <s v="930801|189227"/>
    <n v="2410997"/>
    <s v="TUB-O-C-AUT-AD-FC-25.40X3.200X04-05"/>
    <x v="2"/>
    <m/>
    <x v="2"/>
    <x v="1"/>
    <m/>
    <m/>
    <m/>
    <m/>
    <s v="25.4-19-3.2-CEW-CEW"/>
    <s v="25.4-19-3.2-CEW-CEW"/>
    <n v="1"/>
    <x v="3"/>
    <x v="3"/>
    <x v="8"/>
    <x v="9"/>
    <n v="1000"/>
    <s v="M"/>
    <x v="48"/>
    <n v="0"/>
    <n v="3500"/>
    <n v="6.1287273600000001"/>
    <n v="0"/>
    <n v="6.1287273600000001"/>
    <n v="14015.633092218348"/>
    <n v="24.542283999999999"/>
    <n v="24.542283999999999"/>
    <n v="-20.740106732799998"/>
    <n v="4.0044665977766707"/>
  </r>
  <r>
    <n v="105"/>
    <s v="Hosur"/>
    <x v="11"/>
    <m/>
    <s v="930801|189227"/>
    <n v="1933557"/>
    <s v="TUB-O-N-AUT-AW-PE-28.58X1.600X0.8450"/>
    <x v="0"/>
    <m/>
    <x v="0"/>
    <x v="0"/>
    <s v="ST52AL"/>
    <m/>
    <m/>
    <m/>
    <s v="28.58-0-1.6-ERW 1-PE"/>
    <s v="28.58-0-1.6-ERW 1-PE-0.845"/>
    <n v="0"/>
    <x v="9"/>
    <x v="9"/>
    <x v="0"/>
    <x v="0"/>
    <n v="845"/>
    <s v="NOS"/>
    <x v="50"/>
    <n v="0"/>
    <n v="100"/>
    <n v="8.9912058704E-2"/>
    <n v="0"/>
    <n v="8.9912058704E-2"/>
    <n v="0"/>
    <n v="0"/>
    <n v="0"/>
    <n v="6.1287273600000001"/>
    <n v="0"/>
  </r>
  <r>
    <n v="58"/>
    <s v="Hosur"/>
    <x v="11"/>
    <m/>
    <n v="189227"/>
    <n v="2410993"/>
    <s v="TUB-O-C-AUT-AD-FC-33.30X2.000X04-05"/>
    <x v="2"/>
    <m/>
    <x v="3"/>
    <x v="1"/>
    <m/>
    <m/>
    <m/>
    <m/>
    <s v="2.29999955264502-29.3-2-CEW-"/>
    <m/>
    <m/>
    <x v="38"/>
    <x v="38"/>
    <x v="18"/>
    <x v="3"/>
    <n v="4500"/>
    <m/>
    <x v="30"/>
    <e v="#N/A"/>
    <e v="#N/A"/>
    <n v="0"/>
    <e v="#N/A"/>
    <e v="#N/A"/>
    <e v="#DIV/0!"/>
    <n v="0"/>
    <n v="0"/>
    <n v="8.9912058704E-2"/>
    <e v="#N/A"/>
  </r>
  <r>
    <n v="110"/>
    <s v="Hosur"/>
    <x v="11"/>
    <m/>
    <s v="930801|189227"/>
    <n v="1940731"/>
    <s v="TUB-O-O-AUT-AW-FC-38.10X1.600X0.8120"/>
    <x v="0"/>
    <m/>
    <x v="1"/>
    <x v="1"/>
    <s v="GR1"/>
    <m/>
    <m/>
    <m/>
    <s v="38.1-0-1.6-ERW 1-FC"/>
    <s v="38.1-0-1.6-ERW 1-FC-0.812"/>
    <n v="2"/>
    <x v="14"/>
    <x v="24"/>
    <x v="0"/>
    <x v="0"/>
    <n v="812"/>
    <s v="NOS"/>
    <x v="7"/>
    <n v="0"/>
    <n v="2000"/>
    <n v="2.3377505984"/>
    <n v="0"/>
    <n v="2.3377505984"/>
    <n v="44.245096149603022"/>
    <n v="5.1716999999999999E-2"/>
    <n v="13.630224999999999"/>
    <n v="-5.1716999999999999E-2"/>
    <n v="2.2122548074801511E-2"/>
  </r>
  <r>
    <n v="114"/>
    <s v="Hosur"/>
    <x v="11"/>
    <m/>
    <s v="930801|189227"/>
    <n v="3509030"/>
    <s v="TUB-O-N-AUT-AW-PE-38.10X2.000X0.4060"/>
    <x v="0"/>
    <m/>
    <x v="1"/>
    <x v="1"/>
    <m/>
    <m/>
    <m/>
    <m/>
    <s v="38.1-0-2-ERW 1-FC"/>
    <s v="38.1-0-2-ERW 1-FC-0.406"/>
    <n v="0"/>
    <x v="14"/>
    <x v="24"/>
    <x v="0"/>
    <x v="3"/>
    <n v="406"/>
    <s v="NOS"/>
    <x v="12"/>
    <n v="0"/>
    <n v="6000"/>
    <n v="4.3352464008000009"/>
    <n v="0"/>
    <n v="4.3352464008000009"/>
    <n v="0"/>
    <n v="0"/>
    <n v="52.918269000000002"/>
    <n v="2.3377505984"/>
    <n v="0"/>
  </r>
  <r>
    <n v="117"/>
    <s v="Hosur"/>
    <x v="11"/>
    <m/>
    <s v="930801|189227"/>
    <n v="1940743"/>
    <s v="TUB-O-O-AUT-AW-FC-38.10X2.000X0.8120"/>
    <x v="0"/>
    <m/>
    <x v="1"/>
    <x v="1"/>
    <m/>
    <m/>
    <m/>
    <m/>
    <s v="38.1-0-2-ERW 1-FC"/>
    <s v="38.1-0-2-ERW 1-FC-0.812"/>
    <n v="2"/>
    <x v="14"/>
    <x v="24"/>
    <x v="0"/>
    <x v="3"/>
    <n v="812"/>
    <s v="NOS"/>
    <x v="7"/>
    <n v="0"/>
    <n v="2000"/>
    <n v="2.8901642672000003"/>
    <n v="0"/>
    <n v="2.8901642672000003"/>
    <n v="394.25025522992183"/>
    <n v="0.56972400000000001"/>
    <n v="52.918269000000002"/>
    <n v="3.765522400800001"/>
    <n v="0.1971251276149609"/>
  </r>
  <r>
    <n v="121"/>
    <s v="JSR"/>
    <x v="11"/>
    <m/>
    <s v="930801|189227"/>
    <n v="1568170"/>
    <s v="TUB-O-N-AUT-BH-FC-48.60X3.500X0.1960"/>
    <x v="0"/>
    <s v="Annealed"/>
    <x v="1"/>
    <x v="1"/>
    <m/>
    <s v="Chamferring"/>
    <m/>
    <m/>
    <s v="48.6-0-3.5-ERW 1-FC"/>
    <s v="48.6-0-3.5-ERW 1-FC-0.196"/>
    <n v="2"/>
    <x v="18"/>
    <x v="17"/>
    <x v="0"/>
    <x v="16"/>
    <n v="196"/>
    <s v="NOS"/>
    <x v="4"/>
    <n v="0"/>
    <n v="10000"/>
    <n v="7.6260555139999999"/>
    <n v="0"/>
    <n v="7.6260555139999999"/>
    <n v="81.030094636156093"/>
    <n v="6.1793999999999995E-2"/>
    <n v="49.386735000000002"/>
    <n v="2.8283702672000004"/>
    <n v="8.103009463615609E-3"/>
  </r>
  <r>
    <n v="125"/>
    <s v="Hosur"/>
    <x v="11"/>
    <m/>
    <s v="930801|189227"/>
    <n v="2353927"/>
    <s v="TUB-O-N-AUT-AW--50.80X1.600X0.3850"/>
    <x v="0"/>
    <m/>
    <x v="1"/>
    <x v="1"/>
    <s v="HROP"/>
    <m/>
    <s v="AG"/>
    <m/>
    <s v="50.8-0-1.6-ERW 1-FC"/>
    <s v="50.8-0-1.6-ERW 1-FC-0.385"/>
    <n v="3"/>
    <x v="4"/>
    <x v="39"/>
    <x v="0"/>
    <x v="0"/>
    <n v="385"/>
    <s v="NOS"/>
    <x v="3"/>
    <n v="0"/>
    <n v="8000"/>
    <n v="5.9763373824000006"/>
    <n v="0"/>
    <n v="5.9763373824000006"/>
    <n v="936.03283115745387"/>
    <n v="0.69925599999999999"/>
    <n v="8.4482560000000007"/>
    <n v="6.9267995139999998"/>
    <n v="0.11700410389468174"/>
  </r>
  <r>
    <n v="127"/>
    <s v="JSR"/>
    <x v="11"/>
    <m/>
    <s v="930801|189227"/>
    <n v="3157631"/>
    <s v="TUB-O-N-AUT-AW-FC-57.15X2.30X1.365-MAHS"/>
    <x v="6"/>
    <m/>
    <x v="1"/>
    <x v="0"/>
    <m/>
    <m/>
    <s v="AG"/>
    <m/>
    <s v="57.15-0-2.3-ERW 2-FC"/>
    <s v="57.15-0-2.3-ERW 2-FC-1.365"/>
    <n v="2"/>
    <x v="19"/>
    <x v="19"/>
    <x v="0"/>
    <x v="7"/>
    <n v="1365"/>
    <s v="NOS"/>
    <x v="49"/>
    <n v="1800"/>
    <n v="13200"/>
    <n v="63.668949332625004"/>
    <n v="7.6402739199149998"/>
    <n v="56.028675412710001"/>
    <n v="960.85785365162303"/>
    <n v="4.0784539999999998"/>
    <n v="4.0784539999999998"/>
    <n v="1.8978833824000008"/>
    <n v="0.18405719024344153"/>
  </r>
  <r>
    <n v="59"/>
    <s v="Khopoli "/>
    <x v="12"/>
    <m/>
    <n v="189226"/>
    <n v="2426342"/>
    <s v="TUB-O-C-AUT-AD-FC-11.00X1.500X0.2630"/>
    <x v="2"/>
    <m/>
    <x v="3"/>
    <x v="1"/>
    <m/>
    <m/>
    <m/>
    <m/>
    <s v="11-8-1.5-CEW-"/>
    <m/>
    <m/>
    <x v="39"/>
    <x v="40"/>
    <x v="19"/>
    <x v="24"/>
    <n v="263"/>
    <m/>
    <x v="30"/>
    <e v="#N/A"/>
    <e v="#N/A"/>
    <n v="0"/>
    <e v="#N/A"/>
    <e v="#N/A"/>
    <e v="#DIV/0!"/>
    <n v="0"/>
    <n v="0"/>
    <n v="63.668949332625004"/>
    <e v="#N/A"/>
  </r>
  <r>
    <n v="60"/>
    <s v="Khopoli "/>
    <x v="12"/>
    <m/>
    <n v="189226"/>
    <n v="1939303"/>
    <s v="TUB-O-C-AUT-AD-FC-11.00X1.500X0.330"/>
    <x v="2"/>
    <m/>
    <x v="3"/>
    <x v="1"/>
    <m/>
    <m/>
    <m/>
    <m/>
    <s v="11-8-1.5-CEW-"/>
    <s v="11-8-1.5-CEW--0.33"/>
    <n v="0"/>
    <x v="39"/>
    <x v="40"/>
    <x v="19"/>
    <x v="24"/>
    <n v="330"/>
    <s v="NOS"/>
    <x v="11"/>
    <n v="0"/>
    <n v="3000"/>
    <n v="0.34773576750000007"/>
    <n v="0"/>
    <n v="0.34773576750000007"/>
    <n v="0"/>
    <n v="0"/>
    <n v="0"/>
    <n v="0"/>
    <n v="0"/>
  </r>
  <r>
    <n v="61"/>
    <s v="Hosur"/>
    <x v="12"/>
    <m/>
    <s v="189226|930794"/>
    <n v="1939991"/>
    <s v="TUB-O-O-AUT-AW-PE-12.70X1.600X0.1450"/>
    <x v="0"/>
    <m/>
    <x v="0"/>
    <x v="0"/>
    <s v="WG"/>
    <m/>
    <m/>
    <m/>
    <s v="12.7-0-1.6-ERW 1-PE"/>
    <s v="12.7-0-1.6-ERW 1-PE-0.145"/>
    <n v="1"/>
    <x v="0"/>
    <x v="0"/>
    <x v="0"/>
    <x v="0"/>
    <n v="145"/>
    <s v="NOS"/>
    <x v="31"/>
    <n v="0"/>
    <n v="20000"/>
    <n v="1.2695220960000002"/>
    <n v="0"/>
    <n v="1.2695220960000002"/>
    <n v="0"/>
    <n v="0"/>
    <n v="11.937059000000001"/>
    <n v="1.2695220960000002"/>
    <n v="0"/>
  </r>
  <r>
    <n v="62"/>
    <s v="Hosur"/>
    <x v="12"/>
    <m/>
    <n v="189226"/>
    <n v="1931237"/>
    <s v="TUB-O-N-GEN-AW-PE-12.70X2.000X5.0500"/>
    <x v="0"/>
    <m/>
    <x v="3"/>
    <x v="1"/>
    <m/>
    <m/>
    <m/>
    <m/>
    <s v="12.7-0-2-ERW 1-"/>
    <m/>
    <m/>
    <x v="0"/>
    <x v="0"/>
    <x v="0"/>
    <x v="3"/>
    <n v="5050"/>
    <m/>
    <x v="30"/>
    <e v="#N/A"/>
    <e v="#N/A"/>
    <n v="0"/>
    <e v="#N/A"/>
    <e v="#N/A"/>
    <e v="#DIV/0!"/>
    <n v="0"/>
    <n v="0"/>
    <m/>
    <e v="#N/A"/>
  </r>
  <r>
    <n v="63"/>
    <s v="Khopoli "/>
    <x v="12"/>
    <m/>
    <n v="189226"/>
    <n v="2363145"/>
    <s v="TUB-O-C-AUT-AN-FC-14.00X2.450X5.0000"/>
    <x v="2"/>
    <m/>
    <x v="2"/>
    <x v="1"/>
    <m/>
    <m/>
    <m/>
    <m/>
    <s v="14-0-2.5-CEW-CEW"/>
    <s v="14-0-2.5-CEW-CEW"/>
    <n v="2"/>
    <x v="5"/>
    <x v="5"/>
    <x v="0"/>
    <x v="20"/>
    <n v="1000"/>
    <s v="M"/>
    <x v="2"/>
    <n v="0"/>
    <n v="4000"/>
    <n v="2.7900203100000005"/>
    <n v="0"/>
    <n v="2.7900203100000005"/>
    <n v="6243.6893156523283"/>
    <n v="4.3550050000000002"/>
    <n v="4.3550050000000002"/>
    <n v="-4.3550050000000002"/>
    <n v="1.5609223289130822"/>
  </r>
  <r>
    <n v="65"/>
    <s v="Hosur"/>
    <x v="12"/>
    <m/>
    <s v="189226|930794"/>
    <n v="1941845"/>
    <s v="TUB-E-O-AUT-AW-FC-15.88X1.000X1.2340"/>
    <x v="0"/>
    <m/>
    <x v="0"/>
    <x v="1"/>
    <m/>
    <m/>
    <m/>
    <m/>
    <s v="15.88-0-1-ERW 1-PE"/>
    <s v="15.88-0-1-ERW 1-PE-1.234"/>
    <n v="1"/>
    <x v="1"/>
    <x v="1"/>
    <x v="0"/>
    <x v="2"/>
    <n v="1234"/>
    <s v="NOS"/>
    <x v="12"/>
    <n v="0"/>
    <n v="6000"/>
    <n v="2.7156177964800006"/>
    <n v="0"/>
    <n v="2.7156177964800006"/>
    <n v="364.55792905881071"/>
    <n v="0.16500000000000001"/>
    <n v="10.207096"/>
    <n v="2.5506177964800005"/>
    <n v="6.0759654843135127E-2"/>
  </r>
  <r>
    <n v="66"/>
    <s v="Hosur"/>
    <x v="12"/>
    <m/>
    <s v="189226|930794"/>
    <n v="1941846"/>
    <s v="TUB-E-O-AUT-AW-FC-15.88X1.000X1.6030"/>
    <x v="0"/>
    <m/>
    <x v="0"/>
    <x v="1"/>
    <m/>
    <m/>
    <m/>
    <m/>
    <s v="15.88-0-1-ERW 1-PE"/>
    <s v="15.88-0-1-ERW 1-PE-1.603"/>
    <n v="1"/>
    <x v="1"/>
    <x v="1"/>
    <x v="0"/>
    <x v="2"/>
    <n v="1603"/>
    <s v="NOS"/>
    <x v="12"/>
    <n v="0"/>
    <n v="6000"/>
    <n v="3.5276623401599996"/>
    <n v="0"/>
    <n v="3.5276623401599996"/>
    <n v="0"/>
    <n v="0"/>
    <n v="10.207096"/>
    <n v="3.5276623401599996"/>
    <n v="0"/>
  </r>
  <r>
    <n v="67"/>
    <s v="Hosur"/>
    <x v="12"/>
    <m/>
    <s v="189226|930794"/>
    <n v="1941847"/>
    <s v="TUB-E-O-AUT-AW-FC-15.88X1.000X2.1850"/>
    <x v="0"/>
    <m/>
    <x v="0"/>
    <x v="1"/>
    <m/>
    <m/>
    <m/>
    <m/>
    <s v="15.88-0-1-ERW 1-PE"/>
    <s v="15.88-0-1-ERW 1-PE-2.185"/>
    <n v="1"/>
    <x v="1"/>
    <x v="1"/>
    <x v="0"/>
    <x v="2"/>
    <n v="2185"/>
    <s v="NOS"/>
    <x v="2"/>
    <n v="0"/>
    <n v="4000"/>
    <n v="3.2056320287999998"/>
    <n v="0"/>
    <n v="3.2056320287999998"/>
    <n v="0"/>
    <n v="0"/>
    <n v="10.207096"/>
    <n v="3.2056320287999998"/>
    <n v="0"/>
  </r>
  <r>
    <n v="68"/>
    <s v="Hosur"/>
    <x v="12"/>
    <m/>
    <s v="189226|930794"/>
    <n v="1941848"/>
    <s v="TUB-E-O-AUT-AW-FC-15.88X1.000X2.4900"/>
    <x v="0"/>
    <m/>
    <x v="0"/>
    <x v="1"/>
    <m/>
    <m/>
    <m/>
    <m/>
    <s v="15.88-0-1-ERW 1-PE"/>
    <s v="15.88-0-1-ERW 1-PE-2.49"/>
    <n v="2"/>
    <x v="1"/>
    <x v="1"/>
    <x v="0"/>
    <x v="2"/>
    <n v="2490"/>
    <s v="NOS"/>
    <x v="2"/>
    <n v="0"/>
    <n v="4000"/>
    <n v="3.6531001152000004"/>
    <n v="0"/>
    <n v="3.6531001152000004"/>
    <n v="0"/>
    <n v="0"/>
    <n v="10.207096"/>
    <n v="3.6531001152000004"/>
    <n v="0"/>
  </r>
  <r>
    <n v="69"/>
    <s v="Hosur"/>
    <x v="12"/>
    <m/>
    <s v="189226|930794"/>
    <n v="3541434"/>
    <s v="TUB-E-O-AUT-AW-FC-15.88X1.000X2.9050"/>
    <x v="0"/>
    <m/>
    <x v="0"/>
    <x v="0"/>
    <m/>
    <m/>
    <m/>
    <m/>
    <s v="15.88-0-1-ERW 1-PE"/>
    <s v="15.88-0-1-ERW 1-PE-2.905"/>
    <n v="1"/>
    <x v="1"/>
    <x v="1"/>
    <x v="0"/>
    <x v="2"/>
    <n v="2905"/>
    <s v="NOS"/>
    <x v="2"/>
    <n v="0"/>
    <n v="4000"/>
    <n v="4.2619501344000001"/>
    <n v="0"/>
    <n v="4.2619501344000001"/>
    <n v="0"/>
    <n v="0"/>
    <n v="10.207096"/>
    <n v="4.2619501344000001"/>
    <n v="0"/>
  </r>
  <r>
    <n v="72"/>
    <s v="Khopoli "/>
    <x v="12"/>
    <m/>
    <s v="189226|930794"/>
    <n v="1938116"/>
    <s v="TUB-O-N-GEN-AW-PE-18.20X1.000X0.1100"/>
    <x v="0"/>
    <m/>
    <x v="0"/>
    <x v="0"/>
    <m/>
    <m/>
    <m/>
    <m/>
    <s v="18.2-0-1-ERW 1-PE"/>
    <s v="18.2-0-1-ERW 1-PE-0.11"/>
    <n v="1"/>
    <x v="36"/>
    <x v="36"/>
    <x v="0"/>
    <x v="2"/>
    <n v="110"/>
    <s v="NOS"/>
    <x v="4"/>
    <n v="0"/>
    <n v="10000"/>
    <n v="0.46635907999999993"/>
    <n v="0"/>
    <n v="0.46635907999999993"/>
    <n v="0"/>
    <n v="0"/>
    <n v="4.5705260000000001"/>
    <n v="0.46635907999999993"/>
    <n v="0"/>
  </r>
  <r>
    <n v="74"/>
    <s v="Hosur"/>
    <x v="12"/>
    <m/>
    <s v="189226|930794"/>
    <n v="3518158"/>
    <s v="TUB-O-N-AUT-AW-PE-19.05X1.000X1.0950"/>
    <x v="0"/>
    <m/>
    <x v="0"/>
    <x v="0"/>
    <m/>
    <m/>
    <m/>
    <m/>
    <s v="19.05-0-1-ERW 1-PE"/>
    <s v="19.05-0-1-ERW 1-PE-1.095"/>
    <n v="1"/>
    <x v="2"/>
    <x v="2"/>
    <x v="0"/>
    <x v="2"/>
    <n v="1095"/>
    <s v="NOS"/>
    <x v="3"/>
    <n v="0"/>
    <n v="8000"/>
    <n v="3.8974505820000003"/>
    <n v="0"/>
    <n v="3.8974505820000003"/>
    <n v="65.238543671161281"/>
    <n v="3.1782999999999999E-2"/>
    <n v="19.832242999999998"/>
    <n v="3.8656675820000004"/>
    <n v="8.1548179588951612E-3"/>
  </r>
  <r>
    <n v="75"/>
    <s v="Hosur"/>
    <x v="12"/>
    <m/>
    <s v="189226|930794"/>
    <n v="1940188"/>
    <s v="TUB-O-O-AUT-AW-PE-19.05X1.200X0.6310"/>
    <x v="0"/>
    <m/>
    <x v="0"/>
    <x v="1"/>
    <m/>
    <m/>
    <m/>
    <m/>
    <s v="19.05-0-1.2-ERW 1-PE"/>
    <s v="19.05-0-1.2-ERW 1-PE-0.631"/>
    <n v="2"/>
    <x v="2"/>
    <x v="2"/>
    <x v="0"/>
    <x v="1"/>
    <n v="631"/>
    <s v="NOS"/>
    <x v="13"/>
    <n v="0"/>
    <n v="11000"/>
    <n v="3.6647201467800001"/>
    <n v="0"/>
    <n v="3.6647201467800001"/>
    <n v="0"/>
    <n v="0"/>
    <n v="12.194379"/>
    <n v="3.6647201467800001"/>
    <n v="0"/>
  </r>
  <r>
    <n v="76"/>
    <s v="Hosur"/>
    <x v="12"/>
    <m/>
    <s v="189226|930794"/>
    <n v="1940189"/>
    <s v="TUB-O-O-AUT-AW-PE-19.05X1.200X0.6800"/>
    <x v="0"/>
    <m/>
    <x v="0"/>
    <x v="0"/>
    <m/>
    <m/>
    <m/>
    <m/>
    <s v="19.05-0-1.2-ERW 1-PE"/>
    <s v="19.05-0-1.2-ERW 1-PE-0.68"/>
    <n v="3"/>
    <x v="2"/>
    <x v="2"/>
    <x v="0"/>
    <x v="1"/>
    <n v="680"/>
    <s v="NOS"/>
    <x v="17"/>
    <n v="0"/>
    <n v="7000"/>
    <n v="2.5131923208"/>
    <n v="0"/>
    <n v="2.5131923208"/>
    <n v="0"/>
    <n v="0"/>
    <n v="12.194379"/>
    <n v="2.5131923208"/>
    <n v="0"/>
  </r>
  <r>
    <n v="77"/>
    <s v="Hosur"/>
    <x v="12"/>
    <m/>
    <n v="189226"/>
    <n v="236341"/>
    <s v="TUB-O-N-AUT-AW-PE-19.05X1.600X0.610"/>
    <x v="1"/>
    <m/>
    <x v="3"/>
    <x v="1"/>
    <m/>
    <m/>
    <m/>
    <m/>
    <s v="19.05-0-1.6--"/>
    <m/>
    <m/>
    <x v="2"/>
    <x v="2"/>
    <x v="0"/>
    <x v="0"/>
    <n v="610"/>
    <m/>
    <x v="30"/>
    <e v="#N/A"/>
    <e v="#N/A"/>
    <n v="0"/>
    <e v="#N/A"/>
    <e v="#N/A"/>
    <e v="#DIV/0!"/>
    <n v="0"/>
    <n v="0"/>
    <n v="2.5131923208"/>
    <e v="#N/A"/>
  </r>
  <r>
    <n v="78"/>
    <s v="Hosur"/>
    <x v="12"/>
    <m/>
    <n v="189226"/>
    <n v="235953"/>
    <s v="TUB-O-N-AUT-AW-PE-19.05X1.60X5.475-ERW 1"/>
    <x v="0"/>
    <m/>
    <x v="3"/>
    <x v="1"/>
    <m/>
    <m/>
    <m/>
    <m/>
    <s v="19.05-0-1.6-ERW 1-"/>
    <m/>
    <m/>
    <x v="2"/>
    <x v="2"/>
    <x v="0"/>
    <x v="0"/>
    <n v="5475"/>
    <m/>
    <x v="30"/>
    <e v="#N/A"/>
    <e v="#N/A"/>
    <n v="0"/>
    <e v="#N/A"/>
    <e v="#N/A"/>
    <e v="#DIV/0!"/>
    <n v="0"/>
    <n v="0"/>
    <n v="0"/>
    <e v="#N/A"/>
  </r>
  <r>
    <n v="79"/>
    <s v="Hosur"/>
    <x v="12"/>
    <m/>
    <s v="189226|930794"/>
    <n v="1940318"/>
    <s v="TUB-O-O-AUT-AW-PE-19.05X2.300X0.3940"/>
    <x v="0"/>
    <m/>
    <x v="0"/>
    <x v="1"/>
    <m/>
    <m/>
    <m/>
    <m/>
    <s v="19.05-0-2.3-ERW 1-PE"/>
    <s v="19.05-0-2.3-ERW 1-PE-0.394"/>
    <n v="2"/>
    <x v="2"/>
    <x v="2"/>
    <x v="0"/>
    <x v="7"/>
    <n v="394"/>
    <s v="NOS"/>
    <x v="3"/>
    <n v="0"/>
    <n v="8000"/>
    <n v="2.9931477892"/>
    <n v="0"/>
    <n v="2.9931477892"/>
    <n v="3749.8983646911465"/>
    <n v="1.403"/>
    <n v="41.162200000000006"/>
    <n v="1.5901477892"/>
    <n v="0.46873729558639332"/>
  </r>
  <r>
    <n v="82"/>
    <s v="Khopoli "/>
    <x v="12"/>
    <m/>
    <s v="189226|930794"/>
    <n v="2439536"/>
    <s v="TUB-O-C-AUT-AD-FC-20.00X3.800X04-05"/>
    <x v="2"/>
    <m/>
    <x v="2"/>
    <x v="2"/>
    <m/>
    <m/>
    <m/>
    <m/>
    <s v="20-12.4-3.8-CEW-CEW"/>
    <s v="20-12.4-3.8-CEW-CEW"/>
    <n v="1"/>
    <x v="37"/>
    <x v="37"/>
    <x v="17"/>
    <x v="23"/>
    <n v="1000"/>
    <s v="M"/>
    <x v="3"/>
    <n v="0"/>
    <n v="8000"/>
    <n v="12.139139519999999"/>
    <n v="0"/>
    <n v="12.139139519999999"/>
    <n v="16691.480946089338"/>
    <n v="25.327527000000003"/>
    <n v="25.327527000000003"/>
    <n v="-13.188387480000005"/>
    <n v="2.0864351182611669"/>
  </r>
  <r>
    <n v="80"/>
    <s v="Khopoli "/>
    <x v="12"/>
    <m/>
    <s v="189226|930794"/>
    <n v="3228788"/>
    <s v="TUB-O-C-AUT-AD-FC-20.00X1.420X0.2730"/>
    <x v="2"/>
    <m/>
    <x v="2"/>
    <x v="1"/>
    <m/>
    <m/>
    <m/>
    <m/>
    <s v="20-17.16-1.42-CEW-CEW"/>
    <s v="20-17.16-1.42-CEW-CEW-0.273"/>
    <n v="1"/>
    <x v="37"/>
    <x v="37"/>
    <x v="20"/>
    <x v="25"/>
    <n v="273"/>
    <s v="NOS"/>
    <x v="12"/>
    <n v="0"/>
    <n v="6000"/>
    <n v="1.0652394857831999"/>
    <n v="0"/>
    <n v="1.0652394857831999"/>
    <n v="659.49113732250225"/>
    <n v="0.117086"/>
    <n v="3.7410860000000001"/>
    <n v="0.94815348578319991"/>
    <n v="0.10991518955375038"/>
  </r>
  <r>
    <n v="84"/>
    <s v="Khopoli "/>
    <x v="12"/>
    <m/>
    <n v="189226"/>
    <n v="2410994"/>
    <s v="TUB-O-C-AUT-AD-FC-21.75X3.500X04-05"/>
    <x v="2"/>
    <m/>
    <x v="2"/>
    <x v="1"/>
    <m/>
    <m/>
    <m/>
    <m/>
    <s v="21.7-16.2-2.75-CEW-CEW"/>
    <s v="21.7-16.2-2.75-CEW-CEW"/>
    <n v="1"/>
    <x v="40"/>
    <x v="41"/>
    <x v="21"/>
    <x v="26"/>
    <n v="1000"/>
    <s v="M"/>
    <x v="51"/>
    <n v="0"/>
    <n v="504"/>
    <n v="0.64739859030000002"/>
    <n v="0"/>
    <n v="0.64739859030000002"/>
    <n v="14042.361179358286"/>
    <n v="18.037708000000002"/>
    <n v="18.037708000000002"/>
    <n v="-16.972468514216803"/>
    <n v="27.861827736822001"/>
  </r>
  <r>
    <n v="85"/>
    <s v="Khopoli "/>
    <x v="12"/>
    <n v="189226"/>
    <s v="189226|930794"/>
    <n v="2410994"/>
    <s v="TUB-O-C-AUT-AD-FC-21.75X3.500X04-05"/>
    <x v="2"/>
    <m/>
    <x v="2"/>
    <x v="2"/>
    <m/>
    <m/>
    <m/>
    <m/>
    <s v="21.75-0-3.5-CEW-CEW"/>
    <s v="21.75-0-3.5-CEW-CEW"/>
    <n v="1"/>
    <x v="28"/>
    <x v="26"/>
    <x v="0"/>
    <x v="16"/>
    <n v="1000"/>
    <s v="M"/>
    <x v="30"/>
    <n v="0"/>
    <n v="0"/>
    <n v="0"/>
    <n v="0"/>
    <n v="0"/>
    <e v="#DIV/0!"/>
    <n v="0"/>
    <n v="0"/>
    <n v="0"/>
    <e v="#DIV/0!"/>
  </r>
  <r>
    <n v="87"/>
    <s v="Hosur"/>
    <x v="12"/>
    <m/>
    <s v="189226|930794"/>
    <n v="1940392"/>
    <s v="TUB-O-O-AUT-AW-PE-22.23X1.600X0.2850"/>
    <x v="0"/>
    <m/>
    <x v="0"/>
    <x v="0"/>
    <s v="GR1"/>
    <m/>
    <m/>
    <m/>
    <s v="22.23-0-1.6-ERW 1-PE"/>
    <s v="22.23-0-1.6-ERW 1-PE-0.285"/>
    <n v="2"/>
    <x v="8"/>
    <x v="8"/>
    <x v="0"/>
    <x v="0"/>
    <n v="285"/>
    <s v="NOS"/>
    <x v="4"/>
    <n v="0"/>
    <n v="10000"/>
    <n v="2.3188004472000001"/>
    <n v="0"/>
    <n v="2.3188004472000001"/>
    <n v="0"/>
    <n v="0"/>
    <n v="68.25120299999999"/>
    <n v="0"/>
    <n v="0"/>
  </r>
  <r>
    <n v="92"/>
    <s v="Hosur"/>
    <x v="12"/>
    <m/>
    <s v="189226|930794"/>
    <n v="1940408"/>
    <s v="TUB-O-O-AUT-AW-PE-22.23X1.600X0.8090"/>
    <x v="0"/>
    <m/>
    <x v="0"/>
    <x v="0"/>
    <s v="GR1"/>
    <m/>
    <m/>
    <m/>
    <s v="22.23-0-1.6-ERW 1-PE"/>
    <s v="22.23-0-1.6-ERW 1-PE-0.809"/>
    <n v="2"/>
    <x v="8"/>
    <x v="8"/>
    <x v="0"/>
    <x v="0"/>
    <n v="809"/>
    <s v="NOS"/>
    <x v="7"/>
    <n v="0"/>
    <n v="2000"/>
    <n v="1.3164277626559999"/>
    <n v="0"/>
    <n v="1.3164277626559999"/>
    <n v="4135.4339025912732"/>
    <n v="2.722"/>
    <n v="68.25120299999999"/>
    <n v="-0.40319955279999986"/>
    <n v="2.0677169512956364"/>
  </r>
  <r>
    <n v="93"/>
    <s v="Hosur"/>
    <x v="12"/>
    <m/>
    <n v="189226"/>
    <n v="1159568"/>
    <s v="TUB-O-N-AUT-AW-PE-22.20X2.000X0.180"/>
    <x v="0"/>
    <m/>
    <x v="3"/>
    <x v="1"/>
    <m/>
    <m/>
    <m/>
    <m/>
    <s v="22.23-0-2-ERW 1-"/>
    <m/>
    <m/>
    <x v="8"/>
    <x v="8"/>
    <x v="0"/>
    <x v="3"/>
    <n v="180"/>
    <m/>
    <x v="30"/>
    <e v="#N/A"/>
    <e v="#N/A"/>
    <n v="0"/>
    <e v="#N/A"/>
    <e v="#N/A"/>
    <e v="#DIV/0!"/>
    <n v="0"/>
    <n v="0"/>
    <n v="1.3164277626559999"/>
    <e v="#N/A"/>
  </r>
  <r>
    <n v="96"/>
    <s v="Hosur"/>
    <x v="12"/>
    <m/>
    <s v="189226|930794"/>
    <n v="1940466"/>
    <s v="TUB-O-O-AUT-AW-PE-22.23X2.000X0.8090"/>
    <x v="0"/>
    <m/>
    <x v="0"/>
    <x v="1"/>
    <m/>
    <m/>
    <m/>
    <m/>
    <s v="22.23-0-2-ERW 1-PE"/>
    <s v="22.23-0-2-ERW 1-PE-0.809"/>
    <n v="2"/>
    <x v="8"/>
    <x v="8"/>
    <x v="0"/>
    <x v="3"/>
    <n v="809"/>
    <s v="NOS"/>
    <x v="12"/>
    <n v="0"/>
    <n v="6000"/>
    <n v="4.8408871131600009"/>
    <n v="0"/>
    <n v="4.8408871131600009"/>
    <n v="9083.3119988407925"/>
    <n v="7.3285479999999996"/>
    <n v="45.493454"/>
    <m/>
    <n v="1.5138853331401321"/>
  </r>
  <r>
    <n v="97"/>
    <s v="Hosur"/>
    <x v="12"/>
    <m/>
    <s v="189226|930794"/>
    <n v="2413708"/>
    <s v="TUB-O-N-AUT-AW-PE-22.23X2.000X0.8150"/>
    <x v="0"/>
    <m/>
    <x v="0"/>
    <x v="1"/>
    <m/>
    <m/>
    <m/>
    <m/>
    <s v="22.23-0-2-ERW 1-PE"/>
    <s v="22.23-0-2-ERW 1-PE-0.815"/>
    <n v="2"/>
    <x v="8"/>
    <x v="8"/>
    <x v="0"/>
    <x v="3"/>
    <n v="815"/>
    <s v="NOS"/>
    <x v="12"/>
    <n v="0"/>
    <n v="6000"/>
    <n v="4.8767898605999997"/>
    <n v="0"/>
    <n v="4.8767898605999997"/>
    <n v="12962.322717801626"/>
    <n v="10.535753999999999"/>
    <n v="45.493454"/>
    <n v="-5.6948668868399981"/>
    <n v="2.160387119633604"/>
  </r>
  <r>
    <n v="98"/>
    <s v="Hosur"/>
    <x v="12"/>
    <m/>
    <n v="189226"/>
    <n v="3506579"/>
    <s v="CUT-O-N-AUT-AW-PE-22.20X2.300X0.430"/>
    <x v="0"/>
    <m/>
    <x v="0"/>
    <x v="1"/>
    <m/>
    <m/>
    <m/>
    <m/>
    <s v="22.23-0-2.3-ERW 1-PE"/>
    <m/>
    <m/>
    <x v="8"/>
    <x v="8"/>
    <x v="0"/>
    <x v="7"/>
    <n v="430"/>
    <m/>
    <x v="30"/>
    <e v="#N/A"/>
    <e v="#N/A"/>
    <n v="0"/>
    <e v="#N/A"/>
    <e v="#N/A"/>
    <e v="#DIV/0!"/>
    <n v="0"/>
    <n v="3.4099889999999999"/>
    <m/>
    <e v="#N/A"/>
  </r>
  <r>
    <n v="99"/>
    <s v="Hosur"/>
    <x v="12"/>
    <m/>
    <s v="189226|930794"/>
    <n v="1940538"/>
    <s v="TUB-O-O-AUT-AW-PE-25.40X1.200X0.8450"/>
    <x v="0"/>
    <m/>
    <x v="0"/>
    <x v="0"/>
    <m/>
    <m/>
    <s v="AG"/>
    <m/>
    <s v="25.4-0-1.2-ERW 1-PE"/>
    <s v="25.4-0-1.2-ERW 1-PE-0.845"/>
    <n v="2"/>
    <x v="3"/>
    <x v="3"/>
    <x v="0"/>
    <x v="1"/>
    <n v="845"/>
    <s v="NOS"/>
    <x v="13"/>
    <n v="0"/>
    <n v="11000"/>
    <n v="6.6534256931999991"/>
    <n v="0"/>
    <n v="6.6534256931999991"/>
    <n v="32.280363515520506"/>
    <n v="1.9524999999999997E-2"/>
    <n v="0.36752499999999999"/>
    <n v="-1.9524999999999997E-2"/>
    <n v="2.934578501410955E-3"/>
  </r>
  <r>
    <n v="100"/>
    <s v="Hosur"/>
    <x v="12"/>
    <m/>
    <n v="189226"/>
    <n v="3727130"/>
    <s v="CUT-O-N-AUT-AW-PE-25.40X1.600X0.5120"/>
    <x v="0"/>
    <m/>
    <x v="3"/>
    <x v="1"/>
    <m/>
    <m/>
    <m/>
    <m/>
    <s v="25.4-0-1.6-ERW 1-"/>
    <m/>
    <m/>
    <x v="3"/>
    <x v="3"/>
    <x v="0"/>
    <x v="0"/>
    <n v="512"/>
    <m/>
    <x v="30"/>
    <e v="#N/A"/>
    <e v="#N/A"/>
    <n v="0"/>
    <e v="#N/A"/>
    <e v="#N/A"/>
    <e v="#DIV/0!"/>
    <n v="0"/>
    <n v="0"/>
    <n v="0"/>
    <e v="#N/A"/>
  </r>
  <r>
    <n v="103"/>
    <s v="Khopoli "/>
    <x v="12"/>
    <m/>
    <s v="189226|930794"/>
    <n v="2410997"/>
    <s v="TUB-O-C-AUT-AD-FC-25.40X3.200X04-05"/>
    <x v="2"/>
    <m/>
    <x v="2"/>
    <x v="1"/>
    <m/>
    <m/>
    <m/>
    <m/>
    <s v="25.4-19-3.2-CEW-CEW"/>
    <s v="25.4-19-3.2-CEW-CEW"/>
    <n v="1"/>
    <x v="3"/>
    <x v="3"/>
    <x v="8"/>
    <x v="9"/>
    <n v="1000"/>
    <s v="M"/>
    <x v="7"/>
    <n v="0"/>
    <n v="2000"/>
    <n v="3.5021299199999998"/>
    <n v="0"/>
    <n v="3.5021299199999998"/>
    <n v="14015.63309221835"/>
    <n v="24.542283999999999"/>
    <n v="24.542283999999999"/>
    <n v="-24.542283999999999"/>
    <n v="7.0078165461091748"/>
  </r>
  <r>
    <n v="104"/>
    <s v="Hosur"/>
    <x v="12"/>
    <m/>
    <n v="189226"/>
    <n v="237726"/>
    <s v="PT2-O-N-AUT-AW-FC-28.58X1.200X0.610"/>
    <x v="1"/>
    <m/>
    <x v="3"/>
    <x v="1"/>
    <m/>
    <m/>
    <m/>
    <m/>
    <s v="28.58-0-1.2--"/>
    <m/>
    <m/>
    <x v="9"/>
    <x v="9"/>
    <x v="0"/>
    <x v="1"/>
    <n v="610"/>
    <m/>
    <x v="30"/>
    <e v="#N/A"/>
    <e v="#N/A"/>
    <n v="0"/>
    <e v="#N/A"/>
    <e v="#N/A"/>
    <e v="#DIV/0!"/>
    <n v="0"/>
    <n v="0"/>
    <n v="3.5021299199999998"/>
    <e v="#N/A"/>
  </r>
  <r>
    <n v="106"/>
    <s v="Hosur"/>
    <x v="12"/>
    <m/>
    <s v="189226|930794"/>
    <n v="1940653"/>
    <s v="TUB-O-O-AUT-AW-PE-31.75X1.200X0.6700"/>
    <x v="0"/>
    <m/>
    <x v="0"/>
    <x v="0"/>
    <m/>
    <m/>
    <m/>
    <m/>
    <s v="31.75-0-1.2-ERW 1-PE"/>
    <s v="31.75-0-1.2-ERW 1-PE-0.67"/>
    <n v="3"/>
    <x v="12"/>
    <x v="13"/>
    <x v="0"/>
    <x v="1"/>
    <n v="670"/>
    <s v="NOS"/>
    <x v="13"/>
    <n v="0"/>
    <n v="11000"/>
    <n v="6.6597703458000002"/>
    <n v="0"/>
    <n v="6.6597703458000002"/>
    <n v="0"/>
    <n v="0"/>
    <n v="8.3877849999999992"/>
    <n v="0"/>
    <n v="0"/>
  </r>
  <r>
    <n v="57"/>
    <s v="Khopoli "/>
    <x v="12"/>
    <m/>
    <n v="189226"/>
    <n v="2412748"/>
    <s v="TUB-O-C-AUT-AD-FC-33.30X2.000X4.3000"/>
    <x v="2"/>
    <m/>
    <x v="3"/>
    <x v="1"/>
    <m/>
    <m/>
    <m/>
    <m/>
    <s v="0.0960109875294564-0-2-CEW-"/>
    <m/>
    <m/>
    <x v="38"/>
    <x v="42"/>
    <x v="0"/>
    <x v="3"/>
    <n v="4300"/>
    <m/>
    <x v="30"/>
    <e v="#N/A"/>
    <e v="#N/A"/>
    <n v="0"/>
    <e v="#N/A"/>
    <e v="#N/A"/>
    <e v="#DIV/0!"/>
    <n v="0"/>
    <n v="0"/>
    <n v="6.6597703458000002"/>
    <e v="#N/A"/>
  </r>
  <r>
    <n v="107"/>
    <s v="Hosur"/>
    <x v="12"/>
    <m/>
    <n v="189226"/>
    <n v="1940701"/>
    <s v="TUB-O-O-AUT-AW-FC-34.93X1.200X6.0000"/>
    <x v="0"/>
    <m/>
    <x v="3"/>
    <x v="1"/>
    <m/>
    <m/>
    <m/>
    <m/>
    <s v="34.93-0-1.2-ERW 1-"/>
    <m/>
    <m/>
    <x v="13"/>
    <x v="14"/>
    <x v="0"/>
    <x v="1"/>
    <n v="6000"/>
    <m/>
    <x v="30"/>
    <e v="#N/A"/>
    <e v="#N/A"/>
    <n v="0"/>
    <e v="#N/A"/>
    <e v="#N/A"/>
    <e v="#DIV/0!"/>
    <n v="0"/>
    <n v="0"/>
    <n v="0"/>
    <e v="#N/A"/>
  </r>
  <r>
    <n v="108"/>
    <s v="JSR"/>
    <x v="12"/>
    <m/>
    <s v="189226|930794"/>
    <n v="238413"/>
    <s v="TUB-I-C-AUT-AD-PE-32.00X2.950X0.940"/>
    <x v="2"/>
    <m/>
    <x v="2"/>
    <x v="1"/>
    <m/>
    <m/>
    <m/>
    <m/>
    <s v="37.95-32-2.95-CEW-CEW"/>
    <s v="37.95-32-2.95-CEW-CEW-0.94"/>
    <n v="2"/>
    <x v="41"/>
    <x v="43"/>
    <x v="22"/>
    <x v="5"/>
    <n v="940"/>
    <s v="NOS"/>
    <x v="9"/>
    <n v="0"/>
    <n v="1000"/>
    <n v="2.3923086949999997"/>
    <n v="0"/>
    <n v="2.3923086949999997"/>
    <n v="0"/>
    <n v="0"/>
    <n v="0.22617100000000001"/>
    <n v="0"/>
    <n v="0"/>
  </r>
  <r>
    <n v="109"/>
    <s v="Hosur"/>
    <x v="12"/>
    <m/>
    <s v="189226|930794"/>
    <n v="1940730"/>
    <s v="PT3-O-N-AUT-AW-PE-38.10X1.600X0.488"/>
    <x v="0"/>
    <m/>
    <x v="1"/>
    <x v="1"/>
    <m/>
    <m/>
    <m/>
    <m/>
    <s v="38.1-0-1.6-ERW 1-FC"/>
    <s v="38.1-0-1.6-ERW 1-FC-0.488"/>
    <n v="3"/>
    <x v="14"/>
    <x v="24"/>
    <x v="0"/>
    <x v="0"/>
    <n v="488"/>
    <s v="NOS"/>
    <x v="9"/>
    <n v="0"/>
    <n v="1000"/>
    <n v="0.70247678079999998"/>
    <n v="0"/>
    <n v="0.70247678079999998"/>
    <n v="619.70304485258237"/>
    <n v="0.43532700000000002"/>
    <n v="13.630224999999999"/>
    <n v="1.9569816949999996"/>
    <n v="0.61970304485258232"/>
  </r>
  <r>
    <n v="111"/>
    <s v="Hosur"/>
    <x v="12"/>
    <m/>
    <s v="189226|930794"/>
    <n v="1940731"/>
    <s v="TUB-O-O-AUT-AW-FC-38.10X1.600X0.8120"/>
    <x v="0"/>
    <m/>
    <x v="1"/>
    <x v="1"/>
    <s v="GR1"/>
    <m/>
    <m/>
    <m/>
    <s v="38.1-0-1.6-ERW 1-FC"/>
    <s v="38.1-0-1.6-ERW 1-FC-0.812"/>
    <n v="2"/>
    <x v="14"/>
    <x v="24"/>
    <x v="0"/>
    <x v="0"/>
    <n v="812"/>
    <s v="NOS"/>
    <x v="7"/>
    <n v="0"/>
    <n v="2000"/>
    <n v="2.3377505984"/>
    <n v="0"/>
    <n v="2.3377505984"/>
    <n v="44.245096149603022"/>
    <n v="5.1716999999999999E-2"/>
    <n v="13.630224999999999"/>
    <n v="0.65075978079999997"/>
    <n v="2.2122548074801511E-2"/>
  </r>
  <r>
    <n v="112"/>
    <s v="Hosur"/>
    <x v="12"/>
    <m/>
    <s v="189226|930794"/>
    <n v="3507790"/>
    <s v="CUT-O-N-AUT-AW-FC-38.10X1.600X0.8150"/>
    <x v="0"/>
    <m/>
    <x v="1"/>
    <x v="1"/>
    <m/>
    <m/>
    <m/>
    <m/>
    <s v="38.1-0-1.6-ERW 1-FC"/>
    <s v="38.1-0-1.6-ERW 1-FC-0.815"/>
    <n v="1"/>
    <x v="14"/>
    <x v="24"/>
    <x v="0"/>
    <x v="0"/>
    <n v="815"/>
    <s v="NOS"/>
    <x v="52"/>
    <n v="0"/>
    <n v="500"/>
    <n v="0.58659690200000003"/>
    <n v="0"/>
    <n v="0.58659690200000003"/>
    <n v="0"/>
    <n v="0"/>
    <n v="13.630224999999999"/>
    <n v="2.3377505984"/>
    <n v="0"/>
  </r>
  <r>
    <n v="113"/>
    <s v="Hosur"/>
    <x v="12"/>
    <m/>
    <n v="189226"/>
    <n v="1194658"/>
    <s v="TUB-O-N-AUT-AW-FC-38.10X1.600X0.970"/>
    <x v="0"/>
    <m/>
    <x v="3"/>
    <x v="1"/>
    <m/>
    <m/>
    <m/>
    <m/>
    <s v="38.1-0-1.6-ERW 1-"/>
    <m/>
    <m/>
    <x v="14"/>
    <x v="24"/>
    <x v="0"/>
    <x v="0"/>
    <n v="970"/>
    <m/>
    <x v="30"/>
    <e v="#N/A"/>
    <e v="#N/A"/>
    <n v="0"/>
    <e v="#N/A"/>
    <e v="#N/A"/>
    <e v="#DIV/0!"/>
    <n v="0"/>
    <n v="0"/>
    <n v="0.58659690200000003"/>
    <e v="#N/A"/>
  </r>
  <r>
    <n v="115"/>
    <s v="Hosur"/>
    <x v="12"/>
    <m/>
    <s v="189226|930794"/>
    <n v="1940738"/>
    <s v="TUB-O-O-AUT-AW-FC-38.10X2.000X0.4250"/>
    <x v="0"/>
    <m/>
    <x v="1"/>
    <x v="1"/>
    <m/>
    <m/>
    <m/>
    <m/>
    <s v="38.1-0-2-ERW 1-FC"/>
    <s v="38.1-0-2-ERW 1-FC-0.425"/>
    <n v="2"/>
    <x v="14"/>
    <x v="24"/>
    <x v="0"/>
    <x v="3"/>
    <n v="425"/>
    <s v="NOS"/>
    <x v="12"/>
    <n v="0"/>
    <n v="6000"/>
    <n v="4.5381273900000005"/>
    <n v="0"/>
    <n v="4.5381273900000005"/>
    <n v="0"/>
    <n v="0"/>
    <n v="52.918269000000002"/>
    <n v="0"/>
    <n v="0"/>
  </r>
  <r>
    <n v="116"/>
    <s v="Hosur"/>
    <x v="12"/>
    <m/>
    <s v="189226|930794"/>
    <n v="1940739"/>
    <s v="TUB-O-O-AUT-AW-FC-38.10X2.000X0.4880"/>
    <x v="0"/>
    <m/>
    <x v="1"/>
    <x v="1"/>
    <m/>
    <m/>
    <m/>
    <m/>
    <s v="38.1-0-2-ERW 1-FC"/>
    <s v="38.1-0-2-ERW 1-FC-0.488"/>
    <n v="3"/>
    <x v="14"/>
    <x v="24"/>
    <x v="0"/>
    <x v="3"/>
    <n v="488"/>
    <s v="NOS"/>
    <x v="11"/>
    <n v="0"/>
    <n v="3000"/>
    <n v="2.6054190192000002"/>
    <n v="0"/>
    <n v="2.6054190192000002"/>
    <n v="0"/>
    <n v="0"/>
    <n v="52.918269000000002"/>
    <n v="4.5381273900000005"/>
    <n v="0"/>
  </r>
  <r>
    <n v="118"/>
    <s v="Hosur"/>
    <x v="12"/>
    <m/>
    <s v="189226|930794"/>
    <n v="1940743"/>
    <s v="TUB-O-O-AUT-AW-FC-38.10X2.000X0.8120"/>
    <x v="0"/>
    <m/>
    <x v="1"/>
    <x v="1"/>
    <m/>
    <m/>
    <m/>
    <m/>
    <s v="38.1-0-2-ERW 1-FC"/>
    <s v="38.1-0-2-ERW 1-FC-0.812"/>
    <n v="2"/>
    <x v="14"/>
    <x v="24"/>
    <x v="0"/>
    <x v="3"/>
    <n v="812"/>
    <s v="NOS"/>
    <x v="3"/>
    <n v="0"/>
    <n v="8000"/>
    <n v="11.560657068800001"/>
    <n v="0"/>
    <n v="11.560657068800001"/>
    <n v="394.25025522992183"/>
    <n v="0.56972400000000001"/>
    <n v="52.918269000000002"/>
    <n v="2.0356950192000003"/>
    <n v="4.9281281903740225E-2"/>
  </r>
  <r>
    <n v="119"/>
    <s v="Hosur"/>
    <x v="12"/>
    <m/>
    <n v="189226"/>
    <n v="3539418"/>
    <s v="TUB-O-N-AUT-AW-PE-41.28X2.900X0.4200"/>
    <x v="1"/>
    <m/>
    <x v="3"/>
    <x v="1"/>
    <m/>
    <m/>
    <m/>
    <m/>
    <s v="41.28-0-2.9--"/>
    <m/>
    <m/>
    <x v="15"/>
    <x v="27"/>
    <x v="0"/>
    <x v="27"/>
    <n v="420"/>
    <m/>
    <x v="30"/>
    <e v="#N/A"/>
    <e v="#N/A"/>
    <n v="0"/>
    <e v="#N/A"/>
    <e v="#N/A"/>
    <e v="#DIV/0!"/>
    <n v="0"/>
    <n v="0"/>
    <n v="11.560657068800001"/>
    <e v="#N/A"/>
  </r>
  <r>
    <n v="120"/>
    <s v="Khopoli "/>
    <x v="12"/>
    <m/>
    <s v="189226|930794"/>
    <n v="2417649"/>
    <s v="TUB-O-N-AUT-AN-FC-42.70X3.500X0.2096"/>
    <x v="0"/>
    <s v="Annealed"/>
    <x v="1"/>
    <x v="1"/>
    <m/>
    <s v="Chamferring"/>
    <m/>
    <m/>
    <s v="42.7-0-3.5-ERW 1-FC"/>
    <s v="42.7-0-3.5-ERW 1-FC-0.21"/>
    <n v="3"/>
    <x v="16"/>
    <x v="16"/>
    <x v="0"/>
    <x v="16"/>
    <n v="210"/>
    <s v="NOS"/>
    <x v="0"/>
    <n v="0"/>
    <n v="40000"/>
    <n v="28.407479520000003"/>
    <n v="0"/>
    <n v="28.407479520000003"/>
    <n v="6432.3510247135082"/>
    <n v="4.5681720000000006"/>
    <n v="68.508342000000013"/>
    <n v="-4.5681720000000006"/>
    <n v="0.16080877561783771"/>
  </r>
  <r>
    <n v="123"/>
    <s v="Hosur"/>
    <x v="12"/>
    <m/>
    <n v="189226"/>
    <n v="2325414"/>
    <s v="TUB-O-AW-RHS-50.00X30.00X2.000X0.1400"/>
    <x v="0"/>
    <m/>
    <x v="3"/>
    <x v="1"/>
    <m/>
    <m/>
    <m/>
    <m/>
    <s v="50-30-2-ERW 1-"/>
    <m/>
    <m/>
    <x v="18"/>
    <x v="4"/>
    <x v="1"/>
    <x v="3"/>
    <n v="140"/>
    <m/>
    <x v="30"/>
    <e v="#N/A"/>
    <e v="#N/A"/>
    <n v="0"/>
    <e v="#N/A"/>
    <e v="#N/A"/>
    <e v="#DIV/0!"/>
    <n v="0"/>
    <n v="0"/>
    <n v="28.407479520000003"/>
    <e v="#N/A"/>
  </r>
  <r>
    <n v="124"/>
    <s v="Hosur"/>
    <x v="12"/>
    <m/>
    <s v="189226|930794"/>
    <n v="1940881"/>
    <s v="TUB-R-AW-RHS-50.00X30.00X2.000X0.7300"/>
    <x v="0"/>
    <m/>
    <x v="1"/>
    <x v="1"/>
    <m/>
    <m/>
    <m/>
    <m/>
    <s v="50-30-2-ERW 1-FC"/>
    <s v="50-30-2-ERW 1-FC-0.73"/>
    <n v="1"/>
    <x v="4"/>
    <x v="4"/>
    <x v="1"/>
    <x v="3"/>
    <n v="730"/>
    <s v="NOS"/>
    <x v="32"/>
    <n v="0"/>
    <n v="4500"/>
    <n v="7.9028637839999991"/>
    <n v="0"/>
    <n v="7.9028637839999991"/>
    <n v="426.00069949529075"/>
    <n v="0.748139"/>
    <n v="11.707139000000002"/>
    <n v="-0.748139"/>
    <n v="9.4666822110064608E-2"/>
  </r>
  <r>
    <n v="126"/>
    <s v="Khopoli "/>
    <x v="12"/>
    <m/>
    <s v="189226|930794"/>
    <n v="2396464"/>
    <s v="TUB-O-N-AUT-AN-FC-54.00X3.000X1.1400"/>
    <x v="6"/>
    <m/>
    <x v="1"/>
    <x v="1"/>
    <m/>
    <m/>
    <m/>
    <m/>
    <s v="54-0-3-ERW 2-FC"/>
    <s v="54-0-3-ERW 2-FC-1.14"/>
    <n v="4"/>
    <x v="33"/>
    <x v="33"/>
    <x v="0"/>
    <x v="22"/>
    <n v="1140"/>
    <s v="NOS"/>
    <x v="2"/>
    <n v="0"/>
    <n v="4000"/>
    <n v="17.197114320000001"/>
    <n v="0"/>
    <n v="17.197114320000001"/>
    <n v="1903.6631024733456"/>
    <n v="8.1843780000000006"/>
    <n v="37.081592000000001"/>
    <n v="-0.28151421600000148"/>
    <n v="0.47591577561833642"/>
  </r>
  <r>
    <n v="122"/>
    <s v="Khopoli "/>
    <x v="12"/>
    <m/>
    <s v="189226|930794"/>
    <n v="1938127"/>
    <s v="TUB-S-AW-SHS-50.00X50.00X1.600X0.8470"/>
    <x v="6"/>
    <m/>
    <x v="0"/>
    <x v="0"/>
    <s v="D"/>
    <m/>
    <m/>
    <m/>
    <s v="50-50-1.6-ERW 2-PE"/>
    <s v="50-50-1.6-ERW 2-PE-0.847"/>
    <n v="1"/>
    <x v="34"/>
    <x v="4"/>
    <x v="23"/>
    <x v="0"/>
    <n v="847"/>
    <s v="NOS"/>
    <x v="2"/>
    <n v="0"/>
    <n v="4000"/>
    <n v="8.270910820480001"/>
    <n v="0"/>
    <n v="8.270910820480001"/>
    <n v="66.410098225206482"/>
    <n v="0.13731800000000002"/>
    <n v="8.7573989999999995"/>
    <n v="17.05979632"/>
    <n v="1.6602524556301623E-2"/>
  </r>
  <r>
    <n v="128"/>
    <s v="Khopoli "/>
    <x v="12"/>
    <m/>
    <s v="189226|930794"/>
    <n v="1470103"/>
    <s v="TUB-O-N-AUT-BH-FC-63.50X4.000X0.2360"/>
    <x v="0"/>
    <s v="Annealed"/>
    <x v="1"/>
    <x v="1"/>
    <m/>
    <m/>
    <m/>
    <m/>
    <s v="63.5-0-4-ERW 1-FC"/>
    <s v="63.5-0-4-ERW 1-FC-0.236"/>
    <n v="2"/>
    <x v="34"/>
    <x v="34"/>
    <x v="0"/>
    <x v="12"/>
    <n v="236"/>
    <s v="NOS"/>
    <x v="53"/>
    <n v="1500"/>
    <n v="8000"/>
    <n v="13.152607804000001"/>
    <n v="2.0767275480000005"/>
    <n v="11.075880256"/>
    <n v="430.12382671970988"/>
    <n v="0.59550000000000003"/>
    <n v="26.162720999999998"/>
    <n v="7.6754108204800007"/>
    <n v="0.20317092912839055"/>
  </r>
  <r>
    <n v="396"/>
    <s v="Khopoli "/>
    <x v="12"/>
    <m/>
    <s v="189226|930794"/>
    <n v="1938128"/>
    <s v="TUB-O-N-AUT-AN-FC-70.00X3.200X0.4900"/>
    <x v="6"/>
    <s v="Annealed"/>
    <x v="1"/>
    <x v="1"/>
    <m/>
    <m/>
    <s v="AG"/>
    <m/>
    <s v="70-0-3.2-ERW 2-FC"/>
    <s v="70-0-3.2-ERW 2-FC-0.49"/>
    <n v="1"/>
    <x v="35"/>
    <x v="35"/>
    <x v="0"/>
    <x v="9"/>
    <n v="490"/>
    <s v="NOS"/>
    <x v="2"/>
    <n v="0"/>
    <n v="4000"/>
    <n v="10.3271816704"/>
    <n v="0"/>
    <n v="10.3271816704"/>
    <n v="138.5764331135824"/>
    <n v="0.35777599999999998"/>
    <n v="67.981882000000013"/>
    <n v="12.794831804000001"/>
    <n v="3.4644108278395605E-2"/>
  </r>
  <r>
    <n v="181"/>
    <s v="Hosur"/>
    <x v="13"/>
    <s v="Rajsriya"/>
    <s v="129695|189481|187884|188415|189239|189240"/>
    <n v="1939992"/>
    <s v="TUB-O-O-AUT-AW-PE-12.70X1.600X0.1870"/>
    <x v="0"/>
    <m/>
    <x v="0"/>
    <x v="1"/>
    <m/>
    <m/>
    <m/>
    <m/>
    <s v="12.7-0-1.6-ERW 1-PE"/>
    <s v="12.7-0-1.6-ERW 1-PE-0.187"/>
    <n v="1"/>
    <x v="0"/>
    <x v="0"/>
    <x v="0"/>
    <x v="0"/>
    <n v="187"/>
    <m/>
    <x v="30"/>
    <e v="#N/A"/>
    <e v="#N/A"/>
    <n v="0"/>
    <e v="#N/A"/>
    <e v="#N/A"/>
    <e v="#DIV/0!"/>
    <n v="0"/>
    <n v="11.937059000000001"/>
    <n v="10.3271816704"/>
    <e v="#N/A"/>
  </r>
  <r>
    <n v="195"/>
    <s v="Hosur"/>
    <x v="13"/>
    <s v="Rajsriya"/>
    <s v="129695|189481|187884|188415|189239|189240"/>
    <n v="2440974"/>
    <s v="TUB-O-O-AUT-AW-PE-12.70X1.600X0.2800"/>
    <x v="0"/>
    <m/>
    <x v="0"/>
    <x v="1"/>
    <m/>
    <m/>
    <m/>
    <m/>
    <s v="12.7-0-1.6-ERW 1-PE"/>
    <s v="12.7-0-1.6-ERW 1-PE-0.28"/>
    <n v="2"/>
    <x v="0"/>
    <x v="0"/>
    <x v="0"/>
    <x v="0"/>
    <n v="280"/>
    <m/>
    <x v="30"/>
    <e v="#N/A"/>
    <e v="#N/A"/>
    <n v="0"/>
    <e v="#N/A"/>
    <e v="#N/A"/>
    <e v="#DIV/0!"/>
    <n v="3.7408000000000004E-2"/>
    <n v="11.937059000000001"/>
    <n v="-3.7408000000000004E-2"/>
    <e v="#N/A"/>
  </r>
  <r>
    <n v="204"/>
    <s v="Hosur"/>
    <x v="13"/>
    <s v="Rajsriya"/>
    <s v="129695|189481|187884|188415|189239|189240"/>
    <n v="1900224"/>
    <s v="TUB-O-O-AUT-AW-PE-15.88X1.6.000X6.0000"/>
    <x v="0"/>
    <m/>
    <x v="3"/>
    <x v="1"/>
    <m/>
    <m/>
    <m/>
    <m/>
    <s v="15.88-0-1.6-ERW 1-"/>
    <s v="15.88-0-1.6-ERW 1--6"/>
    <n v="0"/>
    <x v="1"/>
    <x v="1"/>
    <x v="0"/>
    <x v="0"/>
    <n v="6000"/>
    <m/>
    <x v="30"/>
    <e v="#N/A"/>
    <e v="#N/A"/>
    <n v="0"/>
    <e v="#N/A"/>
    <e v="#N/A"/>
    <e v="#DIV/0!"/>
    <n v="0"/>
    <n v="0"/>
    <n v="0"/>
    <e v="#N/A"/>
  </r>
  <r>
    <n v="138"/>
    <s v="Khopoli "/>
    <x v="13"/>
    <s v="Rajsriya"/>
    <s v="129695|189481|187884|188415|189239|189240"/>
    <m/>
    <m/>
    <x v="2"/>
    <m/>
    <x v="2"/>
    <x v="1"/>
    <m/>
    <m/>
    <m/>
    <m/>
    <s v="16.1-0-2.8-CEW-CEW"/>
    <s v="16.1-0-2.8-CEW-CEW-4.5"/>
    <n v="0"/>
    <x v="6"/>
    <x v="6"/>
    <x v="0"/>
    <x v="4"/>
    <n v="4500"/>
    <m/>
    <x v="30"/>
    <e v="#N/A"/>
    <e v="#N/A"/>
    <n v="0"/>
    <e v="#N/A"/>
    <e v="#N/A"/>
    <e v="#DIV/0!"/>
    <n v="0"/>
    <n v="1.9430000000000001"/>
    <n v="0"/>
    <e v="#N/A"/>
  </r>
  <r>
    <n v="403"/>
    <s v="Khopoli "/>
    <x v="13"/>
    <s v="Rajsriya"/>
    <s v="129695|189481|187884|188415|189239|189240"/>
    <n v="1931824"/>
    <s v="TUB-O-N-AUT-AW-PE-17.30X1.200X6.0000"/>
    <x v="2"/>
    <m/>
    <x v="2"/>
    <x v="1"/>
    <m/>
    <m/>
    <m/>
    <m/>
    <s v="17.3-0-1.2-CEW-CEW"/>
    <s v="17.3-0-1.2-CEW-CEW-6"/>
    <n v="0"/>
    <x v="7"/>
    <x v="7"/>
    <x v="0"/>
    <x v="1"/>
    <n v="6000"/>
    <m/>
    <x v="30"/>
    <e v="#N/A"/>
    <e v="#N/A"/>
    <n v="0"/>
    <e v="#N/A"/>
    <e v="#N/A"/>
    <e v="#DIV/0!"/>
    <n v="0"/>
    <n v="0"/>
    <n v="0"/>
    <e v="#N/A"/>
  </r>
  <r>
    <n v="406"/>
    <s v="Khopoli "/>
    <x v="13"/>
    <s v="Rajsriya"/>
    <s v="129695|189481|187884|188415|189239|189240"/>
    <n v="3468207"/>
    <s v="TUB-O-C-AUT-AD-FC-19.00X3.250X5.0000"/>
    <x v="2"/>
    <m/>
    <x v="2"/>
    <x v="1"/>
    <m/>
    <m/>
    <m/>
    <m/>
    <s v="19-12.5-3.25-CEW-CEW"/>
    <s v="19-12.5-3.25-CEW-CEW-5"/>
    <n v="0"/>
    <x v="27"/>
    <x v="22"/>
    <x v="13"/>
    <x v="21"/>
    <n v="5000"/>
    <m/>
    <x v="30"/>
    <e v="#N/A"/>
    <e v="#N/A"/>
    <n v="0"/>
    <e v="#N/A"/>
    <e v="#N/A"/>
    <e v="#DIV/0!"/>
    <n v="0"/>
    <n v="20.418665999999998"/>
    <m/>
    <m/>
  </r>
  <r>
    <n v="211"/>
    <s v="Khopoli "/>
    <x v="13"/>
    <s v="Rajsriya"/>
    <s v="129695|189481|187884|188415|189239|189240"/>
    <m/>
    <m/>
    <x v="2"/>
    <m/>
    <x v="2"/>
    <x v="1"/>
    <m/>
    <m/>
    <m/>
    <m/>
    <s v="19-12.5-3.25-CEW-CEW"/>
    <s v="19-12.5-3.25-CEW-CEW-0.2"/>
    <n v="0"/>
    <x v="2"/>
    <x v="22"/>
    <x v="13"/>
    <x v="21"/>
    <n v="200"/>
    <m/>
    <x v="30"/>
    <e v="#N/A"/>
    <e v="#N/A"/>
    <n v="0"/>
    <e v="#N/A"/>
    <e v="#N/A"/>
    <e v="#DIV/0!"/>
    <n v="0"/>
    <n v="20.418665999999998"/>
    <n v="0"/>
    <e v="#N/A"/>
  </r>
  <r>
    <n v="210"/>
    <s v="Khopoli "/>
    <x v="13"/>
    <s v="Rajsriya"/>
    <s v="129695|189481|187884|188415|189239|189240"/>
    <n v="3545491"/>
    <s v="TUB-I-C-AUT-AD-FC-12.50X3.250X0.3190"/>
    <x v="2"/>
    <m/>
    <x v="2"/>
    <x v="1"/>
    <m/>
    <m/>
    <m/>
    <m/>
    <s v="19-12.5-3.25-CEW-CEW"/>
    <s v="19-12.5-3.25-CEW-CEW-0.319"/>
    <n v="1"/>
    <x v="2"/>
    <x v="22"/>
    <x v="13"/>
    <x v="21"/>
    <n v="319"/>
    <m/>
    <x v="30"/>
    <e v="#N/A"/>
    <e v="#N/A"/>
    <n v="0"/>
    <e v="#N/A"/>
    <e v="#N/A"/>
    <e v="#DIV/0!"/>
    <n v="0"/>
    <n v="20.418665999999998"/>
    <n v="0"/>
    <e v="#N/A"/>
  </r>
  <r>
    <n v="240"/>
    <s v="Hosur"/>
    <x v="13"/>
    <s v="Rajsriya"/>
    <s v="129695|189481|187884|188415|189239|189240"/>
    <n v="1529261"/>
    <s v="TUB-O-N-AUT-AW-PE-19.05X1.600X0.2890"/>
    <x v="0"/>
    <m/>
    <x v="3"/>
    <x v="1"/>
    <m/>
    <m/>
    <m/>
    <m/>
    <s v="19.05-0-1.6-ERW 1-"/>
    <s v="19.05-0-1.6-ERW 1--0.289"/>
    <n v="0"/>
    <x v="2"/>
    <x v="2"/>
    <x v="0"/>
    <x v="0"/>
    <n v="289"/>
    <m/>
    <x v="30"/>
    <e v="#N/A"/>
    <e v="#N/A"/>
    <n v="0"/>
    <e v="#N/A"/>
    <e v="#N/A"/>
    <e v="#DIV/0!"/>
    <n v="0"/>
    <n v="0"/>
    <n v="0"/>
    <e v="#N/A"/>
  </r>
  <r>
    <n v="402"/>
    <s v="Hosur"/>
    <x v="13"/>
    <s v="Rajsriya"/>
    <s v="129695|189481|187884|188415|189239|189240"/>
    <n v="1529260"/>
    <s v="TUB-O-N-AUT-AW-PE-19.05X1.600X0.2990"/>
    <x v="0"/>
    <m/>
    <x v="3"/>
    <x v="1"/>
    <m/>
    <m/>
    <m/>
    <m/>
    <s v="19.05-0-1.6-ERW 1-"/>
    <s v="19.05-0-1.6-ERW 1--0.299"/>
    <n v="0"/>
    <x v="2"/>
    <x v="2"/>
    <x v="0"/>
    <x v="0"/>
    <n v="299"/>
    <m/>
    <x v="30"/>
    <e v="#N/A"/>
    <e v="#N/A"/>
    <n v="0"/>
    <e v="#N/A"/>
    <e v="#N/A"/>
    <e v="#DIV/0!"/>
    <n v="0"/>
    <n v="0"/>
    <m/>
    <m/>
  </r>
  <r>
    <n v="192"/>
    <s v="Hosur"/>
    <x v="13"/>
    <s v="Rajsriya"/>
    <s v="129695|189481|187884|188415|189239|189240"/>
    <n v="2403386"/>
    <s v="TUB-O-N-AUT-AW-PE-19.05X2.000X0.3580"/>
    <x v="0"/>
    <m/>
    <x v="3"/>
    <x v="1"/>
    <m/>
    <m/>
    <m/>
    <m/>
    <s v="19.05-0-2-ERW 1-"/>
    <s v="19.05-0-2-ERW 1--0.358"/>
    <n v="0"/>
    <x v="2"/>
    <x v="2"/>
    <x v="0"/>
    <x v="3"/>
    <n v="358"/>
    <m/>
    <x v="30"/>
    <e v="#N/A"/>
    <e v="#N/A"/>
    <n v="0"/>
    <e v="#N/A"/>
    <e v="#N/A"/>
    <e v="#DIV/0!"/>
    <n v="0"/>
    <n v="0"/>
    <n v="0"/>
    <e v="#N/A"/>
  </r>
  <r>
    <n v="160"/>
    <s v="Hosur"/>
    <x v="13"/>
    <s v="Rajsriya"/>
    <s v="129695|189481|187884|188415|189239|189240"/>
    <n v="1432169"/>
    <s v="TUB-O-N-AUT-AW-PE-19.05X2.000X0.4300"/>
    <x v="0"/>
    <m/>
    <x v="3"/>
    <x v="1"/>
    <m/>
    <m/>
    <m/>
    <m/>
    <s v="19.05-0-2-ERW 1-"/>
    <s v="19.05-0-2-ERW 1--0.43"/>
    <n v="0"/>
    <x v="2"/>
    <x v="2"/>
    <x v="0"/>
    <x v="3"/>
    <n v="430"/>
    <m/>
    <x v="30"/>
    <e v="#N/A"/>
    <e v="#N/A"/>
    <n v="0"/>
    <e v="#N/A"/>
    <e v="#N/A"/>
    <e v="#DIV/0!"/>
    <n v="0"/>
    <n v="0"/>
    <n v="0"/>
    <e v="#N/A"/>
  </r>
  <r>
    <n v="190"/>
    <s v="Hosur"/>
    <x v="13"/>
    <s v="Rajsriya"/>
    <s v="129695|189481|187884|188415|189239|189240"/>
    <n v="2403384"/>
    <s v="TUB-O-N-AUT-AW-PE-19.05X2.000X0.4490"/>
    <x v="0"/>
    <m/>
    <x v="3"/>
    <x v="1"/>
    <m/>
    <m/>
    <m/>
    <m/>
    <s v="19.05-0-2-ERW 1-"/>
    <s v="19.05-0-2-ERW 1--0.449"/>
    <n v="0"/>
    <x v="2"/>
    <x v="2"/>
    <x v="0"/>
    <x v="3"/>
    <n v="449"/>
    <m/>
    <x v="30"/>
    <e v="#N/A"/>
    <e v="#N/A"/>
    <n v="0"/>
    <e v="#N/A"/>
    <e v="#N/A"/>
    <e v="#DIV/0!"/>
    <n v="0"/>
    <n v="0"/>
    <n v="0"/>
    <e v="#N/A"/>
  </r>
  <r>
    <n v="237"/>
    <s v="Khopoli "/>
    <x v="13"/>
    <s v="Rajsriya"/>
    <s v="129695|189481|187884|188415|189239|189240"/>
    <n v="508988"/>
    <s v="PT2-O-N-AUT-AW-PE-19.05X2.300X0.303"/>
    <x v="0"/>
    <m/>
    <x v="3"/>
    <x v="1"/>
    <m/>
    <m/>
    <m/>
    <m/>
    <s v="19.05-0-2.3-ERW 1-"/>
    <s v="19.05-0-2.3-ERW 1--0.303"/>
    <n v="0"/>
    <x v="2"/>
    <x v="2"/>
    <x v="0"/>
    <x v="7"/>
    <n v="303"/>
    <m/>
    <x v="30"/>
    <e v="#N/A"/>
    <e v="#N/A"/>
    <n v="0"/>
    <e v="#N/A"/>
    <e v="#N/A"/>
    <e v="#DIV/0!"/>
    <n v="0"/>
    <n v="0"/>
    <n v="0"/>
    <e v="#N/A"/>
  </r>
  <r>
    <n v="206"/>
    <s v="Hosur"/>
    <x v="13"/>
    <s v="Rajsriya"/>
    <s v="129695|189481|187884|188415|189239|189240"/>
    <n v="508992"/>
    <s v="PT2-O-N-AUT-AW-PE-19.05X2.300X0.459"/>
    <x v="0"/>
    <m/>
    <x v="3"/>
    <x v="1"/>
    <m/>
    <m/>
    <m/>
    <m/>
    <s v="19.05-0-2.3-ERW 1-"/>
    <s v="19.05-0-2.3-ERW 1--0.459"/>
    <n v="0"/>
    <x v="2"/>
    <x v="2"/>
    <x v="0"/>
    <x v="7"/>
    <n v="459"/>
    <m/>
    <x v="30"/>
    <e v="#N/A"/>
    <e v="#N/A"/>
    <n v="0"/>
    <e v="#N/A"/>
    <e v="#N/A"/>
    <e v="#DIV/0!"/>
    <n v="0"/>
    <n v="0"/>
    <n v="0"/>
    <e v="#N/A"/>
  </r>
  <r>
    <n v="226"/>
    <s v="Hosur"/>
    <x v="13"/>
    <s v="Rajsriya"/>
    <s v="129695|189481|187884|188415|189239|189240"/>
    <n v="437150"/>
    <s v="PT2-O-N-AUT-AW-PE-19.05X2.300X0.555"/>
    <x v="0"/>
    <m/>
    <x v="3"/>
    <x v="1"/>
    <m/>
    <m/>
    <m/>
    <m/>
    <s v="19.05-0-2.3-ERW 1-"/>
    <s v="19.05-0-2.3-ERW 1--0.555"/>
    <n v="0"/>
    <x v="2"/>
    <x v="2"/>
    <x v="0"/>
    <x v="7"/>
    <n v="555"/>
    <m/>
    <x v="30"/>
    <e v="#N/A"/>
    <e v="#N/A"/>
    <n v="0"/>
    <e v="#N/A"/>
    <e v="#N/A"/>
    <e v="#DIV/0!"/>
    <n v="0"/>
    <n v="0"/>
    <n v="0"/>
    <e v="#N/A"/>
  </r>
  <r>
    <n v="224"/>
    <s v="Hosur"/>
    <x v="13"/>
    <s v="Rajsriya"/>
    <s v="129695|189481|187884|188415|189239|189240"/>
    <n v="1268694"/>
    <s v="TUB-O-N-AUT-AW-PE-19.05X2.300X7.00-ERW 1"/>
    <x v="0"/>
    <m/>
    <x v="3"/>
    <x v="1"/>
    <m/>
    <m/>
    <m/>
    <m/>
    <s v="19.05-0-2.3-ERW 1-"/>
    <s v="19.05-0-2.3-ERW 1--7"/>
    <n v="0"/>
    <x v="2"/>
    <x v="2"/>
    <x v="0"/>
    <x v="7"/>
    <n v="7000"/>
    <m/>
    <x v="30"/>
    <e v="#N/A"/>
    <e v="#N/A"/>
    <n v="0"/>
    <e v="#N/A"/>
    <e v="#N/A"/>
    <e v="#DIV/0!"/>
    <n v="0"/>
    <n v="0"/>
    <n v="0"/>
    <e v="#N/A"/>
  </r>
  <r>
    <n v="149"/>
    <s v="Hosur"/>
    <x v="13"/>
    <s v="Rajsriya"/>
    <s v="129695|189481|187884|188415|189239|189240"/>
    <n v="2332783"/>
    <s v="TUB-O-N-AUT-AW-PE-19.05X2.300X0.5500"/>
    <x v="0"/>
    <m/>
    <x v="3"/>
    <x v="1"/>
    <m/>
    <m/>
    <m/>
    <m/>
    <s v="19.05-0-2.34-ERW 1-"/>
    <s v="19.05-0-2.34-ERW 1--0.55"/>
    <n v="0"/>
    <x v="2"/>
    <x v="2"/>
    <x v="0"/>
    <x v="28"/>
    <n v="550"/>
    <m/>
    <x v="30"/>
    <e v="#N/A"/>
    <e v="#N/A"/>
    <n v="0"/>
    <e v="#N/A"/>
    <e v="#N/A"/>
    <e v="#DIV/0!"/>
    <n v="0"/>
    <n v="0"/>
    <n v="0"/>
    <e v="#N/A"/>
  </r>
  <r>
    <n v="401"/>
    <s v="Hosur"/>
    <x v="13"/>
    <s v="Rajsriya"/>
    <s v="129695|189481|187884|188415|189239|189240"/>
    <m/>
    <m/>
    <x v="6"/>
    <m/>
    <x v="3"/>
    <x v="1"/>
    <m/>
    <m/>
    <m/>
    <m/>
    <s v="19.05-0-2.5-ERW 2-"/>
    <s v="19.05-0-2.5-ERW 2--0.319"/>
    <n v="0"/>
    <x v="2"/>
    <x v="2"/>
    <x v="0"/>
    <x v="11"/>
    <n v="319"/>
    <m/>
    <x v="30"/>
    <e v="#N/A"/>
    <e v="#N/A"/>
    <n v="0"/>
    <e v="#N/A"/>
    <e v="#N/A"/>
    <e v="#DIV/0!"/>
    <n v="0"/>
    <n v="0"/>
    <n v="0"/>
    <e v="#N/A"/>
  </r>
  <r>
    <n v="208"/>
    <s v="Hosur"/>
    <x v="13"/>
    <s v="Rajsriya"/>
    <s v="129695|189481|187884|188415|189239|189240"/>
    <n v="314118"/>
    <s v="TUB-O-N-AUT-AW-PE-22.20X1.200X0.300"/>
    <x v="1"/>
    <m/>
    <x v="3"/>
    <x v="1"/>
    <m/>
    <m/>
    <m/>
    <m/>
    <s v="22.2-0-1.2--"/>
    <s v="22.2-0-1.2---0.3"/>
    <n v="0"/>
    <x v="8"/>
    <x v="44"/>
    <x v="0"/>
    <x v="1"/>
    <n v="300"/>
    <m/>
    <x v="30"/>
    <e v="#N/A"/>
    <e v="#N/A"/>
    <n v="0"/>
    <e v="#N/A"/>
    <e v="#N/A"/>
    <e v="#DIV/0!"/>
    <n v="0"/>
    <n v="0"/>
    <n v="0"/>
    <e v="#N/A"/>
  </r>
  <r>
    <n v="146"/>
    <s v="Hosur"/>
    <x v="13"/>
    <s v="Rajsriya"/>
    <s v="129695|189481|187884|188415|189239|189240"/>
    <n v="1940360"/>
    <s v="TUB-O-O-AUT-AW-PE-22.23X1.200X0.6000"/>
    <x v="0"/>
    <m/>
    <x v="3"/>
    <x v="1"/>
    <m/>
    <m/>
    <m/>
    <m/>
    <s v="22.23-0-1.2-ERW 1-"/>
    <s v="22.23-0-1.2-ERW 1--0.6"/>
    <n v="0"/>
    <x v="8"/>
    <x v="8"/>
    <x v="0"/>
    <x v="1"/>
    <n v="600"/>
    <m/>
    <x v="30"/>
    <e v="#N/A"/>
    <e v="#N/A"/>
    <n v="0"/>
    <e v="#N/A"/>
    <e v="#N/A"/>
    <e v="#DIV/0!"/>
    <n v="0"/>
    <n v="0"/>
    <n v="0"/>
    <e v="#N/A"/>
  </r>
  <r>
    <n v="234"/>
    <s v="Hosur"/>
    <x v="13"/>
    <s v="Rajsriya"/>
    <s v="129695|189481|187884|188415|189239|189240"/>
    <n v="3747395"/>
    <s v="PT2-O-N-AUT-AW-PE-22.20X1.600X0.361"/>
    <x v="0"/>
    <m/>
    <x v="3"/>
    <x v="1"/>
    <m/>
    <m/>
    <m/>
    <m/>
    <s v="22.23-0-1.6-ERW 1-"/>
    <s v="22.23-0-1.6-ERW 1--0.361"/>
    <n v="0"/>
    <x v="8"/>
    <x v="8"/>
    <x v="0"/>
    <x v="0"/>
    <n v="361"/>
    <m/>
    <x v="30"/>
    <e v="#N/A"/>
    <e v="#N/A"/>
    <n v="0"/>
    <e v="#N/A"/>
    <e v="#N/A"/>
    <e v="#DIV/0!"/>
    <n v="0"/>
    <n v="0"/>
    <n v="0"/>
    <e v="#N/A"/>
  </r>
  <r>
    <n v="180"/>
    <s v="Hosur"/>
    <x v="13"/>
    <s v="Rajsriya"/>
    <s v="129695|189481|187884|188415|189239|189240"/>
    <n v="1940430"/>
    <s v="TUB-O-O-AUT-AW-PE-22.23X2.000X0.2200"/>
    <x v="0"/>
    <m/>
    <x v="3"/>
    <x v="1"/>
    <m/>
    <m/>
    <m/>
    <m/>
    <s v="22.23-0-2-ERW 1-"/>
    <s v="22.23-0-2-ERW 1--0.22"/>
    <n v="0"/>
    <x v="8"/>
    <x v="8"/>
    <x v="0"/>
    <x v="3"/>
    <n v="220"/>
    <m/>
    <x v="30"/>
    <e v="#N/A"/>
    <e v="#N/A"/>
    <n v="0"/>
    <e v="#N/A"/>
    <e v="#N/A"/>
    <e v="#DIV/0!"/>
    <n v="0"/>
    <n v="0"/>
    <n v="0"/>
    <e v="#N/A"/>
  </r>
  <r>
    <n v="231"/>
    <s v="Hosur"/>
    <x v="13"/>
    <s v="Rajsriya"/>
    <s v="129695|189481|187884|188415|189239|189240"/>
    <n v="1174856"/>
    <s v="TUB-O-N-AUT-AW-FC-22.20X2.000X0.505"/>
    <x v="0"/>
    <m/>
    <x v="3"/>
    <x v="1"/>
    <m/>
    <m/>
    <m/>
    <m/>
    <s v="22.23-0-2-ERW 1-"/>
    <s v="22.23-0-2-ERW 1--0.505"/>
    <n v="0"/>
    <x v="8"/>
    <x v="8"/>
    <x v="0"/>
    <x v="3"/>
    <n v="505"/>
    <m/>
    <x v="30"/>
    <e v="#N/A"/>
    <e v="#N/A"/>
    <n v="0"/>
    <e v="#N/A"/>
    <e v="#N/A"/>
    <e v="#DIV/0!"/>
    <n v="0"/>
    <n v="0"/>
    <n v="0"/>
    <e v="#N/A"/>
  </r>
  <r>
    <n v="239"/>
    <s v="Hosur"/>
    <x v="13"/>
    <s v="Rajsriya"/>
    <s v="129695|189481|187884|188415|189239|189240"/>
    <n v="1140411"/>
    <s v="PT2-O-N-AUT-AW-PE-22.20X2.000X0.851"/>
    <x v="0"/>
    <m/>
    <x v="3"/>
    <x v="1"/>
    <m/>
    <m/>
    <m/>
    <m/>
    <s v="22.23-0-2-ERW 1-"/>
    <s v="22.23-0-2-ERW 1--0.851"/>
    <n v="0"/>
    <x v="8"/>
    <x v="8"/>
    <x v="0"/>
    <x v="3"/>
    <n v="851"/>
    <m/>
    <x v="30"/>
    <e v="#N/A"/>
    <e v="#N/A"/>
    <n v="0"/>
    <e v="#N/A"/>
    <e v="#N/A"/>
    <e v="#DIV/0!"/>
    <n v="0"/>
    <n v="0"/>
    <n v="0"/>
    <e v="#N/A"/>
  </r>
  <r>
    <n v="241"/>
    <s v="Hosur"/>
    <x v="13"/>
    <s v="Rajsriya"/>
    <s v="129695|189481|187884|188415|189239|189240"/>
    <n v="1361680"/>
    <s v="TUB-O-N-AUT-AW-PE-22.20X2.000X0.8620"/>
    <x v="0"/>
    <m/>
    <x v="3"/>
    <x v="1"/>
    <m/>
    <m/>
    <m/>
    <m/>
    <s v="22.23-0-2-ERW 1-"/>
    <s v="22.23-0-2-ERW 1--0.862"/>
    <n v="0"/>
    <x v="8"/>
    <x v="8"/>
    <x v="0"/>
    <x v="3"/>
    <n v="862"/>
    <m/>
    <x v="30"/>
    <e v="#N/A"/>
    <e v="#N/A"/>
    <n v="0"/>
    <e v="#N/A"/>
    <e v="#N/A"/>
    <e v="#DIV/0!"/>
    <n v="0"/>
    <n v="0"/>
    <n v="0"/>
    <e v="#N/A"/>
  </r>
  <r>
    <n v="150"/>
    <s v="Hosur"/>
    <x v="13"/>
    <s v="Rajsriya"/>
    <s v="129695|189481|187884|188415|189239|189240"/>
    <n v="1940500"/>
    <s v="TUB-O-O-AUT-AW-PE-22.23X2.300X0.3500"/>
    <x v="0"/>
    <m/>
    <x v="0"/>
    <x v="1"/>
    <m/>
    <m/>
    <m/>
    <m/>
    <s v="22.23-0-2.3-ERW 1-PE"/>
    <s v="22.23-0-2.3-ERW 1-PE-0.35"/>
    <n v="1"/>
    <x v="8"/>
    <x v="8"/>
    <x v="0"/>
    <x v="7"/>
    <n v="350"/>
    <m/>
    <x v="30"/>
    <e v="#N/A"/>
    <e v="#N/A"/>
    <n v="0"/>
    <e v="#N/A"/>
    <e v="#N/A"/>
    <e v="#DIV/0!"/>
    <n v="0"/>
    <n v="3.4099889999999999"/>
    <n v="0"/>
    <e v="#N/A"/>
  </r>
  <r>
    <n v="227"/>
    <s v="Hosur"/>
    <x v="13"/>
    <s v="Rajsriya"/>
    <s v="129695|189481|187884|188415|189239|189240"/>
    <n v="1940504"/>
    <s v="TUB-O-O-AUT-AW-PE-22.23X2.300X0.4990"/>
    <x v="1"/>
    <m/>
    <x v="0"/>
    <x v="1"/>
    <m/>
    <m/>
    <m/>
    <m/>
    <s v="22.23-0-2.3--PE"/>
    <s v="22.23-0-2.3--PE-0.499"/>
    <n v="0"/>
    <x v="8"/>
    <x v="8"/>
    <x v="0"/>
    <x v="7"/>
    <n v="499"/>
    <m/>
    <x v="30"/>
    <e v="#N/A"/>
    <e v="#N/A"/>
    <n v="0"/>
    <e v="#N/A"/>
    <e v="#N/A"/>
    <e v="#DIV/0!"/>
    <n v="0"/>
    <n v="0"/>
    <n v="0"/>
    <e v="#N/A"/>
  </r>
  <r>
    <n v="236"/>
    <s v="Hosur"/>
    <x v="13"/>
    <s v="Rajsriya"/>
    <s v="129695|189481|187884|188415|189239|189240"/>
    <n v="1119129"/>
    <s v="PT2-O-N-AUT-AW-PE-25.40X1.600X0.360"/>
    <x v="0"/>
    <m/>
    <x v="3"/>
    <x v="1"/>
    <m/>
    <m/>
    <m/>
    <m/>
    <s v="25.4-0-1.6-ERW 1-"/>
    <s v="25.4-0-1.6-ERW 1--0.36"/>
    <n v="0"/>
    <x v="3"/>
    <x v="3"/>
    <x v="0"/>
    <x v="0"/>
    <n v="360"/>
    <m/>
    <x v="30"/>
    <e v="#N/A"/>
    <e v="#N/A"/>
    <n v="0"/>
    <e v="#N/A"/>
    <e v="#N/A"/>
    <e v="#DIV/0!"/>
    <n v="0"/>
    <n v="0"/>
    <n v="0"/>
    <e v="#N/A"/>
  </r>
  <r>
    <n v="222"/>
    <s v="Hosur"/>
    <x v="13"/>
    <s v="Rajsriya"/>
    <s v="129695|189481|187884|188415|189239|189240"/>
    <s v="NEW SIZE"/>
    <m/>
    <x v="1"/>
    <m/>
    <x v="3"/>
    <x v="1"/>
    <m/>
    <m/>
    <m/>
    <m/>
    <s v="25.4-0-2--"/>
    <s v="25.4-0-2---0.567"/>
    <n v="0"/>
    <x v="3"/>
    <x v="3"/>
    <x v="0"/>
    <x v="3"/>
    <n v="567"/>
    <m/>
    <x v="30"/>
    <e v="#N/A"/>
    <e v="#N/A"/>
    <n v="0"/>
    <e v="#N/A"/>
    <e v="#N/A"/>
    <e v="#DIV/0!"/>
    <n v="0"/>
    <n v="0"/>
    <m/>
    <m/>
  </r>
  <r>
    <n v="215"/>
    <s v="Hosur"/>
    <x v="13"/>
    <s v="Rajsriya"/>
    <s v="129695|189481|187884|188415|189239|189240"/>
    <n v="1531609"/>
    <s v="TUB-O-N-AUT-AW-FC-25.40X2.000X0.6000"/>
    <x v="1"/>
    <m/>
    <x v="3"/>
    <x v="1"/>
    <m/>
    <m/>
    <m/>
    <m/>
    <s v="25.4-0-2--"/>
    <s v="25.4-0-2---0.6"/>
    <n v="0"/>
    <x v="3"/>
    <x v="3"/>
    <x v="0"/>
    <x v="3"/>
    <n v="600"/>
    <m/>
    <x v="30"/>
    <e v="#N/A"/>
    <e v="#N/A"/>
    <n v="0"/>
    <e v="#N/A"/>
    <e v="#N/A"/>
    <e v="#DIV/0!"/>
    <n v="0"/>
    <n v="0"/>
    <n v="0"/>
    <e v="#N/A"/>
  </r>
  <r>
    <n v="223"/>
    <s v="Hosur"/>
    <x v="13"/>
    <s v="Rajsriya"/>
    <s v="129695|189481|187884|188415|189239|189240"/>
    <n v="1190412"/>
    <s v="TUB-O-N-AUT-AW-PE-25.40X2.000X0.657"/>
    <x v="1"/>
    <m/>
    <x v="3"/>
    <x v="1"/>
    <m/>
    <m/>
    <m/>
    <m/>
    <s v="25.4-0-2--"/>
    <s v="25.4-0-2---0.657"/>
    <n v="0"/>
    <x v="3"/>
    <x v="3"/>
    <x v="0"/>
    <x v="3"/>
    <n v="657"/>
    <m/>
    <x v="30"/>
    <e v="#N/A"/>
    <e v="#N/A"/>
    <n v="0"/>
    <e v="#N/A"/>
    <e v="#N/A"/>
    <e v="#DIV/0!"/>
    <n v="0"/>
    <n v="0"/>
    <m/>
    <m/>
  </r>
  <r>
    <n v="221"/>
    <s v="Hosur"/>
    <x v="13"/>
    <s v="Rajsriya"/>
    <s v="129695|189481|187884|188415|189239|189240"/>
    <s v="NEW SIZE"/>
    <m/>
    <x v="1"/>
    <m/>
    <x v="3"/>
    <x v="1"/>
    <m/>
    <m/>
    <m/>
    <m/>
    <s v="25.4-0-2--"/>
    <s v="25.4-0-2---0.66"/>
    <n v="0"/>
    <x v="3"/>
    <x v="3"/>
    <x v="0"/>
    <x v="3"/>
    <n v="660"/>
    <m/>
    <x v="30"/>
    <e v="#N/A"/>
    <e v="#N/A"/>
    <n v="0"/>
    <e v="#N/A"/>
    <e v="#N/A"/>
    <e v="#DIV/0!"/>
    <n v="0"/>
    <n v="0"/>
    <n v="0"/>
    <e v="#N/A"/>
  </r>
  <r>
    <n v="232"/>
    <s v="Hosur"/>
    <x v="13"/>
    <s v="Rajsriya"/>
    <s v="129695|189481|187884|188415|189239|189240"/>
    <n v="1140302"/>
    <s v="PT2-O-N-AUT-AW-PE-25.40X2.600X0.360"/>
    <x v="0"/>
    <m/>
    <x v="3"/>
    <x v="1"/>
    <m/>
    <m/>
    <m/>
    <m/>
    <s v="25.4-0-2.6-ERW 1-"/>
    <s v="25.4-0-2.6-ERW 1--0.36"/>
    <n v="0"/>
    <x v="3"/>
    <x v="3"/>
    <x v="0"/>
    <x v="13"/>
    <n v="360"/>
    <m/>
    <x v="30"/>
    <e v="#N/A"/>
    <e v="#N/A"/>
    <n v="0"/>
    <e v="#N/A"/>
    <e v="#N/A"/>
    <e v="#DIV/0!"/>
    <n v="0"/>
    <n v="0"/>
    <n v="0"/>
    <e v="#N/A"/>
  </r>
  <r>
    <n v="409"/>
    <s v="Khopoli "/>
    <x v="13"/>
    <s v="Rajsriya"/>
    <s v="129695|189481|187884|188415|189239|189240"/>
    <n v="1941408"/>
    <s v="TUB-O-C-AUT-AD-FC-25.40X2.500X3.7300"/>
    <x v="2"/>
    <m/>
    <x v="2"/>
    <x v="1"/>
    <m/>
    <m/>
    <m/>
    <m/>
    <s v="25.4-20.4-2.5-CEW-CEW"/>
    <s v="25.4-20.4-2.5-CEW-CEW-3.73"/>
    <n v="0"/>
    <x v="3"/>
    <x v="3"/>
    <x v="6"/>
    <x v="11"/>
    <n v="3730"/>
    <m/>
    <x v="30"/>
    <e v="#N/A"/>
    <e v="#N/A"/>
    <n v="0"/>
    <e v="#N/A"/>
    <e v="#N/A"/>
    <e v="#DIV/0!"/>
    <n v="0"/>
    <n v="0"/>
    <n v="0"/>
    <e v="#N/A"/>
  </r>
  <r>
    <n v="213"/>
    <s v="Khopoli "/>
    <x v="13"/>
    <s v="Rajsriya"/>
    <s v="129695|189481|187884|188415|189239|189240"/>
    <n v="503108"/>
    <s v="PT3-I-C-AUT-AD-CH-25.50X2.320X0.485"/>
    <x v="2"/>
    <m/>
    <x v="2"/>
    <x v="1"/>
    <m/>
    <m/>
    <m/>
    <m/>
    <s v="30.15-25.5-2.32-CEW-CEW"/>
    <s v="30.15-25.5-2.32-CEW-CEW-0.485"/>
    <n v="0"/>
    <x v="42"/>
    <x v="45"/>
    <x v="9"/>
    <x v="29"/>
    <n v="485"/>
    <m/>
    <x v="30"/>
    <e v="#N/A"/>
    <e v="#N/A"/>
    <n v="0"/>
    <e v="#N/A"/>
    <e v="#N/A"/>
    <e v="#DIV/0!"/>
    <n v="0"/>
    <n v="0"/>
    <n v="0"/>
    <e v="#N/A"/>
  </r>
  <r>
    <n v="229"/>
    <s v="Hosur"/>
    <x v="13"/>
    <s v="Rajsriya"/>
    <s v="129695|189481|187884|188415|189239|189240"/>
    <n v="444028"/>
    <s v="PT2-O-N-AUT-AW-PE-31.75X1.200X0.600"/>
    <x v="1"/>
    <m/>
    <x v="3"/>
    <x v="1"/>
    <m/>
    <m/>
    <m/>
    <m/>
    <s v="31.75-0-1.2--"/>
    <s v="31.75-0-1.2---0.6"/>
    <n v="0"/>
    <x v="12"/>
    <x v="13"/>
    <x v="0"/>
    <x v="1"/>
    <n v="600"/>
    <m/>
    <x v="30"/>
    <e v="#N/A"/>
    <e v="#N/A"/>
    <n v="0"/>
    <e v="#N/A"/>
    <e v="#N/A"/>
    <e v="#DIV/0!"/>
    <n v="0"/>
    <n v="0"/>
    <n v="0"/>
    <e v="#N/A"/>
  </r>
  <r>
    <n v="136"/>
    <s v="Hosur"/>
    <x v="13"/>
    <s v="Rajsriya"/>
    <s v="129695|189481|187884|188415|189239|189240"/>
    <m/>
    <m/>
    <x v="2"/>
    <m/>
    <x v="2"/>
    <x v="1"/>
    <m/>
    <m/>
    <m/>
    <m/>
    <s v="36-34-0.91-CEW-CEW"/>
    <s v="36-34-0.91-CEW-CEW-0.168"/>
    <n v="0"/>
    <x v="43"/>
    <x v="46"/>
    <x v="10"/>
    <x v="30"/>
    <n v="168"/>
    <m/>
    <x v="30"/>
    <e v="#N/A"/>
    <e v="#N/A"/>
    <n v="0"/>
    <e v="#N/A"/>
    <e v="#N/A"/>
    <e v="#DIV/0!"/>
    <n v="0"/>
    <n v="0"/>
    <n v="0"/>
    <e v="#N/A"/>
  </r>
  <r>
    <n v="201"/>
    <s v="Hosur"/>
    <x v="13"/>
    <s v="Rajsriya"/>
    <s v="129695|189481|187884|188415|189239|189240"/>
    <n v="1940745"/>
    <s v="TUB-O-O-AUT-AW-FC-38.10X2.000X0.9270"/>
    <x v="0"/>
    <m/>
    <x v="3"/>
    <x v="1"/>
    <m/>
    <m/>
    <m/>
    <m/>
    <s v="38.1-0-2-ERW 1-"/>
    <s v="38.1-0-2-ERW 1--0.927"/>
    <n v="0"/>
    <x v="14"/>
    <x v="24"/>
    <x v="0"/>
    <x v="3"/>
    <n v="927"/>
    <m/>
    <x v="30"/>
    <e v="#N/A"/>
    <e v="#N/A"/>
    <n v="0"/>
    <e v="#N/A"/>
    <e v="#N/A"/>
    <e v="#DIV/0!"/>
    <n v="0"/>
    <n v="0"/>
    <n v="0"/>
    <e v="#N/A"/>
  </r>
  <r>
    <n v="230"/>
    <s v="Hosur"/>
    <x v="13"/>
    <s v="Rajsriya"/>
    <s v="129695|189481|187884|188415|189239|189240"/>
    <n v="3087646"/>
    <s v="PT4-O-N-AUT-AW-FC-41.28X2.600X0.8480"/>
    <x v="0"/>
    <m/>
    <x v="1"/>
    <x v="1"/>
    <m/>
    <m/>
    <m/>
    <m/>
    <s v="41.28-0-2.6-ERW 1-FC"/>
    <s v="41.28-0-2.6-ERW 1-FC-0.848"/>
    <n v="2"/>
    <x v="15"/>
    <x v="27"/>
    <x v="0"/>
    <x v="13"/>
    <n v="848"/>
    <m/>
    <x v="30"/>
    <e v="#N/A"/>
    <e v="#N/A"/>
    <n v="0"/>
    <e v="#N/A"/>
    <e v="#N/A"/>
    <e v="#DIV/0!"/>
    <n v="0"/>
    <n v="0.27027099999999998"/>
    <n v="0"/>
    <e v="#N/A"/>
  </r>
  <r>
    <n v="216"/>
    <s v="Hosur"/>
    <x v="13"/>
    <s v="Rajsriya"/>
    <s v="129695|189481|187884|188415|189239|189240"/>
    <n v="3605867"/>
    <s v="TUB-O-N-AUT-AW-FC-41.28X3.200X0.2350"/>
    <x v="0"/>
    <m/>
    <x v="3"/>
    <x v="1"/>
    <m/>
    <m/>
    <m/>
    <m/>
    <s v="41.28-0-3.2-ERW 1-"/>
    <s v="41.28-0-3.2-ERW 1--0.235"/>
    <n v="0"/>
    <x v="15"/>
    <x v="27"/>
    <x v="0"/>
    <x v="9"/>
    <n v="235"/>
    <m/>
    <x v="30"/>
    <e v="#N/A"/>
    <e v="#N/A"/>
    <n v="0"/>
    <e v="#N/A"/>
    <e v="#N/A"/>
    <e v="#DIV/0!"/>
    <n v="0"/>
    <n v="0"/>
    <n v="0"/>
    <e v="#N/A"/>
  </r>
  <r>
    <n v="228"/>
    <s v="Hosur"/>
    <x v="13"/>
    <s v="Rajsriya"/>
    <s v="129695|189481|187884|188415|189239|189240"/>
    <n v="1511515"/>
    <s v="TUB-O-N-AUT-BH-FC-42.70X4.000X0.2080"/>
    <x v="0"/>
    <s v="Annealed"/>
    <x v="3"/>
    <x v="1"/>
    <m/>
    <m/>
    <m/>
    <m/>
    <s v="42.7-0-4-ERW 1-"/>
    <s v="42.7-0-4-ERW 1--0.208"/>
    <n v="0"/>
    <x v="16"/>
    <x v="16"/>
    <x v="0"/>
    <x v="12"/>
    <n v="208"/>
    <m/>
    <x v="30"/>
    <e v="#N/A"/>
    <e v="#N/A"/>
    <n v="0"/>
    <e v="#N/A"/>
    <e v="#N/A"/>
    <e v="#DIV/0!"/>
    <n v="0"/>
    <n v="0"/>
    <n v="0"/>
    <e v="#N/A"/>
  </r>
  <r>
    <n v="408"/>
    <s v="Khopoli "/>
    <x v="13"/>
    <s v="Rajsriya"/>
    <s v="129695|189481|187884|188415|189239|189240"/>
    <n v="2426233"/>
    <s v="TUB-O-N-AUT-AN-FC-42.70X4.000X5.7300"/>
    <x v="2"/>
    <s v="Annealed"/>
    <x v="2"/>
    <x v="1"/>
    <m/>
    <m/>
    <m/>
    <m/>
    <s v="42.7-0-4-CEW-CEW"/>
    <s v="42.7-0-4-CEW-CEW-5.739"/>
    <n v="0"/>
    <x v="16"/>
    <x v="16"/>
    <x v="0"/>
    <x v="12"/>
    <n v="5739"/>
    <m/>
    <x v="30"/>
    <e v="#N/A"/>
    <e v="#N/A"/>
    <n v="0"/>
    <e v="#N/A"/>
    <e v="#N/A"/>
    <e v="#DIV/0!"/>
    <n v="0"/>
    <n v="0"/>
    <n v="0"/>
    <e v="#N/A"/>
  </r>
  <r>
    <n v="214"/>
    <s v="Hosur"/>
    <x v="13"/>
    <s v="Rajsriya"/>
    <s v="129695|189481|187884|188415|189239|189240"/>
    <n v="1940829"/>
    <s v="TUB-R-AW-RHS-40.00X30.00X1.600X0.3140"/>
    <x v="0"/>
    <m/>
    <x v="3"/>
    <x v="1"/>
    <m/>
    <m/>
    <m/>
    <m/>
    <s v="40-30-1.6-ERW 1-"/>
    <s v="40-30-1.6-ERW 1--0.314"/>
    <n v="0"/>
    <x v="17"/>
    <x v="15"/>
    <x v="1"/>
    <x v="0"/>
    <n v="314"/>
    <m/>
    <x v="30"/>
    <e v="#N/A"/>
    <e v="#N/A"/>
    <n v="0"/>
    <e v="#N/A"/>
    <e v="#N/A"/>
    <e v="#DIV/0!"/>
    <n v="0"/>
    <n v="0"/>
    <n v="0"/>
    <e v="#N/A"/>
  </r>
  <r>
    <n v="154"/>
    <s v="Hosur"/>
    <x v="13"/>
    <s v="Rajsriya"/>
    <s v="129695|189481|187884|188415|189239|189240"/>
    <n v="3616912"/>
    <s v="TUB-R-AW-AUT-40.00X30.00X1.600X0.8520"/>
    <x v="0"/>
    <m/>
    <x v="3"/>
    <x v="1"/>
    <m/>
    <m/>
    <m/>
    <m/>
    <s v="40-30-1.6-ERW 1-"/>
    <s v="40-30-1.6-ERW 1--0.852"/>
    <n v="0"/>
    <x v="17"/>
    <x v="15"/>
    <x v="1"/>
    <x v="0"/>
    <n v="852"/>
    <m/>
    <x v="30"/>
    <e v="#N/A"/>
    <e v="#N/A"/>
    <n v="0"/>
    <e v="#N/A"/>
    <e v="#N/A"/>
    <e v="#DIV/0!"/>
    <n v="0"/>
    <n v="0"/>
    <n v="0"/>
    <e v="#N/A"/>
  </r>
  <r>
    <n v="156"/>
    <s v="Hosur"/>
    <x v="13"/>
    <s v="Rajsriya"/>
    <s v="129695|189481|187884|188415|189239|189240"/>
    <m/>
    <s v="CUT-O-N-AUT-AW-FC-57.15X2.000X0.409"/>
    <x v="0"/>
    <m/>
    <x v="3"/>
    <x v="1"/>
    <m/>
    <m/>
    <m/>
    <m/>
    <s v="57.15-0-2-ERW 1-"/>
    <s v="57.15-0-2-ERW 1--0.409"/>
    <n v="0"/>
    <x v="19"/>
    <x v="19"/>
    <x v="0"/>
    <x v="3"/>
    <n v="409"/>
    <m/>
    <x v="30"/>
    <e v="#N/A"/>
    <e v="#N/A"/>
    <n v="0"/>
    <e v="#N/A"/>
    <e v="#N/A"/>
    <e v="#DIV/0!"/>
    <n v="0"/>
    <n v="0"/>
    <n v="0"/>
    <e v="#N/A"/>
  </r>
  <r>
    <n v="404"/>
    <s v="Hosur"/>
    <x v="13"/>
    <s v="Rajsriya"/>
    <s v="129695|189481|187884|188415|189239|189240"/>
    <n v="3727461"/>
    <s v="CUT-O-N-AUT-AW-FC-57.15X2.000X0.4130"/>
    <x v="0"/>
    <m/>
    <x v="3"/>
    <x v="1"/>
    <m/>
    <m/>
    <m/>
    <m/>
    <s v="57.15-0-2-ERW 1-"/>
    <s v="57.15-0-2-ERW 1--0.413"/>
    <n v="0"/>
    <x v="19"/>
    <x v="19"/>
    <x v="0"/>
    <x v="3"/>
    <n v="413"/>
    <m/>
    <x v="30"/>
    <e v="#N/A"/>
    <e v="#N/A"/>
    <n v="0"/>
    <e v="#N/A"/>
    <e v="#N/A"/>
    <e v="#DIV/0!"/>
    <n v="0"/>
    <n v="0"/>
    <n v="0"/>
    <e v="#N/A"/>
  </r>
  <r>
    <n v="220"/>
    <s v="Hosur"/>
    <x v="13"/>
    <s v="Rajsriya"/>
    <s v="129695|189481|187884|188415|189239|189240"/>
    <s v="NO MATERIAL CODE"/>
    <m/>
    <x v="1"/>
    <m/>
    <x v="3"/>
    <x v="1"/>
    <m/>
    <m/>
    <m/>
    <m/>
    <s v="57.15-0-2.5--"/>
    <s v="57.15-0-2.5---0.376"/>
    <n v="0"/>
    <x v="19"/>
    <x v="19"/>
    <x v="0"/>
    <x v="11"/>
    <n v="376"/>
    <m/>
    <x v="30"/>
    <e v="#N/A"/>
    <e v="#N/A"/>
    <n v="0"/>
    <e v="#N/A"/>
    <e v="#N/A"/>
    <e v="#DIV/0!"/>
    <n v="0"/>
    <n v="0"/>
    <n v="0"/>
    <e v="#N/A"/>
  </r>
  <r>
    <n v="233"/>
    <s v="Hosur"/>
    <x v="13"/>
    <s v="Rajsriya"/>
    <s v="129695|189481|187884|188415|189239|189240"/>
    <n v="1940913"/>
    <s v="TUB-O-O-AUT-AW-FC-57.15X2.500X0.8120"/>
    <x v="1"/>
    <m/>
    <x v="3"/>
    <x v="1"/>
    <m/>
    <m/>
    <m/>
    <m/>
    <s v="57.15-0-2.5--"/>
    <s v="57.15-0-2.5---0.812"/>
    <n v="0"/>
    <x v="19"/>
    <x v="19"/>
    <x v="0"/>
    <x v="11"/>
    <n v="812"/>
    <m/>
    <x v="30"/>
    <e v="#N/A"/>
    <e v="#N/A"/>
    <n v="0"/>
    <e v="#N/A"/>
    <e v="#N/A"/>
    <e v="#DIV/0!"/>
    <n v="0"/>
    <n v="0"/>
    <n v="0"/>
    <e v="#N/A"/>
  </r>
  <r>
    <n v="217"/>
    <s v="Khopoli "/>
    <x v="13"/>
    <s v="Rajsriya"/>
    <s v="129695|189481|187884|188415|189239|189240"/>
    <n v="3662752"/>
    <s v="TUB-O-N-AUT-AW-FC-60.30X2.000X0.4930"/>
    <x v="1"/>
    <m/>
    <x v="3"/>
    <x v="1"/>
    <m/>
    <m/>
    <m/>
    <m/>
    <s v="60.3-0-2--"/>
    <s v="60.3-0-2---0.493"/>
    <n v="0"/>
    <x v="29"/>
    <x v="29"/>
    <x v="0"/>
    <x v="3"/>
    <n v="493"/>
    <m/>
    <x v="30"/>
    <e v="#N/A"/>
    <e v="#N/A"/>
    <n v="0"/>
    <e v="#N/A"/>
    <e v="#N/A"/>
    <e v="#DIV/0!"/>
    <n v="0"/>
    <n v="0"/>
    <n v="0"/>
    <e v="#N/A"/>
  </r>
  <r>
    <n v="407"/>
    <s v="Khopoli "/>
    <x v="13"/>
    <s v="Rajsriya"/>
    <s v="129695|189481|187884|188415|189239|189240"/>
    <n v="3594528"/>
    <s v="TUB-O-N-AUT-AW-FC-60.30X2.000X6.0000"/>
    <x v="2"/>
    <m/>
    <x v="2"/>
    <x v="1"/>
    <m/>
    <m/>
    <m/>
    <m/>
    <s v="60.3-0-2-CEW-CEW"/>
    <s v="60.3-0-2-CEW-CEW-6"/>
    <n v="0"/>
    <x v="29"/>
    <x v="29"/>
    <x v="0"/>
    <x v="3"/>
    <n v="6000"/>
    <m/>
    <x v="30"/>
    <e v="#N/A"/>
    <e v="#N/A"/>
    <n v="0"/>
    <e v="#N/A"/>
    <e v="#N/A"/>
    <e v="#DIV/0!"/>
    <n v="0"/>
    <n v="0"/>
    <n v="0"/>
    <e v="#N/A"/>
  </r>
  <r>
    <n v="129"/>
    <s v="Khopoli "/>
    <x v="14"/>
    <s v="Rajsriya"/>
    <s v="930883|189481"/>
    <m/>
    <m/>
    <x v="2"/>
    <m/>
    <x v="2"/>
    <x v="1"/>
    <m/>
    <m/>
    <m/>
    <m/>
    <s v="12-0-1.6-CEW-CEW"/>
    <s v="12-0-1.6-CEW-CEW"/>
    <n v="0"/>
    <x v="44"/>
    <x v="47"/>
    <x v="0"/>
    <x v="0"/>
    <n v="1000"/>
    <s v="M"/>
    <x v="30"/>
    <n v="0"/>
    <n v="0"/>
    <n v="0"/>
    <n v="0"/>
    <n v="0"/>
    <e v="#DIV/0!"/>
    <n v="0"/>
    <n v="0"/>
    <n v="0"/>
    <e v="#DIV/0!"/>
  </r>
  <r>
    <n v="131"/>
    <s v="Hosur"/>
    <x v="14"/>
    <s v="Rajsriya"/>
    <s v="930883|189481"/>
    <n v="1939993"/>
    <s v="TUB-O-O-AUT-AW-PE-12.70X1.600X0.2500"/>
    <x v="0"/>
    <m/>
    <x v="0"/>
    <x v="1"/>
    <m/>
    <m/>
    <m/>
    <m/>
    <s v="12.7-0-1.6-ERW 1-PE"/>
    <s v="12.7-0-1.6-ERW 1-PE-0.25"/>
    <n v="1"/>
    <x v="0"/>
    <x v="0"/>
    <x v="0"/>
    <x v="0"/>
    <n v="250"/>
    <s v="NOS"/>
    <x v="4"/>
    <n v="0"/>
    <n v="10000"/>
    <n v="1.0944156"/>
    <n v="0"/>
    <n v="1.0944156"/>
    <n v="10376.131334385218"/>
    <n v="1.13558"/>
    <n v="11.937059000000001"/>
    <n v="-1.13558"/>
    <e v="#DIV/0!"/>
  </r>
  <r>
    <n v="133"/>
    <s v="Hosur"/>
    <x v="14"/>
    <s v="Rajsriya"/>
    <s v="930883|189481"/>
    <n v="1939996"/>
    <s v="TUB-O-O-AUT-AW-PE-12.70X1.600X0.2950"/>
    <x v="0"/>
    <m/>
    <x v="0"/>
    <x v="1"/>
    <m/>
    <m/>
    <m/>
    <m/>
    <s v="12.7-0-1.6-ERW 1-PE"/>
    <s v="12.7-0-1.6-ERW 1-PE-0.295"/>
    <n v="1"/>
    <x v="0"/>
    <x v="0"/>
    <x v="0"/>
    <x v="0"/>
    <n v="295"/>
    <s v="NOS"/>
    <x v="4"/>
    <n v="0"/>
    <n v="10000"/>
    <n v="1.291410408"/>
    <n v="0"/>
    <n v="1.291410408"/>
    <n v="11281.773717902388"/>
    <n v="1.4569399999999999"/>
    <n v="11.937059000000001"/>
    <m/>
    <m/>
  </r>
  <r>
    <n v="405"/>
    <s v="Khopoli "/>
    <x v="14"/>
    <s v="Rajsriya"/>
    <s v="930883|189481"/>
    <n v="2363145"/>
    <s v="TUB-O-C-AUT-AN-FC-14.00X2.450X5.0000"/>
    <x v="2"/>
    <m/>
    <x v="3"/>
    <x v="1"/>
    <m/>
    <m/>
    <m/>
    <m/>
    <s v="14-0-2.45-CEW-"/>
    <m/>
    <m/>
    <x v="5"/>
    <x v="5"/>
    <x v="0"/>
    <x v="20"/>
    <n v="5000"/>
    <s v="M"/>
    <x v="30"/>
    <n v="0"/>
    <n v="0"/>
    <n v="0"/>
    <n v="0"/>
    <n v="0"/>
    <e v="#DIV/0!"/>
    <n v="0"/>
    <n v="0"/>
    <m/>
    <m/>
  </r>
  <r>
    <n v="135"/>
    <s v="Hosur"/>
    <x v="14"/>
    <s v="Rajsriya"/>
    <s v="930883|189481"/>
    <n v="1940090"/>
    <s v="TUB-O-O-AUT-AW-PE-15.88X2.000X0.2910"/>
    <x v="0"/>
    <m/>
    <x v="0"/>
    <x v="1"/>
    <m/>
    <m/>
    <m/>
    <m/>
    <s v="15.88-0-2-ERW 1-PE"/>
    <s v="15.88-0-2-ERW 1-PE-0.291"/>
    <n v="3"/>
    <x v="1"/>
    <x v="1"/>
    <x v="0"/>
    <x v="3"/>
    <n v="291"/>
    <s v="NOS"/>
    <x v="4"/>
    <n v="0"/>
    <n v="10000"/>
    <n v="1.9911856584000003"/>
    <n v="0"/>
    <n v="1.9911856584000003"/>
    <n v="4088.1220521350047"/>
    <n v="0.81402099999999999"/>
    <n v="14.942643"/>
    <m/>
    <m/>
  </r>
  <r>
    <n v="139"/>
    <s v="Hosur"/>
    <x v="14"/>
    <s v="Rajsriya"/>
    <s v="930883|189481"/>
    <n v="2243845"/>
    <s v="TUB-O-N-AUT-HR-PE-15.88X2.000X0.4420"/>
    <x v="0"/>
    <m/>
    <x v="0"/>
    <x v="1"/>
    <m/>
    <m/>
    <m/>
    <m/>
    <s v="15.88-0-2-ERW 1-PE"/>
    <m/>
    <m/>
    <x v="1"/>
    <x v="1"/>
    <x v="0"/>
    <x v="3"/>
    <n v="442"/>
    <s v="NOS"/>
    <x v="30"/>
    <n v="0"/>
    <n v="0"/>
    <n v="0"/>
    <n v="0"/>
    <n v="0"/>
    <e v="#DIV/0!"/>
    <n v="0"/>
    <n v="14.942643"/>
    <m/>
    <m/>
  </r>
  <r>
    <n v="134"/>
    <s v="Khopoli "/>
    <x v="14"/>
    <s v="Rajsriya"/>
    <s v="930883|189481"/>
    <m/>
    <m/>
    <x v="2"/>
    <m/>
    <x v="2"/>
    <x v="1"/>
    <m/>
    <m/>
    <m/>
    <m/>
    <s v="16.1-10.4-2.7-CEW-CEW"/>
    <s v="16.1-10.4-2.7-CEW-CEW"/>
    <n v="1"/>
    <x v="6"/>
    <x v="6"/>
    <x v="24"/>
    <x v="31"/>
    <n v="1000"/>
    <s v="M"/>
    <x v="54"/>
    <n v="0"/>
    <n v="5004"/>
    <n v="4.4625713032800007"/>
    <n v="0"/>
    <n v="4.4625713032800007"/>
    <n v="148.01511395784541"/>
    <n v="0.13200000000000001"/>
    <n v="0.13200000000000001"/>
    <n v="-0.13200000000000001"/>
    <e v="#DIV/0!"/>
  </r>
  <r>
    <n v="130"/>
    <s v="Khopoli "/>
    <x v="14"/>
    <s v="Rajsriya"/>
    <s v="930883|189481"/>
    <n v="1931824"/>
    <s v="TUB-O-N-AUT-AW-PE-17.30X1.200X6.0000"/>
    <x v="0"/>
    <m/>
    <x v="3"/>
    <x v="1"/>
    <m/>
    <m/>
    <m/>
    <m/>
    <s v="17.3-0-1.2-ERW 1-"/>
    <m/>
    <m/>
    <x v="7"/>
    <x v="7"/>
    <x v="0"/>
    <x v="1"/>
    <n v="6000"/>
    <s v="M"/>
    <x v="30"/>
    <n v="0"/>
    <n v="0"/>
    <n v="0"/>
    <n v="0"/>
    <n v="0"/>
    <e v="#DIV/0!"/>
    <n v="0"/>
    <n v="0"/>
    <n v="4.4625713032800007"/>
    <n v="0"/>
  </r>
  <r>
    <n v="161"/>
    <s v="Hosur"/>
    <x v="14"/>
    <s v="Rajsriya"/>
    <s v="930883|189481"/>
    <n v="2410998"/>
    <s v="TUB-O-C-AUT-AD-FC-18.20X2.950X04-05"/>
    <x v="2"/>
    <m/>
    <x v="3"/>
    <x v="1"/>
    <m/>
    <m/>
    <m/>
    <m/>
    <s v="18.2-12.3-2.95-CEW-"/>
    <m/>
    <m/>
    <x v="36"/>
    <x v="36"/>
    <x v="25"/>
    <x v="5"/>
    <n v="4500"/>
    <s v="M"/>
    <x v="30"/>
    <n v="0"/>
    <n v="0"/>
    <n v="0"/>
    <n v="0"/>
    <n v="0"/>
    <e v="#DIV/0!"/>
    <n v="0"/>
    <n v="0"/>
    <n v="0"/>
    <e v="#DIV/0!"/>
  </r>
  <r>
    <n v="148"/>
    <s v="Hosur"/>
    <x v="14"/>
    <s v="Rajsriya"/>
    <s v="930883|189481"/>
    <n v="3122347"/>
    <s v="TUB-O-N-AUT-AW-PE-19.05X1.600X0.3940(HSST)"/>
    <x v="4"/>
    <m/>
    <x v="0"/>
    <x v="0"/>
    <s v="ST52AL"/>
    <m/>
    <s v="AG"/>
    <m/>
    <s v="19.05-0-1.6-ERW 2 MAHS-PE"/>
    <s v="19.05-0-1.6-ERW 2 MAHS-PE-0.394"/>
    <n v="1"/>
    <x v="2"/>
    <x v="2"/>
    <x v="0"/>
    <x v="0"/>
    <n v="394"/>
    <s v="NOS"/>
    <x v="0"/>
    <n v="0"/>
    <n v="40000"/>
    <n v="10.846033260800001"/>
    <n v="0"/>
    <n v="10.846033260800001"/>
    <n v="5506.1605071636186"/>
    <n v="1.4930000000000001"/>
    <n v="23.186768000000001"/>
    <n v="-1.4930000000000001"/>
    <e v="#DIV/0!"/>
  </r>
  <r>
    <n v="173"/>
    <s v="Hosur"/>
    <x v="14"/>
    <s v="Rajsriya"/>
    <s v="930883|189481"/>
    <n v="3122348"/>
    <s v="TUB-O-N-AUT-AW-PE-19.05X2.000X0.2385(Angle Cut)"/>
    <x v="0"/>
    <m/>
    <x v="3"/>
    <x v="1"/>
    <m/>
    <m/>
    <m/>
    <m/>
    <s v="19.05-0-2-ERW 1-"/>
    <m/>
    <m/>
    <x v="2"/>
    <x v="2"/>
    <x v="0"/>
    <x v="3"/>
    <n v="238.5"/>
    <s v="NOS"/>
    <x v="30"/>
    <n v="0"/>
    <n v="0"/>
    <n v="0"/>
    <n v="0"/>
    <n v="0"/>
    <e v="#DIV/0!"/>
    <n v="0"/>
    <n v="0"/>
    <n v="10.846033260800001"/>
    <n v="0"/>
  </r>
  <r>
    <n v="152"/>
    <s v="Hosur"/>
    <x v="14"/>
    <s v="Rajsriya"/>
    <s v="930883|189481"/>
    <n v="2403386"/>
    <s v="TUB-O-N-AUT-AW-PE-19.05X2.000X0.3580"/>
    <x v="0"/>
    <m/>
    <x v="0"/>
    <x v="1"/>
    <m/>
    <m/>
    <m/>
    <m/>
    <s v="19.05-0-2-ERW 1-PE"/>
    <s v="19.05-0-2-ERW 1-PE-0.358"/>
    <n v="2"/>
    <x v="2"/>
    <x v="2"/>
    <x v="0"/>
    <x v="3"/>
    <n v="358"/>
    <s v="NOS"/>
    <x v="6"/>
    <n v="0"/>
    <n v="5000"/>
    <n v="1.5045503110000003"/>
    <n v="0"/>
    <n v="1.5045503110000003"/>
    <n v="25.921366480645386"/>
    <n v="7.7999999999999996E-3"/>
    <n v="96.995899000000009"/>
    <n v="-7.7999999999999996E-3"/>
    <e v="#DIV/0!"/>
  </r>
  <r>
    <n v="153"/>
    <s v="Hosur"/>
    <x v="14"/>
    <s v="Rajsriya"/>
    <s v="930883|189481"/>
    <n v="2403383"/>
    <s v="TUB-O-N-AUT-AW-PE-19.05X2.000X0.4750"/>
    <x v="0"/>
    <m/>
    <x v="0"/>
    <x v="1"/>
    <m/>
    <m/>
    <m/>
    <m/>
    <s v="19.05-0-2-ERW 1-PE"/>
    <s v="19.05-0-2-ERW 1-PE-0.475"/>
    <n v="2"/>
    <x v="2"/>
    <x v="2"/>
    <x v="0"/>
    <x v="3"/>
    <n v="475"/>
    <s v="NOS"/>
    <x v="6"/>
    <n v="0"/>
    <n v="5000"/>
    <n v="1.9962608875000001"/>
    <n v="0"/>
    <n v="1.9962608875000001"/>
    <n v="275.01415443125541"/>
    <n v="0.10979999999999999"/>
    <n v="96.995899000000009"/>
    <n v="1.3947503110000004"/>
    <m/>
  </r>
  <r>
    <n v="202"/>
    <s v="Khopoli "/>
    <x v="14"/>
    <s v="Rajsriya"/>
    <s v="930883|189481"/>
    <n v="234926"/>
    <s v="TUB-O-C-AUT-AD-PE-21.70X3.500X5.000"/>
    <x v="2"/>
    <m/>
    <x v="3"/>
    <x v="1"/>
    <m/>
    <m/>
    <m/>
    <m/>
    <s v="21.75-0-3.5-CEW-"/>
    <m/>
    <m/>
    <x v="28"/>
    <x v="26"/>
    <x v="0"/>
    <x v="16"/>
    <n v="5000"/>
    <s v="M"/>
    <x v="30"/>
    <n v="0"/>
    <n v="0"/>
    <n v="0"/>
    <n v="0"/>
    <n v="0"/>
    <e v="#DIV/0!"/>
    <n v="0"/>
    <n v="0"/>
    <n v="1.9962608875000001"/>
    <n v="0"/>
  </r>
  <r>
    <n v="141"/>
    <s v="Hosur"/>
    <x v="14"/>
    <s v="Rajsriya"/>
    <s v="930883|189481"/>
    <n v="3747395"/>
    <s v="PT2-O-N-AUT-AW-PE-22.20X1.600X0.361"/>
    <x v="0"/>
    <m/>
    <x v="3"/>
    <x v="1"/>
    <m/>
    <m/>
    <m/>
    <m/>
    <s v="22.23-0-1.6-ERW 1-"/>
    <m/>
    <m/>
    <x v="8"/>
    <x v="8"/>
    <x v="0"/>
    <x v="0"/>
    <n v="361"/>
    <s v="NOS"/>
    <x v="30"/>
    <n v="0"/>
    <n v="0"/>
    <n v="0"/>
    <n v="0"/>
    <n v="0"/>
    <e v="#DIV/0!"/>
    <n v="0"/>
    <n v="0"/>
    <n v="0"/>
    <e v="#DIV/0!"/>
  </r>
  <r>
    <n v="142"/>
    <s v="Hosur"/>
    <x v="14"/>
    <s v="Rajsriya"/>
    <s v="930883|189481"/>
    <n v="1940445"/>
    <s v="TUB-O-O-AUT-AW-PE-22.23X2.000X0.5050"/>
    <x v="0"/>
    <m/>
    <x v="3"/>
    <x v="1"/>
    <m/>
    <m/>
    <m/>
    <m/>
    <s v="22.23-0-2-ERW 1-"/>
    <m/>
    <m/>
    <x v="8"/>
    <x v="8"/>
    <x v="0"/>
    <x v="3"/>
    <n v="505"/>
    <s v="NOS"/>
    <x v="30"/>
    <n v="0"/>
    <n v="0"/>
    <n v="0"/>
    <n v="0"/>
    <n v="0"/>
    <e v="#DIV/0!"/>
    <n v="0"/>
    <n v="0"/>
    <n v="0"/>
    <e v="#DIV/0!"/>
  </r>
  <r>
    <n v="143"/>
    <s v="Hosur"/>
    <x v="14"/>
    <s v="Rajsriya"/>
    <s v="930883|189481"/>
    <n v="1940470"/>
    <s v="TUB-O-O-AUT-AW-PE-22.23X2.000X0.8510"/>
    <x v="0"/>
    <m/>
    <x v="3"/>
    <x v="1"/>
    <m/>
    <m/>
    <m/>
    <m/>
    <s v="22.23-0-2-ERW 1-"/>
    <m/>
    <m/>
    <x v="8"/>
    <x v="8"/>
    <x v="0"/>
    <x v="3"/>
    <n v="851"/>
    <s v="NOS"/>
    <x v="30"/>
    <n v="0"/>
    <n v="0"/>
    <n v="0"/>
    <n v="0"/>
    <n v="0"/>
    <e v="#DIV/0!"/>
    <n v="0"/>
    <n v="0"/>
    <n v="0"/>
    <e v="#DIV/0!"/>
  </r>
  <r>
    <n v="158"/>
    <s v="Hosur"/>
    <x v="14"/>
    <s v="Rajsriya"/>
    <s v="930883|189481"/>
    <n v="1940472"/>
    <s v="TUB-O-O-AUT-AW-PE-22.23X2.000X0.8620"/>
    <x v="0"/>
    <m/>
    <x v="3"/>
    <x v="1"/>
    <m/>
    <m/>
    <m/>
    <m/>
    <s v="22.23-0-2-ERW 1-"/>
    <m/>
    <m/>
    <x v="8"/>
    <x v="8"/>
    <x v="0"/>
    <x v="3"/>
    <n v="862"/>
    <s v="NOS"/>
    <x v="30"/>
    <n v="0"/>
    <n v="0"/>
    <n v="0"/>
    <n v="0"/>
    <n v="0"/>
    <e v="#DIV/0!"/>
    <n v="0"/>
    <n v="0"/>
    <n v="0"/>
    <e v="#DIV/0!"/>
  </r>
  <r>
    <n v="187"/>
    <s v="Hosur"/>
    <x v="14"/>
    <s v="Rajsriya"/>
    <s v="930883|189481"/>
    <n v="1940510"/>
    <s v="TUB-O-O-AUT-AW-PE-22.23X2.300X6.0000"/>
    <x v="0"/>
    <m/>
    <x v="0"/>
    <x v="1"/>
    <m/>
    <m/>
    <m/>
    <m/>
    <s v="22.23-0-2.3-ERW 1-PE"/>
    <s v="22.23-0-2.3-ERW 1-PE-1"/>
    <n v="0"/>
    <x v="8"/>
    <x v="8"/>
    <x v="0"/>
    <x v="7"/>
    <n v="1000"/>
    <s v="M"/>
    <x v="54"/>
    <n v="0"/>
    <n v="5004"/>
    <n v="5.653947097044"/>
    <n v="0"/>
    <n v="5.653947097044"/>
    <n v="0"/>
    <n v="0"/>
    <n v="3.4099889999999999"/>
    <n v="0"/>
    <e v="#DIV/0!"/>
  </r>
  <r>
    <n v="159"/>
    <s v="Hosur"/>
    <x v="14"/>
    <s v="Rajsriya"/>
    <s v="930883|189481"/>
    <n v="1940562"/>
    <s v="TUB-O-O-AUT-AW-FC-25.40X1.600X0.3600"/>
    <x v="0"/>
    <m/>
    <x v="3"/>
    <x v="1"/>
    <m/>
    <m/>
    <m/>
    <m/>
    <s v="25.4-0-1.6-ERW 1-"/>
    <m/>
    <m/>
    <x v="3"/>
    <x v="3"/>
    <x v="0"/>
    <x v="0"/>
    <n v="360"/>
    <s v="NOS"/>
    <x v="30"/>
    <n v="0"/>
    <n v="0"/>
    <n v="0"/>
    <n v="0"/>
    <n v="0"/>
    <e v="#DIV/0!"/>
    <n v="0"/>
    <n v="0"/>
    <n v="5.653947097044"/>
    <n v="0"/>
  </r>
  <r>
    <n v="163"/>
    <s v="Hosur"/>
    <x v="14"/>
    <s v="Rajsriya"/>
    <s v="930883|189481"/>
    <n v="1940603"/>
    <s v="TUB-O-O-AUT-AW-FC-25.40X2.600X0.3600"/>
    <x v="0"/>
    <m/>
    <x v="3"/>
    <x v="1"/>
    <m/>
    <m/>
    <m/>
    <m/>
    <s v="25.4-0-2.6-ERW 1-"/>
    <m/>
    <m/>
    <x v="3"/>
    <x v="3"/>
    <x v="0"/>
    <x v="13"/>
    <n v="360"/>
    <s v="NOS"/>
    <x v="30"/>
    <n v="0"/>
    <n v="0"/>
    <n v="0"/>
    <n v="0"/>
    <n v="0"/>
    <e v="#DIV/0!"/>
    <n v="0"/>
    <n v="0"/>
    <n v="0"/>
    <e v="#DIV/0!"/>
  </r>
  <r>
    <n v="168"/>
    <s v="Khopoli "/>
    <x v="14"/>
    <s v="Rajsriya"/>
    <s v="930883|189481"/>
    <n v="2410997"/>
    <s v="TUB-O-C-AUT-AD-FC-25.40X3.200X04-05"/>
    <x v="2"/>
    <m/>
    <x v="3"/>
    <x v="1"/>
    <m/>
    <m/>
    <m/>
    <m/>
    <s v="25.4-19-3.2-CEW-"/>
    <m/>
    <m/>
    <x v="3"/>
    <x v="3"/>
    <x v="8"/>
    <x v="9"/>
    <n v="4500"/>
    <s v="M"/>
    <x v="30"/>
    <n v="0"/>
    <n v="0"/>
    <n v="0"/>
    <n v="0"/>
    <n v="0"/>
    <e v="#DIV/0!"/>
    <n v="0"/>
    <n v="0"/>
    <n v="0"/>
    <e v="#DIV/0!"/>
  </r>
  <r>
    <n v="194"/>
    <s v="Hosur"/>
    <x v="14"/>
    <s v="Rajsriya"/>
    <s v="930883|189481"/>
    <n v="1941840"/>
    <s v="TUB-E-O-AUT-AW-FC-31.75X2.500X6.0000"/>
    <x v="0"/>
    <m/>
    <x v="1"/>
    <x v="1"/>
    <m/>
    <m/>
    <m/>
    <m/>
    <s v="31.75-0-2.5-ERW 1-FC"/>
    <s v="31.75-0-2.5-ERW 1-FC"/>
    <n v="5"/>
    <x v="12"/>
    <x v="13"/>
    <x v="0"/>
    <x v="11"/>
    <n v="1000"/>
    <s v="M"/>
    <x v="30"/>
    <n v="0"/>
    <n v="0"/>
    <n v="0"/>
    <n v="0"/>
    <n v="0"/>
    <e v="#DIV/0!"/>
    <n v="0.40001200000000003"/>
    <n v="0.93001200000000006"/>
    <n v="-0.40001200000000003"/>
    <e v="#DIV/0!"/>
  </r>
  <r>
    <n v="174"/>
    <s v="Hosur"/>
    <x v="14"/>
    <s v="Rajsriya"/>
    <s v="930883|189481"/>
    <n v="3186831"/>
    <s v="TUB-O-N-AUT-AW-FC-41.28X2.600X0.8480"/>
    <x v="0"/>
    <m/>
    <x v="1"/>
    <x v="1"/>
    <m/>
    <m/>
    <m/>
    <m/>
    <s v="41.28-0-2.6-ERW 1-FC"/>
    <m/>
    <m/>
    <x v="15"/>
    <x v="27"/>
    <x v="0"/>
    <x v="13"/>
    <n v="848"/>
    <s v="NOS"/>
    <x v="30"/>
    <n v="0"/>
    <n v="0"/>
    <n v="0"/>
    <n v="0"/>
    <n v="0"/>
    <e v="#DIV/0!"/>
    <n v="0"/>
    <n v="0.27027099999999998"/>
    <n v="0"/>
    <e v="#DIV/0!"/>
  </r>
  <r>
    <n v="170"/>
    <s v="Khopoli "/>
    <x v="14"/>
    <s v="Rajsriya"/>
    <s v="930883|189481"/>
    <n v="2422135"/>
    <s v="TUB-O-N-AUT-AN-FC-42.70X4.000X0.2080"/>
    <x v="2"/>
    <s v="Annealed"/>
    <x v="3"/>
    <x v="1"/>
    <m/>
    <m/>
    <m/>
    <m/>
    <s v="42.7-0-4-CEW-"/>
    <m/>
    <m/>
    <x v="16"/>
    <x v="16"/>
    <x v="0"/>
    <x v="12"/>
    <n v="208"/>
    <s v="NOS"/>
    <x v="30"/>
    <n v="0"/>
    <n v="0"/>
    <n v="0"/>
    <n v="0"/>
    <n v="0"/>
    <e v="#DIV/0!"/>
    <n v="0"/>
    <n v="0"/>
    <n v="0"/>
    <e v="#DIV/0!"/>
  </r>
  <r>
    <n v="219"/>
    <s v="Khopoli "/>
    <x v="14"/>
    <s v="Rajsriya"/>
    <s v="930883|189481"/>
    <n v="1938358"/>
    <s v="TUB-O-N-AUT-AN-FC-42.70X4.000X0.2540"/>
    <x v="0"/>
    <s v="Annealed"/>
    <x v="1"/>
    <x v="1"/>
    <m/>
    <s v="Chamferring"/>
    <m/>
    <m/>
    <s v="42.7-0-4-ERW 1-FC"/>
    <s v="42.7-0-4-ERW 1-FC-0.254"/>
    <n v="2"/>
    <x v="16"/>
    <x v="16"/>
    <x v="0"/>
    <x v="12"/>
    <n v="254"/>
    <s v="NOS"/>
    <x v="6"/>
    <n v="0"/>
    <n v="5000"/>
    <n v="4.8458948040000003"/>
    <n v="0"/>
    <n v="4.8458948040000003"/>
    <n v="2829.5021981661653"/>
    <n v="2.7422939999999998"/>
    <n v="91.265295999999992"/>
    <n v="-2.7422939999999998"/>
    <e v="#DIV/0!"/>
  </r>
  <r>
    <n v="199"/>
    <s v="Hosur"/>
    <x v="14"/>
    <s v="Rajsriya"/>
    <s v="930883|189481"/>
    <n v="1940830"/>
    <s v="TUB-R-AW-RHS-40.00X30.00X1.600X0.8600"/>
    <x v="0"/>
    <m/>
    <x v="1"/>
    <x v="0"/>
    <s v="GR1"/>
    <m/>
    <m/>
    <m/>
    <s v="40-30-1.6-ERW 1-FC"/>
    <s v="40-30-1.6-ERW 1-FC-0.86"/>
    <n v="1"/>
    <x v="17"/>
    <x v="15"/>
    <x v="1"/>
    <x v="0"/>
    <n v="860"/>
    <s v="NOS"/>
    <x v="11"/>
    <n v="0"/>
    <n v="3000"/>
    <n v="4.3600334352000001"/>
    <n v="0"/>
    <n v="4.3600334352000001"/>
    <n v="0"/>
    <n v="0"/>
    <n v="23.114797000000003"/>
    <n v="4.8458948040000003"/>
    <n v="0"/>
  </r>
  <r>
    <n v="207"/>
    <s v="Hosur"/>
    <x v="14"/>
    <s v="Rajsriya"/>
    <s v="930883|189481"/>
    <n v="1940837"/>
    <s v="TUB-R-AW-RHS-40.00X30.00X2.000X0.8700"/>
    <x v="0"/>
    <m/>
    <x v="1"/>
    <x v="1"/>
    <m/>
    <m/>
    <m/>
    <m/>
    <s v="40-30-2-ERW 1-FC"/>
    <s v="40-30-2-ERW 1-FC-0.87"/>
    <n v="1"/>
    <x v="17"/>
    <x v="15"/>
    <x v="1"/>
    <x v="3"/>
    <n v="870"/>
    <s v="NOS"/>
    <x v="6"/>
    <n v="0"/>
    <n v="5000"/>
    <n v="9.1032454350000016"/>
    <n v="0"/>
    <n v="9.1032454350000016"/>
    <n v="5206.3871438395408"/>
    <n v="9.4790039999999998"/>
    <n v="20.469456999999998"/>
    <n v="-5.1189705647999997"/>
    <n v="2.1740668141379027"/>
  </r>
  <r>
    <n v="238"/>
    <s v="Hosur"/>
    <x v="14"/>
    <s v="Rajsriya"/>
    <s v="930883|189481"/>
    <n v="1940911"/>
    <s v="TUB-O-O-AUT-AW-AG-57.15X2.500X0.7720"/>
    <x v="0"/>
    <m/>
    <x v="1"/>
    <x v="1"/>
    <m/>
    <m/>
    <s v="AG"/>
    <m/>
    <s v="57.15-0-2.5-ERW 1-FC"/>
    <s v="57.15-0-2.5-ERW 1-FC-0.772"/>
    <n v="2"/>
    <x v="19"/>
    <x v="19"/>
    <x v="0"/>
    <x v="11"/>
    <n v="772"/>
    <s v="NOS"/>
    <x v="11"/>
    <n v="0"/>
    <n v="3000"/>
    <n v="7.7995228514999999"/>
    <n v="0"/>
    <n v="7.7995228514999999"/>
    <n v="25.12846025732296"/>
    <n v="6.5329999999999999E-2"/>
    <n v="32.796514000000002"/>
    <n v="9.0379154350000022"/>
    <n v="7.1765614215805211E-3"/>
  </r>
  <r>
    <n v="147"/>
    <s v="Khopoli "/>
    <x v="15"/>
    <s v="Rajsriya"/>
    <s v="129695|189481|187884|188415|189239|189240"/>
    <n v="1938191"/>
    <s v="TUB-I-C-AUT-AD-FC-12.50X3.250X0.5880"/>
    <x v="2"/>
    <m/>
    <x v="2"/>
    <x v="1"/>
    <m/>
    <m/>
    <m/>
    <m/>
    <s v="19-12.5-3.25-CEW-CEW"/>
    <s v="19-12.5-3.25-CEW-CEW-0.588"/>
    <n v="1"/>
    <x v="27"/>
    <x v="22"/>
    <x v="13"/>
    <x v="21"/>
    <n v="588"/>
    <s v="NOS"/>
    <x v="4"/>
    <n v="0"/>
    <n v="10000"/>
    <n v="7.4189176425000003"/>
    <n v="0"/>
    <n v="7.4189176425000003"/>
    <n v="432.3730434240361"/>
    <n v="0.320774"/>
    <n v="20.418665999999998"/>
    <n v="7.4787488514999998"/>
    <n v="4.1127387675812623E-2"/>
  </r>
  <r>
    <n v="166"/>
    <s v="Hosur"/>
    <x v="15"/>
    <s v="Rajsriya"/>
    <s v="129695|189481|187884|188415|189239|189240"/>
    <n v="3535743"/>
    <s v="TUB-O-N-AUT-AW-PE-19.05X2.300X0.6000"/>
    <x v="0"/>
    <m/>
    <x v="0"/>
    <x v="1"/>
    <m/>
    <m/>
    <m/>
    <m/>
    <s v="19.05-0-2.3-ERW 1-PE"/>
    <s v="19.05-0-2.3-ERW 1-PE-0.6"/>
    <n v="2"/>
    <x v="2"/>
    <x v="2"/>
    <x v="0"/>
    <x v="7"/>
    <n v="600"/>
    <s v="NOS"/>
    <x v="2"/>
    <n v="0"/>
    <n v="4000"/>
    <n v="2.2790465399999995"/>
    <n v="0"/>
    <n v="2.2790465399999995"/>
    <n v="3619.2187632991477"/>
    <n v="2.0620919999999998"/>
    <n v="41.162200000000006"/>
    <m/>
    <m/>
  </r>
  <r>
    <n v="186"/>
    <s v="Khopoli "/>
    <x v="15"/>
    <s v="Rajsriya"/>
    <s v="129695|189481|187884|188415|189239|189240"/>
    <n v="1939544"/>
    <s v="TUB-O-C-CEW-AD-FC-25.40X2.500X0.2170"/>
    <x v="2"/>
    <m/>
    <x v="2"/>
    <x v="1"/>
    <m/>
    <m/>
    <m/>
    <m/>
    <s v="25.4-0-2.5-CEW-CEW"/>
    <s v="25.4-0-2.5-CEW-CEW-0.217"/>
    <n v="1"/>
    <x v="3"/>
    <x v="3"/>
    <x v="0"/>
    <x v="11"/>
    <n v="217"/>
    <s v="NOS"/>
    <x v="4"/>
    <n v="5200"/>
    <n v="4800"/>
    <n v="3.0622068924999994"/>
    <n v="1.5923475840999997"/>
    <n v="1.4698593083999998"/>
    <n v="0"/>
    <n v="0"/>
    <n v="7.2918069999999995"/>
    <n v="2.2790465399999995"/>
    <n v="0.69869024443002381"/>
  </r>
  <r>
    <n v="188"/>
    <s v="Khopoli "/>
    <x v="15"/>
    <s v="Rajsriya"/>
    <s v="129695|189481|187884|188415|189239|189240"/>
    <n v="403040"/>
    <s v="PT3-I-C-AUT-AD-CH-25.50X2.320X0.465"/>
    <x v="2"/>
    <m/>
    <x v="2"/>
    <x v="1"/>
    <m/>
    <s v="Chamferring"/>
    <m/>
    <m/>
    <s v="30-25.5-2.25-CEW-CEW"/>
    <s v="30-25.5-2.25-CEW-CEW-0.465"/>
    <n v="1"/>
    <x v="25"/>
    <x v="23"/>
    <x v="9"/>
    <x v="18"/>
    <n v="465"/>
    <s v="NOS"/>
    <x v="6"/>
    <n v="0"/>
    <n v="5000"/>
    <n v="3.5975677668749997"/>
    <n v="0"/>
    <n v="3.5975677668749997"/>
    <n v="1293.043050594363"/>
    <n v="0.93036199999999991"/>
    <n v="108.008921"/>
    <n v="2.1318448924999993"/>
    <n v="0.30382075171950523"/>
  </r>
  <r>
    <n v="189"/>
    <s v="Khopoli "/>
    <x v="15"/>
    <s v="Rajsriya"/>
    <s v="129695|189481|187884|188415|189239|189240"/>
    <n v="2359755"/>
    <s v="TUB-O-C-AUT-AD-FC-30.00X2.250X0.4850"/>
    <x v="2"/>
    <m/>
    <x v="2"/>
    <x v="1"/>
    <m/>
    <s v="Chamferring"/>
    <m/>
    <m/>
    <s v="30-25.5-2.25-CEW-CEW"/>
    <s v="30-25.5-2.25-CEW-CEW-0.485"/>
    <n v="3"/>
    <x v="25"/>
    <x v="23"/>
    <x v="9"/>
    <x v="18"/>
    <n v="485"/>
    <s v="NOS"/>
    <x v="49"/>
    <n v="0"/>
    <n v="15000"/>
    <n v="11.256905593125001"/>
    <n v="0"/>
    <n v="11.256905593125001"/>
    <n v="6484.7661194371876"/>
    <n v="4.8665599999999998"/>
    <n v="108.008921"/>
    <n v="-1.2689922331250001"/>
    <n v="1.352736158248188"/>
  </r>
  <r>
    <n v="197"/>
    <s v="Khopoli "/>
    <x v="15"/>
    <s v="Rajsriya"/>
    <s v="129695|189481|187884|188415|189239|189240"/>
    <n v="1938125"/>
    <s v="TUB-I-C-AUT-AN-FC-39.00X34.00X0.2720"/>
    <x v="2"/>
    <m/>
    <x v="2"/>
    <x v="1"/>
    <m/>
    <s v="Chamferring"/>
    <m/>
    <m/>
    <s v="39-34-2.5-CEW-CEW"/>
    <s v="39-34-2.5-CEW-CEW-0.272"/>
    <n v="2"/>
    <x v="26"/>
    <x v="25"/>
    <x v="10"/>
    <x v="11"/>
    <n v="272"/>
    <s v="NOS"/>
    <x v="49"/>
    <n v="1700"/>
    <n v="13300"/>
    <n v="9.1768226999999989"/>
    <n v="1.0400399059999998"/>
    <n v="8.1367827939999984"/>
    <n v="4046.1634940380836"/>
    <n v="2.4753949999999998"/>
    <n v="57.924370000000017"/>
    <n v="8.7815105931250024"/>
    <n v="0.31229140876396816"/>
  </r>
  <r>
    <n v="137"/>
    <s v="Hosur"/>
    <x v="16"/>
    <s v="Rajsriya"/>
    <s v="129695|189481|187884|188415|189239|189240"/>
    <n v="1940003"/>
    <s v="TUB-O-O-AUT-AW-PE-12.70X1.600X0.3930"/>
    <x v="0"/>
    <m/>
    <x v="0"/>
    <x v="0"/>
    <s v="WG"/>
    <m/>
    <m/>
    <m/>
    <s v="12.7-0-1.6-ERW 1-PE"/>
    <s v="12.7-0-1.6-ERW 1-PE-0.393"/>
    <n v="1"/>
    <x v="0"/>
    <x v="0"/>
    <x v="0"/>
    <x v="0"/>
    <n v="393"/>
    <s v="NOS"/>
    <x v="6"/>
    <n v="0"/>
    <n v="5000"/>
    <n v="0.86021066160000015"/>
    <n v="0"/>
    <n v="0.86021066160000015"/>
    <n v="0"/>
    <n v="0"/>
    <n v="11.937059000000001"/>
    <n v="9.1768226999999989"/>
    <n v="0"/>
  </r>
  <r>
    <n v="140"/>
    <s v="Hosur"/>
    <x v="16"/>
    <s v="Rajsriya"/>
    <s v="129695|189481|187884|188415|189239|189240"/>
    <n v="2387804"/>
    <s v="TUB-O-N-AUT-AW-PE-15.88X1.600X0.4420"/>
    <x v="0"/>
    <m/>
    <x v="0"/>
    <x v="0"/>
    <s v="HROP"/>
    <m/>
    <m/>
    <m/>
    <s v="15.88-0-1.6-ERW 1-PE"/>
    <s v="15.88-0-1.6-ERW 1-PE-0.442"/>
    <n v="1"/>
    <x v="1"/>
    <x v="1"/>
    <x v="0"/>
    <x v="0"/>
    <n v="442"/>
    <s v="NOS"/>
    <x v="6"/>
    <n v="0"/>
    <n v="5000"/>
    <n v="1.2446285779199999"/>
    <n v="0"/>
    <n v="1.2446285779199999"/>
    <n v="0"/>
    <n v="0"/>
    <n v="15.499108000000001"/>
    <n v="0.86021066160000015"/>
    <n v="0"/>
  </r>
  <r>
    <n v="183"/>
    <s v="Hosur"/>
    <x v="16"/>
    <s v="Rajsriya"/>
    <s v="129695|189481|187884|188415|189239|189240"/>
    <n v="1940266"/>
    <s v="TUB-O-O-AUT-AW-PE-19.05X2.000X0.2130"/>
    <x v="0"/>
    <m/>
    <x v="0"/>
    <x v="1"/>
    <m/>
    <m/>
    <m/>
    <m/>
    <s v="19.05-0-2-ERW 1-PE"/>
    <s v="19.05-0-2-ERW 1-PE-0.213"/>
    <n v="1"/>
    <x v="2"/>
    <x v="2"/>
    <x v="0"/>
    <x v="3"/>
    <n v="213"/>
    <s v="NOS"/>
    <x v="6"/>
    <n v="0"/>
    <n v="5000"/>
    <n v="0.89516540850000004"/>
    <n v="0"/>
    <n v="0.89516540850000004"/>
    <n v="249.93704836618474"/>
    <n v="4.4747000000000002E-2"/>
    <n v="96.995899000000009"/>
    <n v="1.1998815779199998"/>
    <n v="3.5952091084699628E-2"/>
  </r>
  <r>
    <n v="185"/>
    <s v="Hosur"/>
    <x v="16"/>
    <s v="Rajsriya"/>
    <s v="129695|189481|187884|188415|189239|189240"/>
    <n v="1940269"/>
    <s v="TUB-O-O-AUT-AW-PE-19.05X2.000X0.240"/>
    <x v="0"/>
    <m/>
    <x v="0"/>
    <x v="1"/>
    <m/>
    <m/>
    <m/>
    <m/>
    <s v="19.05-0-2-ERW 1-PE"/>
    <s v="19.05-0-2-ERW 1-PE-0.24"/>
    <n v="3"/>
    <x v="2"/>
    <x v="2"/>
    <x v="0"/>
    <x v="3"/>
    <n v="240"/>
    <s v="NOS"/>
    <x v="6"/>
    <n v="0"/>
    <n v="5000"/>
    <n v="1.00863708"/>
    <n v="0"/>
    <n v="1.00863708"/>
    <n v="49.571844017473559"/>
    <n v="0.01"/>
    <n v="96.995899000000009"/>
    <n v="0.88516540850000003"/>
    <n v="1.117111977858559E-2"/>
  </r>
  <r>
    <n v="184"/>
    <s v="Hosur"/>
    <x v="16"/>
    <s v="Rajsriya"/>
    <s v="129695|189481|187884|188415|189239|189240"/>
    <n v="1940272"/>
    <s v="TUB-O-O-AUT-AW-PE-19.05X2.000X0.2590"/>
    <x v="0"/>
    <m/>
    <x v="0"/>
    <x v="1"/>
    <m/>
    <m/>
    <m/>
    <m/>
    <s v="19.05-0-2-ERW 1-PE"/>
    <s v="19.05-0-2-ERW 1-PE-0.259"/>
    <n v="1"/>
    <x v="2"/>
    <x v="2"/>
    <x v="0"/>
    <x v="3"/>
    <n v="259"/>
    <s v="NOS"/>
    <x v="6"/>
    <n v="0"/>
    <n v="5000"/>
    <n v="1.0884875155000002"/>
    <n v="0"/>
    <n v="1.0884875155000002"/>
    <n v="68.902949213476745"/>
    <n v="1.4999999999999999E-2"/>
    <n v="96.995899000000009"/>
    <n v="0.99363707999999995"/>
    <n v="1.4871553205242067E-2"/>
  </r>
  <r>
    <n v="157"/>
    <s v="Hosur"/>
    <x v="16"/>
    <s v="Rajsriya"/>
    <s v="129695|189481|187884|188415|189239|189240"/>
    <n v="1940302"/>
    <s v="TUB-O-O-AUT-AW-PE-19.05X2.300X0.1950"/>
    <x v="0"/>
    <m/>
    <x v="0"/>
    <x v="1"/>
    <m/>
    <m/>
    <m/>
    <m/>
    <s v="19.05-0-2.3-ERW 1-PE"/>
    <s v="19.05-0-2.3-ERW 1-PE-0.195"/>
    <n v="2"/>
    <x v="2"/>
    <x v="2"/>
    <x v="0"/>
    <x v="7"/>
    <n v="195"/>
    <s v="NOS"/>
    <x v="47"/>
    <n v="0"/>
    <n v="30000"/>
    <n v="5.5551759412500008"/>
    <n v="0"/>
    <n v="5.5551759412500008"/>
    <n v="5028.9316297898986"/>
    <n v="0.93121999999999994"/>
    <n v="41.162200000000006"/>
    <n v="0.15726751550000029"/>
    <n v="0.8555173915543175"/>
  </r>
  <r>
    <n v="164"/>
    <s v="Hosur"/>
    <x v="16"/>
    <s v="Rajsriya"/>
    <s v="129695|189481|187884|188415|189239|189240"/>
    <n v="1940325"/>
    <s v="TUB-O-O-AUT-AW-PE-19.05X2.300X0.5700"/>
    <x v="0"/>
    <m/>
    <x v="0"/>
    <x v="1"/>
    <m/>
    <m/>
    <m/>
    <m/>
    <s v="19.05-0-2.3-ERW 1-PE"/>
    <s v="19.05-0-2.3-ERW 1-PE-0.57"/>
    <n v="3"/>
    <x v="2"/>
    <x v="2"/>
    <x v="0"/>
    <x v="7"/>
    <n v="570"/>
    <s v="NOS"/>
    <x v="6"/>
    <n v="0"/>
    <n v="5000"/>
    <n v="2.7063677662500005"/>
    <n v="0"/>
    <n v="2.7063677662500005"/>
    <n v="10618.460786583792"/>
    <n v="5.7474920000000003"/>
    <n v="41.162200000000006"/>
    <n v="-0.19231605874999946"/>
    <n v="1.0346192561286773"/>
  </r>
  <r>
    <n v="165"/>
    <s v="Hosur"/>
    <x v="16"/>
    <s v="Rajsriya"/>
    <s v="129695|189481|187884|188415|189239|189240"/>
    <n v="1940327"/>
    <s v="TUB-O-O-AUT-AW-PE-19.05X2.300X0.5850"/>
    <x v="0"/>
    <m/>
    <x v="0"/>
    <x v="1"/>
    <m/>
    <m/>
    <m/>
    <m/>
    <s v="19.05-0-2.3-ERW 1-PE"/>
    <s v="19.05-0-2.3-ERW 1-PE-0.585"/>
    <n v="2"/>
    <x v="2"/>
    <x v="2"/>
    <x v="0"/>
    <x v="7"/>
    <n v="585"/>
    <s v="NOS"/>
    <x v="6"/>
    <n v="3500"/>
    <n v="1500"/>
    <n v="2.7775879706249995"/>
    <n v="1.9443115794374997"/>
    <n v="0.83327639118749985"/>
    <n v="5104.0687639534817"/>
    <n v="2.8354000000000004"/>
    <n v="41.162200000000006"/>
    <n v="-0.12903223374999984"/>
    <n v="1.7660983252325559"/>
  </r>
  <r>
    <n v="171"/>
    <s v="Hosur"/>
    <x v="16"/>
    <s v="Rajsriya"/>
    <s v="129695|189481|187884|188415|189239|189240"/>
    <n v="1940399"/>
    <s v="TUB-O-O-AUT-AW-PE-22.23X1.600X0.4010"/>
    <x v="0"/>
    <m/>
    <x v="0"/>
    <x v="0"/>
    <s v="WG"/>
    <m/>
    <m/>
    <m/>
    <s v="22.23-0-1.6-ERW 1-PE"/>
    <s v="22.23-0-1.6-ERW 1-PE-0.401"/>
    <n v="3"/>
    <x v="8"/>
    <x v="8"/>
    <x v="0"/>
    <x v="0"/>
    <n v="401"/>
    <s v="NOS"/>
    <x v="6"/>
    <n v="0"/>
    <n v="5000"/>
    <n v="1.6312964549600002"/>
    <n v="0"/>
    <n v="1.6312964549600002"/>
    <n v="0"/>
    <n v="0"/>
    <n v="68.25120299999999"/>
    <n v="2.7775879706249995"/>
    <n v="0"/>
  </r>
  <r>
    <n v="172"/>
    <s v="Hosur"/>
    <x v="16"/>
    <s v="Rajsriya"/>
    <s v="129695|189481|187884|188415|189239|189240"/>
    <n v="3556680"/>
    <s v="TUB-O-N-AUT-AW-PE-22.20X1.600X0.6400"/>
    <x v="0"/>
    <m/>
    <x v="0"/>
    <x v="0"/>
    <s v="GR1"/>
    <m/>
    <m/>
    <m/>
    <s v="22.23-0-1.6-ERW 1-PE"/>
    <s v="22.23-0-1.6-ERW 1-PE-0.64"/>
    <n v="1"/>
    <x v="8"/>
    <x v="8"/>
    <x v="0"/>
    <x v="0"/>
    <n v="640"/>
    <s v="NOS"/>
    <x v="4"/>
    <n v="9975"/>
    <n v="25"/>
    <n v="5.2071308287999987"/>
    <n v="5.1941130017279997"/>
    <n v="1.3017827071998944E-2"/>
    <n v="11120.344754876158"/>
    <n v="5.7905090000000001"/>
    <n v="68.25120299999999"/>
    <n v="-4.1592125450399999"/>
    <n v="6.7336761312322873"/>
  </r>
  <r>
    <n v="176"/>
    <s v="Hosur"/>
    <x v="16"/>
    <s v="Rajsriya"/>
    <s v="129695|189481|187884|188415|189239|189240"/>
    <n v="3509824"/>
    <s v="CUT-O-N-AUT-AW-PE-22.20X1.600X1.2100"/>
    <x v="0"/>
    <m/>
    <x v="0"/>
    <x v="0"/>
    <s v=""/>
    <m/>
    <m/>
    <m/>
    <s v="22.23-0-1.6-ERW 1-PE"/>
    <s v="22.23-0-1.6-ERW 1-PE-1.21"/>
    <n v="1"/>
    <x v="8"/>
    <x v="8"/>
    <x v="0"/>
    <x v="0"/>
    <n v="1210"/>
    <s v="NOS"/>
    <x v="6"/>
    <n v="0"/>
    <n v="5000"/>
    <n v="4.9223658616000003"/>
    <n v="0"/>
    <n v="4.9223658616000003"/>
    <n v="0"/>
    <n v="0"/>
    <n v="68.25120299999999"/>
    <n v="5.2071308287999987"/>
    <n v="0"/>
  </r>
  <r>
    <n v="178"/>
    <s v="Hosur"/>
    <x v="16"/>
    <s v="Rajsriya"/>
    <s v="129695|189481|187884|188415|189239|189240"/>
    <n v="2420106"/>
    <s v="TUB-O-N-AUT-AW-PE-22.23X2.000X1.3250"/>
    <x v="0"/>
    <m/>
    <x v="0"/>
    <x v="1"/>
    <m/>
    <m/>
    <m/>
    <m/>
    <s v="22.23-0-2-ERW 1-PE"/>
    <s v="22.23-0-2-ERW 1-PE-1.325"/>
    <n v="2"/>
    <x v="8"/>
    <x v="8"/>
    <x v="0"/>
    <x v="3"/>
    <n v="1325"/>
    <s v="NOS"/>
    <x v="6"/>
    <n v="0"/>
    <n v="5000"/>
    <n v="6.6071028274999994"/>
    <n v="0"/>
    <n v="6.6071028274999994"/>
    <n v="148.51592681679057"/>
    <n v="0.19625200000000001"/>
    <n v="45.493454"/>
    <n v="4.7261138616"/>
    <n v="3.9869446018018839E-2"/>
  </r>
  <r>
    <n v="179"/>
    <s v="Hosur"/>
    <x v="16"/>
    <s v="Rajsriya"/>
    <s v="129695|189481|187884|188415|189239|189240"/>
    <n v="3087645"/>
    <s v="PT2-O-N-AUT-AW-PE-22.20X2.300X0.4250"/>
    <x v="0"/>
    <m/>
    <x v="0"/>
    <x v="1"/>
    <m/>
    <m/>
    <m/>
    <m/>
    <s v="22.23-0-2.3-ERW 1-PE"/>
    <s v="22.23-0-2.3-ERW 1-PE-0.425"/>
    <n v="2"/>
    <x v="8"/>
    <x v="8"/>
    <x v="0"/>
    <x v="7"/>
    <n v="425"/>
    <s v="NOS"/>
    <x v="6"/>
    <n v="0"/>
    <n v="5000"/>
    <n v="2.4010067108749995"/>
    <n v="0"/>
    <n v="2.4010067108749995"/>
    <n v="229.14763107825547"/>
    <n v="0.110037"/>
    <n v="3.4099889999999999"/>
    <n v="6.4970658274999993"/>
    <n v="1.6654349549700572E-2"/>
  </r>
  <r>
    <n v="193"/>
    <s v="Hosur"/>
    <x v="16"/>
    <s v="Rajsriya"/>
    <s v="129695|189481|187884|188415|189239|189240"/>
    <n v="3171772"/>
    <s v="TUB-O-N-AUT-AW-PE-31.75X1.200X6.0000"/>
    <x v="0"/>
    <m/>
    <x v="0"/>
    <x v="0"/>
    <m/>
    <m/>
    <m/>
    <m/>
    <s v="31.75-0-1.2-ERW 1-PE"/>
    <s v="31.75-0-1.2-ERW 1-PE"/>
    <n v="2"/>
    <x v="12"/>
    <x v="13"/>
    <x v="0"/>
    <x v="1"/>
    <n v="1000"/>
    <s v="M"/>
    <x v="7"/>
    <n v="0"/>
    <n v="2000"/>
    <n v="1.8072646800000001"/>
    <n v="0"/>
    <n v="1.8072646800000001"/>
    <n v="2394.7792749427272"/>
    <n v="2.1639999999999997"/>
    <n v="8.3877849999999992"/>
    <n v="0.2370067108749998"/>
    <n v="0.90128860956468237"/>
  </r>
  <r>
    <n v="167"/>
    <s v="Hosur"/>
    <x v="17"/>
    <s v="Rajsriya"/>
    <s v="129695|189481|187884|188415|189239|189240"/>
    <s v="NO MATERIAL CODE"/>
    <m/>
    <x v="0"/>
    <m/>
    <x v="0"/>
    <x v="0"/>
    <m/>
    <m/>
    <m/>
    <m/>
    <s v="22.23-0-1.2-ERW 1-PE"/>
    <s v="22.23-0-1.2-ERW 1-PE-0.297"/>
    <n v="0"/>
    <x v="8"/>
    <x v="8"/>
    <x v="0"/>
    <x v="1"/>
    <n v="297"/>
    <s v="NOS"/>
    <x v="7"/>
    <n v="0"/>
    <n v="2000"/>
    <n v="0.36949304541600003"/>
    <n v="0"/>
    <n v="0.36949304541600003"/>
    <n v="0"/>
    <n v="0"/>
    <n v="6.2558429999999996"/>
    <n v="1.8072646800000001"/>
    <n v="0"/>
  </r>
  <r>
    <n v="169"/>
    <s v="Hosur"/>
    <x v="17"/>
    <s v="Rajsriya"/>
    <s v="129695|189481|187884|188415|189239|189240"/>
    <n v="3507568"/>
    <s v="TUB-O-N-AUT-AW-PE-22.20X1.200X0.6810"/>
    <x v="0"/>
    <m/>
    <x v="0"/>
    <x v="0"/>
    <m/>
    <m/>
    <m/>
    <m/>
    <s v="22.23-0-1.2-ERW 1-PE"/>
    <s v="22.23-0-1.2-ERW 1-PE-0.681"/>
    <n v="2"/>
    <x v="8"/>
    <x v="8"/>
    <x v="0"/>
    <x v="1"/>
    <n v="681"/>
    <s v="NOS"/>
    <x v="7"/>
    <n v="0"/>
    <n v="2000"/>
    <n v="0.8472214273680001"/>
    <n v="0"/>
    <n v="0.8472214273680001"/>
    <n v="0"/>
    <n v="0"/>
    <n v="6.2558429999999996"/>
    <n v="0.36949304541600003"/>
    <n v="0"/>
  </r>
  <r>
    <n v="191"/>
    <s v="Hosur"/>
    <x v="17"/>
    <s v="Rajsriya"/>
    <s v="129695|189481|187884|188415|189239|189240"/>
    <m/>
    <m/>
    <x v="0"/>
    <m/>
    <x v="0"/>
    <x v="0"/>
    <m/>
    <m/>
    <m/>
    <m/>
    <s v="31.75-0-1.2-ERW 1-PE"/>
    <s v="31.75-0-1.2-ERW 1-PE-0.598"/>
    <n v="1"/>
    <x v="12"/>
    <x v="13"/>
    <x v="0"/>
    <x v="1"/>
    <n v="598"/>
    <s v="NOS"/>
    <x v="7"/>
    <n v="0"/>
    <n v="2000"/>
    <n v="1.0807442786400001"/>
    <n v="0"/>
    <n v="1.0807442786400001"/>
    <n v="0"/>
    <n v="0"/>
    <n v="8.3877849999999992"/>
    <n v="0.8472214273680001"/>
    <n v="0"/>
  </r>
  <r>
    <n v="132"/>
    <s v="Hosur"/>
    <x v="18"/>
    <s v="Rajsriya"/>
    <s v="129695|189481|187884|188415|189239|189240"/>
    <n v="3223304"/>
    <s v="TUB-O-N-AUT-AW-PE-12.70X1.600X0.2550"/>
    <x v="0"/>
    <m/>
    <x v="0"/>
    <x v="0"/>
    <s v="HROP"/>
    <m/>
    <m/>
    <m/>
    <s v="12.7-0-1.6-ERW 1-PE"/>
    <s v="12.7-0-1.6-ERW 1-PE-0.255"/>
    <n v="1"/>
    <x v="0"/>
    <x v="0"/>
    <x v="0"/>
    <x v="0"/>
    <n v="255"/>
    <s v="NOS"/>
    <x v="4"/>
    <n v="0"/>
    <n v="10000"/>
    <n v="1.116303912"/>
    <n v="0"/>
    <n v="1.116303912"/>
    <n v="0"/>
    <n v="0"/>
    <n v="11.937059000000001"/>
    <n v="1.0807442786400001"/>
    <n v="0"/>
  </r>
  <r>
    <n v="145"/>
    <s v="Khopoli "/>
    <x v="18"/>
    <s v="Rajsriya"/>
    <s v="129695|189481|187884|188415|189239|189240"/>
    <n v="2410996"/>
    <s v="TUB-O-C-AUT-AD-FC-16.10X2.700X04-05"/>
    <x v="2"/>
    <m/>
    <x v="2"/>
    <x v="1"/>
    <m/>
    <m/>
    <m/>
    <m/>
    <s v="16.1-10.4-2.7-CEW-CEW"/>
    <s v="16.1-10.4-2.7-CEW-CEW"/>
    <n v="1"/>
    <x v="6"/>
    <x v="6"/>
    <x v="24"/>
    <x v="31"/>
    <n v="1000"/>
    <s v="M"/>
    <x v="2"/>
    <n v="0"/>
    <n v="4000"/>
    <n v="3.5672032800000006"/>
    <n v="0"/>
    <n v="3.5672032800000006"/>
    <n v="148.01511395784541"/>
    <n v="0.13200000000000001"/>
    <n v="0.13200000000000001"/>
    <n v="0.984303912"/>
    <n v="0.11824736846393852"/>
  </r>
  <r>
    <n v="212"/>
    <s v="Khopoli "/>
    <x v="18"/>
    <s v="Rajsriya"/>
    <s v="129695|189481|187884|188415|189239|189240"/>
    <n v="2410998"/>
    <s v="TUB-O-C-AUT-AD-FC-18.20X2.950X04-05"/>
    <x v="2"/>
    <m/>
    <x v="2"/>
    <x v="1"/>
    <m/>
    <m/>
    <m/>
    <m/>
    <s v="18.2-12.3-2.95-CEW-CEW"/>
    <s v="18.2-12.3-2.95-CEW-CEW-4.5"/>
    <n v="0"/>
    <x v="36"/>
    <x v="36"/>
    <x v="25"/>
    <x v="5"/>
    <n v="4500"/>
    <m/>
    <x v="30"/>
    <e v="#N/A"/>
    <e v="#N/A"/>
    <n v="0"/>
    <e v="#N/A"/>
    <e v="#N/A"/>
    <e v="#DIV/0!"/>
    <n v="0"/>
    <n v="0"/>
    <n v="3.5672032800000006"/>
    <e v="#N/A"/>
  </r>
  <r>
    <n v="155"/>
    <s v="Hosur"/>
    <x v="18"/>
    <s v="Rajsriya"/>
    <s v="129695|189481|187884|188415|189239|189240"/>
    <n v="2403383"/>
    <s v="TUB-O-N-AUT-AW-PE-19.05X2.000X0.4750"/>
    <x v="0"/>
    <m/>
    <x v="0"/>
    <x v="1"/>
    <m/>
    <m/>
    <m/>
    <m/>
    <s v="19.05-0-2-ERW 1-PE"/>
    <s v="19.05-0-2-ERW 1-PE-0.475"/>
    <n v="2"/>
    <x v="2"/>
    <x v="2"/>
    <x v="0"/>
    <x v="3"/>
    <n v="475"/>
    <s v="NOS"/>
    <x v="17"/>
    <n v="0"/>
    <n v="7000"/>
    <n v="2.7947652425"/>
    <n v="0"/>
    <n v="2.7947652425"/>
    <n v="275.01415443125541"/>
    <n v="0.10979999999999999"/>
    <n v="96.995899000000009"/>
    <n v="-0.10979999999999999"/>
    <e v="#DIV/0!"/>
  </r>
  <r>
    <n v="162"/>
    <s v="Hosur"/>
    <x v="18"/>
    <s v="Rajsriya"/>
    <s v="129695|189481|187884|188415|189239|189240"/>
    <n v="1940324"/>
    <s v="TUB-O-O-AUT-AW-PE-19.05X2.300X0.5540"/>
    <x v="0"/>
    <m/>
    <x v="0"/>
    <x v="1"/>
    <m/>
    <m/>
    <m/>
    <m/>
    <s v="19.05-0-2.3-ERW 1-PE"/>
    <s v="19.05-0-2.3-ERW 1-PE-0.554"/>
    <n v="1"/>
    <x v="2"/>
    <x v="2"/>
    <x v="0"/>
    <x v="7"/>
    <n v="554"/>
    <s v="NOS"/>
    <x v="7"/>
    <n v="0"/>
    <n v="2000"/>
    <n v="1.0521598192999999"/>
    <n v="0"/>
    <n v="1.0521598192999999"/>
    <n v="1744.9820515114211"/>
    <n v="0.91799999999999993"/>
    <n v="41.162200000000006"/>
    <n v="1.8767652425000001"/>
    <n v="0.32847123831367742"/>
  </r>
  <r>
    <n v="144"/>
    <s v="Khopoli "/>
    <x v="18"/>
    <s v="Rajsriya"/>
    <s v="129695|189481|187884|188415|189239|189240"/>
    <m/>
    <m/>
    <x v="2"/>
    <m/>
    <x v="2"/>
    <x v="1"/>
    <m/>
    <m/>
    <m/>
    <m/>
    <s v="21.7-16.2-2.75-CEW-CEW"/>
    <s v="21.7-16.2-2.75-CEW-CEW-4.5"/>
    <n v="0"/>
    <x v="40"/>
    <x v="41"/>
    <x v="21"/>
    <x v="26"/>
    <n v="4500"/>
    <s v="M"/>
    <x v="30"/>
    <n v="0"/>
    <n v="0"/>
    <n v="0"/>
    <n v="0"/>
    <n v="0"/>
    <e v="#DIV/0!"/>
    <n v="0"/>
    <n v="18.037708000000002"/>
    <n v="1.0521598192999999"/>
    <n v="0"/>
  </r>
  <r>
    <n v="175"/>
    <s v="Hosur"/>
    <x v="18"/>
    <s v="Rajsriya"/>
    <s v="129695|189481|187884|188415|189239|189240"/>
    <n v="1940420"/>
    <s v="TUB-O-O-AUT-AW-PE-22.23X1.600X1.1750"/>
    <x v="0"/>
    <m/>
    <x v="0"/>
    <x v="0"/>
    <s v="GR1"/>
    <m/>
    <m/>
    <m/>
    <s v="22.23-0-1.6-ERW 1-PE"/>
    <s v="22.23-0-1.6-ERW 1-PE-1.175"/>
    <n v="2"/>
    <x v="8"/>
    <x v="8"/>
    <x v="0"/>
    <x v="0"/>
    <n v="1175"/>
    <s v="NOS"/>
    <x v="3"/>
    <n v="0"/>
    <n v="8000"/>
    <n v="7.6479734048000001"/>
    <n v="0"/>
    <n v="7.6479734048000001"/>
    <n v="0"/>
    <n v="0"/>
    <n v="68.25120299999999"/>
    <n v="0"/>
    <e v="#DIV/0!"/>
  </r>
  <r>
    <n v="177"/>
    <s v="Hosur"/>
    <x v="18"/>
    <s v="Rajsriya"/>
    <s v="129695|189481|187884|188415|189239|189240"/>
    <n v="1905990"/>
    <s v="TUB-O-N-AUT-AW-PE-22.23X2.000X0.2360"/>
    <x v="0"/>
    <m/>
    <x v="0"/>
    <x v="1"/>
    <m/>
    <m/>
    <m/>
    <m/>
    <s v="22.23-0-2-ERW 1-PE"/>
    <s v="22.23-0-2-ERW 1-PE-0.236"/>
    <n v="3"/>
    <x v="8"/>
    <x v="8"/>
    <x v="0"/>
    <x v="3"/>
    <n v="236"/>
    <s v="NOS"/>
    <x v="30"/>
    <n v="0"/>
    <n v="0"/>
    <n v="0"/>
    <n v="0"/>
    <n v="0"/>
    <e v="#DIV/0!"/>
    <n v="0"/>
    <n v="45.493454"/>
    <m/>
    <m/>
  </r>
  <r>
    <n v="182"/>
    <s v="Hosur"/>
    <x v="18"/>
    <s v="Rajsriya"/>
    <s v="129695|189481|187884|188415|189239|189240"/>
    <n v="1940510"/>
    <s v="TUB-O-O-AUT-AW-PE-22.23X2.300X6.0000"/>
    <x v="0"/>
    <m/>
    <x v="0"/>
    <x v="1"/>
    <m/>
    <m/>
    <m/>
    <m/>
    <s v="22.23-0-2.3-ERW 1-PE"/>
    <s v="22.23-0-2.3-ERW 1-PE"/>
    <n v="5"/>
    <x v="8"/>
    <x v="8"/>
    <x v="0"/>
    <x v="7"/>
    <n v="1000"/>
    <s v="M"/>
    <x v="11"/>
    <n v="1076.4000000000001"/>
    <n v="1923.6"/>
    <n v="3.3896565329999997"/>
    <n v="1.2162087640404"/>
    <n v="2.1734477689595995"/>
    <n v="2451.1040924393269"/>
    <n v="2.7694670000000001"/>
    <n v="3.4099889999999999"/>
    <n v="-2.7694670000000001"/>
    <e v="#DIV/0!"/>
  </r>
  <r>
    <n v="196"/>
    <s v="Hosur"/>
    <x v="18"/>
    <s v="Rajsriya"/>
    <s v="129695|189481|187884|188415|189239|189240"/>
    <n v="1940686"/>
    <s v="TUB-O-O-AUT-AW-FC-31.75X2.500X6.0000"/>
    <x v="0"/>
    <m/>
    <x v="1"/>
    <x v="1"/>
    <m/>
    <m/>
    <m/>
    <m/>
    <s v="31.75-0-2.5-ERW 1-FC"/>
    <s v="31.75-0-2.5-ERW 1-FC"/>
    <n v="5"/>
    <x v="12"/>
    <x v="13"/>
    <x v="0"/>
    <x v="11"/>
    <n v="1000"/>
    <s v="M"/>
    <x v="17"/>
    <n v="0"/>
    <n v="7000"/>
    <n v="12.617206874999999"/>
    <n v="0"/>
    <n v="12.617206874999999"/>
    <n v="221.92582143898633"/>
    <n v="0.40001200000000003"/>
    <n v="0.93001200000000006"/>
    <n v="2.9896445329999999"/>
    <n v="0.11800959657879298"/>
  </r>
  <r>
    <n v="205"/>
    <s v="Hosur"/>
    <x v="19"/>
    <s v="Rajsriya"/>
    <s v="129695|189481|187884|188415|189239|189240"/>
    <n v="1940090"/>
    <s v="TUB-O-O-AUT-AW-PE-15.88X2.000X0.2910"/>
    <x v="0"/>
    <m/>
    <x v="0"/>
    <x v="1"/>
    <m/>
    <m/>
    <m/>
    <m/>
    <s v="15.88-0-2-ERW 1-PE"/>
    <s v="15.88-0-2-ERW 1-PE-0.291"/>
    <n v="3"/>
    <x v="1"/>
    <x v="1"/>
    <x v="0"/>
    <x v="3"/>
    <n v="291"/>
    <m/>
    <x v="30"/>
    <e v="#N/A"/>
    <e v="#N/A"/>
    <n v="0"/>
    <e v="#N/A"/>
    <e v="#N/A"/>
    <e v="#DIV/0!"/>
    <n v="0.81402099999999999"/>
    <n v="14.942643"/>
    <m/>
    <m/>
  </r>
  <r>
    <n v="289"/>
    <s v="Khopoli "/>
    <x v="19"/>
    <s v="Rajsriya"/>
    <s v="129695|189481|187884|188415|189239|189240"/>
    <n v="3545492"/>
    <s v="TUB-O-C-AUT-AD-FC-19.00X3.250X0.1950"/>
    <x v="2"/>
    <m/>
    <x v="2"/>
    <x v="1"/>
    <m/>
    <m/>
    <m/>
    <m/>
    <s v="19-12.5-3.25-CEW-CEW"/>
    <s v="19-12.5-3.25-CEW-CEW-0.195"/>
    <n v="2"/>
    <x v="27"/>
    <x v="22"/>
    <x v="13"/>
    <x v="21"/>
    <n v="195"/>
    <s v="NOS"/>
    <x v="31"/>
    <n v="0"/>
    <n v="20000"/>
    <n v="4.920710681250001"/>
    <n v="0"/>
    <n v="4.920710681250001"/>
    <n v="412.61113109869638"/>
    <n v="0.101517"/>
    <n v="20.418665999999998"/>
    <n v="-0.101517"/>
    <e v="#DIV/0!"/>
  </r>
  <r>
    <n v="235"/>
    <s v="Hosur"/>
    <x v="19"/>
    <s v="Rajsriya"/>
    <s v="129695|189481|187884|188415|189239|189240"/>
    <n v="3122347"/>
    <s v="TUB-O-N-AUT-AW-PE-19.05X1.600X0.3940"/>
    <x v="4"/>
    <m/>
    <x v="0"/>
    <x v="0"/>
    <s v="ST52AL"/>
    <m/>
    <s v="AG"/>
    <m/>
    <s v="19.05-0-1.6-ERW 2 MAHS-PE"/>
    <s v="19.05-0-1.6-ERW 2 MAHS-PE-0.394"/>
    <n v="1"/>
    <x v="2"/>
    <x v="2"/>
    <x v="0"/>
    <x v="0"/>
    <n v="394"/>
    <s v="NOS"/>
    <x v="30"/>
    <n v="0"/>
    <n v="0"/>
    <n v="0"/>
    <n v="0"/>
    <n v="0"/>
    <e v="#DIV/0!"/>
    <n v="1.4930000000000001"/>
    <n v="23.186768000000001"/>
    <n v="3.4277106812500007"/>
    <n v="0.3034114575540815"/>
  </r>
  <r>
    <n v="151"/>
    <s v="Hosur"/>
    <x v="19"/>
    <s v="Rajsriya"/>
    <s v="129695|189481|187884|188415|189239|189240"/>
    <n v="2425969"/>
    <s v="TUB-O-N-AUT-AW-FC-19.05X1.600X0.7750"/>
    <x v="4"/>
    <m/>
    <x v="0"/>
    <x v="1"/>
    <s v="ST52AL"/>
    <m/>
    <s v="AG"/>
    <m/>
    <s v="19.05-0-1.6-ERW 2 MAHS-PE"/>
    <s v="19.05-0-1.6-ERW 2 MAHS-PE-0.775"/>
    <n v="1"/>
    <x v="2"/>
    <x v="2"/>
    <x v="0"/>
    <x v="0"/>
    <n v="775"/>
    <s v="NOS"/>
    <x v="4"/>
    <n v="5000"/>
    <n v="5000"/>
    <n v="5.3335506200000005"/>
    <n v="2.6667753100000002"/>
    <n v="2.6667753100000002"/>
    <n v="4180.6446753101218"/>
    <n v="2.229768"/>
    <n v="23.186768000000001"/>
    <n v="-2.229768"/>
    <e v="#DIV/0!"/>
  </r>
  <r>
    <n v="209"/>
    <s v="Khopoli "/>
    <x v="19"/>
    <s v="Rajsriya"/>
    <s v="129695|189481|187884|188415|189239|189240"/>
    <n v="3605867"/>
    <s v="TUB-O-N-AUT-AW-FC-41.28X3.200X0.2350"/>
    <x v="0"/>
    <m/>
    <x v="1"/>
    <x v="1"/>
    <m/>
    <s v="Chamferring"/>
    <m/>
    <m/>
    <s v="41.28-0-3.2-ERW 1-FC"/>
    <s v="41.28-0-3.2-ERW 1-FC-0.23"/>
    <n v="2"/>
    <x v="15"/>
    <x v="27"/>
    <x v="0"/>
    <x v="9"/>
    <n v="230"/>
    <s v="NOS"/>
    <x v="11"/>
    <n v="1040"/>
    <n v="1960"/>
    <n v="2.07250369536"/>
    <n v="0.71846794772480005"/>
    <n v="1.3540357476352001"/>
    <n v="0"/>
    <n v="0"/>
    <n v="24.452539999999999"/>
    <n v="5.3335506200000005"/>
    <n v="0.13470725205656714"/>
  </r>
  <r>
    <n v="218"/>
    <s v="Khopoli "/>
    <x v="19"/>
    <s v="Rajsriya"/>
    <s v="129695|189481|187884|188415|189239|189240"/>
    <n v="1938358"/>
    <s v="TUB-O-N-AUT-AN-FC-42.70X4.000X0.2540"/>
    <x v="0"/>
    <s v="Annealed"/>
    <x v="1"/>
    <x v="1"/>
    <m/>
    <s v="Chamferring"/>
    <m/>
    <m/>
    <s v="42.7-0-4-ERW 1-FC"/>
    <s v="42.7-0-4-ERW 1-FC-0.254"/>
    <n v="2"/>
    <x v="16"/>
    <x v="16"/>
    <x v="0"/>
    <x v="12"/>
    <n v="254"/>
    <s v="NOS"/>
    <x v="6"/>
    <n v="2470"/>
    <n v="2530"/>
    <n v="4.8458948040000003"/>
    <n v="2.3938720331760002"/>
    <n v="2.4520227708240001"/>
    <n v="2829.5021981661653"/>
    <n v="2.7422939999999998"/>
    <n v="91.265295999999992"/>
    <n v="-0.66979030463999978"/>
    <n v="2.4782421593143806"/>
  </r>
  <r>
    <n v="198"/>
    <s v="Hosur"/>
    <x v="19"/>
    <s v="Rajsriya"/>
    <s v="129695|189481|187884|188415|189239|189240"/>
    <n v="3712521"/>
    <s v="CUT-R-AW-RHS-40.00X30.00X1.600X0.8350"/>
    <x v="0"/>
    <m/>
    <x v="1"/>
    <x v="0"/>
    <s v="HROP"/>
    <m/>
    <m/>
    <m/>
    <s v="40-30-1.6-ERW 1-FC"/>
    <s v="40-30-1.6-ERW 1-FC-0.835"/>
    <n v="1"/>
    <x v="17"/>
    <x v="15"/>
    <x v="1"/>
    <x v="0"/>
    <n v="835"/>
    <s v="NOS"/>
    <x v="49"/>
    <n v="5000"/>
    <n v="10000"/>
    <n v="21.166441386000002"/>
    <n v="7.0554804620000011"/>
    <n v="14.110960924"/>
    <n v="3714.1212623486954"/>
    <n v="5.2409819999999998"/>
    <n v="23.114797000000003"/>
    <n v="-0.39508719599999953"/>
    <n v="2.5375009073350081"/>
  </r>
  <r>
    <n v="200"/>
    <s v="Hosur"/>
    <x v="19"/>
    <s v="Rajsriya"/>
    <s v="129695|189481|187884|188415|189239|189240"/>
    <n v="1940830"/>
    <s v="TUB-R-AW-RHS-40.00X30.00X1.600X0.8600"/>
    <x v="0"/>
    <m/>
    <x v="1"/>
    <x v="0"/>
    <s v="GR1"/>
    <m/>
    <m/>
    <m/>
    <s v="40-30-1.6-ERW 1-FC"/>
    <s v="40-30-1.6-ERW 1-FC-0.86"/>
    <n v="1"/>
    <x v="17"/>
    <x v="15"/>
    <x v="1"/>
    <x v="0"/>
    <n v="860"/>
    <s v="NOS"/>
    <x v="6"/>
    <n v="0"/>
    <n v="5000"/>
    <n v="7.2667223920000001"/>
    <n v="0"/>
    <n v="7.2667223920000001"/>
    <n v="0"/>
    <n v="0"/>
    <n v="23.114797000000003"/>
    <n v="21.166441386000002"/>
    <n v="0"/>
  </r>
  <r>
    <n v="203"/>
    <s v="Hosur"/>
    <x v="19"/>
    <s v="Rajsriya"/>
    <s v="129695|189481|187884|188415|189239|189240"/>
    <n v="1940837"/>
    <s v="TUB-R-AW-RHS-40.00X30.00X2.000X0.8700"/>
    <x v="0"/>
    <m/>
    <x v="1"/>
    <x v="1"/>
    <m/>
    <m/>
    <m/>
    <m/>
    <s v="40-30-2-ERW 1-FC"/>
    <s v="40-30-2-ERW 1-FC-0.87"/>
    <n v="1"/>
    <x v="17"/>
    <x v="15"/>
    <x v="1"/>
    <x v="3"/>
    <n v="870"/>
    <s v="NOS"/>
    <x v="30"/>
    <n v="0"/>
    <n v="0"/>
    <n v="0"/>
    <n v="0"/>
    <n v="0"/>
    <e v="#DIV/0!"/>
    <n v="9.4790039999999998"/>
    <n v="20.469456999999998"/>
    <n v="-2.2122816079999996"/>
    <n v="1.3044400884827416"/>
  </r>
  <r>
    <n v="225"/>
    <s v="Hosur"/>
    <x v="19"/>
    <s v="Rajsriya"/>
    <s v="129695|189481|187884|188415|189239|189240"/>
    <n v="1940911"/>
    <s v="TUB-O-O-AUT-AW-AG-57.15X2.500X0.7720"/>
    <x v="0"/>
    <m/>
    <x v="1"/>
    <x v="1"/>
    <m/>
    <m/>
    <s v="AG"/>
    <m/>
    <s v="57.15-0-2.5-ERW 1-FC"/>
    <s v="57.15-0-2.5-ERW 1-FC-0.772"/>
    <n v="2"/>
    <x v="19"/>
    <x v="19"/>
    <x v="0"/>
    <x v="11"/>
    <n v="772"/>
    <s v="NOS"/>
    <x v="11"/>
    <n v="0"/>
    <n v="3000"/>
    <n v="7.7995228514999999"/>
    <n v="0"/>
    <n v="7.7995228514999999"/>
    <n v="25.12846025732296"/>
    <n v="6.5329999999999999E-2"/>
    <n v="32.796514000000002"/>
    <n v="-6.5329999999999999E-2"/>
    <e v="#DIV/0!"/>
  </r>
  <r>
    <n v="242"/>
    <s v="Khopoli "/>
    <x v="19"/>
    <s v="Rajsriya"/>
    <s v="129695|189481|187884|188415|189239|189240"/>
    <s v="NO MATERIAL CODE"/>
    <m/>
    <x v="0"/>
    <m/>
    <x v="1"/>
    <x v="1"/>
    <m/>
    <m/>
    <s v="AG"/>
    <m/>
    <s v="60.3-0-2-ERW 1-FC"/>
    <s v="60.3-0-2-ERW 1-FC-0.493"/>
    <n v="1"/>
    <x v="29"/>
    <x v="29"/>
    <x v="0"/>
    <x v="3"/>
    <n v="491"/>
    <s v="NOS"/>
    <x v="11"/>
    <n v="0"/>
    <n v="3000"/>
    <n v="4.2335101182000008"/>
    <n v="0"/>
    <n v="4.2335101182000008"/>
    <n v="0"/>
    <n v="0"/>
    <n v="105.48806500000002"/>
    <n v="7.7995228514999999"/>
    <n v="0"/>
  </r>
  <r>
    <n v="510"/>
    <s v="Hosur"/>
    <x v="20"/>
    <m/>
    <n v="188534"/>
    <n v="1940043"/>
    <s v="TUB-O-O-AUT-AW-PE-15.88X1.200X0.8880"/>
    <x v="1"/>
    <m/>
    <x v="3"/>
    <x v="1"/>
    <m/>
    <m/>
    <m/>
    <m/>
    <s v="15.88-0-1.2--"/>
    <s v="15.88-0-1.2---0.888"/>
    <n v="0"/>
    <x v="1"/>
    <x v="1"/>
    <x v="0"/>
    <x v="1"/>
    <n v="888"/>
    <s v="NOS"/>
    <x v="30"/>
    <n v="0"/>
    <n v="0"/>
    <n v="0"/>
    <n v="0"/>
    <n v="0"/>
    <e v="#DIV/0!"/>
    <n v="0"/>
    <n v="0"/>
    <n v="4.2335101182000008"/>
    <n v="0"/>
  </r>
  <r>
    <n v="512"/>
    <s v="Hosur"/>
    <x v="20"/>
    <m/>
    <n v="188534"/>
    <n v="3506797"/>
    <s v="CUT-O-N-AUT-AW-PE-15.88X2.000X0.291"/>
    <x v="1"/>
    <m/>
    <x v="0"/>
    <x v="1"/>
    <m/>
    <m/>
    <m/>
    <m/>
    <s v="15.88-0-2--PE"/>
    <s v="15.88-0-2--PE-0.291"/>
    <n v="0"/>
    <x v="1"/>
    <x v="1"/>
    <x v="0"/>
    <x v="3"/>
    <n v="291"/>
    <s v="NOS"/>
    <x v="30"/>
    <n v="0"/>
    <n v="0"/>
    <n v="0"/>
    <n v="0"/>
    <n v="0"/>
    <e v="#DIV/0!"/>
    <n v="0"/>
    <n v="0"/>
    <n v="0"/>
    <e v="#DIV/0!"/>
  </r>
  <r>
    <n v="511"/>
    <s v="Hosur"/>
    <x v="20"/>
    <m/>
    <n v="188534"/>
    <n v="2384088"/>
    <s v="TUB-O-N-AUT-AW-PE-19.05X1.600X0.3550"/>
    <x v="1"/>
    <m/>
    <x v="3"/>
    <x v="1"/>
    <m/>
    <m/>
    <m/>
    <m/>
    <s v="19.05-0-1.6--"/>
    <s v="19.05-0-1.6---0.355"/>
    <n v="0"/>
    <x v="2"/>
    <x v="2"/>
    <x v="0"/>
    <x v="0"/>
    <n v="355"/>
    <s v="NOS"/>
    <x v="30"/>
    <n v="0"/>
    <n v="0"/>
    <n v="0"/>
    <n v="0"/>
    <n v="0"/>
    <e v="#DIV/0!"/>
    <n v="0"/>
    <n v="0"/>
    <n v="0"/>
    <e v="#DIV/0!"/>
  </r>
  <r>
    <n v="500"/>
    <s v="Hosur"/>
    <x v="20"/>
    <m/>
    <n v="188534"/>
    <n v="3732182"/>
    <s v="TUB-O-O-AUT-AW-PE-19.05X2.000X0.8200"/>
    <x v="0"/>
    <m/>
    <x v="0"/>
    <x v="1"/>
    <m/>
    <m/>
    <m/>
    <m/>
    <s v="19.05-0-2-ERW 1-PE"/>
    <s v="19.05-0-2-ERW 1-PE-0.82"/>
    <n v="3"/>
    <x v="2"/>
    <x v="2"/>
    <x v="0"/>
    <x v="3"/>
    <n v="820"/>
    <s v="NOS"/>
    <x v="55"/>
    <n v="0"/>
    <n v="14500"/>
    <n v="9.9939124009999993"/>
    <n v="0"/>
    <n v="9.9939124009999993"/>
    <n v="4.3511988353678985"/>
    <n v="2.9989999999999999E-3"/>
    <n v="96.995899000000009"/>
    <n v="-2.9989999999999999E-3"/>
    <e v="#DIV/0!"/>
  </r>
  <r>
    <n v="501"/>
    <s v="Hosur"/>
    <x v="20"/>
    <m/>
    <n v="188534"/>
    <m/>
    <m/>
    <x v="0"/>
    <m/>
    <x v="0"/>
    <x v="1"/>
    <m/>
    <m/>
    <m/>
    <m/>
    <s v="19.05-0-2.3-ERW 1-PE"/>
    <s v="19.05-0-2.3-ERW 1-PE-0.25"/>
    <n v="1"/>
    <x v="2"/>
    <x v="2"/>
    <x v="0"/>
    <x v="7"/>
    <n v="250"/>
    <s v="NOS"/>
    <x v="4"/>
    <n v="0"/>
    <n v="10000"/>
    <n v="2.3740068124999998"/>
    <n v="0"/>
    <n v="2.3740068124999998"/>
    <n v="0"/>
    <n v="0"/>
    <n v="41.162200000000006"/>
    <n v="9.9939124009999993"/>
    <n v="0"/>
  </r>
  <r>
    <n v="509"/>
    <s v="Hosur"/>
    <x v="20"/>
    <m/>
    <n v="188534"/>
    <n v="2427712"/>
    <s v="TUB-O-N-AUT-AW-PE-19.05X2.300X0.2550"/>
    <x v="0"/>
    <m/>
    <x v="3"/>
    <x v="1"/>
    <m/>
    <m/>
    <m/>
    <m/>
    <s v="19.05-0-2.3-ERW 1-"/>
    <s v="19.05-0-2.3-ERW 1--0.255"/>
    <n v="0"/>
    <x v="2"/>
    <x v="2"/>
    <x v="0"/>
    <x v="7"/>
    <n v="255"/>
    <s v="NOS"/>
    <x v="30"/>
    <n v="0"/>
    <n v="0"/>
    <n v="0"/>
    <n v="0"/>
    <n v="0"/>
    <e v="#DIV/0!"/>
    <n v="0"/>
    <n v="0"/>
    <n v="2.3740068124999998"/>
    <n v="0"/>
  </r>
  <r>
    <n v="502"/>
    <s v="Hosur"/>
    <x v="20"/>
    <m/>
    <n v="188534"/>
    <m/>
    <m/>
    <x v="0"/>
    <m/>
    <x v="0"/>
    <x v="1"/>
    <m/>
    <m/>
    <m/>
    <m/>
    <s v="19.05-0-2.3-ERW 1-PE"/>
    <s v="19.05-0-2.3-ERW 1-PE-0.279"/>
    <n v="1"/>
    <x v="2"/>
    <x v="2"/>
    <x v="0"/>
    <x v="7"/>
    <n v="278"/>
    <s v="NOS"/>
    <x v="4"/>
    <n v="0"/>
    <n v="10000"/>
    <n v="2.6398955754999998"/>
    <n v="0"/>
    <n v="2.6398955754999998"/>
    <n v="0"/>
    <n v="0"/>
    <n v="41.162200000000006"/>
    <n v="0"/>
    <e v="#DIV/0!"/>
  </r>
  <r>
    <n v="503"/>
    <s v="Hosur"/>
    <x v="20"/>
    <m/>
    <n v="188534"/>
    <n v="1940312"/>
    <s v="TUB-O-O-AUT-AW-PE-19.05X2.300X0.2950"/>
    <x v="0"/>
    <m/>
    <x v="0"/>
    <x v="1"/>
    <m/>
    <m/>
    <m/>
    <m/>
    <s v="19.05-0-2.3-ERW 1-PE"/>
    <s v="19.05-0-2.3-ERW 1-PE-0.295"/>
    <n v="3"/>
    <x v="2"/>
    <x v="2"/>
    <x v="0"/>
    <x v="7"/>
    <n v="295"/>
    <s v="NOS"/>
    <x v="56"/>
    <n v="0"/>
    <n v="19580"/>
    <n v="5.4850002998725005"/>
    <n v="0"/>
    <n v="5.4850002998725005"/>
    <n v="3.9981037011993883"/>
    <n v="1.1199999999999999E-3"/>
    <n v="41.162200000000006"/>
    <n v="2.6387755755"/>
    <n v="4.2425920570281287E-4"/>
  </r>
  <r>
    <n v="505"/>
    <s v="Hosur"/>
    <x v="20"/>
    <m/>
    <n v="188534"/>
    <n v="3732180"/>
    <s v="TUB-O-O-AUT-AW-FC-25.40X1.600X0.2080"/>
    <x v="0"/>
    <m/>
    <x v="1"/>
    <x v="0"/>
    <s v="NORMAL"/>
    <m/>
    <m/>
    <m/>
    <s v="25.4-0-1.6-ERW 1-FC"/>
    <s v="25.4-0-1.6-ERW 1-FC-0.208"/>
    <n v="1"/>
    <x v="3"/>
    <x v="3"/>
    <x v="0"/>
    <x v="0"/>
    <n v="208"/>
    <s v="NOS"/>
    <x v="57"/>
    <n v="0"/>
    <n v="19318"/>
    <n v="3.7715662538444801"/>
    <n v="0"/>
    <n v="3.7715662538444801"/>
    <n v="0"/>
    <n v="0"/>
    <n v="4.1020000000000003"/>
    <n v="5.4850002998725005"/>
    <n v="0"/>
  </r>
  <r>
    <n v="514"/>
    <s v="Hosur"/>
    <x v="20"/>
    <m/>
    <n v="188534"/>
    <n v="3732181"/>
    <s v="TUB-O-O-AUT-AW-FC-25.40X2.000X0.2830"/>
    <x v="0"/>
    <m/>
    <x v="3"/>
    <x v="1"/>
    <m/>
    <m/>
    <m/>
    <m/>
    <s v="25.4-0-2-ERW 1-"/>
    <s v="25.4-0-2-ERW 1--0.283"/>
    <n v="0"/>
    <x v="3"/>
    <x v="3"/>
    <x v="0"/>
    <x v="3"/>
    <n v="283"/>
    <s v="NOS"/>
    <x v="30"/>
    <n v="0"/>
    <n v="0"/>
    <n v="0"/>
    <n v="0"/>
    <n v="0"/>
    <e v="#DIV/0!"/>
    <n v="0"/>
    <n v="0"/>
    <n v="3.7715662538444801"/>
    <n v="0"/>
  </r>
  <r>
    <n v="515"/>
    <s v="JSR"/>
    <x v="20"/>
    <m/>
    <n v="188534"/>
    <m/>
    <m/>
    <x v="1"/>
    <m/>
    <x v="3"/>
    <x v="1"/>
    <m/>
    <m/>
    <m/>
    <m/>
    <s v="31.75-0-2.3--"/>
    <s v="31.75-0-2.3---0.193"/>
    <n v="0"/>
    <x v="12"/>
    <x v="13"/>
    <x v="0"/>
    <x v="7"/>
    <n v="193"/>
    <s v="NOS"/>
    <x v="30"/>
    <n v="0"/>
    <n v="0"/>
    <n v="0"/>
    <n v="0"/>
    <n v="0"/>
    <e v="#DIV/0!"/>
    <n v="0"/>
    <n v="0"/>
    <n v="0"/>
    <e v="#DIV/0!"/>
  </r>
  <r>
    <n v="506"/>
    <s v="Hosur"/>
    <x v="20"/>
    <m/>
    <n v="188534"/>
    <n v="3841884"/>
    <s v="TUB-O-N-AUT-AW-FC-38.10X1.600X0.8750"/>
    <x v="4"/>
    <m/>
    <x v="1"/>
    <x v="0"/>
    <s v="ST52AL"/>
    <m/>
    <m/>
    <m/>
    <s v="38.1-0-1.6-ERW 2 MAHS-FC"/>
    <s v="38.1-0-1.6-ERW 2 MAHS-FC-0.875"/>
    <n v="3"/>
    <x v="14"/>
    <x v="24"/>
    <x v="0"/>
    <x v="0"/>
    <n v="875"/>
    <s v="NOS"/>
    <x v="58"/>
    <n v="0"/>
    <n v="7337"/>
    <n v="9.241420334299999"/>
    <n v="0"/>
    <n v="9.241420334299999"/>
    <n v="0"/>
    <n v="0"/>
    <n v="30.274999999999999"/>
    <n v="0"/>
    <e v="#DIV/0!"/>
  </r>
  <r>
    <n v="507"/>
    <s v="JSR "/>
    <x v="20"/>
    <m/>
    <n v="188534"/>
    <n v="3767397"/>
    <m/>
    <x v="0"/>
    <m/>
    <x v="1"/>
    <x v="1"/>
    <m/>
    <m/>
    <m/>
    <m/>
    <s v="38.1-0-2-ERW 1-FC"/>
    <s v="38.1-0-2-ERW 1-FC-0.277"/>
    <n v="1"/>
    <x v="14"/>
    <x v="24"/>
    <x v="0"/>
    <x v="3"/>
    <n v="278"/>
    <s v="NOS"/>
    <x v="4"/>
    <n v="0"/>
    <n v="10000"/>
    <n v="4.9474486840000003"/>
    <n v="0"/>
    <n v="4.9474486840000003"/>
    <n v="2213.2619657910127"/>
    <n v="1.095"/>
    <n v="52.918269000000002"/>
    <n v="8.1464203342999983"/>
    <n v="0.11848827998179588"/>
  </r>
  <r>
    <n v="508"/>
    <s v="JSR"/>
    <x v="20"/>
    <m/>
    <n v="188534"/>
    <n v="2436343"/>
    <s v="TUB-O-N-AUT-AW-FC-38.10X2.500X0.8750"/>
    <x v="4"/>
    <m/>
    <x v="1"/>
    <x v="1"/>
    <m/>
    <m/>
    <m/>
    <m/>
    <s v="38.1-0-2.5-ERW 2 MAHS-FC"/>
    <s v="38.1-0-2.5-ERW 2 MAHS-FC-0.875"/>
    <n v="2"/>
    <x v="14"/>
    <x v="24"/>
    <x v="0"/>
    <x v="11"/>
    <n v="875"/>
    <s v="NOS"/>
    <x v="59"/>
    <n v="0"/>
    <n v="7457"/>
    <n v="14.314016304875002"/>
    <n v="0"/>
    <n v="14.314016304875002"/>
    <n v="690.97773184954951"/>
    <n v="1.32636"/>
    <n v="17.571283000000001"/>
    <n v="3.6210886840000001"/>
    <n v="0.2680896932371295"/>
  </r>
  <r>
    <n v="513"/>
    <s v="Hosur"/>
    <x v="20"/>
    <m/>
    <n v="188534"/>
    <n v="2440971"/>
    <s v="TUB-R-AW-AUT-40.00X25.00X1.600X0.3180"/>
    <x v="0"/>
    <m/>
    <x v="1"/>
    <x v="0"/>
    <s v="HROP"/>
    <m/>
    <m/>
    <m/>
    <s v="40-25-1.6-ERW 1-FC"/>
    <s v="40-25-1.6-ERW 1-FC-0.318"/>
    <n v="1"/>
    <x v="15"/>
    <x v="15"/>
    <x v="4"/>
    <x v="0"/>
    <n v="318"/>
    <s v="NOS"/>
    <x v="60"/>
    <n v="0"/>
    <n v="24814"/>
    <n v="12.348518275866626"/>
    <n v="0"/>
    <n v="12.348518275866626"/>
    <n v="2481.6977482951734"/>
    <n v="1.2350000000000001"/>
    <n v="25.909101"/>
    <n v="13.079016304875003"/>
    <n v="8.6279068969579806E-2"/>
  </r>
  <r>
    <n v="516"/>
    <s v="Khopoli "/>
    <x v="20"/>
    <m/>
    <n v="188534"/>
    <n v="3433148"/>
    <s v="TUB-O-N-AUT-BH-FC-42.70X3.500X0.2470"/>
    <x v="0"/>
    <s v="Annealed"/>
    <x v="1"/>
    <x v="1"/>
    <m/>
    <s v="Chamferring"/>
    <m/>
    <m/>
    <s v="42.7-0-3.5-ERW 1-FC"/>
    <s v="42.7-0-3.5-ERW 1-FC-0.247"/>
    <n v="2"/>
    <x v="16"/>
    <x v="16"/>
    <x v="0"/>
    <x v="16"/>
    <n v="247"/>
    <s v="NOS"/>
    <x v="61"/>
    <n v="0"/>
    <n v="12129"/>
    <n v="10.131537716336402"/>
    <n v="0"/>
    <n v="10.131537716336402"/>
    <n v="0"/>
    <n v="0"/>
    <n v="68.508342000000013"/>
    <n v="12.348518275866626"/>
    <n v="0"/>
  </r>
  <r>
    <n v="504"/>
    <s v="Hosur"/>
    <x v="20"/>
    <m/>
    <n v="188534"/>
    <n v="3732176"/>
    <s v="TUB-O-N-AUT-AW-AG-57.15X2.500X0.2950"/>
    <x v="1"/>
    <m/>
    <x v="3"/>
    <x v="1"/>
    <m/>
    <m/>
    <m/>
    <m/>
    <s v="57.15-0-2.5--"/>
    <m/>
    <m/>
    <x v="19"/>
    <x v="19"/>
    <x v="0"/>
    <x v="11"/>
    <n v="295"/>
    <m/>
    <x v="30"/>
    <e v="#N/A"/>
    <e v="#N/A"/>
    <n v="0"/>
    <e v="#N/A"/>
    <e v="#N/A"/>
    <e v="#DIV/0!"/>
    <n v="0"/>
    <n v="0"/>
    <n v="10.131537716336402"/>
    <e v="#N/A"/>
  </r>
  <r>
    <n v="517"/>
    <s v="Hosur"/>
    <x v="20"/>
    <m/>
    <n v="188534"/>
    <n v="3732177"/>
    <s v="TUB-O-N-AUT-AW-AG-57.15X2.500X0.3260"/>
    <x v="0"/>
    <m/>
    <x v="1"/>
    <x v="1"/>
    <m/>
    <m/>
    <s v="AG"/>
    <m/>
    <s v="57.15-0-2.5-ERW 1-FC"/>
    <s v="57.15-0-2.5-ERW 1-FC-0.326"/>
    <n v="1"/>
    <x v="19"/>
    <x v="19"/>
    <x v="0"/>
    <x v="11"/>
    <n v="326"/>
    <s v="NOS"/>
    <x v="62"/>
    <n v="0"/>
    <n v="10670"/>
    <n v="11.714169376992499"/>
    <n v="0"/>
    <n v="11.714169376992499"/>
    <n v="624.53392422077866"/>
    <n v="0.6856509999999999"/>
    <n v="32.796514000000002"/>
    <n v="-0.6856509999999999"/>
    <e v="#DIV/0!"/>
  </r>
  <r>
    <n v="518"/>
    <s v="Hosur"/>
    <x v="20"/>
    <m/>
    <n v="188534"/>
    <n v="2440972"/>
    <s v="TUB-O-N-AUT-AW-FC-57.15X2.500X0.3750"/>
    <x v="0"/>
    <m/>
    <x v="1"/>
    <x v="1"/>
    <m/>
    <m/>
    <m/>
    <m/>
    <s v="57.15-0-2.5-ERW 1-FC"/>
    <s v="57.15-0-2.5-ERW 1-FC-0.375"/>
    <n v="1"/>
    <x v="19"/>
    <x v="19"/>
    <x v="0"/>
    <x v="11"/>
    <n v="375"/>
    <s v="NOS"/>
    <x v="63"/>
    <n v="0"/>
    <n v="7247"/>
    <n v="9.1520631646406247"/>
    <n v="0"/>
    <n v="9.1520631646406247"/>
    <n v="9.8505307905116535"/>
    <n v="1.244E-2"/>
    <n v="32.796514000000002"/>
    <n v="11.7017293769925"/>
    <n v="1.0619617661012386E-3"/>
  </r>
  <r>
    <n v="519"/>
    <s v="Hosur"/>
    <x v="20"/>
    <m/>
    <n v="188534"/>
    <n v="3731697"/>
    <s v="CUT-O-N-AUT-AW-AG-57.15X2.500X0.5260"/>
    <x v="0"/>
    <m/>
    <x v="1"/>
    <x v="1"/>
    <m/>
    <m/>
    <s v="AG"/>
    <m/>
    <s v="57.15-0-2.5-ERW 1-FC"/>
    <s v="57.15-0-2.5-ERW 1-FC-0.526"/>
    <n v="1"/>
    <x v="19"/>
    <x v="19"/>
    <x v="0"/>
    <x v="11"/>
    <n v="526"/>
    <s v="NOS"/>
    <x v="64"/>
    <n v="0"/>
    <n v="7412"/>
    <n v="13.129573979023"/>
    <n v="0"/>
    <n v="13.129573979023"/>
    <n v="158.53726764673675"/>
    <n v="0.28083199999999997"/>
    <n v="32.796514000000002"/>
    <n v="8.8712311646406246"/>
    <n v="3.0685102904993711E-2"/>
  </r>
  <r>
    <n v="367"/>
    <s v="Hosur"/>
    <x v="21"/>
    <m/>
    <n v="187702"/>
    <n v="2386074"/>
    <s v="TUB-O-N-AUT-AW-PE-12.70X1.200X0.6000"/>
    <x v="0"/>
    <m/>
    <x v="3"/>
    <x v="1"/>
    <m/>
    <m/>
    <m/>
    <m/>
    <s v="12.7-0-1.2-ERW 1-"/>
    <m/>
    <m/>
    <x v="0"/>
    <x v="0"/>
    <x v="0"/>
    <x v="1"/>
    <n v="600"/>
    <m/>
    <x v="30"/>
    <e v="#N/A"/>
    <e v="#N/A"/>
    <n v="0"/>
    <e v="#N/A"/>
    <e v="#N/A"/>
    <e v="#DIV/0!"/>
    <n v="0"/>
    <n v="0"/>
    <n v="13.129573979023"/>
    <e v="#N/A"/>
  </r>
  <r>
    <n v="369"/>
    <s v="Hosur"/>
    <x v="21"/>
    <m/>
    <n v="187702"/>
    <n v="2423535"/>
    <s v="TUB-O-N-AUT-AW-PE-22.23X1.200X1.3280"/>
    <x v="0"/>
    <m/>
    <x v="3"/>
    <x v="1"/>
    <m/>
    <m/>
    <m/>
    <m/>
    <s v="22.23-0-1.2-ERW 1-"/>
    <m/>
    <m/>
    <x v="8"/>
    <x v="8"/>
    <x v="0"/>
    <x v="1"/>
    <n v="1328"/>
    <m/>
    <x v="30"/>
    <e v="#N/A"/>
    <e v="#N/A"/>
    <n v="0"/>
    <e v="#N/A"/>
    <e v="#N/A"/>
    <e v="#DIV/0!"/>
    <n v="0"/>
    <n v="0"/>
    <n v="0"/>
    <e v="#N/A"/>
  </r>
  <r>
    <n v="302"/>
    <s v="Hosur"/>
    <x v="21"/>
    <m/>
    <n v="187702"/>
    <n v="1940416"/>
    <s v="TUB-O-O-AUT-AW-PE-22.23X1.600X0.9350"/>
    <x v="4"/>
    <m/>
    <x v="0"/>
    <x v="0"/>
    <s v="ST52AL"/>
    <s v="Chamferring"/>
    <m/>
    <s v="SC"/>
    <s v="22.23-0-1.6-ERW 2 MAHS-PE"/>
    <s v="22.23-0-1.6-ERW 2 MAHS-PE-0.935"/>
    <n v="1"/>
    <x v="8"/>
    <x v="8"/>
    <x v="0"/>
    <x v="0"/>
    <n v="935"/>
    <s v="NOS"/>
    <x v="4"/>
    <n v="0"/>
    <n v="10000"/>
    <n v="7.6072926952"/>
    <n v="0"/>
    <n v="7.6072926952"/>
    <n v="555.48671114841375"/>
    <n v="0.42257500000000003"/>
    <n v="3.0615749999999999"/>
    <n v="-0.42257500000000003"/>
    <e v="#DIV/0!"/>
  </r>
  <r>
    <n v="304"/>
    <s v="Hosur"/>
    <x v="21"/>
    <m/>
    <n v="187702"/>
    <n v="2422186"/>
    <s v="TUB-O-O-AUT-AW-CH-22.23X2.000X0.7750"/>
    <x v="0"/>
    <m/>
    <x v="3"/>
    <x v="1"/>
    <m/>
    <m/>
    <m/>
    <m/>
    <s v="22.23-0-2-ERW 1-"/>
    <m/>
    <m/>
    <x v="8"/>
    <x v="8"/>
    <x v="0"/>
    <x v="3"/>
    <n v="775"/>
    <m/>
    <x v="30"/>
    <e v="#N/A"/>
    <e v="#N/A"/>
    <n v="0"/>
    <e v="#N/A"/>
    <e v="#N/A"/>
    <e v="#DIV/0!"/>
    <n v="0"/>
    <n v="0"/>
    <n v="7.6072926952"/>
    <e v="#N/A"/>
  </r>
  <r>
    <n v="299"/>
    <s v="Hosur"/>
    <x v="21"/>
    <m/>
    <n v="187702"/>
    <n v="3943202"/>
    <s v="CUT-O-N-AUT-AW-FC-22.23X2.000X0.8400"/>
    <x v="4"/>
    <m/>
    <x v="1"/>
    <x v="2"/>
    <m/>
    <m/>
    <m/>
    <m/>
    <s v="22.23-0-2-ERW 2 MAHS-FC"/>
    <s v="22.23-0-2-ERW 2 MAHS-FC-0.84"/>
    <n v="1"/>
    <x v="8"/>
    <x v="8"/>
    <x v="0"/>
    <x v="3"/>
    <n v="840"/>
    <s v="NOS"/>
    <x v="6"/>
    <n v="0"/>
    <n v="5000"/>
    <n v="4.1886538679999994"/>
    <n v="0"/>
    <n v="4.1886538679999994"/>
    <n v="877.66979938004283"/>
    <n v="0.73525099999999999"/>
    <n v="27.130966000000001"/>
    <n v="-0.73525099999999999"/>
    <e v="#DIV/0!"/>
  </r>
  <r>
    <n v="300"/>
    <s v="Hosur"/>
    <x v="21"/>
    <m/>
    <n v="187702"/>
    <n v="3943203"/>
    <s v="CUT-O-N-AUT-AW-FC-22.23X2.000X0.8550"/>
    <x v="4"/>
    <m/>
    <x v="1"/>
    <x v="2"/>
    <m/>
    <m/>
    <m/>
    <m/>
    <s v="22.23-0-2-ERW 2 MAHS-FC"/>
    <s v="22.23-0-2-ERW 2 MAHS-FC-0.855"/>
    <n v="1"/>
    <x v="8"/>
    <x v="8"/>
    <x v="0"/>
    <x v="3"/>
    <n v="855"/>
    <s v="NOS"/>
    <x v="4"/>
    <n v="0"/>
    <n v="10000"/>
    <n v="8.5269025169999999"/>
    <n v="0"/>
    <n v="8.5269025169999999"/>
    <n v="4418.6209382461502"/>
    <n v="3.7677149999999999"/>
    <n v="27.130966000000001"/>
    <m/>
    <m/>
  </r>
  <r>
    <n v="303"/>
    <s v="Hosur"/>
    <x v="21"/>
    <m/>
    <n v="187702"/>
    <n v="1940474"/>
    <s v="TUB-O-O-AUT-AW-PE-22.23X2.00X0.865-MAHS"/>
    <x v="4"/>
    <m/>
    <x v="3"/>
    <x v="1"/>
    <s v="ST52AL"/>
    <m/>
    <m/>
    <m/>
    <s v="22.23-0-2-ERW 2 MAHS-"/>
    <m/>
    <m/>
    <x v="8"/>
    <x v="8"/>
    <x v="0"/>
    <x v="3"/>
    <n v="865"/>
    <m/>
    <x v="30"/>
    <e v="#N/A"/>
    <e v="#N/A"/>
    <n v="0"/>
    <e v="#N/A"/>
    <e v="#N/A"/>
    <e v="#DIV/0!"/>
    <n v="0"/>
    <n v="0"/>
    <n v="8.5269025169999999"/>
    <e v="#N/A"/>
  </r>
  <r>
    <n v="298"/>
    <s v="Hosur"/>
    <x v="21"/>
    <m/>
    <n v="187702"/>
    <n v="1940478"/>
    <s v="TUB-O-O-AUT-AW-PE-22.23X2.000X0.905"/>
    <x v="4"/>
    <m/>
    <x v="0"/>
    <x v="0"/>
    <m/>
    <s v="Chamferring"/>
    <m/>
    <s v="SC"/>
    <s v="22.23-0-2-ERW 2 MAHS-PE"/>
    <s v="22.23-0-2-ERW 2 MAHS-PE-0.905"/>
    <n v="1"/>
    <x v="8"/>
    <x v="8"/>
    <x v="0"/>
    <x v="3"/>
    <n v="905"/>
    <s v="NOS"/>
    <x v="10"/>
    <n v="0"/>
    <n v="25000"/>
    <n v="22.563879467499998"/>
    <n v="0"/>
    <n v="22.563879467499998"/>
    <n v="624.11585828065461"/>
    <n v="0.56329899999999999"/>
    <n v="2.301186"/>
    <n v="-0.56329899999999999"/>
    <e v="#DIV/0!"/>
  </r>
  <r>
    <n v="301"/>
    <s v="Hosur"/>
    <x v="21"/>
    <m/>
    <n v="187702"/>
    <m/>
    <s v="TUB-O-O-AUT-AW-PE-22.23X2.00X0.925-MAHS"/>
    <x v="4"/>
    <m/>
    <x v="0"/>
    <x v="1"/>
    <m/>
    <m/>
    <m/>
    <m/>
    <s v="22.23-0-2-ERW 2 MAHS-PE"/>
    <s v="22.23-0-2-ERW 2 MAHS-PE-0.925"/>
    <n v="0"/>
    <x v="8"/>
    <x v="8"/>
    <x v="0"/>
    <x v="3"/>
    <n v="925"/>
    <s v="NOS"/>
    <x v="52"/>
    <n v="0"/>
    <n v="500"/>
    <n v="0.46125057475000003"/>
    <n v="0"/>
    <n v="0.46125057475000003"/>
    <n v="0"/>
    <n v="0"/>
    <n v="2.301186"/>
    <m/>
    <m/>
  </r>
  <r>
    <n v="368"/>
    <s v="Hosur"/>
    <x v="21"/>
    <m/>
    <n v="187702"/>
    <n v="3697417"/>
    <s v="PT2-O-N-AUT-AW-PE-22.20X2.000X1.3850"/>
    <x v="0"/>
    <m/>
    <x v="3"/>
    <x v="1"/>
    <m/>
    <m/>
    <m/>
    <m/>
    <s v="22.23-0-2-ERW 1-"/>
    <m/>
    <m/>
    <x v="8"/>
    <x v="8"/>
    <x v="0"/>
    <x v="3"/>
    <n v="1385"/>
    <m/>
    <x v="30"/>
    <e v="#N/A"/>
    <e v="#N/A"/>
    <n v="0"/>
    <e v="#N/A"/>
    <e v="#N/A"/>
    <e v="#DIV/0!"/>
    <n v="0"/>
    <n v="0"/>
    <n v="0.46125057475000003"/>
    <e v="#N/A"/>
  </r>
  <r>
    <n v="496"/>
    <s v="Khopoli "/>
    <x v="22"/>
    <m/>
    <n v="945539"/>
    <m/>
    <m/>
    <x v="2"/>
    <m/>
    <x v="2"/>
    <x v="1"/>
    <m/>
    <m/>
    <m/>
    <m/>
    <s v="14-0-2.45-CEW-CEW"/>
    <s v="14-0-2.45-CEW-CEW"/>
    <n v="0"/>
    <x v="5"/>
    <x v="5"/>
    <x v="0"/>
    <x v="20"/>
    <n v="1000"/>
    <s v="M"/>
    <x v="65"/>
    <n v="0"/>
    <n v="355"/>
    <n v="0.24761430251250005"/>
    <n v="0"/>
    <n v="0.24761430251250005"/>
    <n v="0"/>
    <n v="0"/>
    <n v="0"/>
    <m/>
    <m/>
  </r>
  <r>
    <n v="497"/>
    <s v="Khopoli "/>
    <x v="22"/>
    <m/>
    <n v="945539"/>
    <m/>
    <m/>
    <x v="2"/>
    <m/>
    <x v="2"/>
    <x v="1"/>
    <m/>
    <m/>
    <m/>
    <m/>
    <s v="20-12.4-3.8-CEW-CEW"/>
    <s v="20-12.4-3.8-CEW-CEW"/>
    <n v="1"/>
    <x v="37"/>
    <x v="37"/>
    <x v="17"/>
    <x v="23"/>
    <n v="1000"/>
    <s v="M"/>
    <x v="66"/>
    <n v="0"/>
    <n v="144"/>
    <n v="0.21850451135999999"/>
    <n v="0"/>
    <n v="0.21850451135999999"/>
    <n v="16691.480946089338"/>
    <n v="25.327527000000003"/>
    <n v="25.327527000000003"/>
    <m/>
    <m/>
  </r>
  <r>
    <n v="498"/>
    <s v="Khopoli "/>
    <x v="22"/>
    <m/>
    <n v="945539"/>
    <m/>
    <m/>
    <x v="2"/>
    <m/>
    <x v="2"/>
    <x v="1"/>
    <m/>
    <m/>
    <m/>
    <m/>
    <s v="20-12.4-4.5-CEW-CEW"/>
    <s v="20-12.4-4.5-CEW-CEW"/>
    <n v="1"/>
    <x v="37"/>
    <x v="37"/>
    <x v="17"/>
    <x v="14"/>
    <n v="1000"/>
    <s v="M"/>
    <x v="67"/>
    <n v="0"/>
    <n v="526.5"/>
    <n v="0.90519447037500012"/>
    <n v="0"/>
    <n v="0.90519447037500012"/>
    <n v="6377.180634022825"/>
    <n v="10.964080999999998"/>
    <n v="10.964080999999998"/>
    <m/>
    <m/>
  </r>
  <r>
    <n v="494"/>
    <s v="Khopoli "/>
    <x v="22"/>
    <m/>
    <n v="945539"/>
    <m/>
    <m/>
    <x v="2"/>
    <m/>
    <x v="2"/>
    <x v="1"/>
    <m/>
    <m/>
    <m/>
    <m/>
    <s v="21.75-0-3.5-CEW-CEW"/>
    <s v="21.75-0-3.5-CEW-CEW"/>
    <n v="1"/>
    <x v="28"/>
    <x v="26"/>
    <x v="0"/>
    <x v="16"/>
    <n v="1000"/>
    <s v="M"/>
    <x v="68"/>
    <n v="0"/>
    <n v="990"/>
    <n v="1.5587103262499999"/>
    <n v="0"/>
    <n v="1.5587103262499999"/>
    <n v="0"/>
    <n v="0"/>
    <n v="0"/>
    <m/>
    <m/>
  </r>
  <r>
    <n v="488"/>
    <s v="Hosur"/>
    <x v="22"/>
    <m/>
    <n v="945539"/>
    <n v="3714733"/>
    <s v="TUB-O-N-AUT-AW-PE-22.23X1.600X0.690"/>
    <x v="0"/>
    <m/>
    <x v="0"/>
    <x v="0"/>
    <s v="NORMAL"/>
    <m/>
    <m/>
    <m/>
    <s v="22.23-0-1.6-ERW 1-PE"/>
    <s v="22.23-0-1.6-ERW 1-PE-0.69"/>
    <n v="1"/>
    <x v="8"/>
    <x v="8"/>
    <x v="0"/>
    <x v="0"/>
    <n v="690"/>
    <s v="NOS"/>
    <x v="69"/>
    <n v="0"/>
    <n v="19645"/>
    <n v="11.028581053269601"/>
    <n v="0"/>
    <n v="11.028581053269601"/>
    <n v="117.62687953546001"/>
    <n v="6.6034999999999996E-2"/>
    <n v="68.25120299999999"/>
    <m/>
    <m/>
  </r>
  <r>
    <n v="486"/>
    <s v="Hosur"/>
    <x v="22"/>
    <m/>
    <n v="945539"/>
    <n v="3910650"/>
    <s v="CUT-O-N-AUT-AS-FC-22.23X2.000X0.8550"/>
    <x v="6"/>
    <m/>
    <x v="1"/>
    <x v="2"/>
    <m/>
    <m/>
    <m/>
    <m/>
    <s v="22.23-0-2-ERW 2-FC"/>
    <s v="22.23-0-2-ERW 2-FC-0.855"/>
    <n v="2"/>
    <x v="8"/>
    <x v="8"/>
    <x v="0"/>
    <x v="3"/>
    <n v="855"/>
    <s v="NOS"/>
    <x v="70"/>
    <n v="0"/>
    <n v="13553"/>
    <n v="11.556510981290101"/>
    <n v="0"/>
    <n v="11.556510981290101"/>
    <n v="5559.0643736686206"/>
    <n v="4.7401599999999995"/>
    <n v="18.961382"/>
    <m/>
    <m/>
  </r>
  <r>
    <n v="485"/>
    <s v="Hosur"/>
    <x v="22"/>
    <m/>
    <n v="945539"/>
    <n v="3910649"/>
    <s v="CUT-O-N-AUT-AW-FC-22.23X2.000X0.8630"/>
    <x v="6"/>
    <m/>
    <x v="1"/>
    <x v="2"/>
    <m/>
    <m/>
    <m/>
    <m/>
    <s v="22.23-0-2-ERW 2-FC"/>
    <s v="22.23-0-2-ERW 2-FC-0.863"/>
    <n v="2"/>
    <x v="8"/>
    <x v="8"/>
    <x v="0"/>
    <x v="3"/>
    <n v="863"/>
    <s v="NOS"/>
    <x v="55"/>
    <n v="0"/>
    <n v="14500"/>
    <n v="12.479695280290001"/>
    <n v="0"/>
    <n v="12.479695280290001"/>
    <n v="8786.4500324123237"/>
    <n v="7.5622219999999993"/>
    <n v="18.961382"/>
    <m/>
    <m/>
  </r>
  <r>
    <n v="499"/>
    <s v="Hosur"/>
    <x v="22"/>
    <m/>
    <n v="945539"/>
    <n v="2400891"/>
    <s v="TUB-O-N-AUT-AW-PE-25.40X1.600X0.4700"/>
    <x v="0"/>
    <m/>
    <x v="0"/>
    <x v="1"/>
    <m/>
    <m/>
    <m/>
    <m/>
    <s v="25.4-0-2-ERW 1-PE"/>
    <s v="25.4-0-2-ERW 1-PE-0.47"/>
    <n v="0"/>
    <x v="3"/>
    <x v="3"/>
    <x v="0"/>
    <x v="3"/>
    <n v="470"/>
    <s v="NOS"/>
    <x v="55"/>
    <n v="0"/>
    <n v="14500"/>
    <n v="7.8616013579999997"/>
    <n v="0"/>
    <n v="7.8616013579999997"/>
    <n v="0"/>
    <n v="0"/>
    <n v="0"/>
    <m/>
    <m/>
  </r>
  <r>
    <n v="491"/>
    <s v="Hosur"/>
    <x v="22"/>
    <m/>
    <n v="945539"/>
    <n v="3775636"/>
    <s v="TUB-O-O-AUT-AW-FC-25.40X2.500X0.7830"/>
    <x v="0"/>
    <m/>
    <x v="1"/>
    <x v="1"/>
    <m/>
    <m/>
    <m/>
    <m/>
    <s v="25.4-0-2.5-ERW 1-FC"/>
    <s v="25.4-0-2.5-ERW 1-FC-0.783"/>
    <n v="2"/>
    <x v="3"/>
    <x v="3"/>
    <x v="0"/>
    <x v="11"/>
    <n v="783"/>
    <s v="NOS"/>
    <x v="71"/>
    <n v="0"/>
    <n v="10356"/>
    <n v="11.442702311126999"/>
    <n v="0"/>
    <n v="11.442702311126999"/>
    <n v="393.21242672062931"/>
    <n v="0.43447400000000003"/>
    <n v="14.813314"/>
    <n v="7.4271273579999999"/>
    <n v="5.5265330842281565E-2"/>
  </r>
  <r>
    <n v="495"/>
    <s v="Khopoli "/>
    <x v="22"/>
    <m/>
    <n v="945539"/>
    <n v="2410997"/>
    <m/>
    <x v="2"/>
    <m/>
    <x v="2"/>
    <x v="1"/>
    <m/>
    <m/>
    <m/>
    <m/>
    <s v="25.4-19-3.2-CEW-CEW"/>
    <s v="25.4-19-3.2-CEW-CEW"/>
    <n v="1"/>
    <x v="3"/>
    <x v="3"/>
    <x v="8"/>
    <x v="9"/>
    <n v="1000"/>
    <s v="M"/>
    <x v="72"/>
    <n v="0"/>
    <n v="426"/>
    <n v="0.74595367295999992"/>
    <n v="0"/>
    <n v="0.74595367295999992"/>
    <n v="14015.63309221835"/>
    <n v="24.542283999999999"/>
    <n v="24.542283999999999"/>
    <m/>
    <m/>
  </r>
  <r>
    <n v="493"/>
    <s v="Khopoli "/>
    <x v="22"/>
    <m/>
    <n v="945539"/>
    <m/>
    <m/>
    <x v="2"/>
    <m/>
    <x v="2"/>
    <x v="1"/>
    <m/>
    <m/>
    <m/>
    <m/>
    <s v="31.75-25-3.37-CEW-CEW"/>
    <s v="31.75-25-3.37-CEW-CEW"/>
    <n v="1"/>
    <x v="12"/>
    <x v="13"/>
    <x v="4"/>
    <x v="10"/>
    <n v="1000"/>
    <s v="M"/>
    <x v="73"/>
    <n v="0"/>
    <n v="616.5"/>
    <n v="1.4533649346051001"/>
    <n v="0"/>
    <n v="1.4533649346051001"/>
    <n v="5429.0896241032178"/>
    <n v="12.798781"/>
    <n v="12.798781"/>
    <n v="-12.052827327039999"/>
    <n v="17.157608393043336"/>
  </r>
  <r>
    <n v="482"/>
    <s v="Hosur"/>
    <x v="22"/>
    <m/>
    <n v="945539"/>
    <n v="3508742"/>
    <s v="CUT-O-N-AUT-AW-FC-38.10X2.000X0.4100"/>
    <x v="0"/>
    <m/>
    <x v="1"/>
    <x v="1"/>
    <m/>
    <m/>
    <m/>
    <m/>
    <s v="38.1-0-2-ERW 1-FC"/>
    <s v="38.1-0-2-ERW 1-FC-0.41"/>
    <n v="2"/>
    <x v="14"/>
    <x v="24"/>
    <x v="0"/>
    <x v="3"/>
    <n v="410"/>
    <s v="NOS"/>
    <x v="74"/>
    <n v="0"/>
    <n v="16779"/>
    <n v="12.242960072742003"/>
    <n v="0"/>
    <n v="12.242960072742003"/>
    <n v="700.54300847516436"/>
    <n v="0.511158"/>
    <n v="52.918269000000002"/>
    <n v="0.94220693460510008"/>
    <n v="0.3517065726777624"/>
  </r>
  <r>
    <n v="489"/>
    <s v="Hosur"/>
    <x v="22"/>
    <m/>
    <n v="945539"/>
    <n v="3801265"/>
    <s v="TUB-R-AW-RHS-40.00X25.00X1.600X0.5610 "/>
    <x v="6"/>
    <m/>
    <x v="1"/>
    <x v="0"/>
    <s v="SAE1020"/>
    <m/>
    <m/>
    <m/>
    <s v="40-25-1.6-ERW 2-FC"/>
    <s v="40-25-1.6-ERW 2-FC-0.561"/>
    <n v="1"/>
    <x v="15"/>
    <x v="15"/>
    <x v="4"/>
    <x v="0"/>
    <n v="561"/>
    <s v="NOS"/>
    <x v="15"/>
    <n v="0"/>
    <n v="12500"/>
    <n v="10.973971430400001"/>
    <n v="0"/>
    <n v="10.973971430400001"/>
    <n v="1209.6953763908352"/>
    <n v="1.0620130000000001"/>
    <n v="1.6880130000000002"/>
    <n v="11.180947072742002"/>
    <n v="8.6744789960108537E-2"/>
  </r>
  <r>
    <n v="484"/>
    <s v="Khopoli "/>
    <x v="22"/>
    <m/>
    <n v="945539"/>
    <n v="3910648"/>
    <s v="HT2-O-N-AUT-AW-FC-41.28X2.600X0.8500"/>
    <x v="0"/>
    <m/>
    <x v="1"/>
    <x v="2"/>
    <m/>
    <m/>
    <m/>
    <m/>
    <s v="41.28-0-2.6-ERW 1-FC"/>
    <s v="41.28-0-2.6-ERW 1-FC-0.85"/>
    <n v="2"/>
    <x v="15"/>
    <x v="27"/>
    <x v="0"/>
    <x v="13"/>
    <n v="850"/>
    <s v="NOS"/>
    <x v="55"/>
    <n v="0"/>
    <n v="14500"/>
    <n v="30.552450289399999"/>
    <n v="0"/>
    <n v="30.552450289399999"/>
    <n v="58.395430909807963"/>
    <n v="0.123043"/>
    <n v="0.27027099999999998"/>
    <n v="10.850928430400002"/>
    <n v="1.1212258094562498E-2"/>
  </r>
  <r>
    <n v="487"/>
    <s v="JSR"/>
    <x v="22"/>
    <m/>
    <n v="945539"/>
    <n v="3901714"/>
    <s v="CUT-N-AUT-AN-FC-42.70X4.000X0.2150"/>
    <x v="0"/>
    <s v="Annealed"/>
    <x v="1"/>
    <x v="1"/>
    <m/>
    <s v="Chamferring"/>
    <m/>
    <m/>
    <s v="42.7-0-4-ERW 1-FC"/>
    <s v="42.7-0-4-ERW 1-FC-0.215"/>
    <n v="1"/>
    <x v="16"/>
    <x v="16"/>
    <x v="0"/>
    <x v="12"/>
    <n v="215"/>
    <s v="NOS"/>
    <x v="75"/>
    <n v="0"/>
    <n v="27167"/>
    <n v="22.286937945005999"/>
    <n v="0"/>
    <n v="22.286937945005999"/>
    <n v="9873.5077700213315"/>
    <n v="8.0999099999999995"/>
    <n v="91.265295999999992"/>
    <m/>
    <m/>
  </r>
  <r>
    <n v="481"/>
    <s v="Khopoli "/>
    <x v="22"/>
    <m/>
    <n v="945539"/>
    <m/>
    <s v="TUB-O-N-AUT-AW-FC-48.60X3.500X0.202.5"/>
    <x v="0"/>
    <m/>
    <x v="1"/>
    <x v="1"/>
    <m/>
    <s v="Chamferring"/>
    <m/>
    <m/>
    <s v="48.6-0-3.5-ERW 1-FC"/>
    <s v="48.6-0-3.5-ERW 1-FC-0.2025"/>
    <n v="0"/>
    <x v="18"/>
    <x v="17"/>
    <x v="0"/>
    <x v="16"/>
    <n v="202.5"/>
    <s v="NOS"/>
    <x v="76"/>
    <n v="0"/>
    <n v="7389"/>
    <n v="5.8217638515671242"/>
    <n v="0"/>
    <n v="5.8217638515671242"/>
    <n v="0"/>
    <n v="0"/>
    <n v="49.386735000000002"/>
    <n v="22.286937945005999"/>
    <n v="0"/>
  </r>
  <r>
    <n v="492"/>
    <s v="Hosur"/>
    <x v="22"/>
    <m/>
    <n v="945539"/>
    <n v="3780004"/>
    <s v="TUB-R-AW-RHS-50.00X30.00X1.600X0.6070"/>
    <x v="6"/>
    <m/>
    <x v="1"/>
    <x v="0"/>
    <s v="SAE1020"/>
    <m/>
    <m/>
    <m/>
    <s v="50-30-1.6-ERW 2-FC"/>
    <s v="50-30-1.6-ERW 2-FC-0.607"/>
    <n v="1"/>
    <x v="4"/>
    <x v="4"/>
    <x v="1"/>
    <x v="0"/>
    <n v="607"/>
    <s v="NOS"/>
    <x v="77"/>
    <n v="0"/>
    <n v="11830"/>
    <n v="13.933423129516797"/>
    <n v="0"/>
    <n v="13.933423129516797"/>
    <n v="12569.174563356097"/>
    <n v="14.804026000000002"/>
    <n v="31.742567000000001"/>
    <n v="-8.9822621484328771"/>
    <n v="2.5428764163999884"/>
  </r>
  <r>
    <n v="490"/>
    <s v="Hosur"/>
    <x v="22"/>
    <m/>
    <n v="945539"/>
    <n v="3780005"/>
    <s v="TUB-R-AW-RHS-50.00X30.00X1.600X0.6380"/>
    <x v="6"/>
    <m/>
    <x v="1"/>
    <x v="0"/>
    <s v="SAE1020"/>
    <m/>
    <m/>
    <m/>
    <s v="50-30-1.6-ERW 2-FC"/>
    <s v="50-30-1.6-ERW 2-FC-0.638"/>
    <n v="2"/>
    <x v="4"/>
    <x v="4"/>
    <x v="1"/>
    <x v="0"/>
    <n v="638"/>
    <s v="NOS"/>
    <x v="9"/>
    <n v="0"/>
    <n v="1000"/>
    <n v="1.2379556006399999"/>
    <n v="0"/>
    <n v="1.2379556006399999"/>
    <n v="8529.7639063476545"/>
    <n v="10.559469000000002"/>
    <n v="31.742567000000001"/>
    <n v="3.373954129516795"/>
    <n v="0.75785174266549371"/>
  </r>
  <r>
    <n v="483"/>
    <s v="Hosur"/>
    <x v="22"/>
    <m/>
    <n v="945539"/>
    <m/>
    <m/>
    <x v="0"/>
    <m/>
    <x v="1"/>
    <x v="1"/>
    <m/>
    <m/>
    <m/>
    <m/>
    <s v="50.8-0-1.6-ERW 1-FC"/>
    <m/>
    <m/>
    <x v="4"/>
    <x v="39"/>
    <x v="0"/>
    <x v="0"/>
    <n v="753"/>
    <m/>
    <x v="30"/>
    <e v="#N/A"/>
    <e v="#N/A"/>
    <n v="0"/>
    <e v="#N/A"/>
    <e v="#N/A"/>
    <e v="#DIV/0!"/>
    <n v="0"/>
    <n v="8.4482560000000007"/>
    <n v="1.2379556006399999"/>
    <e v="#N/A"/>
  </r>
  <r>
    <n v="315"/>
    <s v="Khopoli "/>
    <x v="23"/>
    <m/>
    <n v="941496"/>
    <n v="1938118"/>
    <s v="TUB-O-N-AUT-AW-PE-17.30X1.600X0.3550"/>
    <x v="0"/>
    <m/>
    <x v="0"/>
    <x v="0"/>
    <s v="D"/>
    <m/>
    <m/>
    <m/>
    <s v="17.3-0-1.6-ERW 1-PE"/>
    <s v="17.3-0-1.6-ERW 1-PE-0.355"/>
    <n v="1"/>
    <x v="7"/>
    <x v="7"/>
    <x v="0"/>
    <x v="0"/>
    <n v="355"/>
    <s v="NOS"/>
    <x v="78"/>
    <n v="0"/>
    <n v="22000"/>
    <n v="4.8358182928000009"/>
    <n v="0"/>
    <n v="4.8358182928000009"/>
    <n v="0"/>
    <n v="0"/>
    <n v="3.2314159999999998"/>
    <n v="0"/>
    <e v="#DIV/0!"/>
  </r>
  <r>
    <n v="307"/>
    <s v="Khopoli "/>
    <x v="23"/>
    <m/>
    <n v="941496"/>
    <n v="1938119"/>
    <s v="TUB-O-N-AUT-AW-PE-17.30X1.600X0.4000"/>
    <x v="0"/>
    <m/>
    <x v="0"/>
    <x v="1"/>
    <m/>
    <m/>
    <m/>
    <m/>
    <s v="17.3-0-1.6-ERW 1-PE"/>
    <s v="17.3-0-1.6-ERW 1-PE-0.4"/>
    <n v="1"/>
    <x v="7"/>
    <x v="7"/>
    <x v="0"/>
    <x v="0"/>
    <n v="400"/>
    <s v="NOS"/>
    <x v="78"/>
    <n v="0"/>
    <n v="22000"/>
    <n v="5.4488093439999998"/>
    <n v="0"/>
    <n v="5.4488093439999998"/>
    <n v="0"/>
    <n v="0"/>
    <n v="3.2314159999999998"/>
    <n v="4.8358182928000009"/>
    <n v="0"/>
  </r>
  <r>
    <n v="311"/>
    <s v="Hosur"/>
    <x v="23"/>
    <m/>
    <n v="941496"/>
    <n v="1937022"/>
    <s v="TUB-O-N-GEN-AW-PE-19.05X1.200X0.6500"/>
    <x v="0"/>
    <m/>
    <x v="0"/>
    <x v="0"/>
    <m/>
    <m/>
    <m/>
    <m/>
    <s v="19.05-0-1.2-ERW 1-PE"/>
    <s v="19.05-0-1.2-ERW 1-PE-0.65"/>
    <n v="1"/>
    <x v="2"/>
    <x v="2"/>
    <x v="0"/>
    <x v="1"/>
    <n v="650"/>
    <s v="NOS"/>
    <x v="4"/>
    <n v="0"/>
    <n v="10000"/>
    <n v="3.4318802700000006"/>
    <n v="0"/>
    <n v="3.4318802700000006"/>
    <n v="404.52168804828369"/>
    <n v="0.13882699999999998"/>
    <n v="12.194379"/>
    <n v="5.3099823439999998"/>
    <n v="2.5478410279278801E-2"/>
  </r>
  <r>
    <n v="313"/>
    <s v="Hosur"/>
    <x v="23"/>
    <m/>
    <n v="941496"/>
    <n v="1940247"/>
    <s v="TUB-O-O-AUT-AW-PE-19.05X1.600X0.5950"/>
    <x v="0"/>
    <m/>
    <x v="0"/>
    <x v="0"/>
    <s v="GR1"/>
    <m/>
    <m/>
    <m/>
    <s v="19.05-0-1.6-ERW 1-PE"/>
    <s v="19.05-0-1.6-ERW 1-PE-0.595"/>
    <n v="1"/>
    <x v="2"/>
    <x v="2"/>
    <x v="0"/>
    <x v="0"/>
    <n v="595"/>
    <s v="NOS"/>
    <x v="17"/>
    <n v="0"/>
    <n v="7000"/>
    <n v="2.8663533331999997"/>
    <n v="0"/>
    <n v="2.8663533331999997"/>
    <n v="6779.04282592651"/>
    <n v="2.7758759999999998"/>
    <n v="14.281976999999999"/>
    <n v="0.65600427000000083"/>
    <n v="0.80884989615328251"/>
  </r>
  <r>
    <n v="316"/>
    <s v="Hosur"/>
    <x v="23"/>
    <m/>
    <n v="941496"/>
    <n v="2320564"/>
    <s v="TUB-O-N-AUT-AW-PE-19.05X2.300X0.4000"/>
    <x v="0"/>
    <m/>
    <x v="0"/>
    <x v="1"/>
    <m/>
    <m/>
    <m/>
    <m/>
    <s v="19.05-0-2.3-ERW 1-PE"/>
    <s v="19.05-0-2.3-ERW 1-PE-0.4"/>
    <n v="1"/>
    <x v="2"/>
    <x v="2"/>
    <x v="0"/>
    <x v="7"/>
    <n v="400"/>
    <s v="NOS"/>
    <x v="12"/>
    <n v="0"/>
    <n v="6000"/>
    <n v="2.27904654"/>
    <n v="0"/>
    <n v="2.27904654"/>
    <n v="0"/>
    <n v="0"/>
    <n v="41.162200000000006"/>
    <n v="2.8663533331999997"/>
    <n v="0"/>
  </r>
  <r>
    <n v="308"/>
    <s v="Hosur"/>
    <x v="23"/>
    <m/>
    <n v="941496"/>
    <n v="3718926"/>
    <s v="PT2-O-N-AUT-AW-PE-19.05X2.340X0.4020"/>
    <x v="0"/>
    <m/>
    <x v="3"/>
    <x v="1"/>
    <m/>
    <m/>
    <m/>
    <m/>
    <s v="19.05-0-2.3-ERW 1-"/>
    <m/>
    <m/>
    <x v="2"/>
    <x v="2"/>
    <x v="0"/>
    <x v="7"/>
    <n v="402"/>
    <m/>
    <x v="30"/>
    <e v="#N/A"/>
    <e v="#N/A"/>
    <n v="0"/>
    <e v="#N/A"/>
    <e v="#N/A"/>
    <e v="#DIV/0!"/>
    <n v="0"/>
    <n v="0"/>
    <n v="2.27904654"/>
    <e v="#N/A"/>
  </r>
  <r>
    <n v="328"/>
    <s v="Hosur"/>
    <x v="23"/>
    <m/>
    <n v="941496"/>
    <n v="3667938"/>
    <s v="CUT-O-N-AUT-AW-PE-22.20X1.200X0.6730"/>
    <x v="0"/>
    <m/>
    <x v="0"/>
    <x v="1"/>
    <m/>
    <m/>
    <m/>
    <m/>
    <s v="22.23-0-1.2-ERW 1-PE"/>
    <s v="22.23-0-1.2-ERW 1-PE-0.673"/>
    <n v="3"/>
    <x v="8"/>
    <x v="8"/>
    <x v="0"/>
    <x v="1"/>
    <n v="673"/>
    <s v="NOS"/>
    <x v="49"/>
    <n v="0"/>
    <n v="15000"/>
    <n v="6.279515645580001"/>
    <n v="0"/>
    <n v="6.279515645580001"/>
    <n v="473.88846018635002"/>
    <n v="0.19838600000000001"/>
    <n v="6.2558429999999996"/>
    <n v="-0.19838600000000001"/>
    <e v="#DIV/0!"/>
  </r>
  <r>
    <n v="321"/>
    <s v="Hosur"/>
    <x v="23"/>
    <m/>
    <n v="941496"/>
    <n v="3553684"/>
    <s v="TUB-O-N-AUT-AW-PE-22.23X1.600X0.2740"/>
    <x v="0"/>
    <m/>
    <x v="0"/>
    <x v="0"/>
    <s v="HROP"/>
    <m/>
    <m/>
    <m/>
    <s v="22.23-0-1.6-ERW 1-PE"/>
    <s v="22.23-0-1.6-ERW 1-PE-0.274"/>
    <n v="1"/>
    <x v="8"/>
    <x v="8"/>
    <x v="0"/>
    <x v="0"/>
    <n v="274"/>
    <s v="NOS"/>
    <x v="49"/>
    <n v="0"/>
    <n v="15000"/>
    <n v="3.3439543291200002"/>
    <n v="0"/>
    <n v="3.3439543291200002"/>
    <n v="50.239920604481192"/>
    <n v="1.12E-2"/>
    <n v="68.25120299999999"/>
    <n v="6.2683156455800013"/>
    <n v="1.7835770515013223E-3"/>
  </r>
  <r>
    <n v="324"/>
    <s v="Hosur"/>
    <x v="23"/>
    <m/>
    <n v="941496"/>
    <n v="1940437"/>
    <s v="TUB-O-O-AUT-AW-PE-22.23X2.000X0.3940"/>
    <x v="0"/>
    <m/>
    <x v="0"/>
    <x v="1"/>
    <m/>
    <m/>
    <m/>
    <m/>
    <s v="22.23-0-2-ERW 1-PE"/>
    <s v="22.23-0-2-ERW 1-PE-0.394"/>
    <n v="2"/>
    <x v="8"/>
    <x v="8"/>
    <x v="0"/>
    <x v="3"/>
    <n v="394"/>
    <s v="NOS"/>
    <x v="4"/>
    <n v="0"/>
    <n v="10000"/>
    <n v="3.9293562475999999"/>
    <n v="0"/>
    <n v="3.9293562475999999"/>
    <n v="6946.3566752623301"/>
    <n v="2.7294710000000002"/>
    <n v="45.493454"/>
    <m/>
    <m/>
  </r>
  <r>
    <n v="320"/>
    <s v="Hosur"/>
    <x v="23"/>
    <m/>
    <n v="941496"/>
    <n v="2413708"/>
    <s v="TUB-O-N-AUT-AW-PE-22.23X2.000X0.8150"/>
    <x v="0"/>
    <m/>
    <x v="0"/>
    <x v="1"/>
    <m/>
    <m/>
    <m/>
    <m/>
    <s v="22.23-0-2-ERW 1-PE"/>
    <s v="22.23-0-2-ERW 1-PE-0.815"/>
    <n v="2"/>
    <x v="8"/>
    <x v="8"/>
    <x v="0"/>
    <x v="3"/>
    <n v="815"/>
    <s v="NOS"/>
    <x v="31"/>
    <n v="5000"/>
    <n v="15000"/>
    <n v="16.255966202"/>
    <n v="4.0639915504999999"/>
    <n v="12.191974651500001"/>
    <n v="12962.322717801622"/>
    <n v="10.535753999999999"/>
    <n v="45.493454"/>
    <n v="-6.6063977523999995"/>
    <n v="3.715556602793991"/>
  </r>
  <r>
    <n v="322"/>
    <s v="Hosur"/>
    <x v="23"/>
    <m/>
    <n v="941496"/>
    <n v="3910650"/>
    <s v="HT2-O-N-AUT-AS-FC-22.23X2.000X0.8550"/>
    <x v="6"/>
    <m/>
    <x v="1"/>
    <x v="1"/>
    <s v="SAE1020"/>
    <m/>
    <m/>
    <m/>
    <s v="22.23-0-2-ERW 2-FC"/>
    <m/>
    <m/>
    <x v="8"/>
    <x v="8"/>
    <x v="0"/>
    <x v="3"/>
    <n v="855"/>
    <m/>
    <x v="30"/>
    <e v="#N/A"/>
    <e v="#N/A"/>
    <n v="0"/>
    <e v="#N/A"/>
    <e v="#N/A"/>
    <e v="#DIV/0!"/>
    <n v="0"/>
    <n v="18.961382"/>
    <n v="16.255966202"/>
    <e v="#N/A"/>
  </r>
  <r>
    <n v="323"/>
    <s v="Hosur"/>
    <x v="23"/>
    <m/>
    <n v="941496"/>
    <n v="3910649"/>
    <s v="CUT-O-N-AUT-AW-FC-22.23X2.000X0.8630"/>
    <x v="6"/>
    <m/>
    <x v="1"/>
    <x v="1"/>
    <s v="SAE1020"/>
    <m/>
    <m/>
    <m/>
    <s v="22.23-0-2-ERW 2-FC"/>
    <m/>
    <m/>
    <x v="8"/>
    <x v="8"/>
    <x v="0"/>
    <x v="3"/>
    <n v="863"/>
    <m/>
    <x v="30"/>
    <e v="#N/A"/>
    <e v="#N/A"/>
    <n v="0"/>
    <e v="#N/A"/>
    <e v="#N/A"/>
    <e v="#DIV/0!"/>
    <n v="0"/>
    <n v="18.961382"/>
    <m/>
    <m/>
  </r>
  <r>
    <n v="310"/>
    <s v="Hosur"/>
    <x v="23"/>
    <m/>
    <n v="941496"/>
    <n v="1940588"/>
    <s v="TUB-O-O-AUT-AW-FC-25.40X2.000X0.3550"/>
    <x v="0"/>
    <m/>
    <x v="1"/>
    <x v="1"/>
    <m/>
    <m/>
    <m/>
    <m/>
    <s v="25.4-0-2-ERW 1-FC"/>
    <s v="25.4-0-2-ERW 1-FC-0.355"/>
    <n v="1"/>
    <x v="3"/>
    <x v="3"/>
    <x v="0"/>
    <x v="3"/>
    <n v="355"/>
    <s v="NOS"/>
    <x v="31"/>
    <n v="0"/>
    <n v="20000"/>
    <n v="8.1903697199999996"/>
    <n v="0"/>
    <n v="8.1903697199999996"/>
    <n v="2048.0003435058607"/>
    <n v="0.83869400000000005"/>
    <n v="18.579590000000003"/>
    <n v="-0.83869400000000005"/>
    <e v="#DIV/0!"/>
  </r>
  <r>
    <n v="314"/>
    <s v="Hosur"/>
    <x v="23"/>
    <m/>
    <n v="941496"/>
    <n v="1940614"/>
    <s v="TUB-O-O-AUT-AW-PE-28.58X1.200X0.5950"/>
    <x v="0"/>
    <m/>
    <x v="0"/>
    <x v="0"/>
    <m/>
    <m/>
    <m/>
    <m/>
    <s v="28.58-0-1.2-ERW 1-PE"/>
    <s v="28.58-0-1.2-ERW 1-PE-0.595"/>
    <n v="1"/>
    <x v="9"/>
    <x v="9"/>
    <x v="0"/>
    <x v="1"/>
    <n v="595"/>
    <s v="NOS"/>
    <x v="4"/>
    <n v="0"/>
    <n v="10000"/>
    <n v="4.8187118868000001"/>
    <n v="0"/>
    <n v="4.8187118868000001"/>
    <n v="6701.1954145786922"/>
    <n v="3.2291129999999999"/>
    <n v="9.7126230000000007"/>
    <n v="4.9612567199999997"/>
    <n v="0.39425729367440571"/>
  </r>
  <r>
    <n v="312"/>
    <s v="Hosur"/>
    <x v="23"/>
    <m/>
    <n v="941496"/>
    <n v="2256593"/>
    <s v="TUB-O-N-AUT-AW-FC-31.75X1.200X0.2100"/>
    <x v="0"/>
    <m/>
    <x v="1"/>
    <x v="0"/>
    <m/>
    <m/>
    <m/>
    <m/>
    <s v="31.75-0-1.2-ERW 1-FC"/>
    <s v="31.75-0-1.2-ERW 1-FC-0.21"/>
    <n v="1"/>
    <x v="12"/>
    <x v="13"/>
    <x v="0"/>
    <x v="1"/>
    <n v="210"/>
    <s v="NOS"/>
    <x v="6"/>
    <n v="0"/>
    <n v="5000"/>
    <n v="0.94881395700000004"/>
    <n v="0"/>
    <n v="0.94881395700000004"/>
    <n v="145.91901708292428"/>
    <n v="2.7690000000000003E-2"/>
    <n v="1.9496899999999999"/>
    <n v="4.7910218868000003"/>
    <n v="5.7463489518540852E-3"/>
  </r>
  <r>
    <n v="325"/>
    <s v="Hosur"/>
    <x v="23"/>
    <m/>
    <n v="941496"/>
    <n v="3507795"/>
    <s v="CUT-O-N-AUT-AW-PE-31.75X1.200X0.6570"/>
    <x v="0"/>
    <m/>
    <x v="3"/>
    <x v="1"/>
    <m/>
    <m/>
    <m/>
    <m/>
    <s v="31.75-0-1.2-ERW 1-"/>
    <m/>
    <m/>
    <x v="12"/>
    <x v="13"/>
    <x v="0"/>
    <x v="1"/>
    <n v="657"/>
    <m/>
    <x v="30"/>
    <e v="#N/A"/>
    <e v="#N/A"/>
    <n v="0"/>
    <e v="#N/A"/>
    <e v="#N/A"/>
    <e v="#DIV/0!"/>
    <n v="0"/>
    <n v="0"/>
    <n v="0.94881395700000004"/>
    <e v="#N/A"/>
  </r>
  <r>
    <n v="329"/>
    <s v="Hosur"/>
    <x v="23"/>
    <m/>
    <n v="941496"/>
    <n v="3819143"/>
    <s v="CUT-O-N-AUT-AW-PE-31.75X1.200X0.6800"/>
    <x v="0"/>
    <m/>
    <x v="0"/>
    <x v="0"/>
    <m/>
    <m/>
    <m/>
    <m/>
    <s v="31.75-0-1.2-ERW 1-PE"/>
    <s v="31.75-0-1.2-ERW 1-PE-0.68"/>
    <n v="1"/>
    <x v="12"/>
    <x v="13"/>
    <x v="0"/>
    <x v="1"/>
    <n v="680"/>
    <s v="NOS"/>
    <x v="4"/>
    <n v="0"/>
    <n v="10000"/>
    <n v="6.1446999119999992"/>
    <n v="0"/>
    <n v="6.1446999119999992"/>
    <n v="149.37263221065174"/>
    <n v="9.1785000000000005E-2"/>
    <n v="8.3877849999999992"/>
    <n v="-9.1785000000000005E-2"/>
    <e v="#DIV/0!"/>
  </r>
  <r>
    <n v="309"/>
    <s v="Hosur"/>
    <x v="23"/>
    <m/>
    <n v="941496"/>
    <n v="3715133"/>
    <s v="TUB-O-O-AUT-AW-FC-31.75X1.600X0.6580"/>
    <x v="0"/>
    <m/>
    <x v="1"/>
    <x v="1"/>
    <m/>
    <m/>
    <m/>
    <m/>
    <s v="31.75-0-1.6-ERW 1-FC"/>
    <s v="31.75-0-1.6-ERW 1-FC-0.658"/>
    <n v="1"/>
    <x v="12"/>
    <x v="13"/>
    <x v="0"/>
    <x v="0"/>
    <n v="658"/>
    <s v="NOS"/>
    <x v="49"/>
    <n v="1658"/>
    <n v="13342"/>
    <n v="11.7360987912"/>
    <n v="1.29723011972064"/>
    <n v="10.43886867147936"/>
    <n v="3855.2014434239231"/>
    <n v="3.0163350000000002"/>
    <n v="11.043334999999999"/>
    <n v="3.128364911999999"/>
    <n v="0.70199768605406887"/>
  </r>
  <r>
    <n v="319"/>
    <s v="Khopoli "/>
    <x v="23"/>
    <m/>
    <n v="941496"/>
    <n v="2412748"/>
    <s v="TUB-O-C-AUT-AD-FC-33.30X2.000X4.3000"/>
    <x v="2"/>
    <m/>
    <x v="2"/>
    <x v="1"/>
    <m/>
    <m/>
    <m/>
    <m/>
    <s v="33.3-29.3-2-CEW-CEW"/>
    <s v="33.3-29.3-2-CEW-CEW"/>
    <n v="2"/>
    <x v="38"/>
    <x v="48"/>
    <x v="18"/>
    <x v="3"/>
    <n v="1000"/>
    <s v="M"/>
    <x v="51"/>
    <n v="0"/>
    <n v="504"/>
    <n v="0.7776858096"/>
    <n v="0"/>
    <n v="0.7776858096"/>
    <n v="2729.050696053745"/>
    <n v="4.2110000000000003"/>
    <n v="4.2110000000000003"/>
    <n v="7.5250987911999996"/>
    <n v="0.35880747724767842"/>
  </r>
  <r>
    <n v="327"/>
    <s v="Hosur"/>
    <x v="23"/>
    <m/>
    <n v="941496"/>
    <n v="1903849"/>
    <s v="TUB-O-N-AUT-AW-FC-38.10X2.000X0.4320"/>
    <x v="0"/>
    <m/>
    <x v="1"/>
    <x v="1"/>
    <m/>
    <m/>
    <m/>
    <m/>
    <s v="38.1-0-2-ERW 1-FC"/>
    <s v="38.1-0-2-ERW 1-FC-0.432"/>
    <n v="1"/>
    <x v="14"/>
    <x v="24"/>
    <x v="0"/>
    <x v="3"/>
    <n v="432"/>
    <s v="NOS"/>
    <x v="3"/>
    <n v="0"/>
    <n v="8000"/>
    <n v="6.1504973567999999"/>
    <n v="0"/>
    <n v="6.1504973567999999"/>
    <n v="868.85591359400894"/>
    <n v="0.66798700000000011"/>
    <n v="52.918269000000002"/>
    <n v="0.10969880959999989"/>
    <n v="0.85894199399572035"/>
  </r>
  <r>
    <n v="330"/>
    <s v="Hosur"/>
    <x v="23"/>
    <m/>
    <n v="941496"/>
    <n v="3516769"/>
    <s v="TUB-O-N-AUT-AW-FC-38.10X2.000X0.4940"/>
    <x v="0"/>
    <m/>
    <x v="1"/>
    <x v="1"/>
    <m/>
    <m/>
    <m/>
    <m/>
    <s v="38.1-0-2-ERW 1-FC"/>
    <m/>
    <m/>
    <x v="14"/>
    <x v="24"/>
    <x v="0"/>
    <x v="3"/>
    <n v="494"/>
    <m/>
    <x v="30"/>
    <e v="#N/A"/>
    <e v="#N/A"/>
    <n v="0"/>
    <e v="#N/A"/>
    <e v="#N/A"/>
    <e v="#DIV/0!"/>
    <n v="0"/>
    <n v="52.918269000000002"/>
    <n v="6.1504973567999999"/>
    <e v="#N/A"/>
  </r>
  <r>
    <n v="331"/>
    <s v="Hosur"/>
    <x v="23"/>
    <m/>
    <n v="941496"/>
    <n v="1940743"/>
    <s v="TUB-O-O-AUT-AW-FC-38.10X2.000X0.8120"/>
    <x v="0"/>
    <m/>
    <x v="1"/>
    <x v="1"/>
    <m/>
    <m/>
    <m/>
    <m/>
    <s v="38.1-0-2-ERW 1-FC"/>
    <s v="38.1-0-2-ERW 1-FC-0.812"/>
    <n v="2"/>
    <x v="14"/>
    <x v="24"/>
    <x v="0"/>
    <x v="3"/>
    <n v="812"/>
    <s v="NOS"/>
    <x v="3"/>
    <n v="0"/>
    <n v="8000"/>
    <n v="11.560657068800001"/>
    <n v="0"/>
    <n v="11.560657068800001"/>
    <n v="394.25025522992183"/>
    <n v="0.56972400000000001"/>
    <n v="52.918269000000002"/>
    <n v="-0.56972400000000001"/>
    <e v="#DIV/0!"/>
  </r>
  <r>
    <n v="318"/>
    <s v="Hosur"/>
    <x v="23"/>
    <m/>
    <n v="941496"/>
    <n v="2399718"/>
    <s v="TUB-O-N-AUT-AW-FC-40.00X1.200X0.4500"/>
    <x v="0"/>
    <m/>
    <x v="3"/>
    <x v="1"/>
    <m/>
    <m/>
    <m/>
    <m/>
    <s v="40-0-1.2-ERW 1-"/>
    <m/>
    <m/>
    <x v="45"/>
    <x v="15"/>
    <x v="0"/>
    <x v="1"/>
    <n v="450"/>
    <m/>
    <x v="30"/>
    <e v="#N/A"/>
    <e v="#N/A"/>
    <n v="0"/>
    <e v="#N/A"/>
    <e v="#N/A"/>
    <e v="#DIV/0!"/>
    <n v="0"/>
    <n v="0"/>
    <n v="11.560657068800001"/>
    <e v="#N/A"/>
  </r>
  <r>
    <n v="305"/>
    <s v="Hosur"/>
    <x v="23"/>
    <m/>
    <n v="941496"/>
    <n v="1940821"/>
    <s v="TUB-R-AW-RHS-40.00X25.00X1.600X0.5130"/>
    <x v="0"/>
    <m/>
    <x v="3"/>
    <x v="1"/>
    <m/>
    <m/>
    <m/>
    <m/>
    <s v="40-25-1.6-ERW 1-"/>
    <m/>
    <m/>
    <x v="15"/>
    <x v="15"/>
    <x v="4"/>
    <x v="0"/>
    <n v="513"/>
    <m/>
    <x v="30"/>
    <e v="#N/A"/>
    <e v="#N/A"/>
    <n v="0"/>
    <e v="#N/A"/>
    <e v="#N/A"/>
    <e v="#DIV/0!"/>
    <n v="0"/>
    <n v="0"/>
    <n v="0"/>
    <e v="#N/A"/>
  </r>
  <r>
    <n v="306"/>
    <s v="Hosur"/>
    <x v="23"/>
    <m/>
    <n v="941496"/>
    <n v="1940822"/>
    <s v="TUB-R-AW-RHS-40.00X25.00X1.600X0.5360"/>
    <x v="0"/>
    <m/>
    <x v="3"/>
    <x v="1"/>
    <m/>
    <m/>
    <m/>
    <m/>
    <s v="40-25-1.6-ERW 1-"/>
    <m/>
    <m/>
    <x v="15"/>
    <x v="15"/>
    <x v="4"/>
    <x v="0"/>
    <n v="536"/>
    <m/>
    <x v="30"/>
    <e v="#N/A"/>
    <e v="#N/A"/>
    <n v="0"/>
    <e v="#N/A"/>
    <e v="#N/A"/>
    <e v="#DIV/0!"/>
    <n v="0"/>
    <n v="0"/>
    <n v="0"/>
    <e v="#N/A"/>
  </r>
  <r>
    <n v="317"/>
    <s v="Khopoli "/>
    <x v="23"/>
    <m/>
    <n v="945539"/>
    <m/>
    <s v="TUB-O-N-AUT-AN-FC-42.70X3.500X0.2080"/>
    <x v="0"/>
    <s v="Annealed"/>
    <x v="1"/>
    <x v="1"/>
    <m/>
    <s v="Chamferring"/>
    <m/>
    <m/>
    <s v="42.7-0-3.5-ERW 1-FC"/>
    <s v="42.7-0-3.5-ERW 1-FC-0.208"/>
    <n v="1"/>
    <x v="16"/>
    <x v="16"/>
    <x v="0"/>
    <x v="16"/>
    <n v="208"/>
    <s v="NOS"/>
    <x v="19"/>
    <n v="0"/>
    <n v="28000"/>
    <n v="19.695852467200002"/>
    <n v="0"/>
    <n v="19.695852467200002"/>
    <n v="9371.1325421112451"/>
    <n v="6.5918729999999996"/>
    <n v="68.508342000000013"/>
    <n v="-6.5918729999999996"/>
    <e v="#DIV/0!"/>
  </r>
  <r>
    <n v="326"/>
    <s v="Hosur"/>
    <x v="23"/>
    <m/>
    <n v="941496"/>
    <n v="2325421"/>
    <s v="TUB-O-N-AUT-AW-FC-48.60X1.200X0.3360"/>
    <x v="0"/>
    <m/>
    <x v="1"/>
    <x v="0"/>
    <m/>
    <m/>
    <m/>
    <m/>
    <s v="48.6-0-1.2-ERW 1-FC"/>
    <s v="48.6-0-1.2-ERW 1-FC-0.336"/>
    <n v="1"/>
    <x v="18"/>
    <x v="17"/>
    <x v="0"/>
    <x v="1"/>
    <n v="336"/>
    <s v="NOS"/>
    <x v="49"/>
    <n v="0"/>
    <n v="15000"/>
    <n v="7.0662570048000006"/>
    <n v="0"/>
    <n v="7.0662570048000006"/>
    <n v="9.7816991305365519"/>
    <n v="4.6079999999999992E-3"/>
    <n v="7.1516080000000004"/>
    <n v="19.691244467200001"/>
    <n v="2.3395788568551768E-4"/>
  </r>
  <r>
    <n v="583"/>
    <s v="Hosur"/>
    <x v="24"/>
    <m/>
    <n v="188595"/>
    <n v="3935312"/>
    <s v="CUT-O-N-AUT-AW-PE-15.88X1.220X0.1000"/>
    <x v="0"/>
    <m/>
    <x v="0"/>
    <x v="2"/>
    <m/>
    <m/>
    <m/>
    <m/>
    <s v="15.88-0-1.2-ERW 1-PE"/>
    <s v="15.88-0-1.2-ERW 1-PE-0.1"/>
    <n v="1"/>
    <x v="1"/>
    <x v="1"/>
    <x v="0"/>
    <x v="1"/>
    <n v="100"/>
    <s v="NOS"/>
    <x v="13"/>
    <n v="1000"/>
    <n v="10000"/>
    <n v="0.47763846240000002"/>
    <n v="4.3421678400000004E-2"/>
    <n v="0.43421678400000002"/>
    <n v="11045.680813664725"/>
    <n v="0.47962199999999999"/>
    <n v="3.1547549999999998"/>
    <m/>
    <m/>
  </r>
  <r>
    <n v="582"/>
    <s v="Hosur"/>
    <x v="24"/>
    <m/>
    <n v="188595"/>
    <n v="3929691"/>
    <s v="CUT-O-N-AUT-AW-PE-19.05X1.200X0.2000"/>
    <x v="5"/>
    <m/>
    <x v="0"/>
    <x v="2"/>
    <m/>
    <m/>
    <m/>
    <m/>
    <s v="19.05-0-1.2-CRFH-PE"/>
    <s v="19.05-0-1.2-CRFH-PE-0.2"/>
    <n v="2"/>
    <x v="2"/>
    <x v="2"/>
    <x v="0"/>
    <x v="1"/>
    <n v="200"/>
    <s v="NOS"/>
    <x v="78"/>
    <n v="0"/>
    <n v="22000"/>
    <n v="2.3231189520000002"/>
    <n v="0"/>
    <n v="2.3231189520000002"/>
    <n v="0"/>
    <n v="0"/>
    <n v="0.21930100000000002"/>
    <m/>
    <m/>
  </r>
  <r>
    <n v="581"/>
    <s v="Hosur"/>
    <x v="24"/>
    <m/>
    <n v="188595"/>
    <n v="3935313"/>
    <s v="CUT-O-N-AUT-AW-PE-19.05X1.200X33.0000"/>
    <x v="5"/>
    <m/>
    <x v="0"/>
    <x v="2"/>
    <m/>
    <m/>
    <m/>
    <m/>
    <s v="19.05-0-1.2-CRFH-PE"/>
    <s v="19.05-0-1.2-CRFH-PE-0.33"/>
    <n v="1"/>
    <x v="2"/>
    <x v="2"/>
    <x v="0"/>
    <x v="1"/>
    <n v="330"/>
    <s v="NOS"/>
    <x v="79"/>
    <n v="0"/>
    <n v="5500"/>
    <n v="0.95828656770000009"/>
    <n v="0"/>
    <n v="0.95828656770000009"/>
    <n v="0"/>
    <n v="0"/>
    <n v="0.21930100000000002"/>
    <m/>
    <m/>
  </r>
  <r>
    <n v="580"/>
    <s v="Hosur"/>
    <x v="24"/>
    <m/>
    <n v="188595"/>
    <n v="3929540"/>
    <s v="CUT-O-N-AUT-AW-PE-19.05X1.200X0.6820"/>
    <x v="5"/>
    <m/>
    <x v="0"/>
    <x v="2"/>
    <m/>
    <m/>
    <m/>
    <m/>
    <s v="19.05-0-1.2-CRFH-PE"/>
    <s v="19.05-0-1.2-CRFH-PE-0.682"/>
    <n v="1"/>
    <x v="2"/>
    <x v="2"/>
    <x v="0"/>
    <x v="1"/>
    <n v="682"/>
    <s v="NOS"/>
    <x v="13"/>
    <n v="0"/>
    <n v="11000"/>
    <n v="3.96091781316"/>
    <n v="0"/>
    <n v="3.96091781316"/>
    <n v="0"/>
    <n v="0"/>
    <n v="0.21930100000000002"/>
    <m/>
    <m/>
  </r>
  <r>
    <n v="579"/>
    <s v="Hosur"/>
    <x v="24"/>
    <m/>
    <n v="188595"/>
    <n v="3929692"/>
    <s v="CUT-O-N-AUT-AW-PE-19.05X1.200X1.2300"/>
    <x v="5"/>
    <m/>
    <x v="0"/>
    <x v="2"/>
    <m/>
    <m/>
    <m/>
    <m/>
    <s v="19.05-0-1.2-CRFH-PE"/>
    <s v="19.05-0-1.2-CRFH-PE-1.23"/>
    <n v="1"/>
    <x v="2"/>
    <x v="2"/>
    <x v="0"/>
    <x v="1"/>
    <n v="1230"/>
    <s v="NOS"/>
    <x v="79"/>
    <n v="500"/>
    <n v="5000"/>
    <n v="3.5717953887"/>
    <n v="0.32470867170000001"/>
    <n v="3.2470867170000002"/>
    <n v="220.16812678797331"/>
    <n v="0.142981"/>
    <n v="0.21930100000000002"/>
    <m/>
    <m/>
  </r>
  <r>
    <n v="573"/>
    <s v="Hosur"/>
    <x v="24"/>
    <m/>
    <n v="188595"/>
    <n v="3931834"/>
    <s v="HT1-R-AW-AUT-19.00X19.00X1.000X0.1000"/>
    <x v="5"/>
    <m/>
    <x v="0"/>
    <x v="2"/>
    <m/>
    <m/>
    <m/>
    <m/>
    <s v="19-19-1-CRFH-PE"/>
    <s v="19-19-1-CRFH-PE-0.1"/>
    <n v="2"/>
    <x v="23"/>
    <x v="22"/>
    <x v="8"/>
    <x v="2"/>
    <n v="100"/>
    <s v="NOS"/>
    <x v="13"/>
    <n v="1000"/>
    <n v="10000"/>
    <n v="0.60789363799999996"/>
    <n v="5.5263058000000004E-2"/>
    <n v="0.55263057999999998"/>
    <n v="7447.1629854431876"/>
    <n v="0.411553"/>
    <n v="57.050424999999997"/>
    <m/>
    <m/>
  </r>
  <r>
    <n v="572"/>
    <s v="Hosur"/>
    <x v="24"/>
    <m/>
    <n v="188595"/>
    <n v="3931835"/>
    <s v="CUT-R-AW-AUT-19.00X19.00X1.000X0.1100"/>
    <x v="5"/>
    <m/>
    <x v="0"/>
    <x v="2"/>
    <m/>
    <m/>
    <m/>
    <m/>
    <s v="19-19-1-CRFH-PE"/>
    <s v="19-19-1-CRFH-PE-0.11"/>
    <n v="2"/>
    <x v="23"/>
    <x v="22"/>
    <x v="8"/>
    <x v="2"/>
    <n v="110"/>
    <s v="NOS"/>
    <x v="13"/>
    <n v="1000"/>
    <n v="10000"/>
    <n v="0.66868300180000007"/>
    <n v="6.078936380000001E-2"/>
    <n v="0.60789363800000007"/>
    <n v="1044.3603293640654"/>
    <n v="6.3486000000000001E-2"/>
    <n v="57.050424999999997"/>
    <m/>
    <m/>
  </r>
  <r>
    <n v="571"/>
    <s v="Hosur"/>
    <x v="24"/>
    <m/>
    <n v="188595"/>
    <n v="3938687"/>
    <s v="TUB-S-AW-AUT-19.00X19.00X1.000X0.1290"/>
    <x v="5"/>
    <m/>
    <x v="0"/>
    <x v="2"/>
    <m/>
    <m/>
    <m/>
    <m/>
    <s v="19-19-1-CRFH-PE"/>
    <s v="19-19-1-CRFH-PE-0.129"/>
    <n v="2"/>
    <x v="23"/>
    <x v="22"/>
    <x v="8"/>
    <x v="2"/>
    <n v="129"/>
    <s v="NOS"/>
    <x v="13"/>
    <n v="1000"/>
    <n v="10000"/>
    <n v="0.78418279302000016"/>
    <n v="7.1289344820000017E-2"/>
    <n v="0.71289344820000011"/>
    <n v="2344.5860026070577"/>
    <n v="0.16714399999999999"/>
    <n v="57.050424999999997"/>
    <m/>
    <m/>
  </r>
  <r>
    <n v="570"/>
    <s v="Hosur"/>
    <x v="24"/>
    <m/>
    <n v="188595"/>
    <n v="3230486"/>
    <s v="TUB-S-AW-AUT-19.00X19.00X1.000X0.1500"/>
    <x v="5"/>
    <m/>
    <x v="0"/>
    <x v="2"/>
    <m/>
    <m/>
    <m/>
    <m/>
    <s v="19-19-1-CRFH-PE"/>
    <s v="19-19-1-CRFH-PE-0.15"/>
    <n v="1"/>
    <x v="23"/>
    <x v="22"/>
    <x v="8"/>
    <x v="2"/>
    <n v="150"/>
    <s v="NOS"/>
    <x v="78"/>
    <n v="2000"/>
    <n v="20000"/>
    <n v="1.8236809140000005"/>
    <n v="0.16578917400000004"/>
    <n v="1.6578917400000006"/>
    <n v="2398.5643356905794"/>
    <n v="0.198828"/>
    <n v="57.050424999999997"/>
    <m/>
    <m/>
  </r>
  <r>
    <n v="569"/>
    <s v="Hosur"/>
    <x v="24"/>
    <m/>
    <n v="188595"/>
    <n v="3230490"/>
    <s v="TUB-S-AW-AUT-19.00X19.00X1.000X0.3550"/>
    <x v="5"/>
    <m/>
    <x v="0"/>
    <x v="2"/>
    <m/>
    <m/>
    <m/>
    <m/>
    <s v="19-19-1-CRFH-PE"/>
    <s v="19-19-1-CRFH-PE-0.355"/>
    <n v="1"/>
    <x v="23"/>
    <x v="22"/>
    <x v="8"/>
    <x v="2"/>
    <n v="355"/>
    <s v="NOS"/>
    <x v="13"/>
    <n v="1000"/>
    <n v="10000"/>
    <n v="2.1580224149000005"/>
    <n v="0.19618385590000004"/>
    <n v="1.9618385590000005"/>
    <n v="516.60214106333092"/>
    <n v="0.10134899999999999"/>
    <n v="57.050424999999997"/>
    <m/>
    <m/>
  </r>
  <r>
    <n v="568"/>
    <s v="Hosur"/>
    <x v="24"/>
    <m/>
    <n v="188595"/>
    <n v="3230487"/>
    <s v="TUB-S-AW-AUT-19.00X19.00X1.000X0.4000"/>
    <x v="5"/>
    <m/>
    <x v="0"/>
    <x v="2"/>
    <m/>
    <m/>
    <m/>
    <m/>
    <s v="19-19-1-CRFH-PE"/>
    <s v="19-19-1-CRFH-PE-0.4"/>
    <n v="1"/>
    <x v="23"/>
    <x v="22"/>
    <x v="8"/>
    <x v="2"/>
    <n v="400"/>
    <s v="NOS"/>
    <x v="78"/>
    <n v="3000"/>
    <n v="19000"/>
    <n v="4.8631491039999997"/>
    <n v="0.66315669600000005"/>
    <n v="4.199992408"/>
    <n v="4132.2088980309418"/>
    <n v="0.91343399999999997"/>
    <n v="57.050424999999997"/>
    <m/>
    <m/>
  </r>
  <r>
    <n v="567"/>
    <s v="Hosur"/>
    <x v="24"/>
    <m/>
    <n v="188595"/>
    <n v="3230488"/>
    <s v="TUB-S-AW-AUT-19.00X19.00X1.000X0.4700"/>
    <x v="5"/>
    <m/>
    <x v="0"/>
    <x v="2"/>
    <m/>
    <m/>
    <m/>
    <m/>
    <s v="19-19-1-CRFH-PE"/>
    <s v="19-19-1-CRFH-PE-0.47"/>
    <n v="1"/>
    <x v="23"/>
    <x v="22"/>
    <x v="8"/>
    <x v="2"/>
    <n v="470"/>
    <s v="NOS"/>
    <x v="13"/>
    <n v="1000"/>
    <n v="10000"/>
    <n v="2.8571000985999997"/>
    <n v="0.25973637259999999"/>
    <n v="2.5973637259999998"/>
    <n v="859.87186840384788"/>
    <n v="0.22333999999999998"/>
    <n v="57.050424999999997"/>
    <m/>
    <m/>
  </r>
  <r>
    <n v="566"/>
    <s v="Hosur"/>
    <x v="24"/>
    <m/>
    <n v="188595"/>
    <n v="3931836"/>
    <s v="CUT-R-AW-AUT-19.00X19.00X1.000X0.8000"/>
    <x v="5"/>
    <m/>
    <x v="0"/>
    <x v="2"/>
    <m/>
    <m/>
    <m/>
    <m/>
    <s v="19-19-1-CRFH-PE"/>
    <s v="19-19-1-CRFH-PE-0.8"/>
    <n v="2"/>
    <x v="23"/>
    <x v="22"/>
    <x v="8"/>
    <x v="2"/>
    <n v="800"/>
    <s v="NOS"/>
    <x v="13"/>
    <n v="1000"/>
    <n v="10000"/>
    <n v="4.8631491039999997"/>
    <n v="0.44210446400000003"/>
    <n v="4.4210446399999999"/>
    <n v="687.86910054814564"/>
    <n v="0.30410999999999999"/>
    <n v="57.050424999999997"/>
    <m/>
    <m/>
  </r>
  <r>
    <n v="565"/>
    <s v="Hosur"/>
    <x v="24"/>
    <m/>
    <n v="188595"/>
    <n v="3230485"/>
    <s v="TUB-S-AW-AUT-19.00X19.00X1.000X0.8400"/>
    <x v="5"/>
    <m/>
    <x v="0"/>
    <x v="2"/>
    <m/>
    <m/>
    <m/>
    <m/>
    <s v="19-19-1-CRFH-PE"/>
    <s v="19-19-1-CRFH-PE-0.84"/>
    <n v="1"/>
    <x v="23"/>
    <x v="22"/>
    <x v="8"/>
    <x v="2"/>
    <n v="840"/>
    <s v="NOS"/>
    <x v="13"/>
    <n v="1000"/>
    <n v="10000"/>
    <n v="5.1063065592000001"/>
    <n v="0.46420968720000005"/>
    <n v="4.6420968719999998"/>
    <n v="3559.1243473731624"/>
    <n v="1.65218"/>
    <n v="57.050424999999997"/>
    <m/>
    <m/>
  </r>
  <r>
    <n v="564"/>
    <s v="Hosur"/>
    <x v="24"/>
    <m/>
    <n v="188595"/>
    <n v="3233560"/>
    <s v="TUB-S-AW-AUT-19.00X19.00X1.000X0.8750"/>
    <x v="5"/>
    <m/>
    <x v="0"/>
    <x v="2"/>
    <m/>
    <m/>
    <m/>
    <m/>
    <s v="19-19-1-CRFH-PE"/>
    <s v="19-19-1-CRFH-PE-0.875"/>
    <n v="1"/>
    <x v="23"/>
    <x v="22"/>
    <x v="8"/>
    <x v="2"/>
    <n v="875"/>
    <s v="NOS"/>
    <x v="13"/>
    <n v="1000"/>
    <n v="10000"/>
    <n v="5.3190693324999998"/>
    <n v="0.48355175750000001"/>
    <n v="4.8355175749999999"/>
    <n v="4726.8487076070651"/>
    <n v="2.285676"/>
    <n v="57.050424999999997"/>
    <m/>
    <m/>
  </r>
  <r>
    <n v="563"/>
    <s v="Hosur"/>
    <x v="24"/>
    <m/>
    <n v="188595"/>
    <n v="3230492"/>
    <s v="TUB-S-AW-AUT-19.00X19.00X1.000X0.8800"/>
    <x v="5"/>
    <m/>
    <x v="0"/>
    <x v="2"/>
    <m/>
    <m/>
    <m/>
    <m/>
    <s v="19-19-1-CRFH-PE"/>
    <s v="19-19-1-CRFH-PE-0.88"/>
    <n v="1"/>
    <x v="23"/>
    <x v="22"/>
    <x v="8"/>
    <x v="2"/>
    <n v="880"/>
    <s v="NOS"/>
    <x v="13"/>
    <n v="1000"/>
    <n v="10000"/>
    <n v="5.3494640144000005"/>
    <n v="0.48631491040000008"/>
    <n v="4.8631491040000006"/>
    <n v="3399.0300619004006"/>
    <n v="1.6529990000000001"/>
    <n v="57.050424999999997"/>
    <m/>
    <m/>
  </r>
  <r>
    <n v="562"/>
    <s v="Hosur"/>
    <x v="24"/>
    <m/>
    <n v="188595"/>
    <n v="3931837"/>
    <s v="CUT-R-AW-AUT-19.00X19.00X1.000X1.1500"/>
    <x v="5"/>
    <m/>
    <x v="0"/>
    <x v="2"/>
    <m/>
    <m/>
    <m/>
    <m/>
    <s v="19-19-1-CRFH-PE"/>
    <s v="19-19-1-CRFH-PE-1.15"/>
    <n v="2"/>
    <x v="23"/>
    <x v="22"/>
    <x v="8"/>
    <x v="2"/>
    <n v="1150"/>
    <s v="NOS"/>
    <x v="79"/>
    <n v="500"/>
    <n v="5000"/>
    <n v="3.4953884185000001"/>
    <n v="0.31776258350000003"/>
    <n v="3.1776258350000002"/>
    <n v="64.460075111392086"/>
    <n v="4.0966000000000002E-2"/>
    <n v="57.050424999999997"/>
    <m/>
    <m/>
  </r>
  <r>
    <n v="561"/>
    <s v="Hosur"/>
    <x v="24"/>
    <m/>
    <n v="188595"/>
    <n v="3572038"/>
    <s v="TUB-S-AW-AUT-19.00X19.00X1.000X1.2460"/>
    <x v="5"/>
    <m/>
    <x v="0"/>
    <x v="2"/>
    <m/>
    <m/>
    <m/>
    <m/>
    <s v="19-19-1-CRFH-PE"/>
    <s v="19-19-1-CRFH-PE-1.246"/>
    <n v="1"/>
    <x v="23"/>
    <x v="22"/>
    <x v="8"/>
    <x v="2"/>
    <n v="1246"/>
    <s v="NOS"/>
    <x v="79"/>
    <n v="500"/>
    <n v="5000"/>
    <n v="3.7871773647399998"/>
    <n v="0.34428885133999992"/>
    <n v="3.4428885133999998"/>
    <n v="206.0769604471852"/>
    <n v="0.1419"/>
    <n v="57.050424999999997"/>
    <m/>
    <m/>
  </r>
  <r>
    <n v="575"/>
    <s v="Hosur"/>
    <x v="24"/>
    <m/>
    <n v="188595"/>
    <n v="3230482"/>
    <s v="TUB-S-AW-AUT-25.00X25.00X1.200X0.7870"/>
    <x v="5"/>
    <m/>
    <x v="0"/>
    <x v="2"/>
    <m/>
    <m/>
    <m/>
    <m/>
    <s v="25-25-1.2-CRFH-PE"/>
    <s v="25-25-1.2-CRFH-PE-0.787"/>
    <n v="1"/>
    <x v="12"/>
    <x v="12"/>
    <x v="4"/>
    <x v="1"/>
    <n v="787"/>
    <s v="NOS"/>
    <x v="13"/>
    <n v="1000"/>
    <n v="10000"/>
    <n v="7.8227451673800008"/>
    <n v="0.71115865158000002"/>
    <n v="7.1115865158000009"/>
    <n v="124.28169129860814"/>
    <n v="8.838399999999999E-2"/>
    <n v="7.5034370000000008"/>
    <m/>
    <m/>
  </r>
  <r>
    <n v="574"/>
    <s v="Hosur"/>
    <x v="24"/>
    <m/>
    <n v="188595"/>
    <n v="3935311"/>
    <s v="CUT-S-AW-AUT-25.00X25.00X1.200X1.2980"/>
    <x v="5"/>
    <m/>
    <x v="0"/>
    <x v="2"/>
    <m/>
    <m/>
    <m/>
    <m/>
    <s v="25-25-1.2-CRFH-PE"/>
    <s v="25-25-1.2-CRFH-PE-1.298"/>
    <n v="2"/>
    <x v="12"/>
    <x v="12"/>
    <x v="4"/>
    <x v="1"/>
    <n v="1298"/>
    <s v="NOS"/>
    <x v="79"/>
    <n v="500"/>
    <n v="5000"/>
    <n v="6.4510312752599992"/>
    <n v="0.58645738865999997"/>
    <n v="5.8645738865999988"/>
    <n v="323.44208405901821"/>
    <n v="0.37936999999999999"/>
    <n v="7.5034370000000008"/>
    <m/>
    <m/>
  </r>
  <r>
    <n v="578"/>
    <s v="Hosur"/>
    <x v="24"/>
    <m/>
    <n v="188595"/>
    <n v="3230495"/>
    <s v="TUB-S-AW-AUT-30.00X30.00X1.200X0.2200"/>
    <x v="5"/>
    <m/>
    <x v="0"/>
    <x v="2"/>
    <m/>
    <m/>
    <m/>
    <m/>
    <s v="30-30-1.2-CRFH-PE"/>
    <s v="30-30-1.2-CRFH-PE-0.22"/>
    <n v="1"/>
    <x v="14"/>
    <x v="23"/>
    <x v="1"/>
    <x v="1"/>
    <n v="220"/>
    <s v="NOS"/>
    <x v="13"/>
    <n v="1000"/>
    <n v="10000"/>
    <n v="2.6413276824"/>
    <n v="0.2401206984"/>
    <n v="2.4012069839999999"/>
    <n v="2636.6490028499766"/>
    <n v="0.63311399999999995"/>
    <n v="1.5546"/>
    <m/>
    <m/>
  </r>
  <r>
    <n v="560"/>
    <s v="Hosur"/>
    <x v="24"/>
    <m/>
    <n v="188595"/>
    <n v="3233559"/>
    <s v="TUB-R-AW-AUT-40.00X20.00X1.210X0.1200"/>
    <x v="5"/>
    <m/>
    <x v="0"/>
    <x v="2"/>
    <m/>
    <m/>
    <m/>
    <m/>
    <s v="40-20-1.2-CRFH-PE"/>
    <s v="40-20-1.2-CRFH-PE-0.12"/>
    <n v="2"/>
    <x v="14"/>
    <x v="15"/>
    <x v="5"/>
    <x v="1"/>
    <n v="120"/>
    <s v="NOS"/>
    <x v="13"/>
    <n v="1000"/>
    <n v="10000"/>
    <n v="1.4407241903999997"/>
    <n v="0.13097492639999997"/>
    <n v="1.3097492639999997"/>
    <n v="2298.6842464833794"/>
    <n v="0.30107"/>
    <n v="48.544949999999993"/>
    <m/>
    <m/>
  </r>
  <r>
    <n v="559"/>
    <s v="Hosur"/>
    <x v="24"/>
    <m/>
    <n v="188595"/>
    <n v="3584171"/>
    <s v="TUB-R-AW-RHS-40.00X20.00X1.200X0.1300"/>
    <x v="5"/>
    <m/>
    <x v="0"/>
    <x v="2"/>
    <m/>
    <m/>
    <m/>
    <m/>
    <s v="40-20-1.2-CRFH-PE"/>
    <s v="40-20-1.2-CRFH-PE-0.13"/>
    <n v="1"/>
    <x v="14"/>
    <x v="15"/>
    <x v="5"/>
    <x v="1"/>
    <n v="130"/>
    <s v="NOS"/>
    <x v="13"/>
    <n v="1000"/>
    <n v="10000"/>
    <n v="1.5607845395999995"/>
    <n v="0.14188950359999997"/>
    <n v="1.4188950359999994"/>
    <n v="2156.6288713127906"/>
    <n v="0.30600300000000002"/>
    <n v="48.544949999999993"/>
    <m/>
    <m/>
  </r>
  <r>
    <n v="558"/>
    <s v="Hosur"/>
    <x v="24"/>
    <m/>
    <n v="188595"/>
    <n v="3233557"/>
    <s v="TUB-R-AW-AUT-40.00X20.00X1.210X0.8000"/>
    <x v="5"/>
    <m/>
    <x v="0"/>
    <x v="2"/>
    <m/>
    <m/>
    <m/>
    <m/>
    <s v="40-20-1.2-CRFH-PE"/>
    <s v="40-20-1.2-CRFH-PE-0.8"/>
    <n v="1"/>
    <x v="14"/>
    <x v="15"/>
    <x v="5"/>
    <x v="1"/>
    <n v="800"/>
    <s v="NOS"/>
    <x v="13"/>
    <n v="1000"/>
    <n v="10000"/>
    <n v="9.6048279359999995"/>
    <n v="0.87316617600000002"/>
    <n v="8.7316617599999997"/>
    <n v="3083.739469083604"/>
    <n v="2.6926170000000003"/>
    <n v="48.544949999999993"/>
    <m/>
    <m/>
  </r>
  <r>
    <n v="557"/>
    <s v="Hosur"/>
    <x v="24"/>
    <m/>
    <n v="188595"/>
    <n v="3233556"/>
    <s v="TUB-R-AW-AUT-40.00X20.00X1.210X0.9400"/>
    <x v="5"/>
    <m/>
    <x v="0"/>
    <x v="2"/>
    <m/>
    <m/>
    <m/>
    <m/>
    <s v="40-20-1.2-CRFH-PE"/>
    <s v="40-20-1.2-CRFH-PE-0.94"/>
    <n v="1"/>
    <x v="14"/>
    <x v="15"/>
    <x v="5"/>
    <x v="1"/>
    <n v="940"/>
    <s v="NOS"/>
    <x v="78"/>
    <n v="2000"/>
    <n v="20000"/>
    <n v="22.571345649600001"/>
    <n v="2.0519405136"/>
    <n v="20.519405136000003"/>
    <n v="2865.9037438091937"/>
    <n v="2.9403319999999997"/>
    <n v="48.544949999999993"/>
    <m/>
    <m/>
  </r>
  <r>
    <n v="556"/>
    <s v="Hosur"/>
    <x v="24"/>
    <m/>
    <n v="188595"/>
    <n v="3233555"/>
    <s v="TUB-R-AW-AUT-40.00X20.00X1.210X1.1200"/>
    <x v="5"/>
    <m/>
    <x v="0"/>
    <x v="2"/>
    <m/>
    <m/>
    <m/>
    <m/>
    <s v="40-20-1.2-CRFH-PE"/>
    <s v="40-20-1.2-CRFH-PE-1.12"/>
    <n v="2"/>
    <x v="14"/>
    <x v="15"/>
    <x v="5"/>
    <x v="1"/>
    <n v="1120"/>
    <s v="NOS"/>
    <x v="78"/>
    <n v="2000"/>
    <n v="20000"/>
    <n v="26.893518220799994"/>
    <n v="2.4448652927999994"/>
    <n v="24.448652927999994"/>
    <n v="3026.4424063732208"/>
    <n v="3.6996219999999997"/>
    <n v="48.544949999999993"/>
    <m/>
    <m/>
  </r>
  <r>
    <n v="555"/>
    <s v="Hosur"/>
    <x v="24"/>
    <m/>
    <n v="188595"/>
    <n v="3233554"/>
    <s v="TUB-R-AW-AUT-40.00X20.00X1.210X1.2460"/>
    <x v="5"/>
    <m/>
    <x v="0"/>
    <x v="2"/>
    <m/>
    <m/>
    <m/>
    <m/>
    <s v="40-20-1.2-CRFH-PE"/>
    <s v="40-20-1.2-CRFH-PE-1.246"/>
    <n v="2"/>
    <x v="14"/>
    <x v="15"/>
    <x v="5"/>
    <x v="1"/>
    <n v="1246"/>
    <s v="NOS"/>
    <x v="79"/>
    <n v="500"/>
    <n v="5000"/>
    <n v="7.479759755159999"/>
    <n v="0.67997815955999996"/>
    <n v="6.799781595599999"/>
    <n v="1819.0628369599222"/>
    <n v="2.473846"/>
    <n v="48.544949999999993"/>
    <m/>
    <m/>
  </r>
  <r>
    <n v="554"/>
    <s v="Hosur"/>
    <x v="24"/>
    <m/>
    <n v="188595"/>
    <n v="1940801"/>
    <s v="TUB-R-AW-RHS-40.00X20.00X1.210X1.3100"/>
    <x v="5"/>
    <m/>
    <x v="0"/>
    <x v="2"/>
    <m/>
    <m/>
    <m/>
    <m/>
    <s v="40-20-1.2-CRFH-PE"/>
    <s v="40-20-1.2-CRFH-PE-1.31"/>
    <n v="1"/>
    <x v="14"/>
    <x v="15"/>
    <x v="5"/>
    <x v="1"/>
    <n v="1310"/>
    <s v="NOS"/>
    <x v="80"/>
    <n v="1500"/>
    <n v="15000"/>
    <n v="23.591858617799996"/>
    <n v="2.1447144197999997"/>
    <n v="21.447144197999997"/>
    <n v="911.33461963773584"/>
    <n v="1.3030349999999999"/>
    <n v="48.544949999999993"/>
    <m/>
    <m/>
  </r>
  <r>
    <n v="577"/>
    <s v="Hosur"/>
    <x v="24"/>
    <m/>
    <n v="188595"/>
    <n v="1940849"/>
    <s v="TUB-S-AW-SHS-40.00X40.00X1.200X0.1250"/>
    <x v="5"/>
    <m/>
    <x v="0"/>
    <x v="2"/>
    <m/>
    <m/>
    <m/>
    <m/>
    <s v="40-40-1.2-CRFH-PE"/>
    <s v="40-40-1.2-CRFH-PE-0.125"/>
    <n v="1"/>
    <x v="4"/>
    <x v="15"/>
    <x v="11"/>
    <x v="1"/>
    <n v="125"/>
    <s v="NOS"/>
    <x v="13"/>
    <n v="1000"/>
    <n v="10000"/>
    <n v="2.0172741599999999"/>
    <n v="0.18338855999999998"/>
    <n v="1.8338855999999999"/>
    <n v="2574.5117361737284"/>
    <n v="0.472136"/>
    <n v="13.794447"/>
    <m/>
    <m/>
  </r>
  <r>
    <n v="576"/>
    <s v="Hosur"/>
    <x v="24"/>
    <m/>
    <n v="188595"/>
    <n v="1940850"/>
    <s v="TUB-S-AW-SHS-40.00X40.00X1.200X0.1400"/>
    <x v="5"/>
    <m/>
    <x v="0"/>
    <x v="2"/>
    <m/>
    <m/>
    <m/>
    <m/>
    <s v="40-40-1.2-CRFH-PE"/>
    <s v="40-40-1.2-CRFH-PE-0.14"/>
    <n v="1"/>
    <x v="4"/>
    <x v="15"/>
    <x v="11"/>
    <x v="1"/>
    <n v="140"/>
    <s v="NOS"/>
    <x v="13"/>
    <n v="1000"/>
    <n v="10000"/>
    <n v="2.2593470592"/>
    <n v="0.2053951872"/>
    <n v="2.0539518719999998"/>
    <n v="1178.7910091790116"/>
    <n v="0.242118"/>
    <n v="13.794447"/>
    <m/>
    <m/>
  </r>
  <r>
    <n v="553"/>
    <s v="Hosur"/>
    <x v="25"/>
    <m/>
    <n v="188595"/>
    <n v="3929691"/>
    <s v="CUT-O-N-AUT-AW-PE-19.05X1.200X0.2000"/>
    <x v="5"/>
    <m/>
    <x v="0"/>
    <x v="2"/>
    <m/>
    <m/>
    <m/>
    <m/>
    <s v="19.05-0-1.2-CRFH-PE"/>
    <s v="19.05-0-1.2-CRFH-PE-0.2"/>
    <n v="2"/>
    <x v="2"/>
    <x v="2"/>
    <x v="0"/>
    <x v="1"/>
    <n v="200"/>
    <s v="NOS"/>
    <x v="12"/>
    <n v="0"/>
    <n v="6000"/>
    <n v="0.63357789600000003"/>
    <n v="0"/>
    <n v="0.63357789600000003"/>
    <n v="0"/>
    <n v="0"/>
    <n v="0.21930100000000002"/>
    <m/>
    <m/>
  </r>
  <r>
    <n v="552"/>
    <s v="Hosur"/>
    <x v="25"/>
    <m/>
    <n v="188595"/>
    <n v="3938681"/>
    <s v="TUB-O-N-AUT-AW-PE-19.05X1.200X0.2200"/>
    <x v="5"/>
    <m/>
    <x v="0"/>
    <x v="2"/>
    <m/>
    <m/>
    <m/>
    <m/>
    <s v="19.05-0-1.2-CRFH-PE"/>
    <s v="19.05-0-1.2-CRFH-PE-0.22"/>
    <n v="1"/>
    <x v="2"/>
    <x v="2"/>
    <x v="0"/>
    <x v="1"/>
    <n v="220"/>
    <s v="NOS"/>
    <x v="1"/>
    <n v="0"/>
    <n v="1500"/>
    <n v="0.17423392140000002"/>
    <n v="0"/>
    <n v="0.17423392140000002"/>
    <n v="46.4633977984955"/>
    <n v="5.3969999999999999E-3"/>
    <n v="0.21930100000000002"/>
    <m/>
    <m/>
  </r>
  <r>
    <n v="551"/>
    <s v="Hosur"/>
    <x v="25"/>
    <m/>
    <n v="188595"/>
    <n v="3938682"/>
    <s v="TUB-O-N-AUT-AW-PE-19.05X1.200X0.3200"/>
    <x v="5"/>
    <m/>
    <x v="0"/>
    <x v="2"/>
    <m/>
    <m/>
    <m/>
    <m/>
    <s v="19.05-0-1.2-CRFH-PE"/>
    <s v="19.05-0-1.2-CRFH-PE-0.32"/>
    <n v="1"/>
    <x v="2"/>
    <x v="2"/>
    <x v="0"/>
    <x v="1"/>
    <n v="320"/>
    <s v="NOS"/>
    <x v="1"/>
    <n v="0"/>
    <n v="1500"/>
    <n v="0.25343115840000002"/>
    <n v="0"/>
    <n v="0.25343115840000002"/>
    <n v="311.80065031814172"/>
    <n v="5.2679999999999998E-2"/>
    <n v="0.21930100000000002"/>
    <m/>
    <m/>
  </r>
  <r>
    <n v="550"/>
    <s v="Hosur"/>
    <x v="25"/>
    <m/>
    <n v="188595"/>
    <n v="3938683"/>
    <s v="TUB-O-N-AUT-AW-PE-19.05X1.200X0.3770"/>
    <x v="5"/>
    <m/>
    <x v="0"/>
    <x v="2"/>
    <m/>
    <m/>
    <m/>
    <m/>
    <s v="19.05-0-1.2-CRFH-PE"/>
    <s v="19.05-0-1.2-CRFH-PE-0.377"/>
    <n v="1"/>
    <x v="2"/>
    <x v="2"/>
    <x v="0"/>
    <x v="1"/>
    <n v="377"/>
    <s v="NOS"/>
    <x v="1"/>
    <n v="0"/>
    <n v="1500"/>
    <n v="0.29857358348999996"/>
    <n v="0"/>
    <n v="0.29857358348999996"/>
    <n v="91.650773923596319"/>
    <n v="1.8242999999999999E-2"/>
    <n v="0.21930100000000002"/>
    <m/>
    <m/>
  </r>
  <r>
    <n v="549"/>
    <s v="Hosur"/>
    <x v="25"/>
    <m/>
    <n v="188595"/>
    <n v="3929692"/>
    <s v="CUT-O-N-AUT-AW-PE-19.05X1.200X1.2300"/>
    <x v="5"/>
    <m/>
    <x v="0"/>
    <x v="2"/>
    <m/>
    <m/>
    <m/>
    <m/>
    <s v="19.05-0-1.2-CRFH-PE"/>
    <s v="19.05-0-1.2-CRFH-PE-1.23"/>
    <n v="1"/>
    <x v="2"/>
    <x v="2"/>
    <x v="0"/>
    <x v="1"/>
    <n v="1230"/>
    <s v="NOS"/>
    <x v="1"/>
    <n v="500"/>
    <n v="1000"/>
    <n v="0.97412601509999996"/>
    <n v="0.32470867170000001"/>
    <n v="0.6494173433999999"/>
    <n v="220.16812678797331"/>
    <n v="0.142981"/>
    <n v="0.21930100000000002"/>
    <m/>
    <m/>
  </r>
  <r>
    <n v="544"/>
    <s v="Hosur"/>
    <x v="25"/>
    <m/>
    <n v="188595"/>
    <n v="3931834"/>
    <s v="HT1-R-AW-AUT-19.00X19.00X1.000X0.1000"/>
    <x v="5"/>
    <m/>
    <x v="0"/>
    <x v="2"/>
    <m/>
    <m/>
    <m/>
    <m/>
    <s v="19-19-1-CRFH-PE"/>
    <s v="19-19-1-CRFH-PE-0.1"/>
    <n v="2"/>
    <x v="23"/>
    <x v="22"/>
    <x v="8"/>
    <x v="2"/>
    <n v="100"/>
    <s v="NOS"/>
    <x v="11"/>
    <n v="1000"/>
    <n v="2000"/>
    <n v="0.16578917400000001"/>
    <n v="5.5263058000000004E-2"/>
    <n v="0.11052611600000001"/>
    <n v="7447.1629854431858"/>
    <n v="0.411553"/>
    <n v="57.050424999999997"/>
    <m/>
    <m/>
  </r>
  <r>
    <n v="543"/>
    <s v="Hosur"/>
    <x v="25"/>
    <m/>
    <n v="188595"/>
    <n v="3931835"/>
    <s v="CUT-R-AW-AUT-19.00X19.00X1.000X0.1100"/>
    <x v="5"/>
    <m/>
    <x v="0"/>
    <x v="2"/>
    <m/>
    <m/>
    <m/>
    <m/>
    <s v="19-19-1-CRFH-PE"/>
    <s v="19-19-1-CRFH-PE-0.11"/>
    <n v="2"/>
    <x v="23"/>
    <x v="22"/>
    <x v="8"/>
    <x v="2"/>
    <n v="110"/>
    <s v="NOS"/>
    <x v="11"/>
    <n v="1000"/>
    <n v="2000"/>
    <n v="0.18236809140000002"/>
    <n v="6.078936380000001E-2"/>
    <n v="0.12157872760000001"/>
    <n v="1044.3603293640656"/>
    <n v="6.3486000000000001E-2"/>
    <n v="57.050424999999997"/>
    <m/>
    <m/>
  </r>
  <r>
    <n v="542"/>
    <s v="Hosur"/>
    <x v="25"/>
    <m/>
    <n v="188595"/>
    <n v="3938687"/>
    <s v="TUB-S-AW-AUT-19.00X19.00X1.000X0.1290"/>
    <x v="5"/>
    <m/>
    <x v="0"/>
    <x v="2"/>
    <m/>
    <m/>
    <m/>
    <m/>
    <s v="19-19-1-CRFH-PE"/>
    <s v="19-19-1-CRFH-PE-0.129"/>
    <n v="2"/>
    <x v="23"/>
    <x v="22"/>
    <x v="8"/>
    <x v="2"/>
    <n v="129"/>
    <s v="NOS"/>
    <x v="12"/>
    <n v="1000"/>
    <n v="5000"/>
    <n v="0.4277360689200001"/>
    <n v="7.1289344820000017E-2"/>
    <n v="0.35644672410000011"/>
    <n v="2344.5860026070577"/>
    <n v="0.16714399999999999"/>
    <n v="57.050424999999997"/>
    <m/>
    <m/>
  </r>
  <r>
    <n v="541"/>
    <s v="Hosur"/>
    <x v="25"/>
    <m/>
    <n v="188595"/>
    <n v="3230486"/>
    <s v="TUB-S-AW-AUT-19.00X19.00X1.000X0.1500"/>
    <x v="5"/>
    <m/>
    <x v="0"/>
    <x v="2"/>
    <m/>
    <m/>
    <m/>
    <m/>
    <s v="19-19-1-CRFH-PE"/>
    <s v="19-19-1-CRFH-PE-0.15"/>
    <n v="1"/>
    <x v="23"/>
    <x v="22"/>
    <x v="8"/>
    <x v="2"/>
    <n v="150"/>
    <s v="NOS"/>
    <x v="1"/>
    <n v="2000"/>
    <n v="-500"/>
    <n v="0.12434188050000003"/>
    <n v="0.16578917400000004"/>
    <n v="-4.144729350000001E-2"/>
    <n v="2398.5643356905798"/>
    <n v="0.198828"/>
    <n v="57.050424999999997"/>
    <m/>
    <m/>
  </r>
  <r>
    <n v="540"/>
    <s v="Hosur"/>
    <x v="25"/>
    <m/>
    <n v="188595"/>
    <n v="3571864"/>
    <s v="TUB-S-AW-AUT-19.00X19.00X1.000X0.2900"/>
    <x v="5"/>
    <m/>
    <x v="0"/>
    <x v="2"/>
    <m/>
    <m/>
    <m/>
    <m/>
    <s v="19-19-1-CRFH-PE"/>
    <s v="19-19-1-CRFH-PE-0.29"/>
    <n v="1"/>
    <x v="23"/>
    <x v="22"/>
    <x v="8"/>
    <x v="2"/>
    <n v="290"/>
    <s v="NOS"/>
    <x v="11"/>
    <n v="0"/>
    <n v="3000"/>
    <n v="0.4807886046"/>
    <n v="0"/>
    <n v="0.4807886046"/>
    <n v="183.26141501066684"/>
    <n v="2.937E-2"/>
    <n v="57.050424999999997"/>
    <m/>
    <m/>
  </r>
  <r>
    <n v="539"/>
    <s v="Hosur"/>
    <x v="25"/>
    <m/>
    <n v="188595"/>
    <n v="3571868"/>
    <s v="TUB-S-AW-AUT-19.00X19.00X1.000X0.3920"/>
    <x v="5"/>
    <m/>
    <x v="0"/>
    <x v="2"/>
    <m/>
    <m/>
    <m/>
    <m/>
    <s v="19-19-1-CRFH-PE"/>
    <s v="19-19-1-CRFH-PE-0.392"/>
    <n v="1"/>
    <x v="23"/>
    <x v="22"/>
    <x v="8"/>
    <x v="2"/>
    <n v="392"/>
    <s v="NOS"/>
    <x v="11"/>
    <n v="0"/>
    <n v="3000"/>
    <n v="0.64989356208000015"/>
    <n v="0"/>
    <n v="0.64989356208000015"/>
    <n v="105.7373145535807"/>
    <n v="2.2905999999999999E-2"/>
    <n v="57.050424999999997"/>
    <m/>
    <m/>
  </r>
  <r>
    <n v="538"/>
    <s v="Hosur"/>
    <x v="25"/>
    <m/>
    <n v="188595"/>
    <n v="3571869"/>
    <s v="TUB-S-AW-AUT-19.00X19.00X1.000X0.4860"/>
    <x v="5"/>
    <m/>
    <x v="0"/>
    <x v="2"/>
    <m/>
    <m/>
    <m/>
    <m/>
    <s v="19-19-1-CRFH-PE"/>
    <s v="19-19-1-CRFH-PE-0.486"/>
    <n v="1"/>
    <x v="23"/>
    <x v="22"/>
    <x v="8"/>
    <x v="2"/>
    <n v="486"/>
    <s v="NOS"/>
    <x v="1"/>
    <n v="0"/>
    <n v="1500"/>
    <n v="0.40286769282000001"/>
    <n v="0"/>
    <n v="0.40286769282000001"/>
    <n v="173.45769155836081"/>
    <n v="4.6587000000000003E-2"/>
    <n v="57.050424999999997"/>
    <m/>
    <m/>
  </r>
  <r>
    <n v="537"/>
    <s v="Hosur"/>
    <x v="25"/>
    <m/>
    <n v="188595"/>
    <n v="3571870"/>
    <s v="TUB-S-AW-AUT-19.00X19.00X1.000X0.5400"/>
    <x v="5"/>
    <m/>
    <x v="0"/>
    <x v="2"/>
    <m/>
    <m/>
    <m/>
    <m/>
    <s v="19-19-1-CRFH-PE"/>
    <s v="19-19-1-CRFH-PE-0.54"/>
    <n v="1"/>
    <x v="23"/>
    <x v="22"/>
    <x v="8"/>
    <x v="2"/>
    <n v="540"/>
    <s v="NOS"/>
    <x v="11"/>
    <n v="0"/>
    <n v="3000"/>
    <n v="0.89526153960000021"/>
    <n v="0"/>
    <n v="0.89526153960000021"/>
    <n v="48.106612531621366"/>
    <n v="1.4356000000000001E-2"/>
    <n v="57.050424999999997"/>
    <m/>
    <m/>
  </r>
  <r>
    <n v="536"/>
    <s v="Hosur"/>
    <x v="25"/>
    <m/>
    <n v="188595"/>
    <n v="3572031"/>
    <s v="TUB-S-AW-AUT-19.00X19.00X1.000X0.7100"/>
    <x v="5"/>
    <m/>
    <x v="0"/>
    <x v="2"/>
    <m/>
    <m/>
    <m/>
    <m/>
    <s v="19-19-1-CRFH-PE"/>
    <s v="19-19-1-CRFH-PE-0.71"/>
    <n v="1"/>
    <x v="23"/>
    <x v="22"/>
    <x v="8"/>
    <x v="2"/>
    <n v="710"/>
    <s v="NOS"/>
    <x v="11"/>
    <n v="0"/>
    <n v="3000"/>
    <n v="1.1771031354000001"/>
    <n v="0"/>
    <n v="1.1771031354000001"/>
    <n v="141.02842393974984"/>
    <n v="5.5334999999999995E-2"/>
    <n v="57.050424999999997"/>
    <m/>
    <m/>
  </r>
  <r>
    <n v="535"/>
    <s v="Hosur"/>
    <x v="25"/>
    <m/>
    <n v="188595"/>
    <n v="3572032"/>
    <s v="TUB-S-AW-AUT-19.00X19.00X1.000X0.7500"/>
    <x v="5"/>
    <m/>
    <x v="0"/>
    <x v="2"/>
    <m/>
    <m/>
    <m/>
    <m/>
    <s v="19-19-1-CRFH-PE"/>
    <s v="19-19-1-CRFH-PE-0.75"/>
    <n v="1"/>
    <x v="23"/>
    <x v="22"/>
    <x v="8"/>
    <x v="2"/>
    <n v="750"/>
    <s v="NOS"/>
    <x v="11"/>
    <n v="0"/>
    <n v="3000"/>
    <n v="1.2434188050000001"/>
    <n v="0"/>
    <n v="1.2434188050000001"/>
    <n v="1633.0619995730237"/>
    <n v="0.67686000000000002"/>
    <n v="57.050424999999997"/>
    <m/>
    <m/>
  </r>
  <r>
    <n v="534"/>
    <s v="Hosur"/>
    <x v="25"/>
    <m/>
    <n v="188595"/>
    <n v="3572033"/>
    <s v="TUB-S-AW-AUT-19.00X19.00X1.000X0.7900"/>
    <x v="5"/>
    <m/>
    <x v="0"/>
    <x v="2"/>
    <m/>
    <m/>
    <m/>
    <m/>
    <s v="19-19-1-CRFH-PE"/>
    <s v="19-19-1-CRFH-PE-0.79"/>
    <n v="1"/>
    <x v="23"/>
    <x v="22"/>
    <x v="8"/>
    <x v="2"/>
    <n v="790"/>
    <s v="NOS"/>
    <x v="11"/>
    <n v="0"/>
    <n v="3000"/>
    <n v="1.3097344746000001"/>
    <n v="0"/>
    <n v="1.3097344746000001"/>
    <n v="80.741556438221266"/>
    <n v="3.5249999999999997E-2"/>
    <n v="57.050424999999997"/>
    <m/>
    <m/>
  </r>
  <r>
    <n v="533"/>
    <s v="Hosur"/>
    <x v="25"/>
    <m/>
    <n v="188595"/>
    <n v="3572035"/>
    <s v="TUB-S-AW-AUT-19.00X19.00X1.000X0.8900"/>
    <x v="5"/>
    <m/>
    <x v="0"/>
    <x v="2"/>
    <m/>
    <m/>
    <m/>
    <m/>
    <s v="19-19-1-CRFH-PE"/>
    <s v="19-19-1-CRFH-PE-0.89"/>
    <n v="1"/>
    <x v="23"/>
    <x v="22"/>
    <x v="8"/>
    <x v="2"/>
    <n v="890"/>
    <s v="NOS"/>
    <x v="1"/>
    <n v="0"/>
    <n v="1500"/>
    <n v="0.73776182430000004"/>
    <n v="0"/>
    <n v="0.73776182430000004"/>
    <n v="269.06854415833726"/>
    <n v="0.13233900000000001"/>
    <n v="57.050424999999997"/>
    <m/>
    <m/>
  </r>
  <r>
    <n v="532"/>
    <s v="Hosur"/>
    <x v="25"/>
    <m/>
    <n v="188595"/>
    <n v="3938684"/>
    <s v="TUB-S-AW-AUT-19.00X19.00X1.000X0.9620"/>
    <x v="5"/>
    <m/>
    <x v="0"/>
    <x v="2"/>
    <m/>
    <m/>
    <m/>
    <m/>
    <s v="19-19-1-CRFH-PE"/>
    <s v="19-19-1-CRFH-PE-0.962"/>
    <n v="1"/>
    <x v="23"/>
    <x v="22"/>
    <x v="8"/>
    <x v="2"/>
    <n v="962"/>
    <s v="NOS"/>
    <x v="11"/>
    <n v="0"/>
    <n v="3000"/>
    <n v="1.5948918538800001"/>
    <n v="0"/>
    <n v="1.5948918538800001"/>
    <n v="75.708581560718798"/>
    <n v="4.0249E-2"/>
    <n v="57.050424999999997"/>
    <m/>
    <m/>
  </r>
  <r>
    <n v="530"/>
    <s v="Hosur"/>
    <x v="25"/>
    <m/>
    <n v="188595"/>
    <n v="3931837"/>
    <s v="CUT-R-AW-AUT-19.00X19.00X1.000X1.1500"/>
    <x v="5"/>
    <m/>
    <x v="0"/>
    <x v="2"/>
    <m/>
    <m/>
    <m/>
    <m/>
    <s v="19-19-1-CRFH-PE"/>
    <s v="19-19-1-CRFH-PE-1.15"/>
    <n v="2"/>
    <x v="23"/>
    <x v="22"/>
    <x v="8"/>
    <x v="2"/>
    <n v="1150"/>
    <s v="NOS"/>
    <x v="1"/>
    <n v="500"/>
    <n v="1000"/>
    <n v="0.95328775050000014"/>
    <n v="0.31776258350000003"/>
    <n v="0.63552516700000017"/>
    <n v="64.460075111392086"/>
    <n v="4.0966000000000002E-2"/>
    <n v="57.050424999999997"/>
    <m/>
    <m/>
  </r>
  <r>
    <n v="531"/>
    <s v="Hosur"/>
    <x v="25"/>
    <m/>
    <n v="188595"/>
    <n v="3572038"/>
    <s v="TUB-S-AW-AUT-19.00X19.00X1.000X1.2460"/>
    <x v="5"/>
    <m/>
    <x v="0"/>
    <x v="2"/>
    <m/>
    <m/>
    <m/>
    <m/>
    <s v="19-19-1-CRFH-PE"/>
    <s v="19-19-1-CRFH-PE-1.246"/>
    <n v="1"/>
    <x v="23"/>
    <x v="22"/>
    <x v="8"/>
    <x v="2"/>
    <n v="1246"/>
    <s v="NOS"/>
    <x v="1"/>
    <n v="500"/>
    <n v="1000"/>
    <n v="1.0328665540199999"/>
    <n v="0.34428885133999992"/>
    <n v="0.68857770267999996"/>
    <n v="206.0769604471852"/>
    <n v="0.1419"/>
    <n v="57.050424999999997"/>
    <m/>
    <m/>
  </r>
  <r>
    <n v="529"/>
    <s v="Hosur"/>
    <x v="25"/>
    <m/>
    <n v="188595"/>
    <n v="3572039"/>
    <s v="TUB-S-AW-AUT-19.00X19.00X1.000X1.3040"/>
    <x v="5"/>
    <m/>
    <x v="0"/>
    <x v="2"/>
    <m/>
    <m/>
    <m/>
    <m/>
    <s v="19-19-1-CRFH-PE"/>
    <s v="19-19-1-CRFH-PE-1.304"/>
    <n v="1"/>
    <x v="23"/>
    <x v="22"/>
    <x v="8"/>
    <x v="2"/>
    <n v="1304"/>
    <s v="NOS"/>
    <x v="1"/>
    <n v="0"/>
    <n v="1500"/>
    <n v="1.0809454144800001"/>
    <n v="0"/>
    <n v="1.0809454144800001"/>
    <n v="109.9065673516469"/>
    <n v="7.9202000000000009E-2"/>
    <n v="57.050424999999997"/>
    <m/>
    <m/>
  </r>
  <r>
    <n v="545"/>
    <s v="Hosur"/>
    <x v="25"/>
    <m/>
    <n v="188595"/>
    <n v="3572043"/>
    <s v="TUB-S-AW-AUT-25.00X25.00X1.200X0.6420"/>
    <x v="5"/>
    <m/>
    <x v="0"/>
    <x v="2"/>
    <m/>
    <m/>
    <m/>
    <m/>
    <s v="25-25-1.2-CRFH-PE"/>
    <s v="25-25-1.2-CRFH-PE-0.642"/>
    <n v="1"/>
    <x v="12"/>
    <x v="12"/>
    <x v="4"/>
    <x v="1"/>
    <n v="642"/>
    <s v="NOS"/>
    <x v="11"/>
    <n v="0"/>
    <n v="3000"/>
    <n v="1.7403958868400002"/>
    <n v="0"/>
    <n v="1.7403958868400002"/>
    <n v="82.120970912831936"/>
    <n v="4.7640999999999996E-2"/>
    <n v="7.5034370000000008"/>
    <m/>
    <m/>
  </r>
  <r>
    <n v="548"/>
    <s v="Hosur"/>
    <x v="25"/>
    <m/>
    <n v="188595"/>
    <n v="3572045"/>
    <s v="TUB-S-AW-AUT-30.00X30.00X1.200X0.1400"/>
    <x v="5"/>
    <m/>
    <x v="0"/>
    <x v="2"/>
    <m/>
    <m/>
    <m/>
    <m/>
    <s v="30-30-1.2-CRFH-PE"/>
    <s v="30-30-1.2-CRFH-PE-0.14"/>
    <n v="1"/>
    <x v="14"/>
    <x v="23"/>
    <x v="1"/>
    <x v="1"/>
    <n v="140"/>
    <s v="NOS"/>
    <x v="11"/>
    <n v="0"/>
    <n v="3000"/>
    <n v="0.45841224239999989"/>
    <n v="0"/>
    <n v="0.45841224239999989"/>
    <n v="1115.7162760799777"/>
    <n v="0.170486"/>
    <n v="1.5546"/>
    <m/>
    <m/>
  </r>
  <r>
    <n v="528"/>
    <s v="Hosur"/>
    <x v="25"/>
    <m/>
    <n v="188595"/>
    <n v="3938688"/>
    <s v="TUB-R-AW-AUT-40.00X20.00X1.200X0.0950"/>
    <x v="5"/>
    <m/>
    <x v="0"/>
    <x v="2"/>
    <m/>
    <m/>
    <m/>
    <m/>
    <s v="40-20-1.2-CRFH-PE"/>
    <s v="40-20-1.2-CRFH-PE-0.095"/>
    <n v="1"/>
    <x v="14"/>
    <x v="15"/>
    <x v="5"/>
    <x v="1"/>
    <n v="95"/>
    <s v="NOS"/>
    <x v="11"/>
    <n v="0"/>
    <n v="3000"/>
    <n v="0.31106545019999998"/>
    <n v="0"/>
    <n v="0.31106545019999998"/>
    <n v="65.947536079016473"/>
    <n v="6.8380000000000003E-3"/>
    <n v="48.544949999999993"/>
    <m/>
    <m/>
  </r>
  <r>
    <n v="527"/>
    <s v="Hosur"/>
    <x v="25"/>
    <m/>
    <n v="188595"/>
    <n v="3572047"/>
    <s v="TUB-R-AW-AUT-40.00X20.00X1.200X0.1100"/>
    <x v="5"/>
    <m/>
    <x v="0"/>
    <x v="2"/>
    <m/>
    <m/>
    <m/>
    <m/>
    <s v="40-20-1.2-CRFH-PE"/>
    <s v="40-20-1.2-CRFH-PE-0.11"/>
    <n v="1"/>
    <x v="14"/>
    <x v="15"/>
    <x v="5"/>
    <x v="1"/>
    <n v="110"/>
    <s v="NOS"/>
    <x v="11"/>
    <n v="0"/>
    <n v="3000"/>
    <n v="0.36018104760000003"/>
    <n v="0"/>
    <n v="0.36018104760000003"/>
    <n v="391.37817200351765"/>
    <n v="4.6989000000000003E-2"/>
    <n v="48.544949999999993"/>
    <m/>
    <m/>
  </r>
  <r>
    <n v="526"/>
    <s v="Hosur"/>
    <x v="25"/>
    <m/>
    <n v="188595"/>
    <n v="3233559"/>
    <s v="TUB-R-AW-AUT-40.00X20.00X1.210X0.1200"/>
    <x v="5"/>
    <m/>
    <x v="0"/>
    <x v="2"/>
    <m/>
    <m/>
    <m/>
    <m/>
    <s v="40-20-1.2-CRFH-PE"/>
    <s v="40-20-1.2-CRFH-PE-0.12"/>
    <n v="2"/>
    <x v="14"/>
    <x v="15"/>
    <x v="5"/>
    <x v="1"/>
    <n v="120"/>
    <s v="NOS"/>
    <x v="11"/>
    <n v="1000"/>
    <n v="2000"/>
    <n v="0.39292477919999991"/>
    <n v="0.13097492639999997"/>
    <n v="0.26194985279999994"/>
    <n v="2298.6842464833794"/>
    <n v="0.30107"/>
    <n v="48.544949999999993"/>
    <m/>
    <m/>
  </r>
  <r>
    <n v="525"/>
    <s v="Hosur"/>
    <x v="25"/>
    <m/>
    <n v="188595"/>
    <n v="3572048"/>
    <s v="TUB-R-AW-AUT-40.00X20.00X1.200X0.1400"/>
    <x v="5"/>
    <m/>
    <x v="0"/>
    <x v="2"/>
    <m/>
    <m/>
    <m/>
    <m/>
    <s v="40-20-1.2-CRFH-PE"/>
    <s v="40-20-1.2-CRFH-PE-0.14"/>
    <n v="1"/>
    <x v="14"/>
    <x v="15"/>
    <x v="5"/>
    <x v="1"/>
    <n v="140"/>
    <s v="NOS"/>
    <x v="11"/>
    <n v="0"/>
    <n v="3000"/>
    <n v="0.45841224239999989"/>
    <n v="0"/>
    <n v="0.45841224239999989"/>
    <n v="8489.1384654695703"/>
    <n v="1.297175"/>
    <n v="48.544949999999993"/>
    <m/>
    <m/>
  </r>
  <r>
    <n v="524"/>
    <s v="Hosur"/>
    <x v="25"/>
    <m/>
    <n v="188595"/>
    <n v="3572050"/>
    <s v="TUB-R-AW-AUT-40.00X20.00X1.200X0.7100"/>
    <x v="5"/>
    <m/>
    <x v="0"/>
    <x v="2"/>
    <m/>
    <m/>
    <m/>
    <m/>
    <s v="40-20-1.2-CRFH-PE"/>
    <s v="40-20-1.2-CRFH-PE-0.71"/>
    <n v="1"/>
    <x v="14"/>
    <x v="15"/>
    <x v="5"/>
    <x v="1"/>
    <n v="710"/>
    <s v="NOS"/>
    <x v="11"/>
    <n v="0"/>
    <n v="3000"/>
    <n v="2.3248049435999998"/>
    <n v="0"/>
    <n v="2.3248049435999998"/>
    <n v="401.03493523902881"/>
    <n v="0.310776"/>
    <n v="48.544949999999993"/>
    <m/>
    <m/>
  </r>
  <r>
    <n v="523"/>
    <s v="Hosur"/>
    <x v="25"/>
    <m/>
    <n v="188595"/>
    <n v="3572051"/>
    <s v="TUB-R-AW-AUT-40.00X20.00X1.200X0.8600"/>
    <x v="5"/>
    <m/>
    <x v="0"/>
    <x v="2"/>
    <m/>
    <m/>
    <m/>
    <m/>
    <s v="40-20-1.2-CRFH-PE"/>
    <s v="40-20-1.2-CRFH-PE-0.86"/>
    <n v="1"/>
    <x v="14"/>
    <x v="15"/>
    <x v="5"/>
    <x v="1"/>
    <n v="860"/>
    <s v="NOS"/>
    <x v="12"/>
    <n v="0"/>
    <n v="6000"/>
    <n v="5.6319218352"/>
    <n v="0"/>
    <n v="5.6319218352"/>
    <n v="30.298715961128082"/>
    <n v="2.844E-2"/>
    <n v="48.544949999999993"/>
    <m/>
    <m/>
  </r>
  <r>
    <n v="522"/>
    <s v="Hosur"/>
    <x v="25"/>
    <m/>
    <n v="188595"/>
    <n v="3230465"/>
    <s v="TUB-R-AW-AUT-40.00X20.00X1.200X1.1200"/>
    <x v="5"/>
    <m/>
    <x v="0"/>
    <x v="2"/>
    <m/>
    <m/>
    <m/>
    <m/>
    <s v="40-20-1.2-CRFH-PE"/>
    <s v="40-20-1.2-CRFH-PE-1.12"/>
    <n v="2"/>
    <x v="14"/>
    <x v="15"/>
    <x v="5"/>
    <x v="1"/>
    <n v="1120"/>
    <s v="NOS"/>
    <x v="12"/>
    <n v="2000"/>
    <n v="4000"/>
    <n v="7.3345958783999983"/>
    <n v="2.4448652927999994"/>
    <n v="4.8897305855999988"/>
    <n v="3026.4424063732208"/>
    <n v="3.6996219999999997"/>
    <n v="48.544949999999993"/>
    <m/>
    <m/>
  </r>
  <r>
    <n v="521"/>
    <s v="Hosur"/>
    <x v="25"/>
    <m/>
    <n v="188595"/>
    <n v="3230470"/>
    <s v="TUB-R-AW-AUT-40.00X20.00X1.200X1.2460"/>
    <x v="5"/>
    <m/>
    <x v="0"/>
    <x v="2"/>
    <m/>
    <m/>
    <m/>
    <m/>
    <s v="40-20-1.2-CRFH-PE"/>
    <s v="40-20-1.2-CRFH-PE-1.246"/>
    <n v="2"/>
    <x v="14"/>
    <x v="15"/>
    <x v="5"/>
    <x v="1"/>
    <n v="1246"/>
    <s v="NOS"/>
    <x v="1"/>
    <n v="500"/>
    <n v="1000"/>
    <n v="2.0399344786799998"/>
    <n v="0.67997815955999996"/>
    <n v="1.3599563191199997"/>
    <n v="1819.0628369599222"/>
    <n v="2.473846"/>
    <n v="48.544949999999993"/>
    <m/>
    <m/>
  </r>
  <r>
    <n v="520"/>
    <s v="Hosur"/>
    <x v="25"/>
    <m/>
    <n v="188595"/>
    <n v="1940801"/>
    <s v="TUB-R-AW-RHS-40.00X20.00X1.210X1.3100"/>
    <x v="5"/>
    <m/>
    <x v="0"/>
    <x v="2"/>
    <m/>
    <m/>
    <m/>
    <m/>
    <s v="40-20-1.2-CRFH-PE"/>
    <s v="40-20-1.2-CRFH-PE-1.31"/>
    <n v="1"/>
    <x v="14"/>
    <x v="15"/>
    <x v="5"/>
    <x v="1"/>
    <n v="1310"/>
    <s v="NOS"/>
    <x v="32"/>
    <n v="1500"/>
    <n v="3000"/>
    <n v="6.434143259399999"/>
    <n v="2.1447144197999997"/>
    <n v="4.2894288395999993"/>
    <n v="911.33461963773584"/>
    <n v="1.3030349999999999"/>
    <n v="48.544949999999993"/>
    <n v="0.73689947867999983"/>
    <n v="1.6901275290130731"/>
  </r>
  <r>
    <n v="547"/>
    <s v="Hosur"/>
    <x v="25"/>
    <m/>
    <n v="188595"/>
    <n v="3938685"/>
    <s v="TUB-S-AW-AUT-40.00X40.00X1.200X85.0000"/>
    <x v="5"/>
    <m/>
    <x v="0"/>
    <x v="2"/>
    <m/>
    <m/>
    <m/>
    <m/>
    <s v="40-40-1.2-CRFH-PE"/>
    <s v="40-40-1.2-CRFH-PE-0.085"/>
    <n v="1"/>
    <x v="4"/>
    <x v="15"/>
    <x v="11"/>
    <x v="1"/>
    <n v="85"/>
    <s v="NOS"/>
    <x v="11"/>
    <n v="0"/>
    <n v="3000"/>
    <n v="0.37411266239999996"/>
    <n v="0"/>
    <n v="0.37411266239999996"/>
    <n v="748.16232683601368"/>
    <n v="9.3299000000000007E-2"/>
    <n v="13.794447"/>
    <m/>
    <m/>
  </r>
  <r>
    <n v="546"/>
    <s v="Hosur"/>
    <x v="25"/>
    <m/>
    <n v="188595"/>
    <n v="3572055"/>
    <s v="TUB-S-AW-AUT-40.00X40.00X1.200X0.1580"/>
    <x v="5"/>
    <m/>
    <x v="0"/>
    <x v="2"/>
    <m/>
    <m/>
    <m/>
    <m/>
    <s v="40-40-1.2-CRFH-PE"/>
    <s v="40-40-1.2-CRFH-PE-0.158"/>
    <n v="1"/>
    <x v="4"/>
    <x v="15"/>
    <x v="11"/>
    <x v="1"/>
    <n v="158"/>
    <s v="NOS"/>
    <x v="12"/>
    <n v="0"/>
    <n v="6000"/>
    <n v="1.3908188390399998"/>
    <n v="0"/>
    <n v="1.3908188390399998"/>
    <n v="64.248482614514018"/>
    <n v="1.4893E-2"/>
    <n v="13.794447"/>
    <m/>
    <m/>
  </r>
  <r>
    <n v="42"/>
    <s v="Hosur"/>
    <x v="26"/>
    <m/>
    <n v="944141"/>
    <n v="1939963"/>
    <s v="TUB-O-O-AUT-AW-PE-12.70X1.200X0.2780"/>
    <x v="0"/>
    <m/>
    <x v="0"/>
    <x v="0"/>
    <m/>
    <m/>
    <m/>
    <m/>
    <s v="12.7-0-1.2-ERW 1-PE"/>
    <s v="12.7-0-1.2-ERW 1-PE-0.278"/>
    <n v="1"/>
    <x v="0"/>
    <x v="0"/>
    <x v="0"/>
    <x v="1"/>
    <n v="278"/>
    <s v="NOS"/>
    <x v="31"/>
    <n v="0"/>
    <n v="20000"/>
    <n v="1.8912684719999997"/>
    <n v="0"/>
    <n v="1.8912684719999997"/>
    <n v="0"/>
    <n v="0"/>
    <n v="0.50777099999999997"/>
    <n v="1.8912684719999997"/>
    <n v="0"/>
  </r>
  <r>
    <n v="32"/>
    <s v="Hosur"/>
    <x v="26"/>
    <m/>
    <n v="944141"/>
    <n v="1939986"/>
    <s v="TUB-O-O-GEN-AW-PE-12.70X1.200X6.0000"/>
    <x v="0"/>
    <m/>
    <x v="0"/>
    <x v="0"/>
    <m/>
    <m/>
    <m/>
    <m/>
    <s v="12.7-0-1.2-ERW 1-PE"/>
    <s v="12.7-0-1.2-ERW 1-PE-1"/>
    <n v="0"/>
    <x v="0"/>
    <x v="0"/>
    <x v="0"/>
    <x v="1"/>
    <n v="1000"/>
    <s v="M"/>
    <x v="11"/>
    <n v="0"/>
    <n v="3000"/>
    <n v="1.0204686000000001"/>
    <n v="0"/>
    <n v="1.0204686000000001"/>
    <n v="0"/>
    <n v="0"/>
    <n v="0.50777099999999997"/>
    <n v="1.0204686000000001"/>
    <n v="0"/>
  </r>
  <r>
    <n v="4"/>
    <s v="Hosur"/>
    <x v="26"/>
    <m/>
    <n v="944141"/>
    <n v="3676336"/>
    <s v="TUB-O-N-AUT-AW-PE-12.70X1.600X0.2570"/>
    <x v="0"/>
    <m/>
    <x v="0"/>
    <x v="0"/>
    <s v="WG"/>
    <m/>
    <m/>
    <m/>
    <s v="12.7-0-1.6-ERW 1-PE"/>
    <m/>
    <m/>
    <x v="0"/>
    <x v="0"/>
    <x v="0"/>
    <x v="0"/>
    <n v="257"/>
    <m/>
    <x v="30"/>
    <e v="#N/A"/>
    <e v="#N/A"/>
    <n v="0"/>
    <e v="#N/A"/>
    <e v="#N/A"/>
    <e v="#DIV/0!"/>
    <n v="0"/>
    <n v="11.937059000000001"/>
    <n v="0"/>
    <e v="#N/A"/>
  </r>
  <r>
    <n v="40"/>
    <s v="Hosur"/>
    <x v="26"/>
    <m/>
    <n v="944141"/>
    <n v="1932848"/>
    <s v="TUB-O-N-AUT-AW-PE-12.70X1.600X0.2600"/>
    <x v="0"/>
    <m/>
    <x v="0"/>
    <x v="0"/>
    <s v="D"/>
    <m/>
    <m/>
    <m/>
    <s v="12.7-0-1.6-ERW 1-PE"/>
    <s v="12.7-0-1.6-ERW 1-PE-0.26"/>
    <n v="1"/>
    <x v="0"/>
    <x v="0"/>
    <x v="0"/>
    <x v="0"/>
    <n v="260"/>
    <s v="NOS"/>
    <x v="10"/>
    <n v="0"/>
    <n v="25000"/>
    <n v="2.8454805599999999"/>
    <n v="0"/>
    <n v="2.8454805599999999"/>
    <n v="3241.9831397477551"/>
    <n v="0.36899999999999999"/>
    <n v="11.937059000000001"/>
    <n v="2.4764805599999997"/>
    <n v="0.12967932558991019"/>
  </r>
  <r>
    <n v="44"/>
    <s v="Hosur"/>
    <x v="26"/>
    <m/>
    <n v="944141"/>
    <n v="1939994"/>
    <s v="TUB-O-O-AUT-AW-PE-12.70X1.600X0.2800"/>
    <x v="0"/>
    <m/>
    <x v="0"/>
    <x v="0"/>
    <s v="WG"/>
    <m/>
    <m/>
    <m/>
    <s v="12.7-0-1.6-ERW 1-PE"/>
    <s v="12.7-0-1.6-ERW 1-PE-0.28"/>
    <n v="2"/>
    <x v="0"/>
    <x v="0"/>
    <x v="0"/>
    <x v="0"/>
    <n v="280"/>
    <s v="NOS"/>
    <x v="31"/>
    <n v="0"/>
    <n v="20000"/>
    <n v="2.4514909439999997"/>
    <n v="0"/>
    <n v="2.4514909439999997"/>
    <n v="305.18570824465593"/>
    <n v="3.7408000000000004E-2"/>
    <n v="11.937059000000001"/>
    <n v="2.4140829439999996"/>
    <n v="1.5259285412232797E-2"/>
  </r>
  <r>
    <n v="7"/>
    <s v="Hosur"/>
    <x v="26"/>
    <m/>
    <n v="944141"/>
    <n v="3676337"/>
    <s v="TUB-O-N-AUT-AW-PE-12.70X1.600X0.3200"/>
    <x v="0"/>
    <m/>
    <x v="0"/>
    <x v="0"/>
    <s v="WG"/>
    <m/>
    <m/>
    <m/>
    <s v="12.7-0-1.6-ERW 1-PE"/>
    <m/>
    <m/>
    <x v="0"/>
    <x v="0"/>
    <x v="0"/>
    <x v="0"/>
    <n v="320"/>
    <m/>
    <x v="30"/>
    <e v="#N/A"/>
    <e v="#N/A"/>
    <n v="0"/>
    <e v="#N/A"/>
    <e v="#N/A"/>
    <e v="#DIV/0!"/>
    <n v="0"/>
    <n v="11.937059000000001"/>
    <n v="0"/>
    <e v="#N/A"/>
  </r>
  <r>
    <n v="14"/>
    <s v="Hosur"/>
    <x v="26"/>
    <m/>
    <n v="944141"/>
    <n v="3620427"/>
    <s v="TUB-O-N-AUT-AW-PE-12.70X1.600X0.9500"/>
    <x v="0"/>
    <m/>
    <x v="0"/>
    <x v="0"/>
    <s v="WG"/>
    <m/>
    <m/>
    <m/>
    <s v="12.7-0-1.6-ERW 1-PE"/>
    <m/>
    <m/>
    <x v="0"/>
    <x v="0"/>
    <x v="0"/>
    <x v="0"/>
    <n v="950"/>
    <m/>
    <x v="30"/>
    <e v="#N/A"/>
    <e v="#N/A"/>
    <n v="0"/>
    <e v="#N/A"/>
    <e v="#N/A"/>
    <e v="#DIV/0!"/>
    <n v="0"/>
    <n v="11.937059000000001"/>
    <n v="0"/>
    <e v="#N/A"/>
  </r>
  <r>
    <n v="35"/>
    <s v="Hosur"/>
    <x v="26"/>
    <m/>
    <n v="944141"/>
    <n v="1940014"/>
    <s v="TUB-O-O-GEN-AW-PE-12.70X1.600X6.0000"/>
    <x v="0"/>
    <m/>
    <x v="0"/>
    <x v="0"/>
    <s v="WG"/>
    <m/>
    <m/>
    <m/>
    <s v="12.7-0-1.6-ERW 1-PE"/>
    <s v="12.7-0-1.6-ERW 1-PE-1"/>
    <n v="0"/>
    <x v="0"/>
    <x v="0"/>
    <x v="0"/>
    <x v="0"/>
    <n v="1000"/>
    <s v="M"/>
    <x v="54"/>
    <n v="0"/>
    <n v="5004"/>
    <n v="2.1905822649600002"/>
    <n v="0"/>
    <n v="2.1905822649600002"/>
    <n v="0"/>
    <n v="0"/>
    <n v="11.937059000000001"/>
    <n v="2.1905822649600002"/>
    <n v="0"/>
  </r>
  <r>
    <n v="33"/>
    <s v="Khopoli "/>
    <x v="26"/>
    <m/>
    <n v="944141"/>
    <n v="2410963"/>
    <s v="TUB-O-C-AUT-AD-FC-14.00X1.950X04-05"/>
    <x v="2"/>
    <m/>
    <x v="2"/>
    <x v="1"/>
    <m/>
    <m/>
    <m/>
    <m/>
    <s v="14-10.1-1.95-CEW-CEW"/>
    <s v="14-10.1-1.95-CEW-CEW"/>
    <n v="1"/>
    <x v="5"/>
    <x v="5"/>
    <x v="26"/>
    <x v="32"/>
    <n v="1000"/>
    <s v="M"/>
    <x v="81"/>
    <n v="0"/>
    <n v="3001.5"/>
    <n v="1.7384384173162497"/>
    <n v="0"/>
    <n v="1.7384384173162497"/>
    <n v="0"/>
    <n v="0"/>
    <n v="0"/>
    <n v="1.7384384173162497"/>
    <n v="0"/>
  </r>
  <r>
    <n v="48"/>
    <s v="Hosur"/>
    <x v="26"/>
    <m/>
    <n v="944141"/>
    <n v="1940043"/>
    <s v="TUB-O-O-AUT-AW-PE-15.88X1.200X0.8880"/>
    <x v="0"/>
    <m/>
    <x v="0"/>
    <x v="0"/>
    <m/>
    <m/>
    <m/>
    <m/>
    <s v="15.88-0-1.2-ERW 1-PE"/>
    <s v="15.88-0-1.2-ERW 1-PE-0.888"/>
    <n v="1"/>
    <x v="1"/>
    <x v="1"/>
    <x v="0"/>
    <x v="1"/>
    <n v="888"/>
    <s v="NOS"/>
    <x v="49"/>
    <n v="0"/>
    <n v="15000"/>
    <n v="5.7837675628800005"/>
    <n v="0"/>
    <n v="5.7837675628800005"/>
    <n v="146.89905684538448"/>
    <n v="5.6642000000000005E-2"/>
    <n v="3.1547549999999998"/>
    <n v="5.7271255628800004"/>
    <n v="9.793270456358966E-3"/>
  </r>
  <r>
    <n v="15"/>
    <s v="Hosur"/>
    <x v="26"/>
    <m/>
    <n v="944141"/>
    <n v="3620428"/>
    <s v="TUB-O-N-AUT-AW-PE-15.88X1.600X0.4350"/>
    <x v="0"/>
    <m/>
    <x v="0"/>
    <x v="0"/>
    <s v="WG"/>
    <m/>
    <m/>
    <m/>
    <s v="15.88-0-1.6-ERW 1-PE"/>
    <s v="15.88-0-1.6-ERW 1-PE-0.435"/>
    <n v="2"/>
    <x v="1"/>
    <x v="1"/>
    <x v="0"/>
    <x v="0"/>
    <n v="435"/>
    <s v="NOS"/>
    <x v="4"/>
    <n v="0"/>
    <n v="10000"/>
    <n v="2.4498345312000001"/>
    <n v="0"/>
    <n v="2.4498345312000001"/>
    <n v="61.269444155673924"/>
    <n v="1.5010000000000001E-2"/>
    <n v="15.499108000000001"/>
    <n v="2.4348245311999999"/>
    <n v="6.1269444155673926E-3"/>
  </r>
  <r>
    <n v="36"/>
    <s v="Hosur"/>
    <x v="26"/>
    <m/>
    <n v="944141"/>
    <n v="1940078"/>
    <s v="TUB-O-O-GEN-AW-PE-15.88X1.600X6.0000"/>
    <x v="0"/>
    <m/>
    <x v="0"/>
    <x v="0"/>
    <s v="GR1"/>
    <m/>
    <m/>
    <m/>
    <s v="15.88-0-1.6-ERW 1-PE"/>
    <s v="15.88-0-1.6-ERW 1-PE-1"/>
    <n v="0"/>
    <x v="1"/>
    <x v="1"/>
    <x v="0"/>
    <x v="0"/>
    <n v="1000"/>
    <s v="M"/>
    <x v="12"/>
    <n v="0"/>
    <n v="6000"/>
    <n v="3.3790821119999994"/>
    <n v="0"/>
    <n v="3.3790821119999994"/>
    <n v="0"/>
    <n v="0"/>
    <n v="15.499108000000001"/>
    <n v="3.3790821119999994"/>
    <n v="0"/>
  </r>
  <r>
    <n v="16"/>
    <s v="Hosur"/>
    <x v="26"/>
    <m/>
    <n v="944141"/>
    <n v="2420205"/>
    <s v="TUB-O-N-AUT-AW-PE-15.88X2.000X0.1550"/>
    <x v="0"/>
    <m/>
    <x v="0"/>
    <x v="1"/>
    <m/>
    <m/>
    <m/>
    <m/>
    <s v="15.88-0-2-ERW 1-PE"/>
    <s v="15.88-0-2-ERW 1-PE-0.155"/>
    <n v="1"/>
    <x v="1"/>
    <x v="1"/>
    <x v="0"/>
    <x v="3"/>
    <n v="155"/>
    <s v="NOS"/>
    <x v="31"/>
    <n v="0"/>
    <n v="20000"/>
    <n v="2.1211943440000001"/>
    <n v="0"/>
    <n v="2.1211943440000001"/>
    <n v="11268.896726796102"/>
    <n v="1.1951760000000002"/>
    <n v="14.942643"/>
    <n v="0.92601834399999983"/>
    <n v="0.56344483633980513"/>
  </r>
  <r>
    <n v="17"/>
    <s v="Hosur"/>
    <x v="26"/>
    <m/>
    <n v="944141"/>
    <n v="3706751"/>
    <s v="CUT-O-N-AUT-AW-PE-15.88X2.000X0.1600"/>
    <x v="0"/>
    <m/>
    <x v="0"/>
    <x v="1"/>
    <m/>
    <m/>
    <m/>
    <m/>
    <s v="15.88-0-2-ERW 1-PE"/>
    <s v="15.88-0-2-ERW 1-PE-0.16"/>
    <n v="1"/>
    <x v="1"/>
    <x v="1"/>
    <x v="0"/>
    <x v="3"/>
    <n v="160"/>
    <s v="NOS"/>
    <x v="31"/>
    <n v="0"/>
    <n v="20000"/>
    <n v="2.1896199680000006"/>
    <n v="0"/>
    <n v="2.1896199680000006"/>
    <n v="16125.592804239532"/>
    <n v="1.7654460000000001"/>
    <n v="14.942643"/>
    <n v="0.42417396800000051"/>
    <n v="0.80627964021197651"/>
  </r>
  <r>
    <n v="53"/>
    <s v="Khopoli "/>
    <x v="26"/>
    <m/>
    <n v="944141"/>
    <n v="1938163"/>
    <s v="TUB-O-N-AUT-AW-PE-17.30X1.600X0.6400"/>
    <x v="0"/>
    <m/>
    <x v="0"/>
    <x v="0"/>
    <s v="D"/>
    <m/>
    <m/>
    <m/>
    <s v="17.3-0-1.6-ERW 1-PE"/>
    <s v="17.3-0-1.6-ERW 1-PE-0.64"/>
    <n v="1"/>
    <x v="7"/>
    <x v="7"/>
    <x v="0"/>
    <x v="0"/>
    <n v="640"/>
    <s v="NOS"/>
    <x v="6"/>
    <n v="0"/>
    <n v="5000"/>
    <n v="1.9813852160000001"/>
    <n v="0"/>
    <n v="1.9813852160000001"/>
    <n v="668.98651978232988"/>
    <n v="0.26510400000000001"/>
    <n v="3.2314159999999998"/>
    <n v="1.7162812160000001"/>
    <n v="0.13379730395646597"/>
  </r>
  <r>
    <n v="34"/>
    <s v="Khopoli "/>
    <x v="26"/>
    <m/>
    <n v="944141"/>
    <n v="1938191"/>
    <s v="TUB-I-C-AUT-AD-FC-12.50X3.250X0.5880"/>
    <x v="2"/>
    <m/>
    <x v="2"/>
    <x v="1"/>
    <m/>
    <m/>
    <m/>
    <m/>
    <s v="19-12.5-3.25-CEW-CEW"/>
    <s v="19-12.5-3.25-CEW-CEW-0.588"/>
    <n v="1"/>
    <x v="27"/>
    <x v="22"/>
    <x v="13"/>
    <x v="21"/>
    <n v="588"/>
    <s v="NOS"/>
    <x v="4"/>
    <n v="6500"/>
    <n v="3500"/>
    <n v="7.4189176425000003"/>
    <n v="4.8222964676250006"/>
    <n v="2.5966211748749997"/>
    <n v="432.3730434240361"/>
    <n v="0.320774"/>
    <n v="20.418665999999998"/>
    <n v="7.0981436425000002"/>
    <n v="0.69323730434240372"/>
  </r>
  <r>
    <n v="380"/>
    <s v="Khopoli "/>
    <x v="26"/>
    <m/>
    <n v="944141"/>
    <n v="2419066"/>
    <s v="TUB-O-C-AUT-AD-FC-19.00X3.250X4.8000"/>
    <x v="2"/>
    <m/>
    <x v="3"/>
    <x v="1"/>
    <m/>
    <m/>
    <m/>
    <m/>
    <s v="19-12.5-3.25-CEW-"/>
    <m/>
    <m/>
    <x v="27"/>
    <x v="22"/>
    <x v="13"/>
    <x v="21"/>
    <n v="4800"/>
    <m/>
    <x v="30"/>
    <e v="#N/A"/>
    <e v="#N/A"/>
    <n v="0"/>
    <e v="#N/A"/>
    <e v="#N/A"/>
    <e v="#DIV/0!"/>
    <n v="0"/>
    <n v="0"/>
    <n v="7.4189176425000003"/>
    <e v="#N/A"/>
  </r>
  <r>
    <n v="10"/>
    <s v="Hosur"/>
    <x v="26"/>
    <m/>
    <n v="944141"/>
    <n v="3838038"/>
    <s v="CUT-O-N-AUT-AW-PE-19.05X1.600X0.2580"/>
    <x v="0"/>
    <m/>
    <x v="0"/>
    <x v="0"/>
    <s v="NORMAL"/>
    <m/>
    <m/>
    <m/>
    <s v="19.05-0-1.6-ERW 1-PE"/>
    <s v="19.05-0-1.6-ERW 1-PE-0.258"/>
    <n v="1"/>
    <x v="2"/>
    <x v="2"/>
    <x v="0"/>
    <x v="0"/>
    <n v="258"/>
    <s v="NOS"/>
    <x v="31"/>
    <n v="0"/>
    <n v="20000"/>
    <n v="3.5511124127999993"/>
    <n v="0"/>
    <n v="3.5511124127999993"/>
    <n v="0"/>
    <n v="0"/>
    <n v="14.281976999999999"/>
    <n v="3.5511124127999993"/>
    <n v="0"/>
  </r>
  <r>
    <n v="11"/>
    <s v="Hosur"/>
    <x v="26"/>
    <m/>
    <n v="944141"/>
    <n v="3850310"/>
    <s v="CUT-O-N-AUT-AW-PE-19.05X1.600X0.2680"/>
    <x v="0"/>
    <m/>
    <x v="0"/>
    <x v="0"/>
    <s v="WG"/>
    <m/>
    <m/>
    <m/>
    <s v="19.05-0-1.6-ERW 1-PE"/>
    <s v="19.05-0-1.6-ERW 1-PE-0.268"/>
    <n v="2"/>
    <x v="2"/>
    <x v="2"/>
    <x v="0"/>
    <x v="0"/>
    <n v="268"/>
    <s v="NOS"/>
    <x v="31"/>
    <n v="0"/>
    <n v="20000"/>
    <n v="3.6887524288"/>
    <n v="0"/>
    <n v="3.6887524288"/>
    <n v="1100.3340772642746"/>
    <n v="0.20294299999999998"/>
    <n v="14.281976999999999"/>
    <m/>
    <m/>
  </r>
  <r>
    <n v="2"/>
    <s v="Hosur"/>
    <x v="26"/>
    <m/>
    <n v="944141"/>
    <n v="3217232"/>
    <s v="TUB-O-N-AUT-AW-PE-19.05X1.600X0.2750"/>
    <x v="0"/>
    <m/>
    <x v="0"/>
    <x v="0"/>
    <s v="HROP"/>
    <m/>
    <m/>
    <m/>
    <s v="19.05-0-1.6-ERW 1-PE"/>
    <s v="19.05-0-1.6-ERW 1-PE-0.275"/>
    <n v="1"/>
    <x v="2"/>
    <x v="2"/>
    <x v="0"/>
    <x v="0"/>
    <n v="275"/>
    <s v="NOS"/>
    <x v="31"/>
    <n v="0"/>
    <n v="20000"/>
    <n v="3.7851004399999999"/>
    <n v="0"/>
    <n v="3.7851004399999999"/>
    <n v="426.25024766846082"/>
    <n v="8.0670000000000006E-2"/>
    <n v="14.281976999999999"/>
    <n v="3.7044304399999999"/>
    <n v="2.1312512383423042E-2"/>
  </r>
  <r>
    <n v="1"/>
    <s v="Hosur"/>
    <x v="26"/>
    <m/>
    <n v="944141"/>
    <n v="1940262"/>
    <s v="TUB-O-O-AUT-AW-PE-19.05X2.000X0.1040"/>
    <x v="0"/>
    <m/>
    <x v="0"/>
    <x v="1"/>
    <m/>
    <m/>
    <m/>
    <m/>
    <s v="19.05-0-2-ERW 1-PE"/>
    <s v="19.05-0-2-ERW 1-PE-0.104"/>
    <n v="3"/>
    <x v="2"/>
    <x v="2"/>
    <x v="0"/>
    <x v="3"/>
    <n v="104"/>
    <s v="NOS"/>
    <x v="82"/>
    <n v="0"/>
    <n v="45000"/>
    <n v="3.933684612"/>
    <n v="0"/>
    <n v="3.933684612"/>
    <n v="10697.234056750049"/>
    <n v="0.93510100000000007"/>
    <n v="96.995899000000009"/>
    <n v="2.998583612"/>
    <n v="0.23771631237222332"/>
  </r>
  <r>
    <n v="41"/>
    <s v="Hosur"/>
    <x v="26"/>
    <m/>
    <n v="944141"/>
    <n v="1156869"/>
    <s v="TUB-O-N-AUT-AW-PE-19.05X2.000X0.271"/>
    <x v="1"/>
    <m/>
    <x v="3"/>
    <x v="1"/>
    <m/>
    <m/>
    <m/>
    <m/>
    <s v="19.05-0-2--"/>
    <m/>
    <m/>
    <x v="2"/>
    <x v="2"/>
    <x v="0"/>
    <x v="3"/>
    <n v="271"/>
    <m/>
    <x v="30"/>
    <e v="#N/A"/>
    <e v="#N/A"/>
    <n v="0"/>
    <e v="#N/A"/>
    <e v="#N/A"/>
    <e v="#DIV/0!"/>
    <n v="0"/>
    <n v="0"/>
    <n v="0"/>
    <e v="#N/A"/>
  </r>
  <r>
    <n v="54"/>
    <s v="Hosur"/>
    <x v="26"/>
    <m/>
    <n v="944141"/>
    <n v="1637759"/>
    <s v="TUB-O-N-AUT-AW-PE-19.05X2.000X0.4520"/>
    <x v="1"/>
    <m/>
    <x v="3"/>
    <x v="1"/>
    <m/>
    <m/>
    <m/>
    <m/>
    <s v="19.05-0-2--"/>
    <m/>
    <m/>
    <x v="2"/>
    <x v="2"/>
    <x v="0"/>
    <x v="3"/>
    <n v="452"/>
    <m/>
    <x v="30"/>
    <e v="#N/A"/>
    <e v="#N/A"/>
    <n v="0"/>
    <e v="#N/A"/>
    <e v="#N/A"/>
    <e v="#DIV/0!"/>
    <n v="0"/>
    <n v="0"/>
    <n v="0"/>
    <e v="#N/A"/>
  </r>
  <r>
    <n v="29"/>
    <s v="Hosur"/>
    <x v="26"/>
    <m/>
    <n v="944141"/>
    <n v="1940287"/>
    <s v="TUB-O-O-AUT-AW-PE-19.05X2.000X0.8150"/>
    <x v="0"/>
    <m/>
    <x v="0"/>
    <x v="1"/>
    <m/>
    <m/>
    <m/>
    <m/>
    <s v="19.05-0-2-ERW 1-PE"/>
    <s v="19.05-0-2-ERW 1-PE-0.815"/>
    <n v="2"/>
    <x v="2"/>
    <x v="2"/>
    <x v="0"/>
    <x v="3"/>
    <n v="815"/>
    <s v="NOS"/>
    <x v="31"/>
    <n v="12000"/>
    <n v="8000"/>
    <n v="13.700653669999999"/>
    <n v="8.2203922020000011"/>
    <n v="5.4802614679999984"/>
    <n v="21901.78857356665"/>
    <n v="15.003440999999999"/>
    <n v="96.995899000000009"/>
    <n v="-1.3027873299999992"/>
    <n v="1.6950894286783327"/>
  </r>
  <r>
    <n v="6"/>
    <s v="Hosur"/>
    <x v="26"/>
    <m/>
    <n v="944141"/>
    <n v="1937438"/>
    <s v="TUB-O-N-AUT-AW-PE-19.05X2.030X0.8300"/>
    <x v="0"/>
    <m/>
    <x v="0"/>
    <x v="1"/>
    <m/>
    <m/>
    <m/>
    <m/>
    <s v="19.05-0-2-ERW 1-PE"/>
    <s v="19.05-0-2-ERW 1-PE-0.83"/>
    <n v="5"/>
    <x v="2"/>
    <x v="2"/>
    <x v="0"/>
    <x v="3"/>
    <n v="830"/>
    <s v="NOS"/>
    <x v="2"/>
    <n v="0"/>
    <n v="4000"/>
    <n v="2.7905625880000002"/>
    <n v="0"/>
    <n v="2.7905625880000002"/>
    <n v="0"/>
    <n v="0"/>
    <n v="96.995899000000009"/>
    <m/>
    <m/>
  </r>
  <r>
    <n v="5"/>
    <s v="Hosur"/>
    <x v="26"/>
    <m/>
    <n v="944141"/>
    <n v="3850335"/>
    <s v="CUT-O-O-AUT-AW-PE-19.05X2.000X0.9000"/>
    <x v="0"/>
    <m/>
    <x v="0"/>
    <x v="1"/>
    <m/>
    <m/>
    <m/>
    <m/>
    <s v="19.05-0-2-ERW 1-PE"/>
    <m/>
    <m/>
    <x v="2"/>
    <x v="2"/>
    <x v="0"/>
    <x v="3"/>
    <n v="900"/>
    <m/>
    <x v="30"/>
    <e v="#N/A"/>
    <e v="#N/A"/>
    <n v="0"/>
    <e v="#N/A"/>
    <e v="#N/A"/>
    <e v="#DIV/0!"/>
    <n v="0"/>
    <n v="96.995899000000009"/>
    <m/>
    <m/>
  </r>
  <r>
    <n v="49"/>
    <s v="Hosur"/>
    <x v="26"/>
    <m/>
    <n v="944141"/>
    <n v="451367"/>
    <s v="PT2-O-N-AUT-AW-PE-19.05X2.000X0.925"/>
    <x v="1"/>
    <m/>
    <x v="3"/>
    <x v="1"/>
    <m/>
    <m/>
    <m/>
    <m/>
    <s v="19.05-0-2--"/>
    <m/>
    <m/>
    <x v="2"/>
    <x v="2"/>
    <x v="0"/>
    <x v="3"/>
    <n v="925"/>
    <m/>
    <x v="30"/>
    <e v="#N/A"/>
    <e v="#N/A"/>
    <n v="0"/>
    <e v="#N/A"/>
    <e v="#N/A"/>
    <e v="#DIV/0!"/>
    <n v="0"/>
    <n v="0"/>
    <n v="0"/>
    <e v="#N/A"/>
  </r>
  <r>
    <n v="50"/>
    <s v="Hosur"/>
    <x v="26"/>
    <m/>
    <n v="944141"/>
    <n v="3499307"/>
    <s v="TUB-O-N-AUT-AW-PE-19.05X2.00X6.000-ERW 1"/>
    <x v="1"/>
    <m/>
    <x v="3"/>
    <x v="1"/>
    <m/>
    <m/>
    <m/>
    <m/>
    <s v="19.05-0-2--"/>
    <m/>
    <m/>
    <x v="2"/>
    <x v="2"/>
    <x v="0"/>
    <x v="3"/>
    <n v="6000"/>
    <m/>
    <x v="30"/>
    <e v="#N/A"/>
    <e v="#N/A"/>
    <n v="0"/>
    <e v="#N/A"/>
    <e v="#N/A"/>
    <e v="#DIV/0!"/>
    <n v="0"/>
    <n v="0"/>
    <n v="0"/>
    <e v="#N/A"/>
  </r>
  <r>
    <n v="37"/>
    <s v="Hosur"/>
    <x v="26"/>
    <m/>
    <n v="944141"/>
    <n v="1259405"/>
    <s v="TUB-O-N-AUT-AW-PE-19.05X2.300X0.2100"/>
    <x v="0"/>
    <m/>
    <x v="0"/>
    <x v="1"/>
    <m/>
    <m/>
    <m/>
    <m/>
    <s v="19.05-0-2.3-ERW 1-PE"/>
    <s v="19.05-0-2.3-ERW 1-PE-0.21"/>
    <n v="2"/>
    <x v="2"/>
    <x v="2"/>
    <x v="0"/>
    <x v="7"/>
    <n v="210"/>
    <s v="NOS"/>
    <x v="7"/>
    <n v="0"/>
    <n v="2000"/>
    <n v="0.39883314449999996"/>
    <n v="0"/>
    <n v="0.39883314449999996"/>
    <n v="0"/>
    <n v="0"/>
    <n v="41.162200000000006"/>
    <n v="0.39883314449999996"/>
    <n v="0"/>
  </r>
  <r>
    <n v="9"/>
    <s v="Hosur"/>
    <x v="26"/>
    <m/>
    <n v="944141"/>
    <n v="1940306"/>
    <s v="TUB-O-O-AUT-AW-PE-19.05X2.300X0.2360"/>
    <x v="0"/>
    <m/>
    <x v="0"/>
    <x v="1"/>
    <m/>
    <m/>
    <m/>
    <m/>
    <s v="19.05-0-2.3-ERW 1-PE"/>
    <s v="19.05-0-2.3-ERW 1-PE-0.236"/>
    <n v="3"/>
    <x v="2"/>
    <x v="2"/>
    <x v="0"/>
    <x v="7"/>
    <n v="236"/>
    <s v="NOS"/>
    <x v="47"/>
    <n v="9150"/>
    <n v="20850"/>
    <n v="6.7231872929999996"/>
    <n v="2.0505721243649999"/>
    <n v="4.6726151686349997"/>
    <n v="1320.7039478499919"/>
    <n v="0.29597800000000002"/>
    <n v="41.162200000000006"/>
    <n v="6.4272092929999998"/>
    <n v="0.34902346492833303"/>
  </r>
  <r>
    <n v="12"/>
    <s v="Hosur"/>
    <x v="26"/>
    <m/>
    <n v="944141"/>
    <n v="1940307"/>
    <s v="TUB-O-O-AUT-AW-PE-19.05X2.300X0.2520"/>
    <x v="0"/>
    <m/>
    <x v="0"/>
    <x v="1"/>
    <m/>
    <m/>
    <m/>
    <m/>
    <s v="19.05-0-2.3-ERW 1-PE"/>
    <s v="19.05-0-2.3-ERW 1-PE-0.252"/>
    <n v="2"/>
    <x v="2"/>
    <x v="2"/>
    <x v="0"/>
    <x v="7"/>
    <n v="252"/>
    <s v="NOS"/>
    <x v="0"/>
    <n v="10250"/>
    <n v="29750"/>
    <n v="9.571995467999999"/>
    <n v="2.4528238386749996"/>
    <n v="7.1191716293249989"/>
    <n v="3025.9270490494555"/>
    <n v="0.72410399999999997"/>
    <n v="41.162200000000006"/>
    <n v="8.8478914679999985"/>
    <n v="0.33189817622623641"/>
  </r>
  <r>
    <n v="13"/>
    <s v="Hosur"/>
    <x v="26"/>
    <m/>
    <n v="944141"/>
    <n v="1940309"/>
    <s v="TUB-O-O-AUT-AW-PE-19.05X2.300X0.2650"/>
    <x v="0"/>
    <m/>
    <x v="0"/>
    <x v="1"/>
    <m/>
    <m/>
    <m/>
    <m/>
    <s v="19.05-0-2.3-ERW 1-PE"/>
    <s v="19.05-0-2.3-ERW 1-PE-0.265"/>
    <n v="4"/>
    <x v="2"/>
    <x v="2"/>
    <x v="0"/>
    <x v="7"/>
    <n v="265"/>
    <s v="NOS"/>
    <x v="4"/>
    <n v="6885"/>
    <n v="3115"/>
    <n v="2.51644722125"/>
    <n v="1.7325739118306251"/>
    <n v="0.78387330941937483"/>
    <n v="2514.1556503049987"/>
    <n v="0.63267400000000007"/>
    <n v="41.162200000000006"/>
    <n v="1.8837732212499998"/>
    <n v="0.9399155650305"/>
  </r>
  <r>
    <n v="21"/>
    <s v="Hosur"/>
    <x v="26"/>
    <m/>
    <n v="944141"/>
    <n v="1940310"/>
    <s v="TUB-O-O-AUT-AW-PE-19.05X2.300X0.2810"/>
    <x v="0"/>
    <m/>
    <x v="3"/>
    <x v="1"/>
    <m/>
    <m/>
    <m/>
    <m/>
    <s v="19.05-0-2.3-ERW 1-"/>
    <m/>
    <m/>
    <x v="2"/>
    <x v="2"/>
    <x v="0"/>
    <x v="7"/>
    <n v="281"/>
    <m/>
    <x v="30"/>
    <e v="#N/A"/>
    <e v="#N/A"/>
    <n v="0"/>
    <e v="#N/A"/>
    <e v="#N/A"/>
    <e v="#DIV/0!"/>
    <n v="0"/>
    <n v="0"/>
    <n v="0"/>
    <e v="#N/A"/>
  </r>
  <r>
    <n v="23"/>
    <s v="Hosur"/>
    <x v="26"/>
    <m/>
    <n v="944141"/>
    <n v="1940312"/>
    <s v="TUB-O-O-AUT-AW-PE-19.05X2.300X0.2950"/>
    <x v="0"/>
    <m/>
    <x v="0"/>
    <x v="1"/>
    <m/>
    <m/>
    <m/>
    <m/>
    <s v="19.05-0-2.3-ERW 1-PE"/>
    <s v="19.05-0-2.3-ERW 1-PE-0.295"/>
    <n v="3"/>
    <x v="2"/>
    <x v="2"/>
    <x v="0"/>
    <x v="7"/>
    <n v="295"/>
    <s v="NOS"/>
    <x v="83"/>
    <n v="14865"/>
    <n v="40135"/>
    <n v="15.407304213125"/>
    <n v="4.1641741296018751"/>
    <n v="11.243130083523125"/>
    <n v="3.9981037011993887"/>
    <n v="1.1199999999999999E-3"/>
    <n v="41.162200000000006"/>
    <n v="15.406184213125"/>
    <n v="0.27034542006729456"/>
  </r>
  <r>
    <n v="25"/>
    <s v="Hosur"/>
    <x v="26"/>
    <m/>
    <n v="944141"/>
    <n v="1940325"/>
    <s v="TUB-O-O-AUT-AW-PE-19.05X2.300X0.5700"/>
    <x v="0"/>
    <m/>
    <x v="0"/>
    <x v="1"/>
    <m/>
    <m/>
    <m/>
    <m/>
    <s v="19.05-0-2.3-ERW 1-PE"/>
    <s v="19.05-0-2.3-ERW 1-PE-0.57"/>
    <n v="3"/>
    <x v="2"/>
    <x v="2"/>
    <x v="0"/>
    <x v="7"/>
    <n v="570"/>
    <s v="NOS"/>
    <x v="6"/>
    <n v="11482"/>
    <n v="-6482"/>
    <n v="2.7063677662500005"/>
    <n v="6.2149029384165004"/>
    <n v="-3.5085351721664999"/>
    <n v="10618.460786583792"/>
    <n v="5.7474920000000003"/>
    <n v="41.162200000000006"/>
    <n v="-3.0411242337499997"/>
    <n v="4.4200921573167582"/>
  </r>
  <r>
    <n v="27"/>
    <s v="Hosur"/>
    <x v="26"/>
    <m/>
    <n v="944141"/>
    <n v="1940329"/>
    <s v="TUB-O-O-AUT-AW-PE-19.05X2.300X0.6100"/>
    <x v="0"/>
    <m/>
    <x v="0"/>
    <x v="1"/>
    <m/>
    <m/>
    <m/>
    <m/>
    <s v="19.05-0-2.3-ERW 1-PE"/>
    <s v="19.05-0-2.3-ERW 1-PE-0.61"/>
    <n v="3"/>
    <x v="2"/>
    <x v="2"/>
    <x v="0"/>
    <x v="7"/>
    <n v="610"/>
    <s v="NOS"/>
    <x v="6"/>
    <n v="8825"/>
    <n v="-3825"/>
    <n v="2.8962883112499997"/>
    <n v="5.11194886935625"/>
    <n v="-2.2156605581062503"/>
    <n v="10134.519372945939"/>
    <n v="5.8704979999999995"/>
    <n v="41.162200000000006"/>
    <n v="-2.9742096887499998"/>
    <n v="3.7919038745891873"/>
  </r>
  <r>
    <n v="39"/>
    <s v="Hosur"/>
    <x v="26"/>
    <m/>
    <n v="944141"/>
    <n v="477006"/>
    <s v="PT2-O-N-AUT-AW-PE-19.05X2.300X0.245"/>
    <x v="0"/>
    <m/>
    <x v="3"/>
    <x v="1"/>
    <m/>
    <m/>
    <m/>
    <m/>
    <s v="19.05-0-2.34-ERW 1-"/>
    <m/>
    <m/>
    <x v="2"/>
    <x v="2"/>
    <x v="0"/>
    <x v="28"/>
    <n v="245"/>
    <m/>
    <x v="30"/>
    <e v="#N/A"/>
    <e v="#N/A"/>
    <n v="0"/>
    <e v="#N/A"/>
    <e v="#N/A"/>
    <e v="#DIV/0!"/>
    <n v="0"/>
    <n v="0"/>
    <n v="0"/>
    <e v="#N/A"/>
  </r>
  <r>
    <n v="56"/>
    <s v="Khopoli "/>
    <x v="26"/>
    <m/>
    <n v="944141"/>
    <n v="2410999"/>
    <s v="TUB-O-C-AUT-AD-FC-21.70X2.750X04-05"/>
    <x v="2"/>
    <m/>
    <x v="2"/>
    <x v="1"/>
    <m/>
    <m/>
    <m/>
    <m/>
    <s v="21.7-16.2-2.75-CEW-CEW"/>
    <s v="21.7-16.2-2.75-CEW-CEW"/>
    <n v="1"/>
    <x v="40"/>
    <x v="41"/>
    <x v="21"/>
    <x v="26"/>
    <n v="1000"/>
    <s v="M"/>
    <x v="81"/>
    <n v="3915"/>
    <n v="-913.5"/>
    <n v="3.8554898190187501"/>
    <n v="5.0288997639374999"/>
    <n v="-1.1734099449187498"/>
    <n v="14042.361179358286"/>
    <n v="18.037708000000002"/>
    <n v="18.037708000000002"/>
    <n v="-14.182218180981252"/>
    <n v="5.9827956619551177"/>
  </r>
  <r>
    <n v="52"/>
    <s v="Hosur"/>
    <x v="26"/>
    <m/>
    <n v="944141"/>
    <n v="3180928"/>
    <s v="TUB-O-N-AUT-AW-PE-22.20X1.200X0.6300"/>
    <x v="0"/>
    <m/>
    <x v="3"/>
    <x v="1"/>
    <m/>
    <m/>
    <m/>
    <m/>
    <s v="22.23-0-1.2-ERW 1-"/>
    <m/>
    <m/>
    <x v="8"/>
    <x v="8"/>
    <x v="0"/>
    <x v="1"/>
    <n v="630"/>
    <m/>
    <x v="30"/>
    <e v="#N/A"/>
    <e v="#N/A"/>
    <n v="0"/>
    <e v="#N/A"/>
    <e v="#N/A"/>
    <e v="#DIV/0!"/>
    <n v="0"/>
    <n v="0"/>
    <n v="0"/>
    <e v="#N/A"/>
  </r>
  <r>
    <n v="43"/>
    <s v="Hosur"/>
    <x v="26"/>
    <m/>
    <n v="944141"/>
    <n v="3669081"/>
    <s v="TUB-O-N-AUT-AW-PE-22.20X1.200X1.3000"/>
    <x v="1"/>
    <m/>
    <x v="3"/>
    <x v="1"/>
    <m/>
    <m/>
    <m/>
    <m/>
    <s v="22.23-0-1.2--"/>
    <m/>
    <m/>
    <x v="8"/>
    <x v="8"/>
    <x v="0"/>
    <x v="1"/>
    <n v="1300"/>
    <m/>
    <x v="30"/>
    <e v="#N/A"/>
    <e v="#N/A"/>
    <n v="0"/>
    <e v="#N/A"/>
    <e v="#N/A"/>
    <e v="#DIV/0!"/>
    <n v="0"/>
    <n v="0"/>
    <n v="0"/>
    <e v="#N/A"/>
  </r>
  <r>
    <n v="45"/>
    <s v="Hosur"/>
    <x v="26"/>
    <m/>
    <n v="944141"/>
    <n v="3747393"/>
    <s v="CUT-O-N-AUT-AW-PE-22.23X1.200X1.3080"/>
    <x v="0"/>
    <m/>
    <x v="0"/>
    <x v="0"/>
    <m/>
    <m/>
    <m/>
    <m/>
    <s v="22.23-0-1.2-ERW 1-PE"/>
    <s v="22.23-0-1.2-ERW 1-PE-1.308"/>
    <n v="1"/>
    <x v="8"/>
    <x v="8"/>
    <x v="0"/>
    <x v="1"/>
    <n v="1308"/>
    <s v="NOS"/>
    <x v="6"/>
    <n v="0"/>
    <n v="5000"/>
    <n v="4.0681557525600009"/>
    <n v="0"/>
    <n v="4.0681557525600009"/>
    <n v="358.21391525704792"/>
    <n v="0.29145399999999999"/>
    <n v="6.2558429999999996"/>
    <n v="3.7767017525600011"/>
    <n v="7.1642783051409573E-2"/>
  </r>
  <r>
    <n v="3"/>
    <s v="Hosur"/>
    <x v="26"/>
    <m/>
    <n v="944141"/>
    <n v="2320560"/>
    <s v="TUB-O-N-AUT-AW-PE-22.23X1.600X0.2100"/>
    <x v="0"/>
    <m/>
    <x v="0"/>
    <x v="0"/>
    <s v="HROP"/>
    <m/>
    <m/>
    <m/>
    <s v="22.23-0-1.6-ERW 1-PE"/>
    <m/>
    <m/>
    <x v="8"/>
    <x v="8"/>
    <x v="0"/>
    <x v="0"/>
    <n v="210"/>
    <m/>
    <x v="30"/>
    <e v="#N/A"/>
    <e v="#N/A"/>
    <n v="0"/>
    <e v="#N/A"/>
    <e v="#N/A"/>
    <e v="#DIV/0!"/>
    <n v="0"/>
    <n v="68.25120299999999"/>
    <n v="0"/>
    <e v="#N/A"/>
  </r>
  <r>
    <n v="22"/>
    <s v="Hosur"/>
    <x v="26"/>
    <m/>
    <n v="944141"/>
    <n v="1940390"/>
    <s v="TUB-O-O-AUT-AW-PE-22.23X1.600X0.2830"/>
    <x v="0"/>
    <m/>
    <x v="0"/>
    <x v="0"/>
    <s v="GR1"/>
    <m/>
    <m/>
    <m/>
    <s v="22.23-0-1.6-ERW 1-PE"/>
    <s v="22.23-0-1.6-ERW 1-PE-0.283"/>
    <n v="2"/>
    <x v="8"/>
    <x v="8"/>
    <x v="0"/>
    <x v="0"/>
    <n v="283"/>
    <s v="NOS"/>
    <x v="6"/>
    <n v="0"/>
    <n v="5000"/>
    <n v="1.1512640816799999"/>
    <n v="0"/>
    <n v="1.1512640816799999"/>
    <n v="308.44356707612621"/>
    <n v="7.1019999999999986E-2"/>
    <n v="68.25120299999999"/>
    <n v="1.0802440816799999"/>
    <n v="6.1688713415225249E-2"/>
  </r>
  <r>
    <n v="28"/>
    <s v="Hosur"/>
    <x v="26"/>
    <m/>
    <n v="944141"/>
    <n v="2270133"/>
    <s v="TUB-O-N-AUT-HR-PE-22.23X1.600X0.7000"/>
    <x v="0"/>
    <m/>
    <x v="0"/>
    <x v="0"/>
    <s v="GR1"/>
    <m/>
    <m/>
    <m/>
    <s v="22.23-0-1.6-ERW 1-PE"/>
    <s v="22.23-0-1.6-ERW 1-PE-0.7"/>
    <n v="3"/>
    <x v="8"/>
    <x v="8"/>
    <x v="0"/>
    <x v="0"/>
    <n v="700"/>
    <s v="NOS"/>
    <x v="31"/>
    <n v="0"/>
    <n v="20000"/>
    <n v="11.390598688000001"/>
    <n v="0"/>
    <n v="11.390598688000001"/>
    <n v="13198.972601711239"/>
    <n v="7.5172100000000004"/>
    <n v="68.25120299999999"/>
    <n v="3.8733886880000004"/>
    <n v="0.65994863008556204"/>
  </r>
  <r>
    <n v="31"/>
    <s v="Hosur"/>
    <x v="26"/>
    <m/>
    <n v="944141"/>
    <n v="3673012"/>
    <s v="TUB-O-N-AUT-AW-PE-22.23X1.600X0.9490"/>
    <x v="0"/>
    <m/>
    <x v="0"/>
    <x v="0"/>
    <s v="HROP"/>
    <m/>
    <m/>
    <m/>
    <s v="22.23-0-1.6-ERW 1-PE"/>
    <s v="22.23-0-1.6-ERW 1-PE-0.949"/>
    <n v="2"/>
    <x v="8"/>
    <x v="8"/>
    <x v="0"/>
    <x v="0"/>
    <n v="949"/>
    <s v="NOS"/>
    <x v="2"/>
    <n v="1683"/>
    <n v="2317"/>
    <n v="3.0884794728319998"/>
    <n v="1.2994777381940639"/>
    <n v="1.7890017346379359"/>
    <n v="537.20674351078992"/>
    <n v="0.41478799999999999"/>
    <n v="68.25120299999999"/>
    <n v="2.6736914728319996"/>
    <n v="0.55505168587769749"/>
  </r>
  <r>
    <n v="24"/>
    <s v="Hosur"/>
    <x v="26"/>
    <m/>
    <n v="944141"/>
    <n v="1940418"/>
    <s v="TUB-O-O-AUT-AW-PE-22.23X1.600X0.9670"/>
    <x v="0"/>
    <m/>
    <x v="0"/>
    <x v="0"/>
    <s v="GR1"/>
    <m/>
    <m/>
    <m/>
    <s v="22.23-0-1.6-ERW 1-PE"/>
    <s v="22.23-0-1.6-ERW 1-PE-0.967"/>
    <n v="3"/>
    <x v="8"/>
    <x v="8"/>
    <x v="0"/>
    <x v="0"/>
    <n v="967"/>
    <s v="NOS"/>
    <x v="9"/>
    <n v="0"/>
    <n v="1000"/>
    <n v="0.78676492366399997"/>
    <n v="0"/>
    <n v="0.78676492366399997"/>
    <n v="1909.4305742607924"/>
    <n v="1.502273"/>
    <n v="68.25120299999999"/>
    <n v="-0.715508076336"/>
    <n v="1.9094305742607924"/>
  </r>
  <r>
    <n v="30"/>
    <s v="Hosur"/>
    <x v="26"/>
    <m/>
    <n v="944141"/>
    <n v="3673011"/>
    <s v="TUB-O-N-AUT-AW-PE-22.23X1.600X1.304"/>
    <x v="0"/>
    <m/>
    <x v="0"/>
    <x v="0"/>
    <s v="HROP"/>
    <m/>
    <m/>
    <m/>
    <s v="22.23-0-1.6-ERW 1-PE"/>
    <s v="22.23-0-1.6-ERW 1-PE-1.304"/>
    <n v="1"/>
    <x v="8"/>
    <x v="8"/>
    <x v="0"/>
    <x v="0"/>
    <n v="1304"/>
    <s v="NOS"/>
    <x v="4"/>
    <n v="0"/>
    <n v="10000"/>
    <n v="10.609529063680002"/>
    <n v="0"/>
    <n v="10.609529063680002"/>
    <n v="806.5428680801333"/>
    <n v="0.85570400000000002"/>
    <n v="68.25120299999999"/>
    <n v="9.7538250636800026"/>
    <n v="8.0654286808013329E-2"/>
  </r>
  <r>
    <n v="51"/>
    <s v="Hosur"/>
    <x v="26"/>
    <m/>
    <n v="944141"/>
    <n v="1385283"/>
    <s v="TUB-O-N-AUT-AW-PE-22.20X1.600X1.3370"/>
    <x v="0"/>
    <m/>
    <x v="0"/>
    <x v="1"/>
    <m/>
    <m/>
    <m/>
    <m/>
    <s v="22.23-0-1.6-ERW 1-PE"/>
    <s v="22.23-0-1.6-ERW 1-PE-1.337"/>
    <n v="1"/>
    <x v="8"/>
    <x v="8"/>
    <x v="0"/>
    <x v="0"/>
    <n v="1337"/>
    <s v="NOS"/>
    <x v="11"/>
    <n v="0"/>
    <n v="3000"/>
    <n v="3.2634065241119998"/>
    <n v="0"/>
    <n v="3.2634065241119998"/>
    <n v="1512.2133768923704"/>
    <n v="1.644989"/>
    <n v="68.25120299999999"/>
    <n v="1.6184175241119998"/>
    <n v="0.50407112563079015"/>
  </r>
  <r>
    <n v="8"/>
    <s v="Hosur"/>
    <x v="26"/>
    <m/>
    <n v="944141"/>
    <n v="1940430"/>
    <s v="TUB-O-N-AUT-AW-PE-22.23X2.000X0.2200"/>
    <x v="0"/>
    <m/>
    <x v="0"/>
    <x v="1"/>
    <m/>
    <m/>
    <m/>
    <m/>
    <s v="22.23-0-2-ERW 1-PE"/>
    <s v="22.23-0-2-ERW 1-PE-0.22"/>
    <n v="2"/>
    <x v="8"/>
    <x v="8"/>
    <x v="0"/>
    <x v="3"/>
    <n v="220"/>
    <s v="NOS"/>
    <x v="4"/>
    <n v="5204"/>
    <n v="4796"/>
    <n v="2.1940567880000001"/>
    <n v="1.1417871524752001"/>
    <n v="1.0522696355248"/>
    <n v="608.88578969634216"/>
    <n v="0.13359300000000002"/>
    <n v="45.493454"/>
    <n v="2.0604637880000003"/>
    <n v="0.58128857896963426"/>
  </r>
  <r>
    <n v="46"/>
    <s v="Hosur"/>
    <x v="26"/>
    <m/>
    <n v="944141"/>
    <n v="1902768"/>
    <s v="TUB-O-N-AUT-AW-PE-22.23X2.000X0.3050"/>
    <x v="0"/>
    <m/>
    <x v="3"/>
    <x v="1"/>
    <m/>
    <m/>
    <m/>
    <m/>
    <s v="22.23-0-2-ERW 1-"/>
    <m/>
    <m/>
    <x v="8"/>
    <x v="8"/>
    <x v="0"/>
    <x v="3"/>
    <n v="305"/>
    <m/>
    <x v="30"/>
    <e v="#N/A"/>
    <e v="#N/A"/>
    <n v="0"/>
    <e v="#N/A"/>
    <e v="#N/A"/>
    <e v="#DIV/0!"/>
    <n v="0"/>
    <n v="0"/>
    <n v="0"/>
    <e v="#N/A"/>
  </r>
  <r>
    <n v="26"/>
    <s v="Hosur"/>
    <x v="26"/>
    <m/>
    <n v="944141"/>
    <n v="1940449"/>
    <s v="TUB-O-O-AUT-AW-PE-22.23X2.000X0.5740"/>
    <x v="0"/>
    <m/>
    <x v="3"/>
    <x v="1"/>
    <m/>
    <m/>
    <m/>
    <m/>
    <s v="22.23-0-2-ERW 1-"/>
    <m/>
    <m/>
    <x v="8"/>
    <x v="8"/>
    <x v="0"/>
    <x v="3"/>
    <n v="574"/>
    <m/>
    <x v="30"/>
    <e v="#N/A"/>
    <e v="#N/A"/>
    <n v="0"/>
    <e v="#N/A"/>
    <e v="#N/A"/>
    <e v="#DIV/0!"/>
    <n v="0"/>
    <n v="0"/>
    <n v="0"/>
    <e v="#N/A"/>
  </r>
  <r>
    <n v="47"/>
    <s v="Hosur"/>
    <x v="26"/>
    <m/>
    <n v="944141"/>
    <n v="1936862"/>
    <s v="TUB-O-N-AUT-AW-PE-22.20X2.000X0.8050"/>
    <x v="0"/>
    <m/>
    <x v="3"/>
    <x v="1"/>
    <m/>
    <m/>
    <m/>
    <m/>
    <s v="22.23-0-2-ERW 1-"/>
    <m/>
    <m/>
    <x v="8"/>
    <x v="8"/>
    <x v="0"/>
    <x v="3"/>
    <n v="805"/>
    <m/>
    <x v="30"/>
    <e v="#N/A"/>
    <e v="#N/A"/>
    <n v="0"/>
    <e v="#N/A"/>
    <e v="#N/A"/>
    <e v="#DIV/0!"/>
    <n v="0"/>
    <n v="0"/>
    <n v="0"/>
    <e v="#N/A"/>
  </r>
  <r>
    <n v="38"/>
    <s v="Hosur"/>
    <x v="26"/>
    <m/>
    <n v="944141"/>
    <n v="3673948"/>
    <s v="CUT-O-N-AUT-AW-PE-22.20X2.300X0.2450"/>
    <x v="1"/>
    <m/>
    <x v="0"/>
    <x v="1"/>
    <m/>
    <m/>
    <m/>
    <m/>
    <s v="22.23-0-2.3--PE"/>
    <m/>
    <m/>
    <x v="8"/>
    <x v="8"/>
    <x v="0"/>
    <x v="7"/>
    <n v="245"/>
    <m/>
    <x v="30"/>
    <e v="#N/A"/>
    <e v="#N/A"/>
    <n v="0"/>
    <e v="#N/A"/>
    <e v="#N/A"/>
    <e v="#DIV/0!"/>
    <n v="0"/>
    <n v="0"/>
    <n v="0"/>
    <e v="#N/A"/>
  </r>
  <r>
    <n v="19"/>
    <s v="Hosur"/>
    <x v="26"/>
    <m/>
    <n v="944141"/>
    <n v="1940498"/>
    <s v="TUB-O-O-AUT-AW-PE-22.23X2.300X0.2810"/>
    <x v="0"/>
    <m/>
    <x v="0"/>
    <x v="1"/>
    <m/>
    <m/>
    <m/>
    <m/>
    <s v="22.23-0-2.3-ERW 1-PE"/>
    <s v="22.23-0-2.3-ERW 1-PE-0.281"/>
    <n v="3"/>
    <x v="8"/>
    <x v="8"/>
    <x v="0"/>
    <x v="7"/>
    <n v="281"/>
    <s v="NOS"/>
    <x v="47"/>
    <n v="0"/>
    <n v="30000"/>
    <n v="9.5249348577300008"/>
    <n v="0"/>
    <n v="9.5249348577300008"/>
    <n v="430.83759220354409"/>
    <n v="0.13679000000000002"/>
    <n v="3.4099889999999999"/>
    <n v="9.3881448577300013"/>
    <n v="1.4361253073451472E-2"/>
  </r>
  <r>
    <n v="18"/>
    <s v="Hosur"/>
    <x v="26"/>
    <m/>
    <n v="944141"/>
    <s v="NO MATERIAL CODE"/>
    <s v="TUB-O-O-AUT-AW-PE-22.23X2.300X0.4270"/>
    <x v="0"/>
    <m/>
    <x v="0"/>
    <x v="1"/>
    <m/>
    <m/>
    <m/>
    <m/>
    <s v="22.23-0-2.3-ERW 1-PE"/>
    <s v="22.23-0-2.3-ERW 1-PE-0.427"/>
    <n v="0"/>
    <x v="8"/>
    <x v="8"/>
    <x v="0"/>
    <x v="7"/>
    <n v="427"/>
    <s v="NOS"/>
    <x v="6"/>
    <n v="0"/>
    <n v="5000"/>
    <n v="2.4123055659850001"/>
    <n v="0"/>
    <n v="2.4123055659850001"/>
    <n v="0"/>
    <n v="0"/>
    <n v="3.4099889999999999"/>
    <n v="2.4123055659850001"/>
    <n v="0"/>
  </r>
  <r>
    <n v="20"/>
    <s v="Hosur"/>
    <x v="26"/>
    <m/>
    <n v="944141"/>
    <n v="1940584"/>
    <s v="TUB-O-O-AUT-AW-FC-25.40X2.000X0.2810"/>
    <x v="0"/>
    <m/>
    <x v="1"/>
    <x v="1"/>
    <m/>
    <m/>
    <m/>
    <m/>
    <s v="25.4-0-2-ERW 1-FC"/>
    <s v="25.4-0-2-ERW 1-FC-0.281"/>
    <n v="1"/>
    <x v="3"/>
    <x v="3"/>
    <x v="0"/>
    <x v="3"/>
    <n v="281"/>
    <s v="NOS"/>
    <x v="31"/>
    <n v="0"/>
    <n v="20000"/>
    <n v="6.4830813840000001"/>
    <n v="0"/>
    <n v="6.4830813840000001"/>
    <n v="0"/>
    <n v="0"/>
    <n v="18.579590000000003"/>
    <n v="6.4830813840000001"/>
    <n v="0"/>
  </r>
  <r>
    <n v="55"/>
    <s v="Hosur"/>
    <x v="26"/>
    <m/>
    <n v="944141"/>
    <n v="1940621"/>
    <s v="TUB-O-O-GEN-AW-PE-28.58X1.600X6.0000"/>
    <x v="0"/>
    <m/>
    <x v="0"/>
    <x v="0"/>
    <s v="GR1"/>
    <m/>
    <m/>
    <m/>
    <s v="28.58-0-1.6-ERW 1-PE"/>
    <m/>
    <m/>
    <x v="9"/>
    <x v="9"/>
    <x v="0"/>
    <x v="0"/>
    <n v="6000"/>
    <m/>
    <x v="30"/>
    <e v="#N/A"/>
    <e v="#N/A"/>
    <n v="0"/>
    <e v="#N/A"/>
    <e v="#N/A"/>
    <e v="#DIV/0!"/>
    <n v="0"/>
    <n v="0"/>
    <n v="0"/>
    <e v="#N/A"/>
  </r>
  <r>
    <n v="366"/>
    <s v="Hosur"/>
    <x v="27"/>
    <m/>
    <m/>
    <n v="1941860"/>
    <s v="TUB-R-AW-RHS-40.00X30.00X1.600X0.4000"/>
    <x v="0"/>
    <m/>
    <x v="1"/>
    <x v="0"/>
    <s v="GR1"/>
    <m/>
    <m/>
    <m/>
    <s v="40-30-1.6-ERW 1-FC"/>
    <m/>
    <m/>
    <x v="17"/>
    <x v="15"/>
    <x v="1"/>
    <x v="0"/>
    <n v="400"/>
    <m/>
    <x v="30"/>
    <e v="#N/A"/>
    <e v="#N/A"/>
    <n v="0"/>
    <e v="#N/A"/>
    <e v="#N/A"/>
    <e v="#DIV/0!"/>
    <n v="0"/>
    <n v="23.114797000000003"/>
    <e v="#REF!"/>
    <e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2">
  <r>
    <n v="1"/>
    <s v="Hosur"/>
    <x v="0"/>
    <s v="Balaji Press Product"/>
    <x v="0"/>
    <n v="3432081"/>
    <s v="189287-3432081"/>
    <s v="TUB-O-N-AUT-AW-PE-12.70X1.600X0.1890"/>
    <x v="0"/>
    <m/>
    <x v="0"/>
    <s v="CR"/>
    <s v="HROP"/>
    <m/>
    <m/>
    <m/>
    <x v="0"/>
    <s v="12.7-0-1.6-ERW 1-PE-0.189"/>
    <n v="1"/>
    <s v="Hosur"/>
    <n v="0"/>
    <n v="0"/>
    <m/>
    <x v="0"/>
    <x v="0"/>
    <x v="0"/>
    <x v="0"/>
    <n v="189"/>
    <s v="NOS"/>
    <s v="Hosur Plant"/>
    <m/>
    <n v="35000"/>
    <m/>
    <n v="11400"/>
    <n v="23600"/>
    <n v="2.8958236776000001"/>
    <n v="0.94321114070400003"/>
    <n v="1.9526125368960001"/>
    <n v="293.40874811279292"/>
    <n v="2.4276000000000002E-2"/>
    <m/>
    <n v="6.5656999999999993E-2"/>
    <n v="8.9860000000000007"/>
    <n v="2.8715476776000002"/>
    <m/>
  </r>
  <r>
    <m/>
    <s v="Hosur"/>
    <x v="0"/>
    <s v="Balaji Press Product"/>
    <x v="0"/>
    <m/>
    <s v="189287-"/>
    <m/>
    <x v="0"/>
    <m/>
    <x v="1"/>
    <m/>
    <m/>
    <m/>
    <m/>
    <m/>
    <x v="1"/>
    <m/>
    <m/>
    <m/>
    <m/>
    <m/>
    <m/>
    <x v="1"/>
    <x v="1"/>
    <x v="0"/>
    <x v="1"/>
    <n v="585"/>
    <s v="NOS"/>
    <m/>
    <m/>
    <n v="10000"/>
    <m/>
    <n v="0"/>
    <n v="10000"/>
    <n v="2.1456461520000003"/>
    <n v="0"/>
    <n v="2.1456461520000003"/>
    <n v="0"/>
    <n v="0"/>
    <m/>
    <n v="0"/>
    <n v="0"/>
    <n v="2.1456461520000003"/>
    <m/>
  </r>
  <r>
    <m/>
    <s v="Hosur"/>
    <x v="0"/>
    <s v="Balaji Press Product"/>
    <x v="0"/>
    <m/>
    <s v="189287-"/>
    <m/>
    <x v="0"/>
    <m/>
    <x v="1"/>
    <m/>
    <m/>
    <m/>
    <m/>
    <m/>
    <x v="1"/>
    <m/>
    <m/>
    <m/>
    <m/>
    <m/>
    <m/>
    <x v="1"/>
    <x v="1"/>
    <x v="0"/>
    <x v="1"/>
    <n v="1233"/>
    <s v="NOS"/>
    <m/>
    <m/>
    <n v="10000"/>
    <m/>
    <n v="0"/>
    <n v="10000"/>
    <n v="4.5223618896000009"/>
    <n v="0"/>
    <n v="4.5223618896000009"/>
    <n v="0"/>
    <n v="0"/>
    <m/>
    <n v="0"/>
    <n v="0"/>
    <n v="4.5223618896000009"/>
    <m/>
  </r>
  <r>
    <n v="2"/>
    <s v="Hosur"/>
    <x v="0"/>
    <s v="Balaji Press Product"/>
    <x v="0"/>
    <n v="1940034"/>
    <s v="189287-1940034"/>
    <s v="TUB-O-O-AUT-AW-PE-15.88X1.200X0.5400"/>
    <x v="0"/>
    <m/>
    <x v="0"/>
    <s v="HR"/>
    <m/>
    <m/>
    <m/>
    <m/>
    <x v="2"/>
    <s v="15.88-0-1.2-ERW 1-PE-0.54"/>
    <n v="1"/>
    <s v="Hosur"/>
    <n v="0.170849"/>
    <n v="0"/>
    <m/>
    <x v="1"/>
    <x v="1"/>
    <x v="0"/>
    <x v="2"/>
    <n v="540"/>
    <s v="NOS"/>
    <s v="Hosur Plant"/>
    <n v="2000"/>
    <n v="3000"/>
    <m/>
    <n v="3000"/>
    <n v="0"/>
    <n v="0.70343119007999999"/>
    <n v="0.70343119007999999"/>
    <n v="0"/>
    <n v="5670.4522862376389"/>
    <n v="1.3295909999999997"/>
    <m/>
    <n v="6.069591"/>
    <n v="7.3860000000000001"/>
    <n v="-0.62615980991999975"/>
    <m/>
  </r>
  <r>
    <n v="3"/>
    <s v="Hosur"/>
    <x v="0"/>
    <s v="Balaji Press Product"/>
    <x v="0"/>
    <n v="1940038"/>
    <s v="189287-1940038"/>
    <s v="TUB-O-O-AUT-AW-PE-15.88X1.200X0.6800"/>
    <x v="0"/>
    <m/>
    <x v="0"/>
    <s v="HR"/>
    <m/>
    <m/>
    <m/>
    <m/>
    <x v="2"/>
    <s v="15.88-0-1.2-ERW 1-PE-0.68"/>
    <n v="1"/>
    <s v="Hosur"/>
    <n v="0.170849"/>
    <n v="0"/>
    <m/>
    <x v="1"/>
    <x v="1"/>
    <x v="0"/>
    <x v="2"/>
    <n v="680"/>
    <s v="NOS"/>
    <s v="Hosur Plant"/>
    <m/>
    <n v="3000"/>
    <m/>
    <n v="0"/>
    <n v="3000"/>
    <n v="0.88580223936000013"/>
    <n v="0"/>
    <n v="0.88580223936000013"/>
    <n v="0"/>
    <n v="0"/>
    <m/>
    <n v="6.069591"/>
    <n v="7.3860000000000001"/>
    <n v="0.88580223936000013"/>
    <m/>
  </r>
  <r>
    <m/>
    <s v="Hosur"/>
    <x v="0"/>
    <s v="Balaji Press Product"/>
    <x v="0"/>
    <m/>
    <s v="189287-"/>
    <m/>
    <x v="0"/>
    <m/>
    <x v="0"/>
    <s v="HR"/>
    <m/>
    <m/>
    <m/>
    <m/>
    <x v="2"/>
    <s v="15.88-0-1.2-ERW 1-PE-0.73"/>
    <m/>
    <m/>
    <n v="0.170849"/>
    <n v="0"/>
    <m/>
    <x v="1"/>
    <x v="1"/>
    <x v="0"/>
    <x v="2"/>
    <n v="730"/>
    <s v="NOS"/>
    <s v="Hosur Plant"/>
    <m/>
    <n v="7000"/>
    <m/>
    <n v="0"/>
    <n v="7000"/>
    <n v="2.2188477662400006"/>
    <n v="0"/>
    <n v="2.2188477662400006"/>
    <n v="0"/>
    <n v="0"/>
    <m/>
    <n v="6.069591"/>
    <n v="7.3860000000000001"/>
    <n v="2.2188477662400006"/>
    <m/>
  </r>
  <r>
    <n v="4"/>
    <s v="Hosur"/>
    <x v="0"/>
    <s v="Balaji Press Product"/>
    <x v="0"/>
    <n v="3715199"/>
    <s v="189287-3715199"/>
    <s v="TUB-O-O-AUT-AW-PE-15.88X1.200X0.7550"/>
    <x v="0"/>
    <m/>
    <x v="0"/>
    <s v="CR"/>
    <m/>
    <m/>
    <m/>
    <m/>
    <x v="2"/>
    <s v="15.88-0-1.2-ERW 1-PE-0.755"/>
    <n v="1"/>
    <s v="Hosur"/>
    <m/>
    <m/>
    <m/>
    <x v="1"/>
    <x v="1"/>
    <x v="0"/>
    <x v="2"/>
    <n v="755"/>
    <s v="NOS"/>
    <m/>
    <m/>
    <m/>
    <m/>
    <n v="0"/>
    <n v="0"/>
    <n v="0"/>
    <n v="0"/>
    <n v="0"/>
    <e v="#DIV/0!"/>
    <n v="1.2110000000000001E-3"/>
    <m/>
    <n v="6.069591"/>
    <n v="7.3860000000000001"/>
    <n v="-1.2110000000000001E-3"/>
    <m/>
  </r>
  <r>
    <n v="5"/>
    <s v="Hosur"/>
    <x v="0"/>
    <s v="Balaji Press Product"/>
    <x v="0"/>
    <n v="1940045"/>
    <s v="189287-1940045"/>
    <s v="TUB-O-O-AUT-AW-PE-15.88X1.200X1.1300"/>
    <x v="0"/>
    <m/>
    <x v="0"/>
    <s v="HR"/>
    <m/>
    <m/>
    <m/>
    <m/>
    <x v="2"/>
    <s v="15.88-0-1.2-ERW 1-PE-1.13"/>
    <n v="1"/>
    <s v="Hosur"/>
    <n v="0.170849"/>
    <n v="0"/>
    <m/>
    <x v="1"/>
    <x v="1"/>
    <x v="0"/>
    <x v="2"/>
    <n v="1130"/>
    <s v="NOS"/>
    <s v="Hosur Plant"/>
    <m/>
    <m/>
    <m/>
    <n v="0"/>
    <n v="0"/>
    <n v="0"/>
    <n v="0"/>
    <n v="0"/>
    <e v="#DIV/0!"/>
    <n v="8.9840000000000007E-3"/>
    <m/>
    <n v="6.069591"/>
    <n v="7.3860000000000001"/>
    <n v="-8.9840000000000007E-3"/>
    <m/>
  </r>
  <r>
    <n v="6"/>
    <s v="Hosur"/>
    <x v="0"/>
    <s v="Balaji Press Product"/>
    <x v="0"/>
    <n v="1940046"/>
    <s v="189287-1940046"/>
    <s v="TUB-O-O-AUT-AW-PE-15.88X1.200X1.3100"/>
    <x v="0"/>
    <m/>
    <x v="0"/>
    <s v="HR"/>
    <m/>
    <m/>
    <m/>
    <m/>
    <x v="2"/>
    <s v="15.88-0-1.2-ERW 1-PE-1.31"/>
    <n v="1"/>
    <s v="Hosur"/>
    <n v="0.170849"/>
    <n v="0"/>
    <m/>
    <x v="1"/>
    <x v="1"/>
    <x v="0"/>
    <x v="2"/>
    <n v="1310"/>
    <s v="NOS"/>
    <s v="Hosur Plant"/>
    <n v="2000"/>
    <n v="3000"/>
    <m/>
    <n v="3000"/>
    <n v="0"/>
    <n v="1.7064719611200001"/>
    <n v="1.7064719611200001"/>
    <n v="0"/>
    <n v="351.44790753337566"/>
    <n v="0.19991200000000001"/>
    <m/>
    <n v="6.069591"/>
    <n v="7.3860000000000001"/>
    <n v="1.50655996112"/>
    <m/>
  </r>
  <r>
    <n v="7"/>
    <s v="Hosur"/>
    <x v="0"/>
    <s v="Balaji Press Product"/>
    <x v="0"/>
    <n v="3635694"/>
    <s v="189287-3635694"/>
    <s v="TUB-O-N-AUT-AW-PE-19.05X1.000X1.2000"/>
    <x v="0"/>
    <m/>
    <x v="0"/>
    <s v="CR"/>
    <m/>
    <m/>
    <m/>
    <m/>
    <x v="3"/>
    <s v="19.05-0-1-ERW 1-PE-1.2"/>
    <n v="2"/>
    <s v="Hosur"/>
    <n v="0"/>
    <n v="0"/>
    <m/>
    <x v="2"/>
    <x v="2"/>
    <x v="0"/>
    <x v="1"/>
    <n v="1200"/>
    <s v="NOS"/>
    <s v="Hosur Plant"/>
    <m/>
    <n v="16000"/>
    <m/>
    <n v="0"/>
    <n v="16000"/>
    <n v="8.5423574400000017"/>
    <n v="0"/>
    <n v="8.5423574400000017"/>
    <n v="4000.0480242137933"/>
    <n v="2.135615"/>
    <m/>
    <n v="0"/>
    <n v="18.324000000000002"/>
    <n v="6.4067424400000021"/>
    <m/>
  </r>
  <r>
    <n v="8"/>
    <s v="Hosur"/>
    <x v="0"/>
    <s v="Balaji Press Product"/>
    <x v="0"/>
    <n v="3409366"/>
    <s v="189287-3409366"/>
    <s v="TUB-O-N-AUT-AW-PE-19.05X1.200X0.1090"/>
    <x v="0"/>
    <m/>
    <x v="0"/>
    <s v="CR"/>
    <m/>
    <m/>
    <m/>
    <m/>
    <x v="4"/>
    <s v="19.05-0-1.2-ERW 1-PE-0.109"/>
    <n v="1"/>
    <s v="Hosur"/>
    <n v="0"/>
    <n v="0"/>
    <m/>
    <x v="2"/>
    <x v="2"/>
    <x v="0"/>
    <x v="2"/>
    <n v="109"/>
    <s v="NOS"/>
    <s v="Hosur Plant"/>
    <m/>
    <n v="10000"/>
    <m/>
    <n v="0"/>
    <n v="10000"/>
    <n v="0.57549992220000001"/>
    <n v="0"/>
    <n v="0.57549992220000001"/>
    <n v="275.41272185423071"/>
    <n v="1.585E-2"/>
    <m/>
    <n v="0"/>
    <n v="20.588000000000001"/>
    <n v="0.55964992219999998"/>
    <m/>
  </r>
  <r>
    <m/>
    <s v="Hosur"/>
    <x v="0"/>
    <s v="Balaji Press Product"/>
    <x v="0"/>
    <m/>
    <s v="189287-"/>
    <m/>
    <x v="0"/>
    <m/>
    <x v="1"/>
    <m/>
    <m/>
    <m/>
    <m/>
    <m/>
    <x v="1"/>
    <m/>
    <m/>
    <m/>
    <m/>
    <m/>
    <m/>
    <x v="2"/>
    <x v="2"/>
    <x v="0"/>
    <x v="2"/>
    <n v="175"/>
    <s v="NOS"/>
    <m/>
    <m/>
    <n v="3000"/>
    <m/>
    <n v="0"/>
    <n v="3000"/>
    <n v="0.2771903295"/>
    <n v="0"/>
    <n v="0.2771903295"/>
    <n v="0"/>
    <n v="0"/>
    <m/>
    <n v="0"/>
    <n v="0"/>
    <n v="0.2771903295"/>
    <m/>
  </r>
  <r>
    <n v="9"/>
    <s v="Hosur"/>
    <x v="0"/>
    <s v="Balaji Press Product"/>
    <x v="0"/>
    <n v="3239890"/>
    <s v="189287-3239890"/>
    <s v="TUB-O-N-AUT-AW-PE-19.05X1.200X0.3300"/>
    <x v="0"/>
    <m/>
    <x v="0"/>
    <s v="CR"/>
    <m/>
    <m/>
    <m/>
    <m/>
    <x v="4"/>
    <s v="19.05-0-1.2-ERW 1-PE-0.33"/>
    <n v="3"/>
    <s v="Hosur"/>
    <n v="0"/>
    <n v="0"/>
    <m/>
    <x v="2"/>
    <x v="2"/>
    <x v="0"/>
    <x v="2"/>
    <n v="330"/>
    <s v="NOS"/>
    <s v="Hosur Plant"/>
    <m/>
    <n v="16000"/>
    <m/>
    <n v="0"/>
    <n v="16000"/>
    <n v="2.7877427424000003"/>
    <n v="0"/>
    <n v="2.7877427424000003"/>
    <n v="3428.0580681460801"/>
    <n v="0.59728400000000004"/>
    <m/>
    <n v="0"/>
    <n v="20.588000000000001"/>
    <n v="2.1904587424000002"/>
    <m/>
  </r>
  <r>
    <n v="10"/>
    <s v="Hosur"/>
    <x v="0"/>
    <s v="Balaji Press Product"/>
    <x v="0"/>
    <n v="3929662"/>
    <s v="189287-3929662"/>
    <s v="CUT-O-N-AUT-AW-PE-19.05X1.200X0.4030"/>
    <x v="0"/>
    <m/>
    <x v="0"/>
    <s v="CR"/>
    <m/>
    <m/>
    <m/>
    <m/>
    <x v="4"/>
    <s v="19.05-0-1.2-ERW 1-PE-0.403"/>
    <n v="1"/>
    <s v="Hosur"/>
    <m/>
    <m/>
    <m/>
    <x v="2"/>
    <x v="2"/>
    <x v="0"/>
    <x v="2"/>
    <n v="403"/>
    <s v="NOS"/>
    <m/>
    <m/>
    <m/>
    <m/>
    <n v="0"/>
    <n v="0"/>
    <n v="0"/>
    <n v="0"/>
    <n v="0"/>
    <e v="#DIV/0!"/>
    <n v="0"/>
    <m/>
    <n v="0"/>
    <n v="20.588000000000001"/>
    <n v="0"/>
    <m/>
  </r>
  <r>
    <n v="11"/>
    <s v="Hosur"/>
    <x v="0"/>
    <s v="Balaji Press Product"/>
    <x v="0"/>
    <n v="2409616"/>
    <s v="189287-2409616"/>
    <s v="TUB-O-N-AUT-AW-PE-19.05X1.200X0.5130"/>
    <x v="0"/>
    <m/>
    <x v="0"/>
    <s v="CR"/>
    <m/>
    <m/>
    <m/>
    <m/>
    <x v="4"/>
    <s v="19.05-0-1.2-ERW 1-PE-0.513"/>
    <n v="1"/>
    <s v="Hosur"/>
    <n v="0"/>
    <n v="0"/>
    <m/>
    <x v="2"/>
    <x v="2"/>
    <x v="0"/>
    <x v="2"/>
    <n v="513"/>
    <s v="NOS"/>
    <s v="Hosur Plant"/>
    <m/>
    <n v="12000"/>
    <m/>
    <n v="0"/>
    <n v="12000"/>
    <n v="3.2502546064800004"/>
    <n v="0"/>
    <n v="3.2502546064800004"/>
    <n v="39.755654754671625"/>
    <n v="1.0767999999999998E-2"/>
    <m/>
    <n v="0"/>
    <n v="20.588000000000001"/>
    <n v="3.2394866064800003"/>
    <m/>
  </r>
  <r>
    <m/>
    <s v="Hosur"/>
    <x v="0"/>
    <s v="Balaji Press Product"/>
    <x v="0"/>
    <m/>
    <s v="189287-"/>
    <m/>
    <x v="0"/>
    <m/>
    <x v="1"/>
    <m/>
    <m/>
    <m/>
    <m/>
    <m/>
    <x v="1"/>
    <m/>
    <m/>
    <m/>
    <m/>
    <m/>
    <m/>
    <x v="2"/>
    <x v="2"/>
    <x v="0"/>
    <x v="2"/>
    <n v="665"/>
    <s v="NOS"/>
    <m/>
    <m/>
    <n v="5000"/>
    <m/>
    <n v="0"/>
    <n v="5000"/>
    <n v="1.7555387535000002"/>
    <n v="0"/>
    <n v="1.7555387535000002"/>
    <n v="0"/>
    <n v="0"/>
    <m/>
    <n v="0"/>
    <n v="0"/>
    <n v="1.7555387535000002"/>
    <m/>
  </r>
  <r>
    <n v="12"/>
    <s v="Hosur"/>
    <x v="0"/>
    <s v="Balaji Press Product"/>
    <x v="0"/>
    <n v="3229740"/>
    <s v="189287-3229740"/>
    <s v="TUB-O-N-AUT-AW-PE-19.05X1.200X1.0750"/>
    <x v="0"/>
    <m/>
    <x v="0"/>
    <s v="CR"/>
    <m/>
    <m/>
    <m/>
    <m/>
    <x v="4"/>
    <s v="19.05-0-1.2-ERW 1-PE-1.075"/>
    <n v="1"/>
    <s v="Hosur"/>
    <n v="0"/>
    <n v="0"/>
    <m/>
    <x v="2"/>
    <x v="2"/>
    <x v="0"/>
    <x v="2"/>
    <n v="1075"/>
    <s v="NOS"/>
    <s v="Hosur Plant"/>
    <m/>
    <n v="10000"/>
    <m/>
    <n v="3900"/>
    <n v="6100"/>
    <n v="5.6758019850000005"/>
    <n v="2.2135627741500001"/>
    <n v="3.4622392108500004"/>
    <n v="216.37647036412594"/>
    <n v="0.12281099999999999"/>
    <m/>
    <n v="0"/>
    <n v="20.588000000000001"/>
    <n v="5.552990985000001"/>
    <m/>
  </r>
  <r>
    <n v="13"/>
    <s v="Hosur"/>
    <x v="0"/>
    <s v="ara"/>
    <x v="0"/>
    <n v="3229739"/>
    <s v="189287-3229739"/>
    <s v="TUB-O-N-AUT-AW-PE-19.05X1.200X1.1300"/>
    <x v="0"/>
    <m/>
    <x v="0"/>
    <s v="CR"/>
    <m/>
    <m/>
    <m/>
    <m/>
    <x v="4"/>
    <s v="19.05-0-1.2-ERW 1-PE-1.13"/>
    <n v="1"/>
    <s v="Hosur"/>
    <m/>
    <m/>
    <m/>
    <x v="2"/>
    <x v="2"/>
    <x v="0"/>
    <x v="2"/>
    <n v="1130"/>
    <s v="NOS"/>
    <m/>
    <m/>
    <n v="3000"/>
    <m/>
    <n v="0"/>
    <n v="3000"/>
    <n v="1.7898575561999999"/>
    <n v="0"/>
    <n v="1.7898575561999999"/>
    <n v="2279.7992979191245"/>
    <n v="1.3601719999999999"/>
    <m/>
    <n v="0"/>
    <n v="20.588000000000001"/>
    <n v="0.42968555619999993"/>
    <m/>
  </r>
  <r>
    <m/>
    <s v="Hosur"/>
    <x v="0"/>
    <s v="Balaji Press Product"/>
    <x v="0"/>
    <m/>
    <s v="189287-"/>
    <m/>
    <x v="0"/>
    <m/>
    <x v="0"/>
    <m/>
    <m/>
    <m/>
    <m/>
    <m/>
    <x v="4"/>
    <s v="19.05-0-1.2-ERW 1-PE-1.145"/>
    <m/>
    <m/>
    <n v="0"/>
    <n v="0"/>
    <m/>
    <x v="2"/>
    <x v="2"/>
    <x v="0"/>
    <x v="2"/>
    <n v="1145"/>
    <s v="NOS"/>
    <s v="Hosur Plant"/>
    <m/>
    <n v="8000"/>
    <m/>
    <n v="0"/>
    <n v="8000"/>
    <n v="4.8363112728000006"/>
    <n v="0"/>
    <n v="4.8363112728000006"/>
    <n v="0"/>
    <n v="0"/>
    <m/>
    <n v="0"/>
    <n v="20.588000000000001"/>
    <n v="4.8363112728000006"/>
    <m/>
  </r>
  <r>
    <n v="14"/>
    <s v="Hosur"/>
    <x v="0"/>
    <s v="Balaji Press Product"/>
    <x v="0"/>
    <n v="3409367"/>
    <s v="189287-3409367"/>
    <s v="TUB-O-N-AUT-AW-PE-19.05X1.200X1.2750"/>
    <x v="0"/>
    <m/>
    <x v="0"/>
    <s v="CR"/>
    <m/>
    <m/>
    <m/>
    <m/>
    <x v="4"/>
    <s v="19.05-0-1.2-ERW 1-PE-1.275"/>
    <n v="1"/>
    <s v="Hosur"/>
    <n v="0"/>
    <n v="0"/>
    <m/>
    <x v="2"/>
    <x v="2"/>
    <x v="0"/>
    <x v="2"/>
    <n v="1275"/>
    <s v="NOS"/>
    <s v="Hosur Plant"/>
    <m/>
    <n v="8000"/>
    <m/>
    <n v="3400"/>
    <n v="4600"/>
    <n v="5.3854121160000004"/>
    <n v="2.2888001493000001"/>
    <n v="3.0966119667000003"/>
    <n v="279.67404676890288"/>
    <n v="0.18827000000000002"/>
    <m/>
    <n v="0"/>
    <n v="20.588000000000001"/>
    <n v="5.1971421160000002"/>
    <m/>
  </r>
  <r>
    <m/>
    <s v="Hosur"/>
    <x v="0"/>
    <s v="Balaji Press Product"/>
    <x v="0"/>
    <m/>
    <s v="189287-"/>
    <m/>
    <x v="0"/>
    <m/>
    <x v="1"/>
    <m/>
    <m/>
    <m/>
    <m/>
    <m/>
    <x v="1"/>
    <m/>
    <m/>
    <m/>
    <m/>
    <m/>
    <m/>
    <x v="2"/>
    <x v="2"/>
    <x v="0"/>
    <x v="2"/>
    <n v="1365"/>
    <s v="NOS"/>
    <m/>
    <m/>
    <n v="3000"/>
    <m/>
    <n v="0"/>
    <n v="3000"/>
    <n v="2.1620845701000002"/>
    <n v="0"/>
    <n v="2.1620845701000002"/>
    <n v="0"/>
    <n v="0"/>
    <m/>
    <n v="0"/>
    <n v="0"/>
    <n v="2.1620845701000002"/>
    <m/>
  </r>
  <r>
    <n v="15"/>
    <s v="Hosur"/>
    <x v="0"/>
    <s v="Balaji Press Product"/>
    <x v="0"/>
    <n v="2409618"/>
    <s v="189287-2409618"/>
    <s v="TUB-O-N-AUT-AW-PE-25.40X1.600X2.5900"/>
    <x v="0"/>
    <m/>
    <x v="0"/>
    <s v="CR"/>
    <s v="HROP"/>
    <m/>
    <m/>
    <m/>
    <x v="5"/>
    <s v="25.4-0-1.6-ERW 1-PE-2.59"/>
    <n v="1"/>
    <s v="Hosur"/>
    <n v="0"/>
    <n v="1.628933"/>
    <m/>
    <x v="3"/>
    <x v="3"/>
    <x v="0"/>
    <x v="0"/>
    <n v="2590"/>
    <s v="NOS"/>
    <s v="Hosur Plant"/>
    <n v="1000"/>
    <n v="8000"/>
    <m/>
    <n v="4264"/>
    <n v="3736"/>
    <n v="19.448494822400001"/>
    <n v="10.3660477403392"/>
    <n v="9.082447082060801"/>
    <n v="1722.1997026434519"/>
    <n v="4.1867739999999998"/>
    <m/>
    <n v="0"/>
    <n v="3.6459999999999999"/>
    <n v="15.261720822400001"/>
    <m/>
  </r>
  <r>
    <n v="16"/>
    <s v="Hosur"/>
    <x v="0"/>
    <s v="Balaji Press Product"/>
    <x v="0"/>
    <n v="2430128"/>
    <s v="189287-2430128"/>
    <s v="TUB-R-AW-AUT-50.00X30.00X1.600X1.1000"/>
    <x v="0"/>
    <m/>
    <x v="2"/>
    <s v="HR"/>
    <s v="HROP"/>
    <m/>
    <m/>
    <m/>
    <x v="6"/>
    <s v="50-30-1.6-ERW 1-FC-1.1"/>
    <n v="1"/>
    <s v="Hosur"/>
    <n v="0"/>
    <n v="0"/>
    <m/>
    <x v="4"/>
    <x v="4"/>
    <x v="1"/>
    <x v="0"/>
    <n v="1100"/>
    <s v="NOS"/>
    <s v="Hosur Plant"/>
    <m/>
    <n v="5000"/>
    <m/>
    <n v="999"/>
    <n v="4001"/>
    <n v="10.67203104"/>
    <n v="2.1322718017920002"/>
    <n v="8.5397592382079992"/>
    <n v="3.124990910821039"/>
    <n v="6.6700000000000006E-3"/>
    <m/>
    <n v="0"/>
    <n v="24.911000000000001"/>
    <n v="10.665361040000001"/>
    <m/>
  </r>
  <r>
    <n v="26"/>
    <s v="Khopoli "/>
    <x v="1"/>
    <s v="ELKAYEM AUTO Hosur"/>
    <x v="1"/>
    <n v="2410389"/>
    <s v="129663|948721-2410389"/>
    <s v="TUB-O-C-AUT-AN-FC-14.00X1.600X04-05"/>
    <x v="1"/>
    <m/>
    <x v="3"/>
    <s v="CR"/>
    <s v="KGR2"/>
    <m/>
    <m/>
    <m/>
    <x v="7"/>
    <s v="14-0-1.6-CEW-CEW-1"/>
    <s v="#REF!"/>
    <s v="Khopoli"/>
    <m/>
    <m/>
    <m/>
    <x v="5"/>
    <x v="5"/>
    <x v="0"/>
    <x v="0"/>
    <n v="1000"/>
    <s v="M"/>
    <m/>
    <m/>
    <m/>
    <m/>
    <n v="0"/>
    <n v="0"/>
    <n v="0"/>
    <n v="0"/>
    <n v="0"/>
    <e v="#DIV/0!"/>
    <n v="0"/>
    <m/>
    <n v="0"/>
    <n v="0"/>
    <n v="0"/>
    <m/>
  </r>
  <r>
    <n v="31"/>
    <s v="Khopoli "/>
    <x v="1"/>
    <s v="ELKAYEM AUTO Hosur"/>
    <x v="1"/>
    <n v="3188792"/>
    <s v="129663|948721-3188792"/>
    <s v="TUB-O-C-AUT-AD-FC-16.00X2.800X04-06"/>
    <x v="1"/>
    <m/>
    <x v="3"/>
    <s v="HR"/>
    <m/>
    <m/>
    <m/>
    <m/>
    <x v="8"/>
    <s v="16.1-0-2.8-CEW-CEW-1"/>
    <n v="1"/>
    <s v="Khopoli"/>
    <m/>
    <m/>
    <m/>
    <x v="6"/>
    <x v="6"/>
    <x v="0"/>
    <x v="3"/>
    <n v="1000"/>
    <s v="M"/>
    <m/>
    <m/>
    <m/>
    <m/>
    <n v="0"/>
    <n v="0"/>
    <n v="0"/>
    <n v="0"/>
    <n v="0"/>
    <e v="#DIV/0!"/>
    <n v="0"/>
    <m/>
    <n v="1.8974299999999999"/>
    <n v="0"/>
    <n v="0"/>
    <m/>
  </r>
  <r>
    <n v="32"/>
    <s v="Hosur"/>
    <x v="1"/>
    <s v="ELKAYEM AUTO Hosur"/>
    <x v="1"/>
    <n v="2410995"/>
    <s v="129663|948721-2410995"/>
    <s v="TUB-O-C-AUT-AD-FC-16.10X2.950X04-05"/>
    <x v="1"/>
    <m/>
    <x v="3"/>
    <s v="HR"/>
    <m/>
    <m/>
    <m/>
    <m/>
    <x v="9"/>
    <s v="16.1-10.7-2.95-CEW-CEW-1"/>
    <n v="1"/>
    <s v="Khopoli"/>
    <m/>
    <m/>
    <m/>
    <x v="6"/>
    <x v="6"/>
    <x v="2"/>
    <x v="4"/>
    <n v="1000"/>
    <s v="M"/>
    <m/>
    <m/>
    <m/>
    <m/>
    <n v="0"/>
    <n v="0"/>
    <n v="0"/>
    <n v="0"/>
    <n v="0"/>
    <e v="#DIV/0!"/>
    <n v="0"/>
    <m/>
    <n v="0"/>
    <n v="0"/>
    <n v="0"/>
    <m/>
  </r>
  <r>
    <n v="86"/>
    <s v="Khopoli "/>
    <x v="1"/>
    <s v="ELKAYEM AUTO Hosur"/>
    <x v="1"/>
    <n v="1931823"/>
    <s v="129663|948721-1931823"/>
    <s v="TUB-O-N-AUT-AW-PE-17.30X1.600X6.0000"/>
    <x v="1"/>
    <m/>
    <x v="1"/>
    <s v="HR"/>
    <m/>
    <m/>
    <m/>
    <m/>
    <x v="10"/>
    <s v="17.3-0-1.6-CEW--6"/>
    <s v="#REF!"/>
    <m/>
    <m/>
    <m/>
    <m/>
    <x v="7"/>
    <x v="7"/>
    <x v="0"/>
    <x v="0"/>
    <n v="6000"/>
    <s v="NOS"/>
    <m/>
    <m/>
    <m/>
    <m/>
    <n v="0"/>
    <n v="0"/>
    <n v="0"/>
    <n v="0"/>
    <n v="0"/>
    <e v="#DIV/0!"/>
    <n v="0"/>
    <m/>
    <n v="0"/>
    <n v="0"/>
    <n v="0"/>
    <m/>
  </r>
  <r>
    <n v="59"/>
    <s v="Khopoli "/>
    <x v="1"/>
    <s v="ELKAYEM AUTO Hosur"/>
    <x v="1"/>
    <n v="3617058"/>
    <s v="129663|948721-3617058"/>
    <s v="TUB-O-C-AUT-AD-FC-28.60X2.650X0.2090"/>
    <x v="1"/>
    <m/>
    <x v="3"/>
    <s v="HR"/>
    <m/>
    <m/>
    <m/>
    <m/>
    <x v="11"/>
    <s v="28.6-0-2.65-CEW-CEW-0.209"/>
    <n v="1"/>
    <s v="Khopoli"/>
    <n v="0.95068200000000003"/>
    <n v="1.7283989999999998"/>
    <m/>
    <x v="8"/>
    <x v="8"/>
    <x v="0"/>
    <x v="5"/>
    <n v="209"/>
    <s v="NOS"/>
    <m/>
    <m/>
    <n v="20000"/>
    <m/>
    <n v="9188"/>
    <n v="10812"/>
    <n v="7.0853094493500013"/>
    <n v="3.2549911610313909"/>
    <n v="3.8303182883186104"/>
    <n v="0"/>
    <n v="0"/>
    <m/>
    <n v="0.95068200000000003"/>
    <n v="0"/>
    <n v="7.0853094493500013"/>
    <m/>
  </r>
  <r>
    <n v="60"/>
    <s v="Khopoli "/>
    <x v="1"/>
    <s v="ELKAYEM AUTO Hosur"/>
    <x v="1"/>
    <n v="2410388"/>
    <s v="129663|948721-2410388"/>
    <s v="TUB-O-C-AUT-AD-FC-28.60X2.650X04-05"/>
    <x v="1"/>
    <m/>
    <x v="3"/>
    <s v="HR"/>
    <m/>
    <m/>
    <m/>
    <m/>
    <x v="11"/>
    <s v="28.6-0-2.65-CEW-CEW-1"/>
    <n v="3"/>
    <s v="Khopoli"/>
    <n v="0.95068200000000003"/>
    <n v="1.7283989999999998"/>
    <m/>
    <x v="8"/>
    <x v="8"/>
    <x v="0"/>
    <x v="5"/>
    <n v="1000"/>
    <s v="M"/>
    <m/>
    <m/>
    <n v="9000"/>
    <m/>
    <n v="9031.9979999999996"/>
    <n v="-31.997999999999593"/>
    <n v="15.255450967500002"/>
    <n v="15.309689180839786"/>
    <n v="-5.4238213339784735E-2"/>
    <n v="0"/>
    <n v="0"/>
    <m/>
    <n v="0.95068200000000003"/>
    <n v="0"/>
    <n v="15.255450967500002"/>
    <m/>
  </r>
  <r>
    <n v="63"/>
    <s v="Khopoli "/>
    <x v="1"/>
    <s v="ELKAYEM AUTO Hosur"/>
    <x v="1"/>
    <n v="2426240"/>
    <s v="129663|948721-2426240"/>
    <s v="TUB-O-C-AUT-AD-FC-29.28X3.400X3.5000"/>
    <x v="1"/>
    <m/>
    <x v="3"/>
    <s v="HR"/>
    <m/>
    <m/>
    <m/>
    <m/>
    <x v="12"/>
    <s v="29.28-0-3.4-CEW-CEW-1"/>
    <n v="1"/>
    <m/>
    <n v="2.3382239999999999"/>
    <m/>
    <m/>
    <x v="9"/>
    <x v="9"/>
    <x v="0"/>
    <x v="6"/>
    <n v="1000"/>
    <s v="M"/>
    <m/>
    <m/>
    <m/>
    <m/>
    <n v="0"/>
    <n v="0"/>
    <n v="0"/>
    <n v="0"/>
    <n v="0"/>
    <e v="#DIV/0!"/>
    <n v="0"/>
    <m/>
    <n v="2.3382239999999999"/>
    <n v="0"/>
    <n v="0"/>
    <m/>
  </r>
  <r>
    <n v="64"/>
    <s v="Khopoli "/>
    <x v="1"/>
    <s v="ELKAYEM AUTO Hosur"/>
    <x v="1"/>
    <n v="2410960"/>
    <s v="129663|948721-2410960"/>
    <s v="TUB-O-C-AUT-AD-FC-31.75X3.375X04-05"/>
    <x v="1"/>
    <m/>
    <x v="3"/>
    <s v="HR"/>
    <m/>
    <m/>
    <m/>
    <m/>
    <x v="13"/>
    <s v="31.75-25-3.37-CEW-CEW-1"/>
    <n v="2"/>
    <s v="Khopoli"/>
    <n v="5.3088999999999997E-2"/>
    <n v="0"/>
    <m/>
    <x v="10"/>
    <x v="10"/>
    <x v="3"/>
    <x v="7"/>
    <n v="1000"/>
    <s v="M"/>
    <m/>
    <m/>
    <n v="2500"/>
    <m/>
    <n v="3621.1949999999997"/>
    <n v="-1121.1949999999997"/>
    <n v="5.8936128735000004"/>
    <n v="8.5367685877815322"/>
    <n v="-2.6431557142815318"/>
    <n v="0"/>
    <n v="0"/>
    <m/>
    <n v="5.3088999999999997E-2"/>
    <n v="0"/>
    <n v="5.8936128735000004"/>
    <m/>
  </r>
  <r>
    <n v="17"/>
    <s v="Hosur"/>
    <x v="1"/>
    <s v="ELKAYEM AUTO Hosur"/>
    <x v="1"/>
    <n v="1939966"/>
    <s v="129663|948721-1939966"/>
    <s v="TUB-O-O-AUT-AW-PE-12.70X1.200X0.4080"/>
    <x v="0"/>
    <m/>
    <x v="0"/>
    <s v="CR"/>
    <m/>
    <m/>
    <m/>
    <m/>
    <x v="14"/>
    <s v="12.7-0-1.2-ERW 1-PE-0.408"/>
    <n v="1"/>
    <s v="Hosur"/>
    <n v="0"/>
    <n v="0"/>
    <m/>
    <x v="0"/>
    <x v="0"/>
    <x v="0"/>
    <x v="2"/>
    <n v="408"/>
    <s v="NOS"/>
    <m/>
    <m/>
    <n v="27000"/>
    <m/>
    <n v="21400"/>
    <n v="5600"/>
    <n v="3.7471606992000006"/>
    <n v="2.9699718134400004"/>
    <n v="0.77718888576000023"/>
    <n v="198.57515055568874"/>
    <n v="2.7559E-2"/>
    <m/>
    <n v="20.176452999999999"/>
    <n v="0"/>
    <n v="3.7196016992000005"/>
    <m/>
  </r>
  <r>
    <n v="19"/>
    <s v="Hosur"/>
    <x v="1"/>
    <s v="ELKAYEM AUTO Hosur"/>
    <x v="1"/>
    <n v="1939974"/>
    <s v="129663|948721-1939974"/>
    <s v="TUB-O-O-AUT-AW-PE-12.70X1.200X0.7720"/>
    <x v="0"/>
    <m/>
    <x v="0"/>
    <s v="CR"/>
    <m/>
    <m/>
    <m/>
    <m/>
    <x v="14"/>
    <s v="12.7-0-1.2-ERW 1-PE-0.772"/>
    <n v="1"/>
    <s v="Hosur"/>
    <n v="0"/>
    <n v="0"/>
    <m/>
    <x v="0"/>
    <x v="0"/>
    <x v="0"/>
    <x v="2"/>
    <n v="772"/>
    <s v="NOS"/>
    <m/>
    <m/>
    <n v="1000"/>
    <m/>
    <n v="0"/>
    <n v="1000"/>
    <n v="0.2626005864"/>
    <n v="0"/>
    <n v="0.2626005864"/>
    <n v="379.70593046626948"/>
    <n v="9.9710999999999994E-2"/>
    <m/>
    <n v="20.176452999999999"/>
    <n v="0"/>
    <n v="0.16288958640000001"/>
    <m/>
  </r>
  <r>
    <n v="18"/>
    <s v="Hosur"/>
    <x v="1"/>
    <s v="ELKAYEM AUTO Hosur"/>
    <x v="1"/>
    <m/>
    <s v="129663|948721-"/>
    <m/>
    <x v="0"/>
    <m/>
    <x v="0"/>
    <s v="CR"/>
    <m/>
    <m/>
    <m/>
    <m/>
    <x v="14"/>
    <s v="12.7-0-1.2-ERW 1-PE-1"/>
    <s v="#REF!"/>
    <m/>
    <m/>
    <m/>
    <m/>
    <x v="0"/>
    <x v="0"/>
    <x v="0"/>
    <x v="2"/>
    <n v="1000"/>
    <s v="NOS"/>
    <m/>
    <m/>
    <m/>
    <m/>
    <n v="0"/>
    <n v="0"/>
    <n v="0"/>
    <n v="0"/>
    <n v="0"/>
    <e v="#DIV/0!"/>
    <n v="20.176452999999999"/>
    <m/>
    <n v="20.176452999999999"/>
    <n v="0"/>
    <n v="-20.176452999999999"/>
    <m/>
  </r>
  <r>
    <n v="20"/>
    <s v="Hosur"/>
    <x v="1"/>
    <s v="ELKAYEM AUTO Hosur"/>
    <x v="1"/>
    <s v="NO MATERIAL CODE"/>
    <s v="129663|948721-NO MATERIAL CODE"/>
    <m/>
    <x v="0"/>
    <m/>
    <x v="0"/>
    <s v="HR"/>
    <m/>
    <m/>
    <m/>
    <m/>
    <x v="0"/>
    <s v="12.7-0-1.6-ERW 1-PE-0.252"/>
    <n v="1"/>
    <s v="Hosur"/>
    <n v="0"/>
    <n v="0"/>
    <m/>
    <x v="0"/>
    <x v="0"/>
    <x v="0"/>
    <x v="0"/>
    <n v="252"/>
    <s v="NOS"/>
    <m/>
    <m/>
    <n v="5000"/>
    <m/>
    <n v="0"/>
    <n v="5000"/>
    <n v="0.55158546239999995"/>
    <n v="0"/>
    <n v="0.55158546239999995"/>
    <n v="651.00519226447261"/>
    <n v="7.1816999999999992E-2"/>
    <m/>
    <n v="6.5656999999999993E-2"/>
    <n v="8.9860000000000007"/>
    <n v="0.47976846239999993"/>
    <m/>
  </r>
  <r>
    <n v="21"/>
    <s v="Hosur"/>
    <x v="1"/>
    <s v="ELKAYEM AUTO Hosur"/>
    <x v="1"/>
    <m/>
    <s v="129663|948721-"/>
    <m/>
    <x v="0"/>
    <m/>
    <x v="0"/>
    <s v="CR"/>
    <m/>
    <m/>
    <m/>
    <m/>
    <x v="0"/>
    <s v="12.7-0-1.6-ERW 1-PE-0.32"/>
    <n v="2"/>
    <s v="Hosur"/>
    <n v="0"/>
    <n v="0"/>
    <m/>
    <x v="0"/>
    <x v="0"/>
    <x v="0"/>
    <x v="0"/>
    <n v="320"/>
    <s v="NOS"/>
    <m/>
    <m/>
    <n v="5000"/>
    <m/>
    <n v="0"/>
    <n v="5000"/>
    <n v="0.70042598399999989"/>
    <n v="0"/>
    <n v="0.70042598399999989"/>
    <n v="139.00826386246689"/>
    <n v="1.9473000000000001E-2"/>
    <m/>
    <n v="6.5656999999999993E-2"/>
    <n v="8.9860000000000007"/>
    <n v="0.68095298399999993"/>
    <m/>
  </r>
  <r>
    <m/>
    <s v="Hosur"/>
    <x v="1"/>
    <s v="ELKAYEM AUTO Hosur"/>
    <x v="1"/>
    <n v="4151968"/>
    <s v="129663|948721-4151968"/>
    <s v="TUB-O-N-AUT-AW-PE-12.70X1.600X0.9070"/>
    <x v="0"/>
    <m/>
    <x v="0"/>
    <s v="CR"/>
    <m/>
    <m/>
    <m/>
    <m/>
    <x v="0"/>
    <s v="12.7-0-1.6-ERW 1-PE-0.907"/>
    <n v="1"/>
    <s v="Hosur"/>
    <n v="0"/>
    <n v="0"/>
    <m/>
    <x v="0"/>
    <x v="0"/>
    <x v="0"/>
    <x v="0"/>
    <n v="907"/>
    <s v="NOS"/>
    <m/>
    <m/>
    <n v="7500"/>
    <m/>
    <n v="0"/>
    <n v="7500"/>
    <n v="2.9779048476000001"/>
    <n v="0"/>
    <n v="2.9779048476000001"/>
    <n v="0"/>
    <n v="0"/>
    <m/>
    <n v="6.5656999999999993E-2"/>
    <n v="8.9860000000000007"/>
    <n v="2.9779048476000001"/>
    <m/>
  </r>
  <r>
    <n v="22"/>
    <s v="Hosur"/>
    <x v="1"/>
    <s v="ELKAYEM AUTO Hosur"/>
    <x v="1"/>
    <n v="3172238"/>
    <s v="129663|948721-3172238"/>
    <s v="TUB-O-N-AUT-AW-PE-12.70X1.600X0.9500"/>
    <x v="0"/>
    <m/>
    <x v="0"/>
    <s v="CR"/>
    <s v="HROP"/>
    <m/>
    <m/>
    <m/>
    <x v="0"/>
    <s v="12.7-0-1.6-ERW 1-PE-0.95"/>
    <n v="2"/>
    <s v="Hosur"/>
    <n v="0"/>
    <n v="0"/>
    <m/>
    <x v="0"/>
    <x v="0"/>
    <x v="0"/>
    <x v="0"/>
    <n v="950"/>
    <s v="NOS"/>
    <m/>
    <m/>
    <n v="7500"/>
    <m/>
    <n v="7600"/>
    <n v="-100"/>
    <n v="3.1190844599999998"/>
    <n v="3.1606722528"/>
    <n v="-4.1587792800000134E-2"/>
    <n v="33.161173198881571"/>
    <n v="1.3790999999999999E-2"/>
    <m/>
    <n v="6.5656999999999993E-2"/>
    <n v="8.9860000000000007"/>
    <n v="3.1052934599999999"/>
    <m/>
  </r>
  <r>
    <n v="25"/>
    <s v="Hosur"/>
    <x v="1"/>
    <s v="ELKAYEM AUTO Hosur"/>
    <x v="1"/>
    <n v="1940014"/>
    <s v="129663|948721-1940014"/>
    <s v="TUB-O-O-GEN-AW-PE-12.70X1.600X6.0000"/>
    <x v="0"/>
    <m/>
    <x v="0"/>
    <s v="HR"/>
    <m/>
    <m/>
    <m/>
    <m/>
    <x v="0"/>
    <s v="12.7-0-1.6-ERW 1-PE-6"/>
    <s v="#REF!"/>
    <m/>
    <m/>
    <m/>
    <m/>
    <x v="0"/>
    <x v="0"/>
    <x v="0"/>
    <x v="0"/>
    <n v="6000"/>
    <s v="M"/>
    <m/>
    <m/>
    <m/>
    <m/>
    <n v="0"/>
    <n v="0"/>
    <n v="0"/>
    <n v="0"/>
    <n v="0"/>
    <e v="#DIV/0!"/>
    <n v="0"/>
    <m/>
    <n v="6.5656999999999993E-2"/>
    <n v="8.9860000000000007"/>
    <n v="0"/>
    <m/>
  </r>
  <r>
    <n v="27"/>
    <s v="Hosur"/>
    <x v="1"/>
    <s v="ELKAYEM AUTO Hosur"/>
    <x v="1"/>
    <m/>
    <s v="129663|948721-"/>
    <s v="TUB-O-O-AUT-AW-PE-15.88X1.6.000X6.0000"/>
    <x v="0"/>
    <m/>
    <x v="0"/>
    <s v="CR"/>
    <s v="WG"/>
    <m/>
    <m/>
    <m/>
    <x v="15"/>
    <s v="15.88-0-1.6-ERW 1-PE-0.15"/>
    <n v="1"/>
    <s v="Hosur"/>
    <n v="0"/>
    <n v="0"/>
    <m/>
    <x v="1"/>
    <x v="1"/>
    <x v="0"/>
    <x v="0"/>
    <n v="150"/>
    <s v="NOS"/>
    <m/>
    <m/>
    <n v="30000"/>
    <m/>
    <n v="0"/>
    <n v="30000"/>
    <n v="2.5343115840000001"/>
    <n v="0"/>
    <n v="2.5343115840000001"/>
    <n v="26.871202590060058"/>
    <n v="2.2700000000000003E-3"/>
    <m/>
    <n v="0"/>
    <n v="3.8879999999999999"/>
    <n v="2.5320415839999999"/>
    <m/>
  </r>
  <r>
    <n v="28"/>
    <s v="Hosur"/>
    <x v="1"/>
    <s v="ELKAYEM AUTO Hosur"/>
    <x v="1"/>
    <m/>
    <s v="129663|948721-"/>
    <s v="TUB-O-O-AUT-AW-PE-15.88X1.6.000X6.0000"/>
    <x v="0"/>
    <m/>
    <x v="0"/>
    <s v="CR"/>
    <s v="WG"/>
    <m/>
    <m/>
    <m/>
    <x v="15"/>
    <s v="15.88-0-1.6-ERW 1-PE-0.154"/>
    <n v="1"/>
    <s v="Hosur"/>
    <n v="0"/>
    <n v="0"/>
    <m/>
    <x v="1"/>
    <x v="1"/>
    <x v="0"/>
    <x v="0"/>
    <n v="154"/>
    <s v="NOS"/>
    <m/>
    <m/>
    <n v="30000"/>
    <m/>
    <n v="0"/>
    <n v="30000"/>
    <n v="2.6018932262400001"/>
    <n v="0"/>
    <n v="2.6018932262400001"/>
    <n v="22.841060271286533"/>
    <n v="1.9810000000000001E-3"/>
    <m/>
    <n v="0"/>
    <n v="3.8879999999999999"/>
    <n v="2.5999122262400003"/>
    <m/>
  </r>
  <r>
    <n v="29"/>
    <s v="Hosur"/>
    <x v="1"/>
    <s v="ELKAYEM AUTO Hosur"/>
    <x v="1"/>
    <n v="1900224"/>
    <s v="129663|948721-1900224"/>
    <s v="TUB-O-O-AUT-AW-PE-15.88X1.6.000X6.0000"/>
    <x v="0"/>
    <m/>
    <x v="0"/>
    <s v="CR"/>
    <s v="HROP"/>
    <m/>
    <m/>
    <m/>
    <x v="15"/>
    <s v="15.88-0-1.6-ERW 1-PE-1"/>
    <n v="6"/>
    <s v="Hosur"/>
    <m/>
    <m/>
    <m/>
    <x v="1"/>
    <x v="1"/>
    <x v="0"/>
    <x v="0"/>
    <n v="1000"/>
    <s v="M"/>
    <m/>
    <m/>
    <m/>
    <m/>
    <n v="0"/>
    <n v="0"/>
    <n v="0"/>
    <n v="0"/>
    <n v="0"/>
    <e v="#DIV/0!"/>
    <n v="0"/>
    <m/>
    <n v="0"/>
    <n v="3.8879999999999999"/>
    <n v="0"/>
    <m/>
  </r>
  <r>
    <n v="30"/>
    <s v="Hosur"/>
    <x v="1"/>
    <s v="ELKAYEM AUTO Hosur"/>
    <x v="1"/>
    <n v="468311"/>
    <s v="129663|948721-468311"/>
    <s v="TUB-O-N-AUT-AW-PE-15.88X2.000X0.291"/>
    <x v="0"/>
    <m/>
    <x v="0"/>
    <s v="HR"/>
    <m/>
    <m/>
    <m/>
    <m/>
    <x v="16"/>
    <s v="15.88-0-2-ERW 1-PE-0.291"/>
    <n v="5"/>
    <s v="Hosur"/>
    <m/>
    <m/>
    <m/>
    <x v="1"/>
    <x v="1"/>
    <x v="0"/>
    <x v="8"/>
    <n v="291"/>
    <s v="NOS"/>
    <m/>
    <m/>
    <m/>
    <m/>
    <n v="0"/>
    <n v="0"/>
    <n v="0"/>
    <n v="0"/>
    <n v="0"/>
    <e v="#DIV/0!"/>
    <n v="0.29363400000000001"/>
    <m/>
    <n v="0"/>
    <n v="0.24399999999999999"/>
    <n v="-0.29363400000000001"/>
    <m/>
  </r>
  <r>
    <n v="33"/>
    <s v="Khopoli "/>
    <x v="1"/>
    <s v="ELKAYEM AUTO Hosur"/>
    <x v="1"/>
    <n v="1938118"/>
    <s v="129663|948721-1938118"/>
    <s v="TUB-O-N-AUT-AW-PE-17.30X1.600X0.3550"/>
    <x v="0"/>
    <m/>
    <x v="0"/>
    <s v="CR"/>
    <s v="D"/>
    <m/>
    <m/>
    <m/>
    <x v="17"/>
    <s v="17.3-0-1.6-ERW 1-PE-0.355"/>
    <n v="2"/>
    <s v="Khopoli"/>
    <n v="9.3040000000000012E-2"/>
    <n v="0"/>
    <m/>
    <x v="7"/>
    <x v="7"/>
    <x v="0"/>
    <x v="0"/>
    <n v="355"/>
    <s v="NOS"/>
    <m/>
    <m/>
    <n v="20000"/>
    <m/>
    <n v="0"/>
    <n v="20000"/>
    <n v="4.3961984479999998"/>
    <n v="0"/>
    <n v="4.3961984479999998"/>
    <n v="0"/>
    <n v="0"/>
    <m/>
    <n v="9.3040000000000012E-2"/>
    <n v="0"/>
    <n v="4.3961984479999998"/>
    <m/>
  </r>
  <r>
    <n v="34"/>
    <s v="Khopoli "/>
    <x v="1"/>
    <s v="ELKAYEM AUTO Hosur"/>
    <x v="1"/>
    <m/>
    <s v="129663|948721-"/>
    <s v="TUB-O-N-AUT-AW-PE-17.30X1.600X0.3850"/>
    <x v="0"/>
    <m/>
    <x v="0"/>
    <s v="HR"/>
    <m/>
    <m/>
    <m/>
    <m/>
    <x v="17"/>
    <s v="17.3-0-1.6-ERW 1-PE-0.385"/>
    <n v="1"/>
    <m/>
    <m/>
    <m/>
    <m/>
    <x v="7"/>
    <x v="7"/>
    <x v="0"/>
    <x v="0"/>
    <n v="385"/>
    <s v="NOS"/>
    <m/>
    <m/>
    <m/>
    <m/>
    <n v="0"/>
    <n v="0"/>
    <n v="0"/>
    <n v="0"/>
    <n v="0"/>
    <e v="#DIV/0!"/>
    <n v="0"/>
    <m/>
    <n v="9.3040000000000012E-2"/>
    <n v="0"/>
    <n v="0"/>
    <m/>
  </r>
  <r>
    <n v="35"/>
    <s v="Khopoli "/>
    <x v="1"/>
    <s v="ELKAYEM AUTO Hosur"/>
    <x v="1"/>
    <n v="1938119"/>
    <s v="129663|948721-1938119"/>
    <s v="TUB-O-N-AUT-AW-PE-17.30X1.600X0.4000"/>
    <x v="0"/>
    <m/>
    <x v="0"/>
    <s v="CR"/>
    <s v="D"/>
    <m/>
    <m/>
    <m/>
    <x v="17"/>
    <s v="17.3-0-1.6-ERW 1-PE-0.4"/>
    <n v="3"/>
    <s v="Khopoli"/>
    <n v="9.3040000000000012E-2"/>
    <n v="0"/>
    <m/>
    <x v="7"/>
    <x v="7"/>
    <x v="0"/>
    <x v="0"/>
    <n v="400"/>
    <s v="NOS"/>
    <m/>
    <m/>
    <n v="20000"/>
    <m/>
    <n v="1000"/>
    <n v="19000"/>
    <n v="4.9534630400000008"/>
    <n v="0.24767315200000001"/>
    <n v="4.7057898880000009"/>
    <n v="0"/>
    <n v="0"/>
    <m/>
    <n v="9.3040000000000012E-2"/>
    <n v="0"/>
    <n v="4.9534630400000008"/>
    <m/>
  </r>
  <r>
    <n v="43"/>
    <s v="Hosur"/>
    <x v="1"/>
    <s v="ELKAYEM AUTO Hosur"/>
    <x v="1"/>
    <n v="1940284"/>
    <s v="129663|948721-1940284"/>
    <s v="TUB-O-O-AUT-AW-PE-19.05X2.000X0.7850"/>
    <x v="0"/>
    <m/>
    <x v="0"/>
    <s v="HR"/>
    <m/>
    <m/>
    <m/>
    <m/>
    <x v="18"/>
    <s v="19.05-0-2-ERW 1-PE-0.785"/>
    <n v="1"/>
    <s v="Hosur"/>
    <n v="0"/>
    <n v="0"/>
    <m/>
    <x v="2"/>
    <x v="2"/>
    <x v="0"/>
    <x v="8"/>
    <n v="785"/>
    <s v="NOS"/>
    <m/>
    <m/>
    <n v="1000"/>
    <m/>
    <n v="0"/>
    <n v="1000"/>
    <n v="0.65981675650000005"/>
    <n v="0"/>
    <n v="0.65981675650000005"/>
    <n v="0"/>
    <n v="0"/>
    <m/>
    <n v="0"/>
    <n v="11.189"/>
    <n v="0.65981675650000005"/>
    <m/>
  </r>
  <r>
    <n v="44"/>
    <s v="Hosur"/>
    <x v="1"/>
    <s v="ELKAYEM AUTO Hosur"/>
    <x v="1"/>
    <n v="1937438"/>
    <s v="129663|948721-1937438"/>
    <s v="TUB-O-N-AUT-AW-PE-19.05X2.030X0.8300"/>
    <x v="0"/>
    <m/>
    <x v="0"/>
    <s v="HR"/>
    <m/>
    <m/>
    <m/>
    <m/>
    <x v="18"/>
    <s v="19.05-0-2-ERW 1-PE-0.83"/>
    <n v="2"/>
    <s v="Hosur"/>
    <n v="0"/>
    <n v="0"/>
    <m/>
    <x v="2"/>
    <x v="2"/>
    <x v="0"/>
    <x v="8"/>
    <n v="830"/>
    <s v="NOS"/>
    <m/>
    <m/>
    <n v="1000"/>
    <m/>
    <n v="0"/>
    <n v="1000"/>
    <n v="0.69764064700000006"/>
    <n v="0"/>
    <n v="0.69764064700000006"/>
    <n v="0"/>
    <n v="0"/>
    <m/>
    <n v="0"/>
    <n v="11.189"/>
    <n v="0.69764064700000006"/>
    <m/>
  </r>
  <r>
    <n v="45"/>
    <s v="Hosur"/>
    <x v="1"/>
    <s v="ELKAYEM AUTO Hosur"/>
    <x v="1"/>
    <n v="2427712"/>
    <s v="129663|948721-2427712"/>
    <s v="TUB-O-N-AUT-AW-PE-19.05X2.300X0.2550"/>
    <x v="0"/>
    <m/>
    <x v="0"/>
    <s v="HR"/>
    <m/>
    <m/>
    <m/>
    <m/>
    <x v="19"/>
    <s v="19.05-0-2.3-ERW 1-PE-0.255"/>
    <n v="1"/>
    <s v="Hosur"/>
    <n v="28.357190999999986"/>
    <n v="41.353166999999999"/>
    <m/>
    <x v="2"/>
    <x v="2"/>
    <x v="0"/>
    <x v="9"/>
    <n v="255"/>
    <s v="NOS"/>
    <m/>
    <m/>
    <n v="8500"/>
    <m/>
    <n v="1000"/>
    <n v="7500"/>
    <n v="2.0582639064374999"/>
    <n v="0.24214869487499999"/>
    <n v="1.8161152115624999"/>
    <n v="31.497175749541608"/>
    <n v="7.6270000000000001E-3"/>
    <m/>
    <n v="79.222118000000009"/>
    <n v="6.0149999999999997"/>
    <n v="2.0506369064375001"/>
    <m/>
  </r>
  <r>
    <n v="46"/>
    <s v="Hosur"/>
    <x v="1"/>
    <s v="ELKAYEM AUTO Hosur"/>
    <x v="1"/>
    <n v="2427711"/>
    <s v="129663|948721-2427711"/>
    <s v="TUB-O-N-AUT-AW-PE-19.05X2.300X0.2850"/>
    <x v="0"/>
    <m/>
    <x v="0"/>
    <s v="HR"/>
    <m/>
    <m/>
    <m/>
    <m/>
    <x v="19"/>
    <s v="19.05-0-2.3-ERW 1-PE-0.285"/>
    <n v="1"/>
    <s v="Hosur"/>
    <n v="28.357190999999986"/>
    <n v="41.353166999999999"/>
    <m/>
    <x v="2"/>
    <x v="2"/>
    <x v="0"/>
    <x v="9"/>
    <n v="285"/>
    <s v="NOS"/>
    <m/>
    <m/>
    <n v="5000"/>
    <m/>
    <n v="2000"/>
    <n v="3000"/>
    <n v="1.3531838831250003"/>
    <n v="0.54127355325000004"/>
    <n v="0.81191032987500023"/>
    <n v="39.251871576638862"/>
    <n v="1.0623E-2"/>
    <m/>
    <n v="79.222118000000009"/>
    <n v="6.0149999999999997"/>
    <n v="1.3425608831250002"/>
    <m/>
  </r>
  <r>
    <n v="47"/>
    <s v="Hosur"/>
    <x v="1"/>
    <s v="ELKAYEM AUTO Hosur"/>
    <x v="1"/>
    <n v="1940313"/>
    <s v="129663|948721-1940313"/>
    <s v="TUB-O-O-AUT-AW-PE-19.05X2.300X0.3030"/>
    <x v="0"/>
    <m/>
    <x v="0"/>
    <s v="HR"/>
    <m/>
    <m/>
    <m/>
    <m/>
    <x v="19"/>
    <s v="19.05-0-2.3-ERW 1-PE-0.303"/>
    <n v="2"/>
    <s v="Hosur"/>
    <n v="28.357190999999986"/>
    <n v="41.353166999999999"/>
    <m/>
    <x v="2"/>
    <x v="2"/>
    <x v="0"/>
    <x v="9"/>
    <n v="303"/>
    <s v="NOS"/>
    <m/>
    <m/>
    <n v="11000"/>
    <m/>
    <n v="2000"/>
    <n v="9000"/>
    <n v="3.1650258824249993"/>
    <n v="0.57545925134999987"/>
    <n v="2.5895666310749994"/>
    <n v="234.80376704869187"/>
    <n v="6.7559999999999995E-2"/>
    <m/>
    <n v="79.222118000000009"/>
    <n v="6.0149999999999997"/>
    <n v="3.0974658824249994"/>
    <m/>
  </r>
  <r>
    <n v="48"/>
    <s v="Hosur"/>
    <x v="1"/>
    <s v="ELKAYEM AUTO Hosur"/>
    <x v="1"/>
    <n v="1940363"/>
    <s v="129663|948721-1940363"/>
    <s v="TUB-O-O-AUT-AW-PE-22.23X1.200X1.1620"/>
    <x v="0"/>
    <m/>
    <x v="0"/>
    <s v="CR"/>
    <m/>
    <m/>
    <m/>
    <m/>
    <x v="20"/>
    <s v="22.23-0-1.2-ERW 1-PE-1.162"/>
    <n v="1"/>
    <s v="Hosur"/>
    <n v="0"/>
    <n v="0.24293999999999999"/>
    <m/>
    <x v="11"/>
    <x v="11"/>
    <x v="0"/>
    <x v="2"/>
    <n v="1162"/>
    <s v="NOS"/>
    <m/>
    <m/>
    <n v="9000"/>
    <m/>
    <n v="0"/>
    <n v="9000"/>
    <n v="6.5053169511120004"/>
    <n v="0"/>
    <n v="6.5053169511120004"/>
    <n v="832.44214550904007"/>
    <n v="0.60170000000000001"/>
    <m/>
    <n v="8.5000000000000006E-2"/>
    <n v="3.1040000000000001"/>
    <n v="5.9036169511120002"/>
    <m/>
  </r>
  <r>
    <n v="49"/>
    <s v="Hosur"/>
    <x v="1"/>
    <s v="ELKAYEM AUTO Hosur"/>
    <x v="1"/>
    <n v="3599863"/>
    <s v="129663|948721-3599863"/>
    <s v="TUB-O-N-AUT-AW-PE-22.23X1.600X0.9450"/>
    <x v="0"/>
    <m/>
    <x v="0"/>
    <s v="CR"/>
    <s v="HROP"/>
    <m/>
    <m/>
    <m/>
    <x v="21"/>
    <s v="22.23-0-1.6-ERW 1-PE-0.945"/>
    <n v="1"/>
    <s v="Hosur"/>
    <m/>
    <m/>
    <m/>
    <x v="11"/>
    <x v="11"/>
    <x v="0"/>
    <x v="0"/>
    <n v="945"/>
    <s v="NOS"/>
    <m/>
    <m/>
    <m/>
    <m/>
    <n v="0"/>
    <n v="0"/>
    <n v="0"/>
    <n v="0"/>
    <n v="0"/>
    <e v="#DIV/0!"/>
    <n v="0"/>
    <m/>
    <n v="10.773161999999999"/>
    <n v="0"/>
    <n v="0"/>
    <m/>
  </r>
  <r>
    <n v="50"/>
    <s v="Hosur"/>
    <x v="1"/>
    <s v="ELKAYEM AUTO Hosur"/>
    <x v="1"/>
    <n v="288719"/>
    <s v="129663|948721-288719"/>
    <s v="PT2-O-N-AUT-AW-PE-22.20X2.000X0.715"/>
    <x v="0"/>
    <m/>
    <x v="1"/>
    <s v="HR"/>
    <m/>
    <m/>
    <m/>
    <m/>
    <x v="22"/>
    <s v="22.23-0-2-ERW 1--0.715"/>
    <s v="#REF!"/>
    <m/>
    <m/>
    <m/>
    <m/>
    <x v="11"/>
    <x v="11"/>
    <x v="0"/>
    <x v="8"/>
    <n v="715"/>
    <m/>
    <m/>
    <m/>
    <m/>
    <m/>
    <e v="#N/A"/>
    <e v="#N/A"/>
    <n v="0"/>
    <e v="#N/A"/>
    <e v="#N/A"/>
    <e v="#DIV/0!"/>
    <n v="0"/>
    <m/>
    <n v="0"/>
    <n v="0"/>
    <n v="0"/>
    <m/>
  </r>
  <r>
    <n v="23"/>
    <s v="Hosur"/>
    <x v="1"/>
    <s v="ELKAYEM AUTO Hosur"/>
    <x v="2"/>
    <n v="1940494"/>
    <s v="129663|948722-1940494"/>
    <s v="TUB-O-O-AUT-AW-PE-22.23X2.000X6.0000"/>
    <x v="0"/>
    <m/>
    <x v="2"/>
    <s v="HR"/>
    <m/>
    <m/>
    <m/>
    <m/>
    <x v="23"/>
    <s v="22.23-0-2-ERW 1-FC-1"/>
    <s v="#REF!"/>
    <m/>
    <m/>
    <m/>
    <m/>
    <x v="11"/>
    <x v="11"/>
    <x v="0"/>
    <x v="8"/>
    <n v="1000"/>
    <s v="M"/>
    <m/>
    <m/>
    <m/>
    <m/>
    <n v="0"/>
    <n v="0"/>
    <n v="0"/>
    <n v="0"/>
    <n v="0"/>
    <e v="#DIV/0!"/>
    <n v="0"/>
    <m/>
    <n v="9.1681769999999982"/>
    <n v="2.7130000000000001"/>
    <n v="0"/>
    <m/>
  </r>
  <r>
    <n v="24"/>
    <s v="Hosur"/>
    <x v="1"/>
    <s v="ELKAYEM AUTO Hosur"/>
    <x v="1"/>
    <s v="NO MATERIAL CODE"/>
    <s v="129663|948721-NO MATERIAL CODE"/>
    <m/>
    <x v="0"/>
    <m/>
    <x v="0"/>
    <s v="HR"/>
    <m/>
    <m/>
    <m/>
    <m/>
    <x v="24"/>
    <s v="22.23-0-2.3-ERW 1-PE-0.22"/>
    <n v="1"/>
    <m/>
    <n v="6.8109740000000007"/>
    <n v="0"/>
    <m/>
    <x v="11"/>
    <x v="11"/>
    <x v="0"/>
    <x v="9"/>
    <n v="220"/>
    <s v="NOS"/>
    <m/>
    <m/>
    <m/>
    <m/>
    <n v="0"/>
    <n v="0"/>
    <n v="0"/>
    <n v="0"/>
    <n v="0"/>
    <e v="#DIV/0!"/>
    <n v="0"/>
    <m/>
    <n v="6.8109739999999999"/>
    <n v="0"/>
    <n v="0"/>
    <m/>
  </r>
  <r>
    <n v="51"/>
    <s v="Hosur"/>
    <x v="1"/>
    <s v="ELKAYEM AUTO Hosur"/>
    <x v="1"/>
    <n v="1413976"/>
    <s v="129663|948721-1413976"/>
    <s v="TUB-O-N-AUT-AH-PE-25.40X2.000X0.3150 HST"/>
    <x v="0"/>
    <m/>
    <x v="2"/>
    <s v="HR"/>
    <m/>
    <m/>
    <m/>
    <m/>
    <x v="25"/>
    <s v="25.4-0-2-ERW 1-FC-0.315"/>
    <s v="#REF!"/>
    <m/>
    <m/>
    <m/>
    <m/>
    <x v="3"/>
    <x v="3"/>
    <x v="0"/>
    <x v="8"/>
    <n v="315"/>
    <s v="NOS"/>
    <m/>
    <m/>
    <m/>
    <m/>
    <n v="0"/>
    <n v="0"/>
    <n v="0"/>
    <n v="0"/>
    <n v="0"/>
    <e v="#DIV/0!"/>
    <n v="0"/>
    <m/>
    <n v="10.738999999999999"/>
    <n v="25.931000000000001"/>
    <n v="0"/>
    <m/>
  </r>
  <r>
    <n v="52"/>
    <s v="Hosur"/>
    <x v="1"/>
    <s v="ELKAYEM AUTO Hosur"/>
    <x v="1"/>
    <n v="1940588"/>
    <s v="129663|948721-1940588"/>
    <s v="TUB-O-O-AUT-AW-FC-25.40X2.000X0.3550"/>
    <x v="0"/>
    <m/>
    <x v="2"/>
    <s v="HR"/>
    <m/>
    <m/>
    <m/>
    <m/>
    <x v="25"/>
    <s v="25.4-0-2-ERW 1-FC-0.355"/>
    <n v="3"/>
    <s v="Hosur"/>
    <n v="10.051000000000002"/>
    <n v="0"/>
    <m/>
    <x v="3"/>
    <x v="3"/>
    <x v="0"/>
    <x v="8"/>
    <n v="355"/>
    <s v="NOS"/>
    <m/>
    <m/>
    <m/>
    <m/>
    <n v="11325"/>
    <n v="-11325"/>
    <n v="0"/>
    <n v="4.6377968539499994"/>
    <n v="-4.6377968539499994"/>
    <e v="#DIV/0!"/>
    <n v="2.0499999999999997E-3"/>
    <m/>
    <n v="10.738999999999999"/>
    <n v="25.931000000000001"/>
    <n v="-2.0499999999999997E-3"/>
    <m/>
  </r>
  <r>
    <n v="55"/>
    <s v="Hosur"/>
    <x v="1"/>
    <s v="ELKAYEM AUTO Hosur"/>
    <x v="1"/>
    <n v="3727212"/>
    <s v="129663|948721-3727212"/>
    <s v="TUB-O-N-AUT-AW-FC-28.58X1.600X0.2150"/>
    <x v="0"/>
    <m/>
    <x v="2"/>
    <s v="CR"/>
    <s v="HROP"/>
    <m/>
    <m/>
    <m/>
    <x v="26"/>
    <s v="28.58-0-1.6-ERW 1-FC-0.215"/>
    <n v="1"/>
    <s v="Hosur"/>
    <n v="0"/>
    <n v="0"/>
    <m/>
    <x v="12"/>
    <x v="12"/>
    <x v="0"/>
    <x v="0"/>
    <n v="215"/>
    <s v="NOS"/>
    <m/>
    <m/>
    <n v="5000"/>
    <m/>
    <n v="2425"/>
    <n v="2575"/>
    <n v="1.1438516344"/>
    <n v="0.55476804268399993"/>
    <n v="0.58908359171600011"/>
    <n v="49.132246097177926"/>
    <n v="1.124E-2"/>
    <m/>
    <n v="0"/>
    <n v="11.99"/>
    <n v="1.1326116344000001"/>
    <m/>
  </r>
  <r>
    <n v="56"/>
    <s v="Hosur"/>
    <x v="1"/>
    <s v="ELKAYEM AUTO Hosur"/>
    <x v="1"/>
    <n v="3598957"/>
    <s v="129663|948721-3598957"/>
    <s v="TUB-O-N-AUT-AW-FC-28.58X1.600X0.4140"/>
    <x v="0"/>
    <m/>
    <x v="2"/>
    <s v="CR"/>
    <s v="HROP"/>
    <m/>
    <m/>
    <m/>
    <x v="26"/>
    <s v="28.58-0-1.6-ERW 1-FC-0.414"/>
    <n v="1"/>
    <s v="Hosur"/>
    <n v="0"/>
    <n v="0"/>
    <m/>
    <x v="12"/>
    <x v="12"/>
    <x v="0"/>
    <x v="0"/>
    <n v="414"/>
    <s v="NOS"/>
    <m/>
    <m/>
    <n v="10000"/>
    <m/>
    <n v="21035"/>
    <n v="-11035"/>
    <n v="4.4051588524799987"/>
    <n v="9.2662516461916784"/>
    <n v="-4.8610927937116797"/>
    <n v="17.906278216412662"/>
    <n v="7.8879999999999992E-3"/>
    <m/>
    <n v="0"/>
    <n v="11.99"/>
    <n v="4.3972708524799984"/>
    <m/>
  </r>
  <r>
    <n v="57"/>
    <s v="Hosur"/>
    <x v="1"/>
    <s v="ELKAYEM AUTO Hosur"/>
    <x v="1"/>
    <n v="2397074"/>
    <s v="129663|948721-2397074"/>
    <s v="TUB-O-N-AUT-AW-FC-28.58X2.000X0.4690"/>
    <x v="0"/>
    <m/>
    <x v="2"/>
    <s v="HR"/>
    <m/>
    <m/>
    <m/>
    <m/>
    <x v="27"/>
    <s v="28.58-0-2-ERW 1-FC-0.469"/>
    <s v="#REF!"/>
    <m/>
    <m/>
    <m/>
    <m/>
    <x v="12"/>
    <x v="12"/>
    <x v="0"/>
    <x v="8"/>
    <n v="469"/>
    <s v="NOS"/>
    <m/>
    <m/>
    <m/>
    <m/>
    <n v="0"/>
    <n v="0"/>
    <n v="0"/>
    <n v="0"/>
    <n v="0"/>
    <e v="#DIV/0!"/>
    <n v="0"/>
    <m/>
    <n v="6.1224610000000004"/>
    <n v="7.87"/>
    <n v="0"/>
    <m/>
  </r>
  <r>
    <n v="58"/>
    <s v="Hosur"/>
    <x v="1"/>
    <s v="ELKAYEM AUTO Hosur"/>
    <x v="1"/>
    <e v="#REF!"/>
    <e v="#REF!"/>
    <s v="TUB-O-N-AUT-AW-FC-28.58X2.000X0.475"/>
    <x v="0"/>
    <m/>
    <x v="2"/>
    <s v="HR"/>
    <m/>
    <m/>
    <m/>
    <m/>
    <x v="27"/>
    <s v="28.58-0-2-ERW 1-FC-0.475"/>
    <n v="1"/>
    <s v="Hosur"/>
    <n v="6.1224610000000004"/>
    <n v="0"/>
    <m/>
    <x v="12"/>
    <x v="12"/>
    <x v="0"/>
    <x v="8"/>
    <n v="475"/>
    <s v="NOS"/>
    <m/>
    <m/>
    <n v="11000"/>
    <m/>
    <n v="0"/>
    <n v="11000"/>
    <n v="6.8465308889999976"/>
    <n v="0"/>
    <n v="6.8465308889999976"/>
    <n v="3.4559107938905269"/>
    <n v="2.1509999999999997E-3"/>
    <m/>
    <n v="6.1224610000000004"/>
    <n v="7.87"/>
    <n v="6.8443798889999981"/>
    <m/>
  </r>
  <r>
    <n v="62"/>
    <s v="Hosur"/>
    <x v="1"/>
    <s v="ELKAYEM AUTO Hosur"/>
    <x v="1"/>
    <n v="1932548"/>
    <s v="129663|948721-1932548"/>
    <s v="TUB-S-AW-SHS-25.00X25.00X2.000X6.0000"/>
    <x v="0"/>
    <m/>
    <x v="1"/>
    <s v="HR"/>
    <m/>
    <m/>
    <m/>
    <m/>
    <x v="28"/>
    <s v="25-25-2-ERW 1--6"/>
    <s v="#REF!"/>
    <m/>
    <m/>
    <m/>
    <m/>
    <x v="10"/>
    <x v="13"/>
    <x v="3"/>
    <x v="8"/>
    <n v="6000"/>
    <m/>
    <m/>
    <m/>
    <m/>
    <m/>
    <e v="#N/A"/>
    <e v="#N/A"/>
    <n v="0"/>
    <e v="#N/A"/>
    <e v="#N/A"/>
    <e v="#DIV/0!"/>
    <n v="0"/>
    <m/>
    <n v="0"/>
    <n v="0"/>
    <n v="0"/>
    <m/>
  </r>
  <r>
    <n v="65"/>
    <s v="Hosur"/>
    <x v="1"/>
    <s v="ELKAYEM AUTO Hosur"/>
    <x v="1"/>
    <n v="1155165"/>
    <s v="129663|948721-1155165"/>
    <s v="TUB-O-N-AUT-AW-PE-34.93X1.600X1.726"/>
    <x v="0"/>
    <m/>
    <x v="2"/>
    <s v="HR"/>
    <m/>
    <m/>
    <m/>
    <m/>
    <x v="29"/>
    <s v="34.93-0-1.6-ERW 1-FC-1.726"/>
    <s v="#REF!"/>
    <m/>
    <m/>
    <m/>
    <m/>
    <x v="13"/>
    <x v="14"/>
    <x v="0"/>
    <x v="0"/>
    <n v="1726"/>
    <m/>
    <m/>
    <m/>
    <m/>
    <m/>
    <e v="#N/A"/>
    <e v="#N/A"/>
    <n v="0"/>
    <e v="#N/A"/>
    <e v="#N/A"/>
    <e v="#DIV/0!"/>
    <n v="1.4146080000000001"/>
    <m/>
    <n v="0"/>
    <n v="0"/>
    <n v="-1.4146080000000001"/>
    <m/>
  </r>
  <r>
    <n v="68"/>
    <s v="Hosur"/>
    <x v="1"/>
    <s v="ELKAYEM AUTO Hosur"/>
    <x v="1"/>
    <n v="3210056"/>
    <s v="129663|948721-3210056"/>
    <s v="TUB-O-N-AUT-AW-PE-34.93X2.000X1.1750"/>
    <x v="0"/>
    <m/>
    <x v="2"/>
    <s v="HR"/>
    <m/>
    <m/>
    <m/>
    <m/>
    <x v="30"/>
    <s v="34.93-0-2-ERW 1-FC-1.175"/>
    <s v="#REF!"/>
    <m/>
    <n v="0"/>
    <m/>
    <m/>
    <x v="13"/>
    <x v="14"/>
    <x v="0"/>
    <x v="8"/>
    <n v="1175"/>
    <s v="NOS"/>
    <m/>
    <m/>
    <m/>
    <m/>
    <n v="0"/>
    <n v="0"/>
    <n v="0"/>
    <n v="0"/>
    <n v="0"/>
    <e v="#DIV/0!"/>
    <n v="0"/>
    <m/>
    <n v="0"/>
    <n v="0"/>
    <n v="0"/>
    <m/>
  </r>
  <r>
    <n v="69"/>
    <s v="Khopoli "/>
    <x v="1"/>
    <s v="ELKAYEM AUTO Hosur"/>
    <x v="1"/>
    <n v="1155164"/>
    <s v="129663|948721-1155164"/>
    <s v="TUB-O-N-AUT-NR-PE-34.93X2.500X1.723"/>
    <x v="0"/>
    <m/>
    <x v="2"/>
    <s v="HR"/>
    <m/>
    <m/>
    <m/>
    <m/>
    <x v="31"/>
    <s v="34.93-0-2.5-ERW 1-FC-1.723"/>
    <s v="#REF!"/>
    <m/>
    <m/>
    <m/>
    <m/>
    <x v="13"/>
    <x v="14"/>
    <x v="0"/>
    <x v="10"/>
    <n v="1723"/>
    <m/>
    <m/>
    <m/>
    <m/>
    <m/>
    <e v="#N/A"/>
    <e v="#N/A"/>
    <n v="0"/>
    <e v="#N/A"/>
    <e v="#N/A"/>
    <e v="#DIV/0!"/>
    <n v="0"/>
    <m/>
    <n v="0"/>
    <n v="0"/>
    <n v="0"/>
    <m/>
  </r>
  <r>
    <n v="70"/>
    <s v="Hosur"/>
    <x v="1"/>
    <s v="ELKAYEM AUTO Hosur"/>
    <x v="1"/>
    <n v="1940815"/>
    <s v="129663|948721-1940815"/>
    <s v="TUB-R-AW-RHS-40.00X20.00X1.600X0.4800"/>
    <x v="0"/>
    <m/>
    <x v="2"/>
    <s v="HR"/>
    <s v="GR1"/>
    <m/>
    <m/>
    <s v="SC"/>
    <x v="32"/>
    <s v="40-20-1.6-ERW 1-FC-0.48"/>
    <n v="1"/>
    <s v="Hosur"/>
    <n v="0"/>
    <n v="0"/>
    <m/>
    <x v="14"/>
    <x v="15"/>
    <x v="4"/>
    <x v="0"/>
    <n v="480"/>
    <s v="NOS"/>
    <m/>
    <m/>
    <n v="10000"/>
    <m/>
    <n v="9940"/>
    <n v="60"/>
    <n v="6.9096076799999988"/>
    <n v="6.8681500339199992"/>
    <n v="4.1457646079999577E-2"/>
    <n v="23.06932714304266"/>
    <n v="1.5939999999999999E-2"/>
    <m/>
    <n v="5.3289920000000004"/>
    <n v="1.27"/>
    <n v="6.8936676799999992"/>
    <m/>
  </r>
  <r>
    <n v="71"/>
    <s v="Hosur"/>
    <x v="1"/>
    <s v="ELKAYEM AUTO Hosur"/>
    <x v="1"/>
    <n v="1940821"/>
    <s v="129663|948721-1940821"/>
    <s v="TUB-R-AW-RHS-40.00X25.00X1.600X0.5130"/>
    <x v="0"/>
    <m/>
    <x v="2"/>
    <s v="CR"/>
    <s v="GR1"/>
    <m/>
    <m/>
    <s v="SC"/>
    <x v="33"/>
    <s v="40-25-1.6-ERW 1-FC-0.513"/>
    <n v="2"/>
    <s v="Hosur"/>
    <n v="0.61827399999999999"/>
    <n v="0"/>
    <m/>
    <x v="15"/>
    <x v="15"/>
    <x v="3"/>
    <x v="0"/>
    <n v="513"/>
    <s v="NOS"/>
    <m/>
    <m/>
    <n v="7500"/>
    <m/>
    <n v="13680"/>
    <n v="-6180"/>
    <n v="6.0210132019200007"/>
    <n v="10.982328080302082"/>
    <n v="-4.9613148783820815"/>
    <n v="92.392672353318545"/>
    <n v="7.4173000000000003E-2"/>
    <m/>
    <n v="0.61827399999999999"/>
    <n v="0"/>
    <n v="5.9468402019200006"/>
    <m/>
  </r>
  <r>
    <n v="72"/>
    <s v="Hosur"/>
    <x v="1"/>
    <s v="ELKAYEM AUTO Hosur"/>
    <x v="1"/>
    <n v="1940822"/>
    <s v="129663|948721-1940822"/>
    <s v="TUB-R-AW-RHS-40.00X25.00X1.600X0.5360"/>
    <x v="0"/>
    <m/>
    <x v="2"/>
    <s v="CR"/>
    <s v="GR1"/>
    <m/>
    <m/>
    <s v="SC"/>
    <x v="33"/>
    <s v="40-25-1.6-ERW 1-FC-0.536"/>
    <n v="2"/>
    <s v="Hosur"/>
    <n v="0.61827399999999999"/>
    <n v="0"/>
    <m/>
    <x v="15"/>
    <x v="15"/>
    <x v="3"/>
    <x v="0"/>
    <n v="536"/>
    <s v="NOS"/>
    <m/>
    <m/>
    <n v="40000"/>
    <m/>
    <n v="21520"/>
    <n v="18480"/>
    <n v="33.551792865280007"/>
    <n v="18.05086456152064"/>
    <n v="15.500928303759366"/>
    <n v="31.092228191463409"/>
    <n v="2.6079999999999999E-2"/>
    <m/>
    <n v="0.61827399999999999"/>
    <n v="0"/>
    <n v="33.525712865280006"/>
    <m/>
  </r>
  <r>
    <n v="73"/>
    <s v="Hosur"/>
    <x v="1"/>
    <s v="ELKAYEM AUTO Hosur"/>
    <x v="1"/>
    <n v="1940823"/>
    <s v="129663|948721-1940823"/>
    <s v="TUB-R-AW-RHS-40.00X25.00X1.600X0.5600"/>
    <x v="0"/>
    <m/>
    <x v="2"/>
    <s v="CR"/>
    <s v="GR1"/>
    <m/>
    <m/>
    <s v="SC"/>
    <x v="33"/>
    <s v="40-25-1.6-ERW 1-FC-0.56"/>
    <n v="1"/>
    <s v="Hosur"/>
    <n v="0.61827399999999999"/>
    <n v="0"/>
    <m/>
    <x v="15"/>
    <x v="15"/>
    <x v="3"/>
    <x v="0"/>
    <n v="560"/>
    <s v="NOS"/>
    <m/>
    <m/>
    <n v="25000"/>
    <m/>
    <n v="15000"/>
    <n v="10000"/>
    <n v="21.908819968"/>
    <n v="13.1452919808"/>
    <n v="8.7635279871999998"/>
    <n v="9.4220044850203788"/>
    <n v="8.2570000000000005E-3"/>
    <m/>
    <n v="0.61827399999999999"/>
    <n v="0"/>
    <n v="21.900562967999999"/>
    <m/>
  </r>
  <r>
    <n v="74"/>
    <s v="Hosur"/>
    <x v="1"/>
    <s v="ELKAYEM AUTO Hosur"/>
    <x v="1"/>
    <n v="1940825"/>
    <s v="129663|948721-1940825"/>
    <s v="TUB-R-AW-RHS-40.00X25.00X1.600X0.5850"/>
    <x v="0"/>
    <m/>
    <x v="2"/>
    <s v="CR"/>
    <s v="GR1"/>
    <m/>
    <m/>
    <s v="SC"/>
    <x v="33"/>
    <s v="40-25-1.6-ERW 1-FC-0.585"/>
    <n v="1"/>
    <s v="Hosur"/>
    <n v="0.61827399999999999"/>
    <n v="0"/>
    <m/>
    <x v="15"/>
    <x v="15"/>
    <x v="3"/>
    <x v="0"/>
    <n v="585"/>
    <s v="NOS"/>
    <m/>
    <m/>
    <n v="13000"/>
    <m/>
    <n v="2740"/>
    <n v="10260"/>
    <n v="11.90118398976"/>
    <n v="2.5084033947648003"/>
    <n v="9.3927805949951999"/>
    <n v="11.478185709719018"/>
    <n v="1.0508E-2"/>
    <m/>
    <n v="0.61827399999999999"/>
    <n v="0"/>
    <n v="11.89067598976"/>
    <m/>
  </r>
  <r>
    <n v="75"/>
    <s v="Hosur"/>
    <x v="1"/>
    <s v="ELKAYEM AUTO Hosur"/>
    <x v="1"/>
    <n v="1932559"/>
    <s v="129663|948721-1932559"/>
    <s v="TUB-R-AW-RHS-40.00X25.00X2.000X6.0000"/>
    <x v="0"/>
    <m/>
    <x v="2"/>
    <s v="HR"/>
    <m/>
    <m/>
    <m/>
    <s v="SC"/>
    <x v="34"/>
    <s v="40-25-2-ERW 1-FC-1"/>
    <s v="#REF!"/>
    <m/>
    <m/>
    <m/>
    <m/>
    <x v="15"/>
    <x v="15"/>
    <x v="3"/>
    <x v="8"/>
    <n v="1000"/>
    <s v="M"/>
    <m/>
    <m/>
    <m/>
    <m/>
    <n v="0"/>
    <n v="0"/>
    <n v="0"/>
    <n v="0"/>
    <n v="0"/>
    <e v="#DIV/0!"/>
    <n v="0"/>
    <m/>
    <n v="0"/>
    <n v="0"/>
    <n v="0"/>
    <m/>
  </r>
  <r>
    <n v="76"/>
    <s v="Hosur"/>
    <x v="1"/>
    <s v="ELKAYEM AUTO Hosur"/>
    <x v="1"/>
    <n v="3499121"/>
    <s v="129663|948721-3499121"/>
    <s v="TUB-N-AUT-BH-FC-42.70X4.000X0.2900"/>
    <x v="0"/>
    <s v="Annealed"/>
    <x v="2"/>
    <s v="HR"/>
    <m/>
    <m/>
    <m/>
    <m/>
    <x v="35"/>
    <s v="42.7-0-4-ERW 1-FC-0.29"/>
    <s v="#REF!"/>
    <s v="Khopoli"/>
    <m/>
    <m/>
    <m/>
    <x v="16"/>
    <x v="16"/>
    <x v="0"/>
    <x v="11"/>
    <n v="290"/>
    <s v="NOS"/>
    <m/>
    <m/>
    <m/>
    <m/>
    <n v="3200"/>
    <n v="-3200"/>
    <n v="0"/>
    <n v="3.5409373056"/>
    <n v="-3.5409373056"/>
    <e v="#DIV/0!"/>
    <n v="0"/>
    <m/>
    <n v="236.02448700000002"/>
    <n v="0"/>
    <n v="0"/>
    <m/>
  </r>
  <r>
    <n v="77"/>
    <s v="Hosur"/>
    <x v="1"/>
    <s v="ELKAYEM AUTO Hosur"/>
    <x v="1"/>
    <n v="3441727"/>
    <s v="129663|948721-3441727"/>
    <s v="TUB-R-AW-AUT-40.00X30.00X1.600X6.0000"/>
    <x v="0"/>
    <m/>
    <x v="2"/>
    <s v="HR"/>
    <m/>
    <m/>
    <m/>
    <m/>
    <x v="36"/>
    <s v="40-30-1.6-ERW 1-FC-1"/>
    <n v="1"/>
    <m/>
    <m/>
    <m/>
    <m/>
    <x v="17"/>
    <x v="15"/>
    <x v="1"/>
    <x v="0"/>
    <n v="1000"/>
    <s v="M"/>
    <m/>
    <m/>
    <m/>
    <m/>
    <n v="0"/>
    <n v="0"/>
    <n v="0"/>
    <n v="0"/>
    <n v="0"/>
    <e v="#DIV/0!"/>
    <n v="0"/>
    <m/>
    <n v="0.95786300000000002"/>
    <n v="0"/>
    <n v="0"/>
    <m/>
  </r>
  <r>
    <n v="78"/>
    <s v="Hosur"/>
    <x v="1"/>
    <s v="ELKAYEM AUTO Hosur"/>
    <x v="1"/>
    <n v="4098592"/>
    <s v="129663|948721-4098592"/>
    <s v="TUB-R-AW-AUT-40.00X30.00X2.000X0.1480"/>
    <x v="0"/>
    <m/>
    <x v="2"/>
    <s v="HR"/>
    <m/>
    <m/>
    <s v="AG"/>
    <m/>
    <x v="37"/>
    <s v="40-30-2-ERW 1-FC-0.149"/>
    <n v="2"/>
    <m/>
    <n v="0"/>
    <n v="0"/>
    <m/>
    <x v="17"/>
    <x v="15"/>
    <x v="1"/>
    <x v="8"/>
    <n v="149"/>
    <s v="NOS"/>
    <m/>
    <m/>
    <n v="40000"/>
    <m/>
    <n v="0"/>
    <n v="40000"/>
    <n v="12.472492596"/>
    <n v="0"/>
    <n v="12.472492596"/>
    <n v="0"/>
    <n v="0"/>
    <m/>
    <n v="0"/>
    <n v="26.635999999999999"/>
    <n v="12.472492596"/>
    <m/>
  </r>
  <r>
    <n v="79"/>
    <s v="Hosur"/>
    <x v="1"/>
    <s v="ELKAYEM AUTO Hosur"/>
    <x v="1"/>
    <n v="4098593"/>
    <s v="129663|948721-4098593"/>
    <s v="TUB-R-AW-AUT-40.00X30.00X2.000X0.1620"/>
    <x v="0"/>
    <m/>
    <x v="2"/>
    <s v="HR"/>
    <m/>
    <m/>
    <s v="AG"/>
    <m/>
    <x v="37"/>
    <s v="40-30-2-ERW 1-FC-0.162"/>
    <n v="2"/>
    <m/>
    <n v="0"/>
    <n v="0"/>
    <m/>
    <x v="17"/>
    <x v="15"/>
    <x v="1"/>
    <x v="8"/>
    <n v="162"/>
    <s v="NOS"/>
    <m/>
    <m/>
    <n v="10000"/>
    <m/>
    <n v="1180"/>
    <n v="8820"/>
    <n v="3.3901741619999997"/>
    <n v="0.40004055111599995"/>
    <n v="2.9901336108839995"/>
    <n v="1053.7629718387313"/>
    <n v="0.35724400000000001"/>
    <m/>
    <n v="0"/>
    <n v="26.635999999999999"/>
    <n v="3.0329301619999995"/>
    <m/>
  </r>
  <r>
    <n v="80"/>
    <s v="Hosur"/>
    <x v="1"/>
    <s v="ELKAYEM AUTO Hosur"/>
    <x v="1"/>
    <n v="1940840"/>
    <s v="129663|948721-1940840"/>
    <s v="TUB-R-AW-RHS-40.00X30.00X2.000X6.0000"/>
    <x v="0"/>
    <m/>
    <x v="2"/>
    <s v="HR"/>
    <m/>
    <m/>
    <m/>
    <m/>
    <x v="37"/>
    <s v="40-30-2-ERW 1-FC-1"/>
    <s v="#REF!"/>
    <s v="Hosur"/>
    <m/>
    <m/>
    <m/>
    <x v="17"/>
    <x v="15"/>
    <x v="1"/>
    <x v="8"/>
    <n v="1000"/>
    <s v="M"/>
    <m/>
    <m/>
    <m/>
    <m/>
    <n v="0"/>
    <n v="0"/>
    <n v="0"/>
    <n v="0"/>
    <n v="0"/>
    <e v="#DIV/0!"/>
    <n v="0"/>
    <m/>
    <n v="0"/>
    <n v="26.635999999999999"/>
    <n v="0"/>
    <m/>
  </r>
  <r>
    <n v="81"/>
    <s v="Hosur"/>
    <x v="1"/>
    <s v="ELKAYEM AUTO Hosur"/>
    <x v="1"/>
    <n v="3453634"/>
    <s v="129663|948721-3453634"/>
    <s v="TUB-O-N-AUT-AW-FC-48.60X2.000X0.5450"/>
    <x v="0"/>
    <m/>
    <x v="1"/>
    <s v="HR"/>
    <m/>
    <m/>
    <m/>
    <m/>
    <x v="38"/>
    <s v="48.6-0-2-ERW 1--0.545"/>
    <s v="#REF!"/>
    <m/>
    <m/>
    <m/>
    <m/>
    <x v="18"/>
    <x v="17"/>
    <x v="0"/>
    <x v="8"/>
    <n v="545"/>
    <s v="NOS"/>
    <m/>
    <m/>
    <m/>
    <m/>
    <n v="0"/>
    <n v="0"/>
    <n v="0"/>
    <n v="0"/>
    <n v="0"/>
    <e v="#DIV/0!"/>
    <n v="0"/>
    <m/>
    <n v="0"/>
    <n v="0"/>
    <n v="0"/>
    <m/>
  </r>
  <r>
    <n v="82"/>
    <s v="Hosur"/>
    <x v="1"/>
    <s v="ELKAYEM AUTO Hosur"/>
    <x v="1"/>
    <n v="3545983"/>
    <s v="129663|948721-3545983"/>
    <s v="CUT-N-AUT-AW-FC-48.60X4.000X0.5950"/>
    <x v="0"/>
    <m/>
    <x v="1"/>
    <s v="HR"/>
    <m/>
    <m/>
    <m/>
    <m/>
    <x v="39"/>
    <s v="48.6-0-4-ERW 1--0.595"/>
    <s v="#REF!"/>
    <m/>
    <m/>
    <m/>
    <m/>
    <x v="18"/>
    <x v="17"/>
    <x v="0"/>
    <x v="11"/>
    <n v="595"/>
    <s v="NOS"/>
    <m/>
    <m/>
    <m/>
    <m/>
    <n v="0"/>
    <n v="0"/>
    <n v="0"/>
    <n v="0"/>
    <n v="0"/>
    <e v="#DIV/0!"/>
    <n v="0"/>
    <m/>
    <n v="0"/>
    <n v="0"/>
    <n v="0"/>
    <m/>
  </r>
  <r>
    <n v="83"/>
    <s v="Hosur"/>
    <x v="1"/>
    <s v="ELKAYEM AUTO Hosur"/>
    <x v="1"/>
    <n v="3164112"/>
    <s v="129663|948721-3164112"/>
    <s v="TUB-E-AW-AUT-59.00X30.00X1.600X0.6410"/>
    <x v="0"/>
    <m/>
    <x v="4"/>
    <s v="HR"/>
    <m/>
    <m/>
    <m/>
    <m/>
    <x v="40"/>
    <s v="59-30-1.6-ERW 1-FIN CUT-0.641"/>
    <s v="#REF!"/>
    <m/>
    <m/>
    <m/>
    <m/>
    <x v="18"/>
    <x v="18"/>
    <x v="1"/>
    <x v="0"/>
    <n v="641"/>
    <s v="NOS"/>
    <m/>
    <m/>
    <m/>
    <m/>
    <n v="0"/>
    <n v="0"/>
    <n v="0"/>
    <n v="0"/>
    <n v="0"/>
    <e v="#DIV/0!"/>
    <n v="17.97494"/>
    <m/>
    <n v="0"/>
    <n v="0.95099999999999996"/>
    <n v="-17.97494"/>
    <m/>
  </r>
  <r>
    <n v="84"/>
    <s v="Hosur"/>
    <x v="1"/>
    <s v="ELKAYEM AUTO Hosur"/>
    <x v="1"/>
    <n v="2427158"/>
    <s v="129663|948721-2427158"/>
    <s v="TUB-R-AW-AUT-50.00X30.00X1.600X0.6040"/>
    <x v="0"/>
    <m/>
    <x v="2"/>
    <s v="HR"/>
    <s v="HROP"/>
    <m/>
    <m/>
    <m/>
    <x v="6"/>
    <s v="50-30-1.6-ERW 1-FC-0.604"/>
    <n v="1"/>
    <s v="Hosur"/>
    <n v="0"/>
    <n v="0"/>
    <m/>
    <x v="4"/>
    <x v="4"/>
    <x v="1"/>
    <x v="0"/>
    <n v="604"/>
    <s v="NOS"/>
    <m/>
    <m/>
    <n v="32000"/>
    <m/>
    <n v="28275"/>
    <n v="3725"/>
    <n v="37.503457443839999"/>
    <n v="33.137820600767995"/>
    <n v="4.3656368430720036"/>
    <n v="198.95936291136778"/>
    <n v="0.233177"/>
    <m/>
    <n v="0"/>
    <n v="24.911000000000001"/>
    <n v="37.270280443840001"/>
    <m/>
  </r>
  <r>
    <n v="85"/>
    <s v="Khopoli "/>
    <x v="1"/>
    <s v="ELKAYEM AUTO Hosur"/>
    <x v="1"/>
    <n v="460176"/>
    <s v="129663|948721-460176"/>
    <s v="PT4-O-N-AUT-NR-AG-57.15X2.000X0.713"/>
    <x v="0"/>
    <m/>
    <x v="1"/>
    <s v="HR"/>
    <m/>
    <m/>
    <m/>
    <m/>
    <x v="41"/>
    <s v="57.15-0-2-ERW 1--0.713"/>
    <s v="#REF!"/>
    <m/>
    <m/>
    <m/>
    <m/>
    <x v="19"/>
    <x v="19"/>
    <x v="0"/>
    <x v="8"/>
    <n v="713"/>
    <s v="NOS"/>
    <m/>
    <m/>
    <m/>
    <m/>
    <n v="0"/>
    <n v="0"/>
    <n v="0"/>
    <n v="0"/>
    <n v="0"/>
    <e v="#DIV/0!"/>
    <n v="0"/>
    <m/>
    <n v="0"/>
    <n v="0"/>
    <n v="0"/>
    <m/>
  </r>
  <r>
    <n v="36"/>
    <s v="Hosur"/>
    <x v="1"/>
    <s v="ELKAYEM AUTO Hosur"/>
    <x v="1"/>
    <n v="3510169"/>
    <s v="129663|948721-3510169"/>
    <s v="CUT-O-N-AUT-AW-FC-19.05X1.600X0.2380"/>
    <x v="2"/>
    <m/>
    <x v="1"/>
    <s v="HR"/>
    <m/>
    <m/>
    <m/>
    <m/>
    <x v="42"/>
    <s v="19.05-0-1.6---0.238"/>
    <s v="#REF!"/>
    <m/>
    <m/>
    <m/>
    <m/>
    <x v="2"/>
    <x v="2"/>
    <x v="0"/>
    <x v="0"/>
    <n v="238"/>
    <m/>
    <m/>
    <m/>
    <m/>
    <m/>
    <e v="#N/A"/>
    <e v="#N/A"/>
    <n v="0"/>
    <e v="#N/A"/>
    <e v="#N/A"/>
    <e v="#DIV/0!"/>
    <n v="0"/>
    <m/>
    <n v="0"/>
    <n v="0"/>
    <n v="0"/>
    <m/>
  </r>
  <r>
    <n v="37"/>
    <s v="Hosur"/>
    <x v="1"/>
    <s v="ELKAYEM AUTO Hosur"/>
    <x v="1"/>
    <n v="464578"/>
    <s v="129663|948721-464578"/>
    <s v="PT2-O-N-AUT-AW-PE-19.05X1.600X0.310"/>
    <x v="2"/>
    <m/>
    <x v="1"/>
    <s v="HR"/>
    <m/>
    <m/>
    <m/>
    <m/>
    <x v="42"/>
    <s v="19.05-0-1.6---0.31"/>
    <s v="#REF!"/>
    <m/>
    <m/>
    <m/>
    <m/>
    <x v="2"/>
    <x v="2"/>
    <x v="0"/>
    <x v="0"/>
    <n v="310"/>
    <m/>
    <m/>
    <m/>
    <m/>
    <m/>
    <e v="#N/A"/>
    <e v="#N/A"/>
    <n v="0"/>
    <e v="#N/A"/>
    <e v="#N/A"/>
    <e v="#DIV/0!"/>
    <n v="0"/>
    <m/>
    <n v="0"/>
    <n v="0"/>
    <n v="0"/>
    <m/>
  </r>
  <r>
    <n v="38"/>
    <s v="Hosur"/>
    <x v="1"/>
    <s v="ELKAYEM AUTO Hosur"/>
    <x v="1"/>
    <n v="3453631"/>
    <s v="129663|948721-3453631"/>
    <s v="TUB-O-N-AUT-AW-FC-19.05X1.600X0.3500"/>
    <x v="2"/>
    <m/>
    <x v="1"/>
    <s v="HR"/>
    <m/>
    <m/>
    <m/>
    <m/>
    <x v="42"/>
    <s v="19.05-0-1.6---0.35"/>
    <s v="#REF!"/>
    <m/>
    <m/>
    <m/>
    <m/>
    <x v="2"/>
    <x v="2"/>
    <x v="0"/>
    <x v="0"/>
    <n v="350"/>
    <m/>
    <m/>
    <m/>
    <m/>
    <m/>
    <e v="#N/A"/>
    <e v="#N/A"/>
    <n v="0"/>
    <e v="#N/A"/>
    <e v="#N/A"/>
    <e v="#DIV/0!"/>
    <n v="0"/>
    <m/>
    <n v="0"/>
    <n v="0"/>
    <n v="0"/>
    <m/>
  </r>
  <r>
    <n v="39"/>
    <s v="Hosur"/>
    <x v="1"/>
    <s v="ELKAYEM AUTO Hosur"/>
    <x v="1"/>
    <n v="1531612"/>
    <s v="129663|948721-1531612"/>
    <s v="TUB-O-N-AUT-AW-PE-19.05X1.600X0.3800"/>
    <x v="2"/>
    <m/>
    <x v="1"/>
    <s v="HR"/>
    <m/>
    <m/>
    <m/>
    <m/>
    <x v="42"/>
    <s v="19.05-0-1.6---0.38"/>
    <s v="#REF!"/>
    <m/>
    <m/>
    <m/>
    <m/>
    <x v="2"/>
    <x v="2"/>
    <x v="0"/>
    <x v="0"/>
    <n v="380"/>
    <m/>
    <m/>
    <m/>
    <m/>
    <m/>
    <e v="#N/A"/>
    <e v="#N/A"/>
    <n v="0"/>
    <e v="#N/A"/>
    <e v="#N/A"/>
    <e v="#DIV/0!"/>
    <n v="0"/>
    <m/>
    <n v="0"/>
    <n v="0"/>
    <n v="0"/>
    <m/>
  </r>
  <r>
    <n v="40"/>
    <s v="Hosur"/>
    <x v="1"/>
    <s v="ELKAYEM AUTO Hosur"/>
    <x v="1"/>
    <n v="3510171"/>
    <s v="129663|948721-3510171"/>
    <s v="CUT-O-N-AUT-AW-FC-19.05X1.600X0.4690"/>
    <x v="2"/>
    <m/>
    <x v="1"/>
    <s v="HR"/>
    <m/>
    <m/>
    <m/>
    <m/>
    <x v="42"/>
    <s v="19.05-0-1.6---0.469"/>
    <s v="#REF!"/>
    <m/>
    <m/>
    <m/>
    <m/>
    <x v="2"/>
    <x v="2"/>
    <x v="0"/>
    <x v="0"/>
    <n v="469"/>
    <m/>
    <m/>
    <m/>
    <m/>
    <m/>
    <e v="#N/A"/>
    <e v="#N/A"/>
    <n v="0"/>
    <e v="#N/A"/>
    <e v="#N/A"/>
    <e v="#DIV/0!"/>
    <n v="0"/>
    <m/>
    <n v="0"/>
    <n v="0"/>
    <n v="0"/>
    <m/>
  </r>
  <r>
    <n v="41"/>
    <s v="Hosur"/>
    <x v="1"/>
    <s v="ELKAYEM AUTO Hosur"/>
    <x v="1"/>
    <n v="3213875"/>
    <s v="129663|948721-3213875"/>
    <s v="TUB-O-N-AUT-AW-PE-19.05X1.60X0.485-MAHS"/>
    <x v="2"/>
    <m/>
    <x v="1"/>
    <s v="HR"/>
    <m/>
    <m/>
    <m/>
    <m/>
    <x v="42"/>
    <s v="19.05-0-1.6---0.485"/>
    <s v="#REF!"/>
    <m/>
    <m/>
    <m/>
    <m/>
    <x v="2"/>
    <x v="2"/>
    <x v="0"/>
    <x v="0"/>
    <n v="485"/>
    <m/>
    <m/>
    <m/>
    <m/>
    <m/>
    <e v="#N/A"/>
    <e v="#N/A"/>
    <n v="0"/>
    <e v="#N/A"/>
    <e v="#N/A"/>
    <e v="#DIV/0!"/>
    <n v="0"/>
    <m/>
    <n v="0"/>
    <n v="0"/>
    <n v="0"/>
    <m/>
  </r>
  <r>
    <n v="42"/>
    <s v="Hosur"/>
    <x v="1"/>
    <s v="ELKAYEM AUTO Hosur"/>
    <x v="1"/>
    <n v="319456"/>
    <s v="129663|948721-319456"/>
    <s v="PT2-O-N-AUT-AW-PE-19.05X1.630X0.336"/>
    <x v="2"/>
    <m/>
    <x v="1"/>
    <s v="HR"/>
    <m/>
    <m/>
    <m/>
    <m/>
    <x v="43"/>
    <s v="19.05-0-1.63---0.336"/>
    <s v="#REF!"/>
    <m/>
    <m/>
    <m/>
    <m/>
    <x v="2"/>
    <x v="2"/>
    <x v="0"/>
    <x v="12"/>
    <n v="336"/>
    <m/>
    <m/>
    <m/>
    <m/>
    <m/>
    <e v="#N/A"/>
    <e v="#N/A"/>
    <n v="0"/>
    <e v="#N/A"/>
    <e v="#N/A"/>
    <e v="#DIV/0!"/>
    <n v="0"/>
    <m/>
    <n v="0"/>
    <n v="0"/>
    <n v="0"/>
    <m/>
  </r>
  <r>
    <n v="53"/>
    <s v="Hosur"/>
    <x v="1"/>
    <s v="ELKAYEM AUTO Hosur"/>
    <x v="1"/>
    <n v="1482265"/>
    <s v="129663|948721-1482265"/>
    <s v="TUB-O-N-AUT-AW-PE-25.40X2.000X0.4780"/>
    <x v="2"/>
    <m/>
    <x v="1"/>
    <s v="HR"/>
    <m/>
    <m/>
    <m/>
    <m/>
    <x v="44"/>
    <s v="25.4-0-2---0.478"/>
    <s v="#REF!"/>
    <m/>
    <m/>
    <m/>
    <m/>
    <x v="3"/>
    <x v="3"/>
    <x v="0"/>
    <x v="8"/>
    <n v="478"/>
    <m/>
    <m/>
    <m/>
    <m/>
    <m/>
    <e v="#N/A"/>
    <e v="#N/A"/>
    <n v="0"/>
    <e v="#N/A"/>
    <e v="#N/A"/>
    <e v="#DIV/0!"/>
    <n v="0"/>
    <m/>
    <n v="0"/>
    <n v="0"/>
    <n v="0"/>
    <m/>
  </r>
  <r>
    <n v="54"/>
    <s v="Hosur"/>
    <x v="1"/>
    <s v="ELKAYEM AUTO Hosur"/>
    <x v="1"/>
    <n v="3218520"/>
    <s v="129663|948721-3218520"/>
    <s v="TUB-O-N-AUT-AW-PE-25.40X2.000X0.4960"/>
    <x v="2"/>
    <m/>
    <x v="1"/>
    <s v="HR"/>
    <m/>
    <m/>
    <m/>
    <m/>
    <x v="44"/>
    <s v="25.4-0-2---0.496"/>
    <s v="#REF!"/>
    <m/>
    <m/>
    <m/>
    <m/>
    <x v="3"/>
    <x v="3"/>
    <x v="0"/>
    <x v="8"/>
    <n v="496"/>
    <m/>
    <m/>
    <m/>
    <m/>
    <m/>
    <e v="#N/A"/>
    <e v="#N/A"/>
    <n v="0"/>
    <e v="#N/A"/>
    <e v="#N/A"/>
    <e v="#DIV/0!"/>
    <n v="0"/>
    <m/>
    <n v="0"/>
    <n v="0"/>
    <n v="0"/>
    <m/>
  </r>
  <r>
    <n v="61"/>
    <s v="Khopoli "/>
    <x v="1"/>
    <s v="ELKAYEM AUTO Hosur"/>
    <x v="1"/>
    <n v="403039"/>
    <s v="129663|948721-403039"/>
    <s v="PT3-I-C-AUT-AD-CH-31.20X3.200X0.295"/>
    <x v="2"/>
    <m/>
    <x v="1"/>
    <s v="HR"/>
    <m/>
    <m/>
    <m/>
    <m/>
    <x v="45"/>
    <s v="37.6-31.2-3.2---0.295"/>
    <s v="#REF!"/>
    <m/>
    <m/>
    <m/>
    <m/>
    <x v="20"/>
    <x v="20"/>
    <x v="5"/>
    <x v="13"/>
    <n v="295"/>
    <m/>
    <m/>
    <m/>
    <m/>
    <m/>
    <e v="#N/A"/>
    <e v="#N/A"/>
    <n v="0"/>
    <e v="#N/A"/>
    <e v="#N/A"/>
    <e v="#DIV/0!"/>
    <n v="0"/>
    <m/>
    <n v="0"/>
    <n v="0"/>
    <n v="0"/>
    <m/>
  </r>
  <r>
    <n v="66"/>
    <s v="Hosur"/>
    <x v="1"/>
    <s v="ELKAYEM AUTO Hosur"/>
    <x v="1"/>
    <n v="1551280"/>
    <s v="129663|948721-1551280"/>
    <s v="TUB-O-N-AUT-AW-PE-34.93X2.000X0.2840"/>
    <x v="2"/>
    <m/>
    <x v="1"/>
    <s v="HR"/>
    <m/>
    <m/>
    <m/>
    <m/>
    <x v="46"/>
    <s v="34.93-0-2---0.284"/>
    <s v="#REF!"/>
    <m/>
    <m/>
    <m/>
    <m/>
    <x v="13"/>
    <x v="14"/>
    <x v="0"/>
    <x v="8"/>
    <n v="284"/>
    <m/>
    <m/>
    <m/>
    <m/>
    <m/>
    <e v="#N/A"/>
    <e v="#N/A"/>
    <n v="0"/>
    <e v="#N/A"/>
    <e v="#N/A"/>
    <e v="#DIV/0!"/>
    <n v="0"/>
    <m/>
    <n v="0"/>
    <n v="0"/>
    <n v="0"/>
    <m/>
  </r>
  <r>
    <n v="67"/>
    <s v="Hosur"/>
    <x v="1"/>
    <s v="ELKAYEM AUTO Hosur"/>
    <x v="1"/>
    <n v="1236370"/>
    <s v="129663|948721-1236370"/>
    <s v="TUB-O-N-AUT-AW-FC-34.93X2.000X0.339"/>
    <x v="2"/>
    <m/>
    <x v="1"/>
    <s v="HR"/>
    <m/>
    <m/>
    <m/>
    <m/>
    <x v="46"/>
    <s v="34.93-0-2---0.339"/>
    <s v="#REF!"/>
    <m/>
    <m/>
    <m/>
    <m/>
    <x v="13"/>
    <x v="14"/>
    <x v="0"/>
    <x v="8"/>
    <n v="339"/>
    <m/>
    <m/>
    <m/>
    <m/>
    <m/>
    <e v="#N/A"/>
    <e v="#N/A"/>
    <n v="0"/>
    <e v="#N/A"/>
    <e v="#N/A"/>
    <e v="#DIV/0!"/>
    <n v="0"/>
    <m/>
    <n v="0"/>
    <n v="0"/>
    <n v="0"/>
    <m/>
  </r>
  <r>
    <m/>
    <s v="Hosur"/>
    <x v="2"/>
    <s v="ELKAYEM AUTO Mysore"/>
    <x v="3"/>
    <m/>
    <s v="940921-"/>
    <m/>
    <x v="1"/>
    <m/>
    <x v="1"/>
    <m/>
    <m/>
    <m/>
    <m/>
    <m/>
    <x v="1"/>
    <m/>
    <m/>
    <m/>
    <m/>
    <m/>
    <m/>
    <x v="6"/>
    <x v="6"/>
    <x v="0"/>
    <x v="3"/>
    <n v="1000"/>
    <s v="M"/>
    <m/>
    <m/>
    <n v="7500"/>
    <m/>
    <n v="0"/>
    <n v="7500"/>
    <n v="6.8844656999999989"/>
    <n v="0"/>
    <n v="6.8844656999999989"/>
    <n v="0"/>
    <n v="0"/>
    <m/>
    <n v="0"/>
    <n v="0"/>
    <n v="6.8844656999999989"/>
    <m/>
  </r>
  <r>
    <m/>
    <s v="Hosur"/>
    <x v="2"/>
    <s v="ELKAYEM AUTO Mysore"/>
    <x v="3"/>
    <m/>
    <s v="940921-"/>
    <m/>
    <x v="1"/>
    <m/>
    <x v="3"/>
    <s v="CEW"/>
    <m/>
    <m/>
    <m/>
    <m/>
    <x v="47"/>
    <s v="28.6-0-2.65-CEW-CEW-1"/>
    <m/>
    <m/>
    <m/>
    <m/>
    <m/>
    <x v="8"/>
    <x v="8"/>
    <x v="0"/>
    <x v="14"/>
    <n v="1000"/>
    <s v="M"/>
    <m/>
    <m/>
    <m/>
    <m/>
    <n v="0"/>
    <n v="0"/>
    <n v="0"/>
    <n v="0"/>
    <n v="0"/>
    <e v="#DIV/0!"/>
    <n v="0"/>
    <m/>
    <n v="0"/>
    <n v="0"/>
    <n v="0"/>
    <m/>
  </r>
  <r>
    <n v="92"/>
    <s v="Hosur"/>
    <x v="2"/>
    <s v="ELKAYEM AUTO Mysore"/>
    <x v="3"/>
    <n v="403039"/>
    <s v="940921-403039"/>
    <s v="PT3-I-C-AUT-AD-CH-31.20X3.200X0.295"/>
    <x v="1"/>
    <m/>
    <x v="3"/>
    <s v="HR"/>
    <m/>
    <s v="Chamferring"/>
    <m/>
    <m/>
    <x v="48"/>
    <s v="37.6-31.2-3.2-CEW-CEW-0.295"/>
    <n v="1"/>
    <s v="Khopoli"/>
    <n v="0"/>
    <n v="0"/>
    <m/>
    <x v="21"/>
    <x v="20"/>
    <x v="5"/>
    <x v="13"/>
    <n v="295"/>
    <s v="NOS"/>
    <m/>
    <m/>
    <n v="5650"/>
    <m/>
    <n v="0"/>
    <n v="5650"/>
    <n v="4.5224959801599995"/>
    <n v="0"/>
    <n v="4.5224959801599995"/>
    <n v="0"/>
    <n v="0"/>
    <m/>
    <n v="0"/>
    <n v="0"/>
    <n v="4.5224959801599995"/>
    <m/>
  </r>
  <r>
    <m/>
    <s v="Hosur"/>
    <x v="2"/>
    <s v="ELKAYEM AUTO Mysore"/>
    <x v="3"/>
    <n v="1900224"/>
    <s v="940921-1900224"/>
    <s v="TUB-O-N-AUT-AP-PE-15.88X1.600X6.0000"/>
    <x v="0"/>
    <m/>
    <x v="0"/>
    <s v="CR"/>
    <m/>
    <m/>
    <m/>
    <m/>
    <x v="15"/>
    <s v="15.88-0-1.6-ERW 1-PE-1"/>
    <n v="6"/>
    <s v="Hosur"/>
    <m/>
    <m/>
    <m/>
    <x v="1"/>
    <x v="1"/>
    <x v="0"/>
    <x v="0"/>
    <n v="1000"/>
    <s v="M"/>
    <m/>
    <m/>
    <n v="4250"/>
    <m/>
    <n v="4248"/>
    <n v="2"/>
    <n v="2.3935164959999997"/>
    <n v="2.3923901352959995"/>
    <n v="1.1263607040001844E-3"/>
    <n v="0"/>
    <n v="0"/>
    <m/>
    <n v="0"/>
    <n v="3.8879999999999999"/>
    <n v="2.3935164959999997"/>
    <m/>
  </r>
  <r>
    <m/>
    <s v="Hosur"/>
    <x v="2"/>
    <s v="ELKAYEM AUTO Mysore"/>
    <x v="3"/>
    <m/>
    <s v="940921-"/>
    <m/>
    <x v="0"/>
    <m/>
    <x v="0"/>
    <s v="CR"/>
    <s v="WG"/>
    <m/>
    <m/>
    <m/>
    <x v="15"/>
    <s v="15.88-0-1.6-ERW 1-PE-1"/>
    <n v="6"/>
    <s v="Hosur"/>
    <m/>
    <m/>
    <m/>
    <x v="1"/>
    <x v="1"/>
    <x v="0"/>
    <x v="0"/>
    <n v="1000"/>
    <s v="M"/>
    <m/>
    <m/>
    <m/>
    <m/>
    <n v="4248"/>
    <n v="-4248"/>
    <n v="0"/>
    <n v="2.3923901352959995"/>
    <n v="-2.3923901352959995"/>
    <e v="#DIV/0!"/>
    <n v="0"/>
    <m/>
    <n v="0"/>
    <n v="3.8879999999999999"/>
    <n v="0"/>
    <m/>
  </r>
  <r>
    <n v="87"/>
    <s v="Hosur"/>
    <x v="2"/>
    <s v="ELKAYEM AUTO Mysore"/>
    <x v="3"/>
    <n v="468311"/>
    <s v="940921-468311"/>
    <s v="TUB-O-N-AUT-AW-PE-15.88X2.000X0.291"/>
    <x v="0"/>
    <m/>
    <x v="0"/>
    <s v="HR"/>
    <m/>
    <m/>
    <m/>
    <m/>
    <x v="16"/>
    <s v="15.88-0-2-ERW 1-PE-0.291"/>
    <n v="5"/>
    <s v="Hosur"/>
    <n v="0"/>
    <n v="0"/>
    <m/>
    <x v="1"/>
    <x v="1"/>
    <x v="0"/>
    <x v="8"/>
    <n v="291"/>
    <s v="NOS"/>
    <m/>
    <m/>
    <n v="12400"/>
    <m/>
    <n v="12400"/>
    <n v="0"/>
    <n v="2.4690702164160001"/>
    <n v="2.4690702164160001"/>
    <n v="0"/>
    <n v="1474.669118679506"/>
    <n v="0.29363400000000001"/>
    <m/>
    <n v="0"/>
    <n v="0.24399999999999999"/>
    <n v="2.1754362164160002"/>
    <m/>
  </r>
  <r>
    <n v="88"/>
    <s v="Hosur"/>
    <x v="2"/>
    <s v="ELKAYEM AUTO Mysore"/>
    <x v="3"/>
    <m/>
    <s v="940921-"/>
    <m/>
    <x v="0"/>
    <m/>
    <x v="2"/>
    <s v="HR"/>
    <m/>
    <s v="Chamferring"/>
    <m/>
    <m/>
    <x v="23"/>
    <s v="22.23-0-2-ERW 1-FC-0.706"/>
    <s v="#REF!"/>
    <m/>
    <m/>
    <m/>
    <m/>
    <x v="11"/>
    <x v="11"/>
    <x v="0"/>
    <x v="8"/>
    <n v="706"/>
    <s v="NOS"/>
    <m/>
    <m/>
    <m/>
    <m/>
    <n v="0"/>
    <n v="0"/>
    <n v="0"/>
    <n v="0"/>
    <n v="0"/>
    <e v="#DIV/0!"/>
    <n v="0"/>
    <m/>
    <n v="9.1681769999999982"/>
    <n v="2.7130000000000001"/>
    <n v="0"/>
    <m/>
  </r>
  <r>
    <n v="89"/>
    <s v="Hosur"/>
    <x v="2"/>
    <s v="ELKAYEM AUTO Mysore"/>
    <x v="3"/>
    <n v="288719"/>
    <s v="940921-288719"/>
    <s v="PT2-O-N-AUT-AW-PE-22.20X2.000X0.715"/>
    <x v="0"/>
    <m/>
    <x v="2"/>
    <s v="HR"/>
    <m/>
    <m/>
    <m/>
    <m/>
    <x v="23"/>
    <s v="22.23-0-2-ERW 1-FC-0.715"/>
    <n v="1"/>
    <s v="Hosur"/>
    <n v="7.6364609999999988"/>
    <n v="1.5317159999999999"/>
    <m/>
    <x v="11"/>
    <x v="11"/>
    <x v="0"/>
    <x v="8"/>
    <n v="715"/>
    <s v="NOS"/>
    <m/>
    <m/>
    <n v="24600"/>
    <m/>
    <n v="4975"/>
    <n v="19625"/>
    <n v="17.54148402006"/>
    <n v="3.5475155690975004"/>
    <n v="13.9939684509625"/>
    <n v="6063.3813808665545"/>
    <n v="4.3236059999999998"/>
    <m/>
    <n v="9.1681769999999982"/>
    <n v="2.7130000000000001"/>
    <n v="13.217878020060001"/>
    <m/>
  </r>
  <r>
    <m/>
    <s v="Hosur"/>
    <x v="2"/>
    <s v="ELKAYEM AUTO Mysore"/>
    <x v="3"/>
    <m/>
    <s v="940921-"/>
    <m/>
    <x v="0"/>
    <m/>
    <x v="0"/>
    <s v="HR"/>
    <m/>
    <m/>
    <m/>
    <m/>
    <x v="49"/>
    <s v="22.23-0-2-ERW 1-PE-1"/>
    <m/>
    <m/>
    <n v="5.5039059999999997"/>
    <n v="1.0470000000000002"/>
    <m/>
    <x v="11"/>
    <x v="11"/>
    <x v="0"/>
    <x v="8"/>
    <n v="1000"/>
    <s v="M"/>
    <m/>
    <m/>
    <n v="13700"/>
    <m/>
    <n v="12930.000000000002"/>
    <n v="769.99999999999818"/>
    <n v="13.662989998"/>
    <n v="12.895070122200002"/>
    <n v="0.76791987579999876"/>
    <n v="5153.1620611817998"/>
    <n v="5.1392410000000002"/>
    <m/>
    <n v="11.690147"/>
    <n v="1.629"/>
    <n v="8.5237489980000003"/>
    <m/>
  </r>
  <r>
    <m/>
    <s v="Hosur"/>
    <x v="2"/>
    <s v="ELKAYEM AUTO Mysore"/>
    <x v="3"/>
    <n v="2404326"/>
    <s v="940921-2404326"/>
    <s v="TUB-O-N-AUT-AW-PE-22.23X2.000X5.5300"/>
    <x v="0"/>
    <m/>
    <x v="2"/>
    <s v="HR"/>
    <m/>
    <m/>
    <m/>
    <m/>
    <x v="23"/>
    <s v="22.23-0-2-ERW 1-FC-1"/>
    <n v="2"/>
    <s v="Hosur"/>
    <s v="Plan"/>
    <m/>
    <m/>
    <x v="11"/>
    <x v="11"/>
    <x v="0"/>
    <x v="8"/>
    <n v="1000"/>
    <s v="M"/>
    <m/>
    <m/>
    <m/>
    <m/>
    <n v="0"/>
    <n v="0"/>
    <n v="0"/>
    <n v="0"/>
    <n v="0"/>
    <e v="#DIV/0!"/>
    <n v="0"/>
    <m/>
    <n v="9.1681769999999982"/>
    <n v="2.7130000000000001"/>
    <n v="0"/>
    <m/>
  </r>
  <r>
    <m/>
    <s v="Hosur"/>
    <x v="2"/>
    <s v="ELKAYEM AUTO Mysore"/>
    <x v="3"/>
    <m/>
    <s v="940921-"/>
    <m/>
    <x v="0"/>
    <m/>
    <x v="2"/>
    <s v="HR"/>
    <m/>
    <m/>
    <m/>
    <m/>
    <x v="25"/>
    <s v="25.4-0-2-ERW 1-FC-0.35"/>
    <n v="1"/>
    <s v="Hosur"/>
    <n v="10.051000000000002"/>
    <n v="0"/>
    <m/>
    <x v="3"/>
    <x v="3"/>
    <x v="0"/>
    <x v="8"/>
    <n v="350"/>
    <s v="NOS"/>
    <m/>
    <m/>
    <n v="10400"/>
    <m/>
    <n v="15425"/>
    <n v="-5025"/>
    <n v="4.1990064479999996"/>
    <n v="6.2278533134999989"/>
    <n v="-2.0288468654999994"/>
    <n v="318.78588818018414"/>
    <n v="0.12871000000000002"/>
    <m/>
    <n v="10.738999999999999"/>
    <n v="25.931000000000001"/>
    <n v="4.0702964479999997"/>
    <m/>
  </r>
  <r>
    <m/>
    <s v="Hosur"/>
    <x v="2"/>
    <s v="ELKAYEM AUTO Mysore"/>
    <x v="3"/>
    <m/>
    <s v="940921-"/>
    <m/>
    <x v="0"/>
    <m/>
    <x v="2"/>
    <m/>
    <m/>
    <m/>
    <m/>
    <m/>
    <x v="1"/>
    <m/>
    <m/>
    <m/>
    <n v="0"/>
    <m/>
    <m/>
    <x v="10"/>
    <x v="10"/>
    <x v="0"/>
    <x v="10"/>
    <n v="193"/>
    <s v="NOS"/>
    <m/>
    <m/>
    <n v="24450"/>
    <m/>
    <n v="0"/>
    <n v="24450"/>
    <n v="8.5055295231562482"/>
    <n v="0"/>
    <n v="8.5055295231562482"/>
    <n v="0"/>
    <n v="0"/>
    <m/>
    <n v="0"/>
    <n v="0"/>
    <n v="8.5055295231562482"/>
    <m/>
  </r>
  <r>
    <n v="90"/>
    <s v="Hosur"/>
    <x v="2"/>
    <s v="ELKAYEM AUTO Mysore"/>
    <x v="3"/>
    <n v="1155165"/>
    <s v="940921-1155165"/>
    <s v="TUB-O-N-AUT-AW-PE-34.93X1.600X1.726"/>
    <x v="0"/>
    <m/>
    <x v="2"/>
    <s v="CR"/>
    <s v=""/>
    <m/>
    <m/>
    <m/>
    <x v="29"/>
    <s v="34.93-0-1.6-ERW 1-FC-1.726"/>
    <n v="2"/>
    <s v="Hosur"/>
    <n v="0"/>
    <n v="0"/>
    <m/>
    <x v="13"/>
    <x v="14"/>
    <x v="0"/>
    <x v="0"/>
    <n v="1726"/>
    <s v="NOS"/>
    <m/>
    <m/>
    <n v="2800"/>
    <m/>
    <n v="1590"/>
    <n v="1210"/>
    <n v="6.352627991001599"/>
    <n v="3.6073851806044801"/>
    <n v="2.7452428103971189"/>
    <n v="623.50611520311884"/>
    <n v="1.4146080000000001"/>
    <m/>
    <n v="0"/>
    <n v="0"/>
    <n v="4.9380199910015987"/>
    <m/>
  </r>
  <r>
    <n v="91"/>
    <s v="Hosur"/>
    <x v="2"/>
    <s v="ELKAYEM AUTO Mysore"/>
    <x v="3"/>
    <n v="1940718"/>
    <s v="940921-1940718"/>
    <s v="TUB-O-O-AUT-AW-FC-34.93X2.600X1.7210"/>
    <x v="0"/>
    <m/>
    <x v="2"/>
    <s v="HR"/>
    <m/>
    <m/>
    <m/>
    <m/>
    <x v="50"/>
    <s v="34.93-0-2.6-ERW 1-FC-1.721"/>
    <n v="1"/>
    <s v="Hosur"/>
    <n v="0.75900000000000001"/>
    <n v="0"/>
    <m/>
    <x v="13"/>
    <x v="14"/>
    <x v="0"/>
    <x v="14"/>
    <n v="1721"/>
    <s v="NOS"/>
    <m/>
    <m/>
    <n v="3000"/>
    <m/>
    <n v="3000"/>
    <n v="0"/>
    <n v="10.697455349645999"/>
    <n v="10.697455349645999"/>
    <n v="0"/>
    <n v="1452.135624058862"/>
    <n v="5.178052000000001"/>
    <m/>
    <n v="0.75900000000000001"/>
    <n v="0"/>
    <n v="5.519403349645998"/>
    <m/>
  </r>
  <r>
    <m/>
    <s v="Hosur"/>
    <x v="2"/>
    <s v="ELKAYEM AUTO Mysore"/>
    <x v="3"/>
    <m/>
    <s v="940921-"/>
    <m/>
    <x v="0"/>
    <m/>
    <x v="2"/>
    <m/>
    <m/>
    <m/>
    <m/>
    <m/>
    <x v="1"/>
    <m/>
    <m/>
    <m/>
    <n v="0"/>
    <m/>
    <m/>
    <x v="17"/>
    <x v="15"/>
    <x v="1"/>
    <x v="0"/>
    <n v="264"/>
    <s v="NOS"/>
    <m/>
    <m/>
    <m/>
    <m/>
    <n v="0"/>
    <n v="0"/>
    <n v="0"/>
    <n v="0"/>
    <n v="0"/>
    <e v="#DIV/0!"/>
    <n v="0"/>
    <m/>
    <n v="0"/>
    <n v="0"/>
    <n v="0"/>
    <m/>
  </r>
  <r>
    <m/>
    <s v="Hosur"/>
    <x v="2"/>
    <s v="ELKAYEM AUTO Mysore"/>
    <x v="3"/>
    <m/>
    <s v="940921-"/>
    <m/>
    <x v="0"/>
    <m/>
    <x v="2"/>
    <m/>
    <m/>
    <m/>
    <s v="AG"/>
    <m/>
    <x v="37"/>
    <s v="40-30-2-ERW 1-FC-0.149"/>
    <m/>
    <m/>
    <n v="0"/>
    <n v="0"/>
    <m/>
    <x v="17"/>
    <x v="15"/>
    <x v="1"/>
    <x v="8"/>
    <n v="149"/>
    <s v="NOS"/>
    <m/>
    <m/>
    <n v="25750"/>
    <m/>
    <n v="0"/>
    <n v="25750"/>
    <n v="8.0291671086750007"/>
    <n v="0"/>
    <n v="8.0291671086750007"/>
    <n v="0"/>
    <n v="0"/>
    <m/>
    <n v="0"/>
    <n v="26.635999999999999"/>
    <n v="8.0291671086750007"/>
    <m/>
  </r>
  <r>
    <m/>
    <s v="Hosur"/>
    <x v="2"/>
    <s v="ELKAYEM AUTO Mysore"/>
    <x v="3"/>
    <m/>
    <s v="940921-"/>
    <m/>
    <x v="0"/>
    <m/>
    <x v="2"/>
    <m/>
    <m/>
    <m/>
    <s v="AG"/>
    <m/>
    <x v="1"/>
    <m/>
    <m/>
    <m/>
    <n v="0"/>
    <m/>
    <m/>
    <x v="17"/>
    <x v="15"/>
    <x v="1"/>
    <x v="8"/>
    <n v="162"/>
    <s v="NOS"/>
    <m/>
    <m/>
    <n v="3100"/>
    <m/>
    <n v="0"/>
    <n v="3100"/>
    <n v="1.05095399022"/>
    <n v="0"/>
    <n v="1.05095399022"/>
    <n v="0"/>
    <n v="0"/>
    <m/>
    <n v="0"/>
    <n v="0"/>
    <n v="1.05095399022"/>
    <m/>
  </r>
  <r>
    <m/>
    <s v="Hosur"/>
    <x v="2"/>
    <s v="ELKAYEM AUTO Mysore"/>
    <x v="3"/>
    <m/>
    <s v="940921-"/>
    <m/>
    <x v="0"/>
    <m/>
    <x v="2"/>
    <m/>
    <m/>
    <m/>
    <s v="AG"/>
    <m/>
    <x v="37"/>
    <s v="40-30-2-ERW 1-FC-0.162"/>
    <m/>
    <m/>
    <n v="0"/>
    <n v="0"/>
    <m/>
    <x v="17"/>
    <x v="15"/>
    <x v="1"/>
    <x v="8"/>
    <n v="162"/>
    <s v="NOS"/>
    <m/>
    <m/>
    <m/>
    <m/>
    <n v="0"/>
    <n v="0"/>
    <n v="0"/>
    <n v="0"/>
    <n v="0"/>
    <e v="#DIV/0!"/>
    <n v="0.35724400000000001"/>
    <m/>
    <n v="0"/>
    <n v="26.635999999999999"/>
    <n v="-0.35724400000000001"/>
    <m/>
  </r>
  <r>
    <n v="93"/>
    <s v="Hosur"/>
    <x v="2"/>
    <s v="ELKAYEM AUTO Mysore"/>
    <x v="3"/>
    <n v="3164112"/>
    <s v="940921-3164112"/>
    <s v="TUB-E-AW-AUT-59.00X30.00X1.600X0.6410"/>
    <x v="0"/>
    <m/>
    <x v="4"/>
    <s v="HR"/>
    <m/>
    <m/>
    <m/>
    <m/>
    <x v="40"/>
    <s v="59-30-1.6-ERW 1-FIN CUT-0.641"/>
    <n v="2"/>
    <s v="Hosur"/>
    <n v="0"/>
    <n v="0"/>
    <m/>
    <x v="18"/>
    <x v="18"/>
    <x v="1"/>
    <x v="0"/>
    <n v="641"/>
    <s v="NOS"/>
    <m/>
    <m/>
    <n v="13700"/>
    <m/>
    <n v="3320"/>
    <n v="10380"/>
    <n v="16.277801272160001"/>
    <n v="3.9446934469760002"/>
    <n v="12.333107825184001"/>
    <n v="15128.374765280736"/>
    <n v="17.97494"/>
    <m/>
    <n v="0"/>
    <n v="0.95099999999999996"/>
    <n v="-1.6971387278399988"/>
    <m/>
  </r>
  <r>
    <n v="94"/>
    <s v="Hosur"/>
    <x v="2"/>
    <s v="ELKAYEM AUTO Mysore"/>
    <x v="3"/>
    <n v="1940879"/>
    <s v="940921-1940879"/>
    <s v="TUB-R-AW-RHS-50.00X30.00X1.600X0.6360"/>
    <x v="0"/>
    <m/>
    <x v="2"/>
    <s v="HR"/>
    <s v="GR1"/>
    <m/>
    <m/>
    <m/>
    <x v="6"/>
    <s v="50-30-1.6-ERW 1-FC-0.636"/>
    <n v="1"/>
    <s v="Hosur"/>
    <n v="0"/>
    <n v="0"/>
    <m/>
    <x v="4"/>
    <x v="4"/>
    <x v="1"/>
    <x v="0"/>
    <n v="636"/>
    <s v="NOS"/>
    <m/>
    <m/>
    <n v="23250"/>
    <m/>
    <n v="7530"/>
    <n v="15720"/>
    <n v="28.692240543360001"/>
    <n v="9.2925837114623988"/>
    <n v="19.399656831897602"/>
    <n v="1972.3357753982132"/>
    <n v="2.4340099999999998"/>
    <m/>
    <n v="0"/>
    <n v="24.911000000000001"/>
    <n v="26.25823054336"/>
    <m/>
  </r>
  <r>
    <n v="95"/>
    <s v="Hosur"/>
    <x v="2"/>
    <s v="ELKAYEM AUTO Mysore"/>
    <x v="3"/>
    <n v="460176"/>
    <s v="940921-460176"/>
    <s v="PT4-O-N-AUT-NR-AG-57.15X2.000X0.713"/>
    <x v="0"/>
    <m/>
    <x v="2"/>
    <s v="HR"/>
    <m/>
    <m/>
    <s v="AG"/>
    <m/>
    <x v="51"/>
    <s v="57.15-0-2-ERW 1-FC-0.713"/>
    <n v="1"/>
    <s v="Hosur"/>
    <n v="2.455098"/>
    <n v="0.125917"/>
    <m/>
    <x v="19"/>
    <x v="19"/>
    <x v="0"/>
    <x v="8"/>
    <n v="713"/>
    <s v="NOS"/>
    <m/>
    <m/>
    <n v="7150"/>
    <m/>
    <n v="3314"/>
    <n v="3836"/>
    <n v="13.860228461364999"/>
    <n v="6.424167429505399"/>
    <n v="7.4360610318595999"/>
    <n v="0"/>
    <n v="0"/>
    <m/>
    <n v="2.455098"/>
    <n v="0"/>
    <n v="13.860228461364999"/>
    <m/>
  </r>
  <r>
    <n v="97"/>
    <s v="Khopoli "/>
    <x v="3"/>
    <s v="Kay Jay"/>
    <x v="4"/>
    <n v="3940551"/>
    <s v="188934-3940551"/>
    <s v="CUT-O-C-AUT-AD-FC-29.40X4.500X0.3600"/>
    <x v="1"/>
    <m/>
    <x v="3"/>
    <s v="HR"/>
    <m/>
    <s v="Chamferring"/>
    <m/>
    <m/>
    <x v="52"/>
    <s v="29.4-20.4-4.5-CEW-CEW-0.36"/>
    <n v="1"/>
    <s v="Khopoli"/>
    <m/>
    <m/>
    <m/>
    <x v="22"/>
    <x v="21"/>
    <x v="6"/>
    <x v="15"/>
    <n v="360"/>
    <s v="NOS"/>
    <m/>
    <m/>
    <m/>
    <m/>
    <n v="0"/>
    <n v="0"/>
    <n v="0"/>
    <n v="0"/>
    <n v="0"/>
    <e v="#DIV/0!"/>
    <n v="0"/>
    <m/>
    <n v="23.440661999999996"/>
    <n v="0"/>
    <n v="0"/>
    <m/>
  </r>
  <r>
    <n v="104"/>
    <s v="Khopoli "/>
    <x v="3"/>
    <s v="Kay Jay"/>
    <x v="4"/>
    <n v="1930110"/>
    <s v="188934-1930110"/>
    <s v="TUB-O-C-CEW-AD-FC-29.40X4.500X5.2000"/>
    <x v="1"/>
    <m/>
    <x v="3"/>
    <s v="HR"/>
    <m/>
    <m/>
    <m/>
    <m/>
    <x v="52"/>
    <s v="29.4-20.4-4.5-CEW-CEW-5.2"/>
    <s v="#REF!"/>
    <m/>
    <m/>
    <m/>
    <m/>
    <x v="22"/>
    <x v="21"/>
    <x v="6"/>
    <x v="15"/>
    <n v="5200"/>
    <m/>
    <m/>
    <m/>
    <m/>
    <m/>
    <e v="#N/A"/>
    <e v="#N/A"/>
    <n v="0"/>
    <e v="#N/A"/>
    <e v="#N/A"/>
    <e v="#DIV/0!"/>
    <n v="0"/>
    <m/>
    <n v="23.440661999999996"/>
    <n v="0"/>
    <n v="0"/>
    <m/>
  </r>
  <r>
    <n v="96"/>
    <s v="Khopoli "/>
    <x v="3"/>
    <s v="Kay Jay"/>
    <x v="4"/>
    <n v="3190072"/>
    <s v="188934-3190072"/>
    <s v="TUB-O-C-AUT-AD-FC-29.40X4.500X0.3570"/>
    <x v="3"/>
    <m/>
    <x v="3"/>
    <s v="HR"/>
    <m/>
    <s v="Chamferring"/>
    <m/>
    <m/>
    <x v="52"/>
    <s v="29.4-20.4-4.5-CEW-CEW-0.357"/>
    <s v="#REF!"/>
    <m/>
    <n v="23.440661999999996"/>
    <m/>
    <m/>
    <x v="22"/>
    <x v="21"/>
    <x v="6"/>
    <x v="15"/>
    <n v="357"/>
    <s v="NOS"/>
    <m/>
    <m/>
    <n v="45000"/>
    <m/>
    <n v="20730"/>
    <n v="24270"/>
    <n v="44.370252029249997"/>
    <n v="20.439896101474496"/>
    <n v="23.930355927775501"/>
    <n v="0"/>
    <n v="0"/>
    <m/>
    <n v="23.440661999999996"/>
    <n v="0"/>
    <n v="44.370252029249997"/>
    <m/>
  </r>
  <r>
    <n v="101"/>
    <s v="Khopoli "/>
    <x v="3"/>
    <s v="Kay Jay"/>
    <x v="4"/>
    <n v="3983443"/>
    <s v="188934-3983443"/>
    <s v="CUT-O-C-AUT-AN-FC-29.35X4.400X0.3780"/>
    <x v="4"/>
    <m/>
    <x v="3"/>
    <m/>
    <m/>
    <m/>
    <m/>
    <m/>
    <x v="53"/>
    <s v="29.35-20.4-4.4-CEW STKM 13C-CEW-0.378"/>
    <s v="#REF!"/>
    <m/>
    <m/>
    <m/>
    <m/>
    <x v="23"/>
    <x v="22"/>
    <x v="6"/>
    <x v="16"/>
    <n v="378"/>
    <s v="NOS"/>
    <m/>
    <m/>
    <m/>
    <m/>
    <n v="0"/>
    <n v="0"/>
    <n v="0"/>
    <n v="0"/>
    <n v="0"/>
    <e v="#DIV/0!"/>
    <n v="0"/>
    <m/>
    <n v="0"/>
    <n v="0"/>
    <n v="0"/>
    <m/>
  </r>
  <r>
    <n v="98"/>
    <s v="Khopoli "/>
    <x v="3"/>
    <s v="Kay Jay"/>
    <x v="4"/>
    <n v="1941303"/>
    <s v="188934-1941303"/>
    <s v="TUB-O-C-AUT-AD-FC-29.40X4.500X0.3610"/>
    <x v="4"/>
    <m/>
    <x v="3"/>
    <s v="HR"/>
    <m/>
    <s v="Chamferring"/>
    <m/>
    <m/>
    <x v="54"/>
    <s v="29.4-20.4-4.5-CEW STKM 13C-CEW-0.361"/>
    <n v="1"/>
    <s v="Khopoli"/>
    <n v="10.553280000000001"/>
    <m/>
    <m/>
    <x v="22"/>
    <x v="21"/>
    <x v="6"/>
    <x v="15"/>
    <n v="361"/>
    <s v="NOS"/>
    <m/>
    <m/>
    <n v="20000"/>
    <m/>
    <n v="0"/>
    <n v="20000"/>
    <n v="19.941065648999995"/>
    <n v="0"/>
    <n v="19.941065648999995"/>
    <n v="0"/>
    <n v="0"/>
    <m/>
    <n v="102.42428000000002"/>
    <n v="0"/>
    <n v="19.941065648999995"/>
    <m/>
  </r>
  <r>
    <n v="99"/>
    <s v="Khopoli "/>
    <x v="3"/>
    <s v="Kay Jay"/>
    <x v="4"/>
    <n v="3974533"/>
    <s v="188934-3974533"/>
    <s v="CUT-O-C-AUT-AN-FC-29.35X4.400X0.3630"/>
    <x v="4"/>
    <m/>
    <x v="3"/>
    <s v="HR"/>
    <m/>
    <s v="Chamferring"/>
    <m/>
    <m/>
    <x v="54"/>
    <s v="29.4-20.4-4.5-CEW STKM 13C-CEW-0.363"/>
    <s v="#REF!"/>
    <m/>
    <m/>
    <m/>
    <m/>
    <x v="22"/>
    <x v="21"/>
    <x v="6"/>
    <x v="15"/>
    <n v="363"/>
    <s v="NOS"/>
    <m/>
    <m/>
    <m/>
    <m/>
    <n v="0"/>
    <n v="0"/>
    <n v="0"/>
    <n v="0"/>
    <n v="0"/>
    <e v="#DIV/0!"/>
    <n v="0"/>
    <m/>
    <n v="102.42428000000002"/>
    <n v="0"/>
    <n v="0"/>
    <m/>
  </r>
  <r>
    <n v="100"/>
    <s v="Khopoli "/>
    <x v="3"/>
    <s v="Kay Jay"/>
    <x v="4"/>
    <n v="2359912"/>
    <s v="188934-2359912"/>
    <s v="TUB-O-C-CEW-AD-FC-29.40X4.500X0.3760"/>
    <x v="4"/>
    <m/>
    <x v="3"/>
    <s v="HR"/>
    <m/>
    <s v="Chamferring"/>
    <m/>
    <m/>
    <x v="54"/>
    <s v="29.4-20.4-4.5-CEW STKM 13C-CEW-0.376"/>
    <n v="1"/>
    <s v="Khopoli"/>
    <n v="10.553280000000001"/>
    <m/>
    <m/>
    <x v="22"/>
    <x v="21"/>
    <x v="6"/>
    <x v="15"/>
    <n v="376"/>
    <s v="NOS"/>
    <m/>
    <m/>
    <n v="25000"/>
    <m/>
    <n v="1135"/>
    <n v="23865"/>
    <n v="25.962052229999998"/>
    <n v="1.1786771712419999"/>
    <n v="24.783375058757997"/>
    <n v="0"/>
    <n v="0"/>
    <m/>
    <n v="102.42428000000002"/>
    <n v="0"/>
    <n v="25.962052229999998"/>
    <m/>
  </r>
  <r>
    <n v="102"/>
    <s v="Khopoli "/>
    <x v="3"/>
    <s v="Kay Jay"/>
    <x v="4"/>
    <n v="3190073"/>
    <s v="188934-3190073"/>
    <s v="TUB-O-C-AUT-AD-FC-29.40X4.500X0.3850"/>
    <x v="4"/>
    <m/>
    <x v="3"/>
    <s v="HR"/>
    <m/>
    <m/>
    <m/>
    <m/>
    <x v="54"/>
    <s v="29.4-20.4-4.5-CEW STKM 13C-CEW-0.385"/>
    <n v="1"/>
    <m/>
    <n v="10.553280000000001"/>
    <m/>
    <m/>
    <x v="22"/>
    <x v="21"/>
    <x v="6"/>
    <x v="15"/>
    <n v="385"/>
    <s v="NOS"/>
    <m/>
    <m/>
    <n v="6000"/>
    <m/>
    <n v="0"/>
    <n v="6000"/>
    <n v="6.3800362394999999"/>
    <n v="0"/>
    <n v="6.3800362394999999"/>
    <n v="0"/>
    <n v="0"/>
    <m/>
    <n v="102.42428000000002"/>
    <n v="0"/>
    <n v="6.3800362394999999"/>
    <m/>
  </r>
  <r>
    <n v="103"/>
    <s v="Khopoli "/>
    <x v="3"/>
    <s v="Kay Jay"/>
    <x v="4"/>
    <n v="1939282"/>
    <s v="188934-1939282"/>
    <s v="TUB-O-C-CEW-AD-FC-29.40X4.500X0.4500"/>
    <x v="4"/>
    <m/>
    <x v="3"/>
    <s v="HR"/>
    <m/>
    <m/>
    <m/>
    <m/>
    <x v="54"/>
    <s v="29.4-20.4-4.5-CEW STKM 13C-CEW-0.45"/>
    <n v="1"/>
    <s v="Khopoli"/>
    <n v="10.553280000000001"/>
    <m/>
    <m/>
    <x v="22"/>
    <x v="21"/>
    <x v="6"/>
    <x v="15"/>
    <n v="450"/>
    <s v="NOS"/>
    <m/>
    <m/>
    <n v="4000"/>
    <m/>
    <n v="0"/>
    <n v="4000"/>
    <n v="4.9714568099999994"/>
    <n v="0"/>
    <n v="4.9714568099999994"/>
    <n v="0"/>
    <n v="0"/>
    <m/>
    <n v="102.42428000000002"/>
    <n v="0"/>
    <n v="4.9714568099999994"/>
    <m/>
  </r>
  <r>
    <n v="105"/>
    <s v="Hosur"/>
    <x v="4"/>
    <s v="Knitvel"/>
    <x v="5"/>
    <n v="235292"/>
    <s v="819045-235292"/>
    <s v="TUB-O-N-AUT-AW-PE-19.05X2.00X6.000-ERW 1"/>
    <x v="0"/>
    <m/>
    <x v="0"/>
    <s v="HR"/>
    <m/>
    <m/>
    <m/>
    <m/>
    <x v="18"/>
    <s v="19.05-0-2-ERW 1-PE-1"/>
    <n v="1"/>
    <s v="Hosur"/>
    <m/>
    <m/>
    <m/>
    <x v="2"/>
    <x v="2"/>
    <x v="0"/>
    <x v="8"/>
    <n v="1000"/>
    <s v="M"/>
    <m/>
    <m/>
    <n v="4000"/>
    <m/>
    <n v="0"/>
    <n v="4000"/>
    <n v="3.3621235999999999"/>
    <n v="0"/>
    <n v="3.3621235999999999"/>
    <n v="0"/>
    <n v="0"/>
    <m/>
    <n v="0"/>
    <n v="11.189"/>
    <n v="3.3621235999999999"/>
    <m/>
  </r>
  <r>
    <n v="106"/>
    <s v="Hosur"/>
    <x v="4"/>
    <s v="Knitvel"/>
    <x v="5"/>
    <n v="3533249"/>
    <s v="819045-3533249"/>
    <s v="CUT-O-N-AUT-AW-PE-22.20X1.600X1.2220"/>
    <x v="0"/>
    <m/>
    <x v="0"/>
    <s v="CR"/>
    <s v="GR1"/>
    <m/>
    <m/>
    <m/>
    <x v="21"/>
    <s v="22.23-0-1.6-ERW 1-PE-1.222"/>
    <n v="1"/>
    <s v="Hosur"/>
    <m/>
    <m/>
    <m/>
    <x v="11"/>
    <x v="11"/>
    <x v="0"/>
    <x v="0"/>
    <n v="1222"/>
    <s v="NOS"/>
    <m/>
    <m/>
    <m/>
    <m/>
    <n v="7380"/>
    <n v="-7380"/>
    <n v="0"/>
    <n v="7.33746568456512"/>
    <n v="-7.33746568456512"/>
    <e v="#DIV/0!"/>
    <n v="0"/>
    <m/>
    <n v="10.773161999999999"/>
    <n v="0"/>
    <n v="0"/>
    <m/>
  </r>
  <r>
    <n v="107"/>
    <s v="Hosur"/>
    <x v="4"/>
    <s v="Knitvel"/>
    <x v="5"/>
    <n v="3533248"/>
    <s v="819045-3533248"/>
    <s v="CUT-O-N-AUT-AW-PE-22.20X1.600X1.2900"/>
    <x v="0"/>
    <m/>
    <x v="0"/>
    <s v="CR"/>
    <s v="GR1"/>
    <m/>
    <m/>
    <m/>
    <x v="21"/>
    <s v="22.23-0-1.6-ERW 1-PE-1.29"/>
    <n v="1"/>
    <s v="Hosur"/>
    <m/>
    <m/>
    <m/>
    <x v="11"/>
    <x v="11"/>
    <x v="0"/>
    <x v="0"/>
    <n v="1290"/>
    <s v="NOS"/>
    <m/>
    <m/>
    <n v="10000"/>
    <m/>
    <n v="6013"/>
    <n v="3987"/>
    <n v="10.495623076800001"/>
    <n v="6.3110181560798404"/>
    <n v="4.1846049207201608"/>
    <n v="0"/>
    <n v="0"/>
    <m/>
    <n v="10.773161999999999"/>
    <n v="0"/>
    <n v="10.495623076800001"/>
    <m/>
  </r>
  <r>
    <n v="111"/>
    <s v="Hosur"/>
    <x v="4"/>
    <s v="Knitvel"/>
    <x v="5"/>
    <n v="3138219"/>
    <s v="819045-3138219"/>
    <s v="TUB-O-N-AUT-AW-FC-34.93X1.200X0.3900"/>
    <x v="0"/>
    <m/>
    <x v="2"/>
    <s v="CR"/>
    <m/>
    <m/>
    <m/>
    <m/>
    <x v="55"/>
    <s v="34.93-0-1.2-ERW 1-FC-0.39"/>
    <s v="#REF!"/>
    <s v="Hosur"/>
    <m/>
    <m/>
    <m/>
    <x v="13"/>
    <x v="14"/>
    <x v="0"/>
    <x v="2"/>
    <n v="390"/>
    <s v="NOS"/>
    <m/>
    <m/>
    <m/>
    <m/>
    <n v="0"/>
    <n v="0"/>
    <n v="0"/>
    <n v="0"/>
    <n v="0"/>
    <e v="#DIV/0!"/>
    <n v="0"/>
    <m/>
    <n v="0"/>
    <n v="0"/>
    <n v="0"/>
    <m/>
  </r>
  <r>
    <n v="113"/>
    <s v="Khopoli "/>
    <x v="4"/>
    <s v="Knitvel"/>
    <x v="5"/>
    <n v="3500714"/>
    <s v="819045-3500714"/>
    <s v="TUB-O-N-AUT-BH-FC-42.70X4.000X5.50-ERW 1"/>
    <x v="0"/>
    <s v="Annealed"/>
    <x v="1"/>
    <s v="HR"/>
    <m/>
    <m/>
    <m/>
    <m/>
    <x v="56"/>
    <s v="42.7-0-4-ERW 1--5.5"/>
    <s v="#REF!"/>
    <m/>
    <m/>
    <m/>
    <m/>
    <x v="16"/>
    <x v="16"/>
    <x v="0"/>
    <x v="11"/>
    <n v="5500"/>
    <m/>
    <m/>
    <m/>
    <m/>
    <m/>
    <e v="#N/A"/>
    <e v="#N/A"/>
    <n v="0"/>
    <e v="#N/A"/>
    <e v="#N/A"/>
    <e v="#DIV/0!"/>
    <n v="0"/>
    <m/>
    <n v="0"/>
    <n v="0"/>
    <n v="0"/>
    <m/>
  </r>
  <r>
    <n v="109"/>
    <s v="Hosur"/>
    <x v="4"/>
    <s v="Knitvel"/>
    <x v="5"/>
    <n v="1940467"/>
    <s v="819045-1940467"/>
    <s v="TUB-O-O-AUT-AW-PE-22.23X2.000X0.8120"/>
    <x v="5"/>
    <m/>
    <x v="0"/>
    <s v="HR"/>
    <s v="ST52AL"/>
    <m/>
    <m/>
    <m/>
    <x v="57"/>
    <s v="22.23-0-2-ERW 2 MAHS-PE-0.812"/>
    <n v="1"/>
    <m/>
    <m/>
    <m/>
    <m/>
    <x v="11"/>
    <x v="11"/>
    <x v="0"/>
    <x v="8"/>
    <n v="812"/>
    <s v="NOS"/>
    <m/>
    <m/>
    <n v="1000"/>
    <m/>
    <n v="500"/>
    <n v="500"/>
    <n v="0.80980641448000001"/>
    <n v="0.40490320724000001"/>
    <n v="0.40490320724000001"/>
    <n v="0"/>
    <n v="0"/>
    <m/>
    <n v="15.667999999999999"/>
    <n v="0"/>
    <n v="0.80980641448000001"/>
    <m/>
  </r>
  <r>
    <n v="108"/>
    <s v="Hosur"/>
    <x v="4"/>
    <s v="Knitvel"/>
    <x v="5"/>
    <n v="3775108"/>
    <s v="819045-3775108"/>
    <s v="CUT-O-N-AUT-AW-PE-22.20X2.000X0.7720"/>
    <x v="2"/>
    <m/>
    <x v="1"/>
    <s v="HR"/>
    <m/>
    <m/>
    <m/>
    <m/>
    <x v="58"/>
    <s v="22.23-0-2---0.772"/>
    <s v="#REF!"/>
    <m/>
    <m/>
    <m/>
    <m/>
    <x v="11"/>
    <x v="11"/>
    <x v="0"/>
    <x v="8"/>
    <n v="772"/>
    <m/>
    <m/>
    <m/>
    <m/>
    <m/>
    <e v="#N/A"/>
    <e v="#N/A"/>
    <n v="0"/>
    <e v="#N/A"/>
    <e v="#N/A"/>
    <e v="#DIV/0!"/>
    <n v="0"/>
    <m/>
    <n v="0"/>
    <n v="0"/>
    <n v="0"/>
    <m/>
  </r>
  <r>
    <n v="110"/>
    <s v="Hosur"/>
    <x v="4"/>
    <s v="Knitvel"/>
    <x v="5"/>
    <m/>
    <s v="819045-"/>
    <m/>
    <x v="2"/>
    <m/>
    <x v="1"/>
    <s v="HR"/>
    <m/>
    <m/>
    <m/>
    <m/>
    <x v="44"/>
    <s v="25.4-0-2---0.6"/>
    <s v="#REF!"/>
    <m/>
    <m/>
    <m/>
    <m/>
    <x v="3"/>
    <x v="3"/>
    <x v="0"/>
    <x v="8"/>
    <n v="600"/>
    <m/>
    <m/>
    <m/>
    <m/>
    <m/>
    <e v="#N/A"/>
    <e v="#N/A"/>
    <n v="0"/>
    <e v="#N/A"/>
    <e v="#N/A"/>
    <e v="#DIV/0!"/>
    <n v="0"/>
    <m/>
    <n v="0"/>
    <n v="0"/>
    <n v="0"/>
    <m/>
  </r>
  <r>
    <n v="112"/>
    <s v="Hosur"/>
    <x v="4"/>
    <s v="Knitvel"/>
    <x v="5"/>
    <n v="3484654"/>
    <s v="819045-3484654"/>
    <s v="TUB-O-N-AUT-AW-PE-34.93X2.000X1.2800"/>
    <x v="2"/>
    <m/>
    <x v="1"/>
    <s v="HR"/>
    <m/>
    <m/>
    <m/>
    <m/>
    <x v="46"/>
    <s v="34.93-0-2---1.28"/>
    <s v="#REF!"/>
    <m/>
    <m/>
    <m/>
    <m/>
    <x v="13"/>
    <x v="14"/>
    <x v="0"/>
    <x v="8"/>
    <n v="1280"/>
    <m/>
    <m/>
    <m/>
    <m/>
    <m/>
    <e v="#N/A"/>
    <e v="#N/A"/>
    <n v="0"/>
    <e v="#N/A"/>
    <e v="#N/A"/>
    <e v="#DIV/0!"/>
    <n v="0"/>
    <m/>
    <n v="0"/>
    <n v="0"/>
    <n v="0"/>
    <m/>
  </r>
  <r>
    <n v="114"/>
    <s v="Hosur"/>
    <x v="4"/>
    <s v="Knitvel"/>
    <x v="5"/>
    <m/>
    <s v="819045-"/>
    <s v="CUT-N-AUT-AW-FC-48.60X3.500X0.5950"/>
    <x v="2"/>
    <m/>
    <x v="1"/>
    <s v="HR"/>
    <m/>
    <m/>
    <m/>
    <m/>
    <x v="59"/>
    <s v="48.6-0-3.5---0.595"/>
    <s v="#REF!"/>
    <m/>
    <m/>
    <m/>
    <m/>
    <x v="18"/>
    <x v="17"/>
    <x v="0"/>
    <x v="17"/>
    <n v="595"/>
    <m/>
    <m/>
    <m/>
    <m/>
    <m/>
    <e v="#N/A"/>
    <e v="#N/A"/>
    <n v="0"/>
    <e v="#N/A"/>
    <e v="#N/A"/>
    <e v="#DIV/0!"/>
    <n v="0"/>
    <m/>
    <n v="0"/>
    <n v="0"/>
    <n v="0"/>
    <m/>
  </r>
  <r>
    <n v="629"/>
    <s v="Khopoli "/>
    <x v="5"/>
    <s v="Laxmi"/>
    <x v="6"/>
    <n v="3228788"/>
    <s v="185254-3228788"/>
    <s v="TUB-O-C-AUT-AD-FC-20.00X1.420X0.2730"/>
    <x v="1"/>
    <m/>
    <x v="3"/>
    <s v="HR"/>
    <m/>
    <m/>
    <m/>
    <m/>
    <x v="60"/>
    <s v="20-17.16-1.42-CEW-CEW-0.273"/>
    <n v="1"/>
    <s v="Khopoli"/>
    <n v="0"/>
    <n v="0"/>
    <m/>
    <x v="24"/>
    <x v="23"/>
    <x v="7"/>
    <x v="18"/>
    <n v="273"/>
    <s v="NOS"/>
    <m/>
    <m/>
    <n v="14000"/>
    <m/>
    <n v="8999.9999999999982"/>
    <n v="5000.0000000000018"/>
    <n v="2.4855588001607996"/>
    <n v="1.5978592286747992"/>
    <n v="0.88769957148600032"/>
    <n v="0"/>
    <n v="0"/>
    <m/>
    <n v="0"/>
    <n v="0"/>
    <n v="2.4855588001607996"/>
    <m/>
  </r>
  <r>
    <n v="630"/>
    <s v="Khopoli "/>
    <x v="5"/>
    <s v="Laxmi"/>
    <x v="6"/>
    <n v="2256692"/>
    <s v="185254-2256692"/>
    <s v="TUB-O-C-AUT-AD-FC-20.00X1.420X0.2730"/>
    <x v="0"/>
    <m/>
    <x v="4"/>
    <s v="HR"/>
    <m/>
    <m/>
    <m/>
    <m/>
    <x v="40"/>
    <s v="59-30-1.6-ERW 1-FIN CUT-0.645"/>
    <s v="#REF!"/>
    <m/>
    <m/>
    <m/>
    <m/>
    <x v="18"/>
    <x v="18"/>
    <x v="1"/>
    <x v="0"/>
    <n v="645"/>
    <s v="NOS"/>
    <m/>
    <m/>
    <m/>
    <m/>
    <n v="0"/>
    <n v="0"/>
    <n v="0"/>
    <n v="0"/>
    <n v="0"/>
    <e v="#DIV/0!"/>
    <n v="0"/>
    <m/>
    <n v="0"/>
    <n v="0.95099999999999996"/>
    <n v="0"/>
    <m/>
  </r>
  <r>
    <n v="627"/>
    <s v="Khopoli "/>
    <x v="5"/>
    <s v="Laxmi"/>
    <x v="6"/>
    <n v="3746291"/>
    <s v="185254-3746291"/>
    <s v="CUT-O-N-AUT-BH-FC-63.50X4.000X0.2340"/>
    <x v="0"/>
    <s v="Annealed"/>
    <x v="2"/>
    <s v="HR"/>
    <m/>
    <m/>
    <m/>
    <m/>
    <x v="61"/>
    <s v="63.5-0-4-ERW 1-FC-0.234"/>
    <n v="2"/>
    <s v="Khopoli"/>
    <n v="22.158319000000002"/>
    <n v="5.3900000000000006"/>
    <m/>
    <x v="25"/>
    <x v="24"/>
    <x v="0"/>
    <x v="11"/>
    <n v="234"/>
    <s v="NOS"/>
    <m/>
    <m/>
    <n v="10000"/>
    <m/>
    <n v="3539"/>
    <n v="6461"/>
    <n v="13.727521080000001"/>
    <n v="4.8581697102119996"/>
    <n v="8.8693513697880011"/>
    <n v="0"/>
    <n v="0"/>
    <m/>
    <n v="72.060319000000021"/>
    <n v="0"/>
    <n v="13.727521080000001"/>
    <m/>
  </r>
  <r>
    <m/>
    <s v="Khopoli "/>
    <x v="5"/>
    <s v="Laxmi"/>
    <x v="6"/>
    <m/>
    <s v="185254-"/>
    <m/>
    <x v="0"/>
    <m/>
    <x v="2"/>
    <m/>
    <m/>
    <m/>
    <m/>
    <m/>
    <x v="61"/>
    <s v="63.5-0-4-ERW 1-FC-0.263"/>
    <m/>
    <m/>
    <n v="22.158319000000002"/>
    <m/>
    <m/>
    <x v="25"/>
    <x v="24"/>
    <x v="0"/>
    <x v="11"/>
    <n v="263"/>
    <s v="NOS"/>
    <m/>
    <m/>
    <n v="1500"/>
    <m/>
    <n v="1105"/>
    <n v="395"/>
    <n v="2.3143192589999999"/>
    <n v="1.7048818541299999"/>
    <n v="0.60943740486999998"/>
    <n v="0"/>
    <n v="0"/>
    <m/>
    <n v="72.060319000000021"/>
    <n v="0"/>
    <n v="2.3143192589999999"/>
    <m/>
  </r>
  <r>
    <n v="625"/>
    <s v="Khopoli "/>
    <x v="5"/>
    <s v="Laxmi"/>
    <x v="6"/>
    <n v="4032114"/>
    <s v="185254-4032114"/>
    <s v="TUB-O-N-AUT-AN-FC-54.00X3.000X1.1400"/>
    <x v="6"/>
    <m/>
    <x v="2"/>
    <s v="HR"/>
    <m/>
    <m/>
    <m/>
    <m/>
    <x v="62"/>
    <s v="54-0-3-ERW 2-FC-1.14"/>
    <n v="4"/>
    <s v="Khopoli"/>
    <n v="6.8230000000000004"/>
    <n v="23.695"/>
    <m/>
    <x v="26"/>
    <x v="25"/>
    <x v="0"/>
    <x v="19"/>
    <n v="1140"/>
    <s v="NOS"/>
    <m/>
    <m/>
    <n v="3000"/>
    <m/>
    <n v="5130"/>
    <n v="-2130"/>
    <n v="12.89783574"/>
    <n v="22.0552991154"/>
    <n v="-9.1574633754000008"/>
    <n v="0"/>
    <n v="0"/>
    <m/>
    <n v="44.079000000000008"/>
    <n v="0"/>
    <n v="12.89783574"/>
    <m/>
  </r>
  <r>
    <n v="626"/>
    <s v="Khopoli "/>
    <x v="5"/>
    <s v="Laxmi"/>
    <x v="6"/>
    <n v="1938127"/>
    <s v="185254-1938127"/>
    <s v="TUB-S-AW-SHS-50.00X50.00X1.600X0.8470"/>
    <x v="6"/>
    <m/>
    <x v="0"/>
    <s v="CR"/>
    <s v="D"/>
    <m/>
    <m/>
    <m/>
    <x v="63"/>
    <s v="50-50-1.6-ERW 2-PE-0.847"/>
    <n v="1"/>
    <s v="JSR"/>
    <n v="1.3500029999999992"/>
    <n v="12.851100000000002"/>
    <m/>
    <x v="25"/>
    <x v="4"/>
    <x v="8"/>
    <x v="0"/>
    <n v="847"/>
    <s v="NOS"/>
    <m/>
    <m/>
    <n v="2100"/>
    <m/>
    <n v="2115"/>
    <n v="-15"/>
    <n v="4.3422281807520005"/>
    <n v="4.3732440963288006"/>
    <n v="-3.1015915576800168E-2"/>
    <n v="0"/>
    <n v="0"/>
    <m/>
    <n v="14.201103000000003"/>
    <n v="0"/>
    <n v="4.3422281807520005"/>
    <m/>
  </r>
  <r>
    <n v="628"/>
    <s v="Khopoli "/>
    <x v="5"/>
    <s v="Laxmi"/>
    <x v="6"/>
    <n v="3801263"/>
    <s v="185254-3801263"/>
    <s v="CUT-N-AUT-AN-FC-70.00X3.200X0.5120"/>
    <x v="6"/>
    <s v="Annealed"/>
    <x v="2"/>
    <s v="HR"/>
    <m/>
    <m/>
    <s v="AG"/>
    <m/>
    <x v="64"/>
    <s v="70-0-3.2-ERW 2-FC-0.49"/>
    <n v="1"/>
    <s v="Khopoli"/>
    <m/>
    <m/>
    <m/>
    <x v="27"/>
    <x v="26"/>
    <x v="0"/>
    <x v="13"/>
    <n v="490"/>
    <s v="NOS"/>
    <m/>
    <m/>
    <m/>
    <m/>
    <n v="0"/>
    <n v="0"/>
    <n v="0"/>
    <n v="0"/>
    <n v="0"/>
    <e v="#DIV/0!"/>
    <n v="0"/>
    <m/>
    <n v="38.373930000000001"/>
    <n v="0"/>
    <n v="0"/>
    <m/>
  </r>
  <r>
    <n v="631"/>
    <s v="Khopoli "/>
    <x v="5"/>
    <s v="Laxmi"/>
    <x v="6"/>
    <n v="3801263"/>
    <s v="185254-3801263"/>
    <s v="CUT-N-AUT-AN-FC-70.00X3.200X0.5120"/>
    <x v="6"/>
    <s v="Annealed"/>
    <x v="2"/>
    <s v="HR"/>
    <m/>
    <m/>
    <s v="AG"/>
    <m/>
    <x v="64"/>
    <s v="70-0-3.2-ERW 2-FC-0.512"/>
    <s v="#REF!"/>
    <s v="Khopoli"/>
    <n v="3.577916000000001"/>
    <n v="8.5230139999999999"/>
    <m/>
    <x v="27"/>
    <x v="26"/>
    <x v="0"/>
    <x v="13"/>
    <n v="512"/>
    <s v="NOS"/>
    <m/>
    <m/>
    <n v="3000"/>
    <m/>
    <n v="2750"/>
    <n v="250"/>
    <n v="8.0931382886399987"/>
    <n v="7.4187100979199991"/>
    <n v="0.6744281907199996"/>
    <n v="0"/>
    <n v="0"/>
    <m/>
    <n v="38.373930000000001"/>
    <n v="0"/>
    <n v="8.0931382886399987"/>
    <m/>
  </r>
  <r>
    <n v="148"/>
    <s v="Khopoli "/>
    <x v="6"/>
    <s v="Marathwada"/>
    <x v="7"/>
    <n v="1939544"/>
    <s v="189002-1939544"/>
    <s v="TUB-O-C-CEW-AD-FC-25.40X2.500X0.2170"/>
    <x v="1"/>
    <m/>
    <x v="3"/>
    <s v="HR"/>
    <m/>
    <m/>
    <m/>
    <m/>
    <x v="65"/>
    <s v="25.4-0-2.5-CEW-CEW-0.217"/>
    <n v="2"/>
    <s v="Khopoli"/>
    <n v="6.2467750000000013"/>
    <n v="0.99165099999999995"/>
    <m/>
    <x v="3"/>
    <x v="3"/>
    <x v="0"/>
    <x v="10"/>
    <n v="217"/>
    <s v="NOS"/>
    <m/>
    <m/>
    <n v="30000"/>
    <m/>
    <n v="17950"/>
    <n v="12050"/>
    <n v="9.1866206774999988"/>
    <n v="5.496661372037499"/>
    <n v="3.6899593054624997"/>
    <n v="0"/>
    <n v="0"/>
    <m/>
    <n v="6.2467749999999995"/>
    <n v="0"/>
    <n v="9.1866206774999988"/>
    <m/>
  </r>
  <r>
    <n v="149"/>
    <s v="Khopoli "/>
    <x v="6"/>
    <s v="Marathwada"/>
    <x v="7"/>
    <n v="1941408"/>
    <s v="189002-1941408"/>
    <s v="TUB-O-C-AUT-AD-FC-25.40X2.500X3.7300"/>
    <x v="1"/>
    <m/>
    <x v="1"/>
    <s v="HR"/>
    <m/>
    <m/>
    <m/>
    <m/>
    <x v="66"/>
    <s v="25.4-20.4-2.5-CEW--3.73"/>
    <s v="#REF!"/>
    <m/>
    <m/>
    <m/>
    <m/>
    <x v="3"/>
    <x v="3"/>
    <x v="6"/>
    <x v="10"/>
    <n v="3730"/>
    <s v="NOS"/>
    <m/>
    <m/>
    <m/>
    <m/>
    <n v="0"/>
    <n v="0"/>
    <n v="0"/>
    <n v="0"/>
    <n v="0"/>
    <e v="#DIV/0!"/>
    <n v="0"/>
    <m/>
    <n v="0"/>
    <n v="0"/>
    <n v="0"/>
    <m/>
  </r>
  <r>
    <n v="150"/>
    <s v="Hosur"/>
    <x v="6"/>
    <s v="Marathwada"/>
    <x v="7"/>
    <n v="2410388"/>
    <s v="189002-2410388"/>
    <s v="TUB-O-C-AUT-AD-FC-28.60X2.650X04-05"/>
    <x v="1"/>
    <m/>
    <x v="3"/>
    <s v="HR"/>
    <m/>
    <m/>
    <m/>
    <m/>
    <x v="11"/>
    <s v="28.6-0-2.65-CEW-CEW-1"/>
    <s v="#REF!"/>
    <s v="Khopoli"/>
    <m/>
    <m/>
    <m/>
    <x v="8"/>
    <x v="8"/>
    <x v="0"/>
    <x v="5"/>
    <n v="1000"/>
    <s v="M"/>
    <m/>
    <m/>
    <m/>
    <m/>
    <n v="0"/>
    <n v="0"/>
    <n v="0"/>
    <n v="0"/>
    <n v="0"/>
    <e v="#DIV/0!"/>
    <n v="0"/>
    <m/>
    <n v="0.95068200000000003"/>
    <n v="0"/>
    <n v="0"/>
    <m/>
  </r>
  <r>
    <n v="151"/>
    <s v="Khopoli "/>
    <x v="6"/>
    <s v="Marathwada"/>
    <x v="7"/>
    <n v="1942166"/>
    <s v="189002-1942166"/>
    <s v="TUB-O-C-AUT-AD-FC-30.00X2.250X5.9300"/>
    <x v="1"/>
    <m/>
    <x v="1"/>
    <s v="HR"/>
    <m/>
    <m/>
    <m/>
    <m/>
    <x v="67"/>
    <s v="30-25.5-2.25-CEW--1"/>
    <s v="#REF!"/>
    <m/>
    <m/>
    <m/>
    <m/>
    <x v="28"/>
    <x v="27"/>
    <x v="9"/>
    <x v="20"/>
    <n v="1000"/>
    <s v="M"/>
    <m/>
    <m/>
    <m/>
    <m/>
    <n v="0"/>
    <n v="0"/>
    <n v="0"/>
    <n v="0"/>
    <n v="0"/>
    <e v="#DIV/0!"/>
    <n v="0"/>
    <m/>
    <n v="0"/>
    <n v="0"/>
    <n v="0"/>
    <m/>
  </r>
  <r>
    <n v="152"/>
    <s v="Khopoli "/>
    <x v="6"/>
    <s v="Marathwada"/>
    <x v="7"/>
    <n v="2359755"/>
    <s v="189002-2359755"/>
    <s v="TUB-O-C-AUT-AD-FC-30.00X2.250X0.4850"/>
    <x v="1"/>
    <m/>
    <x v="3"/>
    <s v="HR"/>
    <m/>
    <s v="Chamferring"/>
    <m/>
    <m/>
    <x v="68"/>
    <s v="30-25.5-2.25-CEW-CEW-0.485"/>
    <n v="2"/>
    <s v="Khopoli"/>
    <n v="12.114797000000001"/>
    <n v="0"/>
    <m/>
    <x v="29"/>
    <x v="27"/>
    <x v="9"/>
    <x v="20"/>
    <n v="485"/>
    <s v="NOS"/>
    <m/>
    <m/>
    <n v="60000"/>
    <m/>
    <n v="12500"/>
    <n v="47500"/>
    <n v="45.027622372500005"/>
    <n v="9.3807546609374999"/>
    <n v="35.646867711562507"/>
    <n v="0"/>
    <n v="0"/>
    <m/>
    <n v="13.387797000000001"/>
    <n v="0"/>
    <n v="45.027622372500005"/>
    <m/>
  </r>
  <r>
    <n v="166"/>
    <s v="Khopoli "/>
    <x v="6"/>
    <s v="Marathwada"/>
    <x v="7"/>
    <n v="1938125"/>
    <s v="189002-1938125"/>
    <s v="TUB-I-C-AUT-AN-FC-34.00X2.500X0.2720"/>
    <x v="1"/>
    <m/>
    <x v="3"/>
    <s v="HR"/>
    <m/>
    <s v="Chamferring"/>
    <m/>
    <m/>
    <x v="69"/>
    <s v="39-34-2.5-CEW-CEW-0.272"/>
    <n v="2"/>
    <s v="Khopoli"/>
    <n v="6.342168"/>
    <n v="0"/>
    <m/>
    <x v="30"/>
    <x v="28"/>
    <x v="10"/>
    <x v="10"/>
    <n v="272"/>
    <s v="NOS"/>
    <m/>
    <m/>
    <n v="60000"/>
    <m/>
    <n v="18580"/>
    <n v="41420"/>
    <n v="36.707290799999996"/>
    <n v="11.367024384399999"/>
    <n v="25.340266415599999"/>
    <n v="0"/>
    <n v="0"/>
    <m/>
    <n v="7.4211679999999998"/>
    <n v="0"/>
    <n v="36.707290799999996"/>
    <m/>
  </r>
  <r>
    <n v="167"/>
    <s v="Khopoli "/>
    <x v="6"/>
    <s v="Marathwada"/>
    <x v="7"/>
    <n v="1930116"/>
    <s v="189002-1930116"/>
    <s v="TUB-I-C-AUT-AN-FC-39.00X34.00X4.5000"/>
    <x v="1"/>
    <m/>
    <x v="1"/>
    <s v="HR"/>
    <m/>
    <m/>
    <m/>
    <m/>
    <x v="70"/>
    <s v="39-34-2.5-CEW--1"/>
    <s v="#REF!"/>
    <m/>
    <m/>
    <m/>
    <m/>
    <x v="30"/>
    <x v="28"/>
    <x v="10"/>
    <x v="10"/>
    <n v="1000"/>
    <s v="M"/>
    <m/>
    <m/>
    <m/>
    <m/>
    <n v="0"/>
    <n v="0"/>
    <n v="0"/>
    <n v="0"/>
    <n v="0"/>
    <e v="#DIV/0!"/>
    <n v="0"/>
    <m/>
    <n v="0"/>
    <n v="0"/>
    <n v="0"/>
    <m/>
  </r>
  <r>
    <n v="772"/>
    <s v="Hosur"/>
    <x v="7"/>
    <s v="Marathwada"/>
    <x v="7"/>
    <n v="3239890"/>
    <s v="189002-3239890"/>
    <s v="TUB-O-N-AUT-AW-PE-19.05X1.200X0.3300"/>
    <x v="7"/>
    <m/>
    <x v="0"/>
    <m/>
    <m/>
    <m/>
    <m/>
    <m/>
    <x v="71"/>
    <s v="19.05-0-1.2-CRFH-PE-0.33"/>
    <n v="2"/>
    <s v="Hosur"/>
    <m/>
    <m/>
    <m/>
    <x v="2"/>
    <x v="2"/>
    <x v="0"/>
    <x v="2"/>
    <n v="330"/>
    <s v="NOS"/>
    <m/>
    <m/>
    <n v="2000"/>
    <m/>
    <n v="3500"/>
    <n v="-1500"/>
    <n v="0.34846784280000004"/>
    <n v="0.60981872490000011"/>
    <n v="-0.26135088210000007"/>
    <n v="0"/>
    <n v="0"/>
    <n v="16.085999999999999"/>
    <n v="3500.2613508821"/>
    <n v="16.085999999999999"/>
    <n v="0.34846784280000004"/>
    <m/>
  </r>
  <r>
    <n v="767"/>
    <s v="Hosur"/>
    <x v="7"/>
    <s v="Marathwada"/>
    <x v="7"/>
    <n v="3929540"/>
    <s v="189002-3929540"/>
    <s v="CUT-O-N-AUT-AW-PE-19.05X1.200X0.6820"/>
    <x v="7"/>
    <m/>
    <x v="0"/>
    <m/>
    <m/>
    <m/>
    <m/>
    <m/>
    <x v="71"/>
    <s v="19.05-0-1.2-CRFH-PE-0.682"/>
    <n v="1"/>
    <s v="Hosur"/>
    <m/>
    <m/>
    <m/>
    <x v="2"/>
    <x v="2"/>
    <x v="0"/>
    <x v="2"/>
    <n v="682"/>
    <s v="NOS"/>
    <m/>
    <m/>
    <n v="14000"/>
    <m/>
    <n v="0"/>
    <n v="14000"/>
    <n v="5.0411681258400005"/>
    <n v="0"/>
    <n v="5.0411681258400005"/>
    <n v="0"/>
    <n v="0"/>
    <n v="16.085999999999999"/>
    <n v="-5.0411681258400005"/>
    <n v="16.085999999999999"/>
    <n v="5.0411681258400005"/>
    <m/>
  </r>
  <r>
    <n v="778"/>
    <s v="Hosur"/>
    <x v="7"/>
    <s v="Marathwada"/>
    <x v="7"/>
    <n v="3929692"/>
    <s v="189002-3929692"/>
    <s v="CUT-O-N-AUT-AW-PE-19.05X1.200X1.2300"/>
    <x v="7"/>
    <m/>
    <x v="0"/>
    <m/>
    <m/>
    <m/>
    <m/>
    <m/>
    <x v="71"/>
    <s v="19.05-0-1.2-CRFH-PE-1.23"/>
    <n v="3"/>
    <s v="Hosur"/>
    <m/>
    <m/>
    <m/>
    <x v="2"/>
    <x v="2"/>
    <x v="0"/>
    <x v="2"/>
    <n v="1230"/>
    <s v="NOS"/>
    <m/>
    <m/>
    <n v="7000"/>
    <m/>
    <n v="3500"/>
    <n v="3500"/>
    <n v="4.5459214038000004"/>
    <n v="2.2729607019000002"/>
    <n v="2.2729607019000002"/>
    <n v="0"/>
    <n v="0"/>
    <n v="16.085999999999999"/>
    <n v="3497.7270392981"/>
    <n v="16.085999999999999"/>
    <n v="4.5459214038000004"/>
    <m/>
  </r>
  <r>
    <n v="758"/>
    <s v="Hosur"/>
    <x v="7"/>
    <s v="Marathwada"/>
    <x v="7"/>
    <n v="3931834"/>
    <s v="189002-3931834"/>
    <s v="CUT-R-AW-AUT-19.00X19.00X1.000X0.1000"/>
    <x v="7"/>
    <m/>
    <x v="0"/>
    <s v="CR"/>
    <m/>
    <m/>
    <m/>
    <m/>
    <x v="72"/>
    <s v="19-19-1-CRFH-PE-0.1"/>
    <n v="3"/>
    <s v="Hosur"/>
    <m/>
    <m/>
    <m/>
    <x v="31"/>
    <x v="29"/>
    <x v="11"/>
    <x v="1"/>
    <n v="100"/>
    <s v="NOS"/>
    <m/>
    <m/>
    <m/>
    <m/>
    <n v="2000"/>
    <n v="-2000"/>
    <n v="0"/>
    <n v="0.11052611600000001"/>
    <n v="-0.11052611600000001"/>
    <e v="#DIV/0!"/>
    <n v="15.867808"/>
    <n v="41.765000000000001"/>
    <n v="2000.1105261160001"/>
    <n v="41.765000000000001"/>
    <n v="-15.867808"/>
    <m/>
  </r>
  <r>
    <n v="765"/>
    <s v="Hosur"/>
    <x v="7"/>
    <s v="Marathwada"/>
    <x v="7"/>
    <n v="3931835"/>
    <s v="189002-3931835"/>
    <s v="CUT-R-AW-AUT-19.00X19.00X1.000X0.1100"/>
    <x v="7"/>
    <m/>
    <x v="0"/>
    <s v="CR"/>
    <m/>
    <m/>
    <m/>
    <m/>
    <x v="72"/>
    <s v="19-19-1-CRFH-PE-0.11"/>
    <n v="4"/>
    <s v="Hosur"/>
    <m/>
    <m/>
    <m/>
    <x v="31"/>
    <x v="29"/>
    <x v="11"/>
    <x v="1"/>
    <n v="110"/>
    <s v="NOS"/>
    <m/>
    <m/>
    <m/>
    <m/>
    <n v="1000"/>
    <n v="-1000"/>
    <n v="0"/>
    <n v="6.078936380000001E-2"/>
    <n v="-6.078936380000001E-2"/>
    <e v="#DIV/0!"/>
    <n v="15.867808"/>
    <n v="41.765000000000001"/>
    <n v="1000.0607893638"/>
    <n v="41.765000000000001"/>
    <n v="-15.867808"/>
    <m/>
  </r>
  <r>
    <n v="759"/>
    <s v="Hosur"/>
    <x v="7"/>
    <s v="Marathwada"/>
    <x v="7"/>
    <n v="4151428"/>
    <s v="189002-4151428"/>
    <s v="TUB-S-AW-AUT-19.00X19.00X1.000X0.1150"/>
    <x v="7"/>
    <m/>
    <x v="0"/>
    <s v="CR"/>
    <m/>
    <m/>
    <m/>
    <m/>
    <x v="72"/>
    <s v="19-19-1-CRFH-PE-0.115"/>
    <n v="2"/>
    <s v="Hosur"/>
    <m/>
    <m/>
    <m/>
    <x v="31"/>
    <x v="29"/>
    <x v="11"/>
    <x v="1"/>
    <n v="115"/>
    <s v="NOS"/>
    <m/>
    <m/>
    <m/>
    <m/>
    <n v="1000"/>
    <n v="-1000"/>
    <n v="0"/>
    <n v="6.3552516700000006E-2"/>
    <n v="-6.3552516700000006E-2"/>
    <e v="#DIV/0!"/>
    <n v="15.867808"/>
    <n v="41.765000000000001"/>
    <n v="1000.0635525167"/>
    <n v="41.765000000000001"/>
    <n v="-15.867808"/>
    <m/>
  </r>
  <r>
    <n v="773"/>
    <s v="Hosur"/>
    <x v="7"/>
    <s v="Marathwada"/>
    <x v="7"/>
    <n v="3938687"/>
    <s v="189002-3938687"/>
    <s v="TUB-S-AW-AUT-19.00X19.00X1.000X0.1290"/>
    <x v="7"/>
    <m/>
    <x v="0"/>
    <s v="CR"/>
    <m/>
    <m/>
    <m/>
    <m/>
    <x v="72"/>
    <s v="19-19-1-CRFH-PE-0.129"/>
    <n v="4"/>
    <s v="Hosur"/>
    <m/>
    <m/>
    <m/>
    <x v="31"/>
    <x v="29"/>
    <x v="11"/>
    <x v="1"/>
    <n v="129"/>
    <s v="NOS"/>
    <m/>
    <m/>
    <m/>
    <m/>
    <n v="1000"/>
    <n v="-1000"/>
    <n v="0"/>
    <n v="7.1289344820000017E-2"/>
    <n v="-7.1289344820000017E-2"/>
    <e v="#DIV/0!"/>
    <n v="15.867808"/>
    <n v="41.765000000000001"/>
    <n v="1000.07128934482"/>
    <n v="41.765000000000001"/>
    <n v="-15.867808"/>
    <m/>
  </r>
  <r>
    <n v="130"/>
    <s v="Hosur"/>
    <x v="6"/>
    <s v="Marathwada"/>
    <x v="7"/>
    <n v="3432217"/>
    <s v="189002-3432217"/>
    <s v="TUB-S-AW-AUT-19.00X19.00X1.210X0.3300"/>
    <x v="7"/>
    <m/>
    <x v="0"/>
    <s v="CR"/>
    <m/>
    <m/>
    <m/>
    <m/>
    <x v="72"/>
    <s v="19-19-1-CRFH-PE-0.33"/>
    <n v="1"/>
    <s v="Hosur"/>
    <m/>
    <m/>
    <m/>
    <x v="31"/>
    <x v="29"/>
    <x v="11"/>
    <x v="1"/>
    <n v="330"/>
    <s v="NOS"/>
    <m/>
    <m/>
    <m/>
    <m/>
    <n v="0"/>
    <n v="0"/>
    <n v="0"/>
    <n v="0"/>
    <n v="0"/>
    <e v="#DIV/0!"/>
    <n v="0"/>
    <m/>
    <n v="15.867808"/>
    <n v="41.765000000000001"/>
    <n v="0"/>
    <m/>
  </r>
  <r>
    <m/>
    <s v="Hosur"/>
    <x v="6"/>
    <s v="Marathwada"/>
    <x v="7"/>
    <n v="3230490"/>
    <s v="189002-3230490"/>
    <s v="TUB-S-AW-AUT-19.00X19.00X1.000X0.3550"/>
    <x v="7"/>
    <m/>
    <x v="0"/>
    <s v="CR"/>
    <m/>
    <m/>
    <m/>
    <m/>
    <x v="72"/>
    <s v="19-19-1-CRFH-PE-0.355"/>
    <n v="5"/>
    <s v="Hosur"/>
    <m/>
    <m/>
    <m/>
    <x v="31"/>
    <x v="29"/>
    <x v="11"/>
    <x v="1"/>
    <n v="355"/>
    <s v="NOS"/>
    <m/>
    <m/>
    <m/>
    <m/>
    <n v="7000"/>
    <n v="-7000"/>
    <n v="0"/>
    <n v="1.3732869913000001"/>
    <n v="-1.3732869913000001"/>
    <e v="#DIV/0!"/>
    <n v="0.82584799999999992"/>
    <m/>
    <n v="15.867808"/>
    <n v="41.765000000000001"/>
    <n v="-0.82584799999999992"/>
    <m/>
  </r>
  <r>
    <n v="132"/>
    <s v="Hosur"/>
    <x v="7"/>
    <s v="Marathwada"/>
    <x v="7"/>
    <n v="3230490"/>
    <s v="189002-3230490"/>
    <s v="TUB-S-AW-AUT-19.00X19.00X1.000X0.3550"/>
    <x v="7"/>
    <m/>
    <x v="0"/>
    <s v="CR"/>
    <m/>
    <m/>
    <m/>
    <m/>
    <x v="72"/>
    <s v="19-19-1-CRFH-PE-0.355"/>
    <n v="5"/>
    <s v="Hosur"/>
    <m/>
    <m/>
    <m/>
    <x v="31"/>
    <x v="29"/>
    <x v="11"/>
    <x v="1"/>
    <n v="355"/>
    <s v="NOS"/>
    <m/>
    <m/>
    <n v="14000"/>
    <m/>
    <n v="7000"/>
    <n v="7000"/>
    <n v="2.7465739826000002"/>
    <n v="1.3732869913000001"/>
    <n v="1.3732869913000001"/>
    <n v="4209.5614657556525"/>
    <n v="0.82584799999999992"/>
    <m/>
    <n v="15.867808"/>
    <n v="41.765000000000001"/>
    <n v="1.9207259826000003"/>
    <m/>
  </r>
  <r>
    <n v="762"/>
    <s v="Hosur"/>
    <x v="7"/>
    <s v="Marathwada"/>
    <x v="7"/>
    <n v="3230490"/>
    <s v="189002-3230490"/>
    <s v="TUB-S-AW-AUT-19.00X19.00X1.000X0.3550"/>
    <x v="7"/>
    <m/>
    <x v="0"/>
    <s v="CR"/>
    <m/>
    <m/>
    <m/>
    <m/>
    <x v="72"/>
    <s v="19-19-1-CRFH-PE-0.355"/>
    <n v="5"/>
    <s v="Hosur"/>
    <m/>
    <m/>
    <m/>
    <x v="31"/>
    <x v="29"/>
    <x v="11"/>
    <x v="1"/>
    <n v="355"/>
    <s v="NOS"/>
    <m/>
    <m/>
    <m/>
    <m/>
    <n v="7000"/>
    <n v="-7000"/>
    <n v="0"/>
    <n v="1.3732869913000001"/>
    <n v="-1.3732869913000001"/>
    <e v="#DIV/0!"/>
    <n v="15.867808"/>
    <n v="41.765000000000001"/>
    <n v="7001.3732869913001"/>
    <n v="41.765000000000001"/>
    <n v="-15.867808"/>
    <m/>
  </r>
  <r>
    <n v="133"/>
    <s v="Hosur"/>
    <x v="6"/>
    <s v="Marathwada"/>
    <x v="7"/>
    <n v="3230487"/>
    <s v="189002-3230487"/>
    <s v="TUB-S-AW-AUT-19.00X19.00X1.000X0.4000"/>
    <x v="7"/>
    <m/>
    <x v="0"/>
    <s v="CR"/>
    <m/>
    <m/>
    <m/>
    <m/>
    <x v="72"/>
    <s v="19-19-1-CRFH-PE-0.4"/>
    <n v="4"/>
    <s v="Hosur"/>
    <m/>
    <m/>
    <m/>
    <x v="31"/>
    <x v="29"/>
    <x v="11"/>
    <x v="1"/>
    <n v="400"/>
    <s v="NOS"/>
    <m/>
    <m/>
    <m/>
    <m/>
    <n v="22000"/>
    <n v="-22000"/>
    <n v="0"/>
    <n v="4.8631491039999997"/>
    <n v="-4.8631491039999997"/>
    <e v="#DIV/0!"/>
    <n v="1.7024839999999999"/>
    <m/>
    <n v="15.867808"/>
    <n v="41.765000000000001"/>
    <n v="-1.7024839999999999"/>
    <m/>
  </r>
  <r>
    <n v="757"/>
    <s v="Hosur"/>
    <x v="7"/>
    <s v="Marathwada"/>
    <x v="7"/>
    <n v="3230487"/>
    <s v="189002-3230487"/>
    <s v="TUB-S-AW-AUT-19.00X19.00X1.000X0.4000"/>
    <x v="7"/>
    <m/>
    <x v="0"/>
    <s v="CR"/>
    <m/>
    <m/>
    <m/>
    <m/>
    <x v="72"/>
    <s v="19-19-1-CRFH-PE-0.4"/>
    <n v="4"/>
    <s v="Hosur"/>
    <m/>
    <m/>
    <m/>
    <x v="31"/>
    <x v="29"/>
    <x v="11"/>
    <x v="1"/>
    <n v="400"/>
    <s v="NOS"/>
    <m/>
    <m/>
    <n v="42000"/>
    <m/>
    <n v="22000"/>
    <n v="20000"/>
    <n v="9.2841937439999995"/>
    <n v="4.8631491039999997"/>
    <n v="4.4210446399999999"/>
    <n v="71783.070708826868"/>
    <n v="15.867808"/>
    <n v="41.765000000000001"/>
    <n v="21995.578955360001"/>
    <n v="41.765000000000001"/>
    <n v="-6.5836142560000006"/>
    <m/>
  </r>
  <r>
    <n v="135"/>
    <s v="Hosur"/>
    <x v="7"/>
    <s v="Marathwada"/>
    <x v="7"/>
    <n v="3230488"/>
    <s v="189002-3230488"/>
    <s v="TUB-S-AW-AUT-19.00X19.00X1.000X0.4700"/>
    <x v="7"/>
    <m/>
    <x v="0"/>
    <s v="CR"/>
    <m/>
    <m/>
    <m/>
    <m/>
    <x v="72"/>
    <s v="19-19-1-CRFH-PE-0.47"/>
    <n v="4"/>
    <s v="Hosur"/>
    <m/>
    <m/>
    <m/>
    <x v="31"/>
    <x v="29"/>
    <x v="11"/>
    <x v="1"/>
    <n v="470"/>
    <s v="NOS"/>
    <m/>
    <m/>
    <m/>
    <m/>
    <n v="7000"/>
    <n v="-7000"/>
    <n v="0"/>
    <n v="1.8181546082"/>
    <n v="-1.8181546082"/>
    <e v="#DIV/0!"/>
    <n v="0.25397999999999998"/>
    <m/>
    <n v="15.867808"/>
    <n v="41.765000000000001"/>
    <n v="-0.25397999999999998"/>
    <m/>
  </r>
  <r>
    <n v="756"/>
    <s v="Hosur"/>
    <x v="7"/>
    <s v="Marathwada"/>
    <x v="7"/>
    <n v="3230488"/>
    <s v="189002-3230488"/>
    <s v="TUB-S-AW-AUT-19.00X19.00X1.000X0.4700"/>
    <x v="7"/>
    <m/>
    <x v="0"/>
    <s v="CR"/>
    <m/>
    <m/>
    <m/>
    <m/>
    <x v="72"/>
    <s v="19-19-1-CRFH-PE-0.47"/>
    <n v="4"/>
    <s v="Hosur"/>
    <m/>
    <m/>
    <m/>
    <x v="31"/>
    <x v="29"/>
    <x v="11"/>
    <x v="1"/>
    <n v="470"/>
    <s v="NOS"/>
    <m/>
    <m/>
    <n v="14000"/>
    <m/>
    <n v="7000"/>
    <n v="7000"/>
    <n v="3.6363092163999999"/>
    <n v="1.8181546082"/>
    <n v="1.8181546082"/>
    <n v="61091.975071342007"/>
    <n v="15.867808"/>
    <n v="41.765000000000001"/>
    <n v="6998.1818453918004"/>
    <n v="41.765000000000001"/>
    <n v="-12.231498783599999"/>
    <m/>
  </r>
  <r>
    <n v="134"/>
    <s v="Hosur"/>
    <x v="7"/>
    <s v="Marathwada"/>
    <x v="7"/>
    <n v="3234371"/>
    <s v="189002-3234371"/>
    <s v="TUB-S-AW-AUT-19.00X19.00X1.000X0.4620"/>
    <x v="7"/>
    <m/>
    <x v="0"/>
    <s v="CR"/>
    <m/>
    <m/>
    <m/>
    <m/>
    <x v="72"/>
    <s v="19-19-1-CRFH-PE-0.54"/>
    <n v="5"/>
    <s v="Hosur"/>
    <m/>
    <m/>
    <m/>
    <x v="31"/>
    <x v="29"/>
    <x v="11"/>
    <x v="1"/>
    <n v="540"/>
    <s v="NOS"/>
    <m/>
    <m/>
    <m/>
    <m/>
    <n v="7000"/>
    <n v="-7000"/>
    <n v="0"/>
    <n v="2.0889435924000006"/>
    <n v="-2.0889435924000006"/>
    <e v="#DIV/0!"/>
    <n v="0.294429"/>
    <m/>
    <n v="15.867808"/>
    <n v="41.765000000000001"/>
    <n v="-0.294429"/>
    <m/>
  </r>
  <r>
    <n v="776"/>
    <s v="Hosur"/>
    <x v="7"/>
    <s v="Marathwada"/>
    <x v="7"/>
    <n v="3571870"/>
    <s v="189002-3571870"/>
    <s v="TUB-S-AW-AUT-19.00X19.00X1.000X0.5400"/>
    <x v="7"/>
    <m/>
    <x v="0"/>
    <s v="CR"/>
    <m/>
    <m/>
    <m/>
    <m/>
    <x v="72"/>
    <s v="19-19-1-CRFH-PE-0.54"/>
    <n v="5"/>
    <s v="Hosur"/>
    <m/>
    <m/>
    <m/>
    <x v="31"/>
    <x v="29"/>
    <x v="11"/>
    <x v="1"/>
    <n v="540"/>
    <s v="NOS"/>
    <m/>
    <m/>
    <n v="14000"/>
    <m/>
    <n v="7000"/>
    <n v="7000"/>
    <n v="4.1778871848000012"/>
    <n v="2.0889435924000006"/>
    <n v="2.0889435924000006"/>
    <n v="53172.644969501365"/>
    <n v="15.867808"/>
    <n v="41.765000000000001"/>
    <n v="6997.9110564076"/>
    <n v="41.765000000000001"/>
    <n v="-11.689920815199999"/>
    <m/>
  </r>
  <r>
    <n v="136"/>
    <s v="Hosur"/>
    <x v="6"/>
    <s v="Marathwada"/>
    <x v="7"/>
    <n v="3605740"/>
    <s v="189002-3605740"/>
    <s v="TUB-S-AW-AUT-19.00X19.00X1.010X0.6750"/>
    <x v="7"/>
    <m/>
    <x v="0"/>
    <s v="CR"/>
    <m/>
    <m/>
    <m/>
    <m/>
    <x v="72"/>
    <s v="19-19-1-CRFH-PE-0.675"/>
    <n v="1"/>
    <s v="Hosur"/>
    <m/>
    <m/>
    <m/>
    <x v="31"/>
    <x v="29"/>
    <x v="11"/>
    <x v="1"/>
    <n v="675"/>
    <s v="NOS"/>
    <m/>
    <m/>
    <m/>
    <m/>
    <n v="0"/>
    <n v="0"/>
    <n v="0"/>
    <n v="0"/>
    <n v="0"/>
    <e v="#DIV/0!"/>
    <n v="0.25734400000000002"/>
    <m/>
    <n v="15.867808"/>
    <n v="41.765000000000001"/>
    <n v="-0.25734400000000002"/>
    <m/>
  </r>
  <r>
    <n v="137"/>
    <s v="Hosur"/>
    <x v="7"/>
    <s v="Marathwada"/>
    <x v="7"/>
    <n v="3230491"/>
    <s v="189002-3230491"/>
    <s v="TUB-S-AW-AUT-19.00X19.00X1.000X0.6820"/>
    <x v="7"/>
    <m/>
    <x v="0"/>
    <s v="CR"/>
    <m/>
    <m/>
    <m/>
    <m/>
    <x v="72"/>
    <s v="19-19-1-CRFH-PE-0.682"/>
    <n v="1"/>
    <s v="Hosur"/>
    <m/>
    <m/>
    <m/>
    <x v="31"/>
    <x v="29"/>
    <x v="11"/>
    <x v="1"/>
    <n v="682"/>
    <s v="NOS"/>
    <m/>
    <m/>
    <m/>
    <m/>
    <n v="0"/>
    <n v="0"/>
    <n v="0"/>
    <n v="0"/>
    <n v="0"/>
    <e v="#DIV/0!"/>
    <n v="0"/>
    <m/>
    <n v="15.867808"/>
    <n v="41.765000000000001"/>
    <n v="0"/>
    <m/>
  </r>
  <r>
    <n v="761"/>
    <s v="Hosur"/>
    <x v="7"/>
    <s v="Marathwada"/>
    <x v="7"/>
    <n v="4151426"/>
    <s v="189002-4151426"/>
    <s v="TUB-S-AW-AUT-19.00X19.00X1.000X0.7550"/>
    <x v="7"/>
    <m/>
    <x v="0"/>
    <s v="CR"/>
    <m/>
    <m/>
    <m/>
    <m/>
    <x v="72"/>
    <s v="19-19-1-CRFH-PE-0.755"/>
    <n v="2"/>
    <s v="Hosur"/>
    <m/>
    <m/>
    <m/>
    <x v="31"/>
    <x v="29"/>
    <x v="11"/>
    <x v="1"/>
    <n v="755"/>
    <s v="NOS"/>
    <m/>
    <m/>
    <m/>
    <m/>
    <n v="1000"/>
    <n v="-1000"/>
    <n v="0"/>
    <n v="0.41723608790000005"/>
    <n v="-0.41723608790000005"/>
    <e v="#DIV/0!"/>
    <n v="15.867808"/>
    <n v="41.765000000000001"/>
    <n v="1000.4172360879001"/>
    <n v="41.765000000000001"/>
    <n v="-15.867808"/>
    <m/>
  </r>
  <r>
    <n v="755"/>
    <s v="Hosur"/>
    <x v="7"/>
    <s v="Marathwada"/>
    <x v="7"/>
    <n v="4151429"/>
    <s v="189002-4151429"/>
    <s v="TUB-S-AW-AUT-19.00X19.00X1.000X0.7950"/>
    <x v="7"/>
    <m/>
    <x v="0"/>
    <s v="CR"/>
    <m/>
    <m/>
    <m/>
    <m/>
    <x v="72"/>
    <s v="19-19-1-CRFH-PE-0.795"/>
    <n v="2"/>
    <s v="Hosur"/>
    <m/>
    <m/>
    <m/>
    <x v="31"/>
    <x v="29"/>
    <x v="11"/>
    <x v="1"/>
    <n v="795"/>
    <s v="NOS"/>
    <m/>
    <m/>
    <m/>
    <m/>
    <n v="1000"/>
    <n v="-1000"/>
    <n v="0"/>
    <n v="0.43934131110000008"/>
    <n v="-0.43934131110000008"/>
    <e v="#DIV/0!"/>
    <n v="15.867808"/>
    <n v="41.765000000000001"/>
    <n v="1000.4393413111"/>
    <n v="41.765000000000001"/>
    <n v="-15.867808"/>
    <m/>
  </r>
  <r>
    <n v="139"/>
    <s v="Hosur"/>
    <x v="7"/>
    <s v="Marathwada"/>
    <x v="7"/>
    <n v="3605739"/>
    <s v="189002-3605739"/>
    <s v="TUB-S-AW-AUT-19.00X19.00X1.010X0.800"/>
    <x v="7"/>
    <m/>
    <x v="0"/>
    <s v="CR"/>
    <m/>
    <m/>
    <m/>
    <m/>
    <x v="72"/>
    <s v="19-19-1-CRFH-PE-0.8"/>
    <n v="2"/>
    <s v="Hosur"/>
    <m/>
    <m/>
    <m/>
    <x v="31"/>
    <x v="29"/>
    <x v="11"/>
    <x v="1"/>
    <n v="800"/>
    <s v="NOS"/>
    <m/>
    <m/>
    <n v="14000"/>
    <m/>
    <n v="6000"/>
    <n v="8000"/>
    <n v="6.189462496"/>
    <n v="2.6526267840000002"/>
    <n v="3.5368357119999998"/>
    <n v="1953.8413889437679"/>
    <n v="0.86380199999999996"/>
    <m/>
    <n v="15.867808"/>
    <n v="41.765000000000001"/>
    <n v="5.3256604960000002"/>
    <m/>
  </r>
  <r>
    <n v="764"/>
    <s v="Hosur"/>
    <x v="7"/>
    <s v="Marathwada"/>
    <x v="7"/>
    <n v="4151425"/>
    <s v="189002-4151425"/>
    <s v="TUB-S-AW-AUT-19.00X19.00X1.000X0.8350"/>
    <x v="7"/>
    <m/>
    <x v="0"/>
    <s v="CR"/>
    <m/>
    <m/>
    <m/>
    <m/>
    <x v="72"/>
    <s v="19-19-1-CRFH-PE-0.835"/>
    <n v="2"/>
    <s v="Hosur"/>
    <m/>
    <m/>
    <m/>
    <x v="31"/>
    <x v="29"/>
    <x v="11"/>
    <x v="1"/>
    <n v="835"/>
    <s v="NOS"/>
    <m/>
    <m/>
    <m/>
    <m/>
    <n v="1000"/>
    <n v="-1000"/>
    <n v="0"/>
    <n v="0.46144653430000004"/>
    <n v="-0.46144653430000004"/>
    <e v="#DIV/0!"/>
    <n v="15.867808"/>
    <n v="41.765000000000001"/>
    <n v="1000.4614465343"/>
    <n v="41.765000000000001"/>
    <n v="-15.867808"/>
    <m/>
  </r>
  <r>
    <n v="138"/>
    <s v="Hosur"/>
    <x v="7"/>
    <s v="Marathwada"/>
    <x v="7"/>
    <n v="3230485"/>
    <s v="189002-3230485"/>
    <s v="TUB-S-AW-AUT-19.00X19.00X1.000X0.8400"/>
    <x v="7"/>
    <m/>
    <x v="0"/>
    <s v="CR"/>
    <m/>
    <m/>
    <m/>
    <m/>
    <x v="72"/>
    <s v="19-19-1-CRFH-PE-0.84"/>
    <n v="2"/>
    <s v="Hosur"/>
    <m/>
    <m/>
    <m/>
    <x v="31"/>
    <x v="29"/>
    <x v="11"/>
    <x v="1"/>
    <n v="840"/>
    <s v="NOS"/>
    <m/>
    <m/>
    <n v="14000"/>
    <m/>
    <n v="6000"/>
    <n v="8000"/>
    <n v="6.4989356208000011"/>
    <n v="2.7852581232000002"/>
    <n v="3.7136774976000009"/>
    <n v="1812.3813940089613"/>
    <n v="0.84132499999999999"/>
    <m/>
    <n v="15.867808"/>
    <n v="41.765000000000001"/>
    <n v="5.6576106208000008"/>
    <m/>
  </r>
  <r>
    <n v="140"/>
    <s v="Hosur"/>
    <x v="7"/>
    <s v="Marathwada"/>
    <x v="7"/>
    <n v="3233560"/>
    <s v="189002-3233560"/>
    <s v="TUB-S-AW-AUT-19.00X19.00X1.000X0.871"/>
    <x v="7"/>
    <m/>
    <x v="0"/>
    <s v="CR"/>
    <m/>
    <m/>
    <m/>
    <m/>
    <x v="72"/>
    <s v="19-19-1-CRFH-PE-0.871"/>
    <n v="1"/>
    <s v="Hosur"/>
    <m/>
    <m/>
    <m/>
    <x v="31"/>
    <x v="29"/>
    <x v="11"/>
    <x v="1"/>
    <n v="871"/>
    <s v="NOS"/>
    <m/>
    <m/>
    <n v="14000"/>
    <m/>
    <n v="6000"/>
    <n v="8000"/>
    <n v="6.73877729252"/>
    <n v="2.8880474110800001"/>
    <n v="3.8507298814399999"/>
    <n v="0"/>
    <n v="0"/>
    <m/>
    <n v="15.867808"/>
    <n v="41.765000000000001"/>
    <n v="6.73877729252"/>
    <m/>
  </r>
  <r>
    <n v="141"/>
    <s v="Hosur"/>
    <x v="7"/>
    <s v="Marathwada"/>
    <x v="7"/>
    <n v="3230492"/>
    <s v="189002-3230492"/>
    <s v="TUB-S-AW-AUT-19.00X19.00X1.000X0.8800"/>
    <x v="7"/>
    <m/>
    <x v="0"/>
    <s v="CR"/>
    <m/>
    <m/>
    <m/>
    <m/>
    <x v="72"/>
    <s v="19-19-1-CRFH-PE-0.88"/>
    <n v="3"/>
    <s v="Hosur"/>
    <m/>
    <m/>
    <m/>
    <x v="31"/>
    <x v="29"/>
    <x v="11"/>
    <x v="1"/>
    <n v="880"/>
    <s v="NOS"/>
    <m/>
    <m/>
    <m/>
    <m/>
    <n v="9000"/>
    <n v="-9000"/>
    <n v="0"/>
    <n v="4.3768341936000006"/>
    <n v="-4.3768341936000006"/>
    <e v="#DIV/0!"/>
    <n v="0.73132200000000003"/>
    <m/>
    <n v="15.867808"/>
    <n v="41.765000000000001"/>
    <n v="-0.73132200000000003"/>
    <m/>
  </r>
  <r>
    <n v="774"/>
    <s v="Hosur"/>
    <x v="7"/>
    <s v="Marathwada"/>
    <x v="7"/>
    <n v="4177673"/>
    <s v="189002-4177673"/>
    <s v="TUB-R-AW-AUT-19.00X19.00X1.000X0.8800"/>
    <x v="7"/>
    <m/>
    <x v="0"/>
    <s v="CR"/>
    <m/>
    <m/>
    <m/>
    <m/>
    <x v="72"/>
    <s v="19-19-1-CRFH-PE-0.88"/>
    <n v="3"/>
    <s v="Hosur"/>
    <m/>
    <m/>
    <m/>
    <x v="31"/>
    <x v="29"/>
    <x v="11"/>
    <x v="1"/>
    <n v="880"/>
    <s v="NOS"/>
    <m/>
    <m/>
    <n v="21000"/>
    <m/>
    <n v="9000"/>
    <n v="12000"/>
    <n v="10.212613118400002"/>
    <n v="4.3768341936000006"/>
    <n v="5.8357789248000014"/>
    <n v="32628.668504012203"/>
    <n v="15.867808"/>
    <n v="41.765000000000001"/>
    <n v="8994.1642210751997"/>
    <n v="41.765000000000001"/>
    <n v="-5.6551948815999982"/>
    <m/>
  </r>
  <r>
    <n v="760"/>
    <s v="Hosur"/>
    <x v="7"/>
    <s v="Marathwada"/>
    <x v="7"/>
    <n v="4151427"/>
    <s v="189002-4151427"/>
    <s v="TUB-S-AW-AUT-19.00X19.00X1.000X0.9630"/>
    <x v="7"/>
    <m/>
    <x v="0"/>
    <s v="CR"/>
    <m/>
    <m/>
    <m/>
    <m/>
    <x v="72"/>
    <s v="19-19-1-CRFH-PE-0.963"/>
    <n v="2"/>
    <s v="Hosur"/>
    <m/>
    <m/>
    <m/>
    <x v="31"/>
    <x v="29"/>
    <x v="11"/>
    <x v="1"/>
    <n v="963"/>
    <s v="NOS"/>
    <m/>
    <m/>
    <m/>
    <m/>
    <n v="1000"/>
    <n v="-1000"/>
    <n v="0"/>
    <n v="0.5321832485400001"/>
    <n v="-0.5321832485400001"/>
    <e v="#DIV/0!"/>
    <n v="15.867808"/>
    <n v="41.765000000000001"/>
    <n v="1000.53218324854"/>
    <n v="41.765000000000001"/>
    <n v="-15.867808"/>
    <m/>
  </r>
  <r>
    <n v="142"/>
    <s v="Hosur"/>
    <x v="6"/>
    <s v="Marathwada"/>
    <x v="7"/>
    <n v="1940146"/>
    <s v="189002-1940146"/>
    <s v="TUB-S-AW-SHS-19.00X19.00X1.000X6.0000"/>
    <x v="7"/>
    <m/>
    <x v="0"/>
    <s v="CR"/>
    <m/>
    <m/>
    <m/>
    <m/>
    <x v="72"/>
    <s v="19-19-1-CRFH-PE-1"/>
    <n v="2"/>
    <s v="Hosur"/>
    <m/>
    <m/>
    <m/>
    <x v="31"/>
    <x v="29"/>
    <x v="11"/>
    <x v="1"/>
    <n v="1000"/>
    <s v="M"/>
    <m/>
    <m/>
    <m/>
    <m/>
    <n v="19782"/>
    <n v="-19782"/>
    <n v="0"/>
    <n v="10.932138133560001"/>
    <n v="-10.932138133560001"/>
    <e v="#DIV/0!"/>
    <n v="15.867808"/>
    <m/>
    <n v="15.867808"/>
    <n v="41.765000000000001"/>
    <n v="-15.867808"/>
    <m/>
  </r>
  <r>
    <n v="143"/>
    <s v="Hosur"/>
    <x v="6"/>
    <s v="Marathwada"/>
    <x v="7"/>
    <n v="3597679"/>
    <s v="189002-3597679"/>
    <s v="TUB-S-AW-AUT-19.00X19.00X1.000X6.1400"/>
    <x v="7"/>
    <m/>
    <x v="0"/>
    <s v="CR"/>
    <m/>
    <m/>
    <m/>
    <m/>
    <x v="72"/>
    <s v="19-19-1-CRFH-PE-1"/>
    <n v="2"/>
    <s v="Hosur"/>
    <m/>
    <m/>
    <m/>
    <x v="31"/>
    <x v="29"/>
    <x v="11"/>
    <x v="1"/>
    <n v="1000"/>
    <s v="M"/>
    <m/>
    <m/>
    <m/>
    <m/>
    <n v="19782"/>
    <n v="-19782"/>
    <n v="0"/>
    <n v="10.932138133560001"/>
    <n v="-10.932138133560001"/>
    <e v="#DIV/0!"/>
    <n v="15.867808"/>
    <m/>
    <n v="15.867808"/>
    <n v="41.765000000000001"/>
    <n v="-15.867808"/>
    <m/>
  </r>
  <r>
    <n v="145"/>
    <s v="Hosur"/>
    <x v="6"/>
    <s v="Marathwada"/>
    <x v="7"/>
    <n v="3230494"/>
    <s v="189002-3230494"/>
    <s v="TUB-S-AW-AUT-19.00X19.00X1.000X1.3000"/>
    <x v="7"/>
    <m/>
    <x v="0"/>
    <s v="CR"/>
    <m/>
    <m/>
    <m/>
    <m/>
    <x v="72"/>
    <s v="19-19-1-CRFH-PE-1.007"/>
    <n v="6"/>
    <s v="Hosur"/>
    <m/>
    <m/>
    <m/>
    <x v="31"/>
    <x v="29"/>
    <x v="11"/>
    <x v="1"/>
    <n v="1007"/>
    <s v="NOS"/>
    <m/>
    <m/>
    <m/>
    <m/>
    <n v="3500"/>
    <n v="-3500"/>
    <n v="0"/>
    <n v="1.9477464792100001"/>
    <n v="-1.9477464792100001"/>
    <e v="#DIV/0!"/>
    <n v="1.9834540000000001"/>
    <m/>
    <n v="15.867808"/>
    <n v="41.765000000000001"/>
    <n v="-1.9834540000000001"/>
    <m/>
  </r>
  <r>
    <m/>
    <s v="Hosur"/>
    <x v="7"/>
    <s v="Marathwada"/>
    <x v="7"/>
    <n v="4100796"/>
    <s v="189002-4100796"/>
    <s v="CUT-R-AW-AUT-19.00X19.00X1.000X1.0070"/>
    <x v="7"/>
    <m/>
    <x v="0"/>
    <s v="CR"/>
    <m/>
    <m/>
    <m/>
    <m/>
    <x v="72"/>
    <s v="19-19-1-CRFH-PE-1.007"/>
    <n v="6"/>
    <s v="Hosur"/>
    <m/>
    <m/>
    <m/>
    <x v="31"/>
    <x v="29"/>
    <x v="11"/>
    <x v="1"/>
    <n v="1007"/>
    <s v="NOS"/>
    <m/>
    <m/>
    <n v="7000"/>
    <m/>
    <n v="3500"/>
    <n v="3500"/>
    <n v="3.8954929584200002"/>
    <n v="1.9477464792100001"/>
    <n v="1.9477464792100001"/>
    <n v="3564.1645738287712"/>
    <n v="1.9834540000000001"/>
    <m/>
    <n v="15.867808"/>
    <n v="41.765000000000001"/>
    <n v="1.9120389584200002"/>
    <m/>
  </r>
  <r>
    <n v="770"/>
    <s v="Hosur"/>
    <x v="7"/>
    <s v="Marathwada"/>
    <x v="7"/>
    <n v="4100796"/>
    <s v="189002-4100796"/>
    <s v="CUT-R-AW-AUT-19.00X19.00X1.000X1.0070"/>
    <x v="7"/>
    <m/>
    <x v="0"/>
    <s v="CR"/>
    <m/>
    <m/>
    <m/>
    <m/>
    <x v="72"/>
    <s v="19-19-1-CRFH-PE-1.007"/>
    <n v="6"/>
    <s v="Hosur"/>
    <m/>
    <m/>
    <m/>
    <x v="31"/>
    <x v="29"/>
    <x v="11"/>
    <x v="1"/>
    <n v="1007"/>
    <s v="NOS"/>
    <m/>
    <m/>
    <m/>
    <m/>
    <n v="3500"/>
    <n v="-3500"/>
    <n v="0"/>
    <n v="1.9477464792100001"/>
    <n v="-1.9477464792100001"/>
    <e v="#DIV/0!"/>
    <n v="15.867808"/>
    <n v="41.765000000000001"/>
    <n v="3501.9477464792099"/>
    <n v="41.765000000000001"/>
    <n v="-15.867808"/>
    <m/>
  </r>
  <r>
    <m/>
    <s v="Hosur"/>
    <x v="6"/>
    <s v="Marathwada"/>
    <x v="7"/>
    <n v="3572038"/>
    <s v="189002-3572038"/>
    <s v="TUB-S-AW-AUT-19.00X19.00X1.000X1.2460"/>
    <x v="7"/>
    <m/>
    <x v="0"/>
    <s v="CR"/>
    <m/>
    <m/>
    <m/>
    <m/>
    <x v="72"/>
    <s v="19-19-1-CRFH-PE-1.246"/>
    <n v="5"/>
    <s v="Hosur"/>
    <m/>
    <m/>
    <m/>
    <x v="31"/>
    <x v="29"/>
    <x v="11"/>
    <x v="1"/>
    <n v="1246"/>
    <s v="NOS"/>
    <m/>
    <m/>
    <m/>
    <m/>
    <n v="3500"/>
    <n v="-3500"/>
    <n v="0"/>
    <n v="2.4100219593799999"/>
    <n v="-2.4100219593799999"/>
    <e v="#DIV/0!"/>
    <n v="0.91688999999999998"/>
    <m/>
    <n v="15.867808"/>
    <n v="41.765000000000001"/>
    <n v="-0.91688999999999998"/>
    <m/>
  </r>
  <r>
    <n v="769"/>
    <s v="Hosur"/>
    <x v="7"/>
    <s v="Marathwada"/>
    <x v="7"/>
    <n v="3572038"/>
    <s v="189002-3572038"/>
    <s v="TUB-S-AW-AUT-19.00X19.00X1.000X1.2460"/>
    <x v="7"/>
    <m/>
    <x v="0"/>
    <s v="CR"/>
    <m/>
    <m/>
    <m/>
    <m/>
    <x v="72"/>
    <s v="19-19-1-CRFH-PE-1.246"/>
    <n v="5"/>
    <s v="Hosur"/>
    <m/>
    <m/>
    <m/>
    <x v="31"/>
    <x v="29"/>
    <x v="11"/>
    <x v="1"/>
    <n v="1246"/>
    <s v="NOS"/>
    <m/>
    <m/>
    <n v="7000"/>
    <m/>
    <n v="3500"/>
    <n v="3500"/>
    <n v="4.8200439187599997"/>
    <n v="2.4100219593799999"/>
    <n v="2.4100219593799999"/>
    <n v="23044.324465112961"/>
    <n v="15.867808"/>
    <n v="41.765000000000001"/>
    <n v="3497.5899780406198"/>
    <n v="41.765000000000001"/>
    <n v="-11.04776408124"/>
    <m/>
  </r>
  <r>
    <n v="763"/>
    <s v="Hosur"/>
    <x v="7"/>
    <s v="Marathwada"/>
    <x v="7"/>
    <n v="3572039"/>
    <s v="189002-3572039"/>
    <s v="TUB-S-AW-AUT-19.00X19.00X1.000X1.3040"/>
    <x v="7"/>
    <m/>
    <x v="0"/>
    <s v="CR"/>
    <m/>
    <m/>
    <m/>
    <m/>
    <x v="72"/>
    <s v="19-19-1-CRFH-PE-1.304"/>
    <n v="3"/>
    <s v="Hosur"/>
    <m/>
    <m/>
    <m/>
    <x v="31"/>
    <x v="29"/>
    <x v="11"/>
    <x v="1"/>
    <n v="1304"/>
    <s v="NOS"/>
    <m/>
    <m/>
    <m/>
    <m/>
    <n v="1000"/>
    <n v="-1000"/>
    <n v="0"/>
    <n v="0.7206302763200001"/>
    <n v="-0.7206302763200001"/>
    <e v="#DIV/0!"/>
    <n v="15.867808"/>
    <n v="41.765000000000001"/>
    <n v="1000.72063027632"/>
    <n v="41.765000000000001"/>
    <n v="-15.867808"/>
    <m/>
  </r>
  <r>
    <n v="153"/>
    <s v="Hosur"/>
    <x v="7"/>
    <s v="Marathwada"/>
    <x v="7"/>
    <n v="3230483"/>
    <s v="189002-3230483"/>
    <s v="TUB-S-AW-AUT-25.00X25.00X1.200X0.3300"/>
    <x v="7"/>
    <m/>
    <x v="0"/>
    <s v="CR"/>
    <m/>
    <m/>
    <m/>
    <m/>
    <x v="73"/>
    <s v="25-25-1.2-CRFH-PE-0.33"/>
    <s v="#REF!"/>
    <m/>
    <m/>
    <m/>
    <m/>
    <x v="10"/>
    <x v="13"/>
    <x v="3"/>
    <x v="2"/>
    <n v="330"/>
    <s v="NOS"/>
    <m/>
    <m/>
    <m/>
    <m/>
    <n v="0"/>
    <n v="0"/>
    <n v="0"/>
    <n v="0"/>
    <n v="0"/>
    <e v="#DIV/0!"/>
    <n v="0"/>
    <m/>
    <n v="2.5459999999999998"/>
    <n v="25.728999999999999"/>
    <n v="0"/>
    <m/>
  </r>
  <r>
    <n v="766"/>
    <s v="Hosur"/>
    <x v="7"/>
    <s v="Marathwada"/>
    <x v="7"/>
    <n v="4151430"/>
    <s v="189002-4151430"/>
    <s v="TUB-S-AW-AUT-25.00X25.00X1.200X0.6400"/>
    <x v="7"/>
    <m/>
    <x v="0"/>
    <s v="CR"/>
    <m/>
    <m/>
    <m/>
    <m/>
    <x v="73"/>
    <s v="25-25-1.2-CRFH-PE-0.64"/>
    <n v="2"/>
    <s v="Hosur"/>
    <m/>
    <m/>
    <m/>
    <x v="10"/>
    <x v="13"/>
    <x v="3"/>
    <x v="2"/>
    <n v="640"/>
    <s v="NOS"/>
    <m/>
    <m/>
    <m/>
    <m/>
    <n v="1000"/>
    <n v="-1000"/>
    <n v="0"/>
    <n v="0.57832469759999994"/>
    <n v="-0.57832469759999994"/>
    <e v="#DIV/0!"/>
    <n v="2.5459999999999998"/>
    <n v="25.728999999999999"/>
    <n v="1000.5783246976"/>
    <n v="25.728999999999999"/>
    <n v="-2.5459999999999998"/>
    <m/>
  </r>
  <r>
    <n v="154"/>
    <s v="Hosur"/>
    <x v="7"/>
    <s v="Marathwada"/>
    <x v="7"/>
    <n v="3230482"/>
    <s v="189002-3230482"/>
    <s v="TUB-S-AW-AUT-25.00X25.00X1.200X0.7870"/>
    <x v="7"/>
    <m/>
    <x v="0"/>
    <s v="CR"/>
    <m/>
    <m/>
    <m/>
    <m/>
    <x v="73"/>
    <s v="25-25-1.2-CRFH-PE-0.787"/>
    <n v="2"/>
    <s v="Hosur"/>
    <m/>
    <m/>
    <m/>
    <x v="10"/>
    <x v="13"/>
    <x v="3"/>
    <x v="2"/>
    <n v="787"/>
    <s v="NOS"/>
    <m/>
    <m/>
    <n v="14000"/>
    <m/>
    <n v="6000"/>
    <n v="8000"/>
    <n v="9.9562211221199988"/>
    <n v="4.2669519094799995"/>
    <n v="5.6892692126399993"/>
    <n v="725.7564804327485"/>
    <n v="0.51612800000000003"/>
    <m/>
    <n v="2.5459999999999998"/>
    <n v="25.728999999999999"/>
    <n v="9.4400931221199986"/>
    <m/>
  </r>
  <r>
    <n v="155"/>
    <s v="Hosur"/>
    <x v="7"/>
    <s v="Marathwada"/>
    <x v="7"/>
    <n v="3935311"/>
    <s v="189002-3935311"/>
    <s v="CUT-S-AW-AUT-25.00X25.00X1.200X1.2980"/>
    <x v="7"/>
    <m/>
    <x v="0"/>
    <s v="CR"/>
    <m/>
    <m/>
    <m/>
    <m/>
    <x v="73"/>
    <s v="25-25-1.2-CRFH-PE-1.298"/>
    <s v="#REF!"/>
    <s v="Hosur"/>
    <m/>
    <m/>
    <m/>
    <x v="10"/>
    <x v="13"/>
    <x v="3"/>
    <x v="2"/>
    <n v="1298"/>
    <s v="NOS"/>
    <m/>
    <m/>
    <n v="7000"/>
    <m/>
    <n v="3000"/>
    <n v="4000"/>
    <n v="8.2104034412400004"/>
    <n v="3.5187443319599998"/>
    <n v="4.6916591092800006"/>
    <n v="659.45285621461221"/>
    <n v="0.773482"/>
    <m/>
    <n v="2.5459999999999998"/>
    <n v="25.728999999999999"/>
    <n v="7.4369214412400009"/>
    <m/>
  </r>
  <r>
    <n v="768"/>
    <s v="Hosur"/>
    <x v="7"/>
    <s v="Marathwada"/>
    <x v="7"/>
    <n v="4151424"/>
    <s v="189002-4151424"/>
    <s v="TUB-S-AW-AUT-30.00X30.00X1.200X0.1900"/>
    <x v="7"/>
    <m/>
    <x v="0"/>
    <s v="CR"/>
    <m/>
    <m/>
    <m/>
    <m/>
    <x v="74"/>
    <s v="30-30-1.2-CRFH-PE-0.19"/>
    <n v="2"/>
    <s v="Hosur"/>
    <m/>
    <m/>
    <m/>
    <x v="14"/>
    <x v="27"/>
    <x v="1"/>
    <x v="2"/>
    <n v="190"/>
    <s v="NOS"/>
    <m/>
    <m/>
    <m/>
    <m/>
    <n v="1000"/>
    <n v="-1000"/>
    <n v="0"/>
    <n v="0.20737696680000001"/>
    <n v="-0.20737696680000001"/>
    <e v="#DIV/0!"/>
    <n v="0"/>
    <n v="22.942"/>
    <n v="1000.2073769668"/>
    <n v="22.942"/>
    <n v="0"/>
    <m/>
  </r>
  <r>
    <n v="156"/>
    <s v="Hosur"/>
    <x v="7"/>
    <s v="Marathwada"/>
    <x v="7"/>
    <n v="3230495"/>
    <s v="189002-3230495"/>
    <s v="TUB-S-AW-AUT-30.00X30.00X1.200X0.2200"/>
    <x v="7"/>
    <m/>
    <x v="0"/>
    <s v="CR"/>
    <m/>
    <m/>
    <m/>
    <m/>
    <x v="74"/>
    <s v="30-30-1.2-CRFH-PE-0.22"/>
    <s v="#REF!"/>
    <s v="Hosur"/>
    <m/>
    <m/>
    <m/>
    <x v="14"/>
    <x v="27"/>
    <x v="1"/>
    <x v="2"/>
    <n v="220"/>
    <s v="NOS"/>
    <m/>
    <m/>
    <n v="14000"/>
    <m/>
    <n v="6000"/>
    <n v="8000"/>
    <n v="3.3616897776000001"/>
    <n v="1.4407241904000001"/>
    <n v="1.9209655872"/>
    <n v="1.3035111178903684"/>
    <n v="3.1300000000000002E-4"/>
    <m/>
    <n v="0"/>
    <n v="22.942"/>
    <n v="3.3613767776000003"/>
    <m/>
  </r>
  <r>
    <n v="754"/>
    <s v="Hosur"/>
    <x v="7"/>
    <s v="Marathwada"/>
    <x v="7"/>
    <n v="3572047"/>
    <s v="189002-3572047"/>
    <s v="TUB-R-AW-AUT-40.00X20.00X1.200X0.1100"/>
    <x v="7"/>
    <m/>
    <x v="0"/>
    <s v="CR"/>
    <m/>
    <m/>
    <m/>
    <m/>
    <x v="75"/>
    <s v="40-20-1.2-CRFH-PE-0.11"/>
    <n v="3"/>
    <s v="Hosur"/>
    <m/>
    <m/>
    <m/>
    <x v="14"/>
    <x v="15"/>
    <x v="4"/>
    <x v="2"/>
    <n v="110"/>
    <s v="NOS"/>
    <m/>
    <m/>
    <m/>
    <m/>
    <n v="1000"/>
    <n v="-1000"/>
    <n v="0"/>
    <n v="0.1200603492"/>
    <n v="-0.1200603492"/>
    <e v="#DIV/0!"/>
    <n v="30.749380999999996"/>
    <n v="129.15199999999999"/>
    <n v="1000.1200603492"/>
    <n v="129.15199999999999"/>
    <n v="-30.749380999999996"/>
    <m/>
  </r>
  <r>
    <n v="753"/>
    <s v="Hosur"/>
    <x v="7"/>
    <s v="Marathwada"/>
    <x v="7"/>
    <n v="3233559"/>
    <s v="189002-3233559"/>
    <s v="TUB-R-AW-AUT-40.00X20.00X1.210X0.1200"/>
    <x v="7"/>
    <m/>
    <x v="0"/>
    <s v="CR"/>
    <m/>
    <m/>
    <m/>
    <m/>
    <x v="75"/>
    <s v="40-20-1.2-CRFH-PE-0.12"/>
    <n v="4"/>
    <s v="Hosur"/>
    <m/>
    <m/>
    <m/>
    <x v="14"/>
    <x v="15"/>
    <x v="4"/>
    <x v="2"/>
    <n v="120"/>
    <s v="NOS"/>
    <m/>
    <m/>
    <m/>
    <m/>
    <n v="2000"/>
    <n v="-2000"/>
    <n v="0"/>
    <n v="0.26194985279999994"/>
    <n v="-0.26194985279999994"/>
    <e v="#DIV/0!"/>
    <n v="30.749380999999996"/>
    <n v="129.15199999999999"/>
    <n v="2000.2619498527999"/>
    <n v="129.15199999999999"/>
    <n v="-30.749380999999996"/>
    <m/>
  </r>
  <r>
    <n v="775"/>
    <s v="Hosur"/>
    <x v="7"/>
    <s v="Marathwada"/>
    <x v="7"/>
    <n v="4151472"/>
    <s v="189002-4151472"/>
    <s v="TUB-R-AW-AUT-40.00X20.00X1.200X0.7550"/>
    <x v="7"/>
    <m/>
    <x v="0"/>
    <s v="CR"/>
    <m/>
    <m/>
    <m/>
    <m/>
    <x v="75"/>
    <s v="40-20-1.2-CRFH-PE-0.755"/>
    <n v="2"/>
    <s v="Hosur"/>
    <m/>
    <m/>
    <m/>
    <x v="14"/>
    <x v="15"/>
    <x v="4"/>
    <x v="2"/>
    <n v="755"/>
    <s v="NOS"/>
    <m/>
    <m/>
    <m/>
    <m/>
    <n v="1000"/>
    <n v="-1000"/>
    <n v="0"/>
    <n v="0.82405057859999986"/>
    <n v="-0.82405057859999986"/>
    <e v="#DIV/0!"/>
    <n v="30.749380999999996"/>
    <n v="129.15199999999999"/>
    <n v="1000.8240505786"/>
    <n v="129.15199999999999"/>
    <n v="-30.749380999999996"/>
    <m/>
  </r>
  <r>
    <n v="158"/>
    <s v="Hosur"/>
    <x v="7"/>
    <s v="Marathwada"/>
    <x v="7"/>
    <n v="3233557"/>
    <s v="189002-3233557"/>
    <s v="TUB-R-AW-AUT-40.00X20.00X1.210X0.8000"/>
    <x v="7"/>
    <m/>
    <x v="0"/>
    <s v="CR"/>
    <m/>
    <m/>
    <m/>
    <m/>
    <x v="75"/>
    <s v="40-20-1.2-CRFH-PE-0.8"/>
    <n v="2"/>
    <s v="Hosur"/>
    <n v="8.8029000000000011"/>
    <n v="0"/>
    <m/>
    <x v="14"/>
    <x v="15"/>
    <x v="4"/>
    <x v="2"/>
    <n v="800"/>
    <s v="NOS"/>
    <m/>
    <m/>
    <n v="14000"/>
    <m/>
    <n v="6000"/>
    <n v="8000"/>
    <n v="12.224326463999999"/>
    <n v="5.2389970560000005"/>
    <n v="6.9853294079999984"/>
    <n v="985.53290731225036"/>
    <n v="0.86053400000000002"/>
    <m/>
    <n v="30.749380999999996"/>
    <n v="129.15199999999999"/>
    <n v="11.363792463999999"/>
    <m/>
  </r>
  <r>
    <n v="159"/>
    <s v="Hosur"/>
    <x v="6"/>
    <s v="Marathwada"/>
    <x v="7"/>
    <n v="3233556"/>
    <s v="189002-3233556"/>
    <s v="TUB-R-AW-AUT-40.00X20.00X1.210X0.860"/>
    <x v="7"/>
    <m/>
    <x v="0"/>
    <s v="CR"/>
    <m/>
    <m/>
    <m/>
    <m/>
    <x v="75"/>
    <s v="40-20-1.2-CRFH-PE-0.86"/>
    <n v="5"/>
    <s v="Hosur"/>
    <m/>
    <m/>
    <m/>
    <x v="14"/>
    <x v="15"/>
    <x v="4"/>
    <x v="2"/>
    <n v="860"/>
    <s v="NOS"/>
    <m/>
    <m/>
    <m/>
    <m/>
    <n v="13000"/>
    <n v="-13000"/>
    <n v="0"/>
    <n v="12.2024973096"/>
    <n v="-12.2024973096"/>
    <e v="#DIV/0!"/>
    <n v="3.5161199999999999"/>
    <m/>
    <n v="30.749380999999996"/>
    <n v="129.15199999999999"/>
    <n v="-3.5161199999999999"/>
    <m/>
  </r>
  <r>
    <n v="777"/>
    <s v="Hosur"/>
    <x v="7"/>
    <s v="Marathwada"/>
    <x v="7"/>
    <n v="3572051"/>
    <s v="189002-3572051"/>
    <s v="TUB-R-AW-AUT-40.00X20.00X1.200X0.8600"/>
    <x v="7"/>
    <m/>
    <x v="0"/>
    <s v="CR"/>
    <m/>
    <m/>
    <m/>
    <m/>
    <x v="75"/>
    <s v="40-20-1.2-CRFH-PE-0.86"/>
    <n v="5"/>
    <s v="Hosur"/>
    <n v="8.8029000000000011"/>
    <n v="0"/>
    <m/>
    <x v="14"/>
    <x v="15"/>
    <x v="4"/>
    <x v="2"/>
    <n v="860"/>
    <s v="NOS"/>
    <m/>
    <m/>
    <n v="28000"/>
    <m/>
    <n v="13000"/>
    <n v="15000"/>
    <n v="26.2823018976"/>
    <n v="12.2024973096"/>
    <n v="14.079804588"/>
    <n v="32759.028161023507"/>
    <n v="30.749380999999996"/>
    <n v="129.15199999999999"/>
    <n v="12985.920195412"/>
    <n v="129.15199999999999"/>
    <n v="-4.4670791023999961"/>
    <m/>
  </r>
  <r>
    <n v="160"/>
    <s v="Hosur"/>
    <x v="6"/>
    <s v="Marathwada"/>
    <x v="7"/>
    <n v="3597713"/>
    <s v="189002-3597713"/>
    <s v="TUB-R-AW-AUT-40.00X20.00X1.200X5.2600"/>
    <x v="7"/>
    <m/>
    <x v="0"/>
    <s v="CR"/>
    <m/>
    <m/>
    <m/>
    <m/>
    <x v="75"/>
    <s v="40-20-1.2-CRFH-PE-1"/>
    <n v="2"/>
    <s v="Hosur"/>
    <m/>
    <m/>
    <m/>
    <x v="14"/>
    <x v="15"/>
    <x v="4"/>
    <x v="2"/>
    <n v="1000"/>
    <s v="M"/>
    <m/>
    <m/>
    <m/>
    <m/>
    <n v="2840"/>
    <n v="-2840"/>
    <n v="0"/>
    <n v="3.0997399247999993"/>
    <n v="-3.0997399247999993"/>
    <e v="#DIV/0!"/>
    <n v="12.762480999999999"/>
    <m/>
    <n v="30.749380999999996"/>
    <n v="129.15199999999999"/>
    <n v="-12.762480999999999"/>
    <m/>
  </r>
  <r>
    <n v="161"/>
    <s v="Hosur"/>
    <x v="6"/>
    <s v="Marathwada"/>
    <x v="7"/>
    <n v="1940807"/>
    <s v="189002-1940807"/>
    <s v="TUB-R-AW-RHS-40.00X20.00X1.210X6.0000"/>
    <x v="7"/>
    <m/>
    <x v="0"/>
    <s v="CR"/>
    <m/>
    <m/>
    <m/>
    <m/>
    <x v="75"/>
    <s v="40-20-1.2-CRFH-PE-1"/>
    <n v="2"/>
    <s v="Hosur"/>
    <m/>
    <m/>
    <m/>
    <x v="14"/>
    <x v="15"/>
    <x v="4"/>
    <x v="2"/>
    <n v="1000"/>
    <s v="M"/>
    <m/>
    <m/>
    <m/>
    <m/>
    <n v="2840"/>
    <n v="-2840"/>
    <n v="0"/>
    <n v="3.0997399247999993"/>
    <n v="-3.0997399247999993"/>
    <e v="#DIV/0!"/>
    <n v="12.762480999999999"/>
    <m/>
    <n v="30.749380999999996"/>
    <n v="129.15199999999999"/>
    <n v="-12.762480999999999"/>
    <m/>
  </r>
  <r>
    <n v="162"/>
    <s v="Hosur"/>
    <x v="6"/>
    <s v="Marathwada"/>
    <x v="7"/>
    <n v="3233555"/>
    <s v="189002-3233555"/>
    <s v="TUB-R-AW-AUT-40.00X20.00X1.210X1.1200"/>
    <x v="7"/>
    <m/>
    <x v="0"/>
    <s v="CR"/>
    <m/>
    <m/>
    <m/>
    <m/>
    <x v="75"/>
    <s v="40-20-1.2-CRFH-PE-1.12"/>
    <n v="5"/>
    <s v="Hosur"/>
    <m/>
    <m/>
    <m/>
    <x v="14"/>
    <x v="15"/>
    <x v="4"/>
    <x v="2"/>
    <n v="1120"/>
    <s v="NOS"/>
    <m/>
    <m/>
    <m/>
    <m/>
    <n v="14000"/>
    <n v="-14000"/>
    <n v="0"/>
    <n v="17.114057049599996"/>
    <n v="-17.114057049599996"/>
    <e v="#DIV/0!"/>
    <n v="2.9795980000000002"/>
    <m/>
    <n v="30.749380999999996"/>
    <n v="129.15199999999999"/>
    <n v="-2.9795980000000002"/>
    <m/>
  </r>
  <r>
    <n v="752"/>
    <s v="Hosur"/>
    <x v="7"/>
    <s v="Marathwada"/>
    <x v="7"/>
    <n v="3233555"/>
    <s v="189002-3233555"/>
    <s v="TUB-R-AW-AUT-40.00X20.00X1.210X1.1200"/>
    <x v="7"/>
    <m/>
    <x v="0"/>
    <s v="CR"/>
    <m/>
    <m/>
    <m/>
    <m/>
    <x v="75"/>
    <s v="40-20-1.2-CRFH-PE-1.12"/>
    <n v="5"/>
    <s v="Hosur"/>
    <n v="8.8029000000000011"/>
    <n v="0"/>
    <m/>
    <x v="14"/>
    <x v="15"/>
    <x v="4"/>
    <x v="2"/>
    <n v="1120"/>
    <s v="NOS"/>
    <m/>
    <m/>
    <n v="28000"/>
    <m/>
    <n v="14000"/>
    <n v="14000"/>
    <n v="34.228114099199992"/>
    <n v="17.114057049599996"/>
    <n v="17.114057049599996"/>
    <n v="25154.253766500195"/>
    <n v="30.749380999999996"/>
    <n v="129.15199999999999"/>
    <n v="13982.885942950399"/>
    <n v="129.15199999999999"/>
    <n v="3.4787330991999958"/>
    <m/>
  </r>
  <r>
    <n v="163"/>
    <s v="Hosur"/>
    <x v="6"/>
    <s v="Marathwada"/>
    <x v="7"/>
    <n v="3233554"/>
    <s v="189002-3233554"/>
    <s v="TUB-R-AW-AUT-40.00X20.00X1.210X1.2460"/>
    <x v="7"/>
    <m/>
    <x v="0"/>
    <s v="CR"/>
    <m/>
    <m/>
    <m/>
    <m/>
    <x v="75"/>
    <s v="40-20-1.2-CRFH-PE-1.246"/>
    <n v="5"/>
    <s v="Hosur"/>
    <m/>
    <m/>
    <m/>
    <x v="14"/>
    <x v="15"/>
    <x v="4"/>
    <x v="2"/>
    <n v="1246"/>
    <s v="NOS"/>
    <m/>
    <m/>
    <m/>
    <m/>
    <n v="3500"/>
    <n v="-3500"/>
    <n v="0"/>
    <n v="4.7598471169199996"/>
    <n v="-4.7598471169199996"/>
    <e v="#DIV/0!"/>
    <n v="2.6986019999999997"/>
    <m/>
    <n v="30.749380999999996"/>
    <n v="129.15199999999999"/>
    <n v="-2.6986019999999997"/>
    <m/>
  </r>
  <r>
    <n v="771"/>
    <s v="Hosur"/>
    <x v="7"/>
    <s v="Marathwada"/>
    <x v="7"/>
    <n v="3233554"/>
    <s v="189002-3233554"/>
    <s v="TUB-R-AW-AUT-40.00X20.00X1.210X1.2460"/>
    <x v="7"/>
    <m/>
    <x v="0"/>
    <s v="CR"/>
    <m/>
    <m/>
    <m/>
    <m/>
    <x v="75"/>
    <s v="40-20-1.2-CRFH-PE-1.246"/>
    <n v="5"/>
    <s v="Hosur"/>
    <n v="8.8029000000000011"/>
    <n v="0"/>
    <m/>
    <x v="14"/>
    <x v="15"/>
    <x v="4"/>
    <x v="2"/>
    <n v="1246"/>
    <s v="NOS"/>
    <m/>
    <m/>
    <n v="7000"/>
    <m/>
    <n v="3500"/>
    <n v="3500"/>
    <n v="9.5196942338399992"/>
    <n v="4.7598471169199996"/>
    <n v="4.7598471169199996"/>
    <n v="22610.56518337096"/>
    <n v="30.749380999999996"/>
    <n v="129.15199999999999"/>
    <n v="3495.2401528830801"/>
    <n v="129.15199999999999"/>
    <n v="-21.229686766159997"/>
    <m/>
  </r>
  <r>
    <n v="164"/>
    <s v="Hosur"/>
    <x v="6"/>
    <s v="Marathwada"/>
    <x v="7"/>
    <n v="3233553"/>
    <s v="189002-3233553"/>
    <s v="TUB-R-AW-AUT-40.00X20.00X1.210X1.2980"/>
    <x v="7"/>
    <m/>
    <x v="0"/>
    <s v="CR"/>
    <m/>
    <m/>
    <m/>
    <m/>
    <x v="75"/>
    <s v="40-20-1.2-CRFH-PE-1.298"/>
    <n v="1"/>
    <s v="Hosur"/>
    <m/>
    <m/>
    <m/>
    <x v="14"/>
    <x v="15"/>
    <x v="4"/>
    <x v="2"/>
    <n v="1298"/>
    <s v="NOS"/>
    <m/>
    <m/>
    <m/>
    <m/>
    <n v="0"/>
    <n v="0"/>
    <n v="0"/>
    <n v="0"/>
    <n v="0"/>
    <e v="#DIV/0!"/>
    <n v="0"/>
    <m/>
    <n v="30.749380999999996"/>
    <n v="129.15199999999999"/>
    <n v="0"/>
    <m/>
  </r>
  <r>
    <n v="165"/>
    <s v="Hosur"/>
    <x v="6"/>
    <s v="Marathwada"/>
    <x v="7"/>
    <n v="1940801"/>
    <s v="189002-1940801"/>
    <s v="TUB-R-AW-RHS-40.00X20.00X1.210X1.3100"/>
    <x v="7"/>
    <m/>
    <x v="0"/>
    <s v="CR"/>
    <m/>
    <m/>
    <m/>
    <m/>
    <x v="75"/>
    <s v="40-20-1.2-CRFH-PE-1.31"/>
    <n v="5"/>
    <s v="Hosur"/>
    <m/>
    <m/>
    <m/>
    <x v="14"/>
    <x v="15"/>
    <x v="4"/>
    <x v="2"/>
    <n v="1310"/>
    <s v="NOS"/>
    <m/>
    <m/>
    <m/>
    <m/>
    <n v="10500"/>
    <n v="-10500"/>
    <n v="0"/>
    <n v="15.013000938599998"/>
    <n v="-15.013000938599998"/>
    <e v="#DIV/0!"/>
    <n v="3.186563"/>
    <m/>
    <n v="30.749380999999996"/>
    <n v="129.15199999999999"/>
    <n v="-3.186563"/>
    <m/>
  </r>
  <r>
    <n v="751"/>
    <s v="Hosur"/>
    <x v="7"/>
    <s v="Marathwada"/>
    <x v="7"/>
    <n v="1940801"/>
    <s v="189002-1940801"/>
    <s v="TUB-R-AW-RHS-40.00X20.00X1.210X1.3100"/>
    <x v="7"/>
    <m/>
    <x v="0"/>
    <s v="CR"/>
    <m/>
    <m/>
    <m/>
    <m/>
    <x v="75"/>
    <s v="40-20-1.2-CRFH-PE-1.31"/>
    <n v="5"/>
    <s v="Hosur"/>
    <n v="8.8029000000000011"/>
    <n v="0"/>
    <m/>
    <x v="14"/>
    <x v="15"/>
    <x v="4"/>
    <x v="2"/>
    <n v="1310"/>
    <s v="NOS"/>
    <m/>
    <m/>
    <n v="21000"/>
    <m/>
    <n v="10500"/>
    <n v="10500"/>
    <n v="30.026001877199995"/>
    <n v="15.013000938599998"/>
    <n v="15.013000938599998"/>
    <n v="21505.926884336044"/>
    <n v="30.749380999999996"/>
    <n v="129.15199999999999"/>
    <n v="10484.986999061401"/>
    <n v="129.15199999999999"/>
    <n v="-0.72337912280000083"/>
    <m/>
  </r>
  <r>
    <n v="172"/>
    <s v="Hosur"/>
    <x v="6"/>
    <s v="Marathwada"/>
    <x v="7"/>
    <n v="1940852"/>
    <s v="189002-1940852"/>
    <s v="TUB-S-AW-SHS-40.00X40.00X1.200X6.0000"/>
    <x v="7"/>
    <m/>
    <x v="0"/>
    <s v="CR"/>
    <m/>
    <m/>
    <m/>
    <m/>
    <x v="76"/>
    <s v="40-40-1.2-CRFH-PE-1"/>
    <s v="#REF!"/>
    <s v="Hosur"/>
    <m/>
    <m/>
    <m/>
    <x v="4"/>
    <x v="15"/>
    <x v="12"/>
    <x v="2"/>
    <n v="1000"/>
    <s v="M"/>
    <m/>
    <m/>
    <m/>
    <m/>
    <n v="4500"/>
    <n v="-4500"/>
    <n v="0"/>
    <n v="6.6019881599999986"/>
    <n v="-6.6019881599999986"/>
    <e v="#DIV/0!"/>
    <n v="1.450949"/>
    <m/>
    <n v="1.450949"/>
    <n v="10.451000000000001"/>
    <n v="-1.450949"/>
    <m/>
  </r>
  <r>
    <m/>
    <s v="Hosur"/>
    <x v="6"/>
    <s v="Marathwada"/>
    <x v="7"/>
    <m/>
    <s v="189002-"/>
    <m/>
    <x v="0"/>
    <m/>
    <x v="0"/>
    <s v="HR"/>
    <m/>
    <m/>
    <m/>
    <m/>
    <x v="77"/>
    <s v="15.88-0-1-ERW 1-PE-1.603"/>
    <n v="2"/>
    <s v="Hosur"/>
    <n v="0"/>
    <n v="0"/>
    <m/>
    <x v="1"/>
    <x v="1"/>
    <x v="0"/>
    <x v="1"/>
    <n v="1603"/>
    <s v="NOS"/>
    <m/>
    <m/>
    <n v="15000"/>
    <m/>
    <n v="5950"/>
    <n v="9050"/>
    <n v="8.8191558503999978"/>
    <n v="3.4982651539919996"/>
    <n v="5.3208906964079983"/>
    <n v="2569.8105787496747"/>
    <n v="1.5109039999999998"/>
    <m/>
    <n v="0.17899999999999999"/>
    <n v="0"/>
    <n v="7.3082518503999978"/>
    <m/>
  </r>
  <r>
    <n v="123"/>
    <s v="Hosur"/>
    <x v="6"/>
    <s v="Marathwada"/>
    <x v="7"/>
    <n v="3672607"/>
    <s v="189002-3672607"/>
    <s v="TUB-O-N-AUT-AW-PE-15.88X1.000X1.7150"/>
    <x v="0"/>
    <m/>
    <x v="0"/>
    <s v="CR"/>
    <m/>
    <m/>
    <m/>
    <m/>
    <x v="77"/>
    <s v="15.88-0-1-ERW 1-PE-1.715"/>
    <n v="1"/>
    <s v="Hosur"/>
    <n v="0"/>
    <n v="0"/>
    <m/>
    <x v="1"/>
    <x v="1"/>
    <x v="0"/>
    <x v="1"/>
    <n v="1715"/>
    <s v="NOS"/>
    <m/>
    <m/>
    <n v="2000"/>
    <m/>
    <n v="2400"/>
    <n v="-400"/>
    <n v="1.2580455216000002"/>
    <n v="1.5096546259200001"/>
    <n v="-0.25160910431999994"/>
    <n v="154.76387511985877"/>
    <n v="9.7350000000000006E-2"/>
    <m/>
    <n v="0.17899999999999999"/>
    <n v="0"/>
    <n v="1.1606955216000001"/>
    <m/>
  </r>
  <r>
    <n v="124"/>
    <s v="Hosur"/>
    <x v="6"/>
    <s v="Marathwada"/>
    <x v="7"/>
    <n v="3672606"/>
    <s v="189002-3672606"/>
    <s v="TUB-O-N-AUT-AW-PE-15.88X1.000X1.7450"/>
    <x v="0"/>
    <m/>
    <x v="0"/>
    <s v="CR"/>
    <m/>
    <m/>
    <m/>
    <m/>
    <x v="77"/>
    <s v="15.88-0-1-ERW 1-PE-1.745"/>
    <n v="1"/>
    <s v="Hosur"/>
    <n v="0"/>
    <n v="0"/>
    <m/>
    <x v="1"/>
    <x v="1"/>
    <x v="0"/>
    <x v="1"/>
    <n v="1745"/>
    <s v="NOS"/>
    <m/>
    <m/>
    <n v="3000"/>
    <m/>
    <n v="2000"/>
    <n v="1000"/>
    <n v="1.9200782232000002"/>
    <n v="1.2800521488000001"/>
    <n v="0.64002607440000014"/>
    <n v="22.525644777074724"/>
    <n v="1.4417000000000001E-2"/>
    <m/>
    <n v="0.17899999999999999"/>
    <n v="0"/>
    <n v="1.9056612232000003"/>
    <m/>
  </r>
  <r>
    <m/>
    <s v="Hosur"/>
    <x v="6"/>
    <s v="Marathwada"/>
    <x v="7"/>
    <m/>
    <s v="189002-"/>
    <m/>
    <x v="0"/>
    <m/>
    <x v="0"/>
    <s v="HR"/>
    <m/>
    <m/>
    <m/>
    <m/>
    <x v="77"/>
    <s v="15.88-0-1-ERW 1-PE-2.185"/>
    <n v="2"/>
    <s v="Hosur"/>
    <n v="0"/>
    <n v="0"/>
    <m/>
    <x v="1"/>
    <x v="1"/>
    <x v="0"/>
    <x v="1"/>
    <n v="2185"/>
    <s v="NOS"/>
    <m/>
    <m/>
    <n v="7500"/>
    <m/>
    <n v="1775"/>
    <n v="5725"/>
    <n v="6.0105600539999999"/>
    <n v="1.4224992127799998"/>
    <n v="4.5880608412199999"/>
    <n v="4296.2186165688709"/>
    <n v="3.4430239999999999"/>
    <m/>
    <n v="0.17899999999999999"/>
    <n v="0"/>
    <n v="2.5675360540000001"/>
    <m/>
  </r>
  <r>
    <n v="126"/>
    <s v="Hosur"/>
    <x v="6"/>
    <s v="Marathwada"/>
    <x v="7"/>
    <n v="3672608"/>
    <s v="189002-3672608"/>
    <s v="TUB-O-N-AUT-AW-PE-15.88X1.000X2.3400"/>
    <x v="0"/>
    <m/>
    <x v="0"/>
    <s v="CR"/>
    <m/>
    <m/>
    <m/>
    <m/>
    <x v="77"/>
    <s v="15.88-0-1-ERW 1-PE-2.34"/>
    <n v="1"/>
    <s v="Hosur"/>
    <n v="0"/>
    <n v="0"/>
    <m/>
    <x v="1"/>
    <x v="1"/>
    <x v="0"/>
    <x v="1"/>
    <n v="2340"/>
    <s v="NOS"/>
    <m/>
    <m/>
    <n v="3000"/>
    <m/>
    <n v="0"/>
    <n v="3000"/>
    <n v="2.5747753824000004"/>
    <n v="0"/>
    <n v="2.5747753824000004"/>
    <n v="1866.9014908474992"/>
    <n v="1.602284"/>
    <m/>
    <n v="0.17899999999999999"/>
    <n v="0"/>
    <n v="0.97249138240000033"/>
    <m/>
  </r>
  <r>
    <n v="115"/>
    <s v="Hosur"/>
    <x v="6"/>
    <s v="Marathwada"/>
    <x v="7"/>
    <m/>
    <s v="189002-"/>
    <m/>
    <x v="0"/>
    <m/>
    <x v="0"/>
    <s v="CR"/>
    <s v="WG"/>
    <m/>
    <m/>
    <m/>
    <x v="15"/>
    <s v="15.88-0-1.6-ERW 1-PE-1"/>
    <n v="6"/>
    <s v="Hosur"/>
    <m/>
    <m/>
    <m/>
    <x v="1"/>
    <x v="1"/>
    <x v="0"/>
    <x v="0"/>
    <n v="1000"/>
    <s v="M"/>
    <m/>
    <m/>
    <m/>
    <m/>
    <n v="2100"/>
    <n v="-2100"/>
    <n v="0"/>
    <n v="1.1826787391999998"/>
    <n v="-1.1826787391999998"/>
    <e v="#DIV/0!"/>
    <n v="0"/>
    <m/>
    <n v="0"/>
    <n v="3.8879999999999999"/>
    <n v="0"/>
    <m/>
  </r>
  <r>
    <n v="129"/>
    <s v="Hosur"/>
    <x v="6"/>
    <s v="Marathwada"/>
    <x v="7"/>
    <m/>
    <s v="189002-"/>
    <m/>
    <x v="0"/>
    <m/>
    <x v="0"/>
    <s v="CR"/>
    <m/>
    <m/>
    <m/>
    <m/>
    <x v="17"/>
    <s v="17.3-0-1.6-ERW 1-PE-0.363"/>
    <n v="1"/>
    <m/>
    <m/>
    <m/>
    <m/>
    <x v="7"/>
    <x v="7"/>
    <x v="0"/>
    <x v="0"/>
    <n v="363"/>
    <s v="NOS"/>
    <m/>
    <m/>
    <m/>
    <m/>
    <n v="0"/>
    <n v="0"/>
    <n v="0"/>
    <n v="0"/>
    <n v="0"/>
    <e v="#DIV/0!"/>
    <n v="0"/>
    <m/>
    <n v="9.3040000000000012E-2"/>
    <n v="0"/>
    <n v="0"/>
    <m/>
  </r>
  <r>
    <n v="131"/>
    <s v="Hosur"/>
    <x v="6"/>
    <s v="Marathwada"/>
    <x v="7"/>
    <m/>
    <s v="189002-"/>
    <m/>
    <x v="0"/>
    <m/>
    <x v="0"/>
    <s v="CR"/>
    <s v="D"/>
    <m/>
    <m/>
    <m/>
    <x v="17"/>
    <s v="17.3-0-1.6-ERW 1-PE-0.415"/>
    <m/>
    <m/>
    <m/>
    <m/>
    <m/>
    <x v="7"/>
    <x v="7"/>
    <x v="0"/>
    <x v="0"/>
    <n v="415"/>
    <s v="NOS"/>
    <m/>
    <m/>
    <m/>
    <m/>
    <n v="0"/>
    <n v="0"/>
    <n v="0"/>
    <n v="0"/>
    <n v="0"/>
    <e v="#DIV/0!"/>
    <n v="0"/>
    <m/>
    <n v="9.3040000000000012E-2"/>
    <n v="0"/>
    <n v="0"/>
    <m/>
  </r>
  <r>
    <n v="122"/>
    <s v="Hosur"/>
    <x v="6"/>
    <s v="Marathwada"/>
    <x v="7"/>
    <n v="3635694"/>
    <s v="189002-3635694"/>
    <s v="TUB-O-N-AUT-AW-PE-19.05X1.000X1.2000"/>
    <x v="0"/>
    <m/>
    <x v="0"/>
    <s v="CR"/>
    <m/>
    <m/>
    <m/>
    <m/>
    <x v="3"/>
    <s v="19.05-0-1-ERW 1-PE-1.2"/>
    <n v="2"/>
    <m/>
    <n v="0"/>
    <n v="0"/>
    <m/>
    <x v="2"/>
    <x v="2"/>
    <x v="0"/>
    <x v="1"/>
    <n v="1200"/>
    <s v="NOS"/>
    <m/>
    <m/>
    <n v="10000"/>
    <m/>
    <n v="5725"/>
    <n v="4275"/>
    <n v="5.3389734000000004"/>
    <n v="3.0565622715000003"/>
    <n v="2.2824111285000002"/>
    <n v="4000.0480242137937"/>
    <n v="2.135615"/>
    <m/>
    <n v="0"/>
    <n v="18.324000000000002"/>
    <n v="3.2033584000000004"/>
    <m/>
  </r>
  <r>
    <n v="116"/>
    <s v="Hosur"/>
    <x v="6"/>
    <s v="Marathwada"/>
    <x v="7"/>
    <n v="3929691"/>
    <s v="189002-3929691"/>
    <s v="CUT-O-N-AUT-AW-PE-19.05X1.200X0.2000"/>
    <x v="0"/>
    <m/>
    <x v="0"/>
    <s v="HR"/>
    <m/>
    <m/>
    <m/>
    <m/>
    <x v="4"/>
    <s v="19.05-0-1.2-ERW 1-PE-0.2"/>
    <n v="3"/>
    <s v="Hosur"/>
    <m/>
    <m/>
    <m/>
    <x v="2"/>
    <x v="2"/>
    <x v="0"/>
    <x v="2"/>
    <n v="200"/>
    <s v="NOS"/>
    <m/>
    <m/>
    <m/>
    <m/>
    <n v="0"/>
    <n v="0"/>
    <n v="0"/>
    <n v="0"/>
    <n v="0"/>
    <e v="#DIV/0!"/>
    <n v="0"/>
    <m/>
    <n v="0"/>
    <n v="20.588000000000001"/>
    <n v="0"/>
    <m/>
  </r>
  <r>
    <m/>
    <s v="Hosur"/>
    <x v="6"/>
    <s v="Marathwada"/>
    <x v="7"/>
    <n v="3929691"/>
    <s v="189002-3929691"/>
    <s v="CUT-O-N-AUT-AW-PE-19.05X1.200X0.2000"/>
    <x v="0"/>
    <m/>
    <x v="0"/>
    <s v="CR"/>
    <m/>
    <m/>
    <m/>
    <m/>
    <x v="4"/>
    <s v="19.05-0-1.2-ERW 1-PE-0.2"/>
    <n v="3"/>
    <s v="Hosur"/>
    <m/>
    <m/>
    <m/>
    <x v="2"/>
    <x v="2"/>
    <x v="0"/>
    <x v="2"/>
    <n v="200"/>
    <s v="NOS"/>
    <m/>
    <m/>
    <m/>
    <m/>
    <n v="0"/>
    <n v="0"/>
    <n v="0"/>
    <n v="0"/>
    <n v="0"/>
    <e v="#DIV/0!"/>
    <n v="0"/>
    <m/>
    <n v="0"/>
    <n v="20.588000000000001"/>
    <n v="0"/>
    <m/>
  </r>
  <r>
    <m/>
    <s v="Hosur"/>
    <x v="6"/>
    <s v="Marathwada"/>
    <x v="7"/>
    <n v="3935313"/>
    <s v="189002-3935313"/>
    <s v="CUT-O-N-AUT-AW-PE-19.05X1.200X0.33"/>
    <x v="0"/>
    <m/>
    <x v="0"/>
    <s v="CR"/>
    <m/>
    <m/>
    <m/>
    <m/>
    <x v="4"/>
    <s v="19.05-0-1.2-ERW 1-PE-0.33"/>
    <n v="3"/>
    <s v="Hosur"/>
    <m/>
    <m/>
    <m/>
    <x v="2"/>
    <x v="2"/>
    <x v="0"/>
    <x v="2"/>
    <n v="330"/>
    <s v="NOS"/>
    <m/>
    <m/>
    <m/>
    <m/>
    <n v="0"/>
    <n v="0"/>
    <n v="0"/>
    <n v="0"/>
    <n v="0"/>
    <e v="#DIV/0!"/>
    <n v="0.59728400000000004"/>
    <m/>
    <n v="0"/>
    <n v="20.588000000000001"/>
    <n v="-0.59728400000000004"/>
    <m/>
  </r>
  <r>
    <m/>
    <s v="Hosur"/>
    <x v="6"/>
    <s v="Marathwada"/>
    <x v="7"/>
    <n v="3929540"/>
    <s v="189002-3929540"/>
    <s v="CUT-O-N-AUT-AW-PE-19.05X1.200X0.6820"/>
    <x v="0"/>
    <m/>
    <x v="0"/>
    <s v="CR"/>
    <m/>
    <m/>
    <m/>
    <m/>
    <x v="4"/>
    <s v="19.05-0-1.2-ERW 1-PE-0.682"/>
    <n v="2"/>
    <s v="Hosur"/>
    <m/>
    <m/>
    <m/>
    <x v="2"/>
    <x v="2"/>
    <x v="0"/>
    <x v="2"/>
    <n v="682"/>
    <s v="NOS"/>
    <m/>
    <m/>
    <m/>
    <m/>
    <n v="0"/>
    <n v="0"/>
    <n v="0"/>
    <n v="0"/>
    <n v="0"/>
    <e v="#DIV/0!"/>
    <n v="0"/>
    <m/>
    <n v="0"/>
    <n v="20.588000000000001"/>
    <n v="0"/>
    <m/>
  </r>
  <r>
    <m/>
    <s v="Hosur"/>
    <x v="6"/>
    <s v="Marathwada"/>
    <x v="7"/>
    <n v="3929692"/>
    <s v="189002-3929692"/>
    <s v="CUT-O-N-AUT-AW-PE-19.05X1.200X1.2300"/>
    <x v="0"/>
    <m/>
    <x v="0"/>
    <s v="CR"/>
    <m/>
    <m/>
    <m/>
    <m/>
    <x v="4"/>
    <s v="19.05-0-1.2-ERW 1-PE-1.23"/>
    <n v="2"/>
    <s v="Hosur"/>
    <m/>
    <m/>
    <m/>
    <x v="2"/>
    <x v="2"/>
    <x v="0"/>
    <x v="2"/>
    <n v="1230"/>
    <s v="NOS"/>
    <m/>
    <m/>
    <m/>
    <m/>
    <n v="0"/>
    <n v="0"/>
    <n v="0"/>
    <n v="0"/>
    <n v="0"/>
    <e v="#DIV/0!"/>
    <n v="0"/>
    <m/>
    <n v="0"/>
    <n v="20.588000000000001"/>
    <n v="0"/>
    <m/>
  </r>
  <r>
    <n v="117"/>
    <s v="Hosur"/>
    <x v="6"/>
    <s v="Marathwada"/>
    <x v="7"/>
    <n v="1940391"/>
    <s v="189002-1940391"/>
    <s v="TUB-O-O-AUT-AW-PE-22.23X1.600X0.2850"/>
    <x v="0"/>
    <m/>
    <x v="0"/>
    <s v="CR"/>
    <m/>
    <m/>
    <m/>
    <m/>
    <x v="21"/>
    <s v="22.23-0-1.6-ERW 1-PE-0.285"/>
    <n v="2"/>
    <s v="Hosur"/>
    <m/>
    <m/>
    <m/>
    <x v="11"/>
    <x v="11"/>
    <x v="0"/>
    <x v="0"/>
    <n v="285"/>
    <s v="NOS"/>
    <m/>
    <m/>
    <m/>
    <m/>
    <n v="0"/>
    <n v="0"/>
    <n v="0"/>
    <n v="0"/>
    <n v="0"/>
    <e v="#DIV/0!"/>
    <n v="9.4728000000000007E-2"/>
    <m/>
    <n v="10.773161999999999"/>
    <n v="0"/>
    <n v="-9.4728000000000007E-2"/>
    <m/>
  </r>
  <r>
    <n v="118"/>
    <s v="Hosur"/>
    <x v="6"/>
    <s v="Marathwada"/>
    <x v="7"/>
    <n v="4095225"/>
    <s v="CUT-O-N-AUT-AW-PE-22.23X2.300X0.1880"/>
    <s v="CUT-O-N-AUT-AW-PE-22.23X2.300X0.1880"/>
    <x v="0"/>
    <m/>
    <x v="0"/>
    <s v="HR"/>
    <m/>
    <m/>
    <m/>
    <m/>
    <x v="24"/>
    <s v="22.23-0-2.3-ERW 1-PE-0.188"/>
    <s v="#REF!"/>
    <m/>
    <m/>
    <m/>
    <m/>
    <x v="11"/>
    <x v="11"/>
    <x v="0"/>
    <x v="9"/>
    <n v="188"/>
    <s v="NOS"/>
    <m/>
    <m/>
    <m/>
    <m/>
    <n v="0"/>
    <n v="0"/>
    <n v="0"/>
    <n v="0"/>
    <n v="0"/>
    <e v="#DIV/0!"/>
    <n v="0"/>
    <m/>
    <n v="6.8109739999999999"/>
    <n v="0"/>
    <n v="0"/>
    <m/>
  </r>
  <r>
    <n v="119"/>
    <s v="Hosur"/>
    <x v="6"/>
    <s v="Marathwada"/>
    <x v="7"/>
    <n v="4095224"/>
    <s v="189002-4095224"/>
    <s v="CUT-O-N-AUT-AW-PE-22.23X2.310X0.2950"/>
    <x v="0"/>
    <m/>
    <x v="0"/>
    <s v="HR"/>
    <m/>
    <m/>
    <m/>
    <m/>
    <x v="24"/>
    <s v="22.23-0-2.3-ERW 1-PE-0.295"/>
    <n v="1"/>
    <m/>
    <m/>
    <m/>
    <m/>
    <x v="11"/>
    <x v="11"/>
    <x v="0"/>
    <x v="9"/>
    <n v="295"/>
    <s v="NOS"/>
    <m/>
    <m/>
    <m/>
    <m/>
    <n v="0"/>
    <n v="0"/>
    <n v="0"/>
    <n v="0"/>
    <n v="0"/>
    <e v="#DIV/0!"/>
    <n v="0"/>
    <m/>
    <n v="6.8109739999999999"/>
    <n v="0"/>
    <n v="0"/>
    <m/>
  </r>
  <r>
    <n v="128"/>
    <s v="Hosur"/>
    <x v="6"/>
    <s v="Marathwada"/>
    <x v="7"/>
    <n v="2426142"/>
    <s v="189002-2426142"/>
    <s v="TUB-O-N-AUT-AW-PE-25.40X1.200X2.5500"/>
    <x v="0"/>
    <m/>
    <x v="0"/>
    <s v="CR"/>
    <m/>
    <m/>
    <m/>
    <m/>
    <x v="78"/>
    <s v="25.4-0-1.2-ERW 1-PE-2.55"/>
    <n v="1"/>
    <m/>
    <n v="0"/>
    <n v="0"/>
    <m/>
    <x v="3"/>
    <x v="3"/>
    <x v="0"/>
    <x v="2"/>
    <n v="2550"/>
    <s v="NOS"/>
    <m/>
    <m/>
    <n v="3000"/>
    <m/>
    <n v="2640"/>
    <n v="360"/>
    <n v="5.4759232439999996"/>
    <n v="4.8188124547199997"/>
    <n v="0.65711078927999989"/>
    <n v="843.04249608652856"/>
    <n v="1.5388120000000001"/>
    <m/>
    <n v="0"/>
    <n v="18.564"/>
    <n v="3.9371112439999996"/>
    <m/>
  </r>
  <r>
    <n v="127"/>
    <s v="Hosur"/>
    <x v="6"/>
    <s v="Marathwada"/>
    <x v="7"/>
    <n v="3672610"/>
    <s v="189002-3672610"/>
    <s v="TUB-O-N-AUT-AW-PE-25.40X1.200X2.5850"/>
    <x v="0"/>
    <m/>
    <x v="0"/>
    <s v="CR"/>
    <m/>
    <m/>
    <m/>
    <m/>
    <x v="78"/>
    <s v="25.4-0-1.2-ERW 1-PE-2.585"/>
    <n v="1"/>
    <m/>
    <n v="0"/>
    <n v="0"/>
    <m/>
    <x v="3"/>
    <x v="3"/>
    <x v="0"/>
    <x v="2"/>
    <n v="2585"/>
    <s v="NOS"/>
    <m/>
    <m/>
    <n v="2000"/>
    <m/>
    <n v="0"/>
    <n v="2000"/>
    <n v="3.7007219831999998"/>
    <n v="0"/>
    <n v="3.7007219831999998"/>
    <n v="2.7324397903719837"/>
    <n v="5.0559999999999997E-3"/>
    <m/>
    <n v="0"/>
    <n v="18.564"/>
    <n v="3.6956659831999996"/>
    <m/>
  </r>
  <r>
    <n v="125"/>
    <s v="Hosur"/>
    <x v="6"/>
    <s v="Marathwada"/>
    <x v="7"/>
    <n v="3673031"/>
    <s v="189002-3673031"/>
    <s v="TUB-O-N-AUT-AW-PE-25.40X1.630X2.5800"/>
    <x v="0"/>
    <m/>
    <x v="0"/>
    <s v="CR"/>
    <m/>
    <m/>
    <m/>
    <m/>
    <x v="5"/>
    <s v="25.4-0-1.6-ERW 1-PE-2.58"/>
    <n v="1"/>
    <m/>
    <n v="0"/>
    <n v="1.628933"/>
    <m/>
    <x v="3"/>
    <x v="3"/>
    <x v="0"/>
    <x v="0"/>
    <n v="2580"/>
    <s v="NOS"/>
    <m/>
    <m/>
    <n v="2000"/>
    <m/>
    <n v="3999"/>
    <n v="-1999"/>
    <n v="4.8433510271999998"/>
    <n v="9.6842803788864007"/>
    <n v="-4.8409293516864009"/>
    <n v="731.95107686618849"/>
    <n v="1.772548"/>
    <m/>
    <n v="0"/>
    <n v="3.6459999999999999"/>
    <n v="3.0708030271999998"/>
    <m/>
  </r>
  <r>
    <n v="147"/>
    <s v="Khopoli "/>
    <x v="6"/>
    <s v="Marathwada"/>
    <x v="7"/>
    <m/>
    <s v="189002-"/>
    <m/>
    <x v="0"/>
    <m/>
    <x v="2"/>
    <s v="HR"/>
    <m/>
    <m/>
    <m/>
    <m/>
    <x v="25"/>
    <s v="25.4-0-2-ERW 1-FC-0.29"/>
    <n v="1"/>
    <m/>
    <n v="10.051000000000002"/>
    <n v="0"/>
    <m/>
    <x v="3"/>
    <x v="3"/>
    <x v="0"/>
    <x v="8"/>
    <n v="290"/>
    <s v="NOS"/>
    <m/>
    <m/>
    <n v="20000"/>
    <m/>
    <n v="0"/>
    <n v="20000"/>
    <n v="6.6907245599999996"/>
    <n v="0"/>
    <n v="6.6907245599999996"/>
    <n v="0"/>
    <n v="0"/>
    <m/>
    <n v="10.738999999999999"/>
    <n v="25.931000000000001"/>
    <n v="6.6907245599999996"/>
    <m/>
  </r>
  <r>
    <n v="157"/>
    <s v="Khopoli "/>
    <x v="6"/>
    <s v="Marathwada"/>
    <x v="7"/>
    <n v="3784540"/>
    <s v="189002-3784540"/>
    <s v="PT3-O-N-AUT-AW-FC-38.10X3.660X0.2010"/>
    <x v="0"/>
    <m/>
    <x v="2"/>
    <s v="HR"/>
    <m/>
    <m/>
    <m/>
    <m/>
    <x v="79"/>
    <s v="38.1-0-3.66-ERW 1-FC-0.201"/>
    <n v="1"/>
    <s v="Khopoli"/>
    <m/>
    <m/>
    <m/>
    <x v="14"/>
    <x v="30"/>
    <x v="0"/>
    <x v="21"/>
    <n v="201"/>
    <s v="NOS"/>
    <m/>
    <m/>
    <m/>
    <m/>
    <n v="0"/>
    <n v="0"/>
    <n v="0"/>
    <n v="0"/>
    <n v="0"/>
    <e v="#DIV/0!"/>
    <n v="0"/>
    <m/>
    <n v="16.521999999999998"/>
    <n v="0"/>
    <n v="0"/>
    <m/>
  </r>
  <r>
    <n v="121"/>
    <s v="Hosur"/>
    <x v="6"/>
    <s v="Marathwada"/>
    <x v="7"/>
    <n v="4100177"/>
    <s v="189002-4100177"/>
    <s v="TUB-R-AW-AUT-40.00X20.00X1.600X0.3560"/>
    <x v="0"/>
    <m/>
    <x v="2"/>
    <s v="HR"/>
    <s v="GR1"/>
    <m/>
    <m/>
    <m/>
    <x v="32"/>
    <s v="40-20-1.6-ERW 1-FC-0.356"/>
    <n v="1"/>
    <m/>
    <n v="0"/>
    <n v="0"/>
    <m/>
    <x v="14"/>
    <x v="15"/>
    <x v="4"/>
    <x v="0"/>
    <n v="356"/>
    <s v="NOS"/>
    <m/>
    <m/>
    <n v="18000"/>
    <m/>
    <n v="4080"/>
    <n v="13920"/>
    <n v="9.224326252800001"/>
    <n v="2.0908472839680003"/>
    <n v="7.1334789688320006"/>
    <n v="992.57590734291159"/>
    <n v="0.50865800000000005"/>
    <m/>
    <n v="5.3289920000000004"/>
    <n v="1.27"/>
    <n v="8.7156682528000005"/>
    <m/>
  </r>
  <r>
    <n v="120"/>
    <s v="Hosur"/>
    <x v="6"/>
    <s v="Marathwada"/>
    <x v="7"/>
    <n v="3652441"/>
    <s v="189002-3652441"/>
    <s v="TUB-S-FH-RHS-40.00X20.00X1.600X6.0000"/>
    <x v="0"/>
    <m/>
    <x v="2"/>
    <s v="HR"/>
    <s v="GR1"/>
    <m/>
    <m/>
    <m/>
    <x v="32"/>
    <s v="40-20-1.6-ERW 1-FC-1"/>
    <n v="1"/>
    <m/>
    <m/>
    <m/>
    <m/>
    <x v="14"/>
    <x v="15"/>
    <x v="4"/>
    <x v="0"/>
    <n v="1000"/>
    <s v="M"/>
    <m/>
    <m/>
    <m/>
    <m/>
    <n v="3633.2"/>
    <n v="-3633.2"/>
    <n v="0"/>
    <n v="5.229997213119999"/>
    <n v="-5.229997213119999"/>
    <e v="#DIV/0!"/>
    <n v="5.3289920000000004"/>
    <m/>
    <n v="5.3289920000000004"/>
    <n v="1.27"/>
    <n v="-5.3289920000000004"/>
    <m/>
  </r>
  <r>
    <n v="168"/>
    <s v="Hosur"/>
    <x v="6"/>
    <s v="Marathwada"/>
    <x v="7"/>
    <n v="3438761"/>
    <s v="189002-3438761"/>
    <s v="TUB-R-AW-AUT-40.00X25.00X1.600X0.5140"/>
    <x v="0"/>
    <m/>
    <x v="2"/>
    <s v="CR"/>
    <s v="HROP"/>
    <m/>
    <m/>
    <m/>
    <x v="33"/>
    <s v="40-25-1.6-ERW 1-FC-0.514"/>
    <n v="1"/>
    <s v="Hosur"/>
    <n v="0.61827399999999999"/>
    <n v="0"/>
    <m/>
    <x v="15"/>
    <x v="15"/>
    <x v="3"/>
    <x v="0"/>
    <n v="514"/>
    <s v="NOS"/>
    <m/>
    <m/>
    <n v="6000"/>
    <m/>
    <n v="3080"/>
    <n v="2920"/>
    <n v="4.826200055808"/>
    <n v="2.4774493619814399"/>
    <n v="2.3487506938265601"/>
    <n v="471.65554135299976"/>
    <n v="0.379384"/>
    <m/>
    <n v="0.61827399999999999"/>
    <n v="0"/>
    <n v="4.4468160558080001"/>
    <m/>
  </r>
  <r>
    <n v="169"/>
    <s v="Hosur"/>
    <x v="6"/>
    <s v="Marathwada"/>
    <x v="7"/>
    <n v="3786201"/>
    <s v="189002-3786201"/>
    <s v="TUB-R-AW-RHS-40.00X25.00X1.600X0.5380"/>
    <x v="0"/>
    <m/>
    <x v="2"/>
    <s v="CR"/>
    <s v="KGR2"/>
    <m/>
    <m/>
    <m/>
    <x v="33"/>
    <s v="40-25-1.6-ERW 1-FC-0.538"/>
    <n v="1"/>
    <s v="Hosur"/>
    <n v="0.61827399999999999"/>
    <n v="0"/>
    <m/>
    <x v="15"/>
    <x v="15"/>
    <x v="3"/>
    <x v="0"/>
    <n v="538"/>
    <s v="NOS"/>
    <m/>
    <m/>
    <n v="12000"/>
    <m/>
    <n v="8000"/>
    <n v="4000"/>
    <n v="10.103095836672001"/>
    <n v="6.7353972244480005"/>
    <n v="3.3676986122240002"/>
    <n v="10.145801015559327"/>
    <n v="8.5419999999999992E-3"/>
    <m/>
    <n v="0.61827399999999999"/>
    <n v="0"/>
    <n v="10.094553836672"/>
    <m/>
  </r>
  <r>
    <n v="170"/>
    <s v="Hosur"/>
    <x v="6"/>
    <s v="Marathwada"/>
    <x v="7"/>
    <n v="3786202"/>
    <s v="189002-3786202"/>
    <s v="TUB-R-AW-RHS-40.00X25.00X1.600X0.5870"/>
    <x v="0"/>
    <m/>
    <x v="2"/>
    <s v="CR"/>
    <s v="KGR2"/>
    <m/>
    <m/>
    <m/>
    <x v="33"/>
    <s v="40-25-1.6-ERW 1-FC-0.587"/>
    <n v="1"/>
    <s v="Hosur"/>
    <n v="0.61827399999999999"/>
    <n v="0"/>
    <m/>
    <x v="15"/>
    <x v="15"/>
    <x v="3"/>
    <x v="0"/>
    <n v="587"/>
    <s v="NOS"/>
    <m/>
    <m/>
    <n v="8000"/>
    <m/>
    <n v="5440"/>
    <n v="2560"/>
    <n v="7.3488441835520009"/>
    <n v="4.9972140448153608"/>
    <n v="2.3516301387366401"/>
    <n v="15.837048261342614"/>
    <n v="1.4548E-2"/>
    <m/>
    <n v="0.61827399999999999"/>
    <n v="0"/>
    <n v="7.3342961835520013"/>
    <m/>
  </r>
  <r>
    <n v="171"/>
    <s v="Hosur"/>
    <x v="6"/>
    <s v="Marathwada"/>
    <x v="7"/>
    <n v="1940840"/>
    <s v="189002-1940840"/>
    <s v="TUB-R-AW-RHS-40.00X30.00X2.000X6.0000"/>
    <x v="0"/>
    <m/>
    <x v="2"/>
    <s v="HR"/>
    <m/>
    <m/>
    <m/>
    <m/>
    <x v="37"/>
    <s v="40-30-2-ERW 1-FC-1"/>
    <n v="2"/>
    <s v="Hosur"/>
    <m/>
    <m/>
    <m/>
    <x v="17"/>
    <x v="15"/>
    <x v="1"/>
    <x v="8"/>
    <n v="1000"/>
    <s v="M"/>
    <m/>
    <m/>
    <m/>
    <m/>
    <n v="0"/>
    <n v="0"/>
    <n v="0"/>
    <n v="0"/>
    <n v="0"/>
    <e v="#DIV/0!"/>
    <n v="0"/>
    <m/>
    <n v="0"/>
    <n v="26.635999999999999"/>
    <n v="0"/>
    <m/>
  </r>
  <r>
    <n v="173"/>
    <s v="Khopoli "/>
    <x v="8"/>
    <s v="Metalman"/>
    <x v="8"/>
    <n v="2363145"/>
    <s v="188647-2363145"/>
    <s v="TUB-O-C-AUT-AN-FC-14.00X2.450X5.0000"/>
    <x v="1"/>
    <m/>
    <x v="1"/>
    <s v="HR"/>
    <m/>
    <m/>
    <m/>
    <m/>
    <x v="80"/>
    <s v="14-9.1-2.45-CEW--5"/>
    <s v="#REF!"/>
    <m/>
    <m/>
    <m/>
    <m/>
    <x v="5"/>
    <x v="5"/>
    <x v="13"/>
    <x v="22"/>
    <n v="5000"/>
    <m/>
    <m/>
    <m/>
    <m/>
    <m/>
    <e v="#N/A"/>
    <e v="#N/A"/>
    <n v="0"/>
    <e v="#N/A"/>
    <e v="#N/A"/>
    <e v="#DIV/0!"/>
    <n v="0"/>
    <m/>
    <n v="0"/>
    <n v="0"/>
    <n v="0"/>
    <m/>
  </r>
  <r>
    <n v="174"/>
    <s v="Khopoli "/>
    <x v="8"/>
    <s v="Metalman"/>
    <x v="8"/>
    <n v="3545493"/>
    <s v="188647-3545493"/>
    <s v="TUB-O-C-AUT-AD-FC-19.00X3.250X0.1800"/>
    <x v="1"/>
    <m/>
    <x v="3"/>
    <m/>
    <m/>
    <m/>
    <m/>
    <m/>
    <x v="81"/>
    <s v="19-12.5-3.25-CEW-CEW-0.18"/>
    <s v="#REF!"/>
    <s v="Khopoli"/>
    <n v="2.9557899999999999"/>
    <m/>
    <m/>
    <x v="32"/>
    <x v="29"/>
    <x v="14"/>
    <x v="23"/>
    <n v="180"/>
    <s v="NOS"/>
    <m/>
    <m/>
    <n v="6000"/>
    <m/>
    <n v="0"/>
    <n v="6000"/>
    <n v="1.3626583424999998"/>
    <n v="0"/>
    <n v="1.3626583424999998"/>
    <n v="0"/>
    <n v="0"/>
    <m/>
    <n v="6.3347900000000008"/>
    <n v="0"/>
    <n v="1.3626583424999998"/>
    <m/>
  </r>
  <r>
    <n v="175"/>
    <s v="Khopoli "/>
    <x v="8"/>
    <s v="Metalman"/>
    <x v="8"/>
    <n v="3545492"/>
    <s v="188647-3545492"/>
    <s v="TUB-O-C-AUT-AD-FC-19.00X3.250X0.1950"/>
    <x v="1"/>
    <m/>
    <x v="3"/>
    <m/>
    <m/>
    <m/>
    <m/>
    <m/>
    <x v="81"/>
    <s v="19-12.5-3.25-CEW-CEW-0.195"/>
    <s v="#REF!"/>
    <s v="Khopoli"/>
    <s v="Plan"/>
    <m/>
    <m/>
    <x v="32"/>
    <x v="29"/>
    <x v="14"/>
    <x v="23"/>
    <n v="195"/>
    <s v="NOS"/>
    <m/>
    <m/>
    <m/>
    <m/>
    <n v="0"/>
    <n v="0"/>
    <n v="0"/>
    <n v="0"/>
    <n v="0"/>
    <e v="#DIV/0!"/>
    <n v="0"/>
    <m/>
    <n v="6.3347900000000008"/>
    <n v="0"/>
    <n v="0"/>
    <m/>
  </r>
  <r>
    <n v="177"/>
    <s v="Khopoli "/>
    <x v="8"/>
    <s v="Metalman"/>
    <x v="8"/>
    <n v="2410994"/>
    <s v="188647-2410994"/>
    <s v="TUB-O-C-AUT-AD-FC-21.75X3.500X04-05"/>
    <x v="1"/>
    <m/>
    <x v="1"/>
    <s v="HR"/>
    <m/>
    <m/>
    <m/>
    <m/>
    <x v="82"/>
    <s v="21.75-0-3.5-CEW--4.5"/>
    <s v="#REF!"/>
    <m/>
    <m/>
    <m/>
    <m/>
    <x v="33"/>
    <x v="31"/>
    <x v="0"/>
    <x v="17"/>
    <n v="4500"/>
    <s v="M"/>
    <m/>
    <m/>
    <m/>
    <m/>
    <n v="0"/>
    <n v="0"/>
    <n v="0"/>
    <n v="0"/>
    <n v="0"/>
    <e v="#DIV/0!"/>
    <n v="0"/>
    <m/>
    <n v="0"/>
    <n v="0"/>
    <n v="0"/>
    <m/>
  </r>
  <r>
    <n v="193"/>
    <s v="Khopoli "/>
    <x v="8"/>
    <s v="Metalman"/>
    <x v="8"/>
    <n v="2396465"/>
    <s v="188647-2396465"/>
    <s v="TUB-O-N-AUT-AN-FC-42.70X3.500X6.0000"/>
    <x v="1"/>
    <s v="Annealed"/>
    <x v="1"/>
    <s v="HR"/>
    <m/>
    <m/>
    <m/>
    <m/>
    <x v="83"/>
    <s v="42.7-0-3.5-CEW--6"/>
    <s v="#REF!"/>
    <m/>
    <m/>
    <m/>
    <m/>
    <x v="16"/>
    <x v="16"/>
    <x v="0"/>
    <x v="17"/>
    <n v="6000"/>
    <m/>
    <m/>
    <m/>
    <m/>
    <m/>
    <e v="#N/A"/>
    <e v="#N/A"/>
    <n v="0"/>
    <e v="#N/A"/>
    <e v="#N/A"/>
    <e v="#DIV/0!"/>
    <n v="0"/>
    <m/>
    <n v="0"/>
    <n v="0"/>
    <n v="0"/>
    <m/>
  </r>
  <r>
    <n v="195"/>
    <s v="Khopoli "/>
    <x v="8"/>
    <s v="Metalman"/>
    <x v="8"/>
    <n v="2426233"/>
    <s v="188647-2426233"/>
    <s v="TUB-O-N-AUT-AN-FC-42.70X4.000X5.7300"/>
    <x v="1"/>
    <s v="Annealed"/>
    <x v="1"/>
    <s v="HR"/>
    <m/>
    <m/>
    <m/>
    <m/>
    <x v="84"/>
    <s v="42.7-0-4-CEW--5.73"/>
    <s v="#REF!"/>
    <m/>
    <m/>
    <m/>
    <m/>
    <x v="16"/>
    <x v="16"/>
    <x v="0"/>
    <x v="11"/>
    <n v="5730"/>
    <m/>
    <m/>
    <m/>
    <m/>
    <m/>
    <e v="#N/A"/>
    <e v="#N/A"/>
    <n v="0"/>
    <e v="#N/A"/>
    <e v="#N/A"/>
    <e v="#DIV/0!"/>
    <n v="0"/>
    <m/>
    <n v="0"/>
    <n v="0"/>
    <n v="0"/>
    <m/>
  </r>
  <r>
    <n v="176"/>
    <s v="Hosur"/>
    <x v="8"/>
    <s v="Metalman"/>
    <x v="8"/>
    <n v="2418569"/>
    <s v="188647-2418569"/>
    <s v="TUB-O-N-AUT-AW-PE-19.05X1.600X1.4050"/>
    <x v="0"/>
    <m/>
    <x v="0"/>
    <s v="CR"/>
    <s v="WG"/>
    <m/>
    <m/>
    <m/>
    <x v="85"/>
    <s v="19.05-0-1.6-ERW 1-PE-1.405"/>
    <s v="#REF!"/>
    <s v="Hosur"/>
    <m/>
    <m/>
    <m/>
    <x v="2"/>
    <x v="2"/>
    <x v="0"/>
    <x v="0"/>
    <n v="1405"/>
    <s v="NOS"/>
    <m/>
    <m/>
    <m/>
    <m/>
    <n v="0"/>
    <n v="0"/>
    <n v="0"/>
    <n v="0"/>
    <n v="0"/>
    <e v="#DIV/0!"/>
    <n v="0"/>
    <m/>
    <n v="0"/>
    <n v="2.8860000000000001"/>
    <n v="0"/>
    <m/>
  </r>
  <r>
    <n v="178"/>
    <s v="Hosur"/>
    <x v="8"/>
    <s v="Metalman"/>
    <x v="8"/>
    <n v="1940407"/>
    <s v="188647-1940407"/>
    <s v="TUB-O-O-AUT-AW-PE-22.23X1.600X0.7400"/>
    <x v="0"/>
    <m/>
    <x v="0"/>
    <s v="CR"/>
    <s v="GR1"/>
    <m/>
    <m/>
    <m/>
    <x v="21"/>
    <s v="22.23-0-1.6-ERW 1-PE-0.74"/>
    <s v="#REF!"/>
    <s v="Hosur"/>
    <n v="5.9161999999999937E-2"/>
    <n v="0"/>
    <m/>
    <x v="11"/>
    <x v="11"/>
    <x v="0"/>
    <x v="0"/>
    <n v="740"/>
    <s v="NOS"/>
    <m/>
    <m/>
    <n v="3000"/>
    <m/>
    <n v="0"/>
    <n v="3000"/>
    <n v="1.8062235062400001"/>
    <n v="0"/>
    <n v="1.8062235062400001"/>
    <n v="0"/>
    <n v="0"/>
    <m/>
    <n v="10.773161999999999"/>
    <n v="0"/>
    <n v="1.8062235062400001"/>
    <m/>
  </r>
  <r>
    <n v="179"/>
    <s v="Hosur"/>
    <x v="8"/>
    <s v="Metalman"/>
    <x v="8"/>
    <n v="2418687"/>
    <s v="188647-2418687"/>
    <s v="TUB-O-N-AUT-AW-PE-22.23X1.600X0.8800"/>
    <x v="0"/>
    <m/>
    <x v="0"/>
    <s v="CR"/>
    <s v="GR1"/>
    <m/>
    <m/>
    <m/>
    <x v="21"/>
    <s v="22.23-0-1.6-ERW 1-PE-0.88"/>
    <s v="#REF!"/>
    <s v="Hosur"/>
    <n v="5.9161999999999937E-2"/>
    <n v="0"/>
    <m/>
    <x v="11"/>
    <x v="11"/>
    <x v="0"/>
    <x v="0"/>
    <n v="880"/>
    <s v="NOS"/>
    <m/>
    <m/>
    <n v="3000"/>
    <m/>
    <n v="0"/>
    <n v="3000"/>
    <n v="2.1479414668799999"/>
    <n v="0"/>
    <n v="2.1479414668799999"/>
    <n v="0"/>
    <n v="0"/>
    <m/>
    <n v="10.773161999999999"/>
    <n v="0"/>
    <n v="2.1479414668799999"/>
    <m/>
  </r>
  <r>
    <n v="180"/>
    <s v="Hosur"/>
    <x v="8"/>
    <s v="Metalman"/>
    <x v="8"/>
    <n v="3732180"/>
    <s v="188647-3732180"/>
    <s v="TUB-O-O-AUT-AW-FC-25.40X1.600X0.2080"/>
    <x v="0"/>
    <m/>
    <x v="2"/>
    <s v="CR"/>
    <s v="NORMAL"/>
    <m/>
    <m/>
    <m/>
    <x v="86"/>
    <s v="25.4-0-1.6-ERW 1-FC-0.208"/>
    <s v="#REF!"/>
    <m/>
    <m/>
    <m/>
    <m/>
    <x v="3"/>
    <x v="3"/>
    <x v="0"/>
    <x v="0"/>
    <n v="208"/>
    <s v="NOS"/>
    <m/>
    <m/>
    <m/>
    <m/>
    <n v="0"/>
    <n v="0"/>
    <n v="0"/>
    <n v="0"/>
    <n v="0"/>
    <e v="#DIV/0!"/>
    <n v="1.075E-3"/>
    <m/>
    <n v="0"/>
    <n v="0"/>
    <n v="-1.075E-3"/>
    <m/>
  </r>
  <r>
    <n v="181"/>
    <s v="Hosur"/>
    <x v="8"/>
    <s v="Metalman"/>
    <x v="8"/>
    <n v="1940595"/>
    <s v="188647-1940595"/>
    <s v="TUB-O-O-AUT-AW-FC-25.40X2.500X0.3220"/>
    <x v="0"/>
    <m/>
    <x v="1"/>
    <s v="HR"/>
    <m/>
    <m/>
    <m/>
    <m/>
    <x v="87"/>
    <s v="25.4-0-2.5-ERW 1--0.322"/>
    <s v="#REF!"/>
    <m/>
    <m/>
    <m/>
    <m/>
    <x v="3"/>
    <x v="3"/>
    <x v="0"/>
    <x v="10"/>
    <n v="322"/>
    <m/>
    <m/>
    <m/>
    <m/>
    <m/>
    <e v="#N/A"/>
    <e v="#N/A"/>
    <n v="0"/>
    <e v="#N/A"/>
    <e v="#N/A"/>
    <e v="#DIV/0!"/>
    <n v="0"/>
    <m/>
    <n v="0"/>
    <n v="0"/>
    <n v="0"/>
    <m/>
  </r>
  <r>
    <n v="182"/>
    <s v="Hosur"/>
    <x v="8"/>
    <s v="Metalman"/>
    <x v="8"/>
    <m/>
    <s v="188647-"/>
    <m/>
    <x v="0"/>
    <m/>
    <x v="1"/>
    <s v="CR"/>
    <m/>
    <m/>
    <m/>
    <m/>
    <x v="88"/>
    <s v="28.58-0-1.6-ERW 1--6"/>
    <s v="#REF!"/>
    <m/>
    <m/>
    <m/>
    <m/>
    <x v="12"/>
    <x v="12"/>
    <x v="0"/>
    <x v="0"/>
    <n v="6000"/>
    <m/>
    <m/>
    <m/>
    <m/>
    <m/>
    <e v="#N/A"/>
    <e v="#N/A"/>
    <n v="0"/>
    <e v="#N/A"/>
    <e v="#N/A"/>
    <e v="#DIV/0!"/>
    <n v="0"/>
    <m/>
    <n v="0"/>
    <n v="0"/>
    <n v="0"/>
    <m/>
  </r>
  <r>
    <n v="183"/>
    <s v="Hosur"/>
    <x v="8"/>
    <s v="Metalman"/>
    <x v="8"/>
    <n v="1940732"/>
    <s v="188647-1940732"/>
    <s v="TUB-O-O-AUT-AW-FC-38.10X1.600X0.8210"/>
    <x v="0"/>
    <m/>
    <x v="2"/>
    <s v="HR"/>
    <s v="GR1"/>
    <m/>
    <m/>
    <m/>
    <x v="89"/>
    <s v="38.1-0-1.6-ERW 1-FC-0.821"/>
    <s v="#REF!"/>
    <s v="Hosur"/>
    <n v="5.1801770000000005"/>
    <n v="6.8281799999999997"/>
    <m/>
    <x v="14"/>
    <x v="30"/>
    <x v="0"/>
    <x v="0"/>
    <n v="821"/>
    <s v="NOS"/>
    <m/>
    <m/>
    <n v="3500"/>
    <m/>
    <n v="0"/>
    <n v="3500"/>
    <n v="4.1364078475999992"/>
    <n v="0"/>
    <n v="4.1364078475999992"/>
    <n v="0"/>
    <n v="0"/>
    <m/>
    <n v="8.1493570000000002"/>
    <n v="0"/>
    <n v="4.1364078475999992"/>
    <m/>
  </r>
  <r>
    <n v="186"/>
    <s v="Hosur"/>
    <x v="8"/>
    <s v="Metalman"/>
    <x v="8"/>
    <n v="3768902"/>
    <s v="188647-3768902"/>
    <s v="CUT-O-N-AUT-AW-FC-38.10X2.000X0.2770 "/>
    <x v="0"/>
    <m/>
    <x v="1"/>
    <s v="HR"/>
    <m/>
    <m/>
    <m/>
    <m/>
    <x v="90"/>
    <s v="38.1-0-2-ERW 1--0.2765"/>
    <s v="#REF!"/>
    <m/>
    <m/>
    <m/>
    <m/>
    <x v="14"/>
    <x v="30"/>
    <x v="0"/>
    <x v="8"/>
    <n v="276.5"/>
    <m/>
    <m/>
    <m/>
    <m/>
    <m/>
    <e v="#N/A"/>
    <e v="#N/A"/>
    <n v="0"/>
    <e v="#N/A"/>
    <e v="#N/A"/>
    <e v="#DIV/0!"/>
    <n v="0"/>
    <m/>
    <n v="0"/>
    <n v="0"/>
    <n v="0"/>
    <m/>
  </r>
  <r>
    <n v="189"/>
    <s v="Hosur"/>
    <x v="8"/>
    <s v="Metalman"/>
    <x v="8"/>
    <n v="3768905"/>
    <s v="188647-3768905"/>
    <s v="CUT-R-AW-AUT-40.00X25.00X1.600X0.3220"/>
    <x v="0"/>
    <m/>
    <x v="2"/>
    <s v="CR"/>
    <s v="KGR2"/>
    <m/>
    <m/>
    <m/>
    <x v="33"/>
    <s v="40-25-1.6-ERW 1-FC-0.322"/>
    <n v="1"/>
    <m/>
    <m/>
    <m/>
    <m/>
    <x v="15"/>
    <x v="15"/>
    <x v="3"/>
    <x v="0"/>
    <n v="322"/>
    <s v="NOS"/>
    <m/>
    <m/>
    <m/>
    <m/>
    <n v="0"/>
    <n v="0"/>
    <n v="0"/>
    <n v="0"/>
    <n v="0"/>
    <e v="#DIV/0!"/>
    <n v="0"/>
    <m/>
    <n v="0.61827399999999999"/>
    <n v="0"/>
    <n v="0"/>
    <m/>
  </r>
  <r>
    <n v="190"/>
    <s v="Hosur"/>
    <x v="8"/>
    <s v="Metalman"/>
    <x v="8"/>
    <n v="3768907"/>
    <s v="188647-3768907"/>
    <s v="CUT-O-N-AUT-AW-FC-41.28X3.200X0.2460"/>
    <x v="0"/>
    <m/>
    <x v="2"/>
    <s v="HR"/>
    <m/>
    <s v="Chamferring"/>
    <m/>
    <m/>
    <x v="91"/>
    <s v="41.28-0-3.2-ERW 1-FC-0.246"/>
    <s v="#REF!"/>
    <s v="Hosur"/>
    <n v="0"/>
    <n v="0"/>
    <m/>
    <x v="15"/>
    <x v="32"/>
    <x v="0"/>
    <x v="13"/>
    <n v="246"/>
    <s v="NOS"/>
    <m/>
    <m/>
    <n v="8000"/>
    <m/>
    <n v="1000"/>
    <n v="7000"/>
    <n v="5.9111409745920005"/>
    <n v="0.73889262182400006"/>
    <n v="5.1722483527680003"/>
    <n v="300.73381901075351"/>
    <n v="0.22220999999999999"/>
    <m/>
    <n v="0"/>
    <n v="7.141"/>
    <s v=" "/>
    <m/>
  </r>
  <r>
    <n v="191"/>
    <s v="Khopoli "/>
    <x v="8"/>
    <s v="Metalman"/>
    <x v="8"/>
    <m/>
    <s v="188647-"/>
    <m/>
    <x v="0"/>
    <s v="Annealed"/>
    <x v="1"/>
    <s v="HR"/>
    <m/>
    <m/>
    <m/>
    <m/>
    <x v="92"/>
    <s v="0-0-4-ERW 1--0.266"/>
    <s v="#REF!"/>
    <m/>
    <m/>
    <m/>
    <m/>
    <x v="16"/>
    <x v="33"/>
    <x v="0"/>
    <x v="11"/>
    <n v="266"/>
    <m/>
    <m/>
    <m/>
    <m/>
    <m/>
    <e v="#N/A"/>
    <e v="#N/A"/>
    <n v="0"/>
    <e v="#N/A"/>
    <e v="#N/A"/>
    <e v="#DIV/0!"/>
    <n v="0"/>
    <m/>
    <n v="0"/>
    <n v="0"/>
    <n v="0"/>
    <m/>
  </r>
  <r>
    <n v="192"/>
    <s v="Khopoli "/>
    <x v="8"/>
    <s v="Metalman"/>
    <x v="8"/>
    <n v="2417648"/>
    <s v="188647-2417648"/>
    <s v="TUB-O-N-AUT-AN-FC-42.70X3.500X0.2100"/>
    <x v="0"/>
    <s v="Annealed"/>
    <x v="2"/>
    <s v="HR"/>
    <m/>
    <s v="Chamferring"/>
    <m/>
    <m/>
    <x v="93"/>
    <s v="42.7-0-3.5-ERW 1-FC-0.21"/>
    <s v="#REF!"/>
    <s v="Khopoli"/>
    <n v="4.8184210000000007"/>
    <n v="5.208107"/>
    <m/>
    <x v="16"/>
    <x v="16"/>
    <x v="0"/>
    <x v="17"/>
    <n v="210"/>
    <s v="NOS"/>
    <m/>
    <m/>
    <n v="3000"/>
    <m/>
    <n v="500"/>
    <n v="2500"/>
    <n v="2.1305609640000003"/>
    <n v="0.35509349400000001"/>
    <n v="1.7754674700000002"/>
    <n v="0"/>
    <n v="0"/>
    <m/>
    <n v="12.367420999999998"/>
    <n v="0"/>
    <n v="2.1305609640000003"/>
    <m/>
  </r>
  <r>
    <n v="194"/>
    <s v="Khopoli "/>
    <x v="8"/>
    <s v="Metalman"/>
    <x v="8"/>
    <n v="2428441"/>
    <s v="188647-2428441"/>
    <s v="TUB-O-N-AUT-AN-FC-42.70X4.000X0.2350"/>
    <x v="0"/>
    <s v="Annealed"/>
    <x v="2"/>
    <s v="HR"/>
    <m/>
    <s v="Chamferring"/>
    <m/>
    <m/>
    <x v="35"/>
    <s v="42.7-0-4-ERW 1-FC-0.235"/>
    <s v="#REF!"/>
    <s v="Khopoli"/>
    <n v="0.28338300000000016"/>
    <n v="29.067884000000003"/>
    <m/>
    <x v="16"/>
    <x v="16"/>
    <x v="0"/>
    <x v="11"/>
    <n v="235"/>
    <s v="NOS"/>
    <m/>
    <m/>
    <n v="7000"/>
    <m/>
    <n v="0"/>
    <n v="7000"/>
    <n v="6.2767692540000004"/>
    <n v="0"/>
    <n v="6.2767692540000004"/>
    <n v="0"/>
    <n v="0"/>
    <m/>
    <n v="236.02448700000002"/>
    <n v="0"/>
    <n v="6.2767692540000004"/>
    <m/>
  </r>
  <r>
    <n v="196"/>
    <s v="Hosur"/>
    <x v="8"/>
    <s v="Metalman"/>
    <x v="8"/>
    <n v="1940829"/>
    <s v="188647-1940829"/>
    <s v="TUB-R-AW-RHS-40.00X30.00X1.600X0.3140"/>
    <x v="0"/>
    <m/>
    <x v="1"/>
    <s v="HR"/>
    <m/>
    <m/>
    <m/>
    <m/>
    <x v="94"/>
    <s v="40-30-1.6-ERW 1--0.314"/>
    <n v="2"/>
    <m/>
    <m/>
    <m/>
    <m/>
    <x v="17"/>
    <x v="15"/>
    <x v="1"/>
    <x v="0"/>
    <n v="314"/>
    <s v="NOS"/>
    <m/>
    <m/>
    <m/>
    <m/>
    <n v="0"/>
    <n v="0"/>
    <n v="0"/>
    <n v="0"/>
    <n v="0"/>
    <e v="#DIV/0!"/>
    <n v="0"/>
    <m/>
    <n v="0"/>
    <n v="0"/>
    <n v="0"/>
    <m/>
  </r>
  <r>
    <n v="197"/>
    <s v="Hosur"/>
    <x v="8"/>
    <s v="Metalman"/>
    <x v="8"/>
    <n v="3712521"/>
    <s v="188647-3712521"/>
    <s v="CUT-R-AW-RHS-40.00X30.00X1.600X0.8350"/>
    <x v="0"/>
    <m/>
    <x v="2"/>
    <s v="CR"/>
    <s v="HROP"/>
    <m/>
    <m/>
    <m/>
    <x v="36"/>
    <s v="40-30-1.6-ERW 1-FC-0.835"/>
    <n v="2"/>
    <s v="Hosur"/>
    <n v="0.95786300000000013"/>
    <n v="0"/>
    <m/>
    <x v="17"/>
    <x v="15"/>
    <x v="1"/>
    <x v="0"/>
    <n v="835"/>
    <s v="NOS"/>
    <m/>
    <m/>
    <n v="14000"/>
    <m/>
    <n v="0"/>
    <n v="14000"/>
    <n v="19.755345293600001"/>
    <n v="0"/>
    <n v="19.755345293600001"/>
    <n v="24.125926067938984"/>
    <n v="3.4043999999999998E-2"/>
    <m/>
    <n v="0.95786300000000002"/>
    <n v="0"/>
    <n v="19.7213012936"/>
    <m/>
  </r>
  <r>
    <n v="198"/>
    <s v="Hosur"/>
    <x v="8"/>
    <s v="Metalman"/>
    <x v="8"/>
    <n v="1940831"/>
    <s v="188647-1940831"/>
    <s v="TUB-R-AW-RHS-40.00X30.00X1.600X0.8800"/>
    <x v="0"/>
    <m/>
    <x v="2"/>
    <s v="CR"/>
    <s v="GR1"/>
    <m/>
    <m/>
    <m/>
    <x v="36"/>
    <s v="40-30-1.6-ERW 1-FC-0.88"/>
    <n v="1"/>
    <s v="Hosur"/>
    <n v="0.95786300000000013"/>
    <n v="0"/>
    <m/>
    <x v="17"/>
    <x v="15"/>
    <x v="1"/>
    <x v="0"/>
    <n v="880"/>
    <s v="NOS"/>
    <m/>
    <m/>
    <n v="3000"/>
    <m/>
    <n v="4320"/>
    <n v="-1320"/>
    <n v="4.4614295616000001"/>
    <n v="6.4244585687039999"/>
    <n v="-1.9630290071039997"/>
    <n v="66.011128481065199"/>
    <n v="9.8168000000000005E-2"/>
    <m/>
    <n v="0.95786300000000002"/>
    <n v="0"/>
    <n v="4.3632615615999999"/>
    <m/>
  </r>
  <r>
    <m/>
    <s v="Hosur"/>
    <x v="8"/>
    <s v="Metalman"/>
    <x v="8"/>
    <m/>
    <s v="188647-"/>
    <m/>
    <x v="0"/>
    <m/>
    <x v="2"/>
    <m/>
    <m/>
    <m/>
    <m/>
    <m/>
    <x v="37"/>
    <s v="40-30-2-ERW 1-FC-0.88"/>
    <m/>
    <m/>
    <n v="0"/>
    <n v="0"/>
    <m/>
    <x v="17"/>
    <x v="15"/>
    <x v="1"/>
    <x v="8"/>
    <n v="880"/>
    <s v="NOS"/>
    <m/>
    <m/>
    <m/>
    <m/>
    <n v="2832"/>
    <n v="-2832"/>
    <n v="0"/>
    <n v="5.2153434812160002"/>
    <n v="-5.2153434812160002"/>
    <e v="#DIV/0!"/>
    <n v="7.6065560000000003"/>
    <m/>
    <n v="0"/>
    <n v="26.635999999999999"/>
    <n v="-7.6065560000000003"/>
    <m/>
  </r>
  <r>
    <n v="199"/>
    <s v="Hosur"/>
    <x v="8"/>
    <s v="Metalman"/>
    <x v="8"/>
    <n v="2325421"/>
    <s v="188647-2325421"/>
    <s v="TUB-O-N-AUT-AW-FC-48.60X1.200X0.3360"/>
    <x v="0"/>
    <m/>
    <x v="2"/>
    <s v="CR"/>
    <m/>
    <m/>
    <m/>
    <m/>
    <x v="95"/>
    <s v="48.6-0-1.2-ERW 1-FC-0.336"/>
    <s v="#REF!"/>
    <s v="Hosur"/>
    <n v="3.9467829999999999"/>
    <n v="0"/>
    <m/>
    <x v="18"/>
    <x v="17"/>
    <x v="0"/>
    <x v="2"/>
    <n v="336"/>
    <s v="NOS"/>
    <m/>
    <m/>
    <n v="15000"/>
    <m/>
    <n v="7218"/>
    <n v="7782"/>
    <n v="7.0662570048000006"/>
    <n v="3.4002828707097601"/>
    <n v="3.6659741340902405"/>
    <n v="5901.4383388083816"/>
    <n v="2.7800720000000001"/>
    <m/>
    <n v="3.9467830000000004"/>
    <n v="17.024000000000001"/>
    <n v="4.2861850048000001"/>
    <m/>
  </r>
  <r>
    <m/>
    <s v="Hosur"/>
    <x v="8"/>
    <s v="Metalman"/>
    <x v="8"/>
    <m/>
    <s v="188647-"/>
    <m/>
    <x v="0"/>
    <m/>
    <x v="2"/>
    <m/>
    <m/>
    <m/>
    <m/>
    <m/>
    <x v="96"/>
    <s v="50-30-2.5-ERW 1-FC-0.765"/>
    <m/>
    <m/>
    <n v="0"/>
    <n v="0"/>
    <m/>
    <x v="4"/>
    <x v="4"/>
    <x v="1"/>
    <x v="10"/>
    <n v="765"/>
    <s v="NOS"/>
    <m/>
    <m/>
    <n v="3000"/>
    <m/>
    <n v="0"/>
    <n v="3000"/>
    <n v="6.8307616912500002"/>
    <n v="0"/>
    <n v="6.8307616912500002"/>
    <n v="0"/>
    <n v="0"/>
    <m/>
    <n v="0"/>
    <n v="0"/>
    <n v="6.8307616912500002"/>
    <m/>
  </r>
  <r>
    <n v="200"/>
    <s v="Hosur"/>
    <x v="8"/>
    <s v="Metalman"/>
    <x v="8"/>
    <n v="3768906"/>
    <s v="188647-3768906"/>
    <s v="CUT-O-N-AUT-AW-AG-57.15X2.500X0.3460"/>
    <x v="0"/>
    <m/>
    <x v="2"/>
    <s v="HR"/>
    <m/>
    <m/>
    <s v="AG"/>
    <m/>
    <x v="97"/>
    <s v="57.15-0-2.5-ERW 1-FC-0.346"/>
    <s v="#REF!"/>
    <m/>
    <m/>
    <m/>
    <m/>
    <x v="19"/>
    <x v="19"/>
    <x v="0"/>
    <x v="10"/>
    <n v="346"/>
    <s v="NOS"/>
    <m/>
    <m/>
    <m/>
    <m/>
    <n v="0"/>
    <n v="0"/>
    <n v="0"/>
    <n v="0"/>
    <n v="0"/>
    <e v="#DIV/0!"/>
    <n v="0"/>
    <m/>
    <n v="18.554921999999998"/>
    <n v="0"/>
    <n v="0"/>
    <m/>
  </r>
  <r>
    <n v="201"/>
    <s v="Hosur"/>
    <x v="8"/>
    <s v="Metalman"/>
    <x v="8"/>
    <n v="2440972"/>
    <s v="188647-2440972"/>
    <s v="TUB-O-N-AUT-AW-FC-57.15X2.500X0.3750"/>
    <x v="0"/>
    <m/>
    <x v="2"/>
    <s v="HR"/>
    <m/>
    <m/>
    <m/>
    <m/>
    <x v="97"/>
    <s v="57.15-0-2.5-ERW 1-FC-0.375"/>
    <s v="#REF!"/>
    <m/>
    <m/>
    <m/>
    <m/>
    <x v="19"/>
    <x v="19"/>
    <x v="0"/>
    <x v="10"/>
    <n v="375"/>
    <m/>
    <m/>
    <m/>
    <m/>
    <m/>
    <e v="#N/A"/>
    <e v="#N/A"/>
    <n v="0"/>
    <e v="#N/A"/>
    <e v="#N/A"/>
    <e v="#DIV/0!"/>
    <n v="0"/>
    <m/>
    <n v="18.554921999999998"/>
    <n v="0"/>
    <n v="0"/>
    <m/>
  </r>
  <r>
    <n v="202"/>
    <s v="Hosur"/>
    <x v="8"/>
    <s v="Metalman"/>
    <x v="8"/>
    <n v="3542857"/>
    <s v="188647-3542857"/>
    <s v="TUB-O-N-AUT-AW-AG-57.15X2.500X0.8120"/>
    <x v="0"/>
    <m/>
    <x v="1"/>
    <s v="HR"/>
    <m/>
    <m/>
    <m/>
    <m/>
    <x v="98"/>
    <s v="57.15-0-2.5-ERW 1--0.812"/>
    <s v="#REF!"/>
    <m/>
    <m/>
    <m/>
    <m/>
    <x v="19"/>
    <x v="19"/>
    <x v="0"/>
    <x v="10"/>
    <n v="812"/>
    <m/>
    <m/>
    <m/>
    <m/>
    <m/>
    <e v="#N/A"/>
    <e v="#N/A"/>
    <n v="0"/>
    <e v="#N/A"/>
    <e v="#N/A"/>
    <e v="#DIV/0!"/>
    <n v="0"/>
    <m/>
    <n v="0"/>
    <n v="0"/>
    <n v="0"/>
    <m/>
  </r>
  <r>
    <n v="203"/>
    <s v="Khopoli "/>
    <x v="8"/>
    <s v="Metalman"/>
    <x v="8"/>
    <n v="3768903"/>
    <s v="188647-3768903"/>
    <s v="CUT-O-N-AUT-AW-FC-60.30X2.000X0.5250"/>
    <x v="0"/>
    <m/>
    <x v="2"/>
    <s v="HR"/>
    <m/>
    <m/>
    <s v="AG"/>
    <m/>
    <x v="99"/>
    <s v="60.3-0-2-ERW 1-FC-0.525"/>
    <s v="#REF!"/>
    <s v="Khopoli"/>
    <n v="8.9056999999999997E-2"/>
    <n v="15.964999999999998"/>
    <m/>
    <x v="34"/>
    <x v="34"/>
    <x v="0"/>
    <x v="8"/>
    <n v="525"/>
    <s v="NOS"/>
    <m/>
    <m/>
    <n v="5000"/>
    <m/>
    <n v="0"/>
    <n v="5000"/>
    <n v="7.5444426749999991"/>
    <n v="0"/>
    <n v="7.5444426749999991"/>
    <n v="0"/>
    <n v="0"/>
    <m/>
    <n v="34.146056999999999"/>
    <n v="0"/>
    <n v="7.5444426749999991"/>
    <m/>
  </r>
  <r>
    <n v="184"/>
    <s v="Hosur"/>
    <x v="8"/>
    <s v="Metalman"/>
    <x v="8"/>
    <n v="3768904"/>
    <s v="188647-3768904"/>
    <s v="CUT-O-N-AUT-AW-FC-38.10X1.600X0.8780"/>
    <x v="5"/>
    <m/>
    <x v="2"/>
    <s v="CR"/>
    <s v="ST52AL"/>
    <m/>
    <m/>
    <m/>
    <x v="100"/>
    <s v="38.1-0-1.6-ERW 2 MAHS-FC-0.878"/>
    <s v="#REF!"/>
    <s v="JSR"/>
    <m/>
    <m/>
    <m/>
    <x v="14"/>
    <x v="30"/>
    <x v="0"/>
    <x v="0"/>
    <n v="878"/>
    <s v="NOS"/>
    <m/>
    <m/>
    <m/>
    <m/>
    <n v="0"/>
    <n v="0"/>
    <n v="0"/>
    <n v="0"/>
    <n v="0"/>
    <e v="#DIV/0!"/>
    <n v="0"/>
    <m/>
    <n v="0.37121100000000001"/>
    <n v="3.1419999999999999"/>
    <n v="0"/>
    <m/>
  </r>
  <r>
    <n v="185"/>
    <s v="Hosur"/>
    <x v="8"/>
    <s v="Metalman"/>
    <x v="8"/>
    <n v="3191747"/>
    <s v="188647-3191747"/>
    <s v="TUB-O-N-AUT-AW-FC-38.10X1.600X0.9300"/>
    <x v="5"/>
    <m/>
    <x v="2"/>
    <s v="HR"/>
    <s v="ST52AL"/>
    <m/>
    <m/>
    <m/>
    <x v="100"/>
    <s v="38.1-0-1.6-ERW 2 MAHS-FC-0.93"/>
    <s v="#REF!"/>
    <s v="JSR"/>
    <m/>
    <m/>
    <m/>
    <x v="14"/>
    <x v="30"/>
    <x v="0"/>
    <x v="0"/>
    <n v="930"/>
    <m/>
    <m/>
    <m/>
    <m/>
    <m/>
    <e v="#N/A"/>
    <e v="#N/A"/>
    <n v="0"/>
    <e v="#N/A"/>
    <e v="#N/A"/>
    <e v="#DIV/0!"/>
    <n v="0"/>
    <m/>
    <n v="0.37121100000000001"/>
    <n v="3.1419999999999999"/>
    <n v="0"/>
    <m/>
  </r>
  <r>
    <m/>
    <s v="Hosur"/>
    <x v="8"/>
    <s v="Metalman"/>
    <x v="8"/>
    <n v="3931304"/>
    <s v="188647-3931304"/>
    <s v="TUB-O-N-AUT-AW-FC-38.10X1.600X5.3500"/>
    <x v="5"/>
    <m/>
    <x v="2"/>
    <s v="CR"/>
    <s v="ST52AL"/>
    <m/>
    <m/>
    <m/>
    <x v="100"/>
    <s v="38.1-0-1.6-ERW 2 MAHS-FC-1"/>
    <m/>
    <s v="JSR"/>
    <n v="0"/>
    <n v="0"/>
    <m/>
    <x v="14"/>
    <x v="30"/>
    <x v="0"/>
    <x v="0"/>
    <n v="1000"/>
    <s v="M"/>
    <m/>
    <m/>
    <n v="7000"/>
    <m/>
    <n v="0"/>
    <n v="7000"/>
    <n v="10.076511199999999"/>
    <n v="0"/>
    <n v="10.076511199999999"/>
    <n v="257.87466995521231"/>
    <n v="0.37121100000000001"/>
    <m/>
    <n v="0.37121100000000001"/>
    <n v="3.1419999999999999"/>
    <n v="9.7053001999999982"/>
    <m/>
  </r>
  <r>
    <n v="187"/>
    <s v="Hosur"/>
    <x v="8"/>
    <s v="Metalman"/>
    <x v="8"/>
    <n v="3191748"/>
    <s v="188647-3191748"/>
    <s v="TUB-O-N-AUT-AW-FC-38.10X2.000X0.9300"/>
    <x v="5"/>
    <m/>
    <x v="1"/>
    <s v="HR"/>
    <s v="ST52AL"/>
    <m/>
    <m/>
    <m/>
    <x v="101"/>
    <s v="38.1-0-2-ERW 2 MAHS--0.93"/>
    <s v="#REF!"/>
    <m/>
    <m/>
    <m/>
    <m/>
    <x v="14"/>
    <x v="30"/>
    <x v="0"/>
    <x v="8"/>
    <n v="930"/>
    <m/>
    <m/>
    <m/>
    <m/>
    <m/>
    <e v="#N/A"/>
    <e v="#N/A"/>
    <n v="0"/>
    <e v="#N/A"/>
    <e v="#N/A"/>
    <e v="#DIV/0!"/>
    <n v="0"/>
    <m/>
    <n v="0"/>
    <n v="0"/>
    <n v="0"/>
    <m/>
  </r>
  <r>
    <n v="188"/>
    <s v="JSR"/>
    <x v="8"/>
    <s v="Metalman"/>
    <x v="8"/>
    <n v="3768904"/>
    <s v="188647-3768904"/>
    <s v="CUT-O-N-AUT-AW-FC-38.10X2.500X0.8780"/>
    <x v="5"/>
    <m/>
    <x v="2"/>
    <s v="HR"/>
    <s v="ST52AL"/>
    <m/>
    <m/>
    <m/>
    <x v="102"/>
    <s v="38.1-0-2.5-ERW 2 MAHS-FC-0.878"/>
    <s v="#REF!"/>
    <s v="JSR"/>
    <m/>
    <m/>
    <m/>
    <x v="14"/>
    <x v="30"/>
    <x v="0"/>
    <x v="10"/>
    <n v="878"/>
    <s v="NOS"/>
    <m/>
    <m/>
    <m/>
    <m/>
    <n v="0"/>
    <n v="0"/>
    <n v="0"/>
    <n v="0"/>
    <n v="0"/>
    <e v="#DIV/0!"/>
    <n v="0"/>
    <m/>
    <n v="0.57999999999999996"/>
    <n v="0"/>
    <n v="0"/>
    <m/>
  </r>
  <r>
    <m/>
    <s v="Hosur"/>
    <x v="8"/>
    <s v="Metalman"/>
    <x v="8"/>
    <m/>
    <s v="188647-"/>
    <s v="TUB-O-N-AUT-AW-FC-38.10X2.500X5.3500"/>
    <x v="5"/>
    <m/>
    <x v="2"/>
    <s v="HR"/>
    <s v="ST52AL"/>
    <m/>
    <m/>
    <m/>
    <x v="102"/>
    <s v="38.1-0-2.5-ERW 2 MAHS-FC-1"/>
    <m/>
    <s v="JSR"/>
    <n v="0.57999999999999996"/>
    <n v="0"/>
    <m/>
    <x v="14"/>
    <x v="30"/>
    <x v="0"/>
    <x v="10"/>
    <n v="1000"/>
    <s v="M"/>
    <m/>
    <m/>
    <n v="7000"/>
    <m/>
    <n v="0"/>
    <n v="7000"/>
    <n v="15.356327000000004"/>
    <n v="0"/>
    <n v="15.356327000000004"/>
    <n v="0"/>
    <n v="0"/>
    <m/>
    <n v="0.57999999999999996"/>
    <n v="0"/>
    <n v="15.356327000000004"/>
    <m/>
  </r>
  <r>
    <n v="204"/>
    <s v="Khopoli "/>
    <x v="9"/>
    <s v="Narasipur Auto Component(P)Ltd"/>
    <x v="9"/>
    <n v="1938483"/>
    <s v="187546-1938483"/>
    <s v="TUB-I-C-AUT-AD-FC-18.00X4.000X3.7000"/>
    <x v="1"/>
    <m/>
    <x v="1"/>
    <s v="HR"/>
    <m/>
    <m/>
    <m/>
    <m/>
    <x v="103"/>
    <s v="26-18-4-CEW--3.7"/>
    <s v="#REF!"/>
    <m/>
    <m/>
    <m/>
    <m/>
    <x v="35"/>
    <x v="35"/>
    <x v="15"/>
    <x v="11"/>
    <n v="3700"/>
    <m/>
    <m/>
    <m/>
    <m/>
    <m/>
    <e v="#N/A"/>
    <e v="#N/A"/>
    <n v="0"/>
    <e v="#N/A"/>
    <e v="#N/A"/>
    <e v="#DIV/0!"/>
    <n v="0"/>
    <m/>
    <n v="0"/>
    <n v="0"/>
    <n v="0"/>
    <m/>
  </r>
  <r>
    <n v="205"/>
    <s v="Khopoli "/>
    <x v="9"/>
    <s v="Narasipur Auto Component(P)Ltd"/>
    <x v="9"/>
    <n v="2418610"/>
    <s v="187546-2418610"/>
    <s v="TUB-O-C-AUT-AD-FC-25.40X3.500X04-05"/>
    <x v="1"/>
    <m/>
    <x v="3"/>
    <m/>
    <m/>
    <m/>
    <m/>
    <m/>
    <x v="104"/>
    <s v="25.4-18.4-3.5-CEW-CEW-0.247"/>
    <n v="1"/>
    <s v="Khopoli"/>
    <n v="10.700597"/>
    <n v="0"/>
    <m/>
    <x v="3"/>
    <x v="3"/>
    <x v="16"/>
    <x v="17"/>
    <n v="247"/>
    <s v="NOS"/>
    <m/>
    <m/>
    <n v="48000"/>
    <m/>
    <n v="0"/>
    <n v="48000"/>
    <n v="22.400084397600001"/>
    <n v="0"/>
    <n v="22.400084397600001"/>
    <n v="0"/>
    <n v="0"/>
    <m/>
    <n v="83.414597000000001"/>
    <n v="0"/>
    <n v="22.400084397600001"/>
    <m/>
  </r>
  <r>
    <n v="206"/>
    <s v="Khopoli "/>
    <x v="9"/>
    <s v="Narasipur Auto Component(P)Ltd"/>
    <x v="9"/>
    <e v="#REF!"/>
    <e v="#REF!"/>
    <s v="TUB-O-C-AUT-AD-FC-25.40X3.500X.26300"/>
    <x v="1"/>
    <m/>
    <x v="3"/>
    <m/>
    <m/>
    <m/>
    <m/>
    <m/>
    <x v="104"/>
    <s v="25.4-18.4-3.5-CEW-CEW-0.263"/>
    <n v="1"/>
    <s v="Khopoli"/>
    <n v="10.700597"/>
    <n v="0"/>
    <m/>
    <x v="3"/>
    <x v="3"/>
    <x v="16"/>
    <x v="17"/>
    <n v="263"/>
    <s v="NOS"/>
    <m/>
    <m/>
    <n v="26000"/>
    <m/>
    <n v="0"/>
    <n v="26000"/>
    <n v="12.919346922299999"/>
    <n v="0"/>
    <n v="12.919346922299999"/>
    <n v="0"/>
    <n v="0"/>
    <m/>
    <n v="83.414597000000001"/>
    <n v="0"/>
    <n v="12.919346922299999"/>
    <m/>
  </r>
  <r>
    <n v="207"/>
    <s v="Khopoli "/>
    <x v="9"/>
    <s v="Narasipur Auto Component(P)Ltd"/>
    <x v="9"/>
    <e v="#REF!"/>
    <e v="#REF!"/>
    <s v="TUB-O-C-AUT-AD-FC-25.40X3.500X04-05"/>
    <x v="1"/>
    <m/>
    <x v="1"/>
    <s v="HR"/>
    <m/>
    <m/>
    <m/>
    <m/>
    <x v="105"/>
    <s v="25.4-18.4-3.5-CEW--4.5"/>
    <s v="#REF!"/>
    <m/>
    <m/>
    <m/>
    <m/>
    <x v="3"/>
    <x v="3"/>
    <x v="16"/>
    <x v="17"/>
    <n v="4500"/>
    <m/>
    <m/>
    <m/>
    <m/>
    <m/>
    <e v="#N/A"/>
    <e v="#N/A"/>
    <n v="0"/>
    <e v="#N/A"/>
    <e v="#N/A"/>
    <e v="#DIV/0!"/>
    <n v="0"/>
    <m/>
    <n v="0"/>
    <n v="0"/>
    <n v="0"/>
    <m/>
  </r>
  <r>
    <n v="208"/>
    <s v="Khopoli "/>
    <x v="9"/>
    <s v="Narasipur Auto Component(P)Ltd"/>
    <x v="9"/>
    <n v="2426241"/>
    <s v="187546-2426241"/>
    <s v="TUB-O-C-AUT-AD-FC-25.60X4.500X4.2000"/>
    <x v="1"/>
    <m/>
    <x v="1"/>
    <s v="HR"/>
    <m/>
    <m/>
    <m/>
    <m/>
    <x v="106"/>
    <s v="25.6-16.6-4.5-CEW--4.2"/>
    <s v="#REF!"/>
    <m/>
    <m/>
    <m/>
    <m/>
    <x v="36"/>
    <x v="36"/>
    <x v="17"/>
    <x v="15"/>
    <n v="4200"/>
    <m/>
    <m/>
    <m/>
    <m/>
    <m/>
    <e v="#N/A"/>
    <e v="#N/A"/>
    <n v="0"/>
    <e v="#N/A"/>
    <e v="#N/A"/>
    <e v="#DIV/0!"/>
    <n v="0"/>
    <m/>
    <n v="0"/>
    <n v="0"/>
    <n v="0"/>
    <m/>
  </r>
  <r>
    <n v="211"/>
    <s v="Khopoli "/>
    <x v="9"/>
    <s v="Narasipur Auto Component(P)Ltd"/>
    <x v="9"/>
    <n v="1939872"/>
    <s v="187546-1939872"/>
    <s v="TUB-O-C-CEW-AD-FC-32.00X4.500X3.3000"/>
    <x v="1"/>
    <m/>
    <x v="1"/>
    <s v="HR"/>
    <m/>
    <m/>
    <m/>
    <m/>
    <x v="107"/>
    <s v="32-0-4.5-CEW--3.3"/>
    <s v="#REF!"/>
    <m/>
    <m/>
    <m/>
    <m/>
    <x v="37"/>
    <x v="37"/>
    <x v="0"/>
    <x v="15"/>
    <n v="3300"/>
    <m/>
    <m/>
    <m/>
    <m/>
    <m/>
    <e v="#N/A"/>
    <e v="#N/A"/>
    <n v="0"/>
    <e v="#N/A"/>
    <e v="#N/A"/>
    <e v="#DIV/0!"/>
    <n v="0"/>
    <m/>
    <n v="0"/>
    <n v="0"/>
    <n v="0"/>
    <m/>
  </r>
  <r>
    <n v="209"/>
    <s v="Khopoli "/>
    <x v="9"/>
    <s v="Narasipur Auto Component(P)Ltd"/>
    <x v="9"/>
    <n v="3190072"/>
    <s v="187546-3190072"/>
    <s v="TUB-O-C-AUT-AD-FC-29.40X4.500X0.3570"/>
    <x v="3"/>
    <m/>
    <x v="5"/>
    <s v="HR"/>
    <m/>
    <s v="Chamferring"/>
    <m/>
    <m/>
    <x v="52"/>
    <s v="29.4-20.4-4.5-CEW-CEW-0.357"/>
    <n v="2"/>
    <s v="Khopoli"/>
    <n v="23.440661999999996"/>
    <n v="0"/>
    <m/>
    <x v="22"/>
    <x v="21"/>
    <x v="6"/>
    <x v="15"/>
    <n v="357"/>
    <s v="NOS"/>
    <m/>
    <m/>
    <n v="3400"/>
    <m/>
    <n v="0"/>
    <n v="3400"/>
    <n v="3.3524190422099998"/>
    <n v="0"/>
    <n v="3.3524190422099998"/>
    <n v="0"/>
    <n v="0"/>
    <m/>
    <n v="23.440661999999996"/>
    <n v="0"/>
    <n v="3.3524190422099998"/>
    <m/>
  </r>
  <r>
    <n v="210"/>
    <s v="Khopoli "/>
    <x v="9"/>
    <s v="Narasipur Auto Component(P)Ltd"/>
    <x v="9"/>
    <n v="1941303"/>
    <s v="187546-1941303"/>
    <s v="TUB-O-C-AUT-AD-FC-29.40X4.500X0.3610"/>
    <x v="3"/>
    <m/>
    <x v="5"/>
    <s v="HR"/>
    <m/>
    <s v="Chamferring"/>
    <m/>
    <m/>
    <x v="52"/>
    <s v="29.4-20.4-4.5-CEW-CEW-0.361"/>
    <s v="#REF!"/>
    <s v="Khopoli"/>
    <n v="23.440661999999996"/>
    <n v="0"/>
    <m/>
    <x v="22"/>
    <x v="21"/>
    <x v="6"/>
    <x v="15"/>
    <n v="361"/>
    <s v="NOS"/>
    <m/>
    <m/>
    <n v="26000"/>
    <m/>
    <n v="0"/>
    <n v="26000"/>
    <n v="25.923385343699998"/>
    <n v="0"/>
    <n v="25.923385343699998"/>
    <n v="0"/>
    <n v="0"/>
    <m/>
    <n v="23.440661999999996"/>
    <n v="0"/>
    <n v="25.923385343699998"/>
    <m/>
  </r>
  <r>
    <n v="250"/>
    <s v="Khopoli "/>
    <x v="10"/>
    <s v="NMPL"/>
    <x v="10"/>
    <n v="2363145"/>
    <s v="189226|930794-2363145"/>
    <s v="TUB-O-C-AUT-AN-FC-14.00X2.450X5.0000"/>
    <x v="1"/>
    <m/>
    <x v="3"/>
    <s v="HR"/>
    <m/>
    <m/>
    <m/>
    <m/>
    <x v="108"/>
    <s v="14-0-2.45-CEW-CEW"/>
    <n v="1"/>
    <s v="Khopoli"/>
    <n v="0"/>
    <n v="0"/>
    <m/>
    <x v="5"/>
    <x v="5"/>
    <x v="0"/>
    <x v="22"/>
    <n v="1000"/>
    <s v="M"/>
    <m/>
    <m/>
    <n v="6000"/>
    <m/>
    <n v="0"/>
    <n v="6000"/>
    <n v="4.1850304650000005"/>
    <n v="0"/>
    <n v="4.1850304650000005"/>
    <n v="0"/>
    <n v="0"/>
    <m/>
    <n v="2.0019999999999998"/>
    <n v="0"/>
    <n v="4.1850304650000005"/>
    <m/>
  </r>
  <r>
    <n v="240"/>
    <s v="Khopoli "/>
    <x v="11"/>
    <s v="NMPL"/>
    <x v="11"/>
    <e v="#REF!"/>
    <e v="#REF!"/>
    <m/>
    <x v="1"/>
    <m/>
    <x v="3"/>
    <m/>
    <m/>
    <m/>
    <m/>
    <m/>
    <x v="109"/>
    <s v="16.1-0-2-CEW-CEW-1"/>
    <n v="1"/>
    <s v="Khopoli"/>
    <n v="0"/>
    <n v="0"/>
    <m/>
    <x v="6"/>
    <x v="6"/>
    <x v="0"/>
    <x v="8"/>
    <n v="1000"/>
    <s v="M"/>
    <m/>
    <m/>
    <m/>
    <m/>
    <n v="0"/>
    <n v="0"/>
    <n v="0"/>
    <n v="0"/>
    <n v="0"/>
    <e v="#DIV/0!"/>
    <n v="0"/>
    <m/>
    <n v="0"/>
    <n v="0"/>
    <n v="0"/>
    <m/>
  </r>
  <r>
    <n v="212"/>
    <s v="Khopoli "/>
    <x v="10"/>
    <s v="NMPL"/>
    <x v="12"/>
    <n v="1931824"/>
    <s v="189226-1931824"/>
    <s v="TUB-O-N-AUT-AW-PE-17.30X1.200X6.0000"/>
    <x v="1"/>
    <m/>
    <x v="1"/>
    <s v="HR"/>
    <m/>
    <m/>
    <m/>
    <m/>
    <x v="110"/>
    <s v="17.3-0-1.2-CEW--6"/>
    <s v="#REF!"/>
    <m/>
    <m/>
    <m/>
    <m/>
    <x v="7"/>
    <x v="7"/>
    <x v="0"/>
    <x v="2"/>
    <n v="6000"/>
    <m/>
    <m/>
    <m/>
    <m/>
    <m/>
    <e v="#N/A"/>
    <e v="#N/A"/>
    <n v="0"/>
    <e v="#N/A"/>
    <e v="#N/A"/>
    <e v="#DIV/0!"/>
    <n v="0"/>
    <m/>
    <n v="0"/>
    <n v="0"/>
    <n v="0"/>
    <m/>
  </r>
  <r>
    <n v="221"/>
    <s v="Khopoli "/>
    <x v="11"/>
    <s v="NMPL"/>
    <x v="11"/>
    <n v="2439535"/>
    <s v="930801|189227-2439535"/>
    <s v="TUB-O-C-AUT-AD-FC-20.00X4.500X04-05"/>
    <x v="1"/>
    <m/>
    <x v="3"/>
    <s v="HR"/>
    <m/>
    <m/>
    <m/>
    <m/>
    <x v="111"/>
    <s v="20-12.4-4.5-CEW-CEW-1"/>
    <n v="2"/>
    <s v="Khopoli"/>
    <n v="0"/>
    <n v="0"/>
    <m/>
    <x v="24"/>
    <x v="23"/>
    <x v="18"/>
    <x v="15"/>
    <n v="1000"/>
    <s v="M"/>
    <m/>
    <m/>
    <n v="2000"/>
    <m/>
    <n v="0"/>
    <n v="2000"/>
    <n v="3.4385355000000004"/>
    <n v="0"/>
    <n v="3.4385355000000004"/>
    <n v="0"/>
    <n v="0"/>
    <m/>
    <n v="0"/>
    <n v="0"/>
    <n v="3.4385355000000004"/>
    <m/>
  </r>
  <r>
    <n v="264"/>
    <s v="Khopoli "/>
    <x v="10"/>
    <s v="NMPL"/>
    <x v="10"/>
    <n v="3228788"/>
    <s v="189226|930794-3228788"/>
    <s v="TUB-O-C-AUT-AD-FC-20.00X1.420X0.2730"/>
    <x v="1"/>
    <m/>
    <x v="3"/>
    <s v="HR"/>
    <m/>
    <m/>
    <m/>
    <m/>
    <x v="60"/>
    <s v="20-17.16-1.42-CEW-CEW-0.273"/>
    <n v="2"/>
    <s v="Khopoli"/>
    <n v="0"/>
    <n v="0"/>
    <m/>
    <x v="24"/>
    <x v="23"/>
    <x v="7"/>
    <x v="18"/>
    <n v="273"/>
    <s v="NOS"/>
    <m/>
    <m/>
    <n v="20000"/>
    <m/>
    <n v="0"/>
    <n v="20000"/>
    <n v="3.550798285943999"/>
    <n v="0"/>
    <n v="3.550798285943999"/>
    <n v="0"/>
    <n v="0"/>
    <m/>
    <n v="0"/>
    <n v="0"/>
    <n v="3.550798285943999"/>
    <m/>
  </r>
  <r>
    <n v="265"/>
    <s v="Khopoli "/>
    <x v="10"/>
    <s v="NMPL"/>
    <x v="10"/>
    <n v="2410994"/>
    <s v="189226|930794-2410994"/>
    <s v="TUB-O-C-AUT-AD-FC-21.75X3.500X04-05"/>
    <x v="1"/>
    <m/>
    <x v="3"/>
    <s v="HR"/>
    <m/>
    <m/>
    <m/>
    <m/>
    <x v="112"/>
    <s v="21.7-16.2-2.75-CEW-CEW-1"/>
    <s v="#REF!"/>
    <m/>
    <m/>
    <m/>
    <m/>
    <x v="38"/>
    <x v="38"/>
    <x v="19"/>
    <x v="24"/>
    <n v="1000"/>
    <s v="M"/>
    <m/>
    <m/>
    <m/>
    <m/>
    <n v="0"/>
    <n v="0"/>
    <n v="0"/>
    <n v="0"/>
    <n v="0"/>
    <e v="#DIV/0!"/>
    <n v="0"/>
    <m/>
    <n v="1.8677429999999999"/>
    <n v="0"/>
    <n v="0"/>
    <m/>
  </r>
  <r>
    <n v="266"/>
    <s v="Khopoli "/>
    <x v="10"/>
    <s v="NMPL"/>
    <x v="10"/>
    <n v="2410994"/>
    <s v="189226|930794-2410994"/>
    <s v="TUB-O-C-AUT-AD-FC-21.75X3.500X04-05"/>
    <x v="1"/>
    <m/>
    <x v="3"/>
    <m/>
    <m/>
    <m/>
    <m/>
    <m/>
    <x v="113"/>
    <s v="21.75-0-3.5-CEW-CEW-1"/>
    <s v="#REF!"/>
    <m/>
    <m/>
    <m/>
    <m/>
    <x v="33"/>
    <x v="31"/>
    <x v="0"/>
    <x v="17"/>
    <n v="1000"/>
    <s v="M"/>
    <m/>
    <m/>
    <m/>
    <m/>
    <n v="0"/>
    <n v="0"/>
    <n v="0"/>
    <n v="0"/>
    <n v="0"/>
    <e v="#DIV/0!"/>
    <n v="0"/>
    <m/>
    <n v="0"/>
    <n v="0"/>
    <n v="0"/>
    <m/>
  </r>
  <r>
    <n v="275"/>
    <s v="Khopoli "/>
    <x v="10"/>
    <s v="NMPL"/>
    <x v="10"/>
    <n v="2410997"/>
    <s v="189226|930794-2410997"/>
    <s v="TUB-O-C-AUT-AD-FC-25.40X3.200X04-05"/>
    <x v="1"/>
    <m/>
    <x v="3"/>
    <s v="HR"/>
    <m/>
    <m/>
    <m/>
    <m/>
    <x v="114"/>
    <s v="25.4-19-3.2-CEW-CEW-1"/>
    <s v="#REF!"/>
    <m/>
    <m/>
    <m/>
    <m/>
    <x v="3"/>
    <x v="3"/>
    <x v="11"/>
    <x v="13"/>
    <n v="1000"/>
    <s v="M"/>
    <m/>
    <m/>
    <m/>
    <m/>
    <n v="0"/>
    <n v="0"/>
    <n v="0"/>
    <n v="0"/>
    <n v="0"/>
    <e v="#DIV/0!"/>
    <n v="0"/>
    <m/>
    <n v="0.19838500000000001"/>
    <n v="0"/>
    <n v="0"/>
    <m/>
  </r>
  <r>
    <n v="231"/>
    <s v="Khopoli "/>
    <x v="11"/>
    <s v="NMPL"/>
    <x v="11"/>
    <n v="2410997"/>
    <s v="930801|189227-2410997"/>
    <s v="TUB-O-C-AUT-AD-FC-25.40X3.200X04-05"/>
    <x v="1"/>
    <m/>
    <x v="3"/>
    <s v="HR"/>
    <m/>
    <m/>
    <m/>
    <m/>
    <x v="114"/>
    <s v="25.4-19-3.2-CEW-CEW-1"/>
    <n v="3"/>
    <s v="Khopoli"/>
    <n v="0.19838500000000001"/>
    <n v="0"/>
    <m/>
    <x v="3"/>
    <x v="3"/>
    <x v="11"/>
    <x v="13"/>
    <n v="1000"/>
    <s v="M"/>
    <m/>
    <m/>
    <n v="2000"/>
    <m/>
    <n v="2399.9999999999995"/>
    <n v="-399.99999999999955"/>
    <n v="3.5021299199999998"/>
    <n v="4.2025559039999987"/>
    <n v="-0.70042598399999889"/>
    <n v="0"/>
    <n v="0"/>
    <m/>
    <n v="0.19838500000000001"/>
    <n v="0"/>
    <n v="3.5021299199999998"/>
    <m/>
  </r>
  <r>
    <n v="278"/>
    <s v="Khopoli "/>
    <x v="10"/>
    <s v="NMPL"/>
    <x v="10"/>
    <n v="2412748"/>
    <s v="189226|930794-2412748"/>
    <s v="TUB-O-C-AUT-AD-FC-33.30X2.000X4.3000"/>
    <x v="1"/>
    <m/>
    <x v="1"/>
    <s v="HR"/>
    <m/>
    <m/>
    <m/>
    <m/>
    <x v="115"/>
    <s v="0.0960109875294564-0-2-CEW--4.3"/>
    <s v="#REF!"/>
    <m/>
    <m/>
    <m/>
    <m/>
    <x v="39"/>
    <x v="39"/>
    <x v="0"/>
    <x v="8"/>
    <n v="4300"/>
    <m/>
    <m/>
    <m/>
    <m/>
    <m/>
    <e v="#N/A"/>
    <e v="#N/A"/>
    <n v="0"/>
    <e v="#N/A"/>
    <e v="#N/A"/>
    <e v="#DIV/0!"/>
    <n v="0"/>
    <m/>
    <n v="0"/>
    <n v="0"/>
    <n v="0"/>
    <m/>
  </r>
  <r>
    <n v="233"/>
    <s v="Hosur"/>
    <x v="11"/>
    <s v="NMPL"/>
    <x v="11"/>
    <n v="2410993"/>
    <s v="930801|189227-2410993"/>
    <s v="TUB-O-C-AUT-AD-FC-33.30X2.000X04-05"/>
    <x v="1"/>
    <m/>
    <x v="1"/>
    <s v="HR"/>
    <m/>
    <m/>
    <m/>
    <m/>
    <x v="116"/>
    <s v="2.29999955264502-29.3-2-CEW--4.5"/>
    <s v="#REF!"/>
    <m/>
    <m/>
    <m/>
    <m/>
    <x v="39"/>
    <x v="40"/>
    <x v="20"/>
    <x v="8"/>
    <n v="4500"/>
    <m/>
    <m/>
    <m/>
    <m/>
    <m/>
    <e v="#N/A"/>
    <e v="#N/A"/>
    <n v="0"/>
    <e v="#N/A"/>
    <e v="#N/A"/>
    <e v="#DIV/0!"/>
    <n v="0"/>
    <m/>
    <n v="0"/>
    <n v="0"/>
    <n v="0"/>
    <m/>
  </r>
  <r>
    <n v="234"/>
    <s v="Hosur"/>
    <x v="11"/>
    <s v="NMPL"/>
    <x v="11"/>
    <n v="238413"/>
    <s v="930801|189227-238413"/>
    <m/>
    <x v="1"/>
    <m/>
    <x v="3"/>
    <s v="HR"/>
    <m/>
    <m/>
    <m/>
    <m/>
    <x v="117"/>
    <s v="37.95-32-2.95-CEW-CEW-0.94"/>
    <s v="#REF!"/>
    <m/>
    <m/>
    <m/>
    <m/>
    <x v="40"/>
    <x v="41"/>
    <x v="21"/>
    <x v="4"/>
    <n v="940"/>
    <s v="NOS"/>
    <m/>
    <m/>
    <m/>
    <m/>
    <n v="0"/>
    <n v="0"/>
    <n v="0"/>
    <n v="0"/>
    <n v="0"/>
    <e v="#DIV/0!"/>
    <n v="0"/>
    <m/>
    <n v="27.475125999999996"/>
    <n v="0"/>
    <n v="0"/>
    <m/>
  </r>
  <r>
    <n v="249"/>
    <m/>
    <x v="10"/>
    <s v="NMPL"/>
    <x v="10"/>
    <n v="238413"/>
    <s v="189226|930794-238413"/>
    <s v="TUB-I-C-AUT-AD-PE-32.00X2.950X0.940"/>
    <x v="1"/>
    <m/>
    <x v="3"/>
    <m/>
    <m/>
    <m/>
    <m/>
    <m/>
    <x v="117"/>
    <s v="37.95-32-2.95-CEW-CEW-0.94"/>
    <s v="#REF!"/>
    <s v="Khopoli"/>
    <m/>
    <m/>
    <m/>
    <x v="40"/>
    <x v="41"/>
    <x v="21"/>
    <x v="4"/>
    <n v="940"/>
    <s v="NOS"/>
    <m/>
    <m/>
    <m/>
    <m/>
    <n v="0"/>
    <n v="0"/>
    <n v="0"/>
    <n v="0"/>
    <n v="0"/>
    <e v="#DIV/0!"/>
    <n v="0"/>
    <m/>
    <n v="27.475125999999996"/>
    <n v="0"/>
    <n v="0"/>
    <m/>
  </r>
  <r>
    <n v="280"/>
    <s v="JSR"/>
    <x v="11"/>
    <s v="NMPL"/>
    <x v="11"/>
    <n v="238413"/>
    <s v="930801|189227-238413"/>
    <s v="TUB-I-C-AUT-AD-PE-32.00X2.950X0.940"/>
    <x v="1"/>
    <m/>
    <x v="3"/>
    <s v="HR"/>
    <m/>
    <m/>
    <m/>
    <m/>
    <x v="117"/>
    <s v="37.95-32-2.95-CEW-CEW-1"/>
    <n v="1"/>
    <s v="Khopoli"/>
    <n v="14.742126000000001"/>
    <n v="0"/>
    <m/>
    <x v="40"/>
    <x v="41"/>
    <x v="21"/>
    <x v="4"/>
    <n v="1000"/>
    <s v="M"/>
    <m/>
    <m/>
    <n v="3000"/>
    <m/>
    <n v="0"/>
    <n v="3000"/>
    <n v="7.6350277500000017"/>
    <n v="0"/>
    <n v="7.6350277500000017"/>
    <n v="0"/>
    <n v="0"/>
    <m/>
    <n v="27.475125999999996"/>
    <n v="0"/>
    <n v="7.6350277500000017"/>
    <m/>
  </r>
  <r>
    <n v="247"/>
    <s v="Hosur"/>
    <x v="10"/>
    <s v="NMPL"/>
    <x v="10"/>
    <n v="1939991"/>
    <s v="189226|930794-1939991"/>
    <s v="TUB-O-O-AUT-AW-PE-12.70X1.600X0.1450"/>
    <x v="0"/>
    <m/>
    <x v="0"/>
    <s v="CR"/>
    <s v="WG"/>
    <m/>
    <m/>
    <m/>
    <x v="0"/>
    <s v="12.7-0-1.6-ERW 1-PE-0.145"/>
    <n v="1"/>
    <s v="Hosur"/>
    <n v="0"/>
    <n v="0"/>
    <m/>
    <x v="0"/>
    <x v="0"/>
    <x v="0"/>
    <x v="0"/>
    <n v="145"/>
    <s v="NOS"/>
    <m/>
    <m/>
    <n v="15000"/>
    <m/>
    <n v="0"/>
    <n v="15000"/>
    <n v="0.95214157200000005"/>
    <n v="0"/>
    <n v="0.95214157200000005"/>
    <n v="0"/>
    <n v="0"/>
    <m/>
    <n v="6.5656999999999993E-2"/>
    <n v="8.9860000000000007"/>
    <n v="0.95214157200000005"/>
    <m/>
  </r>
  <r>
    <n v="248"/>
    <s v="Hosur"/>
    <x v="11"/>
    <s v="NMPL"/>
    <x v="10"/>
    <n v="1931237"/>
    <s v="189226|930794-1931237"/>
    <s v="TUB-O-N-GEN-AW-PE-12.70X2.000X5.0500"/>
    <x v="0"/>
    <m/>
    <x v="0"/>
    <s v="HR"/>
    <m/>
    <m/>
    <m/>
    <m/>
    <x v="118"/>
    <s v="12.7-0-2-ERW 1-PE-1"/>
    <s v="#REF!"/>
    <m/>
    <n v="0"/>
    <n v="0"/>
    <m/>
    <x v="0"/>
    <x v="0"/>
    <x v="0"/>
    <x v="8"/>
    <n v="1000"/>
    <s v="M"/>
    <m/>
    <m/>
    <m/>
    <m/>
    <n v="0"/>
    <n v="0"/>
    <n v="0"/>
    <n v="0"/>
    <n v="0"/>
    <e v="#DIV/0!"/>
    <n v="0"/>
    <m/>
    <n v="0"/>
    <n v="0"/>
    <n v="0"/>
    <m/>
  </r>
  <r>
    <n v="216"/>
    <s v="Hosur"/>
    <x v="11"/>
    <s v="NMPL"/>
    <x v="11"/>
    <n v="1940019"/>
    <s v="930801|189227-1940019"/>
    <s v="TUB-O-O-GEN-AW-PE-15.88X1.000X0.1400"/>
    <x v="0"/>
    <m/>
    <x v="0"/>
    <s v="CR"/>
    <m/>
    <m/>
    <m/>
    <m/>
    <x v="77"/>
    <s v="15.88-0-1-ERW 1-PE-0.14"/>
    <n v="1"/>
    <s v="Hosur"/>
    <n v="0"/>
    <n v="0"/>
    <m/>
    <x v="1"/>
    <x v="1"/>
    <x v="0"/>
    <x v="1"/>
    <n v="140"/>
    <s v="NOS"/>
    <m/>
    <m/>
    <n v="6000"/>
    <m/>
    <n v="0"/>
    <n v="6000"/>
    <n v="0.30809278080000002"/>
    <n v="0"/>
    <n v="0.30809278080000002"/>
    <n v="0"/>
    <n v="0"/>
    <m/>
    <n v="0.17899999999999999"/>
    <n v="0"/>
    <n v="0.30809278080000002"/>
    <m/>
  </r>
  <r>
    <m/>
    <s v="Hosur"/>
    <x v="10"/>
    <s v="NMPL"/>
    <x v="10"/>
    <m/>
    <s v="189226|930794-"/>
    <m/>
    <x v="0"/>
    <m/>
    <x v="0"/>
    <s v="CR"/>
    <m/>
    <m/>
    <m/>
    <m/>
    <x v="77"/>
    <s v="15.88-0-1-ERW 1-PE-0.592"/>
    <n v="1"/>
    <s v="Hosur"/>
    <n v="0"/>
    <n v="0"/>
    <m/>
    <x v="1"/>
    <x v="1"/>
    <x v="0"/>
    <x v="1"/>
    <n v="592"/>
    <s v="NOS"/>
    <m/>
    <m/>
    <n v="1000"/>
    <m/>
    <n v="0"/>
    <n v="1000"/>
    <n v="0.21713205503999999"/>
    <n v="0"/>
    <n v="0.21713205503999999"/>
    <n v="0"/>
    <n v="0"/>
    <m/>
    <n v="0.17899999999999999"/>
    <n v="0"/>
    <n v="0.21713205503999999"/>
    <m/>
  </r>
  <r>
    <n v="251"/>
    <s v="Hosur"/>
    <x v="10"/>
    <s v="NMPL"/>
    <x v="10"/>
    <n v="1941845"/>
    <s v="189226|930794-1941845"/>
    <s v="TUB-E-O-AUT-AW-FC-15.88X1.000X1.2340"/>
    <x v="0"/>
    <m/>
    <x v="0"/>
    <s v="HR"/>
    <m/>
    <m/>
    <m/>
    <m/>
    <x v="77"/>
    <s v="15.88-0-1-ERW 1-PE-1.234"/>
    <n v="1"/>
    <s v="Hosur"/>
    <n v="0"/>
    <n v="0"/>
    <m/>
    <x v="1"/>
    <x v="1"/>
    <x v="0"/>
    <x v="1"/>
    <n v="1234"/>
    <s v="NOS"/>
    <m/>
    <m/>
    <n v="10000"/>
    <m/>
    <n v="7625"/>
    <n v="2375"/>
    <n v="4.5260296608000008"/>
    <n v="3.4510976163600002"/>
    <n v="1.0749320444400006"/>
    <n v="615.80683488215459"/>
    <n v="0.27871600000000002"/>
    <m/>
    <n v="0.17899999999999999"/>
    <n v="0"/>
    <n v="4.2473136608000006"/>
    <m/>
  </r>
  <r>
    <n v="252"/>
    <s v="Hosur"/>
    <x v="10"/>
    <s v="NMPL"/>
    <x v="10"/>
    <n v="1941846"/>
    <s v="189226|930794-1941846"/>
    <s v="TUB-E-O-AUT-AW-FC-15.88X1.000X1.6030"/>
    <x v="0"/>
    <m/>
    <x v="0"/>
    <s v="HR"/>
    <m/>
    <m/>
    <m/>
    <m/>
    <x v="77"/>
    <s v="15.88-0-1-ERW 1-PE-1.603"/>
    <n v="2"/>
    <s v="Hosur"/>
    <n v="0"/>
    <n v="0"/>
    <m/>
    <x v="1"/>
    <x v="1"/>
    <x v="0"/>
    <x v="1"/>
    <n v="1603"/>
    <s v="NOS"/>
    <m/>
    <m/>
    <n v="4000"/>
    <m/>
    <n v="0"/>
    <n v="4000"/>
    <n v="2.3517748934399996"/>
    <n v="0"/>
    <n v="2.3517748934399996"/>
    <n v="2569.8105787496743"/>
    <n v="1.5109039999999998"/>
    <m/>
    <n v="0.17899999999999999"/>
    <n v="0"/>
    <n v="0.84087089343999977"/>
    <m/>
  </r>
  <r>
    <n v="253"/>
    <s v="Hosur"/>
    <x v="10"/>
    <s v="NMPL"/>
    <x v="10"/>
    <n v="1941847"/>
    <s v="189226|930794-1941847"/>
    <s v="TUB-E-O-AUT-AW-FC-15.88X1.000X2.1850"/>
    <x v="0"/>
    <m/>
    <x v="0"/>
    <s v="HR"/>
    <m/>
    <m/>
    <m/>
    <m/>
    <x v="77"/>
    <s v="15.88-0-1-ERW 1-PE-2.185"/>
    <n v="2"/>
    <s v="Hosur"/>
    <n v="0"/>
    <n v="0"/>
    <m/>
    <x v="1"/>
    <x v="1"/>
    <x v="0"/>
    <x v="1"/>
    <n v="2185"/>
    <s v="NOS"/>
    <m/>
    <m/>
    <n v="2000"/>
    <m/>
    <n v="0"/>
    <n v="2000"/>
    <n v="1.6028160143999999"/>
    <n v="0"/>
    <n v="1.6028160143999999"/>
    <n v="4296.2186165688709"/>
    <n v="3.4430239999999999"/>
    <m/>
    <n v="0.17899999999999999"/>
    <n v="0"/>
    <n v="-1.8402079856"/>
    <m/>
  </r>
  <r>
    <n v="254"/>
    <s v="Hosur"/>
    <x v="10"/>
    <s v="NMPL"/>
    <x v="10"/>
    <n v="1941848"/>
    <s v="189226|930794-1941848"/>
    <s v="TUB-E-O-AUT-AW-FC-15.88X1.000X2.4900"/>
    <x v="0"/>
    <m/>
    <x v="0"/>
    <s v="HR"/>
    <m/>
    <m/>
    <m/>
    <m/>
    <x v="77"/>
    <s v="15.88-0-1-ERW 1-PE-2.49"/>
    <n v="1"/>
    <s v="Hosur"/>
    <n v="0"/>
    <n v="0"/>
    <m/>
    <x v="1"/>
    <x v="1"/>
    <x v="0"/>
    <x v="1"/>
    <n v="2490"/>
    <s v="NOS"/>
    <m/>
    <m/>
    <n v="2000"/>
    <m/>
    <n v="0"/>
    <n v="2000"/>
    <n v="1.8265500576000002"/>
    <n v="0"/>
    <n v="1.8265500576000002"/>
    <n v="2835.8335860808547"/>
    <n v="2.589896"/>
    <m/>
    <n v="0.17899999999999999"/>
    <n v="0"/>
    <n v="-0.76334594239999976"/>
    <m/>
  </r>
  <r>
    <n v="255"/>
    <s v="Hosur"/>
    <x v="10"/>
    <s v="NMPL"/>
    <x v="10"/>
    <n v="3541434"/>
    <s v="189226|930794-3541434"/>
    <s v="TUB-O-N-AUT-AW-PE-15.88X1.000X2.9050"/>
    <x v="0"/>
    <m/>
    <x v="0"/>
    <s v="CR"/>
    <m/>
    <m/>
    <m/>
    <m/>
    <x v="77"/>
    <s v="15.88-0-1-ERW 1-PE-2.905"/>
    <n v="1"/>
    <s v="Hosur"/>
    <n v="0"/>
    <n v="0"/>
    <m/>
    <x v="1"/>
    <x v="1"/>
    <x v="0"/>
    <x v="1"/>
    <n v="2905"/>
    <s v="NOS"/>
    <m/>
    <m/>
    <n v="3000"/>
    <m/>
    <n v="1800"/>
    <n v="1200"/>
    <n v="3.1964626007999999"/>
    <n v="1.91787756048"/>
    <n v="1.2785850403199999"/>
    <n v="1388.5202344895836"/>
    <n v="1.4794510000000001"/>
    <m/>
    <n v="0.17899999999999999"/>
    <n v="0"/>
    <n v="1.7170116007999998"/>
    <m/>
  </r>
  <r>
    <m/>
    <s v="Khopli"/>
    <x v="11"/>
    <s v="NMPL"/>
    <x v="11"/>
    <n v="1938195"/>
    <s v="930801|189227-1938195"/>
    <s v="TUB-O-N-AUT-AW-PE-17.30X1.200X0.1500"/>
    <x v="0"/>
    <m/>
    <x v="0"/>
    <s v="CR"/>
    <m/>
    <m/>
    <m/>
    <m/>
    <x v="119"/>
    <s v="17.3-0-1.2-ERW 1-PE-0.15"/>
    <n v="2"/>
    <s v="Khopoli"/>
    <n v="3.29942"/>
    <m/>
    <m/>
    <x v="7"/>
    <x v="7"/>
    <x v="0"/>
    <x v="2"/>
    <n v="150"/>
    <s v="NOS"/>
    <m/>
    <m/>
    <n v="15200"/>
    <m/>
    <n v="8000"/>
    <n v="7200"/>
    <n v="1.0857785904000001"/>
    <n v="0.57146241600000014"/>
    <n v="0.51431617439999999"/>
    <n v="0"/>
    <n v="0"/>
    <m/>
    <n v="4.49552"/>
    <n v="0"/>
    <n v="1.0857785904000001"/>
    <m/>
  </r>
  <r>
    <n v="217"/>
    <s v="Khopoli "/>
    <x v="10"/>
    <s v="NMPL"/>
    <x v="11"/>
    <n v="1938195"/>
    <s v="930801|189227-1938195"/>
    <s v="TUB-O-N-AUT-AW-PE-17.30X1.200X0.1500"/>
    <x v="0"/>
    <m/>
    <x v="0"/>
    <s v="CR"/>
    <m/>
    <m/>
    <m/>
    <m/>
    <x v="119"/>
    <s v="17.3-0-1.2-ERW 1-PE-0.15"/>
    <n v="2"/>
    <s v="Khopoli"/>
    <n v="3.29942"/>
    <n v="1.1960999999999999"/>
    <m/>
    <x v="7"/>
    <x v="7"/>
    <x v="0"/>
    <x v="2"/>
    <n v="150"/>
    <s v="NOS"/>
    <m/>
    <m/>
    <n v="5000"/>
    <m/>
    <n v="8000"/>
    <n v="-3000"/>
    <n v="0.35716401000000009"/>
    <n v="0.57146241600000014"/>
    <n v="-0.21429840600000005"/>
    <n v="0"/>
    <n v="0"/>
    <m/>
    <n v="4.49552"/>
    <n v="0"/>
    <n v="0.35716401000000009"/>
    <m/>
  </r>
  <r>
    <n v="218"/>
    <s v="Khopoli "/>
    <x v="11"/>
    <s v="NMPL"/>
    <x v="11"/>
    <n v="1938116"/>
    <s v="930801|189227-1938116"/>
    <s v="TUB-O-N-GEN-AW-PE-18.20X1.000X0.1100"/>
    <x v="0"/>
    <m/>
    <x v="0"/>
    <s v="CR"/>
    <m/>
    <m/>
    <m/>
    <m/>
    <x v="120"/>
    <s v="18.2-0-1-ERW 1-PE-0.11"/>
    <n v="2"/>
    <s v="Khopoli"/>
    <n v="0.18590300000000004"/>
    <n v="0"/>
    <m/>
    <x v="41"/>
    <x v="42"/>
    <x v="0"/>
    <x v="1"/>
    <n v="110"/>
    <s v="NOS"/>
    <m/>
    <m/>
    <n v="40000"/>
    <m/>
    <n v="0"/>
    <n v="40000"/>
    <n v="1.8654363199999997"/>
    <n v="0"/>
    <n v="1.8654363199999997"/>
    <n v="0"/>
    <n v="0"/>
    <m/>
    <n v="0.18590300000000001"/>
    <n v="0"/>
    <n v="1.8654363199999997"/>
    <m/>
  </r>
  <r>
    <n v="256"/>
    <s v="Khopoli "/>
    <x v="10"/>
    <s v="NMPL"/>
    <x v="10"/>
    <n v="1938116"/>
    <s v="189226|930794-1938116"/>
    <s v="TUB-O-N-GEN-AW-PE-18.20X1.000X0.1100"/>
    <x v="0"/>
    <m/>
    <x v="0"/>
    <s v="CR"/>
    <m/>
    <m/>
    <m/>
    <m/>
    <x v="120"/>
    <s v="18.2-0-1-ERW 1-PE-0.11"/>
    <n v="2"/>
    <s v="Khopoli"/>
    <n v="0.18590300000000004"/>
    <n v="0"/>
    <m/>
    <x v="41"/>
    <x v="42"/>
    <x v="0"/>
    <x v="1"/>
    <n v="110"/>
    <s v="NOS"/>
    <m/>
    <m/>
    <n v="5000"/>
    <m/>
    <n v="0"/>
    <n v="5000"/>
    <n v="0.23317953999999996"/>
    <n v="0"/>
    <n v="0.23317953999999996"/>
    <n v="0"/>
    <n v="0"/>
    <m/>
    <n v="0.18590300000000001"/>
    <n v="0"/>
    <n v="0.23317953999999996"/>
    <m/>
  </r>
  <r>
    <n v="219"/>
    <s v="Khopoli "/>
    <x v="10"/>
    <s v="NMPL"/>
    <x v="11"/>
    <n v="1938117"/>
    <s v="930801|189227-1938117"/>
    <s v="TUB-O-N-GEN-AW-PE-18.20X1.000X0.1450"/>
    <x v="0"/>
    <m/>
    <x v="0"/>
    <s v="CR"/>
    <m/>
    <m/>
    <m/>
    <m/>
    <x v="120"/>
    <s v="18.2-0-1-ERW 1-PE-0.145"/>
    <n v="2"/>
    <s v="Khopoli"/>
    <n v="0.18590300000000004"/>
    <n v="0"/>
    <m/>
    <x v="41"/>
    <x v="42"/>
    <x v="0"/>
    <x v="1"/>
    <n v="145"/>
    <s v="NOS"/>
    <m/>
    <m/>
    <n v="5000"/>
    <m/>
    <n v="0"/>
    <n v="5000"/>
    <n v="0.30737303000000005"/>
    <n v="0"/>
    <n v="0.30737303000000005"/>
    <n v="0"/>
    <n v="0"/>
    <m/>
    <n v="0.18590300000000001"/>
    <n v="0"/>
    <n v="0.30737303000000005"/>
    <m/>
  </r>
  <r>
    <m/>
    <s v="Khopoli "/>
    <x v="11"/>
    <s v="NMPL"/>
    <x v="11"/>
    <n v="1938117"/>
    <s v="930801|189227-1938117"/>
    <s v="TUB-O-N-GEN-AW-PE-18.20X1.000X0.1450"/>
    <x v="0"/>
    <m/>
    <x v="0"/>
    <s v="CR"/>
    <m/>
    <m/>
    <m/>
    <m/>
    <x v="120"/>
    <s v="18.2-0-1-ERW 1-PE-0.145"/>
    <n v="2"/>
    <s v="Khopoli"/>
    <n v="0.18590300000000004"/>
    <n v="0"/>
    <m/>
    <x v="41"/>
    <x v="42"/>
    <x v="0"/>
    <x v="1"/>
    <n v="145"/>
    <s v="NOS"/>
    <m/>
    <m/>
    <n v="24000"/>
    <m/>
    <n v="0"/>
    <n v="24000"/>
    <n v="1.4753905440000001"/>
    <n v="0"/>
    <n v="1.4753905440000001"/>
    <n v="0"/>
    <n v="0"/>
    <m/>
    <n v="0.18590300000000001"/>
    <n v="0"/>
    <n v="1.4753905440000001"/>
    <m/>
  </r>
  <r>
    <n v="257"/>
    <s v="Hosur"/>
    <x v="10"/>
    <s v="NMPL"/>
    <x v="10"/>
    <n v="3518158"/>
    <s v="189226|930794-3518158"/>
    <s v="TUB-O-N-AUT-AW-PE-19.05X1.020X1.0950"/>
    <x v="0"/>
    <m/>
    <x v="0"/>
    <s v="CR"/>
    <m/>
    <m/>
    <m/>
    <m/>
    <x v="3"/>
    <s v="19.05-0-1-ERW 1-PE-1.095"/>
    <n v="1"/>
    <s v="Hosur"/>
    <n v="0"/>
    <n v="0"/>
    <m/>
    <x v="2"/>
    <x v="2"/>
    <x v="0"/>
    <x v="1"/>
    <n v="1095"/>
    <s v="NOS"/>
    <m/>
    <m/>
    <n v="4000"/>
    <m/>
    <n v="0"/>
    <n v="4000"/>
    <n v="1.9487252910000001"/>
    <n v="0"/>
    <n v="1.9487252910000001"/>
    <n v="143.6836691621713"/>
    <n v="7.0000000000000007E-2"/>
    <m/>
    <n v="0"/>
    <n v="18.324000000000002"/>
    <n v="1.8787252910000001"/>
    <m/>
  </r>
  <r>
    <m/>
    <s v="Hosur"/>
    <x v="10"/>
    <s v="NMPL"/>
    <x v="10"/>
    <m/>
    <s v="189226|930794-"/>
    <m/>
    <x v="0"/>
    <m/>
    <x v="0"/>
    <m/>
    <m/>
    <m/>
    <m/>
    <m/>
    <x v="4"/>
    <s v="19.05-0-1.2-ERW 1-PE-0.258"/>
    <m/>
    <m/>
    <n v="0"/>
    <n v="0"/>
    <m/>
    <x v="2"/>
    <x v="2"/>
    <x v="0"/>
    <x v="2"/>
    <n v="258"/>
    <s v="NOS"/>
    <m/>
    <m/>
    <n v="2500"/>
    <m/>
    <n v="0"/>
    <n v="2500"/>
    <n v="0.34054811909999999"/>
    <n v="0"/>
    <n v="0.34054811909999999"/>
    <n v="0"/>
    <n v="0"/>
    <m/>
    <n v="0"/>
    <n v="20.588000000000001"/>
    <n v="0.34054811909999999"/>
    <m/>
  </r>
  <r>
    <n v="258"/>
    <s v="Hosur"/>
    <x v="10"/>
    <s v="NMPL"/>
    <x v="10"/>
    <n v="1940188"/>
    <s v="189226|930794-1940188"/>
    <s v="TUB-O-O-AUT-AW-PE-19.05X1.200X0.6310"/>
    <x v="0"/>
    <m/>
    <x v="0"/>
    <s v="HR"/>
    <m/>
    <m/>
    <m/>
    <m/>
    <x v="4"/>
    <s v="19.05-0-1.2-ERW 1-PE-0.631"/>
    <n v="1"/>
    <s v="Hosur"/>
    <n v="0"/>
    <n v="0"/>
    <m/>
    <x v="2"/>
    <x v="2"/>
    <x v="0"/>
    <x v="2"/>
    <n v="631"/>
    <s v="NOS"/>
    <m/>
    <m/>
    <n v="12000"/>
    <m/>
    <n v="0"/>
    <n v="12000"/>
    <n v="3.99787652376"/>
    <n v="0"/>
    <n v="3.99787652376"/>
    <n v="8701.6194205222509"/>
    <n v="2.899"/>
    <m/>
    <n v="0"/>
    <n v="20.588000000000001"/>
    <n v="1.09887652376"/>
    <m/>
  </r>
  <r>
    <n v="259"/>
    <s v="Hosur"/>
    <x v="10"/>
    <s v="NMPL"/>
    <x v="10"/>
    <n v="1940189"/>
    <s v="189226|930794-1940189"/>
    <s v="TUB-O-O-AUT-AW-PE-19.05X1.200X0.6800"/>
    <x v="0"/>
    <m/>
    <x v="0"/>
    <s v="CR"/>
    <m/>
    <m/>
    <m/>
    <m/>
    <x v="4"/>
    <s v="19.05-0-1.2-ERW 1-PE-0.68"/>
    <n v="1"/>
    <s v="Hosur"/>
    <n v="0"/>
    <n v="0"/>
    <m/>
    <x v="2"/>
    <x v="2"/>
    <x v="0"/>
    <x v="2"/>
    <n v="680"/>
    <s v="NOS"/>
    <m/>
    <m/>
    <n v="6000"/>
    <m/>
    <n v="0"/>
    <n v="6000"/>
    <n v="2.1541648464000001"/>
    <n v="0"/>
    <n v="2.1541648464000001"/>
    <n v="9829.2895436416766"/>
    <n v="3.528985"/>
    <m/>
    <n v="0"/>
    <n v="20.588000000000001"/>
    <n v="-1.3748201536"/>
    <m/>
  </r>
  <r>
    <m/>
    <s v="Hosur"/>
    <x v="10"/>
    <s v="NMPL"/>
    <x v="10"/>
    <m/>
    <s v="189226|930794-"/>
    <m/>
    <x v="0"/>
    <m/>
    <x v="0"/>
    <m/>
    <m/>
    <m/>
    <m/>
    <m/>
    <x v="4"/>
    <s v="19.05-0-1.2-ERW 1-PE-1.615"/>
    <m/>
    <m/>
    <n v="0"/>
    <n v="0"/>
    <m/>
    <x v="2"/>
    <x v="2"/>
    <x v="0"/>
    <x v="2"/>
    <n v="1615"/>
    <s v="NOS"/>
    <m/>
    <m/>
    <n v="500"/>
    <m/>
    <n v="0"/>
    <n v="500"/>
    <n v="0.42634512585000001"/>
    <n v="0"/>
    <n v="0.42634512585000001"/>
    <n v="0"/>
    <n v="0"/>
    <m/>
    <n v="0"/>
    <n v="20.588000000000001"/>
    <n v="0.42634512585000001"/>
    <m/>
  </r>
  <r>
    <n v="260"/>
    <s v="Hosur"/>
    <x v="10"/>
    <s v="NMPL"/>
    <x v="10"/>
    <n v="236341"/>
    <s v="189226|930794-236341"/>
    <s v="TUB-O-N-AUT-AW-PE-19.05X1.600X0.610"/>
    <x v="0"/>
    <m/>
    <x v="0"/>
    <s v="HR"/>
    <m/>
    <m/>
    <m/>
    <m/>
    <x v="85"/>
    <s v="19.05-0-1.6-ERW 1-PE-0.61"/>
    <n v="1"/>
    <s v="Hosur"/>
    <n v="0"/>
    <n v="0"/>
    <m/>
    <x v="2"/>
    <x v="2"/>
    <x v="0"/>
    <x v="0"/>
    <n v="610"/>
    <s v="NOS"/>
    <m/>
    <m/>
    <n v="2000"/>
    <m/>
    <n v="0"/>
    <n v="2000"/>
    <n v="0.83960409759999988"/>
    <n v="0"/>
    <n v="0.83960409759999988"/>
    <n v="72.126851420930961"/>
    <n v="3.0279E-2"/>
    <m/>
    <n v="0"/>
    <n v="2.8860000000000001"/>
    <n v="0.80932509759999993"/>
    <m/>
  </r>
  <r>
    <n v="261"/>
    <s v="Hosur"/>
    <x v="10"/>
    <s v="NMPL"/>
    <x v="10"/>
    <n v="235953"/>
    <s v="189226|930794-235953"/>
    <s v="TUB-O-N-AUT-AW-PE-19.05X1.60X5.475-ERW 1"/>
    <x v="0"/>
    <m/>
    <x v="1"/>
    <s v="HR"/>
    <m/>
    <m/>
    <m/>
    <m/>
    <x v="121"/>
    <s v="19.05-0-1.6-ERW 1--5.475"/>
    <s v="#REF!"/>
    <m/>
    <m/>
    <m/>
    <m/>
    <x v="2"/>
    <x v="2"/>
    <x v="0"/>
    <x v="0"/>
    <n v="5475"/>
    <s v="M"/>
    <m/>
    <m/>
    <m/>
    <m/>
    <n v="0"/>
    <n v="0"/>
    <n v="0"/>
    <n v="0"/>
    <n v="0"/>
    <e v="#DIV/0!"/>
    <n v="0"/>
    <m/>
    <n v="0"/>
    <n v="0"/>
    <n v="0"/>
    <m/>
  </r>
  <r>
    <n v="262"/>
    <s v="Hosur"/>
    <x v="10"/>
    <s v="NMPL"/>
    <x v="10"/>
    <n v="1940318"/>
    <s v="189226|930794-1940318"/>
    <s v="TUB-O-O-AUT-AW-PE-19.05X2.300X0.3940"/>
    <x v="0"/>
    <m/>
    <x v="0"/>
    <s v="HR"/>
    <m/>
    <m/>
    <m/>
    <m/>
    <x v="19"/>
    <s v="19.05-0-2.3-ERW 1-PE-0.394"/>
    <n v="1"/>
    <s v="Hosur"/>
    <n v="28.357190999999986"/>
    <n v="41.353166999999999"/>
    <m/>
    <x v="2"/>
    <x v="2"/>
    <x v="0"/>
    <x v="9"/>
    <n v="394"/>
    <s v="NOS"/>
    <m/>
    <m/>
    <n v="10000"/>
    <m/>
    <n v="19190"/>
    <n v="-9190"/>
    <n v="3.7414347365"/>
    <n v="7.1798132593435007"/>
    <n v="-3.4383785228435007"/>
    <n v="7.7617283329031279"/>
    <n v="2.9039999999999999E-3"/>
    <m/>
    <n v="79.222118000000009"/>
    <n v="6.0149999999999997"/>
    <n v="3.7385307365"/>
    <m/>
  </r>
  <r>
    <n v="222"/>
    <s v="Hosur"/>
    <x v="11"/>
    <s v="NMPL"/>
    <x v="11"/>
    <n v="1940357"/>
    <s v="930801|189227-1940357"/>
    <s v="TUB-O-O-AUT-AW-PE-22.23X1.200X0.1400"/>
    <x v="0"/>
    <m/>
    <x v="0"/>
    <s v="CR"/>
    <m/>
    <m/>
    <m/>
    <m/>
    <x v="20"/>
    <s v="22.23-0-1.2-ERW 1-PE-0.14"/>
    <n v="1"/>
    <s v="Hosur"/>
    <n v="0"/>
    <n v="0.24293999999999999"/>
    <m/>
    <x v="11"/>
    <x v="11"/>
    <x v="0"/>
    <x v="2"/>
    <n v="140"/>
    <s v="NOS"/>
    <m/>
    <m/>
    <n v="6000"/>
    <m/>
    <n v="0"/>
    <n v="6000"/>
    <n v="0.52251541775999999"/>
    <n v="0"/>
    <n v="0.52251541775999999"/>
    <n v="0"/>
    <n v="0"/>
    <m/>
    <n v="8.5000000000000006E-2"/>
    <n v="3.1040000000000001"/>
    <n v="0.52251541775999999"/>
    <m/>
  </r>
  <r>
    <n v="267"/>
    <s v="Hosur"/>
    <x v="10"/>
    <s v="NMPL"/>
    <x v="10"/>
    <n v="1940392"/>
    <s v="189226|930794-1940392"/>
    <s v="TUB-O-O-AUT-AW-PE-22.23X1.600X0.2850"/>
    <x v="0"/>
    <m/>
    <x v="0"/>
    <s v="CR"/>
    <s v="GR1"/>
    <m/>
    <m/>
    <m/>
    <x v="21"/>
    <s v="22.23-0-1.6-ERW 1-PE-0.285"/>
    <n v="2"/>
    <s v="Hosur"/>
    <n v="5.9161999999999937E-2"/>
    <n v="0"/>
    <m/>
    <x v="11"/>
    <x v="11"/>
    <x v="0"/>
    <x v="0"/>
    <n v="285"/>
    <s v="NOS"/>
    <m/>
    <m/>
    <n v="30000"/>
    <m/>
    <n v="0"/>
    <n v="30000"/>
    <n v="6.9564013416000003"/>
    <n v="0"/>
    <n v="6.9564013416000003"/>
    <n v="408.52157034205356"/>
    <n v="9.4728000000000007E-2"/>
    <m/>
    <n v="10.773161999999999"/>
    <n v="0"/>
    <n v="6.8616733416000004"/>
    <m/>
  </r>
  <r>
    <n v="223"/>
    <s v="Hosur"/>
    <x v="10"/>
    <s v="NMPL"/>
    <x v="11"/>
    <n v="1938251"/>
    <s v="930801|189227-1938251"/>
    <s v="TUB-O-N-AUT-AW-PE-22.23X1.600X0.3940"/>
    <x v="0"/>
    <m/>
    <x v="0"/>
    <s v="CR"/>
    <s v="D"/>
    <m/>
    <m/>
    <m/>
    <x v="21"/>
    <s v="22.23-0-1.6-ERW 1-PE-0.394"/>
    <n v="2"/>
    <s v="Hosur"/>
    <n v="5.9161999999999937E-2"/>
    <n v="0"/>
    <m/>
    <x v="11"/>
    <x v="11"/>
    <x v="0"/>
    <x v="0"/>
    <n v="394"/>
    <s v="NOS"/>
    <m/>
    <m/>
    <n v="5000"/>
    <m/>
    <n v="0"/>
    <n v="5000"/>
    <n v="1.6028199582400002"/>
    <n v="0"/>
    <n v="1.6028199582400002"/>
    <n v="2789.2933183270043"/>
    <n v="0.89414700000000003"/>
    <m/>
    <n v="10.773161999999999"/>
    <n v="0"/>
    <n v="0.70867295824000021"/>
    <m/>
  </r>
  <r>
    <m/>
    <s v="Hosur"/>
    <x v="11"/>
    <s v="NMPL"/>
    <x v="11"/>
    <n v="1938251"/>
    <s v="930801|189227-1938251"/>
    <s v="TUB-O-N-AUT-AW-PE-22.23X1.600X0.3940"/>
    <x v="0"/>
    <m/>
    <x v="0"/>
    <s v="HR"/>
    <m/>
    <m/>
    <m/>
    <m/>
    <x v="21"/>
    <s v="22.23-0-1.6-ERW 1-PE-0.394"/>
    <n v="2"/>
    <s v="Hosur"/>
    <n v="5.9161999999999937E-2"/>
    <n v="0"/>
    <m/>
    <x v="11"/>
    <x v="11"/>
    <x v="0"/>
    <x v="0"/>
    <n v="394"/>
    <s v="NOS"/>
    <m/>
    <m/>
    <n v="15200"/>
    <m/>
    <n v="0"/>
    <n v="15200"/>
    <n v="4.8725726730496008"/>
    <n v="0"/>
    <n v="4.8725726730496008"/>
    <n v="2789.2933183270038"/>
    <n v="0.89414700000000003"/>
    <m/>
    <n v="10.773161999999999"/>
    <n v="0"/>
    <n v="3.9784256730496006"/>
    <m/>
  </r>
  <r>
    <n v="225"/>
    <s v="Hosur"/>
    <x v="11"/>
    <s v="NMPL"/>
    <x v="11"/>
    <n v="2427960"/>
    <s v="930801|189227-2427960"/>
    <s v="TUB-O-N-AUT-AW-PE-22.23X1.600X0.6700"/>
    <x v="0"/>
    <m/>
    <x v="0"/>
    <s v="CR"/>
    <s v="HROP"/>
    <m/>
    <m/>
    <m/>
    <x v="21"/>
    <s v="22.23-0-1.6-ERW 1-PE-0.67"/>
    <n v="1"/>
    <s v="Hosur"/>
    <n v="5.9161999999999937E-2"/>
    <n v="0"/>
    <m/>
    <x v="11"/>
    <x v="11"/>
    <x v="0"/>
    <x v="0"/>
    <n v="670"/>
    <s v="NOS"/>
    <m/>
    <m/>
    <n v="18000"/>
    <m/>
    <n v="0"/>
    <n v="18000"/>
    <n v="9.8121871555200002"/>
    <n v="0"/>
    <n v="9.8121871555200002"/>
    <n v="1.9812096622172279"/>
    <n v="1.08E-3"/>
    <m/>
    <n v="10.773161999999999"/>
    <n v="0"/>
    <n v="9.8111071555200002"/>
    <m/>
  </r>
  <r>
    <n v="226"/>
    <s v="Hosur"/>
    <x v="11"/>
    <s v="NMPL"/>
    <x v="11"/>
    <n v="2427939"/>
    <s v="930801|189227-2427939"/>
    <s v="TUB-O-N-AUT-AW-PE-22.23X1.600X0.6750"/>
    <x v="0"/>
    <m/>
    <x v="0"/>
    <s v="CR"/>
    <s v="HROP"/>
    <m/>
    <s v="AG"/>
    <m/>
    <x v="21"/>
    <s v="22.23-0-1.6-ERW 1-PE-0.675"/>
    <n v="1"/>
    <s v="Hosur"/>
    <m/>
    <m/>
    <m/>
    <x v="11"/>
    <x v="11"/>
    <x v="0"/>
    <x v="0"/>
    <n v="675"/>
    <s v="NOS"/>
    <m/>
    <m/>
    <m/>
    <m/>
    <n v="0"/>
    <n v="0"/>
    <n v="0"/>
    <n v="0"/>
    <n v="0"/>
    <e v="#DIV/0!"/>
    <n v="0"/>
    <m/>
    <n v="10.773161999999999"/>
    <n v="0"/>
    <n v="0"/>
    <m/>
  </r>
  <r>
    <m/>
    <s v="Hosur"/>
    <x v="11"/>
    <s v="NMPL"/>
    <x v="11"/>
    <m/>
    <s v="930801|189227-"/>
    <m/>
    <x v="0"/>
    <m/>
    <x v="0"/>
    <s v="CR"/>
    <m/>
    <m/>
    <s v="AG"/>
    <m/>
    <x v="21"/>
    <s v="22.23-0-1.6-ERW 1-PE-0.69"/>
    <n v="2"/>
    <s v="Hosur"/>
    <n v="5.9161999999999937E-2"/>
    <n v="0"/>
    <m/>
    <x v="11"/>
    <x v="11"/>
    <x v="0"/>
    <x v="0"/>
    <n v="690"/>
    <s v="NOS"/>
    <m/>
    <m/>
    <n v="16000"/>
    <m/>
    <n v="0"/>
    <n v="16000"/>
    <n v="8.9823006796800016"/>
    <n v="0"/>
    <n v="8.9823006796800016"/>
    <n v="22.632954211820319"/>
    <n v="1.2706E-2"/>
    <m/>
    <n v="10.773161999999999"/>
    <n v="0"/>
    <n v="8.9695946796800019"/>
    <m/>
  </r>
  <r>
    <n v="227"/>
    <s v="Hosur"/>
    <x v="11"/>
    <s v="NMPL"/>
    <x v="11"/>
    <n v="1940408"/>
    <s v="930801|189227-1940408"/>
    <s v="TUB-O-O-AUT-AW-PE-22.23X1.600X0.8090"/>
    <x v="0"/>
    <m/>
    <x v="0"/>
    <s v="CR"/>
    <s v="GR1"/>
    <m/>
    <m/>
    <m/>
    <x v="21"/>
    <s v="22.23-0-1.6-ERW 1-PE-0.809"/>
    <n v="3"/>
    <s v="Hosur"/>
    <m/>
    <m/>
    <m/>
    <x v="11"/>
    <x v="11"/>
    <x v="0"/>
    <x v="0"/>
    <n v="809"/>
    <s v="NOS"/>
    <m/>
    <m/>
    <m/>
    <m/>
    <n v="0"/>
    <n v="0"/>
    <n v="0"/>
    <n v="0"/>
    <n v="0"/>
    <e v="#DIV/0!"/>
    <n v="0"/>
    <m/>
    <n v="10.773161999999999"/>
    <n v="0"/>
    <n v="0"/>
    <m/>
  </r>
  <r>
    <m/>
    <s v="Hosur"/>
    <x v="11"/>
    <s v="NMPL"/>
    <x v="11"/>
    <n v="1940408"/>
    <s v="930801|189227-1940408"/>
    <s v="TUB-O-O-AUT-AW-PE-22.23X1.600X0.8090"/>
    <x v="0"/>
    <m/>
    <x v="0"/>
    <s v="HR"/>
    <m/>
    <m/>
    <m/>
    <m/>
    <x v="21"/>
    <s v="22.23-0-1.6-ERW 1-PE-0.809"/>
    <n v="3"/>
    <s v="Hosur"/>
    <n v="5.9161999999999937E-2"/>
    <n v="0"/>
    <m/>
    <x v="11"/>
    <x v="11"/>
    <x v="0"/>
    <x v="0"/>
    <n v="809"/>
    <s v="NOS"/>
    <m/>
    <m/>
    <n v="16000"/>
    <m/>
    <n v="0"/>
    <n v="16000"/>
    <n v="10.531422101247999"/>
    <n v="0"/>
    <n v="10.531422101247999"/>
    <n v="0"/>
    <n v="0"/>
    <m/>
    <n v="10.773161999999999"/>
    <n v="0"/>
    <n v="10.531422101247999"/>
    <m/>
  </r>
  <r>
    <n v="268"/>
    <s v="Hosur"/>
    <x v="10"/>
    <s v="NMPL"/>
    <x v="10"/>
    <n v="1940408"/>
    <s v="189226|930794-1940408"/>
    <s v="TUB-O-O-AUT-AW-PE-22.23X1.600X0.8090"/>
    <x v="0"/>
    <m/>
    <x v="0"/>
    <s v="CR"/>
    <s v="GR1"/>
    <m/>
    <m/>
    <m/>
    <x v="21"/>
    <s v="22.23-0-1.6-ERW 1-PE-0.809"/>
    <n v="3"/>
    <s v="Hosur"/>
    <n v="5.9161999999999937E-2"/>
    <n v="0"/>
    <m/>
    <x v="11"/>
    <x v="11"/>
    <x v="0"/>
    <x v="0"/>
    <n v="809"/>
    <s v="NOS"/>
    <m/>
    <m/>
    <n v="1000"/>
    <m/>
    <n v="0"/>
    <n v="1000"/>
    <n v="0.65821388132799996"/>
    <n v="0"/>
    <n v="0.65821388132799996"/>
    <n v="0"/>
    <n v="0"/>
    <m/>
    <n v="10.773161999999999"/>
    <n v="0"/>
    <n v="0.65821388132799996"/>
    <m/>
  </r>
  <r>
    <n v="269"/>
    <s v="Hosur"/>
    <x v="10"/>
    <s v="NMPL"/>
    <x v="10"/>
    <n v="1159568"/>
    <s v="189226|930794-1159568"/>
    <s v="TUB-O-N-AUT-AW-PE-22.20X2.000X0.180"/>
    <x v="0"/>
    <m/>
    <x v="0"/>
    <s v="HR"/>
    <m/>
    <m/>
    <m/>
    <m/>
    <x v="49"/>
    <s v="22.23-0-2-ERW 1-PE-0.18"/>
    <s v="#REF!"/>
    <m/>
    <m/>
    <m/>
    <m/>
    <x v="11"/>
    <x v="11"/>
    <x v="0"/>
    <x v="8"/>
    <n v="180"/>
    <s v="NOS"/>
    <m/>
    <m/>
    <m/>
    <m/>
    <n v="0"/>
    <n v="0"/>
    <n v="0"/>
    <n v="0"/>
    <n v="0"/>
    <e v="#DIV/0!"/>
    <n v="0"/>
    <m/>
    <n v="11.690147"/>
    <n v="1.629"/>
    <n v="0"/>
    <m/>
  </r>
  <r>
    <n v="228"/>
    <s v="Hosur"/>
    <x v="10"/>
    <s v="NMPL"/>
    <x v="11"/>
    <n v="1940437"/>
    <s v="930801|189227-1940437"/>
    <s v="TUB-O-O-AUT-AW-PE-22.23X2.000X0.3940"/>
    <x v="0"/>
    <m/>
    <x v="0"/>
    <s v="HR"/>
    <m/>
    <m/>
    <m/>
    <m/>
    <x v="49"/>
    <s v="22.23-0-2-ERW 1-PE-0.394"/>
    <n v="2"/>
    <s v="Hosur"/>
    <n v="5.5039059999999997"/>
    <n v="1.0470000000000002"/>
    <m/>
    <x v="11"/>
    <x v="11"/>
    <x v="0"/>
    <x v="8"/>
    <n v="394"/>
    <s v="NOS"/>
    <m/>
    <m/>
    <m/>
    <m/>
    <n v="7500"/>
    <n v="-7500"/>
    <n v="0"/>
    <n v="2.9470171857"/>
    <n v="-2.9470171857"/>
    <e v="#DIV/0!"/>
    <n v="2.3479999999999998E-3"/>
    <m/>
    <n v="11.690147"/>
    <n v="1.629"/>
    <n v="-2.3479999999999998E-3"/>
    <m/>
  </r>
  <r>
    <n v="229"/>
    <s v="Hosur"/>
    <x v="11"/>
    <s v="NMPL"/>
    <x v="11"/>
    <n v="1940466"/>
    <s v="930801|189227-1940466"/>
    <s v="TUB-O-O-AUT-AW-PE-22.23X2.000X0.8090"/>
    <x v="0"/>
    <m/>
    <x v="0"/>
    <s v="HR"/>
    <m/>
    <m/>
    <m/>
    <m/>
    <x v="49"/>
    <s v="22.23-0-2-ERW 1-PE-0.809"/>
    <n v="2"/>
    <s v="Hosur"/>
    <n v="5.5039059999999997"/>
    <n v="1.0470000000000002"/>
    <m/>
    <x v="11"/>
    <x v="11"/>
    <x v="0"/>
    <x v="8"/>
    <n v="809"/>
    <s v="NOS"/>
    <m/>
    <m/>
    <n v="10000"/>
    <m/>
    <n v="7881"/>
    <n v="2119"/>
    <n v="8.0681451886000008"/>
    <n v="6.3585052231356611"/>
    <n v="1.7096399654643397"/>
    <n v="2207.6288395462898"/>
    <n v="1.781147"/>
    <m/>
    <n v="11.690147"/>
    <n v="1.629"/>
    <n v="6.286998188600001"/>
    <m/>
  </r>
  <r>
    <n v="270"/>
    <s v="Hosur"/>
    <x v="10"/>
    <s v="NMPL"/>
    <x v="10"/>
    <n v="1940466"/>
    <s v="189226|930794-1940466"/>
    <s v="TUB-O-O-AUT-AW-PE-22.23X2.000X0.8090"/>
    <x v="0"/>
    <m/>
    <x v="0"/>
    <s v="HR"/>
    <m/>
    <m/>
    <m/>
    <m/>
    <x v="49"/>
    <s v="22.23-0-2-ERW 1-PE-0.809"/>
    <n v="2"/>
    <s v="Hosur"/>
    <n v="5.5039059999999997"/>
    <n v="1.0470000000000002"/>
    <m/>
    <x v="11"/>
    <x v="11"/>
    <x v="0"/>
    <x v="8"/>
    <n v="809"/>
    <s v="NOS"/>
    <m/>
    <m/>
    <n v="8000"/>
    <m/>
    <n v="725"/>
    <n v="7275"/>
    <n v="6.4545161508800009"/>
    <n v="0.58494052617350012"/>
    <n v="5.869575624706501"/>
    <n v="2207.6288395462898"/>
    <n v="1.781147"/>
    <m/>
    <n v="11.690147"/>
    <n v="1.629"/>
    <n v="4.673369150880001"/>
    <m/>
  </r>
  <r>
    <n v="271"/>
    <s v="Hosur"/>
    <x v="10"/>
    <s v="NMPL"/>
    <x v="10"/>
    <n v="2413708"/>
    <s v="189226|930794-2413708"/>
    <s v="TUB-O-N-AUT-AW-PE-22.23X2.000X0.8150"/>
    <x v="0"/>
    <m/>
    <x v="0"/>
    <s v="HR"/>
    <m/>
    <m/>
    <m/>
    <m/>
    <x v="49"/>
    <s v="22.23-0-2-ERW 1-PE-0.815"/>
    <n v="2"/>
    <s v="Hosur"/>
    <n v="5.5039059999999997"/>
    <n v="1.0470000000000002"/>
    <m/>
    <x v="11"/>
    <x v="11"/>
    <x v="0"/>
    <x v="8"/>
    <n v="815"/>
    <s v="NOS"/>
    <m/>
    <m/>
    <n v="6000"/>
    <m/>
    <n v="13000"/>
    <n v="-7000"/>
    <n v="4.8767898605999997"/>
    <n v="10.566378031300001"/>
    <n v="-5.6895881707000013"/>
    <n v="17.042358267570421"/>
    <n v="1.3852E-2"/>
    <m/>
    <n v="11.690147"/>
    <n v="1.629"/>
    <n v="4.8629378605999998"/>
    <m/>
  </r>
  <r>
    <n v="244"/>
    <s v="Hosur"/>
    <x v="11"/>
    <s v="NMPL"/>
    <x v="11"/>
    <e v="#REF!"/>
    <e v="#REF!"/>
    <m/>
    <x v="0"/>
    <m/>
    <x v="0"/>
    <m/>
    <m/>
    <m/>
    <m/>
    <m/>
    <x v="49"/>
    <s v="22.23-0-2-ERW 1-PE-1"/>
    <s v="#REF!"/>
    <s v="Hosur"/>
    <m/>
    <m/>
    <m/>
    <x v="11"/>
    <x v="11"/>
    <x v="0"/>
    <x v="8"/>
    <n v="1000"/>
    <s v="M"/>
    <m/>
    <m/>
    <m/>
    <m/>
    <n v="0"/>
    <n v="0"/>
    <n v="0"/>
    <n v="0"/>
    <n v="0"/>
    <e v="#DIV/0!"/>
    <n v="5.1392410000000002"/>
    <m/>
    <n v="11.690147"/>
    <n v="1.629"/>
    <n v="-5.1392410000000002"/>
    <m/>
  </r>
  <r>
    <n v="272"/>
    <s v="Hosur"/>
    <x v="10"/>
    <s v="NMPL"/>
    <x v="10"/>
    <n v="3506579"/>
    <s v="189226|930794-3506579"/>
    <s v="CUT-O-N-AUT-AW-PE-22.20X2.300X0.430"/>
    <x v="0"/>
    <m/>
    <x v="0"/>
    <s v="HR"/>
    <m/>
    <m/>
    <m/>
    <m/>
    <x v="24"/>
    <s v="22.23-0-2.3-ERW 1-PE-0.43"/>
    <s v="#REF!"/>
    <m/>
    <m/>
    <m/>
    <m/>
    <x v="11"/>
    <x v="11"/>
    <x v="0"/>
    <x v="9"/>
    <n v="430"/>
    <s v="NOS"/>
    <m/>
    <m/>
    <m/>
    <m/>
    <n v="0"/>
    <n v="0"/>
    <n v="0"/>
    <n v="0"/>
    <n v="0"/>
    <e v="#DIV/0!"/>
    <n v="0"/>
    <m/>
    <n v="6.8109739999999999"/>
    <n v="0"/>
    <n v="0"/>
    <m/>
  </r>
  <r>
    <n v="273"/>
    <s v="Hosur"/>
    <x v="10"/>
    <s v="NMPL"/>
    <x v="10"/>
    <n v="1940538"/>
    <s v="189226|930794-1940538"/>
    <s v="TUB-O-O-AUT-AW-PE-25.40X1.200X0.8450"/>
    <x v="0"/>
    <m/>
    <x v="0"/>
    <s v="CR"/>
    <m/>
    <m/>
    <s v="AG"/>
    <m/>
    <x v="78"/>
    <s v="25.4-0-1.2-ERW 1-PE-0.845"/>
    <n v="1"/>
    <s v="Hosur"/>
    <n v="0"/>
    <n v="0"/>
    <m/>
    <x v="3"/>
    <x v="3"/>
    <x v="0"/>
    <x v="2"/>
    <n v="845"/>
    <s v="NOS"/>
    <m/>
    <m/>
    <n v="4000"/>
    <m/>
    <n v="0"/>
    <n v="4000"/>
    <n v="2.4194275247999992"/>
    <n v="0"/>
    <n v="2.4194275247999992"/>
    <n v="151.48211560100216"/>
    <n v="9.1624999999999998E-2"/>
    <m/>
    <n v="0"/>
    <n v="18.564"/>
    <n v="2.3278025247999992"/>
    <m/>
  </r>
  <r>
    <n v="241"/>
    <s v="Hosur"/>
    <x v="11"/>
    <s v="NMPL"/>
    <x v="11"/>
    <e v="#REF!"/>
    <e v="#REF!"/>
    <m/>
    <x v="0"/>
    <m/>
    <x v="0"/>
    <s v="CR"/>
    <m/>
    <m/>
    <m/>
    <m/>
    <x v="78"/>
    <s v="25.4-0-1.2-ERW 1-PE-1"/>
    <n v="1"/>
    <s v="Hosur"/>
    <m/>
    <m/>
    <m/>
    <x v="3"/>
    <x v="3"/>
    <x v="0"/>
    <x v="2"/>
    <n v="1000"/>
    <s v="M"/>
    <m/>
    <m/>
    <m/>
    <m/>
    <n v="0"/>
    <n v="0"/>
    <n v="0"/>
    <n v="0"/>
    <n v="0"/>
    <e v="#DIV/0!"/>
    <n v="0"/>
    <m/>
    <n v="0"/>
    <n v="18.564"/>
    <n v="0"/>
    <m/>
  </r>
  <r>
    <n v="274"/>
    <s v="Hosur"/>
    <x v="10"/>
    <s v="NMPL"/>
    <x v="10"/>
    <n v="3727130"/>
    <s v="189226|930794-3727130"/>
    <s v="CUT-O-N-AUT-AW-PE-25.40X1.600X0.5120"/>
    <x v="0"/>
    <m/>
    <x v="0"/>
    <s v="HR"/>
    <m/>
    <m/>
    <m/>
    <m/>
    <x v="5"/>
    <s v="25.4-0-1.6-ERW 1-PE-0.512"/>
    <s v="#REF!"/>
    <m/>
    <m/>
    <m/>
    <m/>
    <x v="3"/>
    <x v="3"/>
    <x v="0"/>
    <x v="0"/>
    <n v="512"/>
    <m/>
    <m/>
    <m/>
    <m/>
    <m/>
    <e v="#N/A"/>
    <e v="#N/A"/>
    <n v="0"/>
    <e v="#N/A"/>
    <e v="#N/A"/>
    <e v="#DIV/0!"/>
    <n v="0"/>
    <m/>
    <n v="0"/>
    <n v="3.6459999999999999"/>
    <n v="0"/>
    <m/>
  </r>
  <r>
    <n v="230"/>
    <s v="Hosur"/>
    <x v="11"/>
    <s v="NMPL"/>
    <x v="11"/>
    <e v="#REF!"/>
    <e v="#REF!"/>
    <s v="TUB-O-O-AUT-AW-PE-25.40X2.00X0.4120"/>
    <x v="0"/>
    <m/>
    <x v="0"/>
    <s v="HR"/>
    <m/>
    <m/>
    <m/>
    <m/>
    <x v="122"/>
    <s v="25.4-0-2-ERW 1-PE-0.412"/>
    <n v="1"/>
    <s v="Hosur"/>
    <n v="1.1482300000000001"/>
    <n v="2.9849999999999999"/>
    <m/>
    <x v="3"/>
    <x v="3"/>
    <x v="0"/>
    <x v="8"/>
    <n v="412"/>
    <s v="NOS"/>
    <m/>
    <m/>
    <n v="22000"/>
    <m/>
    <n v="0"/>
    <n v="22000"/>
    <n v="10.4559874848"/>
    <n v="0"/>
    <n v="10.4559874848"/>
    <n v="0"/>
    <n v="0"/>
    <m/>
    <n v="4.1332300000000002"/>
    <n v="5.56"/>
    <n v="10.4559874848"/>
    <m/>
  </r>
  <r>
    <n v="276"/>
    <s v="Hosur"/>
    <x v="10"/>
    <s v="NMPL"/>
    <x v="10"/>
    <n v="237726"/>
    <s v="189226|930794-237726"/>
    <s v="PT2-O-N-AUT-AW-FC-28.58X1.200X0.610"/>
    <x v="0"/>
    <m/>
    <x v="0"/>
    <s v="CR"/>
    <m/>
    <m/>
    <m/>
    <m/>
    <x v="123"/>
    <s v="28.58-0-1.2-ERW 1-PE-0.61"/>
    <n v="1"/>
    <m/>
    <n v="0.10089999999999999"/>
    <n v="0"/>
    <m/>
    <x v="12"/>
    <x v="12"/>
    <x v="0"/>
    <x v="2"/>
    <n v="610"/>
    <s v="NOS"/>
    <m/>
    <m/>
    <n v="2000"/>
    <m/>
    <n v="0"/>
    <n v="2000"/>
    <n v="0.98803840367999995"/>
    <n v="0"/>
    <n v="0.98803840367999995"/>
    <n v="3587.7957646149298"/>
    <n v="1.77244"/>
    <m/>
    <n v="0.1009"/>
    <n v="5.8879999999999999"/>
    <n v="-0.78440159632000006"/>
    <m/>
  </r>
  <r>
    <n v="277"/>
    <s v="Hosur"/>
    <x v="10"/>
    <s v="NMPL"/>
    <x v="10"/>
    <n v="1940653"/>
    <s v="189226|930794-1940653"/>
    <s v="TUB-O-O-AUT-AW-PE-31.75X1.200X0.6700"/>
    <x v="0"/>
    <m/>
    <x v="2"/>
    <s v="CR"/>
    <m/>
    <m/>
    <m/>
    <m/>
    <x v="124"/>
    <s v="31.75-0-1.2-ERW 1-FC-0.67"/>
    <n v="1"/>
    <s v="Hosur"/>
    <n v="0"/>
    <n v="0"/>
    <m/>
    <x v="10"/>
    <x v="10"/>
    <x v="0"/>
    <x v="2"/>
    <n v="670"/>
    <s v="NOS"/>
    <m/>
    <m/>
    <n v="12000"/>
    <m/>
    <n v="0"/>
    <n v="12000"/>
    <n v="7.2652040136000009"/>
    <n v="0"/>
    <n v="7.2652040136000009"/>
    <n v="0"/>
    <n v="0"/>
    <m/>
    <n v="0"/>
    <n v="0"/>
    <n v="7.2652040136000009"/>
    <m/>
  </r>
  <r>
    <n v="242"/>
    <s v="Hosur"/>
    <x v="11"/>
    <s v="NMPL"/>
    <x v="11"/>
    <e v="#REF!"/>
    <e v="#REF!"/>
    <m/>
    <x v="0"/>
    <m/>
    <x v="2"/>
    <m/>
    <m/>
    <m/>
    <m/>
    <m/>
    <x v="55"/>
    <s v="34.93-0-1.2-ERW 1-FC-1"/>
    <n v="1"/>
    <s v="Hosur"/>
    <m/>
    <m/>
    <m/>
    <x v="13"/>
    <x v="14"/>
    <x v="0"/>
    <x v="2"/>
    <n v="1000"/>
    <s v="M"/>
    <m/>
    <m/>
    <m/>
    <m/>
    <n v="0"/>
    <n v="0"/>
    <n v="0"/>
    <n v="0"/>
    <n v="0"/>
    <e v="#DIV/0!"/>
    <n v="0"/>
    <m/>
    <n v="0"/>
    <n v="0"/>
    <n v="0"/>
    <m/>
  </r>
  <r>
    <n v="279"/>
    <s v="Hosur"/>
    <x v="10"/>
    <s v="NMPL"/>
    <x v="10"/>
    <n v="1940701"/>
    <s v="189226|930794-1940701"/>
    <s v="TUB-O-O-AUT-AW-FC-34.93X1.200X6.0000"/>
    <x v="0"/>
    <m/>
    <x v="1"/>
    <s v="HR"/>
    <m/>
    <m/>
    <m/>
    <m/>
    <x v="125"/>
    <s v="34.93-0-1.2-ERW 1--6"/>
    <s v="#REF!"/>
    <m/>
    <m/>
    <m/>
    <m/>
    <x v="13"/>
    <x v="14"/>
    <x v="0"/>
    <x v="2"/>
    <n v="6000"/>
    <m/>
    <m/>
    <m/>
    <m/>
    <m/>
    <e v="#N/A"/>
    <e v="#N/A"/>
    <n v="0"/>
    <e v="#N/A"/>
    <e v="#N/A"/>
    <e v="#DIV/0!"/>
    <n v="0"/>
    <m/>
    <n v="0"/>
    <n v="0"/>
    <n v="0"/>
    <m/>
  </r>
  <r>
    <n v="281"/>
    <s v="Hosur"/>
    <x v="10"/>
    <s v="NMPL"/>
    <x v="10"/>
    <n v="1940730"/>
    <s v="189226|930794-1940730"/>
    <s v="TUB-O-O-AUT-AW-FC-38.10X1.600X0.4880"/>
    <x v="0"/>
    <m/>
    <x v="2"/>
    <s v="HR"/>
    <m/>
    <m/>
    <m/>
    <m/>
    <x v="89"/>
    <s v="38.1-0-1.6-ERW 1-FC-0.488"/>
    <n v="1"/>
    <s v="Hosur"/>
    <n v="5.1801770000000005"/>
    <n v="6.8281799999999997"/>
    <m/>
    <x v="14"/>
    <x v="30"/>
    <x v="0"/>
    <x v="0"/>
    <n v="488"/>
    <s v="NOS"/>
    <m/>
    <m/>
    <n v="1000"/>
    <m/>
    <n v="0"/>
    <n v="1000"/>
    <n v="0.70247678079999998"/>
    <n v="0"/>
    <n v="0.70247678079999998"/>
    <n v="0"/>
    <n v="0"/>
    <m/>
    <n v="8.1493570000000002"/>
    <n v="0"/>
    <n v="0.70247678079999998"/>
    <m/>
  </r>
  <r>
    <n v="235"/>
    <s v="Hosur"/>
    <x v="11"/>
    <s v="NMPL"/>
    <x v="11"/>
    <n v="1940731"/>
    <s v="930801|189227-1940731"/>
    <s v="TUB-O-O-AUT-AW-FC-38.10X1.600X0.8120"/>
    <x v="0"/>
    <m/>
    <x v="2"/>
    <s v="HR"/>
    <s v="GR1"/>
    <m/>
    <m/>
    <m/>
    <x v="89"/>
    <s v="38.1-0-1.6-ERW 1-FC-0.812"/>
    <n v="2"/>
    <s v="Hosur"/>
    <n v="5.1801770000000005"/>
    <n v="6.8281799999999997"/>
    <m/>
    <x v="14"/>
    <x v="30"/>
    <x v="0"/>
    <x v="0"/>
    <n v="812"/>
    <s v="NOS"/>
    <m/>
    <m/>
    <n v="6000"/>
    <m/>
    <n v="0"/>
    <n v="6000"/>
    <n v="7.0132517951999995"/>
    <n v="0"/>
    <n v="7.0132517951999995"/>
    <n v="0"/>
    <n v="0"/>
    <m/>
    <n v="8.1493570000000002"/>
    <n v="0"/>
    <n v="7.0132517951999995"/>
    <m/>
  </r>
  <r>
    <n v="282"/>
    <s v="Hosur"/>
    <x v="10"/>
    <s v="NMPL"/>
    <x v="10"/>
    <n v="1940731"/>
    <s v="189226|930794-1940731"/>
    <s v="TUB-O-O-AUT-AW-FC-38.10X1.600X0.8120"/>
    <x v="0"/>
    <m/>
    <x v="2"/>
    <s v="HR"/>
    <s v="GR1"/>
    <m/>
    <m/>
    <m/>
    <x v="89"/>
    <s v="38.1-0-1.6-ERW 1-FC-0.812"/>
    <n v="2"/>
    <m/>
    <n v="5.1801770000000005"/>
    <n v="6.8281799999999997"/>
    <m/>
    <x v="14"/>
    <x v="30"/>
    <x v="0"/>
    <x v="0"/>
    <n v="812"/>
    <s v="NOS"/>
    <m/>
    <m/>
    <m/>
    <m/>
    <n v="0"/>
    <n v="0"/>
    <n v="0"/>
    <n v="0"/>
    <n v="0"/>
    <e v="#DIV/0!"/>
    <n v="0"/>
    <m/>
    <n v="8.1493570000000002"/>
    <n v="0"/>
    <n v="0"/>
    <m/>
  </r>
  <r>
    <n v="283"/>
    <s v="Hosur"/>
    <x v="10"/>
    <s v="NMPL"/>
    <x v="10"/>
    <n v="3507790"/>
    <s v="189226|930794-3507790"/>
    <s v="CUT-O-N-AUT-AW-FC-38.10X1.600X0.8150"/>
    <x v="0"/>
    <m/>
    <x v="2"/>
    <s v="HR"/>
    <m/>
    <m/>
    <m/>
    <m/>
    <x v="89"/>
    <s v="38.1-0-1.6-ERW 1-FC-0.815"/>
    <s v="#REF!"/>
    <s v="Hosur"/>
    <m/>
    <m/>
    <m/>
    <x v="14"/>
    <x v="30"/>
    <x v="0"/>
    <x v="0"/>
    <n v="815"/>
    <s v="NOS"/>
    <m/>
    <m/>
    <m/>
    <m/>
    <n v="0"/>
    <n v="0"/>
    <n v="0"/>
    <n v="0"/>
    <n v="0"/>
    <e v="#DIV/0!"/>
    <n v="0"/>
    <m/>
    <n v="8.1493570000000002"/>
    <n v="0"/>
    <n v="0"/>
    <m/>
  </r>
  <r>
    <n v="284"/>
    <s v="Hosur"/>
    <x v="10"/>
    <s v="NMPL"/>
    <x v="10"/>
    <n v="1194658"/>
    <s v="189226|930794-1194658"/>
    <s v="TUB-O-N-AUT-AW-FC-38.10X1.600X0.970"/>
    <x v="0"/>
    <m/>
    <x v="1"/>
    <s v="HR"/>
    <m/>
    <m/>
    <m/>
    <m/>
    <x v="126"/>
    <s v="38.1-0-1.6-ERW 1--0.97"/>
    <s v="#REF!"/>
    <m/>
    <m/>
    <m/>
    <m/>
    <x v="14"/>
    <x v="30"/>
    <x v="0"/>
    <x v="0"/>
    <n v="970"/>
    <s v="NOS"/>
    <m/>
    <m/>
    <m/>
    <m/>
    <n v="0"/>
    <n v="0"/>
    <n v="0"/>
    <n v="0"/>
    <n v="0"/>
    <e v="#DIV/0!"/>
    <n v="0"/>
    <m/>
    <n v="0"/>
    <n v="0"/>
    <n v="0"/>
    <m/>
  </r>
  <r>
    <n v="236"/>
    <s v="Hosur"/>
    <x v="11"/>
    <s v="NMPL"/>
    <x v="11"/>
    <n v="3509030"/>
    <s v="930801|189227-3509030"/>
    <s v="CUT-O-N-AUT-AW-PE-38.10X2.000X0.4060"/>
    <x v="0"/>
    <m/>
    <x v="2"/>
    <s v="HR"/>
    <m/>
    <m/>
    <m/>
    <m/>
    <x v="127"/>
    <s v="38.1-0-2-ERW 1-FC-0.406"/>
    <n v="1"/>
    <s v="Hosur"/>
    <n v="30.650651000000007"/>
    <n v="60.82106499999999"/>
    <m/>
    <x v="14"/>
    <x v="30"/>
    <x v="0"/>
    <x v="8"/>
    <n v="406"/>
    <s v="NOS"/>
    <m/>
    <m/>
    <n v="16000"/>
    <m/>
    <n v="0"/>
    <n v="16000"/>
    <n v="11.560657068800001"/>
    <n v="0"/>
    <n v="11.560657068800001"/>
    <n v="1228.9958879884666"/>
    <n v="0.88800000000000001"/>
    <m/>
    <n v="95.257248000000004"/>
    <n v="1.9950000000000001"/>
    <n v="10.672657068800001"/>
    <m/>
  </r>
  <r>
    <n v="285"/>
    <s v="Hosur"/>
    <x v="10"/>
    <s v="NMPL"/>
    <x v="10"/>
    <n v="1940738"/>
    <s v="189226|930794-1940738"/>
    <s v="TUB-O-O-AUT-AW-FC-38.10X2.000X0.4250"/>
    <x v="0"/>
    <m/>
    <x v="2"/>
    <s v="HR"/>
    <m/>
    <m/>
    <m/>
    <m/>
    <x v="127"/>
    <s v="38.1-0-2-ERW 1-FC-0.425"/>
    <n v="1"/>
    <s v="Hosur"/>
    <n v="30.650651000000007"/>
    <m/>
    <m/>
    <x v="14"/>
    <x v="30"/>
    <x v="0"/>
    <x v="8"/>
    <n v="425"/>
    <s v="NOS"/>
    <m/>
    <m/>
    <n v="9000"/>
    <m/>
    <n v="12000"/>
    <n v="-3000"/>
    <n v="6.8071910850000004"/>
    <n v="9.0762547800000011"/>
    <n v="-2.2690636950000007"/>
    <n v="0"/>
    <n v="0"/>
    <m/>
    <n v="95.257248000000004"/>
    <n v="1.9950000000000001"/>
    <n v="6.8071910850000004"/>
    <m/>
  </r>
  <r>
    <n v="286"/>
    <s v="Hosur"/>
    <x v="10"/>
    <s v="NMPL"/>
    <x v="10"/>
    <n v="1940739"/>
    <s v="189226|930794-1940739"/>
    <s v="TUB-O-O-AUT-AW-FC-38.10X2.000X0.4880"/>
    <x v="0"/>
    <m/>
    <x v="2"/>
    <s v="HR"/>
    <m/>
    <m/>
    <m/>
    <m/>
    <x v="127"/>
    <s v="38.1-0-2-ERW 1-FC-0.488"/>
    <n v="1"/>
    <s v="Hosur"/>
    <n v="30.650651000000007"/>
    <n v="60.82106499999999"/>
    <m/>
    <x v="14"/>
    <x v="30"/>
    <x v="0"/>
    <x v="8"/>
    <n v="488"/>
    <s v="NOS"/>
    <m/>
    <m/>
    <n v="6000"/>
    <m/>
    <n v="0"/>
    <n v="6000"/>
    <n v="5.2108380384000004"/>
    <n v="0"/>
    <n v="5.2108380384000004"/>
    <n v="0"/>
    <n v="0"/>
    <m/>
    <n v="95.257248000000004"/>
    <n v="1.9950000000000001"/>
    <n v="5.2108380384000004"/>
    <m/>
  </r>
  <r>
    <n v="237"/>
    <s v="Hosur"/>
    <x v="11"/>
    <s v="NMPL"/>
    <x v="11"/>
    <n v="1940743"/>
    <s v="930801|189227-1940743"/>
    <s v="TUB-O-O-AUT-AW-FC-38.10X2.000X0.8120"/>
    <x v="0"/>
    <m/>
    <x v="2"/>
    <s v="HR"/>
    <m/>
    <m/>
    <m/>
    <m/>
    <x v="127"/>
    <s v="38.1-0-2-ERW 1-FC-0.812"/>
    <n v="3"/>
    <s v="Hosur"/>
    <n v="30.650651000000007"/>
    <n v="60.82106499999999"/>
    <m/>
    <x v="14"/>
    <x v="30"/>
    <x v="0"/>
    <x v="8"/>
    <n v="812"/>
    <s v="NOS"/>
    <m/>
    <m/>
    <n v="6000"/>
    <m/>
    <n v="0"/>
    <n v="6000"/>
    <n v="8.6704928016000018"/>
    <n v="0"/>
    <n v="8.6704928016000018"/>
    <n v="0"/>
    <n v="0"/>
    <m/>
    <n v="95.257248000000004"/>
    <n v="1.9950000000000001"/>
    <n v="8.6704928016000018"/>
    <m/>
  </r>
  <r>
    <n v="287"/>
    <s v="Hosur"/>
    <x v="10"/>
    <s v="NMPL"/>
    <x v="10"/>
    <n v="1940743"/>
    <s v="189226|930794-1940743"/>
    <s v="TUB-O-O-AUT-AW-FC-38.10X2.000X0.8120"/>
    <x v="0"/>
    <m/>
    <x v="2"/>
    <s v="HR"/>
    <m/>
    <m/>
    <m/>
    <m/>
    <x v="127"/>
    <s v="38.1-0-2-ERW 1-FC-0.812"/>
    <n v="3"/>
    <s v="Hosur"/>
    <n v="30.650651000000007"/>
    <n v="60.82106499999999"/>
    <m/>
    <x v="14"/>
    <x v="30"/>
    <x v="0"/>
    <x v="8"/>
    <n v="812"/>
    <s v="NOS"/>
    <m/>
    <m/>
    <n v="18000"/>
    <m/>
    <n v="21458"/>
    <n v="-3458"/>
    <n v="26.011478404800005"/>
    <n v="31.008572422788802"/>
    <n v="-4.9970940179887968"/>
    <n v="0"/>
    <n v="0"/>
    <m/>
    <n v="95.257248000000004"/>
    <n v="1.9950000000000001"/>
    <n v="26.011478404800005"/>
    <m/>
  </r>
  <r>
    <n v="238"/>
    <s v="Hosur"/>
    <x v="11"/>
    <s v="NMPL"/>
    <x v="11"/>
    <e v="#REF!"/>
    <e v="#REF!"/>
    <m/>
    <x v="0"/>
    <m/>
    <x v="2"/>
    <s v="HR"/>
    <m/>
    <m/>
    <m/>
    <m/>
    <x v="127"/>
    <s v="38.1-0-2-ERW 1-FC-1"/>
    <s v="#REF!"/>
    <m/>
    <n v="30.650651000000007"/>
    <n v="60.82106499999999"/>
    <m/>
    <x v="14"/>
    <x v="30"/>
    <x v="0"/>
    <x v="8"/>
    <n v="1000"/>
    <s v="NOS"/>
    <m/>
    <m/>
    <m/>
    <m/>
    <n v="0"/>
    <n v="0"/>
    <n v="0"/>
    <n v="0"/>
    <n v="0"/>
    <e v="#DIV/0!"/>
    <n v="5.4420000000000002"/>
    <m/>
    <n v="95.257248000000004"/>
    <n v="1.9950000000000001"/>
    <n v="-5.4420000000000002"/>
    <m/>
  </r>
  <r>
    <n v="243"/>
    <s v="Hosur"/>
    <x v="11"/>
    <s v="NMPL"/>
    <x v="11"/>
    <e v="#REF!"/>
    <e v="#REF!"/>
    <m/>
    <x v="0"/>
    <m/>
    <x v="2"/>
    <m/>
    <m/>
    <m/>
    <m/>
    <m/>
    <x v="127"/>
    <s v="38.1-0-2-ERW 1-FC-1"/>
    <n v="2"/>
    <s v="Hosur"/>
    <m/>
    <m/>
    <m/>
    <x v="14"/>
    <x v="30"/>
    <x v="0"/>
    <x v="8"/>
    <n v="1000"/>
    <s v="M"/>
    <m/>
    <m/>
    <n v="800"/>
    <m/>
    <n v="0"/>
    <n v="800"/>
    <n v="1.4237262399999999"/>
    <n v="0"/>
    <n v="1.4237262399999999"/>
    <n v="3057.8912417881684"/>
    <n v="5.4420000000000002"/>
    <m/>
    <n v="95.257248000000004"/>
    <n v="1.9950000000000001"/>
    <n v="-4.0182737600000005"/>
    <m/>
  </r>
  <r>
    <n v="224"/>
    <s v="Khopoli "/>
    <x v="11"/>
    <s v="NMPL"/>
    <x v="11"/>
    <n v="2417647"/>
    <s v="930801|189227-2417647"/>
    <s v="TUB-O-N-AUT-AN-FC-42.70X3.500X0.2040"/>
    <x v="0"/>
    <s v="Annealed"/>
    <x v="2"/>
    <s v="HR"/>
    <m/>
    <s v="Chamferring"/>
    <m/>
    <m/>
    <x v="93"/>
    <s v="42.7-0-3.5-ERW 1-FC-0.2045"/>
    <n v="1"/>
    <m/>
    <m/>
    <m/>
    <m/>
    <x v="16"/>
    <x v="16"/>
    <x v="0"/>
    <x v="17"/>
    <n v="204.5"/>
    <s v="NOS"/>
    <m/>
    <m/>
    <n v="20000"/>
    <m/>
    <n v="0"/>
    <n v="20000"/>
    <n v="13.831737051999999"/>
    <n v="0"/>
    <n v="13.831737051999999"/>
    <n v="0"/>
    <n v="0"/>
    <m/>
    <n v="12.367420999999998"/>
    <n v="0"/>
    <n v="13.831737051999999"/>
    <m/>
  </r>
  <r>
    <n v="289"/>
    <s v="Khopoli "/>
    <x v="10"/>
    <s v="NMPL"/>
    <x v="10"/>
    <n v="2417649"/>
    <s v="189226|930794-2417649"/>
    <s v="TUB-O-N-AUT-AN--42.70X3.500X0.2096"/>
    <x v="0"/>
    <s v="Annealed"/>
    <x v="2"/>
    <s v="HR"/>
    <m/>
    <s v="Chamferring"/>
    <m/>
    <m/>
    <x v="93"/>
    <s v="42.7-0-3.5-ERW 1-FC-0.21"/>
    <n v="2"/>
    <s v="Khopoli"/>
    <n v="4.8184210000000007"/>
    <n v="5.208107"/>
    <m/>
    <x v="16"/>
    <x v="16"/>
    <x v="0"/>
    <x v="17"/>
    <n v="210"/>
    <s v="NOS"/>
    <m/>
    <m/>
    <n v="48000"/>
    <m/>
    <n v="31400.000000000004"/>
    <n v="16599.999999999996"/>
    <n v="34.088975424000004"/>
    <n v="22.299871423200003"/>
    <n v="11.789104000800002"/>
    <n v="0"/>
    <n v="0"/>
    <m/>
    <n v="12.367420999999998"/>
    <n v="0"/>
    <n v="34.088975424000004"/>
    <m/>
  </r>
  <r>
    <n v="239"/>
    <s v="JSR"/>
    <x v="11"/>
    <s v="NMPL"/>
    <x v="11"/>
    <n v="1568170"/>
    <s v="930801|189227-1568170"/>
    <s v="TUB-O-N-AUT-BH-FC-48.60X3.500X0.1960"/>
    <x v="0"/>
    <s v="Annealed"/>
    <x v="2"/>
    <s v="HR"/>
    <m/>
    <s v="Chamferring"/>
    <m/>
    <m/>
    <x v="128"/>
    <s v="48.6-0-3.5-ERW 1-FC-0.196"/>
    <n v="1"/>
    <s v="Hosur"/>
    <n v="6.0293119999999973"/>
    <n v="0"/>
    <m/>
    <x v="18"/>
    <x v="17"/>
    <x v="0"/>
    <x v="17"/>
    <n v="196"/>
    <s v="NOS"/>
    <m/>
    <m/>
    <n v="20000"/>
    <m/>
    <n v="5880"/>
    <n v="14120"/>
    <n v="15.252111028"/>
    <n v="4.4841206422319999"/>
    <n v="10.767990385768"/>
    <n v="34.723062206127025"/>
    <n v="2.648E-2"/>
    <m/>
    <n v="8.7743120000000001"/>
    <n v="0"/>
    <n v="15.225631028"/>
    <m/>
  </r>
  <r>
    <n v="290"/>
    <s v="Hosur"/>
    <x v="10"/>
    <s v="NMPL"/>
    <x v="10"/>
    <n v="2325414"/>
    <s v="189226|930794-2325414"/>
    <s v="TUB-O-AW-RHS-50.00X30.00X2.000X0.1400"/>
    <x v="0"/>
    <m/>
    <x v="2"/>
    <s v="HR"/>
    <m/>
    <m/>
    <m/>
    <m/>
    <x v="129"/>
    <s v="50-30-2-ERW 1-FC-0.14"/>
    <n v="1"/>
    <s v="Hosur"/>
    <n v="0"/>
    <n v="0"/>
    <m/>
    <x v="4"/>
    <x v="4"/>
    <x v="1"/>
    <x v="8"/>
    <n v="140"/>
    <s v="NOS"/>
    <m/>
    <m/>
    <n v="1000"/>
    <m/>
    <n v="0"/>
    <n v="1000"/>
    <n v="0.33680393599999997"/>
    <n v="0"/>
    <n v="0.33680393599999997"/>
    <n v="0"/>
    <n v="0"/>
    <m/>
    <n v="0"/>
    <n v="0"/>
    <n v="0.33680393599999997"/>
    <m/>
  </r>
  <r>
    <n v="291"/>
    <s v="Hosur"/>
    <x v="10"/>
    <s v="NMPL"/>
    <x v="10"/>
    <n v="1940881"/>
    <s v="189226|930794-1940881"/>
    <s v="TUB-R-AW-RHS-50.00X30.00X2.000X0.7300"/>
    <x v="0"/>
    <m/>
    <x v="2"/>
    <s v="HR"/>
    <m/>
    <m/>
    <m/>
    <m/>
    <x v="129"/>
    <s v="50-30-2-ERW 1-FC-0.73"/>
    <n v="1"/>
    <s v="Hosur"/>
    <n v="0"/>
    <n v="0"/>
    <m/>
    <x v="4"/>
    <x v="4"/>
    <x v="1"/>
    <x v="8"/>
    <n v="730"/>
    <s v="NOS"/>
    <m/>
    <m/>
    <n v="12000"/>
    <m/>
    <n v="23066"/>
    <n v="-11066"/>
    <n v="21.074303423999996"/>
    <n v="40.508323564831997"/>
    <n v="-19.434020140832001"/>
    <n v="751.40305619621699"/>
    <n v="1.3196079999999999"/>
    <m/>
    <n v="0"/>
    <n v="0"/>
    <n v="19.754695423999998"/>
    <m/>
  </r>
  <r>
    <n v="245"/>
    <s v="Hosur"/>
    <x v="11"/>
    <s v="NMPL"/>
    <x v="11"/>
    <n v="2353927"/>
    <s v="930801|189227-2353927"/>
    <s v="TUB-O-N-AUT-AW--50.80X1.600X0.3850"/>
    <x v="0"/>
    <m/>
    <x v="2"/>
    <s v="HR"/>
    <s v="HROP"/>
    <m/>
    <s v="AG"/>
    <m/>
    <x v="130"/>
    <s v="50.8-0-1.6-ERW 1-FC-0.385"/>
    <n v="1"/>
    <s v="Hosur"/>
    <n v="0"/>
    <n v="0"/>
    <m/>
    <x v="4"/>
    <x v="43"/>
    <x v="0"/>
    <x v="0"/>
    <n v="385"/>
    <s v="NOS"/>
    <m/>
    <m/>
    <n v="15000"/>
    <m/>
    <n v="0"/>
    <n v="15000"/>
    <n v="11.205632592000002"/>
    <n v="0"/>
    <n v="11.205632592000002"/>
    <n v="4815.0427525635932"/>
    <n v="3.5970400000000002"/>
    <m/>
    <n v="0"/>
    <n v="1.456"/>
    <n v="7.6085925920000026"/>
    <m/>
  </r>
  <r>
    <n v="294"/>
    <s v="Khopoli "/>
    <x v="10"/>
    <s v="NMPL"/>
    <x v="10"/>
    <n v="1470103"/>
    <s v="189226|930794-1470103"/>
    <s v="TUB-O-N-AUT-BH-FC-63.50X4.000X0.2360"/>
    <x v="0"/>
    <s v="Annealed"/>
    <x v="2"/>
    <s v="HR"/>
    <m/>
    <m/>
    <m/>
    <m/>
    <x v="61"/>
    <s v="63.5-0-4-ERW 1-FC-0.236"/>
    <n v="1"/>
    <s v="Khopoli"/>
    <n v="22.158319000000002"/>
    <n v="5.3900000000000006"/>
    <m/>
    <x v="25"/>
    <x v="24"/>
    <x v="0"/>
    <x v="11"/>
    <n v="236"/>
    <s v="NOS"/>
    <m/>
    <m/>
    <n v="16000"/>
    <m/>
    <n v="10357"/>
    <n v="5643"/>
    <n v="22.151760512000003"/>
    <n v="14.339111476424002"/>
    <n v="7.8126490355760012"/>
    <n v="0"/>
    <n v="0"/>
    <m/>
    <n v="72.060319000000021"/>
    <n v="0"/>
    <n v="22.151760512000003"/>
    <m/>
  </r>
  <r>
    <n v="214"/>
    <s v="Khopoli "/>
    <x v="10"/>
    <s v="NMPL"/>
    <x v="12"/>
    <n v="2429289"/>
    <s v="189226-2429289"/>
    <s v="TUB-O-N-AUT-AN-FC-63.50X4.000X5.0600"/>
    <x v="0"/>
    <s v="Annealed"/>
    <x v="2"/>
    <s v="HR"/>
    <m/>
    <m/>
    <m/>
    <m/>
    <x v="61"/>
    <s v="63.5-0-4-ERW 1-FC-5.06"/>
    <s v="#REF!"/>
    <m/>
    <m/>
    <m/>
    <m/>
    <x v="25"/>
    <x v="24"/>
    <x v="0"/>
    <x v="11"/>
    <n v="5060"/>
    <m/>
    <m/>
    <m/>
    <m/>
    <m/>
    <e v="#N/A"/>
    <e v="#N/A"/>
    <n v="0"/>
    <e v="#N/A"/>
    <e v="#N/A"/>
    <e v="#DIV/0!"/>
    <n v="0"/>
    <m/>
    <n v="72.060319000000021"/>
    <n v="0"/>
    <n v="0"/>
    <m/>
  </r>
  <r>
    <m/>
    <s v="Hosur"/>
    <x v="11"/>
    <s v="NMPL"/>
    <x v="11"/>
    <n v="1940437"/>
    <s v="930801|189227-1940437"/>
    <s v="TUB-O-O-AUT-AW-PE-22.23X2.000X0.3940"/>
    <x v="6"/>
    <m/>
    <x v="2"/>
    <s v="HR"/>
    <m/>
    <m/>
    <m/>
    <m/>
    <x v="131"/>
    <s v="22.23-0-2-ERW 2-FC-0.394"/>
    <m/>
    <m/>
    <n v="0"/>
    <m/>
    <m/>
    <x v="11"/>
    <x v="11"/>
    <x v="0"/>
    <x v="8"/>
    <n v="394"/>
    <s v="NOS"/>
    <m/>
    <m/>
    <n v="15200"/>
    <m/>
    <n v="0"/>
    <n v="15200"/>
    <n v="5.9726214963519997"/>
    <n v="0"/>
    <n v="5.9726214963519997"/>
    <n v="0"/>
    <n v="0"/>
    <m/>
    <n v="0"/>
    <n v="15.21"/>
    <n v="5.9726214963519997"/>
    <m/>
  </r>
  <r>
    <n v="232"/>
    <s v="Hosur"/>
    <x v="11"/>
    <s v="NMPL"/>
    <x v="11"/>
    <n v="1933557"/>
    <s v="930801|189227-1933557"/>
    <s v="TUB-O-N-AUT-AW-PE-28.58X1.600X0.8450"/>
    <x v="6"/>
    <m/>
    <x v="0"/>
    <s v="CR"/>
    <s v="ST52AL"/>
    <m/>
    <m/>
    <m/>
    <x v="132"/>
    <s v="28.58-0-1.6-ERW 2-PE-0.845"/>
    <s v="#REF!"/>
    <s v="Hosur"/>
    <m/>
    <m/>
    <m/>
    <x v="12"/>
    <x v="12"/>
    <x v="0"/>
    <x v="0"/>
    <n v="845"/>
    <s v="NOS"/>
    <m/>
    <m/>
    <m/>
    <m/>
    <n v="0"/>
    <n v="0"/>
    <n v="0"/>
    <n v="0"/>
    <n v="0"/>
    <e v="#DIV/0!"/>
    <n v="0"/>
    <m/>
    <n v="0"/>
    <n v="0"/>
    <n v="0"/>
    <m/>
  </r>
  <r>
    <n v="292"/>
    <s v="Khopoli "/>
    <x v="10"/>
    <s v="NMPL"/>
    <x v="10"/>
    <n v="2396464"/>
    <s v="189226|930794-2396464"/>
    <s v="TUB-O-N-AUT-AN-FC-54.00X3.000X1.1400"/>
    <x v="6"/>
    <m/>
    <x v="2"/>
    <s v="HR"/>
    <m/>
    <m/>
    <m/>
    <m/>
    <x v="62"/>
    <s v="54-0-3-ERW 2-FC-1.14"/>
    <n v="2"/>
    <s v="Khopoli"/>
    <n v="6.8230000000000004"/>
    <n v="23.695"/>
    <m/>
    <x v="26"/>
    <x v="25"/>
    <x v="0"/>
    <x v="19"/>
    <n v="1140"/>
    <s v="NOS"/>
    <m/>
    <m/>
    <n v="6000"/>
    <m/>
    <n v="4600"/>
    <n v="1400"/>
    <n v="25.795671479999999"/>
    <n v="19.776681468000003"/>
    <n v="6.0189900119999962"/>
    <n v="0"/>
    <n v="0"/>
    <m/>
    <n v="44.079000000000008"/>
    <n v="0"/>
    <n v="25.795671479999999"/>
    <m/>
  </r>
  <r>
    <n v="213"/>
    <s v="Khopoli "/>
    <x v="10"/>
    <s v="NMPL"/>
    <x v="12"/>
    <n v="2397139"/>
    <s v="189226-2397139"/>
    <s v="TUB-O-N-AUT-AN-FC-54.00X3.000X5.7500"/>
    <x v="6"/>
    <m/>
    <x v="2"/>
    <s v="HR"/>
    <m/>
    <m/>
    <m/>
    <m/>
    <x v="62"/>
    <s v="54-0-3-ERW 2-FC-5.75"/>
    <s v="#REF!"/>
    <m/>
    <m/>
    <m/>
    <m/>
    <x v="26"/>
    <x v="25"/>
    <x v="0"/>
    <x v="19"/>
    <n v="5750"/>
    <m/>
    <m/>
    <m/>
    <m/>
    <m/>
    <e v="#N/A"/>
    <e v="#N/A"/>
    <n v="0"/>
    <e v="#N/A"/>
    <e v="#N/A"/>
    <e v="#DIV/0!"/>
    <n v="0"/>
    <m/>
    <n v="44.079000000000008"/>
    <n v="0"/>
    <n v="0"/>
    <m/>
  </r>
  <r>
    <n v="246"/>
    <s v="JSR"/>
    <x v="11"/>
    <s v="NMPL"/>
    <x v="11"/>
    <n v="3157631"/>
    <s v="930801|189227-3157631"/>
    <s v="TUB-O-N-AUT-AW-FC-57.15X2.300X1.3650"/>
    <x v="6"/>
    <m/>
    <x v="2"/>
    <s v="CR"/>
    <m/>
    <m/>
    <s v="AG"/>
    <m/>
    <x v="133"/>
    <s v="57.15-0-2.3-ERW 2-FC-1.365"/>
    <n v="1"/>
    <s v="JSR"/>
    <n v="7.7157000000000003E-2"/>
    <n v="21.993891000000001"/>
    <m/>
    <x v="19"/>
    <x v="19"/>
    <x v="0"/>
    <x v="9"/>
    <n v="1365"/>
    <s v="NOS"/>
    <m/>
    <m/>
    <n v="12000"/>
    <m/>
    <n v="11968"/>
    <n v="32"/>
    <n v="50.935159466099996"/>
    <n v="50.799332374190399"/>
    <n v="0.13582709190959719"/>
    <n v="0"/>
    <n v="0"/>
    <m/>
    <n v="19.938757000000003"/>
    <n v="0"/>
    <n v="50.935159466099996"/>
    <m/>
  </r>
  <r>
    <n v="293"/>
    <s v="Khopoli "/>
    <x v="10"/>
    <s v="NMPL"/>
    <x v="10"/>
    <n v="1938127"/>
    <s v="189226|930794-1938127"/>
    <s v="TUB-S-AW-SHS-50.00X50.00X1.600X0.8470"/>
    <x v="6"/>
    <m/>
    <x v="0"/>
    <s v="CR"/>
    <s v="D"/>
    <m/>
    <m/>
    <m/>
    <x v="63"/>
    <s v="50-50-1.6-ERW 2-PE-0.847"/>
    <n v="2"/>
    <s v="JSR"/>
    <n v="1.3500029999999992"/>
    <n v="12.851100000000002"/>
    <m/>
    <x v="25"/>
    <x v="4"/>
    <x v="8"/>
    <x v="0"/>
    <n v="847"/>
    <s v="NOS"/>
    <m/>
    <m/>
    <n v="6000"/>
    <m/>
    <n v="0"/>
    <n v="6000"/>
    <n v="12.406366230720002"/>
    <n v="0"/>
    <n v="12.406366230720002"/>
    <n v="0"/>
    <n v="0"/>
    <m/>
    <n v="14.201103000000003"/>
    <n v="0"/>
    <n v="12.406366230720002"/>
    <m/>
  </r>
  <r>
    <n v="295"/>
    <s v="Khopoli "/>
    <x v="10"/>
    <s v="NMPL"/>
    <x v="10"/>
    <n v="1938128"/>
    <s v="189226|930794-1938128"/>
    <s v="TUB-O-N-AUT-AN-FC-70.00X3.200X0.4900"/>
    <x v="6"/>
    <s v="Annealed"/>
    <x v="2"/>
    <s v="HR"/>
    <m/>
    <m/>
    <s v="AG"/>
    <m/>
    <x v="64"/>
    <s v="70-0-3.2-ERW 2-FC-0.49"/>
    <n v="2"/>
    <s v="Khopoli"/>
    <n v="3.577916000000001"/>
    <n v="8.5230139999999999"/>
    <m/>
    <x v="27"/>
    <x v="26"/>
    <x v="0"/>
    <x v="13"/>
    <n v="490"/>
    <s v="NOS"/>
    <m/>
    <m/>
    <n v="6000"/>
    <m/>
    <n v="1920"/>
    <n v="4080"/>
    <n v="15.490772505600001"/>
    <n v="4.9570472017920002"/>
    <n v="10.533725303808001"/>
    <n v="0"/>
    <n v="0"/>
    <m/>
    <n v="38.373930000000001"/>
    <n v="0"/>
    <n v="15.490772505600001"/>
    <m/>
  </r>
  <r>
    <n v="215"/>
    <s v="Khopoli "/>
    <x v="10"/>
    <s v="NMPL"/>
    <x v="12"/>
    <n v="3557967"/>
    <s v="189226-3557967"/>
    <s v="TUB-O-N-AUT-AN-FC-70.00X3.200X6.4550"/>
    <x v="6"/>
    <m/>
    <x v="2"/>
    <s v="HR"/>
    <m/>
    <m/>
    <m/>
    <m/>
    <x v="64"/>
    <s v="70-0-3.2-ERW 2-FC-6.455"/>
    <s v="#REF!"/>
    <m/>
    <m/>
    <m/>
    <m/>
    <x v="27"/>
    <x v="26"/>
    <x v="0"/>
    <x v="13"/>
    <n v="6455"/>
    <m/>
    <m/>
    <m/>
    <m/>
    <m/>
    <e v="#N/A"/>
    <e v="#N/A"/>
    <n v="0"/>
    <e v="#N/A"/>
    <e v="#N/A"/>
    <e v="#DIV/0!"/>
    <n v="0"/>
    <m/>
    <n v="38.373930000000001"/>
    <n v="0"/>
    <n v="0"/>
    <m/>
  </r>
  <r>
    <n v="288"/>
    <s v="Hosur"/>
    <x v="10"/>
    <s v="NMPL"/>
    <x v="10"/>
    <n v="3539418"/>
    <s v="189226|930794-3539418"/>
    <s v="TUB-O-N-AUT-AW-PE-41.28X2.900X0.4200"/>
    <x v="2"/>
    <m/>
    <x v="1"/>
    <s v="HR"/>
    <m/>
    <m/>
    <m/>
    <m/>
    <x v="134"/>
    <s v="41.28-0-2.9---0.42"/>
    <s v="#REF!"/>
    <m/>
    <m/>
    <m/>
    <m/>
    <x v="15"/>
    <x v="32"/>
    <x v="0"/>
    <x v="25"/>
    <n v="420"/>
    <s v="NOS"/>
    <m/>
    <m/>
    <m/>
    <m/>
    <n v="0"/>
    <n v="0"/>
    <n v="0"/>
    <n v="0"/>
    <n v="0"/>
    <e v="#DIV/0!"/>
    <n v="0"/>
    <m/>
    <n v="0"/>
    <n v="0"/>
    <n v="0"/>
    <m/>
  </r>
  <r>
    <n v="299"/>
    <s v="Khopoli "/>
    <x v="12"/>
    <s v="Rajsriya Automotive Hosur"/>
    <x v="13"/>
    <m/>
    <s v="129695|187884|188415|189239|189240-"/>
    <m/>
    <x v="1"/>
    <m/>
    <x v="3"/>
    <s v="HR"/>
    <m/>
    <m/>
    <m/>
    <m/>
    <x v="8"/>
    <s v="16.1-0-2.8-CEW-CEW-4.5"/>
    <s v="#REF!"/>
    <m/>
    <m/>
    <m/>
    <m/>
    <x v="6"/>
    <x v="6"/>
    <x v="0"/>
    <x v="3"/>
    <n v="4500"/>
    <s v="M"/>
    <m/>
    <m/>
    <m/>
    <m/>
    <n v="0"/>
    <n v="0"/>
    <n v="0"/>
    <n v="0"/>
    <n v="0"/>
    <e v="#DIV/0!"/>
    <n v="0"/>
    <m/>
    <n v="1.8974299999999999"/>
    <n v="0"/>
    <n v="0"/>
    <m/>
  </r>
  <r>
    <n v="349"/>
    <s v="Khopoli "/>
    <x v="13"/>
    <s v="Rajsriya Automotive Hosur"/>
    <x v="13"/>
    <n v="2410996"/>
    <s v="129695|187884|188415|189239|189240-2410996"/>
    <s v="TUB-O-C-AUT-AD-FC-16.10X2.700X04-05"/>
    <x v="1"/>
    <m/>
    <x v="3"/>
    <s v="HR"/>
    <m/>
    <m/>
    <m/>
    <m/>
    <x v="135"/>
    <s v="16.1-10.4-2.7-CEW-CEW-1"/>
    <n v="2"/>
    <s v="Khopoli"/>
    <n v="6.2502170000000001"/>
    <n v="0"/>
    <m/>
    <x v="6"/>
    <x v="6"/>
    <x v="22"/>
    <x v="26"/>
    <n v="1000"/>
    <s v="M"/>
    <m/>
    <m/>
    <m/>
    <m/>
    <n v="0"/>
    <n v="0"/>
    <n v="0"/>
    <n v="0"/>
    <n v="0"/>
    <e v="#DIV/0!"/>
    <n v="0"/>
    <m/>
    <n v="7.4382169999999999"/>
    <n v="0"/>
    <n v="0"/>
    <m/>
  </r>
  <r>
    <n v="300"/>
    <s v="Khopoli "/>
    <x v="12"/>
    <s v="Rajsriya Automotive Hosur"/>
    <x v="13"/>
    <n v="1931824"/>
    <s v="129695|187884|188415|189239|189240-1931824"/>
    <s v="TUB-O-N-AUT-AW-PE-17.30X1.200X6.0000"/>
    <x v="1"/>
    <m/>
    <x v="3"/>
    <s v="HR"/>
    <m/>
    <m/>
    <m/>
    <m/>
    <x v="136"/>
    <s v="17.3-0-1.2-CEW-CEW-6"/>
    <s v="#REF!"/>
    <m/>
    <m/>
    <m/>
    <m/>
    <x v="7"/>
    <x v="7"/>
    <x v="0"/>
    <x v="2"/>
    <n v="6000"/>
    <m/>
    <m/>
    <m/>
    <m/>
    <m/>
    <e v="#N/A"/>
    <e v="#N/A"/>
    <n v="0"/>
    <e v="#N/A"/>
    <e v="#N/A"/>
    <e v="#DIV/0!"/>
    <n v="0"/>
    <m/>
    <n v="0"/>
    <n v="0"/>
    <n v="0"/>
    <m/>
  </r>
  <r>
    <n v="404"/>
    <s v="Khopoli "/>
    <x v="13"/>
    <s v="Rajsriya Automotive Hosur"/>
    <x v="13"/>
    <n v="2410998"/>
    <s v="129695|187884|188415|189239|189240-2410998"/>
    <s v="TUB-O-C-AUT-AD-FC-18.20X2.950X04-05"/>
    <x v="1"/>
    <m/>
    <x v="3"/>
    <s v="HR"/>
    <m/>
    <m/>
    <m/>
    <m/>
    <x v="137"/>
    <s v="18.2-12.3-2.95-CEW-CEW-1"/>
    <n v="1"/>
    <m/>
    <n v="0"/>
    <n v="0"/>
    <m/>
    <x v="41"/>
    <x v="42"/>
    <x v="23"/>
    <x v="4"/>
    <n v="1000"/>
    <s v="M"/>
    <m/>
    <m/>
    <n v="2500"/>
    <m/>
    <n v="0"/>
    <n v="2500"/>
    <n v="2.7722422187500007"/>
    <n v="0"/>
    <n v="2.7722422187500007"/>
    <n v="0"/>
    <n v="0"/>
    <m/>
    <n v="0"/>
    <n v="0"/>
    <n v="2.7722422187500007"/>
    <m/>
  </r>
  <r>
    <n v="356"/>
    <s v="Khopoli "/>
    <x v="14"/>
    <s v="Rajsriya Automotive Hosur"/>
    <x v="13"/>
    <n v="3545492"/>
    <s v="129695|187884|188415|189239|189240-3545492"/>
    <s v="TUB-O-C-AUT-AD-FC-19.00X3.250X0.1950"/>
    <x v="1"/>
    <m/>
    <x v="3"/>
    <s v="HR"/>
    <m/>
    <m/>
    <m/>
    <m/>
    <x v="81"/>
    <s v="19-12.5-3.25-CEW-CEW-0.195"/>
    <n v="2"/>
    <s v="Khopoli"/>
    <n v="2.9557899999999999"/>
    <n v="1.5056590000000001"/>
    <m/>
    <x v="32"/>
    <x v="29"/>
    <x v="14"/>
    <x v="23"/>
    <n v="195"/>
    <s v="NOS"/>
    <m/>
    <m/>
    <n v="40000"/>
    <m/>
    <n v="0"/>
    <n v="40000"/>
    <n v="9.841421362500002"/>
    <n v="0"/>
    <n v="9.841421362500002"/>
    <n v="0"/>
    <n v="0"/>
    <m/>
    <n v="6.3347900000000008"/>
    <n v="0"/>
    <n v="9.841421362500002"/>
    <m/>
  </r>
  <r>
    <n v="358"/>
    <s v="Khopoli "/>
    <x v="15"/>
    <s v="Rajsriya Automotive Hosur"/>
    <x v="13"/>
    <n v="1938191"/>
    <s v="129695|187884|188415|189239|189240-1938191"/>
    <s v="TUB-I-C-AUT-AD-FC-12.50X3.250X0.5880"/>
    <x v="1"/>
    <m/>
    <x v="3"/>
    <s v="HR"/>
    <m/>
    <m/>
    <m/>
    <m/>
    <x v="81"/>
    <s v="19-12.5-3.25-CEW-CEW-0.588"/>
    <n v="2"/>
    <s v="Khopoli"/>
    <n v="2.9557899999999999"/>
    <n v="1.5056590000000001"/>
    <m/>
    <x v="32"/>
    <x v="29"/>
    <x v="14"/>
    <x v="23"/>
    <n v="588"/>
    <s v="NOS"/>
    <m/>
    <m/>
    <m/>
    <m/>
    <n v="7748"/>
    <n v="-7748"/>
    <n v="0"/>
    <n v="5.7481773894090002"/>
    <n v="-5.7481773894090002"/>
    <e v="#DIV/0!"/>
    <n v="0"/>
    <m/>
    <n v="6.3347900000000008"/>
    <n v="0"/>
    <n v="0"/>
    <m/>
  </r>
  <r>
    <n v="301"/>
    <s v="Khopoli "/>
    <x v="12"/>
    <s v="Rajsriya Automotive Hosur"/>
    <x v="13"/>
    <n v="3468207"/>
    <s v="129695|187884|188415|189239|189240-3468207"/>
    <s v="TUB-O-C-AUT-AD-FC-19.00X3.250X5.0000"/>
    <x v="1"/>
    <m/>
    <x v="3"/>
    <s v="HR"/>
    <m/>
    <m/>
    <m/>
    <m/>
    <x v="81"/>
    <s v="19-12.5-3.25-CEW-CEW-5"/>
    <s v="#REF!"/>
    <m/>
    <m/>
    <m/>
    <m/>
    <x v="32"/>
    <x v="29"/>
    <x v="14"/>
    <x v="23"/>
    <n v="5000"/>
    <m/>
    <m/>
    <m/>
    <m/>
    <m/>
    <e v="#N/A"/>
    <e v="#N/A"/>
    <n v="0"/>
    <e v="#N/A"/>
    <e v="#N/A"/>
    <e v="#DIV/0!"/>
    <n v="0"/>
    <m/>
    <n v="6.3347900000000008"/>
    <n v="0"/>
    <n v="0"/>
    <m/>
  </r>
  <r>
    <n v="302"/>
    <s v="Khopoli "/>
    <x v="12"/>
    <s v="Rajsriya Automotive Hosur"/>
    <x v="13"/>
    <m/>
    <s v="129695|187884|188415|189239|189240-"/>
    <m/>
    <x v="1"/>
    <m/>
    <x v="3"/>
    <s v="HR"/>
    <m/>
    <m/>
    <m/>
    <m/>
    <x v="81"/>
    <s v="19-12.5-3.25-CEW-CEW-0.2"/>
    <s v="#REF!"/>
    <m/>
    <m/>
    <m/>
    <m/>
    <x v="2"/>
    <x v="29"/>
    <x v="14"/>
    <x v="23"/>
    <n v="200"/>
    <m/>
    <m/>
    <m/>
    <m/>
    <m/>
    <e v="#N/A"/>
    <e v="#N/A"/>
    <n v="0"/>
    <e v="#N/A"/>
    <e v="#N/A"/>
    <e v="#DIV/0!"/>
    <n v="0"/>
    <m/>
    <n v="6.3347900000000008"/>
    <n v="0"/>
    <n v="0"/>
    <m/>
  </r>
  <r>
    <n v="303"/>
    <s v="Khopoli "/>
    <x v="12"/>
    <s v="Rajsriya Automotive Hosur"/>
    <x v="13"/>
    <n v="3545491"/>
    <s v="129695|187884|188415|189239|189240-3545491"/>
    <s v="TUB-I-C-AUT-AD-FC-12.50X3.250X0.3190"/>
    <x v="1"/>
    <m/>
    <x v="3"/>
    <s v="HR"/>
    <m/>
    <m/>
    <m/>
    <m/>
    <x v="81"/>
    <s v="19-12.5-3.25-CEW-CEW-0.319"/>
    <s v="#REF!"/>
    <m/>
    <m/>
    <m/>
    <m/>
    <x v="2"/>
    <x v="29"/>
    <x v="14"/>
    <x v="23"/>
    <n v="319"/>
    <m/>
    <m/>
    <m/>
    <m/>
    <m/>
    <e v="#N/A"/>
    <e v="#N/A"/>
    <n v="0"/>
    <e v="#N/A"/>
    <e v="#N/A"/>
    <e v="#DIV/0!"/>
    <n v="0"/>
    <m/>
    <n v="6.3347900000000008"/>
    <n v="0"/>
    <n v="0"/>
    <m/>
  </r>
  <r>
    <n v="407"/>
    <s v="Khopoli "/>
    <x v="13"/>
    <s v="Rajsriya Automotive Hosur"/>
    <x v="13"/>
    <m/>
    <s v="129695|187884|188415|189239|189240-"/>
    <m/>
    <x v="1"/>
    <m/>
    <x v="3"/>
    <s v="HR"/>
    <m/>
    <m/>
    <m/>
    <m/>
    <x v="112"/>
    <s v="21.7-16.2-2.75-CEW-CEW-1"/>
    <s v="#REF!"/>
    <m/>
    <n v="0"/>
    <m/>
    <m/>
    <x v="38"/>
    <x v="38"/>
    <x v="19"/>
    <x v="24"/>
    <n v="1000"/>
    <s v="M"/>
    <m/>
    <m/>
    <n v="1500"/>
    <m/>
    <n v="0"/>
    <n v="1500"/>
    <n v="1.9267815187499999"/>
    <n v="0"/>
    <n v="1.9267815187499999"/>
    <n v="0"/>
    <n v="0"/>
    <m/>
    <n v="1.8677429999999999"/>
    <n v="0"/>
    <n v="1.9267815187499999"/>
    <m/>
  </r>
  <r>
    <n v="455"/>
    <s v="Khopoli "/>
    <x v="15"/>
    <s v="Rajsriya Automotive Hosur"/>
    <x v="13"/>
    <n v="1939544"/>
    <s v="129695|187884|188415|189239|189240-1939544"/>
    <s v="TUB-O-C-CEW-AD-FC-25.40X2.500X0.2170"/>
    <x v="1"/>
    <m/>
    <x v="3"/>
    <s v="HR"/>
    <m/>
    <m/>
    <m/>
    <m/>
    <x v="65"/>
    <s v="25.4-0-2.5-CEW-CEW-0.217"/>
    <n v="2"/>
    <s v="Khopoli"/>
    <n v="6.2467750000000013"/>
    <n v="0.99165099999999995"/>
    <m/>
    <x v="3"/>
    <x v="3"/>
    <x v="0"/>
    <x v="10"/>
    <n v="217"/>
    <s v="NOS"/>
    <m/>
    <m/>
    <n v="20000"/>
    <m/>
    <n v="3940"/>
    <n v="16060"/>
    <n v="6.1244137849999989"/>
    <n v="1.2065095156449996"/>
    <n v="4.9179042693549988"/>
    <n v="0"/>
    <n v="0"/>
    <m/>
    <n v="6.2467749999999995"/>
    <n v="0"/>
    <n v="6.1244137849999989"/>
    <m/>
  </r>
  <r>
    <n v="330"/>
    <s v="Khopoli "/>
    <x v="12"/>
    <s v="Rajsriya Automotive Hosur"/>
    <x v="13"/>
    <n v="1941408"/>
    <s v="129695|187884|188415|189239|189240-1941408"/>
    <s v="TUB-O-C-AUT-AD-FC-25.40X2.500X3.7300"/>
    <x v="1"/>
    <m/>
    <x v="3"/>
    <s v="HR"/>
    <m/>
    <m/>
    <m/>
    <m/>
    <x v="138"/>
    <s v="25.4-20.4-2.5-CEW-CEW-3.73"/>
    <s v="#REF!"/>
    <m/>
    <m/>
    <m/>
    <m/>
    <x v="3"/>
    <x v="3"/>
    <x v="6"/>
    <x v="10"/>
    <n v="3730"/>
    <m/>
    <m/>
    <m/>
    <m/>
    <m/>
    <e v="#N/A"/>
    <e v="#N/A"/>
    <n v="0"/>
    <e v="#N/A"/>
    <e v="#N/A"/>
    <e v="#DIV/0!"/>
    <n v="0"/>
    <m/>
    <n v="0"/>
    <n v="0"/>
    <n v="0"/>
    <m/>
  </r>
  <r>
    <n v="331"/>
    <s v="Khopoli "/>
    <x v="12"/>
    <s v="Rajsriya Automotive Hosur"/>
    <x v="13"/>
    <n v="503108"/>
    <s v="129695|187884|188415|189239|189240-503108"/>
    <s v="PT3-I-C-AUT-AD-CH-25.50X2.320X0.485"/>
    <x v="1"/>
    <m/>
    <x v="3"/>
    <s v="HR"/>
    <m/>
    <m/>
    <m/>
    <m/>
    <x v="139"/>
    <s v="30.15-25.5-2.32-CEW-CEW-0.485"/>
    <s v="#REF!"/>
    <m/>
    <m/>
    <m/>
    <m/>
    <x v="42"/>
    <x v="44"/>
    <x v="9"/>
    <x v="27"/>
    <n v="485"/>
    <m/>
    <m/>
    <m/>
    <m/>
    <m/>
    <e v="#N/A"/>
    <e v="#N/A"/>
    <n v="0"/>
    <e v="#N/A"/>
    <e v="#N/A"/>
    <e v="#DIV/0!"/>
    <n v="0"/>
    <m/>
    <n v="0"/>
    <n v="0"/>
    <n v="0"/>
    <m/>
  </r>
  <r>
    <n v="382"/>
    <s v="Khopoli "/>
    <x v="15"/>
    <s v="Rajsriya Automotive Hosur"/>
    <x v="13"/>
    <n v="403040"/>
    <s v="129695|187884|188415|189239|189240-403040"/>
    <s v="PT3-I-C-AUT-AD-CH-25.50X2.320X0.465"/>
    <x v="1"/>
    <m/>
    <x v="3"/>
    <s v="HR"/>
    <m/>
    <s v="Chamferring"/>
    <m/>
    <m/>
    <x v="68"/>
    <s v="30-25.5-2.25-CEW-CEW-0.465"/>
    <n v="1"/>
    <s v="Khopoli"/>
    <n v="12.114797000000001"/>
    <n v="0"/>
    <m/>
    <x v="29"/>
    <x v="27"/>
    <x v="9"/>
    <x v="20"/>
    <n v="465"/>
    <s v="NOS"/>
    <m/>
    <m/>
    <n v="10000"/>
    <m/>
    <n v="5000"/>
    <n v="5000"/>
    <n v="7.1951355337499994"/>
    <n v="3.5975677668749997"/>
    <n v="3.5975677668749997"/>
    <n v="0"/>
    <n v="0"/>
    <m/>
    <n v="13.387797000000001"/>
    <n v="0"/>
    <n v="7.1951355337499994"/>
    <m/>
  </r>
  <r>
    <n v="459"/>
    <s v="Khopoli "/>
    <x v="15"/>
    <s v="Rajsriya Automotive Hosur"/>
    <x v="13"/>
    <n v="2359755"/>
    <s v="129695|187884|188415|189239|189240-2359755"/>
    <s v="TUB-O-C-AUT-AD-FC-30.00X2.250X0.4850"/>
    <x v="1"/>
    <m/>
    <x v="3"/>
    <s v="HR"/>
    <m/>
    <s v="Chamferring"/>
    <m/>
    <m/>
    <x v="68"/>
    <s v="30-25.5-2.25-CEW-CEW-0.485"/>
    <n v="2"/>
    <s v="Khopoli"/>
    <n v="12.114797000000001"/>
    <n v="0"/>
    <m/>
    <x v="29"/>
    <x v="27"/>
    <x v="9"/>
    <x v="20"/>
    <n v="485"/>
    <s v="NOS"/>
    <m/>
    <m/>
    <n v="25000"/>
    <m/>
    <n v="16300"/>
    <n v="8700"/>
    <n v="18.761509321875"/>
    <n v="12.232504077862501"/>
    <n v="6.5290052440124988"/>
    <n v="0"/>
    <n v="0"/>
    <m/>
    <n v="13.387797000000001"/>
    <n v="0"/>
    <n v="18.761509321875"/>
    <m/>
  </r>
  <r>
    <n v="333"/>
    <s v="Hosur"/>
    <x v="12"/>
    <s v="Rajsriya Automotive Hosur"/>
    <x v="13"/>
    <m/>
    <s v="129695|187884|188415|189239|189240-"/>
    <m/>
    <x v="1"/>
    <m/>
    <x v="3"/>
    <s v="HR"/>
    <m/>
    <m/>
    <m/>
    <m/>
    <x v="140"/>
    <s v="36-34-0.91-CEW-CEW-0.168"/>
    <s v="#REF!"/>
    <m/>
    <m/>
    <m/>
    <m/>
    <x v="43"/>
    <x v="45"/>
    <x v="10"/>
    <x v="28"/>
    <n v="168"/>
    <m/>
    <m/>
    <m/>
    <m/>
    <m/>
    <e v="#N/A"/>
    <e v="#N/A"/>
    <n v="0"/>
    <e v="#N/A"/>
    <e v="#N/A"/>
    <e v="#DIV/0!"/>
    <n v="0"/>
    <m/>
    <n v="0"/>
    <n v="0"/>
    <n v="0"/>
    <m/>
  </r>
  <r>
    <n v="380"/>
    <s v="Hosur"/>
    <x v="15"/>
    <s v="Rajsriya Automotive Hosur"/>
    <x v="13"/>
    <m/>
    <s v="129695|187884|188415|189239|189240-"/>
    <m/>
    <x v="1"/>
    <m/>
    <x v="1"/>
    <m/>
    <m/>
    <m/>
    <m/>
    <m/>
    <x v="141"/>
    <s v="36-34-0.91-CEW--0.168"/>
    <s v="#REF!"/>
    <m/>
    <m/>
    <m/>
    <m/>
    <x v="43"/>
    <x v="45"/>
    <x v="10"/>
    <x v="28"/>
    <n v="168"/>
    <s v="NOS"/>
    <m/>
    <m/>
    <m/>
    <m/>
    <n v="0"/>
    <n v="0"/>
    <n v="0"/>
    <n v="0"/>
    <n v="0"/>
    <e v="#DIV/0!"/>
    <n v="0"/>
    <m/>
    <n v="0"/>
    <n v="0"/>
    <n v="0"/>
    <m/>
  </r>
  <r>
    <n v="471"/>
    <s v="Khopoli "/>
    <x v="15"/>
    <s v="Rajsriya Automotive Hosur"/>
    <x v="13"/>
    <n v="1938125"/>
    <s v="129695|187884|188415|189239|189240-1938125"/>
    <s v="TUB-I-C-AUT-AN-FC-34.00X2.500X0.2720"/>
    <x v="1"/>
    <m/>
    <x v="3"/>
    <s v="HR"/>
    <m/>
    <s v="Chamferring"/>
    <m/>
    <m/>
    <x v="69"/>
    <s v="39-34-2.5-CEW-CEW-0.272"/>
    <n v="2"/>
    <s v="Khopoli"/>
    <n v="6.342168"/>
    <n v="0"/>
    <m/>
    <x v="30"/>
    <x v="28"/>
    <x v="10"/>
    <x v="10"/>
    <n v="272"/>
    <s v="NOS"/>
    <m/>
    <m/>
    <n v="25000"/>
    <m/>
    <n v="12350"/>
    <n v="12650"/>
    <n v="15.294704499999998"/>
    <n v="7.5555840229999989"/>
    <n v="7.7391204769999993"/>
    <n v="0"/>
    <n v="0"/>
    <m/>
    <n v="7.4211679999999998"/>
    <n v="0"/>
    <n v="15.294704499999998"/>
    <m/>
  </r>
  <r>
    <n v="338"/>
    <s v="Khopoli "/>
    <x v="12"/>
    <s v="Rajsriya Automotive Hosur"/>
    <x v="13"/>
    <n v="2426233"/>
    <s v="129695|187884|188415|189239|189240-2426233"/>
    <s v="TUB-O-N-AUT-AN-FC-42.70X4.000X5.7300"/>
    <x v="1"/>
    <s v="Annealed"/>
    <x v="3"/>
    <s v="HR"/>
    <m/>
    <m/>
    <m/>
    <m/>
    <x v="142"/>
    <s v="42.7-0-4-CEW-CEW-5.739"/>
    <s v="#REF!"/>
    <m/>
    <m/>
    <m/>
    <m/>
    <x v="16"/>
    <x v="16"/>
    <x v="0"/>
    <x v="11"/>
    <n v="5739"/>
    <m/>
    <m/>
    <m/>
    <m/>
    <m/>
    <e v="#N/A"/>
    <e v="#N/A"/>
    <n v="0"/>
    <e v="#N/A"/>
    <e v="#N/A"/>
    <e v="#DIV/0!"/>
    <n v="0"/>
    <m/>
    <n v="0"/>
    <n v="0"/>
    <n v="0"/>
    <m/>
  </r>
  <r>
    <n v="346"/>
    <s v="Khopoli "/>
    <x v="12"/>
    <s v="Rajsriya Automotive Hosur"/>
    <x v="13"/>
    <n v="3594528"/>
    <s v="129695|187884|188415|189239|189240-3594528"/>
    <s v="TUB-O-N-AUT-AW-FC-60.30X2.000X6.0000"/>
    <x v="1"/>
    <m/>
    <x v="3"/>
    <s v="HR"/>
    <m/>
    <m/>
    <m/>
    <m/>
    <x v="143"/>
    <s v="60.3-0-2-CEW-CEW-6"/>
    <s v="#REF!"/>
    <m/>
    <m/>
    <m/>
    <m/>
    <x v="34"/>
    <x v="34"/>
    <x v="0"/>
    <x v="8"/>
    <n v="6000"/>
    <m/>
    <m/>
    <m/>
    <m/>
    <m/>
    <e v="#N/A"/>
    <e v="#N/A"/>
    <n v="0"/>
    <e v="#N/A"/>
    <e v="#N/A"/>
    <e v="#DIV/0!"/>
    <n v="0"/>
    <m/>
    <n v="0"/>
    <n v="0"/>
    <n v="0"/>
    <m/>
  </r>
  <r>
    <n v="296"/>
    <s v="Hosur"/>
    <x v="16"/>
    <s v="Rajsriya Automotive Hosur"/>
    <x v="13"/>
    <n v="1939992"/>
    <s v="129695|187884|188415|189239|189240-1939992"/>
    <s v="TUB-O-O-AUT-AW-PE-12.70X1.600X0.1870"/>
    <x v="0"/>
    <m/>
    <x v="0"/>
    <s v="HR"/>
    <m/>
    <m/>
    <m/>
    <m/>
    <x v="0"/>
    <s v="12.7-0-1.6-ERW 1-PE-0.187"/>
    <n v="1"/>
    <m/>
    <m/>
    <m/>
    <m/>
    <x v="0"/>
    <x v="0"/>
    <x v="0"/>
    <x v="0"/>
    <n v="187"/>
    <s v="NOS"/>
    <m/>
    <m/>
    <m/>
    <m/>
    <n v="0"/>
    <n v="0"/>
    <n v="0"/>
    <n v="0"/>
    <n v="0"/>
    <e v="#DIV/0!"/>
    <n v="0"/>
    <m/>
    <n v="6.5656999999999993E-2"/>
    <n v="8.9860000000000007"/>
    <n v="0"/>
    <m/>
  </r>
  <r>
    <n v="318"/>
    <s v="Hosur"/>
    <x v="13"/>
    <s v="Rajsriya Automotive Hosur"/>
    <x v="13"/>
    <n v="3223304"/>
    <s v="129695|187884|188415|189239|189240-3223304"/>
    <s v="TUB-O-N-AUT-AW-PE-12.70X1.600X0.2550"/>
    <x v="0"/>
    <m/>
    <x v="0"/>
    <s v="CR"/>
    <s v="HROP"/>
    <m/>
    <m/>
    <m/>
    <x v="0"/>
    <s v="12.7-0-1.6-ERW 1-PE-0.255"/>
    <n v="1"/>
    <s v="Hosur"/>
    <n v="0"/>
    <n v="0"/>
    <m/>
    <x v="0"/>
    <x v="0"/>
    <x v="0"/>
    <x v="0"/>
    <n v="255"/>
    <s v="NOS"/>
    <m/>
    <m/>
    <n v="50000"/>
    <m/>
    <n v="0"/>
    <n v="50000"/>
    <n v="5.5815195599999994"/>
    <n v="0"/>
    <n v="5.5815195599999994"/>
    <n v="66.29019141160191"/>
    <n v="7.4000000000000003E-3"/>
    <m/>
    <n v="6.5656999999999993E-2"/>
    <n v="8.9860000000000007"/>
    <n v="5.5741195599999998"/>
    <m/>
  </r>
  <r>
    <n v="297"/>
    <s v="Hosur"/>
    <x v="12"/>
    <s v="Rajsriya Automotive Hosur"/>
    <x v="13"/>
    <n v="2440974"/>
    <s v="129695|187884|188415|189239|189240-2440974"/>
    <s v="TUB-O-O-AUT-AW-PE-12.70X1.600X0.2800"/>
    <x v="0"/>
    <m/>
    <x v="0"/>
    <s v="HR"/>
    <m/>
    <m/>
    <m/>
    <m/>
    <x v="0"/>
    <s v="12.7-0-1.6-ERW 1-PE-0.28"/>
    <s v="#REF!"/>
    <m/>
    <m/>
    <m/>
    <m/>
    <x v="0"/>
    <x v="0"/>
    <x v="0"/>
    <x v="0"/>
    <n v="280"/>
    <m/>
    <m/>
    <m/>
    <m/>
    <m/>
    <e v="#N/A"/>
    <e v="#N/A"/>
    <n v="0"/>
    <e v="#N/A"/>
    <e v="#N/A"/>
    <e v="#DIV/0!"/>
    <n v="5.1509999999999993E-3"/>
    <m/>
    <n v="6.5656999999999993E-2"/>
    <n v="8.9860000000000007"/>
    <n v="-5.1509999999999993E-3"/>
    <m/>
  </r>
  <r>
    <n v="385"/>
    <s v="Hosur"/>
    <x v="16"/>
    <s v="Rajsriya Automotive Hosur"/>
    <x v="13"/>
    <n v="1940003"/>
    <s v="129695|187884|188415|189239|189240-1940003"/>
    <s v="TUB-O-O-AUT-AW-PE-12.70X1.600X0.3930"/>
    <x v="0"/>
    <m/>
    <x v="0"/>
    <s v="CR"/>
    <s v="WG"/>
    <m/>
    <m/>
    <m/>
    <x v="0"/>
    <s v="12.7-0-1.6-ERW 1-PE-0.393"/>
    <n v="1"/>
    <m/>
    <m/>
    <m/>
    <m/>
    <x v="0"/>
    <x v="0"/>
    <x v="0"/>
    <x v="0"/>
    <n v="393"/>
    <s v="NOS"/>
    <m/>
    <m/>
    <n v="5000"/>
    <m/>
    <n v="0"/>
    <n v="5000"/>
    <n v="0.86021066160000015"/>
    <n v="0"/>
    <n v="0.86021066160000015"/>
    <n v="0"/>
    <n v="0"/>
    <m/>
    <n v="6.5656999999999993E-2"/>
    <n v="8.9860000000000007"/>
    <n v="0.86021066160000015"/>
    <m/>
  </r>
  <r>
    <n v="386"/>
    <s v="Hosur"/>
    <x v="16"/>
    <s v="Rajsriya Automotive Hosur"/>
    <x v="13"/>
    <n v="2387804"/>
    <s v="129695|187884|188415|189239|189240-2387804"/>
    <s v="TUB-O-N-AUT-AW-PE-15.88X1.600X0.4420"/>
    <x v="0"/>
    <m/>
    <x v="0"/>
    <s v="CR"/>
    <s v="WG"/>
    <m/>
    <m/>
    <m/>
    <x v="15"/>
    <s v="15.88-0-1.6-ERW 1-PE-0.442"/>
    <n v="1"/>
    <s v="Hosur"/>
    <n v="0"/>
    <n v="0"/>
    <m/>
    <x v="1"/>
    <x v="1"/>
    <x v="0"/>
    <x v="0"/>
    <n v="442"/>
    <s v="NOS"/>
    <m/>
    <m/>
    <n v="5000"/>
    <m/>
    <n v="0"/>
    <n v="5000"/>
    <n v="1.2446285779199999"/>
    <n v="0"/>
    <n v="1.2446285779199999"/>
    <n v="0"/>
    <n v="0"/>
    <m/>
    <n v="0"/>
    <n v="3.8879999999999999"/>
    <n v="1.2446285779199999"/>
    <m/>
  </r>
  <r>
    <m/>
    <s v="Hosur"/>
    <x v="13"/>
    <s v="Rajsriya Automotive Hosur"/>
    <x v="13"/>
    <m/>
    <s v="129695|187884|188415|189239|189240-"/>
    <m/>
    <x v="0"/>
    <m/>
    <x v="0"/>
    <s v="CR"/>
    <s v="WG"/>
    <m/>
    <m/>
    <m/>
    <x v="15"/>
    <s v="15.88-0-1.6-ERW 1-PE-1"/>
    <m/>
    <m/>
    <n v="0"/>
    <n v="0"/>
    <m/>
    <x v="1"/>
    <x v="1"/>
    <x v="0"/>
    <x v="0"/>
    <n v="1000"/>
    <s v="M"/>
    <m/>
    <m/>
    <n v="2500"/>
    <m/>
    <n v="0"/>
    <n v="2500"/>
    <n v="1.4079508799999998"/>
    <n v="0"/>
    <n v="1.4079508799999998"/>
    <n v="0"/>
    <n v="0"/>
    <m/>
    <n v="0"/>
    <n v="3.8879999999999999"/>
    <n v="1.4079508799999998"/>
    <m/>
  </r>
  <r>
    <n v="298"/>
    <s v="Hosur"/>
    <x v="12"/>
    <s v="Rajsriya Automotive Hosur"/>
    <x v="13"/>
    <n v="1900224"/>
    <s v="129695|187884|188415|189239|189240-1900224"/>
    <s v="TUB-O-O-AUT-AW-PE-15.88X1.6.000X6.0000"/>
    <x v="0"/>
    <m/>
    <x v="0"/>
    <s v="HR"/>
    <m/>
    <m/>
    <m/>
    <m/>
    <x v="15"/>
    <s v="15.88-0-1.6-ERW 1-PE-6"/>
    <n v="1"/>
    <s v="Hosur"/>
    <m/>
    <m/>
    <m/>
    <x v="1"/>
    <x v="1"/>
    <x v="0"/>
    <x v="0"/>
    <n v="6000"/>
    <s v="M"/>
    <m/>
    <m/>
    <m/>
    <m/>
    <n v="0"/>
    <n v="0"/>
    <n v="0"/>
    <n v="0"/>
    <n v="0"/>
    <e v="#DIV/0!"/>
    <n v="0"/>
    <m/>
    <n v="0"/>
    <n v="3.8879999999999999"/>
    <n v="0"/>
    <m/>
  </r>
  <r>
    <n v="412"/>
    <s v="Hosur"/>
    <x v="14"/>
    <s v="Rajsriya Automotive Hosur"/>
    <x v="13"/>
    <n v="1940090"/>
    <s v="129695|187884|188415|189239|189240-1940090"/>
    <s v="TUB-O-O-AUT-AW-PE-15.88X2.000X0.2910"/>
    <x v="0"/>
    <m/>
    <x v="0"/>
    <s v="HR"/>
    <m/>
    <m/>
    <m/>
    <m/>
    <x v="16"/>
    <s v="15.88-0-2-ERW 1-PE-0.291"/>
    <n v="5"/>
    <s v="Hosur"/>
    <n v="0"/>
    <n v="0"/>
    <m/>
    <x v="1"/>
    <x v="1"/>
    <x v="0"/>
    <x v="8"/>
    <n v="291"/>
    <s v="NOS"/>
    <m/>
    <m/>
    <n v="5000"/>
    <m/>
    <n v="0"/>
    <n v="5000"/>
    <n v="0.99559282920000014"/>
    <n v="0"/>
    <n v="0.99559282920000014"/>
    <n v="1474.6691186795058"/>
    <n v="0.29363400000000001"/>
    <m/>
    <n v="0"/>
    <n v="0.24399999999999999"/>
    <n v="0.70195882920000008"/>
    <m/>
  </r>
  <r>
    <n v="379"/>
    <s v="Hosur"/>
    <x v="15"/>
    <s v="Rajsriya Automotive Hosur"/>
    <x v="13"/>
    <m/>
    <s v="129695|187884|188415|189239|189240-"/>
    <m/>
    <x v="0"/>
    <m/>
    <x v="0"/>
    <s v="HR"/>
    <m/>
    <m/>
    <m/>
    <m/>
    <x v="16"/>
    <s v="15.88-0-2-ERW 1-PE-0.537"/>
    <n v="1"/>
    <s v="Hosur"/>
    <m/>
    <m/>
    <m/>
    <x v="1"/>
    <x v="1"/>
    <x v="0"/>
    <x v="8"/>
    <n v="537"/>
    <s v="NOS"/>
    <m/>
    <m/>
    <m/>
    <m/>
    <n v="0"/>
    <n v="0"/>
    <n v="0"/>
    <n v="0"/>
    <n v="0"/>
    <e v="#DIV/0!"/>
    <n v="0"/>
    <m/>
    <n v="0"/>
    <n v="0.24399999999999999"/>
    <n v="0"/>
    <m/>
  </r>
  <r>
    <n v="304"/>
    <s v="Hosur"/>
    <x v="12"/>
    <s v="Rajsriya Automotive Hosur"/>
    <x v="13"/>
    <n v="1529261"/>
    <s v="129695|187884|188415|189239|189240-1529261"/>
    <s v="TUB-O-N-AUT-AW-PE-19.05X1.600X0.2890"/>
    <x v="0"/>
    <m/>
    <x v="1"/>
    <s v="HR"/>
    <m/>
    <m/>
    <m/>
    <m/>
    <x v="121"/>
    <s v="19.05-0-1.6-ERW 1--0.289"/>
    <s v="#REF!"/>
    <m/>
    <m/>
    <m/>
    <m/>
    <x v="2"/>
    <x v="2"/>
    <x v="0"/>
    <x v="0"/>
    <n v="289"/>
    <m/>
    <m/>
    <m/>
    <m/>
    <m/>
    <e v="#N/A"/>
    <e v="#N/A"/>
    <n v="0"/>
    <e v="#N/A"/>
    <e v="#N/A"/>
    <e v="#DIV/0!"/>
    <n v="0"/>
    <m/>
    <n v="0"/>
    <n v="0"/>
    <n v="0"/>
    <m/>
  </r>
  <r>
    <n v="305"/>
    <s v="Hosur"/>
    <x v="12"/>
    <s v="Rajsriya Automotive Hosur"/>
    <x v="13"/>
    <n v="1529260"/>
    <s v="129695|187884|188415|189239|189240-1529260"/>
    <s v="TUB-O-N-AUT-AW-PE-19.05X1.600X0.2990"/>
    <x v="0"/>
    <m/>
    <x v="1"/>
    <s v="HR"/>
    <m/>
    <m/>
    <m/>
    <m/>
    <x v="121"/>
    <s v="19.05-0-1.6-ERW 1--0.299"/>
    <s v="#REF!"/>
    <m/>
    <m/>
    <m/>
    <m/>
    <x v="2"/>
    <x v="2"/>
    <x v="0"/>
    <x v="0"/>
    <n v="299"/>
    <m/>
    <m/>
    <m/>
    <m/>
    <m/>
    <e v="#N/A"/>
    <e v="#N/A"/>
    <n v="0"/>
    <e v="#N/A"/>
    <e v="#N/A"/>
    <e v="#DIV/0!"/>
    <n v="0"/>
    <m/>
    <n v="0"/>
    <n v="0"/>
    <n v="0"/>
    <m/>
  </r>
  <r>
    <n v="373"/>
    <s v="Hosur"/>
    <x v="16"/>
    <s v="Rajsriya Automotive Hosur"/>
    <x v="13"/>
    <n v="1940266"/>
    <s v="129695|187884|188415|189239|189240-1940266"/>
    <s v="TUB-O-O-AUT-AW-PE-19.05X2.000X0.2130"/>
    <x v="0"/>
    <m/>
    <x v="0"/>
    <s v="HR"/>
    <m/>
    <m/>
    <m/>
    <m/>
    <x v="18"/>
    <s v="19.05-0-2-ERW 1-PE-0.213"/>
    <n v="1"/>
    <s v="Hosur"/>
    <n v="0"/>
    <n v="0"/>
    <m/>
    <x v="2"/>
    <x v="2"/>
    <x v="0"/>
    <x v="8"/>
    <n v="213"/>
    <s v="NOS"/>
    <m/>
    <m/>
    <n v="8000"/>
    <m/>
    <n v="0"/>
    <n v="8000"/>
    <n v="1.4322646536000001"/>
    <n v="0"/>
    <n v="1.4322646536000001"/>
    <n v="566.2137915374999"/>
    <n v="0.101371"/>
    <m/>
    <n v="0"/>
    <n v="11.189"/>
    <n v="1.3308936536"/>
    <m/>
  </r>
  <r>
    <n v="374"/>
    <s v="Hosur"/>
    <x v="16"/>
    <s v="Rajsriya Automotive Hosur"/>
    <x v="13"/>
    <n v="1940269"/>
    <s v="129695|187884|188415|189239|189240-1940269"/>
    <s v="TUB-O-O-AUT-AW-PE-19.05X2.000X0.2400"/>
    <x v="0"/>
    <m/>
    <x v="0"/>
    <s v="HR"/>
    <m/>
    <m/>
    <m/>
    <m/>
    <x v="18"/>
    <s v="19.05-0-2-ERW 1-PE-0.24"/>
    <n v="1"/>
    <s v="Hosur"/>
    <n v="0"/>
    <n v="0"/>
    <m/>
    <x v="2"/>
    <x v="2"/>
    <x v="0"/>
    <x v="8"/>
    <n v="240"/>
    <s v="NOS"/>
    <m/>
    <m/>
    <n v="8000"/>
    <m/>
    <n v="0"/>
    <n v="8000"/>
    <n v="1.6138193279999999"/>
    <n v="0"/>
    <n v="1.6138193279999999"/>
    <n v="280.40809286924093"/>
    <n v="5.6566000000000005E-2"/>
    <m/>
    <n v="0"/>
    <n v="11.189"/>
    <n v="1.5572533279999998"/>
    <m/>
  </r>
  <r>
    <n v="375"/>
    <s v="Hosur"/>
    <x v="16"/>
    <s v="Rajsriya Automotive Hosur"/>
    <x v="13"/>
    <n v="1940272"/>
    <s v="129695|187884|188415|189239|189240-1940272"/>
    <s v="TUB-O-O-AUT-AW-PE-19.05X2.000X0.2590"/>
    <x v="0"/>
    <m/>
    <x v="0"/>
    <s v="HR"/>
    <m/>
    <m/>
    <m/>
    <m/>
    <x v="18"/>
    <s v="19.05-0-2-ERW 1-PE-0.259"/>
    <n v="1"/>
    <s v="Hosur"/>
    <n v="0"/>
    <n v="0"/>
    <m/>
    <x v="2"/>
    <x v="2"/>
    <x v="0"/>
    <x v="8"/>
    <n v="259"/>
    <s v="NOS"/>
    <m/>
    <m/>
    <n v="8000"/>
    <m/>
    <n v="0"/>
    <n v="8000"/>
    <n v="1.7415800248000002"/>
    <n v="0"/>
    <n v="1.7415800248000002"/>
    <n v="43.307800345643926"/>
    <n v="9.4280000000000006E-3"/>
    <m/>
    <n v="0"/>
    <n v="11.189"/>
    <n v="1.7321520248000002"/>
    <m/>
  </r>
  <r>
    <n v="381"/>
    <s v="Hosur"/>
    <x v="15"/>
    <s v="Rajsriya Automotive Hosur"/>
    <x v="13"/>
    <n v="2422190"/>
    <s v="129695|187884|188415|189239|189240-2422190"/>
    <s v="TUB-O-N-AUT-AW-PE-19.05X2.000X0.2650"/>
    <x v="0"/>
    <m/>
    <x v="0"/>
    <s v="HR"/>
    <m/>
    <m/>
    <m/>
    <m/>
    <x v="18"/>
    <s v="19.05-0-2-ERW 1-PE-0.265"/>
    <s v="#REF!"/>
    <s v="Hosur"/>
    <n v="0"/>
    <n v="0"/>
    <m/>
    <x v="2"/>
    <x v="2"/>
    <x v="0"/>
    <x v="8"/>
    <n v="265"/>
    <s v="NOS"/>
    <m/>
    <m/>
    <n v="20000"/>
    <m/>
    <n v="0"/>
    <n v="20000"/>
    <n v="4.4548137699999995"/>
    <n v="0"/>
    <n v="4.4548137699999995"/>
    <n v="47.3824520839622"/>
    <n v="1.0553999999999999E-2"/>
    <m/>
    <n v="0"/>
    <n v="11.189"/>
    <n v="4.4442597699999995"/>
    <m/>
  </r>
  <r>
    <n v="306"/>
    <s v="Hosur"/>
    <x v="13"/>
    <s v="Rajsriya Automotive Hosur"/>
    <x v="13"/>
    <n v="2403386"/>
    <s v="129695|187884|188415|189239|189240-2403386"/>
    <s v="TUB-O-N-AUT-AW-PE-19.05X2.000X0.3580"/>
    <x v="0"/>
    <m/>
    <x v="0"/>
    <s v="HR"/>
    <m/>
    <m/>
    <m/>
    <m/>
    <x v="18"/>
    <s v="19.05-0-2-ERW 1-PE-0.358"/>
    <n v="2"/>
    <m/>
    <n v="0"/>
    <n v="0"/>
    <m/>
    <x v="2"/>
    <x v="2"/>
    <x v="0"/>
    <x v="8"/>
    <n v="358"/>
    <s v="NOS"/>
    <m/>
    <m/>
    <n v="10000"/>
    <m/>
    <n v="0"/>
    <n v="10000"/>
    <n v="3.0091006220000005"/>
    <n v="0"/>
    <n v="3.0091006220000005"/>
    <n v="69.61548526109739"/>
    <n v="2.0948000000000001E-2"/>
    <m/>
    <n v="0"/>
    <n v="11.189"/>
    <n v="2.9881526220000003"/>
    <m/>
  </r>
  <r>
    <n v="307"/>
    <s v="Hosur"/>
    <x v="12"/>
    <s v="Rajsriya Automotive Hosur"/>
    <x v="13"/>
    <n v="1432169"/>
    <s v="129695|187884|188415|189239|189240-1432169"/>
    <s v="TUB-O-N-AUT-AW-PE-19.05X2.000X0.4300"/>
    <x v="0"/>
    <m/>
    <x v="1"/>
    <s v="HR"/>
    <m/>
    <m/>
    <m/>
    <m/>
    <x v="144"/>
    <s v="19.05-0-2-ERW 1--0.43"/>
    <s v="#REF!"/>
    <m/>
    <m/>
    <m/>
    <m/>
    <x v="2"/>
    <x v="2"/>
    <x v="0"/>
    <x v="8"/>
    <n v="430"/>
    <m/>
    <m/>
    <m/>
    <m/>
    <m/>
    <e v="#N/A"/>
    <e v="#N/A"/>
    <n v="0"/>
    <e v="#N/A"/>
    <e v="#N/A"/>
    <e v="#DIV/0!"/>
    <n v="0"/>
    <m/>
    <n v="0"/>
    <n v="0"/>
    <n v="0"/>
    <m/>
  </r>
  <r>
    <n v="308"/>
    <s v="Hosur"/>
    <x v="12"/>
    <s v="Rajsriya Automotive Hosur"/>
    <x v="13"/>
    <n v="2403384"/>
    <s v="129695|187884|188415|189239|189240-2403384"/>
    <s v="TUB-O-N-AUT-AW-PE-19.05X2.000X0.4490"/>
    <x v="0"/>
    <m/>
    <x v="1"/>
    <s v="HR"/>
    <m/>
    <m/>
    <m/>
    <m/>
    <x v="144"/>
    <s v="19.05-0-2-ERW 1--0.449"/>
    <s v="#REF!"/>
    <m/>
    <m/>
    <m/>
    <m/>
    <x v="2"/>
    <x v="2"/>
    <x v="0"/>
    <x v="8"/>
    <n v="449"/>
    <m/>
    <m/>
    <m/>
    <m/>
    <m/>
    <e v="#N/A"/>
    <e v="#N/A"/>
    <n v="0"/>
    <e v="#N/A"/>
    <e v="#N/A"/>
    <e v="#DIV/0!"/>
    <n v="0"/>
    <m/>
    <n v="0"/>
    <n v="0"/>
    <n v="0"/>
    <m/>
  </r>
  <r>
    <n v="378"/>
    <s v="Hosur"/>
    <x v="13"/>
    <s v="Rajsriya Automotive Hosur"/>
    <x v="13"/>
    <n v="2403383"/>
    <s v="129695|187884|188415|189239|189240-2403383"/>
    <s v="TUB-O-N-AUT-AW-PE-19.05X2.000X0.4750"/>
    <x v="0"/>
    <m/>
    <x v="0"/>
    <s v="HR"/>
    <m/>
    <m/>
    <m/>
    <m/>
    <x v="18"/>
    <s v="19.05-0-2-ERW 1-PE-0.475"/>
    <n v="2"/>
    <s v="Hosur"/>
    <n v="0"/>
    <n v="0"/>
    <m/>
    <x v="2"/>
    <x v="2"/>
    <x v="0"/>
    <x v="8"/>
    <n v="475"/>
    <s v="NOS"/>
    <m/>
    <m/>
    <n v="20000"/>
    <m/>
    <n v="0"/>
    <n v="20000"/>
    <n v="7.9850435500000003"/>
    <n v="0"/>
    <n v="7.9850435500000003"/>
    <n v="22.041207276821929"/>
    <n v="8.8000000000000005E-3"/>
    <m/>
    <n v="0"/>
    <n v="11.189"/>
    <n v="7.9762435500000004"/>
    <m/>
  </r>
  <r>
    <n v="369"/>
    <s v="Hosur"/>
    <x v="14"/>
    <s v="Rajsriya Automotive Hosur"/>
    <x v="13"/>
    <m/>
    <s v="129695|187884|188415|189239|189240-"/>
    <s v="TUB-O-N-AUT-AW-FC-19.05X2.00X0.7750"/>
    <x v="0"/>
    <m/>
    <x v="0"/>
    <s v="HR"/>
    <s v="ST52AL"/>
    <m/>
    <s v="AG"/>
    <m/>
    <x v="18"/>
    <s v="19.05-0-2-ERW 1-PE-0.775"/>
    <n v="1"/>
    <s v="Hosur"/>
    <n v="0"/>
    <n v="0"/>
    <m/>
    <x v="2"/>
    <x v="2"/>
    <x v="0"/>
    <x v="8"/>
    <n v="775"/>
    <s v="NOS"/>
    <m/>
    <m/>
    <n v="5000"/>
    <m/>
    <n v="0"/>
    <n v="5000"/>
    <n v="3.2570572375000002"/>
    <n v="0"/>
    <n v="3.2570572375000002"/>
    <n v="415.47934264695277"/>
    <n v="0.270648"/>
    <m/>
    <n v="0"/>
    <n v="11.189"/>
    <n v="2.9864092375000002"/>
    <m/>
  </r>
  <r>
    <n v="383"/>
    <s v="Hosur"/>
    <x v="16"/>
    <s v="Rajsriya Automotive Hosur"/>
    <x v="13"/>
    <n v="1940302"/>
    <s v="129695|187884|188415|189239|189240-1940302"/>
    <s v="TUB-O-O-AUT-AW-PE-19.05X2.300X0.1950"/>
    <x v="0"/>
    <m/>
    <x v="0"/>
    <s v="HR"/>
    <m/>
    <m/>
    <m/>
    <m/>
    <x v="19"/>
    <s v="19.05-0-2.3-ERW 1-PE-0.195"/>
    <n v="1"/>
    <s v="Hosur"/>
    <n v="28.357190999999986"/>
    <n v="41.353166999999999"/>
    <m/>
    <x v="2"/>
    <x v="2"/>
    <x v="0"/>
    <x v="9"/>
    <n v="195"/>
    <s v="NOS"/>
    <m/>
    <m/>
    <n v="5000"/>
    <m/>
    <n v="0"/>
    <n v="5000"/>
    <n v="0.92586265687500002"/>
    <n v="0"/>
    <n v="0.92586265687500002"/>
    <n v="0"/>
    <n v="0"/>
    <m/>
    <n v="79.222118000000009"/>
    <n v="6.0149999999999997"/>
    <n v="0.92586265687500002"/>
    <m/>
  </r>
  <r>
    <n v="309"/>
    <s v="Hosur"/>
    <x v="13"/>
    <s v="Rajsriya Automotive Hosur"/>
    <x v="13"/>
    <n v="508988"/>
    <s v="129695|187884|188415|189239|189240-508988"/>
    <s v="PT2-O-N-AUT-AW-PE-19.05X2.300X0.303"/>
    <x v="0"/>
    <m/>
    <x v="0"/>
    <s v="HR"/>
    <m/>
    <m/>
    <m/>
    <m/>
    <x v="19"/>
    <s v="19.05-0-2.3-ERW 1-PE-0.303"/>
    <s v="#REF!"/>
    <m/>
    <n v="28.357190999999986"/>
    <n v="41.353166999999999"/>
    <m/>
    <x v="2"/>
    <x v="2"/>
    <x v="0"/>
    <x v="9"/>
    <n v="303"/>
    <s v="NOS"/>
    <m/>
    <m/>
    <n v="8000"/>
    <m/>
    <n v="0"/>
    <n v="8000"/>
    <n v="2.3018370053999995"/>
    <n v="0"/>
    <n v="2.3018370053999995"/>
    <n v="234.80376704869187"/>
    <n v="6.7559999999999995E-2"/>
    <m/>
    <n v="79.222118000000009"/>
    <n v="6.0149999999999997"/>
    <n v="2.2342770053999996"/>
    <m/>
  </r>
  <r>
    <n v="310"/>
    <s v="Hosur"/>
    <x v="12"/>
    <s v="Rajsriya Automotive Hosur"/>
    <x v="13"/>
    <n v="508992"/>
    <s v="129695|187884|188415|189239|189240-508992"/>
    <s v="PT2-O-N-AUT-AW-PE-19.05X2.300X0.459"/>
    <x v="0"/>
    <m/>
    <x v="1"/>
    <s v="HR"/>
    <m/>
    <m/>
    <m/>
    <m/>
    <x v="145"/>
    <s v="19.05-0-2.3-ERW 1--0.459"/>
    <s v="#REF!"/>
    <m/>
    <m/>
    <m/>
    <m/>
    <x v="2"/>
    <x v="2"/>
    <x v="0"/>
    <x v="9"/>
    <n v="459"/>
    <m/>
    <m/>
    <m/>
    <m/>
    <m/>
    <e v="#N/A"/>
    <e v="#N/A"/>
    <n v="0"/>
    <e v="#N/A"/>
    <e v="#N/A"/>
    <e v="#DIV/0!"/>
    <n v="0"/>
    <m/>
    <n v="0"/>
    <n v="0"/>
    <n v="0"/>
    <m/>
  </r>
  <r>
    <n v="384"/>
    <s v="Hosur"/>
    <x v="13"/>
    <s v="Rajsriya Automotive Hosur"/>
    <x v="13"/>
    <n v="1940324"/>
    <s v="129695|187884|188415|189239|189240-1940324"/>
    <s v="TUB-O-O-AUT-AW-PE-19.05X2.300X0.5540"/>
    <x v="0"/>
    <m/>
    <x v="0"/>
    <s v="HR"/>
    <m/>
    <m/>
    <m/>
    <m/>
    <x v="19"/>
    <s v="19.05-0-2.3-ERW 1-PE-0.554"/>
    <s v="#REF!"/>
    <s v="Hosur"/>
    <n v="28.357190999999986"/>
    <n v="41.353166999999999"/>
    <m/>
    <x v="2"/>
    <x v="2"/>
    <x v="0"/>
    <x v="9"/>
    <n v="554"/>
    <s v="NOS"/>
    <m/>
    <m/>
    <n v="8000"/>
    <m/>
    <n v="0"/>
    <n v="8000"/>
    <n v="4.2086392771999996"/>
    <n v="0"/>
    <n v="4.2086392771999996"/>
    <n v="0"/>
    <n v="0"/>
    <m/>
    <n v="79.222118000000009"/>
    <n v="6.0149999999999997"/>
    <n v="4.2086392771999996"/>
    <m/>
  </r>
  <r>
    <n v="311"/>
    <s v="Hosur"/>
    <x v="12"/>
    <s v="Rajsriya Automotive Hosur"/>
    <x v="13"/>
    <n v="437150"/>
    <s v="129695|187884|188415|189239|189240-437150"/>
    <s v="PT2-O-N-AUT-AW-PE-19.05X2.300X0.555"/>
    <x v="0"/>
    <m/>
    <x v="1"/>
    <s v="HR"/>
    <m/>
    <m/>
    <m/>
    <m/>
    <x v="145"/>
    <s v="19.05-0-2.3-ERW 1--0.555"/>
    <s v="#REF!"/>
    <m/>
    <m/>
    <m/>
    <m/>
    <x v="2"/>
    <x v="2"/>
    <x v="0"/>
    <x v="9"/>
    <n v="555"/>
    <m/>
    <m/>
    <m/>
    <m/>
    <m/>
    <e v="#N/A"/>
    <e v="#N/A"/>
    <n v="0"/>
    <e v="#N/A"/>
    <e v="#N/A"/>
    <e v="#DIV/0!"/>
    <n v="0"/>
    <m/>
    <n v="0"/>
    <n v="0"/>
    <n v="0"/>
    <m/>
  </r>
  <r>
    <n v="387"/>
    <s v="Hosur"/>
    <x v="16"/>
    <s v="Rajsriya Automotive Hosur"/>
    <x v="13"/>
    <n v="1940325"/>
    <s v="129695|187884|188415|189239|189240-1940325"/>
    <s v="TUB-O-O-AUT-AW-PE-19.05X2.300X0.5700"/>
    <x v="0"/>
    <m/>
    <x v="0"/>
    <s v="HR"/>
    <m/>
    <m/>
    <m/>
    <m/>
    <x v="19"/>
    <s v="19.05-0-2.3-ERW 1-PE-0.57"/>
    <s v="#REF!"/>
    <s v="Hosur"/>
    <n v="28.357190999999986"/>
    <n v="41.353166999999999"/>
    <m/>
    <x v="2"/>
    <x v="2"/>
    <x v="0"/>
    <x v="9"/>
    <n v="570"/>
    <s v="NOS"/>
    <m/>
    <m/>
    <n v="5000"/>
    <m/>
    <n v="4835"/>
    <n v="165"/>
    <n v="2.7063677662500005"/>
    <n v="2.61705762996375"/>
    <n v="8.9310136286250508E-2"/>
    <n v="689.3002581777256"/>
    <n v="0.37309999999999999"/>
    <m/>
    <n v="79.222118000000009"/>
    <n v="6.0149999999999997"/>
    <n v="2.3332677662500005"/>
    <m/>
  </r>
  <r>
    <n v="388"/>
    <s v="Hosur"/>
    <x v="16"/>
    <s v="Rajsriya Automotive Hosur"/>
    <x v="13"/>
    <n v="1940327"/>
    <s v="129695|187884|188415|189239|189240-1940327"/>
    <s v="TUB-O-O-AUT-AW-PE-19.05X2.300X0.5850"/>
    <x v="0"/>
    <m/>
    <x v="0"/>
    <s v="HR"/>
    <m/>
    <m/>
    <m/>
    <m/>
    <x v="19"/>
    <s v="19.05-0-2.3-ERW 1-PE-0.585"/>
    <n v="1"/>
    <s v="Hosur"/>
    <n v="28.357190999999986"/>
    <n v="41.353166999999999"/>
    <m/>
    <x v="2"/>
    <x v="2"/>
    <x v="0"/>
    <x v="9"/>
    <n v="585"/>
    <s v="NOS"/>
    <m/>
    <m/>
    <n v="4000"/>
    <m/>
    <n v="7000"/>
    <n v="-3000"/>
    <n v="2.2220703765000001"/>
    <n v="3.8886231588749993"/>
    <n v="-1.6665527823749993"/>
    <n v="0"/>
    <n v="0"/>
    <m/>
    <n v="79.222118000000009"/>
    <n v="6.0149999999999997"/>
    <n v="2.2220703765000001"/>
    <m/>
  </r>
  <r>
    <n v="389"/>
    <s v="Hosur"/>
    <x v="15"/>
    <s v="Rajsriya Automotive Hosur"/>
    <x v="13"/>
    <n v="3535743"/>
    <s v="129695|187884|188415|189239|189240-3535743"/>
    <s v="TUB-O-N-AUT-AW-PE-19.05X2.300X0.6000"/>
    <x v="0"/>
    <m/>
    <x v="0"/>
    <s v="HR"/>
    <m/>
    <m/>
    <m/>
    <m/>
    <x v="19"/>
    <s v="19.05-0-2.3-ERW 1-PE-0.6"/>
    <s v="#REF!"/>
    <s v="Hosur"/>
    <n v="28.357190999999986"/>
    <n v="41.353166999999999"/>
    <m/>
    <x v="2"/>
    <x v="2"/>
    <x v="0"/>
    <x v="9"/>
    <n v="600"/>
    <s v="NOS"/>
    <m/>
    <m/>
    <n v="6000"/>
    <m/>
    <n v="0"/>
    <n v="6000"/>
    <n v="3.4185698099999993"/>
    <n v="0"/>
    <n v="3.4185698099999993"/>
    <n v="0"/>
    <n v="0"/>
    <m/>
    <n v="79.222118000000009"/>
    <n v="6.0149999999999997"/>
    <n v="3.4185698099999993"/>
    <m/>
  </r>
  <r>
    <n v="391"/>
    <s v="Hosur"/>
    <x v="16"/>
    <s v="Rajsriya Automotive Hosur"/>
    <x v="13"/>
    <n v="1268694"/>
    <s v="129695|187884|188415|189239|189240-1268694"/>
    <s v="TUB-O-N-AUT-AW-PE-19.05X2.300X7.00-ERW 1"/>
    <x v="0"/>
    <m/>
    <x v="0"/>
    <s v="HR"/>
    <m/>
    <m/>
    <m/>
    <m/>
    <x v="19"/>
    <s v="19.05-0-2.3-ERW 1-PE-1"/>
    <s v="#REF!"/>
    <s v="Hosur"/>
    <n v="28.357190999999986"/>
    <n v="41.353166999999999"/>
    <m/>
    <x v="2"/>
    <x v="2"/>
    <x v="0"/>
    <x v="9"/>
    <n v="1000"/>
    <s v="M"/>
    <m/>
    <m/>
    <n v="2000"/>
    <m/>
    <n v="0"/>
    <n v="2000"/>
    <n v="1.8992054499999997"/>
    <n v="0"/>
    <n v="1.8992054499999997"/>
    <n v="11544.827864726276"/>
    <n v="10.963000000000001"/>
    <m/>
    <n v="79.222118000000009"/>
    <n v="6.0149999999999997"/>
    <n v="-9.0637945500000008"/>
    <m/>
  </r>
  <r>
    <n v="390"/>
    <s v="Hosur"/>
    <x v="12"/>
    <s v="Rajsriya Automotive Hosur"/>
    <x v="13"/>
    <n v="1268694"/>
    <s v="129695|187884|188415|189239|189240-1268694"/>
    <s v="TUB-O-N-AUT-AW-PE-19.05X2.300X7.00-ERW 1"/>
    <x v="0"/>
    <m/>
    <x v="0"/>
    <s v="HR"/>
    <m/>
    <m/>
    <m/>
    <m/>
    <x v="19"/>
    <s v="19.05-0-2.3-ERW 1-PE-1"/>
    <s v="#REF!"/>
    <s v="Hosur"/>
    <m/>
    <m/>
    <m/>
    <x v="2"/>
    <x v="2"/>
    <x v="0"/>
    <x v="9"/>
    <n v="1000"/>
    <s v="M"/>
    <m/>
    <m/>
    <m/>
    <m/>
    <n v="0"/>
    <n v="0"/>
    <n v="0"/>
    <n v="0"/>
    <n v="0"/>
    <e v="#DIV/0!"/>
    <n v="10.963000000000001"/>
    <m/>
    <n v="79.222118000000009"/>
    <n v="6.0149999999999997"/>
    <n v="-10.963000000000001"/>
    <m/>
  </r>
  <r>
    <n v="312"/>
    <s v="Hosur"/>
    <x v="12"/>
    <s v="Rajsriya Automotive Hosur"/>
    <x v="13"/>
    <n v="2332783"/>
    <s v="129695|187884|188415|189239|189240-2332783"/>
    <s v="TUB-O-N-AUT-AW-PE-19.05X2.300X0.5500"/>
    <x v="0"/>
    <m/>
    <x v="1"/>
    <s v="HR"/>
    <m/>
    <m/>
    <m/>
    <m/>
    <x v="146"/>
    <s v="19.05-0-2.34-ERW 1--0.55"/>
    <s v="#REF!"/>
    <m/>
    <m/>
    <m/>
    <m/>
    <x v="2"/>
    <x v="2"/>
    <x v="0"/>
    <x v="29"/>
    <n v="550"/>
    <m/>
    <m/>
    <m/>
    <m/>
    <m/>
    <e v="#N/A"/>
    <e v="#N/A"/>
    <n v="0"/>
    <e v="#N/A"/>
    <e v="#N/A"/>
    <e v="#DIV/0!"/>
    <n v="0"/>
    <m/>
    <n v="0"/>
    <n v="0"/>
    <n v="0"/>
    <m/>
  </r>
  <r>
    <n v="395"/>
    <s v="Hosur"/>
    <x v="17"/>
    <s v="Rajsriya Automotive Hosur"/>
    <x v="13"/>
    <n v="4083986"/>
    <s v="129695|187884|188415|189239|189240-4083986"/>
    <s v="HT1-O-N-AUT-AW-PE-22.23X1.200X0.2970"/>
    <x v="0"/>
    <m/>
    <x v="0"/>
    <s v="CR"/>
    <m/>
    <m/>
    <m/>
    <m/>
    <x v="20"/>
    <s v="22.23-0-1.2-ERW 1-PE-0.297"/>
    <n v="1"/>
    <s v="Hosur"/>
    <n v="0"/>
    <n v="0.24293999999999999"/>
    <m/>
    <x v="11"/>
    <x v="11"/>
    <x v="0"/>
    <x v="2"/>
    <n v="297"/>
    <s v="NOS"/>
    <m/>
    <m/>
    <n v="8000"/>
    <m/>
    <n v="0"/>
    <n v="8000"/>
    <n v="1.4779721816640001"/>
    <n v="0"/>
    <n v="1.4779721816640001"/>
    <n v="0"/>
    <n v="0"/>
    <m/>
    <n v="8.5000000000000006E-2"/>
    <n v="3.1040000000000001"/>
    <n v="1.4779721816640001"/>
    <m/>
  </r>
  <r>
    <n v="315"/>
    <s v="Hosur"/>
    <x v="16"/>
    <s v="Rajsriya Automotive Hosur"/>
    <x v="13"/>
    <n v="1940360"/>
    <s v="129695|187884|188415|189239|189240-1940360"/>
    <s v="TUB-O-O-AUT-AW-PE-22.23X1.200X0.6000"/>
    <x v="0"/>
    <m/>
    <x v="0"/>
    <s v="HR"/>
    <m/>
    <m/>
    <m/>
    <m/>
    <x v="20"/>
    <s v="22.23-0-1.2-ERW 1-PE-0.6"/>
    <n v="1"/>
    <m/>
    <m/>
    <m/>
    <m/>
    <x v="11"/>
    <x v="11"/>
    <x v="0"/>
    <x v="2"/>
    <n v="600"/>
    <s v="NOS"/>
    <m/>
    <m/>
    <m/>
    <m/>
    <n v="0"/>
    <n v="0"/>
    <n v="0"/>
    <n v="0"/>
    <n v="0"/>
    <e v="#DIV/0!"/>
    <n v="0"/>
    <m/>
    <n v="8.5000000000000006E-2"/>
    <n v="3.1040000000000001"/>
    <n v="0"/>
    <m/>
  </r>
  <r>
    <n v="398"/>
    <s v="Hosur"/>
    <x v="17"/>
    <s v="Rajsriya Automotive Hosur"/>
    <x v="13"/>
    <n v="3507568"/>
    <s v="129695|187884|188415|189239|189240-3507568"/>
    <s v="CUT-O-N-AUT-AW-PE-22.20X1.200X0.6810"/>
    <x v="0"/>
    <m/>
    <x v="0"/>
    <s v="CR"/>
    <m/>
    <m/>
    <m/>
    <m/>
    <x v="20"/>
    <s v="22.23-0-1.2-ERW 1-PE-0.681"/>
    <n v="1"/>
    <s v="Hosur"/>
    <n v="0"/>
    <n v="0.24293999999999999"/>
    <m/>
    <x v="11"/>
    <x v="11"/>
    <x v="0"/>
    <x v="2"/>
    <n v="681"/>
    <s v="NOS"/>
    <m/>
    <m/>
    <n v="5000"/>
    <m/>
    <n v="0"/>
    <n v="5000"/>
    <n v="2.1180535684200006"/>
    <n v="0"/>
    <n v="2.1180535684200006"/>
    <n v="470.23362149568715"/>
    <n v="0.19919600000000001"/>
    <m/>
    <n v="8.5000000000000006E-2"/>
    <n v="3.1040000000000001"/>
    <n v="1.9188575684200007"/>
    <m/>
  </r>
  <r>
    <n v="316"/>
    <s v="Hosur"/>
    <x v="12"/>
    <s v="Rajsriya Automotive Hosur"/>
    <x v="13"/>
    <n v="3747395"/>
    <s v="129695|187884|188415|189239|189240-3747395"/>
    <s v="PT2-O-N-AUT-AW-PE-22.20X1.600X0.361"/>
    <x v="0"/>
    <m/>
    <x v="1"/>
    <s v="HR"/>
    <m/>
    <m/>
    <m/>
    <m/>
    <x v="147"/>
    <s v="22.23-0-1.6-ERW 1--0.361"/>
    <s v="#REF!"/>
    <m/>
    <m/>
    <m/>
    <m/>
    <x v="11"/>
    <x v="11"/>
    <x v="0"/>
    <x v="0"/>
    <n v="361"/>
    <m/>
    <m/>
    <m/>
    <m/>
    <m/>
    <e v="#N/A"/>
    <e v="#N/A"/>
    <n v="0"/>
    <e v="#N/A"/>
    <e v="#N/A"/>
    <e v="#DIV/0!"/>
    <n v="0"/>
    <m/>
    <n v="0"/>
    <n v="0"/>
    <n v="0"/>
    <m/>
  </r>
  <r>
    <n v="400"/>
    <s v="Hosur"/>
    <x v="16"/>
    <s v="Rajsriya Automotive Hosur"/>
    <x v="13"/>
    <n v="1940399"/>
    <s v="129695|187884|188415|189239|189240-1940399"/>
    <s v="TUB-O-O-AUT-AW-PE-22.23X1.600X0.4010"/>
    <x v="0"/>
    <m/>
    <x v="0"/>
    <s v="CR"/>
    <s v="WG"/>
    <m/>
    <m/>
    <m/>
    <x v="21"/>
    <s v="22.23-0-1.6-ERW 1-PE-0.401"/>
    <n v="1"/>
    <s v="Hosur"/>
    <n v="5.9161999999999937E-2"/>
    <n v="0"/>
    <m/>
    <x v="11"/>
    <x v="11"/>
    <x v="0"/>
    <x v="0"/>
    <n v="401"/>
    <s v="NOS"/>
    <m/>
    <m/>
    <n v="6000"/>
    <m/>
    <n v="8300"/>
    <n v="-2300"/>
    <n v="1.9575557459520001"/>
    <n v="2.7079521152336001"/>
    <n v="-0.75039636928160003"/>
    <n v="73.757286503114656"/>
    <n v="2.4063999999999999E-2"/>
    <m/>
    <n v="10.773161999999999"/>
    <n v="0"/>
    <n v="1.933491745952"/>
    <m/>
  </r>
  <r>
    <n v="402"/>
    <s v="Hosur"/>
    <x v="16"/>
    <s v="Rajsriya Automotive Hosur"/>
    <x v="13"/>
    <n v="3556680"/>
    <s v="129695|187884|188415|189239|189240-3556680"/>
    <s v="TUB-N-AUT-AW-PE-22.20X1.600X0.6400"/>
    <x v="0"/>
    <m/>
    <x v="0"/>
    <s v="CR"/>
    <s v="GR1"/>
    <m/>
    <m/>
    <m/>
    <x v="21"/>
    <s v="22.23-0-1.6-ERW 1-PE-0.64"/>
    <n v="1"/>
    <s v="Hosur"/>
    <n v="5.9161999999999937E-2"/>
    <n v="0"/>
    <m/>
    <x v="11"/>
    <x v="11"/>
    <x v="0"/>
    <x v="0"/>
    <n v="640"/>
    <s v="NOS"/>
    <m/>
    <m/>
    <n v="12000"/>
    <m/>
    <n v="3025"/>
    <n v="8975"/>
    <n v="6.2485569945599995"/>
    <n v="1.5751570757119999"/>
    <n v="4.6733999188479993"/>
    <n v="17.072741769479855"/>
    <n v="8.8900000000000003E-3"/>
    <m/>
    <n v="10.773161999999999"/>
    <n v="0"/>
    <n v="6.2396669945599994"/>
    <m/>
  </r>
  <r>
    <n v="405"/>
    <s v="Hosur"/>
    <x v="13"/>
    <s v="Rajsriya Automotive Hosur"/>
    <x v="13"/>
    <n v="1940420"/>
    <s v="129695|187884|188415|189239|189240-1940420"/>
    <s v="TUB-O-O-AUT-AW-PE-22.23X1.600X1.1750"/>
    <x v="0"/>
    <m/>
    <x v="0"/>
    <s v="CR"/>
    <s v="GR1"/>
    <m/>
    <m/>
    <m/>
    <x v="21"/>
    <s v="22.23-0-1.6-ERW 1-PE-1.175"/>
    <n v="1"/>
    <s v="Hosur"/>
    <n v="5.9161999999999937E-2"/>
    <n v="0"/>
    <m/>
    <x v="11"/>
    <x v="11"/>
    <x v="0"/>
    <x v="0"/>
    <n v="1175"/>
    <s v="NOS"/>
    <m/>
    <m/>
    <n v="15000"/>
    <m/>
    <n v="2077"/>
    <n v="12923"/>
    <n v="14.339950134"/>
    <n v="1.9856050952211999"/>
    <n v="12.354345038778801"/>
    <n v="64.018005043363971"/>
    <n v="6.1200999999999998E-2"/>
    <m/>
    <n v="10.773161999999999"/>
    <n v="0"/>
    <n v="14.278749134"/>
    <m/>
  </r>
  <r>
    <n v="406"/>
    <s v="Hosur"/>
    <x v="16"/>
    <s v="Rajsriya Automotive Hosur"/>
    <x v="13"/>
    <n v="3509824"/>
    <s v="129695|187884|188415|189239|189240-3509824"/>
    <s v="CUT-O-N-AUT-AW-PE-22.20X1.600X1.2100"/>
    <x v="0"/>
    <m/>
    <x v="0"/>
    <s v="CR"/>
    <s v=""/>
    <m/>
    <m/>
    <m/>
    <x v="21"/>
    <s v="22.23-0-1.6-ERW 1-PE-1.21"/>
    <n v="1"/>
    <s v="Hosur"/>
    <n v="5.9161999999999937E-2"/>
    <n v="0"/>
    <m/>
    <x v="11"/>
    <x v="11"/>
    <x v="0"/>
    <x v="0"/>
    <n v="1210"/>
    <s v="NOS"/>
    <m/>
    <m/>
    <n v="6000"/>
    <m/>
    <n v="0"/>
    <n v="6000"/>
    <n v="5.9068390339199999"/>
    <n v="0"/>
    <n v="5.9068390339199999"/>
    <n v="3.9046264622338738"/>
    <n v="3.8440000000000002E-3"/>
    <m/>
    <n v="10.773161999999999"/>
    <n v="0"/>
    <n v="5.9029950339199999"/>
    <m/>
  </r>
  <r>
    <n v="408"/>
    <s v="Hosur"/>
    <x v="16"/>
    <s v="Rajsriya Automotive Hosur"/>
    <x v="13"/>
    <n v="1940430"/>
    <s v="129695|187884|188415|189239|189240-1940430"/>
    <s v="TUB-O-O-AUT-AW-PE-22.23X2.000X0.2200"/>
    <x v="0"/>
    <m/>
    <x v="0"/>
    <s v="HR"/>
    <m/>
    <m/>
    <m/>
    <m/>
    <x v="49"/>
    <s v="22.23-0-2-ERW 1-PE-0.22"/>
    <n v="2"/>
    <s v="Hosur"/>
    <n v="5.5039059999999997"/>
    <n v="1.0470000000000002"/>
    <m/>
    <x v="11"/>
    <x v="11"/>
    <x v="0"/>
    <x v="8"/>
    <n v="220"/>
    <s v="NOS"/>
    <m/>
    <m/>
    <n v="10000"/>
    <m/>
    <n v="0"/>
    <n v="10000"/>
    <n v="2.1940567880000001"/>
    <n v="0"/>
    <n v="2.1940567880000001"/>
    <n v="75.244178228626595"/>
    <n v="1.6508999999999999E-2"/>
    <m/>
    <n v="11.690147"/>
    <n v="1.629"/>
    <n v="2.177547788"/>
    <m/>
  </r>
  <r>
    <n v="409"/>
    <s v="Hosur"/>
    <x v="13"/>
    <s v="Rajsriya Automotive Hosur"/>
    <x v="13"/>
    <n v="1905990"/>
    <s v="129695|187884|188415|189239|189240-1905990"/>
    <s v="TUB-O-N-AUT-AW-PE-22.23X2.000X0.2360"/>
    <x v="0"/>
    <m/>
    <x v="0"/>
    <s v="HR"/>
    <m/>
    <m/>
    <m/>
    <m/>
    <x v="49"/>
    <s v="22.23-0-2-ERW 1-PE-0.236"/>
    <s v="#REF!"/>
    <s v="Hosur"/>
    <n v="5.5039059999999997"/>
    <n v="1.0470000000000002"/>
    <m/>
    <x v="11"/>
    <x v="11"/>
    <x v="0"/>
    <x v="8"/>
    <n v="236"/>
    <s v="NOS"/>
    <m/>
    <m/>
    <n v="8000"/>
    <m/>
    <n v="0"/>
    <n v="8000"/>
    <n v="1.8828996435200001"/>
    <n v="0"/>
    <n v="1.8828996435200001"/>
    <n v="0"/>
    <n v="0"/>
    <m/>
    <n v="11.690147"/>
    <n v="1.629"/>
    <n v="1.8828996435200001"/>
    <m/>
  </r>
  <r>
    <n v="319"/>
    <s v="Hosur"/>
    <x v="12"/>
    <s v="Rajsriya Automotive Hosur"/>
    <x v="13"/>
    <n v="1174856"/>
    <s v="129695|187884|188415|189239|189240-1174856"/>
    <s v="TUB-O-N-AUT-AW-FC-22.20X2.000X0.505"/>
    <x v="0"/>
    <m/>
    <x v="1"/>
    <s v="HR"/>
    <m/>
    <m/>
    <m/>
    <m/>
    <x v="22"/>
    <s v="22.23-0-2-ERW 1--0.505"/>
    <s v="#REF!"/>
    <m/>
    <m/>
    <m/>
    <m/>
    <x v="11"/>
    <x v="11"/>
    <x v="0"/>
    <x v="8"/>
    <n v="505"/>
    <m/>
    <m/>
    <m/>
    <m/>
    <m/>
    <e v="#N/A"/>
    <e v="#N/A"/>
    <n v="0"/>
    <e v="#N/A"/>
    <e v="#N/A"/>
    <e v="#DIV/0!"/>
    <n v="0"/>
    <m/>
    <n v="0"/>
    <n v="0"/>
    <n v="0"/>
    <m/>
  </r>
  <r>
    <n v="320"/>
    <s v="Hosur"/>
    <x v="12"/>
    <s v="Rajsriya Automotive Hosur"/>
    <x v="13"/>
    <n v="1140411"/>
    <s v="129695|187884|188415|189239|189240-1140411"/>
    <s v="PT2-O-N-AUT-AW-PE-22.20X2.000X0.851"/>
    <x v="0"/>
    <m/>
    <x v="1"/>
    <s v="HR"/>
    <m/>
    <m/>
    <m/>
    <m/>
    <x v="22"/>
    <s v="22.23-0-2-ERW 1--0.851"/>
    <s v="#REF!"/>
    <m/>
    <m/>
    <m/>
    <m/>
    <x v="11"/>
    <x v="11"/>
    <x v="0"/>
    <x v="8"/>
    <n v="851"/>
    <m/>
    <m/>
    <m/>
    <m/>
    <m/>
    <e v="#N/A"/>
    <e v="#N/A"/>
    <n v="0"/>
    <e v="#N/A"/>
    <e v="#N/A"/>
    <e v="#DIV/0!"/>
    <n v="0"/>
    <m/>
    <n v="0"/>
    <n v="0"/>
    <n v="0"/>
    <m/>
  </r>
  <r>
    <n v="321"/>
    <s v="Hosur"/>
    <x v="12"/>
    <s v="Rajsriya Automotive Hosur"/>
    <x v="13"/>
    <n v="1361680"/>
    <s v="129695|187884|188415|189239|189240-1361680"/>
    <s v="TUB-O-N-AUT-AW-PE-22.20X2.000X0.8620"/>
    <x v="0"/>
    <m/>
    <x v="1"/>
    <s v="HR"/>
    <m/>
    <m/>
    <m/>
    <m/>
    <x v="22"/>
    <s v="22.23-0-2-ERW 1--0.862"/>
    <s v="#REF!"/>
    <m/>
    <m/>
    <m/>
    <m/>
    <x v="11"/>
    <x v="11"/>
    <x v="0"/>
    <x v="8"/>
    <n v="862"/>
    <m/>
    <m/>
    <m/>
    <m/>
    <m/>
    <e v="#N/A"/>
    <e v="#N/A"/>
    <n v="0"/>
    <e v="#N/A"/>
    <e v="#N/A"/>
    <e v="#DIV/0!"/>
    <n v="0"/>
    <m/>
    <n v="0"/>
    <n v="0"/>
    <n v="0"/>
    <m/>
  </r>
  <r>
    <n v="416"/>
    <s v="Hosur"/>
    <x v="16"/>
    <s v="Rajsriya Automotive Hosur"/>
    <x v="13"/>
    <n v="2420106"/>
    <s v="129695|187884|188415|189239|189240-2420106"/>
    <s v="TUB-O-N-AUT-AW-PE-22.23X2.000X1.3250"/>
    <x v="0"/>
    <m/>
    <x v="0"/>
    <s v="HR"/>
    <m/>
    <m/>
    <m/>
    <m/>
    <x v="49"/>
    <s v="22.23-0-2-ERW 1-PE-1.325"/>
    <n v="1"/>
    <s v="Hosur"/>
    <n v="5.5039059999999997"/>
    <n v="1.0470000000000002"/>
    <m/>
    <x v="11"/>
    <x v="11"/>
    <x v="0"/>
    <x v="8"/>
    <n v="1325"/>
    <s v="NOS"/>
    <m/>
    <m/>
    <n v="3000"/>
    <m/>
    <n v="2340"/>
    <n v="660"/>
    <n v="3.9642616964999999"/>
    <n v="3.0921241232700001"/>
    <n v="0.87213757322999985"/>
    <n v="65.255530488412091"/>
    <n v="8.6230000000000001E-2"/>
    <m/>
    <n v="11.690147"/>
    <n v="1.629"/>
    <n v="3.8780316964999999"/>
    <m/>
  </r>
  <r>
    <n v="322"/>
    <s v="Hosur"/>
    <x v="12"/>
    <s v="Rajsriya Automotive Hosur"/>
    <x v="13"/>
    <n v="1940500"/>
    <s v="129695|187884|188415|189239|189240-1940500"/>
    <s v="TUB-O-O-AUT-AW-PE-22.23X2.300X0.3500"/>
    <x v="0"/>
    <m/>
    <x v="0"/>
    <s v="HR"/>
    <m/>
    <m/>
    <m/>
    <m/>
    <x v="24"/>
    <s v="22.23-0-2.3-ERW 1-PE-0.35"/>
    <s v="#REF!"/>
    <m/>
    <m/>
    <m/>
    <m/>
    <x v="11"/>
    <x v="11"/>
    <x v="0"/>
    <x v="9"/>
    <n v="350"/>
    <m/>
    <m/>
    <m/>
    <m/>
    <m/>
    <e v="#N/A"/>
    <e v="#N/A"/>
    <n v="0"/>
    <e v="#N/A"/>
    <e v="#N/A"/>
    <e v="#DIV/0!"/>
    <n v="0"/>
    <m/>
    <n v="6.8109739999999999"/>
    <n v="0"/>
    <n v="0"/>
    <m/>
  </r>
  <r>
    <n v="397"/>
    <s v="Hosur"/>
    <x v="16"/>
    <s v="Rajsriya Automotive Hosur"/>
    <x v="13"/>
    <n v="3087645"/>
    <s v="129695|187884|188415|189239|189240-3087645"/>
    <s v="PT2-O-N-AUT-AW-PE-22.20X2.300X0.4250"/>
    <x v="0"/>
    <m/>
    <x v="0"/>
    <s v="HR"/>
    <m/>
    <m/>
    <m/>
    <m/>
    <x v="24"/>
    <s v="22.23-0-2.3-ERW 1-PE-0.425"/>
    <s v="#REF!"/>
    <m/>
    <m/>
    <m/>
    <m/>
    <x v="11"/>
    <x v="11"/>
    <x v="0"/>
    <x v="9"/>
    <n v="425"/>
    <s v="NOS"/>
    <m/>
    <m/>
    <m/>
    <m/>
    <n v="0"/>
    <n v="0"/>
    <n v="0"/>
    <n v="0"/>
    <n v="0"/>
    <e v="#DIV/0!"/>
    <n v="0"/>
    <m/>
    <n v="6.8109739999999999"/>
    <n v="0"/>
    <n v="0"/>
    <m/>
  </r>
  <r>
    <n v="323"/>
    <s v="Hosur"/>
    <x v="12"/>
    <s v="Rajsriya Automotive Hosur"/>
    <x v="13"/>
    <n v="1940504"/>
    <s v="129695|187884|188415|189239|189240-1940504"/>
    <s v="TUB-O-O-AUT-AW-PE-22.23X2.300X0.4990"/>
    <x v="0"/>
    <m/>
    <x v="0"/>
    <s v="HR"/>
    <m/>
    <m/>
    <m/>
    <m/>
    <x v="24"/>
    <s v="22.23-0-2.3-ERW 1-PE-0.499"/>
    <s v="#REF!"/>
    <m/>
    <m/>
    <m/>
    <m/>
    <x v="11"/>
    <x v="11"/>
    <x v="0"/>
    <x v="9"/>
    <n v="499"/>
    <m/>
    <m/>
    <m/>
    <m/>
    <m/>
    <e v="#N/A"/>
    <e v="#N/A"/>
    <n v="0"/>
    <e v="#N/A"/>
    <e v="#N/A"/>
    <e v="#DIV/0!"/>
    <n v="0"/>
    <m/>
    <n v="6.8109739999999999"/>
    <n v="0"/>
    <n v="0"/>
    <m/>
  </r>
  <r>
    <n v="419"/>
    <s v="Hosur"/>
    <x v="13"/>
    <s v="Rajsriya Automotive Hosur"/>
    <x v="13"/>
    <n v="1940510"/>
    <s v="129695|187884|188415|189239|189240-1940510"/>
    <s v="TUB-O-O-AUT-AW-PE-22.23X2.300X6.0000"/>
    <x v="0"/>
    <m/>
    <x v="0"/>
    <s v="HR"/>
    <m/>
    <m/>
    <m/>
    <m/>
    <x v="24"/>
    <s v="22.23-0-2.3-ERW 1-PE-1"/>
    <n v="2"/>
    <s v="Hosur"/>
    <n v="6.8109740000000007"/>
    <n v="0"/>
    <m/>
    <x v="11"/>
    <x v="11"/>
    <x v="0"/>
    <x v="9"/>
    <n v="1000"/>
    <s v="M"/>
    <m/>
    <m/>
    <n v="6000"/>
    <m/>
    <n v="0"/>
    <n v="6000"/>
    <n v="6.7793130659999994"/>
    <n v="0"/>
    <n v="6.7793130659999994"/>
    <n v="0"/>
    <n v="0"/>
    <m/>
    <n v="6.8109739999999999"/>
    <n v="0"/>
    <n v="6.7793130659999994"/>
    <m/>
  </r>
  <r>
    <n v="324"/>
    <s v="Hosur"/>
    <x v="12"/>
    <s v="Rajsriya Automotive Hosur"/>
    <x v="13"/>
    <n v="1119129"/>
    <s v="129695|187884|188415|189239|189240-1119129"/>
    <s v="PT2-O-N-AUT-AW-PE-25.40X1.600X0.360"/>
    <x v="0"/>
    <m/>
    <x v="0"/>
    <s v="HR"/>
    <m/>
    <m/>
    <m/>
    <m/>
    <x v="5"/>
    <s v="25.4-0-1.6-ERW 1-PE-0.36"/>
    <s v="#REF!"/>
    <m/>
    <m/>
    <m/>
    <m/>
    <x v="3"/>
    <x v="3"/>
    <x v="0"/>
    <x v="0"/>
    <n v="360"/>
    <m/>
    <m/>
    <m/>
    <m/>
    <m/>
    <e v="#N/A"/>
    <e v="#N/A"/>
    <n v="0"/>
    <e v="#N/A"/>
    <e v="#N/A"/>
    <e v="#DIV/0!"/>
    <n v="0"/>
    <m/>
    <n v="0"/>
    <n v="3.6459999999999999"/>
    <n v="0"/>
    <m/>
  </r>
  <r>
    <m/>
    <s v="Hosur"/>
    <x v="14"/>
    <s v="Rajsriya Automotive Hosur"/>
    <x v="13"/>
    <m/>
    <s v="129695|187884|188415|189239|189240-"/>
    <m/>
    <x v="0"/>
    <m/>
    <x v="2"/>
    <m/>
    <m/>
    <m/>
    <m/>
    <m/>
    <x v="1"/>
    <m/>
    <m/>
    <m/>
    <n v="0"/>
    <m/>
    <m/>
    <x v="3"/>
    <x v="3"/>
    <x v="0"/>
    <x v="8"/>
    <n v="213"/>
    <s v="NOS"/>
    <m/>
    <m/>
    <n v="3000"/>
    <m/>
    <n v="0"/>
    <n v="3000"/>
    <n v="0.73713327480000002"/>
    <n v="0"/>
    <n v="0.73713327480000002"/>
    <n v="0"/>
    <n v="0"/>
    <m/>
    <n v="0"/>
    <n v="0"/>
    <n v="0.73713327480000002"/>
    <m/>
  </r>
  <r>
    <m/>
    <s v="Hosur"/>
    <x v="14"/>
    <s v="Rajsriya Automotive Hosur"/>
    <x v="13"/>
    <m/>
    <s v="129695|187884|188415|189239|189240-"/>
    <m/>
    <x v="0"/>
    <m/>
    <x v="2"/>
    <m/>
    <m/>
    <m/>
    <m/>
    <m/>
    <x v="1"/>
    <m/>
    <m/>
    <m/>
    <n v="0"/>
    <m/>
    <m/>
    <x v="3"/>
    <x v="3"/>
    <x v="0"/>
    <x v="8"/>
    <n v="310"/>
    <s v="NOS"/>
    <m/>
    <m/>
    <n v="3000"/>
    <m/>
    <n v="0"/>
    <n v="3000"/>
    <n v="1.0728230759999999"/>
    <n v="0"/>
    <n v="1.0728230759999999"/>
    <n v="0"/>
    <n v="0"/>
    <m/>
    <n v="0"/>
    <n v="0"/>
    <n v="1.0728230759999999"/>
    <m/>
  </r>
  <r>
    <m/>
    <s v="Hosur"/>
    <x v="14"/>
    <s v="Rajsriya Automotive Hosur"/>
    <x v="13"/>
    <m/>
    <s v="129695|187884|188415|189239|189240-"/>
    <m/>
    <x v="0"/>
    <m/>
    <x v="2"/>
    <m/>
    <m/>
    <m/>
    <m/>
    <m/>
    <x v="25"/>
    <s v="25.4-0-2-ERW 1-FC-0.323"/>
    <m/>
    <m/>
    <n v="10.051000000000002"/>
    <n v="0"/>
    <m/>
    <x v="3"/>
    <x v="3"/>
    <x v="0"/>
    <x v="8"/>
    <n v="323"/>
    <s v="NOS"/>
    <m/>
    <m/>
    <n v="10000"/>
    <m/>
    <n v="0"/>
    <n v="10000"/>
    <n v="3.7260414359999996"/>
    <n v="0"/>
    <n v="3.7260414359999996"/>
    <n v="0"/>
    <n v="0"/>
    <m/>
    <n v="10.738999999999999"/>
    <n v="25.931000000000001"/>
    <n v="3.7260414359999996"/>
    <m/>
  </r>
  <r>
    <m/>
    <s v="Hosur"/>
    <x v="14"/>
    <s v="Rajsriya Automotive Hosur"/>
    <x v="13"/>
    <m/>
    <s v="129695|187884|188415|189239|189240-"/>
    <m/>
    <x v="0"/>
    <m/>
    <x v="2"/>
    <m/>
    <m/>
    <m/>
    <m/>
    <m/>
    <x v="25"/>
    <s v="25.4-0-2-ERW 1-FC-0.355"/>
    <m/>
    <m/>
    <n v="10.051000000000002"/>
    <n v="0"/>
    <m/>
    <x v="3"/>
    <x v="3"/>
    <x v="0"/>
    <x v="8"/>
    <n v="355"/>
    <s v="NOS"/>
    <m/>
    <m/>
    <n v="10000"/>
    <m/>
    <n v="0"/>
    <n v="10000"/>
    <n v="4.0951848599999998"/>
    <n v="0"/>
    <n v="4.0951848599999998"/>
    <n v="5.0058790264232416"/>
    <n v="2.0499999999999997E-3"/>
    <m/>
    <n v="10.738999999999999"/>
    <n v="25.931000000000001"/>
    <n v="4.0931348600000002"/>
    <m/>
  </r>
  <r>
    <n v="423"/>
    <s v="Hosur"/>
    <x v="16"/>
    <s v="Rajsriya Automotive Hosur"/>
    <x v="13"/>
    <s v="NEW SIZE"/>
    <s v="129695|187884|188415|189239|189240-NEW SIZE"/>
    <m/>
    <x v="0"/>
    <m/>
    <x v="0"/>
    <s v="HR"/>
    <m/>
    <m/>
    <m/>
    <m/>
    <x v="122"/>
    <s v="25.4-0-2-ERW 1-PE-0.567"/>
    <n v="1"/>
    <s v="Hosur"/>
    <n v="1.1482300000000001"/>
    <n v="2.9849999999999999"/>
    <m/>
    <x v="3"/>
    <x v="3"/>
    <x v="0"/>
    <x v="8"/>
    <n v="567"/>
    <s v="NOS"/>
    <m/>
    <m/>
    <n v="10000"/>
    <m/>
    <n v="0"/>
    <n v="10000"/>
    <n v="6.5407600440000007"/>
    <n v="0"/>
    <n v="6.5407600440000007"/>
    <n v="0"/>
    <n v="0"/>
    <m/>
    <n v="4.1332300000000002"/>
    <n v="5.56"/>
    <n v="6.5407600440000007"/>
    <m/>
  </r>
  <r>
    <n v="454"/>
    <s v="Hosur"/>
    <x v="12"/>
    <s v="Rajsriya Automotive Hosur"/>
    <x v="13"/>
    <s v="NEW SIZE"/>
    <s v="129695|187884|188415|189239|189240-NEW SIZE"/>
    <m/>
    <x v="0"/>
    <m/>
    <x v="2"/>
    <s v="HR"/>
    <m/>
    <m/>
    <m/>
    <m/>
    <x v="25"/>
    <s v="25.4-0-2-ERW 1-FC-0.66"/>
    <s v="#REF!"/>
    <s v="Hosur"/>
    <s v="Plan"/>
    <m/>
    <m/>
    <x v="3"/>
    <x v="3"/>
    <x v="0"/>
    <x v="8"/>
    <n v="660"/>
    <s v="NOS"/>
    <m/>
    <m/>
    <m/>
    <m/>
    <n v="0"/>
    <n v="0"/>
    <n v="0"/>
    <n v="0"/>
    <n v="0"/>
    <e v="#DIV/0!"/>
    <n v="0"/>
    <m/>
    <n v="10.738999999999999"/>
    <n v="25.931000000000001"/>
    <n v="0"/>
    <m/>
  </r>
  <r>
    <n v="329"/>
    <s v="Hosur"/>
    <x v="12"/>
    <s v="Rajsriya Automotive Hosur"/>
    <x v="13"/>
    <n v="1140302"/>
    <s v="129695|187884|188415|189239|189240-1140302"/>
    <s v="PT2-O-N-AUT-AW-PE-25.40X2.600X0.360"/>
    <x v="0"/>
    <m/>
    <x v="1"/>
    <s v="HR"/>
    <m/>
    <m/>
    <m/>
    <m/>
    <x v="148"/>
    <s v="25.4-0-2.6-ERW 1--0.36"/>
    <s v="#REF!"/>
    <m/>
    <m/>
    <m/>
    <m/>
    <x v="3"/>
    <x v="3"/>
    <x v="0"/>
    <x v="14"/>
    <n v="360"/>
    <m/>
    <m/>
    <m/>
    <m/>
    <m/>
    <e v="#N/A"/>
    <e v="#N/A"/>
    <n v="0"/>
    <e v="#N/A"/>
    <e v="#N/A"/>
    <e v="#DIV/0!"/>
    <n v="0"/>
    <m/>
    <n v="0"/>
    <n v="0"/>
    <n v="0"/>
    <m/>
  </r>
  <r>
    <n v="401"/>
    <s v="Hosur"/>
    <x v="17"/>
    <s v="Rajsriya Automotive Hosur"/>
    <x v="13"/>
    <m/>
    <s v="129695|187884|188415|189239|189240-"/>
    <m/>
    <x v="0"/>
    <m/>
    <x v="2"/>
    <s v="CR"/>
    <m/>
    <m/>
    <m/>
    <m/>
    <x v="124"/>
    <s v="31.75-0-1.2-ERW 1-FC-0.598"/>
    <n v="1"/>
    <m/>
    <n v="0"/>
    <n v="0"/>
    <m/>
    <x v="10"/>
    <x v="10"/>
    <x v="0"/>
    <x v="2"/>
    <n v="598"/>
    <s v="NOS"/>
    <m/>
    <m/>
    <n v="5000"/>
    <m/>
    <n v="1723"/>
    <n v="3277"/>
    <n v="2.7018606966000003"/>
    <n v="0.93106119604836013"/>
    <n v="1.7707995005516401"/>
    <n v="1057.6896150109235"/>
    <n v="0.571546"/>
    <m/>
    <n v="0"/>
    <n v="0"/>
    <n v="2.1303146966000002"/>
    <m/>
  </r>
  <r>
    <n v="463"/>
    <s v="Hosur"/>
    <x v="16"/>
    <s v="Rajsriya Automotive Hosur"/>
    <x v="13"/>
    <n v="3171772"/>
    <s v="129695|187884|188415|189239|189240-3171772"/>
    <s v="TUB-O-N-AUT-AW-PE-31.75X1.200X6.0000"/>
    <x v="0"/>
    <m/>
    <x v="2"/>
    <s v="CR"/>
    <m/>
    <m/>
    <m/>
    <m/>
    <x v="124"/>
    <s v="31.75-0-1.2-ERW 1-FC-1"/>
    <s v="#REF!"/>
    <m/>
    <n v="0"/>
    <n v="0"/>
    <m/>
    <x v="10"/>
    <x v="10"/>
    <x v="0"/>
    <x v="2"/>
    <n v="1000"/>
    <s v="M"/>
    <m/>
    <m/>
    <n v="3000"/>
    <m/>
    <n v="0"/>
    <n v="3000"/>
    <n v="2.71089702"/>
    <n v="0"/>
    <n v="2.71089702"/>
    <n v="0"/>
    <n v="0"/>
    <m/>
    <n v="0"/>
    <n v="0"/>
    <n v="2.71089702"/>
    <m/>
  </r>
  <r>
    <n v="466"/>
    <s v="Hosur"/>
    <x v="13"/>
    <s v="Rajsriya Automotive Hosur"/>
    <x v="13"/>
    <n v="1940686"/>
    <s v="129695|187884|188415|189239|189240-1940686"/>
    <s v="TUB-O-O-AUT-AW-FC-31.75X2.500X6.0000"/>
    <x v="0"/>
    <m/>
    <x v="2"/>
    <s v="HR"/>
    <m/>
    <m/>
    <m/>
    <m/>
    <x v="149"/>
    <s v="31.75-0-2.5-ERW 1-FC-1"/>
    <n v="2"/>
    <s v="Hosur"/>
    <n v="0.60838099999999995"/>
    <n v="4.4313009999999995"/>
    <m/>
    <x v="10"/>
    <x v="10"/>
    <x v="0"/>
    <x v="10"/>
    <n v="1000"/>
    <s v="M"/>
    <m/>
    <m/>
    <n v="15000"/>
    <m/>
    <n v="0"/>
    <n v="15000"/>
    <n v="27.036871874999999"/>
    <n v="0"/>
    <n v="27.036871874999999"/>
    <n v="0"/>
    <n v="0"/>
    <m/>
    <n v="5.039682"/>
    <n v="0"/>
    <n v="27.036871874999999"/>
    <m/>
  </r>
  <r>
    <n v="334"/>
    <s v="Hosur"/>
    <x v="12"/>
    <s v="Rajsriya Automotive Hosur"/>
    <x v="13"/>
    <n v="1940745"/>
    <s v="129695|187884|188415|189239|189240-1940745"/>
    <s v="TUB-O-O-AUT-AW-FC-38.10X2.000X0.9270"/>
    <x v="0"/>
    <m/>
    <x v="1"/>
    <s v="HR"/>
    <m/>
    <m/>
    <m/>
    <m/>
    <x v="90"/>
    <s v="38.1-0-2-ERW 1--0.927"/>
    <s v="#REF!"/>
    <m/>
    <m/>
    <m/>
    <m/>
    <x v="14"/>
    <x v="30"/>
    <x v="0"/>
    <x v="8"/>
    <n v="927"/>
    <m/>
    <m/>
    <m/>
    <m/>
    <m/>
    <e v="#N/A"/>
    <e v="#N/A"/>
    <n v="0"/>
    <e v="#N/A"/>
    <e v="#N/A"/>
    <e v="#DIV/0!"/>
    <n v="0"/>
    <m/>
    <n v="0"/>
    <n v="0"/>
    <n v="0"/>
    <m/>
  </r>
  <r>
    <m/>
    <s v="Hosur"/>
    <x v="14"/>
    <s v="Rajsriya Automotive Hosur"/>
    <x v="13"/>
    <m/>
    <s v="129695|187884|188415|189239|189240-"/>
    <m/>
    <x v="0"/>
    <m/>
    <x v="2"/>
    <m/>
    <m/>
    <m/>
    <m/>
    <m/>
    <x v="1"/>
    <m/>
    <m/>
    <m/>
    <n v="0"/>
    <m/>
    <m/>
    <x v="15"/>
    <x v="15"/>
    <x v="3"/>
    <x v="0"/>
    <n v="647"/>
    <s v="NOS"/>
    <m/>
    <m/>
    <n v="8000"/>
    <m/>
    <n v="0"/>
    <n v="8000"/>
    <n v="8.1000037253119999"/>
    <n v="0"/>
    <n v="8.1000037253119999"/>
    <n v="0"/>
    <n v="0"/>
    <m/>
    <n v="0"/>
    <n v="0"/>
    <n v="8.1000037253119999"/>
    <m/>
  </r>
  <r>
    <n v="335"/>
    <s v="Hosur"/>
    <x v="12"/>
    <s v="Rajsriya Automotive Hosur"/>
    <x v="13"/>
    <n v="3087646"/>
    <s v="129695|187884|188415|189239|189240-3087646"/>
    <s v="PT4-O-N-AUT-AW-FC-41.28X2.600X0.8480"/>
    <x v="0"/>
    <m/>
    <x v="2"/>
    <s v="HR"/>
    <m/>
    <m/>
    <m/>
    <m/>
    <x v="150"/>
    <s v="41.28-0-2.6-ERW 1-FC-0.848"/>
    <s v="#REF!"/>
    <m/>
    <m/>
    <m/>
    <m/>
    <x v="15"/>
    <x v="32"/>
    <x v="0"/>
    <x v="14"/>
    <n v="848"/>
    <m/>
    <m/>
    <m/>
    <m/>
    <m/>
    <e v="#N/A"/>
    <e v="#N/A"/>
    <n v="0"/>
    <e v="#N/A"/>
    <e v="#N/A"/>
    <e v="#DIV/0!"/>
    <n v="0"/>
    <m/>
    <n v="0"/>
    <n v="0"/>
    <n v="0"/>
    <m/>
  </r>
  <r>
    <n v="476"/>
    <s v="Khopoli "/>
    <x v="14"/>
    <s v="Rajsriya Automotive Hosur"/>
    <x v="13"/>
    <n v="3605867"/>
    <s v="129695|187884|188415|189239|189240-3605867"/>
    <s v="TUB-O-N-AUT-AW-FC-41.28X3.200X0.2350"/>
    <x v="0"/>
    <m/>
    <x v="2"/>
    <s v="HR"/>
    <m/>
    <s v="Chamferring"/>
    <m/>
    <m/>
    <x v="91"/>
    <s v="41.28-0-3.2-ERW 1-FC-0.23"/>
    <n v="1"/>
    <s v="Hosur"/>
    <n v="0"/>
    <n v="0"/>
    <m/>
    <x v="15"/>
    <x v="32"/>
    <x v="0"/>
    <x v="13"/>
    <n v="230"/>
    <s v="NOS"/>
    <m/>
    <m/>
    <n v="10000"/>
    <m/>
    <n v="11196"/>
    <n v="-1196"/>
    <n v="6.9083456512000012"/>
    <n v="7.7345837910835211"/>
    <n v="-0.82623813988351991"/>
    <n v="59.248627770803786"/>
    <n v="4.0930999999999995E-2"/>
    <m/>
    <n v="0"/>
    <n v="7.141"/>
    <n v="6.8674146512000016"/>
    <m/>
  </r>
  <r>
    <n v="336"/>
    <s v="Hosur"/>
    <x v="12"/>
    <s v="Rajsriya Automotive Hosur"/>
    <x v="13"/>
    <n v="3605867"/>
    <s v="129695|187884|188415|189239|189240-3605867"/>
    <s v="TUB-O-N-AUT-AW-FC-41.28X3.200X0.2350"/>
    <x v="0"/>
    <m/>
    <x v="1"/>
    <s v="HR"/>
    <m/>
    <m/>
    <m/>
    <m/>
    <x v="151"/>
    <s v="41.28-0-3.2-ERW 1--0.235"/>
    <s v="#REF!"/>
    <m/>
    <m/>
    <m/>
    <m/>
    <x v="15"/>
    <x v="32"/>
    <x v="0"/>
    <x v="13"/>
    <n v="235"/>
    <m/>
    <m/>
    <m/>
    <m/>
    <m/>
    <e v="#N/A"/>
    <e v="#N/A"/>
    <n v="0"/>
    <e v="#N/A"/>
    <e v="#N/A"/>
    <e v="#DIV/0!"/>
    <n v="0"/>
    <m/>
    <n v="0"/>
    <n v="0"/>
    <n v="0"/>
    <m/>
  </r>
  <r>
    <n v="337"/>
    <s v="Hosur"/>
    <x v="12"/>
    <s v="Rajsriya Automotive Hosur"/>
    <x v="13"/>
    <n v="1511515"/>
    <s v="129695|187884|188415|189239|189240-1511515"/>
    <s v="TUB-O-N-AUT-BH-FC-42.70X4.000X0.2080"/>
    <x v="0"/>
    <s v="Annealed"/>
    <x v="1"/>
    <s v="HR"/>
    <m/>
    <m/>
    <m/>
    <m/>
    <x v="56"/>
    <s v="42.7-0-4-ERW 1--0.208"/>
    <s v="#REF!"/>
    <m/>
    <m/>
    <m/>
    <m/>
    <x v="16"/>
    <x v="16"/>
    <x v="0"/>
    <x v="11"/>
    <n v="208"/>
    <m/>
    <m/>
    <m/>
    <m/>
    <m/>
    <e v="#N/A"/>
    <e v="#N/A"/>
    <n v="0"/>
    <e v="#N/A"/>
    <e v="#N/A"/>
    <e v="#DIV/0!"/>
    <n v="0"/>
    <m/>
    <n v="0"/>
    <n v="0"/>
    <n v="0"/>
    <m/>
  </r>
  <r>
    <n v="482"/>
    <s v="Khopoli "/>
    <x v="14"/>
    <s v="Rajsriya Automotive Hosur"/>
    <x v="13"/>
    <n v="1938358"/>
    <s v="129695|187884|188415|189239|189240-1938358"/>
    <s v="TUB-O-N-AUT-AN-FC-42.70X4.000X0.2540"/>
    <x v="0"/>
    <s v="Annealed"/>
    <x v="2"/>
    <s v="HR"/>
    <m/>
    <s v="Chamferring"/>
    <m/>
    <m/>
    <x v="35"/>
    <s v="42.7-0-4-ERW 1-FC-0.254"/>
    <n v="2"/>
    <s v="Khopoli"/>
    <n v="0.28338300000000016"/>
    <n v="29.067884000000003"/>
    <m/>
    <x v="16"/>
    <x v="16"/>
    <x v="0"/>
    <x v="11"/>
    <n v="254"/>
    <s v="NOS"/>
    <m/>
    <m/>
    <n v="7000"/>
    <m/>
    <n v="760"/>
    <n v="6240"/>
    <n v="6.7842527256"/>
    <n v="0.73657601020800012"/>
    <n v="6.0476767153919999"/>
    <n v="0"/>
    <n v="0"/>
    <m/>
    <n v="236.02448700000002"/>
    <n v="0"/>
    <n v="6.7842527256"/>
    <m/>
  </r>
  <r>
    <n v="339"/>
    <s v="Hosur"/>
    <x v="12"/>
    <s v="Rajsriya Automotive Hosur"/>
    <x v="13"/>
    <n v="1940829"/>
    <s v="129695|187884|188415|189239|189240-1940829"/>
    <s v="TUB-R-AW-RHS-40.00X30.00X1.600X0.3140"/>
    <x v="0"/>
    <m/>
    <x v="1"/>
    <s v="HR"/>
    <m/>
    <m/>
    <m/>
    <m/>
    <x v="94"/>
    <s v="40-30-1.6-ERW 1--0.314"/>
    <n v="2"/>
    <m/>
    <m/>
    <m/>
    <m/>
    <x v="17"/>
    <x v="15"/>
    <x v="1"/>
    <x v="0"/>
    <n v="314"/>
    <m/>
    <m/>
    <m/>
    <m/>
    <m/>
    <e v="#N/A"/>
    <e v="#N/A"/>
    <n v="0"/>
    <e v="#N/A"/>
    <e v="#N/A"/>
    <e v="#DIV/0!"/>
    <n v="0"/>
    <m/>
    <n v="0"/>
    <n v="0"/>
    <n v="0"/>
    <m/>
  </r>
  <r>
    <n v="483"/>
    <s v="Hosur"/>
    <x v="14"/>
    <s v="Rajsriya Automotive Hosur"/>
    <x v="13"/>
    <n v="3712521"/>
    <s v="129695|187884|188415|189239|189240-3712521"/>
    <s v="CUT-R-AW-RHS-40.00X30.00X1.600X0.8350"/>
    <x v="0"/>
    <m/>
    <x v="2"/>
    <s v="CR"/>
    <s v="HROP"/>
    <m/>
    <m/>
    <m/>
    <x v="36"/>
    <s v="40-30-1.6-ERW 1-FC-0.835"/>
    <n v="2"/>
    <s v="Hosur"/>
    <n v="0.95786300000000013"/>
    <n v="0"/>
    <m/>
    <x v="17"/>
    <x v="15"/>
    <x v="1"/>
    <x v="0"/>
    <n v="835"/>
    <s v="NOS"/>
    <m/>
    <m/>
    <n v="40000"/>
    <m/>
    <n v="19751"/>
    <n v="20249"/>
    <n v="56.443843696000009"/>
    <n v="27.870558920992405"/>
    <n v="28.573284775007604"/>
    <n v="24.12592606793898"/>
    <n v="3.4043999999999998E-2"/>
    <m/>
    <n v="0.95786300000000002"/>
    <n v="0"/>
    <n v="56.409799696000007"/>
    <m/>
  </r>
  <r>
    <n v="340"/>
    <s v="Hosur"/>
    <x v="12"/>
    <s v="Rajsriya Automotive Hosur"/>
    <x v="13"/>
    <n v="3616912"/>
    <s v="129695|187884|188415|189239|189240-3616912"/>
    <s v="TUB-R-AW-AUT-40.00X30.00X1.600X0.8520"/>
    <x v="0"/>
    <m/>
    <x v="1"/>
    <s v="HR"/>
    <m/>
    <m/>
    <m/>
    <m/>
    <x v="94"/>
    <s v="40-30-1.6-ERW 1--0.852"/>
    <n v="1"/>
    <m/>
    <m/>
    <m/>
    <m/>
    <x v="17"/>
    <x v="15"/>
    <x v="1"/>
    <x v="0"/>
    <n v="852"/>
    <m/>
    <m/>
    <m/>
    <m/>
    <m/>
    <e v="#N/A"/>
    <e v="#N/A"/>
    <n v="0"/>
    <e v="#N/A"/>
    <e v="#N/A"/>
    <e v="#DIV/0!"/>
    <n v="0"/>
    <m/>
    <n v="0"/>
    <n v="0"/>
    <n v="0"/>
    <m/>
  </r>
  <r>
    <n v="487"/>
    <s v="Hosur"/>
    <x v="14"/>
    <s v="Rajsriya Automotive Hosur"/>
    <x v="13"/>
    <n v="1940830"/>
    <s v="129695|187884|188415|189239|189240-1940830"/>
    <s v="TUB-R-AW-RHS-40.00X30.00X1.600X0.8600"/>
    <x v="0"/>
    <m/>
    <x v="2"/>
    <s v="CR"/>
    <s v="GR1"/>
    <m/>
    <m/>
    <m/>
    <x v="36"/>
    <s v="40-30-1.6-ERW 1-FC-0.86"/>
    <n v="2"/>
    <s v="Hosur"/>
    <n v="0.95786300000000013"/>
    <n v="0"/>
    <m/>
    <x v="17"/>
    <x v="15"/>
    <x v="1"/>
    <x v="0"/>
    <n v="860"/>
    <s v="NOS"/>
    <m/>
    <m/>
    <n v="5000"/>
    <m/>
    <n v="7920"/>
    <n v="-2920"/>
    <n v="7.2667223920000001"/>
    <n v="11.510488268928"/>
    <n v="-4.2437658769280002"/>
    <n v="9.6673570573356233"/>
    <n v="1.405E-2"/>
    <m/>
    <n v="0.95786300000000002"/>
    <n v="0"/>
    <n v="7.252672392"/>
    <m/>
  </r>
  <r>
    <n v="421"/>
    <s v="Hosur"/>
    <x v="14"/>
    <s v="Rajsriya Automotive Hosur"/>
    <x v="13"/>
    <n v="1940837"/>
    <s v="129695|187884|188415|189239|189240-1940837"/>
    <s v="TUB-R-AW-RHS-40.00X30.00X2.000X0.8700"/>
    <x v="0"/>
    <m/>
    <x v="2"/>
    <s v="HR"/>
    <m/>
    <m/>
    <m/>
    <m/>
    <x v="37"/>
    <s v="40-30-2-ERW 1-FC-0.87"/>
    <n v="2"/>
    <s v="Hosur"/>
    <n v="0"/>
    <n v="0"/>
    <m/>
    <x v="17"/>
    <x v="15"/>
    <x v="1"/>
    <x v="8"/>
    <n v="870"/>
    <s v="NOS"/>
    <m/>
    <m/>
    <n v="4000"/>
    <m/>
    <n v="3000"/>
    <n v="1000"/>
    <n v="7.2825963480000002"/>
    <n v="5.4619472610000006"/>
    <n v="1.8206490869999996"/>
    <n v="5677.4663903148949"/>
    <n v="10.336673999999999"/>
    <m/>
    <n v="0"/>
    <n v="26.635999999999999"/>
    <n v="-3.0540776519999984"/>
    <m/>
  </r>
  <r>
    <m/>
    <s v="Hosur"/>
    <x v="14"/>
    <s v="Rajsriya Automotive Hosur"/>
    <x v="13"/>
    <n v="4141595"/>
    <s v="129695|187884|188415|189239|189240-4141595"/>
    <m/>
    <x v="0"/>
    <m/>
    <x v="1"/>
    <m/>
    <m/>
    <m/>
    <m/>
    <m/>
    <x v="1"/>
    <m/>
    <m/>
    <m/>
    <m/>
    <m/>
    <m/>
    <x v="4"/>
    <x v="4"/>
    <x v="1"/>
    <x v="8"/>
    <n v="770"/>
    <s v="NOS"/>
    <m/>
    <m/>
    <n v="5000"/>
    <m/>
    <n v="0"/>
    <n v="5000"/>
    <n v="9.2621082399999999"/>
    <n v="0"/>
    <n v="9.2621082399999999"/>
    <n v="0"/>
    <n v="0"/>
    <m/>
    <n v="0"/>
    <n v="0"/>
    <n v="9.2621082399999999"/>
    <m/>
  </r>
  <r>
    <n v="341"/>
    <s v="Hosur"/>
    <x v="14"/>
    <s v="Rajsriya Automotive Hosur"/>
    <x v="13"/>
    <m/>
    <s v="129695|187884|188415|189239|189240-"/>
    <s v="CUT-O-N-AUT-AW-FC-57.15X2.000X0.409"/>
    <x v="0"/>
    <m/>
    <x v="2"/>
    <s v="HR"/>
    <m/>
    <m/>
    <m/>
    <m/>
    <x v="51"/>
    <s v="57.15-0-2-ERW 1-FC-0.409"/>
    <n v="1"/>
    <m/>
    <n v="2.455098"/>
    <n v="0.125917"/>
    <m/>
    <x v="19"/>
    <x v="19"/>
    <x v="0"/>
    <x v="8"/>
    <n v="409"/>
    <s v="NOS"/>
    <m/>
    <m/>
    <n v="15000"/>
    <m/>
    <n v="5271"/>
    <n v="9729"/>
    <n v="16.679744134500002"/>
    <n v="5.8612620888632998"/>
    <n v="10.818482045636703"/>
    <n v="1031.948383692396"/>
    <n v="1.1475089999999999"/>
    <m/>
    <n v="2.455098"/>
    <n v="0"/>
    <n v="15.532235134500002"/>
    <m/>
  </r>
  <r>
    <n v="342"/>
    <s v="Hosur"/>
    <x v="12"/>
    <s v="Rajsriya Automotive Hosur"/>
    <x v="13"/>
    <n v="3727461"/>
    <s v="129695|187884|188415|189239|189240-3727461"/>
    <s v="CUT-O-N-AUT-AW-FC-57.15X2.000X0.4130"/>
    <x v="0"/>
    <m/>
    <x v="1"/>
    <s v="HR"/>
    <m/>
    <m/>
    <m/>
    <m/>
    <x v="41"/>
    <s v="57.15-0-2-ERW 1--0.413"/>
    <s v="#REF!"/>
    <m/>
    <m/>
    <m/>
    <m/>
    <x v="19"/>
    <x v="19"/>
    <x v="0"/>
    <x v="8"/>
    <n v="413"/>
    <m/>
    <m/>
    <m/>
    <m/>
    <m/>
    <e v="#N/A"/>
    <e v="#N/A"/>
    <n v="0"/>
    <e v="#N/A"/>
    <e v="#N/A"/>
    <e v="#DIV/0!"/>
    <n v="0"/>
    <m/>
    <n v="0"/>
    <n v="0"/>
    <n v="0"/>
    <m/>
  </r>
  <r>
    <n v="343"/>
    <s v="Hosur"/>
    <x v="14"/>
    <s v="Rajsriya Automotive Hosur"/>
    <x v="13"/>
    <s v="NO MATERIAL CODE"/>
    <s v="129695|187884|188415|189239|189240-NO MATERIAL CODE"/>
    <s v="\"/>
    <x v="0"/>
    <m/>
    <x v="2"/>
    <s v="HR"/>
    <m/>
    <m/>
    <s v="AG"/>
    <m/>
    <x v="97"/>
    <s v="57.15-0-2.5-ERW 1-FC-0.376"/>
    <n v="1"/>
    <m/>
    <n v="0.80610400000000004"/>
    <n v="5.0208180000000002"/>
    <m/>
    <x v="19"/>
    <x v="19"/>
    <x v="0"/>
    <x v="10"/>
    <n v="376"/>
    <s v="NOS"/>
    <m/>
    <m/>
    <m/>
    <m/>
    <n v="0"/>
    <n v="0"/>
    <n v="0"/>
    <n v="0"/>
    <n v="0"/>
    <e v="#DIV/0!"/>
    <n v="0"/>
    <m/>
    <n v="18.554921999999998"/>
    <n v="0"/>
    <n v="0"/>
    <m/>
  </r>
  <r>
    <n v="499"/>
    <s v="Hosur"/>
    <x v="14"/>
    <s v="Rajsriya Automotive Hosur"/>
    <x v="13"/>
    <n v="1940911"/>
    <s v="129695|187884|188415|189239|189240-1940911"/>
    <s v="TUB-O-O-AUT-AW-AG-57.15X2.500X0.7720"/>
    <x v="0"/>
    <m/>
    <x v="2"/>
    <s v="HR"/>
    <m/>
    <m/>
    <s v="AG"/>
    <m/>
    <x v="97"/>
    <s v="57.15-0-2.5-ERW 1-FC-0.772"/>
    <n v="2"/>
    <s v="Hosur"/>
    <n v="0.80610400000000004"/>
    <n v="5.0208180000000002"/>
    <m/>
    <x v="19"/>
    <x v="19"/>
    <x v="0"/>
    <x v="10"/>
    <n v="772"/>
    <s v="NOS"/>
    <m/>
    <m/>
    <n v="5000"/>
    <m/>
    <n v="0"/>
    <n v="5000"/>
    <n v="12.999204752499999"/>
    <n v="0"/>
    <n v="12.999204752499999"/>
    <n v="6.0095983936998927"/>
    <n v="1.5624000000000001E-2"/>
    <m/>
    <n v="18.554921999999998"/>
    <n v="0"/>
    <n v="12.983580752499998"/>
    <m/>
  </r>
  <r>
    <n v="500"/>
    <s v="Khopoli "/>
    <x v="14"/>
    <s v="Rajsriya Automotive Hosur"/>
    <x v="13"/>
    <s v="NO MATERIAL CODE"/>
    <s v="129695|187884|188415|189239|189240-NO MATERIAL CODE"/>
    <m/>
    <x v="0"/>
    <m/>
    <x v="2"/>
    <s v="HR"/>
    <m/>
    <m/>
    <s v="AG"/>
    <m/>
    <x v="99"/>
    <s v="60.3-0-2-ERW 1-FC-0.491"/>
    <n v="1"/>
    <s v="Khopoli"/>
    <n v="8.9056999999999997E-2"/>
    <n v="15.964999999999998"/>
    <m/>
    <x v="34"/>
    <x v="34"/>
    <x v="0"/>
    <x v="8"/>
    <n v="491"/>
    <s v="NOS"/>
    <m/>
    <m/>
    <m/>
    <m/>
    <n v="0"/>
    <n v="0"/>
    <n v="0"/>
    <n v="0"/>
    <n v="0"/>
    <e v="#DIV/0!"/>
    <n v="0"/>
    <m/>
    <n v="34.146056999999999"/>
    <n v="0"/>
    <n v="0"/>
    <m/>
  </r>
  <r>
    <n v="313"/>
    <s v="Hosur"/>
    <x v="12"/>
    <s v="Rajsriya Automotive Hosur"/>
    <x v="13"/>
    <m/>
    <s v="129695|187884|188415|189239|189240-"/>
    <m/>
    <x v="6"/>
    <m/>
    <x v="1"/>
    <s v="HR"/>
    <m/>
    <m/>
    <m/>
    <m/>
    <x v="152"/>
    <s v="19.05-0-2.5-ERW 2--0.319"/>
    <s v="#REF!"/>
    <m/>
    <m/>
    <m/>
    <m/>
    <x v="2"/>
    <x v="2"/>
    <x v="0"/>
    <x v="10"/>
    <n v="319"/>
    <m/>
    <m/>
    <m/>
    <m/>
    <m/>
    <e v="#N/A"/>
    <e v="#N/A"/>
    <n v="0"/>
    <e v="#N/A"/>
    <e v="#N/A"/>
    <e v="#DIV/0!"/>
    <n v="0"/>
    <m/>
    <n v="0"/>
    <n v="0"/>
    <n v="0"/>
    <m/>
  </r>
  <r>
    <m/>
    <s v="Hosur"/>
    <x v="13"/>
    <s v="Rajsriya Automotive Hosur"/>
    <x v="1"/>
    <n v="4228296"/>
    <s v="129663|948721-4228296"/>
    <m/>
    <x v="6"/>
    <m/>
    <x v="1"/>
    <m/>
    <m/>
    <m/>
    <m/>
    <m/>
    <x v="1"/>
    <m/>
    <m/>
    <m/>
    <m/>
    <m/>
    <m/>
    <x v="11"/>
    <x v="11"/>
    <x v="0"/>
    <x v="8"/>
    <n v="865"/>
    <s v="NOS"/>
    <m/>
    <m/>
    <n v="10000"/>
    <m/>
    <n v="0"/>
    <n v="10000"/>
    <n v="8.6266323709999995"/>
    <n v="0"/>
    <n v="8.6266323709999995"/>
    <n v="0"/>
    <n v="0"/>
    <m/>
    <n v="0"/>
    <n v="0"/>
    <n v="8.6266323709999995"/>
    <m/>
  </r>
  <r>
    <n v="414"/>
    <s v="Hosur"/>
    <x v="14"/>
    <s v="Rajsriya Automotive Hosur"/>
    <x v="13"/>
    <n v="3122347"/>
    <s v="129695|187884|188415|189239|189240-3122347"/>
    <s v="TUB-O-N-AUT-AW-PE-19.05X1.600X0.3940"/>
    <x v="5"/>
    <m/>
    <x v="0"/>
    <s v="CR"/>
    <s v="ST52AL"/>
    <m/>
    <s v="AG"/>
    <m/>
    <x v="153"/>
    <s v="19.05-0-1.6-ERW 2 MAHS-PE-0.394"/>
    <s v="#REF!"/>
    <m/>
    <m/>
    <m/>
    <m/>
    <x v="2"/>
    <x v="2"/>
    <x v="0"/>
    <x v="0"/>
    <n v="394"/>
    <s v="NOS"/>
    <m/>
    <m/>
    <m/>
    <m/>
    <n v="0"/>
    <n v="0"/>
    <n v="0"/>
    <n v="0"/>
    <n v="0"/>
    <e v="#DIV/0!"/>
    <n v="1.8818079999999999"/>
    <m/>
    <n v="0"/>
    <n v="2.9860000000000002"/>
    <n v="-1.8818079999999999"/>
    <m/>
  </r>
  <r>
    <n v="314"/>
    <s v="Hosur"/>
    <x v="12"/>
    <s v="Rajsriya Automotive Hosur"/>
    <x v="13"/>
    <n v="314118"/>
    <s v="129695|187884|188415|189239|189240-314118"/>
    <s v="TUB-O-N-AUT-AW-PE-22.20X1.200X0.300"/>
    <x v="2"/>
    <m/>
    <x v="1"/>
    <s v="HR"/>
    <m/>
    <m/>
    <m/>
    <m/>
    <x v="154"/>
    <s v="22.2-0-1.2---0.3"/>
    <s v="#REF!"/>
    <m/>
    <m/>
    <m/>
    <m/>
    <x v="11"/>
    <x v="46"/>
    <x v="0"/>
    <x v="2"/>
    <n v="300"/>
    <m/>
    <m/>
    <m/>
    <m/>
    <m/>
    <e v="#N/A"/>
    <e v="#N/A"/>
    <n v="0"/>
    <e v="#N/A"/>
    <e v="#N/A"/>
    <e v="#DIV/0!"/>
    <n v="0"/>
    <m/>
    <n v="0"/>
    <n v="0"/>
    <n v="0"/>
    <m/>
  </r>
  <r>
    <n v="326"/>
    <s v="Hosur"/>
    <x v="12"/>
    <s v="Rajsriya Automotive Hosur"/>
    <x v="13"/>
    <n v="1531609"/>
    <s v="129695|187884|188415|189239|189240-1531609"/>
    <s v="TUB-O-N-AUT-AW-FC-25.40X2.000X0.6000"/>
    <x v="2"/>
    <m/>
    <x v="1"/>
    <s v="HR"/>
    <m/>
    <m/>
    <m/>
    <m/>
    <x v="44"/>
    <s v="25.4-0-2---0.6"/>
    <s v="#REF!"/>
    <m/>
    <m/>
    <m/>
    <m/>
    <x v="3"/>
    <x v="3"/>
    <x v="0"/>
    <x v="8"/>
    <n v="600"/>
    <m/>
    <m/>
    <m/>
    <m/>
    <m/>
    <e v="#N/A"/>
    <e v="#N/A"/>
    <n v="0"/>
    <e v="#N/A"/>
    <e v="#N/A"/>
    <e v="#DIV/0!"/>
    <n v="0"/>
    <m/>
    <n v="0"/>
    <n v="0"/>
    <n v="0"/>
    <m/>
  </r>
  <r>
    <n v="327"/>
    <s v="Hosur"/>
    <x v="12"/>
    <s v="Rajsriya Automotive Hosur"/>
    <x v="13"/>
    <n v="1190412"/>
    <s v="129695|187884|188415|189239|189240-1190412"/>
    <s v="TUB-O-N-AUT-AW-PE-25.40X2.000X0.657"/>
    <x v="2"/>
    <m/>
    <x v="1"/>
    <s v="HR"/>
    <m/>
    <m/>
    <m/>
    <m/>
    <x v="44"/>
    <s v="25.4-0-2---0.657"/>
    <s v="#REF!"/>
    <m/>
    <m/>
    <m/>
    <m/>
    <x v="3"/>
    <x v="3"/>
    <x v="0"/>
    <x v="8"/>
    <n v="657"/>
    <m/>
    <m/>
    <m/>
    <m/>
    <m/>
    <e v="#N/A"/>
    <e v="#N/A"/>
    <n v="0"/>
    <e v="#N/A"/>
    <e v="#N/A"/>
    <e v="#DIV/0!"/>
    <n v="0"/>
    <m/>
    <n v="0"/>
    <n v="0"/>
    <n v="0"/>
    <m/>
  </r>
  <r>
    <n v="332"/>
    <s v="Hosur"/>
    <x v="12"/>
    <s v="Rajsriya Automotive Hosur"/>
    <x v="13"/>
    <n v="444028"/>
    <s v="129695|187884|188415|189239|189240-444028"/>
    <s v="PT2-O-N-AUT-AW-PE-31.75X1.200X0.600"/>
    <x v="0"/>
    <m/>
    <x v="2"/>
    <s v="HR"/>
    <m/>
    <m/>
    <m/>
    <m/>
    <x v="124"/>
    <s v="31.75-0-1.2-ERW 1-FC-0.6"/>
    <s v="#REF!"/>
    <m/>
    <m/>
    <m/>
    <m/>
    <x v="10"/>
    <x v="10"/>
    <x v="0"/>
    <x v="2"/>
    <n v="600"/>
    <m/>
    <m/>
    <m/>
    <m/>
    <m/>
    <e v="#N/A"/>
    <e v="#N/A"/>
    <n v="0"/>
    <e v="#N/A"/>
    <e v="#N/A"/>
    <e v="#DIV/0!"/>
    <n v="0"/>
    <m/>
    <n v="0"/>
    <n v="0"/>
    <n v="0"/>
    <m/>
  </r>
  <r>
    <n v="344"/>
    <s v="Hosur"/>
    <x v="12"/>
    <s v="Rajsriya Automotive Hosur"/>
    <x v="13"/>
    <n v="1940913"/>
    <s v="129695|187884|188415|189239|189240-1940913"/>
    <s v="TUB-O-O-AUT-AW-FC-57.15X2.500X0.8120"/>
    <x v="2"/>
    <m/>
    <x v="1"/>
    <s v="HR"/>
    <m/>
    <m/>
    <m/>
    <m/>
    <x v="155"/>
    <s v="57.15-0-2.5---0.812"/>
    <s v="#REF!"/>
    <m/>
    <m/>
    <m/>
    <m/>
    <x v="19"/>
    <x v="19"/>
    <x v="0"/>
    <x v="10"/>
    <n v="812"/>
    <m/>
    <m/>
    <m/>
    <m/>
    <m/>
    <e v="#N/A"/>
    <e v="#N/A"/>
    <n v="0"/>
    <e v="#N/A"/>
    <e v="#N/A"/>
    <e v="#DIV/0!"/>
    <n v="0"/>
    <m/>
    <n v="0"/>
    <n v="0"/>
    <n v="0"/>
    <m/>
  </r>
  <r>
    <n v="345"/>
    <s v="Khopoli "/>
    <x v="12"/>
    <s v="Rajsriya Automotive Hosur"/>
    <x v="13"/>
    <n v="3662752"/>
    <s v="129695|187884|188415|189239|189240-3662752"/>
    <s v="TUB-O-N-AUT-AW-FC-60.30X2.000X0.4930"/>
    <x v="2"/>
    <m/>
    <x v="1"/>
    <s v="HR"/>
    <m/>
    <m/>
    <m/>
    <m/>
    <x v="156"/>
    <s v="60.3-0-2---0.493"/>
    <s v="#REF!"/>
    <m/>
    <m/>
    <m/>
    <m/>
    <x v="34"/>
    <x v="34"/>
    <x v="0"/>
    <x v="8"/>
    <n v="493"/>
    <m/>
    <m/>
    <m/>
    <m/>
    <m/>
    <e v="#N/A"/>
    <e v="#N/A"/>
    <n v="0"/>
    <e v="#N/A"/>
    <e v="#N/A"/>
    <e v="#DIV/0!"/>
    <n v="0"/>
    <m/>
    <n v="0"/>
    <n v="0"/>
    <n v="0"/>
    <m/>
  </r>
  <r>
    <n v="350"/>
    <s v="Khopoli "/>
    <x v="18"/>
    <s v="Rajsriya Automotive Mysore"/>
    <x v="14"/>
    <n v="2363145"/>
    <s v="930883|189481-2363145"/>
    <s v="TUB-O-C-AUT-AN-FC-14.00X2.450X5.0000"/>
    <x v="1"/>
    <m/>
    <x v="1"/>
    <s v="HR"/>
    <m/>
    <m/>
    <m/>
    <m/>
    <x v="157"/>
    <s v="14-0-2.45-CEW--5"/>
    <s v="#REF!"/>
    <m/>
    <m/>
    <m/>
    <m/>
    <x v="5"/>
    <x v="5"/>
    <x v="0"/>
    <x v="22"/>
    <n v="5000"/>
    <s v="M"/>
    <m/>
    <m/>
    <m/>
    <m/>
    <n v="0"/>
    <n v="0"/>
    <n v="0"/>
    <n v="0"/>
    <n v="0"/>
    <e v="#DIV/0!"/>
    <n v="0"/>
    <m/>
    <n v="0"/>
    <n v="0"/>
    <n v="0"/>
    <m/>
  </r>
  <r>
    <n v="348"/>
    <s v="Khopoli "/>
    <x v="18"/>
    <s v="Rajsriya Automotive Mysore"/>
    <x v="14"/>
    <e v="#REF!"/>
    <e v="#REF!"/>
    <m/>
    <x v="1"/>
    <m/>
    <x v="3"/>
    <s v="HR"/>
    <m/>
    <m/>
    <m/>
    <m/>
    <x v="135"/>
    <s v="16.1-10.4-2.7-CEW-CEW-1"/>
    <n v="2"/>
    <s v="Khopoli"/>
    <n v="6.2502170000000001"/>
    <m/>
    <m/>
    <x v="6"/>
    <x v="6"/>
    <x v="22"/>
    <x v="26"/>
    <n v="1000"/>
    <s v="M"/>
    <m/>
    <m/>
    <n v="3000"/>
    <m/>
    <n v="0"/>
    <n v="3000"/>
    <n v="2.6754024600000008"/>
    <n v="0"/>
    <n v="2.6754024600000008"/>
    <n v="0"/>
    <n v="0"/>
    <m/>
    <n v="7.4382169999999999"/>
    <n v="0"/>
    <n v="2.6754024600000008"/>
    <m/>
  </r>
  <r>
    <n v="355"/>
    <s v="Hosur"/>
    <x v="18"/>
    <s v="Rajsriya Automotive Mysore"/>
    <x v="14"/>
    <n v="2410998"/>
    <s v="930883|189481-2410998"/>
    <s v="TUB-O-C-AUT-AD-FC-18.20X2.950X04-05"/>
    <x v="1"/>
    <m/>
    <x v="3"/>
    <s v="HR"/>
    <m/>
    <m/>
    <m/>
    <m/>
    <x v="137"/>
    <s v="18.2-12.3-2.95-CEW-CEW-4.5"/>
    <s v="#REF!"/>
    <m/>
    <m/>
    <m/>
    <m/>
    <x v="41"/>
    <x v="42"/>
    <x v="23"/>
    <x v="4"/>
    <n v="4500"/>
    <s v="M"/>
    <m/>
    <m/>
    <m/>
    <m/>
    <n v="0"/>
    <n v="0"/>
    <n v="0"/>
    <n v="0"/>
    <n v="0"/>
    <e v="#DIV/0!"/>
    <n v="0"/>
    <m/>
    <n v="0"/>
    <n v="0"/>
    <n v="0"/>
    <m/>
  </r>
  <r>
    <n v="360"/>
    <s v="Khopoli "/>
    <x v="18"/>
    <s v="Rajsriya Automotive Mysore"/>
    <x v="14"/>
    <n v="234926"/>
    <s v="930883|189481-234926"/>
    <s v="TUB-O-C-AUT-AD-PE-21.70X3.500X5.000"/>
    <x v="1"/>
    <m/>
    <x v="1"/>
    <s v="HR"/>
    <m/>
    <m/>
    <m/>
    <m/>
    <x v="82"/>
    <s v="21.75-0-3.5-CEW--5"/>
    <s v="#REF!"/>
    <m/>
    <m/>
    <m/>
    <m/>
    <x v="33"/>
    <x v="31"/>
    <x v="0"/>
    <x v="17"/>
    <n v="5000"/>
    <s v="M"/>
    <m/>
    <m/>
    <m/>
    <m/>
    <n v="0"/>
    <n v="0"/>
    <n v="0"/>
    <n v="0"/>
    <n v="0"/>
    <e v="#DIV/0!"/>
    <n v="0"/>
    <m/>
    <n v="0"/>
    <n v="0"/>
    <n v="0"/>
    <m/>
  </r>
  <r>
    <n v="368"/>
    <s v="Khopoli "/>
    <x v="18"/>
    <s v="Rajsriya Automotive Mysore"/>
    <x v="14"/>
    <n v="2410997"/>
    <s v="930883|189481-2410997"/>
    <s v="TUB-O-C-AUT-AD-FC-25.40X3.200X04-05"/>
    <x v="1"/>
    <m/>
    <x v="1"/>
    <s v="HR"/>
    <m/>
    <m/>
    <m/>
    <m/>
    <x v="158"/>
    <s v="25.4-19-3.2-CEW--4.5"/>
    <s v="#REF!"/>
    <m/>
    <m/>
    <m/>
    <m/>
    <x v="3"/>
    <x v="3"/>
    <x v="11"/>
    <x v="13"/>
    <n v="4500"/>
    <s v="M"/>
    <m/>
    <m/>
    <m/>
    <m/>
    <n v="0"/>
    <n v="0"/>
    <n v="0"/>
    <n v="0"/>
    <n v="0"/>
    <e v="#DIV/0!"/>
    <n v="0"/>
    <m/>
    <n v="0"/>
    <n v="0"/>
    <n v="0"/>
    <m/>
  </r>
  <r>
    <n v="371"/>
    <s v="Khopoli "/>
    <x v="18"/>
    <s v="Rajsriya Automotive Mysore"/>
    <x v="14"/>
    <n v="2422135"/>
    <s v="930883|189481-2422135"/>
    <s v="TUB-O-N-AUT-AN-FC-42.70X4.000X0.2080"/>
    <x v="1"/>
    <s v="Annealed"/>
    <x v="1"/>
    <s v="HR"/>
    <m/>
    <m/>
    <m/>
    <m/>
    <x v="84"/>
    <s v="42.7-0-4-CEW--0.208"/>
    <s v="#REF!"/>
    <m/>
    <m/>
    <m/>
    <m/>
    <x v="16"/>
    <x v="16"/>
    <x v="0"/>
    <x v="11"/>
    <n v="208"/>
    <s v="NOS"/>
    <m/>
    <m/>
    <m/>
    <m/>
    <n v="0"/>
    <n v="0"/>
    <n v="0"/>
    <n v="0"/>
    <n v="0"/>
    <e v="#DIV/0!"/>
    <n v="0"/>
    <m/>
    <n v="0"/>
    <n v="0"/>
    <n v="0"/>
    <m/>
  </r>
  <r>
    <n v="317"/>
    <s v="Hosur"/>
    <x v="18"/>
    <s v="Rajsriya Automotive Mysore"/>
    <x v="14"/>
    <n v="1939993"/>
    <s v="930883|189481-1939993"/>
    <s v="TUB-O-O-AUT-AW-PE-12.70X1.600X0.2500"/>
    <x v="0"/>
    <m/>
    <x v="0"/>
    <s v="HR"/>
    <m/>
    <m/>
    <m/>
    <m/>
    <x v="0"/>
    <s v="12.7-0-1.6-ERW 1-PE-0.25"/>
    <n v="1"/>
    <s v="Hosur"/>
    <n v="0"/>
    <n v="0"/>
    <m/>
    <x v="0"/>
    <x v="0"/>
    <x v="0"/>
    <x v="0"/>
    <n v="250"/>
    <s v="NOS"/>
    <m/>
    <m/>
    <n v="20000"/>
    <m/>
    <n v="20900"/>
    <n v="-900"/>
    <n v="2.1888312000000001"/>
    <n v="2.2873286039999998"/>
    <n v="-9.8497403999999733E-2"/>
    <n v="2643.7854138775069"/>
    <n v="0.28934000000000004"/>
    <m/>
    <n v="6.5656999999999993E-2"/>
    <n v="8.9860000000000007"/>
    <n v="1.8994911999999999"/>
    <m/>
  </r>
  <r>
    <n v="325"/>
    <s v="Hosur"/>
    <x v="18"/>
    <s v="Rajsriya Automotive Mysore"/>
    <x v="14"/>
    <n v="1939996"/>
    <s v="930883|189481-1939996"/>
    <s v="TUB-O-O-AUT-AW-PE-12.70X1.600X0.2950"/>
    <x v="0"/>
    <m/>
    <x v="0"/>
    <s v="HR"/>
    <m/>
    <m/>
    <m/>
    <m/>
    <x v="0"/>
    <s v="12.7-0-1.6-ERW 1-PE-0.295"/>
    <n v="1"/>
    <s v="Hosur"/>
    <n v="0"/>
    <n v="0"/>
    <m/>
    <x v="0"/>
    <x v="0"/>
    <x v="0"/>
    <x v="0"/>
    <n v="295"/>
    <s v="NOS"/>
    <m/>
    <m/>
    <n v="20000"/>
    <m/>
    <n v="11000"/>
    <n v="9000"/>
    <n v="2.5828208159999999"/>
    <n v="1.4205514487999999"/>
    <n v="1.1622693672"/>
    <n v="679.11021513154776"/>
    <n v="8.7700999999999987E-2"/>
    <m/>
    <n v="6.5656999999999993E-2"/>
    <n v="8.9860000000000007"/>
    <n v="2.4951198159999999"/>
    <m/>
  </r>
  <r>
    <n v="347"/>
    <s v="Hosur"/>
    <x v="18"/>
    <s v="Rajsriya Automotive Mysore"/>
    <x v="14"/>
    <n v="1940090"/>
    <s v="930883|189481-1940090"/>
    <s v="TUB-O-O-AUT-AW-PE-15.88X2.000X0.2910"/>
    <x v="0"/>
    <m/>
    <x v="0"/>
    <s v="HR"/>
    <m/>
    <m/>
    <m/>
    <m/>
    <x v="16"/>
    <s v="15.88-0-2-ERW 1-PE-0.291"/>
    <n v="5"/>
    <s v="Hosur"/>
    <n v="0"/>
    <n v="0"/>
    <m/>
    <x v="1"/>
    <x v="1"/>
    <x v="0"/>
    <x v="8"/>
    <n v="291"/>
    <s v="NOS"/>
    <m/>
    <m/>
    <n v="20000"/>
    <m/>
    <n v="15250"/>
    <n v="4750"/>
    <n v="3.9823713168000006"/>
    <n v="3.0365581290600003"/>
    <n v="0.94581318774000023"/>
    <n v="1474.6691186795058"/>
    <n v="0.29363400000000001"/>
    <m/>
    <n v="0"/>
    <n v="0.24399999999999999"/>
    <n v="3.6887373168000006"/>
    <m/>
  </r>
  <r>
    <n v="352"/>
    <s v="Hosur"/>
    <x v="18"/>
    <s v="Rajsriya Automotive Mysore"/>
    <x v="14"/>
    <n v="2243845"/>
    <s v="930883|189481-2243845"/>
    <s v="TUB-O-N-AUT-HR-PE-15.88X2.000X0.4420"/>
    <x v="0"/>
    <m/>
    <x v="0"/>
    <s v="HR"/>
    <m/>
    <m/>
    <m/>
    <m/>
    <x v="16"/>
    <s v="15.88-0-2-ERW 1-PE-0.442"/>
    <n v="1"/>
    <s v="Hosur"/>
    <m/>
    <m/>
    <m/>
    <x v="1"/>
    <x v="1"/>
    <x v="0"/>
    <x v="8"/>
    <n v="442"/>
    <s v="NOS"/>
    <m/>
    <m/>
    <m/>
    <m/>
    <n v="0"/>
    <n v="0"/>
    <n v="0"/>
    <n v="0"/>
    <n v="0"/>
    <e v="#DIV/0!"/>
    <n v="0"/>
    <m/>
    <n v="0"/>
    <n v="0.24399999999999999"/>
    <n v="0"/>
    <m/>
  </r>
  <r>
    <n v="354"/>
    <s v="Khopoli "/>
    <x v="18"/>
    <s v="Rajsriya Automotive Mysore"/>
    <x v="14"/>
    <n v="1931824"/>
    <s v="930883|189481-1931824"/>
    <s v="TUB-O-N-AUT-AW-PE-17.30X1.200X6.0000"/>
    <x v="0"/>
    <m/>
    <x v="1"/>
    <s v="HR"/>
    <m/>
    <m/>
    <m/>
    <m/>
    <x v="159"/>
    <s v="17.3-0-1.2-ERW 1--6"/>
    <s v="#REF!"/>
    <m/>
    <m/>
    <m/>
    <m/>
    <x v="7"/>
    <x v="7"/>
    <x v="0"/>
    <x v="2"/>
    <n v="6000"/>
    <s v="M"/>
    <m/>
    <m/>
    <m/>
    <m/>
    <n v="0"/>
    <n v="0"/>
    <n v="0"/>
    <n v="0"/>
    <n v="0"/>
    <e v="#DIV/0!"/>
    <n v="0"/>
    <m/>
    <n v="0"/>
    <n v="0"/>
    <n v="0"/>
    <m/>
  </r>
  <r>
    <n v="357"/>
    <s v="Hosur"/>
    <x v="18"/>
    <s v="Rajsriya Automotive Mysore"/>
    <x v="14"/>
    <n v="3122348"/>
    <s v="930883|189481-3122348"/>
    <s v="TUB-O-N-AUT-AW-PE-19.05X2.000X0.2385(Angle Cut)"/>
    <x v="0"/>
    <m/>
    <x v="1"/>
    <s v="HR"/>
    <m/>
    <m/>
    <m/>
    <m/>
    <x v="144"/>
    <s v="19.05-0-2-ERW 1--0.2385"/>
    <s v="#REF!"/>
    <m/>
    <m/>
    <m/>
    <m/>
    <x v="2"/>
    <x v="2"/>
    <x v="0"/>
    <x v="8"/>
    <n v="238.5"/>
    <s v="NOS"/>
    <m/>
    <m/>
    <m/>
    <m/>
    <n v="0"/>
    <n v="0"/>
    <n v="0"/>
    <n v="0"/>
    <n v="0"/>
    <e v="#DIV/0!"/>
    <n v="0"/>
    <m/>
    <n v="0"/>
    <n v="0"/>
    <n v="0"/>
    <m/>
  </r>
  <r>
    <n v="376"/>
    <s v="Hosur"/>
    <x v="18"/>
    <s v="Rajsriya Automotive Mysore"/>
    <x v="14"/>
    <n v="2403386"/>
    <s v="930883|189481-2403386"/>
    <s v="TUB-O-N-AUT-AW-PE-19.05X2.000X0.3580"/>
    <x v="0"/>
    <m/>
    <x v="0"/>
    <s v="HR"/>
    <m/>
    <m/>
    <m/>
    <m/>
    <x v="18"/>
    <s v="19.05-0-2-ERW 1-PE-0.358"/>
    <s v="#REF!"/>
    <s v="Hosur"/>
    <n v="0"/>
    <n v="0"/>
    <m/>
    <x v="2"/>
    <x v="2"/>
    <x v="0"/>
    <x v="8"/>
    <n v="358"/>
    <s v="NOS"/>
    <m/>
    <m/>
    <n v="10000"/>
    <m/>
    <n v="0"/>
    <n v="10000"/>
    <n v="3.0091006220000005"/>
    <n v="0"/>
    <n v="3.0091006220000005"/>
    <n v="69.61548526109739"/>
    <n v="2.0948000000000001E-2"/>
    <m/>
    <n v="0"/>
    <n v="11.189"/>
    <n v="2.9881526220000003"/>
    <m/>
  </r>
  <r>
    <n v="365"/>
    <s v="Hosur"/>
    <x v="18"/>
    <s v="Rajsriya Automotive Mysore"/>
    <x v="14"/>
    <m/>
    <s v="930883|189481-"/>
    <s v="TUB-O-N-AUT-AW-PE-19.05X2.000X0.3940"/>
    <x v="0"/>
    <m/>
    <x v="0"/>
    <s v="CR"/>
    <s v="ST52AL"/>
    <m/>
    <s v="AG"/>
    <m/>
    <x v="18"/>
    <s v="19.05-0-2-ERW 1-PE-0.394"/>
    <n v="1"/>
    <s v="Hosur"/>
    <n v="0"/>
    <n v="0"/>
    <m/>
    <x v="2"/>
    <x v="2"/>
    <x v="0"/>
    <x v="8"/>
    <n v="394"/>
    <s v="NOS"/>
    <m/>
    <m/>
    <m/>
    <m/>
    <n v="0"/>
    <n v="0"/>
    <n v="0"/>
    <n v="0"/>
    <n v="0"/>
    <e v="#DIV/0!"/>
    <n v="0"/>
    <m/>
    <n v="0"/>
    <n v="11.189"/>
    <n v="0"/>
    <m/>
  </r>
  <r>
    <n v="377"/>
    <s v="Hosur"/>
    <x v="18"/>
    <s v="Rajsriya Automotive Mysore"/>
    <x v="14"/>
    <n v="2403383"/>
    <s v="930883|189481-2403383"/>
    <s v="TUB-O-N-AUT-AW-PE-19.05X2.000X0.4750"/>
    <x v="0"/>
    <m/>
    <x v="0"/>
    <s v="HR"/>
    <m/>
    <m/>
    <m/>
    <m/>
    <x v="18"/>
    <s v="19.05-0-2-ERW 1-PE-0.475"/>
    <n v="2"/>
    <s v="Hosur"/>
    <n v="0"/>
    <n v="0"/>
    <m/>
    <x v="2"/>
    <x v="2"/>
    <x v="0"/>
    <x v="8"/>
    <n v="475"/>
    <s v="NOS"/>
    <m/>
    <m/>
    <n v="20000"/>
    <m/>
    <n v="0"/>
    <n v="20000"/>
    <n v="7.9850435500000003"/>
    <n v="0"/>
    <n v="7.9850435500000003"/>
    <n v="22.041207276821929"/>
    <n v="8.8000000000000005E-3"/>
    <m/>
    <n v="0"/>
    <n v="11.189"/>
    <n v="7.9762435500000004"/>
    <m/>
  </r>
  <r>
    <m/>
    <s v="Hosur"/>
    <x v="18"/>
    <s v="Rajsriya Automotive Mysore"/>
    <x v="14"/>
    <m/>
    <s v="930883|189481-"/>
    <m/>
    <x v="0"/>
    <m/>
    <x v="1"/>
    <m/>
    <m/>
    <m/>
    <m/>
    <m/>
    <x v="1"/>
    <m/>
    <m/>
    <m/>
    <m/>
    <m/>
    <m/>
    <x v="2"/>
    <x v="2"/>
    <x v="0"/>
    <x v="8"/>
    <n v="775"/>
    <s v="NOS"/>
    <m/>
    <m/>
    <n v="10000"/>
    <m/>
    <n v="0"/>
    <n v="10000"/>
    <n v="6.5141144750000004"/>
    <n v="0"/>
    <n v="6.5141144750000004"/>
    <n v="0"/>
    <n v="0"/>
    <m/>
    <n v="0"/>
    <n v="0"/>
    <n v="6.5141144750000004"/>
    <m/>
  </r>
  <r>
    <n v="361"/>
    <s v="Hosur"/>
    <x v="18"/>
    <s v="Rajsriya Automotive Mysore"/>
    <x v="14"/>
    <n v="3747395"/>
    <s v="930883|189481-3747395"/>
    <s v="PT2-O-N-AUT-AW-PE-22.20X1.600X0.361"/>
    <x v="0"/>
    <m/>
    <x v="1"/>
    <s v="HR"/>
    <m/>
    <m/>
    <m/>
    <m/>
    <x v="147"/>
    <s v="22.23-0-1.6-ERW 1--0.361"/>
    <s v="#REF!"/>
    <m/>
    <m/>
    <m/>
    <m/>
    <x v="11"/>
    <x v="11"/>
    <x v="0"/>
    <x v="0"/>
    <n v="361"/>
    <s v="NOS"/>
    <m/>
    <m/>
    <m/>
    <m/>
    <n v="0"/>
    <n v="0"/>
    <n v="0"/>
    <n v="0"/>
    <n v="0"/>
    <e v="#DIV/0!"/>
    <n v="0"/>
    <m/>
    <n v="0"/>
    <n v="0"/>
    <n v="0"/>
    <m/>
  </r>
  <r>
    <n v="362"/>
    <s v="Hosur"/>
    <x v="18"/>
    <s v="Rajsriya Automotive Mysore"/>
    <x v="14"/>
    <n v="1940445"/>
    <s v="930883|189481-1940445"/>
    <s v="TUB-O-O-AUT-AW-PE-22.23X2.000X0.5050"/>
    <x v="0"/>
    <m/>
    <x v="1"/>
    <s v="HR"/>
    <m/>
    <m/>
    <m/>
    <m/>
    <x v="22"/>
    <s v="22.23-0-2-ERW 1--0.505"/>
    <s v="#REF!"/>
    <m/>
    <m/>
    <m/>
    <m/>
    <x v="11"/>
    <x v="11"/>
    <x v="0"/>
    <x v="8"/>
    <n v="505"/>
    <s v="NOS"/>
    <m/>
    <m/>
    <m/>
    <m/>
    <n v="0"/>
    <n v="0"/>
    <n v="0"/>
    <n v="0"/>
    <n v="0"/>
    <e v="#DIV/0!"/>
    <n v="0"/>
    <m/>
    <n v="0"/>
    <n v="0"/>
    <n v="0"/>
    <m/>
  </r>
  <r>
    <n v="363"/>
    <s v="Hosur"/>
    <x v="18"/>
    <s v="Rajsriya Automotive Mysore"/>
    <x v="14"/>
    <n v="1940470"/>
    <s v="930883|189481-1940470"/>
    <s v="TUB-O-O-AUT-AW-PE-22.23X2.000X0.8510"/>
    <x v="0"/>
    <m/>
    <x v="1"/>
    <s v="HR"/>
    <m/>
    <m/>
    <m/>
    <m/>
    <x v="22"/>
    <s v="22.23-0-2-ERW 1--0.851"/>
    <s v="#REF!"/>
    <m/>
    <m/>
    <m/>
    <m/>
    <x v="11"/>
    <x v="11"/>
    <x v="0"/>
    <x v="8"/>
    <n v="851"/>
    <s v="NOS"/>
    <m/>
    <m/>
    <m/>
    <m/>
    <n v="0"/>
    <n v="0"/>
    <n v="0"/>
    <n v="0"/>
    <n v="0"/>
    <e v="#DIV/0!"/>
    <n v="0"/>
    <m/>
    <n v="0"/>
    <n v="0"/>
    <n v="0"/>
    <m/>
  </r>
  <r>
    <n v="364"/>
    <s v="Hosur"/>
    <x v="18"/>
    <s v="Rajsriya Automotive Mysore"/>
    <x v="14"/>
    <n v="1940472"/>
    <s v="930883|189481-1940472"/>
    <s v="TUB-O-O-AUT-AW-PE-22.23X2.000X0.8620"/>
    <x v="0"/>
    <m/>
    <x v="1"/>
    <s v="HR"/>
    <m/>
    <m/>
    <m/>
    <m/>
    <x v="22"/>
    <s v="22.23-0-2-ERW 1--0.862"/>
    <s v="#REF!"/>
    <m/>
    <m/>
    <m/>
    <m/>
    <x v="11"/>
    <x v="11"/>
    <x v="0"/>
    <x v="8"/>
    <n v="862"/>
    <s v="NOS"/>
    <m/>
    <m/>
    <m/>
    <m/>
    <n v="0"/>
    <n v="0"/>
    <n v="0"/>
    <n v="0"/>
    <n v="0"/>
    <e v="#DIV/0!"/>
    <n v="0"/>
    <m/>
    <n v="0"/>
    <n v="0"/>
    <n v="0"/>
    <m/>
  </r>
  <r>
    <n v="417"/>
    <s v="Hosur"/>
    <x v="18"/>
    <s v="Rajsriya Automotive Mysore"/>
    <x v="14"/>
    <n v="3087645"/>
    <s v="930883|189481-3087645"/>
    <s v="TUB-O-N-AUT-AW-PE-22.20X2.300X0.4250"/>
    <x v="0"/>
    <m/>
    <x v="0"/>
    <s v="HR"/>
    <m/>
    <m/>
    <m/>
    <m/>
    <x v="24"/>
    <s v="22.23-0-2.3-ERW 1-PE-0.425"/>
    <n v="2"/>
    <m/>
    <n v="6.8109740000000007"/>
    <n v="0"/>
    <m/>
    <x v="11"/>
    <x v="11"/>
    <x v="0"/>
    <x v="9"/>
    <n v="425"/>
    <s v="NOS"/>
    <m/>
    <m/>
    <n v="10000"/>
    <m/>
    <n v="0"/>
    <n v="10000"/>
    <n v="4.802013421749999"/>
    <n v="0"/>
    <n v="4.802013421749999"/>
    <n v="0"/>
    <n v="0"/>
    <m/>
    <n v="6.8109739999999999"/>
    <n v="0"/>
    <n v="4.802013421749999"/>
    <m/>
  </r>
  <r>
    <n v="418"/>
    <s v="Hosur"/>
    <x v="18"/>
    <s v="Rajsriya Automotive Mysore"/>
    <x v="14"/>
    <n v="1940510"/>
    <s v="930883|189481-1940510"/>
    <s v="TUB-O-O-AUT-AW-PE-22.23X2.300X6.0000"/>
    <x v="0"/>
    <m/>
    <x v="0"/>
    <s v="HR"/>
    <m/>
    <m/>
    <m/>
    <m/>
    <x v="24"/>
    <s v="22.23-0-2.3-ERW 1-PE-1"/>
    <s v="#REF!"/>
    <m/>
    <n v="6.8109740000000007"/>
    <n v="0"/>
    <m/>
    <x v="11"/>
    <x v="11"/>
    <x v="0"/>
    <x v="9"/>
    <n v="1000"/>
    <s v="M"/>
    <m/>
    <m/>
    <n v="5000"/>
    <m/>
    <n v="2550"/>
    <n v="2450"/>
    <n v="5.649427554999999"/>
    <n v="2.8812080530499999"/>
    <n v="2.7682195019499991"/>
    <n v="0"/>
    <n v="0"/>
    <m/>
    <n v="6.8109739999999999"/>
    <n v="0"/>
    <n v="5.649427554999999"/>
    <m/>
  </r>
  <r>
    <n v="366"/>
    <s v="Hosur"/>
    <x v="18"/>
    <s v="Rajsriya Automotive Mysore"/>
    <x v="14"/>
    <n v="1940562"/>
    <s v="930883|189481-1940562"/>
    <s v="TUB-O-O-AUT-AW-FC-25.40X1.600X0.3600"/>
    <x v="0"/>
    <m/>
    <x v="2"/>
    <s v="HR"/>
    <m/>
    <m/>
    <m/>
    <m/>
    <x v="86"/>
    <s v="25.4-0-1.6-ERW 1-FC-0.36"/>
    <s v="#REF!"/>
    <m/>
    <m/>
    <m/>
    <m/>
    <x v="3"/>
    <x v="3"/>
    <x v="0"/>
    <x v="0"/>
    <n v="360"/>
    <s v="NOS"/>
    <m/>
    <m/>
    <m/>
    <m/>
    <n v="0"/>
    <n v="0"/>
    <n v="0"/>
    <n v="0"/>
    <n v="0"/>
    <e v="#DIV/0!"/>
    <n v="0"/>
    <m/>
    <n v="0"/>
    <n v="0"/>
    <n v="0"/>
    <m/>
  </r>
  <r>
    <n v="367"/>
    <s v="Hosur"/>
    <x v="18"/>
    <s v="Rajsriya Automotive Mysore"/>
    <x v="14"/>
    <n v="1940603"/>
    <s v="930883|189481-1940603"/>
    <s v="TUB-O-O-AUT-AW-FC-25.40X2.600X0.3600"/>
    <x v="0"/>
    <m/>
    <x v="1"/>
    <s v="HR"/>
    <m/>
    <m/>
    <m/>
    <m/>
    <x v="148"/>
    <s v="25.4-0-2.6-ERW 1--0.36"/>
    <s v="#REF!"/>
    <m/>
    <m/>
    <m/>
    <m/>
    <x v="3"/>
    <x v="3"/>
    <x v="0"/>
    <x v="14"/>
    <n v="360"/>
    <s v="NOS"/>
    <m/>
    <m/>
    <m/>
    <m/>
    <n v="0"/>
    <n v="0"/>
    <n v="0"/>
    <n v="0"/>
    <n v="0"/>
    <e v="#DIV/0!"/>
    <n v="0"/>
    <m/>
    <n v="0"/>
    <n v="0"/>
    <n v="0"/>
    <m/>
  </r>
  <r>
    <n v="465"/>
    <s v="Hosur"/>
    <x v="18"/>
    <s v="Rajsriya Automotive Mysore"/>
    <x v="14"/>
    <n v="1941840"/>
    <s v="930883|189481-1941840"/>
    <s v="TUB-E-O-AUT-AW-FC-31.75X2.500X6.0000"/>
    <x v="0"/>
    <m/>
    <x v="2"/>
    <s v="HR"/>
    <m/>
    <m/>
    <m/>
    <m/>
    <x v="149"/>
    <s v="31.75-0-2.5-ERW 1-FC-1"/>
    <s v="#REF!"/>
    <s v="Hosur"/>
    <n v="0.60838099999999995"/>
    <m/>
    <m/>
    <x v="10"/>
    <x v="10"/>
    <x v="0"/>
    <x v="10"/>
    <n v="1000"/>
    <s v="M"/>
    <m/>
    <m/>
    <n v="3000"/>
    <m/>
    <n v="1775"/>
    <n v="1225"/>
    <n v="5.4073743750000007"/>
    <n v="3.1993631718750004"/>
    <n v="2.2080112031250003"/>
    <n v="0"/>
    <n v="0"/>
    <m/>
    <n v="5.039682"/>
    <n v="0"/>
    <n v="5.4073743750000007"/>
    <m/>
  </r>
  <r>
    <n v="370"/>
    <s v="Hosur"/>
    <x v="18"/>
    <s v="Rajsriya Automotive Mysore"/>
    <x v="14"/>
    <n v="3186831"/>
    <s v="930883|189481-3186831"/>
    <s v="TUB-O-N-AUT-AW-FC-41.28X2.600X0.8480"/>
    <x v="0"/>
    <m/>
    <x v="2"/>
    <s v="HR"/>
    <m/>
    <m/>
    <m/>
    <m/>
    <x v="150"/>
    <s v="41.28-0-2.6-ERW 1-FC-0.848"/>
    <s v="#REF!"/>
    <m/>
    <m/>
    <m/>
    <m/>
    <x v="15"/>
    <x v="32"/>
    <x v="0"/>
    <x v="14"/>
    <n v="848"/>
    <s v="NOS"/>
    <m/>
    <m/>
    <m/>
    <m/>
    <n v="0"/>
    <n v="0"/>
    <n v="0"/>
    <n v="0"/>
    <n v="0"/>
    <e v="#DIV/0!"/>
    <n v="0"/>
    <m/>
    <n v="0"/>
    <n v="0"/>
    <n v="0"/>
    <m/>
  </r>
  <r>
    <n v="372"/>
    <s v="Khopoli "/>
    <x v="18"/>
    <s v="Rajsriya Automotive Mysore"/>
    <x v="14"/>
    <n v="1938358"/>
    <s v="930883|189481-1938358"/>
    <s v="TUB-O-N-AUT-AN-FC-42.70X4.000X0.2540"/>
    <x v="0"/>
    <s v="Annealed"/>
    <x v="2"/>
    <s v="HR"/>
    <m/>
    <s v="Chamferring"/>
    <m/>
    <m/>
    <x v="35"/>
    <s v="42.7-0-4-ERW 1-FC-0.254"/>
    <s v="#REF!"/>
    <s v="Khopoli"/>
    <n v="0.28338300000000016"/>
    <n v="29.067884000000003"/>
    <m/>
    <x v="16"/>
    <x v="16"/>
    <x v="0"/>
    <x v="11"/>
    <n v="254"/>
    <s v="NOS"/>
    <m/>
    <m/>
    <n v="10000"/>
    <m/>
    <n v="1855"/>
    <n v="8145"/>
    <n v="9.6917896080000006"/>
    <n v="1.7978269722840003"/>
    <n v="7.893962635716"/>
    <n v="0"/>
    <n v="0"/>
    <m/>
    <n v="236.02448700000002"/>
    <n v="0"/>
    <n v="9.6917896080000006"/>
    <m/>
  </r>
  <r>
    <n v="486"/>
    <s v="Hosur"/>
    <x v="18"/>
    <s v="Rajsriya Automotive Mysore"/>
    <x v="14"/>
    <n v="1940830"/>
    <s v="930883|189481-1940830"/>
    <s v="TUB-R-AW-RHS-40.00X30.00X1.600X0.8600"/>
    <x v="0"/>
    <m/>
    <x v="2"/>
    <s v="CR"/>
    <s v="GR1"/>
    <m/>
    <m/>
    <m/>
    <x v="36"/>
    <s v="40-30-1.6-ERW 1-FC-0.86"/>
    <n v="2"/>
    <m/>
    <n v="0.95786300000000013"/>
    <n v="0"/>
    <m/>
    <x v="17"/>
    <x v="15"/>
    <x v="1"/>
    <x v="0"/>
    <n v="860"/>
    <s v="NOS"/>
    <m/>
    <m/>
    <n v="8000"/>
    <m/>
    <n v="0"/>
    <n v="8000"/>
    <n v="11.6267558272"/>
    <n v="0"/>
    <n v="11.6267558272"/>
    <n v="9.6673570573356233"/>
    <n v="1.405E-2"/>
    <m/>
    <n v="0.95786300000000002"/>
    <n v="0"/>
    <n v="11.612705827200001"/>
    <m/>
  </r>
  <r>
    <n v="488"/>
    <s v="Hosur"/>
    <x v="18"/>
    <s v="Rajsriya Automotive Mysore"/>
    <x v="14"/>
    <n v="1940837"/>
    <s v="930883|189481-1940837"/>
    <s v="TUB-R-AW-RHS-40.00X30.00X2.000X0.8700"/>
    <x v="0"/>
    <m/>
    <x v="2"/>
    <s v="HR"/>
    <m/>
    <m/>
    <m/>
    <m/>
    <x v="37"/>
    <s v="40-30-2-ERW 1-FC-0.87"/>
    <s v="#REF!"/>
    <s v="Hosur"/>
    <n v="0"/>
    <n v="0"/>
    <m/>
    <x v="17"/>
    <x v="15"/>
    <x v="1"/>
    <x v="8"/>
    <n v="870"/>
    <s v="NOS"/>
    <m/>
    <m/>
    <n v="8000"/>
    <m/>
    <n v="6984"/>
    <n v="1016"/>
    <n v="14.565192696"/>
    <n v="12.715413223608"/>
    <n v="1.8497794723920009"/>
    <n v="5677.4663903148949"/>
    <n v="10.336673999999999"/>
    <m/>
    <n v="0"/>
    <n v="26.635999999999999"/>
    <n v="4.2285186960000019"/>
    <m/>
  </r>
  <r>
    <n v="498"/>
    <s v="Hosur"/>
    <x v="18"/>
    <s v="Rajsriya Automotive Mysore"/>
    <x v="14"/>
    <n v="1940911"/>
    <s v="930883|189481-1940911"/>
    <s v="TUB-O-O-AUT-AW-AG-57.15X2.500X0.7720"/>
    <x v="0"/>
    <m/>
    <x v="2"/>
    <s v="HR"/>
    <m/>
    <m/>
    <s v="AG"/>
    <m/>
    <x v="97"/>
    <s v="57.15-0-2.5-ERW 1-FC-0.772"/>
    <n v="2"/>
    <s v="Hosur"/>
    <n v="0.80610400000000004"/>
    <n v="5.0208180000000002"/>
    <m/>
    <x v="19"/>
    <x v="19"/>
    <x v="0"/>
    <x v="10"/>
    <n v="772"/>
    <s v="NOS"/>
    <m/>
    <m/>
    <m/>
    <m/>
    <n v="1799"/>
    <n v="-1799"/>
    <n v="0"/>
    <n v="4.6771138699494994"/>
    <n v="-4.6771138699494994"/>
    <e v="#DIV/0!"/>
    <n v="1.5624000000000001E-2"/>
    <m/>
    <n v="18.554921999999998"/>
    <n v="0"/>
    <n v="-1.5624000000000001E-2"/>
    <m/>
  </r>
  <r>
    <n v="424"/>
    <s v="Hosur"/>
    <x v="19"/>
    <s v="Rucha Hosur"/>
    <x v="15"/>
    <n v="1940043"/>
    <s v="188534-1940043"/>
    <s v="TUB-O-O-AUT-AW-PE-15.88X1.200X0.8880"/>
    <x v="0"/>
    <m/>
    <x v="0"/>
    <s v="HR"/>
    <m/>
    <m/>
    <m/>
    <m/>
    <x v="2"/>
    <s v="15.88-0-1.2-ERW 1-PE-0.888"/>
    <n v="2"/>
    <s v="Hosur"/>
    <m/>
    <m/>
    <m/>
    <x v="1"/>
    <x v="1"/>
    <x v="0"/>
    <x v="2"/>
    <n v="888"/>
    <s v="NOS"/>
    <m/>
    <m/>
    <m/>
    <m/>
    <n v="0"/>
    <n v="0"/>
    <n v="0"/>
    <n v="0"/>
    <n v="0"/>
    <e v="#DIV/0!"/>
    <n v="1.41873"/>
    <m/>
    <n v="6.069591"/>
    <n v="7.3860000000000001"/>
    <n v="-1.41873"/>
    <m/>
  </r>
  <r>
    <n v="425"/>
    <s v="Hosur"/>
    <x v="19"/>
    <s v="Rucha Hosur"/>
    <x v="15"/>
    <n v="3506797"/>
    <s v="188534-3506797"/>
    <s v="CUT-O-N-AUT-AW-PE-15.88X2.000X0.291"/>
    <x v="0"/>
    <m/>
    <x v="0"/>
    <s v="HR"/>
    <m/>
    <m/>
    <m/>
    <m/>
    <x v="16"/>
    <s v="15.88-0-2-ERW 1-PE-0.291"/>
    <n v="5"/>
    <s v="Hosur"/>
    <m/>
    <m/>
    <m/>
    <x v="1"/>
    <x v="1"/>
    <x v="0"/>
    <x v="8"/>
    <n v="291"/>
    <s v="NOS"/>
    <m/>
    <m/>
    <m/>
    <m/>
    <n v="0"/>
    <n v="0"/>
    <n v="0"/>
    <n v="0"/>
    <n v="0"/>
    <e v="#DIV/0!"/>
    <n v="0.29363400000000001"/>
    <m/>
    <n v="0"/>
    <n v="0.24399999999999999"/>
    <n v="-0.29363400000000001"/>
    <m/>
  </r>
  <r>
    <n v="427"/>
    <s v="Hosur"/>
    <x v="19"/>
    <s v="Rucha Hosur"/>
    <x v="15"/>
    <n v="3732182"/>
    <s v="188534-3732182"/>
    <s v="TUB-O-O-AUT-AW-PE-19.05X2.000X0.8200"/>
    <x v="0"/>
    <m/>
    <x v="0"/>
    <s v="HR"/>
    <m/>
    <m/>
    <m/>
    <m/>
    <x v="18"/>
    <s v="19.05-0-2-ERW 1-PE-0.82"/>
    <s v="#REF!"/>
    <s v="Hosur"/>
    <s v="Plan"/>
    <m/>
    <m/>
    <x v="2"/>
    <x v="2"/>
    <x v="0"/>
    <x v="8"/>
    <n v="820"/>
    <s v="NOS"/>
    <m/>
    <m/>
    <m/>
    <m/>
    <n v="0"/>
    <n v="0"/>
    <n v="0"/>
    <n v="0"/>
    <n v="0"/>
    <e v="#DIV/0!"/>
    <n v="0"/>
    <m/>
    <n v="0"/>
    <n v="11.189"/>
    <n v="0"/>
    <m/>
  </r>
  <r>
    <n v="428"/>
    <s v="Hosur"/>
    <x v="19"/>
    <s v="Rucha Hosur"/>
    <x v="15"/>
    <m/>
    <s v="188534-"/>
    <m/>
    <x v="0"/>
    <m/>
    <x v="0"/>
    <s v="HR"/>
    <m/>
    <m/>
    <m/>
    <m/>
    <x v="19"/>
    <s v="19.05-0-2.3-ERW 1-PE-0.25"/>
    <s v="#REF!"/>
    <m/>
    <m/>
    <m/>
    <m/>
    <x v="2"/>
    <x v="2"/>
    <x v="0"/>
    <x v="9"/>
    <n v="250"/>
    <s v="NOS"/>
    <m/>
    <m/>
    <m/>
    <m/>
    <n v="0"/>
    <n v="0"/>
    <n v="0"/>
    <n v="0"/>
    <n v="0"/>
    <e v="#DIV/0!"/>
    <n v="0"/>
    <m/>
    <n v="79.222118000000009"/>
    <n v="6.0149999999999997"/>
    <n v="0"/>
    <m/>
  </r>
  <r>
    <n v="429"/>
    <s v="Hosur"/>
    <x v="19"/>
    <s v="Rucha Hosur"/>
    <x v="15"/>
    <n v="2427712"/>
    <s v="188534-2427712"/>
    <s v="TUB-O-N-AUT-AW-PE-19.05X2.300X0.2550"/>
    <x v="0"/>
    <m/>
    <x v="1"/>
    <s v="HR"/>
    <m/>
    <m/>
    <m/>
    <m/>
    <x v="145"/>
    <s v="19.05-0-2.3-ERW 1--0.255"/>
    <s v="#REF!"/>
    <m/>
    <m/>
    <m/>
    <m/>
    <x v="2"/>
    <x v="2"/>
    <x v="0"/>
    <x v="9"/>
    <n v="255"/>
    <s v="NOS"/>
    <m/>
    <m/>
    <m/>
    <m/>
    <n v="0"/>
    <n v="0"/>
    <n v="0"/>
    <n v="0"/>
    <n v="0"/>
    <e v="#DIV/0!"/>
    <n v="0"/>
    <m/>
    <n v="0"/>
    <n v="0"/>
    <n v="0"/>
    <m/>
  </r>
  <r>
    <n v="430"/>
    <s v="Hosur"/>
    <x v="19"/>
    <s v="Rucha Hosur"/>
    <x v="15"/>
    <m/>
    <s v="188534-"/>
    <m/>
    <x v="0"/>
    <m/>
    <x v="0"/>
    <s v="HR"/>
    <m/>
    <m/>
    <m/>
    <m/>
    <x v="19"/>
    <s v="19.05-0-2.3-ERW 1-PE-0.278"/>
    <s v="#REF!"/>
    <m/>
    <m/>
    <m/>
    <m/>
    <x v="2"/>
    <x v="2"/>
    <x v="0"/>
    <x v="9"/>
    <n v="278"/>
    <s v="NOS"/>
    <m/>
    <m/>
    <m/>
    <m/>
    <n v="0"/>
    <n v="0"/>
    <n v="0"/>
    <n v="0"/>
    <n v="0"/>
    <e v="#DIV/0!"/>
    <n v="0"/>
    <m/>
    <n v="79.222118000000009"/>
    <n v="6.0149999999999997"/>
    <n v="0"/>
    <m/>
  </r>
  <r>
    <n v="431"/>
    <s v="Hosur"/>
    <x v="19"/>
    <s v="Rucha Hosur"/>
    <x v="15"/>
    <n v="1940312"/>
    <s v="188534-1940312"/>
    <s v="TUB-O-O-AUT-AW-PE-19.05X2.300X0.2950"/>
    <x v="0"/>
    <m/>
    <x v="0"/>
    <s v="HR"/>
    <m/>
    <m/>
    <m/>
    <m/>
    <x v="19"/>
    <s v="19.05-0-2.3-ERW 1-PE-0.295"/>
    <s v="#REF!"/>
    <s v="Hosur"/>
    <s v="Plan"/>
    <m/>
    <m/>
    <x v="2"/>
    <x v="2"/>
    <x v="0"/>
    <x v="9"/>
    <n v="295"/>
    <s v="NOS"/>
    <m/>
    <m/>
    <m/>
    <m/>
    <n v="0"/>
    <n v="0"/>
    <n v="0"/>
    <n v="0"/>
    <n v="0"/>
    <e v="#DIV/0!"/>
    <n v="2.0640399999999999"/>
    <m/>
    <n v="79.222118000000009"/>
    <n v="6.0149999999999997"/>
    <n v="-2.0640399999999999"/>
    <m/>
  </r>
  <r>
    <n v="432"/>
    <s v="Hosur"/>
    <x v="19"/>
    <s v="Rucha Hosur"/>
    <x v="15"/>
    <n v="3732180"/>
    <s v="188534-3732180"/>
    <s v="TUB-O-O-AUT-AW-FC-25.40X1.600X0.2080"/>
    <x v="0"/>
    <m/>
    <x v="2"/>
    <s v="CR"/>
    <s v="NORMAL"/>
    <m/>
    <m/>
    <m/>
    <x v="86"/>
    <s v="25.4-0-1.6-ERW 1-FC-0.208"/>
    <s v="#REF!"/>
    <s v="Hosur"/>
    <m/>
    <m/>
    <m/>
    <x v="3"/>
    <x v="3"/>
    <x v="0"/>
    <x v="0"/>
    <n v="208"/>
    <s v="NOS"/>
    <m/>
    <m/>
    <m/>
    <m/>
    <n v="0"/>
    <n v="0"/>
    <n v="0"/>
    <n v="0"/>
    <n v="0"/>
    <e v="#DIV/0!"/>
    <n v="1.075E-3"/>
    <m/>
    <n v="0"/>
    <n v="0"/>
    <n v="-1.075E-3"/>
    <m/>
  </r>
  <r>
    <n v="433"/>
    <s v="Hosur"/>
    <x v="19"/>
    <s v="Rucha Hosur"/>
    <x v="15"/>
    <n v="3732181"/>
    <s v="188534-3732181"/>
    <s v="TUB-O-O-AUT-AW-FC-25.40X2.000X0.2830"/>
    <x v="0"/>
    <m/>
    <x v="1"/>
    <s v="HR"/>
    <m/>
    <m/>
    <m/>
    <m/>
    <x v="160"/>
    <s v="25.4-0-2-ERW 1--0.283"/>
    <s v="#REF!"/>
    <m/>
    <m/>
    <m/>
    <m/>
    <x v="3"/>
    <x v="3"/>
    <x v="0"/>
    <x v="8"/>
    <n v="283"/>
    <s v="NOS"/>
    <m/>
    <m/>
    <m/>
    <m/>
    <n v="0"/>
    <n v="0"/>
    <n v="0"/>
    <n v="0"/>
    <n v="0"/>
    <e v="#DIV/0!"/>
    <n v="0"/>
    <m/>
    <n v="0"/>
    <n v="0"/>
    <n v="0"/>
    <m/>
  </r>
  <r>
    <n v="434"/>
    <s v="Hosur"/>
    <x v="19"/>
    <s v="Rucha Hosur"/>
    <x v="15"/>
    <m/>
    <s v="188534-"/>
    <m/>
    <x v="0"/>
    <m/>
    <x v="2"/>
    <s v="HR"/>
    <m/>
    <m/>
    <m/>
    <m/>
    <x v="161"/>
    <s v="31.75-0-2.3-ERW 1-FC-0.193"/>
    <s v="#REF!"/>
    <m/>
    <n v="1.669"/>
    <n v="0"/>
    <m/>
    <x v="10"/>
    <x v="10"/>
    <x v="0"/>
    <x v="9"/>
    <n v="193"/>
    <s v="NOS"/>
    <m/>
    <m/>
    <m/>
    <m/>
    <n v="0"/>
    <n v="0"/>
    <n v="0"/>
    <n v="0"/>
    <n v="0"/>
    <e v="#DIV/0!"/>
    <n v="0"/>
    <m/>
    <n v="1.669"/>
    <n v="0"/>
    <n v="0"/>
    <m/>
  </r>
  <r>
    <n v="436"/>
    <s v="JSR "/>
    <x v="19"/>
    <s v="Rucha Hosur"/>
    <x v="15"/>
    <n v="3767397"/>
    <s v="188534-3767397"/>
    <m/>
    <x v="0"/>
    <m/>
    <x v="2"/>
    <s v="HR"/>
    <m/>
    <m/>
    <m/>
    <m/>
    <x v="127"/>
    <s v="38.1-0-2-ERW 1-FC-0.278"/>
    <s v="#REF!"/>
    <m/>
    <m/>
    <m/>
    <m/>
    <x v="14"/>
    <x v="30"/>
    <x v="0"/>
    <x v="8"/>
    <n v="278"/>
    <s v="NOS"/>
    <m/>
    <m/>
    <m/>
    <m/>
    <n v="0"/>
    <n v="0"/>
    <n v="0"/>
    <n v="0"/>
    <n v="0"/>
    <e v="#DIV/0!"/>
    <n v="0"/>
    <m/>
    <n v="95.257248000000004"/>
    <n v="1.9950000000000001"/>
    <n v="0"/>
    <m/>
  </r>
  <r>
    <n v="438"/>
    <s v="Hosur"/>
    <x v="19"/>
    <s v="Rucha Hosur"/>
    <x v="15"/>
    <n v="2440971"/>
    <s v="188534-2440971"/>
    <s v="TUB-R-AW-AUT-40.00X25.00X1.600X0.3180"/>
    <x v="0"/>
    <m/>
    <x v="2"/>
    <s v="CR"/>
    <s v="HROP"/>
    <m/>
    <m/>
    <m/>
    <x v="33"/>
    <s v="40-25-1.6-ERW 1-FC-0.318"/>
    <n v="1"/>
    <s v="Hosur"/>
    <m/>
    <m/>
    <m/>
    <x v="15"/>
    <x v="15"/>
    <x v="3"/>
    <x v="0"/>
    <n v="318"/>
    <s v="NOS"/>
    <m/>
    <m/>
    <m/>
    <m/>
    <n v="0"/>
    <n v="0"/>
    <n v="0"/>
    <n v="0"/>
    <n v="0"/>
    <e v="#DIV/0!"/>
    <n v="0"/>
    <m/>
    <n v="0.61827399999999999"/>
    <n v="0"/>
    <n v="0"/>
    <m/>
  </r>
  <r>
    <n v="439"/>
    <s v="Khopoli "/>
    <x v="19"/>
    <s v="Rucha Hosur"/>
    <x v="15"/>
    <n v="3433148"/>
    <s v="188534-3433148"/>
    <s v="TUB-O-N-AUT-BH-FC-42.70X3.500X0.2470"/>
    <x v="0"/>
    <s v="Annealed"/>
    <x v="2"/>
    <s v="HR"/>
    <m/>
    <s v="Chamferring"/>
    <m/>
    <m/>
    <x v="93"/>
    <s v="42.7-0-3.5-ERW 1-FC-0.247"/>
    <s v="#REF!"/>
    <s v="Khopoli"/>
    <s v="Plan"/>
    <m/>
    <m/>
    <x v="16"/>
    <x v="16"/>
    <x v="0"/>
    <x v="17"/>
    <n v="247"/>
    <s v="NOS"/>
    <m/>
    <m/>
    <m/>
    <m/>
    <n v="0"/>
    <n v="0"/>
    <n v="0"/>
    <n v="0"/>
    <n v="0"/>
    <e v="#DIV/0!"/>
    <n v="0"/>
    <m/>
    <n v="12.367420999999998"/>
    <n v="0"/>
    <n v="0"/>
    <m/>
  </r>
  <r>
    <n v="441"/>
    <s v="Hosur"/>
    <x v="19"/>
    <s v="Rucha Hosur"/>
    <x v="15"/>
    <n v="3732177"/>
    <s v="188534-3732177"/>
    <s v="TUB-O-N-AUT-AW-AG-57.15X2.500X0.3260"/>
    <x v="0"/>
    <m/>
    <x v="2"/>
    <s v="HR"/>
    <m/>
    <m/>
    <s v="AG"/>
    <m/>
    <x v="97"/>
    <s v="57.15-0-2.5-ERW 1-FC-0.326"/>
    <s v="#REF!"/>
    <s v="Hosur"/>
    <s v="Plan"/>
    <m/>
    <m/>
    <x v="19"/>
    <x v="19"/>
    <x v="0"/>
    <x v="10"/>
    <n v="326"/>
    <s v="NOS"/>
    <m/>
    <m/>
    <m/>
    <m/>
    <n v="0"/>
    <n v="0"/>
    <n v="0"/>
    <n v="0"/>
    <n v="0"/>
    <e v="#DIV/0!"/>
    <n v="0"/>
    <m/>
    <n v="18.554921999999998"/>
    <n v="0"/>
    <n v="0"/>
    <m/>
  </r>
  <r>
    <n v="442"/>
    <s v="Hosur"/>
    <x v="19"/>
    <s v="Rucha Hosur"/>
    <x v="15"/>
    <n v="2440972"/>
    <s v="188534-2440972"/>
    <s v="TUB-O-N-AUT-AW-FC-57.15X2.500X0.3750"/>
    <x v="0"/>
    <m/>
    <x v="2"/>
    <s v="HR"/>
    <m/>
    <m/>
    <m/>
    <m/>
    <x v="97"/>
    <s v="57.15-0-2.5-ERW 1-FC-0.375"/>
    <s v="#REF!"/>
    <s v="Hosur"/>
    <s v="Plan"/>
    <m/>
    <m/>
    <x v="19"/>
    <x v="19"/>
    <x v="0"/>
    <x v="10"/>
    <n v="375"/>
    <s v="NOS"/>
    <m/>
    <m/>
    <m/>
    <m/>
    <n v="0"/>
    <n v="0"/>
    <n v="0"/>
    <n v="0"/>
    <n v="0"/>
    <e v="#DIV/0!"/>
    <n v="0"/>
    <m/>
    <n v="18.554921999999998"/>
    <n v="0"/>
    <n v="0"/>
    <m/>
  </r>
  <r>
    <n v="443"/>
    <s v="Hosur"/>
    <x v="19"/>
    <s v="Rucha Hosur"/>
    <x v="15"/>
    <n v="3731697"/>
    <s v="188534-3731697"/>
    <s v="CUT-O-N-AUT-AW-AG-57.15X2.500X0.5260"/>
    <x v="0"/>
    <m/>
    <x v="2"/>
    <s v="HR"/>
    <m/>
    <m/>
    <s v="AG"/>
    <m/>
    <x v="97"/>
    <s v="57.15-0-2.5-ERW 1-FC-0.526"/>
    <s v="#REF!"/>
    <s v="Hosur"/>
    <s v="Plan"/>
    <m/>
    <m/>
    <x v="19"/>
    <x v="19"/>
    <x v="0"/>
    <x v="10"/>
    <n v="526"/>
    <s v="NOS"/>
    <m/>
    <m/>
    <m/>
    <m/>
    <n v="0"/>
    <n v="0"/>
    <n v="0"/>
    <n v="0"/>
    <n v="0"/>
    <e v="#DIV/0!"/>
    <n v="0"/>
    <m/>
    <n v="18.554921999999998"/>
    <n v="0"/>
    <n v="0"/>
    <m/>
  </r>
  <r>
    <n v="435"/>
    <s v="Hosur"/>
    <x v="19"/>
    <s v="Rucha Hosur"/>
    <x v="15"/>
    <n v="3841884"/>
    <s v="188534-3841884"/>
    <s v="TUB-O-N-AUT-AW-FC-38.10X1.600X0.8750"/>
    <x v="5"/>
    <m/>
    <x v="2"/>
    <s v="CR"/>
    <s v="ST52AL"/>
    <m/>
    <m/>
    <m/>
    <x v="100"/>
    <s v="38.1-0-1.6-ERW 2 MAHS-FC-0.875"/>
    <s v="#REF!"/>
    <s v="JSR"/>
    <m/>
    <m/>
    <m/>
    <x v="14"/>
    <x v="30"/>
    <x v="0"/>
    <x v="0"/>
    <n v="875"/>
    <s v="NOS"/>
    <m/>
    <m/>
    <m/>
    <m/>
    <n v="0"/>
    <n v="0"/>
    <n v="0"/>
    <n v="0"/>
    <n v="0"/>
    <e v="#DIV/0!"/>
    <n v="0"/>
    <m/>
    <n v="0.37121100000000001"/>
    <n v="3.1419999999999999"/>
    <n v="0"/>
    <m/>
  </r>
  <r>
    <n v="437"/>
    <s v="JSR"/>
    <x v="19"/>
    <s v="Rucha Hosur"/>
    <x v="15"/>
    <n v="2436343"/>
    <s v="188534-2436343"/>
    <s v="TUB-O-N-AUT-AW-FC-38.10X2.500X0.8750"/>
    <x v="5"/>
    <m/>
    <x v="2"/>
    <s v="HR"/>
    <s v="ST52AL"/>
    <m/>
    <m/>
    <m/>
    <x v="102"/>
    <s v="38.1-0-2.5-ERW 2 MAHS-FC-0.875"/>
    <s v="#REF!"/>
    <s v="JSR"/>
    <m/>
    <m/>
    <m/>
    <x v="14"/>
    <x v="30"/>
    <x v="0"/>
    <x v="10"/>
    <n v="875"/>
    <s v="NOS"/>
    <m/>
    <m/>
    <m/>
    <m/>
    <n v="0"/>
    <n v="0"/>
    <n v="0"/>
    <n v="0"/>
    <n v="0"/>
    <e v="#DIV/0!"/>
    <n v="0"/>
    <m/>
    <n v="0.57999999999999996"/>
    <n v="0"/>
    <n v="0"/>
    <m/>
  </r>
  <r>
    <n v="426"/>
    <s v="Hosur"/>
    <x v="19"/>
    <s v="Rucha Hosur"/>
    <x v="15"/>
    <n v="2384088"/>
    <s v="188534-2384088"/>
    <s v="TUB-O-N-AUT-AW-PE-19.05X1.600X0.3550"/>
    <x v="2"/>
    <m/>
    <x v="1"/>
    <s v="HR"/>
    <m/>
    <m/>
    <m/>
    <m/>
    <x v="42"/>
    <s v="19.05-0-1.6---0.355"/>
    <s v="#REF!"/>
    <m/>
    <m/>
    <m/>
    <m/>
    <x v="2"/>
    <x v="2"/>
    <x v="0"/>
    <x v="0"/>
    <n v="355"/>
    <s v="NOS"/>
    <m/>
    <m/>
    <m/>
    <m/>
    <n v="0"/>
    <n v="0"/>
    <n v="0"/>
    <n v="0"/>
    <n v="0"/>
    <e v="#DIV/0!"/>
    <n v="0"/>
    <m/>
    <n v="0"/>
    <n v="0"/>
    <n v="0"/>
    <m/>
  </r>
  <r>
    <n v="440"/>
    <s v="Hosur"/>
    <x v="19"/>
    <s v="Rucha Hosur"/>
    <x v="15"/>
    <n v="3732176"/>
    <s v="188534-3732176"/>
    <s v="TUB-O-N-AUT-AW-AG-57.15X2.500X0.2950"/>
    <x v="2"/>
    <m/>
    <x v="1"/>
    <s v="HR"/>
    <m/>
    <m/>
    <m/>
    <m/>
    <x v="155"/>
    <s v="57.15-0-2.5---0.295"/>
    <s v="#REF!"/>
    <m/>
    <m/>
    <m/>
    <m/>
    <x v="19"/>
    <x v="19"/>
    <x v="0"/>
    <x v="10"/>
    <n v="295"/>
    <m/>
    <m/>
    <m/>
    <m/>
    <m/>
    <e v="#N/A"/>
    <e v="#N/A"/>
    <n v="0"/>
    <e v="#N/A"/>
    <e v="#N/A"/>
    <e v="#DIV/0!"/>
    <n v="0"/>
    <m/>
    <n v="0"/>
    <n v="0"/>
    <n v="0"/>
    <m/>
  </r>
  <r>
    <n v="480"/>
    <s v="Khopoli "/>
    <x v="20"/>
    <s v="SANDHAR Hosur"/>
    <x v="16"/>
    <n v="2412748"/>
    <s v="941496-2412748"/>
    <s v="TUB-O-C-AUT-AD-FC-33.30X2.000X4.3000"/>
    <x v="1"/>
    <m/>
    <x v="3"/>
    <s v="HR"/>
    <m/>
    <m/>
    <m/>
    <m/>
    <x v="162"/>
    <s v="33.3-29.3-2-CEW-CEW-1"/>
    <n v="1"/>
    <s v="Khopoli"/>
    <m/>
    <m/>
    <m/>
    <x v="39"/>
    <x v="47"/>
    <x v="20"/>
    <x v="8"/>
    <n v="1000"/>
    <s v="M"/>
    <m/>
    <m/>
    <n v="1000"/>
    <m/>
    <n v="0"/>
    <n v="1000"/>
    <n v="1.5430273999999999"/>
    <n v="0"/>
    <n v="1.5430273999999999"/>
    <n v="0"/>
    <n v="0"/>
    <m/>
    <n v="0"/>
    <n v="0"/>
    <n v="1.5430273999999999"/>
    <m/>
  </r>
  <r>
    <n v="351"/>
    <s v="Khopoli "/>
    <x v="20"/>
    <s v="SANDHAR Hosur"/>
    <x v="16"/>
    <n v="1938118"/>
    <s v="941496-1938118"/>
    <s v="TUB-O-N-AUT-AW-PE-17.30X1.600X0.3550"/>
    <x v="0"/>
    <m/>
    <x v="0"/>
    <s v="CR"/>
    <s v="D"/>
    <m/>
    <m/>
    <m/>
    <x v="17"/>
    <s v="17.3-0-1.6-ERW 1-PE-0.355"/>
    <n v="2"/>
    <s v="Khopoli"/>
    <n v="9.3040000000000012E-2"/>
    <m/>
    <m/>
    <x v="7"/>
    <x v="7"/>
    <x v="0"/>
    <x v="0"/>
    <n v="355"/>
    <s v="NOS"/>
    <m/>
    <m/>
    <n v="20000"/>
    <m/>
    <n v="0"/>
    <n v="20000"/>
    <n v="4.3961984479999998"/>
    <n v="0"/>
    <n v="4.3961984479999998"/>
    <n v="0"/>
    <n v="0"/>
    <m/>
    <n v="9.3040000000000012E-2"/>
    <n v="0"/>
    <n v="4.3961984479999998"/>
    <m/>
  </r>
  <r>
    <n v="353"/>
    <s v="Khopoli "/>
    <x v="20"/>
    <s v="SANDHAR Hosur"/>
    <x v="16"/>
    <n v="1938119"/>
    <s v="941496-1938119"/>
    <s v="TUB-O-N-AUT-AW-PE-17.30X1.600X0.4000"/>
    <x v="0"/>
    <m/>
    <x v="0"/>
    <s v="HR"/>
    <m/>
    <m/>
    <m/>
    <m/>
    <x v="17"/>
    <s v="17.3-0-1.6-ERW 1-PE-0.4"/>
    <n v="3"/>
    <s v="Khopoli"/>
    <m/>
    <m/>
    <m/>
    <x v="7"/>
    <x v="7"/>
    <x v="0"/>
    <x v="0"/>
    <n v="400"/>
    <s v="NOS"/>
    <m/>
    <m/>
    <m/>
    <m/>
    <n v="0"/>
    <n v="0"/>
    <n v="0"/>
    <n v="0"/>
    <n v="0"/>
    <e v="#DIV/0!"/>
    <n v="0"/>
    <m/>
    <n v="9.3040000000000012E-2"/>
    <n v="0"/>
    <n v="0"/>
    <m/>
  </r>
  <r>
    <n v="351"/>
    <s v="Khopoli "/>
    <x v="20"/>
    <s v="SANDHAR Hosur"/>
    <x v="16"/>
    <n v="1938118"/>
    <s v="941496-1938118"/>
    <s v="TUB-O-N-AUT-AW-PE-17.30X1.600X0.3550"/>
    <x v="0"/>
    <m/>
    <x v="0"/>
    <s v="CR"/>
    <s v="D"/>
    <m/>
    <m/>
    <m/>
    <x v="17"/>
    <s v="17.3-0-1.6-ERW 1-PE-0.4"/>
    <n v="3"/>
    <s v="Khopoli"/>
    <m/>
    <m/>
    <m/>
    <x v="7"/>
    <x v="7"/>
    <x v="0"/>
    <x v="0"/>
    <n v="400"/>
    <s v="NOS"/>
    <m/>
    <m/>
    <m/>
    <m/>
    <n v="0"/>
    <n v="0"/>
    <n v="0"/>
    <n v="0"/>
    <n v="0"/>
    <e v="#DIV/0!"/>
    <n v="0"/>
    <m/>
    <n v="9.3040000000000012E-2"/>
    <n v="0"/>
    <n v="0"/>
    <m/>
  </r>
  <r>
    <n v="359"/>
    <s v="Hosur"/>
    <x v="20"/>
    <s v="SANDHAR Hosur"/>
    <x v="16"/>
    <n v="1937022"/>
    <s v="941496-1937022"/>
    <s v="TUB-O-N-GEN-AW-PE-19.05X1.200X0.6500"/>
    <x v="0"/>
    <m/>
    <x v="0"/>
    <s v="CR"/>
    <m/>
    <m/>
    <m/>
    <m/>
    <x v="4"/>
    <s v="19.05-0-1.2-ERW 1-PE-0.65"/>
    <n v="1"/>
    <s v="Hosur"/>
    <n v="0"/>
    <n v="0"/>
    <m/>
    <x v="2"/>
    <x v="2"/>
    <x v="0"/>
    <x v="2"/>
    <n v="650"/>
    <s v="NOS"/>
    <m/>
    <m/>
    <n v="25000"/>
    <m/>
    <n v="4000"/>
    <n v="21000"/>
    <n v="8.5797006750000016"/>
    <n v="1.372752108"/>
    <n v="7.2069485670000013"/>
    <n v="10495.389455996376"/>
    <n v="3.6018920000000003"/>
    <m/>
    <n v="0"/>
    <n v="20.588000000000001"/>
    <n v="4.9778086750000012"/>
    <m/>
  </r>
  <r>
    <n v="396"/>
    <s v="Hosur"/>
    <x v="20"/>
    <s v="SANDHAR Hosur"/>
    <x v="16"/>
    <n v="1940247"/>
    <s v="941496-1940247"/>
    <s v="TUB-O-O-AUT-AW-PE-19.05X1.600X0.5950"/>
    <x v="0"/>
    <m/>
    <x v="0"/>
    <s v="CR"/>
    <s v="GR1"/>
    <m/>
    <m/>
    <m/>
    <x v="85"/>
    <s v="19.05-0-1.6-ERW 1-PE-0.595"/>
    <n v="1"/>
    <s v="Hosur"/>
    <n v="0"/>
    <n v="0"/>
    <s v="exhaust pipe"/>
    <x v="2"/>
    <x v="2"/>
    <x v="0"/>
    <x v="0"/>
    <n v="595"/>
    <s v="NOS"/>
    <m/>
    <m/>
    <n v="8000"/>
    <m/>
    <n v="4300"/>
    <n v="3700"/>
    <n v="3.2758323807999998"/>
    <n v="1.7607599046799998"/>
    <n v="1.5150724761200001"/>
    <n v="3.7120336410590014"/>
    <n v="1.5200000000000001E-3"/>
    <m/>
    <n v="0"/>
    <n v="2.8860000000000001"/>
    <n v="3.2743123807999996"/>
    <m/>
  </r>
  <r>
    <n v="399"/>
    <s v="Hosur"/>
    <x v="20"/>
    <s v="SANDHAR Hosur"/>
    <x v="16"/>
    <n v="2320564"/>
    <s v="941496-2320564"/>
    <s v="TUB-O-N-AUT-AW-PE-19.05X2.300X0.4000"/>
    <x v="0"/>
    <m/>
    <x v="0"/>
    <s v="HR"/>
    <m/>
    <m/>
    <m/>
    <m/>
    <x v="19"/>
    <s v="19.05-0-2.3-ERW 1-PE-0.4"/>
    <s v="#REF!"/>
    <m/>
    <m/>
    <m/>
    <m/>
    <x v="2"/>
    <x v="2"/>
    <x v="0"/>
    <x v="9"/>
    <n v="400"/>
    <s v="NOS"/>
    <m/>
    <m/>
    <n v="10000"/>
    <m/>
    <n v="0"/>
    <n v="10000"/>
    <n v="3.7984108999999995"/>
    <n v="0"/>
    <n v="3.7984108999999995"/>
    <n v="0"/>
    <n v="0"/>
    <m/>
    <n v="79.222118000000009"/>
    <n v="6.0149999999999997"/>
    <n v="3.7984108999999995"/>
    <m/>
  </r>
  <r>
    <n v="410"/>
    <s v="Hosur"/>
    <x v="20"/>
    <s v="SANDHAR Hosur"/>
    <x v="16"/>
    <n v="3718926"/>
    <s v="941496-3718926"/>
    <s v="PT2-O-N-AUT-AW-PE-19.05X2.340X0.4020"/>
    <x v="0"/>
    <m/>
    <x v="1"/>
    <s v="HR"/>
    <m/>
    <m/>
    <m/>
    <m/>
    <x v="145"/>
    <s v="19.05-0-2.3-ERW 1--0.402"/>
    <s v="#REF!"/>
    <m/>
    <m/>
    <m/>
    <m/>
    <x v="2"/>
    <x v="2"/>
    <x v="0"/>
    <x v="9"/>
    <n v="402"/>
    <s v="NOS"/>
    <m/>
    <m/>
    <m/>
    <m/>
    <n v="0"/>
    <n v="0"/>
    <n v="0"/>
    <n v="0"/>
    <n v="0"/>
    <e v="#DIV/0!"/>
    <n v="0"/>
    <m/>
    <n v="0"/>
    <n v="0"/>
    <n v="0"/>
    <m/>
  </r>
  <r>
    <n v="411"/>
    <s v="Hosur"/>
    <x v="20"/>
    <s v="SANDHAR Hosur"/>
    <x v="16"/>
    <n v="3667938"/>
    <s v="941496-3667938"/>
    <s v="CUT-O-N-AUT-AW-PE-22.20X1.200X0.6730"/>
    <x v="0"/>
    <m/>
    <x v="0"/>
    <s v="HR"/>
    <m/>
    <m/>
    <m/>
    <m/>
    <x v="20"/>
    <s v="22.23-0-1.2-ERW 1-PE-0.673"/>
    <n v="1"/>
    <s v="Hosur"/>
    <m/>
    <m/>
    <m/>
    <x v="11"/>
    <x v="11"/>
    <x v="0"/>
    <x v="2"/>
    <n v="673"/>
    <s v="NOS"/>
    <m/>
    <m/>
    <m/>
    <m/>
    <n v="400"/>
    <n v="-400"/>
    <n v="0"/>
    <n v="0.16745375054880002"/>
    <n v="-0.16745375054880002"/>
    <e v="#DIV/0!"/>
    <n v="1.3569999999999999E-3"/>
    <m/>
    <n v="8.5000000000000006E-2"/>
    <n v="3.1040000000000001"/>
    <n v="-1.3569999999999999E-3"/>
    <m/>
  </r>
  <r>
    <n v="420"/>
    <s v="Hosur"/>
    <x v="20"/>
    <s v="SANDHAR Hosur"/>
    <x v="16"/>
    <n v="3553684"/>
    <s v="941496-3553684"/>
    <s v="TUB-O-N-AUT-AW-PE-22.23X1.600X0.2740"/>
    <x v="0"/>
    <m/>
    <x v="0"/>
    <s v="CR"/>
    <s v="HROP"/>
    <m/>
    <m/>
    <m/>
    <x v="21"/>
    <s v="22.23-0-1.6-ERW 1-PE-0.274"/>
    <n v="1"/>
    <s v="Hosur"/>
    <n v="5.9161999999999937E-2"/>
    <n v="0"/>
    <m/>
    <x v="11"/>
    <x v="11"/>
    <x v="0"/>
    <x v="0"/>
    <n v="274"/>
    <s v="NOS"/>
    <m/>
    <m/>
    <n v="10000"/>
    <m/>
    <n v="600"/>
    <n v="9400"/>
    <n v="2.2293028860800002"/>
    <n v="0.13375817316480001"/>
    <n v="2.0955447129152001"/>
    <n v="3.4450231271644252"/>
    <n v="7.6800000000000002E-4"/>
    <m/>
    <n v="10.773161999999999"/>
    <n v="0"/>
    <n v="2.2285348860800003"/>
    <m/>
  </r>
  <r>
    <n v="458"/>
    <s v="Hosur"/>
    <x v="20"/>
    <s v="SANDHAR Hosur"/>
    <x v="16"/>
    <n v="1940437"/>
    <s v="941496-1940437"/>
    <s v="TUB-O-O-AUT-AW-PE-22.23X2.000X0.3940"/>
    <x v="0"/>
    <m/>
    <x v="0"/>
    <s v="HR"/>
    <m/>
    <m/>
    <m/>
    <m/>
    <x v="49"/>
    <s v="22.23-0-2-ERW 1-PE-0.394"/>
    <n v="2"/>
    <s v="Hosur"/>
    <n v="5.5039059999999997"/>
    <n v="1.0470000000000002"/>
    <m/>
    <x v="11"/>
    <x v="11"/>
    <x v="0"/>
    <x v="8"/>
    <n v="394"/>
    <s v="NOS"/>
    <m/>
    <m/>
    <n v="20000"/>
    <m/>
    <n v="7350"/>
    <n v="12650"/>
    <n v="7.8587124951999998"/>
    <n v="2.8880768419859999"/>
    <n v="4.9706356532139999"/>
    <n v="5.9755335277480324"/>
    <n v="2.3479999999999998E-3"/>
    <m/>
    <n v="11.690147"/>
    <n v="1.629"/>
    <n v="7.8563644952000002"/>
    <m/>
  </r>
  <r>
    <m/>
    <s v="Hosur"/>
    <x v="20"/>
    <s v="SANDHAR Hosur"/>
    <x v="16"/>
    <m/>
    <s v="941496-"/>
    <m/>
    <x v="0"/>
    <m/>
    <x v="0"/>
    <m/>
    <m/>
    <m/>
    <m/>
    <m/>
    <x v="49"/>
    <s v="22.23-0-2-ERW 1-PE-0.805"/>
    <m/>
    <m/>
    <n v="5.5039059999999997"/>
    <n v="1.0470000000000002"/>
    <m/>
    <x v="11"/>
    <x v="11"/>
    <x v="0"/>
    <x v="8"/>
    <n v="805"/>
    <s v="NOS"/>
    <m/>
    <m/>
    <n v="10000"/>
    <m/>
    <n v="2153"/>
    <n v="7847"/>
    <n v="8.0282532470000021"/>
    <n v="1.7284829240791002"/>
    <n v="6.2997703229209021"/>
    <n v="0"/>
    <n v="0"/>
    <m/>
    <n v="11.690147"/>
    <n v="1.629"/>
    <n v="8.0282532470000021"/>
    <m/>
  </r>
  <r>
    <n v="460"/>
    <s v="Hosur"/>
    <x v="20"/>
    <s v="SANDHAR Hosur"/>
    <x v="16"/>
    <n v="2413708"/>
    <s v="941496-2413708"/>
    <s v="TUB-O-N-AUT-AW-PE-22.23X2.000X0.8150"/>
    <x v="0"/>
    <m/>
    <x v="0"/>
    <s v="HR"/>
    <m/>
    <m/>
    <m/>
    <m/>
    <x v="49"/>
    <s v="22.23-0-2-ERW 1-PE-0.815"/>
    <n v="2"/>
    <s v="Hosur"/>
    <n v="5.5039059999999997"/>
    <n v="1.0470000000000002"/>
    <m/>
    <x v="11"/>
    <x v="11"/>
    <x v="0"/>
    <x v="8"/>
    <n v="815"/>
    <s v="NOS"/>
    <m/>
    <m/>
    <n v="15000"/>
    <m/>
    <n v="11492"/>
    <n v="3508"/>
    <n v="12.191974651500001"/>
    <n v="9.3406781796692009"/>
    <n v="2.8512964718307998"/>
    <n v="17.042358267570417"/>
    <n v="1.3852E-2"/>
    <m/>
    <n v="11.690147"/>
    <n v="1.629"/>
    <n v="12.178122651500001"/>
    <m/>
  </r>
  <r>
    <n v="469"/>
    <s v="Hosur"/>
    <x v="20"/>
    <s v="SANDHAR Hosur"/>
    <x v="16"/>
    <n v="1940588"/>
    <s v="941496-1940588"/>
    <s v="TUB-O-O-AUT-AW-FC-25.40X2.000X0.3550"/>
    <x v="0"/>
    <m/>
    <x v="2"/>
    <s v="HR"/>
    <m/>
    <m/>
    <m/>
    <m/>
    <x v="25"/>
    <s v="25.4-0-2-ERW 1-FC-0.355"/>
    <n v="3"/>
    <s v="Hosur"/>
    <n v="10.051000000000002"/>
    <n v="0"/>
    <m/>
    <x v="3"/>
    <x v="3"/>
    <x v="0"/>
    <x v="8"/>
    <n v="355"/>
    <s v="NOS"/>
    <m/>
    <m/>
    <m/>
    <m/>
    <n v="6500"/>
    <n v="-6500"/>
    <n v="0"/>
    <n v="2.6618701589999998"/>
    <n v="-2.6618701589999998"/>
    <e v="#DIV/0!"/>
    <n v="2.0499999999999997E-3"/>
    <m/>
    <n v="10.738999999999999"/>
    <n v="25.931000000000001"/>
    <n v="-2.0499999999999997E-3"/>
    <m/>
  </r>
  <r>
    <n v="470"/>
    <s v="Hosur"/>
    <x v="20"/>
    <s v="SANDHAR Hosur"/>
    <x v="16"/>
    <n v="1940614"/>
    <s v="941496-1940614"/>
    <s v="TUB-O-O-AUT-AW-PE-28.58X1.200X0.5950"/>
    <x v="0"/>
    <m/>
    <x v="0"/>
    <s v="CR"/>
    <m/>
    <m/>
    <m/>
    <m/>
    <x v="123"/>
    <s v="28.58-0-1.2-ERW 1-PE-0.595"/>
    <n v="1"/>
    <s v="Hosur"/>
    <n v="0.10089999999999999"/>
    <n v="0"/>
    <m/>
    <x v="12"/>
    <x v="12"/>
    <x v="0"/>
    <x v="2"/>
    <n v="595"/>
    <s v="NOS"/>
    <m/>
    <m/>
    <n v="8000"/>
    <m/>
    <n v="5550"/>
    <n v="2450"/>
    <n v="3.8549695094399996"/>
    <n v="2.674385097174"/>
    <n v="1.1805844122659996"/>
    <n v="5.3852566016834063"/>
    <n v="2.5950000000000001E-3"/>
    <m/>
    <n v="0.1009"/>
    <n v="5.8879999999999999"/>
    <n v="3.8523745094399997"/>
    <m/>
  </r>
  <r>
    <n v="473"/>
    <s v="Hosur"/>
    <x v="20"/>
    <s v="SANDHAR Hosur"/>
    <x v="16"/>
    <n v="2256593"/>
    <s v="941496-2256593"/>
    <s v="TUB-O-N-AUT-AW-FC-31.75X1.200X0.2100"/>
    <x v="0"/>
    <m/>
    <x v="2"/>
    <s v="CR"/>
    <m/>
    <m/>
    <m/>
    <m/>
    <x v="124"/>
    <s v="31.75-0-1.2-ERW 1-FC-0.21"/>
    <n v="1"/>
    <s v="Hosur"/>
    <n v="0"/>
    <n v="0"/>
    <m/>
    <x v="10"/>
    <x v="10"/>
    <x v="0"/>
    <x v="2"/>
    <n v="210"/>
    <s v="NOS"/>
    <m/>
    <m/>
    <n v="8000"/>
    <m/>
    <n v="650"/>
    <n v="7350"/>
    <n v="1.5181023312000002"/>
    <n v="0.12334581441000002"/>
    <n v="1.3947565167900002"/>
    <n v="2.4240790125729568"/>
    <n v="4.6000000000000001E-4"/>
    <m/>
    <n v="0"/>
    <n v="0"/>
    <n v="1.5176423312000002"/>
    <m/>
  </r>
  <r>
    <n v="477"/>
    <s v="Hosur"/>
    <x v="20"/>
    <s v="SANDHAR Hosur"/>
    <x v="16"/>
    <n v="3507795"/>
    <s v="941496-3507795"/>
    <s v="CUT-O-N-AUT-AW-PE-31.75X1.200X0.6570"/>
    <x v="0"/>
    <m/>
    <x v="2"/>
    <s v="HR"/>
    <m/>
    <m/>
    <m/>
    <m/>
    <x v="124"/>
    <s v="31.75-0-1.2-ERW 1-FC-0.657"/>
    <s v="#REF!"/>
    <m/>
    <m/>
    <m/>
    <m/>
    <x v="10"/>
    <x v="10"/>
    <x v="0"/>
    <x v="2"/>
    <n v="657"/>
    <s v="NOS"/>
    <m/>
    <m/>
    <m/>
    <m/>
    <n v="0"/>
    <n v="0"/>
    <n v="0"/>
    <n v="0"/>
    <n v="0"/>
    <e v="#DIV/0!"/>
    <n v="0"/>
    <m/>
    <n v="0"/>
    <n v="0"/>
    <n v="0"/>
    <m/>
  </r>
  <r>
    <n v="478"/>
    <s v="Hosur"/>
    <x v="20"/>
    <s v="SANDHAR Hosur"/>
    <x v="16"/>
    <n v="3819143"/>
    <s v="941496-3819143"/>
    <s v="TUB-O-N-AUT-AW-PE-31.75X1.200X0.6800"/>
    <x v="0"/>
    <m/>
    <x v="2"/>
    <s v="CR"/>
    <m/>
    <m/>
    <m/>
    <m/>
    <x v="124"/>
    <s v="31.75-0-1.2-ERW 1-FC-0.68"/>
    <n v="1"/>
    <s v="Hosur"/>
    <n v="0"/>
    <n v="0"/>
    <m/>
    <x v="10"/>
    <x v="10"/>
    <x v="0"/>
    <x v="2"/>
    <n v="680"/>
    <s v="NOS"/>
    <m/>
    <m/>
    <n v="15000"/>
    <m/>
    <n v="0"/>
    <n v="15000"/>
    <n v="9.2170498679999984"/>
    <n v="0"/>
    <n v="9.2170498679999984"/>
    <n v="0"/>
    <n v="0"/>
    <m/>
    <n v="0"/>
    <n v="0"/>
    <n v="9.2170498679999984"/>
    <m/>
  </r>
  <r>
    <n v="479"/>
    <s v="Hosur"/>
    <x v="20"/>
    <s v="SANDHAR Hosur"/>
    <x v="16"/>
    <n v="3715133"/>
    <s v="941496-3715133"/>
    <s v="TUB-O-O-AUT-AW-FC-31.75X1.600X0.6580"/>
    <x v="0"/>
    <m/>
    <x v="2"/>
    <s v="HR"/>
    <m/>
    <m/>
    <m/>
    <m/>
    <x v="163"/>
    <s v="31.75-0-1.6-ERW 1-FC-0.658"/>
    <s v="#REF!"/>
    <s v="Hosur"/>
    <m/>
    <m/>
    <m/>
    <x v="10"/>
    <x v="10"/>
    <x v="0"/>
    <x v="0"/>
    <n v="658"/>
    <s v="NOS"/>
    <m/>
    <m/>
    <m/>
    <m/>
    <n v="0"/>
    <n v="0"/>
    <n v="0"/>
    <n v="0"/>
    <n v="0"/>
    <e v="#DIV/0!"/>
    <n v="1.3464E-2"/>
    <m/>
    <n v="0"/>
    <n v="1.9610000000000001"/>
    <n v="-1.3464E-2"/>
    <m/>
  </r>
  <r>
    <n v="484"/>
    <s v="Hosur"/>
    <x v="20"/>
    <s v="SANDHAR Hosur"/>
    <x v="16"/>
    <n v="1903849"/>
    <s v="941496-1903849"/>
    <s v="TUB-O-N-AUT-AW-FC-38.10X2.000X0.4320"/>
    <x v="0"/>
    <m/>
    <x v="2"/>
    <s v="HR"/>
    <m/>
    <m/>
    <m/>
    <m/>
    <x v="127"/>
    <s v="38.1-0-2-ERW 1-FC-0.432"/>
    <n v="1"/>
    <s v="Hosur"/>
    <n v="30.650651000000007"/>
    <n v="60.82106499999999"/>
    <m/>
    <x v="14"/>
    <x v="30"/>
    <x v="0"/>
    <x v="8"/>
    <n v="432"/>
    <s v="NOS"/>
    <m/>
    <m/>
    <n v="15000"/>
    <m/>
    <n v="8741"/>
    <n v="6259"/>
    <n v="11.532182543999999"/>
    <n v="6.7201871744736001"/>
    <n v="4.8119953695263993"/>
    <n v="1.9861808389355655"/>
    <n v="1.5270000000000001E-3"/>
    <m/>
    <n v="95.257248000000004"/>
    <n v="1.9950000000000001"/>
    <n v="11.530655544"/>
    <m/>
  </r>
  <r>
    <n v="485"/>
    <s v="Hosur"/>
    <x v="20"/>
    <s v="SANDHAR Hosur"/>
    <x v="16"/>
    <n v="3516769"/>
    <s v="941496-3516769"/>
    <s v="TUB-O-N-AUT-AW-FC-38.10X2.000X0.4940"/>
    <x v="0"/>
    <m/>
    <x v="2"/>
    <s v="HR"/>
    <m/>
    <m/>
    <m/>
    <m/>
    <x v="127"/>
    <s v="38.1-0-2-ERW 1-FC-0.494"/>
    <s v="#REF!"/>
    <m/>
    <m/>
    <m/>
    <m/>
    <x v="14"/>
    <x v="30"/>
    <x v="0"/>
    <x v="8"/>
    <n v="494"/>
    <s v="NOS"/>
    <m/>
    <m/>
    <m/>
    <m/>
    <n v="0"/>
    <n v="0"/>
    <n v="0"/>
    <n v="0"/>
    <n v="0"/>
    <e v="#DIV/0!"/>
    <n v="0"/>
    <m/>
    <n v="95.257248000000004"/>
    <n v="1.9950000000000001"/>
    <n v="0"/>
    <m/>
  </r>
  <r>
    <n v="489"/>
    <s v="Hosur"/>
    <x v="20"/>
    <s v="SANDHAR Hosur"/>
    <x v="16"/>
    <n v="1940743"/>
    <s v="941496-1940743"/>
    <s v="TUB-O-O-AUT-AW-FC-38.10X2.000X0.8120"/>
    <x v="0"/>
    <m/>
    <x v="2"/>
    <s v="HR"/>
    <m/>
    <m/>
    <m/>
    <m/>
    <x v="127"/>
    <s v="38.1-0-2-ERW 1-FC-0.812"/>
    <n v="3"/>
    <s v="Hosur"/>
    <n v="30.650651000000007"/>
    <n v="60.82106499999999"/>
    <m/>
    <x v="14"/>
    <x v="30"/>
    <x v="0"/>
    <x v="8"/>
    <n v="812"/>
    <s v="NOS"/>
    <m/>
    <m/>
    <n v="15000"/>
    <m/>
    <n v="12120"/>
    <n v="2880"/>
    <n v="21.676232004000003"/>
    <n v="17.514395459232002"/>
    <n v="4.1618365447680006"/>
    <n v="0"/>
    <n v="0"/>
    <m/>
    <n v="95.257248000000004"/>
    <n v="1.9950000000000001"/>
    <n v="21.676232004000003"/>
    <m/>
  </r>
  <r>
    <n v="490"/>
    <s v="Hosur"/>
    <x v="20"/>
    <s v="SANDHAR Hosur"/>
    <x v="16"/>
    <n v="2399718"/>
    <s v="941496-2399718"/>
    <s v="TUB-O-N-AUT-AW-FC-40.00X1.200X0.4500"/>
    <x v="0"/>
    <m/>
    <x v="0"/>
    <s v="HR"/>
    <m/>
    <m/>
    <m/>
    <m/>
    <x v="164"/>
    <s v="40-40-1.2-ERW 1-PE-0.45"/>
    <s v="#REF!"/>
    <m/>
    <n v="0"/>
    <m/>
    <m/>
    <x v="44"/>
    <x v="15"/>
    <x v="12"/>
    <x v="2"/>
    <n v="450"/>
    <s v="NOS"/>
    <m/>
    <m/>
    <m/>
    <m/>
    <n v="0"/>
    <n v="0"/>
    <n v="0"/>
    <n v="0"/>
    <n v="0"/>
    <e v="#DIV/0!"/>
    <n v="0"/>
    <m/>
    <n v="0"/>
    <n v="0"/>
    <n v="0"/>
    <m/>
  </r>
  <r>
    <n v="492"/>
    <s v="Hosur"/>
    <x v="20"/>
    <s v="SANDHAR Hosur"/>
    <x v="16"/>
    <n v="1940821"/>
    <s v="941496-1940821"/>
    <s v="TUB-R-AW-RHS-40.00X25.00X1.600X0.5130"/>
    <x v="0"/>
    <m/>
    <x v="2"/>
    <s v="HR"/>
    <m/>
    <m/>
    <m/>
    <m/>
    <x v="33"/>
    <s v="40-25-1.6-ERW 1-FC-0.513"/>
    <n v="2"/>
    <m/>
    <n v="0.61827399999999999"/>
    <n v="0"/>
    <m/>
    <x v="15"/>
    <x v="15"/>
    <x v="3"/>
    <x v="0"/>
    <n v="513"/>
    <s v="NOS"/>
    <m/>
    <m/>
    <n v="15000"/>
    <m/>
    <n v="7507"/>
    <n v="7493"/>
    <n v="12.042026403840001"/>
    <n v="6.0266328142417933"/>
    <n v="6.015393589598208"/>
    <n v="92.392672353318545"/>
    <n v="7.4173000000000003E-2"/>
    <m/>
    <n v="0.61827399999999999"/>
    <n v="0"/>
    <n v="11.967853403840001"/>
    <m/>
  </r>
  <r>
    <n v="494"/>
    <s v="Hosur"/>
    <x v="20"/>
    <s v="SANDHAR Hosur"/>
    <x v="16"/>
    <n v="1940822"/>
    <s v="941496-1940822"/>
    <s v="TUB-R-AW-RHS-40.00X25.00X1.600X0.5360"/>
    <x v="0"/>
    <m/>
    <x v="2"/>
    <s v="HR"/>
    <m/>
    <m/>
    <m/>
    <m/>
    <x v="33"/>
    <s v="40-25-1.6-ERW 1-FC-0.536"/>
    <n v="2"/>
    <m/>
    <n v="0.61827399999999999"/>
    <n v="0"/>
    <m/>
    <x v="15"/>
    <x v="15"/>
    <x v="3"/>
    <x v="0"/>
    <n v="536"/>
    <s v="NOS"/>
    <m/>
    <m/>
    <n v="15000"/>
    <m/>
    <n v="5450"/>
    <n v="9550"/>
    <n v="12.581922324479999"/>
    <n v="4.5714317778944009"/>
    <n v="8.0104905465855971"/>
    <n v="31.092228191463423"/>
    <n v="2.6079999999999999E-2"/>
    <m/>
    <n v="0.61827399999999999"/>
    <n v="0"/>
    <n v="12.555842324479999"/>
    <m/>
  </r>
  <r>
    <n v="496"/>
    <s v="Khopoli "/>
    <x v="20"/>
    <s v="SANDHAR Hosur"/>
    <x v="16"/>
    <m/>
    <s v="941496-"/>
    <s v="TUB-O-N-AUT-AN-FC-42.70X3.500X0.2080"/>
    <x v="0"/>
    <s v="Annealed"/>
    <x v="2"/>
    <s v="HR"/>
    <m/>
    <s v="Chamferring"/>
    <m/>
    <m/>
    <x v="93"/>
    <s v="42.7-0-3.5-ERW 1-FC-0.208"/>
    <n v="1"/>
    <s v="Khopoli"/>
    <n v="4.8184210000000007"/>
    <n v="5.208107"/>
    <m/>
    <x v="16"/>
    <x v="16"/>
    <x v="0"/>
    <x v="17"/>
    <n v="208"/>
    <s v="NOS"/>
    <m/>
    <m/>
    <n v="35000"/>
    <m/>
    <n v="18714"/>
    <n v="16286"/>
    <n v="24.619815584000005"/>
    <n v="13.1638636811136"/>
    <n v="11.455951902886405"/>
    <n v="0"/>
    <n v="0"/>
    <m/>
    <n v="12.367420999999998"/>
    <n v="0"/>
    <n v="24.619815584000005"/>
    <m/>
  </r>
  <r>
    <n v="497"/>
    <s v="Hosur"/>
    <x v="20"/>
    <s v="SANDHAR Hosur"/>
    <x v="16"/>
    <n v="2325421"/>
    <s v="941496-2325421"/>
    <s v="TUB-O-N-AUT-AW-FC-48.60X1.200X0.3360"/>
    <x v="0"/>
    <m/>
    <x v="2"/>
    <s v="CR"/>
    <m/>
    <m/>
    <m/>
    <m/>
    <x v="95"/>
    <s v="48.6-0-1.2-ERW 1-FC-0.336"/>
    <n v="2"/>
    <s v="Hosur"/>
    <n v="3.9467829999999999"/>
    <n v="0"/>
    <m/>
    <x v="18"/>
    <x v="17"/>
    <x v="0"/>
    <x v="2"/>
    <n v="336"/>
    <s v="NOS"/>
    <m/>
    <m/>
    <n v="12000"/>
    <m/>
    <n v="0"/>
    <n v="12000"/>
    <n v="5.6530056038400005"/>
    <n v="0"/>
    <n v="5.6530056038400005"/>
    <n v="5901.4383388083816"/>
    <n v="2.7800720000000001"/>
    <m/>
    <n v="3.9467830000000004"/>
    <n v="17.024000000000001"/>
    <n v="2.8729336038400004"/>
    <m/>
  </r>
  <r>
    <n v="461"/>
    <s v="Hosur"/>
    <x v="20"/>
    <s v="SANDHAR Hosur"/>
    <x v="16"/>
    <n v="3910650"/>
    <s v="941496-3910650"/>
    <s v="HT2-O-N-AUT-AS-FC-22.23X2.000X0.8550"/>
    <x v="6"/>
    <m/>
    <x v="2"/>
    <s v="HR"/>
    <s v="SAE1020"/>
    <m/>
    <m/>
    <m/>
    <x v="131"/>
    <s v="22.23-0-2-ERW 2-FC-0.855"/>
    <s v="#REF!"/>
    <m/>
    <m/>
    <m/>
    <m/>
    <x v="11"/>
    <x v="11"/>
    <x v="0"/>
    <x v="8"/>
    <n v="855"/>
    <s v="NOS"/>
    <m/>
    <m/>
    <m/>
    <m/>
    <n v="0"/>
    <n v="0"/>
    <n v="0"/>
    <n v="0"/>
    <n v="0"/>
    <e v="#DIV/0!"/>
    <n v="0"/>
    <m/>
    <n v="0"/>
    <n v="15.21"/>
    <n v="0"/>
    <m/>
  </r>
  <r>
    <n v="464"/>
    <s v="Hosur"/>
    <x v="20"/>
    <s v="SANDHAR Hosur"/>
    <x v="16"/>
    <n v="3910649"/>
    <s v="941496-3910649"/>
    <s v="CUT-O-N-AUT-AW-FC-22.23X2.000X0.8630"/>
    <x v="6"/>
    <m/>
    <x v="2"/>
    <s v="HR"/>
    <s v="SAE1020"/>
    <m/>
    <m/>
    <m/>
    <x v="131"/>
    <s v="22.23-0-2-ERW 2-FC-0.863"/>
    <s v="#REF!"/>
    <m/>
    <m/>
    <m/>
    <m/>
    <x v="11"/>
    <x v="11"/>
    <x v="0"/>
    <x v="8"/>
    <n v="863"/>
    <s v="NOS"/>
    <m/>
    <m/>
    <m/>
    <m/>
    <n v="0"/>
    <n v="0"/>
    <n v="0"/>
    <n v="0"/>
    <n v="0"/>
    <e v="#DIV/0!"/>
    <n v="0.02"/>
    <m/>
    <n v="0"/>
    <n v="15.21"/>
    <n v="-0.02"/>
    <m/>
  </r>
  <r>
    <n v="328"/>
    <s v="Khopoli "/>
    <x v="21"/>
    <s v="SANDHAR Mysore"/>
    <x v="17"/>
    <e v="#REF!"/>
    <e v="#REF!"/>
    <m/>
    <x v="1"/>
    <m/>
    <x v="3"/>
    <s v="HR"/>
    <m/>
    <m/>
    <m/>
    <m/>
    <x v="108"/>
    <s v="14-0-2.45-CEW-CEW-1"/>
    <n v="1"/>
    <s v="Khopoli"/>
    <n v="0"/>
    <n v="0"/>
    <m/>
    <x v="5"/>
    <x v="5"/>
    <x v="0"/>
    <x v="22"/>
    <n v="1000"/>
    <s v="M"/>
    <m/>
    <m/>
    <m/>
    <m/>
    <n v="0"/>
    <n v="0"/>
    <n v="0"/>
    <n v="0"/>
    <n v="0"/>
    <e v="#DIV/0!"/>
    <n v="0"/>
    <m/>
    <n v="2.0019999999999998"/>
    <n v="0"/>
    <n v="0"/>
    <m/>
  </r>
  <r>
    <n v="392"/>
    <s v="Khopoli "/>
    <x v="21"/>
    <s v="SANDHAR Mysore"/>
    <x v="17"/>
    <e v="#REF!"/>
    <e v="#REF!"/>
    <m/>
    <x v="1"/>
    <m/>
    <x v="3"/>
    <s v="HR"/>
    <m/>
    <m/>
    <m/>
    <m/>
    <x v="165"/>
    <s v="20-12.4-3.8-CEW-CEW-1"/>
    <n v="1"/>
    <s v="Khopoli"/>
    <n v="0"/>
    <n v="0"/>
    <m/>
    <x v="24"/>
    <x v="23"/>
    <x v="18"/>
    <x v="30"/>
    <n v="1000"/>
    <s v="M"/>
    <m/>
    <m/>
    <m/>
    <m/>
    <n v="0"/>
    <n v="0"/>
    <n v="0"/>
    <n v="0"/>
    <n v="0"/>
    <e v="#DIV/0!"/>
    <n v="0"/>
    <m/>
    <n v="0"/>
    <n v="0"/>
    <n v="0"/>
    <m/>
  </r>
  <r>
    <n v="393"/>
    <s v="Khopoli "/>
    <x v="21"/>
    <s v="SANDHAR Mysore"/>
    <x v="17"/>
    <e v="#REF!"/>
    <e v="#REF!"/>
    <m/>
    <x v="1"/>
    <m/>
    <x v="3"/>
    <s v="HR"/>
    <m/>
    <m/>
    <m/>
    <m/>
    <x v="111"/>
    <s v="20-12.4-4.5-CEW-CEW-1"/>
    <n v="2"/>
    <s v="Khopoli"/>
    <n v="0"/>
    <n v="0"/>
    <m/>
    <x v="24"/>
    <x v="23"/>
    <x v="18"/>
    <x v="15"/>
    <n v="1000"/>
    <s v="M"/>
    <m/>
    <m/>
    <m/>
    <m/>
    <n v="0"/>
    <n v="0"/>
    <n v="0"/>
    <n v="0"/>
    <n v="0"/>
    <e v="#DIV/0!"/>
    <n v="0"/>
    <m/>
    <n v="0"/>
    <n v="0"/>
    <n v="0"/>
    <m/>
  </r>
  <r>
    <n v="394"/>
    <s v="Khopoli "/>
    <x v="21"/>
    <s v="SANDHAR Mysore"/>
    <x v="17"/>
    <e v="#REF!"/>
    <e v="#REF!"/>
    <e v="#REF!"/>
    <x v="1"/>
    <m/>
    <x v="3"/>
    <s v="HR"/>
    <m/>
    <m/>
    <m/>
    <m/>
    <x v="113"/>
    <s v="21.75-0-3.5-CEW-CEW-1"/>
    <n v="2"/>
    <s v="Khopoli"/>
    <n v="0"/>
    <n v="0"/>
    <m/>
    <x v="33"/>
    <x v="31"/>
    <x v="0"/>
    <x v="17"/>
    <n v="1000"/>
    <s v="M"/>
    <m/>
    <m/>
    <m/>
    <m/>
    <n v="0"/>
    <n v="0"/>
    <n v="0"/>
    <n v="0"/>
    <n v="0"/>
    <e v="#DIV/0!"/>
    <n v="0"/>
    <m/>
    <n v="0"/>
    <n v="0"/>
    <n v="0"/>
    <m/>
  </r>
  <r>
    <n v="457"/>
    <s v="Khopoli "/>
    <x v="21"/>
    <s v="SANDHAR Mysore"/>
    <x v="17"/>
    <n v="2410997"/>
    <s v="945539-2410997"/>
    <s v="TUB-O-C-AUT-AD-FC-25.40X3.200X04-05"/>
    <x v="1"/>
    <m/>
    <x v="3"/>
    <s v="HR"/>
    <m/>
    <m/>
    <m/>
    <m/>
    <x v="114"/>
    <s v="25.4-19-3.2-CEW-CEW-1"/>
    <n v="3"/>
    <s v="Khopoli"/>
    <m/>
    <m/>
    <m/>
    <x v="3"/>
    <x v="3"/>
    <x v="11"/>
    <x v="13"/>
    <n v="1000"/>
    <s v="M"/>
    <m/>
    <m/>
    <m/>
    <m/>
    <n v="0"/>
    <n v="0"/>
    <n v="0"/>
    <n v="0"/>
    <n v="0"/>
    <e v="#DIV/0!"/>
    <n v="0"/>
    <m/>
    <n v="0.19838500000000001"/>
    <n v="0"/>
    <n v="0"/>
    <m/>
  </r>
  <r>
    <n v="467"/>
    <s v="Khopoli "/>
    <x v="21"/>
    <s v="SANDHAR Mysore"/>
    <x v="17"/>
    <e v="#REF!"/>
    <e v="#REF!"/>
    <m/>
    <x v="1"/>
    <m/>
    <x v="3"/>
    <s v="HR"/>
    <m/>
    <m/>
    <m/>
    <m/>
    <x v="13"/>
    <s v="31.75-25-3.37-CEW-CEW-1"/>
    <s v="#REF!"/>
    <s v="Khopoli"/>
    <n v="5.3088999999999997E-2"/>
    <n v="0"/>
    <m/>
    <x v="10"/>
    <x v="10"/>
    <x v="3"/>
    <x v="7"/>
    <n v="1000"/>
    <s v="M"/>
    <m/>
    <m/>
    <m/>
    <m/>
    <n v="0"/>
    <n v="0"/>
    <n v="0"/>
    <n v="0"/>
    <n v="0"/>
    <e v="#DIV/0!"/>
    <n v="0"/>
    <m/>
    <n v="5.3088999999999997E-2"/>
    <n v="0"/>
    <n v="0"/>
    <m/>
  </r>
  <r>
    <n v="403"/>
    <s v="Hosur"/>
    <x v="21"/>
    <s v="SANDHAR Mysore"/>
    <x v="17"/>
    <n v="3714733"/>
    <s v="945539-3714733"/>
    <s v="TUB-O-N-AUT-AW-PE-22.23X1.600X0.690"/>
    <x v="0"/>
    <m/>
    <x v="0"/>
    <s v="CR"/>
    <s v="NORMAL"/>
    <s v=" "/>
    <m/>
    <m/>
    <x v="21"/>
    <s v="22.23-0-1.6-ERW 1-PE-0.69"/>
    <n v="2"/>
    <s v="Hosur"/>
    <n v="5.9161999999999937E-2"/>
    <n v="0"/>
    <m/>
    <x v="11"/>
    <x v="11"/>
    <x v="0"/>
    <x v="0"/>
    <n v="690"/>
    <s v="NOS"/>
    <m/>
    <m/>
    <n v="40000"/>
    <m/>
    <n v="9900"/>
    <n v="30100"/>
    <n v="22.455751699200004"/>
    <n v="5.5577985455520009"/>
    <n v="16.897953153648004"/>
    <n v="22.632954211820319"/>
    <n v="1.2706E-2"/>
    <m/>
    <n v="10.773161999999999"/>
    <n v="0"/>
    <n v="22.443045699200002"/>
    <m/>
  </r>
  <r>
    <n v="413"/>
    <s v="Hosur"/>
    <x v="21"/>
    <s v="SANDHAR Mysore"/>
    <x v="17"/>
    <n v="3910650"/>
    <s v="945539-3910650"/>
    <s v="HT2-O-N-AUT-AS-FC-22.23X2.000X0.8550"/>
    <x v="0"/>
    <m/>
    <x v="2"/>
    <s v="HR"/>
    <m/>
    <m/>
    <m/>
    <m/>
    <x v="23"/>
    <s v="22.23-0-2-ERW 1-FC-0.855"/>
    <n v="1"/>
    <s v="Hosur"/>
    <n v="7.6364609999999988"/>
    <n v="1.5317159999999999"/>
    <m/>
    <x v="11"/>
    <x v="11"/>
    <x v="0"/>
    <x v="8"/>
    <n v="855"/>
    <s v="NOS"/>
    <m/>
    <m/>
    <n v="50350"/>
    <m/>
    <n v="0"/>
    <n v="50350"/>
    <n v="42.932954173094998"/>
    <n v="0"/>
    <n v="42.932954173094998"/>
    <n v="0"/>
    <n v="0"/>
    <m/>
    <n v="9.1681769999999982"/>
    <n v="2.7130000000000001"/>
    <n v="42.932954173094998"/>
    <m/>
  </r>
  <r>
    <n v="415"/>
    <s v="Hosur"/>
    <x v="21"/>
    <s v="SANDHAR Mysore"/>
    <x v="17"/>
    <n v="3910649"/>
    <s v="945539-3910649"/>
    <s v="HT2-O-N-AUT-AW-FC-22.23X2.000X0.8630"/>
    <x v="0"/>
    <m/>
    <x v="2"/>
    <s v="HR"/>
    <m/>
    <m/>
    <m/>
    <m/>
    <x v="23"/>
    <s v="22.23-0-2-ERW 1-FC-0.863"/>
    <n v="1"/>
    <s v="Hosur"/>
    <n v="7.6364609999999988"/>
    <n v="1.5317159999999999"/>
    <m/>
    <x v="11"/>
    <x v="11"/>
    <x v="0"/>
    <x v="8"/>
    <n v="863"/>
    <s v="NOS"/>
    <m/>
    <m/>
    <n v="24797"/>
    <m/>
    <n v="0"/>
    <n v="24797"/>
    <n v="21.342000266575941"/>
    <n v="0"/>
    <n v="21.342000266575941"/>
    <n v="0"/>
    <n v="0"/>
    <m/>
    <n v="9.1681769999999982"/>
    <n v="2.7130000000000001"/>
    <n v="21.342000266575941"/>
    <m/>
  </r>
  <r>
    <n v="422"/>
    <s v="Hosur"/>
    <x v="21"/>
    <s v="SANDHAR Mysore"/>
    <x v="17"/>
    <n v="3926270"/>
    <s v="945539-3926270"/>
    <s v="CUT-O-N-AUT-AW-FC-25.40X2.000X0.4180"/>
    <x v="0"/>
    <m/>
    <x v="2"/>
    <s v="HR"/>
    <m/>
    <m/>
    <m/>
    <m/>
    <x v="25"/>
    <s v="25.4-0-2-ERW 1-FC-0.418"/>
    <n v="1"/>
    <s v="Hosur"/>
    <n v="10.051000000000002"/>
    <n v="0"/>
    <m/>
    <x v="3"/>
    <x v="3"/>
    <x v="0"/>
    <x v="8"/>
    <n v="418"/>
    <s v="NOS"/>
    <m/>
    <m/>
    <n v="21168"/>
    <m/>
    <n v="10499"/>
    <n v="10669"/>
    <n v="10.207074073996798"/>
    <n v="5.062550581202399"/>
    <n v="5.1445234927943995"/>
    <n v="12362.254558479024"/>
    <n v="5.9609999999999994"/>
    <m/>
    <n v="10.738999999999999"/>
    <n v="25.931000000000001"/>
    <n v="4.246074073996799"/>
    <m/>
  </r>
  <r>
    <n v="462"/>
    <s v="Hosur"/>
    <x v="21"/>
    <s v="SANDHAR Mysore"/>
    <x v="17"/>
    <n v="2400891"/>
    <s v="945539-2400891"/>
    <s v="TUB-O-N-AUT-AW-PE-25.40X1.600X0.4700"/>
    <x v="0"/>
    <m/>
    <x v="0"/>
    <s v="HR"/>
    <m/>
    <m/>
    <m/>
    <m/>
    <x v="122"/>
    <s v="25.4-0-2-ERW 1-PE-0.47"/>
    <s v="#REF!"/>
    <m/>
    <m/>
    <m/>
    <m/>
    <x v="3"/>
    <x v="3"/>
    <x v="0"/>
    <x v="8"/>
    <n v="470"/>
    <s v="NOS"/>
    <m/>
    <m/>
    <m/>
    <m/>
    <n v="0"/>
    <n v="0"/>
    <n v="0"/>
    <n v="0"/>
    <n v="0"/>
    <e v="#DIV/0!"/>
    <n v="0"/>
    <m/>
    <n v="4.1332300000000002"/>
    <n v="5.56"/>
    <n v="0"/>
    <m/>
  </r>
  <r>
    <n v="456"/>
    <s v="Hosur"/>
    <x v="21"/>
    <s v="SANDHAR Mysore"/>
    <x v="17"/>
    <n v="3775636"/>
    <s v="945539-3775636"/>
    <s v="TUB-O-O-AUT-AW-FC-25.40X2.500X0.7830"/>
    <x v="0"/>
    <m/>
    <x v="2"/>
    <s v="HR"/>
    <m/>
    <m/>
    <m/>
    <m/>
    <x v="166"/>
    <s v="25.4-0-2.5-ERW 1-FC-0.783"/>
    <n v="1"/>
    <s v="Hosur"/>
    <n v="8.2275150000000004"/>
    <n v="0"/>
    <m/>
    <x v="3"/>
    <x v="3"/>
    <x v="0"/>
    <x v="10"/>
    <n v="783"/>
    <s v="NOS"/>
    <m/>
    <m/>
    <n v="29371"/>
    <m/>
    <n v="22070"/>
    <n v="7301"/>
    <n v="32.453032983788248"/>
    <n v="24.385905755752496"/>
    <n v="8.0671272280357513"/>
    <n v="8250.9474532245513"/>
    <n v="9.1167569999999998"/>
    <m/>
    <n v="8.2275149999999986"/>
    <n v="11.911"/>
    <n v="23.336275983788248"/>
    <m/>
  </r>
  <r>
    <n v="468"/>
    <s v="Hosur"/>
    <x v="21"/>
    <s v="SANDHAR Mysore"/>
    <x v="17"/>
    <n v="3508742"/>
    <s v="945539-3508742"/>
    <s v="CUT-O-N-AUT-AW-FC-38.10X2.000X0.4100"/>
    <x v="0"/>
    <m/>
    <x v="2"/>
    <s v="HR"/>
    <m/>
    <m/>
    <m/>
    <m/>
    <x v="127"/>
    <s v="38.1-0-2-ERW 1-FC-0.41"/>
    <n v="1"/>
    <s v="Hosur"/>
    <n v="30.650651000000007"/>
    <n v="60.82106499999999"/>
    <m/>
    <x v="14"/>
    <x v="30"/>
    <x v="0"/>
    <x v="8"/>
    <n v="410"/>
    <s v="NOS"/>
    <m/>
    <m/>
    <n v="8467"/>
    <m/>
    <n v="2064"/>
    <n v="6403"/>
    <n v="6.1780286629660006"/>
    <n v="1.5060176166720003"/>
    <n v="4.6720110462940001"/>
    <n v="13.913335254539437"/>
    <n v="1.0152E-2"/>
    <m/>
    <n v="95.257248000000004"/>
    <n v="1.9950000000000001"/>
    <n v="6.1678766629660009"/>
    <m/>
  </r>
  <r>
    <n v="474"/>
    <s v="Hosur"/>
    <x v="21"/>
    <s v="SANDHAR Mysore"/>
    <x v="17"/>
    <n v="3801265"/>
    <s v="945539-3801265"/>
    <s v="CUT-R-AW-AUT-40.00X25.00X1.600X0.5610"/>
    <x v="0"/>
    <m/>
    <x v="2"/>
    <s v="CR"/>
    <s v="SAE1020"/>
    <m/>
    <m/>
    <m/>
    <x v="33"/>
    <s v="40-25-1.6-ERW 1-FC-0.561"/>
    <n v="1"/>
    <s v="Hosur"/>
    <n v="0.61827399999999999"/>
    <n v="0"/>
    <m/>
    <x v="15"/>
    <x v="15"/>
    <x v="3"/>
    <x v="0"/>
    <n v="561"/>
    <s v="NOS"/>
    <m/>
    <m/>
    <n v="36036"/>
    <m/>
    <n v="2880"/>
    <n v="33156"/>
    <n v="31.636642757271556"/>
    <n v="2.5284030175641603"/>
    <n v="29.108239739707397"/>
    <n v="7.3264269467001366"/>
    <n v="6.4320000000000002E-3"/>
    <m/>
    <n v="0.61827399999999999"/>
    <n v="0"/>
    <n v="31.630210757271556"/>
    <m/>
  </r>
  <r>
    <n v="475"/>
    <s v="Khopoli "/>
    <x v="21"/>
    <s v="SANDHAR Mysore"/>
    <x v="17"/>
    <n v="3910648"/>
    <s v="945539-3910648"/>
    <s v="HT2-O-N-AUT-AW-FC-41.28X2.600X0.8500"/>
    <x v="0"/>
    <m/>
    <x v="2"/>
    <m/>
    <m/>
    <m/>
    <m/>
    <m/>
    <x v="150"/>
    <s v="41.28-0-2.6-ERW 1-FC-0.85"/>
    <n v="1"/>
    <s v="Hosur"/>
    <n v="0"/>
    <n v="4.2558500000000006"/>
    <m/>
    <x v="15"/>
    <x v="32"/>
    <x v="0"/>
    <x v="14"/>
    <n v="850"/>
    <s v="NOS"/>
    <m/>
    <m/>
    <n v="31658"/>
    <m/>
    <n v="9140"/>
    <n v="22518"/>
    <n v="66.705480776677604"/>
    <n v="19.258579010008003"/>
    <n v="47.446901766669598"/>
    <n v="420.49000581983415"/>
    <n v="0.88600000000000001"/>
    <m/>
    <n v="0"/>
    <n v="0"/>
    <n v="65.819480776677608"/>
    <m/>
  </r>
  <r>
    <n v="481"/>
    <s v="JSR"/>
    <x v="21"/>
    <s v="SANDHAR Mysore"/>
    <x v="17"/>
    <n v="3901714"/>
    <s v="945539-3901714"/>
    <s v="CUT-N-AUT-AN-FC-42.70X4.000X0.2150"/>
    <x v="0"/>
    <s v="Annealed"/>
    <x v="2"/>
    <s v="HR"/>
    <m/>
    <s v="Chamferring"/>
    <m/>
    <m/>
    <x v="35"/>
    <s v="42.7-0-4-ERW 1-FC-0.215"/>
    <n v="1"/>
    <s v="Khopoli"/>
    <n v="0.28338300000000016"/>
    <n v="29.067884000000003"/>
    <m/>
    <x v="16"/>
    <x v="16"/>
    <x v="0"/>
    <x v="11"/>
    <n v="215"/>
    <s v="NOS"/>
    <m/>
    <m/>
    <n v="63315"/>
    <m/>
    <n v="15725"/>
    <n v="47590"/>
    <n v="51.941601059669999"/>
    <n v="12.900287083049999"/>
    <n v="39.041313976620003"/>
    <n v="0"/>
    <n v="0"/>
    <m/>
    <n v="236.02448700000002"/>
    <n v="0"/>
    <n v="51.941601059669999"/>
    <m/>
  </r>
  <r>
    <n v="491"/>
    <s v="Khopoli "/>
    <x v="21"/>
    <s v="SANDHAR Mysore"/>
    <x v="17"/>
    <e v="#REF!"/>
    <e v="#REF!"/>
    <s v="TUB-O-N-AUT-AW-FC-48.60X3.500X0.202.5"/>
    <x v="0"/>
    <m/>
    <x v="2"/>
    <s v="HR"/>
    <m/>
    <s v="Chamferring"/>
    <m/>
    <m/>
    <x v="128"/>
    <s v="48.6-0-3.5-ERW 1-FC-0.2025"/>
    <s v="#REF!"/>
    <s v="Hosur"/>
    <s v="Plan"/>
    <m/>
    <m/>
    <x v="18"/>
    <x v="17"/>
    <x v="0"/>
    <x v="17"/>
    <n v="202.5"/>
    <s v="NOS"/>
    <m/>
    <m/>
    <m/>
    <m/>
    <n v="0"/>
    <n v="0"/>
    <n v="0"/>
    <n v="0"/>
    <n v="0"/>
    <e v="#DIV/0!"/>
    <n v="0"/>
    <m/>
    <n v="8.7743120000000001"/>
    <n v="0"/>
    <n v="0"/>
    <m/>
  </r>
  <r>
    <n v="493"/>
    <s v="Hosur"/>
    <x v="21"/>
    <s v="SANDHAR Mysore"/>
    <x v="17"/>
    <n v="3780004"/>
    <s v="945539-3780004"/>
    <s v="TUB-R-AW-AUT-50.00X30.00X1.600X0.6070"/>
    <x v="0"/>
    <m/>
    <x v="2"/>
    <s v="CR"/>
    <s v="SAE1020"/>
    <m/>
    <m/>
    <m/>
    <x v="6"/>
    <s v="50-30-1.6-ERW 1-FC-0.607"/>
    <n v="1"/>
    <s v="Hosur"/>
    <n v="0"/>
    <n v="0"/>
    <m/>
    <x v="4"/>
    <x v="4"/>
    <x v="1"/>
    <x v="0"/>
    <n v="607"/>
    <s v="NOS"/>
    <m/>
    <m/>
    <n v="17136"/>
    <m/>
    <n v="3600"/>
    <n v="13536"/>
    <n v="20.182851965122559"/>
    <n v="4.2400949506559993"/>
    <n v="15.94275701446656"/>
    <n v="3437.7532035561685"/>
    <n v="4.0489999999999995"/>
    <m/>
    <n v="0"/>
    <n v="24.911000000000001"/>
    <n v="16.13385196512256"/>
    <m/>
  </r>
  <r>
    <n v="472"/>
    <s v="Hosur"/>
    <x v="21"/>
    <s v="SANDHAR Mysore"/>
    <x v="17"/>
    <n v="3780005"/>
    <s v="945539-3780005"/>
    <s v="TUB-R-AW-RHS-50.00X30.00X1.600X0.6380"/>
    <x v="0"/>
    <m/>
    <x v="2"/>
    <s v="CR"/>
    <s v="SAE1020"/>
    <m/>
    <m/>
    <m/>
    <x v="6"/>
    <s v="50-30-1.6-ERW 1-FC-0.638"/>
    <s v="#REF!"/>
    <s v="Hosur"/>
    <n v="0"/>
    <n v="0"/>
    <m/>
    <x v="4"/>
    <x v="4"/>
    <x v="1"/>
    <x v="0"/>
    <n v="638"/>
    <s v="NOS"/>
    <m/>
    <m/>
    <n v="5242"/>
    <m/>
    <n v="0"/>
    <n v="5242"/>
    <n v="6.4893632585548797"/>
    <n v="0"/>
    <n v="6.4893632585548797"/>
    <n v="0"/>
    <n v="0"/>
    <m/>
    <n v="0"/>
    <n v="24.911000000000001"/>
    <n v="6.4893632585548797"/>
    <m/>
  </r>
  <r>
    <n v="495"/>
    <s v="Hosur"/>
    <x v="21"/>
    <s v="SANDHAR Mysore"/>
    <x v="17"/>
    <e v="#REF!"/>
    <e v="#REF!"/>
    <m/>
    <x v="0"/>
    <m/>
    <x v="2"/>
    <s v="HR"/>
    <m/>
    <m/>
    <m/>
    <m/>
    <x v="130"/>
    <s v="50.8-0-1.6-ERW 1-FC-0.753"/>
    <s v="#REF!"/>
    <m/>
    <m/>
    <m/>
    <m/>
    <x v="4"/>
    <x v="43"/>
    <x v="0"/>
    <x v="0"/>
    <n v="753"/>
    <s v="NOS"/>
    <m/>
    <m/>
    <m/>
    <m/>
    <n v="0"/>
    <n v="0"/>
    <n v="0"/>
    <n v="0"/>
    <n v="0"/>
    <e v="#DIV/0!"/>
    <n v="0"/>
    <m/>
    <n v="0"/>
    <n v="1.456"/>
    <n v="0"/>
    <m/>
  </r>
  <r>
    <n v="444"/>
    <s v="Hosur"/>
    <x v="22"/>
    <s v="Sandhar Technology"/>
    <x v="18"/>
    <n v="2386074"/>
    <s v="187702-2386074"/>
    <s v="TUB-O-N-AUT-AW-PE-12.70X1.200X0.6000"/>
    <x v="0"/>
    <m/>
    <x v="0"/>
    <s v="HR"/>
    <m/>
    <m/>
    <m/>
    <m/>
    <x v="14"/>
    <s v="12.7-0-1.2-ERW 1-PE-0.6"/>
    <s v="#REF!"/>
    <s v="Hosur"/>
    <m/>
    <m/>
    <m/>
    <x v="0"/>
    <x v="0"/>
    <x v="0"/>
    <x v="2"/>
    <n v="600"/>
    <s v="NOS"/>
    <m/>
    <m/>
    <m/>
    <m/>
    <n v="0"/>
    <n v="0"/>
    <n v="0"/>
    <n v="0"/>
    <n v="0"/>
    <e v="#DIV/0!"/>
    <n v="0"/>
    <m/>
    <n v="20.176452999999999"/>
    <n v="0"/>
    <n v="0"/>
    <m/>
  </r>
  <r>
    <n v="445"/>
    <s v="Hosur"/>
    <x v="22"/>
    <s v="Sandhar Technology"/>
    <x v="18"/>
    <n v="2423535"/>
    <s v="187702-2423535"/>
    <s v="TUB-O-N-AUT-AW-PE-22.23X1.200X1.3280"/>
    <x v="0"/>
    <m/>
    <x v="0"/>
    <s v="HR"/>
    <m/>
    <m/>
    <m/>
    <m/>
    <x v="20"/>
    <s v="22.23-0-1.2-ERW 1-PE-1.328"/>
    <n v="1"/>
    <m/>
    <m/>
    <m/>
    <m/>
    <x v="11"/>
    <x v="11"/>
    <x v="0"/>
    <x v="2"/>
    <n v="1328"/>
    <s v="NOS"/>
    <m/>
    <m/>
    <n v="3000"/>
    <m/>
    <n v="0"/>
    <n v="3000"/>
    <n v="2.4782159813760005"/>
    <n v="0"/>
    <n v="2.4782159813760005"/>
    <n v="27.684027750441174"/>
    <n v="2.2869E-2"/>
    <m/>
    <n v="8.5000000000000006E-2"/>
    <n v="3.1040000000000001"/>
    <n v="2.4553469813760005"/>
    <m/>
  </r>
  <r>
    <n v="447"/>
    <s v="Hosur"/>
    <x v="22"/>
    <s v="Sandhar Technology"/>
    <x v="18"/>
    <n v="2422186"/>
    <s v="187702-2422186"/>
    <s v="TUB-O-N-AUT-AW-PE-22.23X2.000X0.7750"/>
    <x v="0"/>
    <m/>
    <x v="0"/>
    <s v="HR"/>
    <m/>
    <m/>
    <m/>
    <m/>
    <x v="49"/>
    <s v="22.23-0-2-ERW 1-PE-0.775"/>
    <n v="1"/>
    <m/>
    <m/>
    <m/>
    <m/>
    <x v="11"/>
    <x v="11"/>
    <x v="0"/>
    <x v="8"/>
    <n v="775"/>
    <s v="NOS"/>
    <m/>
    <m/>
    <m/>
    <m/>
    <n v="0"/>
    <n v="0"/>
    <n v="0"/>
    <n v="0"/>
    <n v="0"/>
    <e v="#DIV/0!"/>
    <n v="0.52628799999999998"/>
    <m/>
    <n v="11.690147"/>
    <n v="1.629"/>
    <n v="-0.52628799999999998"/>
    <m/>
  </r>
  <r>
    <n v="453"/>
    <s v="Hosur"/>
    <x v="22"/>
    <s v="Sandhar Technology"/>
    <x v="18"/>
    <n v="3697417"/>
    <s v="187702-3697417"/>
    <s v="PT2-O-N-AUT-AW-PE-22.20X2.000X1.3850"/>
    <x v="0"/>
    <m/>
    <x v="0"/>
    <s v="HR"/>
    <m/>
    <m/>
    <m/>
    <m/>
    <x v="49"/>
    <s v="22.23-0-2-ERW 1-PE-1.385"/>
    <n v="1"/>
    <m/>
    <m/>
    <m/>
    <m/>
    <x v="11"/>
    <x v="11"/>
    <x v="0"/>
    <x v="8"/>
    <n v="1385"/>
    <s v="NOS"/>
    <m/>
    <m/>
    <m/>
    <m/>
    <n v="0"/>
    <n v="0"/>
    <n v="0"/>
    <n v="0"/>
    <n v="0"/>
    <e v="#DIV/0!"/>
    <n v="0"/>
    <m/>
    <n v="11.690147"/>
    <n v="1.629"/>
    <n v="0"/>
    <m/>
  </r>
  <r>
    <n v="446"/>
    <s v="Hosur"/>
    <x v="22"/>
    <s v="Sandhar Technology"/>
    <x v="18"/>
    <n v="1940416"/>
    <s v="187702-1940416"/>
    <s v="TUB-O-O-AUT-AW-PE-22.23X1.600X0.9350"/>
    <x v="5"/>
    <m/>
    <x v="0"/>
    <s v="CR"/>
    <s v="ST52AL"/>
    <s v="Chamferring"/>
    <m/>
    <s v="SC"/>
    <x v="167"/>
    <s v="22.23-0-1.6-ERW 2 MAHS-PE-0.935"/>
    <n v="1"/>
    <s v="Hosur"/>
    <m/>
    <m/>
    <m/>
    <x v="11"/>
    <x v="11"/>
    <x v="0"/>
    <x v="0"/>
    <n v="935"/>
    <s v="NOS"/>
    <m/>
    <m/>
    <n v="30000"/>
    <m/>
    <n v="0"/>
    <n v="30000"/>
    <n v="22.821878085599998"/>
    <n v="0"/>
    <n v="22.821878085599998"/>
    <n v="839.92955917571862"/>
    <n v="0.63895899999999994"/>
    <m/>
    <n v="0"/>
    <n v="0"/>
    <n v="22.182919085599998"/>
    <m/>
  </r>
  <r>
    <n v="448"/>
    <s v="Hosur"/>
    <x v="22"/>
    <s v="Sandhar Technology"/>
    <x v="18"/>
    <n v="3943202"/>
    <s v="187702-3943202"/>
    <s v="CUT-O-N-AUT-AW-FC-22.23X2.000X0.8400"/>
    <x v="5"/>
    <m/>
    <x v="2"/>
    <m/>
    <m/>
    <m/>
    <m/>
    <m/>
    <x v="168"/>
    <s v="22.23-0-2-ERW 2 MAHS-FC-0.84"/>
    <s v="#REF!"/>
    <m/>
    <m/>
    <m/>
    <m/>
    <x v="11"/>
    <x v="11"/>
    <x v="0"/>
    <x v="8"/>
    <n v="840"/>
    <s v="NOS"/>
    <m/>
    <m/>
    <n v="15000"/>
    <m/>
    <n v="0"/>
    <n v="15000"/>
    <n v="12.565961603999998"/>
    <n v="0"/>
    <n v="12.565961603999998"/>
    <n v="601.70166345193945"/>
    <n v="0.50406399999999996"/>
    <m/>
    <n v="0"/>
    <n v="0"/>
    <n v="12.061897603999999"/>
    <m/>
  </r>
  <r>
    <n v="449"/>
    <s v="Hosur"/>
    <x v="22"/>
    <s v="Sandhar Technology"/>
    <x v="18"/>
    <n v="3943203"/>
    <s v="187702-3943203"/>
    <s v="CUT-O-N-AUT-AW-FC-22.23X2.000X0.8550"/>
    <x v="5"/>
    <m/>
    <x v="2"/>
    <m/>
    <m/>
    <m/>
    <m/>
    <m/>
    <x v="168"/>
    <s v="22.23-0-2-ERW 2 MAHS-FC-0.855"/>
    <s v="#REF!"/>
    <m/>
    <m/>
    <m/>
    <m/>
    <x v="11"/>
    <x v="11"/>
    <x v="0"/>
    <x v="8"/>
    <n v="855"/>
    <s v="NOS"/>
    <m/>
    <m/>
    <n v="30000"/>
    <m/>
    <n v="0"/>
    <n v="30000"/>
    <n v="25.580707551"/>
    <n v="0"/>
    <n v="25.580707551"/>
    <n v="1325.6924161456318"/>
    <n v="1.1304049999999999"/>
    <m/>
    <n v="0"/>
    <n v="0"/>
    <n v="24.450302551"/>
    <m/>
  </r>
  <r>
    <n v="450"/>
    <s v="Hosur"/>
    <x v="22"/>
    <s v="Sandhar Technology"/>
    <x v="18"/>
    <n v="1940474"/>
    <s v="187702-1940474"/>
    <s v="TUB-O-O-AUT-AW-PE-22.23X2.00X0.865-MAHS"/>
    <x v="5"/>
    <m/>
    <x v="2"/>
    <s v="HR"/>
    <s v="ST52AL"/>
    <m/>
    <m/>
    <m/>
    <x v="168"/>
    <s v="22.23-0-2-ERW 2 MAHS-FC-0.865"/>
    <s v="#REF!"/>
    <m/>
    <m/>
    <m/>
    <m/>
    <x v="11"/>
    <x v="11"/>
    <x v="0"/>
    <x v="8"/>
    <n v="865"/>
    <s v="NOS"/>
    <m/>
    <m/>
    <n v="4000"/>
    <m/>
    <n v="0"/>
    <n v="4000"/>
    <n v="3.4506529484000001"/>
    <n v="0"/>
    <n v="3.4506529484000001"/>
    <n v="0"/>
    <n v="0"/>
    <m/>
    <n v="0"/>
    <n v="0"/>
    <n v="3.4506529484000001"/>
    <m/>
  </r>
  <r>
    <n v="451"/>
    <s v="Hosur"/>
    <x v="22"/>
    <s v="Sandhar Technology"/>
    <x v="18"/>
    <n v="1940478"/>
    <s v="187702-1940478"/>
    <s v="TUB-O-O-AUT-AW-PE-22.23X2.000X0.9050"/>
    <x v="5"/>
    <m/>
    <x v="0"/>
    <s v="CR"/>
    <m/>
    <s v="Chamferring"/>
    <m/>
    <s v="SC"/>
    <x v="57"/>
    <s v="22.23-0-2-ERW 2 MAHS-PE-0.905"/>
    <n v="1"/>
    <s v="Hosur"/>
    <m/>
    <m/>
    <m/>
    <x v="11"/>
    <x v="11"/>
    <x v="0"/>
    <x v="8"/>
    <n v="905"/>
    <s v="NOS"/>
    <m/>
    <m/>
    <n v="70000"/>
    <m/>
    <n v="0"/>
    <n v="70000"/>
    <n v="63.178862508999998"/>
    <n v="0"/>
    <n v="63.178862508999998"/>
    <n v="534.28533942331489"/>
    <n v="0.48222200000000004"/>
    <m/>
    <n v="15.667999999999999"/>
    <n v="0"/>
    <n v="62.696640508999998"/>
    <m/>
  </r>
  <r>
    <n v="452"/>
    <s v="Hosur"/>
    <x v="22"/>
    <s v="Sandhar Technology"/>
    <x v="18"/>
    <m/>
    <s v="187702-"/>
    <s v="TUB-O-O-AUT-AW-PE-22.23X2.00X0.925-MAHS"/>
    <x v="5"/>
    <m/>
    <x v="0"/>
    <s v="HR"/>
    <m/>
    <m/>
    <m/>
    <m/>
    <x v="57"/>
    <s v="22.23-0-2-ERW 2 MAHS-PE-0.925"/>
    <s v="#REF!"/>
    <m/>
    <m/>
    <m/>
    <m/>
    <x v="11"/>
    <x v="11"/>
    <x v="0"/>
    <x v="8"/>
    <n v="925"/>
    <s v="NOS"/>
    <m/>
    <m/>
    <m/>
    <m/>
    <n v="0"/>
    <n v="0"/>
    <n v="0"/>
    <n v="0"/>
    <n v="0"/>
    <e v="#DIV/0!"/>
    <n v="0"/>
    <m/>
    <n v="15.667999999999999"/>
    <n v="0"/>
    <n v="0"/>
    <m/>
  </r>
  <r>
    <m/>
    <s v="Hosur"/>
    <x v="22"/>
    <s v="Sandhar Technology"/>
    <x v="18"/>
    <m/>
    <s v="187702-"/>
    <m/>
    <x v="5"/>
    <m/>
    <x v="1"/>
    <m/>
    <m/>
    <m/>
    <m/>
    <m/>
    <x v="1"/>
    <m/>
    <m/>
    <m/>
    <m/>
    <m/>
    <m/>
    <x v="11"/>
    <x v="11"/>
    <x v="0"/>
    <x v="8"/>
    <n v="930"/>
    <s v="NOS"/>
    <m/>
    <m/>
    <n v="15000"/>
    <m/>
    <n v="0"/>
    <n v="15000"/>
    <n v="13.912314633000001"/>
    <n v="0"/>
    <n v="13.912314633000001"/>
    <n v="0"/>
    <n v="0"/>
    <m/>
    <n v="0"/>
    <n v="0"/>
    <n v="13.912314633000001"/>
    <m/>
  </r>
  <r>
    <n v="531"/>
    <s v="Hosur"/>
    <x v="23"/>
    <s v="Sri Balaji Gear"/>
    <x v="19"/>
    <n v="3929691"/>
    <s v="188595-3929691"/>
    <s v="CUT-O-N-AUT-AW-PE-19.05X1.200X0.2000"/>
    <x v="7"/>
    <m/>
    <x v="0"/>
    <m/>
    <m/>
    <m/>
    <m/>
    <m/>
    <x v="71"/>
    <s v="19.05-0-1.2-CRFH-PE-0.2"/>
    <n v="2"/>
    <s v="Hosur"/>
    <n v="0"/>
    <n v="0"/>
    <m/>
    <x v="2"/>
    <x v="2"/>
    <x v="0"/>
    <x v="2"/>
    <n v="200"/>
    <s v="NOS"/>
    <m/>
    <m/>
    <n v="2000"/>
    <m/>
    <n v="29000"/>
    <n v="-27000"/>
    <n v="0.21119263200000002"/>
    <n v="3.0622931640000002"/>
    <n v="-2.8511005320000002"/>
    <n v="9731.9114806997623"/>
    <n v="1.0276540000000001"/>
    <m/>
    <n v="0"/>
    <n v="16.085999999999999"/>
    <n v="-0.81646136800000002"/>
    <m/>
  </r>
  <r>
    <n v="503"/>
    <s v="Hosur"/>
    <x v="24"/>
    <s v="Sri Balaji Gear"/>
    <x v="19"/>
    <n v="3929691"/>
    <s v="188595-3929691"/>
    <s v="CUT-O-N-AUT-AW-PE-19.05X1.200X0.200"/>
    <x v="7"/>
    <m/>
    <x v="0"/>
    <m/>
    <m/>
    <m/>
    <m/>
    <m/>
    <x v="71"/>
    <s v="19.05-0-1.2-CRFH-PE-0.2"/>
    <n v="2"/>
    <s v="Hosur"/>
    <n v="0"/>
    <n v="0"/>
    <m/>
    <x v="2"/>
    <x v="2"/>
    <x v="0"/>
    <x v="2"/>
    <n v="200"/>
    <s v="NOS"/>
    <m/>
    <m/>
    <n v="36000"/>
    <m/>
    <n v="29000"/>
    <n v="7000"/>
    <n v="3.8014673760000006"/>
    <n v="3.0622931640000002"/>
    <n v="0.73917421200000044"/>
    <n v="9731.9114806997623"/>
    <n v="1.0276540000000001"/>
    <m/>
    <n v="0"/>
    <n v="16.085999999999999"/>
    <n v="2.7738133760000006"/>
    <m/>
  </r>
  <r>
    <n v="532"/>
    <s v="Hosur"/>
    <x v="23"/>
    <s v="Sri Balaji Gear"/>
    <x v="19"/>
    <n v="3938681"/>
    <s v="188595-3938681"/>
    <s v="TUB-O-N-AUT-AW-PE-19.05X1.200X0.2200"/>
    <x v="7"/>
    <m/>
    <x v="0"/>
    <m/>
    <m/>
    <m/>
    <m/>
    <m/>
    <x v="71"/>
    <s v="19.05-0-1.2-CRFH-PE-0.22"/>
    <n v="1"/>
    <s v="Hosur"/>
    <n v="0"/>
    <n v="0"/>
    <m/>
    <x v="2"/>
    <x v="2"/>
    <x v="0"/>
    <x v="2"/>
    <n v="220"/>
    <s v="NOS"/>
    <m/>
    <m/>
    <n v="1500"/>
    <m/>
    <n v="0"/>
    <n v="1500"/>
    <n v="0.17423392140000002"/>
    <n v="0"/>
    <n v="0.17423392140000002"/>
    <n v="3010.4614290108025"/>
    <n v="0.34968299999999997"/>
    <m/>
    <n v="0"/>
    <n v="16.085999999999999"/>
    <n v="-0.17544907859999995"/>
    <m/>
  </r>
  <r>
    <n v="533"/>
    <s v="Hosur"/>
    <x v="23"/>
    <s v="Sri Balaji Gear"/>
    <x v="19"/>
    <n v="3938682"/>
    <s v="188595-3938682"/>
    <s v="TUB-O-N-AUT-AW-PE-19.05X1.200X0.3200"/>
    <x v="7"/>
    <m/>
    <x v="0"/>
    <m/>
    <m/>
    <m/>
    <m/>
    <m/>
    <x v="71"/>
    <s v="19.05-0-1.2-CRFH-PE-0.32"/>
    <n v="1"/>
    <s v="Hosur"/>
    <n v="0"/>
    <n v="0"/>
    <m/>
    <x v="2"/>
    <x v="2"/>
    <x v="0"/>
    <x v="2"/>
    <n v="320"/>
    <s v="NOS"/>
    <m/>
    <m/>
    <n v="500"/>
    <m/>
    <n v="0"/>
    <n v="500"/>
    <n v="8.4477052800000008E-2"/>
    <n v="0"/>
    <n v="8.4477052800000008E-2"/>
    <n v="2100.9018913121931"/>
    <n v="0.35495599999999999"/>
    <m/>
    <n v="0"/>
    <n v="16.085999999999999"/>
    <n v="-0.27047894719999999"/>
    <m/>
  </r>
  <r>
    <n v="502"/>
    <s v="Hosur"/>
    <x v="24"/>
    <s v="Sri Balaji Gear"/>
    <x v="19"/>
    <n v="3935313"/>
    <s v="188595-3935313"/>
    <s v="CUT-O-N-AUT-AW-PE-19.05X1.200X0.33"/>
    <x v="7"/>
    <m/>
    <x v="0"/>
    <m/>
    <m/>
    <m/>
    <m/>
    <m/>
    <x v="71"/>
    <s v="19.05-0-1.2-CRFH-PE-0.33"/>
    <n v="2"/>
    <s v="Hosur"/>
    <n v="0"/>
    <n v="0"/>
    <m/>
    <x v="2"/>
    <x v="2"/>
    <x v="0"/>
    <x v="2"/>
    <n v="330"/>
    <s v="NOS"/>
    <m/>
    <m/>
    <n v="6000"/>
    <m/>
    <n v="5000"/>
    <n v="1000"/>
    <n v="1.0454035284000001"/>
    <n v="0.87116960700000001"/>
    <n v="0.17423392140000005"/>
    <n v="1719.3896434910864"/>
    <n v="0.29957600000000001"/>
    <m/>
    <n v="0"/>
    <n v="16.085999999999999"/>
    <n v="0.74582752839999999"/>
    <m/>
  </r>
  <r>
    <n v="534"/>
    <s v="Hosur"/>
    <x v="23"/>
    <s v="Sri Balaji Gear"/>
    <x v="19"/>
    <n v="3938683"/>
    <s v="188595-3938683"/>
    <s v="TUB-O-N-AUT-AW-PE-19.05X1.200X0.3770"/>
    <x v="7"/>
    <m/>
    <x v="0"/>
    <m/>
    <m/>
    <m/>
    <m/>
    <m/>
    <x v="71"/>
    <s v="19.05-0-1.2-CRFH-PE-0.377"/>
    <n v="1"/>
    <s v="Hosur"/>
    <n v="0"/>
    <n v="0"/>
    <m/>
    <x v="2"/>
    <x v="2"/>
    <x v="0"/>
    <x v="2"/>
    <n v="377"/>
    <s v="NOS"/>
    <m/>
    <m/>
    <n v="500"/>
    <m/>
    <n v="0"/>
    <n v="500"/>
    <n v="9.9524527830000001E-2"/>
    <n v="0"/>
    <n v="9.9524527830000001E-2"/>
    <n v="564.61458522048429"/>
    <n v="0.112386"/>
    <m/>
    <n v="0"/>
    <n v="16.085999999999999"/>
    <n v="-1.2861472169999999E-2"/>
    <m/>
  </r>
  <r>
    <n v="535"/>
    <s v="Hosur"/>
    <x v="23"/>
    <s v="Sri Balaji Gear"/>
    <x v="19"/>
    <n v="3929692"/>
    <s v="188595-3929692"/>
    <s v="CUT-O-N-AUT-AW-PE-19.05X1.200X1.2300"/>
    <x v="7"/>
    <m/>
    <x v="0"/>
    <m/>
    <m/>
    <m/>
    <m/>
    <m/>
    <x v="71"/>
    <s v="19.05-0-1.2-CRFH-PE-1.23"/>
    <n v="3"/>
    <s v="Hosur"/>
    <n v="0"/>
    <n v="0"/>
    <m/>
    <x v="2"/>
    <x v="2"/>
    <x v="0"/>
    <x v="2"/>
    <n v="1230"/>
    <s v="NOS"/>
    <m/>
    <m/>
    <n v="500"/>
    <m/>
    <n v="5000"/>
    <n v="-4500"/>
    <n v="0.32470867170000001"/>
    <n v="3.2470867170000002"/>
    <n v="-2.9223780453000003"/>
    <n v="1283.9309089508376"/>
    <n v="0.83380700000000019"/>
    <m/>
    <n v="0"/>
    <n v="16.085999999999999"/>
    <n v="-0.50909832830000012"/>
    <m/>
  </r>
  <r>
    <n v="504"/>
    <s v="Hosur"/>
    <x v="24"/>
    <s v="Sri Balaji Gear"/>
    <x v="19"/>
    <n v="3929692"/>
    <s v="188595-3929692"/>
    <s v="CUT-O-N-AUT-AW-PE-19.05X1.200X1.2300"/>
    <x v="7"/>
    <m/>
    <x v="0"/>
    <m/>
    <m/>
    <m/>
    <m/>
    <m/>
    <x v="71"/>
    <s v="19.05-0-1.2-CRFH-PE-1.23"/>
    <n v="3"/>
    <s v="Hosur"/>
    <n v="0"/>
    <n v="0"/>
    <m/>
    <x v="2"/>
    <x v="2"/>
    <x v="0"/>
    <x v="2"/>
    <n v="1230"/>
    <s v="NOS"/>
    <m/>
    <m/>
    <n v="6000"/>
    <m/>
    <n v="5000"/>
    <n v="1000"/>
    <n v="3.8965040603999999"/>
    <n v="3.2470867170000002"/>
    <n v="0.64941734339999968"/>
    <n v="1283.9309089508376"/>
    <n v="0.83380700000000019"/>
    <m/>
    <n v="0"/>
    <n v="16.085999999999999"/>
    <n v="3.0626970603999997"/>
    <m/>
  </r>
  <r>
    <n v="505"/>
    <s v="Hosur"/>
    <x v="24"/>
    <s v="Sri Balaji Gear"/>
    <x v="19"/>
    <n v="3931834"/>
    <s v="188595-3931834"/>
    <s v="HT1-R-AW-AUT-19.00X19.00X1.000X0.1000"/>
    <x v="7"/>
    <m/>
    <x v="0"/>
    <s v="CR"/>
    <m/>
    <m/>
    <m/>
    <m/>
    <x v="72"/>
    <s v="19-19-1-CRFH-PE-0.1"/>
    <n v="3"/>
    <s v="Hosur"/>
    <n v="0"/>
    <n v="0"/>
    <m/>
    <x v="31"/>
    <x v="29"/>
    <x v="11"/>
    <x v="1"/>
    <n v="100"/>
    <s v="NOS"/>
    <m/>
    <m/>
    <n v="24000"/>
    <m/>
    <n v="10000"/>
    <n v="14000"/>
    <n v="1.3263133920000001"/>
    <n v="0.55263057999999998"/>
    <n v="0.77368281200000011"/>
    <n v="4109.6350477022097"/>
    <n v="0.22711100000000001"/>
    <m/>
    <n v="15.867808"/>
    <n v="41.765000000000001"/>
    <n v="1.099202392"/>
    <m/>
  </r>
  <r>
    <n v="536"/>
    <s v="Hosur"/>
    <x v="23"/>
    <s v="Sri Balaji Gear"/>
    <x v="19"/>
    <n v="3931834"/>
    <s v="188595-3931834"/>
    <s v="HT1-R-AW-AUT-19.00X19.00X1.000X0.1000"/>
    <x v="7"/>
    <m/>
    <x v="0"/>
    <s v="CR"/>
    <m/>
    <m/>
    <m/>
    <m/>
    <x v="72"/>
    <s v="19-19-1-CRFH-PE-0.1"/>
    <n v="3"/>
    <s v="Hosur"/>
    <m/>
    <m/>
    <m/>
    <x v="31"/>
    <x v="29"/>
    <x v="11"/>
    <x v="1"/>
    <n v="100"/>
    <s v="NOS"/>
    <m/>
    <m/>
    <m/>
    <m/>
    <n v="10000"/>
    <n v="-10000"/>
    <n v="0"/>
    <n v="0.55263057999999998"/>
    <n v="-0.55263057999999998"/>
    <e v="#DIV/0!"/>
    <n v="0.22711100000000001"/>
    <m/>
    <n v="15.867808"/>
    <n v="41.765000000000001"/>
    <n v="-0.22711100000000001"/>
    <m/>
  </r>
  <r>
    <n v="506"/>
    <s v="Hosur"/>
    <x v="24"/>
    <s v="Sri Balaji Gear"/>
    <x v="19"/>
    <n v="3931835"/>
    <s v="188595-3931835"/>
    <s v="CUT-R-AW-AUT-19.00X19.00X1.000X0.1100"/>
    <x v="7"/>
    <m/>
    <x v="0"/>
    <s v="CR"/>
    <m/>
    <m/>
    <m/>
    <m/>
    <x v="72"/>
    <s v="19-19-1-CRFH-PE-0.11"/>
    <n v="4"/>
    <s v="Hosur"/>
    <n v="0"/>
    <n v="0"/>
    <m/>
    <x v="31"/>
    <x v="29"/>
    <x v="11"/>
    <x v="1"/>
    <n v="110"/>
    <s v="NOS"/>
    <m/>
    <m/>
    <n v="12000"/>
    <m/>
    <n v="6000"/>
    <n v="6000"/>
    <n v="0.72947236560000006"/>
    <n v="0.36473618280000003"/>
    <n v="0.36473618280000003"/>
    <n v="2789.0898900968596"/>
    <n v="0.169547"/>
    <m/>
    <n v="15.867808"/>
    <n v="41.765000000000001"/>
    <n v="0.55992536560000006"/>
    <m/>
  </r>
  <r>
    <n v="537"/>
    <s v="Hosur"/>
    <x v="23"/>
    <s v="Sri Balaji Gear"/>
    <x v="19"/>
    <n v="3931835"/>
    <s v="188595-3931835"/>
    <s v="CUT-R-AW-AUT-19.00X19.00X1.000X0.1100"/>
    <x v="7"/>
    <m/>
    <x v="0"/>
    <s v="CR"/>
    <m/>
    <m/>
    <m/>
    <m/>
    <x v="72"/>
    <s v="19-19-1-CRFH-PE-0.11"/>
    <n v="4"/>
    <s v="Hosur"/>
    <n v="0"/>
    <n v="0"/>
    <m/>
    <x v="31"/>
    <x v="29"/>
    <x v="11"/>
    <x v="1"/>
    <n v="110"/>
    <s v="NOS"/>
    <m/>
    <m/>
    <n v="1000"/>
    <m/>
    <n v="6000"/>
    <n v="-5000"/>
    <n v="6.078936380000001E-2"/>
    <n v="0.36473618280000003"/>
    <n v="-0.30394681900000003"/>
    <n v="2789.0898900968587"/>
    <n v="0.169547"/>
    <m/>
    <n v="15.867808"/>
    <n v="41.765000000000001"/>
    <n v="-0.10875763619999999"/>
    <m/>
  </r>
  <r>
    <n v="648"/>
    <s v="Hosur"/>
    <x v="25"/>
    <s v="Sri Balaji Gear"/>
    <x v="19"/>
    <n v="3931835"/>
    <s v="188595-3931835"/>
    <s v="CUT-R-AW-AUT-19.00X19.00X1.000X0.1100"/>
    <x v="7"/>
    <m/>
    <x v="0"/>
    <m/>
    <m/>
    <m/>
    <m/>
    <m/>
    <x v="72"/>
    <s v="19-19-1-CRFH-PE-0.11"/>
    <m/>
    <m/>
    <n v="0"/>
    <n v="0"/>
    <m/>
    <x v="31"/>
    <x v="29"/>
    <x v="11"/>
    <x v="1"/>
    <n v="110"/>
    <s v="NOS"/>
    <m/>
    <m/>
    <n v="1000"/>
    <m/>
    <n v="6000"/>
    <n v="-5000"/>
    <n v="6.078936380000001E-2"/>
    <n v="0.36473618280000003"/>
    <n v="-0.30394681900000003"/>
    <n v="2789.0898900968587"/>
    <n v="0.169547"/>
    <m/>
    <n v="15.867808"/>
    <n v="41.765000000000001"/>
    <n v="-0.10875763619999999"/>
    <m/>
  </r>
  <r>
    <n v="512"/>
    <s v="Hosur"/>
    <x v="24"/>
    <s v="Sri Balaji Gear"/>
    <x v="19"/>
    <n v="4151428"/>
    <s v="188595-4151428"/>
    <s v="CUT-R-AW-AUT-19.00X19.00X1.000X0.115"/>
    <x v="7"/>
    <m/>
    <x v="0"/>
    <s v="CR"/>
    <m/>
    <m/>
    <m/>
    <m/>
    <x v="72"/>
    <s v="19-19-1-CRFH-PE-0.115"/>
    <n v="2"/>
    <s v="Hosur"/>
    <n v="0"/>
    <n v="0"/>
    <m/>
    <x v="31"/>
    <x v="29"/>
    <x v="11"/>
    <x v="1"/>
    <n v="115"/>
    <s v="NOS"/>
    <m/>
    <m/>
    <n v="12000"/>
    <m/>
    <n v="5000"/>
    <n v="7000"/>
    <n v="0.76263020040000007"/>
    <n v="0.31776258350000003"/>
    <n v="0.44486761690000004"/>
    <n v="1007.6390885083549"/>
    <n v="6.4038000000000012E-2"/>
    <m/>
    <n v="15.867808"/>
    <n v="41.765000000000001"/>
    <n v="0.69859220040000003"/>
    <m/>
  </r>
  <r>
    <n v="647"/>
    <s v="Hosur"/>
    <x v="25"/>
    <s v="Sri Balaji Gear"/>
    <x v="19"/>
    <n v="3938687"/>
    <s v="188595-3938687"/>
    <s v="TUB-S-AW-AUT-19.00X19.00X1.000X0.1290"/>
    <x v="7"/>
    <m/>
    <x v="0"/>
    <m/>
    <m/>
    <m/>
    <m/>
    <m/>
    <x v="72"/>
    <s v="19-19-1-CRFH-PE-0.129"/>
    <m/>
    <m/>
    <n v="0"/>
    <n v="0"/>
    <m/>
    <x v="31"/>
    <x v="29"/>
    <x v="11"/>
    <x v="1"/>
    <n v="129"/>
    <s v="NOS"/>
    <m/>
    <m/>
    <n v="1000"/>
    <m/>
    <n v="6000"/>
    <n v="-5000"/>
    <n v="7.1289344820000017E-2"/>
    <n v="0.4277360689200001"/>
    <n v="-0.35644672410000011"/>
    <n v="8005.6283507866847"/>
    <n v="0.570716"/>
    <m/>
    <n v="15.867808"/>
    <n v="41.765000000000001"/>
    <n v="-0.49942665517999996"/>
    <m/>
  </r>
  <r>
    <n v="538"/>
    <s v="Hosur"/>
    <x v="23"/>
    <s v="Sri Balaji Gear"/>
    <x v="19"/>
    <n v="3938687"/>
    <s v="188595-3938687"/>
    <s v="TUB-S-AW-AUT-19.00X19.00X1.000X0.1290"/>
    <x v="7"/>
    <m/>
    <x v="0"/>
    <s v="CR"/>
    <m/>
    <m/>
    <m/>
    <m/>
    <x v="72"/>
    <s v="19-19-1-CRFH-PE-0.129"/>
    <n v="4"/>
    <s v="Hosur"/>
    <n v="0"/>
    <n v="0"/>
    <m/>
    <x v="31"/>
    <x v="29"/>
    <x v="11"/>
    <x v="1"/>
    <n v="129"/>
    <s v="NOS"/>
    <m/>
    <m/>
    <n v="1000"/>
    <m/>
    <n v="6000"/>
    <n v="-5000"/>
    <n v="7.1289344820000017E-2"/>
    <n v="0.4277360689200001"/>
    <n v="-0.35644672410000011"/>
    <n v="8005.6283507866847"/>
    <n v="0.570716"/>
    <m/>
    <n v="15.867808"/>
    <n v="41.765000000000001"/>
    <n v="-0.49942665517999996"/>
    <m/>
  </r>
  <r>
    <n v="507"/>
    <s v="Hosur"/>
    <x v="24"/>
    <s v="Sri Balaji Gear"/>
    <x v="19"/>
    <n v="3938687"/>
    <s v="188595-3938687"/>
    <s v="TUB-S-AW-AUT-19.00X19.00X1.000X0.1290"/>
    <x v="7"/>
    <m/>
    <x v="0"/>
    <s v="CR"/>
    <m/>
    <m/>
    <m/>
    <m/>
    <x v="72"/>
    <s v="19-19-1-CRFH-PE-0.129"/>
    <n v="4"/>
    <s v="Hosur"/>
    <n v="0"/>
    <n v="0"/>
    <m/>
    <x v="31"/>
    <x v="29"/>
    <x v="11"/>
    <x v="1"/>
    <n v="129"/>
    <s v="NOS"/>
    <m/>
    <m/>
    <n v="12000"/>
    <m/>
    <n v="6000"/>
    <n v="6000"/>
    <n v="0.8554721378400002"/>
    <n v="0.4277360689200001"/>
    <n v="0.4277360689200001"/>
    <n v="8005.6283507866847"/>
    <n v="0.570716"/>
    <m/>
    <n v="15.867808"/>
    <n v="41.765000000000001"/>
    <n v="0.2847561378400002"/>
    <m/>
  </r>
  <r>
    <n v="646"/>
    <s v="Hosur"/>
    <x v="25"/>
    <s v="Sri Balaji Gear"/>
    <x v="19"/>
    <n v="3230486"/>
    <s v="188595-3230486"/>
    <s v="TUB-S-AW-AUT-19.00X19.00X1.000X0.1500"/>
    <x v="7"/>
    <m/>
    <x v="0"/>
    <m/>
    <m/>
    <m/>
    <m/>
    <m/>
    <x v="72"/>
    <s v="19-19-1-CRFH-PE-0.15"/>
    <m/>
    <m/>
    <n v="0"/>
    <n v="0"/>
    <m/>
    <x v="31"/>
    <x v="29"/>
    <x v="11"/>
    <x v="1"/>
    <n v="150"/>
    <s v="NOS"/>
    <m/>
    <m/>
    <n v="2000"/>
    <m/>
    <n v="2000"/>
    <n v="0"/>
    <n v="0.16578917400000004"/>
    <n v="0.16578917400000004"/>
    <n v="0"/>
    <n v="6141.7761813566904"/>
    <n v="0.50912000000000002"/>
    <m/>
    <n v="15.867808"/>
    <n v="41.765000000000001"/>
    <n v="-0.34333082599999998"/>
    <m/>
  </r>
  <r>
    <n v="539"/>
    <s v="Hosur"/>
    <x v="23"/>
    <s v="Sri Balaji Gear"/>
    <x v="19"/>
    <n v="3230486"/>
    <s v="188595-3230486"/>
    <s v="TUB-S-AW-AUT-19.00X19.00X1.000X0.1500"/>
    <x v="7"/>
    <m/>
    <x v="0"/>
    <s v="CR"/>
    <m/>
    <m/>
    <m/>
    <m/>
    <x v="72"/>
    <s v="19-19-1-CRFH-PE-0.15"/>
    <n v="2"/>
    <s v="Hosur"/>
    <n v="0"/>
    <n v="0"/>
    <m/>
    <x v="31"/>
    <x v="29"/>
    <x v="11"/>
    <x v="1"/>
    <n v="150"/>
    <s v="NOS"/>
    <m/>
    <m/>
    <n v="500"/>
    <m/>
    <n v="2000"/>
    <n v="-1500"/>
    <n v="4.144729350000001E-2"/>
    <n v="0.16578917400000004"/>
    <n v="-0.12434188050000003"/>
    <n v="6141.7761813566904"/>
    <n v="0.50912000000000002"/>
    <m/>
    <n v="15.867808"/>
    <n v="41.765000000000001"/>
    <n v="-0.46767270650000003"/>
    <m/>
  </r>
  <r>
    <n v="540"/>
    <s v="Hosur"/>
    <x v="23"/>
    <s v="Sri Balaji Gear"/>
    <x v="19"/>
    <n v="3571864"/>
    <s v="188595-3571864"/>
    <s v="TUB-S-AW-AUT-19.00X19.00X1.000X0.2900"/>
    <x v="7"/>
    <m/>
    <x v="0"/>
    <s v="CR"/>
    <m/>
    <m/>
    <m/>
    <m/>
    <x v="72"/>
    <s v="19-19-1-CRFH-PE-0.29"/>
    <n v="1"/>
    <s v="Hosur"/>
    <n v="0"/>
    <n v="0"/>
    <m/>
    <x v="31"/>
    <x v="29"/>
    <x v="11"/>
    <x v="1"/>
    <n v="290"/>
    <s v="NOS"/>
    <m/>
    <m/>
    <n v="1000"/>
    <m/>
    <n v="0"/>
    <n v="1000"/>
    <n v="0.16026286819999999"/>
    <n v="0"/>
    <n v="0.16026286819999999"/>
    <n v="399.34390741173576"/>
    <n v="6.4000000000000001E-2"/>
    <m/>
    <n v="15.867808"/>
    <n v="41.765000000000001"/>
    <n v="9.626286819999999E-2"/>
    <m/>
  </r>
  <r>
    <n v="509"/>
    <s v="Hosur"/>
    <x v="24"/>
    <s v="Sri Balaji Gear"/>
    <x v="19"/>
    <n v="3230490"/>
    <s v="188595-3230490"/>
    <s v="TUB-S-AW-AUT-19.00X19.00X1.000X0.3550"/>
    <x v="7"/>
    <m/>
    <x v="0"/>
    <s v="CR"/>
    <m/>
    <m/>
    <m/>
    <m/>
    <x v="72"/>
    <s v="19-19-1-CRFH-PE-0.355"/>
    <n v="5"/>
    <s v="Hosur"/>
    <n v="0"/>
    <n v="0"/>
    <m/>
    <x v="31"/>
    <x v="29"/>
    <x v="11"/>
    <x v="1"/>
    <n v="355"/>
    <s v="NOS"/>
    <m/>
    <m/>
    <n v="12000"/>
    <m/>
    <n v="6000"/>
    <n v="6000"/>
    <n v="2.3542062708000002"/>
    <n v="1.1771031354000001"/>
    <n v="1.1771031354000001"/>
    <n v="4209.5614657556525"/>
    <n v="0.82584799999999992"/>
    <m/>
    <n v="15.867808"/>
    <n v="41.765000000000001"/>
    <n v="1.5283582708000003"/>
    <m/>
  </r>
  <r>
    <n v="645"/>
    <s v="Hosur"/>
    <x v="25"/>
    <s v="Sri Balaji Gear"/>
    <x v="19"/>
    <n v="3230490"/>
    <s v="188595-3230490"/>
    <s v="TUB-S-AW-AUT-19.00X19.00X1.000X0.3550"/>
    <x v="7"/>
    <m/>
    <x v="0"/>
    <m/>
    <m/>
    <m/>
    <m/>
    <m/>
    <x v="72"/>
    <s v="19-19-1-CRFH-PE-0.355"/>
    <m/>
    <m/>
    <n v="0"/>
    <n v="0"/>
    <m/>
    <x v="31"/>
    <x v="29"/>
    <x v="11"/>
    <x v="1"/>
    <n v="355"/>
    <s v="NOS"/>
    <m/>
    <m/>
    <n v="1000"/>
    <m/>
    <n v="6000"/>
    <n v="-5000"/>
    <n v="0.19618385590000004"/>
    <n v="1.1771031354000001"/>
    <n v="-0.98091927950000013"/>
    <n v="4209.5614657556525"/>
    <n v="0.82584799999999992"/>
    <m/>
    <n v="15.867808"/>
    <n v="41.765000000000001"/>
    <n v="-0.62966414409999993"/>
    <m/>
  </r>
  <r>
    <n v="541"/>
    <s v="Hosur"/>
    <x v="23"/>
    <s v="Sri Balaji Gear"/>
    <x v="19"/>
    <n v="3571868"/>
    <s v="188595-3571868"/>
    <s v="TUB-S-AW-AUT-19.00X19.00X1.000X0.3920"/>
    <x v="7"/>
    <m/>
    <x v="0"/>
    <s v="CR"/>
    <m/>
    <m/>
    <m/>
    <m/>
    <x v="72"/>
    <s v="19-19-1-CRFH-PE-0.392"/>
    <n v="1"/>
    <s v="Hosur"/>
    <n v="0"/>
    <n v="0"/>
    <m/>
    <x v="31"/>
    <x v="29"/>
    <x v="11"/>
    <x v="1"/>
    <n v="392"/>
    <s v="NOS"/>
    <m/>
    <m/>
    <n v="1000"/>
    <m/>
    <n v="0"/>
    <n v="1000"/>
    <n v="0.21663118736000003"/>
    <n v="0"/>
    <n v="0.21663118736000003"/>
    <n v="0"/>
    <n v="0"/>
    <m/>
    <n v="15.867808"/>
    <n v="41.765000000000001"/>
    <n v="0.21663118736000003"/>
    <m/>
  </r>
  <r>
    <n v="510"/>
    <s v="Hosur"/>
    <x v="24"/>
    <s v="Sri Balaji Gear"/>
    <x v="19"/>
    <n v="3230487"/>
    <s v="188595-3230487"/>
    <s v="TUB-S-AW-AUT-19.00X19.00X1.000X0.4000"/>
    <x v="7"/>
    <m/>
    <x v="0"/>
    <s v="CR"/>
    <m/>
    <m/>
    <m/>
    <m/>
    <x v="72"/>
    <s v="19-19-1-CRFH-PE-0.4"/>
    <n v="4"/>
    <s v="Hosur"/>
    <n v="0"/>
    <n v="0"/>
    <m/>
    <x v="31"/>
    <x v="29"/>
    <x v="11"/>
    <x v="1"/>
    <n v="400"/>
    <s v="NOS"/>
    <m/>
    <m/>
    <n v="48000"/>
    <m/>
    <n v="23000"/>
    <n v="25000"/>
    <n v="10.610507136000001"/>
    <n v="5.0842013360000005"/>
    <n v="5.5263058000000003"/>
    <n v="7701.7272551222177"/>
    <n v="1.7024839999999999"/>
    <m/>
    <n v="15.867808"/>
    <n v="41.765000000000001"/>
    <n v="8.9080231360000006"/>
    <m/>
  </r>
  <r>
    <n v="644"/>
    <s v="Hosur"/>
    <x v="25"/>
    <s v="Sri Balaji Gear"/>
    <x v="19"/>
    <n v="3230487"/>
    <s v="188595-3230487"/>
    <s v="TUB-S-AW-AUT-19.00X19.00X1.000X0.4000"/>
    <x v="7"/>
    <m/>
    <x v="0"/>
    <m/>
    <m/>
    <m/>
    <m/>
    <m/>
    <x v="72"/>
    <s v="19-19-1-CRFH-PE-0.4"/>
    <m/>
    <m/>
    <n v="0"/>
    <n v="0"/>
    <m/>
    <x v="31"/>
    <x v="29"/>
    <x v="11"/>
    <x v="1"/>
    <n v="400"/>
    <s v="NOS"/>
    <m/>
    <m/>
    <n v="3000"/>
    <m/>
    <n v="23000"/>
    <n v="-20000"/>
    <n v="0.66315669600000005"/>
    <n v="5.0842013360000005"/>
    <n v="-4.4210446400000007"/>
    <n v="7701.7272551222177"/>
    <n v="1.7024839999999999"/>
    <m/>
    <n v="15.867808"/>
    <n v="41.765000000000001"/>
    <n v="-1.039327304"/>
    <m/>
  </r>
  <r>
    <n v="511"/>
    <s v="Hosur"/>
    <x v="24"/>
    <s v="Sri Balaji Gear"/>
    <x v="19"/>
    <n v="3230488"/>
    <s v="188595-3230488"/>
    <s v="TUB-S-AW-AUT-19.00X19.00X1.000X0.4700"/>
    <x v="7"/>
    <m/>
    <x v="0"/>
    <s v="CR"/>
    <m/>
    <m/>
    <m/>
    <m/>
    <x v="72"/>
    <s v="19-19-1-CRFH-PE-0.47"/>
    <n v="4"/>
    <s v="Hosur"/>
    <n v="0"/>
    <n v="0"/>
    <m/>
    <x v="31"/>
    <x v="29"/>
    <x v="11"/>
    <x v="1"/>
    <n v="470"/>
    <s v="NOS"/>
    <m/>
    <m/>
    <n v="12000"/>
    <m/>
    <n v="6000"/>
    <n v="6000"/>
    <n v="3.1168364711999996"/>
    <n v="1.5584182355999998"/>
    <n v="1.5584182355999998"/>
    <n v="977.83763381933056"/>
    <n v="0.25397999999999998"/>
    <m/>
    <n v="15.867808"/>
    <n v="41.765000000000001"/>
    <n v="2.8628564711999998"/>
    <m/>
  </r>
  <r>
    <n v="643"/>
    <s v="Hosur"/>
    <x v="25"/>
    <s v="Sri Balaji Gear"/>
    <x v="19"/>
    <n v="3230488"/>
    <s v="188595-3230488"/>
    <s v="TUB-S-AW-AUT-19.00X19.00X1.000X0.4700"/>
    <x v="7"/>
    <m/>
    <x v="0"/>
    <m/>
    <m/>
    <m/>
    <m/>
    <m/>
    <x v="72"/>
    <s v="19-19-1-CRFH-PE-0.47"/>
    <m/>
    <m/>
    <n v="0"/>
    <n v="0"/>
    <m/>
    <x v="31"/>
    <x v="29"/>
    <x v="11"/>
    <x v="1"/>
    <n v="470"/>
    <s v="NOS"/>
    <m/>
    <m/>
    <n v="1000"/>
    <m/>
    <n v="6000"/>
    <n v="-5000"/>
    <n v="0.25973637259999999"/>
    <n v="1.5584182355999998"/>
    <n v="-1.2986818629999999"/>
    <n v="977.83763381933045"/>
    <n v="0.25397999999999998"/>
    <m/>
    <n v="15.867808"/>
    <n v="41.765000000000001"/>
    <n v="5.7563726000000037E-3"/>
    <m/>
  </r>
  <r>
    <n v="542"/>
    <s v="Hosur"/>
    <x v="23"/>
    <s v="Sri Balaji Gear"/>
    <x v="19"/>
    <n v="3571869"/>
    <s v="188595-3571869"/>
    <s v="TUB-S-AW-AUT-19.00X19.00X1.000X0.4860"/>
    <x v="7"/>
    <m/>
    <x v="0"/>
    <s v="CR"/>
    <m/>
    <m/>
    <m/>
    <m/>
    <x v="72"/>
    <s v="19-19-1-CRFH-PE-0.486"/>
    <n v="1"/>
    <s v="Hosur"/>
    <n v="0"/>
    <n v="0"/>
    <m/>
    <x v="31"/>
    <x v="29"/>
    <x v="11"/>
    <x v="1"/>
    <n v="486"/>
    <s v="NOS"/>
    <m/>
    <m/>
    <n v="500"/>
    <m/>
    <n v="0"/>
    <n v="500"/>
    <n v="0.13428923094"/>
    <n v="0"/>
    <n v="0.13428923094"/>
    <n v="1302.4127011207977"/>
    <n v="0.3498"/>
    <m/>
    <n v="15.867808"/>
    <n v="41.765000000000001"/>
    <n v="-0.21551076906"/>
    <m/>
  </r>
  <r>
    <n v="520"/>
    <s v="Hosur"/>
    <x v="24"/>
    <s v="Sri Balaji Gear"/>
    <x v="19"/>
    <n v="3571870"/>
    <s v="188595-3571870"/>
    <s v="TUB-S-AW-AUT-19.00X19.00X1.000X0.5400"/>
    <x v="7"/>
    <m/>
    <x v="0"/>
    <s v="CR"/>
    <m/>
    <m/>
    <m/>
    <m/>
    <x v="72"/>
    <s v="19-19-1-CRFH-PE-0.54"/>
    <n v="5"/>
    <s v="Hosur"/>
    <n v="0"/>
    <n v="0"/>
    <m/>
    <x v="31"/>
    <x v="29"/>
    <x v="11"/>
    <x v="1"/>
    <n v="540"/>
    <s v="NOS"/>
    <m/>
    <m/>
    <n v="12000"/>
    <m/>
    <n v="6000"/>
    <n v="6000"/>
    <n v="3.5810461584000008"/>
    <n v="1.7905230792000004"/>
    <n v="1.7905230792000004"/>
    <n v="986.62453476405301"/>
    <n v="0.294429"/>
    <m/>
    <n v="15.867808"/>
    <n v="41.765000000000001"/>
    <n v="3.2866171584000008"/>
    <m/>
  </r>
  <r>
    <n v="543"/>
    <s v="Hosur"/>
    <x v="23"/>
    <s v="Sri Balaji Gear"/>
    <x v="19"/>
    <n v="3571870"/>
    <s v="188595-3571870"/>
    <s v="TUB-S-AW-AUT-19.00X19.00X1.000X0.5400"/>
    <x v="7"/>
    <m/>
    <x v="0"/>
    <s v="CR"/>
    <m/>
    <m/>
    <m/>
    <m/>
    <x v="72"/>
    <s v="19-19-1-CRFH-PE-0.54"/>
    <n v="5"/>
    <s v="Hosur"/>
    <n v="0"/>
    <n v="0"/>
    <m/>
    <x v="31"/>
    <x v="29"/>
    <x v="11"/>
    <x v="1"/>
    <n v="540"/>
    <s v="NOS"/>
    <m/>
    <m/>
    <n v="1000"/>
    <m/>
    <n v="6000"/>
    <n v="-5000"/>
    <n v="0.29842051320000007"/>
    <n v="1.7905230792000004"/>
    <n v="-1.4921025660000002"/>
    <n v="986.62453476405301"/>
    <n v="0.294429"/>
    <m/>
    <n v="15.867808"/>
    <n v="41.765000000000001"/>
    <n v="3.9915132000000741E-3"/>
    <m/>
  </r>
  <r>
    <n v="659"/>
    <s v="Hosur"/>
    <x v="25"/>
    <s v="Sri Balaji Gear"/>
    <x v="19"/>
    <n v="3571870"/>
    <s v="188595-3571870"/>
    <s v="TUB-S-AW-AUT-19.00X19.00X1.000X0.5400"/>
    <x v="7"/>
    <m/>
    <x v="0"/>
    <m/>
    <m/>
    <m/>
    <m/>
    <m/>
    <x v="72"/>
    <s v="19-19-1-CRFH-PE-0.54"/>
    <m/>
    <m/>
    <n v="0"/>
    <n v="0"/>
    <m/>
    <x v="31"/>
    <x v="29"/>
    <x v="11"/>
    <x v="1"/>
    <n v="540"/>
    <s v="NOS"/>
    <m/>
    <m/>
    <n v="1000"/>
    <m/>
    <n v="6000"/>
    <n v="-5000"/>
    <n v="0.29842051320000007"/>
    <n v="1.7905230792000004"/>
    <n v="-1.4921025660000002"/>
    <n v="986.62453476405301"/>
    <n v="0.294429"/>
    <m/>
    <n v="15.867808"/>
    <n v="41.765000000000001"/>
    <n v="3.9915132000000741E-3"/>
    <m/>
  </r>
  <r>
    <n v="544"/>
    <s v="Hosur"/>
    <x v="23"/>
    <s v="Sri Balaji Gear"/>
    <x v="19"/>
    <n v="3572031"/>
    <s v="188595-3572031"/>
    <s v="TUB-S-AW-AUT-19.00X19.00X1.000X0.7100"/>
    <x v="7"/>
    <m/>
    <x v="0"/>
    <s v="CR"/>
    <m/>
    <m/>
    <m/>
    <m/>
    <x v="72"/>
    <s v="19-19-1-CRFH-PE-0.71"/>
    <n v="1"/>
    <s v="Hosur"/>
    <n v="0"/>
    <n v="0"/>
    <m/>
    <x v="31"/>
    <x v="29"/>
    <x v="11"/>
    <x v="1"/>
    <n v="710"/>
    <s v="NOS"/>
    <m/>
    <m/>
    <n v="1000"/>
    <m/>
    <n v="0"/>
    <n v="1000"/>
    <n v="0.39236771180000007"/>
    <n v="0"/>
    <n v="0.39236771180000007"/>
    <n v="2599.602284603684"/>
    <n v="1.02"/>
    <m/>
    <n v="15.867808"/>
    <n v="41.765000000000001"/>
    <n v="-0.62763228819999994"/>
    <m/>
  </r>
  <r>
    <n v="545"/>
    <s v="Hosur"/>
    <x v="23"/>
    <s v="Sri Balaji Gear"/>
    <x v="19"/>
    <n v="3572032"/>
    <s v="188595-3572032"/>
    <s v="TUB-S-AW-AUT-19.00X19.00X1.000X0.7500"/>
    <x v="7"/>
    <m/>
    <x v="0"/>
    <s v="CR"/>
    <m/>
    <m/>
    <m/>
    <m/>
    <x v="72"/>
    <s v="19-19-1-CRFH-PE-0.75"/>
    <n v="1"/>
    <s v="Hosur"/>
    <n v="0"/>
    <n v="0"/>
    <m/>
    <x v="31"/>
    <x v="29"/>
    <x v="11"/>
    <x v="1"/>
    <n v="750"/>
    <s v="NOS"/>
    <m/>
    <m/>
    <n v="1000"/>
    <m/>
    <n v="0"/>
    <n v="1000"/>
    <n v="0.41447293500000004"/>
    <n v="0"/>
    <n v="0.41447293500000004"/>
    <n v="2651.560348566547"/>
    <n v="1.099"/>
    <m/>
    <n v="15.867808"/>
    <n v="41.765000000000001"/>
    <n v="-0.68452706499999993"/>
    <m/>
  </r>
  <r>
    <n v="514"/>
    <s v="Hosur"/>
    <x v="24"/>
    <s v="Sri Balaji Gear"/>
    <x v="19"/>
    <n v="4151426"/>
    <s v="188595-4151426"/>
    <s v="TUB-S-AW-AUT-19.00X19.00X1.000X0.755"/>
    <x v="7"/>
    <m/>
    <x v="0"/>
    <s v="CR"/>
    <m/>
    <m/>
    <m/>
    <m/>
    <x v="72"/>
    <s v="19-19-1-CRFH-PE-0.755"/>
    <n v="2"/>
    <s v="Hosur"/>
    <n v="0"/>
    <n v="0"/>
    <m/>
    <x v="31"/>
    <x v="29"/>
    <x v="11"/>
    <x v="1"/>
    <n v="755"/>
    <s v="NOS"/>
    <m/>
    <m/>
    <n v="12000"/>
    <m/>
    <n v="5000"/>
    <n v="7000"/>
    <n v="5.0068330548000004"/>
    <n v="2.0861804395000005"/>
    <n v="2.9206526152999999"/>
    <n v="3823.5834489521872"/>
    <n v="1.595337"/>
    <m/>
    <n v="15.867808"/>
    <n v="41.765000000000001"/>
    <n v="3.4114960548000006"/>
    <m/>
  </r>
  <r>
    <n v="546"/>
    <s v="Hosur"/>
    <x v="23"/>
    <s v="Sri Balaji Gear"/>
    <x v="19"/>
    <n v="3572033"/>
    <s v="188595-3572033"/>
    <s v="TUB-S-AW-AUT-19.00X19.00X1.000X0.7900"/>
    <x v="7"/>
    <m/>
    <x v="0"/>
    <s v="CR"/>
    <m/>
    <m/>
    <m/>
    <m/>
    <x v="72"/>
    <s v="19-19-1-CRFH-PE-0.79"/>
    <n v="1"/>
    <s v="Hosur"/>
    <n v="0"/>
    <n v="0"/>
    <m/>
    <x v="31"/>
    <x v="29"/>
    <x v="11"/>
    <x v="1"/>
    <n v="790"/>
    <s v="NOS"/>
    <m/>
    <m/>
    <n v="1000"/>
    <m/>
    <n v="0"/>
    <n v="1000"/>
    <n v="0.43657815820000001"/>
    <n v="0"/>
    <n v="0.43657815820000001"/>
    <n v="151.17568013964836"/>
    <n v="6.6000000000000003E-2"/>
    <m/>
    <n v="15.867808"/>
    <n v="41.765000000000001"/>
    <n v="0.37057815820000001"/>
    <m/>
  </r>
  <r>
    <n v="508"/>
    <s v="Hosur"/>
    <x v="24"/>
    <s v="Sri Balaji Gear"/>
    <x v="19"/>
    <n v="4151429"/>
    <s v="188595-4151429"/>
    <s v="TUB-S-AW-AUT-19.00X19.00X1.000X0.795"/>
    <x v="7"/>
    <m/>
    <x v="0"/>
    <s v="CR"/>
    <m/>
    <m/>
    <m/>
    <m/>
    <x v="72"/>
    <s v="19-19-1-CRFH-PE-0.795"/>
    <n v="2"/>
    <s v="Hosur"/>
    <n v="0"/>
    <n v="0"/>
    <m/>
    <x v="31"/>
    <x v="29"/>
    <x v="11"/>
    <x v="1"/>
    <n v="795"/>
    <s v="NOS"/>
    <m/>
    <m/>
    <n v="12000"/>
    <m/>
    <n v="5000"/>
    <n v="7000"/>
    <n v="5.2720957332000005"/>
    <n v="2.1967065555000005"/>
    <n v="3.0753891777"/>
    <n v="4720.5758884985489"/>
    <n v="2.073944"/>
    <m/>
    <n v="15.867808"/>
    <n v="41.765000000000001"/>
    <n v="3.1981517332000005"/>
    <m/>
  </r>
  <r>
    <n v="642"/>
    <s v="Hosur"/>
    <x v="25"/>
    <s v="Sri Balaji Gear"/>
    <x v="19"/>
    <n v="3931836"/>
    <s v="188595-3931836"/>
    <s v="CUT-R-AW-AUT-19.00X19.00X1.000X0.8000"/>
    <x v="7"/>
    <m/>
    <x v="0"/>
    <m/>
    <m/>
    <m/>
    <m/>
    <m/>
    <x v="72"/>
    <s v="19-19-1-CRFH-PE-0.8"/>
    <m/>
    <m/>
    <n v="0"/>
    <n v="0"/>
    <m/>
    <x v="31"/>
    <x v="29"/>
    <x v="11"/>
    <x v="1"/>
    <n v="800"/>
    <s v="NOS"/>
    <m/>
    <m/>
    <n v="1000"/>
    <m/>
    <n v="1000"/>
    <n v="0"/>
    <n v="0.44210446400000003"/>
    <n v="0.44210446400000003"/>
    <n v="0"/>
    <n v="1953.8413889437675"/>
    <n v="0.86380199999999996"/>
    <m/>
    <n v="15.867808"/>
    <n v="41.765000000000001"/>
    <n v="-0.42169753599999993"/>
    <m/>
  </r>
  <r>
    <n v="518"/>
    <s v="Hosur"/>
    <x v="24"/>
    <s v="Sri Balaji Gear"/>
    <x v="19"/>
    <n v="4151425"/>
    <s v="188595-4151425"/>
    <s v="CUT-S-AW-AUT-19.00X19.00X1.000X0.835"/>
    <x v="7"/>
    <m/>
    <x v="0"/>
    <s v="CR"/>
    <m/>
    <m/>
    <m/>
    <m/>
    <x v="72"/>
    <s v="19-19-1-CRFH-PE-0.835"/>
    <n v="2"/>
    <s v="Hosur"/>
    <n v="0"/>
    <n v="0"/>
    <m/>
    <x v="31"/>
    <x v="29"/>
    <x v="11"/>
    <x v="1"/>
    <n v="835"/>
    <s v="NOS"/>
    <m/>
    <m/>
    <n v="12000"/>
    <m/>
    <n v="5000"/>
    <n v="7000"/>
    <n v="5.5373584116000005"/>
    <n v="2.3072326715000004"/>
    <n v="3.2301257401000001"/>
    <n v="1006.4654634464333"/>
    <n v="0.46443000000000001"/>
    <m/>
    <n v="15.867808"/>
    <n v="41.765000000000001"/>
    <n v="5.0729284116000004"/>
    <m/>
  </r>
  <r>
    <n v="641"/>
    <s v="Hosur"/>
    <x v="25"/>
    <s v="Sri Balaji Gear"/>
    <x v="19"/>
    <n v="3230485"/>
    <s v="188595-3230485"/>
    <s v="TUB-S-AW-AUT-19.00X19.00X1.000X0.8400"/>
    <x v="7"/>
    <m/>
    <x v="0"/>
    <m/>
    <m/>
    <m/>
    <m/>
    <m/>
    <x v="72"/>
    <s v="19-19-1-CRFH-PE-0.84"/>
    <m/>
    <m/>
    <n v="0"/>
    <n v="0"/>
    <m/>
    <x v="31"/>
    <x v="29"/>
    <x v="11"/>
    <x v="1"/>
    <n v="840"/>
    <s v="NOS"/>
    <m/>
    <m/>
    <n v="1000"/>
    <m/>
    <n v="1000"/>
    <n v="0"/>
    <n v="0.46420968720000005"/>
    <n v="0.46420968720000005"/>
    <n v="0"/>
    <n v="1812.3813940089613"/>
    <n v="0.84132499999999999"/>
    <m/>
    <n v="15.867808"/>
    <n v="41.765000000000001"/>
    <n v="-0.37711531279999994"/>
    <m/>
  </r>
  <r>
    <n v="640"/>
    <s v="Hosur"/>
    <x v="25"/>
    <s v="Sri Balaji Gear"/>
    <x v="19"/>
    <n v="3233560"/>
    <s v="188595-3233560"/>
    <s v="TUB-S-AW-AUT-19.00X19.00X1.000X0.8750"/>
    <x v="7"/>
    <m/>
    <x v="0"/>
    <m/>
    <m/>
    <m/>
    <m/>
    <m/>
    <x v="72"/>
    <s v="19-19-1-CRFH-PE-0.875"/>
    <m/>
    <m/>
    <n v="0"/>
    <n v="0"/>
    <m/>
    <x v="31"/>
    <x v="29"/>
    <x v="11"/>
    <x v="1"/>
    <n v="875"/>
    <s v="NOS"/>
    <m/>
    <m/>
    <n v="1000"/>
    <m/>
    <n v="1000"/>
    <n v="0"/>
    <n v="0.48355175750000001"/>
    <n v="0.48355175750000001"/>
    <n v="0"/>
    <n v="0"/>
    <n v="0"/>
    <m/>
    <n v="15.867808"/>
    <n v="41.765000000000001"/>
    <n v="0.48355175750000001"/>
    <m/>
  </r>
  <r>
    <n v="639"/>
    <s v="Hosur"/>
    <x v="25"/>
    <s v="Sri Balaji Gear"/>
    <x v="19"/>
    <n v="3230492"/>
    <s v="188595-3230492"/>
    <s v="TUB-S-AW-AUT-19.00X19.00X1.000X0.8800"/>
    <x v="7"/>
    <m/>
    <x v="0"/>
    <m/>
    <m/>
    <m/>
    <m/>
    <m/>
    <x v="72"/>
    <s v="19-19-1-CRFH-PE-0.88"/>
    <m/>
    <m/>
    <n v="0"/>
    <n v="0"/>
    <m/>
    <x v="31"/>
    <x v="29"/>
    <x v="11"/>
    <x v="1"/>
    <n v="880"/>
    <s v="NOS"/>
    <m/>
    <m/>
    <n v="1000"/>
    <m/>
    <n v="1000"/>
    <n v="0"/>
    <n v="0.48631491040000008"/>
    <n v="0.48631491040000008"/>
    <n v="0"/>
    <n v="1503.8033676542605"/>
    <n v="0.73132200000000003"/>
    <m/>
    <n v="15.867808"/>
    <n v="41.765000000000001"/>
    <n v="-0.24500708959999995"/>
    <m/>
  </r>
  <r>
    <n v="547"/>
    <s v="Hosur"/>
    <x v="23"/>
    <s v="Sri Balaji Gear"/>
    <x v="19"/>
    <n v="3572035"/>
    <s v="188595-3572035"/>
    <s v="TUB-S-AW-AUT-19.00X19.00X1.000X0.8900"/>
    <x v="7"/>
    <m/>
    <x v="0"/>
    <s v="CR"/>
    <m/>
    <m/>
    <m/>
    <m/>
    <x v="72"/>
    <s v="19-19-1-CRFH-PE-0.89"/>
    <n v="1"/>
    <s v="Hosur"/>
    <n v="0"/>
    <n v="0"/>
    <m/>
    <x v="31"/>
    <x v="29"/>
    <x v="11"/>
    <x v="1"/>
    <n v="890"/>
    <s v="NOS"/>
    <m/>
    <m/>
    <n v="500"/>
    <m/>
    <n v="0"/>
    <n v="500"/>
    <n v="0.24592060810000002"/>
    <n v="0"/>
    <n v="0.24592060810000002"/>
    <n v="2602.4659134697381"/>
    <n v="1.28"/>
    <m/>
    <n v="15.867808"/>
    <n v="41.765000000000001"/>
    <n v="-1.0340793919"/>
    <m/>
  </r>
  <r>
    <n v="548"/>
    <s v="Hosur"/>
    <x v="23"/>
    <s v="Sri Balaji Gear"/>
    <x v="19"/>
    <n v="3938684"/>
    <s v="188595-3938684"/>
    <s v="TUB-S-AW-AUT-19.00X19.00X1.000X0.9620"/>
    <x v="7"/>
    <m/>
    <x v="0"/>
    <s v="CR"/>
    <m/>
    <m/>
    <m/>
    <m/>
    <x v="72"/>
    <s v="19-19-1-CRFH-PE-0.962"/>
    <n v="1"/>
    <s v="Hosur"/>
    <n v="0"/>
    <n v="0"/>
    <m/>
    <x v="31"/>
    <x v="29"/>
    <x v="11"/>
    <x v="1"/>
    <n v="962"/>
    <s v="NOS"/>
    <m/>
    <m/>
    <n v="1000"/>
    <m/>
    <n v="0"/>
    <n v="1000"/>
    <n v="0.53163061796"/>
    <n v="0"/>
    <n v="0.53163061796"/>
    <n v="2491.2033943455986"/>
    <n v="1.3244"/>
    <m/>
    <n v="15.867808"/>
    <n v="41.765000000000001"/>
    <n v="-0.79276938204000003"/>
    <m/>
  </r>
  <r>
    <n v="513"/>
    <s v="Hosur"/>
    <x v="24"/>
    <s v="Sri Balaji Gear"/>
    <x v="19"/>
    <n v="4151427"/>
    <s v="188595-4151427"/>
    <s v="TUB-S-AW-AUT-19.00X19.00X1.000X0.963"/>
    <x v="7"/>
    <m/>
    <x v="0"/>
    <s v="CR"/>
    <m/>
    <m/>
    <m/>
    <m/>
    <x v="72"/>
    <s v="19-19-1-CRFH-PE-0.963"/>
    <n v="2"/>
    <s v="Hosur"/>
    <n v="0"/>
    <n v="0"/>
    <m/>
    <x v="31"/>
    <x v="29"/>
    <x v="11"/>
    <x v="1"/>
    <n v="963"/>
    <s v="NOS"/>
    <m/>
    <m/>
    <n v="12000"/>
    <m/>
    <n v="5000"/>
    <n v="7000"/>
    <n v="6.3861989824800016"/>
    <n v="2.6609162427000004"/>
    <n v="3.7252827397800012"/>
    <n v="2197.8763954124811"/>
    <n v="1.169673"/>
    <m/>
    <n v="15.867808"/>
    <n v="41.765000000000001"/>
    <n v="5.2165259824800021"/>
    <m/>
  </r>
  <r>
    <n v="516"/>
    <s v="Hosur"/>
    <x v="24"/>
    <s v="Sri Balaji Gear"/>
    <x v="19"/>
    <n v="4100796"/>
    <s v="188595-4100796"/>
    <s v="CUT-R-AW-AUT-19.00X19.00X1.000X1.007"/>
    <x v="7"/>
    <m/>
    <x v="0"/>
    <s v="CR"/>
    <m/>
    <m/>
    <m/>
    <m/>
    <x v="72"/>
    <s v="19-19-1-CRFH-PE-1.007"/>
    <n v="6"/>
    <s v="Hosur"/>
    <n v="0"/>
    <n v="0"/>
    <m/>
    <x v="31"/>
    <x v="29"/>
    <x v="11"/>
    <x v="1"/>
    <n v="1007"/>
    <s v="NOS"/>
    <m/>
    <m/>
    <n v="6000"/>
    <m/>
    <n v="3000"/>
    <n v="3000"/>
    <n v="3.3389939643600002"/>
    <n v="1.6694969821800001"/>
    <n v="1.6694969821800001"/>
    <n v="3564.1645738287712"/>
    <n v="1.9834540000000001"/>
    <m/>
    <n v="15.867808"/>
    <n v="41.765000000000001"/>
    <n v="1.3555399643600001"/>
    <m/>
  </r>
  <r>
    <n v="549"/>
    <s v="Hosur"/>
    <x v="23"/>
    <s v="Sri Balaji Gear"/>
    <x v="19"/>
    <n v="4100796"/>
    <s v="188595-4100796"/>
    <s v="CUT-R-AW-AUT-19.00X19.00X1.000X1.007"/>
    <x v="7"/>
    <m/>
    <x v="0"/>
    <s v="CR"/>
    <m/>
    <m/>
    <m/>
    <m/>
    <x v="72"/>
    <s v="19-19-1-CRFH-PE-1.007"/>
    <n v="6"/>
    <s v="Hosur"/>
    <n v="0"/>
    <n v="0"/>
    <m/>
    <x v="31"/>
    <x v="29"/>
    <x v="11"/>
    <x v="1"/>
    <n v="1007"/>
    <s v="NOS"/>
    <m/>
    <m/>
    <n v="500"/>
    <m/>
    <n v="3000"/>
    <n v="-2500"/>
    <n v="0.27824949703000007"/>
    <n v="1.6694969821800001"/>
    <n v="-1.3912474851500001"/>
    <n v="3564.1645738287707"/>
    <n v="1.9834540000000001"/>
    <m/>
    <n v="15.867808"/>
    <n v="41.765000000000001"/>
    <n v="-1.70520450297"/>
    <m/>
  </r>
  <r>
    <n v="661"/>
    <s v="Hosur"/>
    <x v="25"/>
    <s v="Sri Balaji Gear"/>
    <x v="19"/>
    <n v="4100796"/>
    <s v="188595-4100796"/>
    <s v="CUT-R-AW-AUT-19.00X19.00X1.000X1.0070"/>
    <x v="7"/>
    <m/>
    <x v="0"/>
    <m/>
    <m/>
    <m/>
    <m/>
    <m/>
    <x v="72"/>
    <s v="19-19-1-CRFH-PE-1.007"/>
    <m/>
    <m/>
    <n v="0"/>
    <n v="0"/>
    <m/>
    <x v="31"/>
    <x v="29"/>
    <x v="11"/>
    <x v="1"/>
    <n v="1007"/>
    <s v="NOS"/>
    <m/>
    <m/>
    <n v="500"/>
    <m/>
    <n v="3000"/>
    <n v="-2500"/>
    <n v="0.27824949703000007"/>
    <n v="1.6694969821800001"/>
    <n v="-1.3912474851500001"/>
    <n v="3564.1645738287707"/>
    <n v="1.9834540000000001"/>
    <m/>
    <n v="15.867808"/>
    <n v="41.765000000000001"/>
    <n v="-1.70520450297"/>
    <m/>
  </r>
  <r>
    <n v="517"/>
    <s v="Hosur"/>
    <x v="24"/>
    <s v="Sri Balaji Gear"/>
    <x v="19"/>
    <n v="3572038"/>
    <s v="188595-3572038"/>
    <s v="TUB-S-AW-AUT-19.00X19.00X1.000X1.2460"/>
    <x v="7"/>
    <m/>
    <x v="0"/>
    <s v="CR"/>
    <m/>
    <m/>
    <m/>
    <m/>
    <x v="72"/>
    <s v="19-19-1-CRFH-PE-1.246"/>
    <n v="5"/>
    <s v="Hosur"/>
    <n v="0"/>
    <n v="0"/>
    <m/>
    <x v="31"/>
    <x v="29"/>
    <x v="11"/>
    <x v="1"/>
    <n v="1246"/>
    <s v="NOS"/>
    <m/>
    <m/>
    <n v="6000"/>
    <m/>
    <n v="3000"/>
    <n v="3000"/>
    <n v="4.1314662160799998"/>
    <n v="2.0657331080399999"/>
    <n v="2.0657331080399999"/>
    <n v="1331.5708545766006"/>
    <n v="0.91688999999999998"/>
    <m/>
    <n v="15.867808"/>
    <n v="41.765000000000001"/>
    <n v="3.2145762160799998"/>
    <m/>
  </r>
  <r>
    <n v="550"/>
    <s v="Hosur"/>
    <x v="23"/>
    <s v="Sri Balaji Gear"/>
    <x v="19"/>
    <n v="3572038"/>
    <s v="188595-3572038"/>
    <s v="TUB-S-AW-AUT-19.00X19.00X1.000X1.2460"/>
    <x v="7"/>
    <m/>
    <x v="0"/>
    <s v="CR"/>
    <m/>
    <m/>
    <m/>
    <m/>
    <x v="72"/>
    <s v="19-19-1-CRFH-PE-1.246"/>
    <n v="5"/>
    <s v="Hosur"/>
    <n v="0"/>
    <n v="0"/>
    <m/>
    <x v="31"/>
    <x v="29"/>
    <x v="11"/>
    <x v="1"/>
    <n v="1246"/>
    <s v="NOS"/>
    <m/>
    <m/>
    <n v="500"/>
    <m/>
    <n v="3000"/>
    <n v="-2500"/>
    <n v="0.34428885133999992"/>
    <n v="2.0657331080399999"/>
    <n v="-1.7214442566999999"/>
    <n v="1331.5708545766008"/>
    <n v="0.91688999999999998"/>
    <m/>
    <n v="15.867808"/>
    <n v="41.765000000000001"/>
    <n v="-0.57260114866"/>
    <m/>
  </r>
  <r>
    <n v="638"/>
    <s v="Hosur"/>
    <x v="25"/>
    <s v="Sri Balaji Gear"/>
    <x v="19"/>
    <n v="3572038"/>
    <s v="188595-3572038"/>
    <s v="TUB-S-AW-AUT-19.00X19.00X1.000X1.2460"/>
    <x v="7"/>
    <m/>
    <x v="0"/>
    <m/>
    <m/>
    <m/>
    <m/>
    <m/>
    <x v="72"/>
    <s v="19-19-1-CRFH-PE-1.246"/>
    <m/>
    <m/>
    <n v="0"/>
    <n v="0"/>
    <m/>
    <x v="31"/>
    <x v="29"/>
    <x v="11"/>
    <x v="1"/>
    <n v="1246"/>
    <s v="NOS"/>
    <m/>
    <m/>
    <n v="500"/>
    <m/>
    <n v="3000"/>
    <n v="-2500"/>
    <n v="0.34428885133999992"/>
    <n v="2.0657331080399999"/>
    <n v="-1.7214442566999999"/>
    <n v="1331.5708545766008"/>
    <n v="0.91688999999999998"/>
    <m/>
    <n v="15.867808"/>
    <n v="41.765000000000001"/>
    <n v="-0.57260114866"/>
    <m/>
  </r>
  <r>
    <n v="515"/>
    <s v="Hosur"/>
    <x v="24"/>
    <s v="Sri Balaji Gear"/>
    <x v="19"/>
    <n v="3572039"/>
    <s v="188595-3572039"/>
    <s v="TUB-S-AW-AUT-19.00X19.00X1.000X1.304"/>
    <x v="7"/>
    <m/>
    <x v="0"/>
    <s v="CR"/>
    <m/>
    <m/>
    <m/>
    <m/>
    <x v="72"/>
    <s v="19-19-1-CRFH-PE-1.304"/>
    <n v="3"/>
    <s v="Hosur"/>
    <n v="0"/>
    <n v="0"/>
    <m/>
    <x v="31"/>
    <x v="29"/>
    <x v="11"/>
    <x v="1"/>
    <n v="1304"/>
    <s v="NOS"/>
    <m/>
    <m/>
    <n v="12000"/>
    <m/>
    <n v="5000"/>
    <n v="7000"/>
    <n v="8.6475633158400012"/>
    <n v="3.6031513816000005"/>
    <n v="5.0444119342400011"/>
    <n v="2089.959372358112"/>
    <n v="1.5060880000000001"/>
    <m/>
    <n v="15.867808"/>
    <n v="41.765000000000001"/>
    <n v="7.1414753158400011"/>
    <m/>
  </r>
  <r>
    <n v="551"/>
    <s v="Hosur"/>
    <x v="23"/>
    <s v="Sri Balaji Gear"/>
    <x v="19"/>
    <n v="3572039"/>
    <s v="188595-3572039"/>
    <s v="TUB-S-AW-AUT-19.00X19.00X1.000X1.3040"/>
    <x v="7"/>
    <m/>
    <x v="0"/>
    <s v="CR"/>
    <m/>
    <m/>
    <m/>
    <m/>
    <x v="72"/>
    <s v="19-19-1-CRFH-PE-1.304"/>
    <n v="3"/>
    <s v="Hosur"/>
    <n v="0"/>
    <n v="0"/>
    <m/>
    <x v="31"/>
    <x v="29"/>
    <x v="11"/>
    <x v="1"/>
    <n v="1304"/>
    <s v="NOS"/>
    <m/>
    <m/>
    <n v="500"/>
    <m/>
    <n v="5000"/>
    <n v="-4500"/>
    <n v="0.36031513816000005"/>
    <n v="3.6031513816000005"/>
    <n v="-3.2428362434400002"/>
    <n v="2089.959372358112"/>
    <n v="1.5060880000000001"/>
    <m/>
    <n v="15.867808"/>
    <n v="41.765000000000001"/>
    <n v="-1.14577286184"/>
    <m/>
  </r>
  <r>
    <n v="519"/>
    <s v="Hosur"/>
    <x v="24"/>
    <s v="Sri Balaji Gear"/>
    <x v="19"/>
    <n v="4151430"/>
    <s v="188595-4151430"/>
    <s v="TUB-S-AW-AUT-25.00X25.00X1.200X0.640"/>
    <x v="7"/>
    <m/>
    <x v="0"/>
    <m/>
    <m/>
    <m/>
    <m/>
    <m/>
    <x v="73"/>
    <s v="25-25-1.2-CRFH-PE-0.64"/>
    <n v="2"/>
    <s v="Hosur"/>
    <n v="2.5459999999999998"/>
    <n v="0"/>
    <m/>
    <x v="10"/>
    <x v="13"/>
    <x v="3"/>
    <x v="2"/>
    <n v="640"/>
    <s v="NOS"/>
    <m/>
    <m/>
    <n v="12000"/>
    <m/>
    <n v="9000"/>
    <n v="3000"/>
    <n v="6.9398963711999997"/>
    <n v="5.2049222783999998"/>
    <n v="1.7349740927999999"/>
    <n v="1047.0623207221645"/>
    <n v="0.60554200000000002"/>
    <m/>
    <n v="2.5459999999999998"/>
    <n v="25.728999999999999"/>
    <n v="6.3343543711999999"/>
    <m/>
  </r>
  <r>
    <n v="552"/>
    <s v="Hosur"/>
    <x v="23"/>
    <s v="Sri Balaji Gear"/>
    <x v="19"/>
    <n v="3572043"/>
    <s v="188595-3572043"/>
    <s v="TUB-S-AW-AUT-25.00X25.00X1.200X0.6420"/>
    <x v="7"/>
    <m/>
    <x v="0"/>
    <m/>
    <m/>
    <m/>
    <m/>
    <m/>
    <x v="73"/>
    <s v="25-25-1.2-CRFH-PE-0.642"/>
    <n v="1"/>
    <s v="Hosur"/>
    <n v="2.5459999999999998"/>
    <n v="0"/>
    <m/>
    <x v="10"/>
    <x v="13"/>
    <x v="3"/>
    <x v="2"/>
    <n v="642"/>
    <s v="NOS"/>
    <m/>
    <m/>
    <n v="1000"/>
    <m/>
    <n v="0"/>
    <n v="1000"/>
    <n v="0.58013196228000008"/>
    <n v="0"/>
    <n v="0.58013196228000008"/>
    <n v="826.50160855743286"/>
    <n v="0.47948000000000002"/>
    <m/>
    <n v="2.5459999999999998"/>
    <n v="25.728999999999999"/>
    <n v="0.10065196228000006"/>
    <m/>
  </r>
  <r>
    <n v="650"/>
    <s v="Hosur"/>
    <x v="25"/>
    <s v="Sri Balaji Gear"/>
    <x v="19"/>
    <n v="3230482"/>
    <s v="188595-3230482"/>
    <s v="TUB-S-AW-AUT-25.00X25.00X1.200X0.7870"/>
    <x v="7"/>
    <m/>
    <x v="0"/>
    <m/>
    <m/>
    <m/>
    <m/>
    <m/>
    <x v="73"/>
    <s v="25-25-1.2-CRFH-PE-0.787"/>
    <m/>
    <m/>
    <n v="2.5459999999999998"/>
    <n v="0"/>
    <m/>
    <x v="10"/>
    <x v="13"/>
    <x v="3"/>
    <x v="2"/>
    <n v="787"/>
    <s v="NOS"/>
    <m/>
    <m/>
    <n v="1000"/>
    <m/>
    <n v="1000"/>
    <n v="0"/>
    <n v="0.71115865158000002"/>
    <n v="0.71115865158000002"/>
    <n v="0"/>
    <n v="725.75648043274839"/>
    <n v="0.51612800000000003"/>
    <m/>
    <n v="2.5459999999999998"/>
    <n v="25.728999999999999"/>
    <n v="0.19503065157999999"/>
    <m/>
  </r>
  <r>
    <n v="649"/>
    <s v="Hosur"/>
    <x v="25"/>
    <s v="Sri Balaji Gear"/>
    <x v="19"/>
    <n v="3935311"/>
    <s v="188595-3935311"/>
    <s v="CUT-S-AW-AUT-25.00X25.00X1.200X1.2980"/>
    <x v="7"/>
    <m/>
    <x v="0"/>
    <m/>
    <m/>
    <m/>
    <m/>
    <m/>
    <x v="73"/>
    <s v="25-25-1.2-CRFH-PE-1.298"/>
    <m/>
    <m/>
    <n v="2.5459999999999998"/>
    <n v="0"/>
    <m/>
    <x v="10"/>
    <x v="13"/>
    <x v="3"/>
    <x v="2"/>
    <n v="1298"/>
    <s v="NOS"/>
    <m/>
    <m/>
    <n v="500"/>
    <m/>
    <n v="500"/>
    <n v="0"/>
    <n v="0.58645738865999997"/>
    <n v="0.58645738865999997"/>
    <n v="0"/>
    <n v="659.45285621461232"/>
    <n v="0.773482"/>
    <m/>
    <n v="2.5459999999999998"/>
    <n v="25.728999999999999"/>
    <n v="-0.18702461134000004"/>
    <m/>
  </r>
  <r>
    <n v="553"/>
    <s v="Hosur"/>
    <x v="23"/>
    <s v="Sri Balaji Gear"/>
    <x v="19"/>
    <n v="3572045"/>
    <s v="188595-3572045"/>
    <s v="TUB-S-AW-AUT-30.00X30.00X1.200X0.1400"/>
    <x v="7"/>
    <m/>
    <x v="0"/>
    <m/>
    <m/>
    <m/>
    <m/>
    <m/>
    <x v="74"/>
    <s v="30-30-1.2-CRFH-PE-0.14"/>
    <s v="#REF!"/>
    <s v="Hosur"/>
    <n v="0"/>
    <n v="0"/>
    <m/>
    <x v="14"/>
    <x v="27"/>
    <x v="1"/>
    <x v="2"/>
    <n v="140"/>
    <s v="NOS"/>
    <m/>
    <m/>
    <n v="1000"/>
    <m/>
    <n v="0"/>
    <n v="1000"/>
    <n v="0.15280408079999996"/>
    <n v="0"/>
    <n v="0.15280408079999996"/>
    <n v="582.44517773376128"/>
    <n v="8.8999999999999996E-2"/>
    <m/>
    <n v="0"/>
    <n v="22.942"/>
    <n v="6.3804080799999968E-2"/>
    <m/>
  </r>
  <r>
    <n v="521"/>
    <s v="Hosur"/>
    <x v="24"/>
    <s v="Sri Balaji Gear"/>
    <x v="19"/>
    <n v="4151424"/>
    <s v="188595-4151424"/>
    <s v="TUB-S-AW-AUT-30.00X30.00X1.200X0.190"/>
    <x v="7"/>
    <m/>
    <x v="0"/>
    <m/>
    <m/>
    <m/>
    <m/>
    <m/>
    <x v="74"/>
    <s v="30-30-1.2-CRFH-PE-0.19"/>
    <n v="2"/>
    <s v="Hosur"/>
    <n v="0"/>
    <n v="0"/>
    <m/>
    <x v="14"/>
    <x v="27"/>
    <x v="1"/>
    <x v="2"/>
    <n v="190"/>
    <s v="NOS"/>
    <m/>
    <m/>
    <n v="12000"/>
    <m/>
    <n v="9000"/>
    <n v="3000"/>
    <n v="2.4885236015999999"/>
    <n v="1.8663927012000001"/>
    <n v="0.62213090039999974"/>
    <n v="1007.2719416397598"/>
    <n v="0.20888499999999999"/>
    <m/>
    <n v="0"/>
    <n v="22.942"/>
    <n v="2.2796386015999999"/>
    <m/>
  </r>
  <r>
    <n v="653"/>
    <s v="Hosur"/>
    <x v="25"/>
    <s v="Sri Balaji Gear"/>
    <x v="19"/>
    <n v="3230495"/>
    <s v="188595-3230495"/>
    <s v="TUB-S-AW-AUT-30.00X30.00X1.200X0.2200"/>
    <x v="7"/>
    <m/>
    <x v="0"/>
    <m/>
    <m/>
    <m/>
    <m/>
    <m/>
    <x v="74"/>
    <s v="30-30-1.2-CRFH-PE-0.22"/>
    <m/>
    <m/>
    <n v="0"/>
    <n v="0"/>
    <m/>
    <x v="14"/>
    <x v="27"/>
    <x v="1"/>
    <x v="2"/>
    <n v="220"/>
    <s v="NOS"/>
    <m/>
    <m/>
    <n v="1000"/>
    <m/>
    <n v="1000"/>
    <n v="0"/>
    <n v="0.2401206984"/>
    <n v="0.2401206984"/>
    <n v="0"/>
    <n v="1.3035111178903684"/>
    <n v="3.1300000000000002E-4"/>
    <m/>
    <n v="0"/>
    <n v="22.942"/>
    <n v="0.23980769839999999"/>
    <m/>
  </r>
  <r>
    <n v="564"/>
    <s v="Hosur"/>
    <x v="23"/>
    <s v="Sri Balaji Gear"/>
    <x v="19"/>
    <n v="3938688"/>
    <s v="188595-3938688"/>
    <s v="TUB-S-AW-AUT-40.00X20.00X1.200X0.095"/>
    <x v="7"/>
    <m/>
    <x v="0"/>
    <s v="CR"/>
    <m/>
    <m/>
    <m/>
    <m/>
    <x v="75"/>
    <s v="40-20-1.2-CRFH-PE-0.095"/>
    <n v="1"/>
    <s v="Hosur"/>
    <n v="8.8029000000000011"/>
    <n v="0"/>
    <m/>
    <x v="14"/>
    <x v="15"/>
    <x v="4"/>
    <x v="2"/>
    <n v="95"/>
    <s v="NOS"/>
    <m/>
    <m/>
    <n v="1000"/>
    <m/>
    <n v="0"/>
    <n v="1000"/>
    <n v="0.1036884834"/>
    <n v="0"/>
    <n v="0.1036884834"/>
    <n v="216.05099491695333"/>
    <n v="2.2401999999999998E-2"/>
    <m/>
    <n v="30.749380999999996"/>
    <n v="129.15199999999999"/>
    <n v="8.1286483399999998E-2"/>
    <m/>
  </r>
  <r>
    <n v="523"/>
    <s v="Hosur"/>
    <x v="24"/>
    <s v="Sri Balaji Gear"/>
    <x v="19"/>
    <n v="3572047"/>
    <s v="188595-3572047"/>
    <s v="TUB-R-AW-RHS-40.00X20.00X1.200X0.110"/>
    <x v="7"/>
    <m/>
    <x v="0"/>
    <s v="CR"/>
    <m/>
    <m/>
    <m/>
    <m/>
    <x v="75"/>
    <s v="40-20-1.2-CRFH-PE-0.11"/>
    <n v="3"/>
    <s v="Hosur"/>
    <n v="8.8029000000000011"/>
    <n v="0"/>
    <m/>
    <x v="14"/>
    <x v="15"/>
    <x v="4"/>
    <x v="2"/>
    <n v="110"/>
    <s v="NOS"/>
    <m/>
    <m/>
    <n v="12000"/>
    <m/>
    <n v="5000"/>
    <n v="7000"/>
    <n v="1.4407241904000001"/>
    <n v="0.60030174599999997"/>
    <n v="0.84042244440000013"/>
    <n v="4313.3724285386297"/>
    <n v="0.51786500000000002"/>
    <m/>
    <n v="30.749380999999996"/>
    <n v="129.15199999999999"/>
    <n v="0.92285919040000008"/>
    <m/>
  </r>
  <r>
    <n v="555"/>
    <s v="Hosur"/>
    <x v="23"/>
    <s v="Sri Balaji Gear"/>
    <x v="19"/>
    <n v="3572047"/>
    <s v="188595-3572047"/>
    <s v="TUB-R-AW-AUT-40.00X20.00X1.200X0.1100"/>
    <x v="7"/>
    <m/>
    <x v="0"/>
    <s v="CR"/>
    <m/>
    <m/>
    <m/>
    <m/>
    <x v="75"/>
    <s v="40-20-1.2-CRFH-PE-0.11"/>
    <n v="3"/>
    <s v="Hosur"/>
    <n v="8.8029000000000011"/>
    <n v="0"/>
    <m/>
    <x v="14"/>
    <x v="15"/>
    <x v="4"/>
    <x v="2"/>
    <n v="110"/>
    <s v="NOS"/>
    <m/>
    <m/>
    <n v="1000"/>
    <m/>
    <n v="5000"/>
    <n v="-4000"/>
    <n v="0.1200603492"/>
    <n v="0.60030174599999997"/>
    <n v="-0.4802413968"/>
    <n v="4313.3724285386306"/>
    <n v="0.51786500000000002"/>
    <m/>
    <n v="30.749380999999996"/>
    <n v="129.15199999999999"/>
    <n v="-0.39780465080000005"/>
    <m/>
  </r>
  <r>
    <n v="637"/>
    <s v="Hosur"/>
    <x v="25"/>
    <s v="Sri Balaji Gear"/>
    <x v="19"/>
    <n v="3233559"/>
    <s v="188595-3233559"/>
    <s v="TUB-R-AW-AUT-40.00X20.00X1.210X0.1200"/>
    <x v="7"/>
    <m/>
    <x v="0"/>
    <m/>
    <m/>
    <m/>
    <m/>
    <m/>
    <x v="75"/>
    <s v="40-20-1.2-CRFH-PE-0.12"/>
    <m/>
    <m/>
    <n v="8.8029000000000011"/>
    <n v="0"/>
    <m/>
    <x v="14"/>
    <x v="15"/>
    <x v="4"/>
    <x v="2"/>
    <n v="120"/>
    <s v="NOS"/>
    <m/>
    <m/>
    <n v="1000"/>
    <m/>
    <n v="6000"/>
    <n v="-5000"/>
    <n v="0.13097492639999997"/>
    <n v="0.78584955839999981"/>
    <n v="-0.65487463199999985"/>
    <n v="8517.6455575393247"/>
    <n v="1.1155979999999999"/>
    <m/>
    <n v="30.749380999999996"/>
    <n v="129.15199999999999"/>
    <n v="-0.9846230735999999"/>
    <m/>
  </r>
  <r>
    <n v="522"/>
    <s v="Hosur"/>
    <x v="24"/>
    <s v="Sri Balaji Gear"/>
    <x v="19"/>
    <n v="3233559"/>
    <s v="188595-3233559"/>
    <s v="TUB-R-AW-AUT-40.00X20.00X1.210X0.1200"/>
    <x v="7"/>
    <m/>
    <x v="0"/>
    <s v="CR"/>
    <m/>
    <m/>
    <m/>
    <m/>
    <x v="75"/>
    <s v="40-20-1.2-CRFH-PE-0.12"/>
    <n v="4"/>
    <s v="Hosur"/>
    <n v="8.8029000000000011"/>
    <n v="0"/>
    <m/>
    <x v="14"/>
    <x v="15"/>
    <x v="4"/>
    <x v="2"/>
    <n v="120"/>
    <s v="NOS"/>
    <m/>
    <m/>
    <n v="12000"/>
    <m/>
    <n v="6000"/>
    <n v="6000"/>
    <n v="1.5716991167999996"/>
    <n v="0.78584955839999981"/>
    <n v="0.78584955839999981"/>
    <n v="8517.6455575393247"/>
    <n v="1.1155979999999999"/>
    <m/>
    <n v="30.749380999999996"/>
    <n v="129.15199999999999"/>
    <n v="0.45610111679999976"/>
    <m/>
  </r>
  <r>
    <n v="556"/>
    <s v="Hosur"/>
    <x v="23"/>
    <s v="Sri Balaji Gear"/>
    <x v="19"/>
    <n v="3233559"/>
    <s v="188595-3233559"/>
    <s v="TUB-R-AW-AUT-40.00X20.00X1.210X0.1200"/>
    <x v="7"/>
    <m/>
    <x v="0"/>
    <s v="CR"/>
    <m/>
    <m/>
    <m/>
    <m/>
    <x v="75"/>
    <s v="40-20-1.2-CRFH-PE-0.12"/>
    <n v="4"/>
    <s v="Hosur"/>
    <n v="8.8029000000000011"/>
    <n v="0"/>
    <m/>
    <x v="14"/>
    <x v="15"/>
    <x v="4"/>
    <x v="2"/>
    <n v="120"/>
    <s v="NOS"/>
    <m/>
    <m/>
    <n v="1000"/>
    <m/>
    <n v="6000"/>
    <n v="-5000"/>
    <n v="0.13097492639999997"/>
    <n v="0.78584955839999981"/>
    <n v="-0.65487463199999985"/>
    <n v="8517.6455575393247"/>
    <n v="1.1155979999999999"/>
    <m/>
    <n v="30.749380999999996"/>
    <n v="129.15199999999999"/>
    <n v="-0.9846230735999999"/>
    <m/>
  </r>
  <r>
    <n v="636"/>
    <s v="Hosur"/>
    <x v="25"/>
    <s v="Sri Balaji Gear"/>
    <x v="19"/>
    <n v="3584171"/>
    <s v="188595-3584171"/>
    <s v="TUB-R-AW-RHS-40.00X20.00X1.200X0.1300"/>
    <x v="7"/>
    <m/>
    <x v="0"/>
    <m/>
    <m/>
    <m/>
    <m/>
    <m/>
    <x v="75"/>
    <s v="40-20-1.2-CRFH-PE-0.13"/>
    <m/>
    <m/>
    <n v="8.8029000000000011"/>
    <n v="0"/>
    <m/>
    <x v="14"/>
    <x v="15"/>
    <x v="4"/>
    <x v="2"/>
    <n v="130"/>
    <s v="NOS"/>
    <m/>
    <m/>
    <n v="1000"/>
    <m/>
    <n v="1000"/>
    <n v="0"/>
    <n v="0.14188950359999997"/>
    <n v="0.14188950359999997"/>
    <n v="0"/>
    <n v="35.238688367643299"/>
    <n v="5.0000000000000001E-3"/>
    <m/>
    <n v="30.749380999999996"/>
    <n v="129.15199999999999"/>
    <n v="0.13688950359999996"/>
    <m/>
  </r>
  <r>
    <n v="557"/>
    <s v="Hosur"/>
    <x v="23"/>
    <s v="Sri Balaji Gear"/>
    <x v="19"/>
    <n v="3572048"/>
    <s v="188595-3572048"/>
    <s v="TUB-R-AW-AUT-40.00X20.00X1.200X0.1400"/>
    <x v="7"/>
    <m/>
    <x v="0"/>
    <s v="CR"/>
    <m/>
    <m/>
    <m/>
    <m/>
    <x v="75"/>
    <s v="40-20-1.2-CRFH-PE-0.14"/>
    <n v="1"/>
    <s v="Hosur"/>
    <n v="8.8029000000000011"/>
    <n v="0"/>
    <m/>
    <x v="14"/>
    <x v="15"/>
    <x v="4"/>
    <x v="2"/>
    <n v="140"/>
    <s v="NOS"/>
    <m/>
    <m/>
    <n v="1000"/>
    <m/>
    <n v="0"/>
    <n v="1000"/>
    <n v="0.15280408079999996"/>
    <n v="0"/>
    <n v="0.15280408079999996"/>
    <n v="0"/>
    <n v="0"/>
    <m/>
    <n v="30.749380999999996"/>
    <n v="129.15199999999999"/>
    <n v="0.15280408079999996"/>
    <m/>
  </r>
  <r>
    <n v="558"/>
    <s v="Hosur"/>
    <x v="23"/>
    <s v="Sri Balaji Gear"/>
    <x v="19"/>
    <n v="3572050"/>
    <s v="188595-3572050"/>
    <s v="TUB-R-AW-AUT-40.00X20.00X1.200X0.7100"/>
    <x v="7"/>
    <m/>
    <x v="0"/>
    <s v="CR"/>
    <m/>
    <m/>
    <m/>
    <m/>
    <x v="75"/>
    <s v="40-20-1.2-CRFH-PE-0.71"/>
    <n v="1"/>
    <s v="Hosur"/>
    <n v="8.8029000000000011"/>
    <n v="0"/>
    <m/>
    <x v="14"/>
    <x v="15"/>
    <x v="4"/>
    <x v="2"/>
    <n v="710"/>
    <s v="NOS"/>
    <m/>
    <m/>
    <n v="1000"/>
    <m/>
    <n v="0"/>
    <n v="1000"/>
    <n v="0.77493498119999993"/>
    <n v="0"/>
    <n v="0.77493498119999993"/>
    <n v="1700.7878492709863"/>
    <n v="1.3180000000000001"/>
    <m/>
    <n v="30.749380999999996"/>
    <n v="129.15199999999999"/>
    <n v="-0.54306501880000013"/>
    <m/>
  </r>
  <r>
    <n v="524"/>
    <s v="Hosur"/>
    <x v="24"/>
    <s v="Sri Balaji Gear"/>
    <x v="19"/>
    <n v="4151472"/>
    <s v="188595-4151472"/>
    <s v="TUB-R-AW-AUT-40.00X20.00X1.210X0.755"/>
    <x v="7"/>
    <m/>
    <x v="0"/>
    <s v="CR"/>
    <m/>
    <m/>
    <m/>
    <m/>
    <x v="75"/>
    <s v="40-20-1.2-CRFH-PE-0.755"/>
    <n v="2"/>
    <s v="Hosur"/>
    <n v="8.8029000000000011"/>
    <n v="0"/>
    <m/>
    <x v="14"/>
    <x v="15"/>
    <x v="4"/>
    <x v="2"/>
    <n v="755"/>
    <s v="NOS"/>
    <m/>
    <m/>
    <n v="12000"/>
    <m/>
    <n v="5000"/>
    <n v="7000"/>
    <n v="9.8886069431999992"/>
    <n v="4.1202528929999991"/>
    <n v="5.7683540502000001"/>
    <n v="1008.7790987445101"/>
    <n v="0.83128500000000005"/>
    <m/>
    <n v="30.749380999999996"/>
    <n v="129.15199999999999"/>
    <n v="9.0573219431999998"/>
    <m/>
  </r>
  <r>
    <n v="635"/>
    <s v="Hosur"/>
    <x v="25"/>
    <s v="Sri Balaji Gear"/>
    <x v="19"/>
    <n v="3233557"/>
    <s v="188595-3233557"/>
    <s v="TUB-R-AW-AUT-40.00X20.00X1.210X0.8000"/>
    <x v="7"/>
    <m/>
    <x v="0"/>
    <m/>
    <m/>
    <m/>
    <m/>
    <m/>
    <x v="75"/>
    <s v="40-20-1.2-CRFH-PE-0.8"/>
    <m/>
    <m/>
    <n v="8.8029000000000011"/>
    <n v="0"/>
    <m/>
    <x v="14"/>
    <x v="15"/>
    <x v="4"/>
    <x v="2"/>
    <n v="800"/>
    <s v="NOS"/>
    <m/>
    <m/>
    <n v="1000"/>
    <m/>
    <n v="1000"/>
    <n v="0"/>
    <n v="0.87316617600000002"/>
    <n v="0.87316617600000002"/>
    <n v="0"/>
    <n v="985.53290731225025"/>
    <n v="0.86053400000000002"/>
    <m/>
    <n v="30.749380999999996"/>
    <n v="129.15199999999999"/>
    <n v="1.2632175999999995E-2"/>
    <m/>
  </r>
  <r>
    <n v="525"/>
    <s v="Hosur"/>
    <x v="24"/>
    <s v="Sri Balaji Gear"/>
    <x v="19"/>
    <n v="3572051"/>
    <s v="188595-3572051"/>
    <s v="TUB-R-AW-AUT-40.00X20.00X1.210X0.860"/>
    <x v="7"/>
    <m/>
    <x v="0"/>
    <s v="CR"/>
    <m/>
    <m/>
    <m/>
    <m/>
    <x v="75"/>
    <s v="40-20-1.2-CRFH-PE-0.86"/>
    <n v="5"/>
    <s v="Hosur"/>
    <n v="8.8029000000000011"/>
    <n v="0"/>
    <m/>
    <x v="14"/>
    <x v="15"/>
    <x v="4"/>
    <x v="2"/>
    <n v="860"/>
    <s v="NOS"/>
    <m/>
    <m/>
    <n v="24000"/>
    <m/>
    <n v="12000"/>
    <n v="12000"/>
    <n v="22.5276873408"/>
    <n v="11.2638436704"/>
    <n v="11.2638436704"/>
    <n v="3745.9184657257974"/>
    <n v="3.5161199999999999"/>
    <m/>
    <n v="30.749380999999996"/>
    <n v="129.15199999999999"/>
    <n v="19.011567340799999"/>
    <m/>
  </r>
  <r>
    <n v="559"/>
    <s v="Hosur"/>
    <x v="23"/>
    <s v="Sri Balaji Gear"/>
    <x v="19"/>
    <n v="3572051"/>
    <s v="188595-3572051"/>
    <s v="TUB-R-AW-AUT-40.00X20.00X1.200X0.8600"/>
    <x v="7"/>
    <m/>
    <x v="0"/>
    <s v="CR"/>
    <m/>
    <m/>
    <m/>
    <m/>
    <x v="75"/>
    <s v="40-20-1.2-CRFH-PE-0.86"/>
    <n v="5"/>
    <s v="Hosur"/>
    <n v="8.8029000000000011"/>
    <n v="0"/>
    <m/>
    <x v="14"/>
    <x v="15"/>
    <x v="4"/>
    <x v="2"/>
    <n v="860"/>
    <s v="NOS"/>
    <m/>
    <m/>
    <n v="2000"/>
    <m/>
    <n v="12000"/>
    <n v="-10000"/>
    <n v="1.8773072784"/>
    <n v="11.2638436704"/>
    <n v="-9.386536392"/>
    <n v="3745.9184657257974"/>
    <n v="3.5161199999999999"/>
    <m/>
    <n v="30.749380999999996"/>
    <n v="129.15199999999999"/>
    <n v="-1.6388127215999999"/>
    <m/>
  </r>
  <r>
    <n v="658"/>
    <s v="Hosur"/>
    <x v="25"/>
    <s v="Sri Balaji Gear"/>
    <x v="19"/>
    <n v="3572051"/>
    <s v="188595-3572051"/>
    <s v="TUB-R-AW-AUT-40.00X20.00X1.200X0.8600"/>
    <x v="7"/>
    <m/>
    <x v="0"/>
    <m/>
    <m/>
    <m/>
    <m/>
    <m/>
    <x v="75"/>
    <s v="40-20-1.2-CRFH-PE-0.86"/>
    <m/>
    <m/>
    <n v="8.8029000000000011"/>
    <n v="0"/>
    <m/>
    <x v="14"/>
    <x v="15"/>
    <x v="4"/>
    <x v="2"/>
    <n v="860"/>
    <s v="NOS"/>
    <m/>
    <m/>
    <n v="2000"/>
    <m/>
    <n v="12000"/>
    <n v="-10000"/>
    <n v="1.8773072784"/>
    <n v="11.2638436704"/>
    <n v="-9.386536392"/>
    <n v="3745.9184657257974"/>
    <n v="3.5161199999999999"/>
    <m/>
    <n v="30.749380999999996"/>
    <n v="129.15199999999999"/>
    <n v="-1.6388127215999999"/>
    <m/>
  </r>
  <r>
    <n v="526"/>
    <s v="Hosur"/>
    <x v="24"/>
    <s v="Sri Balaji Gear"/>
    <x v="19"/>
    <n v="3233555"/>
    <s v="188595-3233555"/>
    <s v="TUB-R-AW-AUT-40.00X20.00X1.210X1.1200"/>
    <x v="7"/>
    <m/>
    <x v="0"/>
    <s v="CR"/>
    <m/>
    <m/>
    <m/>
    <m/>
    <x v="75"/>
    <s v="40-20-1.2-CRFH-PE-1.12"/>
    <n v="5"/>
    <s v="Hosur"/>
    <n v="8.8029000000000011"/>
    <n v="0"/>
    <m/>
    <x v="14"/>
    <x v="15"/>
    <x v="4"/>
    <x v="2"/>
    <n v="1120"/>
    <s v="NOS"/>
    <m/>
    <m/>
    <n v="24000"/>
    <m/>
    <n v="12000"/>
    <n v="12000"/>
    <n v="29.338383513599993"/>
    <n v="14.669191756799997"/>
    <n v="14.669191756799997"/>
    <n v="2437.4332678162355"/>
    <n v="2.9795980000000002"/>
    <m/>
    <n v="30.749380999999996"/>
    <n v="129.15199999999999"/>
    <n v="26.358785513599994"/>
    <m/>
  </r>
  <r>
    <n v="560"/>
    <s v="Hosur"/>
    <x v="23"/>
    <s v="Sri Balaji Gear"/>
    <x v="19"/>
    <n v="3233555"/>
    <s v="188595-3233555"/>
    <s v="TUB-R-AW-AUT-40.00X20.00X1.210X1.1200"/>
    <x v="7"/>
    <m/>
    <x v="0"/>
    <s v="CR"/>
    <m/>
    <m/>
    <m/>
    <m/>
    <x v="75"/>
    <s v="40-20-1.2-CRFH-PE-1.12"/>
    <n v="5"/>
    <s v="Hosur"/>
    <n v="8.8029000000000011"/>
    <n v="0"/>
    <m/>
    <x v="14"/>
    <x v="15"/>
    <x v="4"/>
    <x v="2"/>
    <n v="1120"/>
    <s v="NOS"/>
    <m/>
    <m/>
    <n v="2000"/>
    <m/>
    <n v="12000"/>
    <n v="-10000"/>
    <n v="2.4448652927999994"/>
    <n v="14.669191756799997"/>
    <n v="-12.224326463999997"/>
    <n v="2437.4332678162355"/>
    <n v="2.9795980000000002"/>
    <m/>
    <n v="30.749380999999996"/>
    <n v="129.15199999999999"/>
    <n v="-0.53473270720000077"/>
    <m/>
  </r>
  <r>
    <n v="634"/>
    <s v="Hosur"/>
    <x v="25"/>
    <s v="Sri Balaji Gear"/>
    <x v="19"/>
    <n v="3233555"/>
    <s v="188595-3233555"/>
    <s v="TUB-R-AW-AUT-40.00X20.00X1.210X1.1200"/>
    <x v="7"/>
    <m/>
    <x v="0"/>
    <m/>
    <m/>
    <m/>
    <m/>
    <m/>
    <x v="75"/>
    <s v="40-20-1.2-CRFH-PE-1.12"/>
    <m/>
    <m/>
    <n v="8.8029000000000011"/>
    <n v="0"/>
    <m/>
    <x v="14"/>
    <x v="15"/>
    <x v="4"/>
    <x v="2"/>
    <n v="1120"/>
    <s v="NOS"/>
    <m/>
    <m/>
    <n v="2000"/>
    <m/>
    <n v="12000"/>
    <n v="-10000"/>
    <n v="2.4448652927999994"/>
    <n v="14.669191756799997"/>
    <n v="-12.224326463999997"/>
    <n v="2437.4332678162355"/>
    <n v="2.9795980000000002"/>
    <m/>
    <n v="30.749380999999996"/>
    <n v="129.15199999999999"/>
    <n v="-0.53473270720000077"/>
    <m/>
  </r>
  <r>
    <n v="527"/>
    <s v="Hosur"/>
    <x v="24"/>
    <s v="Sri Balaji Gear"/>
    <x v="19"/>
    <n v="3233554"/>
    <s v="188595-3233554"/>
    <s v="TUB-R-AW-AUT-40.00X20.00X1.210X1.2460"/>
    <x v="7"/>
    <m/>
    <x v="0"/>
    <s v="CR"/>
    <m/>
    <m/>
    <m/>
    <m/>
    <x v="75"/>
    <s v="40-20-1.2-CRFH-PE-1.246"/>
    <n v="5"/>
    <s v="Hosur"/>
    <n v="8.8029000000000011"/>
    <n v="0"/>
    <m/>
    <x v="14"/>
    <x v="15"/>
    <x v="4"/>
    <x v="2"/>
    <n v="1246"/>
    <s v="NOS"/>
    <m/>
    <m/>
    <n v="6000"/>
    <m/>
    <n v="3000"/>
    <n v="3000"/>
    <n v="8.1597379147199991"/>
    <n v="4.0798689573599995"/>
    <n v="4.0798689573599995"/>
    <n v="1984.3299097622564"/>
    <n v="2.6986019999999997"/>
    <m/>
    <n v="30.749380999999996"/>
    <n v="129.15199999999999"/>
    <n v="5.4611359147199998"/>
    <m/>
  </r>
  <r>
    <n v="561"/>
    <s v="Hosur"/>
    <x v="23"/>
    <s v="Sri Balaji Gear"/>
    <x v="19"/>
    <n v="3233554"/>
    <s v="188595-3233554"/>
    <s v="TUB-R-AW-AUT-40.00X20.00X1.210X1.2460"/>
    <x v="7"/>
    <m/>
    <x v="0"/>
    <s v="CR"/>
    <m/>
    <m/>
    <m/>
    <m/>
    <x v="75"/>
    <s v="40-20-1.2-CRFH-PE-1.246"/>
    <n v="5"/>
    <s v="Hosur"/>
    <n v="8.8029000000000011"/>
    <n v="0"/>
    <m/>
    <x v="14"/>
    <x v="15"/>
    <x v="4"/>
    <x v="2"/>
    <n v="1246"/>
    <s v="NOS"/>
    <m/>
    <m/>
    <n v="500"/>
    <m/>
    <n v="3000"/>
    <n v="-2500"/>
    <n v="0.67997815955999996"/>
    <n v="4.0798689573599995"/>
    <n v="-3.3998907977999995"/>
    <n v="1984.3299097622564"/>
    <n v="2.6986019999999997"/>
    <m/>
    <n v="30.749380999999996"/>
    <n v="129.15199999999999"/>
    <n v="-2.0186238404399997"/>
    <m/>
  </r>
  <r>
    <n v="633"/>
    <s v="Hosur"/>
    <x v="25"/>
    <s v="Sri Balaji Gear"/>
    <x v="19"/>
    <n v="3233554"/>
    <s v="188595-3233554"/>
    <s v="TUB-R-AW-AUT-40.00X20.00X1.210X1.2460"/>
    <x v="7"/>
    <m/>
    <x v="0"/>
    <m/>
    <m/>
    <m/>
    <m/>
    <m/>
    <x v="75"/>
    <s v="40-20-1.2-CRFH-PE-1.246"/>
    <m/>
    <m/>
    <n v="8.8029000000000011"/>
    <n v="0"/>
    <m/>
    <x v="14"/>
    <x v="15"/>
    <x v="4"/>
    <x v="2"/>
    <n v="1246"/>
    <s v="NOS"/>
    <m/>
    <m/>
    <n v="500"/>
    <m/>
    <n v="3000"/>
    <n v="-2500"/>
    <n v="0.67997815955999996"/>
    <n v="4.0798689573599995"/>
    <n v="-3.3998907977999995"/>
    <n v="1984.3299097622564"/>
    <n v="2.6986019999999997"/>
    <m/>
    <n v="30.749380999999996"/>
    <n v="129.15199999999999"/>
    <n v="-2.0186238404399997"/>
    <m/>
  </r>
  <r>
    <n v="528"/>
    <s v="Hosur"/>
    <x v="24"/>
    <s v="Sri Balaji Gear"/>
    <x v="19"/>
    <n v="1940801"/>
    <s v="188595-1940801"/>
    <s v="TUB-R-AW-RHS-40.00X20.00X1.210X1.3100"/>
    <x v="7"/>
    <m/>
    <x v="0"/>
    <s v="CR"/>
    <m/>
    <m/>
    <m/>
    <m/>
    <x v="75"/>
    <s v="40-20-1.2-CRFH-PE-1.31"/>
    <n v="5"/>
    <s v="Hosur"/>
    <n v="8.8029000000000011"/>
    <n v="0"/>
    <m/>
    <x v="14"/>
    <x v="15"/>
    <x v="4"/>
    <x v="2"/>
    <n v="1310"/>
    <s v="NOS"/>
    <m/>
    <m/>
    <n v="18000"/>
    <m/>
    <n v="9000"/>
    <n v="9000"/>
    <n v="25.736573037599996"/>
    <n v="12.868286518799998"/>
    <n v="12.868286518799998"/>
    <n v="2228.6624530858207"/>
    <n v="3.186563"/>
    <m/>
    <n v="30.749380999999996"/>
    <n v="129.15199999999999"/>
    <n v="22.550010037599996"/>
    <m/>
  </r>
  <r>
    <n v="562"/>
    <s v="Hosur"/>
    <x v="23"/>
    <s v="Sri Balaji Gear"/>
    <x v="19"/>
    <n v="1940801"/>
    <s v="188595-1940801"/>
    <s v="TUB-R-AW-RHS-40.00X20.00X1.210X1.3100"/>
    <x v="7"/>
    <m/>
    <x v="0"/>
    <s v="CR"/>
    <m/>
    <m/>
    <m/>
    <m/>
    <x v="75"/>
    <s v="40-20-1.2-CRFH-PE-1.31"/>
    <n v="5"/>
    <s v="Hosur"/>
    <n v="8.8029000000000011"/>
    <n v="0"/>
    <m/>
    <x v="14"/>
    <x v="15"/>
    <x v="4"/>
    <x v="2"/>
    <n v="1310"/>
    <s v="NOS"/>
    <m/>
    <m/>
    <n v="1500"/>
    <m/>
    <n v="9000"/>
    <n v="-7500"/>
    <n v="2.1447144197999997"/>
    <n v="12.868286518799998"/>
    <n v="-10.723572098999998"/>
    <n v="2228.6624530858207"/>
    <n v="3.186563"/>
    <m/>
    <n v="30.749380999999996"/>
    <n v="129.15199999999999"/>
    <n v="-1.0418485802000004"/>
    <m/>
  </r>
  <r>
    <n v="632"/>
    <s v="Hosur"/>
    <x v="25"/>
    <s v="Sri Balaji Gear"/>
    <x v="19"/>
    <n v="1940801"/>
    <s v="188595-1940801"/>
    <s v="TUB-R-AW-RHS-40.00X20.00X1.210X1.3100"/>
    <x v="7"/>
    <m/>
    <x v="0"/>
    <m/>
    <m/>
    <m/>
    <m/>
    <m/>
    <x v="75"/>
    <s v="40-20-1.2-CRFH-PE-1.31"/>
    <m/>
    <m/>
    <n v="8.8029000000000011"/>
    <n v="0"/>
    <m/>
    <x v="14"/>
    <x v="15"/>
    <x v="4"/>
    <x v="2"/>
    <n v="1310"/>
    <s v="NOS"/>
    <m/>
    <m/>
    <n v="1500"/>
    <m/>
    <n v="9000"/>
    <n v="-7500"/>
    <n v="2.1447144197999997"/>
    <n v="12.868286518799998"/>
    <n v="-10.723572098999998"/>
    <n v="2228.6624530858207"/>
    <n v="3.186563"/>
    <m/>
    <n v="30.749380999999996"/>
    <n v="129.15199999999999"/>
    <n v="-1.0418485802000004"/>
    <m/>
  </r>
  <r>
    <n v="554"/>
    <s v="Hosur"/>
    <x v="23"/>
    <s v="Sri Balaji Gear"/>
    <x v="19"/>
    <n v="3938685"/>
    <s v="188595-3938685"/>
    <s v="TUB-R-AW-AUT-40.00X40.00X1.200X0.0850"/>
    <x v="7"/>
    <m/>
    <x v="0"/>
    <s v="CR"/>
    <m/>
    <m/>
    <m/>
    <m/>
    <x v="76"/>
    <s v="40-40-1.2-CRFH-PE-0.085"/>
    <n v="1"/>
    <s v="Hosur"/>
    <n v="0"/>
    <n v="0"/>
    <m/>
    <x v="4"/>
    <x v="15"/>
    <x v="12"/>
    <x v="2"/>
    <n v="85"/>
    <s v="NOS"/>
    <m/>
    <m/>
    <n v="1000"/>
    <m/>
    <n v="0"/>
    <n v="1000"/>
    <n v="0.12470422079999999"/>
    <n v="0"/>
    <n v="0.12470422079999999"/>
    <n v="68.963183000779395"/>
    <n v="8.6E-3"/>
    <m/>
    <n v="1.450949"/>
    <n v="10.451000000000001"/>
    <n v="0.11610422079999999"/>
    <m/>
  </r>
  <r>
    <n v="530"/>
    <s v="Hosur"/>
    <x v="24"/>
    <s v="Sri Balaji Gear"/>
    <x v="19"/>
    <n v="4151471"/>
    <s v="188595-4151471"/>
    <s v="TUB-S-AW-SHS-40.00X40.00X1.200X0.115"/>
    <x v="7"/>
    <m/>
    <x v="0"/>
    <m/>
    <m/>
    <m/>
    <m/>
    <m/>
    <x v="76"/>
    <s v="40-40-1.2-CRFH-PE-0.115"/>
    <n v="1"/>
    <s v="Hosur"/>
    <n v="0"/>
    <n v="0"/>
    <m/>
    <x v="4"/>
    <x v="15"/>
    <x v="12"/>
    <x v="2"/>
    <n v="115"/>
    <s v="NOS"/>
    <m/>
    <m/>
    <n v="12000"/>
    <m/>
    <n v="9000"/>
    <n v="3000"/>
    <n v="2.0246097023999998"/>
    <n v="1.5184572768"/>
    <n v="0.50615242559999984"/>
    <n v="2066.6383229518606"/>
    <n v="0.34867800000000004"/>
    <m/>
    <n v="1.450949"/>
    <n v="10.451000000000001"/>
    <n v="1.6759317023999998"/>
    <m/>
  </r>
  <r>
    <n v="652"/>
    <s v="Hosur"/>
    <x v="25"/>
    <s v="Sri Balaji Gear"/>
    <x v="19"/>
    <n v="1940849"/>
    <s v="188595-1940849"/>
    <s v="TUB-S-AW-SHS-40.00X40.00X1.200X0.1250"/>
    <x v="7"/>
    <m/>
    <x v="0"/>
    <m/>
    <m/>
    <m/>
    <m/>
    <m/>
    <x v="76"/>
    <s v="40-40-1.2-CRFH-PE-0.125"/>
    <m/>
    <m/>
    <n v="0"/>
    <n v="0"/>
    <m/>
    <x v="4"/>
    <x v="15"/>
    <x v="12"/>
    <x v="2"/>
    <n v="125"/>
    <s v="NOS"/>
    <m/>
    <m/>
    <m/>
    <m/>
    <n v="1000"/>
    <n v="-1000"/>
    <n v="0"/>
    <n v="0.18338855999999998"/>
    <n v="-0.18338855999999998"/>
    <e v="#DIV/0!"/>
    <n v="0.111"/>
    <m/>
    <n v="1.450949"/>
    <n v="10.451000000000001"/>
    <n v="-0.111"/>
    <m/>
  </r>
  <r>
    <n v="651"/>
    <s v="Hosur"/>
    <x v="25"/>
    <s v="Sri Balaji Gear"/>
    <x v="19"/>
    <n v="1940850"/>
    <s v="188595-1940850"/>
    <s v="TUB-S-AW-SHS-40.00X40.00X1.200X0.1400"/>
    <x v="7"/>
    <m/>
    <x v="0"/>
    <m/>
    <m/>
    <m/>
    <m/>
    <m/>
    <x v="76"/>
    <s v="40-40-1.2-CRFH-PE-0.14"/>
    <m/>
    <m/>
    <n v="0"/>
    <n v="0"/>
    <m/>
    <x v="4"/>
    <x v="15"/>
    <x v="12"/>
    <x v="2"/>
    <n v="140"/>
    <s v="NOS"/>
    <m/>
    <m/>
    <m/>
    <m/>
    <n v="1000"/>
    <n v="-1000"/>
    <n v="0"/>
    <n v="0.2053951872"/>
    <n v="-0.2053951872"/>
    <e v="#DIV/0!"/>
    <n v="0"/>
    <m/>
    <n v="1.450949"/>
    <n v="10.451000000000001"/>
    <n v="0"/>
    <m/>
  </r>
  <r>
    <n v="529"/>
    <s v="Hosur"/>
    <x v="24"/>
    <s v="Sri Balaji Gear"/>
    <x v="19"/>
    <n v="3572055"/>
    <s v="188595-3572055"/>
    <s v="TUB-S-AW-SHS-40.00X40.00X1.200X0.158"/>
    <x v="7"/>
    <m/>
    <x v="0"/>
    <m/>
    <m/>
    <m/>
    <m/>
    <m/>
    <x v="76"/>
    <s v="40-40-1.2-CRFH-PE-0.158"/>
    <n v="2"/>
    <s v="Hosur"/>
    <n v="0"/>
    <n v="0"/>
    <m/>
    <x v="4"/>
    <x v="15"/>
    <x v="12"/>
    <x v="2"/>
    <n v="158"/>
    <s v="NOS"/>
    <m/>
    <m/>
    <n v="24000"/>
    <m/>
    <n v="18000"/>
    <n v="6000"/>
    <n v="5.5632753561599992"/>
    <n v="4.1724565171199997"/>
    <n v="1.3908188390399996"/>
    <n v="6019.1635064264719"/>
    <n v="1.3952610000000001"/>
    <m/>
    <n v="1.450949"/>
    <n v="10.451000000000001"/>
    <n v="4.1680143561599987"/>
    <m/>
  </r>
  <r>
    <n v="565"/>
    <s v="Hosur"/>
    <x v="23"/>
    <s v="Sri Balaji Gear"/>
    <x v="19"/>
    <n v="3572055"/>
    <s v="188595-3572055"/>
    <s v="TUB-S-AW-AUT-40.00X40.00X1.200X0.1580"/>
    <x v="7"/>
    <m/>
    <x v="0"/>
    <m/>
    <m/>
    <m/>
    <m/>
    <m/>
    <x v="76"/>
    <s v="40-40-1.2-CRFH-PE-0.158"/>
    <n v="2"/>
    <s v="Hosur"/>
    <n v="0"/>
    <n v="0"/>
    <m/>
    <x v="4"/>
    <x v="15"/>
    <x v="12"/>
    <x v="2"/>
    <n v="158"/>
    <s v="NOS"/>
    <m/>
    <m/>
    <n v="2000"/>
    <m/>
    <n v="18000"/>
    <n v="-16000"/>
    <n v="0.46360627967999996"/>
    <n v="4.1724565171199997"/>
    <n v="-3.7088502374399996"/>
    <n v="6019.1635064264719"/>
    <n v="1.3952610000000001"/>
    <m/>
    <n v="1.450949"/>
    <n v="10.451000000000001"/>
    <n v="-0.93165472032000007"/>
    <m/>
  </r>
  <r>
    <n v="563"/>
    <s v="Hosur"/>
    <x v="23"/>
    <s v="Sri Balaji Gear"/>
    <x v="19"/>
    <n v="4104140"/>
    <s v="188595-4104140"/>
    <s v="CUT-O-N-AUT-AW-PE-15.88X1.220X0.150"/>
    <x v="0"/>
    <m/>
    <x v="0"/>
    <s v="CR"/>
    <m/>
    <m/>
    <m/>
    <m/>
    <x v="2"/>
    <s v="15.88-0-1.2-ERW 1-PE-0.15"/>
    <n v="3"/>
    <s v="Hosur"/>
    <n v="0.170849"/>
    <n v="0"/>
    <m/>
    <x v="1"/>
    <x v="1"/>
    <x v="0"/>
    <x v="2"/>
    <n v="150"/>
    <s v="NOS"/>
    <m/>
    <m/>
    <n v="1000"/>
    <m/>
    <n v="10000"/>
    <n v="-9000"/>
    <n v="6.5132517599999995E-2"/>
    <n v="0.65132517599999995"/>
    <n v="-0.5861926583999999"/>
    <n v="15320.580821521937"/>
    <n v="0.99786799999999998"/>
    <m/>
    <n v="6.069591"/>
    <n v="7.3860000000000001"/>
    <n v="-0.93273548240000004"/>
    <m/>
  </r>
  <r>
    <n v="660"/>
    <s v="Hosur"/>
    <x v="25"/>
    <s v="Sri Balaji Gear"/>
    <x v="19"/>
    <n v="4104140"/>
    <s v="188595-4104140"/>
    <s v="TUB-O-N-AUT-AW-PE-15.88X1.220X0.1500"/>
    <x v="0"/>
    <m/>
    <x v="0"/>
    <m/>
    <m/>
    <m/>
    <m/>
    <m/>
    <x v="2"/>
    <s v="15.88-0-1.2-ERW 1-PE-0.15"/>
    <m/>
    <m/>
    <n v="0.170849"/>
    <n v="0"/>
    <m/>
    <x v="1"/>
    <x v="1"/>
    <x v="0"/>
    <x v="2"/>
    <n v="150"/>
    <s v="NOS"/>
    <m/>
    <m/>
    <n v="1000"/>
    <m/>
    <n v="10000"/>
    <n v="-9000"/>
    <n v="6.5132517599999995E-2"/>
    <n v="0.65132517599999995"/>
    <n v="-0.5861926583999999"/>
    <n v="15320.580821521937"/>
    <n v="0.99786799999999998"/>
    <m/>
    <n v="6.069591"/>
    <n v="7.3860000000000001"/>
    <n v="-0.93273548240000004"/>
    <m/>
  </r>
  <r>
    <n v="501"/>
    <s v="Hosur"/>
    <x v="24"/>
    <s v="Sri Balaji Gear"/>
    <x v="19"/>
    <n v="4104140"/>
    <s v="188595-4104140"/>
    <s v="HT1-O-N-AUT-AW-PE-15.88X1.220X0.1500"/>
    <x v="0"/>
    <m/>
    <x v="0"/>
    <s v="CR"/>
    <m/>
    <m/>
    <m/>
    <m/>
    <x v="2"/>
    <s v="15.88-0-1.2-ERW 1-PE-0.15"/>
    <n v="3"/>
    <s v="Hosur"/>
    <n v="0.170849"/>
    <n v="0"/>
    <m/>
    <x v="1"/>
    <x v="1"/>
    <x v="0"/>
    <x v="2"/>
    <n v="150"/>
    <s v="NOS"/>
    <m/>
    <m/>
    <n v="12000"/>
    <m/>
    <n v="10000"/>
    <n v="2000"/>
    <n v="0.78159021119999994"/>
    <n v="0.65132517599999995"/>
    <n v="0.13026503519999999"/>
    <n v="15320.580821521937"/>
    <n v="0.99786799999999998"/>
    <m/>
    <n v="6.069591"/>
    <n v="7.3860000000000001"/>
    <n v="-0.21627778880000004"/>
    <m/>
  </r>
  <r>
    <n v="657"/>
    <s v="Hosur"/>
    <x v="25"/>
    <s v="Sri Balaji Gear"/>
    <x v="19"/>
    <n v="3929691"/>
    <s v="188595-3929691"/>
    <s v="CUT-O-N-AUT-AW-PE-19.05X1.200X0.2000"/>
    <x v="0"/>
    <m/>
    <x v="0"/>
    <m/>
    <m/>
    <m/>
    <m/>
    <m/>
    <x v="4"/>
    <s v="19.05-0-1.2-ERW 1-PE-0.2"/>
    <m/>
    <m/>
    <n v="0"/>
    <n v="0"/>
    <m/>
    <x v="2"/>
    <x v="2"/>
    <x v="0"/>
    <x v="2"/>
    <n v="200"/>
    <s v="NOS"/>
    <m/>
    <m/>
    <n v="2000"/>
    <m/>
    <n v="0"/>
    <n v="2000"/>
    <n v="0.21119263200000002"/>
    <n v="0"/>
    <n v="0.21119263200000002"/>
    <n v="0"/>
    <n v="0"/>
    <m/>
    <n v="0"/>
    <n v="20.588000000000001"/>
    <n v="0.21119263200000002"/>
    <m/>
  </r>
  <r>
    <n v="656"/>
    <s v="Hosur"/>
    <x v="25"/>
    <s v="Sri Balaji Gear"/>
    <x v="19"/>
    <n v="3935313"/>
    <s v="188595-3935313"/>
    <s v="CUT-O-N-AUT-AW-PE-19.05X1.200X0.33"/>
    <x v="0"/>
    <m/>
    <x v="0"/>
    <m/>
    <m/>
    <m/>
    <m/>
    <m/>
    <x v="4"/>
    <s v="19.05-0-1.2-ERW 1-PE-0.33"/>
    <m/>
    <m/>
    <n v="0"/>
    <n v="0"/>
    <m/>
    <x v="2"/>
    <x v="2"/>
    <x v="0"/>
    <x v="2"/>
    <n v="330"/>
    <s v="NOS"/>
    <m/>
    <m/>
    <n v="500"/>
    <m/>
    <n v="0"/>
    <n v="500"/>
    <n v="8.711696070000001E-2"/>
    <n v="0"/>
    <n v="8.711696070000001E-2"/>
    <n v="3428.0580681460801"/>
    <n v="0.59728400000000004"/>
    <m/>
    <n v="0"/>
    <n v="20.588000000000001"/>
    <n v="-0.51016703930000007"/>
    <m/>
  </r>
  <r>
    <n v="655"/>
    <s v="Hosur"/>
    <x v="25"/>
    <s v="Sri Balaji Gear"/>
    <x v="19"/>
    <n v="3929540"/>
    <s v="188595-3929540"/>
    <s v="CUT-O-N-AUT-AW-PE-19.05X1.200X0.6820"/>
    <x v="0"/>
    <m/>
    <x v="0"/>
    <m/>
    <m/>
    <m/>
    <m/>
    <m/>
    <x v="4"/>
    <s v="19.05-0-1.2-ERW 1-PE-0.682"/>
    <m/>
    <m/>
    <n v="0"/>
    <n v="0"/>
    <m/>
    <x v="2"/>
    <x v="2"/>
    <x v="0"/>
    <x v="2"/>
    <n v="682"/>
    <s v="NOS"/>
    <m/>
    <m/>
    <n v="1000"/>
    <m/>
    <n v="0"/>
    <n v="1000"/>
    <n v="0.36008343756"/>
    <n v="0"/>
    <n v="0.36008343756"/>
    <n v="0"/>
    <n v="0"/>
    <m/>
    <n v="0"/>
    <n v="20.588000000000001"/>
    <n v="0.36008343756"/>
    <m/>
  </r>
  <r>
    <n v="654"/>
    <s v="Hosur"/>
    <x v="25"/>
    <s v="Sri Balaji Gear"/>
    <x v="19"/>
    <n v="3929692"/>
    <s v="188595-3929692"/>
    <s v="CUT-O-N-AUT-AW-PE-19.05X1.200X1.2300"/>
    <x v="0"/>
    <m/>
    <x v="0"/>
    <m/>
    <m/>
    <m/>
    <m/>
    <m/>
    <x v="4"/>
    <s v="19.05-0-1.2-ERW 1-PE-1.23"/>
    <m/>
    <m/>
    <n v="0"/>
    <n v="0"/>
    <m/>
    <x v="2"/>
    <x v="2"/>
    <x v="0"/>
    <x v="2"/>
    <n v="1230"/>
    <s v="NOS"/>
    <m/>
    <m/>
    <n v="500"/>
    <m/>
    <n v="0"/>
    <n v="500"/>
    <n v="0.32470867170000001"/>
    <n v="0"/>
    <n v="0.32470867170000001"/>
    <n v="0"/>
    <n v="0"/>
    <m/>
    <n v="0"/>
    <n v="20.588000000000001"/>
    <n v="0.32470867170000001"/>
    <m/>
  </r>
  <r>
    <n v="574"/>
    <s v="Khopoli "/>
    <x v="26"/>
    <s v="Srikam HI-Tech"/>
    <x v="20"/>
    <n v="2410963"/>
    <s v="944141-2410963"/>
    <s v="TUB-O-C-AUT-AD-FC-14.00X1.950X04-05"/>
    <x v="1"/>
    <m/>
    <x v="3"/>
    <s v="HR"/>
    <m/>
    <m/>
    <m/>
    <m/>
    <x v="169"/>
    <s v="14-10.1-1.95-CEW-CEW-1"/>
    <n v="1"/>
    <s v="Khopoli"/>
    <m/>
    <m/>
    <m/>
    <x v="5"/>
    <x v="5"/>
    <x v="24"/>
    <x v="31"/>
    <n v="1000"/>
    <s v="M"/>
    <m/>
    <m/>
    <m/>
    <m/>
    <n v="0"/>
    <n v="0"/>
    <n v="0"/>
    <n v="0"/>
    <n v="0"/>
    <e v="#DIV/0!"/>
    <n v="0"/>
    <m/>
    <n v="0"/>
    <n v="0"/>
    <n v="0"/>
    <m/>
  </r>
  <r>
    <n v="581"/>
    <s v="Khopoli "/>
    <x v="26"/>
    <s v="Srikam HI-Tech"/>
    <x v="20"/>
    <n v="1938191"/>
    <s v="944141-1938191"/>
    <s v="TUB-I-C-AUT-AD-FC-12.50X3.250X0.5880"/>
    <x v="1"/>
    <m/>
    <x v="3"/>
    <s v="HR"/>
    <m/>
    <m/>
    <m/>
    <m/>
    <x v="81"/>
    <s v="19-12.5-3.25-CEW-CEW-0.588"/>
    <n v="2"/>
    <s v="Khopoli"/>
    <n v="2.9557899999999999"/>
    <n v="1.5056590000000001"/>
    <m/>
    <x v="32"/>
    <x v="29"/>
    <x v="14"/>
    <x v="23"/>
    <n v="588"/>
    <s v="NOS"/>
    <s v="Indico"/>
    <n v="4000"/>
    <n v="20000"/>
    <m/>
    <n v="18400"/>
    <n v="1600"/>
    <n v="14.837835285000001"/>
    <n v="13.650808462200001"/>
    <n v="1.1870268228"/>
    <n v="0"/>
    <n v="0"/>
    <m/>
    <n v="6.3347900000000008"/>
    <n v="0"/>
    <n v="14.837835285000001"/>
    <m/>
  </r>
  <r>
    <n v="582"/>
    <s v="Khopoli "/>
    <x v="26"/>
    <s v="Srikam HI-Tech"/>
    <x v="20"/>
    <n v="2419066"/>
    <s v="944141-2419066"/>
    <s v="TUB-O-C-AUT-AD-FC-19.00X3.250X4.8000"/>
    <x v="1"/>
    <m/>
    <x v="1"/>
    <s v="HR"/>
    <m/>
    <m/>
    <m/>
    <m/>
    <x v="170"/>
    <s v="19-12.5-3.25-CEW--4.8"/>
    <s v="#REF!"/>
    <m/>
    <m/>
    <m/>
    <m/>
    <x v="32"/>
    <x v="29"/>
    <x v="14"/>
    <x v="23"/>
    <n v="4800"/>
    <m/>
    <m/>
    <m/>
    <m/>
    <m/>
    <e v="#N/A"/>
    <e v="#N/A"/>
    <n v="0"/>
    <e v="#N/A"/>
    <e v="#N/A"/>
    <e v="#DIV/0!"/>
    <n v="0"/>
    <m/>
    <n v="0"/>
    <n v="0"/>
    <n v="0"/>
    <m/>
  </r>
  <r>
    <n v="603"/>
    <s v="Khopoli "/>
    <x v="26"/>
    <s v="Srikam HI-Tech"/>
    <x v="20"/>
    <n v="2410999"/>
    <s v="944141-2410999"/>
    <s v="TUB-O-C-AUT-AD-FC-21.70X2.750X04-05"/>
    <x v="1"/>
    <m/>
    <x v="3"/>
    <s v="HR"/>
    <m/>
    <m/>
    <m/>
    <m/>
    <x v="112"/>
    <s v="21.7-16.2-2.75-CEW-CEW-1"/>
    <n v="3"/>
    <s v="Khopoli"/>
    <m/>
    <m/>
    <m/>
    <x v="38"/>
    <x v="38"/>
    <x v="19"/>
    <x v="24"/>
    <n v="1000"/>
    <s v="M"/>
    <m/>
    <m/>
    <m/>
    <m/>
    <n v="2272"/>
    <n v="-2272"/>
    <n v="0"/>
    <n v="2.9184317404"/>
    <n v="-2.9184317404"/>
    <e v="#DIV/0!"/>
    <n v="0"/>
    <m/>
    <n v="1.8677429999999999"/>
    <n v="0"/>
    <n v="0"/>
    <m/>
  </r>
  <r>
    <n v="566"/>
    <s v="Hosur"/>
    <x v="26"/>
    <s v="Srikam HI-Tech"/>
    <x v="20"/>
    <n v="1939963"/>
    <s v="944141-1939963"/>
    <s v="TUB-O-O-AUT-AW-PE-12.70X1.200X0.2780"/>
    <x v="0"/>
    <m/>
    <x v="0"/>
    <s v="CR"/>
    <m/>
    <m/>
    <m/>
    <m/>
    <x v="14"/>
    <s v="12.7-0-1.2-ERW 1-PE-0.278"/>
    <n v="1"/>
    <s v="Hosur"/>
    <n v="0"/>
    <n v="0"/>
    <m/>
    <x v="0"/>
    <x v="0"/>
    <x v="0"/>
    <x v="2"/>
    <n v="278"/>
    <s v="NOS"/>
    <s v="Hosur Plant"/>
    <n v="2000"/>
    <n v="30000"/>
    <m/>
    <n v="14700"/>
    <n v="15300"/>
    <n v="2.8369027079999998"/>
    <n v="1.3900823269199998"/>
    <n v="1.44682038108"/>
    <n v="8107.1514843081468"/>
    <n v="0.76663999999999999"/>
    <m/>
    <n v="20.176452999999999"/>
    <n v="0"/>
    <n v="2.0702627079999996"/>
    <m/>
  </r>
  <r>
    <n v="567"/>
    <s v="Hosur"/>
    <x v="26"/>
    <s v="Srikam HI-Tech"/>
    <x v="20"/>
    <n v="1939986"/>
    <s v="944141-1939986"/>
    <s v="TUB-O-O-GEN-AW-PE-12.70X1.200X6.0000"/>
    <x v="0"/>
    <m/>
    <x v="0"/>
    <s v="CR"/>
    <m/>
    <m/>
    <m/>
    <m/>
    <x v="14"/>
    <s v="12.7-0-1.2-ERW 1-PE-1"/>
    <n v="2"/>
    <s v="Hosur"/>
    <m/>
    <m/>
    <m/>
    <x v="0"/>
    <x v="0"/>
    <x v="0"/>
    <x v="2"/>
    <n v="1000"/>
    <s v="M"/>
    <m/>
    <m/>
    <m/>
    <m/>
    <n v="0"/>
    <n v="0"/>
    <n v="0"/>
    <n v="0"/>
    <n v="0"/>
    <e v="#DIV/0!"/>
    <n v="20.176452999999999"/>
    <m/>
    <n v="20.176452999999999"/>
    <n v="0"/>
    <n v="-20.176452999999999"/>
    <m/>
  </r>
  <r>
    <n v="568"/>
    <s v="Hosur"/>
    <x v="26"/>
    <s v="Srikam HI-Tech"/>
    <x v="20"/>
    <n v="3676336"/>
    <s v="944141-3676336"/>
    <s v="TUB-O-N-AUT-AW-PE-12.70X1.600X0.2570"/>
    <x v="0"/>
    <m/>
    <x v="0"/>
    <s v="CR"/>
    <s v="WG"/>
    <m/>
    <m/>
    <m/>
    <x v="0"/>
    <s v="12.7-0-1.6-ERW 1-PE-0.257"/>
    <n v="1"/>
    <s v="Hosur"/>
    <n v="0"/>
    <n v="0"/>
    <m/>
    <x v="0"/>
    <x v="0"/>
    <x v="0"/>
    <x v="0"/>
    <n v="257"/>
    <s v="NOS"/>
    <s v="Hosur Plant"/>
    <n v="1000"/>
    <n v="6000"/>
    <s v="LL"/>
    <n v="0"/>
    <n v="6000"/>
    <n v="0.67503554208000005"/>
    <n v="0"/>
    <n v="0.67503554208000005"/>
    <n v="173.05755433268044"/>
    <n v="1.9470000000000001E-2"/>
    <m/>
    <n v="6.5656999999999993E-2"/>
    <n v="8.9860000000000007"/>
    <n v="0.65556554208000006"/>
    <m/>
  </r>
  <r>
    <n v="569"/>
    <s v="Hosur"/>
    <x v="26"/>
    <s v="Srikam HI-Tech"/>
    <x v="20"/>
    <n v="1932848"/>
    <s v="944141-1932848"/>
    <s v="TUB-O-N-AUT-AW-PE-12.70X1.600X0.2600"/>
    <x v="0"/>
    <m/>
    <x v="0"/>
    <s v="CR"/>
    <s v="D"/>
    <m/>
    <m/>
    <m/>
    <x v="0"/>
    <s v="12.7-0-1.6-ERW 1-PE-0.26"/>
    <n v="1"/>
    <s v="Hosur"/>
    <n v="0"/>
    <n v="0"/>
    <m/>
    <x v="0"/>
    <x v="0"/>
    <x v="0"/>
    <x v="0"/>
    <n v="260"/>
    <s v="NOS"/>
    <m/>
    <m/>
    <n v="30000"/>
    <m/>
    <n v="17900"/>
    <n v="12100"/>
    <n v="3.4145766719999999"/>
    <n v="2.0373640809600002"/>
    <n v="1.3772125910399997"/>
    <n v="21.261786444958176"/>
    <n v="2.4199999999999998E-3"/>
    <m/>
    <n v="6.5656999999999993E-2"/>
    <n v="8.9860000000000007"/>
    <n v="3.4121566720000001"/>
    <m/>
  </r>
  <r>
    <n v="570"/>
    <s v="Hosur"/>
    <x v="26"/>
    <s v="Srikam HI-Tech"/>
    <x v="20"/>
    <n v="1939994"/>
    <s v="944141-1939994"/>
    <s v="TUB-O-O-AUT-AW-PE-12.70X1.600X0.2800"/>
    <x v="0"/>
    <m/>
    <x v="0"/>
    <s v="CR"/>
    <s v="WG"/>
    <m/>
    <m/>
    <m/>
    <x v="0"/>
    <s v="12.7-0-1.6-ERW 1-PE-0.28"/>
    <n v="2"/>
    <s v="Hosur"/>
    <n v="0"/>
    <n v="0"/>
    <m/>
    <x v="0"/>
    <x v="0"/>
    <x v="0"/>
    <x v="0"/>
    <n v="280"/>
    <s v="NOS"/>
    <m/>
    <m/>
    <n v="30000"/>
    <m/>
    <n v="21700"/>
    <n v="8300"/>
    <n v="3.677236416"/>
    <n v="2.65986767424"/>
    <n v="1.0173687417599999"/>
    <n v="42.023406307961459"/>
    <n v="5.1509999999999993E-3"/>
    <m/>
    <n v="6.5656999999999993E-2"/>
    <n v="8.9860000000000007"/>
    <n v="3.6720854159999998"/>
    <m/>
  </r>
  <r>
    <n v="571"/>
    <s v="Hosur"/>
    <x v="26"/>
    <s v="Srikam HI-Tech"/>
    <x v="20"/>
    <n v="3676337"/>
    <s v="944141-3676337"/>
    <s v="TUB-O-N-AUT-AW-PE-12.70X1.600X0.3200"/>
    <x v="0"/>
    <m/>
    <x v="0"/>
    <s v="CR"/>
    <s v="WG"/>
    <m/>
    <m/>
    <m/>
    <x v="0"/>
    <s v="12.7-0-1.6-ERW 1-PE-0.32"/>
    <n v="2"/>
    <m/>
    <n v="0"/>
    <n v="0"/>
    <m/>
    <x v="0"/>
    <x v="0"/>
    <x v="0"/>
    <x v="0"/>
    <n v="320"/>
    <s v="NOS"/>
    <s v="Hosur Plant"/>
    <n v="1000"/>
    <n v="6000"/>
    <s v="LL"/>
    <n v="0"/>
    <n v="6000"/>
    <n v="0.84051118079999987"/>
    <n v="0"/>
    <n v="0.84051118079999987"/>
    <n v="139.00826386246689"/>
    <n v="1.9473000000000001E-2"/>
    <m/>
    <n v="6.5656999999999993E-2"/>
    <n v="8.9860000000000007"/>
    <n v="0.82103818079999991"/>
    <m/>
  </r>
  <r>
    <n v="572"/>
    <s v="Hosur"/>
    <x v="26"/>
    <s v="Srikam HI-Tech"/>
    <x v="20"/>
    <n v="3620427"/>
    <s v="944141-3620427"/>
    <s v="TUB-O-N-AUT-AW-PE-12.70X1.600X0.9500"/>
    <x v="0"/>
    <m/>
    <x v="0"/>
    <s v="CR"/>
    <s v="WG"/>
    <m/>
    <m/>
    <m/>
    <x v="0"/>
    <s v="12.7-0-1.6-ERW 1-PE-0.95"/>
    <n v="2"/>
    <m/>
    <n v="0"/>
    <n v="0"/>
    <m/>
    <x v="0"/>
    <x v="0"/>
    <x v="0"/>
    <x v="0"/>
    <n v="950"/>
    <s v="NOS"/>
    <s v="Hosur Plant"/>
    <n v="5000"/>
    <n v="6000"/>
    <s v="LL"/>
    <n v="0"/>
    <n v="6000"/>
    <n v="2.495267568"/>
    <n v="0"/>
    <n v="2.495267568"/>
    <n v="33.161173198881571"/>
    <n v="1.3790999999999999E-2"/>
    <m/>
    <n v="6.5656999999999993E-2"/>
    <n v="8.9860000000000007"/>
    <n v="2.4814765680000002"/>
    <m/>
  </r>
  <r>
    <n v="573"/>
    <s v="Hosur"/>
    <x v="26"/>
    <s v="Srikam HI-Tech"/>
    <x v="20"/>
    <n v="1940014"/>
    <s v="944141-1940014"/>
    <s v="TUB-O-O-GEN-AW-PE-12.70X1.600X6.0000"/>
    <x v="0"/>
    <m/>
    <x v="0"/>
    <s v="CR"/>
    <s v="WG"/>
    <m/>
    <m/>
    <m/>
    <x v="0"/>
    <s v="12.7-0-1.6-ERW 1-PE-1"/>
    <n v="1"/>
    <s v="Hosur"/>
    <n v="0"/>
    <n v="0"/>
    <m/>
    <x v="0"/>
    <x v="0"/>
    <x v="0"/>
    <x v="0"/>
    <n v="1000"/>
    <s v="M"/>
    <s v="Hosur Plant"/>
    <n v="1000"/>
    <n v="5000"/>
    <m/>
    <n v="6000"/>
    <n v="-1000"/>
    <n v="2.1888312000000001"/>
    <n v="2.6265974399999998"/>
    <n v="-0.43776623999999975"/>
    <n v="149.98187160343838"/>
    <n v="6.5656999999999993E-2"/>
    <m/>
    <n v="6.5656999999999993E-2"/>
    <n v="8.9860000000000007"/>
    <n v="2.1231742000000002"/>
    <m/>
  </r>
  <r>
    <n v="575"/>
    <s v="Hosur"/>
    <x v="26"/>
    <s v="Srikam HI-Tech"/>
    <x v="20"/>
    <n v="1940043"/>
    <s v="944141-1940043"/>
    <s v="TUB-O-O-AUT-AW-PE-15.88X1.200X0.8880"/>
    <x v="0"/>
    <m/>
    <x v="0"/>
    <s v="CR"/>
    <m/>
    <m/>
    <m/>
    <m/>
    <x v="2"/>
    <s v="15.88-0-1.2-ERW 1-PE-0.888"/>
    <n v="2"/>
    <s v="Hosur"/>
    <n v="0.170849"/>
    <n v="0"/>
    <m/>
    <x v="1"/>
    <x v="1"/>
    <x v="0"/>
    <x v="2"/>
    <n v="888"/>
    <s v="NOS"/>
    <m/>
    <m/>
    <n v="30000"/>
    <m/>
    <n v="20150"/>
    <n v="9850"/>
    <n v="11.567535125760001"/>
    <n v="7.7695277594688008"/>
    <n v="3.7980073662912002"/>
    <n v="3679.4269079173109"/>
    <n v="1.41873"/>
    <m/>
    <n v="6.069591"/>
    <n v="7.3860000000000001"/>
    <n v="10.148805125760001"/>
    <m/>
  </r>
  <r>
    <n v="576"/>
    <s v="Hosur"/>
    <x v="26"/>
    <s v="Srikam HI-Tech"/>
    <x v="20"/>
    <n v="3620428"/>
    <s v="944141-3620428"/>
    <s v="TUB-O-N-AUT-AW-PE-15.88X1.600X0.4350"/>
    <x v="0"/>
    <m/>
    <x v="0"/>
    <s v="CR"/>
    <s v="WG"/>
    <m/>
    <m/>
    <m/>
    <x v="15"/>
    <s v="15.88-0-1.6-ERW 1-PE-0.435"/>
    <n v="1"/>
    <s v="Hosur"/>
    <n v="0"/>
    <n v="0"/>
    <m/>
    <x v="1"/>
    <x v="1"/>
    <x v="0"/>
    <x v="0"/>
    <n v="435"/>
    <s v="NOS"/>
    <m/>
    <m/>
    <n v="20000"/>
    <m/>
    <n v="16850"/>
    <n v="3150"/>
    <n v="4.8996690624000001"/>
    <n v="4.127971185072"/>
    <n v="0.7716978773280001"/>
    <n v="9701.6674788880537"/>
    <n v="2.3767480000000001"/>
    <m/>
    <n v="0"/>
    <n v="3.8879999999999999"/>
    <n v="2.5229210624"/>
    <m/>
  </r>
  <r>
    <n v="577"/>
    <s v="Hosur"/>
    <x v="26"/>
    <s v="Srikam HI-Tech"/>
    <x v="20"/>
    <n v="1940078"/>
    <s v="944141-1940078"/>
    <s v="TUB-O-O-GEN-AW-PE-15.88X1.600X6.0000"/>
    <x v="0"/>
    <m/>
    <x v="0"/>
    <s v="CR"/>
    <s v="GR1"/>
    <m/>
    <m/>
    <m/>
    <x v="15"/>
    <s v="15.88-0-1.6-ERW 1-PE-1"/>
    <n v="6"/>
    <s v="Hosur"/>
    <n v="0"/>
    <n v="0"/>
    <m/>
    <x v="1"/>
    <x v="1"/>
    <x v="0"/>
    <x v="0"/>
    <n v="1000"/>
    <s v="M"/>
    <m/>
    <m/>
    <m/>
    <m/>
    <n v="6000"/>
    <n v="-6000"/>
    <n v="0"/>
    <n v="3.3790821119999994"/>
    <n v="-3.3790821119999994"/>
    <e v="#DIV/0!"/>
    <n v="0"/>
    <m/>
    <n v="0"/>
    <n v="3.8879999999999999"/>
    <n v="0"/>
    <m/>
  </r>
  <r>
    <n v="578"/>
    <s v="Hosur"/>
    <x v="26"/>
    <s v="Srikam HI-Tech"/>
    <x v="20"/>
    <n v="2420205"/>
    <s v="944141-2420205"/>
    <s v="TUB-O-N-AUT-AW-PE-15.88X2.000X0.1550"/>
    <x v="0"/>
    <m/>
    <x v="0"/>
    <s v="HR"/>
    <m/>
    <m/>
    <m/>
    <m/>
    <x v="16"/>
    <s v="15.88-0-2-ERW 1-PE-0.155"/>
    <n v="1"/>
    <s v="Hosur"/>
    <n v="0"/>
    <n v="0"/>
    <m/>
    <x v="1"/>
    <x v="1"/>
    <x v="0"/>
    <x v="8"/>
    <n v="155"/>
    <s v="NOS"/>
    <s v="Hosur Plant"/>
    <n v="2000"/>
    <n v="25000"/>
    <m/>
    <n v="0"/>
    <n v="25000"/>
    <n v="2.6514929299999999"/>
    <n v="0"/>
    <n v="2.6514929299999999"/>
    <n v="45.29523674800069"/>
    <n v="4.8040000000000001E-3"/>
    <m/>
    <n v="0"/>
    <n v="0.24399999999999999"/>
    <n v="2.6466889299999998"/>
    <m/>
  </r>
  <r>
    <n v="579"/>
    <s v="Hosur"/>
    <x v="26"/>
    <s v="Srikam HI-Tech"/>
    <x v="20"/>
    <n v="3706751"/>
    <s v="944141-3706751"/>
    <s v="CUT-O-N-AUT-AW-PE-15.88X2.000X0.1600"/>
    <x v="0"/>
    <m/>
    <x v="0"/>
    <s v="HR"/>
    <m/>
    <m/>
    <m/>
    <m/>
    <x v="16"/>
    <s v="15.88-0-2-ERW 1-PE-0.16"/>
    <n v="1"/>
    <s v="Hosur"/>
    <n v="0"/>
    <n v="0"/>
    <m/>
    <x v="1"/>
    <x v="1"/>
    <x v="0"/>
    <x v="8"/>
    <n v="160"/>
    <s v="NOS"/>
    <s v="Hosur Plant"/>
    <n v="2000"/>
    <n v="25000"/>
    <m/>
    <n v="0"/>
    <n v="25000"/>
    <n v="2.7370249600000003"/>
    <n v="0"/>
    <n v="2.7370249600000003"/>
    <n v="35.98798017537991"/>
    <n v="3.9399999999999999E-3"/>
    <m/>
    <n v="0"/>
    <n v="0.24399999999999999"/>
    <n v="2.7330849600000002"/>
    <m/>
  </r>
  <r>
    <n v="580"/>
    <s v="Khopoli "/>
    <x v="26"/>
    <s v="Srikam HI-Tech"/>
    <x v="20"/>
    <n v="1938163"/>
    <s v="944141-1938163"/>
    <s v="TUB-O-N-AUT-AW-PE-17.30X1.600X0.6400"/>
    <x v="0"/>
    <m/>
    <x v="0"/>
    <s v="CR"/>
    <s v="D"/>
    <m/>
    <m/>
    <m/>
    <x v="17"/>
    <s v="17.3-0-1.6-ERW 1-PE-0.64"/>
    <n v="1"/>
    <s v="Khopoli"/>
    <n v="9.3040000000000012E-2"/>
    <n v="0"/>
    <m/>
    <x v="7"/>
    <x v="7"/>
    <x v="0"/>
    <x v="0"/>
    <n v="640"/>
    <s v="NOS"/>
    <m/>
    <m/>
    <n v="5000"/>
    <s v="LL"/>
    <n v="0"/>
    <n v="5000"/>
    <n v="1.9813852160000001"/>
    <n v="0"/>
    <n v="1.9813852160000001"/>
    <n v="0"/>
    <n v="0"/>
    <m/>
    <n v="9.3040000000000012E-2"/>
    <n v="0"/>
    <n v="1.9813852160000001"/>
    <m/>
  </r>
  <r>
    <n v="583"/>
    <s v="Hosur"/>
    <x v="26"/>
    <s v="Srikam HI-Tech"/>
    <x v="20"/>
    <n v="3838038"/>
    <s v="944141-3838038"/>
    <s v="CUT-O-N-AUT-AW-PE-19.05X1.600X0.2580"/>
    <x v="0"/>
    <m/>
    <x v="0"/>
    <s v="CR"/>
    <s v="NORMAL"/>
    <m/>
    <m/>
    <m/>
    <x v="85"/>
    <s v="19.05-0-1.6-ERW 1-PE-0.258"/>
    <s v="#REF!"/>
    <m/>
    <m/>
    <m/>
    <m/>
    <x v="2"/>
    <x v="2"/>
    <x v="0"/>
    <x v="0"/>
    <n v="258"/>
    <s v="NOS"/>
    <m/>
    <m/>
    <m/>
    <m/>
    <n v="0"/>
    <n v="0"/>
    <n v="0"/>
    <n v="0"/>
    <n v="0"/>
    <e v="#DIV/0!"/>
    <n v="0"/>
    <m/>
    <n v="0"/>
    <n v="2.8860000000000001"/>
    <n v="0"/>
    <m/>
  </r>
  <r>
    <n v="584"/>
    <s v="Hosur"/>
    <x v="26"/>
    <s v="Srikam HI-Tech"/>
    <x v="20"/>
    <n v="3850310"/>
    <s v="944141-3850310"/>
    <s v="CUT-O-N-AUT-AW-PE-19.05X1.600X0.2680"/>
    <x v="0"/>
    <m/>
    <x v="0"/>
    <s v="CR"/>
    <s v="WG"/>
    <m/>
    <m/>
    <m/>
    <x v="85"/>
    <s v="19.05-0-1.6-ERW 1-PE-0.268"/>
    <s v="#REF!"/>
    <m/>
    <m/>
    <m/>
    <m/>
    <x v="2"/>
    <x v="2"/>
    <x v="0"/>
    <x v="0"/>
    <n v="268"/>
    <s v="NOS"/>
    <m/>
    <m/>
    <m/>
    <m/>
    <n v="0"/>
    <n v="0"/>
    <n v="0"/>
    <n v="0"/>
    <n v="0"/>
    <e v="#DIV/0!"/>
    <n v="0"/>
    <m/>
    <n v="0"/>
    <n v="2.8860000000000001"/>
    <n v="0"/>
    <m/>
  </r>
  <r>
    <n v="585"/>
    <s v="Hosur"/>
    <x v="26"/>
    <s v="Srikam HI-Tech"/>
    <x v="20"/>
    <n v="3217232"/>
    <s v="944141-3217232"/>
    <s v="TUB-O-N-AUT-AW-PE-19.05X1.600X0.2750"/>
    <x v="0"/>
    <m/>
    <x v="0"/>
    <s v="CR"/>
    <s v="HROP"/>
    <m/>
    <m/>
    <m/>
    <x v="85"/>
    <s v="19.05-0-1.6-ERW 1-PE-0.275"/>
    <s v="#REF!"/>
    <s v="Hosur"/>
    <m/>
    <m/>
    <m/>
    <x v="2"/>
    <x v="2"/>
    <x v="0"/>
    <x v="0"/>
    <n v="275"/>
    <s v="NOS"/>
    <m/>
    <m/>
    <m/>
    <m/>
    <n v="0"/>
    <n v="0"/>
    <n v="0"/>
    <n v="0"/>
    <n v="0"/>
    <e v="#DIV/0!"/>
    <n v="0"/>
    <m/>
    <n v="0"/>
    <n v="2.8860000000000001"/>
    <n v="0"/>
    <m/>
  </r>
  <r>
    <n v="586"/>
    <s v="Hosur"/>
    <x v="26"/>
    <s v="Srikam HI-Tech"/>
    <x v="20"/>
    <n v="1940262"/>
    <s v="944141-1940262"/>
    <s v="TUB-O-O-AUT-AW-PE-19.05X2.000X0.1040"/>
    <x v="0"/>
    <m/>
    <x v="0"/>
    <s v="HR"/>
    <m/>
    <m/>
    <m/>
    <m/>
    <x v="18"/>
    <s v="19.05-0-2-ERW 1-PE-0.104"/>
    <n v="1"/>
    <s v="Hosur"/>
    <n v="0"/>
    <n v="0"/>
    <m/>
    <x v="2"/>
    <x v="2"/>
    <x v="0"/>
    <x v="8"/>
    <n v="104"/>
    <s v="NOS"/>
    <s v="Megh Steel"/>
    <m/>
    <m/>
    <m/>
    <n v="0"/>
    <n v="0"/>
    <n v="0"/>
    <n v="0"/>
    <n v="0"/>
    <e v="#DIV/0!"/>
    <n v="5.7544999999999999E-2"/>
    <m/>
    <n v="0"/>
    <n v="11.189"/>
    <n v="-5.7544999999999999E-2"/>
    <m/>
  </r>
  <r>
    <n v="589"/>
    <s v="Hosur"/>
    <x v="26"/>
    <s v="Srikam HI-Tech"/>
    <x v="20"/>
    <n v="1940287"/>
    <s v="944141-1940287"/>
    <s v="TUB-O-O-AUT-AW-PE-19.05X2.000X0.8150"/>
    <x v="0"/>
    <m/>
    <x v="0"/>
    <s v="HR"/>
    <m/>
    <m/>
    <m/>
    <m/>
    <x v="18"/>
    <s v="19.05-0-2-ERW 1-PE-0.815"/>
    <n v="1"/>
    <s v="Hosur"/>
    <n v="0"/>
    <n v="0"/>
    <m/>
    <x v="2"/>
    <x v="2"/>
    <x v="0"/>
    <x v="8"/>
    <n v="815"/>
    <s v="NOS"/>
    <s v="Megh Steel"/>
    <n v="8000"/>
    <n v="50000"/>
    <m/>
    <n v="11425"/>
    <n v="38575"/>
    <n v="34.251634175"/>
    <n v="7.8264984089875007"/>
    <n v="26.425135766012499"/>
    <n v="12.589180352589702"/>
    <n v="8.6239999999999997E-3"/>
    <m/>
    <n v="0"/>
    <n v="11.189"/>
    <n v="34.243010175000002"/>
    <m/>
  </r>
  <r>
    <n v="590"/>
    <s v="Hosur"/>
    <x v="26"/>
    <s v="Srikam HI-Tech"/>
    <x v="20"/>
    <n v="1937438"/>
    <s v="944141-1937438"/>
    <s v="TUB-O-N-AUT-AW-PE-19.05X2.030X0.8300"/>
    <x v="0"/>
    <m/>
    <x v="0"/>
    <s v="HR"/>
    <m/>
    <m/>
    <m/>
    <m/>
    <x v="18"/>
    <s v="19.05-0-2-ERW 1-PE-0.83"/>
    <s v="#REF!"/>
    <s v="Hosur"/>
    <s v="Plan"/>
    <m/>
    <m/>
    <x v="2"/>
    <x v="2"/>
    <x v="0"/>
    <x v="8"/>
    <n v="830"/>
    <s v="NOS"/>
    <m/>
    <m/>
    <m/>
    <m/>
    <n v="0"/>
    <n v="0"/>
    <n v="0"/>
    <n v="0"/>
    <n v="0"/>
    <e v="#DIV/0!"/>
    <n v="0"/>
    <m/>
    <n v="0"/>
    <n v="11.189"/>
    <n v="0"/>
    <m/>
  </r>
  <r>
    <m/>
    <s v="Hosur"/>
    <x v="26"/>
    <s v="Srikam HI-Tech"/>
    <x v="20"/>
    <m/>
    <s v="944141-"/>
    <m/>
    <x v="0"/>
    <m/>
    <x v="0"/>
    <m/>
    <m/>
    <m/>
    <m/>
    <m/>
    <x v="1"/>
    <m/>
    <m/>
    <m/>
    <n v="0"/>
    <m/>
    <m/>
    <x v="2"/>
    <x v="2"/>
    <x v="0"/>
    <x v="8"/>
    <n v="835"/>
    <s v="NOS"/>
    <m/>
    <m/>
    <n v="5000"/>
    <s v="LL"/>
    <n v="0"/>
    <n v="5000"/>
    <n v="3.5092165075000001"/>
    <n v="0"/>
    <n v="3.5092165075000001"/>
    <n v="0"/>
    <n v="0"/>
    <m/>
    <n v="0"/>
    <n v="0"/>
    <n v="3.5092165075000001"/>
    <m/>
  </r>
  <r>
    <n v="591"/>
    <s v="Hosur"/>
    <x v="26"/>
    <s v="Srikam HI-Tech"/>
    <x v="20"/>
    <n v="3850335"/>
    <s v="944141-3850335"/>
    <s v="CUT-O-O-AUT-AW-PE-19.05X2.000X0.9000"/>
    <x v="0"/>
    <m/>
    <x v="0"/>
    <s v="HR"/>
    <m/>
    <m/>
    <m/>
    <m/>
    <x v="18"/>
    <s v="19.05-0-2-ERW 1-PE-0.9"/>
    <s v="#REF!"/>
    <m/>
    <m/>
    <m/>
    <m/>
    <x v="2"/>
    <x v="2"/>
    <x v="0"/>
    <x v="8"/>
    <n v="900"/>
    <s v="NOS"/>
    <m/>
    <m/>
    <m/>
    <m/>
    <n v="0"/>
    <n v="0"/>
    <n v="0"/>
    <n v="0"/>
    <n v="0"/>
    <e v="#DIV/0!"/>
    <n v="0"/>
    <m/>
    <n v="0"/>
    <n v="11.189"/>
    <n v="0"/>
    <m/>
  </r>
  <r>
    <n v="594"/>
    <s v="Hosur"/>
    <x v="26"/>
    <s v="Srikam HI-Tech"/>
    <x v="20"/>
    <n v="1259405"/>
    <s v="944141-1259405"/>
    <s v="TUB-O-N-AUT-AW-PE-19.05X2.300X0.2100"/>
    <x v="0"/>
    <m/>
    <x v="0"/>
    <s v="HR"/>
    <m/>
    <m/>
    <m/>
    <m/>
    <x v="19"/>
    <s v="19.05-0-2.3-ERW 1-PE-0.21"/>
    <n v="1"/>
    <s v="Hosur"/>
    <n v="28.357190999999986"/>
    <m/>
    <m/>
    <x v="2"/>
    <x v="2"/>
    <x v="0"/>
    <x v="9"/>
    <n v="210"/>
    <s v="NOS"/>
    <m/>
    <m/>
    <n v="5000"/>
    <s v="LL"/>
    <n v="0"/>
    <n v="5000"/>
    <n v="0.9970828612499999"/>
    <n v="0"/>
    <n v="0.9970828612499999"/>
    <n v="301.7151449407686"/>
    <n v="6.0166999999999998E-2"/>
    <m/>
    <n v="79.222118000000009"/>
    <n v="6.0149999999999997"/>
    <n v="0.93691586124999993"/>
    <m/>
  </r>
  <r>
    <n v="595"/>
    <s v="Hosur"/>
    <x v="26"/>
    <s v="Srikam HI-Tech"/>
    <x v="20"/>
    <n v="1940306"/>
    <s v="944141-1940306"/>
    <s v="TUB-O-O-AUT-AW-PE-19.05X2.300X0.2360"/>
    <x v="0"/>
    <m/>
    <x v="0"/>
    <s v="HR"/>
    <m/>
    <m/>
    <m/>
    <m/>
    <x v="19"/>
    <s v="19.05-0-2.3-ERW 1-PE-0.236"/>
    <n v="1"/>
    <s v="Hosur"/>
    <n v="28.357190999999986"/>
    <n v="41.353166999999999"/>
    <m/>
    <x v="2"/>
    <x v="2"/>
    <x v="0"/>
    <x v="9"/>
    <n v="236"/>
    <s v="NOS"/>
    <m/>
    <m/>
    <n v="40000"/>
    <m/>
    <n v="10500"/>
    <n v="29500"/>
    <n v="8.9642497240000001"/>
    <n v="2.3531155525499998"/>
    <n v="6.6111341714500007"/>
    <n v="35.362691776791465"/>
    <n v="7.9249999999999998E-3"/>
    <m/>
    <n v="79.222118000000009"/>
    <n v="6.0149999999999997"/>
    <n v="8.9563247239999999"/>
    <m/>
  </r>
  <r>
    <n v="596"/>
    <s v="Hosur"/>
    <x v="26"/>
    <s v="Srikam HI-Tech"/>
    <x v="20"/>
    <n v="1940307"/>
    <s v="944141-1940307"/>
    <s v="TUB-O-O-AUT-AW-PE-19.05X2.300X0.2520"/>
    <x v="0"/>
    <m/>
    <x v="0"/>
    <s v="HR"/>
    <m/>
    <m/>
    <m/>
    <m/>
    <x v="19"/>
    <s v="19.05-0-2.3-ERW 1-PE-0.252"/>
    <n v="1"/>
    <s v="Hosur"/>
    <n v="28.357190999999986"/>
    <n v="41.353166999999999"/>
    <m/>
    <x v="2"/>
    <x v="2"/>
    <x v="0"/>
    <x v="9"/>
    <n v="252"/>
    <s v="NOS"/>
    <m/>
    <m/>
    <n v="70000"/>
    <m/>
    <n v="3900"/>
    <n v="66100"/>
    <n v="16.750992068999995"/>
    <n v="0.93326955812999979"/>
    <n v="15.817722510869995"/>
    <n v="39.11410126045832"/>
    <n v="9.3600000000000003E-3"/>
    <m/>
    <n v="79.222118000000009"/>
    <n v="6.0149999999999997"/>
    <n v="16.741632068999994"/>
    <m/>
  </r>
  <r>
    <n v="597"/>
    <s v="Hosur"/>
    <x v="26"/>
    <s v="Srikam HI-Tech"/>
    <x v="20"/>
    <n v="1940309"/>
    <s v="944141-1940309"/>
    <s v="TUB-O-O-AUT-AW-PE-19.05X2.300X0.2650"/>
    <x v="0"/>
    <m/>
    <x v="0"/>
    <s v="HR"/>
    <m/>
    <m/>
    <m/>
    <m/>
    <x v="19"/>
    <s v="19.05-0-2.3-ERW 1-PE-0.265"/>
    <n v="1"/>
    <s v="Hosur"/>
    <n v="28.357190999999986"/>
    <n v="41.353166999999999"/>
    <m/>
    <x v="2"/>
    <x v="2"/>
    <x v="0"/>
    <x v="9"/>
    <n v="265"/>
    <s v="NOS"/>
    <s v="Indico"/>
    <n v="8000"/>
    <n v="25000"/>
    <m/>
    <n v="19606"/>
    <n v="5394"/>
    <n v="6.2911180531250004"/>
    <n v="4.9337464219827494"/>
    <n v="1.357371631142251"/>
    <n v="7250.460031876577"/>
    <n v="1.8245399999999998"/>
    <m/>
    <n v="79.222118000000009"/>
    <n v="6.0149999999999997"/>
    <n v="4.4665780531250006"/>
    <m/>
  </r>
  <r>
    <n v="598"/>
    <s v="Hosur"/>
    <x v="26"/>
    <s v="Srikam HI-Tech"/>
    <x v="20"/>
    <n v="1940310"/>
    <s v="944141-1940310"/>
    <s v="TUB-O-O-AUT-AW-PE-19.05X2.300X0.2810"/>
    <x v="0"/>
    <m/>
    <x v="0"/>
    <s v="HR"/>
    <m/>
    <m/>
    <m/>
    <m/>
    <x v="19"/>
    <s v="19.05-0-2.3-ERW 1-PE-0.281"/>
    <s v="#REF!"/>
    <m/>
    <n v="28.357190999999986"/>
    <m/>
    <m/>
    <x v="2"/>
    <x v="2"/>
    <x v="0"/>
    <x v="9"/>
    <n v="281"/>
    <s v="NOS"/>
    <m/>
    <m/>
    <n v="5000"/>
    <s v="LL"/>
    <n v="0"/>
    <n v="5000"/>
    <n v="1.3341918286249999"/>
    <n v="0"/>
    <n v="1.3341918286249999"/>
    <n v="0"/>
    <n v="0"/>
    <m/>
    <n v="79.222118000000009"/>
    <n v="6.0149999999999997"/>
    <n v="1.3341918286249999"/>
    <m/>
  </r>
  <r>
    <n v="599"/>
    <s v="Hosur"/>
    <x v="26"/>
    <s v="Srikam HI-Tech"/>
    <x v="20"/>
    <n v="1940312"/>
    <s v="944141-1940312"/>
    <s v="TUB-O-O-AUT-AW-PE-19.05X2.300X0.2950"/>
    <x v="0"/>
    <m/>
    <x v="0"/>
    <s v="HR"/>
    <m/>
    <m/>
    <m/>
    <m/>
    <x v="19"/>
    <s v="19.05-0-2.3-ERW 1-PE-0.295"/>
    <n v="2"/>
    <s v="Hosur"/>
    <n v="28.357190999999986"/>
    <n v="41.353166999999999"/>
    <m/>
    <x v="2"/>
    <x v="2"/>
    <x v="0"/>
    <x v="9"/>
    <n v="295"/>
    <s v="NOS"/>
    <m/>
    <m/>
    <n v="80000"/>
    <m/>
    <n v="44250"/>
    <n v="35750"/>
    <n v="22.410624309999999"/>
    <n v="12.395876571468751"/>
    <n v="10.014747738531248"/>
    <n v="7368.0767530567737"/>
    <n v="2.0640399999999999"/>
    <m/>
    <n v="79.222118000000009"/>
    <n v="6.0149999999999997"/>
    <n v="20.346584310000001"/>
    <m/>
  </r>
  <r>
    <n v="600"/>
    <s v="Hosur"/>
    <x v="26"/>
    <s v="Srikam HI-Tech"/>
    <x v="20"/>
    <n v="1940325"/>
    <s v="944141-1940325"/>
    <s v="TUB-O-O-AUT-AW-PE-19.05X2.300X0.5700"/>
    <x v="0"/>
    <m/>
    <x v="0"/>
    <s v="HR"/>
    <m/>
    <m/>
    <m/>
    <m/>
    <x v="19"/>
    <s v="19.05-0-2.3-ERW 1-PE-0.57"/>
    <n v="2"/>
    <s v="Hosur"/>
    <n v="28.357190999999986"/>
    <n v="41.353166999999999"/>
    <m/>
    <x v="2"/>
    <x v="2"/>
    <x v="0"/>
    <x v="9"/>
    <n v="570"/>
    <s v="NOS"/>
    <s v="Indico"/>
    <n v="2000"/>
    <n v="10000"/>
    <s v="LL"/>
    <n v="13650"/>
    <n v="-3650"/>
    <n v="5.4127355325000011"/>
    <n v="7.3883840018625007"/>
    <n v="-1.9756484693624996"/>
    <n v="689.3002581777256"/>
    <n v="0.37309999999999999"/>
    <m/>
    <n v="79.222118000000009"/>
    <n v="6.0149999999999997"/>
    <n v="5.0396355325000011"/>
    <m/>
  </r>
  <r>
    <n v="601"/>
    <s v="Hosur"/>
    <x v="26"/>
    <s v="Srikam HI-Tech"/>
    <x v="20"/>
    <n v="1940329"/>
    <s v="944141-1940329"/>
    <s v="TUB-O-O-AUT-AW-PE-19.05X2.300X0.6100"/>
    <x v="0"/>
    <m/>
    <x v="0"/>
    <s v="HR"/>
    <m/>
    <m/>
    <m/>
    <m/>
    <x v="19"/>
    <s v="19.05-0-2.3-ERW 1-PE-0.61"/>
    <n v="1"/>
    <s v="Hosur"/>
    <n v="28.357190999999986"/>
    <n v="41.353166999999999"/>
    <m/>
    <x v="2"/>
    <x v="2"/>
    <x v="0"/>
    <x v="9"/>
    <n v="610"/>
    <s v="NOS"/>
    <m/>
    <m/>
    <n v="10000"/>
    <s v="LL"/>
    <n v="9450"/>
    <n v="550"/>
    <n v="5.7925766224999995"/>
    <n v="5.4739849082624996"/>
    <n v="0.31859171423749988"/>
    <n v="7443.5959694549574"/>
    <n v="4.3117600000000005"/>
    <m/>
    <n v="79.222118000000009"/>
    <n v="6.0149999999999997"/>
    <n v="1.480816622499999"/>
    <m/>
  </r>
  <r>
    <n v="602"/>
    <s v="Hosur"/>
    <x v="26"/>
    <s v="Srikam HI-Tech"/>
    <x v="20"/>
    <n v="477006"/>
    <s v="944141-477006"/>
    <s v="PT2-O-N-AUT-AW-PE-19.05X2.300X0.245"/>
    <x v="0"/>
    <m/>
    <x v="1"/>
    <s v="HR"/>
    <m/>
    <m/>
    <m/>
    <m/>
    <x v="146"/>
    <s v="19.05-0-2.34-ERW 1--0.245"/>
    <s v="#REF!"/>
    <m/>
    <m/>
    <m/>
    <m/>
    <x v="2"/>
    <x v="2"/>
    <x v="0"/>
    <x v="29"/>
    <n v="245"/>
    <s v="NOS"/>
    <m/>
    <m/>
    <m/>
    <m/>
    <n v="0"/>
    <n v="0"/>
    <n v="0"/>
    <n v="0"/>
    <n v="0"/>
    <e v="#DIV/0!"/>
    <n v="0"/>
    <m/>
    <n v="0"/>
    <n v="0"/>
    <n v="0"/>
    <m/>
  </r>
  <r>
    <n v="604"/>
    <s v="Hosur"/>
    <x v="26"/>
    <s v="Srikam HI-Tech"/>
    <x v="20"/>
    <n v="3180928"/>
    <s v="944141-3180928"/>
    <s v="TUB-O-N-AUT-AW-PE-22.20X1.200X0.6300"/>
    <x v="0"/>
    <m/>
    <x v="1"/>
    <s v="HR"/>
    <m/>
    <m/>
    <m/>
    <m/>
    <x v="171"/>
    <s v="22.23-0-1.2-ERW 1--0.63"/>
    <s v="#REF!"/>
    <m/>
    <m/>
    <m/>
    <m/>
    <x v="11"/>
    <x v="11"/>
    <x v="0"/>
    <x v="2"/>
    <n v="630"/>
    <m/>
    <m/>
    <m/>
    <m/>
    <m/>
    <e v="#N/A"/>
    <e v="#N/A"/>
    <n v="0"/>
    <e v="#N/A"/>
    <e v="#N/A"/>
    <e v="#DIV/0!"/>
    <n v="0"/>
    <m/>
    <n v="0"/>
    <n v="0"/>
    <n v="0"/>
    <m/>
  </r>
  <r>
    <n v="606"/>
    <s v="Hosur"/>
    <x v="26"/>
    <s v="Srikam HI-Tech"/>
    <x v="20"/>
    <n v="3747393"/>
    <s v="944141-3747393"/>
    <s v="CUT-O-N-AUT-AW-PE-22.23X1.200X1.3080"/>
    <x v="0"/>
    <m/>
    <x v="0"/>
    <s v="CR"/>
    <m/>
    <m/>
    <m/>
    <m/>
    <x v="20"/>
    <s v="22.23-0-1.2-ERW 1-PE-1.308"/>
    <n v="1"/>
    <s v="Hosur"/>
    <n v="0"/>
    <n v="0.24293999999999999"/>
    <m/>
    <x v="11"/>
    <x v="11"/>
    <x v="0"/>
    <x v="2"/>
    <n v="1308"/>
    <s v="NOS"/>
    <m/>
    <m/>
    <n v="10000"/>
    <s v="LL"/>
    <n v="3375"/>
    <n v="6625"/>
    <n v="8.1363115051200019"/>
    <n v="2.7460051329780004"/>
    <n v="5.3903063721420015"/>
    <n v="0"/>
    <n v="0"/>
    <m/>
    <n v="8.5000000000000006E-2"/>
    <n v="3.1040000000000001"/>
    <n v="8.1363115051200019"/>
    <m/>
  </r>
  <r>
    <n v="607"/>
    <s v="Hosur"/>
    <x v="26"/>
    <s v="Srikam HI-Tech"/>
    <x v="20"/>
    <n v="2320560"/>
    <s v="944141-2320560"/>
    <s v="TUB-O-N-AUT-AW-PE-22.23X1.600X0.2100"/>
    <x v="0"/>
    <m/>
    <x v="0"/>
    <s v="CR"/>
    <s v="HROP"/>
    <m/>
    <m/>
    <m/>
    <x v="21"/>
    <s v="22.23-0-1.6-ERW 1-PE-0.21"/>
    <s v="#REF!"/>
    <m/>
    <m/>
    <m/>
    <m/>
    <x v="11"/>
    <x v="11"/>
    <x v="0"/>
    <x v="0"/>
    <n v="210"/>
    <m/>
    <m/>
    <m/>
    <m/>
    <m/>
    <e v="#N/A"/>
    <e v="#N/A"/>
    <n v="0"/>
    <e v="#N/A"/>
    <e v="#N/A"/>
    <e v="#DIV/0!"/>
    <n v="0"/>
    <m/>
    <n v="10.773161999999999"/>
    <n v="0"/>
    <n v="0"/>
    <m/>
  </r>
  <r>
    <n v="608"/>
    <s v="Hosur"/>
    <x v="26"/>
    <s v="Srikam HI-Tech"/>
    <x v="20"/>
    <n v="1940390"/>
    <s v="944141-1940390"/>
    <s v="TUB-O-O-AUT-AW-PE-22.23X1.600X0.2830"/>
    <x v="0"/>
    <m/>
    <x v="0"/>
    <s v="CR"/>
    <s v="GR1"/>
    <m/>
    <m/>
    <m/>
    <x v="21"/>
    <s v="22.23-0-1.6-ERW 1-PE-0.283"/>
    <n v="1"/>
    <s v="Hosur"/>
    <n v="5.9161999999999937E-2"/>
    <n v="0"/>
    <m/>
    <x v="11"/>
    <x v="11"/>
    <x v="0"/>
    <x v="0"/>
    <n v="283"/>
    <s v="NOS"/>
    <s v="Indico"/>
    <m/>
    <n v="10000"/>
    <s v="LL"/>
    <n v="0"/>
    <n v="10000"/>
    <n v="2.3025281633599999"/>
    <n v="0"/>
    <n v="2.3025281633599999"/>
    <n v="0"/>
    <n v="0"/>
    <m/>
    <n v="10.773161999999999"/>
    <n v="0"/>
    <n v="2.3025281633599999"/>
    <m/>
  </r>
  <r>
    <n v="609"/>
    <s v="Hosur"/>
    <x v="26"/>
    <s v="Srikam HI-Tech"/>
    <x v="20"/>
    <n v="2270133"/>
    <s v="944141-2270133"/>
    <s v="TUB-O-N-AUT-HR-PE-22.23X1.600X0.7000"/>
    <x v="0"/>
    <m/>
    <x v="0"/>
    <s v="CR"/>
    <s v="GR1"/>
    <m/>
    <m/>
    <m/>
    <x v="21"/>
    <s v="22.23-0-1.6-ERW 1-PE-0.7"/>
    <n v="1"/>
    <s v="Hosur"/>
    <n v="5.9161999999999937E-2"/>
    <n v="0"/>
    <m/>
    <x v="11"/>
    <x v="11"/>
    <x v="0"/>
    <x v="0"/>
    <n v="700"/>
    <s v="NOS"/>
    <m/>
    <m/>
    <n v="20000"/>
    <m/>
    <n v="1775"/>
    <n v="18225"/>
    <n v="11.390598688000001"/>
    <n v="1.01091563356"/>
    <n v="10.379683054440001"/>
    <n v="12.009904285726336"/>
    <n v="6.8399999999999997E-3"/>
    <m/>
    <n v="10.773161999999999"/>
    <n v="0"/>
    <n v="11.383758688"/>
    <m/>
  </r>
  <r>
    <n v="610"/>
    <s v="Hosur"/>
    <x v="26"/>
    <s v="Srikam HI-Tech"/>
    <x v="20"/>
    <n v="3673012"/>
    <s v="944141-3673012"/>
    <s v="TUB-O-N-AUT-AW-PE-22.23X1.600X0.9490"/>
    <x v="0"/>
    <m/>
    <x v="0"/>
    <s v="CR"/>
    <s v="HROP"/>
    <m/>
    <m/>
    <m/>
    <x v="21"/>
    <s v="22.23-0-1.6-ERW 1-PE-0.949"/>
    <n v="1"/>
    <s v="Hosur"/>
    <n v="5.9161999999999937E-2"/>
    <n v="0"/>
    <m/>
    <x v="11"/>
    <x v="11"/>
    <x v="0"/>
    <x v="0"/>
    <n v="949"/>
    <s v="NOS"/>
    <s v="Indico"/>
    <m/>
    <n v="5000"/>
    <s v="LL"/>
    <n v="0"/>
    <n v="5000"/>
    <n v="3.8605993410399995"/>
    <n v="0"/>
    <n v="3.8605993410399995"/>
    <n v="304.90732034443562"/>
    <n v="0.235425"/>
    <m/>
    <n v="10.773161999999999"/>
    <n v="0"/>
    <n v="3.6251743410399992"/>
    <m/>
  </r>
  <r>
    <n v="611"/>
    <s v="Hosur"/>
    <x v="26"/>
    <s v="Srikam HI-Tech"/>
    <x v="20"/>
    <n v="1940418"/>
    <s v="944141-1940418"/>
    <s v="TUB-O-O-AUT-AW-PE-22.23X1.600X0.9670"/>
    <x v="0"/>
    <m/>
    <x v="0"/>
    <s v="CR"/>
    <s v="GR1"/>
    <m/>
    <m/>
    <m/>
    <x v="21"/>
    <s v="22.23-0-1.6-ERW 1-PE-0.967"/>
    <n v="1"/>
    <s v="Hosur"/>
    <m/>
    <m/>
    <m/>
    <x v="11"/>
    <x v="11"/>
    <x v="0"/>
    <x v="0"/>
    <n v="967"/>
    <s v="NOS"/>
    <m/>
    <m/>
    <m/>
    <m/>
    <n v="0"/>
    <n v="0"/>
    <n v="0"/>
    <n v="0"/>
    <n v="0"/>
    <e v="#DIV/0!"/>
    <n v="0"/>
    <m/>
    <n v="10.773161999999999"/>
    <n v="0"/>
    <n v="0"/>
    <m/>
  </r>
  <r>
    <n v="612"/>
    <s v="Hosur"/>
    <x v="26"/>
    <s v="Srikam HI-Tech"/>
    <x v="20"/>
    <n v="3673011"/>
    <s v="944141-3673011"/>
    <s v="TUB-O-N-AUT-AW-PE-22.23X1.600X1.3040"/>
    <x v="0"/>
    <m/>
    <x v="0"/>
    <s v="CR"/>
    <s v="HROP"/>
    <m/>
    <m/>
    <m/>
    <x v="21"/>
    <s v="22.23-0-1.6-ERW 1-PE-1.304"/>
    <n v="1"/>
    <s v="Hosur"/>
    <n v="5.9161999999999937E-2"/>
    <n v="0"/>
    <m/>
    <x v="11"/>
    <x v="11"/>
    <x v="0"/>
    <x v="0"/>
    <n v="1304"/>
    <s v="NOS"/>
    <m/>
    <m/>
    <n v="5000"/>
    <s v="LL"/>
    <n v="10450"/>
    <n v="-5450"/>
    <n v="5.304764531840001"/>
    <n v="11.0869578715456"/>
    <n v="-5.7821933397055991"/>
    <n v="118.7781278920307"/>
    <n v="0.12601799999999999"/>
    <m/>
    <n v="10.773161999999999"/>
    <n v="0"/>
    <n v="5.1787465318400008"/>
    <m/>
  </r>
  <r>
    <n v="613"/>
    <s v="Hosur"/>
    <x v="26"/>
    <s v="Srikam HI-Tech"/>
    <x v="20"/>
    <n v="1385283"/>
    <s v="944141-1385283"/>
    <s v="TUB-O-N-AUT-AW-PE-22.20X1.600X1.3370"/>
    <x v="0"/>
    <m/>
    <x v="0"/>
    <s v="HR"/>
    <m/>
    <m/>
    <m/>
    <m/>
    <x v="21"/>
    <s v="22.23-0-1.6-ERW 1-PE-1.337"/>
    <n v="1"/>
    <s v="Hosur"/>
    <m/>
    <m/>
    <m/>
    <x v="11"/>
    <x v="11"/>
    <x v="0"/>
    <x v="0"/>
    <n v="1337"/>
    <s v="NOS"/>
    <m/>
    <m/>
    <m/>
    <m/>
    <n v="0"/>
    <n v="0"/>
    <n v="0"/>
    <n v="0"/>
    <n v="0"/>
    <e v="#DIV/0!"/>
    <n v="0"/>
    <m/>
    <n v="10.773161999999999"/>
    <n v="0"/>
    <n v="0"/>
    <m/>
  </r>
  <r>
    <n v="614"/>
    <s v="Hosur"/>
    <x v="26"/>
    <s v="Srikam HI-Tech"/>
    <x v="20"/>
    <n v="1940430"/>
    <s v="944141-1940430"/>
    <s v="TUB-O-O-AUT-AW-PE-22.23X2.000X0.2200"/>
    <x v="0"/>
    <m/>
    <x v="0"/>
    <s v="HR"/>
    <m/>
    <m/>
    <m/>
    <m/>
    <x v="49"/>
    <s v="22.23-0-2-ERW 1-PE-0.22"/>
    <n v="2"/>
    <s v="Hosur"/>
    <n v="5.5039059999999997"/>
    <n v="1.0470000000000002"/>
    <m/>
    <x v="11"/>
    <x v="11"/>
    <x v="0"/>
    <x v="8"/>
    <n v="220"/>
    <s v="NOS"/>
    <s v="Hosur Plant"/>
    <m/>
    <n v="20000"/>
    <m/>
    <n v="4200"/>
    <n v="15800"/>
    <n v="4.3881135760000003"/>
    <n v="0.92150385096000009"/>
    <n v="3.4666097250400001"/>
    <n v="75.244178228626595"/>
    <n v="1.6508999999999999E-2"/>
    <m/>
    <n v="11.690147"/>
    <n v="1.629"/>
    <n v="4.3716045760000002"/>
    <m/>
  </r>
  <r>
    <n v="615"/>
    <s v="Hosur"/>
    <x v="26"/>
    <s v="Srikam HI-Tech"/>
    <x v="20"/>
    <n v="1902768"/>
    <s v="944141-1902768"/>
    <s v="TUB-O-N-AUT-AW-PE-22.23X2.000X0.3050"/>
    <x v="0"/>
    <m/>
    <x v="1"/>
    <s v="HR"/>
    <m/>
    <m/>
    <m/>
    <m/>
    <x v="22"/>
    <s v="22.23-0-2-ERW 1--0.305"/>
    <s v="#REF!"/>
    <m/>
    <m/>
    <m/>
    <m/>
    <x v="11"/>
    <x v="11"/>
    <x v="0"/>
    <x v="8"/>
    <n v="305"/>
    <m/>
    <m/>
    <m/>
    <m/>
    <m/>
    <e v="#N/A"/>
    <e v="#N/A"/>
    <n v="0"/>
    <e v="#N/A"/>
    <e v="#N/A"/>
    <e v="#DIV/0!"/>
    <n v="0"/>
    <m/>
    <n v="0"/>
    <n v="0"/>
    <n v="0"/>
    <m/>
  </r>
  <r>
    <n v="616"/>
    <s v="Hosur"/>
    <x v="26"/>
    <s v="Srikam HI-Tech"/>
    <x v="20"/>
    <n v="1940449"/>
    <s v="944141-1940449"/>
    <s v="TUB-O-O-AUT-AW-PE-22.23X2.000X0.5740"/>
    <x v="0"/>
    <m/>
    <x v="1"/>
    <s v="HR"/>
    <m/>
    <m/>
    <m/>
    <m/>
    <x v="22"/>
    <s v="22.23-0-2-ERW 1--0.574"/>
    <s v="#REF!"/>
    <m/>
    <m/>
    <m/>
    <m/>
    <x v="11"/>
    <x v="11"/>
    <x v="0"/>
    <x v="8"/>
    <n v="574"/>
    <m/>
    <m/>
    <m/>
    <m/>
    <m/>
    <e v="#N/A"/>
    <e v="#N/A"/>
    <n v="0"/>
    <e v="#N/A"/>
    <e v="#N/A"/>
    <e v="#DIV/0!"/>
    <n v="0"/>
    <m/>
    <n v="0"/>
    <n v="0"/>
    <n v="0"/>
    <m/>
  </r>
  <r>
    <n v="617"/>
    <s v="Hosur"/>
    <x v="26"/>
    <s v="Srikam HI-Tech"/>
    <x v="20"/>
    <n v="1936862"/>
    <s v="944141-1936862"/>
    <s v="TUB-O-N-AUT-AW-PE-22.20X2.000X0.8050"/>
    <x v="0"/>
    <m/>
    <x v="1"/>
    <s v="HR"/>
    <m/>
    <m/>
    <m/>
    <m/>
    <x v="22"/>
    <s v="22.23-0-2-ERW 1--0.805"/>
    <s v="#REF!"/>
    <m/>
    <m/>
    <m/>
    <m/>
    <x v="11"/>
    <x v="11"/>
    <x v="0"/>
    <x v="8"/>
    <n v="805"/>
    <m/>
    <m/>
    <m/>
    <m/>
    <m/>
    <e v="#N/A"/>
    <e v="#N/A"/>
    <n v="0"/>
    <e v="#N/A"/>
    <e v="#N/A"/>
    <e v="#DIV/0!"/>
    <n v="0"/>
    <m/>
    <n v="0"/>
    <n v="0"/>
    <n v="0"/>
    <m/>
  </r>
  <r>
    <m/>
    <s v="Hosur"/>
    <x v="26"/>
    <s v="Srikam HI-Tech"/>
    <x v="20"/>
    <m/>
    <s v="944141-"/>
    <m/>
    <x v="0"/>
    <m/>
    <x v="0"/>
    <m/>
    <m/>
    <m/>
    <m/>
    <m/>
    <x v="1"/>
    <m/>
    <m/>
    <m/>
    <n v="0"/>
    <m/>
    <m/>
    <x v="11"/>
    <x v="11"/>
    <x v="0"/>
    <x v="9"/>
    <n v="245"/>
    <s v="NOS"/>
    <m/>
    <m/>
    <m/>
    <m/>
    <n v="0"/>
    <n v="0"/>
    <n v="0"/>
    <n v="0"/>
    <n v="0"/>
    <e v="#DIV/0!"/>
    <n v="0"/>
    <m/>
    <n v="0"/>
    <n v="0"/>
    <n v="0"/>
    <m/>
  </r>
  <r>
    <n v="620"/>
    <s v="Hosur"/>
    <x v="26"/>
    <s v="Srikam HI-Tech"/>
    <x v="20"/>
    <n v="1940498"/>
    <s v="944141-1940498"/>
    <s v="TUB-O-O-AUT-AW-PE-22.23X2.300X0.2810"/>
    <x v="0"/>
    <m/>
    <x v="0"/>
    <s v="HR"/>
    <m/>
    <m/>
    <m/>
    <m/>
    <x v="24"/>
    <s v="22.23-0-2.3-ERW 1-PE-0.281"/>
    <n v="1"/>
    <s v="Hosur"/>
    <n v="6.8109740000000007"/>
    <n v="0"/>
    <m/>
    <x v="11"/>
    <x v="11"/>
    <x v="0"/>
    <x v="9"/>
    <n v="281"/>
    <s v="NOS"/>
    <m/>
    <m/>
    <n v="70000"/>
    <m/>
    <n v="35617"/>
    <n v="34383"/>
    <n v="22.224848001369999"/>
    <n v="11.308320160925646"/>
    <n v="10.916527840444353"/>
    <n v="307.69974217949442"/>
    <n v="9.7694000000000003E-2"/>
    <m/>
    <n v="6.8109739999999999"/>
    <n v="0"/>
    <n v="22.127154001369998"/>
    <m/>
  </r>
  <r>
    <n v="621"/>
    <s v="Hosur"/>
    <x v="26"/>
    <s v="Srikam HI-Tech"/>
    <x v="20"/>
    <s v="NO MATERIAL CODE"/>
    <s v="944141-NO MATERIAL CODE"/>
    <s v="TUB-O-O-AUT-AW-PE-22.23X2.300X0.4270"/>
    <x v="0"/>
    <m/>
    <x v="0"/>
    <s v="HR"/>
    <m/>
    <m/>
    <m/>
    <m/>
    <x v="24"/>
    <s v="22.23-0-2.3-ERW 1-PE-0.427"/>
    <n v="1"/>
    <s v="Hosur"/>
    <n v="6.8109740000000007"/>
    <n v="0"/>
    <m/>
    <x v="11"/>
    <x v="11"/>
    <x v="0"/>
    <x v="9"/>
    <n v="427"/>
    <s v="NOS"/>
    <m/>
    <m/>
    <n v="5000"/>
    <s v="LL"/>
    <n v="8000"/>
    <n v="-3000"/>
    <n v="2.4123055659850001"/>
    <n v="3.8596889055760002"/>
    <n v="-1.4473833395910001"/>
    <n v="0"/>
    <n v="0"/>
    <m/>
    <n v="6.8109739999999999"/>
    <n v="0"/>
    <n v="2.4123055659850001"/>
    <m/>
  </r>
  <r>
    <n v="622"/>
    <s v="Hosur"/>
    <x v="26"/>
    <s v="Srikam HI-Tech"/>
    <x v="20"/>
    <n v="1940584"/>
    <s v="944141-1940584"/>
    <s v="TUB-O-O-AUT-AW-FC-25.40X2.000X0.2810"/>
    <x v="0"/>
    <m/>
    <x v="2"/>
    <s v="HR"/>
    <m/>
    <m/>
    <m/>
    <m/>
    <x v="25"/>
    <s v="25.4-0-2-ERW 1-FC-0.281"/>
    <n v="1"/>
    <s v="Hosur"/>
    <n v="10.051000000000002"/>
    <n v="0"/>
    <m/>
    <x v="3"/>
    <x v="3"/>
    <x v="0"/>
    <x v="8"/>
    <n v="281"/>
    <s v="NOS"/>
    <m/>
    <m/>
    <n v="20000"/>
    <m/>
    <n v="14400"/>
    <n v="5600"/>
    <n v="6.4830813840000001"/>
    <n v="4.6678185964800001"/>
    <n v="1.81526278752"/>
    <n v="2031.0187733407604"/>
    <n v="0.65836300000000003"/>
    <m/>
    <n v="10.738999999999999"/>
    <n v="25.931000000000001"/>
    <n v="5.8247183840000005"/>
    <m/>
  </r>
  <r>
    <n v="623"/>
    <s v="Hosur"/>
    <x v="26"/>
    <s v="Srikam HI-Tech"/>
    <x v="20"/>
    <n v="1940621"/>
    <s v="944141-1940621"/>
    <s v="TUB-O-O-GEN-AW-PE-28.58X1.600X6.0000"/>
    <x v="0"/>
    <m/>
    <x v="0"/>
    <s v="CR"/>
    <s v="GR1"/>
    <m/>
    <m/>
    <m/>
    <x v="172"/>
    <s v="28.58-0-1.6-ERW 1-PE-6"/>
    <s v="#REF!"/>
    <m/>
    <m/>
    <m/>
    <m/>
    <x v="12"/>
    <x v="12"/>
    <x v="0"/>
    <x v="0"/>
    <n v="6000"/>
    <m/>
    <m/>
    <m/>
    <m/>
    <m/>
    <e v="#N/A"/>
    <e v="#N/A"/>
    <n v="0"/>
    <e v="#N/A"/>
    <e v="#N/A"/>
    <e v="#DIV/0!"/>
    <n v="0"/>
    <m/>
    <n v="0"/>
    <n v="0"/>
    <n v="0"/>
    <m/>
  </r>
  <r>
    <n v="619"/>
    <s v="Hosur"/>
    <x v="26"/>
    <s v="Srikam HI-Tech"/>
    <x v="20"/>
    <n v="4036237"/>
    <s v="944141-4036237"/>
    <s v="CUT-O-N-AUT-AW-PE-22.23X2.000X0.6040"/>
    <x v="5"/>
    <m/>
    <x v="0"/>
    <s v="HR"/>
    <m/>
    <m/>
    <m/>
    <m/>
    <x v="57"/>
    <s v="22.23-0-2-ERW 2 MAHS-PE-0.604"/>
    <n v="1"/>
    <m/>
    <m/>
    <m/>
    <m/>
    <x v="11"/>
    <x v="11"/>
    <x v="0"/>
    <x v="8"/>
    <n v="604"/>
    <s v="NOS"/>
    <m/>
    <m/>
    <m/>
    <m/>
    <n v="0"/>
    <n v="0"/>
    <n v="0"/>
    <n v="0"/>
    <n v="0"/>
    <e v="#DIV/0!"/>
    <n v="0"/>
    <m/>
    <n v="15.667999999999999"/>
    <n v="0"/>
    <n v="0"/>
    <m/>
  </r>
  <r>
    <n v="587"/>
    <s v="Hosur"/>
    <x v="26"/>
    <s v="Srikam HI-Tech"/>
    <x v="20"/>
    <n v="1156869"/>
    <s v="944141-1156869"/>
    <s v="TUB-O-N-AUT-AW-PE-19.05X2.000X0.271"/>
    <x v="2"/>
    <m/>
    <x v="1"/>
    <s v="HR"/>
    <m/>
    <m/>
    <m/>
    <m/>
    <x v="173"/>
    <s v="19.05-0-2---0.271"/>
    <s v="#REF!"/>
    <m/>
    <m/>
    <m/>
    <m/>
    <x v="2"/>
    <x v="2"/>
    <x v="0"/>
    <x v="8"/>
    <n v="271"/>
    <s v="NOS"/>
    <m/>
    <m/>
    <m/>
    <m/>
    <n v="0"/>
    <n v="0"/>
    <n v="0"/>
    <n v="0"/>
    <n v="0"/>
    <e v="#DIV/0!"/>
    <n v="0"/>
    <m/>
    <n v="0"/>
    <n v="0"/>
    <n v="0"/>
    <m/>
  </r>
  <r>
    <n v="588"/>
    <s v="Hosur"/>
    <x v="26"/>
    <s v="Srikam HI-Tech"/>
    <x v="20"/>
    <n v="1637759"/>
    <s v="944141-1637759"/>
    <s v="TUB-O-N-AUT-AW-PE-19.05X2.000X0.4520"/>
    <x v="2"/>
    <m/>
    <x v="1"/>
    <s v="HR"/>
    <m/>
    <m/>
    <m/>
    <m/>
    <x v="173"/>
    <s v="19.05-0-2---0.452"/>
    <s v="#REF!"/>
    <m/>
    <m/>
    <m/>
    <m/>
    <x v="2"/>
    <x v="2"/>
    <x v="0"/>
    <x v="8"/>
    <n v="452"/>
    <s v="NOS"/>
    <m/>
    <m/>
    <m/>
    <m/>
    <n v="0"/>
    <n v="0"/>
    <n v="0"/>
    <n v="0"/>
    <n v="0"/>
    <e v="#DIV/0!"/>
    <n v="0"/>
    <m/>
    <n v="0"/>
    <n v="0"/>
    <n v="0"/>
    <m/>
  </r>
  <r>
    <n v="592"/>
    <s v="Hosur"/>
    <x v="26"/>
    <s v="Srikam HI-Tech"/>
    <x v="20"/>
    <n v="451367"/>
    <s v="944141-451367"/>
    <s v="PT2-O-N-AUT-AW-PE-19.05X2.000X0.925"/>
    <x v="2"/>
    <m/>
    <x v="1"/>
    <s v="HR"/>
    <m/>
    <m/>
    <m/>
    <m/>
    <x v="173"/>
    <s v="19.05-0-2---0.925"/>
    <s v="#REF!"/>
    <m/>
    <m/>
    <m/>
    <m/>
    <x v="2"/>
    <x v="2"/>
    <x v="0"/>
    <x v="8"/>
    <n v="925"/>
    <s v="NOS"/>
    <m/>
    <m/>
    <m/>
    <m/>
    <n v="0"/>
    <n v="0"/>
    <n v="0"/>
    <n v="0"/>
    <n v="0"/>
    <e v="#DIV/0!"/>
    <n v="0"/>
    <m/>
    <n v="0"/>
    <n v="0"/>
    <n v="0"/>
    <m/>
  </r>
  <r>
    <n v="593"/>
    <s v="Hosur"/>
    <x v="26"/>
    <s v="Srikam HI-Tech"/>
    <x v="20"/>
    <n v="3499307"/>
    <s v="944141-3499307"/>
    <s v="TUB-O-N-AUT-AW-PE-19.05X2.00X6.000-ERW 1"/>
    <x v="2"/>
    <m/>
    <x v="1"/>
    <s v="HR"/>
    <m/>
    <m/>
    <m/>
    <m/>
    <x v="173"/>
    <s v="19.05-0-2---6"/>
    <s v="#REF!"/>
    <m/>
    <m/>
    <m/>
    <m/>
    <x v="2"/>
    <x v="2"/>
    <x v="0"/>
    <x v="8"/>
    <n v="6000"/>
    <s v="M"/>
    <m/>
    <m/>
    <m/>
    <m/>
    <n v="0"/>
    <n v="0"/>
    <n v="0"/>
    <n v="0"/>
    <n v="0"/>
    <e v="#DIV/0!"/>
    <n v="0"/>
    <m/>
    <n v="0"/>
    <n v="0"/>
    <n v="0"/>
    <m/>
  </r>
  <r>
    <n v="605"/>
    <s v="Hosur"/>
    <x v="26"/>
    <s v="Srikam HI-Tech"/>
    <x v="20"/>
    <n v="3669081"/>
    <s v="944141-3669081"/>
    <s v="TUB-O-N-AUT-AW-PE-22.20X1.200X1.3000"/>
    <x v="2"/>
    <m/>
    <x v="1"/>
    <s v="HR"/>
    <m/>
    <m/>
    <m/>
    <m/>
    <x v="174"/>
    <s v="22.23-0-1.2---1.3"/>
    <s v="#REF!"/>
    <m/>
    <m/>
    <m/>
    <m/>
    <x v="11"/>
    <x v="11"/>
    <x v="0"/>
    <x v="2"/>
    <n v="1300"/>
    <m/>
    <m/>
    <m/>
    <m/>
    <m/>
    <e v="#N/A"/>
    <e v="#N/A"/>
    <n v="0"/>
    <e v="#N/A"/>
    <e v="#N/A"/>
    <e v="#DIV/0!"/>
    <n v="0"/>
    <m/>
    <n v="0"/>
    <n v="0"/>
    <n v="0"/>
    <m/>
  </r>
  <r>
    <n v="618"/>
    <s v="Hosur"/>
    <x v="26"/>
    <s v="Srikam HI-Tech"/>
    <x v="20"/>
    <n v="3673948"/>
    <s v="944141-3673948"/>
    <s v="CUT-O-N-AUT-AW-PE-22.20X2.300X0.2450"/>
    <x v="2"/>
    <m/>
    <x v="0"/>
    <s v="HR"/>
    <m/>
    <m/>
    <m/>
    <m/>
    <x v="175"/>
    <s v="22.23-0-2.3--PE-0.245"/>
    <s v="#REF!"/>
    <m/>
    <m/>
    <m/>
    <m/>
    <x v="11"/>
    <x v="11"/>
    <x v="0"/>
    <x v="9"/>
    <n v="245"/>
    <m/>
    <m/>
    <m/>
    <m/>
    <m/>
    <e v="#N/A"/>
    <e v="#N/A"/>
    <n v="0"/>
    <e v="#N/A"/>
    <e v="#N/A"/>
    <e v="#DIV/0!"/>
    <n v="0"/>
    <m/>
    <n v="0"/>
    <n v="0"/>
    <n v="0"/>
    <m/>
  </r>
  <r>
    <n v="624"/>
    <s v="Hosur"/>
    <x v="27"/>
    <s v="TVSM direct"/>
    <x v="21"/>
    <n v="1941860"/>
    <s v="187268-1941860"/>
    <s v="TUB-R-AW-RHS-40.00X30.00X1.600X0.4000"/>
    <x v="0"/>
    <m/>
    <x v="2"/>
    <s v="CR"/>
    <s v="GR1"/>
    <m/>
    <m/>
    <m/>
    <x v="36"/>
    <s v="40-30-1.6-ERW 1-FC-0.4"/>
    <n v="1"/>
    <m/>
    <n v="0.95786300000000013"/>
    <n v="0"/>
    <m/>
    <x v="17"/>
    <x v="15"/>
    <x v="1"/>
    <x v="0"/>
    <n v="400"/>
    <s v="NOS"/>
    <m/>
    <m/>
    <m/>
    <m/>
    <n v="0"/>
    <n v="0"/>
    <n v="0"/>
    <n v="0"/>
    <n v="0"/>
    <e v="#DIV/0!"/>
    <n v="4.4930000000000005E-3"/>
    <m/>
    <n v="0.95786300000000002"/>
    <n v="0"/>
    <n v="-4.4930000000000005E-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s v="RUCHA"/>
    <s v="CEW AN"/>
    <s v="NON FIN"/>
    <s v="CEW "/>
    <x v="0"/>
    <m/>
    <x v="0"/>
    <x v="0"/>
    <x v="0"/>
    <n v="0"/>
    <m/>
    <s v="111.56CEW NON FIN"/>
    <s v="No Key"/>
    <s v="No Key"/>
    <m/>
    <x v="0"/>
    <n v="2442390"/>
    <b v="1"/>
    <x v="0"/>
    <x v="0"/>
    <n v="1"/>
    <n v="0"/>
    <n v="0"/>
    <m/>
    <n v="0"/>
    <n v="0"/>
    <n v="0"/>
    <n v="1"/>
    <n v="1"/>
    <n v="0"/>
    <n v="0"/>
    <n v="1"/>
    <n v="0"/>
    <n v="1"/>
    <m/>
  </r>
  <r>
    <x v="0"/>
    <s v="RUCHA"/>
    <s v="ERW1"/>
    <s v="NON FIN"/>
    <s v="ERW"/>
    <x v="1"/>
    <m/>
    <x v="1"/>
    <x v="0"/>
    <x v="0"/>
    <n v="0"/>
    <m/>
    <s v="12.71.26ERWNON FIN"/>
    <s v="No Key"/>
    <s v="No Key"/>
    <s v="Value Added"/>
    <x v="1"/>
    <n v="1939985"/>
    <b v="1"/>
    <x v="1"/>
    <x v="1"/>
    <n v="8"/>
    <n v="0"/>
    <n v="7"/>
    <m/>
    <n v="7"/>
    <n v="0"/>
    <n v="7"/>
    <n v="1"/>
    <n v="1"/>
    <n v="0"/>
    <n v="0"/>
    <n v="1"/>
    <n v="0"/>
    <n v="1"/>
    <n v="4"/>
  </r>
  <r>
    <x v="1"/>
    <s v="BADVE"/>
    <s v="ERW1"/>
    <s v="NON FIN"/>
    <s v="ERW"/>
    <x v="1"/>
    <m/>
    <x v="2"/>
    <x v="0"/>
    <x v="0"/>
    <n v="0"/>
    <m/>
    <s v="12.71.46ERWNON FIN"/>
    <s v="No Key"/>
    <s v="No Key"/>
    <m/>
    <x v="1"/>
    <n v="1931117"/>
    <b v="1"/>
    <x v="1"/>
    <x v="2"/>
    <n v="5"/>
    <n v="0"/>
    <n v="7"/>
    <m/>
    <n v="7"/>
    <n v="0"/>
    <n v="7"/>
    <n v="-2"/>
    <n v="0"/>
    <n v="0"/>
    <n v="0"/>
    <n v="0"/>
    <n v="0"/>
    <n v="0"/>
    <m/>
  </r>
  <r>
    <x v="1"/>
    <s v="BADVE"/>
    <s v="ERW1"/>
    <s v="NON FIN"/>
    <s v="ERW"/>
    <x v="1"/>
    <m/>
    <x v="3"/>
    <x v="0"/>
    <x v="0"/>
    <n v="0"/>
    <m/>
    <s v="12.71.66ERWNON FIN"/>
    <s v="No Key"/>
    <s v="No Key"/>
    <m/>
    <x v="1"/>
    <n v="1931154"/>
    <b v="1"/>
    <x v="1"/>
    <x v="3"/>
    <n v="2"/>
    <n v="0"/>
    <n v="4"/>
    <m/>
    <n v="4"/>
    <n v="0"/>
    <n v="4"/>
    <n v="-2"/>
    <n v="0"/>
    <n v="0"/>
    <n v="0"/>
    <n v="0"/>
    <n v="0"/>
    <n v="0"/>
    <m/>
  </r>
  <r>
    <x v="0"/>
    <s v="RUCHA"/>
    <s v="ERW1"/>
    <s v="NON FIN"/>
    <s v="ERW"/>
    <x v="1"/>
    <m/>
    <x v="4"/>
    <x v="0"/>
    <x v="0"/>
    <n v="0"/>
    <m/>
    <s v="12.726ERWNON FIN"/>
    <n v="0"/>
    <e v="#N/A"/>
    <m/>
    <x v="1"/>
    <n v="236166"/>
    <b v="1"/>
    <x v="1"/>
    <x v="4"/>
    <n v="3"/>
    <n v="0"/>
    <n v="0"/>
    <m/>
    <n v="0"/>
    <n v="0"/>
    <n v="0"/>
    <n v="3"/>
    <n v="3"/>
    <n v="0"/>
    <n v="0"/>
    <n v="3"/>
    <n v="0"/>
    <n v="3"/>
    <m/>
  </r>
  <r>
    <x v="1"/>
    <s v="BADVE"/>
    <s v="ERW1"/>
    <s v="NON FIN"/>
    <s v="ERW"/>
    <x v="2"/>
    <m/>
    <x v="5"/>
    <x v="0"/>
    <x v="0"/>
    <n v="0"/>
    <m/>
    <s v="15.8816ERWNON FIN"/>
    <s v="15.88-0-1-ERW 1-PE"/>
    <s v="15.88-0-1-ERW 1-PE-6"/>
    <m/>
    <x v="1"/>
    <n v="1940054"/>
    <b v="1"/>
    <x v="1"/>
    <x v="5"/>
    <n v="1"/>
    <n v="0"/>
    <n v="1.4"/>
    <m/>
    <n v="1.4"/>
    <n v="0"/>
    <n v="1.4"/>
    <n v="-0.39999999999999991"/>
    <n v="0"/>
    <n v="0"/>
    <n v="0"/>
    <n v="0"/>
    <n v="0"/>
    <n v="0"/>
    <m/>
  </r>
  <r>
    <x v="0"/>
    <s v="RUCHA"/>
    <s v="ERW1"/>
    <s v="NON FIN"/>
    <s v="ERW"/>
    <x v="2"/>
    <m/>
    <x v="1"/>
    <x v="0"/>
    <x v="0"/>
    <n v="0"/>
    <m/>
    <s v="15.881.26ERWNON FIN"/>
    <s v="15.88-0-1-ERW 1-PE"/>
    <s v="15.88-0-1-ERW 1-PE-6"/>
    <m/>
    <x v="1"/>
    <n v="1940054"/>
    <b v="1"/>
    <x v="1"/>
    <x v="5"/>
    <n v="5"/>
    <n v="2"/>
    <n v="0"/>
    <m/>
    <n v="-2"/>
    <n v="0"/>
    <n v="-2"/>
    <n v="7"/>
    <n v="7"/>
    <n v="0"/>
    <n v="0"/>
    <n v="7"/>
    <n v="0"/>
    <n v="7"/>
    <m/>
  </r>
  <r>
    <x v="1"/>
    <s v="BADVE"/>
    <s v="ERW1"/>
    <s v="NON FIN"/>
    <s v="ERW"/>
    <x v="2"/>
    <m/>
    <x v="3"/>
    <x v="0"/>
    <x v="0"/>
    <n v="0"/>
    <m/>
    <s v="15.881.66ERWNON FIN"/>
    <s v="15.88-0-1.6-ERW 1-PE"/>
    <s v="15.88-0-1.6-ERW 1-PE-6"/>
    <m/>
    <x v="1"/>
    <n v="1900224"/>
    <b v="1"/>
    <x v="1"/>
    <x v="6"/>
    <n v="2"/>
    <n v="0"/>
    <n v="4"/>
    <m/>
    <n v="4"/>
    <n v="0"/>
    <n v="4"/>
    <n v="-2"/>
    <n v="0"/>
    <n v="0"/>
    <n v="0"/>
    <n v="0"/>
    <n v="0"/>
    <n v="0"/>
    <m/>
  </r>
  <r>
    <x v="1"/>
    <s v="BADVE"/>
    <s v="ERW1"/>
    <s v="NON FIN"/>
    <s v="ERW"/>
    <x v="2"/>
    <m/>
    <x v="4"/>
    <x v="0"/>
    <x v="0"/>
    <n v="0"/>
    <m/>
    <s v="15.8826ERWNON FIN"/>
    <s v="15.88-0-2-ERW 1-PE"/>
    <s v="15.88-0-2-ERW 1-PE-6"/>
    <m/>
    <x v="1"/>
    <n v="1940120"/>
    <b v="1"/>
    <x v="1"/>
    <x v="7"/>
    <n v="5"/>
    <n v="0"/>
    <n v="2"/>
    <m/>
    <n v="2"/>
    <n v="0"/>
    <n v="2"/>
    <n v="3"/>
    <n v="3"/>
    <n v="0"/>
    <n v="0"/>
    <n v="3"/>
    <n v="0"/>
    <n v="3"/>
    <m/>
  </r>
  <r>
    <x v="0"/>
    <s v="RUCHA"/>
    <s v="ERW1"/>
    <s v="NON FIN"/>
    <s v="ERW"/>
    <x v="3"/>
    <m/>
    <x v="5"/>
    <x v="0"/>
    <x v="0"/>
    <n v="0"/>
    <m/>
    <s v="18.316ERWNON FIN"/>
    <n v="0"/>
    <e v="#N/A"/>
    <m/>
    <x v="1"/>
    <n v="2288945"/>
    <b v="1"/>
    <x v="1"/>
    <x v="8"/>
    <n v="10"/>
    <n v="2"/>
    <n v="6"/>
    <m/>
    <n v="4"/>
    <n v="0"/>
    <n v="4"/>
    <n v="6"/>
    <n v="6"/>
    <n v="0"/>
    <n v="0"/>
    <n v="6"/>
    <n v="0"/>
    <n v="6"/>
    <m/>
  </r>
  <r>
    <x v="1"/>
    <s v="BADVE"/>
    <s v="ERW1"/>
    <s v="NON FIN"/>
    <s v="ERW"/>
    <x v="4"/>
    <m/>
    <x v="3"/>
    <x v="0"/>
    <x v="0"/>
    <n v="0"/>
    <m/>
    <s v="19.051.66ERWNON FIN"/>
    <s v="19.05-0-1.6-ERW 1-PE"/>
    <s v="19.05-0-1.6-ERW 1-PE-6"/>
    <m/>
    <x v="2"/>
    <n v="3498997"/>
    <b v="1"/>
    <x v="2"/>
    <x v="9"/>
    <n v="10"/>
    <n v="2"/>
    <n v="1"/>
    <m/>
    <n v="-1"/>
    <n v="6.4"/>
    <n v="5.4"/>
    <n v="4.5999999999999996"/>
    <n v="4.5999999999999996"/>
    <n v="10.74"/>
    <n v="12.04182"/>
    <n v="11"/>
    <n v="22.78182"/>
    <n v="0"/>
    <m/>
  </r>
  <r>
    <x v="1"/>
    <s v="BADVE"/>
    <s v="ERW2"/>
    <s v="NON FIN"/>
    <s v="ERW2"/>
    <x v="4"/>
    <m/>
    <x v="2"/>
    <x v="0"/>
    <x v="0"/>
    <n v="0"/>
    <m/>
    <s v="19.051.46ERW2NON FIN"/>
    <s v="No Key"/>
    <s v="No Key"/>
    <m/>
    <x v="2"/>
    <n v="3891285"/>
    <b v="1"/>
    <x v="2"/>
    <x v="10"/>
    <n v="5"/>
    <n v="0"/>
    <n v="0"/>
    <m/>
    <n v="0"/>
    <n v="7.5"/>
    <n v="7.5"/>
    <n v="-2.5"/>
    <n v="0"/>
    <n v="0"/>
    <n v="0"/>
    <n v="7.5"/>
    <n v="0"/>
    <n v="7.5"/>
    <m/>
  </r>
  <r>
    <x v="0"/>
    <s v="RUCHA"/>
    <s v="ERW1"/>
    <s v="NON FIN"/>
    <s v="ERW"/>
    <x v="4"/>
    <m/>
    <x v="4"/>
    <x v="1"/>
    <x v="1"/>
    <n v="0"/>
    <m/>
    <s v="19.0525.8ERWNON FIN"/>
    <s v="19.05-0-2-ERW 1-PE"/>
    <s v="19.05-0-2-ERW 1-PE-5.8"/>
    <s v="Value Added"/>
    <x v="2"/>
    <n v="3212868"/>
    <b v="1"/>
    <x v="2"/>
    <x v="11"/>
    <n v="35"/>
    <n v="6"/>
    <n v="50"/>
    <m/>
    <n v="44"/>
    <n v="17.5"/>
    <n v="61.5"/>
    <n v="-26.5"/>
    <n v="0"/>
    <n v="0"/>
    <n v="0"/>
    <n v="17.5"/>
    <n v="0"/>
    <n v="17.5"/>
    <n v="50"/>
  </r>
  <r>
    <x v="0"/>
    <s v="RUCHA,METALMAN"/>
    <s v="ERW1"/>
    <s v="NON FIN"/>
    <s v="ERW"/>
    <x v="4"/>
    <m/>
    <x v="6"/>
    <x v="2"/>
    <x v="2"/>
    <n v="0"/>
    <m/>
    <s v="19.052.37ERWNON FIN"/>
    <s v="19.05-0-2.3-ERW 1-PE"/>
    <s v="19.05-0-2.3-ERW 1-PE-7"/>
    <m/>
    <x v="2"/>
    <n v="3500582"/>
    <b v="1"/>
    <x v="2"/>
    <x v="12"/>
    <n v="20"/>
    <n v="3"/>
    <n v="4"/>
    <m/>
    <n v="1"/>
    <n v="29.7"/>
    <n v="30.7"/>
    <n v="-10.7"/>
    <n v="0"/>
    <n v="20.52"/>
    <n v="4.2763360000000006"/>
    <n v="29.7"/>
    <n v="24.796336"/>
    <n v="4.9036639999999991"/>
    <m/>
  </r>
  <r>
    <x v="0"/>
    <s v="RUCHA"/>
    <s v="ERW1"/>
    <s v="NON FIN"/>
    <s v="ERW"/>
    <x v="5"/>
    <m/>
    <x v="3"/>
    <x v="0"/>
    <x v="0"/>
    <n v="0"/>
    <m/>
    <s v="21.41.66ERWNON FIN"/>
    <s v="21.4-0-1.6-ERW 1-PE"/>
    <s v="21.4-0-1.6-ERW 1-PE-6"/>
    <m/>
    <x v="1"/>
    <n v="3219710"/>
    <b v="1"/>
    <x v="1"/>
    <x v="13"/>
    <n v="10"/>
    <n v="1"/>
    <n v="8"/>
    <m/>
    <n v="7"/>
    <n v="0"/>
    <n v="7"/>
    <n v="3"/>
    <n v="3"/>
    <n v="0"/>
    <n v="0"/>
    <n v="3"/>
    <n v="0"/>
    <n v="3"/>
    <m/>
  </r>
  <r>
    <x v="0"/>
    <s v="RUCHA"/>
    <s v="ERW1"/>
    <s v="NON FIN"/>
    <s v="ERW"/>
    <x v="6"/>
    <m/>
    <x v="1"/>
    <x v="3"/>
    <x v="3"/>
    <n v="0"/>
    <m/>
    <s v="22.21.25.87ERWNON FIN"/>
    <s v="22.23-0-1.2-ERW 1-PE"/>
    <s v="22.23-0-1.2-ERW 1-PE-5.87"/>
    <s v="Value Added"/>
    <x v="2"/>
    <n v="3882110"/>
    <b v="1"/>
    <x v="2"/>
    <x v="14"/>
    <n v="20"/>
    <n v="3"/>
    <n v="17"/>
    <m/>
    <n v="14"/>
    <n v="17"/>
    <n v="31"/>
    <n v="-11"/>
    <n v="0"/>
    <n v="7.3276850000000016"/>
    <n v="12.956144999999999"/>
    <n v="17"/>
    <n v="20.283830000000002"/>
    <n v="0"/>
    <n v="35"/>
  </r>
  <r>
    <x v="1"/>
    <s v="BADVE"/>
    <s v="ERW2"/>
    <s v="NON FIN"/>
    <s v="ERW-2"/>
    <x v="6"/>
    <m/>
    <x v="2"/>
    <x v="0"/>
    <x v="0"/>
    <n v="0"/>
    <m/>
    <s v="22.21.46ERW-2NON FIN"/>
    <s v="No Key"/>
    <s v="No Key"/>
    <m/>
    <x v="2"/>
    <n v="3829175"/>
    <b v="1"/>
    <x v="2"/>
    <x v="15"/>
    <n v="5"/>
    <n v="0"/>
    <n v="6"/>
    <m/>
    <n v="6"/>
    <n v="5.5"/>
    <n v="11.5"/>
    <n v="-6.5"/>
    <n v="0"/>
    <n v="0"/>
    <n v="0"/>
    <n v="5.5"/>
    <n v="0"/>
    <n v="5.5"/>
    <m/>
  </r>
  <r>
    <x v="0"/>
    <s v="RUCHA"/>
    <s v="ERW1"/>
    <s v="NON FIN"/>
    <s v="ERW"/>
    <x v="6"/>
    <m/>
    <x v="3"/>
    <x v="4"/>
    <x v="4"/>
    <n v="0"/>
    <m/>
    <s v="22.21.65.27ERWNON FIN"/>
    <s v="22.23-0-1.6-ERW 1-PE"/>
    <s v="22.23-0-1.6-ERW 1-PE-5.27"/>
    <s v="Value Added"/>
    <x v="1"/>
    <n v="3575894"/>
    <b v="1"/>
    <x v="1"/>
    <x v="16"/>
    <n v="25"/>
    <n v="3"/>
    <n v="10"/>
    <m/>
    <n v="7"/>
    <n v="0"/>
    <n v="7"/>
    <n v="18"/>
    <n v="18"/>
    <n v="43.08"/>
    <n v="0"/>
    <n v="18"/>
    <n v="43.08"/>
    <n v="0"/>
    <n v="3"/>
  </r>
  <r>
    <x v="0"/>
    <s v="RUCHA"/>
    <s v="ERW1"/>
    <s v="NON FIN"/>
    <s v="ERW"/>
    <x v="6"/>
    <m/>
    <x v="3"/>
    <x v="5"/>
    <x v="5"/>
    <n v="0"/>
    <m/>
    <s v="22.21.65.67ERWNON FIN"/>
    <s v="22.23-0-1.6-ERW 1-PE"/>
    <s v="22.23-0-1.6-ERW 1-PE-5.67"/>
    <s v="Value Added"/>
    <x v="2"/>
    <n v="4055022"/>
    <b v="1"/>
    <x v="2"/>
    <x v="17"/>
    <n v="40"/>
    <n v="10"/>
    <n v="59"/>
    <m/>
    <n v="49"/>
    <n v="0"/>
    <n v="49"/>
    <n v="-9"/>
    <n v="0"/>
    <n v="27.178328"/>
    <n v="1.881885"/>
    <n v="0"/>
    <n v="29.060213000000001"/>
    <n v="0"/>
    <n v="38"/>
  </r>
  <r>
    <x v="0"/>
    <s v="RUCHA"/>
    <s v="ERW1"/>
    <s v="NON FIN"/>
    <s v="ERW"/>
    <x v="6"/>
    <m/>
    <x v="4"/>
    <x v="6"/>
    <x v="6"/>
    <n v="0"/>
    <m/>
    <s v="22.225.95ERWNON FIN"/>
    <s v="22.23-0-2-ERW 1-PE"/>
    <s v="22.23-0-2-ERW 1-PE-5.951"/>
    <s v="Value Added"/>
    <x v="2"/>
    <n v="3905466"/>
    <b v="1"/>
    <x v="2"/>
    <x v="18"/>
    <n v="50"/>
    <n v="10"/>
    <n v="0"/>
    <m/>
    <n v="-10"/>
    <n v="3.7"/>
    <n v="-6.3"/>
    <n v="56.3"/>
    <n v="56.3"/>
    <n v="85.542945999999958"/>
    <n v="51.635232000000002"/>
    <n v="60"/>
    <n v="137.17817799999995"/>
    <n v="0"/>
    <n v="0"/>
  </r>
  <r>
    <x v="0"/>
    <s v="RUCHA"/>
    <s v="ERW1"/>
    <s v="NON FIN"/>
    <s v="ERW"/>
    <x v="6"/>
    <m/>
    <x v="4"/>
    <x v="7"/>
    <x v="7"/>
    <n v="0"/>
    <m/>
    <s v="22.225.1ERWNON FIN"/>
    <s v="22.23-0-2-ERW 1-PE"/>
    <s v="22.23-0-2-ERW 1-PE-5.1"/>
    <m/>
    <x v="2"/>
    <n v="3500554"/>
    <b v="1"/>
    <x v="2"/>
    <x v="19"/>
    <n v="20"/>
    <n v="5"/>
    <n v="5"/>
    <m/>
    <n v="0"/>
    <n v="2.6"/>
    <n v="2.6"/>
    <n v="17.399999999999999"/>
    <n v="17.399999999999999"/>
    <n v="0"/>
    <n v="0"/>
    <n v="20"/>
    <n v="0"/>
    <n v="20"/>
    <m/>
  </r>
  <r>
    <x v="0"/>
    <s v="RUCHA"/>
    <s v="ERW2"/>
    <s v="FIN CUT"/>
    <s v="HST"/>
    <x v="6"/>
    <m/>
    <x v="4"/>
    <x v="0"/>
    <x v="8"/>
    <n v="0"/>
    <m/>
    <s v="22.226000HSTFIN CUT"/>
    <s v="22.23-0-2-ERW 2 MAHS-FC"/>
    <s v="22.23-0-2-ERW 2 MAHS-FC-6.001"/>
    <s v="Value Added"/>
    <x v="2"/>
    <n v="3502494"/>
    <b v="1"/>
    <x v="2"/>
    <x v="20"/>
    <n v="50"/>
    <n v="10"/>
    <n v="0"/>
    <n v="101"/>
    <n v="-10"/>
    <n v="30"/>
    <n v="20"/>
    <n v="30"/>
    <n v="30"/>
    <n v="0"/>
    <n v="0"/>
    <n v="60"/>
    <n v="0"/>
    <n v="60"/>
    <n v="5"/>
  </r>
  <r>
    <x v="1"/>
    <s v="BADVE"/>
    <s v="CR ERW 1"/>
    <s v="FIN CUT"/>
    <s v="CR ERW "/>
    <x v="6"/>
    <m/>
    <x v="4"/>
    <x v="8"/>
    <x v="9"/>
    <n v="0"/>
    <m/>
    <s v="22.225.39CR ERW FIN CUT"/>
    <s v="22.23-0-2-ERW 1-FC"/>
    <s v="22.23-0-2-ERW 1-PE-5.39"/>
    <m/>
    <x v="1"/>
    <n v="2431251"/>
    <b v="1"/>
    <x v="1"/>
    <x v="21"/>
    <n v="50"/>
    <n v="3"/>
    <n v="0"/>
    <m/>
    <n v="-3"/>
    <n v="0"/>
    <n v="-3"/>
    <n v="53"/>
    <n v="53"/>
    <n v="4.5"/>
    <n v="22.54"/>
    <n v="53"/>
    <n v="27.04"/>
    <n v="25.96"/>
    <m/>
  </r>
  <r>
    <x v="1"/>
    <s v="BADVE"/>
    <s v="ERW2"/>
    <s v="FIN CUT"/>
    <s v="HST"/>
    <x v="7"/>
    <m/>
    <x v="2"/>
    <x v="9"/>
    <x v="10"/>
    <n v="0"/>
    <m/>
    <s v="25.41.45.531HSTFIN CUT"/>
    <s v="25.4-0-1.4-ERW 2-FC"/>
    <s v="25.4-0-1.4-ERW 2-FC-5.531"/>
    <m/>
    <x v="2"/>
    <n v="3501900"/>
    <b v="1"/>
    <x v="2"/>
    <x v="22"/>
    <n v="15"/>
    <n v="3"/>
    <n v="0"/>
    <m/>
    <n v="-3"/>
    <n v="12.5"/>
    <n v="9.5"/>
    <n v="5.5"/>
    <n v="5.5"/>
    <n v="0"/>
    <n v="0"/>
    <n v="18"/>
    <n v="0"/>
    <n v="18"/>
    <m/>
  </r>
  <r>
    <x v="1"/>
    <s v="BADVE"/>
    <s v="ERW1"/>
    <s v="FIN CUT"/>
    <s v="ERW"/>
    <x v="7"/>
    <m/>
    <x v="2"/>
    <x v="10"/>
    <x v="11"/>
    <n v="0"/>
    <m/>
    <s v="25.41.46.06ERWFIN CUT"/>
    <s v="25.4-0-1.4-ERW 1-FC"/>
    <s v="25.4-0-1.4-ERW 1-FC-6.06"/>
    <m/>
    <x v="1"/>
    <n v="3557792"/>
    <b v="1"/>
    <x v="1"/>
    <x v="23"/>
    <n v="10"/>
    <n v="0"/>
    <n v="0"/>
    <m/>
    <n v="0"/>
    <n v="0"/>
    <n v="0"/>
    <n v="10"/>
    <n v="10"/>
    <n v="0"/>
    <n v="0"/>
    <n v="10"/>
    <n v="0"/>
    <n v="10"/>
    <m/>
  </r>
  <r>
    <x v="0"/>
    <s v="RUCHA"/>
    <s v="ERW1"/>
    <s v="NON FIN"/>
    <s v="ERW"/>
    <x v="7"/>
    <m/>
    <x v="3"/>
    <x v="0"/>
    <x v="0"/>
    <n v="0"/>
    <m/>
    <s v="25.41.66ERWNON FIN"/>
    <s v="25.4-0-1.6-ERW 1-PE"/>
    <s v="25.4-0-1.6-ERW 1-PE-6"/>
    <m/>
    <x v="2"/>
    <n v="3500097"/>
    <b v="1"/>
    <x v="2"/>
    <x v="24"/>
    <n v="35"/>
    <n v="15"/>
    <n v="2"/>
    <m/>
    <n v="-13"/>
    <n v="58.5"/>
    <n v="45.5"/>
    <n v="-10.5"/>
    <n v="0"/>
    <n v="63.302988000000028"/>
    <n v="0"/>
    <n v="58.5"/>
    <n v="63.302988000000028"/>
    <n v="0"/>
    <m/>
  </r>
  <r>
    <x v="0"/>
    <s v="RUCHA"/>
    <s v="ERW1"/>
    <s v="NON FIN"/>
    <s v="ERW"/>
    <x v="7"/>
    <m/>
    <x v="4"/>
    <x v="11"/>
    <x v="12"/>
    <n v="0"/>
    <m/>
    <s v="25.425.82ERWNON FIN"/>
    <s v="25.4-0-2-ERW 1-PE"/>
    <s v="25.4-0-2-ERW 1-PE-5.82"/>
    <m/>
    <x v="2"/>
    <n v="3240023"/>
    <b v="1"/>
    <x v="2"/>
    <x v="25"/>
    <n v="20"/>
    <n v="0"/>
    <n v="0"/>
    <m/>
    <n v="0"/>
    <n v="2.8"/>
    <n v="2.8"/>
    <n v="17.2"/>
    <n v="17.2"/>
    <n v="46.943582000000006"/>
    <n v="0"/>
    <n v="20"/>
    <n v="46.943582000000006"/>
    <n v="0"/>
    <m/>
  </r>
  <r>
    <x v="0"/>
    <s v="RUCHA"/>
    <s v="ERW1"/>
    <s v="NON FIN"/>
    <s v="ERW"/>
    <x v="7"/>
    <m/>
    <x v="4"/>
    <x v="12"/>
    <x v="13"/>
    <n v="0"/>
    <m/>
    <s v="25.426.05ERWNON FIN"/>
    <s v="25.4-0-2-ERW 1-PE"/>
    <s v="25.4-0-2-ERW 1-PE-6.05"/>
    <m/>
    <x v="1"/>
    <n v="4055021"/>
    <b v="1"/>
    <x v="1"/>
    <x v="26"/>
    <n v="15"/>
    <n v="3"/>
    <n v="12"/>
    <m/>
    <n v="9"/>
    <n v="0"/>
    <n v="9"/>
    <n v="6"/>
    <n v="6"/>
    <n v="0"/>
    <n v="0"/>
    <n v="6"/>
    <n v="0"/>
    <n v="6"/>
    <m/>
  </r>
  <r>
    <x v="0"/>
    <s v="RUCHA"/>
    <s v="ERW1"/>
    <s v="NON FIN"/>
    <s v="ERW"/>
    <x v="7"/>
    <m/>
    <x v="7"/>
    <x v="13"/>
    <x v="14"/>
    <n v="0"/>
    <m/>
    <s v="25.42.55.53ERWNON FIN"/>
    <s v="25.4-0-2.5-ERW 1-PE"/>
    <s v="25.4-0-2.5-ERW 1-PE-5.53"/>
    <m/>
    <x v="2"/>
    <n v="3502256"/>
    <b v="1"/>
    <x v="2"/>
    <x v="27"/>
    <n v="60"/>
    <n v="30"/>
    <n v="0"/>
    <m/>
    <n v="-30"/>
    <n v="72"/>
    <n v="42"/>
    <n v="18"/>
    <n v="18"/>
    <n v="105.75507600000003"/>
    <n v="37.814835000000002"/>
    <n v="90"/>
    <n v="143.56991100000005"/>
    <n v="0"/>
    <m/>
  </r>
  <r>
    <x v="0"/>
    <s v="RUCHA,METALMAN"/>
    <s v="ERW1"/>
    <s v="FIN CUT"/>
    <s v="ERW"/>
    <x v="8"/>
    <m/>
    <x v="1"/>
    <x v="0"/>
    <x v="0"/>
    <n v="0"/>
    <m/>
    <s v="28.61.26ERWFIN CUT"/>
    <e v="#N/A"/>
    <e v="#N/A"/>
    <m/>
    <x v="1"/>
    <n v="3702101"/>
    <b v="1"/>
    <x v="1"/>
    <x v="28"/>
    <n v="3"/>
    <n v="0"/>
    <n v="3"/>
    <m/>
    <n v="3"/>
    <n v="0"/>
    <n v="3"/>
    <n v="0"/>
    <n v="0"/>
    <n v="0"/>
    <n v="0"/>
    <n v="0"/>
    <n v="0"/>
    <n v="0"/>
    <m/>
  </r>
  <r>
    <x v="0"/>
    <s v="RUCHA"/>
    <s v="CEW1"/>
    <s v="FIN CUT"/>
    <s v="CEW"/>
    <x v="8"/>
    <m/>
    <x v="8"/>
    <x v="0"/>
    <x v="0"/>
    <n v="0"/>
    <m/>
    <s v="28.62.656CEWFIN CUT"/>
    <s v="No Key"/>
    <s v="No Key"/>
    <m/>
    <x v="0"/>
    <n v="2410388"/>
    <b v="1"/>
    <x v="0"/>
    <x v="29"/>
    <n v="10"/>
    <n v="3"/>
    <n v="15"/>
    <m/>
    <n v="12"/>
    <n v="0"/>
    <n v="12"/>
    <n v="-2"/>
    <n v="0"/>
    <n v="0"/>
    <n v="0"/>
    <n v="0"/>
    <n v="0"/>
    <n v="0"/>
    <m/>
  </r>
  <r>
    <x v="0"/>
    <s v="RUCHA,METALMAN"/>
    <s v="ERW1"/>
    <s v="FIN CUT"/>
    <s v="ERW"/>
    <x v="9"/>
    <m/>
    <x v="1"/>
    <x v="0"/>
    <x v="0"/>
    <n v="0"/>
    <m/>
    <s v="31.751.26ERWFIN CUT"/>
    <s v="31.75-0-1.2-ERW 1-FC"/>
    <s v="31.75-0-2-ERW 1-FC-6"/>
    <m/>
    <x v="2"/>
    <n v="3884381"/>
    <b v="1"/>
    <x v="2"/>
    <x v="30"/>
    <n v="3"/>
    <n v="1"/>
    <n v="0"/>
    <m/>
    <n v="-1"/>
    <n v="8"/>
    <n v="7"/>
    <n v="-4"/>
    <n v="0"/>
    <n v="0"/>
    <n v="0"/>
    <n v="8"/>
    <n v="0"/>
    <n v="8"/>
    <m/>
  </r>
  <r>
    <x v="0"/>
    <s v="RUCHA,METALMAN"/>
    <s v="ERW1"/>
    <s v="FIN CUT"/>
    <s v="ERW"/>
    <x v="9"/>
    <m/>
    <x v="4"/>
    <x v="0"/>
    <x v="0"/>
    <n v="0"/>
    <m/>
    <s v="31.7526ERWFIN CUT"/>
    <s v="31.75-0-2-ERW 1-FC"/>
    <e v="#N/A"/>
    <m/>
    <x v="3"/>
    <m/>
    <m/>
    <x v="1"/>
    <x v="31"/>
    <n v="15"/>
    <n v="0"/>
    <n v="0"/>
    <m/>
    <n v="0"/>
    <n v="0"/>
    <n v="0"/>
    <n v="15"/>
    <n v="15"/>
    <n v="0"/>
    <n v="0"/>
    <n v="15"/>
    <n v="0"/>
    <n v="15"/>
    <m/>
  </r>
  <r>
    <x v="2"/>
    <s v="BELRISE"/>
    <s v="ERW1"/>
    <s v="FIN CUT"/>
    <s v="ERW"/>
    <x v="9"/>
    <m/>
    <x v="6"/>
    <x v="14"/>
    <x v="15"/>
    <n v="0"/>
    <m/>
    <s v="31.752.35.92ERWFIN CUT"/>
    <e v="#N/A"/>
    <e v="#N/A"/>
    <m/>
    <x v="1"/>
    <s v="MCR 42136"/>
    <b v="1"/>
    <x v="1"/>
    <x v="32"/>
    <n v="15"/>
    <n v="5"/>
    <n v="44"/>
    <m/>
    <n v="39"/>
    <n v="0"/>
    <n v="39"/>
    <n v="-24"/>
    <n v="0"/>
    <n v="0"/>
    <n v="0"/>
    <n v="0"/>
    <n v="0"/>
    <n v="0"/>
    <m/>
  </r>
  <r>
    <x v="3"/>
    <s v="RUCHA,METALMAN"/>
    <s v="ERW1"/>
    <s v="FIN CUT"/>
    <s v="ERW"/>
    <x v="10"/>
    <m/>
    <x v="1"/>
    <x v="0"/>
    <x v="0"/>
    <n v="0"/>
    <m/>
    <s v="34.931.26ERWFIN CUT"/>
    <s v="No Key"/>
    <s v="No Key"/>
    <m/>
    <x v="1"/>
    <n v="1940701"/>
    <b v="1"/>
    <x v="1"/>
    <x v="33"/>
    <n v="3"/>
    <n v="0"/>
    <n v="7"/>
    <m/>
    <n v="7"/>
    <n v="0"/>
    <n v="7"/>
    <n v="-4"/>
    <n v="0"/>
    <n v="0"/>
    <n v="0"/>
    <n v="0"/>
    <n v="0"/>
    <n v="0"/>
    <m/>
  </r>
  <r>
    <x v="2"/>
    <s v="BELRISE"/>
    <s v="ERW1"/>
    <s v="FIN CUT"/>
    <s v="ERW"/>
    <x v="10"/>
    <m/>
    <x v="1"/>
    <x v="15"/>
    <x v="16"/>
    <n v="0"/>
    <m/>
    <s v="34.931.20.62ERWFIN CUT"/>
    <s v="34.93-0-1.2-ERW 1-FC"/>
    <s v="34.93-0-1.2-ERW 1-FC-0.620"/>
    <m/>
    <x v="1"/>
    <n v="2397073"/>
    <b v="1"/>
    <x v="1"/>
    <x v="34"/>
    <n v="10"/>
    <n v="3"/>
    <n v="0"/>
    <m/>
    <n v="-3"/>
    <n v="0"/>
    <n v="-3"/>
    <n v="13"/>
    <n v="13"/>
    <n v="0"/>
    <n v="3.1"/>
    <n v="13"/>
    <n v="3.1"/>
    <n v="9.9"/>
    <m/>
  </r>
  <r>
    <x v="2"/>
    <s v="RAJSRIYA"/>
    <s v="ERW1"/>
    <s v="FIN CUT"/>
    <s v="ERW"/>
    <x v="10"/>
    <m/>
    <x v="1"/>
    <x v="16"/>
    <x v="17"/>
    <n v="0"/>
    <m/>
    <s v="34.931.20.7ERWFIN CUT"/>
    <s v="34.93-0-1.2-ERW 1-FC"/>
    <s v="34.93-0-1.2-ERW 1-FC-0.7"/>
    <m/>
    <x v="1"/>
    <n v="3649699"/>
    <b v="1"/>
    <x v="1"/>
    <x v="35"/>
    <n v="10"/>
    <n v="3"/>
    <n v="0"/>
    <m/>
    <n v="-3"/>
    <n v="0"/>
    <n v="-3"/>
    <n v="13"/>
    <n v="13"/>
    <n v="0"/>
    <n v="0"/>
    <n v="13"/>
    <n v="0"/>
    <n v="13"/>
    <m/>
  </r>
  <r>
    <x v="1"/>
    <s v="BADVE"/>
    <s v="ERW2"/>
    <s v="FIN CUT"/>
    <s v="ERW"/>
    <x v="11"/>
    <m/>
    <x v="2"/>
    <x v="17"/>
    <x v="18"/>
    <n v="0"/>
    <m/>
    <s v="341.45.66ERWFIN CUT"/>
    <s v="No Key"/>
    <s v="No Key"/>
    <m/>
    <x v="0"/>
    <n v="3702855"/>
    <b v="1"/>
    <x v="0"/>
    <x v="36"/>
    <n v="3"/>
    <n v="0"/>
    <n v="0"/>
    <m/>
    <n v="0"/>
    <n v="0"/>
    <n v="0"/>
    <n v="3"/>
    <n v="3"/>
    <n v="0"/>
    <n v="0"/>
    <n v="3"/>
    <n v="0"/>
    <n v="3"/>
    <m/>
  </r>
  <r>
    <x v="0"/>
    <s v="RUCHA,METALMAN"/>
    <s v="ERW370"/>
    <s v="FIN CUT"/>
    <s v="HST"/>
    <x v="12"/>
    <m/>
    <x v="3"/>
    <x v="18"/>
    <x v="19"/>
    <n v="0"/>
    <m/>
    <s v="38.11.66.19HSTFIN CUT"/>
    <s v="38.1-0-1.6-ERW 1-FC"/>
    <s v="38.1-0-1.6-ERW 1-FC-6.19"/>
    <m/>
    <x v="2"/>
    <n v="3502254"/>
    <b v="1"/>
    <x v="2"/>
    <x v="37"/>
    <n v="40"/>
    <n v="15"/>
    <n v="69"/>
    <m/>
    <n v="54"/>
    <n v="50"/>
    <n v="104"/>
    <n v="-64"/>
    <n v="0"/>
    <n v="45.849845000000002"/>
    <n v="15.52"/>
    <n v="50"/>
    <n v="61.369844999999998"/>
    <n v="0"/>
    <m/>
  </r>
  <r>
    <x v="0"/>
    <s v="RUCHA,METALMAN"/>
    <s v="ERW1"/>
    <s v="FIN CUT"/>
    <s v="ERW"/>
    <x v="12"/>
    <m/>
    <x v="4"/>
    <x v="19"/>
    <x v="20"/>
    <n v="0"/>
    <m/>
    <s v="38.125.65ERWFIN CUT"/>
    <s v="38.1-0-2-ERW 1-FC"/>
    <s v="38.1-0-2-ERW 1-FC-5.65"/>
    <s v="Value Added"/>
    <x v="2"/>
    <n v="3500959"/>
    <b v="1"/>
    <x v="2"/>
    <x v="38"/>
    <n v="30"/>
    <n v="8"/>
    <n v="15"/>
    <m/>
    <n v="7"/>
    <n v="11"/>
    <n v="18"/>
    <n v="12"/>
    <n v="12"/>
    <n v="3.6047469999999997"/>
    <n v="0"/>
    <n v="23"/>
    <n v="3.6047469999999997"/>
    <n v="19.395253"/>
    <n v="28"/>
  </r>
  <r>
    <x v="0"/>
    <s v="RUCHA,METALMAN"/>
    <s v="ERW2"/>
    <s v="FIN CUT"/>
    <s v="HST"/>
    <x v="12"/>
    <m/>
    <x v="7"/>
    <x v="18"/>
    <x v="19"/>
    <n v="0"/>
    <m/>
    <s v="38.12.56.19HSTFIN CUT"/>
    <s v="38.1-0-2.5-ERW 2 MAHS-FC"/>
    <s v="38.1-0-2.5-ERW 2 MAHS-FC-6.19"/>
    <m/>
    <x v="2"/>
    <n v="3502007"/>
    <b v="1"/>
    <x v="2"/>
    <x v="39"/>
    <n v="60"/>
    <n v="15"/>
    <n v="6"/>
    <m/>
    <n v="-9"/>
    <n v="71"/>
    <n v="62"/>
    <n v="-2"/>
    <n v="0"/>
    <n v="5.6632070000000008"/>
    <n v="111.79929199999995"/>
    <n v="71"/>
    <n v="117.46249899999995"/>
    <n v="0"/>
    <m/>
  </r>
  <r>
    <x v="2"/>
    <s v="BELRISE"/>
    <s v="CEW-1"/>
    <s v="FIN CUT"/>
    <s v="ERW"/>
    <x v="12"/>
    <m/>
    <x v="9"/>
    <x v="0"/>
    <x v="0"/>
    <n v="0"/>
    <m/>
    <s v="38.12.66ERWFIN CUT"/>
    <e v="#N/A"/>
    <e v="#N/A"/>
    <m/>
    <x v="0"/>
    <n v="3500699"/>
    <b v="1"/>
    <x v="0"/>
    <x v="40"/>
    <n v="5"/>
    <n v="0"/>
    <n v="0"/>
    <n v="0"/>
    <n v="0"/>
    <n v="0"/>
    <n v="0"/>
    <n v="5"/>
    <n v="5"/>
    <n v="0"/>
    <n v="0"/>
    <n v="5"/>
    <n v="0"/>
    <n v="5"/>
    <m/>
  </r>
  <r>
    <x v="0"/>
    <s v="RUCHA"/>
    <s v="ERW1"/>
    <s v="FIN CUT"/>
    <s v="ERW"/>
    <x v="13"/>
    <m/>
    <x v="9"/>
    <x v="0"/>
    <x v="0"/>
    <n v="0"/>
    <m/>
    <s v="41.282.66ERWFIN CUT"/>
    <s v="41.28-0-2.6-ERW 1-FC"/>
    <s v="41.28-0-2.6-ERW 1-FC-6"/>
    <m/>
    <x v="1"/>
    <n v="3974563"/>
    <b v="1"/>
    <x v="1"/>
    <x v="41"/>
    <n v="50"/>
    <n v="15"/>
    <n v="0"/>
    <n v="26"/>
    <n v="-15"/>
    <n v="0"/>
    <n v="-15"/>
    <n v="65"/>
    <n v="65"/>
    <n v="8.67"/>
    <n v="60.509999999999991"/>
    <n v="65"/>
    <n v="69.179999999999993"/>
    <n v="0"/>
    <m/>
  </r>
  <r>
    <x v="0"/>
    <s v="RUCHA"/>
    <s v="ERW1"/>
    <s v="FIN CUT"/>
    <s v="ERW"/>
    <x v="14"/>
    <m/>
    <x v="3"/>
    <x v="20"/>
    <x v="21"/>
    <n v="0"/>
    <m/>
    <s v="40x251.66.13ERWFIN CUT"/>
    <s v="40-25-1.6-ERW 1-FC"/>
    <s v="40-25-1.6-ERW 1-FC-6.13"/>
    <m/>
    <x v="1"/>
    <n v="3919144"/>
    <b v="1"/>
    <x v="1"/>
    <x v="42"/>
    <n v="6"/>
    <n v="1"/>
    <n v="2"/>
    <m/>
    <n v="1"/>
    <n v="0"/>
    <n v="1"/>
    <n v="5"/>
    <n v="5"/>
    <n v="0"/>
    <n v="0"/>
    <n v="5"/>
    <n v="0"/>
    <n v="5"/>
    <m/>
  </r>
  <r>
    <x v="1"/>
    <s v="BADVE"/>
    <s v="ERW1"/>
    <s v="FIN CUT"/>
    <s v="ERW"/>
    <x v="13"/>
    <m/>
    <x v="10"/>
    <x v="21"/>
    <x v="22"/>
    <n v="0"/>
    <m/>
    <s v="41.283.155.86ERWFIN CUT"/>
    <s v="41.28-0-3.15-ERW 1-FC"/>
    <s v="41.28-0-3.15-ERW 1-FC-5.86"/>
    <m/>
    <x v="2"/>
    <n v="3673889"/>
    <b v="1"/>
    <x v="2"/>
    <x v="43"/>
    <n v="45"/>
    <n v="15"/>
    <n v="9"/>
    <m/>
    <n v="-6"/>
    <n v="52.5"/>
    <n v="46.5"/>
    <n v="-1.5"/>
    <n v="0"/>
    <n v="48.390045000000008"/>
    <n v="9.6830499999999997"/>
    <n v="52.5"/>
    <n v="58.073095000000009"/>
    <n v="0"/>
    <m/>
  </r>
  <r>
    <x v="0"/>
    <s v="RUCHA,METALMAN"/>
    <s v="ERW AN"/>
    <s v="FIN CUT"/>
    <s v="ERW"/>
    <x v="15"/>
    <m/>
    <x v="11"/>
    <x v="0"/>
    <x v="0"/>
    <n v="0"/>
    <m/>
    <s v="42.73.56ERWFIN CUT"/>
    <s v="42.7-0-3.5-ERW 1-FC"/>
    <s v="42.7-0-3.5-ERW 1-FC-6"/>
    <m/>
    <x v="0"/>
    <n v="2396465"/>
    <b v="1"/>
    <x v="0"/>
    <x v="44"/>
    <n v="5"/>
    <n v="1"/>
    <n v="15"/>
    <m/>
    <n v="14"/>
    <n v="0"/>
    <n v="14"/>
    <n v="-9"/>
    <n v="0"/>
    <n v="4.2835110000000007"/>
    <n v="2.3549160000000002"/>
    <n v="0"/>
    <n v="6.638427000000001"/>
    <n v="0"/>
    <m/>
  </r>
  <r>
    <x v="0"/>
    <s v="RUCHA,METALMAN"/>
    <s v="ERW AN"/>
    <s v="FIN CUT"/>
    <s v="ERW"/>
    <x v="15"/>
    <m/>
    <x v="12"/>
    <x v="0"/>
    <x v="0"/>
    <n v="0"/>
    <m/>
    <s v="42.746ERWFIN CUT"/>
    <s v="42.7-0-4-ERW 1-FC"/>
    <s v="42.7-0-4-ERW 1-FC-6"/>
    <m/>
    <x v="0"/>
    <n v="3501985"/>
    <b v="1"/>
    <x v="0"/>
    <x v="45"/>
    <n v="30"/>
    <n v="10"/>
    <n v="30"/>
    <m/>
    <n v="20"/>
    <n v="0"/>
    <n v="20"/>
    <n v="10"/>
    <n v="10"/>
    <n v="38.311999999999998"/>
    <n v="19.573799999999999"/>
    <n v="10"/>
    <n v="57.885799999999996"/>
    <n v="0"/>
    <m/>
  </r>
  <r>
    <x v="0"/>
    <s v="RUCHA,METALMAN"/>
    <s v="ERW1"/>
    <s v="FIN CUT"/>
    <s v="ERW"/>
    <x v="16"/>
    <m/>
    <x v="3"/>
    <x v="22"/>
    <x v="23"/>
    <n v="0"/>
    <m/>
    <s v="40x301.65.9ERWFIN CUT"/>
    <s v="40-30-1.6-ERW 1-FC"/>
    <s v="40-30-1.6-ERW 1-FC-5.9"/>
    <m/>
    <x v="0"/>
    <n v="3836440"/>
    <b v="1"/>
    <x v="1"/>
    <x v="46"/>
    <n v="10"/>
    <n v="3"/>
    <n v="5"/>
    <m/>
    <n v="2"/>
    <n v="0"/>
    <n v="2"/>
    <n v="8"/>
    <n v="8"/>
    <n v="0"/>
    <n v="0"/>
    <n v="8"/>
    <n v="0"/>
    <n v="8"/>
    <m/>
  </r>
  <r>
    <x v="1"/>
    <s v="BADVE"/>
    <s v="ERW2"/>
    <s v="FIN CUT"/>
    <s v="HST"/>
    <x v="17"/>
    <m/>
    <x v="2"/>
    <x v="23"/>
    <x v="24"/>
    <n v="0"/>
    <m/>
    <s v="451.46.42HSTFIN CUT"/>
    <s v="45-0-1.4-ERW 2-FIN CUT"/>
    <s v="45-0-1.4-ERW 2-FIN CUT-6.4"/>
    <m/>
    <x v="1"/>
    <n v="3502343"/>
    <b v="1"/>
    <x v="1"/>
    <x v="47"/>
    <n v="10"/>
    <n v="5"/>
    <n v="26"/>
    <m/>
    <n v="21"/>
    <n v="0"/>
    <n v="21"/>
    <n v="-11"/>
    <n v="0"/>
    <n v="3.93"/>
    <n v="0"/>
    <n v="0"/>
    <n v="3.93"/>
    <n v="0"/>
    <m/>
  </r>
  <r>
    <x v="1"/>
    <s v="BADVE"/>
    <s v="ERW1"/>
    <s v="FIN CUT"/>
    <s v="ERW"/>
    <x v="17"/>
    <m/>
    <x v="2"/>
    <x v="24"/>
    <x v="25"/>
    <n v="0"/>
    <m/>
    <s v="451.45.7ERWFIN CUT"/>
    <s v="45--1.4-ERW 1-FIN CUT"/>
    <s v="45--1.4-ERW 1-FIN CUT-5.7"/>
    <m/>
    <x v="2"/>
    <n v="3545558"/>
    <b v="1"/>
    <x v="2"/>
    <x v="48"/>
    <n v="10"/>
    <n v="2"/>
    <n v="17"/>
    <m/>
    <n v="15"/>
    <n v="0"/>
    <n v="15"/>
    <n v="-5"/>
    <n v="0"/>
    <n v="4.8159999999999998"/>
    <n v="4.05"/>
    <n v="0"/>
    <n v="8.8659999999999997"/>
    <n v="0"/>
    <m/>
  </r>
  <r>
    <x v="1"/>
    <s v="BADVE"/>
    <s v="ERW2"/>
    <s v="FIN CUT"/>
    <s v="HST"/>
    <x v="17"/>
    <m/>
    <x v="3"/>
    <x v="23"/>
    <x v="24"/>
    <n v="0"/>
    <m/>
    <s v="451.66.42HSTFIN CUT"/>
    <s v="45-0-1.6-ERW 2-FIN CUT"/>
    <s v="45-0-1.6-ERW 2-FIN CUT-6.4"/>
    <m/>
    <x v="1"/>
    <n v="3502388"/>
    <b v="1"/>
    <x v="1"/>
    <x v="49"/>
    <n v="10"/>
    <n v="5"/>
    <n v="16"/>
    <m/>
    <n v="11"/>
    <n v="0"/>
    <n v="11"/>
    <n v="-1"/>
    <n v="0"/>
    <n v="0"/>
    <n v="0"/>
    <n v="0"/>
    <n v="0"/>
    <n v="0"/>
    <m/>
  </r>
  <r>
    <x v="2"/>
    <s v="BELRISE"/>
    <s v="CEW-1"/>
    <s v="FIN CUT"/>
    <s v="CEW"/>
    <x v="18"/>
    <m/>
    <x v="12"/>
    <x v="25"/>
    <x v="26"/>
    <n v="0"/>
    <m/>
    <s v="47.6346.04CEWFIN CUT"/>
    <e v="#N/A"/>
    <e v="#N/A"/>
    <m/>
    <x v="0"/>
    <n v="3500635"/>
    <b v="1"/>
    <x v="0"/>
    <x v="50"/>
    <n v="7"/>
    <n v="0"/>
    <n v="0"/>
    <n v="0"/>
    <n v="0"/>
    <n v="0"/>
    <n v="0"/>
    <n v="7"/>
    <n v="7"/>
    <n v="0"/>
    <n v="0"/>
    <n v="7"/>
    <n v="0"/>
    <n v="7"/>
    <m/>
  </r>
  <r>
    <x v="2"/>
    <s v="BELRISE"/>
    <s v="ERW1"/>
    <s v="FIN CUT"/>
    <s v="ERW"/>
    <x v="19"/>
    <m/>
    <x v="1"/>
    <x v="15"/>
    <x v="16"/>
    <n v="0"/>
    <m/>
    <s v="481.20.62ERWFIN CUT"/>
    <s v="48--1.2-ERW 1-FIN CUT"/>
    <s v="48--1.2-ERW 1-FIN CUT-0.620"/>
    <m/>
    <x v="1"/>
    <n v="2397072"/>
    <b v="1"/>
    <x v="1"/>
    <x v="51"/>
    <n v="10"/>
    <n v="3"/>
    <n v="0"/>
    <m/>
    <n v="-3"/>
    <n v="0"/>
    <n v="-3"/>
    <n v="13"/>
    <n v="13"/>
    <n v="0"/>
    <n v="0"/>
    <n v="13"/>
    <n v="0"/>
    <n v="13"/>
    <m/>
  </r>
  <r>
    <x v="2"/>
    <s v="RAJSRIYA"/>
    <s v="ERW1"/>
    <s v="FIN CUT"/>
    <s v="ERW"/>
    <x v="19"/>
    <m/>
    <x v="1"/>
    <x v="16"/>
    <x v="17"/>
    <n v="0"/>
    <m/>
    <s v="481.20.7ERWFIN CUT"/>
    <s v="48--1.2-ERW 1-FIN CUT"/>
    <s v="48--1.2-ERW 1-FIN CUT-0.7"/>
    <m/>
    <x v="1"/>
    <n v="3649700"/>
    <b v="1"/>
    <x v="1"/>
    <x v="52"/>
    <n v="14"/>
    <n v="3"/>
    <n v="0"/>
    <m/>
    <n v="-3"/>
    <n v="0"/>
    <n v="-3"/>
    <n v="17"/>
    <n v="17"/>
    <n v="0"/>
    <n v="0"/>
    <n v="17"/>
    <n v="0"/>
    <n v="17"/>
    <m/>
  </r>
  <r>
    <x v="1"/>
    <s v="BADVE"/>
    <s v="ERW2"/>
    <s v="FIN CUT"/>
    <s v="HST"/>
    <x v="20"/>
    <m/>
    <x v="4"/>
    <x v="26"/>
    <x v="27"/>
    <n v="0"/>
    <m/>
    <s v="48.626.27HSTFIN CUT"/>
    <s v="No Key"/>
    <s v="No Key"/>
    <m/>
    <x v="2"/>
    <n v="3502301"/>
    <b v="1"/>
    <x v="2"/>
    <x v="53"/>
    <n v="10"/>
    <n v="3"/>
    <n v="30"/>
    <m/>
    <n v="27"/>
    <n v="4"/>
    <n v="31"/>
    <n v="-21"/>
    <n v="0"/>
    <n v="0"/>
    <n v="0"/>
    <n v="4"/>
    <n v="0"/>
    <n v="4"/>
    <m/>
  </r>
  <r>
    <x v="1"/>
    <s v="BADVE"/>
    <s v="ERW2"/>
    <s v="FIN CUT"/>
    <s v="HST"/>
    <x v="20"/>
    <m/>
    <x v="6"/>
    <x v="26"/>
    <x v="27"/>
    <n v="0"/>
    <m/>
    <s v="48.62.36.27HSTFIN CUT"/>
    <s v="48.6-0-2.3-ERW 2-FC"/>
    <s v="48.6-0-2.3-ERW 2-FC-6.27"/>
    <m/>
    <x v="2"/>
    <n v="3549720"/>
    <b v="1"/>
    <x v="2"/>
    <x v="54"/>
    <n v="10"/>
    <n v="3"/>
    <n v="4"/>
    <m/>
    <n v="1"/>
    <n v="0"/>
    <n v="1"/>
    <n v="9"/>
    <n v="9"/>
    <n v="0"/>
    <n v="0"/>
    <n v="9"/>
    <n v="0"/>
    <n v="9"/>
    <m/>
  </r>
  <r>
    <x v="1"/>
    <s v="BADVE"/>
    <s v="ERW1"/>
    <s v="FIN CUT"/>
    <s v="ERW"/>
    <x v="20"/>
    <m/>
    <x v="11"/>
    <x v="0"/>
    <x v="0"/>
    <n v="0"/>
    <m/>
    <s v="48.63.56ERWFIN CUT"/>
    <s v="48.6-0-3.5-ERW 1-FC"/>
    <s v="48.6-0-3.5-ERW 1-FC-6"/>
    <m/>
    <x v="1"/>
    <n v="3502422"/>
    <b v="1"/>
    <x v="1"/>
    <x v="55"/>
    <n v="25"/>
    <n v="3"/>
    <n v="7"/>
    <m/>
    <n v="4"/>
    <m/>
    <n v="4"/>
    <n v="21"/>
    <n v="21"/>
    <n v="2.991104"/>
    <n v="14.154752"/>
    <n v="21"/>
    <n v="17.145856000000002"/>
    <n v="3.854143999999998"/>
    <m/>
  </r>
  <r>
    <x v="0"/>
    <s v="RUCHA"/>
    <s v="ERW1"/>
    <s v="FIN CUT"/>
    <s v="ERW"/>
    <x v="21"/>
    <m/>
    <x v="3"/>
    <x v="0"/>
    <x v="0"/>
    <n v="0"/>
    <m/>
    <s v="59x301.66ERWFIN CUT"/>
    <s v="59-30-1.6-ERW 1-FIN CUT"/>
    <s v="59-30-1.6-ERW 1-FIN CUT-6"/>
    <m/>
    <x v="1"/>
    <n v="1940925"/>
    <b v="1"/>
    <x v="1"/>
    <x v="56"/>
    <n v="5"/>
    <n v="1"/>
    <n v="3"/>
    <m/>
    <n v="2"/>
    <n v="0"/>
    <n v="2"/>
    <n v="3"/>
    <n v="3"/>
    <n v="5.12"/>
    <n v="0"/>
    <n v="3"/>
    <n v="5.12"/>
    <n v="0"/>
    <m/>
  </r>
  <r>
    <x v="2"/>
    <s v="KUNAL"/>
    <s v="ERW1"/>
    <s v="FIN CUT"/>
    <s v="ERW"/>
    <x v="21"/>
    <m/>
    <x v="3"/>
    <x v="27"/>
    <x v="28"/>
    <n v="0"/>
    <m/>
    <s v="59x301.60.5725ERWFIN CUT"/>
    <s v="59-30-1.6-ERW 1-FIN CUT"/>
    <s v="59-30-1.6-ERW 1-FIN CUT-0.573"/>
    <m/>
    <x v="1"/>
    <n v="2420716"/>
    <b v="1"/>
    <x v="1"/>
    <x v="57"/>
    <n v="40"/>
    <n v="20"/>
    <n v="0"/>
    <m/>
    <n v="-20"/>
    <n v="0"/>
    <n v="-20"/>
    <n v="60"/>
    <n v="60"/>
    <n v="9.4819599999999991"/>
    <n v="0"/>
    <n v="60"/>
    <n v="9.4819599999999991"/>
    <n v="50.518039999999999"/>
    <m/>
  </r>
  <r>
    <x v="2"/>
    <s v="BELRISE"/>
    <s v="ERW1"/>
    <s v="FIN CUT"/>
    <s v="ERW"/>
    <x v="22"/>
    <m/>
    <x v="3"/>
    <x v="25"/>
    <x v="26"/>
    <n v="0"/>
    <m/>
    <s v="50X501.66.04ERWFIN CUT"/>
    <e v="#N/A"/>
    <e v="#N/A"/>
    <m/>
    <x v="2"/>
    <n v="3751498"/>
    <b v="1"/>
    <x v="2"/>
    <x v="58"/>
    <n v="10"/>
    <m/>
    <n v="0"/>
    <m/>
    <n v="0"/>
    <n v="0"/>
    <n v="0"/>
    <n v="10"/>
    <n v="10"/>
    <n v="0"/>
    <n v="0"/>
    <n v="10"/>
    <n v="0"/>
    <n v="10"/>
    <m/>
  </r>
  <r>
    <x v="2"/>
    <s v="BELRISE"/>
    <s v="ERW1"/>
    <s v="FIN CUT"/>
    <s v="ERW"/>
    <x v="23"/>
    <m/>
    <x v="9"/>
    <x v="0"/>
    <x v="0"/>
    <n v="0"/>
    <m/>
    <s v="50.82.66ERWFIN CUT"/>
    <e v="#N/A"/>
    <e v="#N/A"/>
    <m/>
    <x v="2"/>
    <n v="3518437"/>
    <b v="1"/>
    <x v="2"/>
    <x v="59"/>
    <n v="5"/>
    <n v="0"/>
    <n v="0"/>
    <n v="0"/>
    <n v="0"/>
    <n v="0"/>
    <n v="0"/>
    <n v="5"/>
    <n v="5"/>
    <n v="0"/>
    <n v="0"/>
    <n v="5"/>
    <n v="0"/>
    <n v="5"/>
    <m/>
  </r>
  <r>
    <x v="2"/>
    <s v="BELRISE"/>
    <s v="CEW-1"/>
    <s v="FIN CUT"/>
    <s v="CEW"/>
    <x v="23"/>
    <n v="45.6"/>
    <x v="9"/>
    <x v="0"/>
    <x v="0"/>
    <n v="0"/>
    <m/>
    <s v="50.82.66CEWFIN CUT"/>
    <e v="#N/A"/>
    <e v="#N/A"/>
    <m/>
    <x v="2"/>
    <n v="3500695"/>
    <b v="1"/>
    <x v="2"/>
    <x v="60"/>
    <n v="5"/>
    <n v="0"/>
    <n v="0"/>
    <n v="0"/>
    <n v="0"/>
    <n v="0"/>
    <n v="0"/>
    <n v="5"/>
    <n v="5"/>
    <n v="0"/>
    <n v="0"/>
    <n v="5"/>
    <n v="0"/>
    <n v="5"/>
    <m/>
  </r>
  <r>
    <x v="0"/>
    <s v="RUCHA,METALMAN"/>
    <s v="ERW1"/>
    <s v="FIN CUT"/>
    <s v="ERW"/>
    <x v="24"/>
    <m/>
    <x v="7"/>
    <x v="28"/>
    <x v="29"/>
    <n v="0"/>
    <m/>
    <s v="57.152.55.71ERWFIN CUT"/>
    <s v="57.15-0-2.5-ERW 1-FC"/>
    <s v="57.15-0-2.5-ERW 1-FC-5.711"/>
    <s v="Value Added"/>
    <x v="2"/>
    <n v="3907863"/>
    <b v="1"/>
    <x v="2"/>
    <x v="61"/>
    <n v="80"/>
    <n v="15"/>
    <n v="0"/>
    <n v="32"/>
    <n v="-15"/>
    <n v="23.9"/>
    <n v="8.8999999999999986"/>
    <n v="71.099999999999994"/>
    <n v="71.099999999999994"/>
    <n v="16.138103999999998"/>
    <n v="206.77804999999998"/>
    <n v="95"/>
    <n v="222.91615399999998"/>
    <n v="0"/>
    <n v="80"/>
  </r>
  <r>
    <x v="0"/>
    <s v="RUCHA,METALMAN"/>
    <s v="ERW1"/>
    <s v="FIN CUT"/>
    <s v="ERW"/>
    <x v="24"/>
    <m/>
    <x v="7"/>
    <x v="6"/>
    <x v="6"/>
    <n v="0"/>
    <m/>
    <s v="57.152.55.95ERWFIN CUT"/>
    <s v="57.15-0-2.5-ERW 1-FC"/>
    <s v="57.15-0-2.5-ERW 1-FC-5.95"/>
    <s v="Value Added"/>
    <x v="2"/>
    <n v="4054700"/>
    <b v="1"/>
    <x v="2"/>
    <x v="62"/>
    <n v="20"/>
    <n v="5"/>
    <n v="13"/>
    <n v="57"/>
    <n v="8"/>
    <n v="147"/>
    <n v="155"/>
    <n v="-135"/>
    <n v="0"/>
    <n v="0"/>
    <n v="6.6326640000000001"/>
    <n v="147"/>
    <n v="6.6326640000000001"/>
    <n v="140.36733599999999"/>
    <n v="0"/>
  </r>
  <r>
    <x v="0"/>
    <s v="RUCHA,METALMAN"/>
    <s v="ERW1"/>
    <s v="FIN CUT"/>
    <s v="ERW"/>
    <x v="24"/>
    <m/>
    <x v="7"/>
    <x v="29"/>
    <x v="30"/>
    <n v="0"/>
    <m/>
    <s v="57.152.56.1ERWFIN CUT"/>
    <s v="57.15-0-2.5-ERW 1-FC"/>
    <s v="57.15-0-2.5-ERW 1-FC-6.1"/>
    <s v="Value Added"/>
    <x v="2"/>
    <n v="3910001"/>
    <b v="1"/>
    <x v="2"/>
    <x v="63"/>
    <n v="80"/>
    <n v="10"/>
    <n v="5"/>
    <m/>
    <n v="-5"/>
    <n v="11.3"/>
    <n v="6.3000000000000007"/>
    <n v="73.7"/>
    <n v="73.7"/>
    <n v="0"/>
    <n v="52.086044999999999"/>
    <n v="85"/>
    <n v="52.086044999999999"/>
    <n v="32.913955000000001"/>
    <n v="4"/>
  </r>
  <r>
    <x v="1"/>
    <s v="BADVE"/>
    <s v="ERW1"/>
    <s v="FIN CUT"/>
    <s v="ERW"/>
    <x v="24"/>
    <m/>
    <x v="13"/>
    <x v="19"/>
    <x v="20"/>
    <n v="0"/>
    <m/>
    <s v="57.1535.65ERWFIN CUT"/>
    <s v="57.15-0-3-ERW 1-FC"/>
    <s v="57.15-0-3-ERW 1-FC-5.65"/>
    <m/>
    <x v="2"/>
    <n v="3501105"/>
    <b v="1"/>
    <x v="2"/>
    <x v="64"/>
    <n v="10"/>
    <n v="0"/>
    <n v="0"/>
    <m/>
    <n v="0"/>
    <n v="22"/>
    <n v="22"/>
    <n v="-12"/>
    <n v="0"/>
    <n v="0"/>
    <n v="0"/>
    <n v="22"/>
    <n v="0"/>
    <n v="22"/>
    <m/>
  </r>
  <r>
    <x v="0"/>
    <s v="METALMAN"/>
    <s v="ERW1"/>
    <s v="FIN CUT"/>
    <s v="ERW"/>
    <x v="25"/>
    <m/>
    <x v="4"/>
    <x v="22"/>
    <x v="23"/>
    <n v="0"/>
    <m/>
    <s v="60.325.9ERWFIN CUT"/>
    <s v="60.3-0-2-ERW 1-FC"/>
    <s v="60.3-0-2-ERW 1-FC-5.9"/>
    <s v="Value Added"/>
    <x v="0"/>
    <n v="3905049"/>
    <b v="1"/>
    <x v="0"/>
    <x v="65"/>
    <n v="30"/>
    <n v="7"/>
    <n v="37"/>
    <m/>
    <n v="30"/>
    <n v="0"/>
    <n v="30"/>
    <n v="0"/>
    <n v="0"/>
    <n v="42.22"/>
    <n v="14.679999999999998"/>
    <n v="0"/>
    <n v="56.9"/>
    <n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71E5C-E0D0-4F8A-AE09-C97BE4160A2E}" name="PivotTable1" cacheId="8"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I3:K36" firstHeaderRow="1" firstDataRow="1" firstDataCol="2"/>
  <pivotFields count="4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6">
        <item x="0"/>
        <item x="1"/>
        <item m="1" x="31"/>
        <item x="2"/>
        <item x="3"/>
        <item x="4"/>
        <item x="6"/>
        <item x="8"/>
        <item x="9"/>
        <item m="1" x="33"/>
        <item m="1" x="29"/>
        <item m="1" x="30"/>
        <item x="12"/>
        <item x="18"/>
        <item x="15"/>
        <item x="16"/>
        <item x="17"/>
        <item x="13"/>
        <item x="14"/>
        <item x="19"/>
        <item x="22"/>
        <item x="21"/>
        <item x="20"/>
        <item m="1" x="32"/>
        <item x="23"/>
        <item x="26"/>
        <item x="27"/>
        <item m="1" x="28"/>
        <item x="5"/>
        <item m="1" x="34"/>
        <item m="1" x="35"/>
        <item x="24"/>
        <item x="7"/>
        <item x="25"/>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2">
        <item x="6"/>
        <item x="9"/>
        <item x="18"/>
        <item x="15"/>
        <item x="19"/>
        <item x="8"/>
        <item x="4"/>
        <item x="7"/>
        <item x="12"/>
        <item x="0"/>
        <item x="5"/>
        <item x="3"/>
        <item x="16"/>
        <item x="20"/>
        <item x="17"/>
        <item x="1"/>
        <item x="13"/>
        <item x="10"/>
        <item x="11"/>
        <item x="14"/>
        <item x="2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2"/>
    <field x="4"/>
  </rowFields>
  <rowItems count="33">
    <i>
      <x/>
      <x v="9"/>
    </i>
    <i>
      <x v="1"/>
      <x v="15"/>
    </i>
    <i r="1">
      <x v="21"/>
    </i>
    <i>
      <x v="3"/>
      <x v="11"/>
    </i>
    <i>
      <x v="4"/>
      <x v="6"/>
    </i>
    <i>
      <x v="5"/>
      <x v="10"/>
    </i>
    <i>
      <x v="6"/>
      <x v="7"/>
    </i>
    <i>
      <x v="7"/>
      <x v="5"/>
    </i>
    <i>
      <x v="8"/>
      <x v="1"/>
    </i>
    <i>
      <x v="12"/>
      <x v="16"/>
    </i>
    <i>
      <x v="13"/>
      <x v="19"/>
    </i>
    <i>
      <x v="14"/>
      <x v="16"/>
    </i>
    <i>
      <x v="15"/>
      <x v="16"/>
    </i>
    <i>
      <x v="16"/>
      <x v="16"/>
    </i>
    <i>
      <x v="17"/>
      <x v="15"/>
    </i>
    <i r="1">
      <x v="16"/>
    </i>
    <i>
      <x v="18"/>
      <x v="16"/>
    </i>
    <i>
      <x v="19"/>
      <x v="3"/>
    </i>
    <i>
      <x v="20"/>
      <x v="2"/>
    </i>
    <i>
      <x v="21"/>
      <x v="14"/>
    </i>
    <i>
      <x v="22"/>
      <x v="12"/>
    </i>
    <i>
      <x v="24"/>
      <x v="4"/>
    </i>
    <i>
      <x v="25"/>
      <x v="13"/>
    </i>
    <i>
      <x v="26"/>
      <x v="20"/>
    </i>
    <i>
      <x v="28"/>
      <x/>
    </i>
    <i>
      <x v="31"/>
      <x v="4"/>
    </i>
    <i>
      <x v="32"/>
      <x v="7"/>
    </i>
    <i>
      <x v="33"/>
      <x v="4"/>
    </i>
    <i>
      <x v="34"/>
      <x v="8"/>
    </i>
    <i r="1">
      <x v="17"/>
    </i>
    <i r="1">
      <x v="18"/>
    </i>
    <i>
      <x v="35"/>
      <x v="17"/>
    </i>
    <i r="1">
      <x v="18"/>
    </i>
  </rowItems>
  <colItems count="1">
    <i/>
  </colItems>
  <dataFields count="1">
    <dataField name="Sum of SCHEDULE IN MT" fld="35" baseField="0" baseItem="0" numFmtId="1"/>
  </dataFields>
  <formats count="2">
    <format dxfId="730">
      <pivotArea collapsedLevelsAreSubtotals="1" fieldPosition="0">
        <references count="1">
          <reference field="2" count="24">
            <x v="0"/>
            <x v="1"/>
            <x v="3"/>
            <x v="4"/>
            <x v="5"/>
            <x v="6"/>
            <x v="7"/>
            <x v="8"/>
            <x v="10"/>
            <x v="11"/>
            <x v="13"/>
            <x v="14"/>
            <x v="15"/>
            <x v="16"/>
            <x v="17"/>
            <x v="18"/>
            <x v="19"/>
            <x v="20"/>
            <x v="21"/>
            <x v="22"/>
            <x v="23"/>
            <x v="24"/>
            <x v="25"/>
            <x v="26"/>
          </reference>
        </references>
      </pivotArea>
    </format>
    <format dxfId="7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3" cacheId="7" applyNumberFormats="0" applyBorderFormats="0" applyFontFormats="0" applyPatternFormats="0" applyAlignmentFormats="0" applyWidthHeightFormats="1" dataCaption="Values" updatedVersion="8" minRefreshableVersion="3" visualTotals="0" useAutoFormatting="1" itemPrintTitles="1" createdVersion="8" indent="0" multipleFieldFilters="0">
  <location ref="A3:A4" firstHeaderRow="1" firstDataRow="1" firstDataCol="0" rowPageCount="1" colPageCount="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numFmtId="2" showAll="0"/>
    <pivotField showAll="0"/>
    <pivotField showAll="0"/>
    <pivotField axis="axisPage" multipleItemSelectionAllowed="1" showAll="0">
      <items count="197">
        <item m="1" x="191"/>
        <item m="1" x="192"/>
        <item m="1" x="87"/>
        <item m="1" x="140"/>
        <item m="1" x="96"/>
        <item x="50"/>
        <item m="1" x="93"/>
        <item m="1" x="98"/>
        <item m="1" x="188"/>
        <item m="1" x="136"/>
        <item m="1" x="99"/>
        <item m="1" x="95"/>
        <item m="1" x="100"/>
        <item m="1" x="151"/>
        <item m="1" x="121"/>
        <item m="1" x="160"/>
        <item m="1" x="152"/>
        <item m="1" x="137"/>
        <item m="1" x="176"/>
        <item m="1" x="147"/>
        <item m="1" x="111"/>
        <item m="1" x="104"/>
        <item m="1" x="119"/>
        <item x="52"/>
        <item m="1" x="120"/>
        <item m="1" x="193"/>
        <item m="1" x="161"/>
        <item m="1" x="180"/>
        <item m="1" x="145"/>
        <item m="1" x="172"/>
        <item m="1" x="90"/>
        <item m="1" x="88"/>
        <item m="1" x="168"/>
        <item m="1" x="107"/>
        <item x="9"/>
        <item m="1" x="124"/>
        <item m="1" x="162"/>
        <item m="1" x="113"/>
        <item x="1"/>
        <item m="1" x="139"/>
        <item m="1" x="84"/>
        <item m="1" x="91"/>
        <item m="1" x="116"/>
        <item m="1" x="126"/>
        <item x="7"/>
        <item m="1" x="97"/>
        <item x="14"/>
        <item x="11"/>
        <item x="48"/>
        <item m="1" x="115"/>
        <item m="1" x="185"/>
        <item m="1" x="101"/>
        <item m="1" x="122"/>
        <item x="2"/>
        <item m="1" x="133"/>
        <item x="32"/>
        <item m="1" x="146"/>
        <item m="1" x="127"/>
        <item m="1" x="177"/>
        <item x="6"/>
        <item m="1" x="89"/>
        <item x="79"/>
        <item m="1" x="155"/>
        <item m="1" x="129"/>
        <item x="12"/>
        <item m="1" x="169"/>
        <item m="1" x="130"/>
        <item m="1" x="174"/>
        <item m="1" x="112"/>
        <item m="1" x="164"/>
        <item m="1" x="85"/>
        <item x="17"/>
        <item m="1" x="149"/>
        <item x="76"/>
        <item x="16"/>
        <item x="3"/>
        <item m="1" x="195"/>
        <item m="1" x="134"/>
        <item m="1" x="117"/>
        <item m="1" x="144"/>
        <item x="8"/>
        <item m="1" x="105"/>
        <item m="1" x="109"/>
        <item m="1" x="128"/>
        <item m="1" x="102"/>
        <item m="1" x="141"/>
        <item x="4"/>
        <item x="71"/>
        <item m="1" x="178"/>
        <item m="1" x="157"/>
        <item x="13"/>
        <item m="1" x="103"/>
        <item m="1" x="106"/>
        <item m="1" x="158"/>
        <item m="1" x="92"/>
        <item x="77"/>
        <item x="18"/>
        <item x="15"/>
        <item m="1" x="86"/>
        <item x="46"/>
        <item m="1" x="125"/>
        <item x="70"/>
        <item x="20"/>
        <item x="55"/>
        <item x="49"/>
        <item m="1" x="179"/>
        <item m="1" x="167"/>
        <item x="74"/>
        <item m="1" x="165"/>
        <item m="1" x="166"/>
        <item m="1" x="150"/>
        <item x="38"/>
        <item x="69"/>
        <item x="31"/>
        <item x="78"/>
        <item m="1" x="182"/>
        <item m="1" x="184"/>
        <item m="1" x="183"/>
        <item x="10"/>
        <item x="33"/>
        <item x="75"/>
        <item m="1" x="94"/>
        <item x="19"/>
        <item m="1" x="170"/>
        <item x="47"/>
        <item m="1" x="123"/>
        <item m="1" x="171"/>
        <item x="21"/>
        <item m="1" x="159"/>
        <item x="0"/>
        <item x="82"/>
        <item m="1" x="108"/>
        <item x="83"/>
        <item h="1" x="30"/>
        <item h="1" m="1" x="138"/>
        <item h="1" m="1" x="181"/>
        <item h="1" m="1" x="143"/>
        <item h="1" m="1" x="153"/>
        <item h="1" x="37"/>
        <item h="1" m="1" x="175"/>
        <item h="1" m="1" x="186"/>
        <item h="1" m="1" x="135"/>
        <item h="1" m="1" x="154"/>
        <item h="1" m="1" x="189"/>
        <item h="1" m="1" x="142"/>
        <item h="1" m="1" x="114"/>
        <item h="1" m="1" x="118"/>
        <item h="1" m="1" x="190"/>
        <item h="1" m="1" x="194"/>
        <item h="1" x="53"/>
        <item h="1" m="1" x="131"/>
        <item h="1" x="56"/>
        <item h="1" x="57"/>
        <item h="1" x="58"/>
        <item h="1" x="59"/>
        <item h="1" x="60"/>
        <item h="1" x="61"/>
        <item h="1" x="62"/>
        <item h="1" x="63"/>
        <item h="1" x="64"/>
        <item h="1" m="1" x="163"/>
        <item h="1" m="1" x="110"/>
        <item h="1" x="65"/>
        <item h="1" x="80"/>
        <item h="1" m="1" x="187"/>
        <item h="1" x="81"/>
        <item h="1" m="1" x="148"/>
        <item h="1" m="1" x="156"/>
        <item h="1" m="1" x="173"/>
        <item h="1" m="1" x="132"/>
        <item h="1" x="51"/>
        <item h="1" x="54"/>
        <item h="1" x="66"/>
        <item h="1" x="67"/>
        <item h="1" x="68"/>
        <item h="1" x="72"/>
        <item h="1" x="73"/>
        <item h="1" x="34"/>
        <item h="1" x="35"/>
        <item h="1" x="36"/>
        <item h="1" x="39"/>
        <item h="1" x="40"/>
        <item h="1" x="41"/>
        <item h="1" x="42"/>
        <item h="1" x="43"/>
        <item h="1" x="44"/>
        <item h="1" x="45"/>
        <item h="1" x="5"/>
        <item h="1" x="22"/>
        <item h="1" x="23"/>
        <item h="1" x="24"/>
        <item h="1" x="25"/>
        <item h="1" x="26"/>
        <item h="1" x="27"/>
        <item h="1" x="28"/>
        <item h="1" x="29"/>
        <item t="default"/>
      </items>
    </pivotField>
    <pivotField showAll="0"/>
    <pivotField numFmtId="1" showAll="0"/>
    <pivotField dataField="1" numFmtId="2" showAll="0"/>
    <pivotField showAll="0"/>
    <pivotField showAll="0"/>
    <pivotField showAll="0"/>
    <pivotField showAll="0"/>
    <pivotField showAll="0"/>
    <pivotField showAll="0"/>
    <pivotField showAll="0"/>
  </pivotFields>
  <rowItems count="1">
    <i/>
  </rowItems>
  <colItems count="1">
    <i/>
  </colItems>
  <pageFields count="1">
    <pageField fld="24" hier="-1"/>
  </pageFields>
  <dataFields count="1">
    <dataField name="Sum of SCHEDULE IN M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C6BBAF-DAE5-4FBC-B220-4AA1D2016A9B}" name="PivotTable1" cacheId="8" applyNumberFormats="0" applyBorderFormats="0" applyFontFormats="0" applyPatternFormats="0" applyAlignmentFormats="0" applyWidthHeightFormats="1" dataCaption="Values" updatedVersion="8" minRefreshableVersion="3" useAutoFormatting="1" rowGrandTotals="0" itemPrintTitles="1" createdVersion="6" indent="0" compact="0" compactData="0" gridDropZones="1" multipleFieldFilters="0">
  <location ref="A3:B32" firstHeaderRow="2" firstDataRow="2" firstDataCol="1"/>
  <pivotFields count="4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6">
        <item x="0"/>
        <item x="1"/>
        <item m="1" x="31"/>
        <item x="2"/>
        <item x="3"/>
        <item x="4"/>
        <item x="6"/>
        <item x="8"/>
        <item x="9"/>
        <item m="1" x="33"/>
        <item m="1" x="29"/>
        <item m="1" x="30"/>
        <item x="12"/>
        <item x="18"/>
        <item x="15"/>
        <item x="16"/>
        <item x="17"/>
        <item x="13"/>
        <item x="14"/>
        <item x="19"/>
        <item x="22"/>
        <item x="21"/>
        <item x="20"/>
        <item x="26"/>
        <item x="27"/>
        <item x="23"/>
        <item m="1" x="32"/>
        <item m="1" x="28"/>
        <item x="5"/>
        <item m="1" x="34"/>
        <item m="1" x="35"/>
        <item x="24"/>
        <item x="7"/>
        <item x="25"/>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28">
    <i>
      <x/>
    </i>
    <i>
      <x v="1"/>
    </i>
    <i>
      <x v="3"/>
    </i>
    <i>
      <x v="4"/>
    </i>
    <i>
      <x v="5"/>
    </i>
    <i>
      <x v="6"/>
    </i>
    <i>
      <x v="7"/>
    </i>
    <i>
      <x v="8"/>
    </i>
    <i>
      <x v="12"/>
    </i>
    <i>
      <x v="13"/>
    </i>
    <i>
      <x v="14"/>
    </i>
    <i>
      <x v="15"/>
    </i>
    <i>
      <x v="16"/>
    </i>
    <i>
      <x v="17"/>
    </i>
    <i>
      <x v="18"/>
    </i>
    <i>
      <x v="19"/>
    </i>
    <i>
      <x v="20"/>
    </i>
    <i>
      <x v="21"/>
    </i>
    <i>
      <x v="22"/>
    </i>
    <i>
      <x v="23"/>
    </i>
    <i>
      <x v="24"/>
    </i>
    <i>
      <x v="25"/>
    </i>
    <i>
      <x v="28"/>
    </i>
    <i>
      <x v="31"/>
    </i>
    <i>
      <x v="32"/>
    </i>
    <i>
      <x v="33"/>
    </i>
    <i>
      <x v="34"/>
    </i>
    <i>
      <x v="35"/>
    </i>
  </rowItems>
  <colItems count="1">
    <i/>
  </colItems>
  <dataFields count="1">
    <dataField name="Sum of SCHEDULE IN MT" fld="35" baseField="0" baseItem="0" numFmtId="167"/>
  </dataFields>
  <formats count="1">
    <format dxfId="7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4C4E82-775D-4FE6-8E1D-4E44A7C8FB17}" name="PivotTable10" cacheId="8" applyNumberFormats="0" applyBorderFormats="0" applyFontFormats="0" applyPatternFormats="0" applyAlignmentFormats="0" applyWidthHeightFormats="1" dataCaption="Values" updatedVersion="8" minRefreshableVersion="3" visualTotals="0" useAutoFormatting="1" itemPrintTitles="1" createdVersion="8" indent="0" multipleFieldFilters="0">
  <location ref="A3:A32" firstHeaderRow="1" firstDataRow="1" firstDataCol="1"/>
  <pivotFields count="45">
    <pivotField showAll="0"/>
    <pivotField showAll="0"/>
    <pivotField axis="axisRow" showAll="0">
      <items count="37">
        <item x="0"/>
        <item x="1"/>
        <item m="1" x="31"/>
        <item x="2"/>
        <item x="3"/>
        <item x="4"/>
        <item x="6"/>
        <item x="8"/>
        <item x="9"/>
        <item m="1" x="33"/>
        <item m="1" x="29"/>
        <item m="1" x="30"/>
        <item x="12"/>
        <item x="18"/>
        <item x="15"/>
        <item x="16"/>
        <item x="17"/>
        <item x="13"/>
        <item x="14"/>
        <item x="19"/>
        <item x="22"/>
        <item x="21"/>
        <item x="20"/>
        <item m="1" x="32"/>
        <item x="23"/>
        <item x="26"/>
        <item x="27"/>
        <item m="1" x="28"/>
        <item x="5"/>
        <item m="1" x="34"/>
        <item m="1" x="35"/>
        <item x="24"/>
        <item x="7"/>
        <item x="25"/>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numFmtId="2" showAll="0"/>
    <pivotField showAll="0"/>
    <pivotField numFmtId="2" showAll="0"/>
    <pivotField numFmtId="2" showAll="0"/>
    <pivotField showAll="0"/>
    <pivotField showAll="0"/>
  </pivotFields>
  <rowFields count="1">
    <field x="2"/>
  </rowFields>
  <rowItems count="29">
    <i>
      <x/>
    </i>
    <i>
      <x v="1"/>
    </i>
    <i>
      <x v="3"/>
    </i>
    <i>
      <x v="4"/>
    </i>
    <i>
      <x v="5"/>
    </i>
    <i>
      <x v="6"/>
    </i>
    <i>
      <x v="7"/>
    </i>
    <i>
      <x v="8"/>
    </i>
    <i>
      <x v="12"/>
    </i>
    <i>
      <x v="13"/>
    </i>
    <i>
      <x v="14"/>
    </i>
    <i>
      <x v="15"/>
    </i>
    <i>
      <x v="16"/>
    </i>
    <i>
      <x v="17"/>
    </i>
    <i>
      <x v="18"/>
    </i>
    <i>
      <x v="19"/>
    </i>
    <i>
      <x v="20"/>
    </i>
    <i>
      <x v="21"/>
    </i>
    <i>
      <x v="22"/>
    </i>
    <i>
      <x v="24"/>
    </i>
    <i>
      <x v="25"/>
    </i>
    <i>
      <x v="26"/>
    </i>
    <i>
      <x v="28"/>
    </i>
    <i>
      <x v="31"/>
    </i>
    <i>
      <x v="32"/>
    </i>
    <i>
      <x v="33"/>
    </i>
    <i>
      <x v="34"/>
    </i>
    <i>
      <x v="35"/>
    </i>
    <i t="grand">
      <x/>
    </i>
  </rowItems>
  <colItems count="1">
    <i/>
  </colItems>
  <formats count="3">
    <format dxfId="694">
      <pivotArea collapsedLevelsAreSubtotals="1" fieldPosition="0">
        <references count="1">
          <reference field="2" count="1">
            <x v="21"/>
          </reference>
        </references>
      </pivotArea>
    </format>
    <format dxfId="693">
      <pivotArea collapsedLevelsAreSubtotals="1" fieldPosition="0">
        <references count="1">
          <reference field="2" count="1">
            <x v="20"/>
          </reference>
        </references>
      </pivotArea>
    </format>
    <format dxfId="692">
      <pivotArea collapsedLevelsAreSubtotals="1" fieldPosition="0">
        <references count="1">
          <reference field="2"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1AB3E-B60F-4B8D-9BE7-ABD8D889449C}" name="PivotTable1" cacheId="8" applyNumberFormats="0" applyBorderFormats="0" applyFontFormats="0" applyPatternFormats="0" applyAlignmentFormats="0" applyWidthHeightFormats="1" dataCaption="Values" updatedVersion="8" minRefreshableVersion="3" useAutoFormatting="1" rowGrandTotals="0" itemPrintTitles="1" createdVersion="6" indent="0" compact="0" compactData="0" gridDropZones="1" multipleFieldFilters="0">
  <location ref="A3:AJ196" firstHeaderRow="1" firstDataRow="2" firstDataCol="7"/>
  <pivotFields count="4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6">
        <item x="0"/>
        <item x="1"/>
        <item m="1" x="31"/>
        <item x="2"/>
        <item x="3"/>
        <item x="4"/>
        <item x="6"/>
        <item x="8"/>
        <item x="9"/>
        <item m="1" x="33"/>
        <item m="1" x="29"/>
        <item m="1" x="30"/>
        <item x="12"/>
        <item x="18"/>
        <item x="15"/>
        <item x="16"/>
        <item x="17"/>
        <item x="13"/>
        <item x="14"/>
        <item x="19"/>
        <item x="22"/>
        <item x="21"/>
        <item x="20"/>
        <item x="26"/>
        <item x="27"/>
        <item x="23"/>
        <item m="1" x="32"/>
        <item m="1" x="28"/>
        <item x="5"/>
        <item m="1" x="34"/>
        <item m="1" x="35"/>
        <item x="24"/>
        <item x="7"/>
        <item x="25"/>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0">
        <item x="1"/>
        <item x="7"/>
        <item x="0"/>
        <item x="6"/>
        <item x="5"/>
        <item x="2"/>
        <item x="4"/>
        <item m="1" x="8"/>
        <item m="1" x="9"/>
        <item x="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ascending" defaultSubtotal="0">
      <items count="6">
        <item x="3"/>
        <item x="5"/>
        <item x="2"/>
        <item x="4"/>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items count="224">
        <item x="115"/>
        <item x="92"/>
        <item m="1" x="212"/>
        <item m="1" x="196"/>
        <item m="1" x="201"/>
        <item x="14"/>
        <item x="0"/>
        <item m="1" x="222"/>
        <item m="1" x="203"/>
        <item x="7"/>
        <item x="157"/>
        <item x="108"/>
        <item m="1" x="210"/>
        <item x="169"/>
        <item x="80"/>
        <item m="1" x="184"/>
        <item m="1" x="182"/>
        <item x="2"/>
        <item m="1" x="220"/>
        <item x="15"/>
        <item x="77"/>
        <item x="16"/>
        <item m="1" x="202"/>
        <item x="8"/>
        <item x="109"/>
        <item x="135"/>
        <item x="9"/>
        <item x="110"/>
        <item x="136"/>
        <item x="159"/>
        <item x="119"/>
        <item x="10"/>
        <item x="17"/>
        <item x="120"/>
        <item m="1" x="219"/>
        <item x="137"/>
        <item x="71"/>
        <item x="4"/>
        <item x="42"/>
        <item x="43"/>
        <item x="121"/>
        <item x="85"/>
        <item x="153"/>
        <item x="3"/>
        <item x="173"/>
        <item x="146"/>
        <item x="145"/>
        <item x="19"/>
        <item x="152"/>
        <item x="144"/>
        <item x="18"/>
        <item x="170"/>
        <item x="81"/>
        <item m="1" x="214"/>
        <item x="72"/>
        <item x="116"/>
        <item x="165"/>
        <item x="111"/>
        <item x="60"/>
        <item x="112"/>
        <item x="82"/>
        <item x="113"/>
        <item x="154"/>
        <item x="174"/>
        <item x="171"/>
        <item x="20"/>
        <item x="147"/>
        <item x="21"/>
        <item x="167"/>
        <item x="58"/>
        <item x="24"/>
        <item x="175"/>
        <item x="22"/>
        <item x="23"/>
        <item x="49"/>
        <item m="1" x="216"/>
        <item x="168"/>
        <item x="57"/>
        <item x="131"/>
        <item m="1" x="183"/>
        <item x="78"/>
        <item m="1" x="180"/>
        <item x="86"/>
        <item x="5"/>
        <item x="44"/>
        <item x="65"/>
        <item x="87"/>
        <item x="166"/>
        <item x="148"/>
        <item x="160"/>
        <item x="25"/>
        <item x="122"/>
        <item x="105"/>
        <item x="104"/>
        <item x="158"/>
        <item x="114"/>
        <item x="66"/>
        <item x="138"/>
        <item x="106"/>
        <item x="73"/>
        <item x="28"/>
        <item x="103"/>
        <item x="123"/>
        <item x="88"/>
        <item x="26"/>
        <item x="172"/>
        <item x="132"/>
        <item x="27"/>
        <item x="11"/>
        <item x="12"/>
        <item x="53"/>
        <item x="54"/>
        <item x="52"/>
        <item x="139"/>
        <item x="67"/>
        <item x="68"/>
        <item x="74"/>
        <item m="1" x="177"/>
        <item m="1" x="178"/>
        <item x="124"/>
        <item m="1" x="176"/>
        <item x="163"/>
        <item m="1" x="192"/>
        <item x="149"/>
        <item x="13"/>
        <item x="107"/>
        <item x="162"/>
        <item x="125"/>
        <item x="55"/>
        <item x="29"/>
        <item x="46"/>
        <item x="31"/>
        <item x="50"/>
        <item m="1" x="205"/>
        <item x="141"/>
        <item x="140"/>
        <item x="45"/>
        <item x="48"/>
        <item x="117"/>
        <item x="126"/>
        <item x="89"/>
        <item x="100"/>
        <item x="102"/>
        <item x="90"/>
        <item x="127"/>
        <item x="101"/>
        <item x="79"/>
        <item x="70"/>
        <item x="69"/>
        <item m="1" x="221"/>
        <item x="75"/>
        <item x="32"/>
        <item x="33"/>
        <item m="1" x="195"/>
        <item x="34"/>
        <item x="94"/>
        <item x="36"/>
        <item x="37"/>
        <item x="76"/>
        <item x="150"/>
        <item x="134"/>
        <item x="151"/>
        <item x="91"/>
        <item x="83"/>
        <item x="93"/>
        <item x="84"/>
        <item x="142"/>
        <item x="56"/>
        <item x="35"/>
        <item x="95"/>
        <item m="1" x="217"/>
        <item x="59"/>
        <item x="128"/>
        <item m="1" x="204"/>
        <item x="130"/>
        <item x="6"/>
        <item m="1" x="209"/>
        <item x="129"/>
        <item x="63"/>
        <item x="62"/>
        <item m="1" x="208"/>
        <item x="133"/>
        <item x="155"/>
        <item x="98"/>
        <item x="97"/>
        <item x="41"/>
        <item x="51"/>
        <item x="40"/>
        <item x="156"/>
        <item x="143"/>
        <item x="99"/>
        <item x="61"/>
        <item x="64"/>
        <item m="1" x="213"/>
        <item m="1" x="179"/>
        <item m="1" x="215"/>
        <item x="38"/>
        <item x="39"/>
        <item m="1" x="186"/>
        <item m="1" x="185"/>
        <item m="1" x="197"/>
        <item m="1" x="187"/>
        <item m="1" x="206"/>
        <item m="1" x="200"/>
        <item m="1" x="218"/>
        <item m="1" x="189"/>
        <item m="1" x="211"/>
        <item x="161"/>
        <item x="1"/>
        <item m="1" x="194"/>
        <item m="1" x="199"/>
        <item m="1" x="188"/>
        <item m="1" x="207"/>
        <item x="118"/>
        <item m="1" x="190"/>
        <item x="47"/>
        <item m="1" x="181"/>
        <item m="1" x="191"/>
        <item m="1" x="193"/>
        <item x="96"/>
        <item x="164"/>
        <item x="30"/>
        <item m="1" x="19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2" outline="0" showAll="0" defaultSubtotal="0">
      <items count="47">
        <item m="1" x="45"/>
        <item m="1" x="46"/>
        <item x="0"/>
        <item x="5"/>
        <item x="1"/>
        <item x="6"/>
        <item x="7"/>
        <item x="35"/>
        <item x="41"/>
        <item x="32"/>
        <item x="2"/>
        <item x="24"/>
        <item x="38"/>
        <item x="33"/>
        <item x="11"/>
        <item x="31"/>
        <item x="3"/>
        <item x="42"/>
        <item x="36"/>
        <item x="12"/>
        <item x="8"/>
        <item x="22"/>
        <item x="28"/>
        <item x="29"/>
        <item x="20"/>
        <item x="10"/>
        <item x="37"/>
        <item x="39"/>
        <item x="13"/>
        <item x="43"/>
        <item x="21"/>
        <item x="40"/>
        <item x="14"/>
        <item x="30"/>
        <item x="44"/>
        <item x="15"/>
        <item x="16"/>
        <item x="17"/>
        <item x="18"/>
        <item x="4"/>
        <item x="26"/>
        <item x="19"/>
        <item x="34"/>
        <item x="25"/>
        <item x="27"/>
        <item x="23"/>
        <item x="9"/>
      </items>
      <extLst>
        <ext xmlns:x14="http://schemas.microsoft.com/office/spreadsheetml/2009/9/main" uri="{2946ED86-A175-432a-8AC1-64E0C546D7DE}">
          <x14:pivotField fillDownLabels="1"/>
        </ext>
      </extLst>
    </pivotField>
    <pivotField axis="axisRow" compact="0" numFmtId="2" outline="0" showAll="0" defaultSubtotal="0">
      <items count="50">
        <item x="33"/>
        <item x="39"/>
        <item m="1" x="48"/>
        <item m="1" x="49"/>
        <item x="0"/>
        <item x="5"/>
        <item x="1"/>
        <item x="6"/>
        <item x="7"/>
        <item x="42"/>
        <item x="29"/>
        <item x="2"/>
        <item x="23"/>
        <item x="38"/>
        <item x="31"/>
        <item x="46"/>
        <item x="11"/>
        <item x="13"/>
        <item x="3"/>
        <item x="36"/>
        <item x="35"/>
        <item x="12"/>
        <item x="8"/>
        <item x="21"/>
        <item x="27"/>
        <item x="44"/>
        <item x="10"/>
        <item x="37"/>
        <item x="47"/>
        <item x="14"/>
        <item x="45"/>
        <item x="20"/>
        <item x="41"/>
        <item x="30"/>
        <item x="28"/>
        <item x="15"/>
        <item x="32"/>
        <item x="16"/>
        <item x="17"/>
        <item x="4"/>
        <item x="43"/>
        <item x="25"/>
        <item x="19"/>
        <item x="18"/>
        <item x="34"/>
        <item x="24"/>
        <item x="26"/>
        <item x="40"/>
        <item x="22"/>
        <item x="9"/>
      </items>
      <extLst>
        <ext xmlns:x14="http://schemas.microsoft.com/office/spreadsheetml/2009/9/main" uri="{2946ED86-A175-432a-8AC1-64E0C546D7DE}">
          <x14:pivotField fillDownLabels="1"/>
        </ext>
      </extLst>
    </pivotField>
    <pivotField axis="axisRow" compact="0" outline="0" showAll="0" defaultSubtotal="0">
      <items count="27">
        <item x="0"/>
        <item m="1" x="26"/>
        <item x="13"/>
        <item x="24"/>
        <item x="22"/>
        <item x="23"/>
        <item x="18"/>
        <item x="14"/>
        <item x="19"/>
        <item x="17"/>
        <item x="7"/>
        <item x="15"/>
        <item x="16"/>
        <item x="11"/>
        <item x="4"/>
        <item x="6"/>
        <item x="3"/>
        <item x="9"/>
        <item x="20"/>
        <item x="1"/>
        <item x="5"/>
        <item x="21"/>
        <item x="10"/>
        <item x="12"/>
        <item x="8"/>
        <item x="2"/>
        <item m="1" x="25"/>
      </items>
      <extLst>
        <ext xmlns:x14="http://schemas.microsoft.com/office/spreadsheetml/2009/9/main" uri="{2946ED86-A175-432a-8AC1-64E0C546D7DE}">
          <x14:pivotField fillDownLabels="1"/>
        </ext>
      </extLst>
    </pivotField>
    <pivotField axis="axisRow" compact="0" numFmtId="2" outline="0" showAll="0" defaultSubtotal="0">
      <items count="34">
        <item x="28"/>
        <item x="1"/>
        <item x="2"/>
        <item m="1" x="32"/>
        <item x="18"/>
        <item m="1" x="33"/>
        <item x="0"/>
        <item x="12"/>
        <item x="31"/>
        <item x="8"/>
        <item x="20"/>
        <item x="9"/>
        <item x="27"/>
        <item x="29"/>
        <item x="22"/>
        <item x="10"/>
        <item x="14"/>
        <item x="5"/>
        <item x="26"/>
        <item x="24"/>
        <item x="3"/>
        <item x="25"/>
        <item x="4"/>
        <item x="19"/>
        <item x="13"/>
        <item x="23"/>
        <item x="7"/>
        <item x="17"/>
        <item x="21"/>
        <item x="30"/>
        <item x="11"/>
        <item x="15"/>
        <item x="16"/>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7">
    <field x="23"/>
    <field x="24"/>
    <field x="25"/>
    <field x="26"/>
    <field x="8"/>
    <field x="10"/>
    <field x="16"/>
  </rowFields>
  <rowItems count="192">
    <i>
      <x v="2"/>
      <x v="4"/>
      <x/>
      <x v="2"/>
      <x v="2"/>
      <x v="4"/>
      <x v="5"/>
    </i>
    <i r="3">
      <x v="6"/>
      <x v="2"/>
      <x v="4"/>
      <x v="6"/>
    </i>
    <i r="3">
      <x v="9"/>
      <x v="2"/>
      <x v="4"/>
      <x v="213"/>
    </i>
    <i>
      <x v="3"/>
      <x v="5"/>
      <x/>
      <x v="6"/>
      <x/>
      <x/>
      <x v="9"/>
    </i>
    <i r="3">
      <x v="14"/>
      <x/>
      <x/>
      <x v="11"/>
    </i>
    <i r="5">
      <x v="5"/>
      <x v="10"/>
    </i>
    <i r="2">
      <x v="2"/>
      <x v="14"/>
      <x/>
      <x v="5"/>
      <x v="14"/>
    </i>
    <i r="2">
      <x v="3"/>
      <x v="8"/>
      <x/>
      <x/>
      <x v="13"/>
    </i>
    <i>
      <x v="4"/>
      <x v="6"/>
      <x/>
      <x v="1"/>
      <x v="2"/>
      <x v="4"/>
      <x v="20"/>
    </i>
    <i r="5">
      <x v="5"/>
      <x v="208"/>
    </i>
    <i r="3">
      <x v="2"/>
      <x v="2"/>
      <x v="4"/>
      <x v="17"/>
    </i>
    <i r="3">
      <x v="6"/>
      <x v="2"/>
      <x v="4"/>
      <x v="19"/>
    </i>
    <i r="3">
      <x v="9"/>
      <x v="2"/>
      <x v="4"/>
      <x v="21"/>
    </i>
    <i>
      <x v="5"/>
      <x v="7"/>
      <x/>
      <x v="9"/>
      <x/>
      <x/>
      <x v="24"/>
    </i>
    <i r="3">
      <x v="20"/>
      <x/>
      <x/>
      <x v="23"/>
    </i>
    <i r="5">
      <x v="5"/>
      <x v="208"/>
    </i>
    <i r="2">
      <x v="4"/>
      <x v="18"/>
      <x/>
      <x/>
      <x v="25"/>
    </i>
    <i r="2">
      <x v="25"/>
      <x v="22"/>
      <x/>
      <x/>
      <x v="26"/>
    </i>
    <i>
      <x v="6"/>
      <x v="8"/>
      <x/>
      <x v="2"/>
      <x/>
      <x/>
      <x v="28"/>
    </i>
    <i r="5">
      <x v="5"/>
      <x v="27"/>
    </i>
    <i r="4">
      <x v="2"/>
      <x v="4"/>
      <x v="30"/>
    </i>
    <i r="5">
      <x v="5"/>
      <x v="29"/>
    </i>
    <i r="3">
      <x v="6"/>
      <x/>
      <x v="5"/>
      <x v="31"/>
    </i>
    <i r="4">
      <x v="2"/>
      <x v="4"/>
      <x v="32"/>
    </i>
    <i>
      <x v="7"/>
      <x v="20"/>
      <x v="11"/>
      <x v="30"/>
      <x/>
      <x v="5"/>
      <x v="101"/>
    </i>
    <i>
      <x v="8"/>
      <x v="9"/>
      <x/>
      <x v="1"/>
      <x v="2"/>
      <x v="4"/>
      <x v="33"/>
    </i>
    <i r="2">
      <x v="5"/>
      <x v="22"/>
      <x/>
      <x/>
      <x v="35"/>
    </i>
    <i>
      <x v="9"/>
      <x v="10"/>
      <x v="7"/>
      <x v="25"/>
      <x/>
      <x/>
      <x v="52"/>
    </i>
    <i r="5">
      <x v="5"/>
      <x v="51"/>
    </i>
    <i>
      <x v="10"/>
      <x v="10"/>
      <x v="7"/>
      <x v="25"/>
      <x/>
      <x/>
      <x v="52"/>
    </i>
    <i r="1">
      <x v="11"/>
      <x/>
      <x v="1"/>
      <x v="2"/>
      <x v="4"/>
      <x v="43"/>
    </i>
    <i r="3">
      <x v="2"/>
      <x v="1"/>
      <x v="4"/>
      <x v="36"/>
    </i>
    <i r="4">
      <x v="2"/>
      <x v="4"/>
      <x v="37"/>
    </i>
    <i r="5">
      <x v="5"/>
      <x v="208"/>
    </i>
    <i r="3">
      <x v="6"/>
      <x v="2"/>
      <x v="4"/>
      <x v="41"/>
    </i>
    <i r="5">
      <x v="5"/>
      <x v="40"/>
    </i>
    <i r="4">
      <x v="4"/>
      <x v="4"/>
      <x v="42"/>
    </i>
    <i r="4">
      <x v="5"/>
      <x v="5"/>
      <x v="38"/>
    </i>
    <i r="3">
      <x v="7"/>
      <x v="5"/>
      <x v="5"/>
      <x v="39"/>
    </i>
    <i r="3">
      <x v="9"/>
      <x v="2"/>
      <x v="4"/>
      <x v="50"/>
    </i>
    <i r="6">
      <x v="208"/>
    </i>
    <i r="5">
      <x v="5"/>
      <x v="49"/>
    </i>
    <i r="6">
      <x v="208"/>
    </i>
    <i r="4">
      <x v="5"/>
      <x v="5"/>
      <x v="44"/>
    </i>
    <i r="3">
      <x v="11"/>
      <x v="2"/>
      <x v="4"/>
      <x v="47"/>
    </i>
    <i r="5">
      <x v="5"/>
      <x v="46"/>
    </i>
    <i r="3">
      <x v="13"/>
      <x v="2"/>
      <x v="5"/>
      <x v="45"/>
    </i>
    <i r="3">
      <x v="15"/>
      <x v="3"/>
      <x v="5"/>
      <x v="48"/>
    </i>
    <i>
      <x v="11"/>
      <x v="12"/>
      <x v="6"/>
      <x v="29"/>
      <x/>
      <x/>
      <x v="56"/>
    </i>
    <i r="3">
      <x v="31"/>
      <x/>
      <x/>
      <x v="57"/>
    </i>
    <i r="2">
      <x v="10"/>
      <x v="4"/>
      <x/>
      <x/>
      <x v="58"/>
    </i>
    <i>
      <x v="12"/>
      <x v="13"/>
      <x v="8"/>
      <x v="19"/>
      <x/>
      <x/>
      <x v="59"/>
    </i>
    <i>
      <x v="13"/>
      <x v="14"/>
      <x/>
      <x v="27"/>
      <x/>
      <x/>
      <x v="61"/>
    </i>
    <i r="5">
      <x v="5"/>
      <x v="60"/>
    </i>
    <i>
      <x v="14"/>
      <x v="15"/>
      <x/>
      <x v="2"/>
      <x v="5"/>
      <x v="5"/>
      <x v="62"/>
    </i>
    <i r="1">
      <x v="16"/>
      <x/>
      <x v="2"/>
      <x v="2"/>
      <x v="4"/>
      <x v="65"/>
    </i>
    <i r="5">
      <x v="5"/>
      <x v="64"/>
    </i>
    <i r="4">
      <x v="5"/>
      <x v="5"/>
      <x v="63"/>
    </i>
    <i r="3">
      <x v="6"/>
      <x v="2"/>
      <x v="4"/>
      <x v="67"/>
    </i>
    <i r="5">
      <x v="5"/>
      <x v="66"/>
    </i>
    <i r="4">
      <x v="4"/>
      <x v="4"/>
      <x v="68"/>
    </i>
    <i r="3">
      <x v="9"/>
      <x v="2"/>
      <x v="2"/>
      <x v="73"/>
    </i>
    <i r="5">
      <x v="4"/>
      <x v="74"/>
    </i>
    <i r="5">
      <x v="5"/>
      <x v="72"/>
    </i>
    <i r="4">
      <x v="3"/>
      <x v="2"/>
      <x v="78"/>
    </i>
    <i r="5">
      <x v="5"/>
      <x v="208"/>
    </i>
    <i r="4">
      <x v="4"/>
      <x v="2"/>
      <x v="76"/>
    </i>
    <i r="5">
      <x v="4"/>
      <x v="77"/>
    </i>
    <i r="5">
      <x v="5"/>
      <x v="208"/>
    </i>
    <i r="4">
      <x v="5"/>
      <x v="5"/>
      <x v="69"/>
    </i>
    <i r="3">
      <x v="11"/>
      <x v="2"/>
      <x v="4"/>
      <x v="70"/>
    </i>
    <i r="6">
      <x v="208"/>
    </i>
    <i r="4">
      <x v="5"/>
      <x v="4"/>
      <x v="71"/>
    </i>
    <i>
      <x v="15"/>
      <x v="10"/>
      <x v="13"/>
      <x v="1"/>
      <x v="1"/>
      <x v="4"/>
      <x v="54"/>
    </i>
    <i>
      <x v="16"/>
      <x v="18"/>
      <x/>
      <x v="2"/>
      <x v="2"/>
      <x v="4"/>
      <x v="80"/>
    </i>
    <i r="3">
      <x v="6"/>
      <x v="2"/>
      <x v="2"/>
      <x v="82"/>
    </i>
    <i r="5">
      <x v="4"/>
      <x v="83"/>
    </i>
    <i r="3">
      <x v="9"/>
      <x v="2"/>
      <x v="2"/>
      <x v="90"/>
    </i>
    <i r="6">
      <x v="208"/>
    </i>
    <i r="5">
      <x v="4"/>
      <x v="91"/>
    </i>
    <i r="5">
      <x v="5"/>
      <x v="89"/>
    </i>
    <i r="4">
      <x v="5"/>
      <x v="5"/>
      <x v="84"/>
    </i>
    <i r="3">
      <x v="15"/>
      <x/>
      <x/>
      <x v="85"/>
    </i>
    <i r="4">
      <x v="2"/>
      <x v="2"/>
      <x v="87"/>
    </i>
    <i r="5">
      <x v="5"/>
      <x v="86"/>
    </i>
    <i r="3">
      <x v="16"/>
      <x v="2"/>
      <x v="5"/>
      <x v="88"/>
    </i>
    <i r="2">
      <x v="12"/>
      <x v="27"/>
      <x/>
      <x/>
      <x v="93"/>
    </i>
    <i r="5">
      <x v="5"/>
      <x v="92"/>
    </i>
    <i r="2">
      <x v="13"/>
      <x v="24"/>
      <x/>
      <x/>
      <x v="95"/>
    </i>
    <i r="5">
      <x v="5"/>
      <x v="94"/>
    </i>
    <i r="2">
      <x v="15"/>
      <x v="15"/>
      <x/>
      <x/>
      <x v="97"/>
    </i>
    <i r="5">
      <x v="5"/>
      <x v="96"/>
    </i>
    <i>
      <x v="17"/>
      <x v="25"/>
      <x v="17"/>
      <x v="12"/>
      <x/>
      <x/>
      <x v="113"/>
    </i>
    <i>
      <x v="18"/>
      <x v="19"/>
      <x v="9"/>
      <x v="31"/>
      <x/>
      <x v="5"/>
      <x v="98"/>
    </i>
    <i>
      <x v="19"/>
      <x v="21"/>
      <x/>
      <x v="2"/>
      <x v="2"/>
      <x v="4"/>
      <x v="102"/>
    </i>
    <i r="3">
      <x v="6"/>
      <x v="2"/>
      <x v="2"/>
      <x v="104"/>
    </i>
    <i r="5">
      <x v="4"/>
      <x v="105"/>
    </i>
    <i r="5">
      <x v="5"/>
      <x v="103"/>
    </i>
    <i r="4">
      <x v="3"/>
      <x v="4"/>
      <x v="106"/>
    </i>
    <i r="3">
      <x v="9"/>
      <x v="2"/>
      <x v="2"/>
      <x v="107"/>
    </i>
    <i>
      <x v="20"/>
      <x v="22"/>
      <x/>
      <x v="16"/>
      <x/>
      <x/>
      <x v="215"/>
    </i>
    <i r="3">
      <x v="17"/>
      <x/>
      <x/>
      <x v="108"/>
    </i>
    <i>
      <x v="21"/>
      <x v="23"/>
      <x v="15"/>
      <x v="31"/>
      <x/>
      <x/>
      <x v="112"/>
    </i>
    <i r="4">
      <x v="6"/>
      <x/>
      <x v="111"/>
    </i>
    <i r="4">
      <x v="9"/>
      <x/>
      <x v="112"/>
    </i>
    <i r="5">
      <x v="1"/>
      <x v="112"/>
    </i>
    <i>
      <x v="22"/>
      <x v="24"/>
      <x v="17"/>
      <x v="10"/>
      <x/>
      <x v="5"/>
      <x v="114"/>
    </i>
    <i>
      <x v="23"/>
      <x v="24"/>
      <x v="17"/>
      <x v="10"/>
      <x/>
      <x/>
      <x v="115"/>
    </i>
    <i>
      <x v="24"/>
      <x v="31"/>
      <x v="20"/>
      <x v="24"/>
      <x v="5"/>
      <x v="5"/>
      <x v="136"/>
    </i>
    <i>
      <x v="25"/>
      <x v="17"/>
      <x v="16"/>
      <x v="2"/>
      <x v="1"/>
      <x v="4"/>
      <x v="99"/>
    </i>
    <i r="3">
      <x v="9"/>
      <x v="2"/>
      <x v="5"/>
      <x v="100"/>
    </i>
    <i r="1">
      <x v="26"/>
      <x/>
      <x v="2"/>
      <x v="2"/>
      <x v="2"/>
      <x v="119"/>
    </i>
    <i r="3">
      <x v="6"/>
      <x v="2"/>
      <x v="2"/>
      <x v="121"/>
    </i>
    <i r="3">
      <x v="11"/>
      <x v="2"/>
      <x v="2"/>
      <x v="207"/>
    </i>
    <i r="3">
      <x v="15"/>
      <x v="2"/>
      <x v="2"/>
      <x v="123"/>
    </i>
    <i r="6">
      <x v="208"/>
    </i>
    <i r="2">
      <x v="16"/>
      <x v="26"/>
      <x/>
      <x/>
      <x v="124"/>
    </i>
    <i>
      <x v="26"/>
      <x v="27"/>
      <x/>
      <x v="31"/>
      <x/>
      <x v="5"/>
      <x v="125"/>
    </i>
    <i>
      <x v="27"/>
      <x v="1"/>
      <x/>
      <x v="9"/>
      <x/>
      <x v="5"/>
      <x/>
    </i>
    <i r="1">
      <x v="28"/>
      <x v="18"/>
      <x v="9"/>
      <x/>
      <x/>
      <x v="126"/>
    </i>
    <i r="1">
      <x v="47"/>
      <x v="18"/>
      <x v="9"/>
      <x/>
      <x v="5"/>
      <x v="55"/>
    </i>
    <i>
      <x v="28"/>
      <x v="29"/>
      <x/>
      <x v="2"/>
      <x v="2"/>
      <x v="2"/>
      <x v="128"/>
    </i>
    <i r="5">
      <x v="5"/>
      <x v="127"/>
    </i>
    <i r="3">
      <x v="6"/>
      <x v="2"/>
      <x v="2"/>
      <x v="129"/>
    </i>
    <i r="3">
      <x v="9"/>
      <x v="2"/>
      <x v="2"/>
      <x v="221"/>
    </i>
    <i r="4">
      <x v="5"/>
      <x v="5"/>
      <x v="130"/>
    </i>
    <i r="3">
      <x v="15"/>
      <x v="2"/>
      <x v="2"/>
      <x v="131"/>
    </i>
    <i r="3">
      <x v="16"/>
      <x v="2"/>
      <x v="2"/>
      <x v="132"/>
    </i>
    <i>
      <x v="29"/>
      <x v="30"/>
      <x v="22"/>
      <x/>
      <x/>
      <x/>
      <x v="135"/>
    </i>
    <i r="5">
      <x v="5"/>
      <x v="134"/>
    </i>
    <i>
      <x v="30"/>
      <x v="31"/>
      <x v="20"/>
      <x v="24"/>
      <x/>
      <x/>
      <x v="137"/>
    </i>
    <i>
      <x v="31"/>
      <x v="32"/>
      <x v="21"/>
      <x v="22"/>
      <x/>
      <x/>
      <x v="138"/>
    </i>
    <i>
      <x v="32"/>
      <x v="24"/>
      <x v="19"/>
      <x v="2"/>
      <x v="1"/>
      <x v="4"/>
      <x v="116"/>
    </i>
    <i r="1">
      <x v="33"/>
      <x/>
      <x v="6"/>
      <x v="2"/>
      <x v="2"/>
      <x v="140"/>
    </i>
    <i r="5">
      <x v="5"/>
      <x v="139"/>
    </i>
    <i r="4">
      <x v="4"/>
      <x v="2"/>
      <x v="141"/>
    </i>
    <i r="3">
      <x v="9"/>
      <x v="2"/>
      <x v="2"/>
      <x v="144"/>
    </i>
    <i r="5">
      <x v="5"/>
      <x v="143"/>
    </i>
    <i r="4">
      <x v="4"/>
      <x v="5"/>
      <x v="145"/>
    </i>
    <i r="3">
      <x v="15"/>
      <x v="4"/>
      <x v="2"/>
      <x v="142"/>
    </i>
    <i r="3">
      <x v="28"/>
      <x v="2"/>
      <x v="2"/>
      <x v="146"/>
    </i>
    <i r="1">
      <x v="35"/>
      <x v="14"/>
      <x v="2"/>
      <x v="1"/>
      <x v="4"/>
      <x v="150"/>
    </i>
    <i r="3">
      <x v="6"/>
      <x v="2"/>
      <x v="2"/>
      <x v="151"/>
    </i>
    <i>
      <x v="33"/>
      <x v="34"/>
      <x v="22"/>
      <x v="15"/>
      <x/>
      <x/>
      <x v="148"/>
    </i>
    <i r="5">
      <x v="5"/>
      <x v="147"/>
    </i>
    <i>
      <x v="34"/>
      <x v="35"/>
      <x v="23"/>
      <x v="2"/>
      <x v="2"/>
      <x v="4"/>
      <x v="220"/>
    </i>
    <i>
      <x v="35"/>
      <x v="35"/>
      <x v="16"/>
      <x v="6"/>
      <x v="2"/>
      <x v="2"/>
      <x v="152"/>
    </i>
    <i r="6">
      <x v="208"/>
    </i>
    <i r="3">
      <x v="9"/>
      <x v="2"/>
      <x v="2"/>
      <x v="154"/>
    </i>
    <i r="1">
      <x v="36"/>
      <x/>
      <x v="16"/>
      <x v="2"/>
      <x v="2"/>
      <x v="159"/>
    </i>
    <i r="3">
      <x v="21"/>
      <x v="5"/>
      <x v="5"/>
      <x v="160"/>
    </i>
    <i r="3">
      <x v="24"/>
      <x v="2"/>
      <x v="2"/>
      <x v="162"/>
    </i>
    <i r="5">
      <x v="5"/>
      <x v="161"/>
    </i>
    <i>
      <x v="36"/>
      <x/>
      <x/>
      <x v="30"/>
      <x v="2"/>
      <x v="5"/>
      <x v="1"/>
    </i>
    <i r="1">
      <x v="37"/>
      <x/>
      <x v="27"/>
      <x/>
      <x v="5"/>
      <x v="163"/>
    </i>
    <i r="4">
      <x v="2"/>
      <x v="2"/>
      <x v="164"/>
    </i>
    <i r="3">
      <x v="30"/>
      <x/>
      <x/>
      <x v="166"/>
    </i>
    <i r="5">
      <x v="5"/>
      <x v="165"/>
    </i>
    <i r="4">
      <x v="2"/>
      <x v="2"/>
      <x v="168"/>
    </i>
    <i r="5">
      <x v="5"/>
      <x v="167"/>
    </i>
    <i>
      <x v="37"/>
      <x v="35"/>
      <x v="19"/>
      <x v="6"/>
      <x v="2"/>
      <x v="2"/>
      <x v="156"/>
    </i>
    <i r="6">
      <x v="208"/>
    </i>
    <i r="5">
      <x v="5"/>
      <x v="155"/>
    </i>
    <i r="3">
      <x v="9"/>
      <x v="2"/>
      <x v="2"/>
      <x v="157"/>
    </i>
    <i r="6">
      <x v="208"/>
    </i>
    <i>
      <x v="38"/>
      <x v="38"/>
      <x/>
      <x v="2"/>
      <x v="2"/>
      <x v="2"/>
      <x v="169"/>
    </i>
    <i r="3">
      <x v="9"/>
      <x v="2"/>
      <x v="5"/>
      <x v="196"/>
    </i>
    <i r="3">
      <x v="27"/>
      <x v="2"/>
      <x v="2"/>
      <x v="172"/>
    </i>
    <i r="4">
      <x v="5"/>
      <x v="5"/>
      <x v="171"/>
    </i>
    <i r="3">
      <x v="30"/>
      <x v="2"/>
      <x v="5"/>
      <x v="197"/>
    </i>
    <i r="1">
      <x v="43"/>
      <x v="19"/>
      <x v="6"/>
      <x v="2"/>
      <x v="3"/>
      <x v="187"/>
    </i>
    <i>
      <x v="39"/>
      <x v="35"/>
      <x v="23"/>
      <x v="2"/>
      <x v="1"/>
      <x v="4"/>
      <x v="158"/>
    </i>
    <i r="1">
      <x v="39"/>
      <x v="19"/>
      <x v="6"/>
      <x v="2"/>
      <x v="2"/>
      <x v="175"/>
    </i>
    <i r="3">
      <x v="9"/>
      <x v="2"/>
      <x v="2"/>
      <x v="177"/>
    </i>
    <i r="5">
      <x v="5"/>
      <x v="208"/>
    </i>
    <i r="3">
      <x v="15"/>
      <x v="2"/>
      <x v="2"/>
      <x v="219"/>
    </i>
    <i r="1">
      <x v="40"/>
      <x/>
      <x v="6"/>
      <x v="2"/>
      <x v="2"/>
      <x v="174"/>
    </i>
    <i>
      <x v="40"/>
      <x v="41"/>
      <x/>
      <x v="23"/>
      <x v="3"/>
      <x v="2"/>
      <x v="179"/>
    </i>
    <i>
      <x v="41"/>
      <x v="42"/>
      <x/>
      <x v="9"/>
      <x v="2"/>
      <x v="2"/>
      <x v="186"/>
    </i>
    <i r="5">
      <x v="5"/>
      <x v="185"/>
    </i>
    <i r="3">
      <x v="11"/>
      <x v="3"/>
      <x v="2"/>
      <x v="181"/>
    </i>
    <i r="3">
      <x v="15"/>
      <x v="2"/>
      <x v="2"/>
      <x v="184"/>
    </i>
    <i r="5">
      <x v="5"/>
      <x v="183"/>
    </i>
    <i r="4">
      <x v="5"/>
      <x v="5"/>
      <x v="182"/>
    </i>
    <i>
      <x v="42"/>
      <x v="44"/>
      <x/>
      <x v="9"/>
      <x/>
      <x/>
      <x v="189"/>
    </i>
    <i r="4">
      <x v="2"/>
      <x v="2"/>
      <x v="190"/>
    </i>
    <i r="4">
      <x v="5"/>
      <x v="5"/>
      <x v="188"/>
    </i>
    <i>
      <x v="43"/>
      <x v="39"/>
      <x v="24"/>
      <x v="6"/>
      <x v="3"/>
      <x v="4"/>
      <x v="178"/>
    </i>
    <i r="1">
      <x v="45"/>
      <x/>
      <x v="30"/>
      <x v="2"/>
      <x v="2"/>
      <x v="191"/>
    </i>
    <i>
      <x v="44"/>
      <x v="46"/>
      <x/>
      <x v="24"/>
      <x v="3"/>
      <x v="2"/>
      <x v="192"/>
    </i>
    <i>
      <x v="45"/>
      <x v="48"/>
      <x v="15"/>
      <x v="32"/>
      <x v="6"/>
      <x/>
      <x v="110"/>
    </i>
    <i>
      <x v="46"/>
      <x v="49"/>
      <x/>
      <x v="33"/>
      <x/>
      <x/>
      <x v="109"/>
    </i>
  </rowItems>
  <colFields count="1">
    <field x="2"/>
  </colFields>
  <colItems count="29">
    <i>
      <x/>
    </i>
    <i>
      <x v="1"/>
    </i>
    <i>
      <x v="3"/>
    </i>
    <i>
      <x v="4"/>
    </i>
    <i>
      <x v="5"/>
    </i>
    <i>
      <x v="6"/>
    </i>
    <i>
      <x v="7"/>
    </i>
    <i>
      <x v="8"/>
    </i>
    <i>
      <x v="12"/>
    </i>
    <i>
      <x v="13"/>
    </i>
    <i>
      <x v="14"/>
    </i>
    <i>
      <x v="15"/>
    </i>
    <i>
      <x v="16"/>
    </i>
    <i>
      <x v="17"/>
    </i>
    <i>
      <x v="18"/>
    </i>
    <i>
      <x v="19"/>
    </i>
    <i>
      <x v="20"/>
    </i>
    <i>
      <x v="21"/>
    </i>
    <i>
      <x v="22"/>
    </i>
    <i>
      <x v="23"/>
    </i>
    <i>
      <x v="24"/>
    </i>
    <i>
      <x v="25"/>
    </i>
    <i>
      <x v="28"/>
    </i>
    <i>
      <x v="31"/>
    </i>
    <i>
      <x v="32"/>
    </i>
    <i>
      <x v="33"/>
    </i>
    <i>
      <x v="34"/>
    </i>
    <i>
      <x v="35"/>
    </i>
    <i t="grand">
      <x/>
    </i>
  </colItems>
  <dataFields count="1">
    <dataField name="Sum of SCHEDULE IN MT" fld="35" baseField="0" baseItem="0" numFmtId="167"/>
  </dataFields>
  <formats count="1">
    <format dxfId="6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790A56-1F3B-4300-9A8C-C53ACC4F33F8}" name="PivotTable2" cacheId="9"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A82:H149" firstHeaderRow="1" firstDataRow="1" firstDataCol="7" rowPageCount="1" colPageCount="1"/>
  <pivotFields count="36">
    <pivotField axis="axisRow" compact="0" outline="0" showAll="0" defaultSubtotal="0">
      <items count="4">
        <item x="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6">
        <item x="0"/>
        <item x="1"/>
        <item x="2"/>
        <item x="3"/>
        <item x="4"/>
        <item x="5"/>
        <item x="6"/>
        <item x="7"/>
        <item x="8"/>
        <item x="9"/>
        <item x="11"/>
        <item x="10"/>
        <item x="12"/>
        <item x="13"/>
        <item x="15"/>
        <item x="17"/>
        <item x="18"/>
        <item x="19"/>
        <item x="20"/>
        <item x="23"/>
        <item x="24"/>
        <item x="25"/>
        <item x="14"/>
        <item x="16"/>
        <item x="22"/>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2" outline="0" showAll="0" defaultSubtotal="0">
      <items count="14">
        <item x="5"/>
        <item x="1"/>
        <item x="2"/>
        <item x="0"/>
        <item x="3"/>
        <item x="4"/>
        <item x="6"/>
        <item x="7"/>
        <item x="9"/>
        <item x="8"/>
        <item x="13"/>
        <item x="10"/>
        <item x="11"/>
        <item x="12"/>
      </items>
      <extLst>
        <ext xmlns:x14="http://schemas.microsoft.com/office/spreadsheetml/2009/9/main" uri="{2946ED86-A175-432a-8AC1-64E0C546D7DE}">
          <x14:pivotField fillDownLabels="1"/>
        </ext>
      </extLst>
    </pivotField>
    <pivotField axis="axisRow" compact="0" outline="0" showAll="0" defaultSubtotal="0">
      <items count="30">
        <item x="27"/>
        <item x="15"/>
        <item x="16"/>
        <item x="7"/>
        <item x="4"/>
        <item x="8"/>
        <item x="13"/>
        <item x="9"/>
        <item x="19"/>
        <item x="17"/>
        <item x="5"/>
        <item x="24"/>
        <item x="28"/>
        <item x="1"/>
        <item x="11"/>
        <item x="21"/>
        <item x="3"/>
        <item x="22"/>
        <item x="14"/>
        <item x="6"/>
        <item x="0"/>
        <item x="25"/>
        <item x="12"/>
        <item x="10"/>
        <item x="29"/>
        <item x="20"/>
        <item x="18"/>
        <item x="26"/>
        <item x="23"/>
        <item x="2"/>
      </items>
      <extLst>
        <ext xmlns:x14="http://schemas.microsoft.com/office/spreadsheetml/2009/9/main" uri="{2946ED86-A175-432a-8AC1-64E0C546D7DE}">
          <x14:pivotField fillDownLabels="1"/>
        </ext>
      </extLst>
    </pivotField>
    <pivotField axis="axisRow" compact="0" outline="0" showAll="0" defaultSubtotal="0">
      <items count="31">
        <item x="28"/>
        <item x="16"/>
        <item x="17"/>
        <item x="7"/>
        <item x="4"/>
        <item x="9"/>
        <item x="14"/>
        <item x="10"/>
        <item x="20"/>
        <item x="18"/>
        <item x="5"/>
        <item x="25"/>
        <item x="29"/>
        <item x="1"/>
        <item x="12"/>
        <item x="22"/>
        <item x="3"/>
        <item x="23"/>
        <item x="15"/>
        <item x="6"/>
        <item x="0"/>
        <item x="26"/>
        <item x="13"/>
        <item x="11"/>
        <item x="30"/>
        <item x="21"/>
        <item x="19"/>
        <item x="27"/>
        <item x="24"/>
        <item x="2"/>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1"/>
        <item m="1" x="4"/>
        <item m="1" x="3"/>
      </items>
      <extLst>
        <ext xmlns:x14="http://schemas.microsoft.com/office/spreadsheetml/2009/9/main" uri="{2946ED86-A175-432a-8AC1-64E0C546D7DE}">
          <x14:pivotField fillDownLabels="1"/>
        </ext>
      </extLst>
    </pivotField>
    <pivotField axis="axisRow" compact="0" outline="0" showAll="0" defaultSubtotal="0">
      <items count="66">
        <item x="4"/>
        <item x="6"/>
        <item x="2"/>
        <item x="3"/>
        <item x="1"/>
        <item x="5"/>
        <item x="7"/>
        <item x="33"/>
        <item x="56"/>
        <item x="8"/>
        <item x="44"/>
        <item x="51"/>
        <item x="34"/>
        <item x="29"/>
        <item x="57"/>
        <item x="21"/>
        <item x="0"/>
        <item x="11"/>
        <item x="13"/>
        <item x="25"/>
        <item x="9"/>
        <item x="24"/>
        <item x="19"/>
        <item x="12"/>
        <item x="50"/>
        <item x="38"/>
        <item x="64"/>
        <item x="22"/>
        <item x="45"/>
        <item x="39"/>
        <item x="37"/>
        <item x="27"/>
        <item x="53"/>
        <item x="47"/>
        <item x="49"/>
        <item x="55"/>
        <item x="20"/>
        <item x="48"/>
        <item x="54"/>
        <item x="23"/>
        <item x="16"/>
        <item x="35"/>
        <item x="52"/>
        <item x="43"/>
        <item x="28"/>
        <item x="36"/>
        <item x="15"/>
        <item x="46"/>
        <item x="14"/>
        <item x="30"/>
        <item x="10"/>
        <item x="65"/>
        <item x="18"/>
        <item x="61"/>
        <item x="63"/>
        <item x="42"/>
        <item x="41"/>
        <item x="62"/>
        <item x="26"/>
        <item x="17"/>
        <item x="32"/>
        <item x="31"/>
        <item x="58"/>
        <item x="59"/>
        <item x="40"/>
        <item x="6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7">
    <field x="19"/>
    <field x="0"/>
    <field x="5"/>
    <field x="7"/>
    <field x="8"/>
    <field x="9"/>
    <field x="20"/>
  </rowFields>
  <rowItems count="67">
    <i>
      <x/>
      <x v="1"/>
      <x v="4"/>
      <x v="2"/>
      <x v="20"/>
      <x v="20"/>
      <x v="50"/>
    </i>
    <i r="3">
      <x v="4"/>
      <x v="20"/>
      <x v="20"/>
      <x v="20"/>
    </i>
    <i r="2">
      <x v="6"/>
      <x v="2"/>
      <x v="20"/>
      <x v="20"/>
      <x v="46"/>
    </i>
    <i r="2">
      <x v="7"/>
      <x v="2"/>
      <x v="7"/>
      <x v="7"/>
      <x v="27"/>
    </i>
    <i r="2">
      <x v="13"/>
      <x v="11"/>
      <x v="15"/>
      <x v="15"/>
      <x v="43"/>
    </i>
    <i r="2">
      <x v="15"/>
      <x v="2"/>
      <x v="11"/>
      <x v="11"/>
      <x v="37"/>
    </i>
    <i r="2">
      <x v="18"/>
      <x v="5"/>
      <x v="27"/>
      <x v="27"/>
      <x v="32"/>
    </i>
    <i r="3">
      <x v="6"/>
      <x v="27"/>
      <x v="27"/>
      <x v="38"/>
    </i>
    <i r="2">
      <x v="20"/>
      <x v="10"/>
      <x v="8"/>
      <x v="8"/>
      <x v="26"/>
    </i>
    <i r="1">
      <x v="2"/>
      <x v="19"/>
      <x v="8"/>
      <x v="20"/>
      <x v="20"/>
      <x v="63"/>
    </i>
    <i r="6">
      <x v="65"/>
    </i>
    <i r="2">
      <x v="24"/>
      <x v="4"/>
      <x v="21"/>
      <x v="21"/>
      <x v="62"/>
    </i>
    <i r="1">
      <x v="3"/>
      <x v="4"/>
      <x v="5"/>
      <x v="13"/>
      <x v="13"/>
      <x v="17"/>
    </i>
    <i r="3">
      <x v="6"/>
      <x v="29"/>
      <x v="29"/>
      <x v="23"/>
    </i>
    <i r="2">
      <x v="6"/>
      <x v="1"/>
      <x v="16"/>
      <x v="16"/>
      <x v="48"/>
    </i>
    <i r="3">
      <x v="4"/>
      <x v="10"/>
      <x v="10"/>
      <x v="59"/>
    </i>
    <i r="3">
      <x v="5"/>
      <x v="3"/>
      <x v="3"/>
      <x v="22"/>
    </i>
    <i r="4">
      <x v="19"/>
      <x v="19"/>
      <x v="52"/>
    </i>
    <i r="4">
      <x v="20"/>
      <x v="30"/>
      <x v="36"/>
    </i>
    <i r="2">
      <x v="7"/>
      <x v="4"/>
      <x v="20"/>
      <x v="20"/>
      <x v="21"/>
    </i>
    <i r="3">
      <x v="5"/>
      <x v="14"/>
      <x v="14"/>
      <x v="19"/>
    </i>
    <i r="3">
      <x v="7"/>
      <x v="6"/>
      <x v="6"/>
      <x v="31"/>
    </i>
    <i r="2">
      <x v="9"/>
      <x v="1"/>
      <x v="20"/>
      <x v="20"/>
      <x v="49"/>
    </i>
    <i r="2">
      <x v="12"/>
      <x v="4"/>
      <x v="26"/>
      <x v="26"/>
      <x v="30"/>
    </i>
    <i r="3">
      <x v="5"/>
      <x v="8"/>
      <x v="8"/>
      <x v="25"/>
    </i>
    <i r="3">
      <x v="7"/>
      <x v="26"/>
      <x v="26"/>
      <x v="29"/>
    </i>
    <i r="2">
      <x v="20"/>
      <x v="7"/>
      <x v="12"/>
      <x v="12"/>
      <x v="53"/>
    </i>
    <i r="4">
      <x v="19"/>
      <x v="19"/>
      <x v="57"/>
    </i>
    <i r="4">
      <x v="24"/>
      <x v="24"/>
      <x v="54"/>
    </i>
    <i>
      <x v="1"/>
      <x v="1"/>
      <x v="10"/>
      <x v="2"/>
      <x v="9"/>
      <x v="9"/>
      <x v="45"/>
    </i>
    <i r="1">
      <x v="2"/>
      <x v="12"/>
      <x v="8"/>
      <x v="20"/>
      <x v="20"/>
      <x v="64"/>
    </i>
    <i r="2">
      <x v="16"/>
      <x v="13"/>
      <x v="21"/>
      <x v="21"/>
      <x v="24"/>
    </i>
    <i r="1">
      <x v="3"/>
      <x/>
      <x v="3"/>
      <x v="20"/>
      <x v="20"/>
      <x v="16"/>
    </i>
    <i r="2">
      <x v="8"/>
      <x v="9"/>
      <x v="20"/>
      <x v="20"/>
      <x v="13"/>
    </i>
    <i r="2">
      <x v="14"/>
      <x v="12"/>
      <x v="20"/>
      <x v="20"/>
      <x v="10"/>
    </i>
    <i r="3">
      <x v="13"/>
      <x v="20"/>
      <x v="20"/>
      <x v="28"/>
    </i>
    <i r="2">
      <x v="21"/>
      <x v="5"/>
      <x v="17"/>
      <x v="17"/>
      <x v="51"/>
    </i>
    <i>
      <x v="2"/>
      <x/>
      <x v="11"/>
      <x v="1"/>
      <x v="20"/>
      <x v="20"/>
      <x v="7"/>
    </i>
    <i r="1">
      <x v="1"/>
      <x v="1"/>
      <x v="2"/>
      <x v="20"/>
      <x v="20"/>
      <x v="2"/>
    </i>
    <i r="3">
      <x v="4"/>
      <x v="20"/>
      <x v="20"/>
      <x v="3"/>
    </i>
    <i r="2">
      <x v="2"/>
      <x/>
      <x v="20"/>
      <x v="20"/>
      <x v="5"/>
    </i>
    <i r="3">
      <x v="4"/>
      <x v="20"/>
      <x v="20"/>
      <x v="1"/>
    </i>
    <i r="3">
      <x v="5"/>
      <x v="20"/>
      <x v="20"/>
      <x v="6"/>
    </i>
    <i r="2">
      <x v="6"/>
      <x v="5"/>
      <x v="5"/>
      <x v="5"/>
      <x v="15"/>
    </i>
    <i r="2">
      <x v="7"/>
      <x v="2"/>
      <x v="23"/>
      <x v="23"/>
      <x v="39"/>
    </i>
    <i r="2">
      <x v="15"/>
      <x v="2"/>
      <x v="28"/>
      <x v="28"/>
      <x v="33"/>
    </i>
    <i r="3">
      <x v="4"/>
      <x v="28"/>
      <x v="28"/>
      <x v="34"/>
    </i>
    <i r="2">
      <x v="18"/>
      <x v="12"/>
      <x v="20"/>
      <x v="20"/>
      <x v="35"/>
    </i>
    <i r="1">
      <x v="2"/>
      <x v="9"/>
      <x v="6"/>
      <x v="18"/>
      <x v="18"/>
      <x v="60"/>
    </i>
    <i r="2">
      <x v="11"/>
      <x v="1"/>
      <x v="1"/>
      <x v="1"/>
      <x v="12"/>
    </i>
    <i r="4">
      <x v="2"/>
      <x v="2"/>
      <x v="41"/>
    </i>
    <i r="2">
      <x v="17"/>
      <x v="1"/>
      <x v="1"/>
      <x v="1"/>
      <x v="11"/>
    </i>
    <i r="4">
      <x v="2"/>
      <x v="2"/>
      <x v="42"/>
    </i>
    <i r="2">
      <x v="25"/>
      <x v="4"/>
      <x/>
      <x/>
      <x v="14"/>
    </i>
    <i r="1">
      <x v="3"/>
      <x v="1"/>
      <x v="1"/>
      <x v="20"/>
      <x v="20"/>
      <x v="4"/>
    </i>
    <i r="3">
      <x v="5"/>
      <x v="20"/>
      <x v="20"/>
      <x/>
    </i>
    <i r="2">
      <x v="2"/>
      <x v="1"/>
      <x v="20"/>
      <x v="20"/>
      <x v="5"/>
    </i>
    <i r="2">
      <x v="3"/>
      <x/>
      <x v="20"/>
      <x v="20"/>
      <x v="9"/>
    </i>
    <i r="2">
      <x v="5"/>
      <x v="4"/>
      <x v="20"/>
      <x v="20"/>
      <x v="18"/>
    </i>
    <i r="2">
      <x v="6"/>
      <x v="4"/>
      <x v="4"/>
      <x v="4"/>
      <x v="40"/>
    </i>
    <i r="2">
      <x v="7"/>
      <x v="5"/>
      <x v="22"/>
      <x v="22"/>
      <x v="58"/>
    </i>
    <i r="2">
      <x v="8"/>
      <x v="1"/>
      <x v="20"/>
      <x v="20"/>
      <x v="44"/>
    </i>
    <i r="2">
      <x v="9"/>
      <x v="5"/>
      <x v="20"/>
      <x v="20"/>
      <x v="61"/>
    </i>
    <i r="2">
      <x v="13"/>
      <x v="8"/>
      <x v="20"/>
      <x v="20"/>
      <x v="56"/>
    </i>
    <i r="2">
      <x v="22"/>
      <x v="4"/>
      <x v="25"/>
      <x v="25"/>
      <x v="55"/>
    </i>
    <i r="2">
      <x v="23"/>
      <x v="4"/>
      <x v="17"/>
      <x v="17"/>
      <x v="47"/>
    </i>
    <i r="2">
      <x v="25"/>
      <x v="4"/>
      <x v="20"/>
      <x v="20"/>
      <x v="8"/>
    </i>
  </rowItems>
  <colItems count="1">
    <i/>
  </colItems>
  <pageFields count="1">
    <pageField fld="16" hier="-1"/>
  </pageFields>
  <dataFields count="1">
    <dataField name="Sum of  INDENT  FOR AUG-25 recommended" fld="29"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ivotTable6" cacheId="7"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A3:H6" firstHeaderRow="1" firstDataRow="1" firstDataCol="7" rowPageCount="1" colPageCount="1"/>
  <pivotFields count="3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5"/>
        <item x="0"/>
        <item x="6"/>
        <item x="4"/>
        <item x="1"/>
        <item m="1" x="7"/>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
        <item x="1"/>
        <item x="0"/>
        <item x="3"/>
        <item x="2"/>
        <item x="4"/>
        <item m="1" x="5"/>
      </items>
      <extLst>
        <ext xmlns:x14="http://schemas.microsoft.com/office/spreadsheetml/2009/9/main" uri="{2946ED86-A175-432a-8AC1-64E0C546D7DE}">
          <x14:pivotField fillDownLabels="1"/>
        </ext>
      </extLst>
    </pivotField>
    <pivotField axis="axisRow" compact="0" outline="0" subtotalTop="0" showAll="0" defaultSubtotal="0">
      <items count="4">
        <item x="0"/>
        <item x="1"/>
        <item x="2"/>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numFmtId="2" outline="0" showAll="0" defaultSubtotal="0">
      <items count="48">
        <item x="39"/>
        <item x="44"/>
        <item x="0"/>
        <item x="5"/>
        <item x="1"/>
        <item m="1" x="46"/>
        <item x="6"/>
        <item x="7"/>
        <item x="30"/>
        <item x="36"/>
        <item x="27"/>
        <item x="2"/>
        <item x="37"/>
        <item x="40"/>
        <item x="28"/>
        <item x="8"/>
        <item x="23"/>
        <item x="3"/>
        <item x="42"/>
        <item x="31"/>
        <item x="9"/>
        <item x="10"/>
        <item x="21"/>
        <item x="24"/>
        <item x="25"/>
        <item x="11"/>
        <item x="12"/>
        <item x="32"/>
        <item x="38"/>
        <item x="13"/>
        <item x="43"/>
        <item x="41"/>
        <item x="14"/>
        <item x="26"/>
        <item x="45"/>
        <item x="15"/>
        <item x="16"/>
        <item x="17"/>
        <item x="18"/>
        <item m="1" x="47"/>
        <item x="4"/>
        <item x="33"/>
        <item x="19"/>
        <item x="29"/>
        <item x="34"/>
        <item x="35"/>
        <item x="20"/>
        <item x="22"/>
      </items>
      <extLst>
        <ext xmlns:x14="http://schemas.microsoft.com/office/spreadsheetml/2009/9/main" uri="{2946ED86-A175-432a-8AC1-64E0C546D7DE}">
          <x14:pivotField fillDownLabels="1"/>
        </ext>
      </extLst>
    </pivotField>
    <pivotField axis="axisRow" compact="0" numFmtId="2" outline="0" showAll="0" defaultSubtotal="0">
      <items count="57">
        <item x="28"/>
        <item x="42"/>
        <item m="1" x="50"/>
        <item m="1" x="54"/>
        <item x="40"/>
        <item x="47"/>
        <item x="0"/>
        <item x="5"/>
        <item x="1"/>
        <item m="1" x="51"/>
        <item x="6"/>
        <item x="7"/>
        <item x="36"/>
        <item x="22"/>
        <item x="2"/>
        <item x="37"/>
        <item x="41"/>
        <item x="26"/>
        <item x="44"/>
        <item x="8"/>
        <item x="12"/>
        <item x="3"/>
        <item x="31"/>
        <item x="30"/>
        <item x="9"/>
        <item x="10"/>
        <item x="20"/>
        <item x="23"/>
        <item x="45"/>
        <item m="1" x="55"/>
        <item x="13"/>
        <item x="32"/>
        <item x="48"/>
        <item x="14"/>
        <item x="46"/>
        <item x="11"/>
        <item x="43"/>
        <item x="24"/>
        <item x="25"/>
        <item x="15"/>
        <item x="27"/>
        <item x="16"/>
        <item x="17"/>
        <item x="4"/>
        <item x="39"/>
        <item x="33"/>
        <item x="19"/>
        <item x="18"/>
        <item x="29"/>
        <item x="34"/>
        <item x="35"/>
        <item x="38"/>
        <item m="1" x="49"/>
        <item m="1" x="56"/>
        <item m="1" x="53"/>
        <item m="1" x="52"/>
        <item x="21"/>
      </items>
      <extLst>
        <ext xmlns:x14="http://schemas.microsoft.com/office/spreadsheetml/2009/9/main" uri="{2946ED86-A175-432a-8AC1-64E0C546D7DE}">
          <x14:pivotField fillDownLabels="1"/>
        </ext>
      </extLst>
    </pivotField>
    <pivotField axis="axisRow" compact="0" outline="0" showAll="0" defaultSubtotal="0">
      <items count="30">
        <item x="0"/>
        <item x="19"/>
        <item x="12"/>
        <item m="1" x="29"/>
        <item x="26"/>
        <item x="24"/>
        <item x="25"/>
        <item x="17"/>
        <item x="13"/>
        <item x="21"/>
        <item x="16"/>
        <item x="20"/>
        <item x="14"/>
        <item x="15"/>
        <item x="8"/>
        <item x="5"/>
        <item x="6"/>
        <item m="1" x="27"/>
        <item m="1" x="28"/>
        <item x="4"/>
        <item x="9"/>
        <item x="18"/>
        <item x="1"/>
        <item x="3"/>
        <item x="22"/>
        <item x="10"/>
        <item x="11"/>
        <item x="23"/>
        <item x="2"/>
        <item x="7"/>
      </items>
      <extLst>
        <ext xmlns:x14="http://schemas.microsoft.com/office/spreadsheetml/2009/9/main" uri="{2946ED86-A175-432a-8AC1-64E0C546D7DE}">
          <x14:pivotField fillDownLabels="1"/>
        </ext>
      </extLst>
    </pivotField>
    <pivotField axis="axisRow" compact="0" numFmtId="2" outline="0" showAll="0" defaultSubtotal="0">
      <items count="36">
        <item h="1" x="30"/>
        <item h="1" x="2"/>
        <item h="1" x="1"/>
        <item h="1" x="17"/>
        <item h="1" x="25"/>
        <item h="1" x="24"/>
        <item h="1" x="0"/>
        <item h="1" x="6"/>
        <item h="1" x="32"/>
        <item h="1" x="3"/>
        <item h="1" x="18"/>
        <item x="7"/>
        <item x="29"/>
        <item x="28"/>
        <item h="1" x="20"/>
        <item h="1" x="11"/>
        <item h="1" x="13"/>
        <item h="1" x="8"/>
        <item h="1" x="31"/>
        <item h="1" x="26"/>
        <item h="1" x="4"/>
        <item h="1" x="27"/>
        <item h="1" x="5"/>
        <item h="1" x="22"/>
        <item h="1" x="9"/>
        <item h="1" x="21"/>
        <item h="1" m="1" x="34"/>
        <item h="1" x="10"/>
        <item h="1" m="1" x="35"/>
        <item h="1" x="16"/>
        <item h="1" x="19"/>
        <item h="1" x="23"/>
        <item h="1" x="12"/>
        <item h="1" x="14"/>
        <item h="1" m="1" x="33"/>
        <item h="1"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96">
        <item m="1" x="140"/>
        <item m="1" x="96"/>
        <item x="50"/>
        <item m="1" x="93"/>
        <item m="1" x="136"/>
        <item m="1" x="99"/>
        <item m="1" x="121"/>
        <item m="1" x="160"/>
        <item m="1" x="152"/>
        <item m="1" x="137"/>
        <item m="1" x="176"/>
        <item m="1" x="147"/>
        <item m="1" x="111"/>
        <item m="1" x="104"/>
        <item m="1" x="119"/>
        <item x="52"/>
        <item m="1" x="120"/>
        <item m="1" x="193"/>
        <item m="1" x="161"/>
        <item m="1" x="145"/>
        <item m="1" x="168"/>
        <item m="1" x="107"/>
        <item x="9"/>
        <item m="1" x="162"/>
        <item m="1" x="113"/>
        <item x="1"/>
        <item m="1" x="139"/>
        <item m="1" x="84"/>
        <item m="1" x="116"/>
        <item x="7"/>
        <item x="14"/>
        <item x="11"/>
        <item m="1" x="115"/>
        <item m="1" x="185"/>
        <item m="1" x="101"/>
        <item m="1" x="122"/>
        <item x="2"/>
        <item m="1" x="133"/>
        <item x="6"/>
        <item m="1" x="89"/>
        <item x="79"/>
        <item m="1" x="155"/>
        <item m="1" x="129"/>
        <item x="12"/>
        <item m="1" x="169"/>
        <item m="1" x="130"/>
        <item x="17"/>
        <item m="1" x="149"/>
        <item x="16"/>
        <item x="3"/>
        <item m="1" x="134"/>
        <item m="1" x="117"/>
        <item m="1" x="144"/>
        <item m="1" x="109"/>
        <item m="1" x="102"/>
        <item m="1" x="141"/>
        <item x="4"/>
        <item x="13"/>
        <item m="1" x="106"/>
        <item m="1" x="158"/>
        <item x="18"/>
        <item x="15"/>
        <item m="1" x="86"/>
        <item x="46"/>
        <item x="49"/>
        <item m="1" x="179"/>
        <item m="1" x="167"/>
        <item x="74"/>
        <item x="31"/>
        <item x="78"/>
        <item m="1" x="184"/>
        <item m="1" x="183"/>
        <item x="10"/>
        <item x="33"/>
        <item m="1" x="94"/>
        <item x="19"/>
        <item m="1" x="170"/>
        <item x="47"/>
        <item m="1" x="171"/>
        <item m="1" x="159"/>
        <item x="82"/>
        <item m="1" x="108"/>
        <item h="1" x="0"/>
        <item h="1" x="83"/>
        <item h="1" x="20"/>
        <item h="1" m="1" x="90"/>
        <item h="1" m="1" x="98"/>
        <item h="1" x="32"/>
        <item h="1" m="1" x="91"/>
        <item h="1" x="8"/>
        <item h="1" x="48"/>
        <item h="1" m="1" x="123"/>
        <item h="1" x="38"/>
        <item h="1" x="21"/>
        <item h="1" m="1" x="92"/>
        <item h="1" m="1" x="124"/>
        <item h="1" m="1" x="172"/>
        <item h="1" m="1" x="95"/>
        <item h="1" m="1" x="180"/>
        <item h="1" m="1" x="100"/>
        <item h="1" m="1" x="157"/>
        <item h="1" m="1" x="97"/>
        <item h="1" m="1" x="126"/>
        <item h="1" m="1" x="146"/>
        <item h="1" m="1" x="166"/>
        <item h="1" m="1" x="127"/>
        <item h="1" m="1" x="105"/>
        <item h="1" x="76"/>
        <item h="1" m="1" x="125"/>
        <item h="1" m="1" x="195"/>
        <item h="1" x="70"/>
        <item h="1" x="75"/>
        <item h="1" x="69"/>
        <item h="1" m="1" x="128"/>
        <item h="1" m="1" x="88"/>
        <item h="1" x="71"/>
        <item h="1" x="77"/>
        <item h="1" m="1" x="151"/>
        <item h="1" m="1" x="192"/>
        <item h="1" m="1" x="87"/>
        <item h="1" m="1" x="191"/>
        <item h="1" m="1" x="188"/>
        <item h="1" x="55"/>
        <item h="1" m="1" x="174"/>
        <item h="1" m="1" x="182"/>
        <item h="1" m="1" x="112"/>
        <item h="1" m="1" x="165"/>
        <item h="1" m="1" x="178"/>
        <item h="1" m="1" x="103"/>
        <item h="1" m="1" x="164"/>
        <item h="1" m="1" x="150"/>
        <item h="1" m="1" x="177"/>
        <item h="1" m="1" x="85"/>
        <item h="1" x="30"/>
        <item h="1" m="1" x="138"/>
        <item h="1" m="1" x="181"/>
        <item h="1" m="1" x="143"/>
        <item h="1" m="1" x="153"/>
        <item h="1" x="37"/>
        <item h="1" m="1" x="175"/>
        <item h="1" m="1" x="186"/>
        <item h="1" m="1" x="135"/>
        <item h="1" m="1" x="154"/>
        <item h="1" m="1" x="189"/>
        <item h="1" m="1" x="142"/>
        <item h="1" m="1" x="114"/>
        <item h="1" m="1" x="118"/>
        <item h="1" m="1" x="190"/>
        <item h="1" m="1" x="194"/>
        <item h="1" x="53"/>
        <item h="1" m="1" x="131"/>
        <item h="1" x="56"/>
        <item h="1" x="57"/>
        <item h="1" x="58"/>
        <item h="1" x="59"/>
        <item h="1" x="60"/>
        <item h="1" x="61"/>
        <item h="1" x="62"/>
        <item h="1" x="63"/>
        <item h="1" x="64"/>
        <item h="1" m="1" x="163"/>
        <item h="1" m="1" x="110"/>
        <item h="1" x="65"/>
        <item h="1" x="80"/>
        <item h="1" m="1" x="187"/>
        <item h="1" x="81"/>
        <item h="1" m="1" x="148"/>
        <item h="1" m="1" x="156"/>
        <item h="1" m="1" x="173"/>
        <item h="1" m="1" x="132"/>
        <item h="1" x="51"/>
        <item h="1" x="54"/>
        <item h="1" x="66"/>
        <item h="1" x="67"/>
        <item h="1" x="68"/>
        <item h="1" x="72"/>
        <item h="1" x="73"/>
        <item h="1" x="34"/>
        <item h="1" x="35"/>
        <item h="1" x="36"/>
        <item h="1" x="39"/>
        <item h="1" x="40"/>
        <item h="1" x="41"/>
        <item h="1" x="42"/>
        <item h="1" x="43"/>
        <item h="1" x="44"/>
        <item h="1" x="45"/>
        <item h="1" x="5"/>
        <item h="1" x="22"/>
        <item h="1" x="23"/>
        <item h="1" x="24"/>
        <item h="1" x="25"/>
        <item h="1" x="26"/>
        <item h="1" x="27"/>
        <item h="1" x="28"/>
        <item h="1" x="2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7">
    <field x="18"/>
    <field x="19"/>
    <field x="20"/>
    <field x="21"/>
    <field x="7"/>
    <field x="9"/>
    <field x="10"/>
  </rowFields>
  <rowItems count="3">
    <i>
      <x v="11"/>
      <x v="14"/>
      <x/>
      <x v="11"/>
      <x v="2"/>
      <x v="1"/>
      <x v="1"/>
    </i>
    <i>
      <x v="15"/>
      <x v="19"/>
      <x/>
      <x v="11"/>
      <x v="2"/>
      <x v="1"/>
      <x v="1"/>
    </i>
    <i>
      <x v="42"/>
      <x v="46"/>
      <x/>
      <x v="11"/>
      <x v="3"/>
      <x/>
      <x/>
    </i>
  </rowItems>
  <colItems count="1">
    <i/>
  </colItems>
  <pageFields count="1">
    <pageField fld="24" hier="-1"/>
  </pageFields>
  <dataFields count="1">
    <dataField name="Sum of SCHEDULE IN MT" fld="27" baseField="0" baseItem="0" numFmtId="2"/>
  </dataFields>
  <formats count="13">
    <format dxfId="92">
      <pivotArea dataOnly="0" labelOnly="1" outline="0" fieldPosition="0">
        <references count="5">
          <reference field="7" count="1">
            <x v="3"/>
          </reference>
          <reference field="18" count="1" selected="0">
            <x v="32"/>
          </reference>
          <reference field="19" count="1" selected="0">
            <x v="37"/>
          </reference>
          <reference field="20" count="1" selected="0">
            <x v="0"/>
          </reference>
          <reference field="21" count="1" selected="0">
            <x v="15"/>
          </reference>
        </references>
      </pivotArea>
    </format>
    <format dxfId="91">
      <pivotArea dataOnly="0" labelOnly="1" outline="0" fieldPosition="0">
        <references count="5">
          <reference field="7" count="1">
            <x v="3"/>
          </reference>
          <reference field="18" count="1" selected="0">
            <x v="42"/>
          </reference>
          <reference field="19" count="1" selected="0">
            <x v="46"/>
          </reference>
          <reference field="20" count="1" selected="0">
            <x v="0"/>
          </reference>
          <reference field="21" count="1" selected="0">
            <x v="11"/>
          </reference>
        </references>
      </pivotArea>
    </format>
    <format dxfId="90">
      <pivotArea dataOnly="0" labelOnly="1" outline="0" fieldPosition="0">
        <references count="5">
          <reference field="7" count="1">
            <x v="3"/>
          </reference>
          <reference field="18" count="1" selected="0">
            <x v="39"/>
          </reference>
          <reference field="19" count="1" selected="0">
            <x v="43"/>
          </reference>
          <reference field="20" count="1" selected="0">
            <x v="27"/>
          </reference>
          <reference field="21" count="1" selected="0">
            <x v="6"/>
          </reference>
        </references>
      </pivotArea>
    </format>
    <format dxfId="89">
      <pivotArea dataOnly="0" labelOnly="1" outline="0" offset="IV3" fieldPosition="0">
        <references count="5">
          <reference field="7" count="1">
            <x v="2"/>
          </reference>
          <reference field="18" count="1" selected="0">
            <x v="42"/>
          </reference>
          <reference field="19" count="1" selected="0">
            <x v="46"/>
          </reference>
          <reference field="20" count="1" selected="0">
            <x v="0"/>
          </reference>
          <reference field="21" count="1" selected="0">
            <x v="15"/>
          </reference>
        </references>
      </pivotArea>
    </format>
    <format dxfId="88">
      <pivotArea dataOnly="0" labelOnly="1" outline="0" offset="IV4" fieldPosition="0">
        <references count="5">
          <reference field="7" count="1">
            <x v="2"/>
          </reference>
          <reference field="18" count="1" selected="0">
            <x v="42"/>
          </reference>
          <reference field="19" count="1" selected="0">
            <x v="46"/>
          </reference>
          <reference field="20" count="1" selected="0">
            <x v="0"/>
          </reference>
          <reference field="21" count="1" selected="0">
            <x v="15"/>
          </reference>
        </references>
      </pivotArea>
    </format>
    <format dxfId="87">
      <pivotArea dataOnly="0" labelOnly="1" outline="0" offset="IV256" fieldPosition="0">
        <references count="5">
          <reference field="7" count="1">
            <x v="2"/>
          </reference>
          <reference field="18" count="1" selected="0">
            <x v="42"/>
          </reference>
          <reference field="19" count="1" selected="0">
            <x v="46"/>
          </reference>
          <reference field="20" count="1" selected="0">
            <x v="0"/>
          </reference>
          <reference field="21" count="1" selected="0">
            <x v="15"/>
          </reference>
        </references>
      </pivotArea>
    </format>
    <format dxfId="86">
      <pivotArea dataOnly="0" labelOnly="1" outline="0" fieldPosition="0">
        <references count="5">
          <reference field="7" count="1">
            <x v="3"/>
          </reference>
          <reference field="18" count="1" selected="0">
            <x v="45"/>
          </reference>
          <reference field="19" count="1" selected="0">
            <x v="50"/>
          </reference>
          <reference field="20" count="1" selected="0">
            <x v="0"/>
          </reference>
          <reference field="21" count="1" selected="0">
            <x v="24"/>
          </reference>
        </references>
      </pivotArea>
    </format>
    <format dxfId="85">
      <pivotArea dataOnly="0" labelOnly="1" outline="0" fieldPosition="0">
        <references count="5">
          <reference field="7" count="1">
            <x v="3"/>
          </reference>
          <reference field="18" count="1" selected="0">
            <x v="41"/>
          </reference>
          <reference field="19" count="1" selected="0">
            <x v="45"/>
          </reference>
          <reference field="20" count="1" selected="0">
            <x v="0"/>
          </reference>
          <reference field="21" count="1" selected="0">
            <x v="23"/>
          </reference>
        </references>
      </pivotArea>
    </format>
    <format dxfId="84">
      <pivotArea dataOnly="0" labelOnly="1" outline="0" offset="IV3:IV5" fieldPosition="0">
        <references count="5">
          <reference field="7" count="1">
            <x v="2"/>
          </reference>
          <reference field="18" count="1" selected="0">
            <x v="35"/>
          </reference>
          <reference field="19" count="1" selected="0">
            <x v="39"/>
          </reference>
          <reference field="20" count="1" selected="0">
            <x v="19"/>
          </reference>
          <reference field="21" count="1" selected="0">
            <x v="9"/>
          </reference>
        </references>
      </pivotArea>
    </format>
    <format dxfId="83">
      <pivotArea dataOnly="0" labelOnly="1" outline="0" offset="IV7:IV8" fieldPosition="0">
        <references count="5">
          <reference field="7" count="1">
            <x v="2"/>
          </reference>
          <reference field="18" count="1" selected="0">
            <x v="2"/>
          </reference>
          <reference field="19" count="1" selected="0">
            <x v="6"/>
          </reference>
          <reference field="20" count="1" selected="0">
            <x v="0"/>
          </reference>
          <reference field="21" count="1" selected="0">
            <x v="2"/>
          </reference>
        </references>
      </pivotArea>
    </format>
    <format dxfId="82">
      <pivotArea dataOnly="0" labelOnly="1" outline="0" offset="IV9" fieldPosition="0">
        <references count="5">
          <reference field="7" count="1">
            <x v="2"/>
          </reference>
          <reference field="18" count="1" selected="0">
            <x v="2"/>
          </reference>
          <reference field="19" count="1" selected="0">
            <x v="6"/>
          </reference>
          <reference field="20" count="1" selected="0">
            <x v="0"/>
          </reference>
          <reference field="21" count="1" selected="0">
            <x v="2"/>
          </reference>
        </references>
      </pivotArea>
    </format>
    <format dxfId="81">
      <pivotArea outline="0" collapsedLevelsAreSubtotals="1" fieldPosition="0"/>
    </format>
    <format dxfId="80">
      <pivotArea outline="0" fieldPosition="0">
        <references count="7">
          <reference field="7" count="1" selected="0">
            <x v="1"/>
          </reference>
          <reference field="9" count="1" selected="0">
            <x v="1"/>
          </reference>
          <reference field="10" count="1" selected="0">
            <x v="0"/>
          </reference>
          <reference field="18" count="1" selected="0">
            <x v="40"/>
          </reference>
          <reference field="19" count="1" selected="0">
            <x v="39"/>
          </reference>
          <reference field="20" count="1" selected="0">
            <x v="26"/>
          </reference>
          <reference field="21"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1" xr16:uid="{00000000-0016-0000-0000-000000000000}" autoFormatId="16" applyNumberFormats="0" applyBorderFormats="0" applyFontFormats="0" applyPatternFormats="0" applyAlignmentFormats="0" applyWidthHeightFormats="0">
  <queryTableRefresh nextId="7">
    <queryTableFields count="5">
      <queryTableField id="3" name="Customer" tableColumnId="3"/>
      <queryTableField id="1" name="Mat Nos" tableColumnId="1"/>
      <queryTableField id="2" name="Mat Desc" tableColumnId="2"/>
      <queryTableField id="4" name="OEM" tableColumnId="4"/>
      <queryTableField id="5" name="Bucke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0" xr16:uid="{00000000-0016-0000-0100-000001000000}" autoFormatId="16" applyNumberFormats="0" applyBorderFormats="0" applyFontFormats="0" applyPatternFormats="0" applyAlignmentFormats="0" applyWidthHeightFormats="0">
  <queryTableRefresh nextId="3">
    <queryTableFields count="2">
      <queryTableField id="1" name="Customer" tableColumnId="1"/>
      <queryTableField id="2" name="OEM"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9" xr16:uid="{00000000-0016-0000-0F00-000003000000}" autoFormatId="16" applyNumberFormats="0" applyBorderFormats="0" applyFontFormats="0" applyPatternFormats="0" applyAlignmentFormats="0" applyWidthHeightFormats="0">
  <queryTableRefresh nextId="17">
    <queryTableFields count="11">
      <queryTableField id="15" name="CUSTOMER  CD" tableColumnId="11"/>
      <queryTableField id="2" name="CUSTOMER  NAME" tableColumnId="2"/>
      <queryTableField id="9" name="SALES  UNIT" tableColumnId="8"/>
      <queryTableField id="10" name="qty in no" tableColumnId="9"/>
      <queryTableField id="11" name="Domain for z_qty_meter" tableColumnId="10"/>
      <queryTableField id="3" name="MATERAIL NUMBER" tableColumnId="3"/>
      <queryTableField id="4" name="buckets.Bucket" tableColumnId="4"/>
      <queryTableField id="5" name="Quantity" tableColumnId="5"/>
      <queryTableField id="6" name="Material   Description" tableColumnId="6"/>
      <queryTableField id="7" name="OEM_Key.OEM" tableColumnId="7"/>
      <queryTableField id="8" name="buckets.CTL Bucket"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6" xr16:uid="{0558F53C-BFA9-4224-8D96-C898F2FEFA90}" autoFormatId="16" applyNumberFormats="0" applyBorderFormats="0" applyFontFormats="0" applyPatternFormats="0" applyAlignmentFormats="0" applyWidthHeightFormats="0">
  <queryTableRefresh nextId="4">
    <queryTableFields count="3">
      <queryTableField id="1" name="Material No" tableColumnId="1"/>
      <queryTableField id="2" name="Bucket" tableColumnId="2"/>
      <queryTableField id="3" name="WIP"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8DB9B0AB-2FE4-4B93-B0A3-B9300556C1F4}" autoFormatId="16" applyNumberFormats="0" applyBorderFormats="0" applyFontFormats="0" applyPatternFormats="0" applyAlignmentFormats="0" applyWidthHeightFormats="0">
  <queryTableRefresh nextId="16" unboundColumnsRight="1">
    <queryTableFields count="10">
      <queryTableField id="1" name="Bucket" tableColumnId="1"/>
      <queryTableField id="2" name="Schedule" tableColumnId="2"/>
      <queryTableField id="3" name="Dispatch" tableColumnId="3"/>
      <queryTableField id="4" name="Balance" tableColumnId="4"/>
      <queryTableField id="7" name="LL or CTL" tableColumnId="7"/>
      <queryTableField id="8" name="789" tableColumnId="8"/>
      <queryTableField id="9" name="4731" tableColumnId="9"/>
      <queryTableField id="10" name="8406" tableColumnId="10"/>
      <queryTableField id="11" name="WIP" tableColumnId="11"/>
      <queryTableField id="12" dataBound="0"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2" xr16:uid="{00000000-0016-0000-0B00-000002000000}" autoFormatId="16" applyNumberFormats="0" applyBorderFormats="0" applyFontFormats="0" applyPatternFormats="0" applyAlignmentFormats="0" applyWidthHeightFormats="0">
  <queryTableRefresh nextId="28">
    <queryTableFields count="11">
      <queryTableField id="1" name="Material" tableColumnId="1"/>
      <queryTableField id="2" name="Material Description" tableColumnId="2"/>
      <queryTableField id="6" name="MT" tableColumnId="6"/>
      <queryTableField id="9" name="Plant" tableColumnId="9"/>
      <queryTableField id="24" name="CUSTOMER NAME" tableColumnId="5"/>
      <queryTableField id="20" name="Index" tableColumnId="20"/>
      <queryTableField id="18" name="OEM" tableColumnId="18"/>
      <queryTableField id="19" name="Bucket" tableColumnId="19"/>
      <queryTableField id="26" name="CTL Bucket" tableColumnId="7"/>
      <queryTableField id="22" name="Length" tableColumnId="3"/>
      <queryTableField id="23" name="LL or CTL"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4" xr16:uid="{00000000-0016-0000-1000-000004000000}" autoFormatId="16" applyNumberFormats="0" applyBorderFormats="0" applyFontFormats="0" applyPatternFormats="0" applyAlignmentFormats="0" applyWidthHeightFormats="0">
  <queryTableRefresh nextId="16">
    <queryTableFields count="14">
      <queryTableField id="1" name="Status Desc" tableColumnId="1"/>
      <queryTableField id="13" name="Stock(Net Wt)" tableColumnId="13"/>
      <queryTableField id="2" name="Customer Name" tableColumnId="2"/>
      <queryTableField id="3" name="Order Thickness" tableColumnId="3"/>
      <queryTableField id="4" name="Order Odia" tableColumnId="4"/>
      <queryTableField id="5" name="Order Idia" tableColumnId="5"/>
      <queryTableField id="6" name="Order Length" tableColumnId="6"/>
      <queryTableField id="7" name="WIP Material No." tableColumnId="7"/>
      <queryTableField id="8" name="WIP Material Desc" tableColumnId="8"/>
      <queryTableField id="9" name="FG Material No." tableColumnId="9"/>
      <queryTableField id="10" name="FG Material Desc." tableColumnId="10"/>
      <queryTableField id="11" name="OEM" tableColumnId="11"/>
      <queryTableField id="12" name="Bucket" tableColumnId="12"/>
      <queryTableField id="15" name="CTL Bucket" tableColumnId="1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7" xr16:uid="{ABF04A77-C3E9-488A-91BE-0E6637606063}" autoFormatId="16" applyNumberFormats="0" applyBorderFormats="0" applyFontFormats="0" applyPatternFormats="0" applyAlignmentFormats="0" applyWidthHeightFormats="0">
  <queryTableRefresh nextId="9">
    <queryTableFields count="8">
      <queryTableField id="1" name="CUSTOMER  CD" tableColumnId="1"/>
      <queryTableField id="2" name="CUSTOMER  NAME" tableColumnId="2"/>
      <queryTableField id="3" name="SALES  UNIT" tableColumnId="3"/>
      <queryTableField id="4" name="qty in no" tableColumnId="4"/>
      <queryTableField id="5" name="Domain for z_qty_meter" tableColumnId="5"/>
      <queryTableField id="6" name="Quantity" tableColumnId="6"/>
      <queryTableField id="7" name="MATERAIL NUMBER" tableColumnId="7"/>
      <queryTableField id="8" name="Material   Description" tableColumn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4" xr16:uid="{2210D392-6180-45E6-B4C8-9CF2A3FF0833}" autoFormatId="16" applyNumberFormats="0" applyBorderFormats="0" applyFontFormats="0" applyPatternFormats="0" applyAlignmentFormats="0" applyWidthHeightFormats="0">
  <queryTableRefresh nextId="23">
    <queryTableFields count="15">
      <queryTableField id="1" name="CUSTOMER  CD" tableColumnId="1"/>
      <queryTableField id="2" name="CUSTOMER  NAME" tableColumnId="2"/>
      <queryTableField id="3" name="SALES  UNIT" tableColumnId="3"/>
      <queryTableField id="4" name="qty in no" tableColumnId="4"/>
      <queryTableField id="5" name="Domain for z_qty_meter" tableColumnId="5"/>
      <queryTableField id="6" name="MATERAIL NUMBER" tableColumnId="6"/>
      <queryTableField id="21" name="DESP P LANT" tableColumnId="17"/>
      <queryTableField id="8" name="Material   Description" tableColumnId="8"/>
      <queryTableField id="7" name="Quantity" tableColumnId="7"/>
      <queryTableField id="13" name="Outer Diameter of Material" tableColumnId="13"/>
      <queryTableField id="14" name="Inner Diameter of Material" tableColumnId="14"/>
      <queryTableField id="15" name="Thickness for TATA Tubes Material" tableColumnId="15"/>
      <queryTableField id="9" name="Length for TATA Tubes Material" tableColumnId="9"/>
      <queryTableField id="10" name="OEM_Key.OEM" tableColumnId="10"/>
      <queryTableField id="20" name="Length Bucket" tableColumnId="1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5" xr16:uid="{55158FD0-C3C3-4A50-BB2A-8CF56FCFDD65}" autoFormatId="16" applyNumberFormats="0" applyBorderFormats="0" applyFontFormats="0" applyPatternFormats="0" applyAlignmentFormats="0" applyWidthHeightFormats="0">
  <queryTableRefresh nextId="18">
    <queryTableFields count="16">
      <queryTableField id="14" name="BILLING  DATE" tableColumnId="14"/>
      <queryTableField id="1" name="CUSTOMER  CD" tableColumnId="1"/>
      <queryTableField id="2" name="CUSTOMER  NAME" tableColumnId="2"/>
      <queryTableField id="3" name="SALES  UNIT" tableColumnId="3"/>
      <queryTableField id="4" name="qty in no" tableColumnId="4"/>
      <queryTableField id="5" name="Domain for z_qty_meter" tableColumnId="5"/>
      <queryTableField id="6" name="Quantity" tableColumnId="6"/>
      <queryTableField id="7" name="DESP P LANT" tableColumnId="7"/>
      <queryTableField id="8" name="MATERAIL NUMBER" tableColumnId="8"/>
      <queryTableField id="9" name="Material   Description" tableColumnId="9"/>
      <queryTableField id="10" name="Outer Diameter of Material" tableColumnId="10"/>
      <queryTableField id="11" name="Inner Diameter of Material" tableColumnId="11"/>
      <queryTableField id="12" name="Thickness for TATA Tubes Material" tableColumnId="12"/>
      <queryTableField id="13" name="Length for TATA Tubes Material" tableColumnId="13"/>
      <queryTableField id="15" name="OEM" tableColumnId="15"/>
      <queryTableField id="17" name="Length Bucket" tableColumnId="16"/>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13</v>
    <v>3</v>
  </rv>
  <rv s="0">
    <fb t="e">#REF!</fb>
    <v>3</v>
    <v>1</v>
  </rv>
  <rv s="1">
    <v>13</v>
    <v>1</v>
  </rv>
  <rv s="2">
    <v>0</v>
    <v>8</v>
    <v>6</v>
    <v>1</v>
  </rv>
</rvData>
</file>

<file path=xl/richData/rdrichvaluestructure.xml><?xml version="1.0" encoding="utf-8"?>
<rvStructures xmlns="http://schemas.microsoft.com/office/spreadsheetml/2017/richdata" count="3">
  <s t="_error">
    <k n="errorType" t="i"/>
    <k n="subType" t="i"/>
  </s>
  <s t="_error">
    <k n="errorType" t="i"/>
    <k n="propagated" t="b"/>
  </s>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D" xr10:uid="{F6C975CD-12B4-4420-B86A-57EB58978BA4}" sourceName="OD">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6531446A-FAF9-457C-9CC8-5553172F4ACB}" sourceName="ID">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ickness" xr10:uid="{D91CE410-97BD-4525-8FFF-F9AA1EC1D454}" sourceName="Thickness">
  <extLst>
    <x:ext xmlns:x15="http://schemas.microsoft.com/office/spreadsheetml/2010/11/main" uri="{2F2917AC-EB37-4324-AD4E-5DD8C200BD13}">
      <x15:tableSlicerCache tableId="3"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 xr10:uid="{36016A95-14BA-45E4-B48B-36C67E799878}" sourceName="Length">
  <extLst>
    <x:ext xmlns:x15="http://schemas.microsoft.com/office/spreadsheetml/2010/11/main" uri="{2F2917AC-EB37-4324-AD4E-5DD8C200BD13}">
      <x15:tableSlicerCache tableId="3"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3BF68AB1-0C23-43DC-8421-D069C8F93BE4}" sourceName="CUSTOMER NAME">
  <extLst>
    <x:ext xmlns:x15="http://schemas.microsoft.com/office/spreadsheetml/2010/11/main" uri="{2F2917AC-EB37-4324-AD4E-5DD8C200BD13}">
      <x15:tableSlicerCache tableId="21"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DULE" xr10:uid="{1CFAAC35-915D-4CAF-ADBE-E90DDD4D977F}" sourceName="SCHEDULE in nos">
  <extLst>
    <x:ext xmlns:x15="http://schemas.microsoft.com/office/spreadsheetml/2010/11/main" uri="{2F2917AC-EB37-4324-AD4E-5DD8C200BD13}">
      <x15:tableSlicerCache tableId="21" column="1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93FAE48B-167E-43AF-A58B-B1584028C882}" sourceName="Plant">
  <extLst>
    <x:ext xmlns:x15="http://schemas.microsoft.com/office/spreadsheetml/2010/11/main" uri="{2F2917AC-EB37-4324-AD4E-5DD8C200BD13}">
      <x15:tableSlicerCache tableId="2" column="1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Type" xr10:uid="{18E38205-0834-483A-928A-6DD898EE1C87}" sourceName="Material Type">
  <extLst>
    <x:ext xmlns:x15="http://schemas.microsoft.com/office/spreadsheetml/2010/11/main" uri="{2F2917AC-EB37-4324-AD4E-5DD8C200BD13}">
      <x15:tableSlicerCache tableId="26"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D1692E8C-B9AC-4C66-AB8E-3F17BE918F6C}" sourceName="GRADE">
  <extLst>
    <x:ext xmlns:x15="http://schemas.microsoft.com/office/spreadsheetml/2010/11/main" uri="{2F2917AC-EB37-4324-AD4E-5DD8C200BD13}">
      <x15:tableSlicerCache tableId="26" column="5"/>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D2" xr10:uid="{4BFC226A-52C5-4D1C-9273-778EF190E9A4}" sourceName="OD">
  <extLst>
    <x:ext xmlns:x15="http://schemas.microsoft.com/office/spreadsheetml/2010/11/main" uri="{2F2917AC-EB37-4324-AD4E-5DD8C200BD13}">
      <x15:tableSlicerCache tableId="26" column="6"/>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1" xr10:uid="{C8DFDC22-4D81-4A24-A82F-15F1E3BD5D7B}" sourceName="ID">
  <extLst>
    <x:ext xmlns:x15="http://schemas.microsoft.com/office/spreadsheetml/2010/11/main" uri="{2F2917AC-EB37-4324-AD4E-5DD8C200BD13}">
      <x15:tableSlicerCache tableId="26" column="7"/>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K" xr10:uid="{BCB472EA-B5A6-40FB-A65F-7BFDFEA9B934}" sourceName="THK">
  <extLst>
    <x:ext xmlns:x15="http://schemas.microsoft.com/office/spreadsheetml/2010/11/main" uri="{2F2917AC-EB37-4324-AD4E-5DD8C200BD13}">
      <x15:tableSlicerCache tableId="26" column="8"/>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1" xr10:uid="{02C1E035-D22A-44FE-A06C-A833FAAF45F3}" sourceName="LENGTH">
  <extLst>
    <x:ext xmlns:x15="http://schemas.microsoft.com/office/spreadsheetml/2010/11/main" uri="{2F2917AC-EB37-4324-AD4E-5DD8C200BD13}">
      <x15:tableSlicerCache tableId="26" column="9"/>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NESS" xr10:uid="{5ADBC173-0DC7-4DCD-9A61-67F327F3DDCA}" sourceName="TICKNESS">
  <extLst>
    <x:ext xmlns:x15="http://schemas.microsoft.com/office/spreadsheetml/2010/11/main" uri="{2F2917AC-EB37-4324-AD4E-5DD8C200BD13}">
      <x15:tableSlicerCache tableId="21" column="11"/>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 xr10:uid="{61DCC2AF-45F6-475F-AF67-5C27CB4B08CE}" sourceName="Bucket">
  <extLst>
    <x:ext xmlns:x15="http://schemas.microsoft.com/office/spreadsheetml/2010/11/main" uri="{2F2917AC-EB37-4324-AD4E-5DD8C200BD13}">
      <x15:tableSlicerCache tableId="21" column="24"/>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DC" xr10:uid="{FC2CC5E3-9E7C-4130-920B-7E9469956CB2}" sourceName="TDC">
  <extLst>
    <x:ext xmlns:x15="http://schemas.microsoft.com/office/spreadsheetml/2010/11/main" uri="{2F2917AC-EB37-4324-AD4E-5DD8C200BD13}">
      <x15:tableSlicerCache tableId="32" column="2"/>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IK" xr10:uid="{CE0F3EC0-4C38-48C5-B665-198932FCB186}" sourceName="THIK">
  <extLst>
    <x:ext xmlns:x15="http://schemas.microsoft.com/office/spreadsheetml/2010/11/main" uri="{2F2917AC-EB37-4324-AD4E-5DD8C200BD13}">
      <x15:tableSlicerCache tableId="32" column="3"/>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OD" xr10:uid="{C5D4A551-CCBB-4300-B040-49B7086069C8}" sourceName="ACTUAL OD">
  <extLst>
    <x:ext xmlns:x15="http://schemas.microsoft.com/office/spreadsheetml/2010/11/main" uri="{2F2917AC-EB37-4324-AD4E-5DD8C200BD13}">
      <x15:tableSlicerCache tableId="21" column="8"/>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6BF02B8B-1DDA-4F4D-A5B8-4BC3D402106A}" sourceName="Grade">
  <extLst>
    <x:ext xmlns:x15="http://schemas.microsoft.com/office/spreadsheetml/2010/11/main" uri="{2F2917AC-EB37-4324-AD4E-5DD8C200BD13}">
      <x15:tableSlicerCache tableId="2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DC" xr10:uid="{331168CD-1429-4685-915F-73F9F0ACB005}" cache="Slicer_TDC" caption="TDC" rowHeight="241300"/>
  <slicer name="THIK" xr10:uid="{EB05771A-0EA4-4E79-B069-51140DA88E8B}" cache="Slicer_THIK" caption="THIK"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1" xr10:uid="{21F0B584-0C36-4F52-B427-C60E0A1B2AEA}" cache="Slicer_CUSTOMER_NAME1" caption="CUSTOMER NAME" startItem="4" columnCount="4" rowHeight="144000"/>
  <slicer name="SCHEDULE" xr10:uid="{79CFD350-0B80-4CBB-AD0D-0440F240E6F3}" cache="Slicer_SCHEDULE" caption="SCHEDULE in nos" startItem="40" columnCount="10" rowHeight="241300"/>
  <slicer name="TICKNESS" xr10:uid="{56087816-ED88-483C-AB16-2E81A6F12EBD}" cache="Slicer_TICKNESS" caption="TICKNESS" columnCount="2" rowHeight="241300"/>
  <slicer name="Bucket" xr10:uid="{17DA6253-8DBE-4764-BC6A-2E373832BCDF}" cache="Slicer_Bucket" caption="Bucket" rowHeight="241300"/>
  <slicer name="ACTUAL OD" xr10:uid="{9819323E-5FB1-4DD0-83E7-59A195039784}" cache="Slicer_ACTUAL_OD" caption="ACTUAL OD" startItem="12" columnCount="12" rowHeight="241300"/>
  <slicer name="Grade 1" xr10:uid="{08C6321B-CFE6-4FAF-9EEC-8C60509209AA}" cache="Slicer_Grade1" caption="Grade" startItem="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B30C040B-4D9A-422C-99F9-22315351FCB5}" cache="Slicer_Plant" caption="Plant" columnCoun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D" xr10:uid="{54FC4864-099C-4E89-BC92-72330F241104}" cache="Slicer_OD" caption="OD" startItem="35" columnCount="5" rowHeight="241300"/>
  <slicer name="ID" xr10:uid="{7541E292-23A0-4831-B16B-2BC6C774A4C3}" cache="Slicer_ID" caption="ID" columnCount="3" rowHeight="241300"/>
  <slicer name="Thickness" xr10:uid="{E4B90FE2-184C-418D-83DC-BD23AC9721DF}" cache="Slicer_Thickness" caption="Thickness" columnCount="3" rowHeight="241300"/>
  <slicer name="Length" xr10:uid="{57006007-E1FF-4068-92EB-34ADB762BDC8}" cache="Slicer_Length" caption="Length" columnCount="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Type" xr10:uid="{825F5223-E6CB-45FF-9E12-D2E3E26E870E}" cache="Slicer_Material_Type" caption="Material Type" columnCount="2" rowHeight="241300"/>
  <slicer name="GRADE" xr10:uid="{EBD472F0-0B2B-40DF-BED6-AC943D2313CE}" cache="Slicer_GRADE" caption="GRADE" columnCount="3" rowHeight="241300"/>
  <slicer name="OD 3" xr10:uid="{4C428D71-ED1A-4255-994E-557D1D6C050B}" cache="Slicer_OD2" caption="OD" columnCount="3" rowHeight="241300"/>
  <slicer name="ID 1" xr10:uid="{FE955A0F-EFF4-4715-9CF9-7AE064936836}" cache="Slicer_ID1" caption="ID" columnCount="2" rowHeight="241300"/>
  <slicer name="THK" xr10:uid="{C0478FB0-2B04-49E3-8F18-EB2B9F27CD91}" cache="Slicer_THK" caption="THK" columnCount="3" rowHeight="241300"/>
  <slicer name="LENGTH 1" xr10:uid="{4AEE1D2F-C74C-46CD-AEF9-2989D313DE65}" cache="Slicer_LENGTH1" caption="LENGTH" columnCount="3"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7A678D3-1A9A-46E8-A51F-A6EE873A520E}" name="OEM_Key25" displayName="OEM_Key25" ref="A1:C175" totalsRowShown="0">
  <autoFilter ref="A1:C175" xr:uid="{00000000-0009-0000-0100-000004000000}"/>
  <tableColumns count="3">
    <tableColumn id="1" xr3:uid="{F1088CD8-DF3D-4980-B672-597816B0EA3A}" name="Customer " dataDxfId="736"/>
    <tableColumn id="2" xr3:uid="{00F00ABF-950E-436F-B4B2-B44BCE96C05E}" name="OEM" dataDxfId="735"/>
    <tableColumn id="3" xr3:uid="{76EDE7A5-7243-44D8-A399-482C51917966}" name="CAM"/>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321FD98-6C4D-4816-A43E-195F6CAE9EF3}" name="Table32" displayName="Table32" ref="A1:F42" totalsRowShown="0">
  <autoFilter ref="A1:F42" xr:uid="{0321FD98-6C4D-4816-A43E-195F6CAE9EF3}"/>
  <tableColumns count="6">
    <tableColumn id="1" xr3:uid="{451E6585-7431-4DB9-8167-728619644FDB}" name="Grade"/>
    <tableColumn id="2" xr3:uid="{50C4243F-D97E-4F01-B79B-B99E1FD95D7A}" name="TDC"/>
    <tableColumn id="3" xr3:uid="{EECB976E-738D-4F8C-9A62-2D65F5598C52}" name="THIK"/>
    <tableColumn id="6" xr3:uid="{7F967E05-0157-4F72-B2A2-3B8920DF6169}" name="Key">
      <calculatedColumnFormula>_xlfn.CONCAT(Table32[[#This Row],[TDC]],"-",Table32[[#This Row],[THIK]])</calculatedColumnFormula>
    </tableColumn>
    <tableColumn id="4" xr3:uid="{1942EF10-6101-4EFA-8BAA-4C3ACE075026}" name="MATERIAL"/>
    <tableColumn id="5" xr3:uid="{E3E518ED-D09F-4D4D-AACE-07BFBBE54DFB}" name="Material 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saleswipstock_matnos" displayName="saleswipstock_matnos" ref="A1:E6" tableType="queryTable" totalsRowShown="0">
  <autoFilter ref="A1:E6" xr:uid="{00000000-0009-0000-0100-00000D000000}"/>
  <tableColumns count="5">
    <tableColumn id="3" xr3:uid="{00000000-0010-0000-0000-000003000000}" uniqueName="3" name="Customer" queryTableFieldId="3"/>
    <tableColumn id="1" xr3:uid="{00000000-0010-0000-0000-000001000000}" uniqueName="1" name="Mat Nos" queryTableFieldId="1"/>
    <tableColumn id="2" xr3:uid="{00000000-0010-0000-0000-000002000000}" uniqueName="2" name="Mat Desc" queryTableFieldId="2"/>
    <tableColumn id="4" xr3:uid="{00000000-0010-0000-0000-000004000000}" uniqueName="4" name="OEM" queryTableFieldId="4" dataDxfId="734"/>
    <tableColumn id="5" xr3:uid="{00000000-0010-0000-0000-000005000000}" uniqueName="5" name="Bucket" queryTableFieldId="5" dataDxfId="7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1000000}" name="saleswipstock_customer" displayName="saleswipstock_customer" ref="A1:B2" tableType="queryTable" insertRow="1" totalsRowShown="0">
  <autoFilter ref="A1:B2" xr:uid="{00000000-0009-0000-0100-00000E000000}"/>
  <tableColumns count="2">
    <tableColumn id="1" xr3:uid="{00000000-0010-0000-0100-000001000000}" uniqueName="1" name="Customer" queryTableFieldId="1"/>
    <tableColumn id="2" xr3:uid="{00000000-0010-0000-0100-000002000000}" uniqueName="2" name="OEM"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OEM_Key" displayName="OEM_Key" ref="A1:C162" totalsRowShown="0">
  <autoFilter ref="A1:C162" xr:uid="{00000000-0009-0000-0100-000004000000}"/>
  <tableColumns count="3">
    <tableColumn id="1" xr3:uid="{00000000-0010-0000-0200-000001000000}" name="Customer " dataDxfId="732"/>
    <tableColumn id="2" xr3:uid="{00000000-0010-0000-0200-000002000000}" name="OEM" dataDxfId="731"/>
    <tableColumn id="3" xr3:uid="{00000000-0010-0000-0200-000003000000}" name="CAM"/>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A4E9D9-6109-438D-8985-4B75ED7A54C1}" name="Table27" displayName="Table27" ref="A1:AD68" totalsRowShown="0" headerRowDxfId="727" headerRowBorderDxfId="726" tableBorderDxfId="725">
  <autoFilter ref="A1:AD68" xr:uid="{E1A4E9D9-6109-438D-8985-4B75ED7A54C1}"/>
  <tableColumns count="30">
    <tableColumn id="1" xr3:uid="{57324231-3701-44DC-B878-E872D1509C55}" name="OEM" dataDxfId="724"/>
    <tableColumn id="27" xr3:uid="{1D7CC41E-323C-4FB0-B970-1B7ABC4F3967}" name="Customer Code" dataDxfId="723"/>
    <tableColumn id="2" xr3:uid="{96D5658E-F204-4311-908E-60F76086C307}" name="Customer" dataDxfId="722"/>
    <tableColumn id="3" xr3:uid="{6FC21745-CBBB-4458-9255-39A7C431909E}" name="Metallurgy condition" dataDxfId="721"/>
    <tableColumn id="4" xr3:uid="{A16E73AB-E7CE-47E2-8F24-1EB02F9C1B20}" name="Material Type" dataDxfId="720"/>
    <tableColumn id="5" xr3:uid="{F76F2307-41AB-46D9-A845-99331984AC5E}" name="GRADE" dataDxfId="719"/>
    <tableColumn id="6" xr3:uid="{B2BA5C32-A34C-4EFC-BF1A-770495E98160}" name="OD" dataDxfId="718"/>
    <tableColumn id="7" xr3:uid="{E6D1B6DF-0096-4418-A4BE-5984586E735F}" name="ID" dataDxfId="717"/>
    <tableColumn id="8" xr3:uid="{BCE708AC-0A92-4D2B-A8BA-BF85E5AD2123}" name="THK" dataDxfId="716"/>
    <tableColumn id="9" xr3:uid="{07590E62-504D-441E-909B-42175CB435F0}" name="LENGTH" dataDxfId="715"/>
    <tableColumn id="10" xr3:uid="{EB932626-FF9A-4995-9EBD-0EF79501DDA2}" name="Length in Mtrs" dataDxfId="714"/>
    <tableColumn id="11" xr3:uid="{0B4A3633-9BFD-4764-A11B-CC246B66588A}" name="Key" dataDxfId="713">
      <calculatedColumnFormula>_xlfn.CONCAT(G2,I2,K2,F2,E2)</calculatedColumnFormula>
    </tableColumn>
    <tableColumn id="26" xr3:uid="{4537148F-99A2-4D83-A580-2E67A96FDB40}" name="Bucket" dataDxfId="712">
      <calculatedColumnFormula>VLOOKUP(Table27[[#This Row],[Key]],Table29[[#All],[Key]:[TSL Material Code3]],4,0)</calculatedColumnFormula>
    </tableColumn>
    <tableColumn id="25" xr3:uid="{213DBEA2-DC45-4B0F-8640-925423818A44}" name="Bucket CTL" dataDxfId="711">
      <calculatedColumnFormula>VLOOKUP(Table27[[#This Row],[Key]],Table29[[#All],[Key]:[TSL Material Code3]],5,0)</calculatedColumnFormula>
    </tableColumn>
    <tableColumn id="12" xr3:uid="{0C3BB3B8-8E36-435F-9DB9-A72E90E8909E}" name="plant" dataDxfId="710">
      <calculatedColumnFormula>VLOOKUP(Table27[[#This Row],[Key]],Table29[[#All],[Key]:[TSL Material Code3]],7,0)</calculatedColumnFormula>
    </tableColumn>
    <tableColumn id="13" xr3:uid="{5351A1EF-8780-4A78-A225-9AA1ECD68316}" name="TSL Material Code" dataDxfId="709">
      <calculatedColumnFormula>VLOOKUP(Table27[[#This Row],[Key]],Table29[[#All],[Key]:[TSL Material Code3]],8,0)</calculatedColumnFormula>
    </tableColumn>
    <tableColumn id="14" xr3:uid="{50AC0093-BE69-4D8C-9974-4D0E4E2FF2BE}" name="SCH SEP- 25" dataDxfId="708"/>
    <tableColumn id="15" xr3:uid="{948FD2F4-F546-408B-8561-7E021C5F9DF4}" name="BALANCE TO BE SUPPLY" dataDxfId="707"/>
    <tableColumn id="16" xr3:uid="{DFB83EDF-CC1F-4A94-9B48-3E0C89421C63}" name="Stock     22-09-25" dataDxfId="706"/>
    <tableColumn id="17" xr3:uid="{41D25B5E-3BAE-4EB4-AC71-B1A62A0EB879}" name="intransist " dataDxfId="705"/>
    <tableColumn id="18" xr3:uid="{6D743C59-5F73-48FD-863C-AA3E5EA4AAA4}" name="OPENIG STOCK FOR NOV-2025" dataDxfId="704">
      <calculatedColumnFormula>S2-R2</calculatedColumnFormula>
    </tableColumn>
    <tableColumn id="19" xr3:uid="{B743EB13-FF25-4FF1-814F-8280EB2E7A43}" name="order logg " dataDxfId="703"/>
    <tableColumn id="20" xr3:uid="{035F5CC5-F47B-4D40-8260-BB6176B33585}" name="Opening stock including order logger" dataDxfId="702">
      <calculatedColumnFormula>U2+V2</calculatedColumnFormula>
    </tableColumn>
    <tableColumn id="21" xr3:uid="{74544ABF-D7DC-47DE-A7D1-43E6A6450E46}" name="    INDENT  FOR NOV-25 as per VSM" dataDxfId="701">
      <calculatedColumnFormula>Q2-W2</calculatedColumnFormula>
    </tableColumn>
    <tableColumn id="22" xr3:uid="{ED26CF26-FD0D-4A91-ABE9-D77FFDA45D05}" name=" INDENT  FOR NOV-25 recommended" dataDxfId="700">
      <calculatedColumnFormula>IF(X2&gt;0,X2,0)*150%</calculatedColumnFormula>
    </tableColumn>
    <tableColumn id="23" xr3:uid="{28F5C31A-0826-4BFC-AA8C-2B8A1DB3416A}" name="Before 20th" dataDxfId="699">
      <calculatedColumnFormula>ROUND(SUMIFS(meghsteelsales_previousmonth[Quantity],meghsteelsales_previousmonth[Length Bucket],Table27[[#This Row],[Bucket CTL]])/1000,0)</calculatedColumnFormula>
    </tableColumn>
    <tableColumn id="24" xr3:uid="{8ADF7E61-25A3-4E7E-9198-B614CF3F4001}" name="ofter 20th" dataDxfId="698">
      <calculatedColumnFormula>ROUND(SUMIFS(meghsteelsales_currentmonth[Quantity],meghsteelsales_currentmonth[Length Bucket],Table27[[#This Row],[Bucket CTL]])/1000,0)</calculatedColumnFormula>
    </tableColumn>
    <tableColumn id="29" xr3:uid="{AB4FD403-B05C-4B1C-875D-F9684A6F7C13}" name="Total Indent" dataDxfId="697">
      <calculatedColumnFormula>Table27[[#This Row],[ INDENT  FOR NOV-25 recommended]]+Table27[[#This Row],[order logg ]]</calculatedColumnFormula>
    </tableColumn>
    <tableColumn id="30" xr3:uid="{8E59070A-122B-496E-BB43-D01331BAE97B}" name="Total Supplied" dataDxfId="696">
      <calculatedColumnFormula>Table27[[#This Row],[Before 20th]]+Table27[[#This Row],[ofter 20th]]</calculatedColumnFormula>
    </tableColumn>
    <tableColumn id="28" xr3:uid="{B4E62D98-C341-40FA-A1C9-1652A433E6C6}" name="Gap">
      <calculatedColumnFormula>IF(Table27[[#This Row],[Total Indent]]-Table27[[#This Row],[Total Supplied]]&lt;0,0,Table27[[#This Row],[Total Indent]]-Table27[[#This Row],[Total Supplied]])</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CF11594-B9EF-4547-ACE9-ACF1DAA7B9CF}" name="Table35" displayName="Table35" ref="A78:Q108" totalsRowShown="0">
  <autoFilter ref="A78:Q108" xr:uid="{BCF11594-B9EF-4547-ACE9-ACF1DAA7B9CF}"/>
  <tableColumns count="17">
    <tableColumn id="1" xr3:uid="{5A25317C-AA6B-4A86-8FCB-93391821E05D}" name="plant"/>
    <tableColumn id="2" xr3:uid="{753538E2-E7F4-4D1F-8ED0-9959A69D90E8}" name="OEM"/>
    <tableColumn id="3" xr3:uid="{AF30D337-19A1-419A-9A2D-D1A8360B417F}" name="Customer Code"/>
    <tableColumn id="4" xr3:uid="{E10C1E04-BAA6-4D69-BD9E-74D034C813B8}" name="OD"/>
    <tableColumn id="5" xr3:uid="{A7FFEBD5-70BB-4305-A1E7-174425F66E1D}" name="ID"/>
    <tableColumn id="6" xr3:uid="{E182F739-CF8E-4C35-BF4B-A69F8855FCF6}" name="THK"/>
    <tableColumn id="7" xr3:uid="{CF6169AB-E603-4857-A4C1-6DD9C576D4FF}" name="LENGTH"/>
    <tableColumn id="8" xr3:uid="{EA6C708D-D1DE-4465-A9AF-DFA4CD7553CB}" name="Length in Mtrs"/>
    <tableColumn id="9" xr3:uid="{439175E7-A7C4-4120-971B-66696EBE69F3}" name="TSL Material Code"/>
    <tableColumn id="10" xr3:uid="{ED296A1A-4958-4926-9030-3BAE49E5CA97}" name=" INDENT  FOR NOV-25 recommended"/>
    <tableColumn id="11" xr3:uid="{C2D714E3-DB5F-4790-BA1E-CFE9A5977364}" name="Metallurgy condition"/>
    <tableColumn id="12" xr3:uid="{4AD049A7-1DCC-421E-B7EE-6E0DC4D33170}" name="Material Type"/>
    <tableColumn id="13" xr3:uid="{FC23C376-2CE1-491D-A795-26B46DC4985F}" name="Material Description3">
      <calculatedColumnFormula>VLOOKUP(I79,[1]!zmat[#All],2,0)</calculatedColumnFormula>
    </tableColumn>
    <tableColumn id="14" xr3:uid="{C5F3C3E5-9459-465D-B952-00A28B54B8A0}" name="Spec">
      <calculatedColumnFormula>VLOOKUP(I79,[1]!zmat[#All],21,0)</calculatedColumnFormula>
    </tableColumn>
    <tableColumn id="15" xr3:uid="{4E22AC8A-70D6-4F62-B8F7-D8F651514713}" name="FC/NFC" dataDxfId="695">
      <calculatedColumnFormula>VLOOKUP(I79,[1]!zmat[#All],22,0)</calculatedColumnFormula>
    </tableColumn>
    <tableColumn id="16" xr3:uid="{259E7A1F-A2A1-4B4D-9FA6-A2D2ECD1EB94}" name="SO"/>
    <tableColumn id="17" xr3:uid="{F9220A4A-DDE7-4437-8734-CB2ADD8E8B19}" name="STATUS"/>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salesTVS" displayName="salesTVS" ref="A1:K1827" tableType="queryTable" totalsRowShown="0">
  <autoFilter ref="A1:K1827" xr:uid="{00000000-0009-0000-0100-000007000000}"/>
  <tableColumns count="11">
    <tableColumn id="11" xr3:uid="{00000000-0010-0000-0A00-00000B000000}" uniqueName="11" name="CUSTOMER  CD" queryTableFieldId="15"/>
    <tableColumn id="2" xr3:uid="{00000000-0010-0000-0A00-000002000000}" uniqueName="2" name="CUSTOMER  NAME" queryTableFieldId="2"/>
    <tableColumn id="8" xr3:uid="{00000000-0010-0000-0A00-000008000000}" uniqueName="8" name="SALES  UNIT" queryTableFieldId="9"/>
    <tableColumn id="9" xr3:uid="{00000000-0010-0000-0A00-000009000000}" uniqueName="9" name="qty in no" queryTableFieldId="10"/>
    <tableColumn id="10" xr3:uid="{00000000-0010-0000-0A00-00000A000000}" uniqueName="10" name="Domain for z_qty_meter" queryTableFieldId="11"/>
    <tableColumn id="3" xr3:uid="{00000000-0010-0000-0A00-000003000000}" uniqueName="3" name="MATERAIL NUMBER" queryTableFieldId="3"/>
    <tableColumn id="4" xr3:uid="{00000000-0010-0000-0A00-000004000000}" uniqueName="4" name="buckets.Bucket" queryTableFieldId="4"/>
    <tableColumn id="5" xr3:uid="{00000000-0010-0000-0A00-000005000000}" uniqueName="5" name="Quantity" queryTableFieldId="5"/>
    <tableColumn id="6" xr3:uid="{00000000-0010-0000-0A00-000006000000}" uniqueName="6" name="Material   Description" queryTableFieldId="6"/>
    <tableColumn id="7" xr3:uid="{00000000-0010-0000-0A00-000007000000}" uniqueName="7" name="OEM_Key.OEM" queryTableFieldId="7"/>
    <tableColumn id="1" xr3:uid="{00000000-0010-0000-0A00-000001000000}" uniqueName="1" name="buckets.CTL Bucket" queryTableField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cham_anglecut" displayName="cham_anglecut" ref="A1:F576" totalsRowShown="0">
  <autoFilter ref="A1:F576" xr:uid="{00000000-0009-0000-0100-00000A000000}">
    <filterColumn colId="5">
      <filters>
        <filter val="Angle Cut"/>
      </filters>
    </filterColumn>
  </autoFilter>
  <tableColumns count="6">
    <tableColumn id="1" xr3:uid="{00000000-0010-0000-0500-000001000000}" name="Outer Diameter of Material"/>
    <tableColumn id="2" xr3:uid="{00000000-0010-0000-0500-000002000000}" name="Thickness for TATA Tubes Material"/>
    <tableColumn id="3" xr3:uid="{00000000-0010-0000-0500-000003000000}" name="Length for TATA Tubes Material"/>
    <tableColumn id="4" xr3:uid="{00000000-0010-0000-0500-000004000000}" name="MATERAIL NUMBER"/>
    <tableColumn id="5" xr3:uid="{00000000-0010-0000-0500-000005000000}" name="Material   Description"/>
    <tableColumn id="6" xr3:uid="{00000000-0010-0000-0500-000006000000}" name="Cham/Angle Cu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Table11" displayName="Table11" ref="J1:BE101" totalsRowShown="0" headerRowDxfId="690" headerRowBorderDxfId="689" tableBorderDxfId="688" totalsRowBorderDxfId="687">
  <autoFilter ref="J1:BE101" xr:uid="{00000000-0009-0000-0100-00000B000000}"/>
  <tableColumns count="48">
    <tableColumn id="1" xr3:uid="{00000000-0010-0000-0400-000001000000}" name="ACTUAL OD" dataDxfId="686"/>
    <tableColumn id="2" xr3:uid="{00000000-0010-0000-0400-000002000000}" name="OD" dataDxfId="685"/>
    <tableColumn id="3" xr3:uid="{00000000-0010-0000-0400-000003000000}" name="ID" dataDxfId="684"/>
    <tableColumn id="4" xr3:uid="{00000000-0010-0000-0400-000004000000}" name="TICKNESS" dataDxfId="683"/>
    <tableColumn id="5" xr3:uid="{00000000-0010-0000-0400-000005000000}" name="GRADE" dataDxfId="682"/>
    <tableColumn id="40" xr3:uid="{8F72C29E-1133-4ACF-AF9A-8C9D4AD9A6D6}" name="FC/NFC" dataDxfId="681"/>
    <tableColumn id="6" xr3:uid="{00000000-0010-0000-0400-000006000000}" name="Bucket" dataDxfId="680"/>
    <tableColumn id="37" xr3:uid="{00000000-0010-0000-0400-000025000000}" name="Plant" dataDxfId="679">
      <calculatedColumnFormula>_xlfn.XLOOKUP(Table11[[#This Row],[Bucket]],salesforecast[Bucket],salesforecast[Plant])</calculatedColumnFormula>
    </tableColumn>
    <tableColumn id="31" xr3:uid="{00000000-0010-0000-0400-00001F000000}" name="Requirement" dataDxfId="678">
      <calculatedColumnFormula>Table11[[#This Row],[Grand Total]]</calculatedColumnFormula>
    </tableColumn>
    <tableColumn id="32" xr3:uid="{00000000-0010-0000-0400-000020000000}" name="Sales" dataDxfId="677">
      <calculatedColumnFormula>VLOOKUP(Table11[[#This Row],[Bucket]],salesforecast[[#All],[Bucket2]:[WIP]],3,0)</calculatedColumnFormula>
    </tableColumn>
    <tableColumn id="38" xr3:uid="{00000000-0010-0000-0400-000026000000}" name="Stock CTL" dataDxfId="676">
      <calculatedColumnFormula>VLOOKUP(Table11[[#This Row],[Bucket]],salesforecast[[#All],[Bucket2]:[WIP]],4,0)</calculatedColumnFormula>
    </tableColumn>
    <tableColumn id="33" xr3:uid="{00000000-0010-0000-0400-000021000000}" name="Stock LL" dataDxfId="675">
      <calculatedColumnFormula>VLOOKUP(Table11[[#This Row],[Bucket]],salesforecast[[#All],[Bucket2]:[WIP]],5,0)</calculatedColumnFormula>
    </tableColumn>
    <tableColumn id="34" xr3:uid="{00000000-0010-0000-0400-000022000000}" name="WIP" dataDxfId="674">
      <calculatedColumnFormula>VLOOKUP(Table11[[#This Row],[Bucket]],salesforecast[[#All],[Bucket2]:[WIP]],7,0)</calculatedColumnFormula>
    </tableColumn>
    <tableColumn id="35" xr3:uid="{00000000-0010-0000-0400-000023000000}" name="Total Stock" dataDxfId="673">
      <calculatedColumnFormula>Table11[[#This Row],[Stock LL]]+Table11[[#This Row],[WIP]]+Table11[[#This Row],[Stock CTL]]</calculatedColumnFormula>
    </tableColumn>
    <tableColumn id="36" xr3:uid="{00000000-0010-0000-0400-000024000000}" name="GAP" dataDxfId="672">
      <calculatedColumnFormula>IF((Table11[[#This Row],[Requirement]]-Table11[[#This Row],[Sales]]-Table11[[#This Row],[Total Stock]])&lt;0,0,Table11[[#This Row],[Requirement]]-Table11[[#This Row],[Sales]]-Table11[[#This Row],[Total Stock]])</calculatedColumnFormula>
    </tableColumn>
    <tableColumn id="39" xr3:uid="{00000000-0010-0000-0400-000027000000}" name="Remark" dataDxfId="671"/>
    <tableColumn id="41" xr3:uid="{8621A4A0-7204-4CBB-A7EB-9447EB9E23A2}" name="ACTUAL OD2" dataDxfId="670"/>
    <tableColumn id="42" xr3:uid="{5ABCE943-DE3E-4B67-8528-59CEAA415223}" name="OD3" dataDxfId="669"/>
    <tableColumn id="43" xr3:uid="{5FA3E36A-9528-4EDB-9356-5DC858EB829C}" name="ID4" dataDxfId="668"/>
    <tableColumn id="44" xr3:uid="{06623BF5-A779-4A65-A518-BDFC83816C42}" name="TICKNESS5" dataDxfId="667"/>
    <tableColumn id="45" xr3:uid="{A3C4E5A4-FB4E-458D-91CD-6C1AB117FACA}" name="GRADE6" dataDxfId="666"/>
    <tableColumn id="46" xr3:uid="{E0C350EC-B18E-493C-8AF8-42F9D7CC9458}" name="FC/NFC7" dataDxfId="665"/>
    <tableColumn id="47" xr3:uid="{47252775-6FDB-403F-9A30-36BE60996294}" name="Bucket8" dataDxfId="664"/>
    <tableColumn id="17" xr3:uid="{42C8A0D9-559D-4F7D-8FC0-24AAC3F6ECDC}" name="Bucket9" dataDxfId="663">
      <calculatedColumnFormula>EXACT(Table11[[#This Row],[Bucket8]],Table11[[#This Row],[Bucket]])</calculatedColumnFormula>
    </tableColumn>
    <tableColumn id="48" xr3:uid="{219CFEF3-B2A5-4E0A-8503-A54B074D0843}" name="Balaji press product" dataDxfId="662"/>
    <tableColumn id="49" xr3:uid="{71254B94-6E16-48B3-8D2B-FD9252E07108}" name="ELKAYEM AUTO" dataDxfId="661"/>
    <tableColumn id="50" xr3:uid="{9023A3D4-DCE3-4232-B869-1AED288686A3}" name="ELKAYEM AUTO MYSORE " dataDxfId="660"/>
    <tableColumn id="51" xr3:uid="{EB9B8355-F2EB-4C99-89C9-4E70F15C5AA5}" name="KAY JAY" dataDxfId="659"/>
    <tableColumn id="52" xr3:uid="{394AC173-C66B-4B37-95E8-C979181B74F6}" name="Marathwada" dataDxfId="658"/>
    <tableColumn id="53" xr3:uid="{037F3DE5-1B11-4E9A-9913-C4D322389B90}" name="Metalman" dataDxfId="657"/>
    <tableColumn id="54" xr3:uid="{5BB70F77-05C2-4EB2-84B0-01108375B82B}" name="Narasipur Auto Component(P)Ltd" dataDxfId="656"/>
    <tableColumn id="55" xr3:uid="{0106C4B7-3286-4BBC-8836-8D28674EF456}" name="NMPL (HUB)" dataDxfId="655"/>
    <tableColumn id="56" xr3:uid="{164347FA-DDDF-4C65-AF37-C9EA5DEE7267}" name="NMPL 1" dataDxfId="654"/>
    <tableColumn id="57" xr3:uid="{4DB306EB-3FA1-495F-9BF7-D36134A5EA5B}" name="Rajsriya Mysore " dataDxfId="653"/>
    <tableColumn id="58" xr3:uid="{D846CE52-65D7-4529-B327-6C60F37B38F7}" name="Rajsriya Unit 1" dataDxfId="652"/>
    <tableColumn id="59" xr3:uid="{0840DE95-92B4-473C-B6E0-15D82C4E5F71}" name="Rajsriya Unit 2" dataDxfId="651"/>
    <tableColumn id="60" xr3:uid="{3C519FCB-908D-422E-9E41-71B5D4A783A7}" name="Rajsriya Unit 4" dataDxfId="650"/>
    <tableColumn id="61" xr3:uid="{EEC28F77-9B19-4213-ACB0-D6B38037722A}" name="Rajsriya Unit 5" dataDxfId="649"/>
    <tableColumn id="7" xr3:uid="{729F2071-B063-4453-9EBF-2AC8D5600CE1}" name="Rajsriya Unit 8" dataDxfId="648"/>
    <tableColumn id="8" xr3:uid="{175F6FA4-D014-449C-91D0-C42931D06A87}" name="Sandhar Automach" dataDxfId="647"/>
    <tableColumn id="9" xr3:uid="{879B043E-24C1-4392-9BFE-DCEFFBD04509}" name="Sandhar Engg Mysore " dataDxfId="646"/>
    <tableColumn id="10" xr3:uid="{EBBD79E4-F949-45FC-A992-1E7D9FDEAEB8}" name="SANDHAR ENGINEERING PVT LTD." dataDxfId="645"/>
    <tableColumn id="11" xr3:uid="{FEF48BC4-1E77-4276-A309-3ADE09023FEE}" name="SRIKAM HITECH" dataDxfId="644"/>
    <tableColumn id="12" xr3:uid="{54D4CCE7-1E5F-456B-9BA1-01AE5C15AB3C}" name="TVS MOTOR COMPANY LIMITED" dataDxfId="643"/>
    <tableColumn id="13" xr3:uid="{50E475BB-7B24-4F93-A4DC-1BD458DF3E2E}" name="SRI BALAJI GEARS V4" dataDxfId="642"/>
    <tableColumn id="14" xr3:uid="{A828C0F4-7660-426E-9FEF-E520F9474928}" name="SRI BALAJI GEARS V3" dataDxfId="641"/>
    <tableColumn id="15" xr3:uid="{F532AB1E-091B-4F5F-B02A-A7AF37303F23}" name="Laxmi" dataDxfId="640"/>
    <tableColumn id="16" xr3:uid="{B4212074-41C4-4415-B153-4653F3D81397}" name="Grand Total" dataDxfId="639"/>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B7604E6-242F-43D8-A2D4-4B7C72D5B23B}" name="wip_ystockn_newest_codes_bucket" displayName="wip_ystockn_newest_codes_bucket" ref="A1:C95" tableType="queryTable" totalsRowShown="0">
  <autoFilter ref="A1:C95" xr:uid="{0B7604E6-242F-43D8-A2D4-4B7C72D5B23B}"/>
  <tableColumns count="3">
    <tableColumn id="1" xr3:uid="{9D9488DA-B78F-4ACC-9FE4-1CFCEF33D781}" uniqueName="1" name="Material No" queryTableFieldId="1"/>
    <tableColumn id="2" xr3:uid="{1BE05B48-C269-4E98-96AF-249E92DEA759}" uniqueName="2" name="Bucket" queryTableFieldId="2" dataDxfId="638"/>
    <tableColumn id="3" xr3:uid="{6A493DDE-9F6D-40E9-9792-6B3E4BB70710}" uniqueName="3" name="WIP" queryTableFieldId="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4D014D-921F-45D4-84CC-D93B4A7670AD}" name="_4318_ll_req" displayName="_4318_ll_req" ref="A1:J22" tableType="queryTable" totalsRowShown="0">
  <autoFilter ref="A1:J22" xr:uid="{CC4D014D-921F-45D4-84CC-D93B4A7670AD}"/>
  <tableColumns count="10">
    <tableColumn id="1" xr3:uid="{6334DFA6-F4AF-443D-839D-43ABBC288F7D}" uniqueName="1" name="Bucket" queryTableFieldId="1" dataDxfId="637"/>
    <tableColumn id="2" xr3:uid="{8B90188F-A146-476C-A350-95E62671B734}" uniqueName="2" name="Schedule" queryTableFieldId="2"/>
    <tableColumn id="3" xr3:uid="{4701F459-99E1-496E-AADD-B6ABC5E14641}" uniqueName="3" name="Dispatch" queryTableFieldId="3"/>
    <tableColumn id="4" xr3:uid="{EADBDE60-F8C9-476E-AFC2-34B632C9ED44}" uniqueName="4" name="Balance" queryTableFieldId="4"/>
    <tableColumn id="7" xr3:uid="{4BBF7CE8-C23F-468D-9D14-4A37F80071BC}" uniqueName="7" name="LL or CTL" queryTableFieldId="7"/>
    <tableColumn id="8" xr3:uid="{2D0098AB-F4AB-48EF-A056-C24A75830EDC}" uniqueName="8" name="789" queryTableFieldId="8" dataDxfId="636"/>
    <tableColumn id="9" xr3:uid="{EFEE2D7D-A0DA-4740-BA62-9BB238167F8C}" uniqueName="9" name="4731" queryTableFieldId="9" dataDxfId="635"/>
    <tableColumn id="10" xr3:uid="{52EFBD36-9AD0-4DAA-9E86-B20C6EAAE5B6}" uniqueName="10" name="8406" queryTableFieldId="10" dataDxfId="634"/>
    <tableColumn id="11" xr3:uid="{6ABBAC37-92C6-4DDE-ACEA-42B837F9C9A2}" uniqueName="11" name="WIP" queryTableFieldId="11"/>
    <tableColumn id="12" xr3:uid="{5436DC92-51D1-475F-96E1-27856D7EC217}" uniqueName="12" name="Transfer Required" queryTableFieldId="12" dataDxfId="633">
      <calculatedColumnFormula>IF((_4318_ll_req[[#This Row],[Balance]]-_4318_ll_req[[#This Row],[8406]])&lt;0,0,_4318_ll_req[[#This Row],[Balance]]-_4318_ll_req[[#This Row],[8406]])</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02413B-68D4-43EA-8D79-CA34947F2C73}" name="scheduleapr" displayName="scheduleapr" ref="A3:AS745" totalsRowShown="0" headerRowDxfId="632" headerRowBorderDxfId="631" tableBorderDxfId="630" totalsRowBorderDxfId="629">
  <autoFilter ref="A3:AS745" xr:uid="{00000000-000C-0000-FFFF-FFFF0B000000}"/>
  <tableColumns count="45">
    <tableColumn id="1" xr3:uid="{002B8356-146F-450D-BD1E-436DFCDF9312}" name="SNO" dataDxfId="628"/>
    <tableColumn id="2" xr3:uid="{52507051-E098-4F43-BE0B-7075ADE4C243}" name="RM Loaction" dataDxfId="627"/>
    <tableColumn id="3" xr3:uid="{7E6456D6-2295-42D6-8705-90BF53F0E34E}" name="CUSTOMER NAME" dataDxfId="626"/>
    <tableColumn id="25" xr3:uid="{75BE3E57-3E14-4097-A6D8-4921B474368D}" name="Helper Customer" dataDxfId="625"/>
    <tableColumn id="4" xr3:uid="{F400A874-864E-499C-BF8F-2D3BB661B889}" name="CUSTOMER CODE" dataDxfId="624"/>
    <tableColumn id="5" xr3:uid="{28881C4A-24EE-49B4-BEDF-4DBA3DA88C56}" name="MATERIAL NO" dataDxfId="623"/>
    <tableColumn id="39" xr3:uid="{5B7C679C-3B69-4179-8994-F6B625CCAEC0}" name="Key" dataDxfId="622">
      <calculatedColumnFormula>_xlfn.CONCAT(scheduleapr[[#This Row],[CUSTOMER CODE]],"-",scheduleapr[[#This Row],[MATERIAL NO]])</calculatedColumnFormula>
    </tableColumn>
    <tableColumn id="6" xr3:uid="{5AC4BD1B-CCC1-4148-BC8A-E4CB4F624B88}" name="MATERIAL DES" dataDxfId="621"/>
    <tableColumn id="7" xr3:uid="{054E6C1C-07C7-4C01-9CD9-EA7668EBC80A}" name="Grade" dataDxfId="620"/>
    <tableColumn id="17" xr3:uid="{472794B9-412A-417F-943D-053D2FD46B16}" name="h" dataDxfId="619"/>
    <tableColumn id="18" xr3:uid="{8250F371-36EB-41D2-A60D-851505E4AE12}" name="FC/NFC" dataDxfId="618"/>
    <tableColumn id="19" xr3:uid="{9C35AC39-A53D-47E6-9A67-FC3045F67EE2}" name="HR/CR" dataDxfId="617"/>
    <tableColumn id="23" xr3:uid="{E4CF8EDA-3DD0-4A9B-8C3B-425BE0595474}" name="HR/CR Check" dataDxfId="616"/>
    <tableColumn id="20" xr3:uid="{522685E2-88B7-4C82-B599-E3406D5A7CE6}" name="Chamferring " dataDxfId="615"/>
    <tableColumn id="21" xr3:uid="{C143484E-4B31-4F5E-B03F-4B7E8DB50FA5}" name="Angle Cut" dataDxfId="614"/>
    <tableColumn id="22" xr3:uid="{63D4EDB8-3B1F-42D3-B87F-56C0F6BACBB7}" name="Surface Critical" dataDxfId="613"/>
    <tableColumn id="24" xr3:uid="{0B87BEF7-AD34-4FC6-9BFF-19CC57318F3D}" name="Bucket" dataDxfId="612"/>
    <tableColumn id="26" xr3:uid="{DAB5BE7E-DC7D-469D-BECE-EC538A6F7EE7}" name="CTL Bucket" dataDxfId="611"/>
    <tableColumn id="27" xr3:uid="{514E98B8-F9EC-4BEB-8B5A-43EE83B8D1D4}" name="Check if CTL bucket is in sales sheet or not" dataDxfId="610"/>
    <tableColumn id="40" xr3:uid="{A3EB5FD4-FCDE-4072-915C-328858EE4632}" name="Plant" dataDxfId="609"/>
    <tableColumn id="41" xr3:uid="{78A8D2D7-4A94-4AA2-98A1-487132F619B4}" name="4731 LL Stock" dataDxfId="608"/>
    <tableColumn id="38" xr3:uid="{A352D352-3D8A-428F-9B6D-FFDE723292E7}" name="4318 + 8406 stock" dataDxfId="607"/>
    <tableColumn id="37" xr3:uid="{3146918D-A123-4200-BD1A-247098F1BBDE}" name="Application" dataDxfId="606"/>
    <tableColumn id="8" xr3:uid="{E8B17BCB-CAAE-48B7-B9D0-FF9542575B55}" name="ACTUAL OD" dataDxfId="605"/>
    <tableColumn id="9" xr3:uid="{8F0E2600-5F00-47BE-9B45-7A2DF28348AA}" name="OD" dataDxfId="604"/>
    <tableColumn id="10" xr3:uid="{E84ECBD2-72CE-45D1-823B-B5E25E6DB96F}" name="ID" dataDxfId="603"/>
    <tableColumn id="11" xr3:uid="{B467D4CB-697C-4B85-8C0C-E2E902DAED4D}" name="TICKNESS" dataDxfId="602"/>
    <tableColumn id="12" xr3:uid="{0D218013-1D4C-4006-9781-1170F54EC396}" name="LENGTH" dataDxfId="601"/>
    <tableColumn id="28" xr3:uid="{5FE2B723-C0FF-48B0-A15B-65C485A0B51F}" name="UoM" dataDxfId="600"/>
    <tableColumn id="43" xr3:uid="{69830AE8-475D-4263-B27D-01B78F0C32B9}" name="Source Plant"/>
    <tableColumn id="44" xr3:uid="{7444DC06-58FD-475E-A5CA-EC73E74B1B3F}" name="Commitment Date"/>
    <tableColumn id="13" xr3:uid="{0B18D465-B6AB-4411-8985-2C50A7B418EE}" name="SCHEDULE in nos" dataDxfId="599"/>
    <tableColumn id="45" xr3:uid="{8B1908FE-785E-4C7E-98D2-39B09109E9F8}" name="Customer remarks" dataDxfId="598"/>
    <tableColumn id="14" xr3:uid="{029E48D8-F054-4F49-8EE4-C984A19880D3}" name="DISPATCH" dataDxfId="597">
      <calculatedColumnFormula array="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calculatedColumnFormula>
    </tableColumn>
    <tableColumn id="15" xr3:uid="{5FF17F5B-D797-4F1C-9934-AC74FF6112EE}" name="BAL IN NOS" dataDxfId="596">
      <calculatedColumnFormula>scheduleapr[[#This Row],[SCHEDULE in nos]]-scheduleapr[[#This Row],[DISPATCH]]</calculatedColumnFormula>
    </tableColumn>
    <tableColumn id="16" xr3:uid="{EA4C9ECB-F131-4A6B-959F-A8CB34800879}" name="SCHEDULE IN MT" dataDxfId="595">
      <calculatedColumnFormula>(3.14*(scheduleapr[[#This Row],[ACTUAL OD]]-scheduleapr[[#This Row],[TICKNESS]])*scheduleapr[[#This Row],[TICKNESS]]*scheduleapr[[#This Row],[LENGTH]]*7.85)/1000000*scheduleapr[[#This Row],[SCHEDULE in nos]]/1000</calculatedColumnFormula>
    </tableColumn>
    <tableColumn id="29" xr3:uid="{19D3B3F0-8C9A-41D3-A06F-432E65F8A3A8}" name="DISPATCH MT" dataDxfId="594">
      <calculatedColumnFormula>(3.14*(scheduleapr[[#This Row],[ACTUAL OD]]-scheduleapr[[#This Row],[TICKNESS]])*scheduleapr[[#This Row],[TICKNESS]]*scheduleapr[[#This Row],[LENGTH]]*7.85)/1000000*scheduleapr[[#This Row],[DISPATCH]]/1000</calculatedColumnFormula>
    </tableColumn>
    <tableColumn id="30" xr3:uid="{F8820E30-DAF1-4B96-8D2F-1A30148F23C2}" name="BALANCE FOR DISP" dataDxfId="593">
      <calculatedColumnFormula>AJ4-AK4</calculatedColumnFormula>
    </tableColumn>
    <tableColumn id="35" xr3:uid="{6BA60D9E-CF65-48B3-89FF-6AF5A9D26E07}" name="CTL stock in nos" dataDxfId="592">
      <calculatedColumnFormula>scheduleapr[[#This Row],[SCHEDULE in nos]]/scheduleapr[[#This Row],[SCHEDULE IN MT]]*scheduleapr[[#This Row],[CTL Stock]]</calculatedColumnFormula>
    </tableColumn>
    <tableColumn id="31" xr3:uid="{DA11A1D1-1D7E-4151-9C63-22C3406ABD8F}" name="CTL Stock" dataDxfId="591">
      <calculatedColumnFormula>SUMIFS(stock[MT],stock[Bucket],scheduleapr[[#This Row],[Bucket]],stock[CTL Bucket],scheduleapr[[#This Row],[CTL Bucket]],stock[Plant],"0789")</calculatedColumnFormula>
    </tableColumn>
    <tableColumn id="42" xr3:uid="{8787B8B7-D04C-4202-86E8-F9B70625F1E6}" name="Total Long Stock in MT" dataDxfId="590"/>
    <tableColumn id="32" xr3:uid="{076130A0-010D-49F6-A42F-9DE7A399B714}" name="LL Stock" dataDxfId="589">
      <calculatedColumnFormula>SUMIFS(stock[MT],stock[Bucket],scheduleapr[[#This Row],[Bucket]],stock[LL or CTL],"LL")</calculatedColumnFormula>
    </tableColumn>
    <tableColumn id="36" xr3:uid="{CE67BF68-99C6-4BF2-B524-8863D1245433}" name="WIP" dataDxfId="588">
      <calculatedColumnFormula>+SUMIFS(wip[Stock(Net Wt)],wip[Bucket],scheduleapr[[#This Row],[Bucket]])/1000</calculatedColumnFormula>
    </tableColumn>
    <tableColumn id="33" xr3:uid="{A9AC3041-68CA-406D-B176-985BD969D93C}" name="BALANCE REQUIRED IN MT" dataDxfId="587">
      <calculatedColumnFormula>AJ4-AN4</calculatedColumnFormula>
    </tableColumn>
    <tableColumn id="34" xr3:uid="{11909E58-C8B7-4FBA-A07F-A5C6595A98EB}" name="% COMP" dataDxfId="586" dataCellStyle="Percent"/>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4A432E5-EBDD-44B6-8887-0E2545C8AAD4}" name="Table37" displayName="Table37" ref="A2:X79" totalsRowShown="0" headerRowBorderDxfId="585" tableBorderDxfId="584">
  <autoFilter ref="A2:X79" xr:uid="{B4A432E5-EBDD-44B6-8887-0E2545C8AAD4}">
    <filterColumn colId="13">
      <customFilters>
        <customFilter operator="notEqual" val=" "/>
      </customFilters>
    </filterColumn>
  </autoFilter>
  <sortState xmlns:xlrd2="http://schemas.microsoft.com/office/spreadsheetml/2017/richdata2" ref="A3:X79">
    <sortCondition ref="A2:A79"/>
  </sortState>
  <tableColumns count="24">
    <tableColumn id="1" xr3:uid="{07796B7C-C8CA-48E9-8977-06D546282BD6}" name="Customer" dataDxfId="583"/>
    <tableColumn id="2" xr3:uid="{1A26717F-FD3C-462D-8BC8-3FD84788791F}" name="Grade" dataDxfId="582"/>
    <tableColumn id="3" xr3:uid="{5781A710-1140-498A-9C75-6C0AD5D710B3}" name="ACTUAL OD" dataDxfId="581"/>
    <tableColumn id="4" xr3:uid="{A1DD4214-FEA4-4F28-B725-F7744BE05139}" name="OD" dataDxfId="580"/>
    <tableColumn id="5" xr3:uid="{8FAE88B2-27C7-4F77-821F-14EED99F81B8}" name="ID" dataDxfId="579"/>
    <tableColumn id="6" xr3:uid="{8B6315B7-CD5F-4CF7-8E04-02C9DF6382F8}" name="TICKNESS" dataDxfId="578"/>
    <tableColumn id="7" xr3:uid="{7DE362BC-0892-4ABE-8F29-E70A44866D7B}" name="LENGTH" dataDxfId="577"/>
    <tableColumn id="8" xr3:uid="{65953180-2597-4049-A314-E4B1C65348ED}" name="UoM" dataDxfId="576"/>
    <tableColumn id="9" xr3:uid="{D1768D55-6F5E-46C1-A3A3-49121232F2D5}" name="SCHEDULE in nos" dataDxfId="575"/>
    <tableColumn id="10" xr3:uid="{35859C8F-FE0B-4E9A-AAD2-8844B00D4791}" name="DISPATCH" dataDxfId="574"/>
    <tableColumn id="11" xr3:uid="{D8135DC4-6ACF-4916-8BDB-031C7C35B85C}" name="BAL IN NOS" dataDxfId="573"/>
    <tableColumn id="12" xr3:uid="{CE2AA32A-3274-4AA1-B5C4-49BE225E9A5E}" name="Bucket" dataDxfId="572"/>
    <tableColumn id="13" xr3:uid="{88AA3824-37A4-4A64-83E3-511B90490C8E}" name="4731 LL Stock" dataDxfId="571"/>
    <tableColumn id="24" xr3:uid="{2A94F146-A94A-4108-B302-D967E2C0982A}" name="CTL to be planned as per capacity constraint" dataDxfId="570"/>
    <tableColumn id="14" xr3:uid="{D857C1E0-853D-4DD0-803F-119F57C6F3A6}" name="22" dataDxfId="569"/>
    <tableColumn id="15" xr3:uid="{0B5280DE-4A51-473A-BA17-1387AC5B230F}" name="23" dataDxfId="568"/>
    <tableColumn id="16" xr3:uid="{01D7C5C5-3AFC-47EA-8BAC-AD63ED4C7C41}" name="24" dataDxfId="567"/>
    <tableColumn id="17" xr3:uid="{33783047-49A7-4AEB-A819-18FD8B4C3EB0}" name="25" dataDxfId="566"/>
    <tableColumn id="18" xr3:uid="{D891BF89-312B-478D-A8B9-6D82F0A70842}" name="26" dataDxfId="565"/>
    <tableColumn id="19" xr3:uid="{232BD853-44FC-48C8-AFB4-C07E5CBCEA53}" name="27" dataDxfId="564"/>
    <tableColumn id="20" xr3:uid="{157EE5F8-1985-467A-AE87-A8897655466C}" name="28" dataDxfId="563"/>
    <tableColumn id="21" xr3:uid="{8EF6376E-37C8-438D-B25F-D35D0FEFD191}" name="29" dataDxfId="562"/>
    <tableColumn id="22" xr3:uid="{16CA97CE-83EE-4DFA-8C7A-7F422EBE0260}" name="30" dataDxfId="561"/>
    <tableColumn id="23" xr3:uid="{591708FB-0C7F-4621-A89C-182C3BBBC0E0}" name="31" dataDxfId="56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stock" displayName="stock" ref="A1:K1512" tableType="queryTable" totalsRowShown="0">
  <autoFilter ref="A1:K1512" xr:uid="{00000000-0009-0000-0100-000009000000}">
    <filterColumn colId="7">
      <filters>
        <filter val="19-12.5-3.25-CEW-CEW"/>
      </filters>
    </filterColumn>
    <filterColumn colId="10">
      <filters>
        <filter val="LL"/>
      </filters>
    </filterColumn>
  </autoFilter>
  <tableColumns count="11">
    <tableColumn id="1" xr3:uid="{00000000-0010-0000-0600-000001000000}" uniqueName="1" name="Material" queryTableFieldId="1"/>
    <tableColumn id="2" xr3:uid="{00000000-0010-0000-0600-000002000000}" uniqueName="2" name="Material Description" queryTableFieldId="2"/>
    <tableColumn id="6" xr3:uid="{00000000-0010-0000-0600-000006000000}" uniqueName="6" name="MT" queryTableFieldId="6"/>
    <tableColumn id="9" xr3:uid="{00000000-0010-0000-0600-000009000000}" uniqueName="9" name="Plant" queryTableFieldId="9"/>
    <tableColumn id="5" xr3:uid="{00000000-0010-0000-0600-000005000000}" uniqueName="5" name="CUSTOMER NAME" queryTableFieldId="24"/>
    <tableColumn id="20" xr3:uid="{00000000-0010-0000-0600-000014000000}" uniqueName="20" name="Index" queryTableFieldId="20"/>
    <tableColumn id="18" xr3:uid="{00000000-0010-0000-0600-000012000000}" uniqueName="18" name="OEM" queryTableFieldId="18" dataDxfId="559"/>
    <tableColumn id="19" xr3:uid="{00000000-0010-0000-0600-000013000000}" uniqueName="19" name="Bucket" queryTableFieldId="19" dataDxfId="558"/>
    <tableColumn id="7" xr3:uid="{00000000-0010-0000-0600-000007000000}" uniqueName="7" name="CTL Bucket" queryTableFieldId="26"/>
    <tableColumn id="3" xr3:uid="{00000000-0010-0000-0600-000003000000}" uniqueName="3" name="Length" queryTableFieldId="22"/>
    <tableColumn id="4" xr3:uid="{00000000-0010-0000-0600-000004000000}" uniqueName="4" name="LL or CTL" queryTableFieldId="2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C000000}" name="salesforecast" displayName="salesforecast" ref="A2:AS114" totalsRowShown="0">
  <autoFilter ref="A2:AS114" xr:uid="{00000000-0009-0000-0100-000002000000}"/>
  <tableColumns count="45">
    <tableColumn id="1" xr3:uid="{00000000-0010-0000-0C00-000001000000}" name="ACTUAL OD"/>
    <tableColumn id="2" xr3:uid="{00000000-0010-0000-0C00-000002000000}" name="OD"/>
    <tableColumn id="3" xr3:uid="{00000000-0010-0000-0C00-000003000000}" name="ID"/>
    <tableColumn id="4" xr3:uid="{00000000-0010-0000-0C00-000004000000}" name="TICKNESS"/>
    <tableColumn id="5" xr3:uid="{00000000-0010-0000-0C00-000005000000}" name="GRADE"/>
    <tableColumn id="6" xr3:uid="{00000000-0010-0000-0C00-000006000000}" name="FC/NFC"/>
    <tableColumn id="7" xr3:uid="{00000000-0010-0000-0C00-000007000000}" name="HR/CR"/>
    <tableColumn id="20" xr3:uid="{00000000-0010-0000-0C00-000014000000}" name="Bucket"/>
    <tableColumn id="8" xr3:uid="{00000000-0010-0000-0C00-000008000000}" name="July Schedule" dataDxfId="557">
      <calculatedColumnFormula>SUMIFS(scheduleapr[SCHEDULE IN MT],scheduleapr[Bucket],salesforecast[[#This Row],[Bucket]])</calculatedColumnFormula>
    </tableColumn>
    <tableColumn id="9" xr3:uid="{00000000-0010-0000-0C00-000009000000}" name="LL Material Code"/>
    <tableColumn id="18" xr3:uid="{00000000-0010-0000-0C00-000012000000}" name="count error">
      <calculatedColumnFormula>COUNTIF('helper sheet'!$A$1:$A$33,salesforecast[[#This Row],[LL Material Code]])</calculatedColumnFormula>
    </tableColumn>
    <tableColumn id="19" xr3:uid="{00000000-0010-0000-0C00-000013000000}" name="Correct Code"/>
    <tableColumn id="21" xr3:uid="{00000000-0010-0000-0C00-000015000000}" name="Column2"/>
    <tableColumn id="10" xr3:uid="{00000000-0010-0000-0C00-00000A000000}" name="Material Description"/>
    <tableColumn id="17" xr3:uid="{00000000-0010-0000-0C00-000011000000}" name="HR/CR Check"/>
    <tableColumn id="11" xr3:uid="{00000000-0010-0000-0C00-00000B000000}" name="Plant"/>
    <tableColumn id="12" xr3:uid="{00000000-0010-0000-0C00-00000C000000}" name="FY25 Min"/>
    <tableColumn id="13" xr3:uid="{00000000-0010-0000-0C00-00000D000000}" name="FY25 Max"/>
    <tableColumn id="14" xr3:uid="{00000000-0010-0000-0C00-00000E000000}" name="FY25 Average"/>
    <tableColumn id="15" xr3:uid="{00000000-0010-0000-0C00-00000F000000}" name="Forecast" dataDxfId="556">
      <calculatedColumnFormula>ROUNDUP(MAX(salesforecast[[#This Row],[FY25 Average]],salesforecast[[#This Row],[July Schedule]]),0)</calculatedColumnFormula>
    </tableColumn>
    <tableColumn id="16" xr3:uid="{00000000-0010-0000-0C00-000010000000}" name="Difference">
      <calculatedColumnFormula>salesforecast[[#This Row],[Forecast]]-salesforecast[[#This Row],[July Schedule]]</calculatedColumnFormula>
    </tableColumn>
    <tableColumn id="22" xr3:uid="{00000000-0010-0000-0C00-000016000000}" name="Plant2">
      <calculatedColumnFormula>salesforecast[[#This Row],[Plant]]</calculatedColumnFormula>
    </tableColumn>
    <tableColumn id="30" xr3:uid="{00000000-0010-0000-0C00-00001E000000}" name="Customer" dataDxfId="555">
      <calculatedColumnFormula array="1">_xlfn.TEXTJOIN("|",TRUE,(_xlfn.UNIQUE(_xlfn._xlws.FILTER(scheduleapr[CUSTOMER NAME],scheduleapr[Bucket]=salesforecast[[#This Row],[Bucket]]))))</calculatedColumnFormula>
    </tableColumn>
    <tableColumn id="31" xr3:uid="{00000000-0010-0000-0C00-00001F000000}" name="CTL Size" dataDxfId="554">
      <calculatedColumnFormula array="1">_xlfn.TEXTJOIN("|",TRUE,(_xlfn.UNIQUE(_xlfn._xlws.SORT(_xlfn._xlws.FILTER(scheduleapr[LENGTH],scheduleapr[Bucket]=salesforecast[[#This Row],[Bucket]])))))</calculatedColumnFormula>
    </tableColumn>
    <tableColumn id="39" xr3:uid="{7B043166-1052-4368-8472-177C9FF24411}" name="CTL Codes" dataDxfId="553"/>
    <tableColumn id="33" xr3:uid="{00000000-0010-0000-0C00-000021000000}" name="Bucket2">
      <calculatedColumnFormula>salesforecast[[#This Row],[Bucket]]</calculatedColumnFormula>
    </tableColumn>
    <tableColumn id="28" xr3:uid="{00000000-0010-0000-0C00-00001C000000}" name="Schedule">
      <calculatedColumnFormula>salesforecast[[#This Row],[July Schedule]]</calculatedColumnFormula>
    </tableColumn>
    <tableColumn id="23" xr3:uid="{00000000-0010-0000-0C00-000017000000}" name="Sales">
      <calculatedColumnFormula>SUMIF(salesTVS[buckets.Bucket],salesforecast[[#This Row],[Bucket]],salesTVS[Quantity])/1000</calculatedColumnFormula>
    </tableColumn>
    <tableColumn id="27" xr3:uid="{00000000-0010-0000-0C00-00001B000000}" name="Stock CTL" dataDxfId="552">
      <calculatedColumnFormula>SUMIFS(stock[MT],stock[Bucket],salesforecast[[#This Row],[Bucket]],stock[LL or CTL],"CTL")</calculatedColumnFormula>
    </tableColumn>
    <tableColumn id="24" xr3:uid="{00000000-0010-0000-0C00-000018000000}" name="Stock LL" dataDxfId="551">
      <calculatedColumnFormula>SUMIF(stock[Bucket],salesforecast[[#This Row],[Bucket]],stock[MT])</calculatedColumnFormula>
    </tableColumn>
    <tableColumn id="32" xr3:uid="{00000000-0010-0000-0C00-000020000000}" name="Stock LL Check" dataDxfId="550"/>
    <tableColumn id="25" xr3:uid="{00000000-0010-0000-0C00-000019000000}" name="WIP">
      <calculatedColumnFormula>SUMIF(wip[Bucket],salesforecast[[#This Row],[Bucket]],wip[Stock(Net Wt)])/1000</calculatedColumnFormula>
    </tableColumn>
    <tableColumn id="38" xr3:uid="{00000000-0010-0000-0C00-000026000000}" name="WIP Check" dataDxfId="549"/>
    <tableColumn id="41" xr3:uid="{32E668FE-AB4F-4612-AF57-3656A62BAA81}" name="Khopoli Stock LL" dataDxfId="548">
      <calculatedColumnFormula>SUMIFS(stock[MT],stock[Bucket],salesforecast[[#This Row],[Bucket2]],stock[Plant],"0788")</calculatedColumnFormula>
    </tableColumn>
    <tableColumn id="26" xr3:uid="{00000000-0010-0000-0C00-00001A000000}" name="Coverage Days">
      <calculatedColumnFormula>((salesforecast[[#This Row],[WIP]]+salesforecast[[#This Row],[Stock LL]]))/salesforecast[[#This Row],[July Schedule]]*30</calculatedColumnFormula>
    </tableColumn>
    <tableColumn id="46" xr3:uid="{D3803E93-D381-4135-BE78-DA5CF488F719}" name="Coverage without WIP" dataDxfId="547">
      <calculatedColumnFormula>salesforecast[[#This Row],[Stock LL]]/salesforecast[[#This Row],[Schedule]]*30</calculatedColumnFormula>
    </tableColumn>
    <tableColumn id="40" xr3:uid="{53D88B67-C81A-4E89-9713-C814D86887EA}" name="0789 LL Stock" dataDxfId="546">
      <calculatedColumnFormula>SUMIFS(stock[MT],stock[Bucket],salesforecast[[#This Row],[Bucket2]],stock[Plant],"0789",stock[LL or CTL],"LL")</calculatedColumnFormula>
    </tableColumn>
    <tableColumn id="36" xr3:uid="{C3A01854-E3D6-45B6-A2F9-3587A036DFF4}" name="Scehdule - Sales" dataCellStyle="Percent">
      <calculatedColumnFormula>(salesforecast[[#This Row],[Sales]])/salesforecast[[#This Row],[Schedule]]</calculatedColumnFormula>
    </tableColumn>
    <tableColumn id="29" xr3:uid="{00000000-0010-0000-0C00-00001D000000}" name="Stock Khopoli" dataDxfId="545">
      <calculatedColumnFormula>SUMIFS(stock[MT],stock[Plant],salesforecast[[#This Row],[Plant]],stock[LL or CTL],"LL",stock[Bucket],salesforecast[[#This Row],[Bucket]])</calculatedColumnFormula>
    </tableColumn>
    <tableColumn id="34" xr3:uid="{00000000-0010-0000-0C00-000022000000}" name="Rajsriya Schedule" dataDxfId="544">
      <calculatedColumnFormula>SUMIFS(scheduleapr[SCHEDULE IN MT],scheduleapr[CUSTOMER NAME],"*Rajsriya*",scheduleapr[Bucket],salesforecast[[#This Row],[Bucket]])</calculatedColumnFormula>
    </tableColumn>
    <tableColumn id="35" xr3:uid="{00000000-0010-0000-0C00-000023000000}" name="Rajsriya Sales" dataDxfId="543">
      <calculatedColumnFormula>SUMIFS(salesTVS[Quantity],salesTVS[CUSTOMER  NAME],"*RAJSRIYA*",salesTVS[buckets.Bucket],salesforecast[[#This Row],[Bucket]])/1000</calculatedColumnFormula>
    </tableColumn>
    <tableColumn id="43" xr3:uid="{00000000-0010-0000-0C00-00002B000000}" name="4318 Stock" dataDxfId="542">
      <calculatedColumnFormula>SUMIFS(stock[MT],stock[Plant],4318,stock[Bucket],salesforecast[[#This Row],[Bucket2]])</calculatedColumnFormula>
    </tableColumn>
    <tableColumn id="37" xr3:uid="{F2EE3472-DE6D-4D16-92D6-B3571E59937B}" name="4731 Stock CTL" dataDxfId="541">
      <calculatedColumnFormula>SUMIFS(stock[MT],stock[Plant],4731,stock[Bucket],salesforecast[[#This Row],[Bucket2]],stock[LL or CTL],"CTL")</calculatedColumnFormula>
    </tableColumn>
    <tableColumn id="45" xr3:uid="{66DEFD19-EF12-4B17-8907-4C12D4B4C780}" name="4731 StockLL" dataDxfId="540">
      <calculatedColumnFormula>SUMIFS(stock[MT],stock[Plant],4731,stock[Bucket],salesforecast[[#This Row],[Bucket2]])</calculatedColumnFormula>
    </tableColumn>
    <tableColumn id="44" xr3:uid="{00000000-0010-0000-0C00-00002C000000}" name="8406 Stock" dataDxfId="539">
      <calculatedColumnFormula>SUMIFS(stock[MT],stock[Plant],8406,stock[Bucket],salesforecast[[#This Row],[Bucket2]])</calculatedColumnFormula>
    </tableColumn>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buckets" displayName="buckets" ref="U2:AF1539" totalsRowShown="0">
  <autoFilter ref="U2:AF1539" xr:uid="{00000000-0009-0000-0100-000003000000}"/>
  <tableColumns count="12">
    <tableColumn id="1" xr3:uid="{00000000-0010-0000-0700-000001000000}" name="Material Codes" dataDxfId="79"/>
    <tableColumn id="2" xr3:uid="{00000000-0010-0000-0700-000002000000}" name="OD"/>
    <tableColumn id="3" xr3:uid="{00000000-0010-0000-0700-000003000000}" name="ID"/>
    <tableColumn id="4" xr3:uid="{00000000-0010-0000-0700-000004000000}" name="Thickness"/>
    <tableColumn id="5" xr3:uid="{00000000-0010-0000-0700-000005000000}" name="Length"/>
    <tableColumn id="6" xr3:uid="{00000000-0010-0000-0700-000006000000}" name="Grade"/>
    <tableColumn id="7" xr3:uid="{00000000-0010-0000-0700-000007000000}" name="FC/PE"/>
    <tableColumn id="8" xr3:uid="{00000000-0010-0000-0700-000008000000}" name="Annealed"/>
    <tableColumn id="9" xr3:uid="{00000000-0010-0000-0700-000009000000}" name="Bucket"/>
    <tableColumn id="10" xr3:uid="{00000000-0010-0000-0700-00000A000000}" name="LL or CTL"/>
    <tableColumn id="11" xr3:uid="{00000000-0010-0000-0700-00000B000000}" name="CTL Bucket"/>
    <tableColumn id="12" xr3:uid="{00000000-0010-0000-0700-00000C000000}" name="kG/nos">
      <calculatedColumnFormula>IF([4]!buckets[[#This Row],[LL or CTL]]="LL",(3.14*([4]!buckets[[#This Row],[OD]]-[4]!buckets[[#This Row],[Thickness]])*[4]!buckets[[#This Row],[Thickness]]*1000*7.85)/1000000,(3.14*([4]!buckets[[#This Row],[OD]]-[4]!buckets[[#This Row],[Thickness]])*[4]!buckets[[#This Row],[Thickness]]*[4]!buckets[[#This Row],[Length]]*1000*7.85)/1000000)</calculatedColumnFormula>
    </tableColumn>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e8" displayName="Table8" ref="AJ2:AT6" totalsRowShown="0" headerRowDxfId="538" dataDxfId="537">
  <autoFilter ref="AJ2:AT6" xr:uid="{00000000-0009-0000-0100-000008000000}"/>
  <tableColumns count="11">
    <tableColumn id="1" xr3:uid="{00000000-0010-0000-0800-000001000000}" name="Material Codes"/>
    <tableColumn id="2" xr3:uid="{00000000-0010-0000-0800-000002000000}" name="OD" dataDxfId="536"/>
    <tableColumn id="3" xr3:uid="{00000000-0010-0000-0800-000003000000}" name="ID" dataDxfId="535"/>
    <tableColumn id="4" xr3:uid="{00000000-0010-0000-0800-000004000000}" name="Thickness" dataDxfId="534"/>
    <tableColumn id="5" xr3:uid="{00000000-0010-0000-0800-000005000000}" name="Length" dataDxfId="533"/>
    <tableColumn id="6" xr3:uid="{00000000-0010-0000-0800-000006000000}" name="Grade" dataDxfId="532"/>
    <tableColumn id="7" xr3:uid="{00000000-0010-0000-0800-000007000000}" name="FC/PE" dataDxfId="531"/>
    <tableColumn id="8" xr3:uid="{00000000-0010-0000-0800-000008000000}" name="Annealed" dataDxfId="530"/>
    <tableColumn id="9" xr3:uid="{00000000-0010-0000-0800-000009000000}" name="Bucket" dataDxfId="529"/>
    <tableColumn id="10" xr3:uid="{00000000-0010-0000-0800-00000A000000}" name="LL or CTL">
      <calculatedColumnFormula array="1">_xlfn.IFS(buckets[[#This Row],[Length]]=0,"LL",buckets[[#This Row],[Length]]&lt;=3,"CTL",buckets[[#This Row],[Length]]&gt;3,"LL")</calculatedColumnFormula>
    </tableColumn>
    <tableColumn id="11" xr3:uid="{00000000-0010-0000-0800-00000B000000}" name="CTL Bucket" dataDxfId="528">
      <calculatedColumnFormula>_xlfn.CONCAT(buckets[[#This Row],[Bucket]],"-",buckets[[#This Row],[Length]])</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wip" displayName="wip" ref="A1:N415" tableType="queryTable" totalsRowShown="0">
  <autoFilter ref="A1:N415" xr:uid="{00000000-0009-0000-0100-000006000000}">
    <filterColumn colId="7">
      <filters>
        <filter val="000000000111001994"/>
      </filters>
    </filterColumn>
  </autoFilter>
  <tableColumns count="14">
    <tableColumn id="1" xr3:uid="{00000000-0010-0000-0B00-000001000000}" uniqueName="1" name="Status Desc" queryTableFieldId="1"/>
    <tableColumn id="13" xr3:uid="{00000000-0010-0000-0B00-00000D000000}" uniqueName="13" name="Stock(Net Wt)" queryTableFieldId="13"/>
    <tableColumn id="2" xr3:uid="{00000000-0010-0000-0B00-000002000000}" uniqueName="2" name="Customer Name" queryTableFieldId="2"/>
    <tableColumn id="3" xr3:uid="{00000000-0010-0000-0B00-000003000000}" uniqueName="3" name="Order Thickness" queryTableFieldId="3"/>
    <tableColumn id="4" xr3:uid="{00000000-0010-0000-0B00-000004000000}" uniqueName="4" name="Order Odia" queryTableFieldId="4"/>
    <tableColumn id="5" xr3:uid="{00000000-0010-0000-0B00-000005000000}" uniqueName="5" name="Order Idia" queryTableFieldId="5"/>
    <tableColumn id="6" xr3:uid="{00000000-0010-0000-0B00-000006000000}" uniqueName="6" name="Order Length" queryTableFieldId="6"/>
    <tableColumn id="7" xr3:uid="{00000000-0010-0000-0B00-000007000000}" uniqueName="7" name="WIP Material No." queryTableFieldId="7"/>
    <tableColumn id="8" xr3:uid="{00000000-0010-0000-0B00-000008000000}" uniqueName="8" name="WIP Material Desc" queryTableFieldId="8"/>
    <tableColumn id="9" xr3:uid="{00000000-0010-0000-0B00-000009000000}" uniqueName="9" name="FG Material No." queryTableFieldId="9" dataDxfId="527"/>
    <tableColumn id="10" xr3:uid="{00000000-0010-0000-0B00-00000A000000}" uniqueName="10" name="FG Material Desc." queryTableFieldId="10"/>
    <tableColumn id="11" xr3:uid="{00000000-0010-0000-0B00-00000B000000}" uniqueName="11" name="OEM" queryTableFieldId="11" dataDxfId="526"/>
    <tableColumn id="12" xr3:uid="{00000000-0010-0000-0B00-00000C000000}" uniqueName="12" name="Bucket" queryTableFieldId="12" dataDxfId="525"/>
    <tableColumn id="14" xr3:uid="{00000000-0010-0000-0B00-00000E000000}" uniqueName="14" name="CTL Bucket" queryTableFieldId="1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7CE3655-D861-4558-8278-3E60E07ECDC5}" name="Table23" displayName="Table23" ref="A83:H130" totalsRowShown="0" headerRowDxfId="524" dataDxfId="522" headerRowBorderDxfId="523" tableBorderDxfId="521" totalsRowBorderDxfId="520">
  <autoFilter ref="A83:H130" xr:uid="{D7CE3655-D861-4558-8278-3E60E07ECDC5}"/>
  <sortState xmlns:xlrd2="http://schemas.microsoft.com/office/spreadsheetml/2017/richdata2" ref="A84:G130">
    <sortCondition ref="A83:A130"/>
  </sortState>
  <tableColumns count="8">
    <tableColumn id="1" xr3:uid="{B4FFA0E1-1056-4CEA-B16B-3BE7E7063EA5}" name="Plant" dataDxfId="519"/>
    <tableColumn id="2" xr3:uid="{2B35DB5D-CED1-44EA-80AB-C9882358A554}" name="Customer" dataDxfId="518"/>
    <tableColumn id="3" xr3:uid="{889FBBB0-EA53-4731-A9E1-AB49B1BFC06F}" name="CTL Size" dataDxfId="517"/>
    <tableColumn id="4" xr3:uid="{149C6F85-FF5C-48A9-98CF-EEB3508C9291}" name="Bucket2" dataDxfId="516"/>
    <tableColumn id="5" xr3:uid="{2747D845-2AC8-43CC-ADFF-8B5D982BF6C2}" name="Schedule" dataDxfId="515"/>
    <tableColumn id="6" xr3:uid="{98772E5E-0258-4DD9-862C-8A8960BC4C89}" name="Sales" dataDxfId="514"/>
    <tableColumn id="7" xr3:uid="{1DB368F3-8EB2-4CD8-8C0C-CCA9D45BA389}" name="Scehdule - Sales" dataDxfId="513"/>
    <tableColumn id="8" xr3:uid="{793C8CD6-BF97-4DFC-8A61-B5F31920BE75}" name="Remarks" dataDxfId="51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BF69600-88AC-4ACA-9016-32E4C8D24B31}" name="Table33" displayName="Table33" ref="A161:G196" totalsRowShown="0" headerRowDxfId="511">
  <autoFilter ref="A161:G196" xr:uid="{4BF69600-88AC-4ACA-9016-32E4C8D24B31}"/>
  <tableColumns count="7">
    <tableColumn id="1" xr3:uid="{F9FDA1FF-654B-4DE2-B395-2AC12BDEA0D0}" name="Customer" dataDxfId="510"/>
    <tableColumn id="2" xr3:uid="{045A1739-F216-42F1-9971-D467641443DA}" name="CTL Size" dataDxfId="509"/>
    <tableColumn id="3" xr3:uid="{2B94BD0C-93BA-401B-92B7-4F8340C09CDC}" name="Bucket2"/>
    <tableColumn id="4" xr3:uid="{B32EB2B2-C607-46D3-8345-57B21DBCA9DA}" name="Balance schedule TSL"/>
    <tableColumn id="5" xr3:uid="{9D99A145-9440-4929-8417-70DDCE7A9C0B}" name="Stock TSL"/>
    <tableColumn id="6" xr3:uid="{2FB018F4-55AF-43FC-8E78-3CCFFECE23B7}" name="GAP TSL"/>
    <tableColumn id="7" xr3:uid="{E8B7AF5A-A40C-4575-8253-11F3F1B6B080}" name="Remark" dataDxfId="50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5B7EADF-E4FD-4573-9BE8-70296F04B086}" name="Table34" displayName="Table34" ref="A210:O215" totalsRowShown="0" headerRowDxfId="507" dataDxfId="506" tableBorderDxfId="505">
  <autoFilter ref="A210:O215" xr:uid="{15B7EADF-E4FD-4573-9BE8-70296F04B086}"/>
  <tableColumns count="15">
    <tableColumn id="1" xr3:uid="{92891BE4-D78F-44CF-B09E-DBF432C3492A}" name="O D" dataDxfId="504"/>
    <tableColumn id="2" xr3:uid="{F026FF54-E080-4136-AA33-243B3CD38A73}" name="Thk." dataDxfId="503"/>
    <tableColumn id="3" xr3:uid="{65E81979-B5FA-4D8C-9A5C-7EA3FC04F1D4}" name="Length" dataDxfId="502"/>
    <tableColumn id="4" xr3:uid="{55565AF3-6F09-41BC-AEC9-CA4A784C2FE6}" name="Wt/Len" dataDxfId="501"/>
    <tableColumn id="5" xr3:uid="{E78EC9A0-8B4F-4BB3-B6E8-0B2EC0E2A13C}" name="key" dataDxfId="500"/>
    <tableColumn id="6" xr3:uid="{2D6A9457-8FE9-4852-8C13-10F4D5F05834}" name="Grade" dataDxfId="499"/>
    <tableColumn id="7" xr3:uid="{7E272314-FAE2-467F-8478-027DF7A46049}" name="FC/NFC" dataDxfId="498"/>
    <tableColumn id="8" xr3:uid="{85976601-1F28-433D-95DD-5FB31EF924A4}" name="HR/CR" dataDxfId="497"/>
    <tableColumn id="9" xr3:uid="{762233CD-003A-4CE1-B957-6E1EA6813957}" name="NOS" dataDxfId="496"/>
    <tableColumn id="10" xr3:uid="{BA55E180-7027-4D6D-9D63-24DF07C3A3DF}" name="Schedule" dataDxfId="495"/>
    <tableColumn id="11" xr3:uid="{36F00478-0C69-42F6-8073-0AE45D603175}" name="Sales" dataDxfId="494"/>
    <tableColumn id="12" xr3:uid="{1C045062-2AD2-4B33-B47A-34E54CA3F1EA}" name="Stock" dataDxfId="493"/>
    <tableColumn id="13" xr3:uid="{040C78C8-71B2-43D5-9631-200B72FD1CDB}" name="In Transit" dataDxfId="492"/>
    <tableColumn id="14" xr3:uid="{DC710852-5D7A-46B9-B76F-188C92A36C87}" name="GAP" dataDxfId="491">
      <calculatedColumnFormula>J211-K211-L211</calculatedColumnFormula>
    </tableColumn>
    <tableColumn id="15" xr3:uid="{421F9A06-F40C-461F-ACF6-DBBFEE1839E7}" name="Remark"/>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DA838D4-CB97-4DA1-BE31-6B68E31089AC}" name="salesALL" displayName="salesALL" ref="A1:H3538" tableType="queryTable" totalsRowShown="0">
  <autoFilter ref="A1:H3538" xr:uid="{5DA838D4-CB97-4DA1-BE31-6B68E31089AC}"/>
  <tableColumns count="8">
    <tableColumn id="1" xr3:uid="{C5331702-ECFD-404D-8303-3A3D2DACA607}" uniqueName="1" name="CUSTOMER  CD" queryTableFieldId="1"/>
    <tableColumn id="2" xr3:uid="{BD002771-A11E-4829-AF51-884E7AB06D73}" uniqueName="2" name="CUSTOMER  NAME" queryTableFieldId="2"/>
    <tableColumn id="3" xr3:uid="{259BE458-26A9-4473-A088-BCF3583D9713}" uniqueName="3" name="SALES  UNIT" queryTableFieldId="3"/>
    <tableColumn id="4" xr3:uid="{097C807A-C9DB-4FB3-AEFE-4E730AE0E685}" uniqueName="4" name="qty in no" queryTableFieldId="4"/>
    <tableColumn id="5" xr3:uid="{87839EA1-D053-4F69-9391-AEBA6984E41D}" uniqueName="5" name="Domain for z_qty_meter" queryTableFieldId="5"/>
    <tableColumn id="6" xr3:uid="{696A75F2-ED59-4AA4-9747-B7D2FDC93E10}" uniqueName="6" name="Quantity" queryTableFieldId="6"/>
    <tableColumn id="7" xr3:uid="{5B2CFB42-5D9E-4D73-9077-49D33558A83F}" uniqueName="7" name="MATERAIL NUMBER" queryTableFieldId="7"/>
    <tableColumn id="8" xr3:uid="{E6B26405-7B1C-4616-A923-46B31E6E8BA7}" uniqueName="8" name="Material   Description" queryTableFieldId="8"/>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482B94F-6252-4203-822E-DBC3321EC161}" name="chamfering" displayName="chamfering" ref="A1:R31" totalsRowCount="1" headerRowBorderDxfId="490" tableBorderDxfId="489" totalsRowBorderDxfId="488">
  <autoFilter ref="A1:R30" xr:uid="{7482B94F-6252-4203-822E-DBC3321EC161}"/>
  <tableColumns count="18">
    <tableColumn id="1" xr3:uid="{54894879-7BAE-45C5-81E0-B532826791D1}" name="Grade" dataDxfId="487" totalsRowDxfId="486"/>
    <tableColumn id="2" xr3:uid="{0AB49076-5C63-40AE-B3EF-BAE35C6BA082}" name="ACTUAL OD" dataDxfId="485" totalsRowDxfId="484"/>
    <tableColumn id="3" xr3:uid="{301D258D-7C52-4B27-89A6-DED7BFDEAC07}" name="OD" dataDxfId="483" totalsRowDxfId="482"/>
    <tableColumn id="4" xr3:uid="{05F56A38-EB5B-40AB-84AC-5261D586A1F1}" name="ID" dataDxfId="481" totalsRowDxfId="480"/>
    <tableColumn id="5" xr3:uid="{7A4A77DF-5CAC-405A-BC5E-878DB97FB9A3}" name="TICKNESS" dataDxfId="479" totalsRowDxfId="478"/>
    <tableColumn id="6" xr3:uid="{2814B22B-B5EA-4C2B-A285-A76E7A7A374B}" name="LENGTH" dataDxfId="477" totalsRowDxfId="476"/>
    <tableColumn id="7" xr3:uid="{5D0EEB28-112B-4B2B-AF58-04A91661730E}" name="Machine" dataDxfId="475" totalsRowDxfId="474"/>
    <tableColumn id="15" xr3:uid="{B9973B65-A090-470A-875E-D25993C36DF0}" name="CTL Bucket" dataDxfId="473" totalsRowDxfId="472"/>
    <tableColumn id="16" xr3:uid="{0BB5BEF2-957B-40B5-BBB5-EDE92C1AF801}" name="Material codes" dataDxfId="471" totalsRowDxfId="470"/>
    <tableColumn id="8" xr3:uid="{9069DFA2-BA25-4326-B67F-2E7A9BBD240C}" name="UoM" dataDxfId="469" totalsRowDxfId="468"/>
    <tableColumn id="9" xr3:uid="{7D5A6479-0E2A-4B17-B2F6-8694332B5DED}" name="SCHEDULE" totalsRowFunction="custom" dataDxfId="467" totalsRowDxfId="466">
      <totalsRowFormula>SUBTOTAL(9,K2:K30)</totalsRowFormula>
    </tableColumn>
    <tableColumn id="10" xr3:uid="{EDA21FAA-A9D9-465E-8F09-8E56EA515ECE}" name="DISPATCH" totalsRowFunction="custom" dataDxfId="465" totalsRowDxfId="464">
      <calculatedColumnFormula>SUMIFS(salesALL[qty in no],salesALL[MATERAIL NUMBER],chamfering[[#This Row],[Material codes]])</calculatedColumnFormula>
      <totalsRowFormula>SUBTOTAL(9,L2:L30)</totalsRowFormula>
    </tableColumn>
    <tableColumn id="11" xr3:uid="{410EED14-3366-4267-BCF1-97948298FA4D}" name="BAL IN NOS" totalsRowFunction="custom" dataDxfId="463" totalsRowDxfId="462">
      <calculatedColumnFormula>chamfering[[#This Row],[SCHEDULE]]-chamfering[[#This Row],[DISPATCH]]</calculatedColumnFormula>
      <totalsRowFormula>SUBTOTAL(9,M2:M30)</totalsRowFormula>
    </tableColumn>
    <tableColumn id="12" xr3:uid="{8420D569-0349-47E8-9CBD-BDBEBA62E923}" name="SCHEDULE in MT" totalsRowFunction="custom" dataDxfId="461" totalsRowDxfId="460">
      <calculatedColumnFormula>(3.14*(C2-E2)*E2*F2*7.85)/1000000*K2/1000</calculatedColumnFormula>
      <totalsRowFormula>SUBTOTAL(9,N2:N30)</totalsRowFormula>
    </tableColumn>
    <tableColumn id="13" xr3:uid="{D236E83C-6302-4C81-A4D5-E4BE69428EBE}" name="Dispached in MT" totalsRowFunction="custom" dataDxfId="459" totalsRowDxfId="458">
      <calculatedColumnFormula>(3.14*(C2-E2)*E2*F2*7.85)/1000000*L2/1000</calculatedColumnFormula>
      <totalsRowFormula>SUBTOTAL(9,O2:O30)</totalsRowFormula>
    </tableColumn>
    <tableColumn id="14" xr3:uid="{4CE43B50-42E4-4366-A1DA-36A95372F58F}" name="BAL in MT" totalsRowFunction="custom" dataDxfId="457" totalsRowDxfId="456">
      <calculatedColumnFormula>(3.14*(C2-E2)*E2*F2*7.85)/1000000*M2/1000</calculatedColumnFormula>
      <totalsRowFormula>SUBTOTAL(9,P2:P30)</totalsRowFormula>
    </tableColumn>
    <tableColumn id="17" xr3:uid="{A9509AC3-8B51-423D-80CC-09B8C58B00D4}" name="Customer" dataDxfId="455" totalsRowDxfId="454"/>
    <tableColumn id="18" xr3:uid="{C33B85AB-7EB9-44A8-B101-2DB58C3B132E}" name="Minimum Quantity Required" dataDxfId="453" totalsRowDxfId="45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B8FDCB1-4D35-4C9E-AC5B-F4E4C4A70762}" name="anglecut" displayName="anglecut" ref="A35:K49" totalsRowShown="0" headerRowBorderDxfId="451" tableBorderDxfId="450" totalsRowBorderDxfId="449">
  <autoFilter ref="A35:K49" xr:uid="{5B8FDCB1-4D35-4C9E-AC5B-F4E4C4A70762}"/>
  <tableColumns count="11">
    <tableColumn id="1" xr3:uid="{BF9316B7-BA41-41EE-82EF-CD0DCE6118A7}" name="ACTUAL OD" dataDxfId="448"/>
    <tableColumn id="2" xr3:uid="{BD2D91F7-2645-4702-93B7-B47AA11B4B2B}" name="OD" dataDxfId="447"/>
    <tableColumn id="3" xr3:uid="{115897EA-418A-425E-89B3-C9C63D1CF68B}" name="ID" dataDxfId="446"/>
    <tableColumn id="4" xr3:uid="{339245C7-B696-4AC6-8638-FC42F1E38513}" name="TICKNESS" dataDxfId="445"/>
    <tableColumn id="5" xr3:uid="{F0D9F494-7236-42E5-8830-590A7627D325}" name="LENGTH" dataDxfId="444"/>
    <tableColumn id="6" xr3:uid="{862BA6DA-59B6-4CB5-BB26-D915CE6BF64F}" name="UoM" dataDxfId="443"/>
    <tableColumn id="7" xr3:uid="{F835ADCC-6E5E-4C16-8B31-D6ED9B69CDEF}" name="CTL Buckets" dataDxfId="442"/>
    <tableColumn id="11" xr3:uid="{0CD5C823-DAA5-4A54-A4A3-DAE6AA4D5068}" name="Material Codes" dataDxfId="441"/>
    <tableColumn id="8" xr3:uid="{D29E73CA-DF11-4A8D-B05E-47611AD899C6}" name="SCHEDULE" dataDxfId="440"/>
    <tableColumn id="9" xr3:uid="{D06962B0-6927-4FCC-AEFE-DEE175DE181E}" name="DISPATCH" dataDxfId="439">
      <calculatedColumnFormula array="1">SUM(_xlfn.MAP(_xlfn.TEXTSPLIT(anglecut[[#This Row],[Material Codes]],"|"),_xlfn.LAMBDA(_xlpm.a,SUMIFS(salesALL[qty in no],salesALL[MATERAIL NUMBER],_xlpm.a))))</calculatedColumnFormula>
    </tableColumn>
    <tableColumn id="10" xr3:uid="{AD8D8C5E-9E5B-4E43-8A31-5B3D6A4D1C6B}" name="BAL IN NOS" dataDxfId="438"/>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78A4AE0-B56B-41A1-9F56-CDA7415F9E66}" name="Table25" displayName="Table25" ref="A1:AG68" totalsRowShown="0" dataDxfId="436" headerRowBorderDxfId="437" tableBorderDxfId="435">
  <autoFilter ref="A1:AG68" xr:uid="{778A4AE0-B56B-41A1-9F56-CDA7415F9E66}"/>
  <tableColumns count="33">
    <tableColumn id="1" xr3:uid="{1072F4B1-DC5D-442A-9D89-3209CCA568D1}" name="OEM" dataDxfId="434"/>
    <tableColumn id="2" xr3:uid="{1FE5CAED-F755-4CD1-A8E8-5E3EBE612191}" name="Customer" dataDxfId="433"/>
    <tableColumn id="3" xr3:uid="{C8C88F89-C8FF-4587-91AC-149B0BEE9EF8}" name="Metallurgy condition"/>
    <tableColumn id="4" xr3:uid="{9ADDB977-FC04-44AA-9979-FF4AC688293F}" name="Material Type" dataDxfId="432"/>
    <tableColumn id="5" xr3:uid="{9D936631-4F1E-48A7-9596-A3DC0C463B26}" name="GRADE" dataDxfId="431"/>
    <tableColumn id="6" xr3:uid="{1EEFDC2D-2E99-4442-A339-3E0CBE9F6B8E}" name="OD" dataDxfId="430"/>
    <tableColumn id="7" xr3:uid="{6342E7A7-95B0-4714-A662-1499D31F9080}" name="ID" dataDxfId="429"/>
    <tableColumn id="8" xr3:uid="{37130552-F22A-4473-A291-AC7176BFC6BA}" name="THK" dataDxfId="428"/>
    <tableColumn id="9" xr3:uid="{81D942B6-61EC-4C44-8FAD-A19C6D17E1C9}" name="LENGTH" dataDxfId="427"/>
    <tableColumn id="10" xr3:uid="{FB3A76A8-821A-489E-A47F-C554786ADB45}" name="Length in Mtrs" dataDxfId="426"/>
    <tableColumn id="11" xr3:uid="{12C18E28-5022-4065-852A-AC91A5EAA2B3}" name=" " dataDxfId="425">
      <calculatedColumnFormula>_xlfn.CONCAT(F2,H2,J2,E2,D2)</calculatedColumnFormula>
    </tableColumn>
    <tableColumn id="12" xr3:uid="{0BCB408A-3464-4307-968B-3E132B0CF44C}" name="Bucket" dataDxfId="424">
      <calculatedColumnFormula>VLOOKUP(K2,'VSM May Indent'!$K$1:$O$61,4,0)</calculatedColumnFormula>
    </tableColumn>
    <tableColumn id="13" xr3:uid="{B5D8C707-DBF5-417E-8B32-274D47D4C5DE}" name="Bucket CTL" dataDxfId="423">
      <calculatedColumnFormula>VLOOKUP(K2,'VSM May Indent'!$K$1:$O$61,5,0)</calculatedColumnFormula>
    </tableColumn>
    <tableColumn id="14" xr3:uid="{D8C95C66-B085-479E-B66E-B5CBE24F8516}" name="plant" dataDxfId="422"/>
    <tableColumn id="15" xr3:uid="{37666AFD-7D43-43B7-8A52-DE2F26C8FEBE}" name="TSL Material Code" dataDxfId="421"/>
    <tableColumn id="16" xr3:uid="{C14DE13C-9D5E-4A54-A4EA-CCD9031DAA6F}" name="SCH jun- 25" dataDxfId="420"/>
    <tableColumn id="17" xr3:uid="{A4053254-9A46-4567-8A1C-9AB4600CAE69}" name="BALANCE TO BE SUPPLY" dataDxfId="419"/>
    <tableColumn id="18" xr3:uid="{705CEBC0-F3DE-4CC7-B43A-3CE728C9A9E2}" name="Stock     22-05-25" dataDxfId="418"/>
    <tableColumn id="19" xr3:uid="{A866C38A-1B22-4F27-97ED-156F4AC41991}" name="intransist " dataDxfId="417"/>
    <tableColumn id="20" xr3:uid="{CA55CDE7-2D4B-48E6-9106-A7A0A86CAE7D}" name="OPENIG STOCK FOR jun-2025" dataDxfId="416">
      <calculatedColumnFormula>R2-Q2</calculatedColumnFormula>
    </tableColumn>
    <tableColumn id="21" xr3:uid="{585EEC8F-39B7-4796-B1DD-6DABBF8ED949}" name="order logg " dataDxfId="415"/>
    <tableColumn id="22" xr3:uid="{8C30BF70-60F1-4C2A-BFC0-910DE88D42CA}" name="Opening stock including order logger" dataDxfId="414">
      <calculatedColumnFormula>U2+T2+S2</calculatedColumnFormula>
    </tableColumn>
    <tableColumn id="23" xr3:uid="{A0C8203D-E2E0-4B2D-AAD4-EFFB3ABE6D17}" name="    INDENT  FOR jun-25 as per VSM" dataDxfId="413">
      <calculatedColumnFormula>P2*1.1-V2</calculatedColumnFormula>
    </tableColumn>
    <tableColumn id="24" xr3:uid="{C3087604-042F-4DD0-8F76-A7DB4B63AA9A}" name=" INDENT  FOR jun-25 recommended" dataDxfId="412">
      <calculatedColumnFormula>IF(W2&gt;0,W2,0)</calculatedColumnFormula>
    </tableColumn>
    <tableColumn id="25" xr3:uid="{92DA4E52-ED10-46E2-B410-D50300F1AE33}" name="Total Order Log" dataDxfId="411">
      <calculatedColumnFormula>X2+U2</calculatedColumnFormula>
    </tableColumn>
    <tableColumn id="26" xr3:uid="{429913F4-4DD2-454F-A6FC-52402EC1E24B}" name="Before 20th" dataDxfId="410">
      <calculatedColumnFormula>SUMIFS(meghsteelsales_previousmonth[Quantity],meghsteelsales_previousmonth[Length Bucket],M2)/1000</calculatedColumnFormula>
    </tableColumn>
    <tableColumn id="27" xr3:uid="{A2F01746-8BCA-4AA1-A543-71898E9CCEFF}" name="ofter 20th" dataDxfId="409">
      <calculatedColumnFormula>SUMIFS(meghsteelsales_currentmonth[Quantity],meghsteelsales_currentmonth[Length Bucket],M2)/1000</calculatedColumnFormula>
    </tableColumn>
    <tableColumn id="28" xr3:uid="{23E96A25-26B1-4DBA-B80C-5FB2F971DD5C}" name="Gap" dataDxfId="408">
      <calculatedColumnFormula>IF((X2-Z2-AA2)&lt;0,0,(X2-Z2-AA2))</calculatedColumnFormula>
    </tableColumn>
    <tableColumn id="29" xr3:uid="{7CE5106A-5600-4293-8B7E-6CFF73578463}" name="Pending Orders" dataDxfId="407">
      <calculatedColumnFormula>Y2-Z2-AA2</calculatedColumnFormula>
    </tableColumn>
    <tableColumn id="30" xr3:uid="{5C608BD8-886F-4E63-B5CC-677F84047AC5}" name="Order logged" dataDxfId="406"/>
    <tableColumn id="31" xr3:uid="{BFF63A3A-B8A4-4A2A-8306-619C8F804890}" name="SO Number" dataDxfId="405"/>
    <tableColumn id="32" xr3:uid="{C59F2CAB-3985-4887-BB94-475902E76968}" name="Column1" dataDxfId="404"/>
    <tableColumn id="33" xr3:uid="{DB2C48F3-14DA-4BE8-9269-5B5CC425E453}" name="Column2" dataDxfId="403"/>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03CFE96-B439-4ECB-95E5-58F4AA5F8D1E}" name="Table2527" displayName="Table2527" ref="A2:AH68" totalsRowShown="0" dataDxfId="401" headerRowBorderDxfId="402" tableBorderDxfId="400">
  <autoFilter ref="A2:AH68" xr:uid="{778A4AE0-B56B-41A1-9F56-CDA7415F9E66}"/>
  <tableColumns count="34">
    <tableColumn id="1" xr3:uid="{8953251F-6BED-43AF-A046-1E9F6345E730}" name="OEM" dataDxfId="399"/>
    <tableColumn id="2" xr3:uid="{0967BE4C-5372-40B2-82AF-AC4A2008F87D}" name="Customer" dataDxfId="398"/>
    <tableColumn id="3" xr3:uid="{F4DBD255-E315-4B41-A387-33979A5196BF}" name="Metallurgy condition"/>
    <tableColumn id="4" xr3:uid="{3B791904-1AF4-477C-9297-5CBF3C1E7721}" name="Material Type" dataDxfId="397"/>
    <tableColumn id="5" xr3:uid="{6F395BE4-0316-4FA9-B85C-327808A61E48}" name="GRADE" dataDxfId="396"/>
    <tableColumn id="6" xr3:uid="{FFF4200A-0B95-4F34-B6C5-D0C78A81958F}" name="OD" dataDxfId="395"/>
    <tableColumn id="7" xr3:uid="{DA944E17-7C9A-4AE3-AB9D-9E8837C7132A}" name="ID" dataDxfId="394"/>
    <tableColumn id="8" xr3:uid="{FA213CF6-70F4-4BA0-A587-0A5B0908B25B}" name="THK" dataDxfId="393"/>
    <tableColumn id="9" xr3:uid="{2B9252C9-92A1-4F83-8A91-D1DB0D2E2E56}" name="LENGTH" dataDxfId="392"/>
    <tableColumn id="10" xr3:uid="{2B56CD99-A58E-4559-9A03-E5C458965A0A}" name="Length in Mtrs" dataDxfId="391"/>
    <tableColumn id="11" xr3:uid="{251AD75A-D599-4C7F-AFAE-B7D9E48795A8}" name=" " dataDxfId="390">
      <calculatedColumnFormula>_xlfn.CONCAT(F3,H3,J3,E3,D3)</calculatedColumnFormula>
    </tableColumn>
    <tableColumn id="12" xr3:uid="{C61AEB72-726E-4BE9-8353-CA885A44C785}" name="Bucket" dataDxfId="389">
      <calculatedColumnFormula>VLOOKUP(K3,'VSM May Indent'!$K$1:$O$61,4,0)</calculatedColumnFormula>
    </tableColumn>
    <tableColumn id="13" xr3:uid="{A6FB04B1-783E-40E7-A1E1-65E5A0EB87EB}" name="Bucket CTL" dataDxfId="388">
      <calculatedColumnFormula>VLOOKUP(K3,'VSM May Indent'!$K$1:$O$61,5,0)</calculatedColumnFormula>
    </tableColumn>
    <tableColumn id="14" xr3:uid="{F3A372E4-5FE9-4CE1-BC4C-FFD3E07A2A9E}" name="plant" dataDxfId="387"/>
    <tableColumn id="15" xr3:uid="{14E3B8B8-21E5-4D9C-9C06-43602C390FC7}" name="TSL Material Code" dataDxfId="386"/>
    <tableColumn id="16" xr3:uid="{B22E1FE2-54CE-4036-BA24-5CE978FDD8A7}" name="SCH jun- 25" dataDxfId="385"/>
    <tableColumn id="17" xr3:uid="{4FB1D437-6A3A-46AC-88B4-E42869AA89E5}" name="BALANCE TO BE SUPPLY" dataDxfId="384">
      <calculatedColumnFormula>Table2527[[#This Row],[SCH jun- 25]]</calculatedColumnFormula>
    </tableColumn>
    <tableColumn id="18" xr3:uid="{91DE008B-A0FE-4265-9231-606BC95FDE85}" name="Stock     12-06-25" dataDxfId="383"/>
    <tableColumn id="19" xr3:uid="{967BCF00-7D3A-4651-8C25-4DC9E64590EE}" name="intransist " dataDxfId="382"/>
    <tableColumn id="20" xr3:uid="{4FFB1477-FE80-4522-8A2C-D7EABF10E81D}" name="OPENIG STOCK FOR jun-2025" dataDxfId="381">
      <calculatedColumnFormula>_xlfn.LET(_xlpm.c,Q3-Table2527[[#This Row],[Stock     12-06-25]]-Table2527[[#This Row],[intransist ]],IF(_xlpm.c&gt;0,0,-_xlpm.c))</calculatedColumnFormula>
    </tableColumn>
    <tableColumn id="21" xr3:uid="{21A9CB1D-D4E5-4D21-AF61-2D390EA814C5}" name="order logg " dataDxfId="380"/>
    <tableColumn id="22" xr3:uid="{468A0F96-53A9-4D57-81E2-A3AFAF06510C}" name="Opening stock including order logger" dataDxfId="379">
      <calculatedColumnFormula>U3+T3+S3</calculatedColumnFormula>
    </tableColumn>
    <tableColumn id="23" xr3:uid="{6705689E-F783-49DD-A57E-8CEE5015ADAB}" name="    INDENT  FOR jun-25 as per VSM" dataDxfId="378">
      <calculatedColumnFormula>_xlfn.LET(_xlpm.c,P3*1.5-V3,IF(_xlpm.c&lt;0,0,_xlpm.c))</calculatedColumnFormula>
    </tableColumn>
    <tableColumn id="24" xr3:uid="{0BDAB3D6-1CDC-4314-8645-EC1944AA32A9}" name=" INDENT  FOR jun-25 recommended" dataDxfId="377">
      <calculatedColumnFormula>Table2527[[#This Row],[    INDENT  FOR jun-25 as per VSM]]</calculatedColumnFormula>
    </tableColumn>
    <tableColumn id="25" xr3:uid="{DB0F00BC-B900-4805-9530-8ECCCCED642F}" name="Total Order Log" dataDxfId="376">
      <calculatedColumnFormula>X3+U3</calculatedColumnFormula>
    </tableColumn>
    <tableColumn id="26" xr3:uid="{AEF61C7C-32D6-4F0E-B6AC-862717E810C5}" name="Before 20th" dataDxfId="375">
      <calculatedColumnFormula>SUMIFS(meghsteelsales_previousmonth[Quantity],meghsteelsales_previousmonth[Length Bucket],M3)/1000</calculatedColumnFormula>
    </tableColumn>
    <tableColumn id="27" xr3:uid="{7BA715C8-DCDF-4C3C-90EE-97714C99317D}" name="ofter 20th" dataDxfId="374">
      <calculatedColumnFormula>SUMIFS(meghsteelsales_currentmonth[Quantity],meghsteelsales_currentmonth[Length Bucket],M3)/1000</calculatedColumnFormula>
    </tableColumn>
    <tableColumn id="28" xr3:uid="{E66D9EF6-8F08-4C11-856C-E9513631EE9C}" name="Gap" dataDxfId="373">
      <calculatedColumnFormula>IF((X3-Z3-AA3)&lt;0,0,(X3-Z3-AA3))</calculatedColumnFormula>
    </tableColumn>
    <tableColumn id="29" xr3:uid="{64089DDC-A656-48F0-A11D-9566EDAB9A30}" name="Excess Order Logged" dataDxfId="372"/>
    <tableColumn id="30" xr3:uid="{4CF3BDF9-070B-4A8B-9E23-C4EF05588D0F}" name="Order logged" dataDxfId="371"/>
    <tableColumn id="31" xr3:uid="{638F76AB-6A5E-4145-A8EF-CEA21B7525D8}" name="SO Number" dataDxfId="370"/>
    <tableColumn id="32" xr3:uid="{499E197A-CB44-45C3-B7A8-165BF425C370}" name="Column1" dataDxfId="369"/>
    <tableColumn id="33" xr3:uid="{3D8A320B-B37A-40FD-B61E-F7098DE7B4FF}" name="Column2" dataDxfId="368"/>
    <tableColumn id="34" xr3:uid="{55C87B6B-5CEA-46F0-811A-3B506C8037E2}" name="Remark" dataDxfId="367"/>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980887-1002-4D1C-8DD3-4FF96422DD02}" name="aug" displayName="aug" ref="A1:AJ68" totalsRowShown="0" headerRowDxfId="366" dataDxfId="364" headerRowBorderDxfId="365" tableBorderDxfId="363">
  <autoFilter ref="A1:AJ68" xr:uid="{FF980887-1002-4D1C-8DD3-4FF96422DD02}"/>
  <tableColumns count="36">
    <tableColumn id="1" xr3:uid="{7EA5FD97-A485-4EBC-A31C-843A0CDCBD9A}" name="OEM" dataDxfId="362"/>
    <tableColumn id="2" xr3:uid="{E7842ACA-AC3F-4B60-A86D-302EEB81A1D9}" name="Customer" dataDxfId="361"/>
    <tableColumn id="3" xr3:uid="{29CEC4EC-0E8A-45CA-BA7D-DEE1EFD70531}" name="Metallurgy condition" dataDxfId="360"/>
    <tableColumn id="4" xr3:uid="{08CCE234-B0B2-4C98-A282-222AD6E578A7}" name="Material Type" dataDxfId="359"/>
    <tableColumn id="5" xr3:uid="{E7B62AA2-B56E-42E8-82E0-9FBA2C0838DA}" name="GRADE" dataDxfId="358"/>
    <tableColumn id="6" xr3:uid="{87560CB5-5D3D-419E-AB56-5E0B421B1B85}" name="OD" dataDxfId="357"/>
    <tableColumn id="7" xr3:uid="{9C5F9A56-BC7C-4D24-8E9B-540B1C87BA14}" name="ID" dataDxfId="356"/>
    <tableColumn id="8" xr3:uid="{ADA388AB-8410-477D-8B7D-6CE55BEB18E0}" name="THK" dataDxfId="355"/>
    <tableColumn id="9" xr3:uid="{C7E9E7E6-1E6D-47A7-B1BB-C966E27EE5E3}" name="LENGTH" dataDxfId="354"/>
    <tableColumn id="10" xr3:uid="{EF031BCF-82CA-43C9-A496-A1EE78FF69A5}" name="Length in Mtrs" dataDxfId="353"/>
    <tableColumn id="11" xr3:uid="{F8480D8A-3898-48EC-966C-1B1FD61D2FD5}" name="count of " dataDxfId="352">
      <calculatedColumnFormula>COUNTIF(_xlfn.ANCHORARRAY(A$74),M2)</calculatedColumnFormula>
    </tableColumn>
    <tableColumn id="27" xr3:uid="{78A8D398-2F64-4699-87E7-D6F61C1A9820}" name="Column1" dataDxfId="351"/>
    <tableColumn id="12" xr3:uid="{178699DB-B25A-4479-AC54-7C95CEC71894}" name="Key" dataDxfId="350">
      <calculatedColumnFormula>_xlfn.CONCAT(F2,H2,J2,E2,D2)</calculatedColumnFormula>
    </tableColumn>
    <tableColumn id="29" xr3:uid="{8E7A250F-3656-4296-883D-10409BDAE0C3}" name="Bucket" dataDxfId="349">
      <calculatedColumnFormula>VLOOKUP(aug[[#This Row],[Key]],Table2527[[#All],[ ]:[Bucket CTL]],2,0)</calculatedColumnFormula>
    </tableColumn>
    <tableColumn id="28" xr3:uid="{7749EFD4-20EA-4FE7-8849-449B6E0884F7}" name="Bucket CTL" dataDxfId="348">
      <calculatedColumnFormula>VLOOKUP(aug[[#This Row],[Key]],Table2527[[#All],[ ]:[Bucket CTL]],3,0)</calculatedColumnFormula>
    </tableColumn>
    <tableColumn id="35" xr3:uid="{DA6BF595-17F8-4489-B582-A56E90AF201B}" name="Value added" dataDxfId="347"/>
    <tableColumn id="25" xr3:uid="{73ADF814-D3DB-4E99-9D9A-FE6A3887B7FE}" name="plant july" dataDxfId="346">
      <calculatedColumnFormula>VLOOKUP(aug[[#This Row],[Key]],Table2527[[#All],[ ]:[TSL Material Code]],4,0)</calculatedColumnFormula>
    </tableColumn>
    <tableColumn id="24" xr3:uid="{80624871-D5D0-4CBF-AB4D-03CEFA9EA5DE}" name="Material code july" dataDxfId="345"/>
    <tableColumn id="26" xr3:uid="{022833DB-0F07-40E7-8067-865862C4AAA4}" name="Exact" dataDxfId="344"/>
    <tableColumn id="13" xr3:uid="{A3F6209C-295C-4A77-AFED-4A214063A514}" name="plant" dataDxfId="343"/>
    <tableColumn id="14" xr3:uid="{19EAE69F-5AAE-4EC1-AF93-6BB1EF1AACCE}" name="TSL Material Code" dataDxfId="342"/>
    <tableColumn id="15" xr3:uid="{FBABCEFD-20BD-46A0-A5FD-583ACCDFEF79}" name="SCH AUG- 25" dataDxfId="341"/>
    <tableColumn id="16" xr3:uid="{7D7C3ED2-6E67-43BD-8714-1F46EE39A4D4}" name="BALANCE TO BE SUPPLY" dataDxfId="340"/>
    <tableColumn id="17" xr3:uid="{AD9A4CC8-7C80-49DD-94CB-403A62BE260D}" name="Stock     22-07-25" dataDxfId="339"/>
    <tableColumn id="18" xr3:uid="{F33FA0CE-982A-45D5-9D0D-CCAC18076982}" name="intransist " dataDxfId="338"/>
    <tableColumn id="19" xr3:uid="{85CC1990-6EB2-42B0-9B17-717F4C25A650}" name="OPENIG STOCK FOR AUG-2025" dataDxfId="337">
      <calculatedColumnFormula>X2-W2</calculatedColumnFormula>
    </tableColumn>
    <tableColumn id="20" xr3:uid="{52DC4E68-B3A8-43BD-8ED5-93996AAF3AA4}" name="order logg " dataDxfId="336"/>
    <tableColumn id="21" xr3:uid="{F7EA9B7F-3F54-4C48-8D26-BD7FE1233D9C}" name="Opening stock including order logger" dataDxfId="335">
      <calculatedColumnFormula>Z2+AA2</calculatedColumnFormula>
    </tableColumn>
    <tableColumn id="22" xr3:uid="{E97834A3-2B87-4CCC-8E2F-9DB9AE74A4AA}" name="    INDENT  FOR AUG-25 as per VSM" dataDxfId="334">
      <calculatedColumnFormula>V2-AB2</calculatedColumnFormula>
    </tableColumn>
    <tableColumn id="23" xr3:uid="{B8E75F6D-9B4C-4587-BD4F-11C28C1D27E8}" name=" INDENT  FOR AUG-25 recommended" dataDxfId="333">
      <calculatedColumnFormula>IF(AC2&gt;0,AC2,0)</calculatedColumnFormula>
    </tableColumn>
    <tableColumn id="30" xr3:uid="{BA0A6ECE-B5BD-4E9F-9A97-AB02EBDB35AB}" name="Before 20th" dataDxfId="332">
      <calculatedColumnFormula>SUMIFS(meghsteelsales_previousmonth[Quantity],meghsteelsales_previousmonth[Length Bucket],aug[[#This Row],[Bucket CTL]])/1000</calculatedColumnFormula>
    </tableColumn>
    <tableColumn id="31" xr3:uid="{6D7F4ABB-7751-4749-856F-2C2381CB4B16}" name="ofter 20th" dataDxfId="331">
      <calculatedColumnFormula>SUMIFS(meghsteelsales_currentmonth[Quantity],meghsteelsales_currentmonth[Length Bucket],aug[[#This Row],[Bucket CTL]])/1000</calculatedColumnFormula>
    </tableColumn>
    <tableColumn id="32" xr3:uid="{BA418656-1E44-4678-9C3A-713FE47FF2E7}" name="Total Indent" dataDxfId="330">
      <calculatedColumnFormula>aug[[#This Row],[order logg ]]+aug[[#This Row],[ INDENT  FOR AUG-25 recommended]]</calculatedColumnFormula>
    </tableColumn>
    <tableColumn id="33" xr3:uid="{BD6F221D-AE44-4D29-B4E5-BE3CDA0A978C}" name="Total Delivered" dataDxfId="329">
      <calculatedColumnFormula>aug[[#This Row],[Before 20th]]+aug[[#This Row],[ofter 20th]]</calculatedColumnFormula>
    </tableColumn>
    <tableColumn id="34" xr3:uid="{F73A573D-D7F0-4FF7-AFDD-D4C5AAAD5578}" name="GAP" dataDxfId="328">
      <calculatedColumnFormula>IF((aug[[#This Row],[Total Indent]]-aug[[#This Row],[Total Delivered]])&lt;0,0,aug[[#This Row],[Total Indent]]-aug[[#This Row],[Total Delivered]])</calculatedColumnFormula>
    </tableColumn>
    <tableColumn id="36" xr3:uid="{29ACF7E7-B17B-4D47-9438-5DB2916FC544}" name="Todays Stock" dataDxfId="327"/>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8C55AA-2CE6-4D9A-8830-5C474B46CFE3}" name="Table5" displayName="Table5" ref="A1:AD69" totalsRowShown="0" headerRowBorderDxfId="326" tableBorderDxfId="325" totalsRowBorderDxfId="324">
  <autoFilter ref="A1:AD69" xr:uid="{388C55AA-2CE6-4D9A-8830-5C474B46CFE3}">
    <filterColumn colId="8">
      <filters>
        <filter val="1.40"/>
      </filters>
    </filterColumn>
  </autoFilter>
  <tableColumns count="30">
    <tableColumn id="1" xr3:uid="{3CBBD72C-37BB-48AF-8D85-3454BD09F7CC}" name="OEM" dataDxfId="323"/>
    <tableColumn id="2" xr3:uid="{AF0645E2-1E22-4A21-B510-1E9E3F1653CB}" name="Customer Code" dataDxfId="322"/>
    <tableColumn id="3" xr3:uid="{978039BE-FAD5-4142-B5BE-C325B3AE2BC5}" name="Customer" dataDxfId="321"/>
    <tableColumn id="4" xr3:uid="{A0D5E136-EF85-43BC-89C4-E8485888BCB1}" name="Metallurgy condition" dataDxfId="320"/>
    <tableColumn id="5" xr3:uid="{781E0D40-5E82-4375-B858-FF7A072CC64E}" name="Material Type" dataDxfId="319"/>
    <tableColumn id="6" xr3:uid="{4504EE7C-CFBF-4960-BF4A-832C366369F7}" name="GRADE" dataDxfId="318"/>
    <tableColumn id="7" xr3:uid="{C256F5DC-2605-4C8E-B2A7-0E21835629E1}" name="OD" dataDxfId="317"/>
    <tableColumn id="8" xr3:uid="{6C8F624F-8D30-479A-A75E-62DC5B7B5321}" name="ID" dataDxfId="316"/>
    <tableColumn id="9" xr3:uid="{F397A0CA-2040-4F41-A848-AD5C4907B027}" name="THK" dataDxfId="315"/>
    <tableColumn id="10" xr3:uid="{8E84C3AB-C290-4AE9-9C70-8DEE136048E9}" name="LENGTH" dataDxfId="314"/>
    <tableColumn id="11" xr3:uid="{EF99111D-2EB1-43EC-96B0-42C6ECDF312A}" name="Length in Mtrs" dataDxfId="313"/>
    <tableColumn id="12" xr3:uid="{42090880-728F-4D3A-B6B6-DC79C99AF1AA}" name="Key" dataDxfId="312">
      <calculatedColumnFormula>_xlfn.CONCAT(G2,I2,K2,F2,E2)</calculatedColumnFormula>
    </tableColumn>
    <tableColumn id="27" xr3:uid="{5D2FE075-7895-4973-BEA4-8025D3F67C0A}" name="Bucket" dataDxfId="311">
      <calculatedColumnFormula>VLOOKUP(Table5[[#This Row],[Key]],aug[[#All],[Key]:[Bucket CTL]],2,0)</calculatedColumnFormula>
    </tableColumn>
    <tableColumn id="26" xr3:uid="{02684EF4-D2D3-42A1-BF33-70AA007285D2}" name="Bucket CTL" dataDxfId="310">
      <calculatedColumnFormula>VLOOKUP(Table5[[#This Row],[Key]],aug[[#All],[Key]:[Bucket CTL]],3,0)</calculatedColumnFormula>
    </tableColumn>
    <tableColumn id="13" xr3:uid="{803BD5A8-EA98-4871-BBA0-3CCDF7527A99}" name="plant" dataDxfId="309">
      <calculatedColumnFormula>VLOOKUP(L2,aug[[#All],[Key]:[TSL Material Code]],7,0)</calculatedColumnFormula>
    </tableColumn>
    <tableColumn id="14" xr3:uid="{C58B2507-4794-438D-AA1F-96FA99EA25BD}" name="TSL Material Code" dataDxfId="308">
      <calculatedColumnFormula>VLOOKUP(L2,aug[[#All],[Key]:[TSL Material Code]],8,0)</calculatedColumnFormula>
    </tableColumn>
    <tableColumn id="15" xr3:uid="{9FC0DC80-83EC-47AB-B445-B2BF622FE96C}" name="SCH SEP- 25" dataDxfId="307"/>
    <tableColumn id="16" xr3:uid="{DF13622B-16D9-4583-9DC4-74DD61CB7EE0}" name="BALANCE TO BE SUPPLY" dataDxfId="306"/>
    <tableColumn id="17" xr3:uid="{F420400C-54A8-430D-9A67-3DA98B72B6D8}" name="Stock     18-08-25" dataDxfId="305"/>
    <tableColumn id="18" xr3:uid="{DC4FC333-62EE-4E88-B853-78416A657C84}" name="intransist " dataDxfId="304"/>
    <tableColumn id="19" xr3:uid="{FCD670BF-9F79-4343-B27A-FF80A368F848}" name="OPENIG STOCK FOR SEP-2025" dataDxfId="303">
      <calculatedColumnFormula>S2-R2</calculatedColumnFormula>
    </tableColumn>
    <tableColumn id="20" xr3:uid="{83D0B66B-8241-4CBD-BDFF-12FDAF59BC6C}" name="order logg " dataDxfId="302"/>
    <tableColumn id="21" xr3:uid="{6E84063F-70DD-4CE3-98C0-2B5561145774}" name="Opening stock including order logger" dataDxfId="301">
      <calculatedColumnFormula>U2+V2</calculatedColumnFormula>
    </tableColumn>
    <tableColumn id="22" xr3:uid="{FECE3A06-502A-417F-9F84-BD1676C1FEEF}" name="    INDENT  FOR SEP-25 as per VSM" dataDxfId="300">
      <calculatedColumnFormula>Q2-W2</calculatedColumnFormula>
    </tableColumn>
    <tableColumn id="23" xr3:uid="{633E01D7-E6F1-4119-97F3-E4EE4AC696BF}" name=" INDENT  FOR SEP-25 recommended" dataDxfId="299">
      <calculatedColumnFormula>IF(X2&gt;0,X2,0)*150%</calculatedColumnFormula>
    </tableColumn>
    <tableColumn id="24" xr3:uid="{CF07E8B2-6DD4-4A39-AE98-9F6270EA4776}" name="Before 20th" dataDxfId="298">
      <calculatedColumnFormula>SUMIFS(meghsteelsales_previousmonth[Quantity],meghsteelsales_previousmonth[Length Bucket],Table5[[#This Row],[Bucket CTL]])/1000</calculatedColumnFormula>
    </tableColumn>
    <tableColumn id="25" xr3:uid="{D1664C2B-B084-47FC-B18B-71E76E01F77F}" name="after 20th" dataDxfId="297">
      <calculatedColumnFormula>SUMIFS(meghsteelsales_currentmonth[Quantity],meghsteelsales_currentmonth[Length Bucket],Table5[[#This Row],[Bucket CTL]])/1000</calculatedColumnFormula>
    </tableColumn>
    <tableColumn id="28" xr3:uid="{4E10E3E2-EE66-4F71-A83A-61680368B3B3}" name="Total Indent">
      <calculatedColumnFormula>Table5[[#This Row],[ INDENT  FOR SEP-25 recommended]]+Table5[[#This Row],[order logg ]]</calculatedColumnFormula>
    </tableColumn>
    <tableColumn id="29" xr3:uid="{27848C3E-E2D4-4A91-81C6-B041E1325823}" name="Total Dispatched" dataDxfId="296">
      <calculatedColumnFormula>Table5[[#This Row],[Before 20th]]+Table5[[#This Row],[after 20th]]</calculatedColumnFormula>
    </tableColumn>
    <tableColumn id="30" xr3:uid="{E3A9CB5B-4800-429A-B471-B18F7DB17668}" name="GAP" dataDxfId="295">
      <calculatedColumnFormula>IF((Table5[[#This Row],[Total Indent]]-Table5[[#This Row],[Total Dispatched]])&lt;0,0,Table5[[#This Row],[Total Indent]]-Table5[[#This Row],[Total Dispatched]])</calculatedColumnFormula>
    </tableColumn>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FF8A5F6-1C46-4955-BD54-C57BF1407DF9}" name="Table22" displayName="Table22" ref="A73:P111" headerRowDxfId="294" headerRowBorderDxfId="293" tableBorderDxfId="292" totalsRowBorderDxfId="291">
  <autoFilter ref="A73:P111" xr:uid="{FFF8A5F6-1C46-4955-BD54-C57BF1407DF9}"/>
  <tableColumns count="16">
    <tableColumn id="1" xr3:uid="{09424385-C1F4-4207-B4E1-869A777418C1}" name="plant" totalsRowLabel="789" dataDxfId="290" totalsRowDxfId="289"/>
    <tableColumn id="2" xr3:uid="{7EB48903-6745-4CC0-BE9A-55B055E528E6}" name="OEM" totalsRowLabel="TVS" dataDxfId="288" totalsRowDxfId="287"/>
    <tableColumn id="3" xr3:uid="{7F882CC4-B610-4C7D-88CB-53E2E8A8AF8D}" name="Customer Code" totalsRowLabel="943209" dataDxfId="286" totalsRowDxfId="285"/>
    <tableColumn id="4" xr3:uid="{0AD56F38-0FA8-430A-877E-AE9F7D43C5C5}" name="OD" totalsRowLabel="40x25" dataDxfId="284" totalsRowDxfId="283"/>
    <tableColumn id="5" xr3:uid="{A5A63D66-4119-44C3-81F6-8A398B73BF8D}" name="ID" totalsRowLabel="0" dataDxfId="282" totalsRowDxfId="281"/>
    <tableColumn id="6" xr3:uid="{702F94CB-AB56-4575-BD6C-441499D67093}" name="THK" totalsRowLabel="1.6" dataDxfId="280" totalsRowDxfId="279"/>
    <tableColumn id="7" xr3:uid="{650E969F-CF5A-485C-BDA0-1C85129FD2ED}" name="LENGTH" totalsRowLabel="6130" dataDxfId="278" totalsRowDxfId="277"/>
    <tableColumn id="8" xr3:uid="{89943BC3-BD22-4FC8-9678-C14711360AC9}" name="Length in Mtrs" totalsRowLabel="6.13" dataDxfId="276" totalsRowDxfId="275"/>
    <tableColumn id="9" xr3:uid="{34E3691B-96E6-4580-9962-C5B856890BA7}" name="TSL Material Code" totalsRowLabel="3919144" dataDxfId="274" totalsRowDxfId="273"/>
    <tableColumn id="10" xr3:uid="{A75915D8-936B-4CF9-BEB9-364512A795B0}" name=" INDENT  FOR SEP-25 recommended" totalsRowLabel="10" dataDxfId="272" totalsRowDxfId="271"/>
    <tableColumn id="11" xr3:uid="{1A6A31A4-3C31-418D-8CA4-E2AB8A574A68}" name="Metallurgy condition" totalsRowLabel="ERW1" dataDxfId="270" totalsRowDxfId="269"/>
    <tableColumn id="12" xr3:uid="{E96D7061-9102-4BB7-93DE-3F1566848EF5}" name="Material Type" totalsRowLabel="FIN CUT" dataDxfId="268" totalsRowDxfId="267"/>
    <tableColumn id="13" xr3:uid="{5BB8D134-EBBF-4523-A406-0D702EC8B06E}" name="Material Description3" totalsRowLabel="TUB-R-AW-AUT-40.00X25.00X1.600X6.1300" dataDxfId="266" totalsRowDxfId="265"/>
    <tableColumn id="14" xr3:uid="{E0ECC139-0CF1-486C-A272-E45DF3EE2B49}" name="Material Description32" totalsRowLabel="9519030964" dataDxfId="264" totalsRowDxfId="263"/>
    <tableColumn id="15" xr3:uid="{847E8FAE-713E-48F5-A9F7-AAB40F283D19}" name="SO" totalsRowLabel="ORDER LOAD RELEASED" dataDxfId="262" totalsRowDxfId="261"/>
    <tableColumn id="16" xr3:uid="{2C5A226C-5497-4258-A0D9-6DADCA24412A}" name="STATUS" dataDxfId="260" totalsRowDxfId="259"/>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376F888-9D30-4E85-9E42-FBF3F907E18D}" name="Table129" displayName="Table129" ref="A117:J129" totalsRowCount="1" headerRowDxfId="258" headerRowBorderDxfId="257" tableBorderDxfId="256" totalsRowBorderDxfId="255">
  <autoFilter ref="A117:J128" xr:uid="{F376F888-9D30-4E85-9E42-FBF3F907E18D}"/>
  <tableColumns count="10">
    <tableColumn id="1" xr3:uid="{F26B26C6-2460-4B4B-8A8A-6FE90A1A6E87}" name="OD" dataDxfId="254" totalsRowDxfId="253"/>
    <tableColumn id="2" xr3:uid="{B2F43DF5-A9A0-4365-8CF1-8796E0A6B8A0}" name="ID" dataDxfId="252" totalsRowDxfId="251"/>
    <tableColumn id="3" xr3:uid="{1ABFB60F-9895-4FC5-9F32-55B65061A8B8}" name="Thickness" dataDxfId="250" totalsRowDxfId="249"/>
    <tableColumn id="4" xr3:uid="{4480579C-A3E3-40E2-A781-71ACA9BAC7A8}" name="Length" dataDxfId="248" totalsRowDxfId="247"/>
    <tableColumn id="5" xr3:uid="{096EAABB-4651-40CC-8FF6-557055A9A367}" name="Grade" dataDxfId="246" totalsRowDxfId="245"/>
    <tableColumn id="6" xr3:uid="{D54ED38E-6DBD-435E-916E-C75B96682D1B}" name="Material Code" dataDxfId="244" totalsRowDxfId="243"/>
    <tableColumn id="7" xr3:uid="{A2603EAB-1FDD-4351-B870-4E39947329A0}" name="Description" dataDxfId="242" totalsRowDxfId="241">
      <calculatedColumnFormula>VLOOKUP(F118,[1]!zmat[#All],2,0)</calculatedColumnFormula>
    </tableColumn>
    <tableColumn id="8" xr3:uid="{B7159BD8-6E65-43DF-BC54-1B510354CCAF}" name="Customer" dataDxfId="240" totalsRowDxfId="239"/>
    <tableColumn id="9" xr3:uid="{E5304D6F-AF3F-43EA-9794-E4725C428749}" name="Source" dataDxfId="238" totalsRowDxfId="237"/>
    <tableColumn id="10" xr3:uid="{5C0C34AF-2654-4784-B953-08EB99965BDF}" name="Quantity" totalsRowFunction="sum" dataDxfId="236" totalsRowDxfId="235"/>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1E8D9A2-8110-4021-88D0-BB195BB22548}" name="Table18" displayName="Table18" ref="A1:G125" totalsRowShown="0" headerRowDxfId="234">
  <autoFilter ref="A1:G125" xr:uid="{A1E8D9A2-8110-4021-88D0-BB195BB22548}"/>
  <tableColumns count="7">
    <tableColumn id="1" xr3:uid="{ED7D4887-6E75-4585-993E-AC58FC0E55F4}" name="CUSTOMER  CD"/>
    <tableColumn id="2" xr3:uid="{E4788590-F187-4050-80BA-DC654521C2EE}" name="CUSTOMER  NAME"/>
    <tableColumn id="3" xr3:uid="{E23E7D01-8F91-4E5A-9BEC-051C6DA89AA7}" name="MATERAIL NUMBER"/>
    <tableColumn id="4" xr3:uid="{77E4846D-D593-4B10-9BEE-D0C6802C48D7}" name="Material   Description"/>
    <tableColumn id="5" xr3:uid="{C2D81367-AA4B-47EF-8900-316C58DB6074}" name="Length for TATA Tubes Material"/>
    <tableColumn id="6" xr3:uid="{549C4537-E1E5-4942-9FA3-25D6F4FD2F67}" name="Bucket"/>
    <tableColumn id="7" xr3:uid="{C49DFF7B-8FA9-45C2-90FC-BB58A7EEFB10}" name="Length Bucket">
      <calculatedColumnFormula>_xlfn.CONCAT(F2,"-",E2)</calculatedColumnFormula>
    </tableColumn>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0374F70-7A6C-40AB-BF55-E2FD6FF50638}" name="meghsteelsales_currentmonth" displayName="meghsteelsales_currentmonth" ref="A1:O569" tableType="queryTable" totalsRowShown="0">
  <autoFilter ref="A1:O569" xr:uid="{20374F70-7A6C-40AB-BF55-E2FD6FF50638}"/>
  <tableColumns count="15">
    <tableColumn id="1" xr3:uid="{C4192DF8-173F-4D24-A413-5E6BF8E9683A}" uniqueName="1" name="CUSTOMER  CD" queryTableFieldId="1"/>
    <tableColumn id="2" xr3:uid="{6C990B89-E1A8-4E97-958A-6AE2EF44C6D9}" uniqueName="2" name="CUSTOMER  NAME" queryTableFieldId="2"/>
    <tableColumn id="3" xr3:uid="{FC97B80A-1037-44FD-B602-E122FF6DD42E}" uniqueName="3" name="SALES  UNIT" queryTableFieldId="3"/>
    <tableColumn id="4" xr3:uid="{E2DA122E-9CD1-4AE0-9422-62923AE7C8F0}" uniqueName="4" name="qty in no" queryTableFieldId="4"/>
    <tableColumn id="5" xr3:uid="{490332E1-0A51-4730-A6DC-04954E227089}" uniqueName="5" name="Domain for z_qty_meter" queryTableFieldId="5"/>
    <tableColumn id="6" xr3:uid="{B26AFE9D-DF90-4CD7-BC52-268F0B86990D}" uniqueName="6" name="MATERAIL NUMBER" queryTableFieldId="6"/>
    <tableColumn id="17" xr3:uid="{29239F4A-590C-47EA-809D-982D4B8B6978}" uniqueName="17" name="DESP P LANT" queryTableFieldId="21"/>
    <tableColumn id="8" xr3:uid="{C4F146EE-160A-4DF2-93D2-4C55FBA81381}" uniqueName="8" name="Material   Description" queryTableFieldId="8"/>
    <tableColumn id="7" xr3:uid="{47D7EA0E-19E8-477F-9D49-D178875C5E31}" uniqueName="7" name="Quantity" queryTableFieldId="7"/>
    <tableColumn id="13" xr3:uid="{991218A6-BF4B-41E9-8DD2-A3666D34D268}" uniqueName="13" name="Outer Diameter of Material" queryTableFieldId="13"/>
    <tableColumn id="14" xr3:uid="{5B4FF51B-2A18-4362-80A6-E64F422A1655}" uniqueName="14" name="Inner Diameter of Material" queryTableFieldId="14"/>
    <tableColumn id="15" xr3:uid="{3115A73D-E919-4A4E-93C2-D53F8E611C66}" uniqueName="15" name="Thickness for TATA Tubes Material" queryTableFieldId="15"/>
    <tableColumn id="9" xr3:uid="{DB2C7E4A-FF14-40BA-AEAE-492EAC43E9C0}" uniqueName="9" name="Length for TATA Tubes Material" queryTableFieldId="9"/>
    <tableColumn id="10" xr3:uid="{F1EBB8BB-6D45-40F0-91D5-2A1E41C50F11}" uniqueName="10" name="OEM_Key.OEM" queryTableFieldId="10"/>
    <tableColumn id="16" xr3:uid="{AB315A24-18E5-44A5-85C6-A1874BFD5893}" uniqueName="16" name="Length Bucket" queryTableFieldId="20"/>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9B6539-EEE9-41F7-8AB7-06CA90C4AA12}" name="meghsteelsales_previousmonth" displayName="meghsteelsales_previousmonth" ref="A1:P561" tableType="queryTable" totalsRowShown="0">
  <autoFilter ref="A1:P561" xr:uid="{BC9B6539-EEE9-41F7-8AB7-06CA90C4AA12}"/>
  <tableColumns count="16">
    <tableColumn id="14" xr3:uid="{67F99605-ED3F-4EE4-A1DA-DDA9626DE62F}" uniqueName="14" name="BILLING  DATE" queryTableFieldId="14" dataDxfId="233"/>
    <tableColumn id="1" xr3:uid="{9B9A3AA0-95FC-4889-BCE5-F8D18F1A671D}" uniqueName="1" name="CUSTOMER  CD" queryTableFieldId="1" dataDxfId="232"/>
    <tableColumn id="2" xr3:uid="{4A0E4888-D531-4AE1-B604-8591D244AD31}" uniqueName="2" name="CUSTOMER  NAME" queryTableFieldId="2" dataDxfId="231"/>
    <tableColumn id="3" xr3:uid="{84658ED0-CB17-422E-B009-9601D25102B2}" uniqueName="3" name="SALES  UNIT" queryTableFieldId="3" dataDxfId="230"/>
    <tableColumn id="4" xr3:uid="{09ED7330-F2E8-432E-BA22-B9F30FE96A2F}" uniqueName="4" name="qty in no" queryTableFieldId="4" dataDxfId="229"/>
    <tableColumn id="5" xr3:uid="{37E4C39D-A9FC-4FF1-A53A-41E09A9B966F}" uniqueName="5" name="Domain for z_qty_meter" queryTableFieldId="5" dataDxfId="228"/>
    <tableColumn id="6" xr3:uid="{E1DDFE8B-B650-4BE6-AE16-6B449C0F59F1}" uniqueName="6" name="Quantity" queryTableFieldId="6" dataDxfId="227"/>
    <tableColumn id="7" xr3:uid="{7BDC21D7-1866-4284-8CCF-EC6F2C0D22F3}" uniqueName="7" name="DESP P LANT" queryTableFieldId="7" dataDxfId="226"/>
    <tableColumn id="8" xr3:uid="{B5E862C8-2A0A-486A-B9C1-D9C60BF1632D}" uniqueName="8" name="MATERAIL NUMBER" queryTableFieldId="8" dataDxfId="225"/>
    <tableColumn id="9" xr3:uid="{E33CA4B5-1F3E-42E7-AAB7-D60497C633D4}" uniqueName="9" name="Material   Description" queryTableFieldId="9" dataDxfId="224"/>
    <tableColumn id="10" xr3:uid="{2B966EF8-92EA-4716-9D0B-25DC63B0A894}" uniqueName="10" name="Outer Diameter of Material" queryTableFieldId="10" dataDxfId="223"/>
    <tableColumn id="11" xr3:uid="{632120DE-A735-417C-AD78-C33222AAB2C8}" uniqueName="11" name="Inner Diameter of Material" queryTableFieldId="11" dataDxfId="222"/>
    <tableColumn id="12" xr3:uid="{9028F654-3C9F-46BB-ADE8-1193DB1D7CF2}" uniqueName="12" name="Thickness for TATA Tubes Material" queryTableFieldId="12" dataDxfId="221"/>
    <tableColumn id="13" xr3:uid="{73B5DB9B-86DE-47E5-AEC6-DFE085E08053}" uniqueName="13" name="Length for TATA Tubes Material" queryTableFieldId="13" dataDxfId="220"/>
    <tableColumn id="15" xr3:uid="{F9C0AD97-AA5B-4077-ABFD-8733B810E85C}" uniqueName="15" name="OEM" queryTableFieldId="15" dataDxfId="219"/>
    <tableColumn id="16" xr3:uid="{D697A6E9-4082-4ED2-9B9D-8A75952C2CC8}" uniqueName="16" name="Length Bucket" queryTableFieldId="17" dataDxfId="21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BF21129-46A9-4D09-AFCE-25CA16769B88}" name="Table29" displayName="Table29" ref="A1:AF68" totalsRowShown="0" headerRowDxfId="217" dataDxfId="215" headerRowBorderDxfId="216" tableBorderDxfId="214">
  <autoFilter ref="A1:AF68" xr:uid="{8BF21129-46A9-4D09-AFCE-25CA16769B88}"/>
  <tableColumns count="32">
    <tableColumn id="27" xr3:uid="{F77F86A5-A5C7-422E-AEE5-1F91A40A6907}" name="OEM" dataDxfId="213"/>
    <tableColumn id="28" xr3:uid="{7DD42895-3E24-45D1-89D3-89E33B9A524B}" name="Customer Code" dataDxfId="212"/>
    <tableColumn id="1" xr3:uid="{7AB6DF51-CD27-4AE4-AD7A-F325B0EDA838}" name="Customer" dataDxfId="211"/>
    <tableColumn id="2" xr3:uid="{732457A5-32FB-4C5E-9594-E24CDFD7C39D}" name="Metallurgy condition" dataDxfId="210"/>
    <tableColumn id="3" xr3:uid="{236204D3-54F2-496D-A317-D271DE904BE4}" name="Material Type" dataDxfId="209"/>
    <tableColumn id="4" xr3:uid="{83AF40DA-A4E2-4243-A2F4-6B2F2B274A8E}" name="GRADE" dataDxfId="208"/>
    <tableColumn id="5" xr3:uid="{EBC68C78-2EDA-47B5-9562-9B1E48CE083F}" name="OD" dataDxfId="207"/>
    <tableColumn id="6" xr3:uid="{5E71FF32-BB8E-40D8-A227-C1AB91A7D0D5}" name="ID" dataDxfId="206"/>
    <tableColumn id="7" xr3:uid="{26A59303-F275-48AE-A470-FE0A6A4250F3}" name="THK" dataDxfId="205"/>
    <tableColumn id="8" xr3:uid="{7BD9D05B-1F24-4C71-B913-E833325FB2AB}" name="LENGTH" dataDxfId="204"/>
    <tableColumn id="9" xr3:uid="{E8972162-E8C2-4AF9-BB5E-EA71D9E3E7C0}" name="Length in Mtrs" dataDxfId="203"/>
    <tableColumn id="10" xr3:uid="{ACA719FD-AE8F-4586-828E-2E98F0296E51}" name="Key" dataDxfId="202">
      <calculatedColumnFormula>_xlfn.CONCAT(G2,I2,K2,F2,E2)</calculatedColumnFormula>
    </tableColumn>
    <tableColumn id="11" xr3:uid="{7BAF4CF5-2BF2-4496-8BEB-56AAFAAC786F}" name="plant" dataDxfId="201"/>
    <tableColumn id="12" xr3:uid="{BB76B752-FE99-4A77-A961-CA6AD64A9AA4}" name="TSL Material Code" dataDxfId="200"/>
    <tableColumn id="13" xr3:uid="{4EEAFE28-8492-4A87-BA40-A4C0E9C032D5}" name="Bucket" dataDxfId="199"/>
    <tableColumn id="14" xr3:uid="{24F2A21D-9879-48A7-95B7-7FCAF33BD433}" name="Bucket CTL" dataDxfId="198"/>
    <tableColumn id="15" xr3:uid="{68D065EE-44C0-4CE5-A32B-F9EF0B0E22EB}" name="Value added" dataDxfId="197"/>
    <tableColumn id="16" xr3:uid="{97ECCDE2-5807-420B-A476-7ED132FC59CC}" name="plant2" dataDxfId="196"/>
    <tableColumn id="17" xr3:uid="{5876F910-BBF9-493E-ABFE-B2432A5A8410}" name="TSL Material Code3" dataDxfId="195"/>
    <tableColumn id="18" xr3:uid="{5BA549BA-3D25-48D2-9609-B13DDA167F10}" name="SCH SEP- 25" dataDxfId="194"/>
    <tableColumn id="19" xr3:uid="{02DD800D-E3CF-45D8-9F12-BF102D5E79D6}" name="BALANCE TO BE SUPPLY" dataDxfId="193"/>
    <tableColumn id="20" xr3:uid="{0E864B2E-B159-4ADF-B087-53A677E8C060}" name="Stock     18-08-25" dataDxfId="192"/>
    <tableColumn id="21" xr3:uid="{0474814B-C836-4F5B-9A67-0B0103B1AC02}" name="intransist " dataDxfId="191"/>
    <tableColumn id="22" xr3:uid="{9CBE1589-D3A3-4074-95D0-A5C8A487A647}" name="OPENIG STOCK FOR SEP-2025" dataDxfId="190">
      <calculatedColumnFormula>V2-U2</calculatedColumnFormula>
    </tableColumn>
    <tableColumn id="23" xr3:uid="{0564F51D-3593-4F34-9F3B-E5DF7382326D}" name="order logg " dataDxfId="189"/>
    <tableColumn id="29" xr3:uid="{857ABB98-3950-44FB-9851-E3E17A8287F0}" name="check from 17092025 orderbook sent by ashish" dataDxfId="188">
      <calculatedColumnFormula>SUMIFS(orderbook[Bal to Desp],orderbook[key],Table29[[#This Row],[Key]])</calculatedColumnFormula>
    </tableColumn>
    <tableColumn id="30" xr3:uid="{1E055C5B-BE12-4F1C-9993-8A9BC3924BD6}" name="GAP of order log and 17092025 orderbook" dataDxfId="187">
      <calculatedColumnFormula>Table29[[#This Row],[order logg ]]-Table29[[#This Row],[check from 17092025 orderbook sent by ashish]]</calculatedColumnFormula>
    </tableColumn>
    <tableColumn id="24" xr3:uid="{A87B48D1-A803-4FBB-9AE3-50B03D6D1AE3}" name="Opening stock including order logger" dataDxfId="186">
      <calculatedColumnFormula>X2+Y2</calculatedColumnFormula>
    </tableColumn>
    <tableColumn id="25" xr3:uid="{4304D502-2187-40BA-B827-F01FC6C328EF}" name="    INDENT  FOR SEP-25 as per VSM" dataDxfId="185">
      <calculatedColumnFormula>T2-AB2</calculatedColumnFormula>
    </tableColumn>
    <tableColumn id="26" xr3:uid="{38D3A7BC-89E7-4446-8445-08373017FF14}" name=" INDENT  FOR Oct-25 recommended" dataDxfId="184">
      <calculatedColumnFormula>IF(AC2&gt;0,AC2,0)*150%</calculatedColumnFormula>
    </tableColumn>
    <tableColumn id="31" xr3:uid="{74977172-AC63-4B37-9F18-7D5D6EF0EA17}" name="Before 20th" dataDxfId="183">
      <calculatedColumnFormula>ROUND(SUMIFS(meghsteelsales_previousmonth[Quantity],meghsteelsales_previousmonth[Length Bucket],Table29[[#This Row],[Bucket CTL]])/1000,0)</calculatedColumnFormula>
    </tableColumn>
    <tableColumn id="32" xr3:uid="{BBC2791B-1080-48E5-802D-DE2A14C33DA3}" name="ofter 20th" dataDxfId="182">
      <calculatedColumnFormula>ROUND(SUMIFS(meghsteelsales_currentmonth[Quantity],meghsteelsales_currentmonth[Length Bucket],Table29[[#This Row],[Bucket CTL]])/1000,0)</calculatedColumnFormula>
    </tableColumn>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1786085-6CE6-428B-8DF6-916273DB2238}" name="orderbook" displayName="orderbook" ref="A75:Y142" totalsRowShown="0" headerRowDxfId="181" headerRowBorderDxfId="180" tableBorderDxfId="179" totalsRowBorderDxfId="178">
  <autoFilter ref="A75:Y142" xr:uid="{51786085-6CE6-428B-8DF6-916273DB2238}"/>
  <tableColumns count="25">
    <tableColumn id="1" xr3:uid="{FC0A2180-1DCD-43B6-83AF-232E8C4F47DA}" name="MFGPL" dataDxfId="177"/>
    <tableColumn id="2" xr3:uid="{3D3EC015-FEBF-4926-B91D-29AF1DD3CCFF}" name="CUSTNO" dataDxfId="176"/>
    <tableColumn id="3" xr3:uid="{2FC6686C-1868-48F9-8DBF-B404B48D60FC}" name="ZONE" dataDxfId="175"/>
    <tableColumn id="4" xr3:uid="{41F4D040-32A6-4299-B46B-DAB193176134}" name="CUSTOMER" dataDxfId="174"/>
    <tableColumn id="5" xr3:uid="{350E3E4A-7206-4ABD-8D83-AD0F9750A9CD}" name="DESTINATION" dataDxfId="173"/>
    <tableColumn id="6" xr3:uid="{19126358-51D2-42FD-86CB-C042ECCA6851}" name="SHIPTO" dataDxfId="172"/>
    <tableColumn id="7" xr3:uid="{C6432443-A82E-4230-AA73-ED2E8F5C7D14}" name="AGE" dataDxfId="171"/>
    <tableColumn id="8" xr3:uid="{12D12711-C7BA-4988-A7A0-3FC425D5E833}" name="ORDER_NO" dataDxfId="170"/>
    <tableColumn id="9" xr3:uid="{34F6B313-80C2-44B0-9025-21890EC0D5EC}" name="ITEM_NO" dataDxfId="169"/>
    <tableColumn id="25" xr3:uid="{FCCEE3A2-0F8D-4ADA-BCA7-09D0FF0D8101}" name="key" dataDxfId="168">
      <calculatedColumnFormula>_xlfn.XLOOKUP(orderbook[[#This Row],[MATL_NO]],Table29[TSL Material Code3],Table29[Key])</calculatedColumnFormula>
    </tableColumn>
    <tableColumn id="10" xr3:uid="{401F8145-6505-47E4-8654-255FF32FF321}" name="MATL_NO" dataDxfId="167"/>
    <tableColumn id="11" xr3:uid="{55023EEE-0F05-4FEB-B20F-DB2039CB7A12}" name="DESCRIPTION" dataDxfId="166"/>
    <tableColumn id="12" xr3:uid="{2C9CD3F4-4818-4814-A463-85262D2495D9}" name="CATG" dataDxfId="165"/>
    <tableColumn id="13" xr3:uid="{88B2CD6C-7B14-40B9-B35D-C05FD9DC2922}" name="CTG" dataDxfId="164"/>
    <tableColumn id="14" xr3:uid="{69F2137E-E969-4D9E-8AB3-E90C409F3BDA}" name="SPEC" dataDxfId="163"/>
    <tableColumn id="15" xr3:uid="{E8013437-D3A0-4DBF-97EA-577E200C19C3}" name="SFIN" dataDxfId="162"/>
    <tableColumn id="16" xr3:uid="{120A91DE-241C-4302-BDD6-A0B12568097A}" name="OD" dataDxfId="161"/>
    <tableColumn id="17" xr3:uid="{35E62A24-ED83-4ABD-AB42-7DD8560B8E91}" name="IN_DIA" dataDxfId="160"/>
    <tableColumn id="18" xr3:uid="{0C3C897E-BBCB-4D11-9616-FAD170E61D96}" name="THK" dataDxfId="159"/>
    <tableColumn id="19" xr3:uid="{D84F0ECD-B53C-473D-8448-7C5975F65CBD}" name="LENGTH" dataDxfId="158"/>
    <tableColumn id="20" xr3:uid="{14D80033-2D22-4A0B-8E11-148B9C984E21}" name="CLASS" dataDxfId="157"/>
    <tableColumn id="21" xr3:uid="{DB2BDA0D-9726-41D7-8C12-FB323054ED4A}" name="GEOMETRY" dataDxfId="156"/>
    <tableColumn id="22" xr3:uid="{D30EEFB0-692F-4814-A011-CD1C5845A967}" name="ORDQ" dataDxfId="155"/>
    <tableColumn id="23" xr3:uid="{7BFA92A8-789E-4B86-828C-A56A249096E1}" name="ORDUM" dataDxfId="154"/>
    <tableColumn id="24" xr3:uid="{D69A43B6-F34B-4F48-80F4-063B64094263}" name="Bal to Desp" dataDxfId="153"/>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82A571E-3C20-4C06-B8B7-D0E30E5B7074}" name="Table31" displayName="Table31" ref="A144:O189" totalsRowShown="0" headerRowDxfId="152" dataDxfId="150" headerRowBorderDxfId="151" tableBorderDxfId="149">
  <autoFilter ref="A144:O189" xr:uid="{C82A571E-3C20-4C06-B8B7-D0E30E5B7074}"/>
  <tableColumns count="15">
    <tableColumn id="15" xr3:uid="{BA2C2967-6890-46A9-962F-1B6D4F44948B}" name="plant2" dataDxfId="148"/>
    <tableColumn id="1" xr3:uid="{8AFB86C4-2956-4393-94CD-5E1EB8B6A1F1}" name="OEM" dataDxfId="147"/>
    <tableColumn id="2" xr3:uid="{9A8C2BE5-23F6-4A9B-8E42-4036C42481D8}" name="Customer Code" dataDxfId="146"/>
    <tableColumn id="3" xr3:uid="{2F233B5B-8A31-4887-97A4-B54A13A831E8}" name="OD" dataDxfId="145"/>
    <tableColumn id="4" xr3:uid="{A95533EB-55B1-4A76-9EE1-673702EEC1BE}" name="ID" dataDxfId="144"/>
    <tableColumn id="5" xr3:uid="{C11549D4-D1E9-4E79-823C-D8C6FFB16422}" name="THK" dataDxfId="143"/>
    <tableColumn id="6" xr3:uid="{BD9F83D2-7734-4C12-BB6B-FDA4464D7880}" name="LENGTH" dataDxfId="142"/>
    <tableColumn id="7" xr3:uid="{1B2A2BE3-3A67-412A-AFD7-4AF0DE3EB5B2}" name="Length in Mtrs" dataDxfId="141"/>
    <tableColumn id="8" xr3:uid="{BDFB14A7-CB25-49DB-941C-E026FBE4A73D}" name="TSL Material Code3" dataDxfId="140"/>
    <tableColumn id="9" xr3:uid="{5E02CAC6-E1B5-4D96-B13E-60C354792ADE}" name=" INDENT  FOR Oct-25 recommended" dataDxfId="139"/>
    <tableColumn id="10" xr3:uid="{0A4A62DB-3F53-4195-A4F5-17A79F0258E2}" name="Metallurgy condition" dataDxfId="138"/>
    <tableColumn id="11" xr3:uid="{F5A3A38F-A7B8-4A24-949C-518A84546BAE}" name="Material Type" dataDxfId="137"/>
    <tableColumn id="12" xr3:uid="{AB6A7844-7154-4F02-B139-DF3DA5E5EC30}" name="Material Description3" dataDxfId="136">
      <calculatedColumnFormula>VLOOKUP(Table31[[#This Row],[TSL Material Code3]],#REF!,2,0)</calculatedColumnFormula>
    </tableColumn>
    <tableColumn id="13" xr3:uid="{55951240-11C8-4B06-BEA3-98A57658E077}" name="SO" dataDxfId="135"/>
    <tableColumn id="14" xr3:uid="{E91174CC-91F7-4647-9AB2-B12051CB154A}" name="STATUS" dataDxfId="134"/>
  </tableColumns>
  <tableStyleInfo name="TableStyleLight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8E5C3AB-DE6C-4EBD-9016-4CB0F24CCECC}" name="schedule13" displayName="schedule13" ref="A3:AI591" totalsRowShown="0" headerRowDxfId="133" dataDxfId="131" headerRowBorderDxfId="132" tableBorderDxfId="130" totalsRowBorderDxfId="129">
  <autoFilter ref="A3:AI591" xr:uid="{00000000-000C-0000-FFFF-FFFF09000000}">
    <filterColumn colId="18">
      <colorFilter dxfId="128"/>
    </filterColumn>
  </autoFilter>
  <tableColumns count="35">
    <tableColumn id="1" xr3:uid="{F5F809F8-7DCE-4D65-95C1-2C9FB56F4F4E}" name="SNO" dataDxfId="127"/>
    <tableColumn id="2" xr3:uid="{0237D4AB-0FBD-469E-A1AA-3315F90A83F7}" name="RM Loaction" dataDxfId="126"/>
    <tableColumn id="3" xr3:uid="{3F76898B-4A6D-4CF4-9BEE-CDBC7F7E1822}" name="CUSTOMER NAME" dataDxfId="125"/>
    <tableColumn id="25" xr3:uid="{6B2DFB03-2AB8-4475-B570-BDCC71960844}" name="Helper Customer" dataDxfId="124"/>
    <tableColumn id="4" xr3:uid="{3D742F66-6CE9-4F81-A4D5-8FA492CC51C1}" name="CUSTOMER CODE" dataDxfId="123"/>
    <tableColumn id="5" xr3:uid="{105CCD2B-D2D7-46E1-A3D1-447BBDCC7F5D}" name="MATERIAL NO" dataDxfId="122"/>
    <tableColumn id="6" xr3:uid="{450C787D-9CFA-4F49-80D3-97D85469815D}" name="MATERIAL DESCRIPTION" dataDxfId="121"/>
    <tableColumn id="7" xr3:uid="{F767782A-A3EE-4D5F-8CE7-CF1803E52F1E}" name="GRADE" dataDxfId="120"/>
    <tableColumn id="17" xr3:uid="{66748B6F-9670-40E3-B27F-0A0E18C7CF8C}" name="Annealed/Unannealed" dataDxfId="119"/>
    <tableColumn id="18" xr3:uid="{A14E81F1-C504-4B3A-BEDB-614A0961928C}" name="FC/NFC" dataDxfId="118"/>
    <tableColumn id="19" xr3:uid="{A23D5402-9F72-4B2C-90B5-771C808C6BC0}" name="HR/CR" dataDxfId="117"/>
    <tableColumn id="23" xr3:uid="{65712A58-A72C-4429-AEBC-21D1E2EECCE2}" name="HR/CR Check" dataDxfId="116"/>
    <tableColumn id="20" xr3:uid="{63072649-ACE0-4AB5-8775-99ABDEEBE34B}" name="Chamferring " dataDxfId="115"/>
    <tableColumn id="21" xr3:uid="{13AE3684-3253-464C-AC6B-71E28361D451}" name="Angle Cut" dataDxfId="114"/>
    <tableColumn id="22" xr3:uid="{90B39D4E-06B2-478B-94B2-5A1F19EF1E76}" name="Surface Critical" dataDxfId="113"/>
    <tableColumn id="24" xr3:uid="{B41CBCBE-FF2E-43C6-844D-E7BE8BF9BA19}" name="Bucket" dataDxfId="112">
      <calculatedColumnFormula>CONCATENATE(schedule13[[#This Row],[OD]],"-",schedule13[[#This Row],[ID]],"-",schedule13[[#This Row],[TICKNESS]],"-",schedule13[[#This Row],[GRADE]],"-",schedule13[[#This Row],[FC/NFC]])</calculatedColumnFormula>
    </tableColumn>
    <tableColumn id="26" xr3:uid="{3D8340EF-3A76-4173-AF57-06F856DCA47D}" name="CTL Bucket" dataDxfId="111"/>
    <tableColumn id="27" xr3:uid="{B4ADD4FB-28F8-4898-939D-04480696A7B1}" name="Check if CTL bucket is in sales sheet or not" dataDxfId="110"/>
    <tableColumn id="8" xr3:uid="{D4634FFE-089F-43A6-8AFF-CFE1E15CB875}" name="ACTUAL OD" dataDxfId="109"/>
    <tableColumn id="9" xr3:uid="{46670494-F3AE-4B05-A920-DEEB29F721BF}" name="OD" dataDxfId="108"/>
    <tableColumn id="10" xr3:uid="{E5E8D87F-50C5-4FF8-99C7-6BBFE3F71E0D}" name="ID" dataDxfId="107"/>
    <tableColumn id="11" xr3:uid="{76A8FCBE-62CE-4791-9002-2C79C1FC13D6}" name="TICKNESS" dataDxfId="106"/>
    <tableColumn id="12" xr3:uid="{99EFCFEA-9A5B-4258-BE81-4EA0729CD362}" name="LENGTH" dataDxfId="105"/>
    <tableColumn id="28" xr3:uid="{41A3D06F-4449-451D-86DC-3859079253A7}" name="UoM" dataDxfId="104"/>
    <tableColumn id="13" xr3:uid="{799AA5F0-4D86-4987-B61E-D877E42BB2DE}" name="SCHEDULE" dataDxfId="103"/>
    <tableColumn id="14" xr3:uid="{341D70C5-ED1C-40B8-B325-34E59E06A46C}" name="DISPATCH" dataDxfId="102"/>
    <tableColumn id="15" xr3:uid="{68F7B666-8186-4A8A-B20F-A69EAC2E934C}" name="BAL IN NOS" dataDxfId="101">
      <calculatedColumnFormula>Y4-Z4</calculatedColumnFormula>
    </tableColumn>
    <tableColumn id="16" xr3:uid="{437544C1-19EE-4B38-A43C-963FA0056E71}" name="SCHEDULE IN MT" dataDxfId="100">
      <calculatedColumnFormula>(S4-V4)*V4*W4*0.024653*Y4/1000000</calculatedColumnFormula>
    </tableColumn>
    <tableColumn id="29" xr3:uid="{D5E9F3D3-DF78-45D8-9421-8109D01C8ACD}" name="DISPATCH MT" dataDxfId="99"/>
    <tableColumn id="30" xr3:uid="{5FE7360D-83F1-4506-A24F-974F3E92F84F}" name="BALANCE FOR DISP" dataDxfId="98">
      <calculatedColumnFormula>AB4-AC4</calculatedColumnFormula>
    </tableColumn>
    <tableColumn id="35" xr3:uid="{E95C61E7-E4FA-4207-979D-BEBFE728CDDC}" name="CTL stock Numbers" dataDxfId="97"/>
    <tableColumn id="31" xr3:uid="{5D314E4F-2C02-485E-B7D7-E6BA7C375FE2}" name="CTL Stock" dataDxfId="96"/>
    <tableColumn id="32" xr3:uid="{90C5446B-1390-449E-BA0A-396A73D01156}" name="LL Stock" dataDxfId="95"/>
    <tableColumn id="33" xr3:uid="{FA39633B-7D8D-435D-8BCE-4E53B2529A7D}" name="BALANCE REQUIRED IN MT" dataDxfId="94"/>
    <tableColumn id="34" xr3:uid="{D431DA95-2F5F-4B9A-A195-FF09BA96A800}" name="% COMP" dataDxfId="9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2" dT="2025-01-26T08:07:05.87" personId="{EE4EF38F-FD06-4829-9F36-CEC288A6F9CC}" id="{04CCD3E8-3EC0-4278-968E-EE2B04326CC9}">
    <text>Check new intro by sandhar</text>
  </threadedComment>
</ThreadedComments>
</file>

<file path=xl/threadedComments/threadedComment2.xml><?xml version="1.0" encoding="utf-8"?>
<ThreadedComments xmlns="http://schemas.microsoft.com/office/spreadsheetml/2018/threadedcomments" xmlns:x="http://schemas.openxmlformats.org/spreadsheetml/2006/main">
  <threadedComment ref="A38" dT="2025-01-26T08:07:05.87" personId="{EE4EF38F-FD06-4829-9F36-CEC288A6F9CC}" id="{095CF645-D8CE-44C1-B2ED-A2B68ECC4A2F}">
    <text>Check new intro by sandhar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9/04/relationships/namedSheetView" Target="../namedSheetViews/namedSheetView2.xml"/><Relationship Id="rId4" Type="http://schemas.microsoft.com/office/2007/relationships/slicer" Target="../slicers/slicer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1.vml"/><Relationship Id="rId1" Type="http://schemas.openxmlformats.org/officeDocument/2006/relationships/drawing" Target="../drawings/drawing4.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microsoft.com/office/2019/04/relationships/namedSheetView" Target="../namedSheetViews/namedSheetView3.xml"/><Relationship Id="rId5" Type="http://schemas.microsoft.com/office/2007/relationships/slicer" Target="../slicers/slicer4.xml"/><Relationship Id="rId4" Type="http://schemas.openxmlformats.org/officeDocument/2006/relationships/table" Target="../tables/table1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6.xml"/><Relationship Id="rId4" Type="http://schemas.openxmlformats.org/officeDocument/2006/relationships/table" Target="../tables/table22.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microsoft.com/office/2007/relationships/slicer" Target="../slicers/slicer5.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ivotTable" Target="../pivotTables/pivotTable6.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10.bin"/><Relationship Id="rId4" Type="http://schemas.openxmlformats.org/officeDocument/2006/relationships/table" Target="../tables/table31.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table" Target="../tables/table35.xml"/></Relationships>
</file>

<file path=xl/worksheets/_rels/sheet52.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1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8A53-84B5-4DC8-AA4F-E44ADF89CFA3}">
  <dimension ref="A1"/>
  <sheetViews>
    <sheetView workbookViewId="0"/>
  </sheetViews>
  <sheetFormatPr defaultRowHeight="15" x14ac:dyDescent="0.25"/>
  <sheetData>
    <row r="1" spans="1:1" x14ac:dyDescent="0.25">
      <c r="A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1D7C6-EAF3-434B-B8AA-6C41A75FF58D}">
  <dimension ref="A1:C175"/>
  <sheetViews>
    <sheetView workbookViewId="0">
      <selection activeCell="B176" sqref="B176"/>
    </sheetView>
  </sheetViews>
  <sheetFormatPr defaultRowHeight="15" x14ac:dyDescent="0.25"/>
  <cols>
    <col min="1" max="1" width="39" bestFit="1" customWidth="1"/>
  </cols>
  <sheetData>
    <row r="1" spans="1:3" x14ac:dyDescent="0.25">
      <c r="A1" s="28" t="s">
        <v>1</v>
      </c>
      <c r="B1" s="28" t="s">
        <v>2</v>
      </c>
      <c r="C1" t="s">
        <v>3</v>
      </c>
    </row>
    <row r="2" spans="1:3" x14ac:dyDescent="0.25">
      <c r="A2" s="28" t="s">
        <v>4</v>
      </c>
      <c r="B2" s="28" t="s">
        <v>5</v>
      </c>
      <c r="C2" t="s">
        <v>6</v>
      </c>
    </row>
    <row r="3" spans="1:3" x14ac:dyDescent="0.25">
      <c r="A3" s="28" t="s">
        <v>7</v>
      </c>
      <c r="B3" s="28" t="s">
        <v>8</v>
      </c>
      <c r="C3" t="s">
        <v>6</v>
      </c>
    </row>
    <row r="4" spans="1:3" x14ac:dyDescent="0.25">
      <c r="A4" s="28" t="s">
        <v>9</v>
      </c>
      <c r="B4" s="28" t="s">
        <v>10</v>
      </c>
      <c r="C4" t="s">
        <v>11</v>
      </c>
    </row>
    <row r="5" spans="1:3" x14ac:dyDescent="0.25">
      <c r="A5" s="28" t="s">
        <v>12</v>
      </c>
      <c r="B5" s="28" t="s">
        <v>13</v>
      </c>
      <c r="C5" t="s">
        <v>14</v>
      </c>
    </row>
    <row r="6" spans="1:3" x14ac:dyDescent="0.25">
      <c r="A6" s="28" t="s">
        <v>15</v>
      </c>
      <c r="B6" s="28" t="s">
        <v>16</v>
      </c>
      <c r="C6" t="s">
        <v>14</v>
      </c>
    </row>
    <row r="7" spans="1:3" x14ac:dyDescent="0.25">
      <c r="A7" s="28" t="s">
        <v>17</v>
      </c>
      <c r="B7" s="28" t="s">
        <v>10</v>
      </c>
      <c r="C7" t="s">
        <v>11</v>
      </c>
    </row>
    <row r="8" spans="1:3" x14ac:dyDescent="0.25">
      <c r="A8" s="28" t="s">
        <v>18</v>
      </c>
      <c r="B8" s="28" t="s">
        <v>10</v>
      </c>
      <c r="C8" t="s">
        <v>11</v>
      </c>
    </row>
    <row r="9" spans="1:3" x14ac:dyDescent="0.25">
      <c r="A9" s="28" t="s">
        <v>19</v>
      </c>
      <c r="B9" s="28" t="s">
        <v>10</v>
      </c>
      <c r="C9" t="s">
        <v>11</v>
      </c>
    </row>
    <row r="10" spans="1:3" x14ac:dyDescent="0.25">
      <c r="A10" s="28" t="s">
        <v>20</v>
      </c>
      <c r="B10" s="28" t="s">
        <v>16</v>
      </c>
      <c r="C10" t="s">
        <v>14</v>
      </c>
    </row>
    <row r="11" spans="1:3" x14ac:dyDescent="0.25">
      <c r="A11" s="28" t="s">
        <v>21</v>
      </c>
      <c r="B11" s="28" t="s">
        <v>8</v>
      </c>
      <c r="C11" t="s">
        <v>6</v>
      </c>
    </row>
    <row r="12" spans="1:3" x14ac:dyDescent="0.25">
      <c r="A12" s="28" t="s">
        <v>22</v>
      </c>
      <c r="B12" s="28" t="s">
        <v>5</v>
      </c>
      <c r="C12" t="s">
        <v>6</v>
      </c>
    </row>
    <row r="13" spans="1:3" x14ac:dyDescent="0.25">
      <c r="A13" s="28" t="s">
        <v>23</v>
      </c>
      <c r="B13" s="28" t="s">
        <v>5</v>
      </c>
      <c r="C13" t="s">
        <v>6</v>
      </c>
    </row>
    <row r="14" spans="1:3" x14ac:dyDescent="0.25">
      <c r="A14" s="28" t="s">
        <v>24</v>
      </c>
      <c r="B14" s="28" t="s">
        <v>10</v>
      </c>
      <c r="C14" t="s">
        <v>11</v>
      </c>
    </row>
    <row r="15" spans="1:3" x14ac:dyDescent="0.25">
      <c r="A15" s="28" t="s">
        <v>25</v>
      </c>
      <c r="B15" s="28" t="s">
        <v>10</v>
      </c>
      <c r="C15" t="s">
        <v>11</v>
      </c>
    </row>
    <row r="16" spans="1:3" x14ac:dyDescent="0.25">
      <c r="A16" s="28" t="s">
        <v>26</v>
      </c>
      <c r="B16" s="28" t="s">
        <v>10</v>
      </c>
      <c r="C16" t="s">
        <v>11</v>
      </c>
    </row>
    <row r="17" spans="1:3" x14ac:dyDescent="0.25">
      <c r="A17" s="28" t="s">
        <v>27</v>
      </c>
      <c r="B17" s="28" t="s">
        <v>10</v>
      </c>
      <c r="C17" t="s">
        <v>11</v>
      </c>
    </row>
    <row r="18" spans="1:3" x14ac:dyDescent="0.25">
      <c r="A18" s="28" t="s">
        <v>28</v>
      </c>
      <c r="B18" s="28" t="s">
        <v>29</v>
      </c>
      <c r="C18" t="s">
        <v>14</v>
      </c>
    </row>
    <row r="19" spans="1:3" x14ac:dyDescent="0.25">
      <c r="A19" s="28" t="s">
        <v>30</v>
      </c>
      <c r="B19" s="28" t="s">
        <v>10</v>
      </c>
      <c r="C19" t="s">
        <v>11</v>
      </c>
    </row>
    <row r="20" spans="1:3" x14ac:dyDescent="0.25">
      <c r="A20" s="28" t="s">
        <v>31</v>
      </c>
      <c r="B20" s="28" t="s">
        <v>8</v>
      </c>
      <c r="C20" t="s">
        <v>6</v>
      </c>
    </row>
    <row r="21" spans="1:3" x14ac:dyDescent="0.25">
      <c r="A21" s="28" t="s">
        <v>32</v>
      </c>
      <c r="B21" s="28" t="s">
        <v>33</v>
      </c>
      <c r="C21" t="s">
        <v>11</v>
      </c>
    </row>
    <row r="22" spans="1:3" x14ac:dyDescent="0.25">
      <c r="A22" s="28" t="s">
        <v>34</v>
      </c>
      <c r="B22" s="28" t="s">
        <v>35</v>
      </c>
      <c r="C22" t="s">
        <v>11</v>
      </c>
    </row>
    <row r="23" spans="1:3" x14ac:dyDescent="0.25">
      <c r="A23" s="28" t="s">
        <v>36</v>
      </c>
      <c r="B23" s="28" t="s">
        <v>33</v>
      </c>
      <c r="C23" t="s">
        <v>11</v>
      </c>
    </row>
    <row r="24" spans="1:3" x14ac:dyDescent="0.25">
      <c r="A24" s="28" t="s">
        <v>37</v>
      </c>
      <c r="B24" s="28" t="s">
        <v>33</v>
      </c>
      <c r="C24" t="s">
        <v>11</v>
      </c>
    </row>
    <row r="25" spans="1:3" x14ac:dyDescent="0.25">
      <c r="A25" s="28" t="s">
        <v>38</v>
      </c>
      <c r="B25" s="28" t="s">
        <v>16</v>
      </c>
      <c r="C25" t="s">
        <v>14</v>
      </c>
    </row>
    <row r="26" spans="1:3" x14ac:dyDescent="0.25">
      <c r="A26" s="28" t="s">
        <v>39</v>
      </c>
      <c r="B26" s="28" t="s">
        <v>10</v>
      </c>
      <c r="C26" t="s">
        <v>11</v>
      </c>
    </row>
    <row r="27" spans="1:3" x14ac:dyDescent="0.25">
      <c r="A27" s="28" t="s">
        <v>40</v>
      </c>
      <c r="B27" s="28" t="s">
        <v>8</v>
      </c>
      <c r="C27" t="s">
        <v>6</v>
      </c>
    </row>
    <row r="28" spans="1:3" x14ac:dyDescent="0.25">
      <c r="A28" s="28" t="s">
        <v>41</v>
      </c>
      <c r="B28" s="28" t="s">
        <v>5</v>
      </c>
      <c r="C28" t="s">
        <v>6</v>
      </c>
    </row>
    <row r="29" spans="1:3" x14ac:dyDescent="0.25">
      <c r="A29" s="28" t="s">
        <v>42</v>
      </c>
      <c r="B29" s="28" t="s">
        <v>10</v>
      </c>
      <c r="C29" t="s">
        <v>11</v>
      </c>
    </row>
    <row r="30" spans="1:3" x14ac:dyDescent="0.25">
      <c r="A30" s="28" t="s">
        <v>43</v>
      </c>
      <c r="B30" s="28" t="s">
        <v>8</v>
      </c>
      <c r="C30" t="s">
        <v>6</v>
      </c>
    </row>
    <row r="31" spans="1:3" x14ac:dyDescent="0.25">
      <c r="A31" s="28" t="s">
        <v>44</v>
      </c>
      <c r="B31" s="28" t="s">
        <v>10</v>
      </c>
      <c r="C31" t="s">
        <v>11</v>
      </c>
    </row>
    <row r="32" spans="1:3" x14ac:dyDescent="0.25">
      <c r="A32" s="28" t="s">
        <v>45</v>
      </c>
      <c r="B32" s="28" t="s">
        <v>10</v>
      </c>
      <c r="C32" t="s">
        <v>11</v>
      </c>
    </row>
    <row r="33" spans="1:3" x14ac:dyDescent="0.25">
      <c r="A33" s="28" t="s">
        <v>46</v>
      </c>
      <c r="B33" s="28" t="s">
        <v>10</v>
      </c>
      <c r="C33" t="s">
        <v>11</v>
      </c>
    </row>
    <row r="34" spans="1:3" x14ac:dyDescent="0.25">
      <c r="A34" s="28" t="s">
        <v>47</v>
      </c>
      <c r="B34" s="28" t="s">
        <v>10</v>
      </c>
      <c r="C34" t="s">
        <v>11</v>
      </c>
    </row>
    <row r="35" spans="1:3" x14ac:dyDescent="0.25">
      <c r="A35" s="28" t="s">
        <v>48</v>
      </c>
      <c r="B35" s="28" t="s">
        <v>10</v>
      </c>
      <c r="C35" t="s">
        <v>11</v>
      </c>
    </row>
    <row r="36" spans="1:3" x14ac:dyDescent="0.25">
      <c r="A36" s="28" t="s">
        <v>49</v>
      </c>
      <c r="B36" s="28" t="s">
        <v>10</v>
      </c>
      <c r="C36" t="s">
        <v>11</v>
      </c>
    </row>
    <row r="37" spans="1:3" x14ac:dyDescent="0.25">
      <c r="A37" s="28" t="s">
        <v>50</v>
      </c>
      <c r="B37" s="28" t="s">
        <v>5</v>
      </c>
      <c r="C37" t="s">
        <v>6</v>
      </c>
    </row>
    <row r="38" spans="1:3" x14ac:dyDescent="0.25">
      <c r="A38" s="28" t="s">
        <v>51</v>
      </c>
      <c r="B38" s="28" t="s">
        <v>5</v>
      </c>
      <c r="C38" t="s">
        <v>6</v>
      </c>
    </row>
    <row r="39" spans="1:3" x14ac:dyDescent="0.25">
      <c r="A39" s="28" t="s">
        <v>52</v>
      </c>
      <c r="B39" s="28" t="s">
        <v>10</v>
      </c>
      <c r="C39" t="s">
        <v>11</v>
      </c>
    </row>
    <row r="40" spans="1:3" x14ac:dyDescent="0.25">
      <c r="A40" s="28" t="s">
        <v>53</v>
      </c>
      <c r="B40" s="28" t="s">
        <v>10</v>
      </c>
      <c r="C40" t="s">
        <v>11</v>
      </c>
    </row>
    <row r="41" spans="1:3" x14ac:dyDescent="0.25">
      <c r="A41" s="28" t="s">
        <v>54</v>
      </c>
      <c r="B41" s="28" t="s">
        <v>10</v>
      </c>
      <c r="C41" t="s">
        <v>11</v>
      </c>
    </row>
    <row r="42" spans="1:3" x14ac:dyDescent="0.25">
      <c r="A42" s="28" t="s">
        <v>55</v>
      </c>
      <c r="B42" s="28" t="s">
        <v>5</v>
      </c>
      <c r="C42" t="s">
        <v>6</v>
      </c>
    </row>
    <row r="43" spans="1:3" x14ac:dyDescent="0.25">
      <c r="A43" s="28" t="s">
        <v>56</v>
      </c>
      <c r="B43" s="28" t="s">
        <v>29</v>
      </c>
      <c r="C43" t="s">
        <v>14</v>
      </c>
    </row>
    <row r="44" spans="1:3" x14ac:dyDescent="0.25">
      <c r="A44" s="28" t="s">
        <v>57</v>
      </c>
      <c r="B44" s="28" t="s">
        <v>5</v>
      </c>
      <c r="C44" t="s">
        <v>6</v>
      </c>
    </row>
    <row r="45" spans="1:3" x14ac:dyDescent="0.25">
      <c r="A45" s="28" t="s">
        <v>58</v>
      </c>
      <c r="B45" s="28" t="s">
        <v>5</v>
      </c>
      <c r="C45" t="s">
        <v>6</v>
      </c>
    </row>
    <row r="46" spans="1:3" x14ac:dyDescent="0.25">
      <c r="A46" s="28" t="s">
        <v>59</v>
      </c>
      <c r="B46" s="28" t="s">
        <v>13</v>
      </c>
      <c r="C46" t="s">
        <v>14</v>
      </c>
    </row>
    <row r="47" spans="1:3" x14ac:dyDescent="0.25">
      <c r="A47" s="28" t="s">
        <v>60</v>
      </c>
      <c r="B47" s="28" t="s">
        <v>10</v>
      </c>
      <c r="C47" t="s">
        <v>11</v>
      </c>
    </row>
    <row r="48" spans="1:3" x14ac:dyDescent="0.25">
      <c r="A48" s="28" t="s">
        <v>61</v>
      </c>
      <c r="B48" s="28" t="s">
        <v>10</v>
      </c>
      <c r="C48" t="s">
        <v>11</v>
      </c>
    </row>
    <row r="49" spans="1:3" x14ac:dyDescent="0.25">
      <c r="A49" s="28" t="s">
        <v>62</v>
      </c>
      <c r="B49" s="28" t="s">
        <v>8</v>
      </c>
      <c r="C49" t="s">
        <v>6</v>
      </c>
    </row>
    <row r="50" spans="1:3" x14ac:dyDescent="0.25">
      <c r="A50" s="28" t="s">
        <v>63</v>
      </c>
      <c r="B50" s="28" t="s">
        <v>13</v>
      </c>
      <c r="C50" t="s">
        <v>14</v>
      </c>
    </row>
    <row r="51" spans="1:3" x14ac:dyDescent="0.25">
      <c r="A51" s="28" t="s">
        <v>64</v>
      </c>
      <c r="B51" s="28" t="s">
        <v>5</v>
      </c>
      <c r="C51" t="s">
        <v>6</v>
      </c>
    </row>
    <row r="52" spans="1:3" x14ac:dyDescent="0.25">
      <c r="A52" s="28" t="s">
        <v>65</v>
      </c>
      <c r="B52" s="28" t="s">
        <v>5</v>
      </c>
      <c r="C52" t="s">
        <v>6</v>
      </c>
    </row>
    <row r="53" spans="1:3" x14ac:dyDescent="0.25">
      <c r="A53" s="28" t="s">
        <v>66</v>
      </c>
      <c r="B53" s="28" t="s">
        <v>5</v>
      </c>
      <c r="C53" t="s">
        <v>6</v>
      </c>
    </row>
    <row r="54" spans="1:3" x14ac:dyDescent="0.25">
      <c r="A54" s="28" t="s">
        <v>67</v>
      </c>
      <c r="B54" s="28" t="s">
        <v>13</v>
      </c>
      <c r="C54" t="s">
        <v>14</v>
      </c>
    </row>
    <row r="55" spans="1:3" x14ac:dyDescent="0.25">
      <c r="A55" s="28" t="s">
        <v>68</v>
      </c>
      <c r="B55" s="28" t="s">
        <v>5</v>
      </c>
      <c r="C55" t="s">
        <v>6</v>
      </c>
    </row>
    <row r="56" spans="1:3" x14ac:dyDescent="0.25">
      <c r="A56" s="28" t="s">
        <v>69</v>
      </c>
      <c r="B56" s="28" t="s">
        <v>8</v>
      </c>
      <c r="C56" t="s">
        <v>6</v>
      </c>
    </row>
    <row r="57" spans="1:3" x14ac:dyDescent="0.25">
      <c r="A57" s="28" t="s">
        <v>70</v>
      </c>
      <c r="B57" s="28" t="s">
        <v>5</v>
      </c>
      <c r="C57" t="s">
        <v>6</v>
      </c>
    </row>
    <row r="58" spans="1:3" x14ac:dyDescent="0.25">
      <c r="A58" s="414" t="s">
        <v>71</v>
      </c>
      <c r="B58" s="28" t="s">
        <v>10</v>
      </c>
      <c r="C58" t="s">
        <v>11</v>
      </c>
    </row>
    <row r="59" spans="1:3" x14ac:dyDescent="0.25">
      <c r="A59" s="28" t="s">
        <v>72</v>
      </c>
      <c r="B59" s="28" t="s">
        <v>10</v>
      </c>
      <c r="C59" t="s">
        <v>11</v>
      </c>
    </row>
    <row r="60" spans="1:3" x14ac:dyDescent="0.25">
      <c r="A60" s="28" t="s">
        <v>73</v>
      </c>
      <c r="B60" s="28" t="s">
        <v>74</v>
      </c>
      <c r="C60" t="s">
        <v>75</v>
      </c>
    </row>
    <row r="61" spans="1:3" x14ac:dyDescent="0.25">
      <c r="A61" s="28" t="s">
        <v>76</v>
      </c>
      <c r="B61" s="28" t="s">
        <v>77</v>
      </c>
      <c r="C61" t="s">
        <v>75</v>
      </c>
    </row>
    <row r="62" spans="1:3" x14ac:dyDescent="0.25">
      <c r="A62" s="28" t="s">
        <v>78</v>
      </c>
      <c r="B62" s="28" t="s">
        <v>10</v>
      </c>
      <c r="C62" t="s">
        <v>11</v>
      </c>
    </row>
    <row r="63" spans="1:3" x14ac:dyDescent="0.25">
      <c r="A63" s="28" t="s">
        <v>79</v>
      </c>
      <c r="B63" s="28" t="s">
        <v>80</v>
      </c>
      <c r="C63" t="s">
        <v>75</v>
      </c>
    </row>
    <row r="64" spans="1:3" x14ac:dyDescent="0.25">
      <c r="A64" s="28" t="s">
        <v>81</v>
      </c>
      <c r="B64" s="28" t="s">
        <v>80</v>
      </c>
      <c r="C64" t="s">
        <v>75</v>
      </c>
    </row>
    <row r="65" spans="1:3" x14ac:dyDescent="0.25">
      <c r="A65" s="28" t="s">
        <v>82</v>
      </c>
      <c r="B65" s="28" t="s">
        <v>74</v>
      </c>
      <c r="C65" t="s">
        <v>11</v>
      </c>
    </row>
    <row r="66" spans="1:3" x14ac:dyDescent="0.25">
      <c r="A66" s="28" t="s">
        <v>83</v>
      </c>
      <c r="B66" s="28" t="s">
        <v>10</v>
      </c>
      <c r="C66" t="s">
        <v>11</v>
      </c>
    </row>
    <row r="67" spans="1:3" x14ac:dyDescent="0.25">
      <c r="A67" s="28" t="s">
        <v>84</v>
      </c>
      <c r="B67" s="28" t="s">
        <v>10</v>
      </c>
      <c r="C67" t="s">
        <v>11</v>
      </c>
    </row>
    <row r="68" spans="1:3" x14ac:dyDescent="0.25">
      <c r="A68" s="28" t="s">
        <v>85</v>
      </c>
      <c r="B68" s="28" t="s">
        <v>5</v>
      </c>
      <c r="C68" t="s">
        <v>6</v>
      </c>
    </row>
    <row r="69" spans="1:3" x14ac:dyDescent="0.25">
      <c r="A69" s="28" t="s">
        <v>86</v>
      </c>
      <c r="B69" s="28" t="s">
        <v>10</v>
      </c>
      <c r="C69" t="s">
        <v>11</v>
      </c>
    </row>
    <row r="70" spans="1:3" x14ac:dyDescent="0.25">
      <c r="A70" s="28" t="s">
        <v>87</v>
      </c>
      <c r="B70" s="28" t="s">
        <v>80</v>
      </c>
      <c r="C70" t="s">
        <v>75</v>
      </c>
    </row>
    <row r="71" spans="1:3" x14ac:dyDescent="0.25">
      <c r="A71" s="28" t="s">
        <v>88</v>
      </c>
      <c r="B71" s="28" t="s">
        <v>74</v>
      </c>
      <c r="C71" t="s">
        <v>11</v>
      </c>
    </row>
    <row r="72" spans="1:3" x14ac:dyDescent="0.25">
      <c r="A72" s="28" t="s">
        <v>89</v>
      </c>
      <c r="B72" s="28" t="s">
        <v>80</v>
      </c>
      <c r="C72" t="s">
        <v>75</v>
      </c>
    </row>
    <row r="73" spans="1:3" x14ac:dyDescent="0.25">
      <c r="A73" s="28" t="s">
        <v>90</v>
      </c>
      <c r="B73" s="28" t="s">
        <v>80</v>
      </c>
      <c r="C73" t="s">
        <v>75</v>
      </c>
    </row>
    <row r="74" spans="1:3" x14ac:dyDescent="0.25">
      <c r="A74" s="28" t="s">
        <v>91</v>
      </c>
      <c r="B74" s="28" t="s">
        <v>10</v>
      </c>
      <c r="C74" t="s">
        <v>11</v>
      </c>
    </row>
    <row r="75" spans="1:3" x14ac:dyDescent="0.25">
      <c r="A75" s="28" t="s">
        <v>92</v>
      </c>
      <c r="B75" s="28" t="s">
        <v>8</v>
      </c>
      <c r="C75" t="s">
        <v>6</v>
      </c>
    </row>
    <row r="76" spans="1:3" x14ac:dyDescent="0.25">
      <c r="A76" s="28" t="s">
        <v>93</v>
      </c>
      <c r="B76" s="28" t="s">
        <v>33</v>
      </c>
      <c r="C76" t="s">
        <v>11</v>
      </c>
    </row>
    <row r="77" spans="1:3" x14ac:dyDescent="0.25">
      <c r="A77" s="28" t="s">
        <v>94</v>
      </c>
      <c r="B77" s="28" t="s">
        <v>74</v>
      </c>
      <c r="C77" t="s">
        <v>75</v>
      </c>
    </row>
    <row r="78" spans="1:3" x14ac:dyDescent="0.25">
      <c r="A78" s="28" t="s">
        <v>95</v>
      </c>
      <c r="B78" s="28" t="s">
        <v>10</v>
      </c>
      <c r="C78" t="s">
        <v>11</v>
      </c>
    </row>
    <row r="79" spans="1:3" x14ac:dyDescent="0.25">
      <c r="A79" s="28" t="s">
        <v>96</v>
      </c>
      <c r="B79" s="28" t="s">
        <v>97</v>
      </c>
      <c r="C79" t="s">
        <v>11</v>
      </c>
    </row>
    <row r="80" spans="1:3" x14ac:dyDescent="0.25">
      <c r="A80" s="28" t="s">
        <v>98</v>
      </c>
      <c r="B80" s="28" t="s">
        <v>13</v>
      </c>
      <c r="C80" t="s">
        <v>13</v>
      </c>
    </row>
    <row r="81" spans="1:3" x14ac:dyDescent="0.25">
      <c r="A81" s="28" t="s">
        <v>99</v>
      </c>
      <c r="B81" s="28" t="s">
        <v>74</v>
      </c>
      <c r="C81" t="s">
        <v>75</v>
      </c>
    </row>
    <row r="82" spans="1:3" x14ac:dyDescent="0.25">
      <c r="A82" s="28" t="s">
        <v>100</v>
      </c>
      <c r="B82" s="28" t="s">
        <v>74</v>
      </c>
      <c r="C82" t="s">
        <v>75</v>
      </c>
    </row>
    <row r="83" spans="1:3" x14ac:dyDescent="0.25">
      <c r="A83" s="28" t="s">
        <v>101</v>
      </c>
      <c r="B83" s="28" t="s">
        <v>10</v>
      </c>
      <c r="C83" t="s">
        <v>11</v>
      </c>
    </row>
    <row r="84" spans="1:3" x14ac:dyDescent="0.25">
      <c r="A84" s="28" t="s">
        <v>102</v>
      </c>
      <c r="B84" s="28" t="s">
        <v>74</v>
      </c>
      <c r="C84" t="s">
        <v>75</v>
      </c>
    </row>
    <row r="85" spans="1:3" x14ac:dyDescent="0.25">
      <c r="A85" s="28" t="s">
        <v>103</v>
      </c>
      <c r="B85" s="28" t="s">
        <v>74</v>
      </c>
      <c r="C85" t="s">
        <v>75</v>
      </c>
    </row>
    <row r="86" spans="1:3" x14ac:dyDescent="0.25">
      <c r="A86" s="28" t="s">
        <v>104</v>
      </c>
      <c r="B86" s="28" t="s">
        <v>74</v>
      </c>
      <c r="C86" t="s">
        <v>75</v>
      </c>
    </row>
    <row r="87" spans="1:3" x14ac:dyDescent="0.25">
      <c r="A87" s="28" t="s">
        <v>105</v>
      </c>
      <c r="B87" s="28" t="s">
        <v>74</v>
      </c>
      <c r="C87" t="s">
        <v>75</v>
      </c>
    </row>
    <row r="88" spans="1:3" x14ac:dyDescent="0.25">
      <c r="A88" s="28" t="s">
        <v>106</v>
      </c>
      <c r="B88" s="28" t="s">
        <v>10</v>
      </c>
      <c r="C88" t="s">
        <v>11</v>
      </c>
    </row>
    <row r="89" spans="1:3" x14ac:dyDescent="0.25">
      <c r="A89" s="28" t="s">
        <v>107</v>
      </c>
      <c r="B89" s="28" t="s">
        <v>74</v>
      </c>
      <c r="C89" t="s">
        <v>75</v>
      </c>
    </row>
    <row r="90" spans="1:3" x14ac:dyDescent="0.25">
      <c r="A90" s="28" t="s">
        <v>108</v>
      </c>
      <c r="B90" s="28" t="s">
        <v>8</v>
      </c>
      <c r="C90" t="s">
        <v>6</v>
      </c>
    </row>
    <row r="91" spans="1:3" x14ac:dyDescent="0.25">
      <c r="A91" s="28" t="s">
        <v>109</v>
      </c>
      <c r="B91" s="28" t="s">
        <v>33</v>
      </c>
      <c r="C91" t="s">
        <v>11</v>
      </c>
    </row>
    <row r="92" spans="1:3" x14ac:dyDescent="0.25">
      <c r="A92" s="28" t="s">
        <v>110</v>
      </c>
      <c r="B92" s="28" t="s">
        <v>10</v>
      </c>
      <c r="C92" t="s">
        <v>11</v>
      </c>
    </row>
    <row r="93" spans="1:3" x14ac:dyDescent="0.25">
      <c r="A93" s="28" t="s">
        <v>111</v>
      </c>
      <c r="B93" s="28" t="s">
        <v>10</v>
      </c>
      <c r="C93" t="s">
        <v>11</v>
      </c>
    </row>
    <row r="94" spans="1:3" x14ac:dyDescent="0.25">
      <c r="A94" s="28" t="s">
        <v>112</v>
      </c>
      <c r="B94" s="28" t="s">
        <v>10</v>
      </c>
      <c r="C94" t="s">
        <v>11</v>
      </c>
    </row>
    <row r="95" spans="1:3" x14ac:dyDescent="0.25">
      <c r="A95" s="28" t="s">
        <v>113</v>
      </c>
      <c r="B95" s="28" t="s">
        <v>74</v>
      </c>
      <c r="C95" t="s">
        <v>75</v>
      </c>
    </row>
    <row r="96" spans="1:3" x14ac:dyDescent="0.25">
      <c r="A96" s="28" t="s">
        <v>114</v>
      </c>
      <c r="B96" s="28" t="s">
        <v>10</v>
      </c>
      <c r="C96" t="s">
        <v>11</v>
      </c>
    </row>
    <row r="97" spans="1:3" x14ac:dyDescent="0.25">
      <c r="A97" s="28" t="s">
        <v>115</v>
      </c>
      <c r="B97" s="28" t="s">
        <v>74</v>
      </c>
      <c r="C97" t="s">
        <v>75</v>
      </c>
    </row>
    <row r="98" spans="1:3" x14ac:dyDescent="0.25">
      <c r="A98" s="28" t="s">
        <v>116</v>
      </c>
      <c r="B98" s="28" t="s">
        <v>10</v>
      </c>
      <c r="C98" t="s">
        <v>11</v>
      </c>
    </row>
    <row r="99" spans="1:3" x14ac:dyDescent="0.25">
      <c r="A99" s="28" t="s">
        <v>117</v>
      </c>
      <c r="B99" s="63" t="s">
        <v>13</v>
      </c>
      <c r="C99" t="s">
        <v>14</v>
      </c>
    </row>
    <row r="100" spans="1:3" x14ac:dyDescent="0.25">
      <c r="A100" s="28" t="s">
        <v>118</v>
      </c>
      <c r="B100" s="63" t="s">
        <v>13</v>
      </c>
      <c r="C100" t="s">
        <v>14</v>
      </c>
    </row>
    <row r="101" spans="1:3" x14ac:dyDescent="0.25">
      <c r="A101" s="28" t="s">
        <v>119</v>
      </c>
      <c r="B101" s="63" t="s">
        <v>13</v>
      </c>
      <c r="C101" t="s">
        <v>14</v>
      </c>
    </row>
    <row r="102" spans="1:3" x14ac:dyDescent="0.25">
      <c r="A102" s="28" t="s">
        <v>120</v>
      </c>
      <c r="B102" s="63" t="s">
        <v>29</v>
      </c>
      <c r="C102" t="s">
        <v>14</v>
      </c>
    </row>
    <row r="103" spans="1:3" x14ac:dyDescent="0.25">
      <c r="A103" s="28" t="s">
        <v>121</v>
      </c>
      <c r="B103" s="63" t="s">
        <v>29</v>
      </c>
      <c r="C103" t="s">
        <v>14</v>
      </c>
    </row>
    <row r="104" spans="1:3" x14ac:dyDescent="0.25">
      <c r="A104" s="106" t="s">
        <v>122</v>
      </c>
      <c r="B104" s="63" t="s">
        <v>13</v>
      </c>
      <c r="C104" t="s">
        <v>14</v>
      </c>
    </row>
    <row r="105" spans="1:3" x14ac:dyDescent="0.25">
      <c r="A105" s="28" t="s">
        <v>123</v>
      </c>
      <c r="B105" s="63" t="s">
        <v>74</v>
      </c>
      <c r="C105" t="s">
        <v>11</v>
      </c>
    </row>
    <row r="106" spans="1:3" x14ac:dyDescent="0.25">
      <c r="A106" s="56" t="s">
        <v>124</v>
      </c>
      <c r="B106" s="63" t="s">
        <v>125</v>
      </c>
      <c r="C106" t="s">
        <v>75</v>
      </c>
    </row>
    <row r="107" spans="1:3" x14ac:dyDescent="0.25">
      <c r="A107" s="28" t="s">
        <v>126</v>
      </c>
      <c r="B107" s="63" t="s">
        <v>74</v>
      </c>
      <c r="C107" t="s">
        <v>75</v>
      </c>
    </row>
    <row r="108" spans="1:3" x14ac:dyDescent="0.25">
      <c r="A108" s="28" t="s">
        <v>127</v>
      </c>
      <c r="B108" s="63" t="s">
        <v>10</v>
      </c>
      <c r="C108" t="s">
        <v>11</v>
      </c>
    </row>
    <row r="109" spans="1:3" x14ac:dyDescent="0.25">
      <c r="A109" s="28" t="s">
        <v>128</v>
      </c>
      <c r="B109" s="63" t="s">
        <v>74</v>
      </c>
      <c r="C109" t="s">
        <v>75</v>
      </c>
    </row>
    <row r="110" spans="1:3" x14ac:dyDescent="0.25">
      <c r="A110" s="28" t="s">
        <v>129</v>
      </c>
      <c r="B110" s="63" t="s">
        <v>10</v>
      </c>
      <c r="C110" t="s">
        <v>11</v>
      </c>
    </row>
    <row r="111" spans="1:3" x14ac:dyDescent="0.25">
      <c r="A111" s="28" t="s">
        <v>130</v>
      </c>
      <c r="B111" s="63" t="s">
        <v>74</v>
      </c>
      <c r="C111" t="s">
        <v>75</v>
      </c>
    </row>
    <row r="112" spans="1:3" x14ac:dyDescent="0.25">
      <c r="A112" s="28" t="s">
        <v>131</v>
      </c>
      <c r="B112" s="63" t="s">
        <v>74</v>
      </c>
      <c r="C112" t="s">
        <v>75</v>
      </c>
    </row>
    <row r="113" spans="1:3" x14ac:dyDescent="0.25">
      <c r="A113" s="28" t="s">
        <v>132</v>
      </c>
      <c r="B113" s="63" t="s">
        <v>74</v>
      </c>
      <c r="C113" t="s">
        <v>75</v>
      </c>
    </row>
    <row r="114" spans="1:3" x14ac:dyDescent="0.25">
      <c r="A114" s="28" t="s">
        <v>133</v>
      </c>
      <c r="B114" s="63" t="s">
        <v>74</v>
      </c>
      <c r="C114" t="s">
        <v>75</v>
      </c>
    </row>
    <row r="115" spans="1:3" x14ac:dyDescent="0.25">
      <c r="A115" s="28" t="s">
        <v>134</v>
      </c>
      <c r="B115" s="63" t="s">
        <v>74</v>
      </c>
      <c r="C115" t="s">
        <v>75</v>
      </c>
    </row>
    <row r="116" spans="1:3" x14ac:dyDescent="0.25">
      <c r="A116" s="28" t="s">
        <v>135</v>
      </c>
      <c r="B116" s="63" t="s">
        <v>74</v>
      </c>
      <c r="C116" t="s">
        <v>75</v>
      </c>
    </row>
    <row r="117" spans="1:3" x14ac:dyDescent="0.25">
      <c r="A117" s="28" t="s">
        <v>136</v>
      </c>
      <c r="B117" s="63" t="s">
        <v>74</v>
      </c>
      <c r="C117" t="s">
        <v>75</v>
      </c>
    </row>
    <row r="118" spans="1:3" x14ac:dyDescent="0.25">
      <c r="A118" s="28" t="s">
        <v>137</v>
      </c>
      <c r="B118" s="63" t="s">
        <v>74</v>
      </c>
      <c r="C118" t="s">
        <v>75</v>
      </c>
    </row>
    <row r="119" spans="1:3" x14ac:dyDescent="0.25">
      <c r="A119" s="28" t="s">
        <v>138</v>
      </c>
      <c r="B119" s="63" t="s">
        <v>74</v>
      </c>
      <c r="C119" t="s">
        <v>75</v>
      </c>
    </row>
    <row r="120" spans="1:3" x14ac:dyDescent="0.25">
      <c r="A120" s="28" t="s">
        <v>139</v>
      </c>
      <c r="B120" s="63" t="s">
        <v>74</v>
      </c>
      <c r="C120" t="s">
        <v>75</v>
      </c>
    </row>
    <row r="121" spans="1:3" x14ac:dyDescent="0.25">
      <c r="A121" s="28" t="s">
        <v>140</v>
      </c>
      <c r="B121" s="63" t="s">
        <v>74</v>
      </c>
      <c r="C121" t="s">
        <v>75</v>
      </c>
    </row>
    <row r="122" spans="1:3" x14ac:dyDescent="0.25">
      <c r="A122" s="28" t="s">
        <v>141</v>
      </c>
      <c r="B122" s="63" t="s">
        <v>74</v>
      </c>
      <c r="C122" t="s">
        <v>75</v>
      </c>
    </row>
    <row r="123" spans="1:3" x14ac:dyDescent="0.25">
      <c r="A123" s="28" t="s">
        <v>142</v>
      </c>
      <c r="B123" s="63" t="s">
        <v>74</v>
      </c>
      <c r="C123" t="s">
        <v>75</v>
      </c>
    </row>
    <row r="124" spans="1:3" x14ac:dyDescent="0.25">
      <c r="A124" s="28" t="s">
        <v>143</v>
      </c>
      <c r="B124" s="63" t="s">
        <v>10</v>
      </c>
      <c r="C124" t="s">
        <v>11</v>
      </c>
    </row>
    <row r="125" spans="1:3" x14ac:dyDescent="0.25">
      <c r="A125" s="28" t="s">
        <v>144</v>
      </c>
      <c r="B125" s="63" t="s">
        <v>74</v>
      </c>
      <c r="C125" t="s">
        <v>11</v>
      </c>
    </row>
    <row r="126" spans="1:3" x14ac:dyDescent="0.25">
      <c r="A126" s="28" t="s">
        <v>145</v>
      </c>
      <c r="B126" s="63" t="s">
        <v>74</v>
      </c>
      <c r="C126" t="s">
        <v>75</v>
      </c>
    </row>
    <row r="127" spans="1:3" x14ac:dyDescent="0.25">
      <c r="A127" s="28" t="s">
        <v>146</v>
      </c>
      <c r="B127" s="63" t="s">
        <v>74</v>
      </c>
      <c r="C127" t="s">
        <v>75</v>
      </c>
    </row>
    <row r="128" spans="1:3" x14ac:dyDescent="0.25">
      <c r="A128" s="28" t="s">
        <v>147</v>
      </c>
      <c r="B128" s="63" t="s">
        <v>74</v>
      </c>
      <c r="C128" t="s">
        <v>75</v>
      </c>
    </row>
    <row r="129" spans="1:3" x14ac:dyDescent="0.25">
      <c r="A129" s="28" t="s">
        <v>148</v>
      </c>
      <c r="B129" s="63" t="s">
        <v>149</v>
      </c>
      <c r="C129" t="s">
        <v>14</v>
      </c>
    </row>
    <row r="130" spans="1:3" x14ac:dyDescent="0.25">
      <c r="A130" s="28" t="s">
        <v>150</v>
      </c>
      <c r="B130" s="28" t="s">
        <v>10</v>
      </c>
      <c r="C130" t="s">
        <v>11</v>
      </c>
    </row>
    <row r="131" spans="1:3" x14ac:dyDescent="0.25">
      <c r="A131" t="s">
        <v>151</v>
      </c>
      <c r="B131" s="63" t="s">
        <v>10</v>
      </c>
      <c r="C131" t="s">
        <v>11</v>
      </c>
    </row>
    <row r="132" spans="1:3" x14ac:dyDescent="0.25">
      <c r="A132" t="s">
        <v>152</v>
      </c>
      <c r="B132" s="63" t="s">
        <v>8</v>
      </c>
      <c r="C132" t="s">
        <v>6</v>
      </c>
    </row>
    <row r="133" spans="1:3" x14ac:dyDescent="0.25">
      <c r="A133" t="s">
        <v>153</v>
      </c>
      <c r="B133" s="63" t="s">
        <v>8</v>
      </c>
      <c r="C133" t="s">
        <v>6</v>
      </c>
    </row>
    <row r="134" spans="1:3" x14ac:dyDescent="0.25">
      <c r="A134" t="s">
        <v>154</v>
      </c>
      <c r="B134" s="63" t="s">
        <v>5</v>
      </c>
      <c r="C134" t="s">
        <v>6</v>
      </c>
    </row>
    <row r="135" spans="1:3" x14ac:dyDescent="0.25">
      <c r="A135" t="s">
        <v>155</v>
      </c>
      <c r="B135" s="63" t="s">
        <v>10</v>
      </c>
      <c r="C135" t="s">
        <v>11</v>
      </c>
    </row>
    <row r="136" spans="1:3" x14ac:dyDescent="0.25">
      <c r="A136" t="s">
        <v>156</v>
      </c>
      <c r="B136" s="63" t="s">
        <v>35</v>
      </c>
      <c r="C136" t="s">
        <v>11</v>
      </c>
    </row>
    <row r="137" spans="1:3" x14ac:dyDescent="0.25">
      <c r="A137" t="s">
        <v>157</v>
      </c>
      <c r="B137" s="63" t="s">
        <v>10</v>
      </c>
      <c r="C137" t="s">
        <v>11</v>
      </c>
    </row>
    <row r="138" spans="1:3" x14ac:dyDescent="0.25">
      <c r="A138" t="s">
        <v>158</v>
      </c>
      <c r="B138" s="63" t="s">
        <v>5</v>
      </c>
      <c r="C138" t="s">
        <v>6</v>
      </c>
    </row>
    <row r="139" spans="1:3" x14ac:dyDescent="0.25">
      <c r="A139" t="s">
        <v>159</v>
      </c>
      <c r="B139" s="63" t="s">
        <v>10</v>
      </c>
      <c r="C139" t="s">
        <v>11</v>
      </c>
    </row>
    <row r="140" spans="1:3" x14ac:dyDescent="0.25">
      <c r="A140" t="s">
        <v>160</v>
      </c>
      <c r="B140" s="63" t="s">
        <v>10</v>
      </c>
      <c r="C140" t="s">
        <v>11</v>
      </c>
    </row>
    <row r="141" spans="1:3" x14ac:dyDescent="0.25">
      <c r="A141" t="s">
        <v>161</v>
      </c>
      <c r="B141" s="63" t="s">
        <v>8</v>
      </c>
      <c r="C141" t="s">
        <v>6</v>
      </c>
    </row>
    <row r="142" spans="1:3" x14ac:dyDescent="0.25">
      <c r="A142" t="s">
        <v>162</v>
      </c>
      <c r="B142" s="63" t="s">
        <v>33</v>
      </c>
      <c r="C142" t="s">
        <v>11</v>
      </c>
    </row>
    <row r="143" spans="1:3" x14ac:dyDescent="0.25">
      <c r="A143" t="s">
        <v>163</v>
      </c>
      <c r="B143" s="63" t="s">
        <v>5</v>
      </c>
      <c r="C143" t="s">
        <v>6</v>
      </c>
    </row>
    <row r="144" spans="1:3" x14ac:dyDescent="0.25">
      <c r="A144" t="s">
        <v>164</v>
      </c>
      <c r="B144" s="63" t="s">
        <v>10</v>
      </c>
      <c r="C144" t="s">
        <v>11</v>
      </c>
    </row>
    <row r="145" spans="1:3" x14ac:dyDescent="0.25">
      <c r="A145" t="s">
        <v>165</v>
      </c>
      <c r="B145" s="63" t="s">
        <v>5</v>
      </c>
      <c r="C145" t="s">
        <v>6</v>
      </c>
    </row>
    <row r="146" spans="1:3" x14ac:dyDescent="0.25">
      <c r="A146" t="s">
        <v>166</v>
      </c>
      <c r="B146" s="63" t="s">
        <v>10</v>
      </c>
      <c r="C146" t="s">
        <v>11</v>
      </c>
    </row>
    <row r="147" spans="1:3" x14ac:dyDescent="0.25">
      <c r="A147" t="s">
        <v>167</v>
      </c>
      <c r="B147" s="63" t="s">
        <v>10</v>
      </c>
      <c r="C147" t="s">
        <v>11</v>
      </c>
    </row>
    <row r="148" spans="1:3" x14ac:dyDescent="0.25">
      <c r="A148" t="s">
        <v>168</v>
      </c>
      <c r="B148" s="63" t="s">
        <v>10</v>
      </c>
      <c r="C148" t="s">
        <v>11</v>
      </c>
    </row>
    <row r="149" spans="1:3" x14ac:dyDescent="0.25">
      <c r="A149" t="s">
        <v>169</v>
      </c>
      <c r="B149" s="63" t="s">
        <v>10</v>
      </c>
      <c r="C149" t="s">
        <v>11</v>
      </c>
    </row>
    <row r="150" spans="1:3" x14ac:dyDescent="0.25">
      <c r="A150" t="s">
        <v>170</v>
      </c>
      <c r="B150" s="63" t="s">
        <v>10</v>
      </c>
      <c r="C150" t="s">
        <v>11</v>
      </c>
    </row>
    <row r="151" spans="1:3" x14ac:dyDescent="0.25">
      <c r="A151" t="s">
        <v>171</v>
      </c>
      <c r="B151" s="63" t="s">
        <v>10</v>
      </c>
      <c r="C151" t="s">
        <v>11</v>
      </c>
    </row>
    <row r="152" spans="1:3" x14ac:dyDescent="0.25">
      <c r="A152" t="s">
        <v>172</v>
      </c>
      <c r="B152" s="63" t="s">
        <v>10</v>
      </c>
      <c r="C152" t="s">
        <v>11</v>
      </c>
    </row>
    <row r="153" spans="1:3" x14ac:dyDescent="0.25">
      <c r="A153" t="s">
        <v>173</v>
      </c>
      <c r="B153" s="63" t="s">
        <v>10</v>
      </c>
      <c r="C153" t="s">
        <v>11</v>
      </c>
    </row>
    <row r="154" spans="1:3" x14ac:dyDescent="0.25">
      <c r="A154" t="s">
        <v>174</v>
      </c>
      <c r="B154" s="63" t="s">
        <v>13</v>
      </c>
      <c r="C154" t="s">
        <v>14</v>
      </c>
    </row>
    <row r="155" spans="1:3" x14ac:dyDescent="0.25">
      <c r="A155" t="s">
        <v>175</v>
      </c>
      <c r="B155" s="63" t="s">
        <v>16</v>
      </c>
      <c r="C155" t="s">
        <v>14</v>
      </c>
    </row>
    <row r="156" spans="1:3" x14ac:dyDescent="0.25">
      <c r="A156" t="s">
        <v>176</v>
      </c>
      <c r="B156" s="63" t="s">
        <v>16</v>
      </c>
      <c r="C156" t="s">
        <v>14</v>
      </c>
    </row>
    <row r="157" spans="1:3" x14ac:dyDescent="0.25">
      <c r="A157" t="s">
        <v>177</v>
      </c>
      <c r="B157" s="63" t="s">
        <v>10</v>
      </c>
      <c r="C157" t="s">
        <v>11</v>
      </c>
    </row>
    <row r="158" spans="1:3" x14ac:dyDescent="0.25">
      <c r="A158" t="s">
        <v>178</v>
      </c>
      <c r="B158" s="63" t="s">
        <v>13</v>
      </c>
      <c r="C158" t="s">
        <v>14</v>
      </c>
    </row>
    <row r="159" spans="1:3" x14ac:dyDescent="0.25">
      <c r="A159" t="s">
        <v>179</v>
      </c>
      <c r="B159" s="63" t="s">
        <v>13</v>
      </c>
      <c r="C159" t="s">
        <v>14</v>
      </c>
    </row>
    <row r="160" spans="1:3" x14ac:dyDescent="0.25">
      <c r="A160" t="s">
        <v>180</v>
      </c>
      <c r="B160" s="63" t="s">
        <v>10</v>
      </c>
      <c r="C160" t="s">
        <v>11</v>
      </c>
    </row>
    <row r="161" spans="1:3" x14ac:dyDescent="0.25">
      <c r="A161" t="s">
        <v>181</v>
      </c>
      <c r="B161" s="63" t="s">
        <v>10</v>
      </c>
      <c r="C161" t="s">
        <v>11</v>
      </c>
    </row>
    <row r="162" spans="1:3" x14ac:dyDescent="0.25">
      <c r="A162" s="454" t="s">
        <v>182</v>
      </c>
      <c r="B162" s="63" t="s">
        <v>29</v>
      </c>
      <c r="C162" t="s">
        <v>14</v>
      </c>
    </row>
    <row r="163" spans="1:3" x14ac:dyDescent="0.25">
      <c r="A163" t="s">
        <v>183</v>
      </c>
      <c r="B163" s="63" t="s">
        <v>10</v>
      </c>
      <c r="C163" t="s">
        <v>11</v>
      </c>
    </row>
    <row r="164" spans="1:3" x14ac:dyDescent="0.25">
      <c r="A164" t="s">
        <v>184</v>
      </c>
      <c r="B164" s="63" t="s">
        <v>10</v>
      </c>
      <c r="C164" t="s">
        <v>11</v>
      </c>
    </row>
    <row r="165" spans="1:3" x14ac:dyDescent="0.25">
      <c r="A165" t="s">
        <v>185</v>
      </c>
      <c r="B165" s="63" t="s">
        <v>10</v>
      </c>
      <c r="C165" t="s">
        <v>11</v>
      </c>
    </row>
    <row r="166" spans="1:3" x14ac:dyDescent="0.25">
      <c r="A166" t="s">
        <v>186</v>
      </c>
      <c r="B166" s="63" t="s">
        <v>10</v>
      </c>
      <c r="C166" t="s">
        <v>11</v>
      </c>
    </row>
    <row r="167" spans="1:3" x14ac:dyDescent="0.25">
      <c r="A167" t="s">
        <v>187</v>
      </c>
      <c r="B167" s="63" t="s">
        <v>13</v>
      </c>
      <c r="C167" t="s">
        <v>14</v>
      </c>
    </row>
    <row r="168" spans="1:3" x14ac:dyDescent="0.25">
      <c r="A168" t="s">
        <v>188</v>
      </c>
      <c r="B168" s="63" t="s">
        <v>189</v>
      </c>
      <c r="C168" s="63" t="s">
        <v>189</v>
      </c>
    </row>
    <row r="169" spans="1:3" x14ac:dyDescent="0.25">
      <c r="A169" t="s">
        <v>190</v>
      </c>
      <c r="B169" s="63" t="s">
        <v>191</v>
      </c>
      <c r="C169" t="s">
        <v>192</v>
      </c>
    </row>
    <row r="170" spans="1:3" x14ac:dyDescent="0.25">
      <c r="A170" t="s">
        <v>193</v>
      </c>
      <c r="B170" s="63" t="s">
        <v>13</v>
      </c>
      <c r="C170" t="s">
        <v>14</v>
      </c>
    </row>
    <row r="171" spans="1:3" x14ac:dyDescent="0.25">
      <c r="A171" t="s">
        <v>194</v>
      </c>
      <c r="B171" s="63" t="s">
        <v>16</v>
      </c>
      <c r="C171" t="s">
        <v>14</v>
      </c>
    </row>
    <row r="172" spans="1:3" x14ac:dyDescent="0.25">
      <c r="A172" t="s">
        <v>195</v>
      </c>
      <c r="B172" s="63" t="s">
        <v>189</v>
      </c>
      <c r="C172" s="63" t="s">
        <v>189</v>
      </c>
    </row>
    <row r="173" spans="1:3" x14ac:dyDescent="0.25">
      <c r="A173" t="s">
        <v>196</v>
      </c>
      <c r="B173" s="63" t="s">
        <v>189</v>
      </c>
      <c r="C173" s="63" t="s">
        <v>189</v>
      </c>
    </row>
    <row r="174" spans="1:3" x14ac:dyDescent="0.25">
      <c r="A174" t="s">
        <v>197</v>
      </c>
      <c r="B174" s="63" t="s">
        <v>189</v>
      </c>
      <c r="C174" s="63" t="s">
        <v>189</v>
      </c>
    </row>
    <row r="175" spans="1:3" x14ac:dyDescent="0.25">
      <c r="A175" t="s">
        <v>198</v>
      </c>
      <c r="B175" s="63" t="s">
        <v>5</v>
      </c>
      <c r="C175" t="s">
        <v>6</v>
      </c>
    </row>
  </sheetData>
  <conditionalFormatting sqref="A2:A175">
    <cfRule type="duplicateValues" dxfId="78" priority="498"/>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FF9E-F2C9-4E2B-87EE-C6504F38BC49}">
  <dimension ref="A1:H46"/>
  <sheetViews>
    <sheetView topLeftCell="A13" workbookViewId="0">
      <selection activeCell="H26" sqref="H26"/>
    </sheetView>
  </sheetViews>
  <sheetFormatPr defaultRowHeight="15" x14ac:dyDescent="0.25"/>
  <cols>
    <col min="1" max="1" width="10.7109375" bestFit="1" customWidth="1"/>
    <col min="4" max="4" width="8.5703125" bestFit="1" customWidth="1"/>
    <col min="5" max="5" width="12.140625" customWidth="1"/>
    <col min="6" max="6" width="33.85546875" bestFit="1" customWidth="1"/>
  </cols>
  <sheetData>
    <row r="1" spans="1:6" x14ac:dyDescent="0.25">
      <c r="A1" t="s">
        <v>199</v>
      </c>
      <c r="B1" t="s">
        <v>200</v>
      </c>
      <c r="C1" t="s">
        <v>201</v>
      </c>
      <c r="D1" t="s">
        <v>202</v>
      </c>
      <c r="E1" t="s">
        <v>203</v>
      </c>
      <c r="F1" t="s">
        <v>204</v>
      </c>
    </row>
    <row r="2" spans="1:6" x14ac:dyDescent="0.25">
      <c r="A2" t="s">
        <v>205</v>
      </c>
      <c r="B2" t="s">
        <v>206</v>
      </c>
      <c r="C2">
        <v>1.6</v>
      </c>
      <c r="D2" t="str">
        <f>_xlfn.CONCAT(Table32[[#This Row],[TDC]],"-",Table32[[#This Row],[THIK]])</f>
        <v>BR45-1.6</v>
      </c>
      <c r="E2">
        <v>3820031</v>
      </c>
      <c r="F2" t="s">
        <v>207</v>
      </c>
    </row>
    <row r="3" spans="1:6" x14ac:dyDescent="0.25">
      <c r="A3" t="s">
        <v>205</v>
      </c>
      <c r="B3" t="s">
        <v>208</v>
      </c>
      <c r="C3">
        <v>1.6</v>
      </c>
      <c r="D3" t="str">
        <f>_xlfn.CONCAT(Table32[[#This Row],[TDC]],"-",Table32[[#This Row],[THIK]])</f>
        <v>BR03-1.6</v>
      </c>
      <c r="E3">
        <v>3717652</v>
      </c>
      <c r="F3" t="s">
        <v>209</v>
      </c>
    </row>
    <row r="4" spans="1:6" x14ac:dyDescent="0.25">
      <c r="A4" t="s">
        <v>205</v>
      </c>
      <c r="B4" t="s">
        <v>208</v>
      </c>
      <c r="C4">
        <v>1.6</v>
      </c>
      <c r="D4" t="str">
        <f>_xlfn.CONCAT(Table32[[#This Row],[TDC]],"-",Table32[[#This Row],[THIK]])</f>
        <v>BR03-1.6</v>
      </c>
      <c r="E4">
        <v>3959449</v>
      </c>
      <c r="F4" t="s">
        <v>210</v>
      </c>
    </row>
    <row r="5" spans="1:6" x14ac:dyDescent="0.25">
      <c r="A5" t="s">
        <v>205</v>
      </c>
      <c r="B5" t="s">
        <v>206</v>
      </c>
      <c r="C5">
        <v>2</v>
      </c>
      <c r="D5" t="str">
        <f>_xlfn.CONCAT(Table32[[#This Row],[TDC]],"-",Table32[[#This Row],[THIK]])</f>
        <v>BR45-2</v>
      </c>
      <c r="E5">
        <v>3820032</v>
      </c>
      <c r="F5" t="s">
        <v>211</v>
      </c>
    </row>
    <row r="6" spans="1:6" x14ac:dyDescent="0.25">
      <c r="A6" t="s">
        <v>205</v>
      </c>
      <c r="B6" t="s">
        <v>208</v>
      </c>
      <c r="C6">
        <v>2</v>
      </c>
      <c r="D6" t="str">
        <f>_xlfn.CONCAT(Table32[[#This Row],[TDC]],"-",Table32[[#This Row],[THIK]])</f>
        <v>BR03-2</v>
      </c>
      <c r="E6">
        <v>3717653</v>
      </c>
      <c r="F6" t="s">
        <v>212</v>
      </c>
    </row>
    <row r="7" spans="1:6" x14ac:dyDescent="0.25">
      <c r="A7" t="s">
        <v>205</v>
      </c>
      <c r="B7" t="s">
        <v>208</v>
      </c>
      <c r="C7">
        <v>2</v>
      </c>
      <c r="D7" t="str">
        <f>_xlfn.CONCAT(Table32[[#This Row],[TDC]],"-",Table32[[#This Row],[THIK]])</f>
        <v>BR03-2</v>
      </c>
      <c r="E7">
        <v>3959450</v>
      </c>
      <c r="F7" t="s">
        <v>213</v>
      </c>
    </row>
    <row r="8" spans="1:6" x14ac:dyDescent="0.25">
      <c r="A8" t="s">
        <v>205</v>
      </c>
      <c r="B8" t="s">
        <v>206</v>
      </c>
      <c r="C8">
        <v>2.2999999999999998</v>
      </c>
      <c r="D8" t="str">
        <f>_xlfn.CONCAT(Table32[[#This Row],[TDC]],"-",Table32[[#This Row],[THIK]])</f>
        <v>BR45-2.3</v>
      </c>
      <c r="E8">
        <v>3185984</v>
      </c>
      <c r="F8" t="s">
        <v>214</v>
      </c>
    </row>
    <row r="9" spans="1:6" x14ac:dyDescent="0.25">
      <c r="A9" t="s">
        <v>215</v>
      </c>
      <c r="B9" t="s">
        <v>216</v>
      </c>
      <c r="C9">
        <v>1.4</v>
      </c>
      <c r="D9" t="str">
        <f>_xlfn.CONCAT(Table32[[#This Row],[TDC]],"-",Table32[[#This Row],[THIK]])</f>
        <v>TU99-1.4</v>
      </c>
      <c r="E9">
        <v>2279476</v>
      </c>
      <c r="F9" t="s">
        <v>217</v>
      </c>
    </row>
    <row r="10" spans="1:6" x14ac:dyDescent="0.25">
      <c r="A10" t="s">
        <v>215</v>
      </c>
      <c r="B10" t="s">
        <v>216</v>
      </c>
      <c r="C10">
        <v>1.6</v>
      </c>
      <c r="D10" t="str">
        <f>_xlfn.CONCAT(Table32[[#This Row],[TDC]],"-",Table32[[#This Row],[THIK]])</f>
        <v>TU99-1.6</v>
      </c>
      <c r="E10">
        <v>2279503</v>
      </c>
      <c r="F10" t="s">
        <v>218</v>
      </c>
    </row>
    <row r="11" spans="1:6" x14ac:dyDescent="0.25">
      <c r="A11" t="s">
        <v>215</v>
      </c>
      <c r="B11" t="s">
        <v>216</v>
      </c>
      <c r="C11">
        <v>2</v>
      </c>
      <c r="D11" t="str">
        <f>_xlfn.CONCAT(Table32[[#This Row],[TDC]],"-",Table32[[#This Row],[THIK]])</f>
        <v>TU99-2</v>
      </c>
      <c r="E11">
        <v>2279483</v>
      </c>
      <c r="F11" t="s">
        <v>219</v>
      </c>
    </row>
    <row r="12" spans="1:6" x14ac:dyDescent="0.25">
      <c r="A12" t="s">
        <v>215</v>
      </c>
      <c r="B12" t="s">
        <v>216</v>
      </c>
      <c r="C12">
        <v>2.2999999999999998</v>
      </c>
      <c r="D12" t="str">
        <f>_xlfn.CONCAT(Table32[[#This Row],[TDC]],"-",Table32[[#This Row],[THIK]])</f>
        <v>TU99-2.3</v>
      </c>
      <c r="E12">
        <v>3439077</v>
      </c>
      <c r="F12" t="s">
        <v>220</v>
      </c>
    </row>
    <row r="13" spans="1:6" x14ac:dyDescent="0.25">
      <c r="A13" t="s">
        <v>221</v>
      </c>
      <c r="B13" t="s">
        <v>222</v>
      </c>
      <c r="C13">
        <v>1</v>
      </c>
      <c r="D13" t="str">
        <f>_xlfn.CONCAT(Table32[[#This Row],[TDC]],"-",Table32[[#This Row],[THIK]])</f>
        <v>TU98-1</v>
      </c>
      <c r="E13">
        <v>2150938</v>
      </c>
      <c r="F13" t="s">
        <v>223</v>
      </c>
    </row>
    <row r="14" spans="1:6" x14ac:dyDescent="0.25">
      <c r="A14" t="s">
        <v>221</v>
      </c>
      <c r="B14" t="s">
        <v>222</v>
      </c>
      <c r="C14">
        <v>1.2</v>
      </c>
      <c r="D14" t="str">
        <f>_xlfn.CONCAT(Table32[[#This Row],[TDC]],"-",Table32[[#This Row],[THIK]])</f>
        <v>TU98-1.2</v>
      </c>
      <c r="E14">
        <v>2150940</v>
      </c>
      <c r="F14" t="s">
        <v>224</v>
      </c>
    </row>
    <row r="15" spans="1:6" x14ac:dyDescent="0.25">
      <c r="A15" t="s">
        <v>221</v>
      </c>
      <c r="B15" t="s">
        <v>222</v>
      </c>
      <c r="C15">
        <v>1.4</v>
      </c>
      <c r="D15" t="str">
        <f>_xlfn.CONCAT(Table32[[#This Row],[TDC]],"-",Table32[[#This Row],[THIK]])</f>
        <v>TU98-1.4</v>
      </c>
      <c r="E15">
        <v>2397430</v>
      </c>
      <c r="F15" t="s">
        <v>225</v>
      </c>
    </row>
    <row r="16" spans="1:6" x14ac:dyDescent="0.25">
      <c r="A16" t="s">
        <v>221</v>
      </c>
      <c r="B16" t="s">
        <v>222</v>
      </c>
      <c r="C16">
        <v>1.5</v>
      </c>
      <c r="D16" t="str">
        <f>_xlfn.CONCAT(Table32[[#This Row],[TDC]],"-",Table32[[#This Row],[THIK]])</f>
        <v>TU98-1.5</v>
      </c>
      <c r="E16">
        <v>2150941</v>
      </c>
      <c r="F16" t="s">
        <v>226</v>
      </c>
    </row>
    <row r="17" spans="1:6" x14ac:dyDescent="0.25">
      <c r="A17" t="s">
        <v>221</v>
      </c>
      <c r="B17" t="s">
        <v>222</v>
      </c>
      <c r="C17">
        <v>1.6</v>
      </c>
      <c r="D17" t="str">
        <f>_xlfn.CONCAT(Table32[[#This Row],[TDC]],"-",Table32[[#This Row],[THIK]])</f>
        <v>TU98-1.6</v>
      </c>
      <c r="E17">
        <v>2150942</v>
      </c>
      <c r="F17" t="s">
        <v>227</v>
      </c>
    </row>
    <row r="18" spans="1:6" x14ac:dyDescent="0.25">
      <c r="A18" t="s">
        <v>221</v>
      </c>
      <c r="B18" t="s">
        <v>222</v>
      </c>
      <c r="C18">
        <v>1.9</v>
      </c>
      <c r="D18" t="str">
        <f>_xlfn.CONCAT(Table32[[#This Row],[TDC]],"-",Table32[[#This Row],[THIK]])</f>
        <v>TU98-1.9</v>
      </c>
      <c r="E18">
        <v>2150943</v>
      </c>
      <c r="F18" t="s">
        <v>228</v>
      </c>
    </row>
    <row r="19" spans="1:6" x14ac:dyDescent="0.25">
      <c r="A19" t="s">
        <v>229</v>
      </c>
      <c r="B19" t="s">
        <v>230</v>
      </c>
      <c r="C19">
        <v>1</v>
      </c>
      <c r="D19" t="str">
        <f>_xlfn.CONCAT(Table32[[#This Row],[Grade]],"-",Table32[[#This Row],[THIK]])</f>
        <v>CRFH-1</v>
      </c>
      <c r="E19">
        <v>2324172</v>
      </c>
      <c r="F19" t="s">
        <v>231</v>
      </c>
    </row>
    <row r="20" spans="1:6" x14ac:dyDescent="0.25">
      <c r="A20" t="s">
        <v>229</v>
      </c>
      <c r="B20" t="s">
        <v>232</v>
      </c>
      <c r="C20">
        <v>1</v>
      </c>
      <c r="D20" t="str">
        <f>_xlfn.CONCAT(Table32[[#This Row],[Grade]],"-",Table32[[#This Row],[THIK]])</f>
        <v>CRFH-1</v>
      </c>
      <c r="E20">
        <v>2390551</v>
      </c>
      <c r="F20" t="s">
        <v>233</v>
      </c>
    </row>
    <row r="21" spans="1:6" x14ac:dyDescent="0.25">
      <c r="A21" t="s">
        <v>229</v>
      </c>
      <c r="B21" s="531" t="s">
        <v>234</v>
      </c>
      <c r="C21" s="531">
        <v>1</v>
      </c>
      <c r="D21" t="str">
        <f>_xlfn.CONCAT(Table32[[#This Row],[Grade]],"-",Table32[[#This Row],[THIK]])</f>
        <v>CRFH-1</v>
      </c>
      <c r="E21" s="531">
        <v>3917262</v>
      </c>
      <c r="F21" s="531" t="s">
        <v>235</v>
      </c>
    </row>
    <row r="22" spans="1:6" x14ac:dyDescent="0.25">
      <c r="A22" t="s">
        <v>229</v>
      </c>
      <c r="B22" s="531" t="s">
        <v>234</v>
      </c>
      <c r="C22" s="531">
        <v>1.2</v>
      </c>
      <c r="D22" t="str">
        <f>_xlfn.CONCAT(Table32[[#This Row],[Grade]],"-",Table32[[#This Row],[THIK]])</f>
        <v>CRFH-1.2</v>
      </c>
      <c r="E22" s="531">
        <v>3917263</v>
      </c>
      <c r="F22" s="531" t="s">
        <v>236</v>
      </c>
    </row>
    <row r="23" spans="1:6" x14ac:dyDescent="0.25">
      <c r="A23" t="s">
        <v>229</v>
      </c>
      <c r="B23" s="531" t="s">
        <v>234</v>
      </c>
      <c r="C23" s="531">
        <v>1.2</v>
      </c>
      <c r="D23" t="str">
        <f>_xlfn.CONCAT(Table32[[#This Row],[Grade]],"-",Table32[[#This Row],[THIK]])</f>
        <v>CRFH-1.2</v>
      </c>
      <c r="E23" s="531">
        <v>3993061</v>
      </c>
      <c r="F23" s="531" t="s">
        <v>237</v>
      </c>
    </row>
    <row r="24" spans="1:6" x14ac:dyDescent="0.25">
      <c r="A24" t="s">
        <v>229</v>
      </c>
      <c r="B24" t="s">
        <v>230</v>
      </c>
      <c r="C24">
        <v>1.2</v>
      </c>
      <c r="D24" t="str">
        <f>_xlfn.CONCAT(Table32[[#This Row],[TDC]],"-",Table32[[#This Row],[THIK]])</f>
        <v>RE03-1.2</v>
      </c>
      <c r="E24">
        <v>2324181</v>
      </c>
      <c r="F24" t="s">
        <v>238</v>
      </c>
    </row>
    <row r="25" spans="1:6" x14ac:dyDescent="0.25">
      <c r="A25" t="s">
        <v>239</v>
      </c>
      <c r="B25" t="s">
        <v>240</v>
      </c>
      <c r="C25">
        <v>1.6</v>
      </c>
      <c r="D25" t="str">
        <f>_xlfn.CONCAT(Table32[[#This Row],[TDC]],"-",Table32[[#This Row],[THIK]])</f>
        <v>TU02-1.6</v>
      </c>
      <c r="E25">
        <v>2271033</v>
      </c>
      <c r="F25" t="s">
        <v>241</v>
      </c>
    </row>
    <row r="26" spans="1:6" x14ac:dyDescent="0.25">
      <c r="A26" t="s">
        <v>239</v>
      </c>
      <c r="B26" t="s">
        <v>242</v>
      </c>
      <c r="C26">
        <v>1.9</v>
      </c>
      <c r="D26" t="str">
        <f>_xlfn.CONCAT(Table32[[#This Row],[TDC]],"-",Table32[[#This Row],[THIK]])</f>
        <v>HR99-1.9</v>
      </c>
      <c r="E26">
        <v>3226987</v>
      </c>
      <c r="F26" t="s">
        <v>243</v>
      </c>
    </row>
    <row r="27" spans="1:6" x14ac:dyDescent="0.25">
      <c r="A27" t="s">
        <v>239</v>
      </c>
      <c r="B27" t="s">
        <v>240</v>
      </c>
      <c r="C27">
        <v>1.9</v>
      </c>
      <c r="D27" t="str">
        <f>_xlfn.CONCAT(Table32[[#This Row],[TDC]],"-",Table32[[#This Row],[THIK]])</f>
        <v>TU02-1.9</v>
      </c>
      <c r="E27">
        <v>4141061</v>
      </c>
      <c r="F27" t="s">
        <v>244</v>
      </c>
    </row>
    <row r="28" spans="1:6" x14ac:dyDescent="0.25">
      <c r="A28" t="s">
        <v>239</v>
      </c>
      <c r="B28" t="s">
        <v>242</v>
      </c>
      <c r="C28">
        <v>2</v>
      </c>
      <c r="D28" t="str">
        <f>_xlfn.CONCAT(Table32[[#This Row],[TDC]],"-",Table32[[#This Row],[THIK]])</f>
        <v>HR99-2</v>
      </c>
      <c r="E28">
        <v>1210083</v>
      </c>
      <c r="F28" t="s">
        <v>245</v>
      </c>
    </row>
    <row r="29" spans="1:6" x14ac:dyDescent="0.25">
      <c r="A29" t="s">
        <v>239</v>
      </c>
      <c r="B29" t="s">
        <v>240</v>
      </c>
      <c r="C29">
        <v>2</v>
      </c>
      <c r="D29" t="str">
        <f>_xlfn.CONCAT(Table32[[#This Row],[TDC]],"-",Table32[[#This Row],[THIK]])</f>
        <v>TU02-2</v>
      </c>
      <c r="E29">
        <v>2427980</v>
      </c>
      <c r="F29" t="s">
        <v>246</v>
      </c>
    </row>
    <row r="30" spans="1:6" x14ac:dyDescent="0.25">
      <c r="A30" t="s">
        <v>239</v>
      </c>
      <c r="B30" t="s">
        <v>242</v>
      </c>
      <c r="C30">
        <v>2.2999999999999998</v>
      </c>
      <c r="D30" t="str">
        <f>_xlfn.CONCAT(Table32[[#This Row],[TDC]],"-",Table32[[#This Row],[THIK]])</f>
        <v>HR99-2.3</v>
      </c>
      <c r="E30">
        <v>1371338</v>
      </c>
      <c r="F30" t="s">
        <v>247</v>
      </c>
    </row>
    <row r="31" spans="1:6" x14ac:dyDescent="0.25">
      <c r="A31" t="s">
        <v>239</v>
      </c>
      <c r="B31" t="s">
        <v>240</v>
      </c>
      <c r="C31">
        <v>2.2999999999999998</v>
      </c>
      <c r="D31" t="str">
        <f>_xlfn.CONCAT(Table32[[#This Row],[TDC]],"-",Table32[[#This Row],[THIK]])</f>
        <v>TU02-2.3</v>
      </c>
      <c r="E31">
        <v>3433881</v>
      </c>
      <c r="F31" t="s">
        <v>248</v>
      </c>
    </row>
    <row r="32" spans="1:6" x14ac:dyDescent="0.25">
      <c r="A32" t="s">
        <v>239</v>
      </c>
      <c r="B32" t="s">
        <v>242</v>
      </c>
      <c r="C32">
        <v>2.5</v>
      </c>
      <c r="D32" t="str">
        <f>_xlfn.CONCAT(Table32[[#This Row],[TDC]],"-",Table32[[#This Row],[THIK]])</f>
        <v>HR99-2.5</v>
      </c>
      <c r="E32">
        <v>1250221</v>
      </c>
      <c r="F32" t="s">
        <v>249</v>
      </c>
    </row>
    <row r="33" spans="1:8" x14ac:dyDescent="0.25">
      <c r="A33" t="s">
        <v>239</v>
      </c>
      <c r="B33" t="s">
        <v>240</v>
      </c>
      <c r="C33">
        <v>2.5</v>
      </c>
      <c r="D33" t="str">
        <f>_xlfn.CONCAT(Table32[[#This Row],[TDC]],"-",Table32[[#This Row],[THIK]])</f>
        <v>TU02-2.5</v>
      </c>
      <c r="E33">
        <v>1706343</v>
      </c>
      <c r="F33" t="s">
        <v>250</v>
      </c>
    </row>
    <row r="34" spans="1:8" x14ac:dyDescent="0.25">
      <c r="A34" t="s">
        <v>239</v>
      </c>
      <c r="B34" t="s">
        <v>240</v>
      </c>
      <c r="C34">
        <v>2.5</v>
      </c>
      <c r="D34" t="str">
        <f>_xlfn.CONCAT(Table32[[#This Row],[TDC]],"-",Table32[[#This Row],[THIK]])</f>
        <v>TU02-2.5</v>
      </c>
      <c r="E34">
        <v>1328020</v>
      </c>
      <c r="F34" t="s">
        <v>251</v>
      </c>
    </row>
    <row r="35" spans="1:8" x14ac:dyDescent="0.25">
      <c r="A35" t="s">
        <v>239</v>
      </c>
      <c r="B35" t="s">
        <v>242</v>
      </c>
      <c r="C35">
        <v>2.9</v>
      </c>
      <c r="D35" t="str">
        <f>_xlfn.CONCAT(Table32[[#This Row],[TDC]],"-",Table32[[#This Row],[THIK]])</f>
        <v>HR99-2.9</v>
      </c>
      <c r="E35">
        <v>1294719</v>
      </c>
      <c r="F35" t="s">
        <v>252</v>
      </c>
    </row>
    <row r="36" spans="1:8" x14ac:dyDescent="0.25">
      <c r="A36" t="s">
        <v>239</v>
      </c>
      <c r="B36" t="s">
        <v>240</v>
      </c>
      <c r="C36">
        <v>3.15</v>
      </c>
      <c r="D36" t="str">
        <f>_xlfn.CONCAT(Table32[[#This Row],[TDC]],"-",Table32[[#This Row],[THIK]])</f>
        <v>TU02-3.15</v>
      </c>
      <c r="E36">
        <v>1706345</v>
      </c>
      <c r="F36" t="s">
        <v>253</v>
      </c>
    </row>
    <row r="37" spans="1:8" x14ac:dyDescent="0.25">
      <c r="A37" t="s">
        <v>239</v>
      </c>
      <c r="B37" t="s">
        <v>240</v>
      </c>
      <c r="C37">
        <v>3.15</v>
      </c>
      <c r="D37" t="str">
        <f>_xlfn.CONCAT(Table32[[#This Row],[TDC]],"-",Table32[[#This Row],[THIK]])</f>
        <v>TU02-3.15</v>
      </c>
      <c r="E37">
        <v>1611919</v>
      </c>
      <c r="F37" t="s">
        <v>254</v>
      </c>
    </row>
    <row r="38" spans="1:8" x14ac:dyDescent="0.25">
      <c r="A38" t="s">
        <v>239</v>
      </c>
      <c r="B38" t="s">
        <v>242</v>
      </c>
      <c r="C38">
        <v>3.15</v>
      </c>
      <c r="D38" t="str">
        <f>_xlfn.CONCAT(Table32[[#This Row],[TDC]],"-",Table32[[#This Row],[THIK]])</f>
        <v>HR99-3.15</v>
      </c>
      <c r="E38">
        <v>1294722</v>
      </c>
      <c r="F38" t="s">
        <v>255</v>
      </c>
    </row>
    <row r="39" spans="1:8" x14ac:dyDescent="0.25">
      <c r="A39" t="s">
        <v>239</v>
      </c>
      <c r="B39" t="s">
        <v>240</v>
      </c>
      <c r="C39">
        <v>3.15</v>
      </c>
      <c r="D39" t="str">
        <f>_xlfn.CONCAT(Table32[[#This Row],[TDC]],"-",Table32[[#This Row],[THIK]])</f>
        <v>TU02-3.15</v>
      </c>
      <c r="E39">
        <v>1611919</v>
      </c>
      <c r="F39" t="s">
        <v>254</v>
      </c>
    </row>
    <row r="40" spans="1:8" x14ac:dyDescent="0.25">
      <c r="A40" t="s">
        <v>239</v>
      </c>
      <c r="B40" t="s">
        <v>240</v>
      </c>
      <c r="C40">
        <v>3.15</v>
      </c>
      <c r="D40" t="str">
        <f>_xlfn.CONCAT(Table32[[#This Row],[TDC]],"-",Table32[[#This Row],[THIK]])</f>
        <v>TU02-3.15</v>
      </c>
      <c r="E40">
        <v>1706345</v>
      </c>
      <c r="F40" t="s">
        <v>253</v>
      </c>
    </row>
    <row r="41" spans="1:8" x14ac:dyDescent="0.25">
      <c r="A41" t="s">
        <v>239</v>
      </c>
      <c r="B41" t="s">
        <v>242</v>
      </c>
      <c r="C41">
        <v>3.4</v>
      </c>
      <c r="D41" t="str">
        <f>_xlfn.CONCAT(Table32[[#This Row],[TDC]],"-",Table32[[#This Row],[THIK]])</f>
        <v>HR99-3.4</v>
      </c>
      <c r="E41">
        <v>3226988</v>
      </c>
      <c r="F41" t="s">
        <v>256</v>
      </c>
    </row>
    <row r="42" spans="1:8" x14ac:dyDescent="0.25">
      <c r="A42" t="s">
        <v>239</v>
      </c>
      <c r="B42" t="s">
        <v>240</v>
      </c>
      <c r="C42">
        <v>3.4</v>
      </c>
      <c r="D42" t="str">
        <f>_xlfn.CONCAT(Table32[[#This Row],[TDC]],"-",Table32[[#This Row],[THIK]])</f>
        <v>TU02-3.4</v>
      </c>
      <c r="E42">
        <v>3491196</v>
      </c>
      <c r="F42" t="s">
        <v>257</v>
      </c>
    </row>
    <row r="44" spans="1:8" ht="45" x14ac:dyDescent="0.25">
      <c r="A44" s="530"/>
      <c r="B44" s="531" t="s">
        <v>234</v>
      </c>
      <c r="C44" s="531">
        <v>1</v>
      </c>
      <c r="D44" s="531">
        <v>3917262</v>
      </c>
      <c r="E44" s="531" t="s">
        <v>235</v>
      </c>
      <c r="F44" s="531">
        <v>53</v>
      </c>
      <c r="G44" s="531">
        <v>20</v>
      </c>
      <c r="H44" s="531">
        <v>29</v>
      </c>
    </row>
    <row r="45" spans="1:8" ht="45" x14ac:dyDescent="0.25">
      <c r="A45" s="530"/>
      <c r="B45" s="531" t="s">
        <v>234</v>
      </c>
      <c r="C45" s="531">
        <v>1.1499999999999999</v>
      </c>
      <c r="D45" s="531">
        <v>3917263</v>
      </c>
      <c r="E45" s="531" t="s">
        <v>236</v>
      </c>
      <c r="F45" s="531">
        <v>5</v>
      </c>
      <c r="G45" s="530"/>
      <c r="H45" s="530"/>
    </row>
    <row r="46" spans="1:8" ht="45" x14ac:dyDescent="0.25">
      <c r="A46" s="530"/>
      <c r="B46" s="531" t="s">
        <v>234</v>
      </c>
      <c r="C46" s="531">
        <v>1.2</v>
      </c>
      <c r="D46" s="531">
        <v>3993061</v>
      </c>
      <c r="E46" s="531" t="s">
        <v>237</v>
      </c>
      <c r="F46" s="530"/>
      <c r="G46" s="530"/>
      <c r="H46" s="530"/>
    </row>
  </sheetData>
  <phoneticPr fontId="13"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L2507"/>
  <sheetViews>
    <sheetView workbookViewId="0">
      <selection activeCell="C11" sqref="C11"/>
    </sheetView>
  </sheetViews>
  <sheetFormatPr defaultRowHeight="15" x14ac:dyDescent="0.25"/>
  <cols>
    <col min="1" max="1" width="32.5703125" bestFit="1" customWidth="1"/>
    <col min="2" max="2" width="10.7109375" bestFit="1" customWidth="1"/>
    <col min="3" max="3" width="38.85546875" bestFit="1" customWidth="1"/>
    <col min="4" max="4" width="7.5703125" bestFit="1" customWidth="1"/>
    <col min="5" max="5" width="9.28515625" bestFit="1" customWidth="1"/>
  </cols>
  <sheetData>
    <row r="1" spans="1:12" x14ac:dyDescent="0.25">
      <c r="A1" t="s">
        <v>258</v>
      </c>
      <c r="B1" t="s">
        <v>259</v>
      </c>
      <c r="C1" t="s">
        <v>260</v>
      </c>
      <c r="D1" t="s">
        <v>2</v>
      </c>
      <c r="E1" t="s">
        <v>261</v>
      </c>
    </row>
    <row r="2" spans="1:12" x14ac:dyDescent="0.25">
      <c r="A2" t="s">
        <v>39</v>
      </c>
      <c r="B2">
        <v>4229654</v>
      </c>
      <c r="C2" t="s">
        <v>262</v>
      </c>
      <c r="D2" t="s">
        <v>10</v>
      </c>
      <c r="I2">
        <v>508988</v>
      </c>
      <c r="J2" cm="1">
        <f t="array" ref="J2:J266">_xlfn.UNIQUE(I2:I2507)</f>
        <v>508988</v>
      </c>
      <c r="L2" t="e" cm="1" vm="1">
        <f t="array" ref="L2">_xlfn._xlws.FILTER(_xlfn.ANCHORARRAY(J2),ISNA(_xlfn.XMATCH(_xlfn.ANCHORARRAY(J2),buckets[Material Codes])))</f>
        <v>#VALUE!</v>
      </c>
    </row>
    <row r="3" spans="1:12" x14ac:dyDescent="0.25">
      <c r="A3" t="s">
        <v>170</v>
      </c>
      <c r="B3">
        <v>4267147</v>
      </c>
      <c r="C3" t="s">
        <v>264</v>
      </c>
      <c r="D3" t="s">
        <v>10</v>
      </c>
      <c r="I3">
        <v>1442308</v>
      </c>
      <c r="J3">
        <v>1442308</v>
      </c>
    </row>
    <row r="4" spans="1:12" x14ac:dyDescent="0.25">
      <c r="A4" t="s">
        <v>46</v>
      </c>
      <c r="B4">
        <v>4020858</v>
      </c>
      <c r="C4" t="s">
        <v>265</v>
      </c>
      <c r="D4" t="s">
        <v>10</v>
      </c>
      <c r="I4">
        <v>2427711</v>
      </c>
      <c r="J4">
        <v>2427711</v>
      </c>
    </row>
    <row r="5" spans="1:12" x14ac:dyDescent="0.25">
      <c r="A5" t="s">
        <v>173</v>
      </c>
      <c r="B5">
        <v>3999719</v>
      </c>
      <c r="C5" t="s">
        <v>266</v>
      </c>
      <c r="D5" t="s">
        <v>10</v>
      </c>
      <c r="I5">
        <v>1188598</v>
      </c>
      <c r="J5">
        <v>1188598</v>
      </c>
    </row>
    <row r="6" spans="1:12" x14ac:dyDescent="0.25">
      <c r="A6" t="s">
        <v>170</v>
      </c>
      <c r="B6">
        <v>4185618</v>
      </c>
      <c r="C6" t="s">
        <v>267</v>
      </c>
      <c r="D6" t="s">
        <v>10</v>
      </c>
      <c r="I6">
        <v>1399341</v>
      </c>
      <c r="J6">
        <v>1399341</v>
      </c>
    </row>
    <row r="7" spans="1:12" x14ac:dyDescent="0.25">
      <c r="I7">
        <v>3729146</v>
      </c>
      <c r="J7">
        <v>3729146</v>
      </c>
    </row>
    <row r="8" spans="1:12" x14ac:dyDescent="0.25">
      <c r="I8">
        <v>3910451</v>
      </c>
      <c r="J8">
        <v>3910451</v>
      </c>
    </row>
    <row r="9" spans="1:12" x14ac:dyDescent="0.25">
      <c r="I9">
        <v>3911993</v>
      </c>
      <c r="J9">
        <v>3911993</v>
      </c>
    </row>
    <row r="10" spans="1:12" x14ac:dyDescent="0.25">
      <c r="I10">
        <v>3911993</v>
      </c>
      <c r="J10">
        <v>1241174</v>
      </c>
    </row>
    <row r="11" spans="1:12" x14ac:dyDescent="0.25">
      <c r="I11">
        <v>3911993</v>
      </c>
      <c r="J11">
        <v>3520755</v>
      </c>
    </row>
    <row r="12" spans="1:12" x14ac:dyDescent="0.25">
      <c r="I12">
        <v>3911993</v>
      </c>
      <c r="J12">
        <v>460176</v>
      </c>
    </row>
    <row r="13" spans="1:12" x14ac:dyDescent="0.25">
      <c r="I13">
        <v>3911993</v>
      </c>
      <c r="J13">
        <v>3801263</v>
      </c>
    </row>
    <row r="14" spans="1:12" x14ac:dyDescent="0.25">
      <c r="I14">
        <v>1241174</v>
      </c>
      <c r="J14">
        <v>3746291</v>
      </c>
    </row>
    <row r="15" spans="1:12" x14ac:dyDescent="0.25">
      <c r="I15">
        <v>3520755</v>
      </c>
      <c r="J15">
        <v>1938127</v>
      </c>
    </row>
    <row r="16" spans="1:12" x14ac:dyDescent="0.25">
      <c r="I16">
        <v>3911993</v>
      </c>
      <c r="J16">
        <v>2396464</v>
      </c>
    </row>
    <row r="17" spans="9:10" x14ac:dyDescent="0.25">
      <c r="I17">
        <v>3911993</v>
      </c>
      <c r="J17">
        <v>1938125</v>
      </c>
    </row>
    <row r="18" spans="9:10" x14ac:dyDescent="0.25">
      <c r="I18">
        <v>3911993</v>
      </c>
      <c r="J18">
        <v>2359755</v>
      </c>
    </row>
    <row r="19" spans="9:10" x14ac:dyDescent="0.25">
      <c r="I19">
        <v>1241174</v>
      </c>
      <c r="J19">
        <v>403040</v>
      </c>
    </row>
    <row r="20" spans="9:10" x14ac:dyDescent="0.25">
      <c r="I20">
        <v>1241174</v>
      </c>
      <c r="J20">
        <v>238539</v>
      </c>
    </row>
    <row r="21" spans="9:10" x14ac:dyDescent="0.25">
      <c r="I21">
        <v>460176</v>
      </c>
      <c r="J21">
        <v>1940324</v>
      </c>
    </row>
    <row r="22" spans="9:10" x14ac:dyDescent="0.25">
      <c r="I22">
        <v>460176</v>
      </c>
      <c r="J22">
        <v>3722021</v>
      </c>
    </row>
    <row r="23" spans="9:10" x14ac:dyDescent="0.25">
      <c r="I23">
        <v>460176</v>
      </c>
      <c r="J23">
        <v>257093</v>
      </c>
    </row>
    <row r="24" spans="9:10" x14ac:dyDescent="0.25">
      <c r="I24">
        <v>460176</v>
      </c>
      <c r="J24">
        <v>1903849</v>
      </c>
    </row>
    <row r="25" spans="9:10" x14ac:dyDescent="0.25">
      <c r="I25">
        <v>3801263</v>
      </c>
      <c r="J25">
        <v>2353927</v>
      </c>
    </row>
    <row r="26" spans="9:10" x14ac:dyDescent="0.25">
      <c r="I26">
        <v>3746291</v>
      </c>
      <c r="J26">
        <v>2410997</v>
      </c>
    </row>
    <row r="27" spans="9:10" x14ac:dyDescent="0.25">
      <c r="I27">
        <v>3746291</v>
      </c>
      <c r="J27">
        <v>1470103</v>
      </c>
    </row>
    <row r="28" spans="9:10" x14ac:dyDescent="0.25">
      <c r="I28">
        <v>1938127</v>
      </c>
      <c r="J28">
        <v>1310731</v>
      </c>
    </row>
    <row r="29" spans="9:10" x14ac:dyDescent="0.25">
      <c r="I29">
        <v>2396464</v>
      </c>
      <c r="J29">
        <v>424601</v>
      </c>
    </row>
    <row r="30" spans="9:10" x14ac:dyDescent="0.25">
      <c r="I30">
        <v>2396464</v>
      </c>
      <c r="J30">
        <v>3774058</v>
      </c>
    </row>
    <row r="31" spans="9:10" x14ac:dyDescent="0.25">
      <c r="I31">
        <v>3801263</v>
      </c>
      <c r="J31">
        <v>444029</v>
      </c>
    </row>
    <row r="32" spans="9:10" x14ac:dyDescent="0.25">
      <c r="I32">
        <v>3801263</v>
      </c>
      <c r="J32">
        <v>1448371</v>
      </c>
    </row>
    <row r="33" spans="9:10" x14ac:dyDescent="0.25">
      <c r="I33">
        <v>3746291</v>
      </c>
      <c r="J33">
        <v>1284065</v>
      </c>
    </row>
    <row r="34" spans="9:10" x14ac:dyDescent="0.25">
      <c r="I34">
        <v>3746291</v>
      </c>
      <c r="J34">
        <v>437154</v>
      </c>
    </row>
    <row r="35" spans="9:10" x14ac:dyDescent="0.25">
      <c r="I35">
        <v>1938125</v>
      </c>
      <c r="J35">
        <v>437147</v>
      </c>
    </row>
    <row r="36" spans="9:10" x14ac:dyDescent="0.25">
      <c r="I36">
        <v>1938125</v>
      </c>
      <c r="J36">
        <v>1300148</v>
      </c>
    </row>
    <row r="37" spans="9:10" x14ac:dyDescent="0.25">
      <c r="I37">
        <v>2359755</v>
      </c>
      <c r="J37">
        <v>1940266</v>
      </c>
    </row>
    <row r="38" spans="9:10" x14ac:dyDescent="0.25">
      <c r="I38">
        <v>2359755</v>
      </c>
      <c r="J38">
        <v>511878</v>
      </c>
    </row>
    <row r="39" spans="9:10" x14ac:dyDescent="0.25">
      <c r="I39">
        <v>2359755</v>
      </c>
      <c r="J39">
        <v>1531609</v>
      </c>
    </row>
    <row r="40" spans="9:10" x14ac:dyDescent="0.25">
      <c r="I40">
        <v>403040</v>
      </c>
      <c r="J40">
        <v>4079374</v>
      </c>
    </row>
    <row r="41" spans="9:10" x14ac:dyDescent="0.25">
      <c r="I41">
        <v>238539</v>
      </c>
      <c r="J41">
        <v>1940312</v>
      </c>
    </row>
    <row r="42" spans="9:10" x14ac:dyDescent="0.25">
      <c r="I42">
        <v>508988</v>
      </c>
      <c r="J42">
        <v>403039</v>
      </c>
    </row>
    <row r="43" spans="9:10" x14ac:dyDescent="0.25">
      <c r="I43">
        <v>1940324</v>
      </c>
      <c r="J43">
        <v>3940551</v>
      </c>
    </row>
    <row r="44" spans="9:10" x14ac:dyDescent="0.25">
      <c r="I44">
        <v>3722021</v>
      </c>
      <c r="J44">
        <v>3635694</v>
      </c>
    </row>
    <row r="45" spans="9:10" x14ac:dyDescent="0.25">
      <c r="I45">
        <v>257093</v>
      </c>
      <c r="J45">
        <v>1940327</v>
      </c>
    </row>
    <row r="46" spans="9:10" x14ac:dyDescent="0.25">
      <c r="I46">
        <v>257093</v>
      </c>
      <c r="J46">
        <v>319684</v>
      </c>
    </row>
    <row r="47" spans="9:10" x14ac:dyDescent="0.25">
      <c r="I47">
        <v>257093</v>
      </c>
      <c r="J47">
        <v>1940743</v>
      </c>
    </row>
    <row r="48" spans="9:10" x14ac:dyDescent="0.25">
      <c r="I48">
        <v>257093</v>
      </c>
      <c r="J48">
        <v>1940466</v>
      </c>
    </row>
    <row r="49" spans="9:10" x14ac:dyDescent="0.25">
      <c r="I49">
        <v>1903849</v>
      </c>
      <c r="J49">
        <v>3545492</v>
      </c>
    </row>
    <row r="50" spans="9:10" x14ac:dyDescent="0.25">
      <c r="I50">
        <v>2353927</v>
      </c>
      <c r="J50">
        <v>292333</v>
      </c>
    </row>
    <row r="51" spans="9:10" x14ac:dyDescent="0.25">
      <c r="I51">
        <v>2353927</v>
      </c>
      <c r="J51">
        <v>437135</v>
      </c>
    </row>
    <row r="52" spans="9:10" x14ac:dyDescent="0.25">
      <c r="I52">
        <v>2410997</v>
      </c>
      <c r="J52">
        <v>1938191</v>
      </c>
    </row>
    <row r="53" spans="9:10" x14ac:dyDescent="0.25">
      <c r="I53">
        <v>2410997</v>
      </c>
      <c r="J53">
        <v>1254735</v>
      </c>
    </row>
    <row r="54" spans="9:10" x14ac:dyDescent="0.25">
      <c r="I54">
        <v>2410997</v>
      </c>
      <c r="J54">
        <v>3672992</v>
      </c>
    </row>
    <row r="55" spans="9:10" x14ac:dyDescent="0.25">
      <c r="I55">
        <v>2410997</v>
      </c>
      <c r="J55">
        <v>3484652</v>
      </c>
    </row>
    <row r="56" spans="9:10" x14ac:dyDescent="0.25">
      <c r="I56">
        <v>2410997</v>
      </c>
      <c r="J56">
        <v>3508947</v>
      </c>
    </row>
    <row r="57" spans="9:10" x14ac:dyDescent="0.25">
      <c r="I57">
        <v>2410997</v>
      </c>
      <c r="J57">
        <v>1432171</v>
      </c>
    </row>
    <row r="58" spans="9:10" x14ac:dyDescent="0.25">
      <c r="I58">
        <v>2410997</v>
      </c>
      <c r="J58">
        <v>1432170</v>
      </c>
    </row>
    <row r="59" spans="9:10" x14ac:dyDescent="0.25">
      <c r="I59">
        <v>2410997</v>
      </c>
      <c r="J59">
        <v>2420106</v>
      </c>
    </row>
    <row r="60" spans="9:10" x14ac:dyDescent="0.25">
      <c r="I60">
        <v>2410997</v>
      </c>
      <c r="J60">
        <v>1432172</v>
      </c>
    </row>
    <row r="61" spans="9:10" x14ac:dyDescent="0.25">
      <c r="I61">
        <v>1470103</v>
      </c>
      <c r="J61">
        <v>3138219</v>
      </c>
    </row>
    <row r="62" spans="9:10" x14ac:dyDescent="0.25">
      <c r="I62">
        <v>2353927</v>
      </c>
      <c r="J62">
        <v>3182342</v>
      </c>
    </row>
    <row r="63" spans="9:10" x14ac:dyDescent="0.25">
      <c r="I63">
        <v>1310731</v>
      </c>
      <c r="J63">
        <v>1154248</v>
      </c>
    </row>
    <row r="64" spans="9:10" x14ac:dyDescent="0.25">
      <c r="I64">
        <v>1310731</v>
      </c>
      <c r="J64">
        <v>288719</v>
      </c>
    </row>
    <row r="65" spans="9:10" x14ac:dyDescent="0.25">
      <c r="I65">
        <v>1470103</v>
      </c>
      <c r="J65">
        <v>3533249</v>
      </c>
    </row>
    <row r="66" spans="9:10" x14ac:dyDescent="0.25">
      <c r="I66">
        <v>1470103</v>
      </c>
      <c r="J66">
        <v>3533248</v>
      </c>
    </row>
    <row r="67" spans="9:10" x14ac:dyDescent="0.25">
      <c r="I67">
        <v>424601</v>
      </c>
      <c r="J67">
        <v>296754</v>
      </c>
    </row>
    <row r="68" spans="9:10" x14ac:dyDescent="0.25">
      <c r="I68">
        <v>424601</v>
      </c>
      <c r="J68">
        <v>1385283</v>
      </c>
    </row>
    <row r="69" spans="9:10" x14ac:dyDescent="0.25">
      <c r="I69">
        <v>424601</v>
      </c>
      <c r="J69">
        <v>3935313</v>
      </c>
    </row>
    <row r="70" spans="9:10" x14ac:dyDescent="0.25">
      <c r="I70">
        <v>424601</v>
      </c>
      <c r="J70">
        <v>4100796</v>
      </c>
    </row>
    <row r="71" spans="9:10" x14ac:dyDescent="0.25">
      <c r="I71">
        <v>424601</v>
      </c>
      <c r="J71">
        <v>4104140</v>
      </c>
    </row>
    <row r="72" spans="9:10" x14ac:dyDescent="0.25">
      <c r="I72">
        <v>3774058</v>
      </c>
      <c r="J72">
        <v>3571870</v>
      </c>
    </row>
    <row r="73" spans="9:10" x14ac:dyDescent="0.25">
      <c r="I73">
        <v>3774058</v>
      </c>
      <c r="J73">
        <v>3572051</v>
      </c>
    </row>
    <row r="74" spans="9:10" x14ac:dyDescent="0.25">
      <c r="I74">
        <v>444029</v>
      </c>
      <c r="J74">
        <v>3929691</v>
      </c>
    </row>
    <row r="75" spans="9:10" x14ac:dyDescent="0.25">
      <c r="I75">
        <v>444029</v>
      </c>
      <c r="J75">
        <v>3929540</v>
      </c>
    </row>
    <row r="76" spans="9:10" x14ac:dyDescent="0.25">
      <c r="I76">
        <v>1448371</v>
      </c>
      <c r="J76">
        <v>3929692</v>
      </c>
    </row>
    <row r="77" spans="9:10" x14ac:dyDescent="0.25">
      <c r="I77">
        <v>1448371</v>
      </c>
      <c r="J77">
        <v>3230495</v>
      </c>
    </row>
    <row r="78" spans="9:10" x14ac:dyDescent="0.25">
      <c r="I78">
        <v>1284065</v>
      </c>
      <c r="J78">
        <v>1940849</v>
      </c>
    </row>
    <row r="79" spans="9:10" x14ac:dyDescent="0.25">
      <c r="I79">
        <v>437154</v>
      </c>
      <c r="J79">
        <v>1940850</v>
      </c>
    </row>
    <row r="80" spans="9:10" x14ac:dyDescent="0.25">
      <c r="I80">
        <v>437154</v>
      </c>
      <c r="J80">
        <v>3230482</v>
      </c>
    </row>
    <row r="81" spans="9:10" x14ac:dyDescent="0.25">
      <c r="I81">
        <v>437147</v>
      </c>
      <c r="J81">
        <v>3935311</v>
      </c>
    </row>
    <row r="82" spans="9:10" x14ac:dyDescent="0.25">
      <c r="I82">
        <v>1300148</v>
      </c>
      <c r="J82">
        <v>3931835</v>
      </c>
    </row>
    <row r="83" spans="9:10" x14ac:dyDescent="0.25">
      <c r="I83">
        <v>1300148</v>
      </c>
      <c r="J83">
        <v>3938687</v>
      </c>
    </row>
    <row r="84" spans="9:10" x14ac:dyDescent="0.25">
      <c r="I84">
        <v>2359755</v>
      </c>
      <c r="J84">
        <v>3230486</v>
      </c>
    </row>
    <row r="85" spans="9:10" x14ac:dyDescent="0.25">
      <c r="I85">
        <v>2359755</v>
      </c>
      <c r="J85">
        <v>3230490</v>
      </c>
    </row>
    <row r="86" spans="9:10" x14ac:dyDescent="0.25">
      <c r="I86">
        <v>2359755</v>
      </c>
      <c r="J86">
        <v>3230487</v>
      </c>
    </row>
    <row r="87" spans="9:10" x14ac:dyDescent="0.25">
      <c r="I87">
        <v>2359755</v>
      </c>
      <c r="J87">
        <v>3230488</v>
      </c>
    </row>
    <row r="88" spans="9:10" x14ac:dyDescent="0.25">
      <c r="I88">
        <v>2359755</v>
      </c>
      <c r="J88">
        <v>3931836</v>
      </c>
    </row>
    <row r="89" spans="9:10" x14ac:dyDescent="0.25">
      <c r="I89">
        <v>2359755</v>
      </c>
      <c r="J89">
        <v>3230485</v>
      </c>
    </row>
    <row r="90" spans="9:10" x14ac:dyDescent="0.25">
      <c r="I90">
        <v>1940266</v>
      </c>
      <c r="J90">
        <v>3233560</v>
      </c>
    </row>
    <row r="91" spans="9:10" x14ac:dyDescent="0.25">
      <c r="I91">
        <v>511878</v>
      </c>
      <c r="J91">
        <v>3230492</v>
      </c>
    </row>
    <row r="92" spans="9:10" x14ac:dyDescent="0.25">
      <c r="I92">
        <v>1531609</v>
      </c>
      <c r="J92">
        <v>3572038</v>
      </c>
    </row>
    <row r="93" spans="9:10" x14ac:dyDescent="0.25">
      <c r="I93">
        <v>1531609</v>
      </c>
      <c r="J93">
        <v>3233559</v>
      </c>
    </row>
    <row r="94" spans="9:10" x14ac:dyDescent="0.25">
      <c r="I94">
        <v>3520755</v>
      </c>
      <c r="J94">
        <v>3584171</v>
      </c>
    </row>
    <row r="95" spans="9:10" x14ac:dyDescent="0.25">
      <c r="I95">
        <v>4079374</v>
      </c>
      <c r="J95">
        <v>3233557</v>
      </c>
    </row>
    <row r="96" spans="9:10" x14ac:dyDescent="0.25">
      <c r="I96">
        <v>4079374</v>
      </c>
      <c r="J96">
        <v>3233555</v>
      </c>
    </row>
    <row r="97" spans="9:10" x14ac:dyDescent="0.25">
      <c r="I97">
        <v>1300148</v>
      </c>
      <c r="J97">
        <v>3233554</v>
      </c>
    </row>
    <row r="98" spans="9:10" x14ac:dyDescent="0.25">
      <c r="I98">
        <v>1300148</v>
      </c>
      <c r="J98">
        <v>1940801</v>
      </c>
    </row>
    <row r="99" spans="9:10" x14ac:dyDescent="0.25">
      <c r="I99">
        <v>1940312</v>
      </c>
      <c r="J99">
        <v>2331952</v>
      </c>
    </row>
    <row r="100" spans="9:10" x14ac:dyDescent="0.25">
      <c r="I100">
        <v>403039</v>
      </c>
      <c r="J100">
        <v>2413708</v>
      </c>
    </row>
    <row r="101" spans="9:10" x14ac:dyDescent="0.25">
      <c r="I101">
        <v>3940551</v>
      </c>
      <c r="J101">
        <v>1940318</v>
      </c>
    </row>
    <row r="102" spans="9:10" x14ac:dyDescent="0.25">
      <c r="I102">
        <v>238539</v>
      </c>
      <c r="J102">
        <v>2331953</v>
      </c>
    </row>
    <row r="103" spans="9:10" x14ac:dyDescent="0.25">
      <c r="I103">
        <v>238539</v>
      </c>
      <c r="J103">
        <v>2349249</v>
      </c>
    </row>
    <row r="104" spans="9:10" x14ac:dyDescent="0.25">
      <c r="I104">
        <v>257093</v>
      </c>
      <c r="J104">
        <v>3673011</v>
      </c>
    </row>
    <row r="105" spans="9:10" x14ac:dyDescent="0.25">
      <c r="I105">
        <v>257093</v>
      </c>
      <c r="J105">
        <v>3673012</v>
      </c>
    </row>
    <row r="106" spans="9:10" x14ac:dyDescent="0.25">
      <c r="I106">
        <v>257093</v>
      </c>
      <c r="J106">
        <v>2270133</v>
      </c>
    </row>
    <row r="107" spans="9:10" x14ac:dyDescent="0.25">
      <c r="I107">
        <v>1903849</v>
      </c>
      <c r="J107">
        <v>1939994</v>
      </c>
    </row>
    <row r="108" spans="9:10" x14ac:dyDescent="0.25">
      <c r="I108">
        <v>3635694</v>
      </c>
      <c r="J108">
        <v>1939963</v>
      </c>
    </row>
    <row r="109" spans="9:10" x14ac:dyDescent="0.25">
      <c r="I109">
        <v>1940324</v>
      </c>
      <c r="J109">
        <v>1940262</v>
      </c>
    </row>
    <row r="110" spans="9:10" x14ac:dyDescent="0.25">
      <c r="I110">
        <v>1940324</v>
      </c>
      <c r="J110">
        <v>3943203</v>
      </c>
    </row>
    <row r="111" spans="9:10" x14ac:dyDescent="0.25">
      <c r="I111">
        <v>1940324</v>
      </c>
      <c r="J111">
        <v>1940478</v>
      </c>
    </row>
    <row r="112" spans="9:10" x14ac:dyDescent="0.25">
      <c r="I112">
        <v>1448371</v>
      </c>
      <c r="J112">
        <v>3605739</v>
      </c>
    </row>
    <row r="113" spans="9:10" x14ac:dyDescent="0.25">
      <c r="I113">
        <v>1448371</v>
      </c>
      <c r="J113">
        <v>3509824</v>
      </c>
    </row>
    <row r="114" spans="9:10" x14ac:dyDescent="0.25">
      <c r="I114">
        <v>1940327</v>
      </c>
      <c r="J114">
        <v>1940881</v>
      </c>
    </row>
    <row r="115" spans="9:10" x14ac:dyDescent="0.25">
      <c r="I115">
        <v>1940327</v>
      </c>
      <c r="J115">
        <v>1940538</v>
      </c>
    </row>
    <row r="116" spans="9:10" x14ac:dyDescent="0.25">
      <c r="I116">
        <v>511878</v>
      </c>
      <c r="J116">
        <v>3518158</v>
      </c>
    </row>
    <row r="117" spans="9:10" x14ac:dyDescent="0.25">
      <c r="I117">
        <v>238539</v>
      </c>
      <c r="J117">
        <v>1940189</v>
      </c>
    </row>
    <row r="118" spans="9:10" x14ac:dyDescent="0.25">
      <c r="I118">
        <v>403040</v>
      </c>
      <c r="J118">
        <v>1940908</v>
      </c>
    </row>
    <row r="119" spans="9:10" x14ac:dyDescent="0.25">
      <c r="I119">
        <v>403040</v>
      </c>
      <c r="J119">
        <v>3781649</v>
      </c>
    </row>
    <row r="120" spans="9:10" x14ac:dyDescent="0.25">
      <c r="I120">
        <v>3635694</v>
      </c>
      <c r="J120">
        <v>1940879</v>
      </c>
    </row>
    <row r="121" spans="9:10" x14ac:dyDescent="0.25">
      <c r="I121">
        <v>319684</v>
      </c>
      <c r="J121">
        <v>3910020</v>
      </c>
    </row>
    <row r="122" spans="9:10" x14ac:dyDescent="0.25">
      <c r="I122">
        <v>319684</v>
      </c>
      <c r="J122">
        <v>1940710</v>
      </c>
    </row>
    <row r="123" spans="9:10" x14ac:dyDescent="0.25">
      <c r="I123">
        <v>319684</v>
      </c>
      <c r="J123">
        <v>1940830</v>
      </c>
    </row>
    <row r="124" spans="9:10" x14ac:dyDescent="0.25">
      <c r="I124">
        <v>3722021</v>
      </c>
      <c r="J124">
        <v>3712521</v>
      </c>
    </row>
    <row r="125" spans="9:10" x14ac:dyDescent="0.25">
      <c r="I125">
        <v>3722021</v>
      </c>
      <c r="J125">
        <v>3926270</v>
      </c>
    </row>
    <row r="126" spans="9:10" x14ac:dyDescent="0.25">
      <c r="I126">
        <v>1940743</v>
      </c>
      <c r="J126">
        <v>1940510</v>
      </c>
    </row>
    <row r="127" spans="9:10" x14ac:dyDescent="0.25">
      <c r="I127">
        <v>1940466</v>
      </c>
      <c r="J127">
        <v>1939996</v>
      </c>
    </row>
    <row r="128" spans="9:10" x14ac:dyDescent="0.25">
      <c r="I128">
        <v>1940466</v>
      </c>
      <c r="J128">
        <v>1939993</v>
      </c>
    </row>
    <row r="129" spans="9:10" x14ac:dyDescent="0.25">
      <c r="I129">
        <v>1940466</v>
      </c>
      <c r="J129">
        <v>1940653</v>
      </c>
    </row>
    <row r="130" spans="9:10" x14ac:dyDescent="0.25">
      <c r="I130">
        <v>3635694</v>
      </c>
      <c r="J130">
        <v>1940738</v>
      </c>
    </row>
    <row r="131" spans="9:10" x14ac:dyDescent="0.25">
      <c r="I131">
        <v>3635694</v>
      </c>
      <c r="J131">
        <v>1940730</v>
      </c>
    </row>
    <row r="132" spans="9:10" x14ac:dyDescent="0.25">
      <c r="I132">
        <v>3545492</v>
      </c>
      <c r="J132">
        <v>4098593</v>
      </c>
    </row>
    <row r="133" spans="9:10" x14ac:dyDescent="0.25">
      <c r="I133">
        <v>424601</v>
      </c>
      <c r="J133">
        <v>4098592</v>
      </c>
    </row>
    <row r="134" spans="9:10" x14ac:dyDescent="0.25">
      <c r="I134">
        <v>1470103</v>
      </c>
      <c r="J134">
        <v>2427158</v>
      </c>
    </row>
    <row r="135" spans="9:10" x14ac:dyDescent="0.25">
      <c r="I135">
        <v>424601</v>
      </c>
      <c r="J135">
        <v>4096696</v>
      </c>
    </row>
    <row r="136" spans="9:10" x14ac:dyDescent="0.25">
      <c r="I136">
        <v>292333</v>
      </c>
      <c r="J136">
        <v>4096695</v>
      </c>
    </row>
    <row r="137" spans="9:10" x14ac:dyDescent="0.25">
      <c r="I137">
        <v>2410997</v>
      </c>
      <c r="J137">
        <v>3780004</v>
      </c>
    </row>
    <row r="138" spans="9:10" x14ac:dyDescent="0.25">
      <c r="I138">
        <v>2410997</v>
      </c>
      <c r="J138">
        <v>3910648</v>
      </c>
    </row>
    <row r="139" spans="9:10" x14ac:dyDescent="0.25">
      <c r="I139">
        <v>2410997</v>
      </c>
      <c r="J139">
        <v>3801265</v>
      </c>
    </row>
    <row r="140" spans="9:10" x14ac:dyDescent="0.25">
      <c r="I140">
        <v>2410997</v>
      </c>
      <c r="J140">
        <v>3775636</v>
      </c>
    </row>
    <row r="141" spans="9:10" x14ac:dyDescent="0.25">
      <c r="I141">
        <v>2410997</v>
      </c>
      <c r="J141">
        <v>3910650</v>
      </c>
    </row>
    <row r="142" spans="9:10" x14ac:dyDescent="0.25">
      <c r="I142">
        <v>1310731</v>
      </c>
      <c r="J142">
        <v>1940852</v>
      </c>
    </row>
    <row r="143" spans="9:10" x14ac:dyDescent="0.25">
      <c r="I143">
        <v>424601</v>
      </c>
      <c r="J143">
        <v>1940807</v>
      </c>
    </row>
    <row r="144" spans="9:10" x14ac:dyDescent="0.25">
      <c r="I144">
        <v>424601</v>
      </c>
      <c r="J144">
        <v>3931837</v>
      </c>
    </row>
    <row r="145" spans="9:10" x14ac:dyDescent="0.25">
      <c r="I145">
        <v>424601</v>
      </c>
      <c r="J145">
        <v>4075254</v>
      </c>
    </row>
    <row r="146" spans="9:10" x14ac:dyDescent="0.25">
      <c r="I146">
        <v>424601</v>
      </c>
      <c r="J146">
        <v>1940416</v>
      </c>
    </row>
    <row r="147" spans="9:10" x14ac:dyDescent="0.25">
      <c r="I147">
        <v>437135</v>
      </c>
      <c r="J147">
        <v>1940822</v>
      </c>
    </row>
    <row r="148" spans="9:10" x14ac:dyDescent="0.25">
      <c r="I148">
        <v>257093</v>
      </c>
      <c r="J148">
        <v>1940821</v>
      </c>
    </row>
    <row r="149" spans="9:10" x14ac:dyDescent="0.25">
      <c r="I149">
        <v>257093</v>
      </c>
      <c r="J149">
        <v>1940043</v>
      </c>
    </row>
    <row r="150" spans="9:10" x14ac:dyDescent="0.25">
      <c r="I150">
        <v>257093</v>
      </c>
      <c r="J150">
        <v>1940731</v>
      </c>
    </row>
    <row r="151" spans="9:10" x14ac:dyDescent="0.25">
      <c r="I151">
        <v>1938191</v>
      </c>
      <c r="J151">
        <v>3841883</v>
      </c>
    </row>
    <row r="152" spans="9:10" x14ac:dyDescent="0.25">
      <c r="I152">
        <v>1284065</v>
      </c>
      <c r="J152">
        <v>3910649</v>
      </c>
    </row>
    <row r="153" spans="9:10" x14ac:dyDescent="0.25">
      <c r="I153">
        <v>1284065</v>
      </c>
      <c r="J153">
        <v>3714733</v>
      </c>
    </row>
    <row r="154" spans="9:10" x14ac:dyDescent="0.25">
      <c r="I154">
        <v>1254735</v>
      </c>
      <c r="J154">
        <v>2430128</v>
      </c>
    </row>
    <row r="155" spans="9:10" x14ac:dyDescent="0.25">
      <c r="I155">
        <v>3672992</v>
      </c>
      <c r="J155">
        <v>2409616</v>
      </c>
    </row>
    <row r="156" spans="9:10" x14ac:dyDescent="0.25">
      <c r="I156">
        <v>3672992</v>
      </c>
      <c r="J156">
        <v>3229740</v>
      </c>
    </row>
    <row r="157" spans="9:10" x14ac:dyDescent="0.25">
      <c r="I157">
        <v>1940312</v>
      </c>
      <c r="J157">
        <v>3239890</v>
      </c>
    </row>
    <row r="158" spans="9:10" x14ac:dyDescent="0.25">
      <c r="I158">
        <v>1442308</v>
      </c>
      <c r="J158">
        <v>3432081</v>
      </c>
    </row>
    <row r="159" spans="9:10" x14ac:dyDescent="0.25">
      <c r="I159">
        <v>2427711</v>
      </c>
      <c r="J159">
        <v>4100177</v>
      </c>
    </row>
    <row r="160" spans="9:10" x14ac:dyDescent="0.25">
      <c r="I160">
        <v>1399341</v>
      </c>
      <c r="J160">
        <v>1940911</v>
      </c>
    </row>
    <row r="161" spans="9:10" x14ac:dyDescent="0.25">
      <c r="I161">
        <v>3911993</v>
      </c>
      <c r="J161">
        <v>1940837</v>
      </c>
    </row>
    <row r="162" spans="9:10" x14ac:dyDescent="0.25">
      <c r="I162">
        <v>3911993</v>
      </c>
      <c r="J162">
        <v>3122347</v>
      </c>
    </row>
    <row r="163" spans="9:10" x14ac:dyDescent="0.25">
      <c r="I163">
        <v>3484652</v>
      </c>
      <c r="J163">
        <v>1940715</v>
      </c>
    </row>
    <row r="164" spans="9:10" x14ac:dyDescent="0.25">
      <c r="I164">
        <v>1241174</v>
      </c>
      <c r="J164">
        <v>1940840</v>
      </c>
    </row>
    <row r="165" spans="9:10" x14ac:dyDescent="0.25">
      <c r="I165">
        <v>1241174</v>
      </c>
      <c r="J165">
        <v>1940090</v>
      </c>
    </row>
    <row r="166" spans="9:10" x14ac:dyDescent="0.25">
      <c r="I166">
        <v>4079374</v>
      </c>
      <c r="J166">
        <v>1940188</v>
      </c>
    </row>
    <row r="167" spans="9:10" x14ac:dyDescent="0.25">
      <c r="I167">
        <v>3508947</v>
      </c>
      <c r="J167">
        <v>4010435</v>
      </c>
    </row>
    <row r="168" spans="9:10" x14ac:dyDescent="0.25">
      <c r="I168">
        <v>3508947</v>
      </c>
      <c r="J168">
        <v>3572044</v>
      </c>
    </row>
    <row r="169" spans="9:10" x14ac:dyDescent="0.25">
      <c r="I169">
        <v>3508947</v>
      </c>
      <c r="J169">
        <v>1940146</v>
      </c>
    </row>
    <row r="170" spans="9:10" x14ac:dyDescent="0.25">
      <c r="I170">
        <v>1432171</v>
      </c>
      <c r="J170">
        <v>3508742</v>
      </c>
    </row>
    <row r="171" spans="9:10" x14ac:dyDescent="0.25">
      <c r="I171">
        <v>1432170</v>
      </c>
      <c r="J171">
        <v>1940686</v>
      </c>
    </row>
    <row r="172" spans="9:10" x14ac:dyDescent="0.25">
      <c r="I172">
        <v>2420106</v>
      </c>
      <c r="J172">
        <v>1939966</v>
      </c>
    </row>
    <row r="173" spans="9:10" x14ac:dyDescent="0.25">
      <c r="I173">
        <v>3635694</v>
      </c>
      <c r="J173">
        <v>1940825</v>
      </c>
    </row>
    <row r="174" spans="9:10" x14ac:dyDescent="0.25">
      <c r="I174">
        <v>3635694</v>
      </c>
      <c r="J174">
        <v>1940823</v>
      </c>
    </row>
    <row r="175" spans="9:10" x14ac:dyDescent="0.25">
      <c r="I175">
        <v>3635694</v>
      </c>
      <c r="J175">
        <v>3598957</v>
      </c>
    </row>
    <row r="176" spans="9:10" x14ac:dyDescent="0.25">
      <c r="I176">
        <v>1940324</v>
      </c>
      <c r="J176">
        <v>2256692</v>
      </c>
    </row>
    <row r="177" spans="9:10" x14ac:dyDescent="0.25">
      <c r="I177">
        <v>1940324</v>
      </c>
      <c r="J177">
        <v>1905990</v>
      </c>
    </row>
    <row r="178" spans="9:10" x14ac:dyDescent="0.25">
      <c r="I178">
        <v>1940324</v>
      </c>
      <c r="J178">
        <v>3780005</v>
      </c>
    </row>
    <row r="179" spans="9:10" x14ac:dyDescent="0.25">
      <c r="I179">
        <v>1940324</v>
      </c>
      <c r="J179">
        <v>2325421</v>
      </c>
    </row>
    <row r="180" spans="9:10" x14ac:dyDescent="0.25">
      <c r="I180">
        <v>3508947</v>
      </c>
      <c r="J180">
        <v>3935312</v>
      </c>
    </row>
    <row r="181" spans="9:10" x14ac:dyDescent="0.25">
      <c r="I181">
        <v>1442308</v>
      </c>
      <c r="J181">
        <v>3931834</v>
      </c>
    </row>
    <row r="182" spans="9:10" x14ac:dyDescent="0.25">
      <c r="I182">
        <v>2427711</v>
      </c>
      <c r="J182">
        <v>3952059</v>
      </c>
    </row>
    <row r="183" spans="9:10" x14ac:dyDescent="0.25">
      <c r="I183">
        <v>238539</v>
      </c>
      <c r="J183">
        <v>3233556</v>
      </c>
    </row>
    <row r="184" spans="9:10" x14ac:dyDescent="0.25">
      <c r="I184">
        <v>403040</v>
      </c>
      <c r="J184">
        <v>3706751</v>
      </c>
    </row>
    <row r="185" spans="9:10" x14ac:dyDescent="0.25">
      <c r="I185">
        <v>403040</v>
      </c>
      <c r="J185">
        <v>2420205</v>
      </c>
    </row>
    <row r="186" spans="9:10" x14ac:dyDescent="0.25">
      <c r="I186">
        <v>403040</v>
      </c>
      <c r="J186">
        <v>2403383</v>
      </c>
    </row>
    <row r="187" spans="9:10" x14ac:dyDescent="0.25">
      <c r="I187">
        <v>2359755</v>
      </c>
      <c r="J187">
        <v>3929636</v>
      </c>
    </row>
    <row r="188" spans="9:10" x14ac:dyDescent="0.25">
      <c r="I188">
        <v>2359755</v>
      </c>
      <c r="J188">
        <v>3556680</v>
      </c>
    </row>
    <row r="189" spans="9:10" x14ac:dyDescent="0.25">
      <c r="I189">
        <v>2359755</v>
      </c>
      <c r="J189">
        <v>1940399</v>
      </c>
    </row>
    <row r="190" spans="9:10" x14ac:dyDescent="0.25">
      <c r="I190">
        <v>403039</v>
      </c>
      <c r="J190">
        <v>2423535</v>
      </c>
    </row>
    <row r="191" spans="9:10" x14ac:dyDescent="0.25">
      <c r="I191">
        <v>460176</v>
      </c>
      <c r="J191">
        <v>3943202</v>
      </c>
    </row>
    <row r="192" spans="9:10" x14ac:dyDescent="0.25">
      <c r="I192">
        <v>1310731</v>
      </c>
      <c r="J192">
        <v>1940498</v>
      </c>
    </row>
    <row r="193" spans="9:10" x14ac:dyDescent="0.25">
      <c r="I193">
        <v>424601</v>
      </c>
      <c r="J193">
        <v>3409367</v>
      </c>
    </row>
    <row r="194" spans="9:10" x14ac:dyDescent="0.25">
      <c r="I194">
        <v>437135</v>
      </c>
      <c r="J194">
        <v>2409618</v>
      </c>
    </row>
    <row r="195" spans="9:10" x14ac:dyDescent="0.25">
      <c r="I195">
        <v>437135</v>
      </c>
      <c r="J195">
        <v>1937022</v>
      </c>
    </row>
    <row r="196" spans="9:10" x14ac:dyDescent="0.25">
      <c r="I196">
        <v>257093</v>
      </c>
      <c r="J196">
        <v>1940287</v>
      </c>
    </row>
    <row r="197" spans="9:10" x14ac:dyDescent="0.25">
      <c r="I197">
        <v>257093</v>
      </c>
      <c r="J197">
        <v>3409366</v>
      </c>
    </row>
    <row r="198" spans="9:10" x14ac:dyDescent="0.25">
      <c r="I198">
        <v>257093</v>
      </c>
      <c r="J198">
        <v>1900224</v>
      </c>
    </row>
    <row r="199" spans="9:10" x14ac:dyDescent="0.25">
      <c r="I199">
        <v>1470103</v>
      </c>
      <c r="J199">
        <v>1940437</v>
      </c>
    </row>
    <row r="200" spans="9:10" x14ac:dyDescent="0.25">
      <c r="I200">
        <v>1432171</v>
      </c>
      <c r="J200">
        <v>1940078</v>
      </c>
    </row>
    <row r="201" spans="9:10" x14ac:dyDescent="0.25">
      <c r="I201">
        <v>1432172</v>
      </c>
      <c r="J201">
        <v>1940014</v>
      </c>
    </row>
    <row r="202" spans="9:10" x14ac:dyDescent="0.25">
      <c r="I202">
        <v>3911993</v>
      </c>
      <c r="J202">
        <v>4036237</v>
      </c>
    </row>
    <row r="203" spans="9:10" x14ac:dyDescent="0.25">
      <c r="I203">
        <v>3911993</v>
      </c>
      <c r="J203">
        <v>1940603</v>
      </c>
    </row>
    <row r="204" spans="9:10" x14ac:dyDescent="0.25">
      <c r="I204">
        <v>3911993</v>
      </c>
      <c r="J204">
        <v>1940306</v>
      </c>
    </row>
    <row r="205" spans="9:10" x14ac:dyDescent="0.25">
      <c r="I205">
        <v>3911993</v>
      </c>
      <c r="J205">
        <v>3819143</v>
      </c>
    </row>
    <row r="206" spans="9:10" x14ac:dyDescent="0.25">
      <c r="I206">
        <v>3911993</v>
      </c>
      <c r="J206">
        <v>1941845</v>
      </c>
    </row>
    <row r="207" spans="9:10" x14ac:dyDescent="0.25">
      <c r="I207">
        <v>3729146</v>
      </c>
      <c r="J207">
        <v>3786201</v>
      </c>
    </row>
    <row r="208" spans="9:10" x14ac:dyDescent="0.25">
      <c r="I208">
        <v>3910451</v>
      </c>
      <c r="J208">
        <v>3786202</v>
      </c>
    </row>
    <row r="209" spans="9:10" x14ac:dyDescent="0.25">
      <c r="I209">
        <v>4079374</v>
      </c>
      <c r="J209">
        <v>1940247</v>
      </c>
    </row>
    <row r="210" spans="9:10" x14ac:dyDescent="0.25">
      <c r="I210">
        <v>3138219</v>
      </c>
      <c r="J210">
        <v>3715133</v>
      </c>
    </row>
    <row r="211" spans="9:10" x14ac:dyDescent="0.25">
      <c r="I211">
        <v>3635694</v>
      </c>
      <c r="J211">
        <v>1940815</v>
      </c>
    </row>
    <row r="212" spans="9:10" x14ac:dyDescent="0.25">
      <c r="I212">
        <v>2359755</v>
      </c>
      <c r="J212">
        <v>3929662</v>
      </c>
    </row>
    <row r="213" spans="9:10" x14ac:dyDescent="0.25">
      <c r="I213">
        <v>2359755</v>
      </c>
      <c r="J213">
        <v>4098594</v>
      </c>
    </row>
    <row r="214" spans="9:10" x14ac:dyDescent="0.25">
      <c r="I214">
        <v>3182342</v>
      </c>
      <c r="J214">
        <v>1940588</v>
      </c>
    </row>
    <row r="215" spans="9:10" x14ac:dyDescent="0.25">
      <c r="I215">
        <v>424601</v>
      </c>
      <c r="J215">
        <v>1940325</v>
      </c>
    </row>
    <row r="216" spans="9:10" x14ac:dyDescent="0.25">
      <c r="I216">
        <v>424601</v>
      </c>
      <c r="J216">
        <v>1940329</v>
      </c>
    </row>
    <row r="217" spans="9:10" x14ac:dyDescent="0.25">
      <c r="I217">
        <v>319684</v>
      </c>
      <c r="J217">
        <v>3172238</v>
      </c>
    </row>
    <row r="218" spans="9:10" x14ac:dyDescent="0.25">
      <c r="I218">
        <v>1154248</v>
      </c>
      <c r="J218">
        <v>3676337</v>
      </c>
    </row>
    <row r="219" spans="9:10" x14ac:dyDescent="0.25">
      <c r="I219">
        <v>3722021</v>
      </c>
      <c r="J219">
        <v>1940307</v>
      </c>
    </row>
    <row r="220" spans="9:10" x14ac:dyDescent="0.25">
      <c r="I220">
        <v>3182342</v>
      </c>
      <c r="J220">
        <v>1932848</v>
      </c>
    </row>
    <row r="221" spans="9:10" x14ac:dyDescent="0.25">
      <c r="I221">
        <v>3182342</v>
      </c>
      <c r="J221">
        <v>2427939</v>
      </c>
    </row>
    <row r="222" spans="9:10" x14ac:dyDescent="0.25">
      <c r="I222">
        <v>3182342</v>
      </c>
      <c r="J222">
        <v>2427960</v>
      </c>
    </row>
    <row r="223" spans="9:10" x14ac:dyDescent="0.25">
      <c r="I223">
        <v>3182342</v>
      </c>
      <c r="J223">
        <v>3171772</v>
      </c>
    </row>
    <row r="224" spans="9:10" x14ac:dyDescent="0.25">
      <c r="I224">
        <v>3182342</v>
      </c>
      <c r="J224">
        <v>1940490</v>
      </c>
    </row>
    <row r="225" spans="9:10" x14ac:dyDescent="0.25">
      <c r="I225">
        <v>3911993</v>
      </c>
      <c r="J225">
        <v>1940363</v>
      </c>
    </row>
    <row r="226" spans="9:10" x14ac:dyDescent="0.25">
      <c r="I226">
        <v>3911993</v>
      </c>
      <c r="J226">
        <v>1940626</v>
      </c>
    </row>
    <row r="227" spans="9:10" x14ac:dyDescent="0.25">
      <c r="I227">
        <v>3911993</v>
      </c>
      <c r="J227">
        <v>3901714</v>
      </c>
    </row>
    <row r="228" spans="9:10" x14ac:dyDescent="0.25">
      <c r="I228">
        <v>3729146</v>
      </c>
      <c r="J228">
        <v>2439536</v>
      </c>
    </row>
    <row r="229" spans="9:10" x14ac:dyDescent="0.25">
      <c r="I229">
        <v>3910451</v>
      </c>
      <c r="J229">
        <v>1931824</v>
      </c>
    </row>
    <row r="230" spans="9:10" x14ac:dyDescent="0.25">
      <c r="I230">
        <v>3520755</v>
      </c>
      <c r="J230">
        <v>1940472</v>
      </c>
    </row>
    <row r="231" spans="9:10" x14ac:dyDescent="0.25">
      <c r="I231">
        <v>4079374</v>
      </c>
      <c r="J231">
        <v>1174856</v>
      </c>
    </row>
    <row r="232" spans="9:10" x14ac:dyDescent="0.25">
      <c r="I232">
        <v>4079374</v>
      </c>
      <c r="J232">
        <v>2412748</v>
      </c>
    </row>
    <row r="233" spans="9:10" x14ac:dyDescent="0.25">
      <c r="I233">
        <v>403039</v>
      </c>
      <c r="J233">
        <v>2426240</v>
      </c>
    </row>
    <row r="234" spans="9:10" x14ac:dyDescent="0.25">
      <c r="I234">
        <v>403039</v>
      </c>
      <c r="J234">
        <v>2410388</v>
      </c>
    </row>
    <row r="235" spans="9:10" x14ac:dyDescent="0.25">
      <c r="I235">
        <v>288719</v>
      </c>
      <c r="J235">
        <v>1940420</v>
      </c>
    </row>
    <row r="236" spans="9:10" x14ac:dyDescent="0.25">
      <c r="I236">
        <v>460176</v>
      </c>
      <c r="J236">
        <v>1938358</v>
      </c>
    </row>
    <row r="237" spans="9:10" x14ac:dyDescent="0.25">
      <c r="I237">
        <v>460176</v>
      </c>
      <c r="J237">
        <v>2410994</v>
      </c>
    </row>
    <row r="238" spans="9:10" x14ac:dyDescent="0.25">
      <c r="I238">
        <v>3533249</v>
      </c>
      <c r="J238">
        <v>2359912</v>
      </c>
    </row>
    <row r="239" spans="9:10" x14ac:dyDescent="0.25">
      <c r="I239">
        <v>3533249</v>
      </c>
      <c r="J239">
        <v>3784469</v>
      </c>
    </row>
    <row r="240" spans="9:10" x14ac:dyDescent="0.25">
      <c r="I240">
        <v>3533248</v>
      </c>
      <c r="J240">
        <v>3506193</v>
      </c>
    </row>
    <row r="241" spans="9:10" x14ac:dyDescent="0.25">
      <c r="I241">
        <v>3533248</v>
      </c>
      <c r="J241">
        <v>3507077</v>
      </c>
    </row>
    <row r="242" spans="9:10" x14ac:dyDescent="0.25">
      <c r="I242">
        <v>3182342</v>
      </c>
      <c r="J242">
        <v>3508521</v>
      </c>
    </row>
    <row r="243" spans="9:10" x14ac:dyDescent="0.25">
      <c r="I243">
        <v>3182342</v>
      </c>
      <c r="J243">
        <v>3781673</v>
      </c>
    </row>
    <row r="244" spans="9:10" x14ac:dyDescent="0.25">
      <c r="I244">
        <v>3182342</v>
      </c>
      <c r="J244">
        <v>1938163</v>
      </c>
    </row>
    <row r="245" spans="9:10" x14ac:dyDescent="0.25">
      <c r="I245">
        <v>3182342</v>
      </c>
      <c r="J245">
        <v>2417648</v>
      </c>
    </row>
    <row r="246" spans="9:10" x14ac:dyDescent="0.25">
      <c r="I246">
        <v>3182342</v>
      </c>
      <c r="J246">
        <v>3228788</v>
      </c>
    </row>
    <row r="247" spans="9:10" x14ac:dyDescent="0.25">
      <c r="I247">
        <v>3484652</v>
      </c>
      <c r="J247">
        <v>3781637</v>
      </c>
    </row>
    <row r="248" spans="9:10" x14ac:dyDescent="0.25">
      <c r="I248">
        <v>1241174</v>
      </c>
      <c r="J248">
        <v>1568170</v>
      </c>
    </row>
    <row r="249" spans="9:10" x14ac:dyDescent="0.25">
      <c r="I249">
        <v>424601</v>
      </c>
      <c r="J249">
        <v>3863819</v>
      </c>
    </row>
    <row r="250" spans="9:10" x14ac:dyDescent="0.25">
      <c r="I250">
        <v>424601</v>
      </c>
      <c r="J250">
        <v>1941303</v>
      </c>
    </row>
    <row r="251" spans="9:10" x14ac:dyDescent="0.25">
      <c r="I251">
        <v>296754</v>
      </c>
      <c r="J251">
        <v>2410999</v>
      </c>
    </row>
    <row r="252" spans="9:10" x14ac:dyDescent="0.25">
      <c r="I252">
        <v>1385283</v>
      </c>
      <c r="J252">
        <v>1939544</v>
      </c>
    </row>
    <row r="253" spans="9:10" x14ac:dyDescent="0.25">
      <c r="I253">
        <v>1385283</v>
      </c>
      <c r="J253">
        <v>3507486</v>
      </c>
    </row>
    <row r="254" spans="9:10" x14ac:dyDescent="0.25">
      <c r="I254">
        <v>1284065</v>
      </c>
      <c r="J254">
        <v>1939284</v>
      </c>
    </row>
    <row r="255" spans="9:10" x14ac:dyDescent="0.25">
      <c r="I255">
        <v>1284065</v>
      </c>
      <c r="J255">
        <v>2429059</v>
      </c>
    </row>
    <row r="256" spans="9:10" x14ac:dyDescent="0.25">
      <c r="I256">
        <v>508988</v>
      </c>
      <c r="J256">
        <v>1938118</v>
      </c>
    </row>
    <row r="257" spans="9:10" x14ac:dyDescent="0.25">
      <c r="I257">
        <v>1442308</v>
      </c>
      <c r="J257">
        <v>1938119</v>
      </c>
    </row>
    <row r="258" spans="9:10" x14ac:dyDescent="0.25">
      <c r="I258">
        <v>3911993</v>
      </c>
      <c r="J258">
        <v>1938382</v>
      </c>
    </row>
    <row r="259" spans="9:10" x14ac:dyDescent="0.25">
      <c r="I259">
        <v>3911993</v>
      </c>
      <c r="J259">
        <v>3599863</v>
      </c>
    </row>
    <row r="260" spans="9:10" x14ac:dyDescent="0.25">
      <c r="I260">
        <v>3729146</v>
      </c>
      <c r="J260">
        <v>2410996</v>
      </c>
    </row>
    <row r="261" spans="9:10" x14ac:dyDescent="0.25">
      <c r="I261">
        <v>3910451</v>
      </c>
      <c r="J261">
        <v>1939283</v>
      </c>
    </row>
    <row r="262" spans="9:10" x14ac:dyDescent="0.25">
      <c r="I262">
        <v>3484652</v>
      </c>
      <c r="J262">
        <v>3190072</v>
      </c>
    </row>
    <row r="263" spans="9:10" x14ac:dyDescent="0.25">
      <c r="I263">
        <v>1241174</v>
      </c>
      <c r="J263">
        <v>3781664</v>
      </c>
    </row>
    <row r="264" spans="9:10" x14ac:dyDescent="0.25">
      <c r="I264">
        <v>3520755</v>
      </c>
      <c r="J264">
        <v>1940302</v>
      </c>
    </row>
    <row r="265" spans="9:10" x14ac:dyDescent="0.25">
      <c r="I265">
        <v>4079374</v>
      </c>
      <c r="J265">
        <v>1511515</v>
      </c>
    </row>
    <row r="266" spans="9:10" x14ac:dyDescent="0.25">
      <c r="I266">
        <v>3935313</v>
      </c>
      <c r="J266">
        <v>3617058</v>
      </c>
    </row>
    <row r="267" spans="9:10" x14ac:dyDescent="0.25">
      <c r="I267">
        <v>4100796</v>
      </c>
    </row>
    <row r="268" spans="9:10" x14ac:dyDescent="0.25">
      <c r="I268">
        <v>4104140</v>
      </c>
    </row>
    <row r="269" spans="9:10" x14ac:dyDescent="0.25">
      <c r="I269">
        <v>3571870</v>
      </c>
    </row>
    <row r="270" spans="9:10" x14ac:dyDescent="0.25">
      <c r="I270">
        <v>3571870</v>
      </c>
    </row>
    <row r="271" spans="9:10" x14ac:dyDescent="0.25">
      <c r="I271">
        <v>3572051</v>
      </c>
    </row>
    <row r="272" spans="9:10" x14ac:dyDescent="0.25">
      <c r="I272">
        <v>3572051</v>
      </c>
    </row>
    <row r="273" spans="9:9" x14ac:dyDescent="0.25">
      <c r="I273">
        <v>3572051</v>
      </c>
    </row>
    <row r="274" spans="9:9" x14ac:dyDescent="0.25">
      <c r="I274">
        <v>3572051</v>
      </c>
    </row>
    <row r="275" spans="9:9" x14ac:dyDescent="0.25">
      <c r="I275">
        <v>3572051</v>
      </c>
    </row>
    <row r="276" spans="9:9" x14ac:dyDescent="0.25">
      <c r="I276">
        <v>3572051</v>
      </c>
    </row>
    <row r="277" spans="9:9" x14ac:dyDescent="0.25">
      <c r="I277">
        <v>3572051</v>
      </c>
    </row>
    <row r="278" spans="9:9" x14ac:dyDescent="0.25">
      <c r="I278">
        <v>3572051</v>
      </c>
    </row>
    <row r="279" spans="9:9" x14ac:dyDescent="0.25">
      <c r="I279">
        <v>3572051</v>
      </c>
    </row>
    <row r="280" spans="9:9" x14ac:dyDescent="0.25">
      <c r="I280">
        <v>3929691</v>
      </c>
    </row>
    <row r="281" spans="9:9" x14ac:dyDescent="0.25">
      <c r="I281">
        <v>3929540</v>
      </c>
    </row>
    <row r="282" spans="9:9" x14ac:dyDescent="0.25">
      <c r="I282">
        <v>3929540</v>
      </c>
    </row>
    <row r="283" spans="9:9" x14ac:dyDescent="0.25">
      <c r="I283">
        <v>3929540</v>
      </c>
    </row>
    <row r="284" spans="9:9" x14ac:dyDescent="0.25">
      <c r="I284">
        <v>3929692</v>
      </c>
    </row>
    <row r="285" spans="9:9" x14ac:dyDescent="0.25">
      <c r="I285">
        <v>3929692</v>
      </c>
    </row>
    <row r="286" spans="9:9" x14ac:dyDescent="0.25">
      <c r="I286">
        <v>3230495</v>
      </c>
    </row>
    <row r="287" spans="9:9" x14ac:dyDescent="0.25">
      <c r="I287">
        <v>3230495</v>
      </c>
    </row>
    <row r="288" spans="9:9" x14ac:dyDescent="0.25">
      <c r="I288">
        <v>1940849</v>
      </c>
    </row>
    <row r="289" spans="9:9" x14ac:dyDescent="0.25">
      <c r="I289">
        <v>1940850</v>
      </c>
    </row>
    <row r="290" spans="9:9" x14ac:dyDescent="0.25">
      <c r="I290">
        <v>1940850</v>
      </c>
    </row>
    <row r="291" spans="9:9" x14ac:dyDescent="0.25">
      <c r="I291">
        <v>3230482</v>
      </c>
    </row>
    <row r="292" spans="9:9" x14ac:dyDescent="0.25">
      <c r="I292">
        <v>3230482</v>
      </c>
    </row>
    <row r="293" spans="9:9" x14ac:dyDescent="0.25">
      <c r="I293">
        <v>3935311</v>
      </c>
    </row>
    <row r="294" spans="9:9" x14ac:dyDescent="0.25">
      <c r="I294">
        <v>3931835</v>
      </c>
    </row>
    <row r="295" spans="9:9" x14ac:dyDescent="0.25">
      <c r="I295">
        <v>3938687</v>
      </c>
    </row>
    <row r="296" spans="9:9" x14ac:dyDescent="0.25">
      <c r="I296">
        <v>3230486</v>
      </c>
    </row>
    <row r="297" spans="9:9" x14ac:dyDescent="0.25">
      <c r="I297">
        <v>3230490</v>
      </c>
    </row>
    <row r="298" spans="9:9" x14ac:dyDescent="0.25">
      <c r="I298">
        <v>3230487</v>
      </c>
    </row>
    <row r="299" spans="9:9" x14ac:dyDescent="0.25">
      <c r="I299">
        <v>3230487</v>
      </c>
    </row>
    <row r="300" spans="9:9" x14ac:dyDescent="0.25">
      <c r="I300">
        <v>3230487</v>
      </c>
    </row>
    <row r="301" spans="9:9" x14ac:dyDescent="0.25">
      <c r="I301">
        <v>3230488</v>
      </c>
    </row>
    <row r="302" spans="9:9" x14ac:dyDescent="0.25">
      <c r="I302">
        <v>3931836</v>
      </c>
    </row>
    <row r="303" spans="9:9" x14ac:dyDescent="0.25">
      <c r="I303">
        <v>3230485</v>
      </c>
    </row>
    <row r="304" spans="9:9" x14ac:dyDescent="0.25">
      <c r="I304">
        <v>3233560</v>
      </c>
    </row>
    <row r="305" spans="9:9" x14ac:dyDescent="0.25">
      <c r="I305">
        <v>3230492</v>
      </c>
    </row>
    <row r="306" spans="9:9" x14ac:dyDescent="0.25">
      <c r="I306">
        <v>3572038</v>
      </c>
    </row>
    <row r="307" spans="9:9" x14ac:dyDescent="0.25">
      <c r="I307">
        <v>3572038</v>
      </c>
    </row>
    <row r="308" spans="9:9" x14ac:dyDescent="0.25">
      <c r="I308">
        <v>3233559</v>
      </c>
    </row>
    <row r="309" spans="9:9" x14ac:dyDescent="0.25">
      <c r="I309">
        <v>3233559</v>
      </c>
    </row>
    <row r="310" spans="9:9" x14ac:dyDescent="0.25">
      <c r="I310">
        <v>3584171</v>
      </c>
    </row>
    <row r="311" spans="9:9" x14ac:dyDescent="0.25">
      <c r="I311">
        <v>3233557</v>
      </c>
    </row>
    <row r="312" spans="9:9" x14ac:dyDescent="0.25">
      <c r="I312">
        <v>3233557</v>
      </c>
    </row>
    <row r="313" spans="9:9" x14ac:dyDescent="0.25">
      <c r="I313">
        <v>3233555</v>
      </c>
    </row>
    <row r="314" spans="9:9" x14ac:dyDescent="0.25">
      <c r="I314">
        <v>3233555</v>
      </c>
    </row>
    <row r="315" spans="9:9" x14ac:dyDescent="0.25">
      <c r="I315">
        <v>3233554</v>
      </c>
    </row>
    <row r="316" spans="9:9" x14ac:dyDescent="0.25">
      <c r="I316">
        <v>1940801</v>
      </c>
    </row>
    <row r="317" spans="9:9" x14ac:dyDescent="0.25">
      <c r="I317">
        <v>1940801</v>
      </c>
    </row>
    <row r="318" spans="9:9" x14ac:dyDescent="0.25">
      <c r="I318">
        <v>1940801</v>
      </c>
    </row>
    <row r="319" spans="9:9" x14ac:dyDescent="0.25">
      <c r="I319">
        <v>1940801</v>
      </c>
    </row>
    <row r="320" spans="9:9" x14ac:dyDescent="0.25">
      <c r="I320">
        <v>1940801</v>
      </c>
    </row>
    <row r="321" spans="9:9" x14ac:dyDescent="0.25">
      <c r="I321">
        <v>1940801</v>
      </c>
    </row>
    <row r="322" spans="9:9" x14ac:dyDescent="0.25">
      <c r="I322">
        <v>1940801</v>
      </c>
    </row>
    <row r="323" spans="9:9" x14ac:dyDescent="0.25">
      <c r="I323">
        <v>1940801</v>
      </c>
    </row>
    <row r="324" spans="9:9" x14ac:dyDescent="0.25">
      <c r="I324">
        <v>1940801</v>
      </c>
    </row>
    <row r="325" spans="9:9" x14ac:dyDescent="0.25">
      <c r="I325">
        <v>2331952</v>
      </c>
    </row>
    <row r="326" spans="9:9" x14ac:dyDescent="0.25">
      <c r="I326">
        <v>2413708</v>
      </c>
    </row>
    <row r="327" spans="9:9" x14ac:dyDescent="0.25">
      <c r="I327">
        <v>2413708</v>
      </c>
    </row>
    <row r="328" spans="9:9" x14ac:dyDescent="0.25">
      <c r="I328">
        <v>2413708</v>
      </c>
    </row>
    <row r="329" spans="9:9" x14ac:dyDescent="0.25">
      <c r="I329">
        <v>2413708</v>
      </c>
    </row>
    <row r="330" spans="9:9" x14ac:dyDescent="0.25">
      <c r="I330">
        <v>2413708</v>
      </c>
    </row>
    <row r="331" spans="9:9" x14ac:dyDescent="0.25">
      <c r="I331">
        <v>2413708</v>
      </c>
    </row>
    <row r="332" spans="9:9" x14ac:dyDescent="0.25">
      <c r="I332">
        <v>2413708</v>
      </c>
    </row>
    <row r="333" spans="9:9" x14ac:dyDescent="0.25">
      <c r="I333">
        <v>1940318</v>
      </c>
    </row>
    <row r="334" spans="9:9" x14ac:dyDescent="0.25">
      <c r="I334">
        <v>2331953</v>
      </c>
    </row>
    <row r="335" spans="9:9" x14ac:dyDescent="0.25">
      <c r="I335">
        <v>2331953</v>
      </c>
    </row>
    <row r="336" spans="9:9" x14ac:dyDescent="0.25">
      <c r="I336">
        <v>3935313</v>
      </c>
    </row>
    <row r="337" spans="9:9" x14ac:dyDescent="0.25">
      <c r="I337">
        <v>4100796</v>
      </c>
    </row>
    <row r="338" spans="9:9" x14ac:dyDescent="0.25">
      <c r="I338">
        <v>4104140</v>
      </c>
    </row>
    <row r="339" spans="9:9" x14ac:dyDescent="0.25">
      <c r="I339">
        <v>3571870</v>
      </c>
    </row>
    <row r="340" spans="9:9" x14ac:dyDescent="0.25">
      <c r="I340">
        <v>3572051</v>
      </c>
    </row>
    <row r="341" spans="9:9" x14ac:dyDescent="0.25">
      <c r="I341">
        <v>3572051</v>
      </c>
    </row>
    <row r="342" spans="9:9" x14ac:dyDescent="0.25">
      <c r="I342">
        <v>3929691</v>
      </c>
    </row>
    <row r="343" spans="9:9" x14ac:dyDescent="0.25">
      <c r="I343">
        <v>3929540</v>
      </c>
    </row>
    <row r="344" spans="9:9" x14ac:dyDescent="0.25">
      <c r="I344">
        <v>3929692</v>
      </c>
    </row>
    <row r="345" spans="9:9" x14ac:dyDescent="0.25">
      <c r="I345">
        <v>3230495</v>
      </c>
    </row>
    <row r="346" spans="9:9" x14ac:dyDescent="0.25">
      <c r="I346">
        <v>1940849</v>
      </c>
    </row>
    <row r="347" spans="9:9" x14ac:dyDescent="0.25">
      <c r="I347">
        <v>1940850</v>
      </c>
    </row>
    <row r="348" spans="9:9" x14ac:dyDescent="0.25">
      <c r="I348">
        <v>3230482</v>
      </c>
    </row>
    <row r="349" spans="9:9" x14ac:dyDescent="0.25">
      <c r="I349">
        <v>3935311</v>
      </c>
    </row>
    <row r="350" spans="9:9" x14ac:dyDescent="0.25">
      <c r="I350">
        <v>3931835</v>
      </c>
    </row>
    <row r="351" spans="9:9" x14ac:dyDescent="0.25">
      <c r="I351">
        <v>3938687</v>
      </c>
    </row>
    <row r="352" spans="9:9" x14ac:dyDescent="0.25">
      <c r="I352">
        <v>3230486</v>
      </c>
    </row>
    <row r="353" spans="9:9" x14ac:dyDescent="0.25">
      <c r="I353">
        <v>3230490</v>
      </c>
    </row>
    <row r="354" spans="9:9" x14ac:dyDescent="0.25">
      <c r="I354">
        <v>3230487</v>
      </c>
    </row>
    <row r="355" spans="9:9" x14ac:dyDescent="0.25">
      <c r="I355">
        <v>3230488</v>
      </c>
    </row>
    <row r="356" spans="9:9" x14ac:dyDescent="0.25">
      <c r="I356">
        <v>3931836</v>
      </c>
    </row>
    <row r="357" spans="9:9" x14ac:dyDescent="0.25">
      <c r="I357">
        <v>3230485</v>
      </c>
    </row>
    <row r="358" spans="9:9" x14ac:dyDescent="0.25">
      <c r="I358">
        <v>3233560</v>
      </c>
    </row>
    <row r="359" spans="9:9" x14ac:dyDescent="0.25">
      <c r="I359">
        <v>3230492</v>
      </c>
    </row>
    <row r="360" spans="9:9" x14ac:dyDescent="0.25">
      <c r="I360">
        <v>3572038</v>
      </c>
    </row>
    <row r="361" spans="9:9" x14ac:dyDescent="0.25">
      <c r="I361">
        <v>3233559</v>
      </c>
    </row>
    <row r="362" spans="9:9" x14ac:dyDescent="0.25">
      <c r="I362">
        <v>3584171</v>
      </c>
    </row>
    <row r="363" spans="9:9" x14ac:dyDescent="0.25">
      <c r="I363">
        <v>3233557</v>
      </c>
    </row>
    <row r="364" spans="9:9" x14ac:dyDescent="0.25">
      <c r="I364">
        <v>3233555</v>
      </c>
    </row>
    <row r="365" spans="9:9" x14ac:dyDescent="0.25">
      <c r="I365">
        <v>3233555</v>
      </c>
    </row>
    <row r="366" spans="9:9" x14ac:dyDescent="0.25">
      <c r="I366">
        <v>3233554</v>
      </c>
    </row>
    <row r="367" spans="9:9" x14ac:dyDescent="0.25">
      <c r="I367">
        <v>1940801</v>
      </c>
    </row>
    <row r="368" spans="9:9" x14ac:dyDescent="0.25">
      <c r="I368">
        <v>1940801</v>
      </c>
    </row>
    <row r="369" spans="9:9" x14ac:dyDescent="0.25">
      <c r="I369">
        <v>1940801</v>
      </c>
    </row>
    <row r="370" spans="9:9" x14ac:dyDescent="0.25">
      <c r="I370">
        <v>2349249</v>
      </c>
    </row>
    <row r="371" spans="9:9" x14ac:dyDescent="0.25">
      <c r="I371">
        <v>2349249</v>
      </c>
    </row>
    <row r="372" spans="9:9" x14ac:dyDescent="0.25">
      <c r="I372">
        <v>2349249</v>
      </c>
    </row>
    <row r="373" spans="9:9" x14ac:dyDescent="0.25">
      <c r="I373">
        <v>3673011</v>
      </c>
    </row>
    <row r="374" spans="9:9" x14ac:dyDescent="0.25">
      <c r="I374">
        <v>3673011</v>
      </c>
    </row>
    <row r="375" spans="9:9" x14ac:dyDescent="0.25">
      <c r="I375">
        <v>3673011</v>
      </c>
    </row>
    <row r="376" spans="9:9" x14ac:dyDescent="0.25">
      <c r="I376">
        <v>3673011</v>
      </c>
    </row>
    <row r="377" spans="9:9" x14ac:dyDescent="0.25">
      <c r="I377">
        <v>3673012</v>
      </c>
    </row>
    <row r="378" spans="9:9" x14ac:dyDescent="0.25">
      <c r="I378">
        <v>3673012</v>
      </c>
    </row>
    <row r="379" spans="9:9" x14ac:dyDescent="0.25">
      <c r="I379">
        <v>3673012</v>
      </c>
    </row>
    <row r="380" spans="9:9" x14ac:dyDescent="0.25">
      <c r="I380">
        <v>2270133</v>
      </c>
    </row>
    <row r="381" spans="9:9" x14ac:dyDescent="0.25">
      <c r="I381">
        <v>1939994</v>
      </c>
    </row>
    <row r="382" spans="9:9" x14ac:dyDescent="0.25">
      <c r="I382">
        <v>1939994</v>
      </c>
    </row>
    <row r="383" spans="9:9" x14ac:dyDescent="0.25">
      <c r="I383">
        <v>1939963</v>
      </c>
    </row>
    <row r="384" spans="9:9" x14ac:dyDescent="0.25">
      <c r="I384">
        <v>1939963</v>
      </c>
    </row>
    <row r="385" spans="9:9" x14ac:dyDescent="0.25">
      <c r="I385">
        <v>1940262</v>
      </c>
    </row>
    <row r="386" spans="9:9" x14ac:dyDescent="0.25">
      <c r="I386">
        <v>1940262</v>
      </c>
    </row>
    <row r="387" spans="9:9" x14ac:dyDescent="0.25">
      <c r="I387">
        <v>1940262</v>
      </c>
    </row>
    <row r="388" spans="9:9" x14ac:dyDescent="0.25">
      <c r="I388">
        <v>3943203</v>
      </c>
    </row>
    <row r="389" spans="9:9" x14ac:dyDescent="0.25">
      <c r="I389">
        <v>3943203</v>
      </c>
    </row>
    <row r="390" spans="9:9" x14ac:dyDescent="0.25">
      <c r="I390">
        <v>3943203</v>
      </c>
    </row>
    <row r="391" spans="9:9" x14ac:dyDescent="0.25">
      <c r="I391">
        <v>3943203</v>
      </c>
    </row>
    <row r="392" spans="9:9" x14ac:dyDescent="0.25">
      <c r="I392">
        <v>1940478</v>
      </c>
    </row>
    <row r="393" spans="9:9" x14ac:dyDescent="0.25">
      <c r="I393">
        <v>1940478</v>
      </c>
    </row>
    <row r="394" spans="9:9" x14ac:dyDescent="0.25">
      <c r="I394">
        <v>3935313</v>
      </c>
    </row>
    <row r="395" spans="9:9" x14ac:dyDescent="0.25">
      <c r="I395">
        <v>4100796</v>
      </c>
    </row>
    <row r="396" spans="9:9" x14ac:dyDescent="0.25">
      <c r="I396">
        <v>3605739</v>
      </c>
    </row>
    <row r="397" spans="9:9" x14ac:dyDescent="0.25">
      <c r="I397">
        <v>1940801</v>
      </c>
    </row>
    <row r="398" spans="9:9" x14ac:dyDescent="0.25">
      <c r="I398">
        <v>1940801</v>
      </c>
    </row>
    <row r="399" spans="9:9" x14ac:dyDescent="0.25">
      <c r="I399">
        <v>3935311</v>
      </c>
    </row>
    <row r="400" spans="9:9" x14ac:dyDescent="0.25">
      <c r="I400">
        <v>3233554</v>
      </c>
    </row>
    <row r="401" spans="9:9" x14ac:dyDescent="0.25">
      <c r="I401">
        <v>3572038</v>
      </c>
    </row>
    <row r="402" spans="9:9" x14ac:dyDescent="0.25">
      <c r="I402">
        <v>3929692</v>
      </c>
    </row>
    <row r="403" spans="9:9" x14ac:dyDescent="0.25">
      <c r="I403">
        <v>3233555</v>
      </c>
    </row>
    <row r="404" spans="9:9" x14ac:dyDescent="0.25">
      <c r="I404">
        <v>3233555</v>
      </c>
    </row>
    <row r="405" spans="9:9" x14ac:dyDescent="0.25">
      <c r="I405">
        <v>3230492</v>
      </c>
    </row>
    <row r="406" spans="9:9" x14ac:dyDescent="0.25">
      <c r="I406">
        <v>3572051</v>
      </c>
    </row>
    <row r="407" spans="9:9" x14ac:dyDescent="0.25">
      <c r="I407">
        <v>3572051</v>
      </c>
    </row>
    <row r="408" spans="9:9" x14ac:dyDescent="0.25">
      <c r="I408">
        <v>3230485</v>
      </c>
    </row>
    <row r="409" spans="9:9" x14ac:dyDescent="0.25">
      <c r="I409">
        <v>3230485</v>
      </c>
    </row>
    <row r="410" spans="9:9" x14ac:dyDescent="0.25">
      <c r="I410">
        <v>3230485</v>
      </c>
    </row>
    <row r="411" spans="9:9" x14ac:dyDescent="0.25">
      <c r="I411">
        <v>3931836</v>
      </c>
    </row>
    <row r="412" spans="9:9" x14ac:dyDescent="0.25">
      <c r="I412">
        <v>3233557</v>
      </c>
    </row>
    <row r="413" spans="9:9" x14ac:dyDescent="0.25">
      <c r="I413">
        <v>3230482</v>
      </c>
    </row>
    <row r="414" spans="9:9" x14ac:dyDescent="0.25">
      <c r="I414">
        <v>3929540</v>
      </c>
    </row>
    <row r="415" spans="9:9" x14ac:dyDescent="0.25">
      <c r="I415">
        <v>3571870</v>
      </c>
    </row>
    <row r="416" spans="9:9" x14ac:dyDescent="0.25">
      <c r="I416">
        <v>3230488</v>
      </c>
    </row>
    <row r="417" spans="9:9" x14ac:dyDescent="0.25">
      <c r="I417">
        <v>3230487</v>
      </c>
    </row>
    <row r="418" spans="9:9" x14ac:dyDescent="0.25">
      <c r="I418">
        <v>3230490</v>
      </c>
    </row>
    <row r="419" spans="9:9" x14ac:dyDescent="0.25">
      <c r="I419">
        <v>3230495</v>
      </c>
    </row>
    <row r="420" spans="9:9" x14ac:dyDescent="0.25">
      <c r="I420">
        <v>3929691</v>
      </c>
    </row>
    <row r="421" spans="9:9" x14ac:dyDescent="0.25">
      <c r="I421">
        <v>2420106</v>
      </c>
    </row>
    <row r="422" spans="9:9" x14ac:dyDescent="0.25">
      <c r="I422">
        <v>2420106</v>
      </c>
    </row>
    <row r="423" spans="9:9" x14ac:dyDescent="0.25">
      <c r="I423">
        <v>2420106</v>
      </c>
    </row>
    <row r="424" spans="9:9" x14ac:dyDescent="0.25">
      <c r="I424">
        <v>2420106</v>
      </c>
    </row>
    <row r="425" spans="9:9" x14ac:dyDescent="0.25">
      <c r="I425">
        <v>3509824</v>
      </c>
    </row>
    <row r="426" spans="9:9" x14ac:dyDescent="0.25">
      <c r="I426">
        <v>3509824</v>
      </c>
    </row>
    <row r="427" spans="9:9" x14ac:dyDescent="0.25">
      <c r="I427">
        <v>3509824</v>
      </c>
    </row>
    <row r="428" spans="9:9" x14ac:dyDescent="0.25">
      <c r="I428">
        <v>1940881</v>
      </c>
    </row>
    <row r="429" spans="9:9" x14ac:dyDescent="0.25">
      <c r="I429">
        <v>1940881</v>
      </c>
    </row>
    <row r="430" spans="9:9" x14ac:dyDescent="0.25">
      <c r="I430">
        <v>1940881</v>
      </c>
    </row>
    <row r="431" spans="9:9" x14ac:dyDescent="0.25">
      <c r="I431">
        <v>1940538</v>
      </c>
    </row>
    <row r="432" spans="9:9" x14ac:dyDescent="0.25">
      <c r="I432">
        <v>1940538</v>
      </c>
    </row>
    <row r="433" spans="9:9" x14ac:dyDescent="0.25">
      <c r="I433">
        <v>1940538</v>
      </c>
    </row>
    <row r="434" spans="9:9" x14ac:dyDescent="0.25">
      <c r="I434">
        <v>1940538</v>
      </c>
    </row>
    <row r="435" spans="9:9" x14ac:dyDescent="0.25">
      <c r="I435">
        <v>1940538</v>
      </c>
    </row>
    <row r="436" spans="9:9" x14ac:dyDescent="0.25">
      <c r="I436">
        <v>1940538</v>
      </c>
    </row>
    <row r="437" spans="9:9" x14ac:dyDescent="0.25">
      <c r="I437">
        <v>3518158</v>
      </c>
    </row>
    <row r="438" spans="9:9" x14ac:dyDescent="0.25">
      <c r="I438">
        <v>3518158</v>
      </c>
    </row>
    <row r="439" spans="9:9" x14ac:dyDescent="0.25">
      <c r="I439">
        <v>3518158</v>
      </c>
    </row>
    <row r="440" spans="9:9" x14ac:dyDescent="0.25">
      <c r="I440">
        <v>1940189</v>
      </c>
    </row>
    <row r="441" spans="9:9" x14ac:dyDescent="0.25">
      <c r="I441">
        <v>1940189</v>
      </c>
    </row>
    <row r="442" spans="9:9" x14ac:dyDescent="0.25">
      <c r="I442">
        <v>1940908</v>
      </c>
    </row>
    <row r="443" spans="9:9" x14ac:dyDescent="0.25">
      <c r="I443">
        <v>3781649</v>
      </c>
    </row>
    <row r="444" spans="9:9" x14ac:dyDescent="0.25">
      <c r="I444">
        <v>1940879</v>
      </c>
    </row>
    <row r="445" spans="9:9" x14ac:dyDescent="0.25">
      <c r="I445">
        <v>1940879</v>
      </c>
    </row>
    <row r="446" spans="9:9" x14ac:dyDescent="0.25">
      <c r="I446">
        <v>1940879</v>
      </c>
    </row>
    <row r="447" spans="9:9" x14ac:dyDescent="0.25">
      <c r="I447">
        <v>1940879</v>
      </c>
    </row>
    <row r="448" spans="9:9" x14ac:dyDescent="0.25">
      <c r="I448">
        <v>1940879</v>
      </c>
    </row>
    <row r="449" spans="9:9" x14ac:dyDescent="0.25">
      <c r="I449">
        <v>1940879</v>
      </c>
    </row>
    <row r="450" spans="9:9" x14ac:dyDescent="0.25">
      <c r="I450">
        <v>3910020</v>
      </c>
    </row>
    <row r="451" spans="9:9" x14ac:dyDescent="0.25">
      <c r="I451">
        <v>3910020</v>
      </c>
    </row>
    <row r="452" spans="9:9" x14ac:dyDescent="0.25">
      <c r="I452">
        <v>3910020</v>
      </c>
    </row>
    <row r="453" spans="9:9" x14ac:dyDescent="0.25">
      <c r="I453">
        <v>3910020</v>
      </c>
    </row>
    <row r="454" spans="9:9" x14ac:dyDescent="0.25">
      <c r="I454">
        <v>3910020</v>
      </c>
    </row>
    <row r="455" spans="9:9" x14ac:dyDescent="0.25">
      <c r="I455">
        <v>3910020</v>
      </c>
    </row>
    <row r="456" spans="9:9" x14ac:dyDescent="0.25">
      <c r="I456">
        <v>1940710</v>
      </c>
    </row>
    <row r="457" spans="9:9" x14ac:dyDescent="0.25">
      <c r="I457">
        <v>1940710</v>
      </c>
    </row>
    <row r="458" spans="9:9" x14ac:dyDescent="0.25">
      <c r="I458">
        <v>4100796</v>
      </c>
    </row>
    <row r="459" spans="9:9" x14ac:dyDescent="0.25">
      <c r="I459">
        <v>4104140</v>
      </c>
    </row>
    <row r="460" spans="9:9" x14ac:dyDescent="0.25">
      <c r="I460">
        <v>3571870</v>
      </c>
    </row>
    <row r="461" spans="9:9" x14ac:dyDescent="0.25">
      <c r="I461">
        <v>3572051</v>
      </c>
    </row>
    <row r="462" spans="9:9" x14ac:dyDescent="0.25">
      <c r="I462">
        <v>3929691</v>
      </c>
    </row>
    <row r="463" spans="9:9" x14ac:dyDescent="0.25">
      <c r="I463">
        <v>3929540</v>
      </c>
    </row>
    <row r="464" spans="9:9" x14ac:dyDescent="0.25">
      <c r="I464">
        <v>3929692</v>
      </c>
    </row>
    <row r="465" spans="9:9" x14ac:dyDescent="0.25">
      <c r="I465">
        <v>3230495</v>
      </c>
    </row>
    <row r="466" spans="9:9" x14ac:dyDescent="0.25">
      <c r="I466">
        <v>1940849</v>
      </c>
    </row>
    <row r="467" spans="9:9" x14ac:dyDescent="0.25">
      <c r="I467">
        <v>1940850</v>
      </c>
    </row>
    <row r="468" spans="9:9" x14ac:dyDescent="0.25">
      <c r="I468">
        <v>3230482</v>
      </c>
    </row>
    <row r="469" spans="9:9" x14ac:dyDescent="0.25">
      <c r="I469">
        <v>3935311</v>
      </c>
    </row>
    <row r="470" spans="9:9" x14ac:dyDescent="0.25">
      <c r="I470">
        <v>3931835</v>
      </c>
    </row>
    <row r="471" spans="9:9" x14ac:dyDescent="0.25">
      <c r="I471">
        <v>3938687</v>
      </c>
    </row>
    <row r="472" spans="9:9" x14ac:dyDescent="0.25">
      <c r="I472">
        <v>3230486</v>
      </c>
    </row>
    <row r="473" spans="9:9" x14ac:dyDescent="0.25">
      <c r="I473">
        <v>3230490</v>
      </c>
    </row>
    <row r="474" spans="9:9" x14ac:dyDescent="0.25">
      <c r="I474">
        <v>3230487</v>
      </c>
    </row>
    <row r="475" spans="9:9" x14ac:dyDescent="0.25">
      <c r="I475">
        <v>3230488</v>
      </c>
    </row>
    <row r="476" spans="9:9" x14ac:dyDescent="0.25">
      <c r="I476">
        <v>3931836</v>
      </c>
    </row>
    <row r="477" spans="9:9" x14ac:dyDescent="0.25">
      <c r="I477">
        <v>3230485</v>
      </c>
    </row>
    <row r="478" spans="9:9" x14ac:dyDescent="0.25">
      <c r="I478">
        <v>3233560</v>
      </c>
    </row>
    <row r="479" spans="9:9" x14ac:dyDescent="0.25">
      <c r="I479">
        <v>3230492</v>
      </c>
    </row>
    <row r="480" spans="9:9" x14ac:dyDescent="0.25">
      <c r="I480">
        <v>3230492</v>
      </c>
    </row>
    <row r="481" spans="9:9" x14ac:dyDescent="0.25">
      <c r="I481">
        <v>3572038</v>
      </c>
    </row>
    <row r="482" spans="9:9" x14ac:dyDescent="0.25">
      <c r="I482">
        <v>3572038</v>
      </c>
    </row>
    <row r="483" spans="9:9" x14ac:dyDescent="0.25">
      <c r="I483">
        <v>3233559</v>
      </c>
    </row>
    <row r="484" spans="9:9" x14ac:dyDescent="0.25">
      <c r="I484">
        <v>3584171</v>
      </c>
    </row>
    <row r="485" spans="9:9" x14ac:dyDescent="0.25">
      <c r="I485">
        <v>3233557</v>
      </c>
    </row>
    <row r="486" spans="9:9" x14ac:dyDescent="0.25">
      <c r="I486">
        <v>3233555</v>
      </c>
    </row>
    <row r="487" spans="9:9" x14ac:dyDescent="0.25">
      <c r="I487">
        <v>3233554</v>
      </c>
    </row>
    <row r="488" spans="9:9" x14ac:dyDescent="0.25">
      <c r="I488">
        <v>1940801</v>
      </c>
    </row>
    <row r="489" spans="9:9" x14ac:dyDescent="0.25">
      <c r="I489">
        <v>1940801</v>
      </c>
    </row>
    <row r="490" spans="9:9" x14ac:dyDescent="0.25">
      <c r="I490">
        <v>3935313</v>
      </c>
    </row>
    <row r="491" spans="9:9" x14ac:dyDescent="0.25">
      <c r="I491">
        <v>2270133</v>
      </c>
    </row>
    <row r="492" spans="9:9" x14ac:dyDescent="0.25">
      <c r="I492">
        <v>2270133</v>
      </c>
    </row>
    <row r="493" spans="9:9" x14ac:dyDescent="0.25">
      <c r="I493">
        <v>2270133</v>
      </c>
    </row>
    <row r="494" spans="9:9" x14ac:dyDescent="0.25">
      <c r="I494">
        <v>1939994</v>
      </c>
    </row>
    <row r="495" spans="9:9" x14ac:dyDescent="0.25">
      <c r="I495">
        <v>1939994</v>
      </c>
    </row>
    <row r="496" spans="9:9" x14ac:dyDescent="0.25">
      <c r="I496">
        <v>1939994</v>
      </c>
    </row>
    <row r="497" spans="9:9" x14ac:dyDescent="0.25">
      <c r="I497">
        <v>1939963</v>
      </c>
    </row>
    <row r="498" spans="9:9" x14ac:dyDescent="0.25">
      <c r="I498">
        <v>1940830</v>
      </c>
    </row>
    <row r="499" spans="9:9" x14ac:dyDescent="0.25">
      <c r="I499">
        <v>1940830</v>
      </c>
    </row>
    <row r="500" spans="9:9" x14ac:dyDescent="0.25">
      <c r="I500">
        <v>3712521</v>
      </c>
    </row>
    <row r="501" spans="9:9" x14ac:dyDescent="0.25">
      <c r="I501">
        <v>3926270</v>
      </c>
    </row>
    <row r="502" spans="9:9" x14ac:dyDescent="0.25">
      <c r="I502">
        <v>3926270</v>
      </c>
    </row>
    <row r="503" spans="9:9" x14ac:dyDescent="0.25">
      <c r="I503">
        <v>3926270</v>
      </c>
    </row>
    <row r="504" spans="9:9" x14ac:dyDescent="0.25">
      <c r="I504">
        <v>1940510</v>
      </c>
    </row>
    <row r="505" spans="9:9" x14ac:dyDescent="0.25">
      <c r="I505">
        <v>1940510</v>
      </c>
    </row>
    <row r="506" spans="9:9" x14ac:dyDescent="0.25">
      <c r="I506">
        <v>1939996</v>
      </c>
    </row>
    <row r="507" spans="9:9" x14ac:dyDescent="0.25">
      <c r="I507">
        <v>1939996</v>
      </c>
    </row>
    <row r="508" spans="9:9" x14ac:dyDescent="0.25">
      <c r="I508">
        <v>1939996</v>
      </c>
    </row>
    <row r="509" spans="9:9" x14ac:dyDescent="0.25">
      <c r="I509">
        <v>1939993</v>
      </c>
    </row>
    <row r="510" spans="9:9" x14ac:dyDescent="0.25">
      <c r="I510">
        <v>1939993</v>
      </c>
    </row>
    <row r="511" spans="9:9" x14ac:dyDescent="0.25">
      <c r="I511">
        <v>1939993</v>
      </c>
    </row>
    <row r="512" spans="9:9" x14ac:dyDescent="0.25">
      <c r="I512">
        <v>1940653</v>
      </c>
    </row>
    <row r="513" spans="9:9" x14ac:dyDescent="0.25">
      <c r="I513">
        <v>1940653</v>
      </c>
    </row>
    <row r="514" spans="9:9" x14ac:dyDescent="0.25">
      <c r="I514">
        <v>1940653</v>
      </c>
    </row>
    <row r="515" spans="9:9" x14ac:dyDescent="0.25">
      <c r="I515">
        <v>1940653</v>
      </c>
    </row>
    <row r="516" spans="9:9" x14ac:dyDescent="0.25">
      <c r="I516">
        <v>1940738</v>
      </c>
    </row>
    <row r="517" spans="9:9" x14ac:dyDescent="0.25">
      <c r="I517">
        <v>1940738</v>
      </c>
    </row>
    <row r="518" spans="9:9" x14ac:dyDescent="0.25">
      <c r="I518">
        <v>1940730</v>
      </c>
    </row>
    <row r="519" spans="9:9" x14ac:dyDescent="0.25">
      <c r="I519">
        <v>4098593</v>
      </c>
    </row>
    <row r="520" spans="9:9" x14ac:dyDescent="0.25">
      <c r="I520">
        <v>4098593</v>
      </c>
    </row>
    <row r="521" spans="9:9" x14ac:dyDescent="0.25">
      <c r="I521">
        <v>4098593</v>
      </c>
    </row>
    <row r="522" spans="9:9" x14ac:dyDescent="0.25">
      <c r="I522">
        <v>4098593</v>
      </c>
    </row>
    <row r="523" spans="9:9" x14ac:dyDescent="0.25">
      <c r="I523">
        <v>4098592</v>
      </c>
    </row>
    <row r="524" spans="9:9" x14ac:dyDescent="0.25">
      <c r="I524">
        <v>4098592</v>
      </c>
    </row>
    <row r="525" spans="9:9" x14ac:dyDescent="0.25">
      <c r="I525">
        <v>4098592</v>
      </c>
    </row>
    <row r="526" spans="9:9" x14ac:dyDescent="0.25">
      <c r="I526">
        <v>2427158</v>
      </c>
    </row>
    <row r="527" spans="9:9" x14ac:dyDescent="0.25">
      <c r="I527">
        <v>2427158</v>
      </c>
    </row>
    <row r="528" spans="9:9" x14ac:dyDescent="0.25">
      <c r="I528">
        <v>2427158</v>
      </c>
    </row>
    <row r="529" spans="9:9" x14ac:dyDescent="0.25">
      <c r="I529">
        <v>2427158</v>
      </c>
    </row>
    <row r="530" spans="9:9" x14ac:dyDescent="0.25">
      <c r="I530">
        <v>2427158</v>
      </c>
    </row>
    <row r="531" spans="9:9" x14ac:dyDescent="0.25">
      <c r="I531">
        <v>2427158</v>
      </c>
    </row>
    <row r="532" spans="9:9" x14ac:dyDescent="0.25">
      <c r="I532">
        <v>4096696</v>
      </c>
    </row>
    <row r="533" spans="9:9" x14ac:dyDescent="0.25">
      <c r="I533">
        <v>4096696</v>
      </c>
    </row>
    <row r="534" spans="9:9" x14ac:dyDescent="0.25">
      <c r="I534">
        <v>4096695</v>
      </c>
    </row>
    <row r="535" spans="9:9" x14ac:dyDescent="0.25">
      <c r="I535">
        <v>4096695</v>
      </c>
    </row>
    <row r="536" spans="9:9" x14ac:dyDescent="0.25">
      <c r="I536">
        <v>4096695</v>
      </c>
    </row>
    <row r="537" spans="9:9" x14ac:dyDescent="0.25">
      <c r="I537">
        <v>4096695</v>
      </c>
    </row>
    <row r="538" spans="9:9" x14ac:dyDescent="0.25">
      <c r="I538">
        <v>3780004</v>
      </c>
    </row>
    <row r="539" spans="9:9" x14ac:dyDescent="0.25">
      <c r="I539">
        <v>3780004</v>
      </c>
    </row>
    <row r="540" spans="9:9" x14ac:dyDescent="0.25">
      <c r="I540">
        <v>3910648</v>
      </c>
    </row>
    <row r="541" spans="9:9" x14ac:dyDescent="0.25">
      <c r="I541">
        <v>3910648</v>
      </c>
    </row>
    <row r="542" spans="9:9" x14ac:dyDescent="0.25">
      <c r="I542">
        <v>3801265</v>
      </c>
    </row>
    <row r="543" spans="9:9" x14ac:dyDescent="0.25">
      <c r="I543">
        <v>3801265</v>
      </c>
    </row>
    <row r="544" spans="9:9" x14ac:dyDescent="0.25">
      <c r="I544">
        <v>3775636</v>
      </c>
    </row>
    <row r="545" spans="9:9" x14ac:dyDescent="0.25">
      <c r="I545">
        <v>3775636</v>
      </c>
    </row>
    <row r="546" spans="9:9" x14ac:dyDescent="0.25">
      <c r="I546">
        <v>3775636</v>
      </c>
    </row>
    <row r="547" spans="9:9" x14ac:dyDescent="0.25">
      <c r="I547">
        <v>3775636</v>
      </c>
    </row>
    <row r="548" spans="9:9" x14ac:dyDescent="0.25">
      <c r="I548">
        <v>3910650</v>
      </c>
    </row>
    <row r="549" spans="9:9" x14ac:dyDescent="0.25">
      <c r="I549">
        <v>3910650</v>
      </c>
    </row>
    <row r="550" spans="9:9" x14ac:dyDescent="0.25">
      <c r="I550">
        <v>1940852</v>
      </c>
    </row>
    <row r="551" spans="9:9" x14ac:dyDescent="0.25">
      <c r="I551">
        <v>1940852</v>
      </c>
    </row>
    <row r="552" spans="9:9" x14ac:dyDescent="0.25">
      <c r="I552">
        <v>1940852</v>
      </c>
    </row>
    <row r="553" spans="9:9" x14ac:dyDescent="0.25">
      <c r="I553">
        <v>1940852</v>
      </c>
    </row>
    <row r="554" spans="9:9" x14ac:dyDescent="0.25">
      <c r="I554">
        <v>1940807</v>
      </c>
    </row>
    <row r="555" spans="9:9" x14ac:dyDescent="0.25">
      <c r="I555">
        <v>1940801</v>
      </c>
    </row>
    <row r="556" spans="9:9" x14ac:dyDescent="0.25">
      <c r="I556">
        <v>3935311</v>
      </c>
    </row>
    <row r="557" spans="9:9" x14ac:dyDescent="0.25">
      <c r="I557">
        <v>3233554</v>
      </c>
    </row>
    <row r="558" spans="9:9" x14ac:dyDescent="0.25">
      <c r="I558">
        <v>3572038</v>
      </c>
    </row>
    <row r="559" spans="9:9" x14ac:dyDescent="0.25">
      <c r="I559">
        <v>3929692</v>
      </c>
    </row>
    <row r="560" spans="9:9" x14ac:dyDescent="0.25">
      <c r="I560">
        <v>3931837</v>
      </c>
    </row>
    <row r="561" spans="9:9" x14ac:dyDescent="0.25">
      <c r="I561">
        <v>3931837</v>
      </c>
    </row>
    <row r="562" spans="9:9" x14ac:dyDescent="0.25">
      <c r="I562">
        <v>3233555</v>
      </c>
    </row>
    <row r="563" spans="9:9" x14ac:dyDescent="0.25">
      <c r="I563">
        <v>3233555</v>
      </c>
    </row>
    <row r="564" spans="9:9" x14ac:dyDescent="0.25">
      <c r="I564">
        <v>3233555</v>
      </c>
    </row>
    <row r="565" spans="9:9" x14ac:dyDescent="0.25">
      <c r="I565">
        <v>3230492</v>
      </c>
    </row>
    <row r="566" spans="9:9" x14ac:dyDescent="0.25">
      <c r="I566">
        <v>3233560</v>
      </c>
    </row>
    <row r="567" spans="9:9" x14ac:dyDescent="0.25">
      <c r="I567">
        <v>3572051</v>
      </c>
    </row>
    <row r="568" spans="9:9" x14ac:dyDescent="0.25">
      <c r="I568">
        <v>3572051</v>
      </c>
    </row>
    <row r="569" spans="9:9" x14ac:dyDescent="0.25">
      <c r="I569">
        <v>3230485</v>
      </c>
    </row>
    <row r="570" spans="9:9" x14ac:dyDescent="0.25">
      <c r="I570">
        <v>3931836</v>
      </c>
    </row>
    <row r="571" spans="9:9" x14ac:dyDescent="0.25">
      <c r="I571">
        <v>3233557</v>
      </c>
    </row>
    <row r="572" spans="9:9" x14ac:dyDescent="0.25">
      <c r="I572">
        <v>3230482</v>
      </c>
    </row>
    <row r="573" spans="9:9" x14ac:dyDescent="0.25">
      <c r="I573">
        <v>3929540</v>
      </c>
    </row>
    <row r="574" spans="9:9" x14ac:dyDescent="0.25">
      <c r="I574">
        <v>3571870</v>
      </c>
    </row>
    <row r="575" spans="9:9" x14ac:dyDescent="0.25">
      <c r="I575">
        <v>3230488</v>
      </c>
    </row>
    <row r="576" spans="9:9" x14ac:dyDescent="0.25">
      <c r="I576">
        <v>3230488</v>
      </c>
    </row>
    <row r="577" spans="9:9" x14ac:dyDescent="0.25">
      <c r="I577">
        <v>3230487</v>
      </c>
    </row>
    <row r="578" spans="9:9" x14ac:dyDescent="0.25">
      <c r="I578">
        <v>3230490</v>
      </c>
    </row>
    <row r="579" spans="9:9" x14ac:dyDescent="0.25">
      <c r="I579">
        <v>3230495</v>
      </c>
    </row>
    <row r="580" spans="9:9" x14ac:dyDescent="0.25">
      <c r="I580">
        <v>3929691</v>
      </c>
    </row>
    <row r="581" spans="9:9" x14ac:dyDescent="0.25">
      <c r="I581">
        <v>4075254</v>
      </c>
    </row>
    <row r="582" spans="9:9" x14ac:dyDescent="0.25">
      <c r="I582">
        <v>4075254</v>
      </c>
    </row>
    <row r="583" spans="9:9" x14ac:dyDescent="0.25">
      <c r="I583">
        <v>4075254</v>
      </c>
    </row>
    <row r="584" spans="9:9" x14ac:dyDescent="0.25">
      <c r="I584">
        <v>3935313</v>
      </c>
    </row>
    <row r="585" spans="9:9" x14ac:dyDescent="0.25">
      <c r="I585">
        <v>3673011</v>
      </c>
    </row>
    <row r="586" spans="9:9" x14ac:dyDescent="0.25">
      <c r="I586">
        <v>3673011</v>
      </c>
    </row>
    <row r="587" spans="9:9" x14ac:dyDescent="0.25">
      <c r="I587">
        <v>3673011</v>
      </c>
    </row>
    <row r="588" spans="9:9" x14ac:dyDescent="0.25">
      <c r="I588">
        <v>2270133</v>
      </c>
    </row>
    <row r="589" spans="9:9" x14ac:dyDescent="0.25">
      <c r="I589">
        <v>2270133</v>
      </c>
    </row>
    <row r="590" spans="9:9" x14ac:dyDescent="0.25">
      <c r="I590">
        <v>2270133</v>
      </c>
    </row>
    <row r="591" spans="9:9" x14ac:dyDescent="0.25">
      <c r="I591">
        <v>2270133</v>
      </c>
    </row>
    <row r="592" spans="9:9" x14ac:dyDescent="0.25">
      <c r="I592">
        <v>2270133</v>
      </c>
    </row>
    <row r="593" spans="9:9" x14ac:dyDescent="0.25">
      <c r="I593">
        <v>2270133</v>
      </c>
    </row>
    <row r="594" spans="9:9" x14ac:dyDescent="0.25">
      <c r="I594">
        <v>2270133</v>
      </c>
    </row>
    <row r="595" spans="9:9" x14ac:dyDescent="0.25">
      <c r="I595">
        <v>4100796</v>
      </c>
    </row>
    <row r="596" spans="9:9" x14ac:dyDescent="0.25">
      <c r="I596">
        <v>4104140</v>
      </c>
    </row>
    <row r="597" spans="9:9" x14ac:dyDescent="0.25">
      <c r="I597">
        <v>3571870</v>
      </c>
    </row>
    <row r="598" spans="9:9" x14ac:dyDescent="0.25">
      <c r="I598">
        <v>3572051</v>
      </c>
    </row>
    <row r="599" spans="9:9" x14ac:dyDescent="0.25">
      <c r="I599">
        <v>3572051</v>
      </c>
    </row>
    <row r="600" spans="9:9" x14ac:dyDescent="0.25">
      <c r="I600">
        <v>3929691</v>
      </c>
    </row>
    <row r="601" spans="9:9" x14ac:dyDescent="0.25">
      <c r="I601">
        <v>3929540</v>
      </c>
    </row>
    <row r="602" spans="9:9" x14ac:dyDescent="0.25">
      <c r="I602">
        <v>3929692</v>
      </c>
    </row>
    <row r="603" spans="9:9" x14ac:dyDescent="0.25">
      <c r="I603">
        <v>3230495</v>
      </c>
    </row>
    <row r="604" spans="9:9" x14ac:dyDescent="0.25">
      <c r="I604">
        <v>1940849</v>
      </c>
    </row>
    <row r="605" spans="9:9" x14ac:dyDescent="0.25">
      <c r="I605">
        <v>1940850</v>
      </c>
    </row>
    <row r="606" spans="9:9" x14ac:dyDescent="0.25">
      <c r="I606">
        <v>3230482</v>
      </c>
    </row>
    <row r="607" spans="9:9" x14ac:dyDescent="0.25">
      <c r="I607">
        <v>3230482</v>
      </c>
    </row>
    <row r="608" spans="9:9" x14ac:dyDescent="0.25">
      <c r="I608">
        <v>3230482</v>
      </c>
    </row>
    <row r="609" spans="9:9" x14ac:dyDescent="0.25">
      <c r="I609">
        <v>3935311</v>
      </c>
    </row>
    <row r="610" spans="9:9" x14ac:dyDescent="0.25">
      <c r="I610">
        <v>3935311</v>
      </c>
    </row>
    <row r="611" spans="9:9" x14ac:dyDescent="0.25">
      <c r="I611">
        <v>3931835</v>
      </c>
    </row>
    <row r="612" spans="9:9" x14ac:dyDescent="0.25">
      <c r="I612">
        <v>3938687</v>
      </c>
    </row>
    <row r="613" spans="9:9" x14ac:dyDescent="0.25">
      <c r="I613">
        <v>3230486</v>
      </c>
    </row>
    <row r="614" spans="9:9" x14ac:dyDescent="0.25">
      <c r="I614">
        <v>3230490</v>
      </c>
    </row>
    <row r="615" spans="9:9" x14ac:dyDescent="0.25">
      <c r="I615">
        <v>3230487</v>
      </c>
    </row>
    <row r="616" spans="9:9" x14ac:dyDescent="0.25">
      <c r="I616">
        <v>3230488</v>
      </c>
    </row>
    <row r="617" spans="9:9" x14ac:dyDescent="0.25">
      <c r="I617">
        <v>3931836</v>
      </c>
    </row>
    <row r="618" spans="9:9" x14ac:dyDescent="0.25">
      <c r="I618">
        <v>3230485</v>
      </c>
    </row>
    <row r="619" spans="9:9" x14ac:dyDescent="0.25">
      <c r="I619">
        <v>3230485</v>
      </c>
    </row>
    <row r="620" spans="9:9" x14ac:dyDescent="0.25">
      <c r="I620">
        <v>3233560</v>
      </c>
    </row>
    <row r="621" spans="9:9" x14ac:dyDescent="0.25">
      <c r="I621">
        <v>3230492</v>
      </c>
    </row>
    <row r="622" spans="9:9" x14ac:dyDescent="0.25">
      <c r="I622">
        <v>3572038</v>
      </c>
    </row>
    <row r="623" spans="9:9" x14ac:dyDescent="0.25">
      <c r="I623">
        <v>3233559</v>
      </c>
    </row>
    <row r="624" spans="9:9" x14ac:dyDescent="0.25">
      <c r="I624">
        <v>3584171</v>
      </c>
    </row>
    <row r="625" spans="9:9" x14ac:dyDescent="0.25">
      <c r="I625">
        <v>3584171</v>
      </c>
    </row>
    <row r="626" spans="9:9" x14ac:dyDescent="0.25">
      <c r="I626">
        <v>3233557</v>
      </c>
    </row>
    <row r="627" spans="9:9" x14ac:dyDescent="0.25">
      <c r="I627">
        <v>3233555</v>
      </c>
    </row>
    <row r="628" spans="9:9" x14ac:dyDescent="0.25">
      <c r="I628">
        <v>3233555</v>
      </c>
    </row>
    <row r="629" spans="9:9" x14ac:dyDescent="0.25">
      <c r="I629">
        <v>3233554</v>
      </c>
    </row>
    <row r="630" spans="9:9" x14ac:dyDescent="0.25">
      <c r="I630">
        <v>1940801</v>
      </c>
    </row>
    <row r="631" spans="9:9" x14ac:dyDescent="0.25">
      <c r="I631">
        <v>1940801</v>
      </c>
    </row>
    <row r="632" spans="9:9" x14ac:dyDescent="0.25">
      <c r="I632">
        <v>3935313</v>
      </c>
    </row>
    <row r="633" spans="9:9" x14ac:dyDescent="0.25">
      <c r="I633">
        <v>4100796</v>
      </c>
    </row>
    <row r="634" spans="9:9" x14ac:dyDescent="0.25">
      <c r="I634">
        <v>4104140</v>
      </c>
    </row>
    <row r="635" spans="9:9" x14ac:dyDescent="0.25">
      <c r="I635">
        <v>3571870</v>
      </c>
    </row>
    <row r="636" spans="9:9" x14ac:dyDescent="0.25">
      <c r="I636">
        <v>3572051</v>
      </c>
    </row>
    <row r="637" spans="9:9" x14ac:dyDescent="0.25">
      <c r="I637">
        <v>3929691</v>
      </c>
    </row>
    <row r="638" spans="9:9" x14ac:dyDescent="0.25">
      <c r="I638">
        <v>3929540</v>
      </c>
    </row>
    <row r="639" spans="9:9" x14ac:dyDescent="0.25">
      <c r="I639">
        <v>3929692</v>
      </c>
    </row>
    <row r="640" spans="9:9" x14ac:dyDescent="0.25">
      <c r="I640">
        <v>3929692</v>
      </c>
    </row>
    <row r="641" spans="9:9" x14ac:dyDescent="0.25">
      <c r="I641">
        <v>3929692</v>
      </c>
    </row>
    <row r="642" spans="9:9" x14ac:dyDescent="0.25">
      <c r="I642">
        <v>3230495</v>
      </c>
    </row>
    <row r="643" spans="9:9" x14ac:dyDescent="0.25">
      <c r="I643">
        <v>1940849</v>
      </c>
    </row>
    <row r="644" spans="9:9" x14ac:dyDescent="0.25">
      <c r="I644">
        <v>1940850</v>
      </c>
    </row>
    <row r="645" spans="9:9" x14ac:dyDescent="0.25">
      <c r="I645">
        <v>3230482</v>
      </c>
    </row>
    <row r="646" spans="9:9" x14ac:dyDescent="0.25">
      <c r="I646">
        <v>3935311</v>
      </c>
    </row>
    <row r="647" spans="9:9" x14ac:dyDescent="0.25">
      <c r="I647">
        <v>3931835</v>
      </c>
    </row>
    <row r="648" spans="9:9" x14ac:dyDescent="0.25">
      <c r="I648">
        <v>3938687</v>
      </c>
    </row>
    <row r="649" spans="9:9" x14ac:dyDescent="0.25">
      <c r="I649">
        <v>3230486</v>
      </c>
    </row>
    <row r="650" spans="9:9" x14ac:dyDescent="0.25">
      <c r="I650">
        <v>3230490</v>
      </c>
    </row>
    <row r="651" spans="9:9" x14ac:dyDescent="0.25">
      <c r="I651">
        <v>3230490</v>
      </c>
    </row>
    <row r="652" spans="9:9" x14ac:dyDescent="0.25">
      <c r="I652">
        <v>3230487</v>
      </c>
    </row>
    <row r="653" spans="9:9" x14ac:dyDescent="0.25">
      <c r="I653">
        <v>3230488</v>
      </c>
    </row>
    <row r="654" spans="9:9" x14ac:dyDescent="0.25">
      <c r="I654">
        <v>3931836</v>
      </c>
    </row>
    <row r="655" spans="9:9" x14ac:dyDescent="0.25">
      <c r="I655">
        <v>3230485</v>
      </c>
    </row>
    <row r="656" spans="9:9" x14ac:dyDescent="0.25">
      <c r="I656">
        <v>3233560</v>
      </c>
    </row>
    <row r="657" spans="9:9" x14ac:dyDescent="0.25">
      <c r="I657">
        <v>3233560</v>
      </c>
    </row>
    <row r="658" spans="9:9" x14ac:dyDescent="0.25">
      <c r="I658">
        <v>3233560</v>
      </c>
    </row>
    <row r="659" spans="9:9" x14ac:dyDescent="0.25">
      <c r="I659">
        <v>3230492</v>
      </c>
    </row>
    <row r="660" spans="9:9" x14ac:dyDescent="0.25">
      <c r="I660">
        <v>3230492</v>
      </c>
    </row>
    <row r="661" spans="9:9" x14ac:dyDescent="0.25">
      <c r="I661">
        <v>3572038</v>
      </c>
    </row>
    <row r="662" spans="9:9" x14ac:dyDescent="0.25">
      <c r="I662">
        <v>3233559</v>
      </c>
    </row>
    <row r="663" spans="9:9" x14ac:dyDescent="0.25">
      <c r="I663">
        <v>3584171</v>
      </c>
    </row>
    <row r="664" spans="9:9" x14ac:dyDescent="0.25">
      <c r="I664">
        <v>3233557</v>
      </c>
    </row>
    <row r="665" spans="9:9" x14ac:dyDescent="0.25">
      <c r="I665">
        <v>3233557</v>
      </c>
    </row>
    <row r="666" spans="9:9" x14ac:dyDescent="0.25">
      <c r="I666">
        <v>3233557</v>
      </c>
    </row>
    <row r="667" spans="9:9" x14ac:dyDescent="0.25">
      <c r="I667">
        <v>3233557</v>
      </c>
    </row>
    <row r="668" spans="9:9" x14ac:dyDescent="0.25">
      <c r="I668">
        <v>3233557</v>
      </c>
    </row>
    <row r="669" spans="9:9" x14ac:dyDescent="0.25">
      <c r="I669">
        <v>3233555</v>
      </c>
    </row>
    <row r="670" spans="9:9" x14ac:dyDescent="0.25">
      <c r="I670">
        <v>3233555</v>
      </c>
    </row>
    <row r="671" spans="9:9" x14ac:dyDescent="0.25">
      <c r="I671">
        <v>3233554</v>
      </c>
    </row>
    <row r="672" spans="9:9" x14ac:dyDescent="0.25">
      <c r="I672">
        <v>3233554</v>
      </c>
    </row>
    <row r="673" spans="9:9" x14ac:dyDescent="0.25">
      <c r="I673">
        <v>3233554</v>
      </c>
    </row>
    <row r="674" spans="9:9" x14ac:dyDescent="0.25">
      <c r="I674">
        <v>3233554</v>
      </c>
    </row>
    <row r="675" spans="9:9" x14ac:dyDescent="0.25">
      <c r="I675">
        <v>1940801</v>
      </c>
    </row>
    <row r="676" spans="9:9" x14ac:dyDescent="0.25">
      <c r="I676">
        <v>1940801</v>
      </c>
    </row>
    <row r="677" spans="9:9" x14ac:dyDescent="0.25">
      <c r="I677">
        <v>3935313</v>
      </c>
    </row>
    <row r="678" spans="9:9" x14ac:dyDescent="0.25">
      <c r="I678">
        <v>1940416</v>
      </c>
    </row>
    <row r="679" spans="9:9" x14ac:dyDescent="0.25">
      <c r="I679">
        <v>1940416</v>
      </c>
    </row>
    <row r="680" spans="9:9" x14ac:dyDescent="0.25">
      <c r="I680">
        <v>1940416</v>
      </c>
    </row>
    <row r="681" spans="9:9" x14ac:dyDescent="0.25">
      <c r="I681">
        <v>1940416</v>
      </c>
    </row>
    <row r="682" spans="9:9" x14ac:dyDescent="0.25">
      <c r="I682">
        <v>1940822</v>
      </c>
    </row>
    <row r="683" spans="9:9" x14ac:dyDescent="0.25">
      <c r="I683">
        <v>1940822</v>
      </c>
    </row>
    <row r="684" spans="9:9" x14ac:dyDescent="0.25">
      <c r="I684">
        <v>1940822</v>
      </c>
    </row>
    <row r="685" spans="9:9" x14ac:dyDescent="0.25">
      <c r="I685">
        <v>1940821</v>
      </c>
    </row>
    <row r="686" spans="9:9" x14ac:dyDescent="0.25">
      <c r="I686">
        <v>1940821</v>
      </c>
    </row>
    <row r="687" spans="9:9" x14ac:dyDescent="0.25">
      <c r="I687">
        <v>3673011</v>
      </c>
    </row>
    <row r="688" spans="9:9" x14ac:dyDescent="0.25">
      <c r="I688">
        <v>3673011</v>
      </c>
    </row>
    <row r="689" spans="9:9" x14ac:dyDescent="0.25">
      <c r="I689">
        <v>3673011</v>
      </c>
    </row>
    <row r="690" spans="9:9" x14ac:dyDescent="0.25">
      <c r="I690">
        <v>3673011</v>
      </c>
    </row>
    <row r="691" spans="9:9" x14ac:dyDescent="0.25">
      <c r="I691">
        <v>3673011</v>
      </c>
    </row>
    <row r="692" spans="9:9" x14ac:dyDescent="0.25">
      <c r="I692">
        <v>1940043</v>
      </c>
    </row>
    <row r="693" spans="9:9" x14ac:dyDescent="0.25">
      <c r="I693">
        <v>1940043</v>
      </c>
    </row>
    <row r="694" spans="9:9" x14ac:dyDescent="0.25">
      <c r="I694">
        <v>1940043</v>
      </c>
    </row>
    <row r="695" spans="9:9" x14ac:dyDescent="0.25">
      <c r="I695">
        <v>1940043</v>
      </c>
    </row>
    <row r="696" spans="9:9" x14ac:dyDescent="0.25">
      <c r="I696">
        <v>2270133</v>
      </c>
    </row>
    <row r="697" spans="9:9" x14ac:dyDescent="0.25">
      <c r="I697">
        <v>2270133</v>
      </c>
    </row>
    <row r="698" spans="9:9" x14ac:dyDescent="0.25">
      <c r="I698">
        <v>2270133</v>
      </c>
    </row>
    <row r="699" spans="9:9" x14ac:dyDescent="0.25">
      <c r="I699">
        <v>2270133</v>
      </c>
    </row>
    <row r="700" spans="9:9" x14ac:dyDescent="0.25">
      <c r="I700">
        <v>2270133</v>
      </c>
    </row>
    <row r="701" spans="9:9" x14ac:dyDescent="0.25">
      <c r="I701">
        <v>1940731</v>
      </c>
    </row>
    <row r="702" spans="9:9" x14ac:dyDescent="0.25">
      <c r="I702">
        <v>3935313</v>
      </c>
    </row>
    <row r="703" spans="9:9" x14ac:dyDescent="0.25">
      <c r="I703">
        <v>4100796</v>
      </c>
    </row>
    <row r="704" spans="9:9" x14ac:dyDescent="0.25">
      <c r="I704">
        <v>4104140</v>
      </c>
    </row>
    <row r="705" spans="9:9" x14ac:dyDescent="0.25">
      <c r="I705">
        <v>3571870</v>
      </c>
    </row>
    <row r="706" spans="9:9" x14ac:dyDescent="0.25">
      <c r="I706">
        <v>3572051</v>
      </c>
    </row>
    <row r="707" spans="9:9" x14ac:dyDescent="0.25">
      <c r="I707">
        <v>3572051</v>
      </c>
    </row>
    <row r="708" spans="9:9" x14ac:dyDescent="0.25">
      <c r="I708">
        <v>3572051</v>
      </c>
    </row>
    <row r="709" spans="9:9" x14ac:dyDescent="0.25">
      <c r="I709">
        <v>3572051</v>
      </c>
    </row>
    <row r="710" spans="9:9" x14ac:dyDescent="0.25">
      <c r="I710">
        <v>3572051</v>
      </c>
    </row>
    <row r="711" spans="9:9" x14ac:dyDescent="0.25">
      <c r="I711">
        <v>3572051</v>
      </c>
    </row>
    <row r="712" spans="9:9" x14ac:dyDescent="0.25">
      <c r="I712">
        <v>3572051</v>
      </c>
    </row>
    <row r="713" spans="9:9" x14ac:dyDescent="0.25">
      <c r="I713">
        <v>3929691</v>
      </c>
    </row>
    <row r="714" spans="9:9" x14ac:dyDescent="0.25">
      <c r="I714">
        <v>3929691</v>
      </c>
    </row>
    <row r="715" spans="9:9" x14ac:dyDescent="0.25">
      <c r="I715">
        <v>3929540</v>
      </c>
    </row>
    <row r="716" spans="9:9" x14ac:dyDescent="0.25">
      <c r="I716">
        <v>3929540</v>
      </c>
    </row>
    <row r="717" spans="9:9" x14ac:dyDescent="0.25">
      <c r="I717">
        <v>3929692</v>
      </c>
    </row>
    <row r="718" spans="9:9" x14ac:dyDescent="0.25">
      <c r="I718">
        <v>3230495</v>
      </c>
    </row>
    <row r="719" spans="9:9" x14ac:dyDescent="0.25">
      <c r="I719">
        <v>1940849</v>
      </c>
    </row>
    <row r="720" spans="9:9" x14ac:dyDescent="0.25">
      <c r="I720">
        <v>1940850</v>
      </c>
    </row>
    <row r="721" spans="9:9" x14ac:dyDescent="0.25">
      <c r="I721">
        <v>3230482</v>
      </c>
    </row>
    <row r="722" spans="9:9" x14ac:dyDescent="0.25">
      <c r="I722">
        <v>3230482</v>
      </c>
    </row>
    <row r="723" spans="9:9" x14ac:dyDescent="0.25">
      <c r="I723">
        <v>3935311</v>
      </c>
    </row>
    <row r="724" spans="9:9" x14ac:dyDescent="0.25">
      <c r="I724">
        <v>3931835</v>
      </c>
    </row>
    <row r="725" spans="9:9" x14ac:dyDescent="0.25">
      <c r="I725">
        <v>3938687</v>
      </c>
    </row>
    <row r="726" spans="9:9" x14ac:dyDescent="0.25">
      <c r="I726">
        <v>3230486</v>
      </c>
    </row>
    <row r="727" spans="9:9" x14ac:dyDescent="0.25">
      <c r="I727">
        <v>3230490</v>
      </c>
    </row>
    <row r="728" spans="9:9" x14ac:dyDescent="0.25">
      <c r="I728">
        <v>3230487</v>
      </c>
    </row>
    <row r="729" spans="9:9" x14ac:dyDescent="0.25">
      <c r="I729">
        <v>3230488</v>
      </c>
    </row>
    <row r="730" spans="9:9" x14ac:dyDescent="0.25">
      <c r="I730">
        <v>3931836</v>
      </c>
    </row>
    <row r="731" spans="9:9" x14ac:dyDescent="0.25">
      <c r="I731">
        <v>3931836</v>
      </c>
    </row>
    <row r="732" spans="9:9" x14ac:dyDescent="0.25">
      <c r="I732">
        <v>3230485</v>
      </c>
    </row>
    <row r="733" spans="9:9" x14ac:dyDescent="0.25">
      <c r="I733">
        <v>3233560</v>
      </c>
    </row>
    <row r="734" spans="9:9" x14ac:dyDescent="0.25">
      <c r="I734">
        <v>3230492</v>
      </c>
    </row>
    <row r="735" spans="9:9" x14ac:dyDescent="0.25">
      <c r="I735">
        <v>3572038</v>
      </c>
    </row>
    <row r="736" spans="9:9" x14ac:dyDescent="0.25">
      <c r="I736">
        <v>3233559</v>
      </c>
    </row>
    <row r="737" spans="9:9" x14ac:dyDescent="0.25">
      <c r="I737">
        <v>3584171</v>
      </c>
    </row>
    <row r="738" spans="9:9" x14ac:dyDescent="0.25">
      <c r="I738">
        <v>3584171</v>
      </c>
    </row>
    <row r="739" spans="9:9" x14ac:dyDescent="0.25">
      <c r="I739">
        <v>3233557</v>
      </c>
    </row>
    <row r="740" spans="9:9" x14ac:dyDescent="0.25">
      <c r="I740">
        <v>3233555</v>
      </c>
    </row>
    <row r="741" spans="9:9" x14ac:dyDescent="0.25">
      <c r="I741">
        <v>3233555</v>
      </c>
    </row>
    <row r="742" spans="9:9" x14ac:dyDescent="0.25">
      <c r="I742">
        <v>3233554</v>
      </c>
    </row>
    <row r="743" spans="9:9" x14ac:dyDescent="0.25">
      <c r="I743">
        <v>1940801</v>
      </c>
    </row>
    <row r="744" spans="9:9" x14ac:dyDescent="0.25">
      <c r="I744">
        <v>1940801</v>
      </c>
    </row>
    <row r="745" spans="9:9" x14ac:dyDescent="0.25">
      <c r="I745">
        <v>1940801</v>
      </c>
    </row>
    <row r="746" spans="9:9" x14ac:dyDescent="0.25">
      <c r="I746">
        <v>1940801</v>
      </c>
    </row>
    <row r="747" spans="9:9" x14ac:dyDescent="0.25">
      <c r="I747">
        <v>3841883</v>
      </c>
    </row>
    <row r="748" spans="9:9" x14ac:dyDescent="0.25">
      <c r="I748">
        <v>3841883</v>
      </c>
    </row>
    <row r="749" spans="9:9" x14ac:dyDescent="0.25">
      <c r="I749">
        <v>3841883</v>
      </c>
    </row>
    <row r="750" spans="9:9" x14ac:dyDescent="0.25">
      <c r="I750">
        <v>3712521</v>
      </c>
    </row>
    <row r="751" spans="9:9" x14ac:dyDescent="0.25">
      <c r="I751">
        <v>3712521</v>
      </c>
    </row>
    <row r="752" spans="9:9" x14ac:dyDescent="0.25">
      <c r="I752">
        <v>3712521</v>
      </c>
    </row>
    <row r="753" spans="9:9" x14ac:dyDescent="0.25">
      <c r="I753">
        <v>3712521</v>
      </c>
    </row>
    <row r="754" spans="9:9" x14ac:dyDescent="0.25">
      <c r="I754">
        <v>3712521</v>
      </c>
    </row>
    <row r="755" spans="9:9" x14ac:dyDescent="0.25">
      <c r="I755">
        <v>3910649</v>
      </c>
    </row>
    <row r="756" spans="9:9" x14ac:dyDescent="0.25">
      <c r="I756">
        <v>3910649</v>
      </c>
    </row>
    <row r="757" spans="9:9" x14ac:dyDescent="0.25">
      <c r="I757">
        <v>3910649</v>
      </c>
    </row>
    <row r="758" spans="9:9" x14ac:dyDescent="0.25">
      <c r="I758">
        <v>3910649</v>
      </c>
    </row>
    <row r="759" spans="9:9" x14ac:dyDescent="0.25">
      <c r="I759">
        <v>3910648</v>
      </c>
    </row>
    <row r="760" spans="9:9" x14ac:dyDescent="0.25">
      <c r="I760">
        <v>3910648</v>
      </c>
    </row>
    <row r="761" spans="9:9" x14ac:dyDescent="0.25">
      <c r="I761">
        <v>3910648</v>
      </c>
    </row>
    <row r="762" spans="9:9" x14ac:dyDescent="0.25">
      <c r="I762">
        <v>3910648</v>
      </c>
    </row>
    <row r="763" spans="9:9" x14ac:dyDescent="0.25">
      <c r="I763">
        <v>3910648</v>
      </c>
    </row>
    <row r="764" spans="9:9" x14ac:dyDescent="0.25">
      <c r="I764">
        <v>3801265</v>
      </c>
    </row>
    <row r="765" spans="9:9" x14ac:dyDescent="0.25">
      <c r="I765">
        <v>3910650</v>
      </c>
    </row>
    <row r="766" spans="9:9" x14ac:dyDescent="0.25">
      <c r="I766">
        <v>3910650</v>
      </c>
    </row>
    <row r="767" spans="9:9" x14ac:dyDescent="0.25">
      <c r="I767">
        <v>3910650</v>
      </c>
    </row>
    <row r="768" spans="9:9" x14ac:dyDescent="0.25">
      <c r="I768">
        <v>3910650</v>
      </c>
    </row>
    <row r="769" spans="9:9" x14ac:dyDescent="0.25">
      <c r="I769">
        <v>3910650</v>
      </c>
    </row>
    <row r="770" spans="9:9" x14ac:dyDescent="0.25">
      <c r="I770">
        <v>3714733</v>
      </c>
    </row>
    <row r="771" spans="9:9" x14ac:dyDescent="0.25">
      <c r="I771">
        <v>3714733</v>
      </c>
    </row>
    <row r="772" spans="9:9" x14ac:dyDescent="0.25">
      <c r="I772">
        <v>3714733</v>
      </c>
    </row>
    <row r="773" spans="9:9" x14ac:dyDescent="0.25">
      <c r="I773">
        <v>3714733</v>
      </c>
    </row>
    <row r="774" spans="9:9" x14ac:dyDescent="0.25">
      <c r="I774">
        <v>2430128</v>
      </c>
    </row>
    <row r="775" spans="9:9" x14ac:dyDescent="0.25">
      <c r="I775">
        <v>2409616</v>
      </c>
    </row>
    <row r="776" spans="9:9" x14ac:dyDescent="0.25">
      <c r="I776">
        <v>2409616</v>
      </c>
    </row>
    <row r="777" spans="9:9" x14ac:dyDescent="0.25">
      <c r="I777">
        <v>3229740</v>
      </c>
    </row>
    <row r="778" spans="9:9" x14ac:dyDescent="0.25">
      <c r="I778">
        <v>3239890</v>
      </c>
    </row>
    <row r="779" spans="9:9" x14ac:dyDescent="0.25">
      <c r="I779">
        <v>3432081</v>
      </c>
    </row>
    <row r="780" spans="9:9" x14ac:dyDescent="0.25">
      <c r="I780">
        <v>3432081</v>
      </c>
    </row>
    <row r="781" spans="9:9" x14ac:dyDescent="0.25">
      <c r="I781">
        <v>1940653</v>
      </c>
    </row>
    <row r="782" spans="9:9" x14ac:dyDescent="0.25">
      <c r="I782">
        <v>4100177</v>
      </c>
    </row>
    <row r="783" spans="9:9" x14ac:dyDescent="0.25">
      <c r="I783">
        <v>4100177</v>
      </c>
    </row>
    <row r="784" spans="9:9" x14ac:dyDescent="0.25">
      <c r="I784">
        <v>4100177</v>
      </c>
    </row>
    <row r="785" spans="9:9" x14ac:dyDescent="0.25">
      <c r="I785">
        <v>4100177</v>
      </c>
    </row>
    <row r="786" spans="9:9" x14ac:dyDescent="0.25">
      <c r="I786">
        <v>1940801</v>
      </c>
    </row>
    <row r="787" spans="9:9" x14ac:dyDescent="0.25">
      <c r="I787">
        <v>1940801</v>
      </c>
    </row>
    <row r="788" spans="9:9" x14ac:dyDescent="0.25">
      <c r="I788">
        <v>3935311</v>
      </c>
    </row>
    <row r="789" spans="9:9" x14ac:dyDescent="0.25">
      <c r="I789">
        <v>3233554</v>
      </c>
    </row>
    <row r="790" spans="9:9" x14ac:dyDescent="0.25">
      <c r="I790">
        <v>3572038</v>
      </c>
    </row>
    <row r="791" spans="9:9" x14ac:dyDescent="0.25">
      <c r="I791">
        <v>3929692</v>
      </c>
    </row>
    <row r="792" spans="9:9" x14ac:dyDescent="0.25">
      <c r="I792">
        <v>3931837</v>
      </c>
    </row>
    <row r="793" spans="9:9" x14ac:dyDescent="0.25">
      <c r="I793">
        <v>3233555</v>
      </c>
    </row>
    <row r="794" spans="9:9" x14ac:dyDescent="0.25">
      <c r="I794">
        <v>3233555</v>
      </c>
    </row>
    <row r="795" spans="9:9" x14ac:dyDescent="0.25">
      <c r="I795">
        <v>3230492</v>
      </c>
    </row>
    <row r="796" spans="9:9" x14ac:dyDescent="0.25">
      <c r="I796">
        <v>3233560</v>
      </c>
    </row>
    <row r="797" spans="9:9" x14ac:dyDescent="0.25">
      <c r="I797">
        <v>3572051</v>
      </c>
    </row>
    <row r="798" spans="9:9" x14ac:dyDescent="0.25">
      <c r="I798">
        <v>3230485</v>
      </c>
    </row>
    <row r="799" spans="9:9" x14ac:dyDescent="0.25">
      <c r="I799">
        <v>3931836</v>
      </c>
    </row>
    <row r="800" spans="9:9" x14ac:dyDescent="0.25">
      <c r="I800">
        <v>3233557</v>
      </c>
    </row>
    <row r="801" spans="9:9" x14ac:dyDescent="0.25">
      <c r="I801">
        <v>3230482</v>
      </c>
    </row>
    <row r="802" spans="9:9" x14ac:dyDescent="0.25">
      <c r="I802">
        <v>3929540</v>
      </c>
    </row>
    <row r="803" spans="9:9" x14ac:dyDescent="0.25">
      <c r="I803">
        <v>3571870</v>
      </c>
    </row>
    <row r="804" spans="9:9" x14ac:dyDescent="0.25">
      <c r="I804">
        <v>3230488</v>
      </c>
    </row>
    <row r="805" spans="9:9" x14ac:dyDescent="0.25">
      <c r="I805">
        <v>3230487</v>
      </c>
    </row>
    <row r="806" spans="9:9" x14ac:dyDescent="0.25">
      <c r="I806">
        <v>3230490</v>
      </c>
    </row>
    <row r="807" spans="9:9" x14ac:dyDescent="0.25">
      <c r="I807">
        <v>3230495</v>
      </c>
    </row>
    <row r="808" spans="9:9" x14ac:dyDescent="0.25">
      <c r="I808">
        <v>3929691</v>
      </c>
    </row>
    <row r="809" spans="9:9" x14ac:dyDescent="0.25">
      <c r="I809">
        <v>4075254</v>
      </c>
    </row>
    <row r="810" spans="9:9" x14ac:dyDescent="0.25">
      <c r="I810">
        <v>3935313</v>
      </c>
    </row>
    <row r="811" spans="9:9" x14ac:dyDescent="0.25">
      <c r="I811">
        <v>1940653</v>
      </c>
    </row>
    <row r="812" spans="9:9" x14ac:dyDescent="0.25">
      <c r="I812">
        <v>1940653</v>
      </c>
    </row>
    <row r="813" spans="9:9" x14ac:dyDescent="0.25">
      <c r="I813">
        <v>3775636</v>
      </c>
    </row>
    <row r="814" spans="9:9" x14ac:dyDescent="0.25">
      <c r="I814">
        <v>3775636</v>
      </c>
    </row>
    <row r="815" spans="9:9" x14ac:dyDescent="0.25">
      <c r="I815">
        <v>3775636</v>
      </c>
    </row>
    <row r="816" spans="9:9" x14ac:dyDescent="0.25">
      <c r="I816">
        <v>3775636</v>
      </c>
    </row>
    <row r="817" spans="9:9" x14ac:dyDescent="0.25">
      <c r="I817">
        <v>3775636</v>
      </c>
    </row>
    <row r="818" spans="9:9" x14ac:dyDescent="0.25">
      <c r="I818">
        <v>1940478</v>
      </c>
    </row>
    <row r="819" spans="9:9" x14ac:dyDescent="0.25">
      <c r="I819">
        <v>1940478</v>
      </c>
    </row>
    <row r="820" spans="9:9" x14ac:dyDescent="0.25">
      <c r="I820">
        <v>1940478</v>
      </c>
    </row>
    <row r="821" spans="9:9" x14ac:dyDescent="0.25">
      <c r="I821">
        <v>1940478</v>
      </c>
    </row>
    <row r="822" spans="9:9" x14ac:dyDescent="0.25">
      <c r="I822">
        <v>1940478</v>
      </c>
    </row>
    <row r="823" spans="9:9" x14ac:dyDescent="0.25">
      <c r="I823">
        <v>1940478</v>
      </c>
    </row>
    <row r="824" spans="9:9" x14ac:dyDescent="0.25">
      <c r="I824">
        <v>1940911</v>
      </c>
    </row>
    <row r="825" spans="9:9" x14ac:dyDescent="0.25">
      <c r="I825">
        <v>1940837</v>
      </c>
    </row>
    <row r="826" spans="9:9" x14ac:dyDescent="0.25">
      <c r="I826">
        <v>1940837</v>
      </c>
    </row>
    <row r="827" spans="9:9" x14ac:dyDescent="0.25">
      <c r="I827">
        <v>1940837</v>
      </c>
    </row>
    <row r="828" spans="9:9" x14ac:dyDescent="0.25">
      <c r="I828">
        <v>1940837</v>
      </c>
    </row>
    <row r="829" spans="9:9" x14ac:dyDescent="0.25">
      <c r="I829">
        <v>3712521</v>
      </c>
    </row>
    <row r="830" spans="9:9" x14ac:dyDescent="0.25">
      <c r="I830">
        <v>3712521</v>
      </c>
    </row>
    <row r="831" spans="9:9" x14ac:dyDescent="0.25">
      <c r="I831">
        <v>3712521</v>
      </c>
    </row>
    <row r="832" spans="9:9" x14ac:dyDescent="0.25">
      <c r="I832">
        <v>3935313</v>
      </c>
    </row>
    <row r="833" spans="9:9" x14ac:dyDescent="0.25">
      <c r="I833">
        <v>4100796</v>
      </c>
    </row>
    <row r="834" spans="9:9" x14ac:dyDescent="0.25">
      <c r="I834">
        <v>4104140</v>
      </c>
    </row>
    <row r="835" spans="9:9" x14ac:dyDescent="0.25">
      <c r="I835">
        <v>3571870</v>
      </c>
    </row>
    <row r="836" spans="9:9" x14ac:dyDescent="0.25">
      <c r="I836">
        <v>3572051</v>
      </c>
    </row>
    <row r="837" spans="9:9" x14ac:dyDescent="0.25">
      <c r="I837">
        <v>3929691</v>
      </c>
    </row>
    <row r="838" spans="9:9" x14ac:dyDescent="0.25">
      <c r="I838">
        <v>3929540</v>
      </c>
    </row>
    <row r="839" spans="9:9" x14ac:dyDescent="0.25">
      <c r="I839">
        <v>3929692</v>
      </c>
    </row>
    <row r="840" spans="9:9" x14ac:dyDescent="0.25">
      <c r="I840">
        <v>3230495</v>
      </c>
    </row>
    <row r="841" spans="9:9" x14ac:dyDescent="0.25">
      <c r="I841">
        <v>1940849</v>
      </c>
    </row>
    <row r="842" spans="9:9" x14ac:dyDescent="0.25">
      <c r="I842">
        <v>1940850</v>
      </c>
    </row>
    <row r="843" spans="9:9" x14ac:dyDescent="0.25">
      <c r="I843">
        <v>3230482</v>
      </c>
    </row>
    <row r="844" spans="9:9" x14ac:dyDescent="0.25">
      <c r="I844">
        <v>3935311</v>
      </c>
    </row>
    <row r="845" spans="9:9" x14ac:dyDescent="0.25">
      <c r="I845">
        <v>3931835</v>
      </c>
    </row>
    <row r="846" spans="9:9" x14ac:dyDescent="0.25">
      <c r="I846">
        <v>3938687</v>
      </c>
    </row>
    <row r="847" spans="9:9" x14ac:dyDescent="0.25">
      <c r="I847">
        <v>3230486</v>
      </c>
    </row>
    <row r="848" spans="9:9" x14ac:dyDescent="0.25">
      <c r="I848">
        <v>3230490</v>
      </c>
    </row>
    <row r="849" spans="9:9" x14ac:dyDescent="0.25">
      <c r="I849">
        <v>3230487</v>
      </c>
    </row>
    <row r="850" spans="9:9" x14ac:dyDescent="0.25">
      <c r="I850">
        <v>3230488</v>
      </c>
    </row>
    <row r="851" spans="9:9" x14ac:dyDescent="0.25">
      <c r="I851">
        <v>3931836</v>
      </c>
    </row>
    <row r="852" spans="9:9" x14ac:dyDescent="0.25">
      <c r="I852">
        <v>3230485</v>
      </c>
    </row>
    <row r="853" spans="9:9" x14ac:dyDescent="0.25">
      <c r="I853">
        <v>3233560</v>
      </c>
    </row>
    <row r="854" spans="9:9" x14ac:dyDescent="0.25">
      <c r="I854">
        <v>3230492</v>
      </c>
    </row>
    <row r="855" spans="9:9" x14ac:dyDescent="0.25">
      <c r="I855">
        <v>3572038</v>
      </c>
    </row>
    <row r="856" spans="9:9" x14ac:dyDescent="0.25">
      <c r="I856">
        <v>3233559</v>
      </c>
    </row>
    <row r="857" spans="9:9" x14ac:dyDescent="0.25">
      <c r="I857">
        <v>3584171</v>
      </c>
    </row>
    <row r="858" spans="9:9" x14ac:dyDescent="0.25">
      <c r="I858">
        <v>3233557</v>
      </c>
    </row>
    <row r="859" spans="9:9" x14ac:dyDescent="0.25">
      <c r="I859">
        <v>3233555</v>
      </c>
    </row>
    <row r="860" spans="9:9" x14ac:dyDescent="0.25">
      <c r="I860">
        <v>3233555</v>
      </c>
    </row>
    <row r="861" spans="9:9" x14ac:dyDescent="0.25">
      <c r="I861">
        <v>3233554</v>
      </c>
    </row>
    <row r="862" spans="9:9" x14ac:dyDescent="0.25">
      <c r="I862">
        <v>1940801</v>
      </c>
    </row>
    <row r="863" spans="9:9" x14ac:dyDescent="0.25">
      <c r="I863">
        <v>1940801</v>
      </c>
    </row>
    <row r="864" spans="9:9" x14ac:dyDescent="0.25">
      <c r="I864">
        <v>3122347</v>
      </c>
    </row>
    <row r="865" spans="9:9" x14ac:dyDescent="0.25">
      <c r="I865">
        <v>3122347</v>
      </c>
    </row>
    <row r="866" spans="9:9" x14ac:dyDescent="0.25">
      <c r="I866">
        <v>3122347</v>
      </c>
    </row>
    <row r="867" spans="9:9" x14ac:dyDescent="0.25">
      <c r="I867">
        <v>1940911</v>
      </c>
    </row>
    <row r="868" spans="9:9" x14ac:dyDescent="0.25">
      <c r="I868">
        <v>1940911</v>
      </c>
    </row>
    <row r="869" spans="9:9" x14ac:dyDescent="0.25">
      <c r="I869">
        <v>1940911</v>
      </c>
    </row>
    <row r="870" spans="9:9" x14ac:dyDescent="0.25">
      <c r="I870">
        <v>1940911</v>
      </c>
    </row>
    <row r="871" spans="9:9" x14ac:dyDescent="0.25">
      <c r="I871">
        <v>1940908</v>
      </c>
    </row>
    <row r="872" spans="9:9" x14ac:dyDescent="0.25">
      <c r="I872">
        <v>1940908</v>
      </c>
    </row>
    <row r="873" spans="9:9" x14ac:dyDescent="0.25">
      <c r="I873">
        <v>3781649</v>
      </c>
    </row>
    <row r="874" spans="9:9" x14ac:dyDescent="0.25">
      <c r="I874">
        <v>3781649</v>
      </c>
    </row>
    <row r="875" spans="9:9" x14ac:dyDescent="0.25">
      <c r="I875">
        <v>3781649</v>
      </c>
    </row>
    <row r="876" spans="9:9" x14ac:dyDescent="0.25">
      <c r="I876">
        <v>1940710</v>
      </c>
    </row>
    <row r="877" spans="9:9" x14ac:dyDescent="0.25">
      <c r="I877">
        <v>1940710</v>
      </c>
    </row>
    <row r="878" spans="9:9" x14ac:dyDescent="0.25">
      <c r="I878">
        <v>1940710</v>
      </c>
    </row>
    <row r="879" spans="9:9" x14ac:dyDescent="0.25">
      <c r="I879">
        <v>1940715</v>
      </c>
    </row>
    <row r="880" spans="9:9" x14ac:dyDescent="0.25">
      <c r="I880">
        <v>1940715</v>
      </c>
    </row>
    <row r="881" spans="9:9" x14ac:dyDescent="0.25">
      <c r="I881">
        <v>1940715</v>
      </c>
    </row>
    <row r="882" spans="9:9" x14ac:dyDescent="0.25">
      <c r="I882">
        <v>1940715</v>
      </c>
    </row>
    <row r="883" spans="9:9" x14ac:dyDescent="0.25">
      <c r="I883">
        <v>1940840</v>
      </c>
    </row>
    <row r="884" spans="9:9" x14ac:dyDescent="0.25">
      <c r="I884">
        <v>1940840</v>
      </c>
    </row>
    <row r="885" spans="9:9" x14ac:dyDescent="0.25">
      <c r="I885">
        <v>1940840</v>
      </c>
    </row>
    <row r="886" spans="9:9" x14ac:dyDescent="0.25">
      <c r="I886">
        <v>3712521</v>
      </c>
    </row>
    <row r="887" spans="9:9" x14ac:dyDescent="0.25">
      <c r="I887">
        <v>3712521</v>
      </c>
    </row>
    <row r="888" spans="9:9" x14ac:dyDescent="0.25">
      <c r="I888">
        <v>1940090</v>
      </c>
    </row>
    <row r="889" spans="9:9" x14ac:dyDescent="0.25">
      <c r="I889">
        <v>1940090</v>
      </c>
    </row>
    <row r="890" spans="9:9" x14ac:dyDescent="0.25">
      <c r="I890">
        <v>3935313</v>
      </c>
    </row>
    <row r="891" spans="9:9" x14ac:dyDescent="0.25">
      <c r="I891">
        <v>4100796</v>
      </c>
    </row>
    <row r="892" spans="9:9" x14ac:dyDescent="0.25">
      <c r="I892">
        <v>4104140</v>
      </c>
    </row>
    <row r="893" spans="9:9" x14ac:dyDescent="0.25">
      <c r="I893">
        <v>3571870</v>
      </c>
    </row>
    <row r="894" spans="9:9" x14ac:dyDescent="0.25">
      <c r="I894">
        <v>3572051</v>
      </c>
    </row>
    <row r="895" spans="9:9" x14ac:dyDescent="0.25">
      <c r="I895">
        <v>3929691</v>
      </c>
    </row>
    <row r="896" spans="9:9" x14ac:dyDescent="0.25">
      <c r="I896">
        <v>3929540</v>
      </c>
    </row>
    <row r="897" spans="9:9" x14ac:dyDescent="0.25">
      <c r="I897">
        <v>3929692</v>
      </c>
    </row>
    <row r="898" spans="9:9" x14ac:dyDescent="0.25">
      <c r="I898">
        <v>3230495</v>
      </c>
    </row>
    <row r="899" spans="9:9" x14ac:dyDescent="0.25">
      <c r="I899">
        <v>1940849</v>
      </c>
    </row>
    <row r="900" spans="9:9" x14ac:dyDescent="0.25">
      <c r="I900">
        <v>1940850</v>
      </c>
    </row>
    <row r="901" spans="9:9" x14ac:dyDescent="0.25">
      <c r="I901">
        <v>3230482</v>
      </c>
    </row>
    <row r="902" spans="9:9" x14ac:dyDescent="0.25">
      <c r="I902">
        <v>3935311</v>
      </c>
    </row>
    <row r="903" spans="9:9" x14ac:dyDescent="0.25">
      <c r="I903">
        <v>3931835</v>
      </c>
    </row>
    <row r="904" spans="9:9" x14ac:dyDescent="0.25">
      <c r="I904">
        <v>3938687</v>
      </c>
    </row>
    <row r="905" spans="9:9" x14ac:dyDescent="0.25">
      <c r="I905">
        <v>3230486</v>
      </c>
    </row>
    <row r="906" spans="9:9" x14ac:dyDescent="0.25">
      <c r="I906">
        <v>3230490</v>
      </c>
    </row>
    <row r="907" spans="9:9" x14ac:dyDescent="0.25">
      <c r="I907">
        <v>3230487</v>
      </c>
    </row>
    <row r="908" spans="9:9" x14ac:dyDescent="0.25">
      <c r="I908">
        <v>3230488</v>
      </c>
    </row>
    <row r="909" spans="9:9" x14ac:dyDescent="0.25">
      <c r="I909">
        <v>3931836</v>
      </c>
    </row>
    <row r="910" spans="9:9" x14ac:dyDescent="0.25">
      <c r="I910">
        <v>3230485</v>
      </c>
    </row>
    <row r="911" spans="9:9" x14ac:dyDescent="0.25">
      <c r="I911">
        <v>3233560</v>
      </c>
    </row>
    <row r="912" spans="9:9" x14ac:dyDescent="0.25">
      <c r="I912">
        <v>3230492</v>
      </c>
    </row>
    <row r="913" spans="9:9" x14ac:dyDescent="0.25">
      <c r="I913">
        <v>3572038</v>
      </c>
    </row>
    <row r="914" spans="9:9" x14ac:dyDescent="0.25">
      <c r="I914">
        <v>3233559</v>
      </c>
    </row>
    <row r="915" spans="9:9" x14ac:dyDescent="0.25">
      <c r="I915">
        <v>3584171</v>
      </c>
    </row>
    <row r="916" spans="9:9" x14ac:dyDescent="0.25">
      <c r="I916">
        <v>3233557</v>
      </c>
    </row>
    <row r="917" spans="9:9" x14ac:dyDescent="0.25">
      <c r="I917">
        <v>3233555</v>
      </c>
    </row>
    <row r="918" spans="9:9" x14ac:dyDescent="0.25">
      <c r="I918">
        <v>3233555</v>
      </c>
    </row>
    <row r="919" spans="9:9" x14ac:dyDescent="0.25">
      <c r="I919">
        <v>3233554</v>
      </c>
    </row>
    <row r="920" spans="9:9" x14ac:dyDescent="0.25">
      <c r="I920">
        <v>1940801</v>
      </c>
    </row>
    <row r="921" spans="9:9" x14ac:dyDescent="0.25">
      <c r="I921">
        <v>1940801</v>
      </c>
    </row>
    <row r="922" spans="9:9" x14ac:dyDescent="0.25">
      <c r="I922">
        <v>3780004</v>
      </c>
    </row>
    <row r="923" spans="9:9" x14ac:dyDescent="0.25">
      <c r="I923">
        <v>3780004</v>
      </c>
    </row>
    <row r="924" spans="9:9" x14ac:dyDescent="0.25">
      <c r="I924">
        <v>3775636</v>
      </c>
    </row>
    <row r="925" spans="9:9" x14ac:dyDescent="0.25">
      <c r="I925">
        <v>3926270</v>
      </c>
    </row>
    <row r="926" spans="9:9" x14ac:dyDescent="0.25">
      <c r="I926">
        <v>3910649</v>
      </c>
    </row>
    <row r="927" spans="9:9" x14ac:dyDescent="0.25">
      <c r="I927">
        <v>3910649</v>
      </c>
    </row>
    <row r="928" spans="9:9" x14ac:dyDescent="0.25">
      <c r="I928">
        <v>3910650</v>
      </c>
    </row>
    <row r="929" spans="9:9" x14ac:dyDescent="0.25">
      <c r="I929">
        <v>3910650</v>
      </c>
    </row>
    <row r="930" spans="9:9" x14ac:dyDescent="0.25">
      <c r="I930">
        <v>3910650</v>
      </c>
    </row>
    <row r="931" spans="9:9" x14ac:dyDescent="0.25">
      <c r="I931">
        <v>3943203</v>
      </c>
    </row>
    <row r="932" spans="9:9" x14ac:dyDescent="0.25">
      <c r="I932">
        <v>3943203</v>
      </c>
    </row>
    <row r="933" spans="9:9" x14ac:dyDescent="0.25">
      <c r="I933">
        <v>3943203</v>
      </c>
    </row>
    <row r="934" spans="9:9" x14ac:dyDescent="0.25">
      <c r="I934">
        <v>3943203</v>
      </c>
    </row>
    <row r="935" spans="9:9" x14ac:dyDescent="0.25">
      <c r="I935">
        <v>3943203</v>
      </c>
    </row>
    <row r="936" spans="9:9" x14ac:dyDescent="0.25">
      <c r="I936">
        <v>1940653</v>
      </c>
    </row>
    <row r="937" spans="9:9" x14ac:dyDescent="0.25">
      <c r="I937">
        <v>1940188</v>
      </c>
    </row>
    <row r="938" spans="9:9" x14ac:dyDescent="0.25">
      <c r="I938">
        <v>1940188</v>
      </c>
    </row>
    <row r="939" spans="9:9" x14ac:dyDescent="0.25">
      <c r="I939">
        <v>1940188</v>
      </c>
    </row>
    <row r="940" spans="9:9" x14ac:dyDescent="0.25">
      <c r="I940">
        <v>3935313</v>
      </c>
    </row>
    <row r="941" spans="9:9" x14ac:dyDescent="0.25">
      <c r="I941">
        <v>4100796</v>
      </c>
    </row>
    <row r="942" spans="9:9" x14ac:dyDescent="0.25">
      <c r="I942">
        <v>4104140</v>
      </c>
    </row>
    <row r="943" spans="9:9" x14ac:dyDescent="0.25">
      <c r="I943">
        <v>3571870</v>
      </c>
    </row>
    <row r="944" spans="9:9" x14ac:dyDescent="0.25">
      <c r="I944">
        <v>3572051</v>
      </c>
    </row>
    <row r="945" spans="9:9" x14ac:dyDescent="0.25">
      <c r="I945">
        <v>3929691</v>
      </c>
    </row>
    <row r="946" spans="9:9" x14ac:dyDescent="0.25">
      <c r="I946">
        <v>3929691</v>
      </c>
    </row>
    <row r="947" spans="9:9" x14ac:dyDescent="0.25">
      <c r="I947">
        <v>3929691</v>
      </c>
    </row>
    <row r="948" spans="9:9" x14ac:dyDescent="0.25">
      <c r="I948">
        <v>3929540</v>
      </c>
    </row>
    <row r="949" spans="9:9" x14ac:dyDescent="0.25">
      <c r="I949">
        <v>3929692</v>
      </c>
    </row>
    <row r="950" spans="9:9" x14ac:dyDescent="0.25">
      <c r="I950">
        <v>3230495</v>
      </c>
    </row>
    <row r="951" spans="9:9" x14ac:dyDescent="0.25">
      <c r="I951">
        <v>1940849</v>
      </c>
    </row>
    <row r="952" spans="9:9" x14ac:dyDescent="0.25">
      <c r="I952">
        <v>1940850</v>
      </c>
    </row>
    <row r="953" spans="9:9" x14ac:dyDescent="0.25">
      <c r="I953">
        <v>3230482</v>
      </c>
    </row>
    <row r="954" spans="9:9" x14ac:dyDescent="0.25">
      <c r="I954">
        <v>3935311</v>
      </c>
    </row>
    <row r="955" spans="9:9" x14ac:dyDescent="0.25">
      <c r="I955">
        <v>3931835</v>
      </c>
    </row>
    <row r="956" spans="9:9" x14ac:dyDescent="0.25">
      <c r="I956">
        <v>3938687</v>
      </c>
    </row>
    <row r="957" spans="9:9" x14ac:dyDescent="0.25">
      <c r="I957">
        <v>3230486</v>
      </c>
    </row>
    <row r="958" spans="9:9" x14ac:dyDescent="0.25">
      <c r="I958">
        <v>3230486</v>
      </c>
    </row>
    <row r="959" spans="9:9" x14ac:dyDescent="0.25">
      <c r="I959">
        <v>3230490</v>
      </c>
    </row>
    <row r="960" spans="9:9" x14ac:dyDescent="0.25">
      <c r="I960">
        <v>3230487</v>
      </c>
    </row>
    <row r="961" spans="9:9" x14ac:dyDescent="0.25">
      <c r="I961">
        <v>3230488</v>
      </c>
    </row>
    <row r="962" spans="9:9" x14ac:dyDescent="0.25">
      <c r="I962">
        <v>3931836</v>
      </c>
    </row>
    <row r="963" spans="9:9" x14ac:dyDescent="0.25">
      <c r="I963">
        <v>3230485</v>
      </c>
    </row>
    <row r="964" spans="9:9" x14ac:dyDescent="0.25">
      <c r="I964">
        <v>3233560</v>
      </c>
    </row>
    <row r="965" spans="9:9" x14ac:dyDescent="0.25">
      <c r="I965">
        <v>3230492</v>
      </c>
    </row>
    <row r="966" spans="9:9" x14ac:dyDescent="0.25">
      <c r="I966">
        <v>3572038</v>
      </c>
    </row>
    <row r="967" spans="9:9" x14ac:dyDescent="0.25">
      <c r="I967">
        <v>3233559</v>
      </c>
    </row>
    <row r="968" spans="9:9" x14ac:dyDescent="0.25">
      <c r="I968">
        <v>3584171</v>
      </c>
    </row>
    <row r="969" spans="9:9" x14ac:dyDescent="0.25">
      <c r="I969">
        <v>3233557</v>
      </c>
    </row>
    <row r="970" spans="9:9" x14ac:dyDescent="0.25">
      <c r="I970">
        <v>3233555</v>
      </c>
    </row>
    <row r="971" spans="9:9" x14ac:dyDescent="0.25">
      <c r="I971">
        <v>3233555</v>
      </c>
    </row>
    <row r="972" spans="9:9" x14ac:dyDescent="0.25">
      <c r="I972">
        <v>3233554</v>
      </c>
    </row>
    <row r="973" spans="9:9" x14ac:dyDescent="0.25">
      <c r="I973">
        <v>1940801</v>
      </c>
    </row>
    <row r="974" spans="9:9" x14ac:dyDescent="0.25">
      <c r="I974">
        <v>1940801</v>
      </c>
    </row>
    <row r="975" spans="9:9" x14ac:dyDescent="0.25">
      <c r="I975">
        <v>3841883</v>
      </c>
    </row>
    <row r="976" spans="9:9" x14ac:dyDescent="0.25">
      <c r="I976">
        <v>3841883</v>
      </c>
    </row>
    <row r="977" spans="9:9" x14ac:dyDescent="0.25">
      <c r="I977">
        <v>1940837</v>
      </c>
    </row>
    <row r="978" spans="9:9" x14ac:dyDescent="0.25">
      <c r="I978">
        <v>1940837</v>
      </c>
    </row>
    <row r="979" spans="9:9" x14ac:dyDescent="0.25">
      <c r="I979">
        <v>1940837</v>
      </c>
    </row>
    <row r="980" spans="9:9" x14ac:dyDescent="0.25">
      <c r="I980">
        <v>3712521</v>
      </c>
    </row>
    <row r="981" spans="9:9" x14ac:dyDescent="0.25">
      <c r="I981">
        <v>3712521</v>
      </c>
    </row>
    <row r="982" spans="9:9" x14ac:dyDescent="0.25">
      <c r="I982">
        <v>3712521</v>
      </c>
    </row>
    <row r="983" spans="9:9" x14ac:dyDescent="0.25">
      <c r="I983">
        <v>4010435</v>
      </c>
    </row>
    <row r="984" spans="9:9" x14ac:dyDescent="0.25">
      <c r="I984">
        <v>4010435</v>
      </c>
    </row>
    <row r="985" spans="9:9" x14ac:dyDescent="0.25">
      <c r="I985">
        <v>1940807</v>
      </c>
    </row>
    <row r="986" spans="9:9" x14ac:dyDescent="0.25">
      <c r="I986">
        <v>1940807</v>
      </c>
    </row>
    <row r="987" spans="9:9" x14ac:dyDescent="0.25">
      <c r="I987">
        <v>1940807</v>
      </c>
    </row>
    <row r="988" spans="9:9" x14ac:dyDescent="0.25">
      <c r="I988">
        <v>3572044</v>
      </c>
    </row>
    <row r="989" spans="9:9" x14ac:dyDescent="0.25">
      <c r="I989">
        <v>3572044</v>
      </c>
    </row>
    <row r="990" spans="9:9" x14ac:dyDescent="0.25">
      <c r="I990">
        <v>3572044</v>
      </c>
    </row>
    <row r="991" spans="9:9" x14ac:dyDescent="0.25">
      <c r="I991">
        <v>1940146</v>
      </c>
    </row>
    <row r="992" spans="9:9" x14ac:dyDescent="0.25">
      <c r="I992">
        <v>3910648</v>
      </c>
    </row>
    <row r="993" spans="9:9" x14ac:dyDescent="0.25">
      <c r="I993">
        <v>3910648</v>
      </c>
    </row>
    <row r="994" spans="9:9" x14ac:dyDescent="0.25">
      <c r="I994">
        <v>3910648</v>
      </c>
    </row>
    <row r="995" spans="9:9" x14ac:dyDescent="0.25">
      <c r="I995">
        <v>3508742</v>
      </c>
    </row>
    <row r="996" spans="9:9" x14ac:dyDescent="0.25">
      <c r="I996">
        <v>3508742</v>
      </c>
    </row>
    <row r="997" spans="9:9" x14ac:dyDescent="0.25">
      <c r="I997">
        <v>3508742</v>
      </c>
    </row>
    <row r="998" spans="9:9" x14ac:dyDescent="0.25">
      <c r="I998">
        <v>3508742</v>
      </c>
    </row>
    <row r="999" spans="9:9" x14ac:dyDescent="0.25">
      <c r="I999">
        <v>3926270</v>
      </c>
    </row>
    <row r="1000" spans="9:9" x14ac:dyDescent="0.25">
      <c r="I1000">
        <v>3926270</v>
      </c>
    </row>
    <row r="1001" spans="9:9" x14ac:dyDescent="0.25">
      <c r="I1001">
        <v>3926270</v>
      </c>
    </row>
    <row r="1002" spans="9:9" x14ac:dyDescent="0.25">
      <c r="I1002">
        <v>3910650</v>
      </c>
    </row>
    <row r="1003" spans="9:9" x14ac:dyDescent="0.25">
      <c r="I1003">
        <v>3910650</v>
      </c>
    </row>
    <row r="1004" spans="9:9" x14ac:dyDescent="0.25">
      <c r="I1004">
        <v>3910650</v>
      </c>
    </row>
    <row r="1005" spans="9:9" x14ac:dyDescent="0.25">
      <c r="I1005">
        <v>3910650</v>
      </c>
    </row>
    <row r="1006" spans="9:9" x14ac:dyDescent="0.25">
      <c r="I1006">
        <v>4100796</v>
      </c>
    </row>
    <row r="1007" spans="9:9" x14ac:dyDescent="0.25">
      <c r="I1007">
        <v>4104140</v>
      </c>
    </row>
    <row r="1008" spans="9:9" x14ac:dyDescent="0.25">
      <c r="I1008">
        <v>3571870</v>
      </c>
    </row>
    <row r="1009" spans="9:9" x14ac:dyDescent="0.25">
      <c r="I1009">
        <v>3572051</v>
      </c>
    </row>
    <row r="1010" spans="9:9" x14ac:dyDescent="0.25">
      <c r="I1010">
        <v>3929691</v>
      </c>
    </row>
    <row r="1011" spans="9:9" x14ac:dyDescent="0.25">
      <c r="I1011">
        <v>3929540</v>
      </c>
    </row>
    <row r="1012" spans="9:9" x14ac:dyDescent="0.25">
      <c r="I1012">
        <v>3929692</v>
      </c>
    </row>
    <row r="1013" spans="9:9" x14ac:dyDescent="0.25">
      <c r="I1013">
        <v>3230495</v>
      </c>
    </row>
    <row r="1014" spans="9:9" x14ac:dyDescent="0.25">
      <c r="I1014">
        <v>1940849</v>
      </c>
    </row>
    <row r="1015" spans="9:9" x14ac:dyDescent="0.25">
      <c r="I1015">
        <v>1940850</v>
      </c>
    </row>
    <row r="1016" spans="9:9" x14ac:dyDescent="0.25">
      <c r="I1016">
        <v>3230482</v>
      </c>
    </row>
    <row r="1017" spans="9:9" x14ac:dyDescent="0.25">
      <c r="I1017">
        <v>3230482</v>
      </c>
    </row>
    <row r="1018" spans="9:9" x14ac:dyDescent="0.25">
      <c r="I1018">
        <v>3935311</v>
      </c>
    </row>
    <row r="1019" spans="9:9" x14ac:dyDescent="0.25">
      <c r="I1019">
        <v>3931835</v>
      </c>
    </row>
    <row r="1020" spans="9:9" x14ac:dyDescent="0.25">
      <c r="I1020">
        <v>3938687</v>
      </c>
    </row>
    <row r="1021" spans="9:9" x14ac:dyDescent="0.25">
      <c r="I1021">
        <v>3230486</v>
      </c>
    </row>
    <row r="1022" spans="9:9" x14ac:dyDescent="0.25">
      <c r="I1022">
        <v>3230490</v>
      </c>
    </row>
    <row r="1023" spans="9:9" x14ac:dyDescent="0.25">
      <c r="I1023">
        <v>3230487</v>
      </c>
    </row>
    <row r="1024" spans="9:9" x14ac:dyDescent="0.25">
      <c r="I1024">
        <v>3230488</v>
      </c>
    </row>
    <row r="1025" spans="9:9" x14ac:dyDescent="0.25">
      <c r="I1025">
        <v>3931836</v>
      </c>
    </row>
    <row r="1026" spans="9:9" x14ac:dyDescent="0.25">
      <c r="I1026">
        <v>3230485</v>
      </c>
    </row>
    <row r="1027" spans="9:9" x14ac:dyDescent="0.25">
      <c r="I1027">
        <v>3233560</v>
      </c>
    </row>
    <row r="1028" spans="9:9" x14ac:dyDescent="0.25">
      <c r="I1028">
        <v>3230492</v>
      </c>
    </row>
    <row r="1029" spans="9:9" x14ac:dyDescent="0.25">
      <c r="I1029">
        <v>3572038</v>
      </c>
    </row>
    <row r="1030" spans="9:9" x14ac:dyDescent="0.25">
      <c r="I1030">
        <v>3233559</v>
      </c>
    </row>
    <row r="1031" spans="9:9" x14ac:dyDescent="0.25">
      <c r="I1031">
        <v>3584171</v>
      </c>
    </row>
    <row r="1032" spans="9:9" x14ac:dyDescent="0.25">
      <c r="I1032">
        <v>3233557</v>
      </c>
    </row>
    <row r="1033" spans="9:9" x14ac:dyDescent="0.25">
      <c r="I1033">
        <v>3233555</v>
      </c>
    </row>
    <row r="1034" spans="9:9" x14ac:dyDescent="0.25">
      <c r="I1034">
        <v>3233554</v>
      </c>
    </row>
    <row r="1035" spans="9:9" x14ac:dyDescent="0.25">
      <c r="I1035">
        <v>1940801</v>
      </c>
    </row>
    <row r="1036" spans="9:9" x14ac:dyDescent="0.25">
      <c r="I1036">
        <v>3935313</v>
      </c>
    </row>
    <row r="1037" spans="9:9" x14ac:dyDescent="0.25">
      <c r="I1037">
        <v>1940686</v>
      </c>
    </row>
    <row r="1038" spans="9:9" x14ac:dyDescent="0.25">
      <c r="I1038">
        <v>1940686</v>
      </c>
    </row>
    <row r="1039" spans="9:9" x14ac:dyDescent="0.25">
      <c r="I1039">
        <v>1940686</v>
      </c>
    </row>
    <row r="1040" spans="9:9" x14ac:dyDescent="0.25">
      <c r="I1040">
        <v>3635694</v>
      </c>
    </row>
    <row r="1041" spans="9:9" x14ac:dyDescent="0.25">
      <c r="I1041">
        <v>3635694</v>
      </c>
    </row>
    <row r="1042" spans="9:9" x14ac:dyDescent="0.25">
      <c r="I1042">
        <v>3635694</v>
      </c>
    </row>
    <row r="1043" spans="9:9" x14ac:dyDescent="0.25">
      <c r="I1043">
        <v>3635694</v>
      </c>
    </row>
    <row r="1044" spans="9:9" x14ac:dyDescent="0.25">
      <c r="I1044">
        <v>1940830</v>
      </c>
    </row>
    <row r="1045" spans="9:9" x14ac:dyDescent="0.25">
      <c r="I1045">
        <v>1940830</v>
      </c>
    </row>
    <row r="1046" spans="9:9" x14ac:dyDescent="0.25">
      <c r="I1046">
        <v>1940830</v>
      </c>
    </row>
    <row r="1047" spans="9:9" x14ac:dyDescent="0.25">
      <c r="I1047">
        <v>1940830</v>
      </c>
    </row>
    <row r="1048" spans="9:9" x14ac:dyDescent="0.25">
      <c r="I1048">
        <v>1940830</v>
      </c>
    </row>
    <row r="1049" spans="9:9" x14ac:dyDescent="0.25">
      <c r="I1049">
        <v>3841883</v>
      </c>
    </row>
    <row r="1050" spans="9:9" x14ac:dyDescent="0.25">
      <c r="I1050">
        <v>3841883</v>
      </c>
    </row>
    <row r="1051" spans="9:9" x14ac:dyDescent="0.25">
      <c r="I1051">
        <v>4010435</v>
      </c>
    </row>
    <row r="1052" spans="9:9" x14ac:dyDescent="0.25">
      <c r="I1052">
        <v>4010435</v>
      </c>
    </row>
    <row r="1053" spans="9:9" x14ac:dyDescent="0.25">
      <c r="I1053">
        <v>1940686</v>
      </c>
    </row>
    <row r="1054" spans="9:9" x14ac:dyDescent="0.25">
      <c r="I1054">
        <v>1940686</v>
      </c>
    </row>
    <row r="1055" spans="9:9" x14ac:dyDescent="0.25">
      <c r="I1055">
        <v>1940686</v>
      </c>
    </row>
    <row r="1056" spans="9:9" x14ac:dyDescent="0.25">
      <c r="I1056">
        <v>1940686</v>
      </c>
    </row>
    <row r="1057" spans="9:9" x14ac:dyDescent="0.25">
      <c r="I1057">
        <v>1940686</v>
      </c>
    </row>
    <row r="1058" spans="9:9" x14ac:dyDescent="0.25">
      <c r="I1058">
        <v>1939966</v>
      </c>
    </row>
    <row r="1059" spans="9:9" x14ac:dyDescent="0.25">
      <c r="I1059">
        <v>1939966</v>
      </c>
    </row>
    <row r="1060" spans="9:9" x14ac:dyDescent="0.25">
      <c r="I1060">
        <v>1939966</v>
      </c>
    </row>
    <row r="1061" spans="9:9" x14ac:dyDescent="0.25">
      <c r="I1061">
        <v>1939966</v>
      </c>
    </row>
    <row r="1062" spans="9:9" x14ac:dyDescent="0.25">
      <c r="I1062">
        <v>1939966</v>
      </c>
    </row>
    <row r="1063" spans="9:9" x14ac:dyDescent="0.25">
      <c r="I1063">
        <v>2427158</v>
      </c>
    </row>
    <row r="1064" spans="9:9" x14ac:dyDescent="0.25">
      <c r="I1064">
        <v>2427158</v>
      </c>
    </row>
    <row r="1065" spans="9:9" x14ac:dyDescent="0.25">
      <c r="I1065">
        <v>2427158</v>
      </c>
    </row>
    <row r="1066" spans="9:9" x14ac:dyDescent="0.25">
      <c r="I1066">
        <v>2427158</v>
      </c>
    </row>
    <row r="1067" spans="9:9" x14ac:dyDescent="0.25">
      <c r="I1067">
        <v>2427158</v>
      </c>
    </row>
    <row r="1068" spans="9:9" x14ac:dyDescent="0.25">
      <c r="I1068">
        <v>1940825</v>
      </c>
    </row>
    <row r="1069" spans="9:9" x14ac:dyDescent="0.25">
      <c r="I1069">
        <v>1940825</v>
      </c>
    </row>
    <row r="1070" spans="9:9" x14ac:dyDescent="0.25">
      <c r="I1070">
        <v>1940825</v>
      </c>
    </row>
    <row r="1071" spans="9:9" x14ac:dyDescent="0.25">
      <c r="I1071">
        <v>1940825</v>
      </c>
    </row>
    <row r="1072" spans="9:9" x14ac:dyDescent="0.25">
      <c r="I1072">
        <v>1940825</v>
      </c>
    </row>
    <row r="1073" spans="9:9" x14ac:dyDescent="0.25">
      <c r="I1073">
        <v>1940823</v>
      </c>
    </row>
    <row r="1074" spans="9:9" x14ac:dyDescent="0.25">
      <c r="I1074">
        <v>1940823</v>
      </c>
    </row>
    <row r="1075" spans="9:9" x14ac:dyDescent="0.25">
      <c r="I1075">
        <v>1940823</v>
      </c>
    </row>
    <row r="1076" spans="9:9" x14ac:dyDescent="0.25">
      <c r="I1076">
        <v>1940822</v>
      </c>
    </row>
    <row r="1077" spans="9:9" x14ac:dyDescent="0.25">
      <c r="I1077">
        <v>1940822</v>
      </c>
    </row>
    <row r="1078" spans="9:9" x14ac:dyDescent="0.25">
      <c r="I1078">
        <v>1940822</v>
      </c>
    </row>
    <row r="1079" spans="9:9" x14ac:dyDescent="0.25">
      <c r="I1079">
        <v>1940822</v>
      </c>
    </row>
    <row r="1080" spans="9:9" x14ac:dyDescent="0.25">
      <c r="I1080">
        <v>1940822</v>
      </c>
    </row>
    <row r="1081" spans="9:9" x14ac:dyDescent="0.25">
      <c r="I1081">
        <v>1940822</v>
      </c>
    </row>
    <row r="1082" spans="9:9" x14ac:dyDescent="0.25">
      <c r="I1082">
        <v>3598957</v>
      </c>
    </row>
    <row r="1083" spans="9:9" x14ac:dyDescent="0.25">
      <c r="I1083">
        <v>3598957</v>
      </c>
    </row>
    <row r="1084" spans="9:9" x14ac:dyDescent="0.25">
      <c r="I1084">
        <v>3598957</v>
      </c>
    </row>
    <row r="1085" spans="9:9" x14ac:dyDescent="0.25">
      <c r="I1085">
        <v>3598957</v>
      </c>
    </row>
    <row r="1086" spans="9:9" x14ac:dyDescent="0.25">
      <c r="I1086">
        <v>4075254</v>
      </c>
    </row>
    <row r="1087" spans="9:9" x14ac:dyDescent="0.25">
      <c r="I1087">
        <v>3935313</v>
      </c>
    </row>
    <row r="1088" spans="9:9" x14ac:dyDescent="0.25">
      <c r="I1088">
        <v>1940801</v>
      </c>
    </row>
    <row r="1089" spans="9:9" x14ac:dyDescent="0.25">
      <c r="I1089">
        <v>1940801</v>
      </c>
    </row>
    <row r="1090" spans="9:9" x14ac:dyDescent="0.25">
      <c r="I1090">
        <v>3935311</v>
      </c>
    </row>
    <row r="1091" spans="9:9" x14ac:dyDescent="0.25">
      <c r="I1091">
        <v>3233554</v>
      </c>
    </row>
    <row r="1092" spans="9:9" x14ac:dyDescent="0.25">
      <c r="I1092">
        <v>3233554</v>
      </c>
    </row>
    <row r="1093" spans="9:9" x14ac:dyDescent="0.25">
      <c r="I1093">
        <v>3572038</v>
      </c>
    </row>
    <row r="1094" spans="9:9" x14ac:dyDescent="0.25">
      <c r="I1094">
        <v>3929692</v>
      </c>
    </row>
    <row r="1095" spans="9:9" x14ac:dyDescent="0.25">
      <c r="I1095">
        <v>3931837</v>
      </c>
    </row>
    <row r="1096" spans="9:9" x14ac:dyDescent="0.25">
      <c r="I1096">
        <v>3233555</v>
      </c>
    </row>
    <row r="1097" spans="9:9" x14ac:dyDescent="0.25">
      <c r="I1097">
        <v>3233555</v>
      </c>
    </row>
    <row r="1098" spans="9:9" x14ac:dyDescent="0.25">
      <c r="I1098">
        <v>3230492</v>
      </c>
    </row>
    <row r="1099" spans="9:9" x14ac:dyDescent="0.25">
      <c r="I1099">
        <v>3230492</v>
      </c>
    </row>
    <row r="1100" spans="9:9" x14ac:dyDescent="0.25">
      <c r="I1100">
        <v>3233560</v>
      </c>
    </row>
    <row r="1101" spans="9:9" x14ac:dyDescent="0.25">
      <c r="I1101">
        <v>3572051</v>
      </c>
    </row>
    <row r="1102" spans="9:9" x14ac:dyDescent="0.25">
      <c r="I1102">
        <v>3572051</v>
      </c>
    </row>
    <row r="1103" spans="9:9" x14ac:dyDescent="0.25">
      <c r="I1103">
        <v>3230485</v>
      </c>
    </row>
    <row r="1104" spans="9:9" x14ac:dyDescent="0.25">
      <c r="I1104">
        <v>3931836</v>
      </c>
    </row>
    <row r="1105" spans="9:9" x14ac:dyDescent="0.25">
      <c r="I1105">
        <v>3233557</v>
      </c>
    </row>
    <row r="1106" spans="9:9" x14ac:dyDescent="0.25">
      <c r="I1106">
        <v>3230482</v>
      </c>
    </row>
    <row r="1107" spans="9:9" x14ac:dyDescent="0.25">
      <c r="I1107">
        <v>3929540</v>
      </c>
    </row>
    <row r="1108" spans="9:9" x14ac:dyDescent="0.25">
      <c r="I1108">
        <v>3571870</v>
      </c>
    </row>
    <row r="1109" spans="9:9" x14ac:dyDescent="0.25">
      <c r="I1109">
        <v>3230488</v>
      </c>
    </row>
    <row r="1110" spans="9:9" x14ac:dyDescent="0.25">
      <c r="I1110">
        <v>3230487</v>
      </c>
    </row>
    <row r="1111" spans="9:9" x14ac:dyDescent="0.25">
      <c r="I1111">
        <v>3230490</v>
      </c>
    </row>
    <row r="1112" spans="9:9" x14ac:dyDescent="0.25">
      <c r="I1112">
        <v>3230495</v>
      </c>
    </row>
    <row r="1113" spans="9:9" x14ac:dyDescent="0.25">
      <c r="I1113">
        <v>3929691</v>
      </c>
    </row>
    <row r="1114" spans="9:9" x14ac:dyDescent="0.25">
      <c r="I1114">
        <v>2256692</v>
      </c>
    </row>
    <row r="1115" spans="9:9" x14ac:dyDescent="0.25">
      <c r="I1115">
        <v>2256692</v>
      </c>
    </row>
    <row r="1116" spans="9:9" x14ac:dyDescent="0.25">
      <c r="I1116">
        <v>1905990</v>
      </c>
    </row>
    <row r="1117" spans="9:9" x14ac:dyDescent="0.25">
      <c r="I1117">
        <v>1905990</v>
      </c>
    </row>
    <row r="1118" spans="9:9" x14ac:dyDescent="0.25">
      <c r="I1118">
        <v>3780005</v>
      </c>
    </row>
    <row r="1119" spans="9:9" x14ac:dyDescent="0.25">
      <c r="I1119">
        <v>3780005</v>
      </c>
    </row>
    <row r="1120" spans="9:9" x14ac:dyDescent="0.25">
      <c r="I1120">
        <v>3780004</v>
      </c>
    </row>
    <row r="1121" spans="9:9" x14ac:dyDescent="0.25">
      <c r="I1121">
        <v>3780004</v>
      </c>
    </row>
    <row r="1122" spans="9:9" x14ac:dyDescent="0.25">
      <c r="I1122">
        <v>3780004</v>
      </c>
    </row>
    <row r="1123" spans="9:9" x14ac:dyDescent="0.25">
      <c r="I1123">
        <v>3780004</v>
      </c>
    </row>
    <row r="1124" spans="9:9" x14ac:dyDescent="0.25">
      <c r="I1124">
        <v>3780004</v>
      </c>
    </row>
    <row r="1125" spans="9:9" x14ac:dyDescent="0.25">
      <c r="I1125">
        <v>3910648</v>
      </c>
    </row>
    <row r="1126" spans="9:9" x14ac:dyDescent="0.25">
      <c r="I1126">
        <v>3910648</v>
      </c>
    </row>
    <row r="1127" spans="9:9" x14ac:dyDescent="0.25">
      <c r="I1127">
        <v>3910648</v>
      </c>
    </row>
    <row r="1128" spans="9:9" x14ac:dyDescent="0.25">
      <c r="I1128">
        <v>3910648</v>
      </c>
    </row>
    <row r="1129" spans="9:9" x14ac:dyDescent="0.25">
      <c r="I1129">
        <v>3801265</v>
      </c>
    </row>
    <row r="1130" spans="9:9" x14ac:dyDescent="0.25">
      <c r="I1130">
        <v>3801265</v>
      </c>
    </row>
    <row r="1131" spans="9:9" x14ac:dyDescent="0.25">
      <c r="I1131">
        <v>2325421</v>
      </c>
    </row>
    <row r="1132" spans="9:9" x14ac:dyDescent="0.25">
      <c r="I1132">
        <v>2325421</v>
      </c>
    </row>
    <row r="1133" spans="9:9" x14ac:dyDescent="0.25">
      <c r="I1133">
        <v>1940822</v>
      </c>
    </row>
    <row r="1134" spans="9:9" x14ac:dyDescent="0.25">
      <c r="I1134">
        <v>1940822</v>
      </c>
    </row>
    <row r="1135" spans="9:9" x14ac:dyDescent="0.25">
      <c r="I1135">
        <v>1940822</v>
      </c>
    </row>
    <row r="1136" spans="9:9" x14ac:dyDescent="0.25">
      <c r="I1136">
        <v>1940822</v>
      </c>
    </row>
    <row r="1137" spans="9:9" x14ac:dyDescent="0.25">
      <c r="I1137">
        <v>1940821</v>
      </c>
    </row>
    <row r="1138" spans="9:9" x14ac:dyDescent="0.25">
      <c r="I1138">
        <v>3929691</v>
      </c>
    </row>
    <row r="1139" spans="9:9" x14ac:dyDescent="0.25">
      <c r="I1139">
        <v>3929540</v>
      </c>
    </row>
    <row r="1140" spans="9:9" x14ac:dyDescent="0.25">
      <c r="I1140">
        <v>3929692</v>
      </c>
    </row>
    <row r="1141" spans="9:9" x14ac:dyDescent="0.25">
      <c r="I1141">
        <v>3230495</v>
      </c>
    </row>
    <row r="1142" spans="9:9" x14ac:dyDescent="0.25">
      <c r="I1142">
        <v>3935312</v>
      </c>
    </row>
    <row r="1143" spans="9:9" x14ac:dyDescent="0.25">
      <c r="I1143">
        <v>1940849</v>
      </c>
    </row>
    <row r="1144" spans="9:9" x14ac:dyDescent="0.25">
      <c r="I1144">
        <v>1940850</v>
      </c>
    </row>
    <row r="1145" spans="9:9" x14ac:dyDescent="0.25">
      <c r="I1145">
        <v>3230482</v>
      </c>
    </row>
    <row r="1146" spans="9:9" x14ac:dyDescent="0.25">
      <c r="I1146">
        <v>3935311</v>
      </c>
    </row>
    <row r="1147" spans="9:9" x14ac:dyDescent="0.25">
      <c r="I1147">
        <v>3931834</v>
      </c>
    </row>
    <row r="1148" spans="9:9" x14ac:dyDescent="0.25">
      <c r="I1148">
        <v>3931835</v>
      </c>
    </row>
    <row r="1149" spans="9:9" x14ac:dyDescent="0.25">
      <c r="I1149">
        <v>3938687</v>
      </c>
    </row>
    <row r="1150" spans="9:9" x14ac:dyDescent="0.25">
      <c r="I1150">
        <v>3230486</v>
      </c>
    </row>
    <row r="1151" spans="9:9" x14ac:dyDescent="0.25">
      <c r="I1151">
        <v>3230490</v>
      </c>
    </row>
    <row r="1152" spans="9:9" x14ac:dyDescent="0.25">
      <c r="I1152">
        <v>3230487</v>
      </c>
    </row>
    <row r="1153" spans="9:9" x14ac:dyDescent="0.25">
      <c r="I1153">
        <v>3952059</v>
      </c>
    </row>
    <row r="1154" spans="9:9" x14ac:dyDescent="0.25">
      <c r="I1154">
        <v>3230488</v>
      </c>
    </row>
    <row r="1155" spans="9:9" x14ac:dyDescent="0.25">
      <c r="I1155">
        <v>3931836</v>
      </c>
    </row>
    <row r="1156" spans="9:9" x14ac:dyDescent="0.25">
      <c r="I1156">
        <v>3230485</v>
      </c>
    </row>
    <row r="1157" spans="9:9" x14ac:dyDescent="0.25">
      <c r="I1157">
        <v>3233560</v>
      </c>
    </row>
    <row r="1158" spans="9:9" x14ac:dyDescent="0.25">
      <c r="I1158">
        <v>3230492</v>
      </c>
    </row>
    <row r="1159" spans="9:9" x14ac:dyDescent="0.25">
      <c r="I1159">
        <v>3931837</v>
      </c>
    </row>
    <row r="1160" spans="9:9" x14ac:dyDescent="0.25">
      <c r="I1160">
        <v>3572038</v>
      </c>
    </row>
    <row r="1161" spans="9:9" x14ac:dyDescent="0.25">
      <c r="I1161">
        <v>3233559</v>
      </c>
    </row>
    <row r="1162" spans="9:9" x14ac:dyDescent="0.25">
      <c r="I1162">
        <v>3584171</v>
      </c>
    </row>
    <row r="1163" spans="9:9" x14ac:dyDescent="0.25">
      <c r="I1163">
        <v>3233557</v>
      </c>
    </row>
    <row r="1164" spans="9:9" x14ac:dyDescent="0.25">
      <c r="I1164">
        <v>3233557</v>
      </c>
    </row>
    <row r="1165" spans="9:9" x14ac:dyDescent="0.25">
      <c r="I1165">
        <v>3233556</v>
      </c>
    </row>
    <row r="1166" spans="9:9" x14ac:dyDescent="0.25">
      <c r="I1166">
        <v>3233555</v>
      </c>
    </row>
    <row r="1167" spans="9:9" x14ac:dyDescent="0.25">
      <c r="I1167">
        <v>3233555</v>
      </c>
    </row>
    <row r="1168" spans="9:9" x14ac:dyDescent="0.25">
      <c r="I1168">
        <v>3233554</v>
      </c>
    </row>
    <row r="1169" spans="9:9" x14ac:dyDescent="0.25">
      <c r="I1169">
        <v>1940801</v>
      </c>
    </row>
    <row r="1170" spans="9:9" x14ac:dyDescent="0.25">
      <c r="I1170">
        <v>1940801</v>
      </c>
    </row>
    <row r="1171" spans="9:9" x14ac:dyDescent="0.25">
      <c r="I1171">
        <v>3935313</v>
      </c>
    </row>
    <row r="1172" spans="9:9" x14ac:dyDescent="0.25">
      <c r="I1172">
        <v>3673012</v>
      </c>
    </row>
    <row r="1173" spans="9:9" x14ac:dyDescent="0.25">
      <c r="I1173">
        <v>2270133</v>
      </c>
    </row>
    <row r="1174" spans="9:9" x14ac:dyDescent="0.25">
      <c r="I1174">
        <v>2270133</v>
      </c>
    </row>
    <row r="1175" spans="9:9" x14ac:dyDescent="0.25">
      <c r="I1175">
        <v>3706751</v>
      </c>
    </row>
    <row r="1176" spans="9:9" x14ac:dyDescent="0.25">
      <c r="I1176">
        <v>3706751</v>
      </c>
    </row>
    <row r="1177" spans="9:9" x14ac:dyDescent="0.25">
      <c r="I1177">
        <v>3706751</v>
      </c>
    </row>
    <row r="1178" spans="9:9" x14ac:dyDescent="0.25">
      <c r="I1178">
        <v>3706751</v>
      </c>
    </row>
    <row r="1179" spans="9:9" x14ac:dyDescent="0.25">
      <c r="I1179">
        <v>3706751</v>
      </c>
    </row>
    <row r="1180" spans="9:9" x14ac:dyDescent="0.25">
      <c r="I1180">
        <v>3706751</v>
      </c>
    </row>
    <row r="1181" spans="9:9" x14ac:dyDescent="0.25">
      <c r="I1181">
        <v>3706751</v>
      </c>
    </row>
    <row r="1182" spans="9:9" x14ac:dyDescent="0.25">
      <c r="I1182">
        <v>3706751</v>
      </c>
    </row>
    <row r="1183" spans="9:9" x14ac:dyDescent="0.25">
      <c r="I1183">
        <v>2420205</v>
      </c>
    </row>
    <row r="1184" spans="9:9" x14ac:dyDescent="0.25">
      <c r="I1184">
        <v>2420205</v>
      </c>
    </row>
    <row r="1185" spans="9:9" x14ac:dyDescent="0.25">
      <c r="I1185">
        <v>2420205</v>
      </c>
    </row>
    <row r="1186" spans="9:9" x14ac:dyDescent="0.25">
      <c r="I1186">
        <v>2420205</v>
      </c>
    </row>
    <row r="1187" spans="9:9" x14ac:dyDescent="0.25">
      <c r="I1187">
        <v>1940830</v>
      </c>
    </row>
    <row r="1188" spans="9:9" x14ac:dyDescent="0.25">
      <c r="I1188">
        <v>1940830</v>
      </c>
    </row>
    <row r="1189" spans="9:9" x14ac:dyDescent="0.25">
      <c r="I1189">
        <v>1940830</v>
      </c>
    </row>
    <row r="1190" spans="9:9" x14ac:dyDescent="0.25">
      <c r="I1190">
        <v>2403383</v>
      </c>
    </row>
    <row r="1191" spans="9:9" x14ac:dyDescent="0.25">
      <c r="I1191">
        <v>2403383</v>
      </c>
    </row>
    <row r="1192" spans="9:9" x14ac:dyDescent="0.25">
      <c r="I1192">
        <v>2403383</v>
      </c>
    </row>
    <row r="1193" spans="9:9" x14ac:dyDescent="0.25">
      <c r="I1193">
        <v>2403383</v>
      </c>
    </row>
    <row r="1194" spans="9:9" x14ac:dyDescent="0.25">
      <c r="I1194">
        <v>3122347</v>
      </c>
    </row>
    <row r="1195" spans="9:9" x14ac:dyDescent="0.25">
      <c r="I1195">
        <v>3122347</v>
      </c>
    </row>
    <row r="1196" spans="9:9" x14ac:dyDescent="0.25">
      <c r="I1196">
        <v>3122347</v>
      </c>
    </row>
    <row r="1197" spans="9:9" x14ac:dyDescent="0.25">
      <c r="I1197">
        <v>3122347</v>
      </c>
    </row>
    <row r="1198" spans="9:9" x14ac:dyDescent="0.25">
      <c r="I1198">
        <v>3122347</v>
      </c>
    </row>
    <row r="1199" spans="9:9" x14ac:dyDescent="0.25">
      <c r="I1199">
        <v>1939993</v>
      </c>
    </row>
    <row r="1200" spans="9:9" x14ac:dyDescent="0.25">
      <c r="I1200">
        <v>3929636</v>
      </c>
    </row>
    <row r="1201" spans="9:9" x14ac:dyDescent="0.25">
      <c r="I1201">
        <v>4075254</v>
      </c>
    </row>
    <row r="1202" spans="9:9" x14ac:dyDescent="0.25">
      <c r="I1202">
        <v>3935313</v>
      </c>
    </row>
    <row r="1203" spans="9:9" x14ac:dyDescent="0.25">
      <c r="I1203">
        <v>1940801</v>
      </c>
    </row>
    <row r="1204" spans="9:9" x14ac:dyDescent="0.25">
      <c r="I1204">
        <v>1940801</v>
      </c>
    </row>
    <row r="1205" spans="9:9" x14ac:dyDescent="0.25">
      <c r="I1205">
        <v>3935311</v>
      </c>
    </row>
    <row r="1206" spans="9:9" x14ac:dyDescent="0.25">
      <c r="I1206">
        <v>3233554</v>
      </c>
    </row>
    <row r="1207" spans="9:9" x14ac:dyDescent="0.25">
      <c r="I1207">
        <v>3572038</v>
      </c>
    </row>
    <row r="1208" spans="9:9" x14ac:dyDescent="0.25">
      <c r="I1208">
        <v>3929692</v>
      </c>
    </row>
    <row r="1209" spans="9:9" x14ac:dyDescent="0.25">
      <c r="I1209">
        <v>3931837</v>
      </c>
    </row>
    <row r="1210" spans="9:9" x14ac:dyDescent="0.25">
      <c r="I1210">
        <v>3233555</v>
      </c>
    </row>
    <row r="1211" spans="9:9" x14ac:dyDescent="0.25">
      <c r="I1211">
        <v>3233555</v>
      </c>
    </row>
    <row r="1212" spans="9:9" x14ac:dyDescent="0.25">
      <c r="I1212">
        <v>3233555</v>
      </c>
    </row>
    <row r="1213" spans="9:9" x14ac:dyDescent="0.25">
      <c r="I1213">
        <v>3230492</v>
      </c>
    </row>
    <row r="1214" spans="9:9" x14ac:dyDescent="0.25">
      <c r="I1214">
        <v>3233560</v>
      </c>
    </row>
    <row r="1215" spans="9:9" x14ac:dyDescent="0.25">
      <c r="I1215">
        <v>3572051</v>
      </c>
    </row>
    <row r="1216" spans="9:9" x14ac:dyDescent="0.25">
      <c r="I1216">
        <v>3572051</v>
      </c>
    </row>
    <row r="1217" spans="9:9" x14ac:dyDescent="0.25">
      <c r="I1217">
        <v>3230485</v>
      </c>
    </row>
    <row r="1218" spans="9:9" x14ac:dyDescent="0.25">
      <c r="I1218">
        <v>3931836</v>
      </c>
    </row>
    <row r="1219" spans="9:9" x14ac:dyDescent="0.25">
      <c r="I1219">
        <v>3233557</v>
      </c>
    </row>
    <row r="1220" spans="9:9" x14ac:dyDescent="0.25">
      <c r="I1220">
        <v>3230482</v>
      </c>
    </row>
    <row r="1221" spans="9:9" x14ac:dyDescent="0.25">
      <c r="I1221">
        <v>3929540</v>
      </c>
    </row>
    <row r="1222" spans="9:9" x14ac:dyDescent="0.25">
      <c r="I1222">
        <v>3571870</v>
      </c>
    </row>
    <row r="1223" spans="9:9" x14ac:dyDescent="0.25">
      <c r="I1223">
        <v>3230488</v>
      </c>
    </row>
    <row r="1224" spans="9:9" x14ac:dyDescent="0.25">
      <c r="I1224">
        <v>3230487</v>
      </c>
    </row>
    <row r="1225" spans="9:9" x14ac:dyDescent="0.25">
      <c r="I1225">
        <v>3230490</v>
      </c>
    </row>
    <row r="1226" spans="9:9" x14ac:dyDescent="0.25">
      <c r="I1226">
        <v>3230495</v>
      </c>
    </row>
    <row r="1227" spans="9:9" x14ac:dyDescent="0.25">
      <c r="I1227">
        <v>3929691</v>
      </c>
    </row>
    <row r="1228" spans="9:9" x14ac:dyDescent="0.25">
      <c r="I1228">
        <v>3910648</v>
      </c>
    </row>
    <row r="1229" spans="9:9" x14ac:dyDescent="0.25">
      <c r="I1229">
        <v>3910648</v>
      </c>
    </row>
    <row r="1230" spans="9:9" x14ac:dyDescent="0.25">
      <c r="I1230">
        <v>3910648</v>
      </c>
    </row>
    <row r="1231" spans="9:9" x14ac:dyDescent="0.25">
      <c r="I1231">
        <v>3910648</v>
      </c>
    </row>
    <row r="1232" spans="9:9" x14ac:dyDescent="0.25">
      <c r="I1232">
        <v>3910648</v>
      </c>
    </row>
    <row r="1233" spans="9:9" x14ac:dyDescent="0.25">
      <c r="I1233">
        <v>3556680</v>
      </c>
    </row>
    <row r="1234" spans="9:9" x14ac:dyDescent="0.25">
      <c r="I1234">
        <v>3556680</v>
      </c>
    </row>
    <row r="1235" spans="9:9" x14ac:dyDescent="0.25">
      <c r="I1235">
        <v>3556680</v>
      </c>
    </row>
    <row r="1236" spans="9:9" x14ac:dyDescent="0.25">
      <c r="I1236">
        <v>3556680</v>
      </c>
    </row>
    <row r="1237" spans="9:9" x14ac:dyDescent="0.25">
      <c r="I1237">
        <v>1940399</v>
      </c>
    </row>
    <row r="1238" spans="9:9" x14ac:dyDescent="0.25">
      <c r="I1238">
        <v>1940466</v>
      </c>
    </row>
    <row r="1239" spans="9:9" x14ac:dyDescent="0.25">
      <c r="I1239">
        <v>1940466</v>
      </c>
    </row>
    <row r="1240" spans="9:9" x14ac:dyDescent="0.25">
      <c r="I1240">
        <v>1940466</v>
      </c>
    </row>
    <row r="1241" spans="9:9" x14ac:dyDescent="0.25">
      <c r="I1241">
        <v>2413708</v>
      </c>
    </row>
    <row r="1242" spans="9:9" x14ac:dyDescent="0.25">
      <c r="I1242">
        <v>2413708</v>
      </c>
    </row>
    <row r="1243" spans="9:9" x14ac:dyDescent="0.25">
      <c r="I1243">
        <v>2413708</v>
      </c>
    </row>
    <row r="1244" spans="9:9" x14ac:dyDescent="0.25">
      <c r="I1244">
        <v>2413708</v>
      </c>
    </row>
    <row r="1245" spans="9:9" x14ac:dyDescent="0.25">
      <c r="I1245">
        <v>3910648</v>
      </c>
    </row>
    <row r="1246" spans="9:9" x14ac:dyDescent="0.25">
      <c r="I1246">
        <v>3910648</v>
      </c>
    </row>
    <row r="1247" spans="9:9" x14ac:dyDescent="0.25">
      <c r="I1247">
        <v>3910648</v>
      </c>
    </row>
    <row r="1248" spans="9:9" x14ac:dyDescent="0.25">
      <c r="I1248">
        <v>3910648</v>
      </c>
    </row>
    <row r="1249" spans="9:9" x14ac:dyDescent="0.25">
      <c r="I1249">
        <v>3673012</v>
      </c>
    </row>
    <row r="1250" spans="9:9" x14ac:dyDescent="0.25">
      <c r="I1250">
        <v>3673012</v>
      </c>
    </row>
    <row r="1251" spans="9:9" x14ac:dyDescent="0.25">
      <c r="I1251">
        <v>3673012</v>
      </c>
    </row>
    <row r="1252" spans="9:9" x14ac:dyDescent="0.25">
      <c r="I1252">
        <v>2349249</v>
      </c>
    </row>
    <row r="1253" spans="9:9" x14ac:dyDescent="0.25">
      <c r="I1253">
        <v>2349249</v>
      </c>
    </row>
    <row r="1254" spans="9:9" x14ac:dyDescent="0.25">
      <c r="I1254">
        <v>2349249</v>
      </c>
    </row>
    <row r="1255" spans="9:9" x14ac:dyDescent="0.25">
      <c r="I1255">
        <v>1940478</v>
      </c>
    </row>
    <row r="1256" spans="9:9" x14ac:dyDescent="0.25">
      <c r="I1256">
        <v>1940478</v>
      </c>
    </row>
    <row r="1257" spans="9:9" x14ac:dyDescent="0.25">
      <c r="I1257">
        <v>1940478</v>
      </c>
    </row>
    <row r="1258" spans="9:9" x14ac:dyDescent="0.25">
      <c r="I1258">
        <v>1940478</v>
      </c>
    </row>
    <row r="1259" spans="9:9" x14ac:dyDescent="0.25">
      <c r="I1259">
        <v>1940478</v>
      </c>
    </row>
    <row r="1260" spans="9:9" x14ac:dyDescent="0.25">
      <c r="I1260">
        <v>1940478</v>
      </c>
    </row>
    <row r="1261" spans="9:9" x14ac:dyDescent="0.25">
      <c r="I1261">
        <v>2423535</v>
      </c>
    </row>
    <row r="1262" spans="9:9" x14ac:dyDescent="0.25">
      <c r="I1262">
        <v>3926270</v>
      </c>
    </row>
    <row r="1263" spans="9:9" x14ac:dyDescent="0.25">
      <c r="I1263">
        <v>3910650</v>
      </c>
    </row>
    <row r="1264" spans="9:9" x14ac:dyDescent="0.25">
      <c r="I1264">
        <v>3910650</v>
      </c>
    </row>
    <row r="1265" spans="9:9" x14ac:dyDescent="0.25">
      <c r="I1265">
        <v>3910650</v>
      </c>
    </row>
    <row r="1266" spans="9:9" x14ac:dyDescent="0.25">
      <c r="I1266">
        <v>3910650</v>
      </c>
    </row>
    <row r="1267" spans="9:9" x14ac:dyDescent="0.25">
      <c r="I1267">
        <v>3635694</v>
      </c>
    </row>
    <row r="1268" spans="9:9" x14ac:dyDescent="0.25">
      <c r="I1268">
        <v>3943203</v>
      </c>
    </row>
    <row r="1269" spans="9:9" x14ac:dyDescent="0.25">
      <c r="I1269">
        <v>3943203</v>
      </c>
    </row>
    <row r="1270" spans="9:9" x14ac:dyDescent="0.25">
      <c r="I1270">
        <v>3943202</v>
      </c>
    </row>
    <row r="1271" spans="9:9" x14ac:dyDescent="0.25">
      <c r="I1271">
        <v>3943202</v>
      </c>
    </row>
    <row r="1272" spans="9:9" x14ac:dyDescent="0.25">
      <c r="I1272">
        <v>3943202</v>
      </c>
    </row>
    <row r="1273" spans="9:9" x14ac:dyDescent="0.25">
      <c r="I1273">
        <v>2256692</v>
      </c>
    </row>
    <row r="1274" spans="9:9" x14ac:dyDescent="0.25">
      <c r="I1274">
        <v>2256692</v>
      </c>
    </row>
    <row r="1275" spans="9:9" x14ac:dyDescent="0.25">
      <c r="I1275">
        <v>2256692</v>
      </c>
    </row>
    <row r="1276" spans="9:9" x14ac:dyDescent="0.25">
      <c r="I1276">
        <v>2256692</v>
      </c>
    </row>
    <row r="1277" spans="9:9" x14ac:dyDescent="0.25">
      <c r="I1277">
        <v>1940837</v>
      </c>
    </row>
    <row r="1278" spans="9:9" x14ac:dyDescent="0.25">
      <c r="I1278">
        <v>1940837</v>
      </c>
    </row>
    <row r="1279" spans="9:9" x14ac:dyDescent="0.25">
      <c r="I1279">
        <v>1940837</v>
      </c>
    </row>
    <row r="1280" spans="9:9" x14ac:dyDescent="0.25">
      <c r="I1280">
        <v>3712521</v>
      </c>
    </row>
    <row r="1281" spans="9:9" x14ac:dyDescent="0.25">
      <c r="I1281">
        <v>3712521</v>
      </c>
    </row>
    <row r="1282" spans="9:9" x14ac:dyDescent="0.25">
      <c r="I1282">
        <v>3712521</v>
      </c>
    </row>
    <row r="1283" spans="9:9" x14ac:dyDescent="0.25">
      <c r="I1283">
        <v>3712521</v>
      </c>
    </row>
    <row r="1284" spans="9:9" x14ac:dyDescent="0.25">
      <c r="I1284">
        <v>1940498</v>
      </c>
    </row>
    <row r="1285" spans="9:9" x14ac:dyDescent="0.25">
      <c r="I1285">
        <v>1940498</v>
      </c>
    </row>
    <row r="1286" spans="9:9" x14ac:dyDescent="0.25">
      <c r="I1286">
        <v>1940498</v>
      </c>
    </row>
    <row r="1287" spans="9:9" x14ac:dyDescent="0.25">
      <c r="I1287">
        <v>1940498</v>
      </c>
    </row>
    <row r="1288" spans="9:9" x14ac:dyDescent="0.25">
      <c r="I1288">
        <v>1940498</v>
      </c>
    </row>
    <row r="1289" spans="9:9" x14ac:dyDescent="0.25">
      <c r="I1289">
        <v>1940498</v>
      </c>
    </row>
    <row r="1290" spans="9:9" x14ac:dyDescent="0.25">
      <c r="I1290">
        <v>1940879</v>
      </c>
    </row>
    <row r="1291" spans="9:9" x14ac:dyDescent="0.25">
      <c r="I1291">
        <v>1940879</v>
      </c>
    </row>
    <row r="1292" spans="9:9" x14ac:dyDescent="0.25">
      <c r="I1292">
        <v>1940879</v>
      </c>
    </row>
    <row r="1293" spans="9:9" x14ac:dyDescent="0.25">
      <c r="I1293">
        <v>3910020</v>
      </c>
    </row>
    <row r="1294" spans="9:9" x14ac:dyDescent="0.25">
      <c r="I1294">
        <v>3910020</v>
      </c>
    </row>
    <row r="1295" spans="9:9" x14ac:dyDescent="0.25">
      <c r="I1295">
        <v>1940801</v>
      </c>
    </row>
    <row r="1296" spans="9:9" x14ac:dyDescent="0.25">
      <c r="I1296">
        <v>3233554</v>
      </c>
    </row>
    <row r="1297" spans="9:9" x14ac:dyDescent="0.25">
      <c r="I1297">
        <v>3233555</v>
      </c>
    </row>
    <row r="1298" spans="9:9" x14ac:dyDescent="0.25">
      <c r="I1298">
        <v>3233556</v>
      </c>
    </row>
    <row r="1299" spans="9:9" x14ac:dyDescent="0.25">
      <c r="I1299">
        <v>3233557</v>
      </c>
    </row>
    <row r="1300" spans="9:9" x14ac:dyDescent="0.25">
      <c r="I1300">
        <v>3584171</v>
      </c>
    </row>
    <row r="1301" spans="9:9" x14ac:dyDescent="0.25">
      <c r="I1301">
        <v>3233559</v>
      </c>
    </row>
    <row r="1302" spans="9:9" x14ac:dyDescent="0.25">
      <c r="I1302">
        <v>3233559</v>
      </c>
    </row>
    <row r="1303" spans="9:9" x14ac:dyDescent="0.25">
      <c r="I1303">
        <v>3572038</v>
      </c>
    </row>
    <row r="1304" spans="9:9" x14ac:dyDescent="0.25">
      <c r="I1304">
        <v>3931837</v>
      </c>
    </row>
    <row r="1305" spans="9:9" x14ac:dyDescent="0.25">
      <c r="I1305">
        <v>3230492</v>
      </c>
    </row>
    <row r="1306" spans="9:9" x14ac:dyDescent="0.25">
      <c r="I1306">
        <v>3233560</v>
      </c>
    </row>
    <row r="1307" spans="9:9" x14ac:dyDescent="0.25">
      <c r="I1307">
        <v>3230485</v>
      </c>
    </row>
    <row r="1308" spans="9:9" x14ac:dyDescent="0.25">
      <c r="I1308">
        <v>3931836</v>
      </c>
    </row>
    <row r="1309" spans="9:9" x14ac:dyDescent="0.25">
      <c r="I1309">
        <v>3230488</v>
      </c>
    </row>
    <row r="1310" spans="9:9" x14ac:dyDescent="0.25">
      <c r="I1310">
        <v>3952059</v>
      </c>
    </row>
    <row r="1311" spans="9:9" x14ac:dyDescent="0.25">
      <c r="I1311">
        <v>3952059</v>
      </c>
    </row>
    <row r="1312" spans="9:9" x14ac:dyDescent="0.25">
      <c r="I1312">
        <v>3230487</v>
      </c>
    </row>
    <row r="1313" spans="9:9" x14ac:dyDescent="0.25">
      <c r="I1313">
        <v>3230490</v>
      </c>
    </row>
    <row r="1314" spans="9:9" x14ac:dyDescent="0.25">
      <c r="I1314">
        <v>3230486</v>
      </c>
    </row>
    <row r="1315" spans="9:9" x14ac:dyDescent="0.25">
      <c r="I1315">
        <v>3938687</v>
      </c>
    </row>
    <row r="1316" spans="9:9" x14ac:dyDescent="0.25">
      <c r="I1316">
        <v>3931835</v>
      </c>
    </row>
    <row r="1317" spans="9:9" x14ac:dyDescent="0.25">
      <c r="I1317">
        <v>3931835</v>
      </c>
    </row>
    <row r="1318" spans="9:9" x14ac:dyDescent="0.25">
      <c r="I1318">
        <v>3931835</v>
      </c>
    </row>
    <row r="1319" spans="9:9" x14ac:dyDescent="0.25">
      <c r="I1319">
        <v>3931834</v>
      </c>
    </row>
    <row r="1320" spans="9:9" x14ac:dyDescent="0.25">
      <c r="I1320">
        <v>3935311</v>
      </c>
    </row>
    <row r="1321" spans="9:9" x14ac:dyDescent="0.25">
      <c r="I1321">
        <v>3935311</v>
      </c>
    </row>
    <row r="1322" spans="9:9" x14ac:dyDescent="0.25">
      <c r="I1322">
        <v>3230482</v>
      </c>
    </row>
    <row r="1323" spans="9:9" x14ac:dyDescent="0.25">
      <c r="I1323">
        <v>3230482</v>
      </c>
    </row>
    <row r="1324" spans="9:9" x14ac:dyDescent="0.25">
      <c r="I1324">
        <v>3230482</v>
      </c>
    </row>
    <row r="1325" spans="9:9" x14ac:dyDescent="0.25">
      <c r="I1325">
        <v>1940850</v>
      </c>
    </row>
    <row r="1326" spans="9:9" x14ac:dyDescent="0.25">
      <c r="I1326">
        <v>1940849</v>
      </c>
    </row>
    <row r="1327" spans="9:9" x14ac:dyDescent="0.25">
      <c r="I1327">
        <v>3935312</v>
      </c>
    </row>
    <row r="1328" spans="9:9" x14ac:dyDescent="0.25">
      <c r="I1328">
        <v>3935312</v>
      </c>
    </row>
    <row r="1329" spans="9:9" x14ac:dyDescent="0.25">
      <c r="I1329">
        <v>3230495</v>
      </c>
    </row>
    <row r="1330" spans="9:9" x14ac:dyDescent="0.25">
      <c r="I1330">
        <v>3929692</v>
      </c>
    </row>
    <row r="1331" spans="9:9" x14ac:dyDescent="0.25">
      <c r="I1331">
        <v>3929540</v>
      </c>
    </row>
    <row r="1332" spans="9:9" x14ac:dyDescent="0.25">
      <c r="I1332">
        <v>3929691</v>
      </c>
    </row>
    <row r="1333" spans="9:9" x14ac:dyDescent="0.25">
      <c r="I1333">
        <v>3935313</v>
      </c>
    </row>
    <row r="1334" spans="9:9" x14ac:dyDescent="0.25">
      <c r="I1334">
        <v>3910020</v>
      </c>
    </row>
    <row r="1335" spans="9:9" x14ac:dyDescent="0.25">
      <c r="I1335">
        <v>1940090</v>
      </c>
    </row>
    <row r="1336" spans="9:9" x14ac:dyDescent="0.25">
      <c r="I1336">
        <v>1940478</v>
      </c>
    </row>
    <row r="1337" spans="9:9" x14ac:dyDescent="0.25">
      <c r="I1337">
        <v>1940478</v>
      </c>
    </row>
    <row r="1338" spans="9:9" x14ac:dyDescent="0.25">
      <c r="I1338">
        <v>1940478</v>
      </c>
    </row>
    <row r="1339" spans="9:9" x14ac:dyDescent="0.25">
      <c r="I1339">
        <v>1940478</v>
      </c>
    </row>
    <row r="1340" spans="9:9" x14ac:dyDescent="0.25">
      <c r="I1340">
        <v>3929691</v>
      </c>
    </row>
    <row r="1341" spans="9:9" x14ac:dyDescent="0.25">
      <c r="I1341">
        <v>3929540</v>
      </c>
    </row>
    <row r="1342" spans="9:9" x14ac:dyDescent="0.25">
      <c r="I1342">
        <v>3929540</v>
      </c>
    </row>
    <row r="1343" spans="9:9" x14ac:dyDescent="0.25">
      <c r="I1343">
        <v>3929540</v>
      </c>
    </row>
    <row r="1344" spans="9:9" x14ac:dyDescent="0.25">
      <c r="I1344">
        <v>3929692</v>
      </c>
    </row>
    <row r="1345" spans="9:9" x14ac:dyDescent="0.25">
      <c r="I1345">
        <v>3929692</v>
      </c>
    </row>
    <row r="1346" spans="9:9" x14ac:dyDescent="0.25">
      <c r="I1346">
        <v>3230495</v>
      </c>
    </row>
    <row r="1347" spans="9:9" x14ac:dyDescent="0.25">
      <c r="I1347">
        <v>3935312</v>
      </c>
    </row>
    <row r="1348" spans="9:9" x14ac:dyDescent="0.25">
      <c r="I1348">
        <v>3935312</v>
      </c>
    </row>
    <row r="1349" spans="9:9" x14ac:dyDescent="0.25">
      <c r="I1349">
        <v>1940849</v>
      </c>
    </row>
    <row r="1350" spans="9:9" x14ac:dyDescent="0.25">
      <c r="I1350">
        <v>1940849</v>
      </c>
    </row>
    <row r="1351" spans="9:9" x14ac:dyDescent="0.25">
      <c r="I1351">
        <v>1940849</v>
      </c>
    </row>
    <row r="1352" spans="9:9" x14ac:dyDescent="0.25">
      <c r="I1352">
        <v>1940850</v>
      </c>
    </row>
    <row r="1353" spans="9:9" x14ac:dyDescent="0.25">
      <c r="I1353">
        <v>3432081</v>
      </c>
    </row>
    <row r="1354" spans="9:9" x14ac:dyDescent="0.25">
      <c r="I1354">
        <v>3239890</v>
      </c>
    </row>
    <row r="1355" spans="9:9" x14ac:dyDescent="0.25">
      <c r="I1355">
        <v>3239890</v>
      </c>
    </row>
    <row r="1356" spans="9:9" x14ac:dyDescent="0.25">
      <c r="I1356">
        <v>3229740</v>
      </c>
    </row>
    <row r="1357" spans="9:9" x14ac:dyDescent="0.25">
      <c r="I1357">
        <v>3409367</v>
      </c>
    </row>
    <row r="1358" spans="9:9" x14ac:dyDescent="0.25">
      <c r="I1358">
        <v>3409367</v>
      </c>
    </row>
    <row r="1359" spans="9:9" x14ac:dyDescent="0.25">
      <c r="I1359">
        <v>2409618</v>
      </c>
    </row>
    <row r="1360" spans="9:9" x14ac:dyDescent="0.25">
      <c r="I1360">
        <v>2409618</v>
      </c>
    </row>
    <row r="1361" spans="9:9" x14ac:dyDescent="0.25">
      <c r="I1361">
        <v>2409618</v>
      </c>
    </row>
    <row r="1362" spans="9:9" x14ac:dyDescent="0.25">
      <c r="I1362">
        <v>2409618</v>
      </c>
    </row>
    <row r="1363" spans="9:9" x14ac:dyDescent="0.25">
      <c r="I1363">
        <v>2409618</v>
      </c>
    </row>
    <row r="1364" spans="9:9" x14ac:dyDescent="0.25">
      <c r="I1364">
        <v>2409618</v>
      </c>
    </row>
    <row r="1365" spans="9:9" x14ac:dyDescent="0.25">
      <c r="I1365">
        <v>1937022</v>
      </c>
    </row>
    <row r="1366" spans="9:9" x14ac:dyDescent="0.25">
      <c r="I1366">
        <v>1937022</v>
      </c>
    </row>
    <row r="1367" spans="9:9" x14ac:dyDescent="0.25">
      <c r="I1367">
        <v>1937022</v>
      </c>
    </row>
    <row r="1368" spans="9:9" x14ac:dyDescent="0.25">
      <c r="I1368">
        <v>2325421</v>
      </c>
    </row>
    <row r="1369" spans="9:9" x14ac:dyDescent="0.25">
      <c r="I1369">
        <v>1940821</v>
      </c>
    </row>
    <row r="1370" spans="9:9" x14ac:dyDescent="0.25">
      <c r="I1370">
        <v>1940821</v>
      </c>
    </row>
    <row r="1371" spans="9:9" x14ac:dyDescent="0.25">
      <c r="I1371">
        <v>1940821</v>
      </c>
    </row>
    <row r="1372" spans="9:9" x14ac:dyDescent="0.25">
      <c r="I1372">
        <v>1940821</v>
      </c>
    </row>
    <row r="1373" spans="9:9" x14ac:dyDescent="0.25">
      <c r="I1373">
        <v>1940822</v>
      </c>
    </row>
    <row r="1374" spans="9:9" x14ac:dyDescent="0.25">
      <c r="I1374">
        <v>1940822</v>
      </c>
    </row>
    <row r="1375" spans="9:9" x14ac:dyDescent="0.25">
      <c r="I1375">
        <v>1940822</v>
      </c>
    </row>
    <row r="1376" spans="9:9" x14ac:dyDescent="0.25">
      <c r="I1376">
        <v>1940822</v>
      </c>
    </row>
    <row r="1377" spans="9:9" x14ac:dyDescent="0.25">
      <c r="I1377">
        <v>1940850</v>
      </c>
    </row>
    <row r="1378" spans="9:9" x14ac:dyDescent="0.25">
      <c r="I1378">
        <v>1940850</v>
      </c>
    </row>
    <row r="1379" spans="9:9" x14ac:dyDescent="0.25">
      <c r="I1379">
        <v>1940850</v>
      </c>
    </row>
    <row r="1380" spans="9:9" x14ac:dyDescent="0.25">
      <c r="I1380">
        <v>3230482</v>
      </c>
    </row>
    <row r="1381" spans="9:9" x14ac:dyDescent="0.25">
      <c r="I1381">
        <v>3230482</v>
      </c>
    </row>
    <row r="1382" spans="9:9" x14ac:dyDescent="0.25">
      <c r="I1382">
        <v>3935311</v>
      </c>
    </row>
    <row r="1383" spans="9:9" x14ac:dyDescent="0.25">
      <c r="I1383">
        <v>3935311</v>
      </c>
    </row>
    <row r="1384" spans="9:9" x14ac:dyDescent="0.25">
      <c r="I1384">
        <v>3935311</v>
      </c>
    </row>
    <row r="1385" spans="9:9" x14ac:dyDescent="0.25">
      <c r="I1385">
        <v>3931834</v>
      </c>
    </row>
    <row r="1386" spans="9:9" x14ac:dyDescent="0.25">
      <c r="I1386">
        <v>3931834</v>
      </c>
    </row>
    <row r="1387" spans="9:9" x14ac:dyDescent="0.25">
      <c r="I1387">
        <v>1940801</v>
      </c>
    </row>
    <row r="1388" spans="9:9" x14ac:dyDescent="0.25">
      <c r="I1388">
        <v>3233554</v>
      </c>
    </row>
    <row r="1389" spans="9:9" x14ac:dyDescent="0.25">
      <c r="I1389">
        <v>3233554</v>
      </c>
    </row>
    <row r="1390" spans="9:9" x14ac:dyDescent="0.25">
      <c r="I1390">
        <v>3233555</v>
      </c>
    </row>
    <row r="1391" spans="9:9" x14ac:dyDescent="0.25">
      <c r="I1391">
        <v>3233555</v>
      </c>
    </row>
    <row r="1392" spans="9:9" x14ac:dyDescent="0.25">
      <c r="I1392">
        <v>3233555</v>
      </c>
    </row>
    <row r="1393" spans="9:9" x14ac:dyDescent="0.25">
      <c r="I1393">
        <v>3233556</v>
      </c>
    </row>
    <row r="1394" spans="9:9" x14ac:dyDescent="0.25">
      <c r="I1394">
        <v>3233556</v>
      </c>
    </row>
    <row r="1395" spans="9:9" x14ac:dyDescent="0.25">
      <c r="I1395">
        <v>3233556</v>
      </c>
    </row>
    <row r="1396" spans="9:9" x14ac:dyDescent="0.25">
      <c r="I1396">
        <v>3233557</v>
      </c>
    </row>
    <row r="1397" spans="9:9" x14ac:dyDescent="0.25">
      <c r="I1397">
        <v>3233557</v>
      </c>
    </row>
    <row r="1398" spans="9:9" x14ac:dyDescent="0.25">
      <c r="I1398">
        <v>3584171</v>
      </c>
    </row>
    <row r="1399" spans="9:9" x14ac:dyDescent="0.25">
      <c r="I1399">
        <v>3584171</v>
      </c>
    </row>
    <row r="1400" spans="9:9" x14ac:dyDescent="0.25">
      <c r="I1400">
        <v>3233559</v>
      </c>
    </row>
    <row r="1401" spans="9:9" x14ac:dyDescent="0.25">
      <c r="I1401">
        <v>3572038</v>
      </c>
    </row>
    <row r="1402" spans="9:9" x14ac:dyDescent="0.25">
      <c r="I1402">
        <v>3931837</v>
      </c>
    </row>
    <row r="1403" spans="9:9" x14ac:dyDescent="0.25">
      <c r="I1403">
        <v>3230492</v>
      </c>
    </row>
    <row r="1404" spans="9:9" x14ac:dyDescent="0.25">
      <c r="I1404">
        <v>3230492</v>
      </c>
    </row>
    <row r="1405" spans="9:9" x14ac:dyDescent="0.25">
      <c r="I1405">
        <v>3233560</v>
      </c>
    </row>
    <row r="1406" spans="9:9" x14ac:dyDescent="0.25">
      <c r="I1406">
        <v>3233560</v>
      </c>
    </row>
    <row r="1407" spans="9:9" x14ac:dyDescent="0.25">
      <c r="I1407">
        <v>3230485</v>
      </c>
    </row>
    <row r="1408" spans="9:9" x14ac:dyDescent="0.25">
      <c r="I1408">
        <v>3931836</v>
      </c>
    </row>
    <row r="1409" spans="9:9" x14ac:dyDescent="0.25">
      <c r="I1409">
        <v>3931836</v>
      </c>
    </row>
    <row r="1410" spans="9:9" x14ac:dyDescent="0.25">
      <c r="I1410">
        <v>3230488</v>
      </c>
    </row>
    <row r="1411" spans="9:9" x14ac:dyDescent="0.25">
      <c r="I1411">
        <v>3952059</v>
      </c>
    </row>
    <row r="1412" spans="9:9" x14ac:dyDescent="0.25">
      <c r="I1412">
        <v>3230487</v>
      </c>
    </row>
    <row r="1413" spans="9:9" x14ac:dyDescent="0.25">
      <c r="I1413">
        <v>3230490</v>
      </c>
    </row>
    <row r="1414" spans="9:9" x14ac:dyDescent="0.25">
      <c r="I1414">
        <v>3230486</v>
      </c>
    </row>
    <row r="1415" spans="9:9" x14ac:dyDescent="0.25">
      <c r="I1415">
        <v>3230486</v>
      </c>
    </row>
    <row r="1416" spans="9:9" x14ac:dyDescent="0.25">
      <c r="I1416">
        <v>3230486</v>
      </c>
    </row>
    <row r="1417" spans="9:9" x14ac:dyDescent="0.25">
      <c r="I1417">
        <v>3938687</v>
      </c>
    </row>
    <row r="1418" spans="9:9" x14ac:dyDescent="0.25">
      <c r="I1418">
        <v>3931835</v>
      </c>
    </row>
    <row r="1419" spans="9:9" x14ac:dyDescent="0.25">
      <c r="I1419">
        <v>3931834</v>
      </c>
    </row>
    <row r="1420" spans="9:9" x14ac:dyDescent="0.25">
      <c r="I1420">
        <v>3935311</v>
      </c>
    </row>
    <row r="1421" spans="9:9" x14ac:dyDescent="0.25">
      <c r="I1421">
        <v>3230482</v>
      </c>
    </row>
    <row r="1422" spans="9:9" x14ac:dyDescent="0.25">
      <c r="I1422">
        <v>1940850</v>
      </c>
    </row>
    <row r="1423" spans="9:9" x14ac:dyDescent="0.25">
      <c r="I1423">
        <v>1940849</v>
      </c>
    </row>
    <row r="1424" spans="9:9" x14ac:dyDescent="0.25">
      <c r="I1424">
        <v>3935312</v>
      </c>
    </row>
    <row r="1425" spans="9:9" x14ac:dyDescent="0.25">
      <c r="I1425">
        <v>3230495</v>
      </c>
    </row>
    <row r="1426" spans="9:9" x14ac:dyDescent="0.25">
      <c r="I1426">
        <v>3929692</v>
      </c>
    </row>
    <row r="1427" spans="9:9" x14ac:dyDescent="0.25">
      <c r="I1427">
        <v>3929540</v>
      </c>
    </row>
    <row r="1428" spans="9:9" x14ac:dyDescent="0.25">
      <c r="I1428">
        <v>3929691</v>
      </c>
    </row>
    <row r="1429" spans="9:9" x14ac:dyDescent="0.25">
      <c r="I1429">
        <v>3935313</v>
      </c>
    </row>
    <row r="1430" spans="9:9" x14ac:dyDescent="0.25">
      <c r="I1430">
        <v>3801265</v>
      </c>
    </row>
    <row r="1431" spans="9:9" x14ac:dyDescent="0.25">
      <c r="I1431">
        <v>3801265</v>
      </c>
    </row>
    <row r="1432" spans="9:9" x14ac:dyDescent="0.25">
      <c r="I1432">
        <v>3910648</v>
      </c>
    </row>
    <row r="1433" spans="9:9" x14ac:dyDescent="0.25">
      <c r="I1433">
        <v>3910648</v>
      </c>
    </row>
    <row r="1434" spans="9:9" x14ac:dyDescent="0.25">
      <c r="I1434">
        <v>3910648</v>
      </c>
    </row>
    <row r="1435" spans="9:9" x14ac:dyDescent="0.25">
      <c r="I1435">
        <v>3910648</v>
      </c>
    </row>
    <row r="1436" spans="9:9" x14ac:dyDescent="0.25">
      <c r="I1436">
        <v>3910648</v>
      </c>
    </row>
    <row r="1437" spans="9:9" x14ac:dyDescent="0.25">
      <c r="I1437">
        <v>3780004</v>
      </c>
    </row>
    <row r="1438" spans="9:9" x14ac:dyDescent="0.25">
      <c r="I1438">
        <v>3780004</v>
      </c>
    </row>
    <row r="1439" spans="9:9" x14ac:dyDescent="0.25">
      <c r="I1439">
        <v>3931834</v>
      </c>
    </row>
    <row r="1440" spans="9:9" x14ac:dyDescent="0.25">
      <c r="I1440">
        <v>3931834</v>
      </c>
    </row>
    <row r="1441" spans="9:9" x14ac:dyDescent="0.25">
      <c r="I1441">
        <v>3931835</v>
      </c>
    </row>
    <row r="1442" spans="9:9" x14ac:dyDescent="0.25">
      <c r="I1442">
        <v>3931835</v>
      </c>
    </row>
    <row r="1443" spans="9:9" x14ac:dyDescent="0.25">
      <c r="I1443">
        <v>3938687</v>
      </c>
    </row>
    <row r="1444" spans="9:9" x14ac:dyDescent="0.25">
      <c r="I1444">
        <v>3938687</v>
      </c>
    </row>
    <row r="1445" spans="9:9" x14ac:dyDescent="0.25">
      <c r="I1445">
        <v>3938687</v>
      </c>
    </row>
    <row r="1446" spans="9:9" x14ac:dyDescent="0.25">
      <c r="I1446">
        <v>3230486</v>
      </c>
    </row>
    <row r="1447" spans="9:9" x14ac:dyDescent="0.25">
      <c r="I1447">
        <v>1940287</v>
      </c>
    </row>
    <row r="1448" spans="9:9" x14ac:dyDescent="0.25">
      <c r="I1448">
        <v>1940287</v>
      </c>
    </row>
    <row r="1449" spans="9:9" x14ac:dyDescent="0.25">
      <c r="I1449">
        <v>1940287</v>
      </c>
    </row>
    <row r="1450" spans="9:9" x14ac:dyDescent="0.25">
      <c r="I1450">
        <v>1940287</v>
      </c>
    </row>
    <row r="1451" spans="9:9" x14ac:dyDescent="0.25">
      <c r="I1451">
        <v>1940287</v>
      </c>
    </row>
    <row r="1452" spans="9:9" x14ac:dyDescent="0.25">
      <c r="I1452">
        <v>1940287</v>
      </c>
    </row>
    <row r="1453" spans="9:9" x14ac:dyDescent="0.25">
      <c r="I1453">
        <v>1940287</v>
      </c>
    </row>
    <row r="1454" spans="9:9" x14ac:dyDescent="0.25">
      <c r="I1454">
        <v>1940287</v>
      </c>
    </row>
    <row r="1455" spans="9:9" x14ac:dyDescent="0.25">
      <c r="I1455">
        <v>3230490</v>
      </c>
    </row>
    <row r="1456" spans="9:9" x14ac:dyDescent="0.25">
      <c r="I1456">
        <v>3230490</v>
      </c>
    </row>
    <row r="1457" spans="9:9" x14ac:dyDescent="0.25">
      <c r="I1457">
        <v>3230487</v>
      </c>
    </row>
    <row r="1458" spans="9:9" x14ac:dyDescent="0.25">
      <c r="I1458">
        <v>3230487</v>
      </c>
    </row>
    <row r="1459" spans="9:9" x14ac:dyDescent="0.25">
      <c r="I1459">
        <v>3952059</v>
      </c>
    </row>
    <row r="1460" spans="9:9" x14ac:dyDescent="0.25">
      <c r="I1460">
        <v>3952059</v>
      </c>
    </row>
    <row r="1461" spans="9:9" x14ac:dyDescent="0.25">
      <c r="I1461">
        <v>3952059</v>
      </c>
    </row>
    <row r="1462" spans="9:9" x14ac:dyDescent="0.25">
      <c r="I1462">
        <v>3952059</v>
      </c>
    </row>
    <row r="1463" spans="9:9" x14ac:dyDescent="0.25">
      <c r="I1463">
        <v>3952059</v>
      </c>
    </row>
    <row r="1464" spans="9:9" x14ac:dyDescent="0.25">
      <c r="I1464">
        <v>3230488</v>
      </c>
    </row>
    <row r="1465" spans="9:9" x14ac:dyDescent="0.25">
      <c r="I1465">
        <v>3931836</v>
      </c>
    </row>
    <row r="1466" spans="9:9" x14ac:dyDescent="0.25">
      <c r="I1466">
        <v>3931836</v>
      </c>
    </row>
    <row r="1467" spans="9:9" x14ac:dyDescent="0.25">
      <c r="I1467">
        <v>3230485</v>
      </c>
    </row>
    <row r="1468" spans="9:9" x14ac:dyDescent="0.25">
      <c r="I1468">
        <v>3233560</v>
      </c>
    </row>
    <row r="1469" spans="9:9" x14ac:dyDescent="0.25">
      <c r="I1469">
        <v>3233560</v>
      </c>
    </row>
    <row r="1470" spans="9:9" x14ac:dyDescent="0.25">
      <c r="I1470">
        <v>3230492</v>
      </c>
    </row>
    <row r="1471" spans="9:9" x14ac:dyDescent="0.25">
      <c r="I1471">
        <v>3230492</v>
      </c>
    </row>
    <row r="1472" spans="9:9" x14ac:dyDescent="0.25">
      <c r="I1472">
        <v>3931837</v>
      </c>
    </row>
    <row r="1473" spans="9:9" x14ac:dyDescent="0.25">
      <c r="I1473">
        <v>3572038</v>
      </c>
    </row>
    <row r="1474" spans="9:9" x14ac:dyDescent="0.25">
      <c r="I1474">
        <v>3935313</v>
      </c>
    </row>
    <row r="1475" spans="9:9" x14ac:dyDescent="0.25">
      <c r="I1475">
        <v>4075254</v>
      </c>
    </row>
    <row r="1476" spans="9:9" x14ac:dyDescent="0.25">
      <c r="I1476">
        <v>3929691</v>
      </c>
    </row>
    <row r="1477" spans="9:9" x14ac:dyDescent="0.25">
      <c r="I1477">
        <v>3929691</v>
      </c>
    </row>
    <row r="1478" spans="9:9" x14ac:dyDescent="0.25">
      <c r="I1478">
        <v>3929691</v>
      </c>
    </row>
    <row r="1479" spans="9:9" x14ac:dyDescent="0.25">
      <c r="I1479">
        <v>3230495</v>
      </c>
    </row>
    <row r="1480" spans="9:9" x14ac:dyDescent="0.25">
      <c r="I1480">
        <v>3230490</v>
      </c>
    </row>
    <row r="1481" spans="9:9" x14ac:dyDescent="0.25">
      <c r="I1481">
        <v>3230490</v>
      </c>
    </row>
    <row r="1482" spans="9:9" x14ac:dyDescent="0.25">
      <c r="I1482">
        <v>3230487</v>
      </c>
    </row>
    <row r="1483" spans="9:9" x14ac:dyDescent="0.25">
      <c r="I1483">
        <v>3230487</v>
      </c>
    </row>
    <row r="1484" spans="9:9" x14ac:dyDescent="0.25">
      <c r="I1484">
        <v>3230488</v>
      </c>
    </row>
    <row r="1485" spans="9:9" x14ac:dyDescent="0.25">
      <c r="I1485">
        <v>3571870</v>
      </c>
    </row>
    <row r="1486" spans="9:9" x14ac:dyDescent="0.25">
      <c r="I1486">
        <v>3571870</v>
      </c>
    </row>
    <row r="1487" spans="9:9" x14ac:dyDescent="0.25">
      <c r="I1487">
        <v>3929540</v>
      </c>
    </row>
    <row r="1488" spans="9:9" x14ac:dyDescent="0.25">
      <c r="I1488">
        <v>3230482</v>
      </c>
    </row>
    <row r="1489" spans="9:9" x14ac:dyDescent="0.25">
      <c r="I1489">
        <v>3233557</v>
      </c>
    </row>
    <row r="1490" spans="9:9" x14ac:dyDescent="0.25">
      <c r="I1490">
        <v>3931836</v>
      </c>
    </row>
    <row r="1491" spans="9:9" x14ac:dyDescent="0.25">
      <c r="I1491">
        <v>3931836</v>
      </c>
    </row>
    <row r="1492" spans="9:9" x14ac:dyDescent="0.25">
      <c r="I1492">
        <v>3230485</v>
      </c>
    </row>
    <row r="1493" spans="9:9" x14ac:dyDescent="0.25">
      <c r="I1493">
        <v>3230485</v>
      </c>
    </row>
    <row r="1494" spans="9:9" x14ac:dyDescent="0.25">
      <c r="I1494">
        <v>3572051</v>
      </c>
    </row>
    <row r="1495" spans="9:9" x14ac:dyDescent="0.25">
      <c r="I1495">
        <v>3572051</v>
      </c>
    </row>
    <row r="1496" spans="9:9" x14ac:dyDescent="0.25">
      <c r="I1496">
        <v>3233560</v>
      </c>
    </row>
    <row r="1497" spans="9:9" x14ac:dyDescent="0.25">
      <c r="I1497">
        <v>3230492</v>
      </c>
    </row>
    <row r="1498" spans="9:9" x14ac:dyDescent="0.25">
      <c r="I1498">
        <v>3230492</v>
      </c>
    </row>
    <row r="1499" spans="9:9" x14ac:dyDescent="0.25">
      <c r="I1499">
        <v>3230492</v>
      </c>
    </row>
    <row r="1500" spans="9:9" x14ac:dyDescent="0.25">
      <c r="I1500">
        <v>3233555</v>
      </c>
    </row>
    <row r="1501" spans="9:9" x14ac:dyDescent="0.25">
      <c r="I1501">
        <v>3931837</v>
      </c>
    </row>
    <row r="1502" spans="9:9" x14ac:dyDescent="0.25">
      <c r="I1502">
        <v>3929692</v>
      </c>
    </row>
    <row r="1503" spans="9:9" x14ac:dyDescent="0.25">
      <c r="I1503">
        <v>3572038</v>
      </c>
    </row>
    <row r="1504" spans="9:9" x14ac:dyDescent="0.25">
      <c r="I1504">
        <v>3572038</v>
      </c>
    </row>
    <row r="1505" spans="9:9" x14ac:dyDescent="0.25">
      <c r="I1505">
        <v>3572038</v>
      </c>
    </row>
    <row r="1506" spans="9:9" x14ac:dyDescent="0.25">
      <c r="I1506">
        <v>3233554</v>
      </c>
    </row>
    <row r="1507" spans="9:9" x14ac:dyDescent="0.25">
      <c r="I1507">
        <v>3935311</v>
      </c>
    </row>
    <row r="1508" spans="9:9" x14ac:dyDescent="0.25">
      <c r="I1508">
        <v>1940801</v>
      </c>
    </row>
    <row r="1509" spans="9:9" x14ac:dyDescent="0.25">
      <c r="I1509">
        <v>1940801</v>
      </c>
    </row>
    <row r="1510" spans="9:9" x14ac:dyDescent="0.25">
      <c r="I1510">
        <v>1940090</v>
      </c>
    </row>
    <row r="1511" spans="9:9" x14ac:dyDescent="0.25">
      <c r="I1511">
        <v>1940090</v>
      </c>
    </row>
    <row r="1512" spans="9:9" x14ac:dyDescent="0.25">
      <c r="I1512">
        <v>3910020</v>
      </c>
    </row>
    <row r="1513" spans="9:9" x14ac:dyDescent="0.25">
      <c r="I1513">
        <v>3910020</v>
      </c>
    </row>
    <row r="1514" spans="9:9" x14ac:dyDescent="0.25">
      <c r="I1514">
        <v>3910020</v>
      </c>
    </row>
    <row r="1515" spans="9:9" x14ac:dyDescent="0.25">
      <c r="I1515">
        <v>3910020</v>
      </c>
    </row>
    <row r="1516" spans="9:9" x14ac:dyDescent="0.25">
      <c r="I1516">
        <v>3910020</v>
      </c>
    </row>
    <row r="1517" spans="9:9" x14ac:dyDescent="0.25">
      <c r="I1517">
        <v>1940879</v>
      </c>
    </row>
    <row r="1518" spans="9:9" x14ac:dyDescent="0.25">
      <c r="I1518">
        <v>1940879</v>
      </c>
    </row>
    <row r="1519" spans="9:9" x14ac:dyDescent="0.25">
      <c r="I1519">
        <v>1940879</v>
      </c>
    </row>
    <row r="1520" spans="9:9" x14ac:dyDescent="0.25">
      <c r="I1520">
        <v>1940879</v>
      </c>
    </row>
    <row r="1521" spans="9:9" x14ac:dyDescent="0.25">
      <c r="I1521">
        <v>1940879</v>
      </c>
    </row>
    <row r="1522" spans="9:9" x14ac:dyDescent="0.25">
      <c r="I1522">
        <v>1940879</v>
      </c>
    </row>
    <row r="1523" spans="9:9" x14ac:dyDescent="0.25">
      <c r="I1523">
        <v>1940879</v>
      </c>
    </row>
    <row r="1524" spans="9:9" x14ac:dyDescent="0.25">
      <c r="I1524">
        <v>3781649</v>
      </c>
    </row>
    <row r="1525" spans="9:9" x14ac:dyDescent="0.25">
      <c r="I1525">
        <v>3781649</v>
      </c>
    </row>
    <row r="1526" spans="9:9" x14ac:dyDescent="0.25">
      <c r="I1526">
        <v>3781649</v>
      </c>
    </row>
    <row r="1527" spans="9:9" x14ac:dyDescent="0.25">
      <c r="I1527">
        <v>3781649</v>
      </c>
    </row>
    <row r="1528" spans="9:9" x14ac:dyDescent="0.25">
      <c r="I1528">
        <v>3781649</v>
      </c>
    </row>
    <row r="1529" spans="9:9" x14ac:dyDescent="0.25">
      <c r="I1529">
        <v>3781649</v>
      </c>
    </row>
    <row r="1530" spans="9:9" x14ac:dyDescent="0.25">
      <c r="I1530">
        <v>3781649</v>
      </c>
    </row>
    <row r="1531" spans="9:9" x14ac:dyDescent="0.25">
      <c r="I1531">
        <v>3572038</v>
      </c>
    </row>
    <row r="1532" spans="9:9" x14ac:dyDescent="0.25">
      <c r="I1532">
        <v>3233559</v>
      </c>
    </row>
    <row r="1533" spans="9:9" x14ac:dyDescent="0.25">
      <c r="I1533">
        <v>3233559</v>
      </c>
    </row>
    <row r="1534" spans="9:9" x14ac:dyDescent="0.25">
      <c r="I1534">
        <v>3233559</v>
      </c>
    </row>
    <row r="1535" spans="9:9" x14ac:dyDescent="0.25">
      <c r="I1535">
        <v>3584171</v>
      </c>
    </row>
    <row r="1536" spans="9:9" x14ac:dyDescent="0.25">
      <c r="I1536">
        <v>3233557</v>
      </c>
    </row>
    <row r="1537" spans="9:9" x14ac:dyDescent="0.25">
      <c r="I1537">
        <v>3233557</v>
      </c>
    </row>
    <row r="1538" spans="9:9" x14ac:dyDescent="0.25">
      <c r="I1538">
        <v>3233557</v>
      </c>
    </row>
    <row r="1539" spans="9:9" x14ac:dyDescent="0.25">
      <c r="I1539">
        <v>3233556</v>
      </c>
    </row>
    <row r="1540" spans="9:9" x14ac:dyDescent="0.25">
      <c r="I1540">
        <v>3233556</v>
      </c>
    </row>
    <row r="1541" spans="9:9" x14ac:dyDescent="0.25">
      <c r="I1541">
        <v>3233556</v>
      </c>
    </row>
    <row r="1542" spans="9:9" x14ac:dyDescent="0.25">
      <c r="I1542">
        <v>3233556</v>
      </c>
    </row>
    <row r="1543" spans="9:9" x14ac:dyDescent="0.25">
      <c r="I1543">
        <v>3233555</v>
      </c>
    </row>
    <row r="1544" spans="9:9" x14ac:dyDescent="0.25">
      <c r="I1544">
        <v>3233555</v>
      </c>
    </row>
    <row r="1545" spans="9:9" x14ac:dyDescent="0.25">
      <c r="I1545">
        <v>3233555</v>
      </c>
    </row>
    <row r="1546" spans="9:9" x14ac:dyDescent="0.25">
      <c r="I1546">
        <v>3233554</v>
      </c>
    </row>
    <row r="1547" spans="9:9" x14ac:dyDescent="0.25">
      <c r="I1547">
        <v>3233554</v>
      </c>
    </row>
    <row r="1548" spans="9:9" x14ac:dyDescent="0.25">
      <c r="I1548">
        <v>1940801</v>
      </c>
    </row>
    <row r="1549" spans="9:9" x14ac:dyDescent="0.25">
      <c r="I1549">
        <v>1940801</v>
      </c>
    </row>
    <row r="1550" spans="9:9" x14ac:dyDescent="0.25">
      <c r="I1550">
        <v>1940801</v>
      </c>
    </row>
    <row r="1551" spans="9:9" x14ac:dyDescent="0.25">
      <c r="I1551">
        <v>3935313</v>
      </c>
    </row>
    <row r="1552" spans="9:9" x14ac:dyDescent="0.25">
      <c r="I1552">
        <v>3935313</v>
      </c>
    </row>
    <row r="1553" spans="9:9" x14ac:dyDescent="0.25">
      <c r="I1553">
        <v>1940822</v>
      </c>
    </row>
    <row r="1554" spans="9:9" x14ac:dyDescent="0.25">
      <c r="I1554">
        <v>1940822</v>
      </c>
    </row>
    <row r="1555" spans="9:9" x14ac:dyDescent="0.25">
      <c r="I1555">
        <v>1940822</v>
      </c>
    </row>
    <row r="1556" spans="9:9" x14ac:dyDescent="0.25">
      <c r="I1556">
        <v>3409366</v>
      </c>
    </row>
    <row r="1557" spans="9:9" x14ac:dyDescent="0.25">
      <c r="I1557">
        <v>3409366</v>
      </c>
    </row>
    <row r="1558" spans="9:9" x14ac:dyDescent="0.25">
      <c r="I1558">
        <v>2430128</v>
      </c>
    </row>
    <row r="1559" spans="9:9" x14ac:dyDescent="0.25">
      <c r="I1559">
        <v>3409367</v>
      </c>
    </row>
    <row r="1560" spans="9:9" x14ac:dyDescent="0.25">
      <c r="I1560">
        <v>3409367</v>
      </c>
    </row>
    <row r="1561" spans="9:9" x14ac:dyDescent="0.25">
      <c r="I1561">
        <v>3229740</v>
      </c>
    </row>
    <row r="1562" spans="9:9" x14ac:dyDescent="0.25">
      <c r="I1562">
        <v>3229740</v>
      </c>
    </row>
    <row r="1563" spans="9:9" x14ac:dyDescent="0.25">
      <c r="I1563">
        <v>3239890</v>
      </c>
    </row>
    <row r="1564" spans="9:9" x14ac:dyDescent="0.25">
      <c r="I1564">
        <v>3239890</v>
      </c>
    </row>
    <row r="1565" spans="9:9" x14ac:dyDescent="0.25">
      <c r="I1565">
        <v>3239890</v>
      </c>
    </row>
    <row r="1566" spans="9:9" x14ac:dyDescent="0.25">
      <c r="I1566">
        <v>2325421</v>
      </c>
    </row>
    <row r="1567" spans="9:9" x14ac:dyDescent="0.25">
      <c r="I1567">
        <v>1900224</v>
      </c>
    </row>
    <row r="1568" spans="9:9" x14ac:dyDescent="0.25">
      <c r="I1568">
        <v>1940146</v>
      </c>
    </row>
    <row r="1569" spans="9:9" x14ac:dyDescent="0.25">
      <c r="I1569">
        <v>1940146</v>
      </c>
    </row>
    <row r="1570" spans="9:9" x14ac:dyDescent="0.25">
      <c r="I1570">
        <v>1940807</v>
      </c>
    </row>
    <row r="1571" spans="9:9" x14ac:dyDescent="0.25">
      <c r="I1571">
        <v>1940807</v>
      </c>
    </row>
    <row r="1572" spans="9:9" x14ac:dyDescent="0.25">
      <c r="I1572">
        <v>1940852</v>
      </c>
    </row>
    <row r="1573" spans="9:9" x14ac:dyDescent="0.25">
      <c r="I1573">
        <v>2325421</v>
      </c>
    </row>
    <row r="1574" spans="9:9" x14ac:dyDescent="0.25">
      <c r="I1574">
        <v>2325421</v>
      </c>
    </row>
    <row r="1575" spans="9:9" x14ac:dyDescent="0.25">
      <c r="I1575">
        <v>2325421</v>
      </c>
    </row>
    <row r="1576" spans="9:9" x14ac:dyDescent="0.25">
      <c r="I1576">
        <v>2413708</v>
      </c>
    </row>
    <row r="1577" spans="9:9" x14ac:dyDescent="0.25">
      <c r="I1577">
        <v>2413708</v>
      </c>
    </row>
    <row r="1578" spans="9:9" x14ac:dyDescent="0.25">
      <c r="I1578">
        <v>1940437</v>
      </c>
    </row>
    <row r="1579" spans="9:9" x14ac:dyDescent="0.25">
      <c r="I1579">
        <v>1940437</v>
      </c>
    </row>
    <row r="1580" spans="9:9" x14ac:dyDescent="0.25">
      <c r="I1580">
        <v>1937022</v>
      </c>
    </row>
    <row r="1581" spans="9:9" x14ac:dyDescent="0.25">
      <c r="I1581">
        <v>1937022</v>
      </c>
    </row>
    <row r="1582" spans="9:9" x14ac:dyDescent="0.25">
      <c r="I1582">
        <v>1937022</v>
      </c>
    </row>
    <row r="1583" spans="9:9" x14ac:dyDescent="0.25">
      <c r="I1583">
        <v>4096696</v>
      </c>
    </row>
    <row r="1584" spans="9:9" x14ac:dyDescent="0.25">
      <c r="I1584">
        <v>4096695</v>
      </c>
    </row>
    <row r="1585" spans="9:9" x14ac:dyDescent="0.25">
      <c r="I1585">
        <v>4096695</v>
      </c>
    </row>
    <row r="1586" spans="9:9" x14ac:dyDescent="0.25">
      <c r="I1586">
        <v>2427158</v>
      </c>
    </row>
    <row r="1587" spans="9:9" x14ac:dyDescent="0.25">
      <c r="I1587">
        <v>2427158</v>
      </c>
    </row>
    <row r="1588" spans="9:9" x14ac:dyDescent="0.25">
      <c r="I1588">
        <v>1940825</v>
      </c>
    </row>
    <row r="1589" spans="9:9" x14ac:dyDescent="0.25">
      <c r="I1589">
        <v>1940823</v>
      </c>
    </row>
    <row r="1590" spans="9:9" x14ac:dyDescent="0.25">
      <c r="I1590">
        <v>1940823</v>
      </c>
    </row>
    <row r="1591" spans="9:9" x14ac:dyDescent="0.25">
      <c r="I1591">
        <v>1940822</v>
      </c>
    </row>
    <row r="1592" spans="9:9" x14ac:dyDescent="0.25">
      <c r="I1592">
        <v>1940822</v>
      </c>
    </row>
    <row r="1593" spans="9:9" x14ac:dyDescent="0.25">
      <c r="I1593">
        <v>4075254</v>
      </c>
    </row>
    <row r="1594" spans="9:9" x14ac:dyDescent="0.25">
      <c r="I1594">
        <v>3935313</v>
      </c>
    </row>
    <row r="1595" spans="9:9" x14ac:dyDescent="0.25">
      <c r="I1595">
        <v>1940801</v>
      </c>
    </row>
    <row r="1596" spans="9:9" x14ac:dyDescent="0.25">
      <c r="I1596">
        <v>1940078</v>
      </c>
    </row>
    <row r="1597" spans="9:9" x14ac:dyDescent="0.25">
      <c r="I1597">
        <v>1940078</v>
      </c>
    </row>
    <row r="1598" spans="9:9" x14ac:dyDescent="0.25">
      <c r="I1598">
        <v>3673011</v>
      </c>
    </row>
    <row r="1599" spans="9:9" x14ac:dyDescent="0.25">
      <c r="I1599">
        <v>3673011</v>
      </c>
    </row>
    <row r="1600" spans="9:9" x14ac:dyDescent="0.25">
      <c r="I1600">
        <v>1940014</v>
      </c>
    </row>
    <row r="1601" spans="9:9" x14ac:dyDescent="0.25">
      <c r="I1601">
        <v>4036237</v>
      </c>
    </row>
    <row r="1602" spans="9:9" x14ac:dyDescent="0.25">
      <c r="I1602">
        <v>1940090</v>
      </c>
    </row>
    <row r="1603" spans="9:9" x14ac:dyDescent="0.25">
      <c r="I1603">
        <v>1940090</v>
      </c>
    </row>
    <row r="1604" spans="9:9" x14ac:dyDescent="0.25">
      <c r="I1604">
        <v>1940090</v>
      </c>
    </row>
    <row r="1605" spans="9:9" x14ac:dyDescent="0.25">
      <c r="I1605">
        <v>1940090</v>
      </c>
    </row>
    <row r="1606" spans="9:9" x14ac:dyDescent="0.25">
      <c r="I1606">
        <v>3122347</v>
      </c>
    </row>
    <row r="1607" spans="9:9" x14ac:dyDescent="0.25">
      <c r="I1607">
        <v>3122347</v>
      </c>
    </row>
    <row r="1608" spans="9:9" x14ac:dyDescent="0.25">
      <c r="I1608">
        <v>3122347</v>
      </c>
    </row>
    <row r="1609" spans="9:9" x14ac:dyDescent="0.25">
      <c r="I1609">
        <v>1940911</v>
      </c>
    </row>
    <row r="1610" spans="9:9" x14ac:dyDescent="0.25">
      <c r="I1610">
        <v>1940603</v>
      </c>
    </row>
    <row r="1611" spans="9:9" x14ac:dyDescent="0.25">
      <c r="I1611">
        <v>1940262</v>
      </c>
    </row>
    <row r="1612" spans="9:9" x14ac:dyDescent="0.25">
      <c r="I1612">
        <v>1940262</v>
      </c>
    </row>
    <row r="1613" spans="9:9" x14ac:dyDescent="0.25">
      <c r="I1613">
        <v>1940306</v>
      </c>
    </row>
    <row r="1614" spans="9:9" x14ac:dyDescent="0.25">
      <c r="I1614">
        <v>1940306</v>
      </c>
    </row>
    <row r="1615" spans="9:9" x14ac:dyDescent="0.25">
      <c r="I1615">
        <v>1940498</v>
      </c>
    </row>
    <row r="1616" spans="9:9" x14ac:dyDescent="0.25">
      <c r="I1616">
        <v>1940498</v>
      </c>
    </row>
    <row r="1617" spans="9:9" x14ac:dyDescent="0.25">
      <c r="I1617">
        <v>1940287</v>
      </c>
    </row>
    <row r="1618" spans="9:9" x14ac:dyDescent="0.25">
      <c r="I1618">
        <v>1940287</v>
      </c>
    </row>
    <row r="1619" spans="9:9" x14ac:dyDescent="0.25">
      <c r="I1619">
        <v>1940287</v>
      </c>
    </row>
    <row r="1620" spans="9:9" x14ac:dyDescent="0.25">
      <c r="I1620">
        <v>1940287</v>
      </c>
    </row>
    <row r="1621" spans="9:9" x14ac:dyDescent="0.25">
      <c r="I1621">
        <v>1940287</v>
      </c>
    </row>
    <row r="1622" spans="9:9" x14ac:dyDescent="0.25">
      <c r="I1622">
        <v>1940801</v>
      </c>
    </row>
    <row r="1623" spans="9:9" x14ac:dyDescent="0.25">
      <c r="I1623">
        <v>1940801</v>
      </c>
    </row>
    <row r="1624" spans="9:9" x14ac:dyDescent="0.25">
      <c r="I1624">
        <v>1940801</v>
      </c>
    </row>
    <row r="1625" spans="9:9" x14ac:dyDescent="0.25">
      <c r="I1625">
        <v>3935311</v>
      </c>
    </row>
    <row r="1626" spans="9:9" x14ac:dyDescent="0.25">
      <c r="I1626">
        <v>3233554</v>
      </c>
    </row>
    <row r="1627" spans="9:9" x14ac:dyDescent="0.25">
      <c r="I1627">
        <v>3819143</v>
      </c>
    </row>
    <row r="1628" spans="9:9" x14ac:dyDescent="0.25">
      <c r="I1628">
        <v>3819143</v>
      </c>
    </row>
    <row r="1629" spans="9:9" x14ac:dyDescent="0.25">
      <c r="I1629">
        <v>3572038</v>
      </c>
    </row>
    <row r="1630" spans="9:9" x14ac:dyDescent="0.25">
      <c r="I1630">
        <v>3929692</v>
      </c>
    </row>
    <row r="1631" spans="9:9" x14ac:dyDescent="0.25">
      <c r="I1631">
        <v>3931837</v>
      </c>
    </row>
    <row r="1632" spans="9:9" x14ac:dyDescent="0.25">
      <c r="I1632">
        <v>3233555</v>
      </c>
    </row>
    <row r="1633" spans="9:9" x14ac:dyDescent="0.25">
      <c r="I1633">
        <v>3230492</v>
      </c>
    </row>
    <row r="1634" spans="9:9" x14ac:dyDescent="0.25">
      <c r="I1634">
        <v>3230492</v>
      </c>
    </row>
    <row r="1635" spans="9:9" x14ac:dyDescent="0.25">
      <c r="I1635">
        <v>3233560</v>
      </c>
    </row>
    <row r="1636" spans="9:9" x14ac:dyDescent="0.25">
      <c r="I1636">
        <v>3572051</v>
      </c>
    </row>
    <row r="1637" spans="9:9" x14ac:dyDescent="0.25">
      <c r="I1637">
        <v>3572051</v>
      </c>
    </row>
    <row r="1638" spans="9:9" x14ac:dyDescent="0.25">
      <c r="I1638">
        <v>3230485</v>
      </c>
    </row>
    <row r="1639" spans="9:9" x14ac:dyDescent="0.25">
      <c r="I1639">
        <v>3931836</v>
      </c>
    </row>
    <row r="1640" spans="9:9" x14ac:dyDescent="0.25">
      <c r="I1640">
        <v>3233557</v>
      </c>
    </row>
    <row r="1641" spans="9:9" x14ac:dyDescent="0.25">
      <c r="I1641">
        <v>3230482</v>
      </c>
    </row>
    <row r="1642" spans="9:9" x14ac:dyDescent="0.25">
      <c r="I1642">
        <v>3929540</v>
      </c>
    </row>
    <row r="1643" spans="9:9" x14ac:dyDescent="0.25">
      <c r="I1643">
        <v>3571870</v>
      </c>
    </row>
    <row r="1644" spans="9:9" x14ac:dyDescent="0.25">
      <c r="I1644">
        <v>3910649</v>
      </c>
    </row>
    <row r="1645" spans="9:9" x14ac:dyDescent="0.25">
      <c r="I1645">
        <v>3801265</v>
      </c>
    </row>
    <row r="1646" spans="9:9" x14ac:dyDescent="0.25">
      <c r="I1646">
        <v>3801265</v>
      </c>
    </row>
    <row r="1647" spans="9:9" x14ac:dyDescent="0.25">
      <c r="I1647">
        <v>3910648</v>
      </c>
    </row>
    <row r="1648" spans="9:9" x14ac:dyDescent="0.25">
      <c r="I1648">
        <v>3910648</v>
      </c>
    </row>
    <row r="1649" spans="9:9" x14ac:dyDescent="0.25">
      <c r="I1649">
        <v>3910648</v>
      </c>
    </row>
    <row r="1650" spans="9:9" x14ac:dyDescent="0.25">
      <c r="I1650">
        <v>3780004</v>
      </c>
    </row>
    <row r="1651" spans="9:9" x14ac:dyDescent="0.25">
      <c r="I1651">
        <v>3780004</v>
      </c>
    </row>
    <row r="1652" spans="9:9" x14ac:dyDescent="0.25">
      <c r="I1652">
        <v>1940510</v>
      </c>
    </row>
    <row r="1653" spans="9:9" x14ac:dyDescent="0.25">
      <c r="I1653">
        <v>1940510</v>
      </c>
    </row>
    <row r="1654" spans="9:9" x14ac:dyDescent="0.25">
      <c r="I1654">
        <v>1940510</v>
      </c>
    </row>
    <row r="1655" spans="9:9" x14ac:dyDescent="0.25">
      <c r="I1655">
        <v>1940510</v>
      </c>
    </row>
    <row r="1656" spans="9:9" x14ac:dyDescent="0.25">
      <c r="I1656">
        <v>1940510</v>
      </c>
    </row>
    <row r="1657" spans="9:9" x14ac:dyDescent="0.25">
      <c r="I1657">
        <v>1940686</v>
      </c>
    </row>
    <row r="1658" spans="9:9" x14ac:dyDescent="0.25">
      <c r="I1658">
        <v>1940686</v>
      </c>
    </row>
    <row r="1659" spans="9:9" x14ac:dyDescent="0.25">
      <c r="I1659">
        <v>1940686</v>
      </c>
    </row>
    <row r="1660" spans="9:9" x14ac:dyDescent="0.25">
      <c r="I1660">
        <v>1940686</v>
      </c>
    </row>
    <row r="1661" spans="9:9" x14ac:dyDescent="0.25">
      <c r="I1661">
        <v>1940686</v>
      </c>
    </row>
    <row r="1662" spans="9:9" x14ac:dyDescent="0.25">
      <c r="I1662">
        <v>3230488</v>
      </c>
    </row>
    <row r="1663" spans="9:9" x14ac:dyDescent="0.25">
      <c r="I1663">
        <v>3230487</v>
      </c>
    </row>
    <row r="1664" spans="9:9" x14ac:dyDescent="0.25">
      <c r="I1664">
        <v>3230490</v>
      </c>
    </row>
    <row r="1665" spans="9:9" x14ac:dyDescent="0.25">
      <c r="I1665">
        <v>3230495</v>
      </c>
    </row>
    <row r="1666" spans="9:9" x14ac:dyDescent="0.25">
      <c r="I1666">
        <v>3929691</v>
      </c>
    </row>
    <row r="1667" spans="9:9" x14ac:dyDescent="0.25">
      <c r="I1667">
        <v>1941845</v>
      </c>
    </row>
    <row r="1668" spans="9:9" x14ac:dyDescent="0.25">
      <c r="I1668">
        <v>1941845</v>
      </c>
    </row>
    <row r="1669" spans="9:9" x14ac:dyDescent="0.25">
      <c r="I1669">
        <v>4100177</v>
      </c>
    </row>
    <row r="1670" spans="9:9" x14ac:dyDescent="0.25">
      <c r="I1670">
        <v>3786201</v>
      </c>
    </row>
    <row r="1671" spans="9:9" x14ac:dyDescent="0.25">
      <c r="I1671">
        <v>3786202</v>
      </c>
    </row>
    <row r="1672" spans="9:9" x14ac:dyDescent="0.25">
      <c r="I1672">
        <v>3786202</v>
      </c>
    </row>
    <row r="1673" spans="9:9" x14ac:dyDescent="0.25">
      <c r="I1673">
        <v>3786202</v>
      </c>
    </row>
    <row r="1674" spans="9:9" x14ac:dyDescent="0.25">
      <c r="I1674">
        <v>3786202</v>
      </c>
    </row>
    <row r="1675" spans="9:9" x14ac:dyDescent="0.25">
      <c r="I1675">
        <v>3786202</v>
      </c>
    </row>
    <row r="1676" spans="9:9" x14ac:dyDescent="0.25">
      <c r="I1676">
        <v>1940247</v>
      </c>
    </row>
    <row r="1677" spans="9:9" x14ac:dyDescent="0.25">
      <c r="I1677">
        <v>1940743</v>
      </c>
    </row>
    <row r="1678" spans="9:9" x14ac:dyDescent="0.25">
      <c r="I1678">
        <v>1940743</v>
      </c>
    </row>
    <row r="1679" spans="9:9" x14ac:dyDescent="0.25">
      <c r="I1679">
        <v>3715133</v>
      </c>
    </row>
    <row r="1680" spans="9:9" x14ac:dyDescent="0.25">
      <c r="I1680">
        <v>3819143</v>
      </c>
    </row>
    <row r="1681" spans="9:9" x14ac:dyDescent="0.25">
      <c r="I1681">
        <v>3819143</v>
      </c>
    </row>
    <row r="1682" spans="9:9" x14ac:dyDescent="0.25">
      <c r="I1682">
        <v>3819143</v>
      </c>
    </row>
    <row r="1683" spans="9:9" x14ac:dyDescent="0.25">
      <c r="I1683">
        <v>1940437</v>
      </c>
    </row>
    <row r="1684" spans="9:9" x14ac:dyDescent="0.25">
      <c r="I1684">
        <v>1940840</v>
      </c>
    </row>
    <row r="1685" spans="9:9" x14ac:dyDescent="0.25">
      <c r="I1685">
        <v>1940840</v>
      </c>
    </row>
    <row r="1686" spans="9:9" x14ac:dyDescent="0.25">
      <c r="I1686">
        <v>1940840</v>
      </c>
    </row>
    <row r="1687" spans="9:9" x14ac:dyDescent="0.25">
      <c r="I1687">
        <v>1940823</v>
      </c>
    </row>
    <row r="1688" spans="9:9" x14ac:dyDescent="0.25">
      <c r="I1688">
        <v>1940823</v>
      </c>
    </row>
    <row r="1689" spans="9:9" x14ac:dyDescent="0.25">
      <c r="I1689">
        <v>1940815</v>
      </c>
    </row>
    <row r="1690" spans="9:9" x14ac:dyDescent="0.25">
      <c r="I1690">
        <v>1940815</v>
      </c>
    </row>
    <row r="1691" spans="9:9" x14ac:dyDescent="0.25">
      <c r="I1691">
        <v>1940825</v>
      </c>
    </row>
    <row r="1692" spans="9:9" x14ac:dyDescent="0.25">
      <c r="I1692">
        <v>1940822</v>
      </c>
    </row>
    <row r="1693" spans="9:9" x14ac:dyDescent="0.25">
      <c r="I1693">
        <v>1940822</v>
      </c>
    </row>
    <row r="1694" spans="9:9" x14ac:dyDescent="0.25">
      <c r="I1694">
        <v>1940821</v>
      </c>
    </row>
    <row r="1695" spans="9:9" x14ac:dyDescent="0.25">
      <c r="I1695">
        <v>2427158</v>
      </c>
    </row>
    <row r="1696" spans="9:9" x14ac:dyDescent="0.25">
      <c r="I1696">
        <v>2427158</v>
      </c>
    </row>
    <row r="1697" spans="9:9" x14ac:dyDescent="0.25">
      <c r="I1697">
        <v>3673011</v>
      </c>
    </row>
    <row r="1698" spans="9:9" x14ac:dyDescent="0.25">
      <c r="I1698">
        <v>3673011</v>
      </c>
    </row>
    <row r="1699" spans="9:9" x14ac:dyDescent="0.25">
      <c r="I1699">
        <v>3673011</v>
      </c>
    </row>
    <row r="1700" spans="9:9" x14ac:dyDescent="0.25">
      <c r="I1700">
        <v>3673011</v>
      </c>
    </row>
    <row r="1701" spans="9:9" x14ac:dyDescent="0.25">
      <c r="I1701">
        <v>3673011</v>
      </c>
    </row>
    <row r="1702" spans="9:9" x14ac:dyDescent="0.25">
      <c r="I1702">
        <v>3673011</v>
      </c>
    </row>
    <row r="1703" spans="9:9" x14ac:dyDescent="0.25">
      <c r="I1703">
        <v>3673011</v>
      </c>
    </row>
    <row r="1704" spans="9:9" x14ac:dyDescent="0.25">
      <c r="I1704">
        <v>3673011</v>
      </c>
    </row>
    <row r="1705" spans="9:9" x14ac:dyDescent="0.25">
      <c r="I1705">
        <v>2270133</v>
      </c>
    </row>
    <row r="1706" spans="9:9" x14ac:dyDescent="0.25">
      <c r="I1706">
        <v>2270133</v>
      </c>
    </row>
    <row r="1707" spans="9:9" x14ac:dyDescent="0.25">
      <c r="I1707">
        <v>2270133</v>
      </c>
    </row>
    <row r="1708" spans="9:9" x14ac:dyDescent="0.25">
      <c r="I1708">
        <v>3706751</v>
      </c>
    </row>
    <row r="1709" spans="9:9" x14ac:dyDescent="0.25">
      <c r="I1709">
        <v>2420205</v>
      </c>
    </row>
    <row r="1710" spans="9:9" x14ac:dyDescent="0.25">
      <c r="I1710">
        <v>1940881</v>
      </c>
    </row>
    <row r="1711" spans="9:9" x14ac:dyDescent="0.25">
      <c r="I1711">
        <v>1940881</v>
      </c>
    </row>
    <row r="1712" spans="9:9" x14ac:dyDescent="0.25">
      <c r="I1712">
        <v>1940881</v>
      </c>
    </row>
    <row r="1713" spans="9:9" x14ac:dyDescent="0.25">
      <c r="I1713">
        <v>1940881</v>
      </c>
    </row>
    <row r="1714" spans="9:9" x14ac:dyDescent="0.25">
      <c r="I1714">
        <v>1940881</v>
      </c>
    </row>
    <row r="1715" spans="9:9" x14ac:dyDescent="0.25">
      <c r="I1715">
        <v>1940881</v>
      </c>
    </row>
    <row r="1716" spans="9:9" x14ac:dyDescent="0.25">
      <c r="I1716">
        <v>1940881</v>
      </c>
    </row>
    <row r="1717" spans="9:9" x14ac:dyDescent="0.25">
      <c r="I1717">
        <v>1940881</v>
      </c>
    </row>
    <row r="1718" spans="9:9" x14ac:dyDescent="0.25">
      <c r="I1718">
        <v>1940881</v>
      </c>
    </row>
    <row r="1719" spans="9:9" x14ac:dyDescent="0.25">
      <c r="I1719">
        <v>4075254</v>
      </c>
    </row>
    <row r="1720" spans="9:9" x14ac:dyDescent="0.25">
      <c r="I1720">
        <v>4075254</v>
      </c>
    </row>
    <row r="1721" spans="9:9" x14ac:dyDescent="0.25">
      <c r="I1721">
        <v>3935313</v>
      </c>
    </row>
    <row r="1722" spans="9:9" x14ac:dyDescent="0.25">
      <c r="I1722">
        <v>3935313</v>
      </c>
    </row>
    <row r="1723" spans="9:9" x14ac:dyDescent="0.25">
      <c r="I1723">
        <v>3935313</v>
      </c>
    </row>
    <row r="1724" spans="9:9" x14ac:dyDescent="0.25">
      <c r="I1724">
        <v>3935313</v>
      </c>
    </row>
    <row r="1725" spans="9:9" x14ac:dyDescent="0.25">
      <c r="I1725">
        <v>1940801</v>
      </c>
    </row>
    <row r="1726" spans="9:9" x14ac:dyDescent="0.25">
      <c r="I1726">
        <v>1940801</v>
      </c>
    </row>
    <row r="1727" spans="9:9" x14ac:dyDescent="0.25">
      <c r="I1727">
        <v>1940801</v>
      </c>
    </row>
    <row r="1728" spans="9:9" x14ac:dyDescent="0.25">
      <c r="I1728">
        <v>1940801</v>
      </c>
    </row>
    <row r="1729" spans="9:9" x14ac:dyDescent="0.25">
      <c r="I1729">
        <v>3239890</v>
      </c>
    </row>
    <row r="1730" spans="9:9" x14ac:dyDescent="0.25">
      <c r="I1730">
        <v>3929662</v>
      </c>
    </row>
    <row r="1731" spans="9:9" x14ac:dyDescent="0.25">
      <c r="I1731">
        <v>3929662</v>
      </c>
    </row>
    <row r="1732" spans="9:9" x14ac:dyDescent="0.25">
      <c r="I1732">
        <v>3929662</v>
      </c>
    </row>
    <row r="1733" spans="9:9" x14ac:dyDescent="0.25">
      <c r="I1733">
        <v>3929662</v>
      </c>
    </row>
    <row r="1734" spans="9:9" x14ac:dyDescent="0.25">
      <c r="I1734">
        <v>2409616</v>
      </c>
    </row>
    <row r="1735" spans="9:9" x14ac:dyDescent="0.25">
      <c r="I1735">
        <v>2430128</v>
      </c>
    </row>
    <row r="1736" spans="9:9" x14ac:dyDescent="0.25">
      <c r="I1736">
        <v>2430128</v>
      </c>
    </row>
    <row r="1737" spans="9:9" x14ac:dyDescent="0.25">
      <c r="I1737">
        <v>2430128</v>
      </c>
    </row>
    <row r="1738" spans="9:9" x14ac:dyDescent="0.25">
      <c r="I1738">
        <v>3929691</v>
      </c>
    </row>
    <row r="1739" spans="9:9" x14ac:dyDescent="0.25">
      <c r="I1739">
        <v>3230495</v>
      </c>
    </row>
    <row r="1740" spans="9:9" x14ac:dyDescent="0.25">
      <c r="I1740">
        <v>3230490</v>
      </c>
    </row>
    <row r="1741" spans="9:9" x14ac:dyDescent="0.25">
      <c r="I1741">
        <v>3230487</v>
      </c>
    </row>
    <row r="1742" spans="9:9" x14ac:dyDescent="0.25">
      <c r="I1742">
        <v>3230488</v>
      </c>
    </row>
    <row r="1743" spans="9:9" x14ac:dyDescent="0.25">
      <c r="I1743">
        <v>3230488</v>
      </c>
    </row>
    <row r="1744" spans="9:9" x14ac:dyDescent="0.25">
      <c r="I1744">
        <v>3571870</v>
      </c>
    </row>
    <row r="1745" spans="9:9" x14ac:dyDescent="0.25">
      <c r="I1745">
        <v>3929540</v>
      </c>
    </row>
    <row r="1746" spans="9:9" x14ac:dyDescent="0.25">
      <c r="I1746">
        <v>3230482</v>
      </c>
    </row>
    <row r="1747" spans="9:9" x14ac:dyDescent="0.25">
      <c r="I1747">
        <v>3233557</v>
      </c>
    </row>
    <row r="1748" spans="9:9" x14ac:dyDescent="0.25">
      <c r="I1748">
        <v>3931836</v>
      </c>
    </row>
    <row r="1749" spans="9:9" x14ac:dyDescent="0.25">
      <c r="I1749">
        <v>3230485</v>
      </c>
    </row>
    <row r="1750" spans="9:9" x14ac:dyDescent="0.25">
      <c r="I1750">
        <v>3572051</v>
      </c>
    </row>
    <row r="1751" spans="9:9" x14ac:dyDescent="0.25">
      <c r="I1751">
        <v>3233560</v>
      </c>
    </row>
    <row r="1752" spans="9:9" x14ac:dyDescent="0.25">
      <c r="I1752">
        <v>3230492</v>
      </c>
    </row>
    <row r="1753" spans="9:9" x14ac:dyDescent="0.25">
      <c r="I1753">
        <v>3233555</v>
      </c>
    </row>
    <row r="1754" spans="9:9" x14ac:dyDescent="0.25">
      <c r="I1754">
        <v>3233555</v>
      </c>
    </row>
    <row r="1755" spans="9:9" x14ac:dyDescent="0.25">
      <c r="I1755">
        <v>3233555</v>
      </c>
    </row>
    <row r="1756" spans="9:9" x14ac:dyDescent="0.25">
      <c r="I1756">
        <v>3233555</v>
      </c>
    </row>
    <row r="1757" spans="9:9" x14ac:dyDescent="0.25">
      <c r="I1757">
        <v>3931837</v>
      </c>
    </row>
    <row r="1758" spans="9:9" x14ac:dyDescent="0.25">
      <c r="I1758">
        <v>3931837</v>
      </c>
    </row>
    <row r="1759" spans="9:9" x14ac:dyDescent="0.25">
      <c r="I1759">
        <v>3929692</v>
      </c>
    </row>
    <row r="1760" spans="9:9" x14ac:dyDescent="0.25">
      <c r="I1760">
        <v>3572038</v>
      </c>
    </row>
    <row r="1761" spans="9:9" x14ac:dyDescent="0.25">
      <c r="I1761">
        <v>3233554</v>
      </c>
    </row>
    <row r="1762" spans="9:9" x14ac:dyDescent="0.25">
      <c r="I1762">
        <v>3935311</v>
      </c>
    </row>
    <row r="1763" spans="9:9" x14ac:dyDescent="0.25">
      <c r="I1763">
        <v>3935311</v>
      </c>
    </row>
    <row r="1764" spans="9:9" x14ac:dyDescent="0.25">
      <c r="I1764">
        <v>1940801</v>
      </c>
    </row>
    <row r="1765" spans="9:9" x14ac:dyDescent="0.25">
      <c r="I1765">
        <v>1940801</v>
      </c>
    </row>
    <row r="1766" spans="9:9" x14ac:dyDescent="0.25">
      <c r="I1766">
        <v>3935313</v>
      </c>
    </row>
    <row r="1767" spans="9:9" x14ac:dyDescent="0.25">
      <c r="I1767">
        <v>4075254</v>
      </c>
    </row>
    <row r="1768" spans="9:9" x14ac:dyDescent="0.25">
      <c r="I1768">
        <v>1940801</v>
      </c>
    </row>
    <row r="1769" spans="9:9" x14ac:dyDescent="0.25">
      <c r="I1769">
        <v>3935311</v>
      </c>
    </row>
    <row r="1770" spans="9:9" x14ac:dyDescent="0.25">
      <c r="I1770">
        <v>3935311</v>
      </c>
    </row>
    <row r="1771" spans="9:9" x14ac:dyDescent="0.25">
      <c r="I1771">
        <v>3935311</v>
      </c>
    </row>
    <row r="1772" spans="9:9" x14ac:dyDescent="0.25">
      <c r="I1772">
        <v>3233554</v>
      </c>
    </row>
    <row r="1773" spans="9:9" x14ac:dyDescent="0.25">
      <c r="I1773">
        <v>3233554</v>
      </c>
    </row>
    <row r="1774" spans="9:9" x14ac:dyDescent="0.25">
      <c r="I1774">
        <v>3233554</v>
      </c>
    </row>
    <row r="1775" spans="9:9" x14ac:dyDescent="0.25">
      <c r="I1775">
        <v>1940821</v>
      </c>
    </row>
    <row r="1776" spans="9:9" x14ac:dyDescent="0.25">
      <c r="I1776">
        <v>1940821</v>
      </c>
    </row>
    <row r="1777" spans="9:9" x14ac:dyDescent="0.25">
      <c r="I1777">
        <v>1940822</v>
      </c>
    </row>
    <row r="1778" spans="9:9" x14ac:dyDescent="0.25">
      <c r="I1778">
        <v>1940822</v>
      </c>
    </row>
    <row r="1779" spans="9:9" x14ac:dyDescent="0.25">
      <c r="I1779">
        <v>1940822</v>
      </c>
    </row>
    <row r="1780" spans="9:9" x14ac:dyDescent="0.25">
      <c r="I1780">
        <v>2427158</v>
      </c>
    </row>
    <row r="1781" spans="9:9" x14ac:dyDescent="0.25">
      <c r="I1781">
        <v>2427158</v>
      </c>
    </row>
    <row r="1782" spans="9:9" x14ac:dyDescent="0.25">
      <c r="I1782">
        <v>2427158</v>
      </c>
    </row>
    <row r="1783" spans="9:9" x14ac:dyDescent="0.25">
      <c r="I1783">
        <v>4098592</v>
      </c>
    </row>
    <row r="1784" spans="9:9" x14ac:dyDescent="0.25">
      <c r="I1784">
        <v>4098593</v>
      </c>
    </row>
    <row r="1785" spans="9:9" x14ac:dyDescent="0.25">
      <c r="I1785">
        <v>4098594</v>
      </c>
    </row>
    <row r="1786" spans="9:9" x14ac:dyDescent="0.25">
      <c r="I1786">
        <v>3233554</v>
      </c>
    </row>
    <row r="1787" spans="9:9" x14ac:dyDescent="0.25">
      <c r="I1787">
        <v>3233554</v>
      </c>
    </row>
    <row r="1788" spans="9:9" x14ac:dyDescent="0.25">
      <c r="I1788">
        <v>3572038</v>
      </c>
    </row>
    <row r="1789" spans="9:9" x14ac:dyDescent="0.25">
      <c r="I1789">
        <v>3572038</v>
      </c>
    </row>
    <row r="1790" spans="9:9" x14ac:dyDescent="0.25">
      <c r="I1790">
        <v>3929692</v>
      </c>
    </row>
    <row r="1791" spans="9:9" x14ac:dyDescent="0.25">
      <c r="I1791">
        <v>3929692</v>
      </c>
    </row>
    <row r="1792" spans="9:9" x14ac:dyDescent="0.25">
      <c r="I1792">
        <v>3929692</v>
      </c>
    </row>
    <row r="1793" spans="9:9" x14ac:dyDescent="0.25">
      <c r="I1793">
        <v>3929692</v>
      </c>
    </row>
    <row r="1794" spans="9:9" x14ac:dyDescent="0.25">
      <c r="I1794">
        <v>3931837</v>
      </c>
    </row>
    <row r="1795" spans="9:9" x14ac:dyDescent="0.25">
      <c r="I1795">
        <v>3931837</v>
      </c>
    </row>
    <row r="1796" spans="9:9" x14ac:dyDescent="0.25">
      <c r="I1796">
        <v>3931837</v>
      </c>
    </row>
    <row r="1797" spans="9:9" x14ac:dyDescent="0.25">
      <c r="I1797">
        <v>3931837</v>
      </c>
    </row>
    <row r="1798" spans="9:9" x14ac:dyDescent="0.25">
      <c r="I1798">
        <v>3931837</v>
      </c>
    </row>
    <row r="1799" spans="9:9" x14ac:dyDescent="0.25">
      <c r="I1799">
        <v>3233555</v>
      </c>
    </row>
    <row r="1800" spans="9:9" x14ac:dyDescent="0.25">
      <c r="I1800">
        <v>3233555</v>
      </c>
    </row>
    <row r="1801" spans="9:9" x14ac:dyDescent="0.25">
      <c r="I1801">
        <v>3233555</v>
      </c>
    </row>
    <row r="1802" spans="9:9" x14ac:dyDescent="0.25">
      <c r="I1802">
        <v>3233555</v>
      </c>
    </row>
    <row r="1803" spans="9:9" x14ac:dyDescent="0.25">
      <c r="I1803">
        <v>3233555</v>
      </c>
    </row>
    <row r="1804" spans="9:9" x14ac:dyDescent="0.25">
      <c r="I1804">
        <v>1940478</v>
      </c>
    </row>
    <row r="1805" spans="9:9" x14ac:dyDescent="0.25">
      <c r="I1805">
        <v>1940478</v>
      </c>
    </row>
    <row r="1806" spans="9:9" x14ac:dyDescent="0.25">
      <c r="I1806">
        <v>1940478</v>
      </c>
    </row>
    <row r="1807" spans="9:9" x14ac:dyDescent="0.25">
      <c r="I1807">
        <v>1940478</v>
      </c>
    </row>
    <row r="1808" spans="9:9" x14ac:dyDescent="0.25">
      <c r="I1808">
        <v>1940478</v>
      </c>
    </row>
    <row r="1809" spans="9:9" x14ac:dyDescent="0.25">
      <c r="I1809">
        <v>1940478</v>
      </c>
    </row>
    <row r="1810" spans="9:9" x14ac:dyDescent="0.25">
      <c r="I1810">
        <v>3233555</v>
      </c>
    </row>
    <row r="1811" spans="9:9" x14ac:dyDescent="0.25">
      <c r="I1811">
        <v>3233555</v>
      </c>
    </row>
    <row r="1812" spans="9:9" x14ac:dyDescent="0.25">
      <c r="I1812">
        <v>3233555</v>
      </c>
    </row>
    <row r="1813" spans="9:9" x14ac:dyDescent="0.25">
      <c r="I1813">
        <v>3233555</v>
      </c>
    </row>
    <row r="1814" spans="9:9" x14ac:dyDescent="0.25">
      <c r="I1814">
        <v>3233555</v>
      </c>
    </row>
    <row r="1815" spans="9:9" x14ac:dyDescent="0.25">
      <c r="I1815">
        <v>3233555</v>
      </c>
    </row>
    <row r="1816" spans="9:9" x14ac:dyDescent="0.25">
      <c r="I1816">
        <v>3233555</v>
      </c>
    </row>
    <row r="1817" spans="9:9" x14ac:dyDescent="0.25">
      <c r="I1817">
        <v>3230492</v>
      </c>
    </row>
    <row r="1818" spans="9:9" x14ac:dyDescent="0.25">
      <c r="I1818">
        <v>3230492</v>
      </c>
    </row>
    <row r="1819" spans="9:9" x14ac:dyDescent="0.25">
      <c r="I1819">
        <v>3230492</v>
      </c>
    </row>
    <row r="1820" spans="9:9" x14ac:dyDescent="0.25">
      <c r="I1820">
        <v>3230492</v>
      </c>
    </row>
    <row r="1821" spans="9:9" x14ac:dyDescent="0.25">
      <c r="I1821">
        <v>3233560</v>
      </c>
    </row>
    <row r="1822" spans="9:9" x14ac:dyDescent="0.25">
      <c r="I1822">
        <v>3233560</v>
      </c>
    </row>
    <row r="1823" spans="9:9" x14ac:dyDescent="0.25">
      <c r="I1823">
        <v>3233560</v>
      </c>
    </row>
    <row r="1824" spans="9:9" x14ac:dyDescent="0.25">
      <c r="I1824">
        <v>3572051</v>
      </c>
    </row>
    <row r="1825" spans="9:9" x14ac:dyDescent="0.25">
      <c r="I1825">
        <v>3572051</v>
      </c>
    </row>
    <row r="1826" spans="9:9" x14ac:dyDescent="0.25">
      <c r="I1826">
        <v>3572051</v>
      </c>
    </row>
    <row r="1827" spans="9:9" x14ac:dyDescent="0.25">
      <c r="I1827">
        <v>3572051</v>
      </c>
    </row>
    <row r="1828" spans="9:9" x14ac:dyDescent="0.25">
      <c r="I1828">
        <v>3230485</v>
      </c>
    </row>
    <row r="1829" spans="9:9" x14ac:dyDescent="0.25">
      <c r="I1829">
        <v>3230485</v>
      </c>
    </row>
    <row r="1830" spans="9:9" x14ac:dyDescent="0.25">
      <c r="I1830">
        <v>3230485</v>
      </c>
    </row>
    <row r="1831" spans="9:9" x14ac:dyDescent="0.25">
      <c r="I1831">
        <v>3230485</v>
      </c>
    </row>
    <row r="1832" spans="9:9" x14ac:dyDescent="0.25">
      <c r="I1832">
        <v>1937022</v>
      </c>
    </row>
    <row r="1833" spans="9:9" x14ac:dyDescent="0.25">
      <c r="I1833">
        <v>1940437</v>
      </c>
    </row>
    <row r="1834" spans="9:9" x14ac:dyDescent="0.25">
      <c r="I1834">
        <v>1940437</v>
      </c>
    </row>
    <row r="1835" spans="9:9" x14ac:dyDescent="0.25">
      <c r="I1835">
        <v>1940437</v>
      </c>
    </row>
    <row r="1836" spans="9:9" x14ac:dyDescent="0.25">
      <c r="I1836">
        <v>1940588</v>
      </c>
    </row>
    <row r="1837" spans="9:9" x14ac:dyDescent="0.25">
      <c r="I1837">
        <v>3715133</v>
      </c>
    </row>
    <row r="1838" spans="9:9" x14ac:dyDescent="0.25">
      <c r="I1838">
        <v>3715133</v>
      </c>
    </row>
    <row r="1839" spans="9:9" x14ac:dyDescent="0.25">
      <c r="I1839">
        <v>3715133</v>
      </c>
    </row>
    <row r="1840" spans="9:9" x14ac:dyDescent="0.25">
      <c r="I1840">
        <v>1940821</v>
      </c>
    </row>
    <row r="1841" spans="9:9" x14ac:dyDescent="0.25">
      <c r="I1841">
        <v>1940821</v>
      </c>
    </row>
    <row r="1842" spans="9:9" x14ac:dyDescent="0.25">
      <c r="I1842">
        <v>1940821</v>
      </c>
    </row>
    <row r="1843" spans="9:9" x14ac:dyDescent="0.25">
      <c r="I1843">
        <v>1940306</v>
      </c>
    </row>
    <row r="1844" spans="9:9" x14ac:dyDescent="0.25">
      <c r="I1844">
        <v>1940306</v>
      </c>
    </row>
    <row r="1845" spans="9:9" x14ac:dyDescent="0.25">
      <c r="I1845">
        <v>1940325</v>
      </c>
    </row>
    <row r="1846" spans="9:9" x14ac:dyDescent="0.25">
      <c r="I1846">
        <v>1940325</v>
      </c>
    </row>
    <row r="1847" spans="9:9" x14ac:dyDescent="0.25">
      <c r="I1847">
        <v>1940325</v>
      </c>
    </row>
    <row r="1848" spans="9:9" x14ac:dyDescent="0.25">
      <c r="I1848">
        <v>1940325</v>
      </c>
    </row>
    <row r="1849" spans="9:9" x14ac:dyDescent="0.25">
      <c r="I1849">
        <v>1940329</v>
      </c>
    </row>
    <row r="1850" spans="9:9" x14ac:dyDescent="0.25">
      <c r="I1850">
        <v>1940329</v>
      </c>
    </row>
    <row r="1851" spans="9:9" x14ac:dyDescent="0.25">
      <c r="I1851">
        <v>1940329</v>
      </c>
    </row>
    <row r="1852" spans="9:9" x14ac:dyDescent="0.25">
      <c r="I1852">
        <v>1940329</v>
      </c>
    </row>
    <row r="1853" spans="9:9" x14ac:dyDescent="0.25">
      <c r="I1853">
        <v>1940329</v>
      </c>
    </row>
    <row r="1854" spans="9:9" x14ac:dyDescent="0.25">
      <c r="I1854">
        <v>2353927</v>
      </c>
    </row>
    <row r="1855" spans="9:9" x14ac:dyDescent="0.25">
      <c r="I1855">
        <v>2353927</v>
      </c>
    </row>
    <row r="1856" spans="9:9" x14ac:dyDescent="0.25">
      <c r="I1856">
        <v>2353927</v>
      </c>
    </row>
    <row r="1857" spans="9:9" x14ac:dyDescent="0.25">
      <c r="I1857">
        <v>2353927</v>
      </c>
    </row>
    <row r="1858" spans="9:9" x14ac:dyDescent="0.25">
      <c r="I1858">
        <v>1940825</v>
      </c>
    </row>
    <row r="1859" spans="9:9" x14ac:dyDescent="0.25">
      <c r="I1859">
        <v>1940825</v>
      </c>
    </row>
    <row r="1860" spans="9:9" x14ac:dyDescent="0.25">
      <c r="I1860">
        <v>1940822</v>
      </c>
    </row>
    <row r="1861" spans="9:9" x14ac:dyDescent="0.25">
      <c r="I1861">
        <v>1940822</v>
      </c>
    </row>
    <row r="1862" spans="9:9" x14ac:dyDescent="0.25">
      <c r="I1862">
        <v>1940823</v>
      </c>
    </row>
    <row r="1863" spans="9:9" x14ac:dyDescent="0.25">
      <c r="I1863">
        <v>1940823</v>
      </c>
    </row>
    <row r="1864" spans="9:9" x14ac:dyDescent="0.25">
      <c r="I1864">
        <v>1940823</v>
      </c>
    </row>
    <row r="1865" spans="9:9" x14ac:dyDescent="0.25">
      <c r="I1865">
        <v>3172238</v>
      </c>
    </row>
    <row r="1866" spans="9:9" x14ac:dyDescent="0.25">
      <c r="I1866">
        <v>3172238</v>
      </c>
    </row>
    <row r="1867" spans="9:9" x14ac:dyDescent="0.25">
      <c r="I1867">
        <v>3676337</v>
      </c>
    </row>
    <row r="1868" spans="9:9" x14ac:dyDescent="0.25">
      <c r="I1868">
        <v>3931836</v>
      </c>
    </row>
    <row r="1869" spans="9:9" x14ac:dyDescent="0.25">
      <c r="I1869">
        <v>3931836</v>
      </c>
    </row>
    <row r="1870" spans="9:9" x14ac:dyDescent="0.25">
      <c r="I1870">
        <v>3931836</v>
      </c>
    </row>
    <row r="1871" spans="9:9" x14ac:dyDescent="0.25">
      <c r="I1871">
        <v>3233557</v>
      </c>
    </row>
    <row r="1872" spans="9:9" x14ac:dyDescent="0.25">
      <c r="I1872">
        <v>3233557</v>
      </c>
    </row>
    <row r="1873" spans="9:9" x14ac:dyDescent="0.25">
      <c r="I1873">
        <v>3233557</v>
      </c>
    </row>
    <row r="1874" spans="9:9" x14ac:dyDescent="0.25">
      <c r="I1874">
        <v>3230482</v>
      </c>
    </row>
    <row r="1875" spans="9:9" x14ac:dyDescent="0.25">
      <c r="I1875">
        <v>1940090</v>
      </c>
    </row>
    <row r="1876" spans="9:9" x14ac:dyDescent="0.25">
      <c r="I1876">
        <v>1940090</v>
      </c>
    </row>
    <row r="1877" spans="9:9" x14ac:dyDescent="0.25">
      <c r="I1877">
        <v>1940090</v>
      </c>
    </row>
    <row r="1878" spans="9:9" x14ac:dyDescent="0.25">
      <c r="I1878">
        <v>1940830</v>
      </c>
    </row>
    <row r="1879" spans="9:9" x14ac:dyDescent="0.25">
      <c r="I1879">
        <v>1940830</v>
      </c>
    </row>
    <row r="1880" spans="9:9" x14ac:dyDescent="0.25">
      <c r="I1880">
        <v>1940830</v>
      </c>
    </row>
    <row r="1881" spans="9:9" x14ac:dyDescent="0.25">
      <c r="I1881">
        <v>1940837</v>
      </c>
    </row>
    <row r="1882" spans="9:9" x14ac:dyDescent="0.25">
      <c r="I1882">
        <v>3230482</v>
      </c>
    </row>
    <row r="1883" spans="9:9" x14ac:dyDescent="0.25">
      <c r="I1883">
        <v>3230482</v>
      </c>
    </row>
    <row r="1884" spans="9:9" x14ac:dyDescent="0.25">
      <c r="I1884">
        <v>3929540</v>
      </c>
    </row>
    <row r="1885" spans="9:9" x14ac:dyDescent="0.25">
      <c r="I1885">
        <v>3929540</v>
      </c>
    </row>
    <row r="1886" spans="9:9" x14ac:dyDescent="0.25">
      <c r="I1886">
        <v>3929540</v>
      </c>
    </row>
    <row r="1887" spans="9:9" x14ac:dyDescent="0.25">
      <c r="I1887">
        <v>3929540</v>
      </c>
    </row>
    <row r="1888" spans="9:9" x14ac:dyDescent="0.25">
      <c r="I1888">
        <v>1940801</v>
      </c>
    </row>
    <row r="1889" spans="9:9" x14ac:dyDescent="0.25">
      <c r="I1889">
        <v>1940801</v>
      </c>
    </row>
    <row r="1890" spans="9:9" x14ac:dyDescent="0.25">
      <c r="I1890">
        <v>3233554</v>
      </c>
    </row>
    <row r="1891" spans="9:9" x14ac:dyDescent="0.25">
      <c r="I1891">
        <v>3233554</v>
      </c>
    </row>
    <row r="1892" spans="9:9" x14ac:dyDescent="0.25">
      <c r="I1892">
        <v>3233555</v>
      </c>
    </row>
    <row r="1893" spans="9:9" x14ac:dyDescent="0.25">
      <c r="I1893">
        <v>3233556</v>
      </c>
    </row>
    <row r="1894" spans="9:9" x14ac:dyDescent="0.25">
      <c r="I1894">
        <v>3233556</v>
      </c>
    </row>
    <row r="1895" spans="9:9" x14ac:dyDescent="0.25">
      <c r="I1895">
        <v>3233556</v>
      </c>
    </row>
    <row r="1896" spans="9:9" x14ac:dyDescent="0.25">
      <c r="I1896">
        <v>3233556</v>
      </c>
    </row>
    <row r="1897" spans="9:9" x14ac:dyDescent="0.25">
      <c r="I1897">
        <v>3233557</v>
      </c>
    </row>
    <row r="1898" spans="9:9" x14ac:dyDescent="0.25">
      <c r="I1898">
        <v>3233557</v>
      </c>
    </row>
    <row r="1899" spans="9:9" x14ac:dyDescent="0.25">
      <c r="I1899">
        <v>3233557</v>
      </c>
    </row>
    <row r="1900" spans="9:9" x14ac:dyDescent="0.25">
      <c r="I1900">
        <v>3584171</v>
      </c>
    </row>
    <row r="1901" spans="9:9" x14ac:dyDescent="0.25">
      <c r="I1901">
        <v>3584171</v>
      </c>
    </row>
    <row r="1902" spans="9:9" x14ac:dyDescent="0.25">
      <c r="I1902">
        <v>3233559</v>
      </c>
    </row>
    <row r="1903" spans="9:9" x14ac:dyDescent="0.25">
      <c r="I1903">
        <v>3572038</v>
      </c>
    </row>
    <row r="1904" spans="9:9" x14ac:dyDescent="0.25">
      <c r="I1904">
        <v>3931837</v>
      </c>
    </row>
    <row r="1905" spans="9:9" x14ac:dyDescent="0.25">
      <c r="I1905">
        <v>3230492</v>
      </c>
    </row>
    <row r="1906" spans="9:9" x14ac:dyDescent="0.25">
      <c r="I1906">
        <v>3233560</v>
      </c>
    </row>
    <row r="1907" spans="9:9" x14ac:dyDescent="0.25">
      <c r="I1907">
        <v>3230485</v>
      </c>
    </row>
    <row r="1908" spans="9:9" x14ac:dyDescent="0.25">
      <c r="I1908">
        <v>3931836</v>
      </c>
    </row>
    <row r="1909" spans="9:9" x14ac:dyDescent="0.25">
      <c r="I1909">
        <v>3230488</v>
      </c>
    </row>
    <row r="1910" spans="9:9" x14ac:dyDescent="0.25">
      <c r="I1910">
        <v>3952059</v>
      </c>
    </row>
    <row r="1911" spans="9:9" x14ac:dyDescent="0.25">
      <c r="I1911">
        <v>3230487</v>
      </c>
    </row>
    <row r="1912" spans="9:9" x14ac:dyDescent="0.25">
      <c r="I1912">
        <v>3230487</v>
      </c>
    </row>
    <row r="1913" spans="9:9" x14ac:dyDescent="0.25">
      <c r="I1913">
        <v>3230487</v>
      </c>
    </row>
    <row r="1914" spans="9:9" x14ac:dyDescent="0.25">
      <c r="I1914">
        <v>3230487</v>
      </c>
    </row>
    <row r="1915" spans="9:9" x14ac:dyDescent="0.25">
      <c r="I1915">
        <v>3230487</v>
      </c>
    </row>
    <row r="1916" spans="9:9" x14ac:dyDescent="0.25">
      <c r="I1916">
        <v>3230490</v>
      </c>
    </row>
    <row r="1917" spans="9:9" x14ac:dyDescent="0.25">
      <c r="I1917">
        <v>3230486</v>
      </c>
    </row>
    <row r="1918" spans="9:9" x14ac:dyDescent="0.25">
      <c r="I1918">
        <v>3230486</v>
      </c>
    </row>
    <row r="1919" spans="9:9" x14ac:dyDescent="0.25">
      <c r="I1919">
        <v>3230486</v>
      </c>
    </row>
    <row r="1920" spans="9:9" x14ac:dyDescent="0.25">
      <c r="I1920">
        <v>3938687</v>
      </c>
    </row>
    <row r="1921" spans="9:9" x14ac:dyDescent="0.25">
      <c r="I1921">
        <v>3931835</v>
      </c>
    </row>
    <row r="1922" spans="9:9" x14ac:dyDescent="0.25">
      <c r="I1922">
        <v>3931834</v>
      </c>
    </row>
    <row r="1923" spans="9:9" x14ac:dyDescent="0.25">
      <c r="I1923">
        <v>3931834</v>
      </c>
    </row>
    <row r="1924" spans="9:9" x14ac:dyDescent="0.25">
      <c r="I1924">
        <v>3935311</v>
      </c>
    </row>
    <row r="1925" spans="9:9" x14ac:dyDescent="0.25">
      <c r="I1925">
        <v>3935311</v>
      </c>
    </row>
    <row r="1926" spans="9:9" x14ac:dyDescent="0.25">
      <c r="I1926">
        <v>3230482</v>
      </c>
    </row>
    <row r="1927" spans="9:9" x14ac:dyDescent="0.25">
      <c r="I1927">
        <v>3230482</v>
      </c>
    </row>
    <row r="1928" spans="9:9" x14ac:dyDescent="0.25">
      <c r="I1928">
        <v>1940850</v>
      </c>
    </row>
    <row r="1929" spans="9:9" x14ac:dyDescent="0.25">
      <c r="I1929">
        <v>1940849</v>
      </c>
    </row>
    <row r="1930" spans="9:9" x14ac:dyDescent="0.25">
      <c r="I1930">
        <v>3935312</v>
      </c>
    </row>
    <row r="1931" spans="9:9" x14ac:dyDescent="0.25">
      <c r="I1931">
        <v>3230495</v>
      </c>
    </row>
    <row r="1932" spans="9:9" x14ac:dyDescent="0.25">
      <c r="I1932">
        <v>3508742</v>
      </c>
    </row>
    <row r="1933" spans="9:9" x14ac:dyDescent="0.25">
      <c r="I1933">
        <v>3508742</v>
      </c>
    </row>
    <row r="1934" spans="9:9" x14ac:dyDescent="0.25">
      <c r="I1934">
        <v>3801265</v>
      </c>
    </row>
    <row r="1935" spans="9:9" x14ac:dyDescent="0.25">
      <c r="I1935">
        <v>3801265</v>
      </c>
    </row>
    <row r="1936" spans="9:9" x14ac:dyDescent="0.25">
      <c r="I1936">
        <v>3801265</v>
      </c>
    </row>
    <row r="1937" spans="9:9" x14ac:dyDescent="0.25">
      <c r="I1937">
        <v>3801265</v>
      </c>
    </row>
    <row r="1938" spans="9:9" x14ac:dyDescent="0.25">
      <c r="I1938">
        <v>3910648</v>
      </c>
    </row>
    <row r="1939" spans="9:9" x14ac:dyDescent="0.25">
      <c r="I1939">
        <v>3910648</v>
      </c>
    </row>
    <row r="1940" spans="9:9" x14ac:dyDescent="0.25">
      <c r="I1940">
        <v>3910648</v>
      </c>
    </row>
    <row r="1941" spans="9:9" x14ac:dyDescent="0.25">
      <c r="I1941">
        <v>3780004</v>
      </c>
    </row>
    <row r="1942" spans="9:9" x14ac:dyDescent="0.25">
      <c r="I1942">
        <v>1940715</v>
      </c>
    </row>
    <row r="1943" spans="9:9" x14ac:dyDescent="0.25">
      <c r="I1943">
        <v>1940715</v>
      </c>
    </row>
    <row r="1944" spans="9:9" x14ac:dyDescent="0.25">
      <c r="I1944">
        <v>1940715</v>
      </c>
    </row>
    <row r="1945" spans="9:9" x14ac:dyDescent="0.25">
      <c r="I1945">
        <v>1940710</v>
      </c>
    </row>
    <row r="1946" spans="9:9" x14ac:dyDescent="0.25">
      <c r="I1946">
        <v>1940710</v>
      </c>
    </row>
    <row r="1947" spans="9:9" x14ac:dyDescent="0.25">
      <c r="I1947">
        <v>3910020</v>
      </c>
    </row>
    <row r="1948" spans="9:9" x14ac:dyDescent="0.25">
      <c r="I1948">
        <v>3910020</v>
      </c>
    </row>
    <row r="1949" spans="9:9" x14ac:dyDescent="0.25">
      <c r="I1949">
        <v>3910020</v>
      </c>
    </row>
    <row r="1950" spans="9:9" x14ac:dyDescent="0.25">
      <c r="I1950">
        <v>3781649</v>
      </c>
    </row>
    <row r="1951" spans="9:9" x14ac:dyDescent="0.25">
      <c r="I1951">
        <v>3781649</v>
      </c>
    </row>
    <row r="1952" spans="9:9" x14ac:dyDescent="0.25">
      <c r="I1952">
        <v>3781649</v>
      </c>
    </row>
    <row r="1953" spans="9:9" x14ac:dyDescent="0.25">
      <c r="I1953">
        <v>3929540</v>
      </c>
    </row>
    <row r="1954" spans="9:9" x14ac:dyDescent="0.25">
      <c r="I1954">
        <v>3571870</v>
      </c>
    </row>
    <row r="1955" spans="9:9" x14ac:dyDescent="0.25">
      <c r="I1955">
        <v>3571870</v>
      </c>
    </row>
    <row r="1956" spans="9:9" x14ac:dyDescent="0.25">
      <c r="I1956">
        <v>3230488</v>
      </c>
    </row>
    <row r="1957" spans="9:9" x14ac:dyDescent="0.25">
      <c r="I1957">
        <v>3230488</v>
      </c>
    </row>
    <row r="1958" spans="9:9" x14ac:dyDescent="0.25">
      <c r="I1958">
        <v>3230488</v>
      </c>
    </row>
    <row r="1959" spans="9:9" x14ac:dyDescent="0.25">
      <c r="I1959">
        <v>3230488</v>
      </c>
    </row>
    <row r="1960" spans="9:9" x14ac:dyDescent="0.25">
      <c r="I1960">
        <v>3230487</v>
      </c>
    </row>
    <row r="1961" spans="9:9" x14ac:dyDescent="0.25">
      <c r="I1961">
        <v>3230487</v>
      </c>
    </row>
    <row r="1962" spans="9:9" x14ac:dyDescent="0.25">
      <c r="I1962">
        <v>3230490</v>
      </c>
    </row>
    <row r="1963" spans="9:9" x14ac:dyDescent="0.25">
      <c r="I1963">
        <v>3230490</v>
      </c>
    </row>
    <row r="1964" spans="9:9" x14ac:dyDescent="0.25">
      <c r="I1964">
        <v>3230495</v>
      </c>
    </row>
    <row r="1965" spans="9:9" x14ac:dyDescent="0.25">
      <c r="I1965">
        <v>3230495</v>
      </c>
    </row>
    <row r="1966" spans="9:9" x14ac:dyDescent="0.25">
      <c r="I1966">
        <v>3230495</v>
      </c>
    </row>
    <row r="1967" spans="9:9" x14ac:dyDescent="0.25">
      <c r="I1967">
        <v>3230495</v>
      </c>
    </row>
    <row r="1968" spans="9:9" x14ac:dyDescent="0.25">
      <c r="I1968">
        <v>3929691</v>
      </c>
    </row>
    <row r="1969" spans="9:9" x14ac:dyDescent="0.25">
      <c r="I1969">
        <v>3929691</v>
      </c>
    </row>
    <row r="1970" spans="9:9" x14ac:dyDescent="0.25">
      <c r="I1970">
        <v>3929691</v>
      </c>
    </row>
    <row r="1971" spans="9:9" x14ac:dyDescent="0.25">
      <c r="I1971">
        <v>3929691</v>
      </c>
    </row>
    <row r="1972" spans="9:9" x14ac:dyDescent="0.25">
      <c r="I1972">
        <v>1940840</v>
      </c>
    </row>
    <row r="1973" spans="9:9" x14ac:dyDescent="0.25">
      <c r="I1973">
        <v>1940840</v>
      </c>
    </row>
    <row r="1974" spans="9:9" x14ac:dyDescent="0.25">
      <c r="I1974">
        <v>1940840</v>
      </c>
    </row>
    <row r="1975" spans="9:9" x14ac:dyDescent="0.25">
      <c r="I1975">
        <v>1940840</v>
      </c>
    </row>
    <row r="1976" spans="9:9" x14ac:dyDescent="0.25">
      <c r="I1976">
        <v>1940307</v>
      </c>
    </row>
    <row r="1977" spans="9:9" x14ac:dyDescent="0.25">
      <c r="I1977">
        <v>1940307</v>
      </c>
    </row>
    <row r="1978" spans="9:9" x14ac:dyDescent="0.25">
      <c r="I1978">
        <v>1940307</v>
      </c>
    </row>
    <row r="1979" spans="9:9" x14ac:dyDescent="0.25">
      <c r="I1979">
        <v>1940307</v>
      </c>
    </row>
    <row r="1980" spans="9:9" x14ac:dyDescent="0.25">
      <c r="I1980">
        <v>1932848</v>
      </c>
    </row>
    <row r="1981" spans="9:9" x14ac:dyDescent="0.25">
      <c r="I1981">
        <v>1932848</v>
      </c>
    </row>
    <row r="1982" spans="9:9" x14ac:dyDescent="0.25">
      <c r="I1982">
        <v>1932848</v>
      </c>
    </row>
    <row r="1983" spans="9:9" x14ac:dyDescent="0.25">
      <c r="I1983">
        <v>1932848</v>
      </c>
    </row>
    <row r="1984" spans="9:9" x14ac:dyDescent="0.25">
      <c r="I1984">
        <v>1940312</v>
      </c>
    </row>
    <row r="1985" spans="9:9" x14ac:dyDescent="0.25">
      <c r="I1985">
        <v>1940312</v>
      </c>
    </row>
    <row r="1986" spans="9:9" x14ac:dyDescent="0.25">
      <c r="I1986">
        <v>1940329</v>
      </c>
    </row>
    <row r="1987" spans="9:9" x14ac:dyDescent="0.25">
      <c r="I1987">
        <v>1940329</v>
      </c>
    </row>
    <row r="1988" spans="9:9" x14ac:dyDescent="0.25">
      <c r="I1988">
        <v>2427158</v>
      </c>
    </row>
    <row r="1989" spans="9:9" x14ac:dyDescent="0.25">
      <c r="I1989">
        <v>3929691</v>
      </c>
    </row>
    <row r="1990" spans="9:9" x14ac:dyDescent="0.25">
      <c r="I1990">
        <v>3780004</v>
      </c>
    </row>
    <row r="1991" spans="9:9" x14ac:dyDescent="0.25">
      <c r="I1991">
        <v>3780004</v>
      </c>
    </row>
    <row r="1992" spans="9:9" x14ac:dyDescent="0.25">
      <c r="I1992">
        <v>3910648</v>
      </c>
    </row>
    <row r="1993" spans="9:9" x14ac:dyDescent="0.25">
      <c r="I1993">
        <v>3910648</v>
      </c>
    </row>
    <row r="1994" spans="9:9" x14ac:dyDescent="0.25">
      <c r="I1994">
        <v>3910648</v>
      </c>
    </row>
    <row r="1995" spans="9:9" x14ac:dyDescent="0.25">
      <c r="I1995">
        <v>3910648</v>
      </c>
    </row>
    <row r="1996" spans="9:9" x14ac:dyDescent="0.25">
      <c r="I1996">
        <v>3801265</v>
      </c>
    </row>
    <row r="1997" spans="9:9" x14ac:dyDescent="0.25">
      <c r="I1997">
        <v>3801265</v>
      </c>
    </row>
    <row r="1998" spans="9:9" x14ac:dyDescent="0.25">
      <c r="I1998">
        <v>3910649</v>
      </c>
    </row>
    <row r="1999" spans="9:9" x14ac:dyDescent="0.25">
      <c r="I1999">
        <v>3910650</v>
      </c>
    </row>
    <row r="2000" spans="9:9" x14ac:dyDescent="0.25">
      <c r="I2000">
        <v>2427939</v>
      </c>
    </row>
    <row r="2001" spans="9:9" x14ac:dyDescent="0.25">
      <c r="I2001">
        <v>2427939</v>
      </c>
    </row>
    <row r="2002" spans="9:9" x14ac:dyDescent="0.25">
      <c r="I2002">
        <v>2427939</v>
      </c>
    </row>
    <row r="2003" spans="9:9" x14ac:dyDescent="0.25">
      <c r="I2003">
        <v>2427960</v>
      </c>
    </row>
    <row r="2004" spans="9:9" x14ac:dyDescent="0.25">
      <c r="I2004">
        <v>2427960</v>
      </c>
    </row>
    <row r="2005" spans="9:9" x14ac:dyDescent="0.25">
      <c r="I2005">
        <v>2427960</v>
      </c>
    </row>
    <row r="2006" spans="9:9" x14ac:dyDescent="0.25">
      <c r="I2006">
        <v>2353927</v>
      </c>
    </row>
    <row r="2007" spans="9:9" x14ac:dyDescent="0.25">
      <c r="I2007">
        <v>2427158</v>
      </c>
    </row>
    <row r="2008" spans="9:9" x14ac:dyDescent="0.25">
      <c r="I2008">
        <v>2427158</v>
      </c>
    </row>
    <row r="2009" spans="9:9" x14ac:dyDescent="0.25">
      <c r="I2009">
        <v>2427158</v>
      </c>
    </row>
    <row r="2010" spans="9:9" x14ac:dyDescent="0.25">
      <c r="I2010">
        <v>2427158</v>
      </c>
    </row>
    <row r="2011" spans="9:9" x14ac:dyDescent="0.25">
      <c r="I2011">
        <v>2427158</v>
      </c>
    </row>
    <row r="2012" spans="9:9" x14ac:dyDescent="0.25">
      <c r="I2012">
        <v>2427158</v>
      </c>
    </row>
    <row r="2013" spans="9:9" x14ac:dyDescent="0.25">
      <c r="I2013">
        <v>2427158</v>
      </c>
    </row>
    <row r="2014" spans="9:9" x14ac:dyDescent="0.25">
      <c r="I2014">
        <v>2427158</v>
      </c>
    </row>
    <row r="2015" spans="9:9" x14ac:dyDescent="0.25">
      <c r="I2015">
        <v>2427158</v>
      </c>
    </row>
    <row r="2016" spans="9:9" x14ac:dyDescent="0.25">
      <c r="I2016">
        <v>3171772</v>
      </c>
    </row>
    <row r="2017" spans="9:9" x14ac:dyDescent="0.25">
      <c r="I2017">
        <v>1940325</v>
      </c>
    </row>
    <row r="2018" spans="9:9" x14ac:dyDescent="0.25">
      <c r="I2018">
        <v>3509824</v>
      </c>
    </row>
    <row r="2019" spans="9:9" x14ac:dyDescent="0.25">
      <c r="I2019">
        <v>3509824</v>
      </c>
    </row>
    <row r="2020" spans="9:9" x14ac:dyDescent="0.25">
      <c r="I2020">
        <v>3509824</v>
      </c>
    </row>
    <row r="2021" spans="9:9" x14ac:dyDescent="0.25">
      <c r="I2021">
        <v>3556680</v>
      </c>
    </row>
    <row r="2022" spans="9:9" x14ac:dyDescent="0.25">
      <c r="I2022">
        <v>3409366</v>
      </c>
    </row>
    <row r="2023" spans="9:9" x14ac:dyDescent="0.25">
      <c r="I2023">
        <v>3409366</v>
      </c>
    </row>
    <row r="2024" spans="9:9" x14ac:dyDescent="0.25">
      <c r="I2024">
        <v>2409616</v>
      </c>
    </row>
    <row r="2025" spans="9:9" x14ac:dyDescent="0.25">
      <c r="I2025">
        <v>3409367</v>
      </c>
    </row>
    <row r="2026" spans="9:9" x14ac:dyDescent="0.25">
      <c r="I2026">
        <v>3409367</v>
      </c>
    </row>
    <row r="2027" spans="9:9" x14ac:dyDescent="0.25">
      <c r="I2027">
        <v>2430128</v>
      </c>
    </row>
    <row r="2028" spans="9:9" x14ac:dyDescent="0.25">
      <c r="I2028">
        <v>2430128</v>
      </c>
    </row>
    <row r="2029" spans="9:9" x14ac:dyDescent="0.25">
      <c r="I2029">
        <v>2430128</v>
      </c>
    </row>
    <row r="2030" spans="9:9" x14ac:dyDescent="0.25">
      <c r="I2030">
        <v>2430128</v>
      </c>
    </row>
    <row r="2031" spans="9:9" x14ac:dyDescent="0.25">
      <c r="I2031">
        <v>3635694</v>
      </c>
    </row>
    <row r="2032" spans="9:9" x14ac:dyDescent="0.25">
      <c r="I2032">
        <v>3635694</v>
      </c>
    </row>
    <row r="2033" spans="9:9" x14ac:dyDescent="0.25">
      <c r="I2033">
        <v>3635694</v>
      </c>
    </row>
    <row r="2034" spans="9:9" x14ac:dyDescent="0.25">
      <c r="I2034">
        <v>1940498</v>
      </c>
    </row>
    <row r="2035" spans="9:9" x14ac:dyDescent="0.25">
      <c r="I2035">
        <v>1940498</v>
      </c>
    </row>
    <row r="2036" spans="9:9" x14ac:dyDescent="0.25">
      <c r="I2036">
        <v>1940498</v>
      </c>
    </row>
    <row r="2037" spans="9:9" x14ac:dyDescent="0.25">
      <c r="I2037">
        <v>1940498</v>
      </c>
    </row>
    <row r="2038" spans="9:9" x14ac:dyDescent="0.25">
      <c r="I2038">
        <v>1940498</v>
      </c>
    </row>
    <row r="2039" spans="9:9" x14ac:dyDescent="0.25">
      <c r="I2039">
        <v>1940498</v>
      </c>
    </row>
    <row r="2040" spans="9:9" x14ac:dyDescent="0.25">
      <c r="I2040">
        <v>1940498</v>
      </c>
    </row>
    <row r="2041" spans="9:9" x14ac:dyDescent="0.25">
      <c r="I2041">
        <v>1940498</v>
      </c>
    </row>
    <row r="2042" spans="9:9" x14ac:dyDescent="0.25">
      <c r="I2042">
        <v>1940498</v>
      </c>
    </row>
    <row r="2043" spans="9:9" x14ac:dyDescent="0.25">
      <c r="I2043">
        <v>1940498</v>
      </c>
    </row>
    <row r="2044" spans="9:9" x14ac:dyDescent="0.25">
      <c r="I2044">
        <v>1940498</v>
      </c>
    </row>
    <row r="2045" spans="9:9" x14ac:dyDescent="0.25">
      <c r="I2045">
        <v>2427158</v>
      </c>
    </row>
    <row r="2046" spans="9:9" x14ac:dyDescent="0.25">
      <c r="I2046">
        <v>2427158</v>
      </c>
    </row>
    <row r="2047" spans="9:9" x14ac:dyDescent="0.25">
      <c r="I2047">
        <v>2427158</v>
      </c>
    </row>
    <row r="2048" spans="9:9" x14ac:dyDescent="0.25">
      <c r="I2048">
        <v>2427158</v>
      </c>
    </row>
    <row r="2049" spans="9:9" x14ac:dyDescent="0.25">
      <c r="I2049">
        <v>2427158</v>
      </c>
    </row>
    <row r="2050" spans="9:9" x14ac:dyDescent="0.25">
      <c r="I2050">
        <v>2427158</v>
      </c>
    </row>
    <row r="2051" spans="9:9" x14ac:dyDescent="0.25">
      <c r="I2051">
        <v>2427158</v>
      </c>
    </row>
    <row r="2052" spans="9:9" x14ac:dyDescent="0.25">
      <c r="I2052">
        <v>2427158</v>
      </c>
    </row>
    <row r="2053" spans="9:9" x14ac:dyDescent="0.25">
      <c r="I2053">
        <v>2427158</v>
      </c>
    </row>
    <row r="2054" spans="9:9" x14ac:dyDescent="0.25">
      <c r="I2054">
        <v>3712521</v>
      </c>
    </row>
    <row r="2055" spans="9:9" x14ac:dyDescent="0.25">
      <c r="I2055">
        <v>3712521</v>
      </c>
    </row>
    <row r="2056" spans="9:9" x14ac:dyDescent="0.25">
      <c r="I2056">
        <v>1940830</v>
      </c>
    </row>
    <row r="2057" spans="9:9" x14ac:dyDescent="0.25">
      <c r="I2057">
        <v>1940830</v>
      </c>
    </row>
    <row r="2058" spans="9:9" x14ac:dyDescent="0.25">
      <c r="I2058">
        <v>1940830</v>
      </c>
    </row>
    <row r="2059" spans="9:9" x14ac:dyDescent="0.25">
      <c r="I2059">
        <v>1940837</v>
      </c>
    </row>
    <row r="2060" spans="9:9" x14ac:dyDescent="0.25">
      <c r="I2060">
        <v>1940837</v>
      </c>
    </row>
    <row r="2061" spans="9:9" x14ac:dyDescent="0.25">
      <c r="I2061">
        <v>1940416</v>
      </c>
    </row>
    <row r="2062" spans="9:9" x14ac:dyDescent="0.25">
      <c r="I2062">
        <v>1940416</v>
      </c>
    </row>
    <row r="2063" spans="9:9" x14ac:dyDescent="0.25">
      <c r="I2063">
        <v>1940416</v>
      </c>
    </row>
    <row r="2064" spans="9:9" x14ac:dyDescent="0.25">
      <c r="I2064">
        <v>1940416</v>
      </c>
    </row>
    <row r="2065" spans="9:9" x14ac:dyDescent="0.25">
      <c r="I2065">
        <v>1940416</v>
      </c>
    </row>
    <row r="2066" spans="9:9" x14ac:dyDescent="0.25">
      <c r="I2066">
        <v>1940416</v>
      </c>
    </row>
    <row r="2067" spans="9:9" x14ac:dyDescent="0.25">
      <c r="I2067">
        <v>1940478</v>
      </c>
    </row>
    <row r="2068" spans="9:9" x14ac:dyDescent="0.25">
      <c r="I2068">
        <v>1940478</v>
      </c>
    </row>
    <row r="2069" spans="9:9" x14ac:dyDescent="0.25">
      <c r="I2069">
        <v>1940490</v>
      </c>
    </row>
    <row r="2070" spans="9:9" x14ac:dyDescent="0.25">
      <c r="I2070">
        <v>1940490</v>
      </c>
    </row>
    <row r="2071" spans="9:9" x14ac:dyDescent="0.25">
      <c r="I2071">
        <v>3230495</v>
      </c>
    </row>
    <row r="2072" spans="9:9" x14ac:dyDescent="0.25">
      <c r="I2072">
        <v>3935312</v>
      </c>
    </row>
    <row r="2073" spans="9:9" x14ac:dyDescent="0.25">
      <c r="I2073">
        <v>1940849</v>
      </c>
    </row>
    <row r="2074" spans="9:9" x14ac:dyDescent="0.25">
      <c r="I2074">
        <v>1940850</v>
      </c>
    </row>
    <row r="2075" spans="9:9" x14ac:dyDescent="0.25">
      <c r="I2075">
        <v>3230482</v>
      </c>
    </row>
    <row r="2076" spans="9:9" x14ac:dyDescent="0.25">
      <c r="I2076">
        <v>3935311</v>
      </c>
    </row>
    <row r="2077" spans="9:9" x14ac:dyDescent="0.25">
      <c r="I2077">
        <v>3931834</v>
      </c>
    </row>
    <row r="2078" spans="9:9" x14ac:dyDescent="0.25">
      <c r="I2078">
        <v>3931835</v>
      </c>
    </row>
    <row r="2079" spans="9:9" x14ac:dyDescent="0.25">
      <c r="I2079">
        <v>3938687</v>
      </c>
    </row>
    <row r="2080" spans="9:9" x14ac:dyDescent="0.25">
      <c r="I2080">
        <v>3230486</v>
      </c>
    </row>
    <row r="2081" spans="9:9" x14ac:dyDescent="0.25">
      <c r="I2081">
        <v>3230490</v>
      </c>
    </row>
    <row r="2082" spans="9:9" x14ac:dyDescent="0.25">
      <c r="I2082">
        <v>3230487</v>
      </c>
    </row>
    <row r="2083" spans="9:9" x14ac:dyDescent="0.25">
      <c r="I2083">
        <v>3952059</v>
      </c>
    </row>
    <row r="2084" spans="9:9" x14ac:dyDescent="0.25">
      <c r="I2084">
        <v>3230488</v>
      </c>
    </row>
    <row r="2085" spans="9:9" x14ac:dyDescent="0.25">
      <c r="I2085">
        <v>3931836</v>
      </c>
    </row>
    <row r="2086" spans="9:9" x14ac:dyDescent="0.25">
      <c r="I2086">
        <v>3230485</v>
      </c>
    </row>
    <row r="2087" spans="9:9" x14ac:dyDescent="0.25">
      <c r="I2087">
        <v>1940686</v>
      </c>
    </row>
    <row r="2088" spans="9:9" x14ac:dyDescent="0.25">
      <c r="I2088">
        <v>1940686</v>
      </c>
    </row>
    <row r="2089" spans="9:9" x14ac:dyDescent="0.25">
      <c r="I2089">
        <v>1940686</v>
      </c>
    </row>
    <row r="2090" spans="9:9" x14ac:dyDescent="0.25">
      <c r="I2090">
        <v>1940686</v>
      </c>
    </row>
    <row r="2091" spans="9:9" x14ac:dyDescent="0.25">
      <c r="I2091">
        <v>1900224</v>
      </c>
    </row>
    <row r="2092" spans="9:9" x14ac:dyDescent="0.25">
      <c r="I2092">
        <v>3233560</v>
      </c>
    </row>
    <row r="2093" spans="9:9" x14ac:dyDescent="0.25">
      <c r="I2093">
        <v>3230492</v>
      </c>
    </row>
    <row r="2094" spans="9:9" x14ac:dyDescent="0.25">
      <c r="I2094">
        <v>3931837</v>
      </c>
    </row>
    <row r="2095" spans="9:9" x14ac:dyDescent="0.25">
      <c r="I2095">
        <v>3572038</v>
      </c>
    </row>
    <row r="2096" spans="9:9" x14ac:dyDescent="0.25">
      <c r="I2096">
        <v>3233559</v>
      </c>
    </row>
    <row r="2097" spans="9:9" x14ac:dyDescent="0.25">
      <c r="I2097">
        <v>3584171</v>
      </c>
    </row>
    <row r="2098" spans="9:9" x14ac:dyDescent="0.25">
      <c r="I2098">
        <v>3233557</v>
      </c>
    </row>
    <row r="2099" spans="9:9" x14ac:dyDescent="0.25">
      <c r="I2099">
        <v>3233556</v>
      </c>
    </row>
    <row r="2100" spans="9:9" x14ac:dyDescent="0.25">
      <c r="I2100">
        <v>3233555</v>
      </c>
    </row>
    <row r="2101" spans="9:9" x14ac:dyDescent="0.25">
      <c r="I2101">
        <v>3233555</v>
      </c>
    </row>
    <row r="2102" spans="9:9" x14ac:dyDescent="0.25">
      <c r="I2102">
        <v>3233555</v>
      </c>
    </row>
    <row r="2103" spans="9:9" x14ac:dyDescent="0.25">
      <c r="I2103">
        <v>3233554</v>
      </c>
    </row>
    <row r="2104" spans="9:9" x14ac:dyDescent="0.25">
      <c r="I2104">
        <v>1940801</v>
      </c>
    </row>
    <row r="2105" spans="9:9" x14ac:dyDescent="0.25">
      <c r="I2105">
        <v>1940801</v>
      </c>
    </row>
    <row r="2106" spans="9:9" x14ac:dyDescent="0.25">
      <c r="I2106">
        <v>1940801</v>
      </c>
    </row>
    <row r="2107" spans="9:9" x14ac:dyDescent="0.25">
      <c r="I2107">
        <v>1940822</v>
      </c>
    </row>
    <row r="2108" spans="9:9" x14ac:dyDescent="0.25">
      <c r="I2108">
        <v>1940822</v>
      </c>
    </row>
    <row r="2109" spans="9:9" x14ac:dyDescent="0.25">
      <c r="I2109">
        <v>1940822</v>
      </c>
    </row>
    <row r="2110" spans="9:9" x14ac:dyDescent="0.25">
      <c r="I2110">
        <v>1940823</v>
      </c>
    </row>
    <row r="2111" spans="9:9" x14ac:dyDescent="0.25">
      <c r="I2111">
        <v>1940823</v>
      </c>
    </row>
    <row r="2112" spans="9:9" x14ac:dyDescent="0.25">
      <c r="I2112">
        <v>1940363</v>
      </c>
    </row>
    <row r="2113" spans="9:9" x14ac:dyDescent="0.25">
      <c r="I2113">
        <v>1940626</v>
      </c>
    </row>
    <row r="2114" spans="9:9" x14ac:dyDescent="0.25">
      <c r="I2114">
        <v>1940626</v>
      </c>
    </row>
    <row r="2115" spans="9:9" x14ac:dyDescent="0.25">
      <c r="I2115">
        <v>1940626</v>
      </c>
    </row>
    <row r="2116" spans="9:9" x14ac:dyDescent="0.25">
      <c r="I2116">
        <v>3676337</v>
      </c>
    </row>
    <row r="2117" spans="9:9" x14ac:dyDescent="0.25">
      <c r="I2117">
        <v>3676337</v>
      </c>
    </row>
    <row r="2118" spans="9:9" x14ac:dyDescent="0.25">
      <c r="I2118">
        <v>4096695</v>
      </c>
    </row>
    <row r="2119" spans="9:9" x14ac:dyDescent="0.25">
      <c r="I2119">
        <v>4096695</v>
      </c>
    </row>
    <row r="2120" spans="9:9" x14ac:dyDescent="0.25">
      <c r="I2120">
        <v>4096695</v>
      </c>
    </row>
    <row r="2121" spans="9:9" x14ac:dyDescent="0.25">
      <c r="I2121">
        <v>4096696</v>
      </c>
    </row>
    <row r="2122" spans="9:9" x14ac:dyDescent="0.25">
      <c r="I2122">
        <v>4096696</v>
      </c>
    </row>
    <row r="2123" spans="9:9" x14ac:dyDescent="0.25">
      <c r="I2123">
        <v>3122347</v>
      </c>
    </row>
    <row r="2124" spans="9:9" x14ac:dyDescent="0.25">
      <c r="I2124">
        <v>3122347</v>
      </c>
    </row>
    <row r="2125" spans="9:9" x14ac:dyDescent="0.25">
      <c r="I2125">
        <v>2403383</v>
      </c>
    </row>
    <row r="2126" spans="9:9" x14ac:dyDescent="0.25">
      <c r="I2126">
        <v>2403383</v>
      </c>
    </row>
    <row r="2127" spans="9:9" x14ac:dyDescent="0.25">
      <c r="I2127">
        <v>2403383</v>
      </c>
    </row>
    <row r="2128" spans="9:9" x14ac:dyDescent="0.25">
      <c r="I2128">
        <v>2403383</v>
      </c>
    </row>
    <row r="2129" spans="9:9" x14ac:dyDescent="0.25">
      <c r="I2129">
        <v>1939993</v>
      </c>
    </row>
    <row r="2130" spans="9:9" x14ac:dyDescent="0.25">
      <c r="I2130">
        <v>1939993</v>
      </c>
    </row>
    <row r="2131" spans="9:9" x14ac:dyDescent="0.25">
      <c r="I2131">
        <v>1939996</v>
      </c>
    </row>
    <row r="2132" spans="9:9" x14ac:dyDescent="0.25">
      <c r="I2132">
        <v>1939996</v>
      </c>
    </row>
    <row r="2133" spans="9:9" x14ac:dyDescent="0.25">
      <c r="I2133">
        <v>3230495</v>
      </c>
    </row>
    <row r="2134" spans="9:9" x14ac:dyDescent="0.25">
      <c r="I2134">
        <v>3230490</v>
      </c>
    </row>
    <row r="2135" spans="9:9" x14ac:dyDescent="0.25">
      <c r="I2135">
        <v>3230487</v>
      </c>
    </row>
    <row r="2136" spans="9:9" x14ac:dyDescent="0.25">
      <c r="I2136">
        <v>3230487</v>
      </c>
    </row>
    <row r="2137" spans="9:9" x14ac:dyDescent="0.25">
      <c r="I2137">
        <v>3230488</v>
      </c>
    </row>
    <row r="2138" spans="9:9" x14ac:dyDescent="0.25">
      <c r="I2138">
        <v>3571870</v>
      </c>
    </row>
    <row r="2139" spans="9:9" x14ac:dyDescent="0.25">
      <c r="I2139">
        <v>3230482</v>
      </c>
    </row>
    <row r="2140" spans="9:9" x14ac:dyDescent="0.25">
      <c r="I2140">
        <v>3233557</v>
      </c>
    </row>
    <row r="2141" spans="9:9" x14ac:dyDescent="0.25">
      <c r="I2141">
        <v>3931836</v>
      </c>
    </row>
    <row r="2142" spans="9:9" x14ac:dyDescent="0.25">
      <c r="I2142">
        <v>3230485</v>
      </c>
    </row>
    <row r="2143" spans="9:9" x14ac:dyDescent="0.25">
      <c r="I2143">
        <v>3572051</v>
      </c>
    </row>
    <row r="2144" spans="9:9" x14ac:dyDescent="0.25">
      <c r="I2144">
        <v>3233560</v>
      </c>
    </row>
    <row r="2145" spans="9:9" x14ac:dyDescent="0.25">
      <c r="I2145">
        <v>3230492</v>
      </c>
    </row>
    <row r="2146" spans="9:9" x14ac:dyDescent="0.25">
      <c r="I2146">
        <v>3230492</v>
      </c>
    </row>
    <row r="2147" spans="9:9" x14ac:dyDescent="0.25">
      <c r="I2147">
        <v>3233555</v>
      </c>
    </row>
    <row r="2148" spans="9:9" x14ac:dyDescent="0.25">
      <c r="I2148">
        <v>3233555</v>
      </c>
    </row>
    <row r="2149" spans="9:9" x14ac:dyDescent="0.25">
      <c r="I2149">
        <v>3931837</v>
      </c>
    </row>
    <row r="2150" spans="9:9" x14ac:dyDescent="0.25">
      <c r="I2150">
        <v>3572038</v>
      </c>
    </row>
    <row r="2151" spans="9:9" x14ac:dyDescent="0.25">
      <c r="I2151">
        <v>3233554</v>
      </c>
    </row>
    <row r="2152" spans="9:9" x14ac:dyDescent="0.25">
      <c r="I2152">
        <v>3935311</v>
      </c>
    </row>
    <row r="2153" spans="9:9" x14ac:dyDescent="0.25">
      <c r="I2153">
        <v>1940801</v>
      </c>
    </row>
    <row r="2154" spans="9:9" x14ac:dyDescent="0.25">
      <c r="I2154">
        <v>1940801</v>
      </c>
    </row>
    <row r="2155" spans="9:9" x14ac:dyDescent="0.25">
      <c r="I2155">
        <v>4075254</v>
      </c>
    </row>
    <row r="2156" spans="9:9" x14ac:dyDescent="0.25">
      <c r="I2156">
        <v>3712521</v>
      </c>
    </row>
    <row r="2157" spans="9:9" x14ac:dyDescent="0.25">
      <c r="I2157">
        <v>3712521</v>
      </c>
    </row>
    <row r="2158" spans="9:9" x14ac:dyDescent="0.25">
      <c r="I2158">
        <v>3712521</v>
      </c>
    </row>
    <row r="2159" spans="9:9" x14ac:dyDescent="0.25">
      <c r="I2159">
        <v>3712521</v>
      </c>
    </row>
    <row r="2160" spans="9:9" x14ac:dyDescent="0.25">
      <c r="I2160">
        <v>1940830</v>
      </c>
    </row>
    <row r="2161" spans="9:9" x14ac:dyDescent="0.25">
      <c r="I2161">
        <v>1940830</v>
      </c>
    </row>
    <row r="2162" spans="9:9" x14ac:dyDescent="0.25">
      <c r="I2162">
        <v>1940830</v>
      </c>
    </row>
    <row r="2163" spans="9:9" x14ac:dyDescent="0.25">
      <c r="I2163">
        <v>1940801</v>
      </c>
    </row>
    <row r="2164" spans="9:9" x14ac:dyDescent="0.25">
      <c r="I2164">
        <v>1940801</v>
      </c>
    </row>
    <row r="2165" spans="9:9" x14ac:dyDescent="0.25">
      <c r="I2165">
        <v>1940801</v>
      </c>
    </row>
    <row r="2166" spans="9:9" x14ac:dyDescent="0.25">
      <c r="I2166">
        <v>3901714</v>
      </c>
    </row>
    <row r="2167" spans="9:9" x14ac:dyDescent="0.25">
      <c r="I2167">
        <v>3901714</v>
      </c>
    </row>
    <row r="2168" spans="9:9" x14ac:dyDescent="0.25">
      <c r="I2168">
        <v>2439536</v>
      </c>
    </row>
    <row r="2169" spans="9:9" x14ac:dyDescent="0.25">
      <c r="I2169">
        <v>2439536</v>
      </c>
    </row>
    <row r="2170" spans="9:9" x14ac:dyDescent="0.25">
      <c r="I2170">
        <v>2439536</v>
      </c>
    </row>
    <row r="2171" spans="9:9" x14ac:dyDescent="0.25">
      <c r="I2171">
        <v>2439536</v>
      </c>
    </row>
    <row r="2172" spans="9:9" x14ac:dyDescent="0.25">
      <c r="I2172">
        <v>2439536</v>
      </c>
    </row>
    <row r="2173" spans="9:9" x14ac:dyDescent="0.25">
      <c r="I2173">
        <v>2439536</v>
      </c>
    </row>
    <row r="2174" spans="9:9" x14ac:dyDescent="0.25">
      <c r="I2174">
        <v>2439536</v>
      </c>
    </row>
    <row r="2175" spans="9:9" x14ac:dyDescent="0.25">
      <c r="I2175">
        <v>2439536</v>
      </c>
    </row>
    <row r="2176" spans="9:9" x14ac:dyDescent="0.25">
      <c r="I2176">
        <v>2439536</v>
      </c>
    </row>
    <row r="2177" spans="9:9" x14ac:dyDescent="0.25">
      <c r="I2177">
        <v>2439536</v>
      </c>
    </row>
    <row r="2178" spans="9:9" x14ac:dyDescent="0.25">
      <c r="I2178">
        <v>2439536</v>
      </c>
    </row>
    <row r="2179" spans="9:9" x14ac:dyDescent="0.25">
      <c r="I2179">
        <v>2439536</v>
      </c>
    </row>
    <row r="2180" spans="9:9" x14ac:dyDescent="0.25">
      <c r="I2180">
        <v>2439536</v>
      </c>
    </row>
    <row r="2181" spans="9:9" x14ac:dyDescent="0.25">
      <c r="I2181">
        <v>2439536</v>
      </c>
    </row>
    <row r="2182" spans="9:9" x14ac:dyDescent="0.25">
      <c r="I2182">
        <v>2439536</v>
      </c>
    </row>
    <row r="2183" spans="9:9" x14ac:dyDescent="0.25">
      <c r="I2183">
        <v>1931824</v>
      </c>
    </row>
    <row r="2184" spans="9:9" x14ac:dyDescent="0.25">
      <c r="I2184">
        <v>1940472</v>
      </c>
    </row>
    <row r="2185" spans="9:9" x14ac:dyDescent="0.25">
      <c r="I2185">
        <v>1174856</v>
      </c>
    </row>
    <row r="2186" spans="9:9" x14ac:dyDescent="0.25">
      <c r="I2186">
        <v>1940743</v>
      </c>
    </row>
    <row r="2187" spans="9:9" x14ac:dyDescent="0.25">
      <c r="I2187">
        <v>1940743</v>
      </c>
    </row>
    <row r="2188" spans="9:9" x14ac:dyDescent="0.25">
      <c r="I2188">
        <v>1940743</v>
      </c>
    </row>
    <row r="2189" spans="9:9" x14ac:dyDescent="0.25">
      <c r="I2189">
        <v>2412748</v>
      </c>
    </row>
    <row r="2190" spans="9:9" x14ac:dyDescent="0.25">
      <c r="I2190">
        <v>2412748</v>
      </c>
    </row>
    <row r="2191" spans="9:9" x14ac:dyDescent="0.25">
      <c r="I2191">
        <v>1448371</v>
      </c>
    </row>
    <row r="2192" spans="9:9" x14ac:dyDescent="0.25">
      <c r="I2192">
        <v>2426240</v>
      </c>
    </row>
    <row r="2193" spans="9:9" x14ac:dyDescent="0.25">
      <c r="I2193">
        <v>2426240</v>
      </c>
    </row>
    <row r="2194" spans="9:9" x14ac:dyDescent="0.25">
      <c r="I2194">
        <v>2426240</v>
      </c>
    </row>
    <row r="2195" spans="9:9" x14ac:dyDescent="0.25">
      <c r="I2195">
        <v>2410388</v>
      </c>
    </row>
    <row r="2196" spans="9:9" x14ac:dyDescent="0.25">
      <c r="I2196">
        <v>2410388</v>
      </c>
    </row>
    <row r="2197" spans="9:9" x14ac:dyDescent="0.25">
      <c r="I2197">
        <v>2410388</v>
      </c>
    </row>
    <row r="2198" spans="9:9" x14ac:dyDescent="0.25">
      <c r="I2198">
        <v>2410388</v>
      </c>
    </row>
    <row r="2199" spans="9:9" x14ac:dyDescent="0.25">
      <c r="I2199">
        <v>2410388</v>
      </c>
    </row>
    <row r="2200" spans="9:9" x14ac:dyDescent="0.25">
      <c r="I2200">
        <v>1940420</v>
      </c>
    </row>
    <row r="2201" spans="9:9" x14ac:dyDescent="0.25">
      <c r="I2201">
        <v>1938127</v>
      </c>
    </row>
    <row r="2202" spans="9:9" x14ac:dyDescent="0.25">
      <c r="I2202">
        <v>1938127</v>
      </c>
    </row>
    <row r="2203" spans="9:9" x14ac:dyDescent="0.25">
      <c r="I2203">
        <v>1938127</v>
      </c>
    </row>
    <row r="2204" spans="9:9" x14ac:dyDescent="0.25">
      <c r="I2204">
        <v>1938127</v>
      </c>
    </row>
    <row r="2205" spans="9:9" x14ac:dyDescent="0.25">
      <c r="I2205">
        <v>1938358</v>
      </c>
    </row>
    <row r="2206" spans="9:9" x14ac:dyDescent="0.25">
      <c r="I2206">
        <v>1938358</v>
      </c>
    </row>
    <row r="2207" spans="9:9" x14ac:dyDescent="0.25">
      <c r="I2207">
        <v>2410994</v>
      </c>
    </row>
    <row r="2208" spans="9:9" x14ac:dyDescent="0.25">
      <c r="I2208">
        <v>2410994</v>
      </c>
    </row>
    <row r="2209" spans="9:9" x14ac:dyDescent="0.25">
      <c r="I2209">
        <v>1940743</v>
      </c>
    </row>
    <row r="2210" spans="9:9" x14ac:dyDescent="0.25">
      <c r="I2210">
        <v>1940743</v>
      </c>
    </row>
    <row r="2211" spans="9:9" x14ac:dyDescent="0.25">
      <c r="I2211">
        <v>1940743</v>
      </c>
    </row>
    <row r="2212" spans="9:9" x14ac:dyDescent="0.25">
      <c r="I2212">
        <v>1940743</v>
      </c>
    </row>
    <row r="2213" spans="9:9" x14ac:dyDescent="0.25">
      <c r="I2213">
        <v>1940743</v>
      </c>
    </row>
    <row r="2214" spans="9:9" x14ac:dyDescent="0.25">
      <c r="I2214">
        <v>2359912</v>
      </c>
    </row>
    <row r="2215" spans="9:9" x14ac:dyDescent="0.25">
      <c r="I2215">
        <v>2359912</v>
      </c>
    </row>
    <row r="2216" spans="9:9" x14ac:dyDescent="0.25">
      <c r="I2216">
        <v>2359912</v>
      </c>
    </row>
    <row r="2217" spans="9:9" x14ac:dyDescent="0.25">
      <c r="I2217">
        <v>3784469</v>
      </c>
    </row>
    <row r="2218" spans="9:9" x14ac:dyDescent="0.25">
      <c r="I2218">
        <v>3506193</v>
      </c>
    </row>
    <row r="2219" spans="9:9" x14ac:dyDescent="0.25">
      <c r="I2219">
        <v>3507077</v>
      </c>
    </row>
    <row r="2220" spans="9:9" x14ac:dyDescent="0.25">
      <c r="I2220">
        <v>3507077</v>
      </c>
    </row>
    <row r="2221" spans="9:9" x14ac:dyDescent="0.25">
      <c r="I2221">
        <v>3508521</v>
      </c>
    </row>
    <row r="2222" spans="9:9" x14ac:dyDescent="0.25">
      <c r="I2222">
        <v>3508521</v>
      </c>
    </row>
    <row r="2223" spans="9:9" x14ac:dyDescent="0.25">
      <c r="I2223">
        <v>3781673</v>
      </c>
    </row>
    <row r="2224" spans="9:9" x14ac:dyDescent="0.25">
      <c r="I2224">
        <v>437147</v>
      </c>
    </row>
    <row r="2225" spans="9:9" x14ac:dyDescent="0.25">
      <c r="I2225">
        <v>437147</v>
      </c>
    </row>
    <row r="2226" spans="9:9" x14ac:dyDescent="0.25">
      <c r="I2226">
        <v>1938163</v>
      </c>
    </row>
    <row r="2227" spans="9:9" x14ac:dyDescent="0.25">
      <c r="I2227">
        <v>1938163</v>
      </c>
    </row>
    <row r="2228" spans="9:9" x14ac:dyDescent="0.25">
      <c r="I2228">
        <v>1938163</v>
      </c>
    </row>
    <row r="2229" spans="9:9" x14ac:dyDescent="0.25">
      <c r="I2229">
        <v>2417648</v>
      </c>
    </row>
    <row r="2230" spans="9:9" x14ac:dyDescent="0.25">
      <c r="I2230">
        <v>2417648</v>
      </c>
    </row>
    <row r="2231" spans="9:9" x14ac:dyDescent="0.25">
      <c r="I2231">
        <v>2417648</v>
      </c>
    </row>
    <row r="2232" spans="9:9" x14ac:dyDescent="0.25">
      <c r="I2232">
        <v>2417648</v>
      </c>
    </row>
    <row r="2233" spans="9:9" x14ac:dyDescent="0.25">
      <c r="I2233">
        <v>3228788</v>
      </c>
    </row>
    <row r="2234" spans="9:9" x14ac:dyDescent="0.25">
      <c r="I2234">
        <v>3228788</v>
      </c>
    </row>
    <row r="2235" spans="9:9" x14ac:dyDescent="0.25">
      <c r="I2235">
        <v>3228788</v>
      </c>
    </row>
    <row r="2236" spans="9:9" x14ac:dyDescent="0.25">
      <c r="I2236">
        <v>1938127</v>
      </c>
    </row>
    <row r="2237" spans="9:9" x14ac:dyDescent="0.25">
      <c r="I2237">
        <v>1938127</v>
      </c>
    </row>
    <row r="2238" spans="9:9" x14ac:dyDescent="0.25">
      <c r="I2238">
        <v>1938127</v>
      </c>
    </row>
    <row r="2239" spans="9:9" x14ac:dyDescent="0.25">
      <c r="I2239">
        <v>2396464</v>
      </c>
    </row>
    <row r="2240" spans="9:9" x14ac:dyDescent="0.25">
      <c r="I2240">
        <v>2396464</v>
      </c>
    </row>
    <row r="2241" spans="9:9" x14ac:dyDescent="0.25">
      <c r="I2241">
        <v>3781637</v>
      </c>
    </row>
    <row r="2242" spans="9:9" x14ac:dyDescent="0.25">
      <c r="I2242">
        <v>3781637</v>
      </c>
    </row>
    <row r="2243" spans="9:9" x14ac:dyDescent="0.25">
      <c r="I2243">
        <v>3781637</v>
      </c>
    </row>
    <row r="2244" spans="9:9" x14ac:dyDescent="0.25">
      <c r="I2244">
        <v>3506193</v>
      </c>
    </row>
    <row r="2245" spans="9:9" x14ac:dyDescent="0.25">
      <c r="I2245">
        <v>3508521</v>
      </c>
    </row>
    <row r="2246" spans="9:9" x14ac:dyDescent="0.25">
      <c r="I2246">
        <v>3781673</v>
      </c>
    </row>
    <row r="2247" spans="9:9" x14ac:dyDescent="0.25">
      <c r="I2247">
        <v>1300148</v>
      </c>
    </row>
    <row r="2248" spans="9:9" x14ac:dyDescent="0.25">
      <c r="I2248">
        <v>1300148</v>
      </c>
    </row>
    <row r="2249" spans="9:9" x14ac:dyDescent="0.25">
      <c r="I2249">
        <v>437147</v>
      </c>
    </row>
    <row r="2250" spans="9:9" x14ac:dyDescent="0.25">
      <c r="I2250">
        <v>437147</v>
      </c>
    </row>
    <row r="2251" spans="9:9" x14ac:dyDescent="0.25">
      <c r="I2251">
        <v>3901714</v>
      </c>
    </row>
    <row r="2252" spans="9:9" x14ac:dyDescent="0.25">
      <c r="I2252">
        <v>3901714</v>
      </c>
    </row>
    <row r="2253" spans="9:9" x14ac:dyDescent="0.25">
      <c r="I2253">
        <v>1448371</v>
      </c>
    </row>
    <row r="2254" spans="9:9" x14ac:dyDescent="0.25">
      <c r="I2254">
        <v>1448371</v>
      </c>
    </row>
    <row r="2255" spans="9:9" x14ac:dyDescent="0.25">
      <c r="I2255">
        <v>1568170</v>
      </c>
    </row>
    <row r="2256" spans="9:9" x14ac:dyDescent="0.25">
      <c r="I2256">
        <v>3863819</v>
      </c>
    </row>
    <row r="2257" spans="9:9" x14ac:dyDescent="0.25">
      <c r="I2257">
        <v>2359912</v>
      </c>
    </row>
    <row r="2258" spans="9:9" x14ac:dyDescent="0.25">
      <c r="I2258">
        <v>2359912</v>
      </c>
    </row>
    <row r="2259" spans="9:9" x14ac:dyDescent="0.25">
      <c r="I2259">
        <v>2359912</v>
      </c>
    </row>
    <row r="2260" spans="9:9" x14ac:dyDescent="0.25">
      <c r="I2260">
        <v>1941303</v>
      </c>
    </row>
    <row r="2261" spans="9:9" x14ac:dyDescent="0.25">
      <c r="I2261">
        <v>1941303</v>
      </c>
    </row>
    <row r="2262" spans="9:9" x14ac:dyDescent="0.25">
      <c r="I2262">
        <v>1941303</v>
      </c>
    </row>
    <row r="2263" spans="9:9" x14ac:dyDescent="0.25">
      <c r="I2263">
        <v>3746291</v>
      </c>
    </row>
    <row r="2264" spans="9:9" x14ac:dyDescent="0.25">
      <c r="I2264">
        <v>3746291</v>
      </c>
    </row>
    <row r="2265" spans="9:9" x14ac:dyDescent="0.25">
      <c r="I2265">
        <v>3722021</v>
      </c>
    </row>
    <row r="2266" spans="9:9" x14ac:dyDescent="0.25">
      <c r="I2266">
        <v>3722021</v>
      </c>
    </row>
    <row r="2267" spans="9:9" x14ac:dyDescent="0.25">
      <c r="I2267">
        <v>2410999</v>
      </c>
    </row>
    <row r="2268" spans="9:9" x14ac:dyDescent="0.25">
      <c r="I2268">
        <v>2410999</v>
      </c>
    </row>
    <row r="2269" spans="9:9" x14ac:dyDescent="0.25">
      <c r="I2269">
        <v>2410999</v>
      </c>
    </row>
    <row r="2270" spans="9:9" x14ac:dyDescent="0.25">
      <c r="I2270">
        <v>2410999</v>
      </c>
    </row>
    <row r="2271" spans="9:9" x14ac:dyDescent="0.25">
      <c r="I2271">
        <v>2410999</v>
      </c>
    </row>
    <row r="2272" spans="9:9" x14ac:dyDescent="0.25">
      <c r="I2272">
        <v>2410999</v>
      </c>
    </row>
    <row r="2273" spans="9:9" x14ac:dyDescent="0.25">
      <c r="I2273">
        <v>2410999</v>
      </c>
    </row>
    <row r="2274" spans="9:9" x14ac:dyDescent="0.25">
      <c r="I2274">
        <v>2410999</v>
      </c>
    </row>
    <row r="2275" spans="9:9" x14ac:dyDescent="0.25">
      <c r="I2275">
        <v>2410999</v>
      </c>
    </row>
    <row r="2276" spans="9:9" x14ac:dyDescent="0.25">
      <c r="I2276">
        <v>2410999</v>
      </c>
    </row>
    <row r="2277" spans="9:9" x14ac:dyDescent="0.25">
      <c r="I2277">
        <v>1939544</v>
      </c>
    </row>
    <row r="2278" spans="9:9" x14ac:dyDescent="0.25">
      <c r="I2278">
        <v>1939544</v>
      </c>
    </row>
    <row r="2279" spans="9:9" x14ac:dyDescent="0.25">
      <c r="I2279">
        <v>2359755</v>
      </c>
    </row>
    <row r="2280" spans="9:9" x14ac:dyDescent="0.25">
      <c r="I2280">
        <v>2359755</v>
      </c>
    </row>
    <row r="2281" spans="9:9" x14ac:dyDescent="0.25">
      <c r="I2281">
        <v>2359755</v>
      </c>
    </row>
    <row r="2282" spans="9:9" x14ac:dyDescent="0.25">
      <c r="I2282">
        <v>2359755</v>
      </c>
    </row>
    <row r="2283" spans="9:9" x14ac:dyDescent="0.25">
      <c r="I2283">
        <v>2359755</v>
      </c>
    </row>
    <row r="2284" spans="9:9" x14ac:dyDescent="0.25">
      <c r="I2284">
        <v>2359755</v>
      </c>
    </row>
    <row r="2285" spans="9:9" x14ac:dyDescent="0.25">
      <c r="I2285">
        <v>2359755</v>
      </c>
    </row>
    <row r="2286" spans="9:9" x14ac:dyDescent="0.25">
      <c r="I2286">
        <v>1938125</v>
      </c>
    </row>
    <row r="2287" spans="9:9" x14ac:dyDescent="0.25">
      <c r="I2287">
        <v>3781637</v>
      </c>
    </row>
    <row r="2288" spans="9:9" x14ac:dyDescent="0.25">
      <c r="I2288">
        <v>3781673</v>
      </c>
    </row>
    <row r="2289" spans="9:9" x14ac:dyDescent="0.25">
      <c r="I2289">
        <v>3781673</v>
      </c>
    </row>
    <row r="2290" spans="9:9" x14ac:dyDescent="0.25">
      <c r="I2290">
        <v>3781673</v>
      </c>
    </row>
    <row r="2291" spans="9:9" x14ac:dyDescent="0.25">
      <c r="I2291">
        <v>3781673</v>
      </c>
    </row>
    <row r="2292" spans="9:9" x14ac:dyDescent="0.25">
      <c r="I2292">
        <v>3781673</v>
      </c>
    </row>
    <row r="2293" spans="9:9" x14ac:dyDescent="0.25">
      <c r="I2293">
        <v>1300148</v>
      </c>
    </row>
    <row r="2294" spans="9:9" x14ac:dyDescent="0.25">
      <c r="I2294">
        <v>1300148</v>
      </c>
    </row>
    <row r="2295" spans="9:9" x14ac:dyDescent="0.25">
      <c r="I2295">
        <v>3507486</v>
      </c>
    </row>
    <row r="2296" spans="9:9" x14ac:dyDescent="0.25">
      <c r="I2296">
        <v>1939284</v>
      </c>
    </row>
    <row r="2297" spans="9:9" x14ac:dyDescent="0.25">
      <c r="I2297">
        <v>1939284</v>
      </c>
    </row>
    <row r="2298" spans="9:9" x14ac:dyDescent="0.25">
      <c r="I2298">
        <v>1939284</v>
      </c>
    </row>
    <row r="2299" spans="9:9" x14ac:dyDescent="0.25">
      <c r="I2299">
        <v>1939284</v>
      </c>
    </row>
    <row r="2300" spans="9:9" x14ac:dyDescent="0.25">
      <c r="I2300">
        <v>1939284</v>
      </c>
    </row>
    <row r="2301" spans="9:9" x14ac:dyDescent="0.25">
      <c r="I2301">
        <v>1939284</v>
      </c>
    </row>
    <row r="2302" spans="9:9" x14ac:dyDescent="0.25">
      <c r="I2302">
        <v>1939284</v>
      </c>
    </row>
    <row r="2303" spans="9:9" x14ac:dyDescent="0.25">
      <c r="I2303">
        <v>1939284</v>
      </c>
    </row>
    <row r="2304" spans="9:9" x14ac:dyDescent="0.25">
      <c r="I2304">
        <v>1939284</v>
      </c>
    </row>
    <row r="2305" spans="9:9" x14ac:dyDescent="0.25">
      <c r="I2305">
        <v>1938125</v>
      </c>
    </row>
    <row r="2306" spans="9:9" x14ac:dyDescent="0.25">
      <c r="I2306">
        <v>1938125</v>
      </c>
    </row>
    <row r="2307" spans="9:9" x14ac:dyDescent="0.25">
      <c r="I2307">
        <v>1938125</v>
      </c>
    </row>
    <row r="2308" spans="9:9" x14ac:dyDescent="0.25">
      <c r="I2308">
        <v>1938125</v>
      </c>
    </row>
    <row r="2309" spans="9:9" x14ac:dyDescent="0.25">
      <c r="I2309">
        <v>1938125</v>
      </c>
    </row>
    <row r="2310" spans="9:9" x14ac:dyDescent="0.25">
      <c r="I2310">
        <v>1938125</v>
      </c>
    </row>
    <row r="2311" spans="9:9" x14ac:dyDescent="0.25">
      <c r="I2311">
        <v>1938125</v>
      </c>
    </row>
    <row r="2312" spans="9:9" x14ac:dyDescent="0.25">
      <c r="I2312">
        <v>1938125</v>
      </c>
    </row>
    <row r="2313" spans="9:9" x14ac:dyDescent="0.25">
      <c r="I2313">
        <v>1938125</v>
      </c>
    </row>
    <row r="2314" spans="9:9" x14ac:dyDescent="0.25">
      <c r="I2314">
        <v>3722021</v>
      </c>
    </row>
    <row r="2315" spans="9:9" x14ac:dyDescent="0.25">
      <c r="I2315">
        <v>3722021</v>
      </c>
    </row>
    <row r="2316" spans="9:9" x14ac:dyDescent="0.25">
      <c r="I2316">
        <v>3722021</v>
      </c>
    </row>
    <row r="2317" spans="9:9" x14ac:dyDescent="0.25">
      <c r="I2317">
        <v>3722021</v>
      </c>
    </row>
    <row r="2318" spans="9:9" x14ac:dyDescent="0.25">
      <c r="I2318">
        <v>3722021</v>
      </c>
    </row>
    <row r="2319" spans="9:9" x14ac:dyDescent="0.25">
      <c r="I2319">
        <v>3722021</v>
      </c>
    </row>
    <row r="2320" spans="9:9" x14ac:dyDescent="0.25">
      <c r="I2320">
        <v>3722021</v>
      </c>
    </row>
    <row r="2321" spans="9:9" x14ac:dyDescent="0.25">
      <c r="I2321">
        <v>3722021</v>
      </c>
    </row>
    <row r="2322" spans="9:9" x14ac:dyDescent="0.25">
      <c r="I2322">
        <v>1284065</v>
      </c>
    </row>
    <row r="2323" spans="9:9" x14ac:dyDescent="0.25">
      <c r="I2323">
        <v>1284065</v>
      </c>
    </row>
    <row r="2324" spans="9:9" x14ac:dyDescent="0.25">
      <c r="I2324">
        <v>1284065</v>
      </c>
    </row>
    <row r="2325" spans="9:9" x14ac:dyDescent="0.25">
      <c r="I2325">
        <v>1938125</v>
      </c>
    </row>
    <row r="2326" spans="9:9" x14ac:dyDescent="0.25">
      <c r="I2326">
        <v>1938125</v>
      </c>
    </row>
    <row r="2327" spans="9:9" x14ac:dyDescent="0.25">
      <c r="I2327">
        <v>1938125</v>
      </c>
    </row>
    <row r="2328" spans="9:9" x14ac:dyDescent="0.25">
      <c r="I2328">
        <v>1938125</v>
      </c>
    </row>
    <row r="2329" spans="9:9" x14ac:dyDescent="0.25">
      <c r="I2329">
        <v>1938125</v>
      </c>
    </row>
    <row r="2330" spans="9:9" x14ac:dyDescent="0.25">
      <c r="I2330">
        <v>1938125</v>
      </c>
    </row>
    <row r="2331" spans="9:9" x14ac:dyDescent="0.25">
      <c r="I2331">
        <v>3901714</v>
      </c>
    </row>
    <row r="2332" spans="9:9" x14ac:dyDescent="0.25">
      <c r="I2332">
        <v>3901714</v>
      </c>
    </row>
    <row r="2333" spans="9:9" x14ac:dyDescent="0.25">
      <c r="I2333">
        <v>3901714</v>
      </c>
    </row>
    <row r="2334" spans="9:9" x14ac:dyDescent="0.25">
      <c r="I2334">
        <v>3901714</v>
      </c>
    </row>
    <row r="2335" spans="9:9" x14ac:dyDescent="0.25">
      <c r="I2335">
        <v>3926270</v>
      </c>
    </row>
    <row r="2336" spans="9:9" x14ac:dyDescent="0.25">
      <c r="I2336">
        <v>2429059</v>
      </c>
    </row>
    <row r="2337" spans="9:9" x14ac:dyDescent="0.25">
      <c r="I2337">
        <v>2429059</v>
      </c>
    </row>
    <row r="2338" spans="9:9" x14ac:dyDescent="0.25">
      <c r="I2338">
        <v>2429059</v>
      </c>
    </row>
    <row r="2339" spans="9:9" x14ac:dyDescent="0.25">
      <c r="I2339">
        <v>1568170</v>
      </c>
    </row>
    <row r="2340" spans="9:9" x14ac:dyDescent="0.25">
      <c r="I2340">
        <v>2359755</v>
      </c>
    </row>
    <row r="2341" spans="9:9" x14ac:dyDescent="0.25">
      <c r="I2341">
        <v>2359755</v>
      </c>
    </row>
    <row r="2342" spans="9:9" x14ac:dyDescent="0.25">
      <c r="I2342">
        <v>2359755</v>
      </c>
    </row>
    <row r="2343" spans="9:9" x14ac:dyDescent="0.25">
      <c r="I2343">
        <v>2359755</v>
      </c>
    </row>
    <row r="2344" spans="9:9" x14ac:dyDescent="0.25">
      <c r="I2344">
        <v>2359755</v>
      </c>
    </row>
    <row r="2345" spans="9:9" x14ac:dyDescent="0.25">
      <c r="I2345">
        <v>1938118</v>
      </c>
    </row>
    <row r="2346" spans="9:9" x14ac:dyDescent="0.25">
      <c r="I2346">
        <v>1938118</v>
      </c>
    </row>
    <row r="2347" spans="9:9" x14ac:dyDescent="0.25">
      <c r="I2347">
        <v>1938119</v>
      </c>
    </row>
    <row r="2348" spans="9:9" x14ac:dyDescent="0.25">
      <c r="I2348">
        <v>1938119</v>
      </c>
    </row>
    <row r="2349" spans="9:9" x14ac:dyDescent="0.25">
      <c r="I2349">
        <v>1938119</v>
      </c>
    </row>
    <row r="2350" spans="9:9" x14ac:dyDescent="0.25">
      <c r="I2350">
        <v>1938119</v>
      </c>
    </row>
    <row r="2351" spans="9:9" x14ac:dyDescent="0.25">
      <c r="I2351">
        <v>1938382</v>
      </c>
    </row>
    <row r="2352" spans="9:9" x14ac:dyDescent="0.25">
      <c r="I2352">
        <v>3599863</v>
      </c>
    </row>
    <row r="2353" spans="9:9" x14ac:dyDescent="0.25">
      <c r="I2353">
        <v>3599863</v>
      </c>
    </row>
    <row r="2354" spans="9:9" x14ac:dyDescent="0.25">
      <c r="I2354">
        <v>2410996</v>
      </c>
    </row>
    <row r="2355" spans="9:9" x14ac:dyDescent="0.25">
      <c r="I2355">
        <v>2410996</v>
      </c>
    </row>
    <row r="2356" spans="9:9" x14ac:dyDescent="0.25">
      <c r="I2356">
        <v>2410996</v>
      </c>
    </row>
    <row r="2357" spans="9:9" x14ac:dyDescent="0.25">
      <c r="I2357">
        <v>1940420</v>
      </c>
    </row>
    <row r="2358" spans="9:9" x14ac:dyDescent="0.25">
      <c r="I2358">
        <v>3901714</v>
      </c>
    </row>
    <row r="2359" spans="9:9" x14ac:dyDescent="0.25">
      <c r="I2359">
        <v>3746291</v>
      </c>
    </row>
    <row r="2360" spans="9:9" x14ac:dyDescent="0.25">
      <c r="I2360">
        <v>3746291</v>
      </c>
    </row>
    <row r="2361" spans="9:9" x14ac:dyDescent="0.25">
      <c r="I2361">
        <v>2396464</v>
      </c>
    </row>
    <row r="2362" spans="9:9" x14ac:dyDescent="0.25">
      <c r="I2362">
        <v>2396464</v>
      </c>
    </row>
    <row r="2363" spans="9:9" x14ac:dyDescent="0.25">
      <c r="I2363">
        <v>2396464</v>
      </c>
    </row>
    <row r="2364" spans="9:9" x14ac:dyDescent="0.25">
      <c r="I2364">
        <v>1940743</v>
      </c>
    </row>
    <row r="2365" spans="9:9" x14ac:dyDescent="0.25">
      <c r="I2365">
        <v>1940743</v>
      </c>
    </row>
    <row r="2366" spans="9:9" x14ac:dyDescent="0.25">
      <c r="I2366">
        <v>1940743</v>
      </c>
    </row>
    <row r="2367" spans="9:9" x14ac:dyDescent="0.25">
      <c r="I2367">
        <v>1940743</v>
      </c>
    </row>
    <row r="2368" spans="9:9" x14ac:dyDescent="0.25">
      <c r="I2368">
        <v>1940743</v>
      </c>
    </row>
    <row r="2369" spans="9:9" x14ac:dyDescent="0.25">
      <c r="I2369">
        <v>1568170</v>
      </c>
    </row>
    <row r="2370" spans="9:9" x14ac:dyDescent="0.25">
      <c r="I2370">
        <v>2359912</v>
      </c>
    </row>
    <row r="2371" spans="9:9" x14ac:dyDescent="0.25">
      <c r="I2371">
        <v>2359912</v>
      </c>
    </row>
    <row r="2372" spans="9:9" x14ac:dyDescent="0.25">
      <c r="I2372">
        <v>2359912</v>
      </c>
    </row>
    <row r="2373" spans="9:9" x14ac:dyDescent="0.25">
      <c r="I2373">
        <v>2359912</v>
      </c>
    </row>
    <row r="2374" spans="9:9" x14ac:dyDescent="0.25">
      <c r="I2374">
        <v>2359912</v>
      </c>
    </row>
    <row r="2375" spans="9:9" x14ac:dyDescent="0.25">
      <c r="I2375">
        <v>1941303</v>
      </c>
    </row>
    <row r="2376" spans="9:9" x14ac:dyDescent="0.25">
      <c r="I2376">
        <v>1941303</v>
      </c>
    </row>
    <row r="2377" spans="9:9" x14ac:dyDescent="0.25">
      <c r="I2377">
        <v>1941303</v>
      </c>
    </row>
    <row r="2378" spans="9:9" x14ac:dyDescent="0.25">
      <c r="I2378">
        <v>3940551</v>
      </c>
    </row>
    <row r="2379" spans="9:9" x14ac:dyDescent="0.25">
      <c r="I2379">
        <v>3940551</v>
      </c>
    </row>
    <row r="2380" spans="9:9" x14ac:dyDescent="0.25">
      <c r="I2380">
        <v>3940551</v>
      </c>
    </row>
    <row r="2381" spans="9:9" x14ac:dyDescent="0.25">
      <c r="I2381">
        <v>3940551</v>
      </c>
    </row>
    <row r="2382" spans="9:9" x14ac:dyDescent="0.25">
      <c r="I2382">
        <v>1939283</v>
      </c>
    </row>
    <row r="2383" spans="9:9" x14ac:dyDescent="0.25">
      <c r="I2383">
        <v>1939283</v>
      </c>
    </row>
    <row r="2384" spans="9:9" x14ac:dyDescent="0.25">
      <c r="I2384">
        <v>1939283</v>
      </c>
    </row>
    <row r="2385" spans="9:9" x14ac:dyDescent="0.25">
      <c r="I2385">
        <v>1939284</v>
      </c>
    </row>
    <row r="2386" spans="9:9" x14ac:dyDescent="0.25">
      <c r="I2386">
        <v>3190072</v>
      </c>
    </row>
    <row r="2387" spans="9:9" x14ac:dyDescent="0.25">
      <c r="I2387">
        <v>3190072</v>
      </c>
    </row>
    <row r="2388" spans="9:9" x14ac:dyDescent="0.25">
      <c r="I2388">
        <v>1938358</v>
      </c>
    </row>
    <row r="2389" spans="9:9" x14ac:dyDescent="0.25">
      <c r="I2389">
        <v>1938358</v>
      </c>
    </row>
    <row r="2390" spans="9:9" x14ac:dyDescent="0.25">
      <c r="I2390">
        <v>1568170</v>
      </c>
    </row>
    <row r="2391" spans="9:9" x14ac:dyDescent="0.25">
      <c r="I2391">
        <v>1568170</v>
      </c>
    </row>
    <row r="2392" spans="9:9" x14ac:dyDescent="0.25">
      <c r="I2392">
        <v>1568170</v>
      </c>
    </row>
    <row r="2393" spans="9:9" x14ac:dyDescent="0.25">
      <c r="I2393">
        <v>2417648</v>
      </c>
    </row>
    <row r="2394" spans="9:9" x14ac:dyDescent="0.25">
      <c r="I2394">
        <v>2417648</v>
      </c>
    </row>
    <row r="2395" spans="9:9" x14ac:dyDescent="0.25">
      <c r="I2395">
        <v>2417648</v>
      </c>
    </row>
    <row r="2396" spans="9:9" x14ac:dyDescent="0.25">
      <c r="I2396">
        <v>2417648</v>
      </c>
    </row>
    <row r="2397" spans="9:9" x14ac:dyDescent="0.25">
      <c r="I2397">
        <v>2417648</v>
      </c>
    </row>
    <row r="2398" spans="9:9" x14ac:dyDescent="0.25">
      <c r="I2398">
        <v>2417648</v>
      </c>
    </row>
    <row r="2399" spans="9:9" x14ac:dyDescent="0.25">
      <c r="I2399">
        <v>2417648</v>
      </c>
    </row>
    <row r="2400" spans="9:9" x14ac:dyDescent="0.25">
      <c r="I2400">
        <v>2417648</v>
      </c>
    </row>
    <row r="2401" spans="9:9" x14ac:dyDescent="0.25">
      <c r="I2401">
        <v>2417648</v>
      </c>
    </row>
    <row r="2402" spans="9:9" x14ac:dyDescent="0.25">
      <c r="I2402">
        <v>2417648</v>
      </c>
    </row>
    <row r="2403" spans="9:9" x14ac:dyDescent="0.25">
      <c r="I2403">
        <v>2417648</v>
      </c>
    </row>
    <row r="2404" spans="9:9" x14ac:dyDescent="0.25">
      <c r="I2404">
        <v>2417648</v>
      </c>
    </row>
    <row r="2405" spans="9:9" x14ac:dyDescent="0.25">
      <c r="I2405">
        <v>2409618</v>
      </c>
    </row>
    <row r="2406" spans="9:9" x14ac:dyDescent="0.25">
      <c r="I2406">
        <v>2409618</v>
      </c>
    </row>
    <row r="2407" spans="9:9" x14ac:dyDescent="0.25">
      <c r="I2407">
        <v>2409618</v>
      </c>
    </row>
    <row r="2408" spans="9:9" x14ac:dyDescent="0.25">
      <c r="I2408">
        <v>2409618</v>
      </c>
    </row>
    <row r="2409" spans="9:9" x14ac:dyDescent="0.25">
      <c r="I2409">
        <v>3901714</v>
      </c>
    </row>
    <row r="2410" spans="9:9" x14ac:dyDescent="0.25">
      <c r="I2410">
        <v>3901714</v>
      </c>
    </row>
    <row r="2411" spans="9:9" x14ac:dyDescent="0.25">
      <c r="I2411">
        <v>3901714</v>
      </c>
    </row>
    <row r="2412" spans="9:9" x14ac:dyDescent="0.25">
      <c r="I2412">
        <v>3901714</v>
      </c>
    </row>
    <row r="2413" spans="9:9" x14ac:dyDescent="0.25">
      <c r="I2413">
        <v>3228788</v>
      </c>
    </row>
    <row r="2414" spans="9:9" x14ac:dyDescent="0.25">
      <c r="I2414">
        <v>3228788</v>
      </c>
    </row>
    <row r="2415" spans="9:9" x14ac:dyDescent="0.25">
      <c r="I2415">
        <v>3781664</v>
      </c>
    </row>
    <row r="2416" spans="9:9" x14ac:dyDescent="0.25">
      <c r="I2416">
        <v>1940743</v>
      </c>
    </row>
    <row r="2417" spans="9:9" x14ac:dyDescent="0.25">
      <c r="I2417">
        <v>1940743</v>
      </c>
    </row>
    <row r="2418" spans="9:9" x14ac:dyDescent="0.25">
      <c r="I2418">
        <v>1940743</v>
      </c>
    </row>
    <row r="2419" spans="9:9" x14ac:dyDescent="0.25">
      <c r="I2419">
        <v>1940743</v>
      </c>
    </row>
    <row r="2420" spans="9:9" x14ac:dyDescent="0.25">
      <c r="I2420">
        <v>1938358</v>
      </c>
    </row>
    <row r="2421" spans="9:9" x14ac:dyDescent="0.25">
      <c r="I2421">
        <v>1938358</v>
      </c>
    </row>
    <row r="2422" spans="9:9" x14ac:dyDescent="0.25">
      <c r="I2422">
        <v>1938358</v>
      </c>
    </row>
    <row r="2423" spans="9:9" x14ac:dyDescent="0.25">
      <c r="I2423">
        <v>1938358</v>
      </c>
    </row>
    <row r="2424" spans="9:9" x14ac:dyDescent="0.25">
      <c r="I2424">
        <v>1938358</v>
      </c>
    </row>
    <row r="2425" spans="9:9" x14ac:dyDescent="0.25">
      <c r="I2425">
        <v>1938358</v>
      </c>
    </row>
    <row r="2426" spans="9:9" x14ac:dyDescent="0.25">
      <c r="I2426">
        <v>1940302</v>
      </c>
    </row>
    <row r="2427" spans="9:9" x14ac:dyDescent="0.25">
      <c r="I2427">
        <v>1938125</v>
      </c>
    </row>
    <row r="2428" spans="9:9" x14ac:dyDescent="0.25">
      <c r="I2428">
        <v>1938125</v>
      </c>
    </row>
    <row r="2429" spans="9:9" x14ac:dyDescent="0.25">
      <c r="I2429">
        <v>3901714</v>
      </c>
    </row>
    <row r="2430" spans="9:9" x14ac:dyDescent="0.25">
      <c r="I2430">
        <v>3901714</v>
      </c>
    </row>
    <row r="2431" spans="9:9" x14ac:dyDescent="0.25">
      <c r="I2431">
        <v>1511515</v>
      </c>
    </row>
    <row r="2432" spans="9:9" x14ac:dyDescent="0.25">
      <c r="I2432">
        <v>1511515</v>
      </c>
    </row>
    <row r="2433" spans="9:9" x14ac:dyDescent="0.25">
      <c r="I2433">
        <v>1511515</v>
      </c>
    </row>
    <row r="2434" spans="9:9" x14ac:dyDescent="0.25">
      <c r="I2434">
        <v>1511515</v>
      </c>
    </row>
    <row r="2435" spans="9:9" x14ac:dyDescent="0.25">
      <c r="I2435">
        <v>1511515</v>
      </c>
    </row>
    <row r="2436" spans="9:9" x14ac:dyDescent="0.25">
      <c r="I2436">
        <v>1940472</v>
      </c>
    </row>
    <row r="2437" spans="9:9" x14ac:dyDescent="0.25">
      <c r="I2437">
        <v>1940472</v>
      </c>
    </row>
    <row r="2438" spans="9:9" x14ac:dyDescent="0.25">
      <c r="I2438">
        <v>2417648</v>
      </c>
    </row>
    <row r="2439" spans="9:9" x14ac:dyDescent="0.25">
      <c r="I2439">
        <v>2417648</v>
      </c>
    </row>
    <row r="2440" spans="9:9" x14ac:dyDescent="0.25">
      <c r="I2440">
        <v>1940743</v>
      </c>
    </row>
    <row r="2441" spans="9:9" x14ac:dyDescent="0.25">
      <c r="I2441">
        <v>1940743</v>
      </c>
    </row>
    <row r="2442" spans="9:9" x14ac:dyDescent="0.25">
      <c r="I2442">
        <v>2429059</v>
      </c>
    </row>
    <row r="2443" spans="9:9" x14ac:dyDescent="0.25">
      <c r="I2443">
        <v>2429059</v>
      </c>
    </row>
    <row r="2444" spans="9:9" x14ac:dyDescent="0.25">
      <c r="I2444">
        <v>2359912</v>
      </c>
    </row>
    <row r="2445" spans="9:9" x14ac:dyDescent="0.25">
      <c r="I2445">
        <v>2359912</v>
      </c>
    </row>
    <row r="2446" spans="9:9" x14ac:dyDescent="0.25">
      <c r="I2446">
        <v>3940551</v>
      </c>
    </row>
    <row r="2447" spans="9:9" x14ac:dyDescent="0.25">
      <c r="I2447">
        <v>3940551</v>
      </c>
    </row>
    <row r="2448" spans="9:9" x14ac:dyDescent="0.25">
      <c r="I2448">
        <v>3940551</v>
      </c>
    </row>
    <row r="2449" spans="9:9" x14ac:dyDescent="0.25">
      <c r="I2449">
        <v>3940551</v>
      </c>
    </row>
    <row r="2450" spans="9:9" x14ac:dyDescent="0.25">
      <c r="I2450">
        <v>3901714</v>
      </c>
    </row>
    <row r="2451" spans="9:9" x14ac:dyDescent="0.25">
      <c r="I2451">
        <v>3901714</v>
      </c>
    </row>
    <row r="2452" spans="9:9" x14ac:dyDescent="0.25">
      <c r="I2452">
        <v>3901714</v>
      </c>
    </row>
    <row r="2453" spans="9:9" x14ac:dyDescent="0.25">
      <c r="I2453">
        <v>1568170</v>
      </c>
    </row>
    <row r="2454" spans="9:9" x14ac:dyDescent="0.25">
      <c r="I2454">
        <v>1568170</v>
      </c>
    </row>
    <row r="2455" spans="9:9" x14ac:dyDescent="0.25">
      <c r="I2455">
        <v>1568170</v>
      </c>
    </row>
    <row r="2456" spans="9:9" x14ac:dyDescent="0.25">
      <c r="I2456">
        <v>1568170</v>
      </c>
    </row>
    <row r="2457" spans="9:9" x14ac:dyDescent="0.25">
      <c r="I2457">
        <v>1939283</v>
      </c>
    </row>
    <row r="2458" spans="9:9" x14ac:dyDescent="0.25">
      <c r="I2458">
        <v>1939283</v>
      </c>
    </row>
    <row r="2459" spans="9:9" x14ac:dyDescent="0.25">
      <c r="I2459">
        <v>1939284</v>
      </c>
    </row>
    <row r="2460" spans="9:9" x14ac:dyDescent="0.25">
      <c r="I2460">
        <v>1938125</v>
      </c>
    </row>
    <row r="2461" spans="9:9" x14ac:dyDescent="0.25">
      <c r="I2461">
        <v>1938125</v>
      </c>
    </row>
    <row r="2462" spans="9:9" x14ac:dyDescent="0.25">
      <c r="I2462">
        <v>1938163</v>
      </c>
    </row>
    <row r="2463" spans="9:9" x14ac:dyDescent="0.25">
      <c r="I2463">
        <v>1939284</v>
      </c>
    </row>
    <row r="2464" spans="9:9" x14ac:dyDescent="0.25">
      <c r="I2464">
        <v>2359912</v>
      </c>
    </row>
    <row r="2465" spans="9:9" x14ac:dyDescent="0.25">
      <c r="I2465">
        <v>2359912</v>
      </c>
    </row>
    <row r="2466" spans="9:9" x14ac:dyDescent="0.25">
      <c r="I2466">
        <v>2359912</v>
      </c>
    </row>
    <row r="2467" spans="9:9" x14ac:dyDescent="0.25">
      <c r="I2467">
        <v>1938125</v>
      </c>
    </row>
    <row r="2468" spans="9:9" x14ac:dyDescent="0.25">
      <c r="I2468">
        <v>1938125</v>
      </c>
    </row>
    <row r="2469" spans="9:9" x14ac:dyDescent="0.25">
      <c r="I2469">
        <v>1938125</v>
      </c>
    </row>
    <row r="2470" spans="9:9" x14ac:dyDescent="0.25">
      <c r="I2470">
        <v>2410996</v>
      </c>
    </row>
    <row r="2471" spans="9:9" x14ac:dyDescent="0.25">
      <c r="I2471">
        <v>2410996</v>
      </c>
    </row>
    <row r="2472" spans="9:9" x14ac:dyDescent="0.25">
      <c r="I2472">
        <v>2410996</v>
      </c>
    </row>
    <row r="2473" spans="9:9" x14ac:dyDescent="0.25">
      <c r="I2473">
        <v>1938118</v>
      </c>
    </row>
    <row r="2474" spans="9:9" x14ac:dyDescent="0.25">
      <c r="I2474">
        <v>1938119</v>
      </c>
    </row>
    <row r="2475" spans="9:9" x14ac:dyDescent="0.25">
      <c r="I2475">
        <v>1938382</v>
      </c>
    </row>
    <row r="2476" spans="9:9" x14ac:dyDescent="0.25">
      <c r="I2476">
        <v>3617058</v>
      </c>
    </row>
    <row r="2477" spans="9:9" x14ac:dyDescent="0.25">
      <c r="I2477">
        <v>2417648</v>
      </c>
    </row>
    <row r="2478" spans="9:9" x14ac:dyDescent="0.25">
      <c r="I2478">
        <v>2429059</v>
      </c>
    </row>
    <row r="2479" spans="9:9" x14ac:dyDescent="0.25">
      <c r="I2479">
        <v>2429059</v>
      </c>
    </row>
    <row r="2480" spans="9:9" x14ac:dyDescent="0.25">
      <c r="I2480">
        <v>2429059</v>
      </c>
    </row>
    <row r="2481" spans="9:9" x14ac:dyDescent="0.25">
      <c r="I2481">
        <v>1938191</v>
      </c>
    </row>
    <row r="2482" spans="9:9" x14ac:dyDescent="0.25">
      <c r="I2482">
        <v>1938191</v>
      </c>
    </row>
    <row r="2483" spans="9:9" x14ac:dyDescent="0.25">
      <c r="I2483">
        <v>1938191</v>
      </c>
    </row>
    <row r="2484" spans="9:9" x14ac:dyDescent="0.25">
      <c r="I2484">
        <v>1938191</v>
      </c>
    </row>
    <row r="2485" spans="9:9" x14ac:dyDescent="0.25">
      <c r="I2485">
        <v>1938191</v>
      </c>
    </row>
    <row r="2486" spans="9:9" x14ac:dyDescent="0.25">
      <c r="I2486">
        <v>2359912</v>
      </c>
    </row>
    <row r="2487" spans="9:9" x14ac:dyDescent="0.25">
      <c r="I2487">
        <v>2359912</v>
      </c>
    </row>
    <row r="2488" spans="9:9" x14ac:dyDescent="0.25">
      <c r="I2488">
        <v>2359912</v>
      </c>
    </row>
    <row r="2489" spans="9:9" x14ac:dyDescent="0.25">
      <c r="I2489">
        <v>3940551</v>
      </c>
    </row>
    <row r="2490" spans="9:9" x14ac:dyDescent="0.25">
      <c r="I2490">
        <v>3940551</v>
      </c>
    </row>
    <row r="2491" spans="9:9" x14ac:dyDescent="0.25">
      <c r="I2491">
        <v>3746291</v>
      </c>
    </row>
    <row r="2492" spans="9:9" x14ac:dyDescent="0.25">
      <c r="I2492">
        <v>3746291</v>
      </c>
    </row>
    <row r="2493" spans="9:9" x14ac:dyDescent="0.25">
      <c r="I2493">
        <v>3228788</v>
      </c>
    </row>
    <row r="2494" spans="9:9" x14ac:dyDescent="0.25">
      <c r="I2494">
        <v>3781664</v>
      </c>
    </row>
    <row r="2495" spans="9:9" x14ac:dyDescent="0.25">
      <c r="I2495">
        <v>2396464</v>
      </c>
    </row>
    <row r="2496" spans="9:9" x14ac:dyDescent="0.25">
      <c r="I2496">
        <v>1940302</v>
      </c>
    </row>
    <row r="2497" spans="9:9" x14ac:dyDescent="0.25">
      <c r="I2497">
        <v>3507077</v>
      </c>
    </row>
    <row r="2498" spans="9:9" x14ac:dyDescent="0.25">
      <c r="I2498">
        <v>3507077</v>
      </c>
    </row>
    <row r="2499" spans="9:9" x14ac:dyDescent="0.25">
      <c r="I2499">
        <v>1939284</v>
      </c>
    </row>
    <row r="2500" spans="9:9" x14ac:dyDescent="0.25">
      <c r="I2500">
        <v>3722021</v>
      </c>
    </row>
    <row r="2501" spans="9:9" x14ac:dyDescent="0.25">
      <c r="I2501">
        <v>3781637</v>
      </c>
    </row>
    <row r="2502" spans="9:9" x14ac:dyDescent="0.25">
      <c r="I2502">
        <v>3781637</v>
      </c>
    </row>
    <row r="2503" spans="9:9" x14ac:dyDescent="0.25">
      <c r="I2503">
        <v>3781637</v>
      </c>
    </row>
    <row r="2504" spans="9:9" x14ac:dyDescent="0.25">
      <c r="I2504">
        <v>437147</v>
      </c>
    </row>
    <row r="2505" spans="9:9" x14ac:dyDescent="0.25">
      <c r="I2505">
        <v>437147</v>
      </c>
    </row>
    <row r="2506" spans="9:9" x14ac:dyDescent="0.25">
      <c r="I2506">
        <v>437147</v>
      </c>
    </row>
    <row r="2507" spans="9:9" x14ac:dyDescent="0.25">
      <c r="I2507">
        <v>437147</v>
      </c>
    </row>
  </sheetData>
  <phoneticPr fontId="1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G2:R9"/>
  <sheetViews>
    <sheetView topLeftCell="A96" workbookViewId="0">
      <selection activeCell="H16" sqref="H16"/>
    </sheetView>
  </sheetViews>
  <sheetFormatPr defaultRowHeight="15" x14ac:dyDescent="0.25"/>
  <sheetData>
    <row r="2" spans="7:18" x14ac:dyDescent="0.25">
      <c r="G2" t="s">
        <v>268</v>
      </c>
      <c r="I2" t="s">
        <v>268</v>
      </c>
      <c r="K2" t="s">
        <v>268</v>
      </c>
      <c r="N2" t="s">
        <v>268</v>
      </c>
      <c r="P2" t="s">
        <v>268</v>
      </c>
      <c r="R2" t="s">
        <v>268</v>
      </c>
    </row>
    <row r="3" spans="7:18" x14ac:dyDescent="0.25">
      <c r="G3" t="s">
        <v>269</v>
      </c>
      <c r="I3" t="s">
        <v>270</v>
      </c>
      <c r="K3" t="s">
        <v>271</v>
      </c>
      <c r="N3" t="s">
        <v>269</v>
      </c>
      <c r="P3" t="s">
        <v>270</v>
      </c>
      <c r="R3" t="s">
        <v>271</v>
      </c>
    </row>
    <row r="5" spans="7:18" x14ac:dyDescent="0.25">
      <c r="I5" t="s">
        <v>272</v>
      </c>
      <c r="P5" t="s">
        <v>272</v>
      </c>
    </row>
    <row r="6" spans="7:18" x14ac:dyDescent="0.25">
      <c r="H6" t="s">
        <v>273</v>
      </c>
      <c r="I6" t="s">
        <v>258</v>
      </c>
      <c r="O6" t="s">
        <v>273</v>
      </c>
      <c r="P6" t="s">
        <v>274</v>
      </c>
    </row>
    <row r="9" spans="7:18" x14ac:dyDescent="0.25">
      <c r="G9" t="s">
        <v>275</v>
      </c>
      <c r="I9" t="s">
        <v>276</v>
      </c>
      <c r="N9" t="s">
        <v>275</v>
      </c>
      <c r="P9"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B1"/>
  <sheetViews>
    <sheetView workbookViewId="0">
      <selection activeCell="D6" sqref="D6"/>
    </sheetView>
  </sheetViews>
  <sheetFormatPr defaultRowHeight="15" x14ac:dyDescent="0.25"/>
  <cols>
    <col min="1" max="1" width="11.85546875" bestFit="1" customWidth="1"/>
    <col min="2" max="2" width="7.5703125" bestFit="1" customWidth="1"/>
  </cols>
  <sheetData>
    <row r="1" spans="1:2" x14ac:dyDescent="0.25">
      <c r="A1" t="s">
        <v>258</v>
      </c>
      <c r="B1" t="s">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162"/>
  <sheetViews>
    <sheetView workbookViewId="0">
      <selection activeCell="A5" sqref="A5"/>
    </sheetView>
  </sheetViews>
  <sheetFormatPr defaultRowHeight="15" x14ac:dyDescent="0.25"/>
  <cols>
    <col min="1" max="1" width="39" bestFit="1" customWidth="1"/>
  </cols>
  <sheetData>
    <row r="1" spans="1:3" x14ac:dyDescent="0.25">
      <c r="A1" s="28" t="s">
        <v>1</v>
      </c>
      <c r="B1" s="28" t="s">
        <v>2</v>
      </c>
      <c r="C1" t="s">
        <v>3</v>
      </c>
    </row>
    <row r="2" spans="1:3" x14ac:dyDescent="0.25">
      <c r="A2" s="28" t="s">
        <v>4</v>
      </c>
      <c r="B2" s="28" t="s">
        <v>5</v>
      </c>
      <c r="C2" t="s">
        <v>6</v>
      </c>
    </row>
    <row r="3" spans="1:3" x14ac:dyDescent="0.25">
      <c r="A3" s="28" t="s">
        <v>7</v>
      </c>
      <c r="B3" s="28" t="s">
        <v>8</v>
      </c>
      <c r="C3" t="s">
        <v>6</v>
      </c>
    </row>
    <row r="4" spans="1:3" x14ac:dyDescent="0.25">
      <c r="A4" s="28" t="s">
        <v>9</v>
      </c>
      <c r="B4" s="28" t="s">
        <v>10</v>
      </c>
      <c r="C4" t="s">
        <v>11</v>
      </c>
    </row>
    <row r="5" spans="1:3" x14ac:dyDescent="0.25">
      <c r="A5" s="28" t="s">
        <v>12</v>
      </c>
      <c r="B5" s="28" t="s">
        <v>13</v>
      </c>
      <c r="C5" t="s">
        <v>14</v>
      </c>
    </row>
    <row r="6" spans="1:3" x14ac:dyDescent="0.25">
      <c r="A6" s="28" t="s">
        <v>15</v>
      </c>
      <c r="B6" s="28" t="s">
        <v>16</v>
      </c>
      <c r="C6" t="s">
        <v>14</v>
      </c>
    </row>
    <row r="7" spans="1:3" x14ac:dyDescent="0.25">
      <c r="A7" s="28" t="s">
        <v>17</v>
      </c>
      <c r="B7" s="28" t="s">
        <v>10</v>
      </c>
      <c r="C7" t="s">
        <v>11</v>
      </c>
    </row>
    <row r="8" spans="1:3" x14ac:dyDescent="0.25">
      <c r="A8" s="28" t="s">
        <v>18</v>
      </c>
      <c r="B8" s="28" t="s">
        <v>10</v>
      </c>
      <c r="C8" t="s">
        <v>11</v>
      </c>
    </row>
    <row r="9" spans="1:3" x14ac:dyDescent="0.25">
      <c r="A9" s="28" t="s">
        <v>19</v>
      </c>
      <c r="B9" s="28" t="s">
        <v>10</v>
      </c>
      <c r="C9" t="s">
        <v>11</v>
      </c>
    </row>
    <row r="10" spans="1:3" x14ac:dyDescent="0.25">
      <c r="A10" s="28" t="s">
        <v>20</v>
      </c>
      <c r="B10" s="28" t="s">
        <v>16</v>
      </c>
      <c r="C10" t="s">
        <v>14</v>
      </c>
    </row>
    <row r="11" spans="1:3" x14ac:dyDescent="0.25">
      <c r="A11" s="28" t="s">
        <v>21</v>
      </c>
      <c r="B11" s="28" t="s">
        <v>8</v>
      </c>
      <c r="C11" t="s">
        <v>6</v>
      </c>
    </row>
    <row r="12" spans="1:3" x14ac:dyDescent="0.25">
      <c r="A12" s="28" t="s">
        <v>22</v>
      </c>
      <c r="B12" s="28" t="s">
        <v>5</v>
      </c>
      <c r="C12" t="s">
        <v>6</v>
      </c>
    </row>
    <row r="13" spans="1:3" x14ac:dyDescent="0.25">
      <c r="A13" s="28" t="s">
        <v>23</v>
      </c>
      <c r="B13" s="28" t="s">
        <v>5</v>
      </c>
      <c r="C13" t="s">
        <v>6</v>
      </c>
    </row>
    <row r="14" spans="1:3" x14ac:dyDescent="0.25">
      <c r="A14" s="28" t="s">
        <v>24</v>
      </c>
      <c r="B14" s="28" t="s">
        <v>10</v>
      </c>
      <c r="C14" t="s">
        <v>11</v>
      </c>
    </row>
    <row r="15" spans="1:3" x14ac:dyDescent="0.25">
      <c r="A15" s="28" t="s">
        <v>25</v>
      </c>
      <c r="B15" s="28" t="s">
        <v>10</v>
      </c>
      <c r="C15" t="s">
        <v>11</v>
      </c>
    </row>
    <row r="16" spans="1:3" x14ac:dyDescent="0.25">
      <c r="A16" s="28" t="s">
        <v>26</v>
      </c>
      <c r="B16" s="28" t="s">
        <v>10</v>
      </c>
      <c r="C16" t="s">
        <v>11</v>
      </c>
    </row>
    <row r="17" spans="1:3" x14ac:dyDescent="0.25">
      <c r="A17" s="28" t="s">
        <v>27</v>
      </c>
      <c r="B17" s="28" t="s">
        <v>10</v>
      </c>
      <c r="C17" t="s">
        <v>11</v>
      </c>
    </row>
    <row r="18" spans="1:3" x14ac:dyDescent="0.25">
      <c r="A18" s="28" t="s">
        <v>28</v>
      </c>
      <c r="B18" s="28" t="s">
        <v>29</v>
      </c>
      <c r="C18" t="s">
        <v>14</v>
      </c>
    </row>
    <row r="19" spans="1:3" x14ac:dyDescent="0.25">
      <c r="A19" s="28" t="s">
        <v>30</v>
      </c>
      <c r="B19" s="28" t="s">
        <v>10</v>
      </c>
      <c r="C19" t="s">
        <v>11</v>
      </c>
    </row>
    <row r="20" spans="1:3" x14ac:dyDescent="0.25">
      <c r="A20" s="28" t="s">
        <v>31</v>
      </c>
      <c r="B20" s="28" t="s">
        <v>8</v>
      </c>
      <c r="C20" t="s">
        <v>6</v>
      </c>
    </row>
    <row r="21" spans="1:3" x14ac:dyDescent="0.25">
      <c r="A21" s="28" t="s">
        <v>32</v>
      </c>
      <c r="B21" s="28" t="s">
        <v>33</v>
      </c>
      <c r="C21" t="s">
        <v>11</v>
      </c>
    </row>
    <row r="22" spans="1:3" x14ac:dyDescent="0.25">
      <c r="A22" s="28" t="s">
        <v>34</v>
      </c>
      <c r="B22" s="28" t="s">
        <v>35</v>
      </c>
      <c r="C22" t="s">
        <v>11</v>
      </c>
    </row>
    <row r="23" spans="1:3" x14ac:dyDescent="0.25">
      <c r="A23" s="28" t="s">
        <v>36</v>
      </c>
      <c r="B23" s="28" t="s">
        <v>33</v>
      </c>
      <c r="C23" t="s">
        <v>11</v>
      </c>
    </row>
    <row r="24" spans="1:3" x14ac:dyDescent="0.25">
      <c r="A24" s="28" t="s">
        <v>37</v>
      </c>
      <c r="B24" s="28" t="s">
        <v>33</v>
      </c>
      <c r="C24" t="s">
        <v>11</v>
      </c>
    </row>
    <row r="25" spans="1:3" x14ac:dyDescent="0.25">
      <c r="A25" s="28" t="s">
        <v>38</v>
      </c>
      <c r="B25" s="28" t="s">
        <v>16</v>
      </c>
      <c r="C25" t="s">
        <v>14</v>
      </c>
    </row>
    <row r="26" spans="1:3" x14ac:dyDescent="0.25">
      <c r="A26" s="28" t="s">
        <v>40</v>
      </c>
      <c r="B26" s="28" t="s">
        <v>8</v>
      </c>
      <c r="C26" t="s">
        <v>6</v>
      </c>
    </row>
    <row r="27" spans="1:3" x14ac:dyDescent="0.25">
      <c r="A27" s="28" t="s">
        <v>41</v>
      </c>
      <c r="B27" s="28" t="s">
        <v>5</v>
      </c>
      <c r="C27" t="s">
        <v>6</v>
      </c>
    </row>
    <row r="28" spans="1:3" x14ac:dyDescent="0.25">
      <c r="A28" s="28" t="s">
        <v>42</v>
      </c>
      <c r="B28" s="28" t="s">
        <v>10</v>
      </c>
      <c r="C28" t="s">
        <v>11</v>
      </c>
    </row>
    <row r="29" spans="1:3" x14ac:dyDescent="0.25">
      <c r="A29" s="28" t="s">
        <v>43</v>
      </c>
      <c r="B29" s="28" t="s">
        <v>8</v>
      </c>
      <c r="C29" t="s">
        <v>6</v>
      </c>
    </row>
    <row r="30" spans="1:3" x14ac:dyDescent="0.25">
      <c r="A30" s="28" t="s">
        <v>44</v>
      </c>
      <c r="B30" s="28" t="s">
        <v>10</v>
      </c>
      <c r="C30" t="s">
        <v>11</v>
      </c>
    </row>
    <row r="31" spans="1:3" x14ac:dyDescent="0.25">
      <c r="A31" s="28" t="s">
        <v>45</v>
      </c>
      <c r="B31" s="28" t="s">
        <v>10</v>
      </c>
      <c r="C31" t="s">
        <v>11</v>
      </c>
    </row>
    <row r="32" spans="1:3" x14ac:dyDescent="0.25">
      <c r="A32" s="28" t="s">
        <v>46</v>
      </c>
      <c r="B32" s="28" t="s">
        <v>10</v>
      </c>
      <c r="C32" t="s">
        <v>11</v>
      </c>
    </row>
    <row r="33" spans="1:3" x14ac:dyDescent="0.25">
      <c r="A33" s="28" t="s">
        <v>47</v>
      </c>
      <c r="B33" s="28" t="s">
        <v>10</v>
      </c>
      <c r="C33" t="s">
        <v>11</v>
      </c>
    </row>
    <row r="34" spans="1:3" x14ac:dyDescent="0.25">
      <c r="A34" s="28" t="s">
        <v>48</v>
      </c>
      <c r="B34" s="28" t="s">
        <v>10</v>
      </c>
      <c r="C34" t="s">
        <v>11</v>
      </c>
    </row>
    <row r="35" spans="1:3" x14ac:dyDescent="0.25">
      <c r="A35" s="28" t="s">
        <v>49</v>
      </c>
      <c r="B35" s="28" t="s">
        <v>10</v>
      </c>
      <c r="C35" t="s">
        <v>11</v>
      </c>
    </row>
    <row r="36" spans="1:3" x14ac:dyDescent="0.25">
      <c r="A36" s="28" t="s">
        <v>50</v>
      </c>
      <c r="B36" s="28" t="s">
        <v>5</v>
      </c>
      <c r="C36" t="s">
        <v>6</v>
      </c>
    </row>
    <row r="37" spans="1:3" x14ac:dyDescent="0.25">
      <c r="A37" s="28" t="s">
        <v>51</v>
      </c>
      <c r="B37" s="28" t="s">
        <v>5</v>
      </c>
      <c r="C37" t="s">
        <v>6</v>
      </c>
    </row>
    <row r="38" spans="1:3" x14ac:dyDescent="0.25">
      <c r="A38" s="28" t="s">
        <v>52</v>
      </c>
      <c r="B38" s="28" t="s">
        <v>10</v>
      </c>
      <c r="C38" t="s">
        <v>11</v>
      </c>
    </row>
    <row r="39" spans="1:3" x14ac:dyDescent="0.25">
      <c r="A39" s="28" t="s">
        <v>53</v>
      </c>
      <c r="B39" s="28" t="s">
        <v>10</v>
      </c>
      <c r="C39" t="s">
        <v>11</v>
      </c>
    </row>
    <row r="40" spans="1:3" x14ac:dyDescent="0.25">
      <c r="A40" s="28" t="s">
        <v>54</v>
      </c>
      <c r="B40" s="28" t="s">
        <v>10</v>
      </c>
      <c r="C40" t="s">
        <v>11</v>
      </c>
    </row>
    <row r="41" spans="1:3" x14ac:dyDescent="0.25">
      <c r="A41" s="28" t="s">
        <v>55</v>
      </c>
      <c r="B41" s="28" t="s">
        <v>5</v>
      </c>
      <c r="C41" t="s">
        <v>6</v>
      </c>
    </row>
    <row r="42" spans="1:3" x14ac:dyDescent="0.25">
      <c r="A42" s="28" t="s">
        <v>56</v>
      </c>
      <c r="B42" s="28" t="s">
        <v>29</v>
      </c>
      <c r="C42" t="s">
        <v>14</v>
      </c>
    </row>
    <row r="43" spans="1:3" x14ac:dyDescent="0.25">
      <c r="A43" s="28" t="s">
        <v>57</v>
      </c>
      <c r="B43" s="28" t="s">
        <v>5</v>
      </c>
      <c r="C43" t="s">
        <v>6</v>
      </c>
    </row>
    <row r="44" spans="1:3" x14ac:dyDescent="0.25">
      <c r="A44" s="28" t="s">
        <v>58</v>
      </c>
      <c r="B44" s="28" t="s">
        <v>5</v>
      </c>
      <c r="C44" t="s">
        <v>6</v>
      </c>
    </row>
    <row r="45" spans="1:3" x14ac:dyDescent="0.25">
      <c r="A45" s="28" t="s">
        <v>59</v>
      </c>
      <c r="B45" s="28" t="s">
        <v>13</v>
      </c>
      <c r="C45" t="s">
        <v>14</v>
      </c>
    </row>
    <row r="46" spans="1:3" x14ac:dyDescent="0.25">
      <c r="A46" s="28" t="s">
        <v>60</v>
      </c>
      <c r="B46" s="28" t="s">
        <v>10</v>
      </c>
      <c r="C46" t="s">
        <v>11</v>
      </c>
    </row>
    <row r="47" spans="1:3" x14ac:dyDescent="0.25">
      <c r="A47" s="28" t="s">
        <v>61</v>
      </c>
      <c r="B47" s="28" t="s">
        <v>10</v>
      </c>
      <c r="C47" t="s">
        <v>11</v>
      </c>
    </row>
    <row r="48" spans="1:3" x14ac:dyDescent="0.25">
      <c r="A48" s="28" t="s">
        <v>62</v>
      </c>
      <c r="B48" s="28" t="s">
        <v>8</v>
      </c>
      <c r="C48" t="s">
        <v>6</v>
      </c>
    </row>
    <row r="49" spans="1:3" x14ac:dyDescent="0.25">
      <c r="A49" s="28" t="s">
        <v>63</v>
      </c>
      <c r="B49" s="28" t="s">
        <v>13</v>
      </c>
      <c r="C49" t="s">
        <v>14</v>
      </c>
    </row>
    <row r="50" spans="1:3" x14ac:dyDescent="0.25">
      <c r="A50" s="28" t="s">
        <v>64</v>
      </c>
      <c r="B50" s="28" t="s">
        <v>5</v>
      </c>
      <c r="C50" t="s">
        <v>6</v>
      </c>
    </row>
    <row r="51" spans="1:3" x14ac:dyDescent="0.25">
      <c r="A51" s="28" t="s">
        <v>65</v>
      </c>
      <c r="B51" s="28" t="s">
        <v>5</v>
      </c>
      <c r="C51" t="s">
        <v>6</v>
      </c>
    </row>
    <row r="52" spans="1:3" x14ac:dyDescent="0.25">
      <c r="A52" s="28" t="s">
        <v>66</v>
      </c>
      <c r="B52" s="28" t="s">
        <v>5</v>
      </c>
      <c r="C52" t="s">
        <v>6</v>
      </c>
    </row>
    <row r="53" spans="1:3" x14ac:dyDescent="0.25">
      <c r="A53" s="28" t="s">
        <v>67</v>
      </c>
      <c r="B53" s="28" t="s">
        <v>13</v>
      </c>
      <c r="C53" t="s">
        <v>14</v>
      </c>
    </row>
    <row r="54" spans="1:3" x14ac:dyDescent="0.25">
      <c r="A54" s="28" t="s">
        <v>68</v>
      </c>
      <c r="B54" s="28" t="s">
        <v>5</v>
      </c>
      <c r="C54" t="s">
        <v>6</v>
      </c>
    </row>
    <row r="55" spans="1:3" x14ac:dyDescent="0.25">
      <c r="A55" s="28" t="s">
        <v>69</v>
      </c>
      <c r="B55" s="28" t="s">
        <v>8</v>
      </c>
      <c r="C55" t="s">
        <v>6</v>
      </c>
    </row>
    <row r="56" spans="1:3" x14ac:dyDescent="0.25">
      <c r="A56" s="28" t="s">
        <v>70</v>
      </c>
      <c r="B56" s="28" t="s">
        <v>5</v>
      </c>
      <c r="C56" t="s">
        <v>6</v>
      </c>
    </row>
    <row r="57" spans="1:3" x14ac:dyDescent="0.25">
      <c r="A57" s="414" t="s">
        <v>71</v>
      </c>
      <c r="B57" s="28" t="s">
        <v>10</v>
      </c>
      <c r="C57" t="s">
        <v>11</v>
      </c>
    </row>
    <row r="58" spans="1:3" x14ac:dyDescent="0.25">
      <c r="A58" s="28" t="s">
        <v>72</v>
      </c>
      <c r="B58" s="28" t="s">
        <v>10</v>
      </c>
      <c r="C58" t="s">
        <v>11</v>
      </c>
    </row>
    <row r="59" spans="1:3" x14ac:dyDescent="0.25">
      <c r="A59" s="28" t="s">
        <v>73</v>
      </c>
      <c r="B59" s="28" t="s">
        <v>74</v>
      </c>
      <c r="C59" t="s">
        <v>75</v>
      </c>
    </row>
    <row r="60" spans="1:3" x14ac:dyDescent="0.25">
      <c r="A60" s="28" t="s">
        <v>76</v>
      </c>
      <c r="B60" s="28" t="s">
        <v>77</v>
      </c>
      <c r="C60" t="s">
        <v>75</v>
      </c>
    </row>
    <row r="61" spans="1:3" x14ac:dyDescent="0.25">
      <c r="A61" s="28" t="s">
        <v>78</v>
      </c>
      <c r="B61" s="28" t="s">
        <v>10</v>
      </c>
      <c r="C61" t="s">
        <v>11</v>
      </c>
    </row>
    <row r="62" spans="1:3" x14ac:dyDescent="0.25">
      <c r="A62" s="28" t="s">
        <v>79</v>
      </c>
      <c r="B62" s="28" t="s">
        <v>80</v>
      </c>
      <c r="C62" t="s">
        <v>75</v>
      </c>
    </row>
    <row r="63" spans="1:3" x14ac:dyDescent="0.25">
      <c r="A63" s="28" t="s">
        <v>81</v>
      </c>
      <c r="B63" s="28" t="s">
        <v>80</v>
      </c>
      <c r="C63" t="s">
        <v>75</v>
      </c>
    </row>
    <row r="64" spans="1:3" x14ac:dyDescent="0.25">
      <c r="A64" s="28" t="s">
        <v>82</v>
      </c>
      <c r="B64" s="28" t="s">
        <v>74</v>
      </c>
      <c r="C64" t="s">
        <v>11</v>
      </c>
    </row>
    <row r="65" spans="1:3" x14ac:dyDescent="0.25">
      <c r="A65" s="28" t="s">
        <v>83</v>
      </c>
      <c r="B65" s="28" t="s">
        <v>10</v>
      </c>
      <c r="C65" t="s">
        <v>11</v>
      </c>
    </row>
    <row r="66" spans="1:3" x14ac:dyDescent="0.25">
      <c r="A66" s="28" t="s">
        <v>84</v>
      </c>
      <c r="B66" s="28" t="s">
        <v>10</v>
      </c>
      <c r="C66" t="s">
        <v>11</v>
      </c>
    </row>
    <row r="67" spans="1:3" x14ac:dyDescent="0.25">
      <c r="A67" s="28" t="s">
        <v>85</v>
      </c>
      <c r="B67" s="28" t="s">
        <v>5</v>
      </c>
      <c r="C67" t="s">
        <v>6</v>
      </c>
    </row>
    <row r="68" spans="1:3" x14ac:dyDescent="0.25">
      <c r="A68" s="28" t="s">
        <v>86</v>
      </c>
      <c r="B68" s="28" t="s">
        <v>10</v>
      </c>
      <c r="C68" t="s">
        <v>11</v>
      </c>
    </row>
    <row r="69" spans="1:3" x14ac:dyDescent="0.25">
      <c r="A69" s="28" t="s">
        <v>87</v>
      </c>
      <c r="B69" s="28" t="s">
        <v>80</v>
      </c>
      <c r="C69" t="s">
        <v>75</v>
      </c>
    </row>
    <row r="70" spans="1:3" x14ac:dyDescent="0.25">
      <c r="A70" s="28" t="s">
        <v>88</v>
      </c>
      <c r="B70" s="28" t="s">
        <v>74</v>
      </c>
      <c r="C70" t="s">
        <v>11</v>
      </c>
    </row>
    <row r="71" spans="1:3" x14ac:dyDescent="0.25">
      <c r="A71" s="28" t="s">
        <v>89</v>
      </c>
      <c r="B71" s="28" t="s">
        <v>80</v>
      </c>
      <c r="C71" t="s">
        <v>75</v>
      </c>
    </row>
    <row r="72" spans="1:3" x14ac:dyDescent="0.25">
      <c r="A72" s="28" t="s">
        <v>90</v>
      </c>
      <c r="B72" s="28" t="s">
        <v>80</v>
      </c>
      <c r="C72" t="s">
        <v>75</v>
      </c>
    </row>
    <row r="73" spans="1:3" x14ac:dyDescent="0.25">
      <c r="A73" s="28" t="s">
        <v>91</v>
      </c>
      <c r="B73" s="28" t="s">
        <v>10</v>
      </c>
      <c r="C73" t="s">
        <v>11</v>
      </c>
    </row>
    <row r="74" spans="1:3" x14ac:dyDescent="0.25">
      <c r="A74" s="28" t="s">
        <v>92</v>
      </c>
      <c r="B74" s="28" t="s">
        <v>8</v>
      </c>
      <c r="C74" t="s">
        <v>6</v>
      </c>
    </row>
    <row r="75" spans="1:3" x14ac:dyDescent="0.25">
      <c r="A75" s="28" t="s">
        <v>93</v>
      </c>
      <c r="B75" s="28" t="s">
        <v>33</v>
      </c>
      <c r="C75" t="s">
        <v>11</v>
      </c>
    </row>
    <row r="76" spans="1:3" x14ac:dyDescent="0.25">
      <c r="A76" s="28" t="s">
        <v>94</v>
      </c>
      <c r="B76" s="28" t="s">
        <v>74</v>
      </c>
      <c r="C76" t="s">
        <v>75</v>
      </c>
    </row>
    <row r="77" spans="1:3" x14ac:dyDescent="0.25">
      <c r="A77" s="28" t="s">
        <v>95</v>
      </c>
      <c r="B77" s="28" t="s">
        <v>10</v>
      </c>
      <c r="C77" t="s">
        <v>11</v>
      </c>
    </row>
    <row r="78" spans="1:3" x14ac:dyDescent="0.25">
      <c r="A78" s="28" t="s">
        <v>96</v>
      </c>
      <c r="B78" s="28" t="s">
        <v>97</v>
      </c>
      <c r="C78" t="s">
        <v>11</v>
      </c>
    </row>
    <row r="79" spans="1:3" x14ac:dyDescent="0.25">
      <c r="A79" s="28" t="s">
        <v>99</v>
      </c>
      <c r="B79" s="28" t="s">
        <v>74</v>
      </c>
      <c r="C79" t="s">
        <v>75</v>
      </c>
    </row>
    <row r="80" spans="1:3" x14ac:dyDescent="0.25">
      <c r="A80" s="28" t="s">
        <v>100</v>
      </c>
      <c r="B80" s="28" t="s">
        <v>74</v>
      </c>
      <c r="C80" t="s">
        <v>75</v>
      </c>
    </row>
    <row r="81" spans="1:3" x14ac:dyDescent="0.25">
      <c r="A81" s="28" t="s">
        <v>101</v>
      </c>
      <c r="B81" s="28" t="s">
        <v>10</v>
      </c>
      <c r="C81" t="s">
        <v>11</v>
      </c>
    </row>
    <row r="82" spans="1:3" x14ac:dyDescent="0.25">
      <c r="A82" s="28" t="s">
        <v>102</v>
      </c>
      <c r="B82" s="28" t="s">
        <v>74</v>
      </c>
      <c r="C82" t="s">
        <v>75</v>
      </c>
    </row>
    <row r="83" spans="1:3" x14ac:dyDescent="0.25">
      <c r="A83" s="28" t="s">
        <v>103</v>
      </c>
      <c r="B83" s="28" t="s">
        <v>74</v>
      </c>
      <c r="C83" t="s">
        <v>75</v>
      </c>
    </row>
    <row r="84" spans="1:3" x14ac:dyDescent="0.25">
      <c r="A84" s="28" t="s">
        <v>104</v>
      </c>
      <c r="B84" s="28" t="s">
        <v>74</v>
      </c>
      <c r="C84" t="s">
        <v>75</v>
      </c>
    </row>
    <row r="85" spans="1:3" x14ac:dyDescent="0.25">
      <c r="A85" s="28" t="s">
        <v>105</v>
      </c>
      <c r="B85" s="28" t="s">
        <v>74</v>
      </c>
      <c r="C85" t="s">
        <v>75</v>
      </c>
    </row>
    <row r="86" spans="1:3" x14ac:dyDescent="0.25">
      <c r="A86" s="28" t="s">
        <v>106</v>
      </c>
      <c r="B86" s="28" t="s">
        <v>10</v>
      </c>
      <c r="C86" t="s">
        <v>11</v>
      </c>
    </row>
    <row r="87" spans="1:3" x14ac:dyDescent="0.25">
      <c r="A87" s="28" t="s">
        <v>107</v>
      </c>
      <c r="B87" s="28" t="s">
        <v>74</v>
      </c>
      <c r="C87" t="s">
        <v>75</v>
      </c>
    </row>
    <row r="88" spans="1:3" x14ac:dyDescent="0.25">
      <c r="A88" s="28" t="s">
        <v>108</v>
      </c>
      <c r="B88" s="28" t="s">
        <v>8</v>
      </c>
      <c r="C88" t="s">
        <v>6</v>
      </c>
    </row>
    <row r="89" spans="1:3" x14ac:dyDescent="0.25">
      <c r="A89" s="28" t="s">
        <v>109</v>
      </c>
      <c r="B89" s="28" t="s">
        <v>33</v>
      </c>
      <c r="C89" t="s">
        <v>11</v>
      </c>
    </row>
    <row r="90" spans="1:3" x14ac:dyDescent="0.25">
      <c r="A90" s="28" t="s">
        <v>110</v>
      </c>
      <c r="B90" s="28" t="s">
        <v>10</v>
      </c>
      <c r="C90" t="s">
        <v>11</v>
      </c>
    </row>
    <row r="91" spans="1:3" x14ac:dyDescent="0.25">
      <c r="A91" s="28" t="s">
        <v>111</v>
      </c>
      <c r="B91" s="28" t="s">
        <v>10</v>
      </c>
      <c r="C91" t="s">
        <v>11</v>
      </c>
    </row>
    <row r="92" spans="1:3" x14ac:dyDescent="0.25">
      <c r="A92" s="28" t="s">
        <v>112</v>
      </c>
      <c r="B92" s="28" t="s">
        <v>10</v>
      </c>
      <c r="C92" t="s">
        <v>11</v>
      </c>
    </row>
    <row r="93" spans="1:3" x14ac:dyDescent="0.25">
      <c r="A93" s="28" t="s">
        <v>113</v>
      </c>
      <c r="B93" s="28" t="s">
        <v>74</v>
      </c>
      <c r="C93" t="s">
        <v>75</v>
      </c>
    </row>
    <row r="94" spans="1:3" x14ac:dyDescent="0.25">
      <c r="A94" s="28" t="s">
        <v>114</v>
      </c>
      <c r="B94" s="28" t="s">
        <v>10</v>
      </c>
      <c r="C94" t="s">
        <v>11</v>
      </c>
    </row>
    <row r="95" spans="1:3" x14ac:dyDescent="0.25">
      <c r="A95" s="28" t="s">
        <v>115</v>
      </c>
      <c r="B95" s="28" t="s">
        <v>74</v>
      </c>
      <c r="C95" t="s">
        <v>75</v>
      </c>
    </row>
    <row r="96" spans="1:3" x14ac:dyDescent="0.25">
      <c r="A96" s="28" t="s">
        <v>116</v>
      </c>
      <c r="B96" s="28" t="s">
        <v>10</v>
      </c>
      <c r="C96" t="s">
        <v>11</v>
      </c>
    </row>
    <row r="97" spans="1:3" x14ac:dyDescent="0.25">
      <c r="A97" s="28" t="s">
        <v>117</v>
      </c>
      <c r="B97" s="63" t="s">
        <v>13</v>
      </c>
      <c r="C97" t="s">
        <v>14</v>
      </c>
    </row>
    <row r="98" spans="1:3" x14ac:dyDescent="0.25">
      <c r="A98" s="28" t="s">
        <v>118</v>
      </c>
      <c r="B98" s="63" t="s">
        <v>13</v>
      </c>
      <c r="C98" t="s">
        <v>14</v>
      </c>
    </row>
    <row r="99" spans="1:3" x14ac:dyDescent="0.25">
      <c r="A99" s="28" t="s">
        <v>119</v>
      </c>
      <c r="B99" s="63" t="s">
        <v>13</v>
      </c>
      <c r="C99" t="s">
        <v>14</v>
      </c>
    </row>
    <row r="100" spans="1:3" x14ac:dyDescent="0.25">
      <c r="A100" s="28" t="s">
        <v>120</v>
      </c>
      <c r="B100" s="28" t="s">
        <v>29</v>
      </c>
      <c r="C100" t="s">
        <v>14</v>
      </c>
    </row>
    <row r="101" spans="1:3" x14ac:dyDescent="0.25">
      <c r="A101" s="28" t="s">
        <v>121</v>
      </c>
      <c r="B101" s="28" t="s">
        <v>29</v>
      </c>
      <c r="C101" t="s">
        <v>14</v>
      </c>
    </row>
    <row r="102" spans="1:3" x14ac:dyDescent="0.25">
      <c r="A102" s="106" t="s">
        <v>122</v>
      </c>
      <c r="B102" s="63" t="s">
        <v>13</v>
      </c>
      <c r="C102" t="s">
        <v>14</v>
      </c>
    </row>
    <row r="103" spans="1:3" x14ac:dyDescent="0.25">
      <c r="A103" s="28" t="s">
        <v>123</v>
      </c>
      <c r="B103" s="63" t="s">
        <v>74</v>
      </c>
      <c r="C103" t="s">
        <v>11</v>
      </c>
    </row>
    <row r="104" spans="1:3" x14ac:dyDescent="0.25">
      <c r="A104" s="56" t="s">
        <v>124</v>
      </c>
      <c r="B104" s="63" t="s">
        <v>125</v>
      </c>
      <c r="C104" t="s">
        <v>75</v>
      </c>
    </row>
    <row r="105" spans="1:3" x14ac:dyDescent="0.25">
      <c r="A105" s="28" t="s">
        <v>126</v>
      </c>
      <c r="B105" s="63" t="s">
        <v>74</v>
      </c>
      <c r="C105" t="s">
        <v>75</v>
      </c>
    </row>
    <row r="106" spans="1:3" x14ac:dyDescent="0.25">
      <c r="A106" s="28" t="s">
        <v>127</v>
      </c>
      <c r="B106" s="63" t="s">
        <v>10</v>
      </c>
      <c r="C106" t="s">
        <v>11</v>
      </c>
    </row>
    <row r="107" spans="1:3" x14ac:dyDescent="0.25">
      <c r="A107" s="28" t="s">
        <v>128</v>
      </c>
      <c r="B107" s="63" t="s">
        <v>74</v>
      </c>
      <c r="C107" t="s">
        <v>75</v>
      </c>
    </row>
    <row r="108" spans="1:3" x14ac:dyDescent="0.25">
      <c r="A108" s="28" t="s">
        <v>129</v>
      </c>
      <c r="B108" s="63" t="s">
        <v>10</v>
      </c>
      <c r="C108" t="s">
        <v>11</v>
      </c>
    </row>
    <row r="109" spans="1:3" x14ac:dyDescent="0.25">
      <c r="A109" s="28" t="s">
        <v>130</v>
      </c>
      <c r="B109" s="63" t="s">
        <v>74</v>
      </c>
      <c r="C109" t="s">
        <v>75</v>
      </c>
    </row>
    <row r="110" spans="1:3" x14ac:dyDescent="0.25">
      <c r="A110" s="28" t="s">
        <v>131</v>
      </c>
      <c r="B110" s="63" t="s">
        <v>74</v>
      </c>
      <c r="C110" t="s">
        <v>75</v>
      </c>
    </row>
    <row r="111" spans="1:3" x14ac:dyDescent="0.25">
      <c r="A111" s="28" t="s">
        <v>132</v>
      </c>
      <c r="B111" s="28" t="s">
        <v>29</v>
      </c>
      <c r="C111" t="s">
        <v>14</v>
      </c>
    </row>
    <row r="112" spans="1:3" x14ac:dyDescent="0.25">
      <c r="A112" s="28" t="s">
        <v>133</v>
      </c>
      <c r="B112" s="63" t="s">
        <v>74</v>
      </c>
      <c r="C112" t="s">
        <v>75</v>
      </c>
    </row>
    <row r="113" spans="1:3" x14ac:dyDescent="0.25">
      <c r="A113" s="28" t="s">
        <v>134</v>
      </c>
      <c r="B113" s="63" t="s">
        <v>74</v>
      </c>
      <c r="C113" t="s">
        <v>75</v>
      </c>
    </row>
    <row r="114" spans="1:3" x14ac:dyDescent="0.25">
      <c r="A114" s="28" t="s">
        <v>136</v>
      </c>
      <c r="B114" s="63" t="s">
        <v>74</v>
      </c>
      <c r="C114" t="s">
        <v>75</v>
      </c>
    </row>
    <row r="115" spans="1:3" x14ac:dyDescent="0.25">
      <c r="A115" s="28" t="s">
        <v>137</v>
      </c>
      <c r="B115" s="63" t="s">
        <v>74</v>
      </c>
      <c r="C115" t="s">
        <v>75</v>
      </c>
    </row>
    <row r="116" spans="1:3" x14ac:dyDescent="0.25">
      <c r="A116" s="28" t="s">
        <v>138</v>
      </c>
      <c r="B116" s="63" t="s">
        <v>74</v>
      </c>
      <c r="C116" t="s">
        <v>75</v>
      </c>
    </row>
    <row r="117" spans="1:3" x14ac:dyDescent="0.25">
      <c r="A117" s="28" t="s">
        <v>139</v>
      </c>
      <c r="B117" s="63" t="s">
        <v>74</v>
      </c>
      <c r="C117" t="s">
        <v>75</v>
      </c>
    </row>
    <row r="118" spans="1:3" x14ac:dyDescent="0.25">
      <c r="A118" s="28" t="s">
        <v>141</v>
      </c>
      <c r="B118" s="63" t="s">
        <v>74</v>
      </c>
      <c r="C118" t="s">
        <v>75</v>
      </c>
    </row>
    <row r="119" spans="1:3" x14ac:dyDescent="0.25">
      <c r="A119" s="28" t="s">
        <v>142</v>
      </c>
      <c r="B119" s="63" t="s">
        <v>74</v>
      </c>
      <c r="C119" t="s">
        <v>75</v>
      </c>
    </row>
    <row r="120" spans="1:3" x14ac:dyDescent="0.25">
      <c r="A120" s="28" t="s">
        <v>143</v>
      </c>
      <c r="B120" s="63" t="s">
        <v>10</v>
      </c>
      <c r="C120" t="s">
        <v>11</v>
      </c>
    </row>
    <row r="121" spans="1:3" x14ac:dyDescent="0.25">
      <c r="A121" s="28" t="s">
        <v>144</v>
      </c>
      <c r="B121" s="63" t="s">
        <v>74</v>
      </c>
      <c r="C121" t="s">
        <v>11</v>
      </c>
    </row>
    <row r="122" spans="1:3" x14ac:dyDescent="0.25">
      <c r="A122" s="28" t="s">
        <v>145</v>
      </c>
      <c r="B122" s="63" t="s">
        <v>74</v>
      </c>
      <c r="C122" t="s">
        <v>75</v>
      </c>
    </row>
    <row r="123" spans="1:3" x14ac:dyDescent="0.25">
      <c r="A123" s="28" t="s">
        <v>146</v>
      </c>
      <c r="B123" s="63" t="s">
        <v>74</v>
      </c>
      <c r="C123" t="s">
        <v>75</v>
      </c>
    </row>
    <row r="124" spans="1:3" x14ac:dyDescent="0.25">
      <c r="A124" s="28" t="s">
        <v>147</v>
      </c>
      <c r="B124" s="63" t="s">
        <v>74</v>
      </c>
      <c r="C124" t="s">
        <v>75</v>
      </c>
    </row>
    <row r="125" spans="1:3" x14ac:dyDescent="0.25">
      <c r="A125" s="28" t="s">
        <v>148</v>
      </c>
      <c r="B125" s="28" t="s">
        <v>29</v>
      </c>
      <c r="C125" t="s">
        <v>14</v>
      </c>
    </row>
    <row r="126" spans="1:3" x14ac:dyDescent="0.25">
      <c r="A126" s="28" t="s">
        <v>150</v>
      </c>
      <c r="B126" s="28" t="s">
        <v>10</v>
      </c>
      <c r="C126" t="s">
        <v>11</v>
      </c>
    </row>
    <row r="127" spans="1:3" x14ac:dyDescent="0.25">
      <c r="A127" t="s">
        <v>151</v>
      </c>
      <c r="B127" s="63" t="s">
        <v>10</v>
      </c>
      <c r="C127" t="s">
        <v>11</v>
      </c>
    </row>
    <row r="128" spans="1:3" x14ac:dyDescent="0.25">
      <c r="A128" t="s">
        <v>152</v>
      </c>
      <c r="B128" s="63" t="s">
        <v>8</v>
      </c>
      <c r="C128" t="s">
        <v>6</v>
      </c>
    </row>
    <row r="129" spans="1:3" x14ac:dyDescent="0.25">
      <c r="A129" t="s">
        <v>153</v>
      </c>
      <c r="B129" s="63" t="s">
        <v>8</v>
      </c>
      <c r="C129" t="s">
        <v>6</v>
      </c>
    </row>
    <row r="130" spans="1:3" x14ac:dyDescent="0.25">
      <c r="A130" t="s">
        <v>154</v>
      </c>
      <c r="B130" s="63" t="s">
        <v>5</v>
      </c>
      <c r="C130" t="s">
        <v>6</v>
      </c>
    </row>
    <row r="131" spans="1:3" x14ac:dyDescent="0.25">
      <c r="A131" t="s">
        <v>155</v>
      </c>
      <c r="B131" s="63" t="s">
        <v>10</v>
      </c>
      <c r="C131" t="s">
        <v>11</v>
      </c>
    </row>
    <row r="132" spans="1:3" x14ac:dyDescent="0.25">
      <c r="A132" t="s">
        <v>156</v>
      </c>
      <c r="B132" s="63" t="s">
        <v>35</v>
      </c>
      <c r="C132" t="s">
        <v>11</v>
      </c>
    </row>
    <row r="133" spans="1:3" x14ac:dyDescent="0.25">
      <c r="A133" t="s">
        <v>157</v>
      </c>
      <c r="B133" s="63" t="s">
        <v>10</v>
      </c>
      <c r="C133" t="s">
        <v>11</v>
      </c>
    </row>
    <row r="134" spans="1:3" x14ac:dyDescent="0.25">
      <c r="A134" t="s">
        <v>158</v>
      </c>
      <c r="B134" s="63" t="s">
        <v>5</v>
      </c>
      <c r="C134" t="s">
        <v>6</v>
      </c>
    </row>
    <row r="135" spans="1:3" x14ac:dyDescent="0.25">
      <c r="A135" t="s">
        <v>159</v>
      </c>
      <c r="B135" s="63" t="s">
        <v>10</v>
      </c>
      <c r="C135" t="s">
        <v>11</v>
      </c>
    </row>
    <row r="136" spans="1:3" x14ac:dyDescent="0.25">
      <c r="A136" t="s">
        <v>160</v>
      </c>
      <c r="B136" s="63" t="s">
        <v>10</v>
      </c>
      <c r="C136" t="s">
        <v>11</v>
      </c>
    </row>
    <row r="137" spans="1:3" x14ac:dyDescent="0.25">
      <c r="A137" t="s">
        <v>161</v>
      </c>
      <c r="B137" s="63" t="s">
        <v>8</v>
      </c>
      <c r="C137" t="s">
        <v>6</v>
      </c>
    </row>
    <row r="138" spans="1:3" x14ac:dyDescent="0.25">
      <c r="A138" t="s">
        <v>162</v>
      </c>
      <c r="B138" s="63" t="s">
        <v>33</v>
      </c>
      <c r="C138" t="s">
        <v>11</v>
      </c>
    </row>
    <row r="139" spans="1:3" x14ac:dyDescent="0.25">
      <c r="A139" t="s">
        <v>163</v>
      </c>
      <c r="B139" s="63" t="s">
        <v>5</v>
      </c>
      <c r="C139" t="s">
        <v>6</v>
      </c>
    </row>
    <row r="140" spans="1:3" x14ac:dyDescent="0.25">
      <c r="A140" t="s">
        <v>164</v>
      </c>
      <c r="B140" s="63" t="s">
        <v>10</v>
      </c>
      <c r="C140" t="s">
        <v>11</v>
      </c>
    </row>
    <row r="141" spans="1:3" x14ac:dyDescent="0.25">
      <c r="A141" t="s">
        <v>165</v>
      </c>
      <c r="B141" s="63" t="s">
        <v>5</v>
      </c>
      <c r="C141" t="s">
        <v>6</v>
      </c>
    </row>
    <row r="142" spans="1:3" x14ac:dyDescent="0.25">
      <c r="A142" t="s">
        <v>166</v>
      </c>
      <c r="B142" s="63" t="s">
        <v>10</v>
      </c>
      <c r="C142" t="s">
        <v>11</v>
      </c>
    </row>
    <row r="143" spans="1:3" x14ac:dyDescent="0.25">
      <c r="A143" t="s">
        <v>167</v>
      </c>
      <c r="B143" s="63" t="s">
        <v>10</v>
      </c>
      <c r="C143" t="s">
        <v>11</v>
      </c>
    </row>
    <row r="144" spans="1:3" x14ac:dyDescent="0.25">
      <c r="A144" t="s">
        <v>168</v>
      </c>
      <c r="B144" s="63" t="s">
        <v>10</v>
      </c>
      <c r="C144" t="s">
        <v>11</v>
      </c>
    </row>
    <row r="145" spans="1:3" x14ac:dyDescent="0.25">
      <c r="A145" t="s">
        <v>169</v>
      </c>
      <c r="B145" s="63" t="s">
        <v>10</v>
      </c>
      <c r="C145" t="s">
        <v>11</v>
      </c>
    </row>
    <row r="146" spans="1:3" x14ac:dyDescent="0.25">
      <c r="A146" t="s">
        <v>170</v>
      </c>
      <c r="B146" s="63" t="s">
        <v>10</v>
      </c>
      <c r="C146" t="s">
        <v>11</v>
      </c>
    </row>
    <row r="147" spans="1:3" x14ac:dyDescent="0.25">
      <c r="A147" t="s">
        <v>171</v>
      </c>
      <c r="B147" s="63" t="s">
        <v>10</v>
      </c>
      <c r="C147" t="s">
        <v>11</v>
      </c>
    </row>
    <row r="148" spans="1:3" x14ac:dyDescent="0.25">
      <c r="A148" t="s">
        <v>172</v>
      </c>
      <c r="B148" s="63" t="s">
        <v>10</v>
      </c>
      <c r="C148" t="s">
        <v>11</v>
      </c>
    </row>
    <row r="149" spans="1:3" x14ac:dyDescent="0.25">
      <c r="A149" t="s">
        <v>173</v>
      </c>
      <c r="B149" s="63" t="s">
        <v>10</v>
      </c>
      <c r="C149" t="s">
        <v>11</v>
      </c>
    </row>
    <row r="150" spans="1:3" x14ac:dyDescent="0.25">
      <c r="A150" t="s">
        <v>174</v>
      </c>
      <c r="B150" s="63" t="s">
        <v>13</v>
      </c>
      <c r="C150" t="s">
        <v>14</v>
      </c>
    </row>
    <row r="151" spans="1:3" x14ac:dyDescent="0.25">
      <c r="A151" t="s">
        <v>175</v>
      </c>
      <c r="B151" s="63" t="s">
        <v>16</v>
      </c>
      <c r="C151" t="s">
        <v>14</v>
      </c>
    </row>
    <row r="152" spans="1:3" x14ac:dyDescent="0.25">
      <c r="A152" t="s">
        <v>176</v>
      </c>
      <c r="B152" s="63" t="s">
        <v>16</v>
      </c>
      <c r="C152" t="s">
        <v>14</v>
      </c>
    </row>
    <row r="153" spans="1:3" x14ac:dyDescent="0.25">
      <c r="A153" t="s">
        <v>177</v>
      </c>
      <c r="B153" s="63" t="s">
        <v>10</v>
      </c>
      <c r="C153" t="s">
        <v>11</v>
      </c>
    </row>
    <row r="154" spans="1:3" x14ac:dyDescent="0.25">
      <c r="A154" t="s">
        <v>178</v>
      </c>
      <c r="B154" s="63" t="s">
        <v>13</v>
      </c>
      <c r="C154" t="s">
        <v>14</v>
      </c>
    </row>
    <row r="155" spans="1:3" x14ac:dyDescent="0.25">
      <c r="A155" t="s">
        <v>179</v>
      </c>
      <c r="B155" s="63" t="s">
        <v>13</v>
      </c>
      <c r="C155" t="s">
        <v>14</v>
      </c>
    </row>
    <row r="156" spans="1:3" x14ac:dyDescent="0.25">
      <c r="A156" t="s">
        <v>180</v>
      </c>
      <c r="B156" s="63" t="s">
        <v>10</v>
      </c>
      <c r="C156" t="s">
        <v>11</v>
      </c>
    </row>
    <row r="157" spans="1:3" x14ac:dyDescent="0.25">
      <c r="A157" t="s">
        <v>181</v>
      </c>
      <c r="B157" s="63" t="s">
        <v>10</v>
      </c>
      <c r="C157" t="s">
        <v>11</v>
      </c>
    </row>
    <row r="158" spans="1:3" x14ac:dyDescent="0.25">
      <c r="A158" s="454" t="s">
        <v>182</v>
      </c>
      <c r="B158" s="28" t="s">
        <v>29</v>
      </c>
      <c r="C158" t="s">
        <v>14</v>
      </c>
    </row>
    <row r="159" spans="1:3" x14ac:dyDescent="0.25">
      <c r="A159" t="s">
        <v>39</v>
      </c>
      <c r="B159" s="28" t="s">
        <v>10</v>
      </c>
      <c r="C159" t="s">
        <v>11</v>
      </c>
    </row>
    <row r="160" spans="1:3" x14ac:dyDescent="0.25">
      <c r="A160" t="s">
        <v>98</v>
      </c>
      <c r="B160" s="63" t="s">
        <v>13</v>
      </c>
      <c r="C160" t="s">
        <v>14</v>
      </c>
    </row>
    <row r="161" spans="1:3" x14ac:dyDescent="0.25">
      <c r="A161" t="s">
        <v>135</v>
      </c>
      <c r="B161" s="63" t="s">
        <v>13</v>
      </c>
      <c r="C161" t="s">
        <v>14</v>
      </c>
    </row>
    <row r="162" spans="1:3" x14ac:dyDescent="0.25">
      <c r="A162" t="s">
        <v>140</v>
      </c>
      <c r="B162" s="63" t="s">
        <v>13</v>
      </c>
      <c r="C162" t="s">
        <v>14</v>
      </c>
    </row>
  </sheetData>
  <conditionalFormatting sqref="A2:A162">
    <cfRule type="duplicateValues" dxfId="77" priority="390"/>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K36"/>
  <sheetViews>
    <sheetView workbookViewId="0"/>
  </sheetViews>
  <sheetFormatPr defaultRowHeight="15" x14ac:dyDescent="0.25"/>
  <cols>
    <col min="1" max="1" width="22.7109375" bestFit="1" customWidth="1"/>
    <col min="2" max="2" width="17.85546875" bestFit="1" customWidth="1"/>
    <col min="9" max="9" width="37.7109375" bestFit="1" customWidth="1"/>
    <col min="10" max="10" width="35.85546875" bestFit="1" customWidth="1"/>
    <col min="11" max="11" width="22.7109375" bestFit="1" customWidth="1"/>
  </cols>
  <sheetData>
    <row r="1" spans="1:11" x14ac:dyDescent="0.25">
      <c r="A1" s="42" t="s">
        <v>278</v>
      </c>
      <c r="B1" t="s">
        <v>279</v>
      </c>
    </row>
    <row r="3" spans="1:11" x14ac:dyDescent="0.25">
      <c r="A3" t="s">
        <v>280</v>
      </c>
      <c r="I3" s="42" t="s">
        <v>281</v>
      </c>
      <c r="J3" s="42" t="s">
        <v>282</v>
      </c>
      <c r="K3" t="s">
        <v>280</v>
      </c>
    </row>
    <row r="4" spans="1:11" x14ac:dyDescent="0.25">
      <c r="A4">
        <v>1716.4001063206126</v>
      </c>
      <c r="I4" t="s">
        <v>283</v>
      </c>
      <c r="J4">
        <v>189287</v>
      </c>
      <c r="K4" s="52">
        <v>82.23696203258001</v>
      </c>
    </row>
    <row r="5" spans="1:11" x14ac:dyDescent="0.25">
      <c r="I5" t="s">
        <v>284</v>
      </c>
      <c r="J5" t="s">
        <v>285</v>
      </c>
      <c r="K5" s="52">
        <v>214.5723329374695</v>
      </c>
    </row>
    <row r="6" spans="1:11" x14ac:dyDescent="0.25">
      <c r="I6" t="s">
        <v>284</v>
      </c>
      <c r="J6" t="s">
        <v>286</v>
      </c>
      <c r="K6" s="52">
        <v>0</v>
      </c>
    </row>
    <row r="7" spans="1:11" x14ac:dyDescent="0.25">
      <c r="I7" t="s">
        <v>287</v>
      </c>
      <c r="J7">
        <v>940921</v>
      </c>
      <c r="K7" s="52">
        <v>145.13903309821984</v>
      </c>
    </row>
    <row r="8" spans="1:11" x14ac:dyDescent="0.25">
      <c r="I8" t="s">
        <v>288</v>
      </c>
      <c r="J8">
        <v>188934</v>
      </c>
      <c r="K8" s="52">
        <v>101.62486295775</v>
      </c>
    </row>
    <row r="9" spans="1:11" x14ac:dyDescent="0.25">
      <c r="I9" t="s">
        <v>25</v>
      </c>
      <c r="J9">
        <v>819045</v>
      </c>
      <c r="K9" s="52">
        <v>14.667553091280002</v>
      </c>
    </row>
    <row r="10" spans="1:11" x14ac:dyDescent="0.25">
      <c r="I10" t="s">
        <v>289</v>
      </c>
      <c r="J10">
        <v>189002</v>
      </c>
      <c r="K10" s="52">
        <v>169.05630942483197</v>
      </c>
    </row>
    <row r="11" spans="1:11" x14ac:dyDescent="0.25">
      <c r="I11" t="s">
        <v>290</v>
      </c>
      <c r="J11">
        <v>188647</v>
      </c>
      <c r="K11" s="52">
        <v>94.862776782062014</v>
      </c>
    </row>
    <row r="12" spans="1:11" x14ac:dyDescent="0.25">
      <c r="I12" t="s">
        <v>71</v>
      </c>
      <c r="J12">
        <v>187546</v>
      </c>
      <c r="K12" s="52">
        <v>64.595235705809998</v>
      </c>
    </row>
    <row r="13" spans="1:11" x14ac:dyDescent="0.25">
      <c r="I13" t="s">
        <v>291</v>
      </c>
      <c r="J13" t="s">
        <v>292</v>
      </c>
      <c r="K13" s="52">
        <v>0</v>
      </c>
    </row>
    <row r="14" spans="1:11" x14ac:dyDescent="0.25">
      <c r="I14" t="s">
        <v>293</v>
      </c>
      <c r="J14" t="s">
        <v>294</v>
      </c>
      <c r="K14" s="52">
        <v>80.680237922749996</v>
      </c>
    </row>
    <row r="15" spans="1:11" x14ac:dyDescent="0.25">
      <c r="I15" t="s">
        <v>295</v>
      </c>
      <c r="J15" t="s">
        <v>292</v>
      </c>
      <c r="K15" s="52">
        <v>55.249146720624999</v>
      </c>
    </row>
    <row r="16" spans="1:11" x14ac:dyDescent="0.25">
      <c r="I16" t="s">
        <v>296</v>
      </c>
      <c r="J16" t="s">
        <v>292</v>
      </c>
      <c r="K16" s="52">
        <v>44.168936818477</v>
      </c>
    </row>
    <row r="17" spans="9:11" x14ac:dyDescent="0.25">
      <c r="I17" t="s">
        <v>297</v>
      </c>
      <c r="J17" t="s">
        <v>292</v>
      </c>
      <c r="K17" s="52">
        <v>6.297886446684001</v>
      </c>
    </row>
    <row r="18" spans="9:11" x14ac:dyDescent="0.25">
      <c r="I18" t="s">
        <v>298</v>
      </c>
      <c r="J18" t="s">
        <v>285</v>
      </c>
      <c r="K18" s="52">
        <v>8.6266323709999995</v>
      </c>
    </row>
    <row r="19" spans="9:11" x14ac:dyDescent="0.25">
      <c r="I19" t="s">
        <v>298</v>
      </c>
      <c r="J19" t="s">
        <v>292</v>
      </c>
      <c r="K19" s="52">
        <v>79.232149350619991</v>
      </c>
    </row>
    <row r="20" spans="9:11" x14ac:dyDescent="0.25">
      <c r="I20" t="s">
        <v>299</v>
      </c>
      <c r="J20" t="s">
        <v>292</v>
      </c>
      <c r="K20" s="52">
        <v>155.45207574111203</v>
      </c>
    </row>
    <row r="21" spans="9:11" x14ac:dyDescent="0.25">
      <c r="I21" t="s">
        <v>116</v>
      </c>
      <c r="J21">
        <v>188534</v>
      </c>
      <c r="K21" s="52">
        <v>0</v>
      </c>
    </row>
    <row r="22" spans="9:11" x14ac:dyDescent="0.25">
      <c r="I22" t="s">
        <v>91</v>
      </c>
      <c r="J22">
        <v>187702</v>
      </c>
      <c r="K22" s="52">
        <v>143.988593312376</v>
      </c>
    </row>
    <row r="23" spans="9:11" x14ac:dyDescent="0.25">
      <c r="I23" t="s">
        <v>300</v>
      </c>
      <c r="J23">
        <v>945539</v>
      </c>
      <c r="K23" s="52">
        <v>312.52478167691856</v>
      </c>
    </row>
    <row r="24" spans="9:11" x14ac:dyDescent="0.25">
      <c r="I24" t="s">
        <v>95</v>
      </c>
      <c r="J24">
        <v>941496</v>
      </c>
      <c r="K24" s="52">
        <v>154.59671925638</v>
      </c>
    </row>
    <row r="25" spans="9:11" x14ac:dyDescent="0.25">
      <c r="I25" t="s">
        <v>301</v>
      </c>
      <c r="J25">
        <v>188595</v>
      </c>
      <c r="K25" s="52">
        <v>14.696797157860001</v>
      </c>
    </row>
    <row r="26" spans="9:11" x14ac:dyDescent="0.25">
      <c r="I26" t="s">
        <v>302</v>
      </c>
      <c r="J26">
        <v>944141</v>
      </c>
      <c r="K26" s="52">
        <v>227.02087630625499</v>
      </c>
    </row>
    <row r="27" spans="9:11" x14ac:dyDescent="0.25">
      <c r="I27" t="s">
        <v>150</v>
      </c>
      <c r="J27">
        <v>187268</v>
      </c>
      <c r="K27" s="52">
        <v>0</v>
      </c>
    </row>
    <row r="28" spans="9:11" x14ac:dyDescent="0.25">
      <c r="I28" t="s">
        <v>303</v>
      </c>
      <c r="J28">
        <v>185254</v>
      </c>
      <c r="K28" s="52">
        <v>43.860601348552805</v>
      </c>
    </row>
    <row r="29" spans="9:11" x14ac:dyDescent="0.25">
      <c r="I29" t="s">
        <v>304</v>
      </c>
      <c r="J29">
        <v>188595</v>
      </c>
      <c r="K29" s="52">
        <v>186.86167607508003</v>
      </c>
    </row>
    <row r="30" spans="9:11" x14ac:dyDescent="0.25">
      <c r="I30" t="s">
        <v>305</v>
      </c>
      <c r="J30">
        <v>189002</v>
      </c>
      <c r="K30" s="52">
        <v>201.94459981794</v>
      </c>
    </row>
    <row r="31" spans="9:11" x14ac:dyDescent="0.25">
      <c r="I31" t="s">
        <v>306</v>
      </c>
      <c r="J31">
        <v>188595</v>
      </c>
      <c r="K31" s="52">
        <v>15.092951202549997</v>
      </c>
    </row>
    <row r="32" spans="9:11" x14ac:dyDescent="0.25">
      <c r="I32" t="s">
        <v>307</v>
      </c>
      <c r="J32">
        <v>189226</v>
      </c>
      <c r="K32" s="52">
        <v>0</v>
      </c>
    </row>
    <row r="33" spans="9:11" x14ac:dyDescent="0.25">
      <c r="I33" t="s">
        <v>307</v>
      </c>
      <c r="J33" t="s">
        <v>308</v>
      </c>
      <c r="K33" s="52">
        <v>235.78584288304202</v>
      </c>
    </row>
    <row r="34" spans="9:11" x14ac:dyDescent="0.25">
      <c r="I34" t="s">
        <v>307</v>
      </c>
      <c r="J34" t="s">
        <v>309</v>
      </c>
      <c r="K34" s="52">
        <v>2.2673569982400004</v>
      </c>
    </row>
    <row r="35" spans="9:11" x14ac:dyDescent="0.25">
      <c r="I35" t="s">
        <v>310</v>
      </c>
      <c r="J35" t="s">
        <v>308</v>
      </c>
      <c r="K35" s="52">
        <v>0</v>
      </c>
    </row>
    <row r="36" spans="9:11" x14ac:dyDescent="0.25">
      <c r="I36" t="s">
        <v>310</v>
      </c>
      <c r="J36" t="s">
        <v>309</v>
      </c>
      <c r="K36" s="52">
        <v>198.4209116459096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0036-958A-4924-B1E6-C143A62AF29A}">
  <sheetPr codeName="Sheet11"/>
  <dimension ref="A3:B32"/>
  <sheetViews>
    <sheetView workbookViewId="0">
      <selection activeCell="A4" sqref="A4:B34"/>
    </sheetView>
  </sheetViews>
  <sheetFormatPr defaultRowHeight="15" x14ac:dyDescent="0.25"/>
  <cols>
    <col min="1" max="1" width="31.140625" bestFit="1" customWidth="1"/>
    <col min="2" max="5" width="5.5703125" bestFit="1" customWidth="1"/>
    <col min="6" max="8" width="5.42578125" bestFit="1" customWidth="1"/>
    <col min="9" max="27" width="31.28515625" bestFit="1" customWidth="1"/>
    <col min="28" max="28" width="11.28515625" bestFit="1" customWidth="1"/>
    <col min="29" max="29" width="29.7109375" bestFit="1" customWidth="1"/>
    <col min="30" max="31" width="19.28515625" bestFit="1" customWidth="1"/>
    <col min="32" max="32" width="18.42578125" bestFit="1" customWidth="1"/>
    <col min="33" max="33" width="14.7109375" bestFit="1" customWidth="1"/>
    <col min="34" max="34" width="16.28515625" bestFit="1" customWidth="1"/>
    <col min="35" max="35" width="18.42578125" bestFit="1" customWidth="1"/>
    <col min="36" max="36" width="16.7109375" bestFit="1" customWidth="1"/>
    <col min="37" max="37" width="18.42578125" bestFit="1" customWidth="1"/>
    <col min="38" max="38" width="22.42578125" bestFit="1" customWidth="1"/>
    <col min="39" max="39" width="17.28515625" bestFit="1" customWidth="1"/>
    <col min="40" max="40" width="19.42578125" bestFit="1" customWidth="1"/>
    <col min="41" max="41" width="11.7109375" bestFit="1" customWidth="1"/>
    <col min="42" max="42" width="12.7109375" bestFit="1" customWidth="1"/>
    <col min="43" max="43" width="17.28515625" bestFit="1" customWidth="1"/>
    <col min="44" max="44" width="19.42578125" bestFit="1" customWidth="1"/>
    <col min="45" max="45" width="23.140625" bestFit="1" customWidth="1"/>
    <col min="46" max="46" width="25.28515625" bestFit="1" customWidth="1"/>
    <col min="47" max="47" width="17.85546875" bestFit="1" customWidth="1"/>
    <col min="48" max="48" width="10.28515625" bestFit="1" customWidth="1"/>
    <col min="49" max="49" width="18.28515625" bestFit="1" customWidth="1"/>
    <col min="50" max="50" width="17.28515625" bestFit="1" customWidth="1"/>
    <col min="51" max="51" width="19.42578125" bestFit="1" customWidth="1"/>
    <col min="52" max="52" width="17.28515625" bestFit="1" customWidth="1"/>
    <col min="53" max="53" width="15.7109375" bestFit="1" customWidth="1"/>
    <col min="54" max="54" width="17.85546875" bestFit="1" customWidth="1"/>
    <col min="55" max="55" width="16.7109375" bestFit="1" customWidth="1"/>
    <col min="56" max="56" width="20.7109375" bestFit="1" customWidth="1"/>
    <col min="57" max="57" width="16.7109375" bestFit="1" customWidth="1"/>
    <col min="58" max="58" width="13.140625" bestFit="1" customWidth="1"/>
    <col min="59" max="59" width="15.28515625" bestFit="1" customWidth="1"/>
    <col min="60" max="60" width="27.140625" bestFit="1" customWidth="1"/>
    <col min="61" max="62" width="19.7109375" bestFit="1" customWidth="1"/>
    <col min="63" max="63" width="21.85546875" bestFit="1" customWidth="1"/>
    <col min="64" max="64" width="22.42578125" bestFit="1" customWidth="1"/>
    <col min="65" max="65" width="15.7109375" bestFit="1" customWidth="1"/>
    <col min="66" max="66" width="19.7109375" bestFit="1" customWidth="1"/>
    <col min="67" max="67" width="10.7109375" bestFit="1" customWidth="1"/>
    <col min="68" max="68" width="11.7109375" bestFit="1" customWidth="1"/>
    <col min="69" max="69" width="17.28515625" bestFit="1" customWidth="1"/>
    <col min="70" max="70" width="19.42578125" bestFit="1" customWidth="1"/>
    <col min="71" max="71" width="17.28515625" bestFit="1" customWidth="1"/>
    <col min="72" max="72" width="19.42578125" bestFit="1" customWidth="1"/>
    <col min="73" max="73" width="25.28515625" bestFit="1" customWidth="1"/>
    <col min="74" max="74" width="10.28515625" bestFit="1" customWidth="1"/>
    <col min="75" max="75" width="11.7109375" bestFit="1" customWidth="1"/>
    <col min="76" max="76" width="17.28515625" bestFit="1" customWidth="1"/>
    <col min="77" max="77" width="19.42578125" bestFit="1" customWidth="1"/>
    <col min="78" max="78" width="15.7109375" bestFit="1" customWidth="1"/>
    <col min="79" max="79" width="17.7109375" bestFit="1" customWidth="1"/>
    <col min="80" max="80" width="17.85546875" bestFit="1" customWidth="1"/>
    <col min="81" max="81" width="15.7109375" bestFit="1" customWidth="1"/>
    <col min="82" max="82" width="21.5703125" bestFit="1" customWidth="1"/>
    <col min="83" max="83" width="23.7109375" bestFit="1" customWidth="1"/>
    <col min="84" max="84" width="17.7109375" bestFit="1" customWidth="1"/>
    <col min="85" max="85" width="11.7109375" bestFit="1" customWidth="1"/>
    <col min="86" max="86" width="18.42578125" bestFit="1" customWidth="1"/>
    <col min="87" max="87" width="16.28515625" bestFit="1" customWidth="1"/>
    <col min="88" max="88" width="18.28515625" bestFit="1" customWidth="1"/>
    <col min="89" max="89" width="18.42578125" bestFit="1" customWidth="1"/>
    <col min="90" max="90" width="9.28515625" bestFit="1" customWidth="1"/>
    <col min="91" max="91" width="18.7109375" bestFit="1" customWidth="1"/>
    <col min="92" max="92" width="16.28515625" bestFit="1" customWidth="1"/>
    <col min="93" max="93" width="18.28515625" bestFit="1" customWidth="1"/>
    <col min="94" max="94" width="16.28515625" bestFit="1" customWidth="1"/>
    <col min="95" max="95" width="14.7109375" bestFit="1" customWidth="1"/>
    <col min="96" max="97" width="16.7109375" bestFit="1" customWidth="1"/>
    <col min="98" max="98" width="17.42578125" bestFit="1" customWidth="1"/>
    <col min="99" max="99" width="21.42578125" bestFit="1" customWidth="1"/>
    <col min="100" max="100" width="15.7109375" bestFit="1" customWidth="1"/>
    <col min="101" max="101" width="19.7109375" bestFit="1" customWidth="1"/>
    <col min="102" max="103" width="17.42578125" bestFit="1" customWidth="1"/>
    <col min="104" max="104" width="14.7109375" bestFit="1" customWidth="1"/>
    <col min="105" max="105" width="16.7109375" bestFit="1" customWidth="1"/>
    <col min="106" max="106" width="14.140625" bestFit="1" customWidth="1"/>
    <col min="107" max="107" width="12.5703125" bestFit="1" customWidth="1"/>
    <col min="108" max="108" width="11.7109375" bestFit="1" customWidth="1"/>
    <col min="109" max="109" width="19.42578125" bestFit="1" customWidth="1"/>
    <col min="110" max="110" width="17.28515625" bestFit="1" customWidth="1"/>
    <col min="111" max="111" width="19.28515625" bestFit="1" customWidth="1"/>
    <col min="112" max="112" width="19.42578125" bestFit="1" customWidth="1"/>
    <col min="113" max="113" width="15.7109375" bestFit="1" customWidth="1"/>
    <col min="114" max="114" width="17.7109375" bestFit="1" customWidth="1"/>
    <col min="115" max="115" width="19.7109375" bestFit="1" customWidth="1"/>
    <col min="116" max="116" width="30.5703125" bestFit="1" customWidth="1"/>
    <col min="117" max="117" width="21.42578125" bestFit="1" customWidth="1"/>
    <col min="118" max="118" width="19.42578125" bestFit="1" customWidth="1"/>
    <col min="119" max="119" width="16.7109375" bestFit="1" customWidth="1"/>
    <col min="120" max="120" width="20.7109375" bestFit="1" customWidth="1"/>
    <col min="121" max="121" width="14.7109375" bestFit="1" customWidth="1"/>
    <col min="122" max="122" width="16.7109375" bestFit="1" customWidth="1"/>
    <col min="123" max="123" width="11.7109375" bestFit="1" customWidth="1"/>
    <col min="124" max="124" width="17.28515625" bestFit="1" customWidth="1"/>
    <col min="125" max="125" width="19.28515625" bestFit="1" customWidth="1"/>
    <col min="126" max="126" width="19.42578125" bestFit="1" customWidth="1"/>
    <col min="127" max="127" width="19.28515625" bestFit="1" customWidth="1"/>
    <col min="128" max="128" width="11.7109375" bestFit="1" customWidth="1"/>
    <col min="129" max="129" width="19.28515625" bestFit="1" customWidth="1"/>
    <col min="130" max="130" width="21.85546875" bestFit="1" customWidth="1"/>
    <col min="131" max="131" width="13.28515625" bestFit="1" customWidth="1"/>
    <col min="132" max="132" width="19.7109375" bestFit="1" customWidth="1"/>
    <col min="133" max="133" width="17.28515625" bestFit="1" customWidth="1"/>
    <col min="134" max="135" width="19.28515625" bestFit="1" customWidth="1"/>
    <col min="136" max="136" width="10.28515625" bestFit="1" customWidth="1"/>
    <col min="137" max="137" width="19.28515625" bestFit="1" customWidth="1"/>
    <col min="138" max="138" width="15.7109375" bestFit="1" customWidth="1"/>
    <col min="139" max="139" width="15.28515625" bestFit="1" customWidth="1"/>
    <col min="140" max="140" width="13.42578125" bestFit="1" customWidth="1"/>
    <col min="141" max="141" width="21.42578125" bestFit="1" customWidth="1"/>
    <col min="142" max="142" width="21.85546875" bestFit="1" customWidth="1"/>
    <col min="143" max="143" width="10.7109375" bestFit="1" customWidth="1"/>
    <col min="144" max="144" width="16.28515625" bestFit="1" customWidth="1"/>
    <col min="145" max="145" width="18.28515625" bestFit="1" customWidth="1"/>
    <col min="146" max="147" width="24.140625" bestFit="1" customWidth="1"/>
    <col min="148" max="148" width="14.7109375" bestFit="1" customWidth="1"/>
    <col min="149" max="150" width="16.7109375" bestFit="1" customWidth="1"/>
    <col min="151" max="151" width="20.42578125" bestFit="1" customWidth="1"/>
    <col min="152" max="152" width="19.28515625" bestFit="1" customWidth="1"/>
    <col min="153" max="153" width="14.28515625" bestFit="1" customWidth="1"/>
    <col min="154" max="154" width="18.28515625" bestFit="1" customWidth="1"/>
    <col min="155" max="156" width="14.7109375" bestFit="1" customWidth="1"/>
    <col min="157" max="157" width="16.7109375" bestFit="1" customWidth="1"/>
    <col min="158" max="158" width="17.7109375" bestFit="1" customWidth="1"/>
    <col min="159" max="159" width="15.7109375" bestFit="1" customWidth="1"/>
    <col min="160" max="161" width="17.7109375" bestFit="1" customWidth="1"/>
    <col min="162" max="162" width="16.140625" bestFit="1" customWidth="1"/>
    <col min="163" max="163" width="15.7109375" bestFit="1" customWidth="1"/>
    <col min="164" max="164" width="17.7109375" bestFit="1" customWidth="1"/>
    <col min="165" max="165" width="16.140625" bestFit="1" customWidth="1"/>
    <col min="166" max="166" width="14.7109375" bestFit="1" customWidth="1"/>
    <col min="167" max="167" width="16.7109375" bestFit="1" customWidth="1"/>
    <col min="168" max="168" width="19.28515625" bestFit="1" customWidth="1"/>
    <col min="169" max="169" width="11.7109375" bestFit="1" customWidth="1"/>
    <col min="170" max="170" width="17.28515625" bestFit="1" customWidth="1"/>
    <col min="171" max="171" width="19.28515625" bestFit="1" customWidth="1"/>
    <col min="172" max="172" width="14.7109375" bestFit="1" customWidth="1"/>
    <col min="173" max="173" width="18.28515625" bestFit="1" customWidth="1"/>
    <col min="174" max="174" width="13.28515625" bestFit="1" customWidth="1"/>
    <col min="175" max="175" width="14.7109375" bestFit="1" customWidth="1"/>
    <col min="176" max="176" width="16.7109375" bestFit="1" customWidth="1"/>
    <col min="177" max="177" width="18.28515625" bestFit="1" customWidth="1"/>
    <col min="178" max="178" width="9.28515625" bestFit="1" customWidth="1"/>
    <col min="179" max="179" width="10.7109375" bestFit="1" customWidth="1"/>
    <col min="180" max="180" width="18.28515625" bestFit="1" customWidth="1"/>
    <col min="181" max="181" width="9.28515625" bestFit="1" customWidth="1"/>
    <col min="182" max="182" width="18.28515625" bestFit="1" customWidth="1"/>
    <col min="183" max="184" width="17.7109375" bestFit="1" customWidth="1"/>
    <col min="185" max="185" width="14.140625" bestFit="1" customWidth="1"/>
    <col min="186" max="186" width="16.140625" bestFit="1" customWidth="1"/>
    <col min="187" max="187" width="17.85546875" bestFit="1" customWidth="1"/>
    <col min="188" max="188" width="15.140625" bestFit="1" customWidth="1"/>
    <col min="189" max="189" width="10.28515625" bestFit="1" customWidth="1"/>
    <col min="190" max="190" width="19.28515625" bestFit="1" customWidth="1"/>
    <col min="191" max="191" width="11.7109375" bestFit="1" customWidth="1"/>
    <col min="192" max="192" width="17.28515625" bestFit="1" customWidth="1"/>
    <col min="193" max="193" width="19.28515625" bestFit="1" customWidth="1"/>
    <col min="194" max="194" width="15.7109375" bestFit="1" customWidth="1"/>
    <col min="195" max="195" width="17.7109375" bestFit="1" customWidth="1"/>
    <col min="196" max="196" width="22.5703125" bestFit="1" customWidth="1"/>
    <col min="197" max="197" width="9.28515625" bestFit="1" customWidth="1"/>
    <col min="198" max="198" width="13.28515625" bestFit="1" customWidth="1"/>
    <col min="199" max="201" width="16.7109375" bestFit="1" customWidth="1"/>
    <col min="202" max="202" width="10.7109375" bestFit="1" customWidth="1"/>
  </cols>
  <sheetData>
    <row r="3" spans="1:2" x14ac:dyDescent="0.25">
      <c r="A3" s="42" t="s">
        <v>280</v>
      </c>
    </row>
    <row r="4" spans="1:2" x14ac:dyDescent="0.25">
      <c r="A4" s="42" t="s">
        <v>281</v>
      </c>
      <c r="B4" t="s">
        <v>311</v>
      </c>
    </row>
    <row r="5" spans="1:2" x14ac:dyDescent="0.25">
      <c r="A5" t="s">
        <v>283</v>
      </c>
      <c r="B5" s="190">
        <v>82.23696203258001</v>
      </c>
    </row>
    <row r="6" spans="1:2" x14ac:dyDescent="0.25">
      <c r="A6" t="s">
        <v>284</v>
      </c>
      <c r="B6" s="190">
        <v>214.5723329374695</v>
      </c>
    </row>
    <row r="7" spans="1:2" x14ac:dyDescent="0.25">
      <c r="A7" t="s">
        <v>287</v>
      </c>
      <c r="B7" s="190">
        <v>145.13903309821984</v>
      </c>
    </row>
    <row r="8" spans="1:2" x14ac:dyDescent="0.25">
      <c r="A8" t="s">
        <v>288</v>
      </c>
      <c r="B8" s="190">
        <v>101.62486295775</v>
      </c>
    </row>
    <row r="9" spans="1:2" x14ac:dyDescent="0.25">
      <c r="A9" t="s">
        <v>25</v>
      </c>
      <c r="B9" s="190">
        <v>14.667553091280002</v>
      </c>
    </row>
    <row r="10" spans="1:2" x14ac:dyDescent="0.25">
      <c r="A10" t="s">
        <v>289</v>
      </c>
      <c r="B10" s="190">
        <v>169.05630942483197</v>
      </c>
    </row>
    <row r="11" spans="1:2" x14ac:dyDescent="0.25">
      <c r="A11" t="s">
        <v>290</v>
      </c>
      <c r="B11" s="190">
        <v>94.862776782062014</v>
      </c>
    </row>
    <row r="12" spans="1:2" x14ac:dyDescent="0.25">
      <c r="A12" t="s">
        <v>71</v>
      </c>
      <c r="B12" s="190">
        <v>64.595235705809998</v>
      </c>
    </row>
    <row r="13" spans="1:2" x14ac:dyDescent="0.25">
      <c r="A13" t="s">
        <v>291</v>
      </c>
      <c r="B13" s="190">
        <v>0</v>
      </c>
    </row>
    <row r="14" spans="1:2" x14ac:dyDescent="0.25">
      <c r="A14" t="s">
        <v>293</v>
      </c>
      <c r="B14" s="190">
        <v>80.680237922749996</v>
      </c>
    </row>
    <row r="15" spans="1:2" x14ac:dyDescent="0.25">
      <c r="A15" t="s">
        <v>295</v>
      </c>
      <c r="B15" s="190">
        <v>55.249146720624999</v>
      </c>
    </row>
    <row r="16" spans="1:2" x14ac:dyDescent="0.25">
      <c r="A16" t="s">
        <v>296</v>
      </c>
      <c r="B16" s="190">
        <v>44.168936818477</v>
      </c>
    </row>
    <row r="17" spans="1:2" x14ac:dyDescent="0.25">
      <c r="A17" t="s">
        <v>297</v>
      </c>
      <c r="B17" s="190">
        <v>6.297886446684001</v>
      </c>
    </row>
    <row r="18" spans="1:2" x14ac:dyDescent="0.25">
      <c r="A18" t="s">
        <v>298</v>
      </c>
      <c r="B18" s="190">
        <v>87.858781721619991</v>
      </c>
    </row>
    <row r="19" spans="1:2" x14ac:dyDescent="0.25">
      <c r="A19" t="s">
        <v>299</v>
      </c>
      <c r="B19" s="190">
        <v>155.45207574111203</v>
      </c>
    </row>
    <row r="20" spans="1:2" x14ac:dyDescent="0.25">
      <c r="A20" t="s">
        <v>116</v>
      </c>
      <c r="B20" s="190">
        <v>0</v>
      </c>
    </row>
    <row r="21" spans="1:2" x14ac:dyDescent="0.25">
      <c r="A21" t="s">
        <v>91</v>
      </c>
      <c r="B21" s="190">
        <v>143.988593312376</v>
      </c>
    </row>
    <row r="22" spans="1:2" x14ac:dyDescent="0.25">
      <c r="A22" t="s">
        <v>300</v>
      </c>
      <c r="B22" s="190">
        <v>312.52478167691856</v>
      </c>
    </row>
    <row r="23" spans="1:2" x14ac:dyDescent="0.25">
      <c r="A23" t="s">
        <v>95</v>
      </c>
      <c r="B23" s="190">
        <v>154.59671925638</v>
      </c>
    </row>
    <row r="24" spans="1:2" x14ac:dyDescent="0.25">
      <c r="A24" t="s">
        <v>302</v>
      </c>
      <c r="B24" s="190">
        <v>227.02087630625499</v>
      </c>
    </row>
    <row r="25" spans="1:2" x14ac:dyDescent="0.25">
      <c r="A25" t="s">
        <v>150</v>
      </c>
      <c r="B25" s="190">
        <v>0</v>
      </c>
    </row>
    <row r="26" spans="1:2" x14ac:dyDescent="0.25">
      <c r="A26" t="s">
        <v>301</v>
      </c>
      <c r="B26" s="190">
        <v>14.696797157860001</v>
      </c>
    </row>
    <row r="27" spans="1:2" x14ac:dyDescent="0.25">
      <c r="A27" t="s">
        <v>303</v>
      </c>
      <c r="B27" s="190">
        <v>43.860601348552805</v>
      </c>
    </row>
    <row r="28" spans="1:2" x14ac:dyDescent="0.25">
      <c r="A28" t="s">
        <v>304</v>
      </c>
      <c r="B28" s="190">
        <v>186.86167607508003</v>
      </c>
    </row>
    <row r="29" spans="1:2" x14ac:dyDescent="0.25">
      <c r="A29" t="s">
        <v>305</v>
      </c>
      <c r="B29" s="190">
        <v>201.94459981794</v>
      </c>
    </row>
    <row r="30" spans="1:2" x14ac:dyDescent="0.25">
      <c r="A30" t="s">
        <v>306</v>
      </c>
      <c r="B30" s="190">
        <v>15.092951202549997</v>
      </c>
    </row>
    <row r="31" spans="1:2" x14ac:dyDescent="0.25">
      <c r="A31" t="s">
        <v>307</v>
      </c>
      <c r="B31" s="190">
        <v>238.05319988128204</v>
      </c>
    </row>
    <row r="32" spans="1:2" x14ac:dyDescent="0.25">
      <c r="A32" t="s">
        <v>310</v>
      </c>
      <c r="B32" s="190">
        <v>198.4209116459096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2247D-38E3-4887-9A1B-DADF94F92A2E}">
  <dimension ref="A1:AD108"/>
  <sheetViews>
    <sheetView zoomScale="90" zoomScaleNormal="90" workbookViewId="0">
      <pane ySplit="1" topLeftCell="A34" activePane="bottomLeft" state="frozen"/>
      <selection activeCell="C1" sqref="C1"/>
      <selection pane="bottomLeft" activeCell="N37" sqref="N37"/>
    </sheetView>
  </sheetViews>
  <sheetFormatPr defaultColWidth="13.85546875" defaultRowHeight="15" outlineLevelCol="2" x14ac:dyDescent="0.25"/>
  <cols>
    <col min="8" max="8" width="4.42578125" customWidth="1"/>
    <col min="11" max="11" width="6.42578125" customWidth="1"/>
    <col min="14" max="14" width="27.7109375" bestFit="1" customWidth="1"/>
    <col min="15" max="15" width="13.85546875" style="199"/>
    <col min="17" max="22" width="13.85546875" hidden="1" customWidth="1" outlineLevel="2"/>
    <col min="23" max="23" width="13.85546875" style="162" hidden="1" customWidth="1" outlineLevel="2"/>
    <col min="24" max="24" width="13.85546875" style="174" hidden="1" customWidth="1" outlineLevel="2"/>
    <col min="25" max="26" width="0" hidden="1" customWidth="1" outlineLevel="1"/>
    <col min="27" max="27" width="5.42578125" hidden="1" customWidth="1" outlineLevel="1"/>
    <col min="28" max="28" width="5.42578125" customWidth="1" collapsed="1"/>
    <col min="29" max="29" width="5.42578125" customWidth="1"/>
  </cols>
  <sheetData>
    <row r="1" spans="1:30" ht="60" x14ac:dyDescent="0.25">
      <c r="A1" s="512" t="s">
        <v>2</v>
      </c>
      <c r="B1" t="s">
        <v>312</v>
      </c>
      <c r="C1" s="513" t="s">
        <v>258</v>
      </c>
      <c r="D1" s="514" t="s">
        <v>313</v>
      </c>
      <c r="E1" s="515" t="s">
        <v>314</v>
      </c>
      <c r="F1" s="513" t="s">
        <v>315</v>
      </c>
      <c r="G1" s="516" t="s">
        <v>316</v>
      </c>
      <c r="H1" s="516" t="s">
        <v>317</v>
      </c>
      <c r="I1" s="516" t="s">
        <v>318</v>
      </c>
      <c r="J1" s="513" t="s">
        <v>319</v>
      </c>
      <c r="K1" s="515" t="s">
        <v>320</v>
      </c>
      <c r="L1" s="513" t="s">
        <v>202</v>
      </c>
      <c r="M1" s="395" t="s">
        <v>261</v>
      </c>
      <c r="N1" s="395" t="s">
        <v>321</v>
      </c>
      <c r="O1" s="513" t="s">
        <v>322</v>
      </c>
      <c r="P1" s="517" t="s">
        <v>323</v>
      </c>
      <c r="Q1" s="518" t="s">
        <v>324</v>
      </c>
      <c r="R1" s="515" t="s">
        <v>325</v>
      </c>
      <c r="S1" s="515" t="s">
        <v>326</v>
      </c>
      <c r="T1" s="515" t="s">
        <v>327</v>
      </c>
      <c r="U1" s="515" t="s">
        <v>328</v>
      </c>
      <c r="V1" s="515" t="s">
        <v>329</v>
      </c>
      <c r="W1" s="515" t="s">
        <v>330</v>
      </c>
      <c r="X1" s="519" t="s">
        <v>331</v>
      </c>
      <c r="Y1" s="519" t="s">
        <v>332</v>
      </c>
      <c r="Z1" s="515" t="s">
        <v>333</v>
      </c>
      <c r="AA1" s="520" t="s">
        <v>334</v>
      </c>
      <c r="AB1" s="521" t="s">
        <v>335</v>
      </c>
      <c r="AC1" s="521" t="s">
        <v>336</v>
      </c>
      <c r="AD1" s="205" t="s">
        <v>337</v>
      </c>
    </row>
    <row r="2" spans="1:30" x14ac:dyDescent="0.25">
      <c r="A2" s="265" t="s">
        <v>10</v>
      </c>
      <c r="B2" s="265">
        <v>943209</v>
      </c>
      <c r="C2" s="147" t="s">
        <v>116</v>
      </c>
      <c r="D2" s="147" t="s">
        <v>338</v>
      </c>
      <c r="E2" s="147" t="s">
        <v>339</v>
      </c>
      <c r="F2" s="147" t="s">
        <v>340</v>
      </c>
      <c r="G2" s="148">
        <v>12.7</v>
      </c>
      <c r="H2" s="148"/>
      <c r="I2" s="148">
        <v>1.2</v>
      </c>
      <c r="J2" s="147">
        <v>6000</v>
      </c>
      <c r="K2" s="147">
        <v>6</v>
      </c>
      <c r="L2" s="147" t="str">
        <f t="shared" ref="L2:L63" si="0">_xlfn.CONCAT(G2,I2,K2,F2,E2)</f>
        <v>12.71.26ERWNON FIN</v>
      </c>
      <c r="M2" s="147" t="str">
        <f>VLOOKUP(Table27[[#This Row],[Key]],Table29[[#All],[Key]:[TSL Material Code3]],4,0)</f>
        <v>No Key</v>
      </c>
      <c r="N2" s="147" t="str">
        <f>VLOOKUP(Table27[[#This Row],[Key]],Table29[[#All],[Key]:[TSL Material Code3]],5,0)</f>
        <v>No Key</v>
      </c>
      <c r="O2" s="149" t="str">
        <f>VLOOKUP(Table27[[#This Row],[Key]],Table29[[#All],[Key]:[TSL Material Code3]],7,0)</f>
        <v>0789</v>
      </c>
      <c r="P2" s="150">
        <f>VLOOKUP(Table27[[#This Row],[Key]],Table29[[#All],[Key]:[TSL Material Code3]],8,0)</f>
        <v>1939985</v>
      </c>
      <c r="Q2" s="19">
        <v>10</v>
      </c>
      <c r="R2" s="147">
        <v>3</v>
      </c>
      <c r="S2" s="147">
        <v>10</v>
      </c>
      <c r="T2" s="147">
        <v>0</v>
      </c>
      <c r="U2" s="147">
        <f t="shared" ref="U2:U66" si="1">S2-R2</f>
        <v>7</v>
      </c>
      <c r="V2" s="147"/>
      <c r="W2" s="147">
        <f t="shared" ref="W2:W68" si="2">U2+V2</f>
        <v>7</v>
      </c>
      <c r="X2" s="19">
        <f>Q2-W2</f>
        <v>3</v>
      </c>
      <c r="Y2" s="167">
        <f t="shared" ref="Y2:Y64" si="3">IF(X2&gt;0,X2,0)*150%</f>
        <v>4.5</v>
      </c>
      <c r="Z2" s="19">
        <f>ROUND(SUMIFS(meghsteelsales_previousmonth[Quantity],meghsteelsales_previousmonth[Length Bucket],Table27[[#This Row],[Bucket CTL]])/1000,0)</f>
        <v>0</v>
      </c>
      <c r="AA2" s="419">
        <f>ROUND(SUMIFS(meghsteelsales_currentmonth[Quantity],meghsteelsales_currentmonth[Length Bucket],Table27[[#This Row],[Bucket CTL]])/1000,0)</f>
        <v>0</v>
      </c>
      <c r="AB2" s="90">
        <f>Table27[[#This Row],[ INDENT  FOR NOV-25 recommended]]+Table27[[#This Row],[order logg ]]</f>
        <v>4.5</v>
      </c>
      <c r="AC2" s="90">
        <f>Table27[[#This Row],[Before 20th]]+Table27[[#This Row],[ofter 20th]]</f>
        <v>0</v>
      </c>
      <c r="AD2">
        <f>IF(Table27[[#This Row],[Total Indent]]-Table27[[#This Row],[Total Supplied]]&lt;0,0,Table27[[#This Row],[Total Indent]]-Table27[[#This Row],[Total Supplied]])</f>
        <v>4.5</v>
      </c>
    </row>
    <row r="3" spans="1:30" x14ac:dyDescent="0.25">
      <c r="A3" s="265" t="s">
        <v>341</v>
      </c>
      <c r="B3" s="265">
        <v>943210</v>
      </c>
      <c r="C3" s="147" t="s">
        <v>342</v>
      </c>
      <c r="D3" s="147" t="s">
        <v>338</v>
      </c>
      <c r="E3" s="147" t="s">
        <v>339</v>
      </c>
      <c r="F3" s="147" t="s">
        <v>340</v>
      </c>
      <c r="G3" s="148">
        <v>12.7</v>
      </c>
      <c r="H3" s="148"/>
      <c r="I3" s="148">
        <v>1.4</v>
      </c>
      <c r="J3" s="147">
        <v>6000</v>
      </c>
      <c r="K3" s="147">
        <v>6</v>
      </c>
      <c r="L3" s="147" t="str">
        <f t="shared" si="0"/>
        <v>12.71.46ERWNON FIN</v>
      </c>
      <c r="M3" s="147" t="str">
        <f>VLOOKUP(Table27[[#This Row],[Key]],Table29[[#All],[Key]:[TSL Material Code3]],4,0)</f>
        <v>No Key</v>
      </c>
      <c r="N3" s="147" t="str">
        <f>VLOOKUP(Table27[[#This Row],[Key]],Table29[[#All],[Key]:[TSL Material Code3]],5,0)</f>
        <v>No Key</v>
      </c>
      <c r="O3" s="149" t="str">
        <f>VLOOKUP(Table27[[#This Row],[Key]],Table29[[#All],[Key]:[TSL Material Code3]],7,0)</f>
        <v>0789</v>
      </c>
      <c r="P3" s="150">
        <f>VLOOKUP(Table27[[#This Row],[Key]],Table29[[#All],[Key]:[TSL Material Code3]],8,0)</f>
        <v>1931117</v>
      </c>
      <c r="Q3" s="19">
        <v>5</v>
      </c>
      <c r="R3" s="147">
        <v>0</v>
      </c>
      <c r="S3" s="147">
        <v>5</v>
      </c>
      <c r="T3" s="147">
        <v>0</v>
      </c>
      <c r="U3" s="147">
        <f t="shared" si="1"/>
        <v>5</v>
      </c>
      <c r="V3" s="147"/>
      <c r="W3" s="147">
        <f t="shared" si="2"/>
        <v>5</v>
      </c>
      <c r="X3" s="19">
        <f t="shared" ref="X3:X68" si="4">Q3-W3</f>
        <v>0</v>
      </c>
      <c r="Y3" s="167">
        <f t="shared" si="3"/>
        <v>0</v>
      </c>
      <c r="Z3" s="19">
        <f>ROUND(SUMIFS(meghsteelsales_previousmonth[Quantity],meghsteelsales_previousmonth[Length Bucket],Table27[[#This Row],[Bucket CTL]])/1000,0)</f>
        <v>0</v>
      </c>
      <c r="AA3" s="419">
        <f>ROUND(SUMIFS(meghsteelsales_currentmonth[Quantity],meghsteelsales_currentmonth[Length Bucket],Table27[[#This Row],[Bucket CTL]])/1000,0)</f>
        <v>0</v>
      </c>
      <c r="AB3" s="90">
        <f>Table27[[#This Row],[ INDENT  FOR NOV-25 recommended]]+Table27[[#This Row],[order logg ]]</f>
        <v>0</v>
      </c>
      <c r="AC3" s="90">
        <f>Table27[[#This Row],[Before 20th]]+Table27[[#This Row],[ofter 20th]]</f>
        <v>0</v>
      </c>
      <c r="AD3">
        <f>IF(Table27[[#This Row],[Total Indent]]-Table27[[#This Row],[Total Supplied]]&lt;0,0,Table27[[#This Row],[Total Indent]]-Table27[[#This Row],[Total Supplied]])</f>
        <v>0</v>
      </c>
    </row>
    <row r="4" spans="1:30" x14ac:dyDescent="0.25">
      <c r="A4" s="265" t="s">
        <v>341</v>
      </c>
      <c r="B4" s="265">
        <v>943210</v>
      </c>
      <c r="C4" s="147" t="s">
        <v>342</v>
      </c>
      <c r="D4" s="147" t="s">
        <v>338</v>
      </c>
      <c r="E4" s="147" t="s">
        <v>339</v>
      </c>
      <c r="F4" s="147" t="s">
        <v>340</v>
      </c>
      <c r="G4" s="148">
        <v>12.7</v>
      </c>
      <c r="H4" s="148"/>
      <c r="I4" s="148">
        <v>1.6</v>
      </c>
      <c r="J4" s="147">
        <v>6000</v>
      </c>
      <c r="K4" s="147">
        <v>6</v>
      </c>
      <c r="L4" s="147" t="str">
        <f t="shared" si="0"/>
        <v>12.71.66ERWNON FIN</v>
      </c>
      <c r="M4" s="147" t="str">
        <f>VLOOKUP(Table27[[#This Row],[Key]],Table29[[#All],[Key]:[TSL Material Code3]],4,0)</f>
        <v>No Key</v>
      </c>
      <c r="N4" s="147" t="str">
        <f>VLOOKUP(Table27[[#This Row],[Key]],Table29[[#All],[Key]:[TSL Material Code3]],5,0)</f>
        <v>No Key</v>
      </c>
      <c r="O4" s="149" t="str">
        <f>VLOOKUP(Table27[[#This Row],[Key]],Table29[[#All],[Key]:[TSL Material Code3]],7,0)</f>
        <v>0789</v>
      </c>
      <c r="P4" s="150">
        <f>VLOOKUP(Table27[[#This Row],[Key]],Table29[[#All],[Key]:[TSL Material Code3]],8,0)</f>
        <v>1931154</v>
      </c>
      <c r="Q4" s="19">
        <v>5</v>
      </c>
      <c r="R4" s="147">
        <v>1</v>
      </c>
      <c r="S4" s="147">
        <v>3</v>
      </c>
      <c r="T4" s="147">
        <v>0</v>
      </c>
      <c r="U4" s="147">
        <f t="shared" si="1"/>
        <v>2</v>
      </c>
      <c r="V4" s="147"/>
      <c r="W4" s="147">
        <f t="shared" si="2"/>
        <v>2</v>
      </c>
      <c r="X4" s="19">
        <f t="shared" si="4"/>
        <v>3</v>
      </c>
      <c r="Y4" s="167">
        <f t="shared" si="3"/>
        <v>4.5</v>
      </c>
      <c r="Z4" s="19">
        <f>ROUND(SUMIFS(meghsteelsales_previousmonth[Quantity],meghsteelsales_previousmonth[Length Bucket],Table27[[#This Row],[Bucket CTL]])/1000,0)</f>
        <v>0</v>
      </c>
      <c r="AA4" s="419">
        <f>ROUND(SUMIFS(meghsteelsales_currentmonth[Quantity],meghsteelsales_currentmonth[Length Bucket],Table27[[#This Row],[Bucket CTL]])/1000,0)</f>
        <v>0</v>
      </c>
      <c r="AB4" s="90">
        <f>Table27[[#This Row],[ INDENT  FOR NOV-25 recommended]]+Table27[[#This Row],[order logg ]]</f>
        <v>4.5</v>
      </c>
      <c r="AC4" s="90">
        <f>Table27[[#This Row],[Before 20th]]+Table27[[#This Row],[ofter 20th]]</f>
        <v>0</v>
      </c>
      <c r="AD4">
        <f>IF(Table27[[#This Row],[Total Indent]]-Table27[[#This Row],[Total Supplied]]&lt;0,0,Table27[[#This Row],[Total Indent]]-Table27[[#This Row],[Total Supplied]])</f>
        <v>4.5</v>
      </c>
    </row>
    <row r="5" spans="1:30" x14ac:dyDescent="0.25">
      <c r="A5" s="265" t="s">
        <v>341</v>
      </c>
      <c r="B5" s="265">
        <v>943210</v>
      </c>
      <c r="C5" s="147" t="s">
        <v>342</v>
      </c>
      <c r="D5" s="147" t="s">
        <v>338</v>
      </c>
      <c r="E5" s="147" t="s">
        <v>339</v>
      </c>
      <c r="F5" s="147" t="s">
        <v>340</v>
      </c>
      <c r="G5" s="148">
        <v>15.88</v>
      </c>
      <c r="H5" s="148"/>
      <c r="I5" s="148">
        <v>1</v>
      </c>
      <c r="J5" s="147">
        <v>6000</v>
      </c>
      <c r="K5" s="147">
        <v>6</v>
      </c>
      <c r="L5" s="147" t="str">
        <f t="shared" si="0"/>
        <v>15.8816ERWNON FIN</v>
      </c>
      <c r="M5" s="147" t="str">
        <f>VLOOKUP(Table27[[#This Row],[Key]],Table29[[#All],[Key]:[TSL Material Code3]],4,0)</f>
        <v>15.88-0-1-ERW 1-PE</v>
      </c>
      <c r="N5" s="147" t="str">
        <f>VLOOKUP(Table27[[#This Row],[Key]],Table29[[#All],[Key]:[TSL Material Code3]],5,0)</f>
        <v>15.88-0-1-ERW 1-PE-6</v>
      </c>
      <c r="O5" s="149" t="str">
        <f>VLOOKUP(Table27[[#This Row],[Key]],Table29[[#All],[Key]:[TSL Material Code3]],7,0)</f>
        <v>0789</v>
      </c>
      <c r="P5" s="150">
        <f>VLOOKUP(Table27[[#This Row],[Key]],Table29[[#All],[Key]:[TSL Material Code3]],8,0)</f>
        <v>1940054</v>
      </c>
      <c r="Q5" s="19">
        <v>1</v>
      </c>
      <c r="R5" s="147">
        <v>0</v>
      </c>
      <c r="S5" s="147">
        <v>1.4</v>
      </c>
      <c r="T5" s="147">
        <v>0</v>
      </c>
      <c r="U5" s="147">
        <f t="shared" si="1"/>
        <v>1.4</v>
      </c>
      <c r="V5" s="147"/>
      <c r="W5" s="147">
        <f t="shared" si="2"/>
        <v>1.4</v>
      </c>
      <c r="X5" s="19">
        <f t="shared" si="4"/>
        <v>-0.39999999999999991</v>
      </c>
      <c r="Y5" s="167">
        <f t="shared" si="3"/>
        <v>0</v>
      </c>
      <c r="Z5" s="19">
        <f>ROUND(SUMIFS(meghsteelsales_previousmonth[Quantity],meghsteelsales_previousmonth[Length Bucket],Table27[[#This Row],[Bucket CTL]])/1000,0)</f>
        <v>0</v>
      </c>
      <c r="AA5" s="419">
        <f>ROUND(SUMIFS(meghsteelsales_currentmonth[Quantity],meghsteelsales_currentmonth[Length Bucket],Table27[[#This Row],[Bucket CTL]])/1000,0)</f>
        <v>0</v>
      </c>
      <c r="AB5" s="90">
        <f>Table27[[#This Row],[ INDENT  FOR NOV-25 recommended]]+Table27[[#This Row],[order logg ]]</f>
        <v>0</v>
      </c>
      <c r="AC5" s="90">
        <f>Table27[[#This Row],[Before 20th]]+Table27[[#This Row],[ofter 20th]]</f>
        <v>0</v>
      </c>
      <c r="AD5">
        <f>IF(Table27[[#This Row],[Total Indent]]-Table27[[#This Row],[Total Supplied]]&lt;0,0,Table27[[#This Row],[Total Indent]]-Table27[[#This Row],[Total Supplied]])</f>
        <v>0</v>
      </c>
    </row>
    <row r="6" spans="1:30" x14ac:dyDescent="0.25">
      <c r="A6" s="265" t="s">
        <v>10</v>
      </c>
      <c r="B6" s="265">
        <v>943209</v>
      </c>
      <c r="C6" s="147" t="s">
        <v>116</v>
      </c>
      <c r="D6" s="147" t="s">
        <v>338</v>
      </c>
      <c r="E6" s="147" t="s">
        <v>339</v>
      </c>
      <c r="F6" s="147" t="s">
        <v>340</v>
      </c>
      <c r="G6" s="148">
        <v>15.88</v>
      </c>
      <c r="H6" s="148"/>
      <c r="I6" s="148">
        <v>1.2</v>
      </c>
      <c r="J6" s="147">
        <v>6000</v>
      </c>
      <c r="K6" s="147">
        <v>6</v>
      </c>
      <c r="L6" s="147" t="str">
        <f t="shared" si="0"/>
        <v>15.881.26ERWNON FIN</v>
      </c>
      <c r="M6" s="147" t="str">
        <f>VLOOKUP(Table27[[#This Row],[Key]],Table29[[#All],[Key]:[TSL Material Code3]],4,0)</f>
        <v>15.88-0-1-ERW 1-PE</v>
      </c>
      <c r="N6" s="147" t="str">
        <f>VLOOKUP(Table27[[#This Row],[Key]],Table29[[#All],[Key]:[TSL Material Code3]],5,0)</f>
        <v>15.88-0-1-ERW 1-PE-6</v>
      </c>
      <c r="O6" s="149" t="str">
        <f>VLOOKUP(Table27[[#This Row],[Key]],Table29[[#All],[Key]:[TSL Material Code3]],7,0)</f>
        <v>0789</v>
      </c>
      <c r="P6" s="150">
        <f>VLOOKUP(Table27[[#This Row],[Key]],Table29[[#All],[Key]:[TSL Material Code3]],8,0)</f>
        <v>1940054</v>
      </c>
      <c r="Q6" s="19">
        <v>8</v>
      </c>
      <c r="R6" s="147">
        <v>4</v>
      </c>
      <c r="S6" s="147">
        <v>22.4</v>
      </c>
      <c r="T6" s="147">
        <v>0</v>
      </c>
      <c r="U6" s="147">
        <f t="shared" si="1"/>
        <v>18.399999999999999</v>
      </c>
      <c r="V6" s="147"/>
      <c r="W6" s="147">
        <f t="shared" si="2"/>
        <v>18.399999999999999</v>
      </c>
      <c r="X6" s="19">
        <f t="shared" si="4"/>
        <v>-10.399999999999999</v>
      </c>
      <c r="Y6" s="167">
        <f t="shared" si="3"/>
        <v>0</v>
      </c>
      <c r="Z6" s="19">
        <f>ROUND(SUMIFS(meghsteelsales_previousmonth[Quantity],meghsteelsales_previousmonth[Length Bucket],Table27[[#This Row],[Bucket CTL]])/1000,0)</f>
        <v>0</v>
      </c>
      <c r="AA6" s="419">
        <f>ROUND(SUMIFS(meghsteelsales_currentmonth[Quantity],meghsteelsales_currentmonth[Length Bucket],Table27[[#This Row],[Bucket CTL]])/1000,0)</f>
        <v>0</v>
      </c>
      <c r="AB6" s="90">
        <f>Table27[[#This Row],[ INDENT  FOR NOV-25 recommended]]+Table27[[#This Row],[order logg ]]</f>
        <v>0</v>
      </c>
      <c r="AC6" s="90">
        <f>Table27[[#This Row],[Before 20th]]+Table27[[#This Row],[ofter 20th]]</f>
        <v>0</v>
      </c>
      <c r="AD6">
        <f>IF(Table27[[#This Row],[Total Indent]]-Table27[[#This Row],[Total Supplied]]&lt;0,0,Table27[[#This Row],[Total Indent]]-Table27[[#This Row],[Total Supplied]])</f>
        <v>0</v>
      </c>
    </row>
    <row r="7" spans="1:30" x14ac:dyDescent="0.25">
      <c r="A7" s="265" t="s">
        <v>341</v>
      </c>
      <c r="B7" s="265">
        <v>943210</v>
      </c>
      <c r="C7" s="147" t="s">
        <v>342</v>
      </c>
      <c r="D7" s="147" t="s">
        <v>338</v>
      </c>
      <c r="E7" s="147" t="s">
        <v>339</v>
      </c>
      <c r="F7" s="147" t="s">
        <v>340</v>
      </c>
      <c r="G7" s="148">
        <v>15.88</v>
      </c>
      <c r="H7" s="148"/>
      <c r="I7" s="148">
        <v>1.6</v>
      </c>
      <c r="J7" s="147">
        <v>6000</v>
      </c>
      <c r="K7" s="147">
        <v>6</v>
      </c>
      <c r="L7" s="147" t="str">
        <f t="shared" si="0"/>
        <v>15.881.66ERWNON FIN</v>
      </c>
      <c r="M7" s="147" t="str">
        <f>VLOOKUP(Table27[[#This Row],[Key]],Table29[[#All],[Key]:[TSL Material Code3]],4,0)</f>
        <v>15.88-0-1.6-ERW 1-PE</v>
      </c>
      <c r="N7" s="147" t="str">
        <f>VLOOKUP(Table27[[#This Row],[Key]],Table29[[#All],[Key]:[TSL Material Code3]],5,0)</f>
        <v>15.88-0-1.6-ERW 1-PE-6</v>
      </c>
      <c r="O7" s="149" t="str">
        <f>VLOOKUP(Table27[[#This Row],[Key]],Table29[[#All],[Key]:[TSL Material Code3]],7,0)</f>
        <v>0789</v>
      </c>
      <c r="P7" s="150">
        <f>VLOOKUP(Table27[[#This Row],[Key]],Table29[[#All],[Key]:[TSL Material Code3]],8,0)</f>
        <v>1900224</v>
      </c>
      <c r="Q7" s="19">
        <v>5</v>
      </c>
      <c r="R7" s="147">
        <v>2</v>
      </c>
      <c r="S7" s="147">
        <v>0.5</v>
      </c>
      <c r="T7" s="147">
        <v>2.75</v>
      </c>
      <c r="U7" s="147">
        <f t="shared" si="1"/>
        <v>-1.5</v>
      </c>
      <c r="V7" s="147"/>
      <c r="W7" s="147">
        <f t="shared" si="2"/>
        <v>-1.5</v>
      </c>
      <c r="X7" s="19">
        <f t="shared" si="4"/>
        <v>6.5</v>
      </c>
      <c r="Y7" s="167">
        <f t="shared" si="3"/>
        <v>9.75</v>
      </c>
      <c r="Z7" s="19">
        <f>ROUND(SUMIFS(meghsteelsales_previousmonth[Quantity],meghsteelsales_previousmonth[Length Bucket],Table27[[#This Row],[Bucket CTL]])/1000,0)</f>
        <v>0</v>
      </c>
      <c r="AA7" s="419">
        <f>ROUND(SUMIFS(meghsteelsales_currentmonth[Quantity],meghsteelsales_currentmonth[Length Bucket],Table27[[#This Row],[Bucket CTL]])/1000,0)</f>
        <v>0</v>
      </c>
      <c r="AB7" s="90">
        <f>Table27[[#This Row],[ INDENT  FOR NOV-25 recommended]]+Table27[[#This Row],[order logg ]]</f>
        <v>9.75</v>
      </c>
      <c r="AC7" s="90">
        <f>Table27[[#This Row],[Before 20th]]+Table27[[#This Row],[ofter 20th]]</f>
        <v>0</v>
      </c>
      <c r="AD7">
        <f>IF(Table27[[#This Row],[Total Indent]]-Table27[[#This Row],[Total Supplied]]&lt;0,0,Table27[[#This Row],[Total Indent]]-Table27[[#This Row],[Total Supplied]])</f>
        <v>9.75</v>
      </c>
    </row>
    <row r="8" spans="1:30" x14ac:dyDescent="0.25">
      <c r="A8" s="265" t="s">
        <v>341</v>
      </c>
      <c r="B8" s="265">
        <v>943210</v>
      </c>
      <c r="C8" s="147" t="s">
        <v>342</v>
      </c>
      <c r="D8" s="147" t="s">
        <v>338</v>
      </c>
      <c r="E8" s="147" t="s">
        <v>339</v>
      </c>
      <c r="F8" s="147" t="s">
        <v>340</v>
      </c>
      <c r="G8" s="148">
        <v>15.88</v>
      </c>
      <c r="H8" s="148"/>
      <c r="I8" s="148">
        <v>2</v>
      </c>
      <c r="J8" s="147">
        <v>6000</v>
      </c>
      <c r="K8" s="147">
        <v>6</v>
      </c>
      <c r="L8" s="147" t="str">
        <f t="shared" si="0"/>
        <v>15.8826ERWNON FIN</v>
      </c>
      <c r="M8" s="147" t="str">
        <f>VLOOKUP(Table27[[#This Row],[Key]],Table29[[#All],[Key]:[TSL Material Code3]],4,0)</f>
        <v>15.88-0-2-ERW 1-PE</v>
      </c>
      <c r="N8" s="147" t="str">
        <f>VLOOKUP(Table27[[#This Row],[Key]],Table29[[#All],[Key]:[TSL Material Code3]],5,0)</f>
        <v>15.88-0-2-ERW 1-PE-6</v>
      </c>
      <c r="O8" s="149" t="str">
        <f>VLOOKUP(Table27[[#This Row],[Key]],Table29[[#All],[Key]:[TSL Material Code3]],7,0)</f>
        <v>0789</v>
      </c>
      <c r="P8" s="150">
        <f>VLOOKUP(Table27[[#This Row],[Key]],Table29[[#All],[Key]:[TSL Material Code3]],8,0)</f>
        <v>1940120</v>
      </c>
      <c r="Q8" s="19">
        <v>5</v>
      </c>
      <c r="R8" s="147">
        <v>1</v>
      </c>
      <c r="S8" s="147">
        <v>10</v>
      </c>
      <c r="T8" s="147">
        <v>0</v>
      </c>
      <c r="U8" s="147">
        <f t="shared" si="1"/>
        <v>9</v>
      </c>
      <c r="V8" s="147"/>
      <c r="W8" s="147">
        <f t="shared" si="2"/>
        <v>9</v>
      </c>
      <c r="X8" s="19">
        <f t="shared" si="4"/>
        <v>-4</v>
      </c>
      <c r="Y8" s="167">
        <f t="shared" si="3"/>
        <v>0</v>
      </c>
      <c r="Z8" s="19">
        <f>ROUND(SUMIFS(meghsteelsales_previousmonth[Quantity],meghsteelsales_previousmonth[Length Bucket],Table27[[#This Row],[Bucket CTL]])/1000,0)</f>
        <v>0</v>
      </c>
      <c r="AA8" s="419">
        <f>ROUND(SUMIFS(meghsteelsales_currentmonth[Quantity],meghsteelsales_currentmonth[Length Bucket],Table27[[#This Row],[Bucket CTL]])/1000,0)</f>
        <v>0</v>
      </c>
      <c r="AB8" s="90">
        <f>Table27[[#This Row],[ INDENT  FOR NOV-25 recommended]]+Table27[[#This Row],[order logg ]]</f>
        <v>0</v>
      </c>
      <c r="AC8" s="90">
        <f>Table27[[#This Row],[Before 20th]]+Table27[[#This Row],[ofter 20th]]</f>
        <v>0</v>
      </c>
      <c r="AD8">
        <f>IF(Table27[[#This Row],[Total Indent]]-Table27[[#This Row],[Total Supplied]]&lt;0,0,Table27[[#This Row],[Total Indent]]-Table27[[#This Row],[Total Supplied]])</f>
        <v>0</v>
      </c>
    </row>
    <row r="9" spans="1:30" x14ac:dyDescent="0.25">
      <c r="A9" s="265" t="s">
        <v>10</v>
      </c>
      <c r="B9" s="265">
        <v>943209</v>
      </c>
      <c r="C9" s="147" t="s">
        <v>343</v>
      </c>
      <c r="D9" s="147" t="s">
        <v>338</v>
      </c>
      <c r="E9" s="147" t="s">
        <v>339</v>
      </c>
      <c r="F9" s="147" t="s">
        <v>340</v>
      </c>
      <c r="G9" s="148">
        <v>18.2</v>
      </c>
      <c r="H9" s="148"/>
      <c r="I9" s="148">
        <v>1</v>
      </c>
      <c r="J9" s="147">
        <v>6000</v>
      </c>
      <c r="K9" s="147">
        <v>6</v>
      </c>
      <c r="L9" s="147" t="str">
        <f t="shared" si="0"/>
        <v>18.216ERWNON FIN</v>
      </c>
      <c r="M9" s="147">
        <f>VLOOKUP(Table27[[#This Row],[Key]],Table29[[#All],[Key]:[TSL Material Code3]],4,0)</f>
        <v>0</v>
      </c>
      <c r="N9" s="147" t="e">
        <f>VLOOKUP(Table27[[#This Row],[Key]],Table29[[#All],[Key]:[TSL Material Code3]],5,0)</f>
        <v>#N/A</v>
      </c>
      <c r="O9" s="149" t="str">
        <f>VLOOKUP(Table27[[#This Row],[Key]],Table29[[#All],[Key]:[TSL Material Code3]],7,0)</f>
        <v>0789</v>
      </c>
      <c r="P9" s="150">
        <f>VLOOKUP(Table27[[#This Row],[Key]],Table29[[#All],[Key]:[TSL Material Code3]],8,0)</f>
        <v>2288945</v>
      </c>
      <c r="Q9" s="19">
        <v>10</v>
      </c>
      <c r="R9" s="147">
        <v>5</v>
      </c>
      <c r="S9" s="147">
        <v>8.8000000000000007</v>
      </c>
      <c r="T9" s="147">
        <v>0</v>
      </c>
      <c r="U9" s="147">
        <f t="shared" si="1"/>
        <v>3.8000000000000007</v>
      </c>
      <c r="V9" s="147"/>
      <c r="W9" s="147">
        <f t="shared" si="2"/>
        <v>3.8000000000000007</v>
      </c>
      <c r="X9" s="19">
        <f t="shared" si="4"/>
        <v>6.1999999999999993</v>
      </c>
      <c r="Y9" s="167">
        <f t="shared" si="3"/>
        <v>9.2999999999999989</v>
      </c>
      <c r="Z9" s="19">
        <f>ROUND(SUMIFS(meghsteelsales_previousmonth[Quantity],meghsteelsales_previousmonth[Length Bucket],Table27[[#This Row],[Bucket CTL]])/1000,0)</f>
        <v>0</v>
      </c>
      <c r="AA9" s="419">
        <f>ROUND(SUMIFS(meghsteelsales_currentmonth[Quantity],meghsteelsales_currentmonth[Length Bucket],Table27[[#This Row],[Bucket CTL]])/1000,0)</f>
        <v>0</v>
      </c>
      <c r="AB9" s="90">
        <f>Table27[[#This Row],[ INDENT  FOR NOV-25 recommended]]+Table27[[#This Row],[order logg ]]</f>
        <v>9.2999999999999989</v>
      </c>
      <c r="AC9" s="90">
        <f>Table27[[#This Row],[Before 20th]]+Table27[[#This Row],[ofter 20th]]</f>
        <v>0</v>
      </c>
      <c r="AD9">
        <f>IF(Table27[[#This Row],[Total Indent]]-Table27[[#This Row],[Total Supplied]]&lt;0,0,Table27[[#This Row],[Total Indent]]-Table27[[#This Row],[Total Supplied]])</f>
        <v>9.2999999999999989</v>
      </c>
    </row>
    <row r="10" spans="1:30" x14ac:dyDescent="0.25">
      <c r="A10" s="265" t="s">
        <v>341</v>
      </c>
      <c r="B10" s="265">
        <v>943210</v>
      </c>
      <c r="C10" s="147" t="s">
        <v>342</v>
      </c>
      <c r="D10" s="153" t="s">
        <v>338</v>
      </c>
      <c r="E10" s="147" t="s">
        <v>339</v>
      </c>
      <c r="F10" s="147" t="s">
        <v>340</v>
      </c>
      <c r="G10" s="148">
        <v>19.05</v>
      </c>
      <c r="H10" s="148"/>
      <c r="I10" s="148">
        <v>1.6</v>
      </c>
      <c r="J10" s="147">
        <v>6000</v>
      </c>
      <c r="K10" s="147">
        <v>6</v>
      </c>
      <c r="L10" s="147" t="str">
        <f t="shared" si="0"/>
        <v>19.051.66ERWNON FIN</v>
      </c>
      <c r="M10" s="147" t="str">
        <f>VLOOKUP(Table27[[#This Row],[Key]],Table29[[#All],[Key]:[TSL Material Code3]],4,0)</f>
        <v>19.05-0-1.6-ERW 1-PE</v>
      </c>
      <c r="N10" s="147" t="str">
        <f>VLOOKUP(Table27[[#This Row],[Key]],Table29[[#All],[Key]:[TSL Material Code3]],5,0)</f>
        <v>19.05-0-1.6-ERW 1-PE-6</v>
      </c>
      <c r="O10" s="149" t="str">
        <f>VLOOKUP(Table27[[#This Row],[Key]],Table29[[#All],[Key]:[TSL Material Code3]],7,0)</f>
        <v>056</v>
      </c>
      <c r="P10" s="150">
        <f>VLOOKUP(Table27[[#This Row],[Key]],Table29[[#All],[Key]:[TSL Material Code3]],8,0)</f>
        <v>3498997</v>
      </c>
      <c r="Q10" s="19">
        <v>10</v>
      </c>
      <c r="R10" s="147">
        <v>5</v>
      </c>
      <c r="S10" s="147">
        <v>14</v>
      </c>
      <c r="T10" s="147">
        <v>0</v>
      </c>
      <c r="U10" s="147">
        <f t="shared" si="1"/>
        <v>9</v>
      </c>
      <c r="V10" s="147">
        <v>2.7</v>
      </c>
      <c r="W10" s="147">
        <f t="shared" si="2"/>
        <v>11.7</v>
      </c>
      <c r="X10" s="19">
        <f t="shared" si="4"/>
        <v>-1.6999999999999993</v>
      </c>
      <c r="Y10" s="167">
        <f t="shared" si="3"/>
        <v>0</v>
      </c>
      <c r="Z10" s="19">
        <f>ROUND(SUMIFS(meghsteelsales_previousmonth[Quantity],meghsteelsales_previousmonth[Length Bucket],Table27[[#This Row],[Bucket CTL]])/1000,0)</f>
        <v>11</v>
      </c>
      <c r="AA10" s="419">
        <f>ROUND(SUMIFS(meghsteelsales_currentmonth[Quantity],meghsteelsales_currentmonth[Length Bucket],Table27[[#This Row],[Bucket CTL]])/1000,0)</f>
        <v>12</v>
      </c>
      <c r="AB10" s="90">
        <f>Table27[[#This Row],[ INDENT  FOR NOV-25 recommended]]+Table27[[#This Row],[order logg ]]</f>
        <v>2.7</v>
      </c>
      <c r="AC10" s="90">
        <f>Table27[[#This Row],[Before 20th]]+Table27[[#This Row],[ofter 20th]]</f>
        <v>23</v>
      </c>
      <c r="AD10">
        <f>IF(Table27[[#This Row],[Total Indent]]-Table27[[#This Row],[Total Supplied]]&lt;0,0,Table27[[#This Row],[Total Indent]]-Table27[[#This Row],[Total Supplied]])</f>
        <v>0</v>
      </c>
    </row>
    <row r="11" spans="1:30" x14ac:dyDescent="0.25">
      <c r="A11" s="265" t="s">
        <v>341</v>
      </c>
      <c r="B11" s="265">
        <v>943210</v>
      </c>
      <c r="C11" s="147" t="s">
        <v>342</v>
      </c>
      <c r="D11" s="147" t="s">
        <v>344</v>
      </c>
      <c r="E11" s="147" t="s">
        <v>339</v>
      </c>
      <c r="F11" s="147" t="s">
        <v>344</v>
      </c>
      <c r="G11" s="148">
        <v>19.05</v>
      </c>
      <c r="H11" s="148"/>
      <c r="I11" s="148">
        <v>1.4</v>
      </c>
      <c r="J11" s="147">
        <v>6000</v>
      </c>
      <c r="K11" s="147">
        <v>6</v>
      </c>
      <c r="L11" s="147" t="str">
        <f t="shared" si="0"/>
        <v>19.051.46ERW2NON FIN</v>
      </c>
      <c r="M11" s="147" t="str">
        <f>VLOOKUP(Table27[[#This Row],[Key]],Table29[[#All],[Key]:[TSL Material Code3]],4,0)</f>
        <v>No Key</v>
      </c>
      <c r="N11" s="147" t="str">
        <f>VLOOKUP(Table27[[#This Row],[Key]],Table29[[#All],[Key]:[TSL Material Code3]],5,0)</f>
        <v>No Key</v>
      </c>
      <c r="O11" s="149" t="str">
        <f>VLOOKUP(Table27[[#This Row],[Key]],Table29[[#All],[Key]:[TSL Material Code3]],7,0)</f>
        <v>056</v>
      </c>
      <c r="P11" s="150">
        <f>VLOOKUP(Table27[[#This Row],[Key]],Table29[[#All],[Key]:[TSL Material Code3]],8,0)</f>
        <v>3891285</v>
      </c>
      <c r="Q11" s="19">
        <v>10</v>
      </c>
      <c r="R11" s="147">
        <v>3</v>
      </c>
      <c r="S11" s="147">
        <v>0</v>
      </c>
      <c r="T11" s="147">
        <v>0</v>
      </c>
      <c r="U11" s="147">
        <f t="shared" si="1"/>
        <v>-3</v>
      </c>
      <c r="V11" s="147">
        <v>10</v>
      </c>
      <c r="W11" s="147">
        <f t="shared" si="2"/>
        <v>7</v>
      </c>
      <c r="X11" s="19">
        <f t="shared" si="4"/>
        <v>3</v>
      </c>
      <c r="Y11" s="167">
        <f t="shared" si="3"/>
        <v>4.5</v>
      </c>
      <c r="Z11" s="19">
        <f>ROUND(SUMIFS(meghsteelsales_previousmonth[Quantity],meghsteelsales_previousmonth[Length Bucket],Table27[[#This Row],[Bucket CTL]])/1000,0)</f>
        <v>0</v>
      </c>
      <c r="AA11" s="419">
        <f>ROUND(SUMIFS(meghsteelsales_currentmonth[Quantity],meghsteelsales_currentmonth[Length Bucket],Table27[[#This Row],[Bucket CTL]])/1000,0)</f>
        <v>0</v>
      </c>
      <c r="AB11" s="90">
        <f>Table27[[#This Row],[ INDENT  FOR NOV-25 recommended]]+Table27[[#This Row],[order logg ]]</f>
        <v>14.5</v>
      </c>
      <c r="AC11" s="90">
        <f>Table27[[#This Row],[Before 20th]]+Table27[[#This Row],[ofter 20th]]</f>
        <v>0</v>
      </c>
      <c r="AD11">
        <f>IF(Table27[[#This Row],[Total Indent]]-Table27[[#This Row],[Total Supplied]]&lt;0,0,Table27[[#This Row],[Total Indent]]-Table27[[#This Row],[Total Supplied]])</f>
        <v>14.5</v>
      </c>
    </row>
    <row r="12" spans="1:30" x14ac:dyDescent="0.25">
      <c r="A12" s="265" t="s">
        <v>10</v>
      </c>
      <c r="B12" s="265">
        <v>943209</v>
      </c>
      <c r="C12" s="147" t="s">
        <v>116</v>
      </c>
      <c r="D12" s="153" t="s">
        <v>338</v>
      </c>
      <c r="E12" s="147" t="s">
        <v>339</v>
      </c>
      <c r="F12" s="147" t="s">
        <v>340</v>
      </c>
      <c r="G12" s="154">
        <v>19.05</v>
      </c>
      <c r="H12" s="154"/>
      <c r="I12" s="154">
        <v>2</v>
      </c>
      <c r="J12" s="155">
        <v>5800</v>
      </c>
      <c r="K12" s="147">
        <v>5.8</v>
      </c>
      <c r="L12" s="147" t="str">
        <f t="shared" si="0"/>
        <v>19.0525.8ERWNON FIN</v>
      </c>
      <c r="M12" s="147" t="str">
        <f>VLOOKUP(Table27[[#This Row],[Key]],Table29[[#All],[Key]:[TSL Material Code3]],4,0)</f>
        <v>19.05-0-2-ERW 1-PE</v>
      </c>
      <c r="N12" s="147" t="str">
        <f>VLOOKUP(Table27[[#This Row],[Key]],Table29[[#All],[Key]:[TSL Material Code3]],5,0)</f>
        <v>19.05-0-2-ERW 1-PE-5.8</v>
      </c>
      <c r="O12" s="158" t="s">
        <v>345</v>
      </c>
      <c r="P12" s="150">
        <f>VLOOKUP(Table27[[#This Row],[Key]],Table29[[#All],[Key]:[TSL Material Code3]],8,0)</f>
        <v>1940292</v>
      </c>
      <c r="Q12" s="19">
        <v>35</v>
      </c>
      <c r="R12" s="147">
        <v>10</v>
      </c>
      <c r="S12" s="147">
        <v>6</v>
      </c>
      <c r="T12" s="147">
        <v>0</v>
      </c>
      <c r="U12" s="147">
        <v>0</v>
      </c>
      <c r="V12" s="147"/>
      <c r="W12" s="147">
        <f t="shared" si="2"/>
        <v>0</v>
      </c>
      <c r="X12" s="19">
        <f t="shared" si="4"/>
        <v>35</v>
      </c>
      <c r="Y12" s="167">
        <f t="shared" si="3"/>
        <v>52.5</v>
      </c>
      <c r="Z12" s="19">
        <f>ROUND(SUMIFS(meghsteelsales_previousmonth[Quantity],meghsteelsales_previousmonth[Length Bucket],Table27[[#This Row],[Bucket CTL]])/1000,0)</f>
        <v>0</v>
      </c>
      <c r="AA12" s="419">
        <f>ROUND(SUMIFS(meghsteelsales_currentmonth[Quantity],meghsteelsales_currentmonth[Length Bucket],Table27[[#This Row],[Bucket CTL]])/1000,0)</f>
        <v>0</v>
      </c>
      <c r="AB12" s="90">
        <f>Table27[[#This Row],[ INDENT  FOR NOV-25 recommended]]+Table27[[#This Row],[order logg ]]</f>
        <v>52.5</v>
      </c>
      <c r="AC12" s="90">
        <f>Table27[[#This Row],[Before 20th]]+Table27[[#This Row],[ofter 20th]]</f>
        <v>0</v>
      </c>
      <c r="AD12">
        <f>IF(Table27[[#This Row],[Total Indent]]-Table27[[#This Row],[Total Supplied]]&lt;0,0,Table27[[#This Row],[Total Indent]]-Table27[[#This Row],[Total Supplied]])</f>
        <v>52.5</v>
      </c>
    </row>
    <row r="13" spans="1:30" x14ac:dyDescent="0.25">
      <c r="A13" s="265" t="s">
        <v>10</v>
      </c>
      <c r="B13" s="265">
        <v>943209</v>
      </c>
      <c r="C13" s="147" t="s">
        <v>346</v>
      </c>
      <c r="D13" s="153" t="s">
        <v>338</v>
      </c>
      <c r="E13" s="147" t="s">
        <v>339</v>
      </c>
      <c r="F13" s="147" t="s">
        <v>340</v>
      </c>
      <c r="G13" s="148">
        <v>19.05</v>
      </c>
      <c r="H13" s="148"/>
      <c r="I13" s="148">
        <v>2.2999999999999998</v>
      </c>
      <c r="J13" s="147">
        <v>7000</v>
      </c>
      <c r="K13" s="147">
        <v>7</v>
      </c>
      <c r="L13" s="147" t="str">
        <f t="shared" si="0"/>
        <v>19.052.37ERWNON FIN</v>
      </c>
      <c r="M13" s="147" t="str">
        <f>VLOOKUP(Table27[[#This Row],[Key]],Table29[[#All],[Key]:[TSL Material Code3]],4,0)</f>
        <v>19.05-0-2.3-ERW 1-PE</v>
      </c>
      <c r="N13" s="147" t="str">
        <f>VLOOKUP(Table27[[#This Row],[Key]],Table29[[#All],[Key]:[TSL Material Code3]],5,0)</f>
        <v>19.05-0-2.3-ERW 1-PE-7</v>
      </c>
      <c r="O13" s="149" t="str">
        <f>VLOOKUP(Table27[[#This Row],[Key]],Table29[[#All],[Key]:[TSL Material Code3]],7,0)</f>
        <v>056</v>
      </c>
      <c r="P13" s="150">
        <f>VLOOKUP(Table27[[#This Row],[Key]],Table29[[#All],[Key]:[TSL Material Code3]],8,0)</f>
        <v>3500582</v>
      </c>
      <c r="Q13" s="19">
        <v>20</v>
      </c>
      <c r="R13" s="147">
        <v>10</v>
      </c>
      <c r="S13" s="147">
        <v>39</v>
      </c>
      <c r="T13" s="147">
        <v>0</v>
      </c>
      <c r="U13" s="147">
        <f t="shared" si="1"/>
        <v>29</v>
      </c>
      <c r="V13" s="147"/>
      <c r="W13" s="147">
        <f t="shared" si="2"/>
        <v>29</v>
      </c>
      <c r="X13" s="19">
        <f t="shared" si="4"/>
        <v>-9</v>
      </c>
      <c r="Y13" s="167">
        <f t="shared" si="3"/>
        <v>0</v>
      </c>
      <c r="Z13" s="19">
        <f>ROUND(SUMIFS(meghsteelsales_previousmonth[Quantity],meghsteelsales_previousmonth[Length Bucket],Table27[[#This Row],[Bucket CTL]])/1000,0)</f>
        <v>21</v>
      </c>
      <c r="AA13" s="419">
        <f>ROUND(SUMIFS(meghsteelsales_currentmonth[Quantity],meghsteelsales_currentmonth[Length Bucket],Table27[[#This Row],[Bucket CTL]])/1000,0)</f>
        <v>4</v>
      </c>
      <c r="AB13" s="90">
        <f>Table27[[#This Row],[ INDENT  FOR NOV-25 recommended]]+Table27[[#This Row],[order logg ]]</f>
        <v>0</v>
      </c>
      <c r="AC13" s="90">
        <f>Table27[[#This Row],[Before 20th]]+Table27[[#This Row],[ofter 20th]]</f>
        <v>25</v>
      </c>
      <c r="AD13">
        <f>IF(Table27[[#This Row],[Total Indent]]-Table27[[#This Row],[Total Supplied]]&lt;0,0,Table27[[#This Row],[Total Indent]]-Table27[[#This Row],[Total Supplied]])</f>
        <v>0</v>
      </c>
    </row>
    <row r="14" spans="1:30" x14ac:dyDescent="0.25">
      <c r="A14" s="265" t="s">
        <v>10</v>
      </c>
      <c r="B14" s="265">
        <v>943209</v>
      </c>
      <c r="C14" s="147" t="s">
        <v>116</v>
      </c>
      <c r="D14" s="147" t="s">
        <v>338</v>
      </c>
      <c r="E14" s="147" t="s">
        <v>339</v>
      </c>
      <c r="F14" s="147" t="s">
        <v>340</v>
      </c>
      <c r="G14" s="148">
        <v>21.4</v>
      </c>
      <c r="H14" s="148"/>
      <c r="I14" s="148">
        <v>1.6</v>
      </c>
      <c r="J14" s="147">
        <v>6000</v>
      </c>
      <c r="K14" s="147">
        <v>6</v>
      </c>
      <c r="L14" s="147" t="str">
        <f t="shared" si="0"/>
        <v>21.41.66ERWNON FIN</v>
      </c>
      <c r="M14" s="147" t="str">
        <f>VLOOKUP(Table27[[#This Row],[Key]],Table29[[#All],[Key]:[TSL Material Code3]],4,0)</f>
        <v>21.4-0-1.6-ERW 1-PE</v>
      </c>
      <c r="N14" s="147" t="str">
        <f>VLOOKUP(Table27[[#This Row],[Key]],Table29[[#All],[Key]:[TSL Material Code3]],5,0)</f>
        <v>21.4-0-1.6-ERW 1-PE-6</v>
      </c>
      <c r="O14" s="149" t="str">
        <f>VLOOKUP(Table27[[#This Row],[Key]],Table29[[#All],[Key]:[TSL Material Code3]],7,0)</f>
        <v>0789</v>
      </c>
      <c r="P14" s="150">
        <f>VLOOKUP(Table27[[#This Row],[Key]],Table29[[#All],[Key]:[TSL Material Code3]],8,0)</f>
        <v>3219710</v>
      </c>
      <c r="Q14" s="19">
        <v>10</v>
      </c>
      <c r="R14" s="147">
        <v>3</v>
      </c>
      <c r="S14" s="147">
        <v>14.3</v>
      </c>
      <c r="T14" s="147">
        <v>0</v>
      </c>
      <c r="U14" s="147">
        <f t="shared" si="1"/>
        <v>11.3</v>
      </c>
      <c r="V14" s="147"/>
      <c r="W14" s="147">
        <f t="shared" si="2"/>
        <v>11.3</v>
      </c>
      <c r="X14" s="19">
        <f t="shared" si="4"/>
        <v>-1.3000000000000007</v>
      </c>
      <c r="Y14" s="167">
        <f t="shared" si="3"/>
        <v>0</v>
      </c>
      <c r="Z14" s="19">
        <f>ROUND(SUMIFS(meghsteelsales_previousmonth[Quantity],meghsteelsales_previousmonth[Length Bucket],Table27[[#This Row],[Bucket CTL]])/1000,0)</f>
        <v>0</v>
      </c>
      <c r="AA14" s="419">
        <f>ROUND(SUMIFS(meghsteelsales_currentmonth[Quantity],meghsteelsales_currentmonth[Length Bucket],Table27[[#This Row],[Bucket CTL]])/1000,0)</f>
        <v>0</v>
      </c>
      <c r="AB14" s="90">
        <f>Table27[[#This Row],[ INDENT  FOR NOV-25 recommended]]+Table27[[#This Row],[order logg ]]</f>
        <v>0</v>
      </c>
      <c r="AC14" s="90">
        <f>Table27[[#This Row],[Before 20th]]+Table27[[#This Row],[ofter 20th]]</f>
        <v>0</v>
      </c>
      <c r="AD14">
        <f>IF(Table27[[#This Row],[Total Indent]]-Table27[[#This Row],[Total Supplied]]&lt;0,0,Table27[[#This Row],[Total Indent]]-Table27[[#This Row],[Total Supplied]])</f>
        <v>0</v>
      </c>
    </row>
    <row r="15" spans="1:30" x14ac:dyDescent="0.25">
      <c r="A15" s="265" t="s">
        <v>10</v>
      </c>
      <c r="B15" s="265">
        <v>943209</v>
      </c>
      <c r="C15" s="147" t="s">
        <v>116</v>
      </c>
      <c r="D15" s="153" t="s">
        <v>338</v>
      </c>
      <c r="E15" s="147" t="s">
        <v>339</v>
      </c>
      <c r="F15" s="147" t="s">
        <v>340</v>
      </c>
      <c r="G15" s="148">
        <v>22.2</v>
      </c>
      <c r="H15" s="148"/>
      <c r="I15" s="148">
        <v>1.2</v>
      </c>
      <c r="J15" s="147">
        <v>5870</v>
      </c>
      <c r="K15" s="147">
        <v>5.87</v>
      </c>
      <c r="L15" s="147" t="str">
        <f t="shared" si="0"/>
        <v>22.21.25.87ERWNON FIN</v>
      </c>
      <c r="M15" s="147" t="str">
        <f>VLOOKUP(Table27[[#This Row],[Key]],Table29[[#All],[Key]:[TSL Material Code3]],4,0)</f>
        <v>22.23-0-1.2-ERW 1-PE</v>
      </c>
      <c r="N15" s="147" t="str">
        <f>VLOOKUP(Table27[[#This Row],[Key]],Table29[[#All],[Key]:[TSL Material Code3]],5,0)</f>
        <v>22.23-0-1.2-ERW 1-PE-5.87</v>
      </c>
      <c r="O15" s="149" t="str">
        <f>VLOOKUP(Table27[[#This Row],[Key]],Table29[[#All],[Key]:[TSL Material Code3]],7,0)</f>
        <v>056</v>
      </c>
      <c r="P15" s="150">
        <f>VLOOKUP(Table27[[#This Row],[Key]],Table29[[#All],[Key]:[TSL Material Code3]],8,0)</f>
        <v>3882110</v>
      </c>
      <c r="Q15" s="19">
        <v>30</v>
      </c>
      <c r="R15" s="147">
        <v>10</v>
      </c>
      <c r="S15" s="147">
        <v>7</v>
      </c>
      <c r="T15" s="147">
        <v>15.8</v>
      </c>
      <c r="U15" s="147">
        <f t="shared" si="1"/>
        <v>-3</v>
      </c>
      <c r="V15" s="147">
        <v>6</v>
      </c>
      <c r="W15" s="147">
        <f t="shared" si="2"/>
        <v>3</v>
      </c>
      <c r="X15" s="19">
        <f t="shared" si="4"/>
        <v>27</v>
      </c>
      <c r="Y15" s="167">
        <f t="shared" si="3"/>
        <v>40.5</v>
      </c>
      <c r="Z15" s="19">
        <f>ROUND(SUMIFS(meghsteelsales_previousmonth[Quantity],meghsteelsales_previousmonth[Length Bucket],Table27[[#This Row],[Bucket CTL]])/1000,0)</f>
        <v>7</v>
      </c>
      <c r="AA15" s="419">
        <f>ROUND(SUMIFS(meghsteelsales_currentmonth[Quantity],meghsteelsales_currentmonth[Length Bucket],Table27[[#This Row],[Bucket CTL]])/1000,0)</f>
        <v>13</v>
      </c>
      <c r="AB15" s="90">
        <f>Table27[[#This Row],[ INDENT  FOR NOV-25 recommended]]+Table27[[#This Row],[order logg ]]</f>
        <v>46.5</v>
      </c>
      <c r="AC15" s="90">
        <f>Table27[[#This Row],[Before 20th]]+Table27[[#This Row],[ofter 20th]]</f>
        <v>20</v>
      </c>
      <c r="AD15">
        <f>IF(Table27[[#This Row],[Total Indent]]-Table27[[#This Row],[Total Supplied]]&lt;0,0,Table27[[#This Row],[Total Indent]]-Table27[[#This Row],[Total Supplied]])</f>
        <v>26.5</v>
      </c>
    </row>
    <row r="16" spans="1:30" x14ac:dyDescent="0.25">
      <c r="A16" s="265" t="s">
        <v>341</v>
      </c>
      <c r="B16" s="265">
        <v>943210</v>
      </c>
      <c r="C16" s="147" t="s">
        <v>342</v>
      </c>
      <c r="D16" s="153" t="s">
        <v>344</v>
      </c>
      <c r="E16" s="147" t="s">
        <v>339</v>
      </c>
      <c r="F16" s="147" t="s">
        <v>347</v>
      </c>
      <c r="G16" s="148">
        <v>22.2</v>
      </c>
      <c r="H16" s="148"/>
      <c r="I16" s="148">
        <v>1.4</v>
      </c>
      <c r="J16" s="147">
        <v>6000</v>
      </c>
      <c r="K16" s="147">
        <v>6</v>
      </c>
      <c r="L16" s="147" t="str">
        <f t="shared" si="0"/>
        <v>22.21.46ERW-2NON FIN</v>
      </c>
      <c r="M16" s="147" t="str">
        <f>VLOOKUP(Table27[[#This Row],[Key]],Table29[[#All],[Key]:[TSL Material Code3]],4,0)</f>
        <v>No Key</v>
      </c>
      <c r="N16" s="147" t="str">
        <f>VLOOKUP(Table27[[#This Row],[Key]],Table29[[#All],[Key]:[TSL Material Code3]],5,0)</f>
        <v>No Key</v>
      </c>
      <c r="O16" s="149" t="str">
        <f>VLOOKUP(Table27[[#This Row],[Key]],Table29[[#All],[Key]:[TSL Material Code3]],7,0)</f>
        <v>056</v>
      </c>
      <c r="P16" s="150">
        <f>VLOOKUP(Table27[[#This Row],[Key]],Table29[[#All],[Key]:[TSL Material Code3]],8,0)</f>
        <v>3829175</v>
      </c>
      <c r="Q16" s="19">
        <v>10</v>
      </c>
      <c r="R16" s="147">
        <v>3</v>
      </c>
      <c r="S16" s="147">
        <v>19</v>
      </c>
      <c r="T16" s="147">
        <v>0</v>
      </c>
      <c r="U16" s="147">
        <f t="shared" si="1"/>
        <v>16</v>
      </c>
      <c r="V16" s="147"/>
      <c r="W16" s="147">
        <f t="shared" si="2"/>
        <v>16</v>
      </c>
      <c r="X16" s="19">
        <f t="shared" si="4"/>
        <v>-6</v>
      </c>
      <c r="Y16" s="167">
        <f t="shared" si="3"/>
        <v>0</v>
      </c>
      <c r="Z16" s="19">
        <f>ROUND(SUMIFS(meghsteelsales_previousmonth[Quantity],meghsteelsales_previousmonth[Length Bucket],Table27[[#This Row],[Bucket CTL]])/1000,0)</f>
        <v>0</v>
      </c>
      <c r="AA16" s="419">
        <f>ROUND(SUMIFS(meghsteelsales_currentmonth[Quantity],meghsteelsales_currentmonth[Length Bucket],Table27[[#This Row],[Bucket CTL]])/1000,0)</f>
        <v>0</v>
      </c>
      <c r="AB16" s="90">
        <f>Table27[[#This Row],[ INDENT  FOR NOV-25 recommended]]+Table27[[#This Row],[order logg ]]</f>
        <v>0</v>
      </c>
      <c r="AC16" s="90">
        <f>Table27[[#This Row],[Before 20th]]+Table27[[#This Row],[ofter 20th]]</f>
        <v>0</v>
      </c>
      <c r="AD16">
        <f>IF(Table27[[#This Row],[Total Indent]]-Table27[[#This Row],[Total Supplied]]&lt;0,0,Table27[[#This Row],[Total Indent]]-Table27[[#This Row],[Total Supplied]])</f>
        <v>0</v>
      </c>
    </row>
    <row r="17" spans="1:30" x14ac:dyDescent="0.25">
      <c r="A17" s="265" t="s">
        <v>10</v>
      </c>
      <c r="B17" s="265">
        <v>943209</v>
      </c>
      <c r="C17" s="147" t="s">
        <v>116</v>
      </c>
      <c r="D17" s="153" t="s">
        <v>338</v>
      </c>
      <c r="E17" s="147" t="s">
        <v>339</v>
      </c>
      <c r="F17" s="147" t="s">
        <v>340</v>
      </c>
      <c r="G17" s="148">
        <v>22.2</v>
      </c>
      <c r="H17" s="148"/>
      <c r="I17" s="148">
        <v>1.6</v>
      </c>
      <c r="J17" s="147">
        <v>5270</v>
      </c>
      <c r="K17" s="147">
        <v>5.27</v>
      </c>
      <c r="L17" s="147" t="str">
        <f t="shared" si="0"/>
        <v>22.21.65.27ERWNON FIN</v>
      </c>
      <c r="M17" s="147" t="str">
        <f>VLOOKUP(Table27[[#This Row],[Key]],Table29[[#All],[Key]:[TSL Material Code3]],4,0)</f>
        <v>22.23-0-1.6-ERW 1-PE</v>
      </c>
      <c r="N17" s="147" t="str">
        <f>VLOOKUP(Table27[[#This Row],[Key]],Table29[[#All],[Key]:[TSL Material Code3]],5,0)</f>
        <v>22.23-0-1.6-ERW 1-PE-5.27</v>
      </c>
      <c r="O17" s="149" t="str">
        <f>VLOOKUP(Table27[[#This Row],[Key]],Table29[[#All],[Key]:[TSL Material Code3]],7,0)</f>
        <v>0789</v>
      </c>
      <c r="P17" s="150">
        <f>VLOOKUP(Table27[[#This Row],[Key]],Table29[[#All],[Key]:[TSL Material Code3]],8,0)</f>
        <v>3575894</v>
      </c>
      <c r="Q17" s="19">
        <v>30</v>
      </c>
      <c r="R17" s="147">
        <v>15</v>
      </c>
      <c r="S17" s="147">
        <v>5</v>
      </c>
      <c r="T17" s="147">
        <v>0</v>
      </c>
      <c r="U17" s="147">
        <f t="shared" si="1"/>
        <v>-10</v>
      </c>
      <c r="V17" s="147"/>
      <c r="W17" s="147">
        <f t="shared" si="2"/>
        <v>-10</v>
      </c>
      <c r="X17" s="19">
        <f t="shared" si="4"/>
        <v>40</v>
      </c>
      <c r="Y17" s="167">
        <f t="shared" si="3"/>
        <v>60</v>
      </c>
      <c r="Z17" s="19">
        <f>ROUND(SUMIFS(meghsteelsales_previousmonth[Quantity],meghsteelsales_previousmonth[Length Bucket],Table27[[#This Row],[Bucket CTL]])/1000,0)</f>
        <v>43</v>
      </c>
      <c r="AA17" s="419">
        <f>ROUND(SUMIFS(meghsteelsales_currentmonth[Quantity],meghsteelsales_currentmonth[Length Bucket],Table27[[#This Row],[Bucket CTL]])/1000,0)</f>
        <v>0</v>
      </c>
      <c r="AB17" s="90">
        <f>Table27[[#This Row],[ INDENT  FOR NOV-25 recommended]]+Table27[[#This Row],[order logg ]]</f>
        <v>60</v>
      </c>
      <c r="AC17" s="90">
        <f>Table27[[#This Row],[Before 20th]]+Table27[[#This Row],[ofter 20th]]</f>
        <v>43</v>
      </c>
      <c r="AD17">
        <f>IF(Table27[[#This Row],[Total Indent]]-Table27[[#This Row],[Total Supplied]]&lt;0,0,Table27[[#This Row],[Total Indent]]-Table27[[#This Row],[Total Supplied]])</f>
        <v>17</v>
      </c>
    </row>
    <row r="18" spans="1:30" x14ac:dyDescent="0.25">
      <c r="A18" s="265" t="s">
        <v>10</v>
      </c>
      <c r="B18" s="265">
        <v>943209</v>
      </c>
      <c r="C18" s="147" t="s">
        <v>116</v>
      </c>
      <c r="D18" s="153" t="s">
        <v>338</v>
      </c>
      <c r="E18" s="147" t="s">
        <v>339</v>
      </c>
      <c r="F18" s="147" t="s">
        <v>340</v>
      </c>
      <c r="G18" s="148">
        <v>22.2</v>
      </c>
      <c r="H18" s="148"/>
      <c r="I18" s="148">
        <v>1.6</v>
      </c>
      <c r="J18" s="147">
        <v>5670</v>
      </c>
      <c r="K18" s="147">
        <v>5.67</v>
      </c>
      <c r="L18" s="147" t="str">
        <f t="shared" si="0"/>
        <v>22.21.65.67ERWNON FIN</v>
      </c>
      <c r="M18" s="147" t="str">
        <f>VLOOKUP(Table27[[#This Row],[Key]],Table29[[#All],[Key]:[TSL Material Code3]],4,0)</f>
        <v>22.23-0-1.6-ERW 1-PE</v>
      </c>
      <c r="N18" s="147" t="str">
        <f>VLOOKUP(Table27[[#This Row],[Key]],Table29[[#All],[Key]:[TSL Material Code3]],5,0)</f>
        <v>22.23-0-1.6-ERW 1-PE-5.67</v>
      </c>
      <c r="O18" s="149" t="str">
        <f>VLOOKUP(Table27[[#This Row],[Key]],Table29[[#All],[Key]:[TSL Material Code3]],7,0)</f>
        <v>0789</v>
      </c>
      <c r="P18" s="150">
        <f>VLOOKUP(Table27[[#This Row],[Key]],Table29[[#All],[Key]:[TSL Material Code3]],8,0)</f>
        <v>3570690</v>
      </c>
      <c r="Q18" s="19">
        <v>30</v>
      </c>
      <c r="R18" s="147">
        <v>10</v>
      </c>
      <c r="S18" s="147">
        <v>25.6</v>
      </c>
      <c r="T18" s="147">
        <v>0</v>
      </c>
      <c r="U18" s="147">
        <f t="shared" si="1"/>
        <v>15.600000000000001</v>
      </c>
      <c r="V18" s="147"/>
      <c r="W18" s="147">
        <f t="shared" si="2"/>
        <v>15.600000000000001</v>
      </c>
      <c r="X18" s="19">
        <f t="shared" si="4"/>
        <v>14.399999999999999</v>
      </c>
      <c r="Y18" s="167">
        <f t="shared" si="3"/>
        <v>21.599999999999998</v>
      </c>
      <c r="Z18" s="19">
        <f>ROUND(SUMIFS(meghsteelsales_previousmonth[Quantity],meghsteelsales_previousmonth[Length Bucket],Table27[[#This Row],[Bucket CTL]])/1000,0)</f>
        <v>27</v>
      </c>
      <c r="AA18" s="419">
        <f>ROUND(SUMIFS(meghsteelsales_currentmonth[Quantity],meghsteelsales_currentmonth[Length Bucket],Table27[[#This Row],[Bucket CTL]])/1000,0)</f>
        <v>2</v>
      </c>
      <c r="AB18" s="90">
        <f>Table27[[#This Row],[ INDENT  FOR NOV-25 recommended]]+Table27[[#This Row],[order logg ]]</f>
        <v>21.599999999999998</v>
      </c>
      <c r="AC18" s="90">
        <f>Table27[[#This Row],[Before 20th]]+Table27[[#This Row],[ofter 20th]]</f>
        <v>29</v>
      </c>
      <c r="AD18">
        <f>IF(Table27[[#This Row],[Total Indent]]-Table27[[#This Row],[Total Supplied]]&lt;0,0,Table27[[#This Row],[Total Indent]]-Table27[[#This Row],[Total Supplied]])</f>
        <v>0</v>
      </c>
    </row>
    <row r="19" spans="1:30" x14ac:dyDescent="0.25">
      <c r="A19" s="265" t="s">
        <v>10</v>
      </c>
      <c r="B19" s="265">
        <v>943209</v>
      </c>
      <c r="C19" s="147" t="s">
        <v>116</v>
      </c>
      <c r="D19" s="153" t="s">
        <v>338</v>
      </c>
      <c r="E19" s="147" t="s">
        <v>339</v>
      </c>
      <c r="F19" s="147" t="s">
        <v>340</v>
      </c>
      <c r="G19" s="154">
        <v>22.2</v>
      </c>
      <c r="H19" s="154"/>
      <c r="I19" s="154">
        <v>2</v>
      </c>
      <c r="J19" s="155">
        <v>5950</v>
      </c>
      <c r="K19" s="147">
        <v>5.95</v>
      </c>
      <c r="L19" s="147" t="str">
        <f t="shared" si="0"/>
        <v>22.225.95ERWNON FIN</v>
      </c>
      <c r="M19" s="147" t="str">
        <f>VLOOKUP(Table27[[#This Row],[Key]],Table29[[#All],[Key]:[TSL Material Code3]],4,0)</f>
        <v>22.23-0-2-ERW 1-PE</v>
      </c>
      <c r="N19" s="147" t="str">
        <f>VLOOKUP(Table27[[#This Row],[Key]],Table29[[#All],[Key]:[TSL Material Code3]],5,0)</f>
        <v>22.23-0-2-ERW 1-PE-5.951</v>
      </c>
      <c r="O19" s="149" t="str">
        <f>VLOOKUP(Table27[[#This Row],[Key]],Table29[[#All],[Key]:[TSL Material Code3]],7,0)</f>
        <v>056</v>
      </c>
      <c r="P19" s="150">
        <f>VLOOKUP(Table27[[#This Row],[Key]],Table29[[#All],[Key]:[TSL Material Code3]],8,0)</f>
        <v>3905466</v>
      </c>
      <c r="Q19" s="19">
        <v>80</v>
      </c>
      <c r="R19" s="147">
        <v>30</v>
      </c>
      <c r="S19" s="147">
        <v>5.8</v>
      </c>
      <c r="T19" s="147">
        <v>0</v>
      </c>
      <c r="U19" s="147">
        <f t="shared" si="1"/>
        <v>-24.2</v>
      </c>
      <c r="V19" s="147">
        <v>46.6</v>
      </c>
      <c r="W19" s="147">
        <f t="shared" si="2"/>
        <v>22.400000000000002</v>
      </c>
      <c r="X19" s="19">
        <f t="shared" si="4"/>
        <v>57.599999999999994</v>
      </c>
      <c r="Y19" s="167">
        <f t="shared" si="3"/>
        <v>86.399999999999991</v>
      </c>
      <c r="Z19" s="19">
        <f>ROUND(SUMIFS(meghsteelsales_previousmonth[Quantity],meghsteelsales_previousmonth[Length Bucket],Table27[[#This Row],[Bucket CTL]])/1000,0)</f>
        <v>86</v>
      </c>
      <c r="AA19" s="419">
        <f>ROUND(SUMIFS(meghsteelsales_currentmonth[Quantity],meghsteelsales_currentmonth[Length Bucket],Table27[[#This Row],[Bucket CTL]])/1000,0)</f>
        <v>52</v>
      </c>
      <c r="AB19" s="90">
        <f>Table27[[#This Row],[ INDENT  FOR NOV-25 recommended]]+Table27[[#This Row],[order logg ]]</f>
        <v>133</v>
      </c>
      <c r="AC19" s="90">
        <f>Table27[[#This Row],[Before 20th]]+Table27[[#This Row],[ofter 20th]]</f>
        <v>138</v>
      </c>
      <c r="AD19">
        <f>IF(Table27[[#This Row],[Total Indent]]-Table27[[#This Row],[Total Supplied]]&lt;0,0,Table27[[#This Row],[Total Indent]]-Table27[[#This Row],[Total Supplied]])</f>
        <v>0</v>
      </c>
    </row>
    <row r="20" spans="1:30" x14ac:dyDescent="0.25">
      <c r="A20" s="265" t="s">
        <v>10</v>
      </c>
      <c r="B20" s="265">
        <v>943209</v>
      </c>
      <c r="C20" s="147" t="s">
        <v>116</v>
      </c>
      <c r="D20" s="155" t="s">
        <v>338</v>
      </c>
      <c r="E20" s="147" t="s">
        <v>339</v>
      </c>
      <c r="F20" s="147" t="s">
        <v>340</v>
      </c>
      <c r="G20" s="154">
        <v>22.2</v>
      </c>
      <c r="H20" s="154"/>
      <c r="I20" s="154">
        <v>2</v>
      </c>
      <c r="J20" s="155">
        <v>5100</v>
      </c>
      <c r="K20" s="147">
        <v>5.0999999999999996</v>
      </c>
      <c r="L20" s="147" t="str">
        <f t="shared" si="0"/>
        <v>22.225.1ERWNON FIN</v>
      </c>
      <c r="M20" s="147" t="str">
        <f>VLOOKUP(Table27[[#This Row],[Key]],Table29[[#All],[Key]:[TSL Material Code3]],4,0)</f>
        <v>22.23-0-2-ERW 1-PE</v>
      </c>
      <c r="N20" s="147" t="str">
        <f>VLOOKUP(Table27[[#This Row],[Key]],Table29[[#All],[Key]:[TSL Material Code3]],5,0)</f>
        <v>22.23-0-2-ERW 1-PE-5.1</v>
      </c>
      <c r="O20" s="149" t="str">
        <f>VLOOKUP(Table27[[#This Row],[Key]],Table29[[#All],[Key]:[TSL Material Code3]],7,0)</f>
        <v>056</v>
      </c>
      <c r="P20" s="150">
        <f>VLOOKUP(Table27[[#This Row],[Key]],Table29[[#All],[Key]:[TSL Material Code3]],8,0)</f>
        <v>3500554</v>
      </c>
      <c r="Q20" s="19">
        <v>20</v>
      </c>
      <c r="R20" s="147">
        <v>5</v>
      </c>
      <c r="S20" s="147">
        <v>19</v>
      </c>
      <c r="T20" s="147">
        <v>0</v>
      </c>
      <c r="U20" s="147">
        <f t="shared" si="1"/>
        <v>14</v>
      </c>
      <c r="V20" s="147">
        <v>7</v>
      </c>
      <c r="W20" s="147">
        <f t="shared" si="2"/>
        <v>21</v>
      </c>
      <c r="X20" s="19">
        <f t="shared" si="4"/>
        <v>-1</v>
      </c>
      <c r="Y20" s="167">
        <f t="shared" si="3"/>
        <v>0</v>
      </c>
      <c r="Z20" s="19">
        <f>ROUND(SUMIFS(meghsteelsales_previousmonth[Quantity],meghsteelsales_previousmonth[Length Bucket],Table27[[#This Row],[Bucket CTL]])/1000,0)</f>
        <v>0</v>
      </c>
      <c r="AA20" s="419">
        <f>ROUND(SUMIFS(meghsteelsales_currentmonth[Quantity],meghsteelsales_currentmonth[Length Bucket],Table27[[#This Row],[Bucket CTL]])/1000,0)</f>
        <v>0</v>
      </c>
      <c r="AB20" s="90">
        <f>Table27[[#This Row],[ INDENT  FOR NOV-25 recommended]]+Table27[[#This Row],[order logg ]]</f>
        <v>7</v>
      </c>
      <c r="AC20" s="90">
        <f>Table27[[#This Row],[Before 20th]]+Table27[[#This Row],[ofter 20th]]</f>
        <v>0</v>
      </c>
      <c r="AD20">
        <f>IF(Table27[[#This Row],[Total Indent]]-Table27[[#This Row],[Total Supplied]]&lt;0,0,Table27[[#This Row],[Total Indent]]-Table27[[#This Row],[Total Supplied]])</f>
        <v>7</v>
      </c>
    </row>
    <row r="21" spans="1:30" x14ac:dyDescent="0.25">
      <c r="A21" s="265" t="s">
        <v>10</v>
      </c>
      <c r="B21" s="265">
        <v>943209</v>
      </c>
      <c r="C21" s="147" t="s">
        <v>116</v>
      </c>
      <c r="D21" s="147" t="s">
        <v>344</v>
      </c>
      <c r="E21" s="147" t="s">
        <v>348</v>
      </c>
      <c r="F21" s="147" t="s">
        <v>349</v>
      </c>
      <c r="G21" s="148">
        <v>22.2</v>
      </c>
      <c r="H21" s="148"/>
      <c r="I21" s="148">
        <v>2</v>
      </c>
      <c r="J21" s="147">
        <v>6000</v>
      </c>
      <c r="K21" s="147">
        <v>6000</v>
      </c>
      <c r="L21" s="147" t="str">
        <f t="shared" si="0"/>
        <v>22.226000HSTFIN CUT</v>
      </c>
      <c r="M21" s="147" t="str">
        <f>VLOOKUP(Table27[[#This Row],[Key]],Table29[[#All],[Key]:[TSL Material Code3]],4,0)</f>
        <v>22.23-0-2-ERW 2 MAHS-FC</v>
      </c>
      <c r="N21" s="147" t="str">
        <f>VLOOKUP(Table27[[#This Row],[Key]],Table29[[#All],[Key]:[TSL Material Code3]],5,0)</f>
        <v>22.23-0-2-ERW 2 MAHS-FC-6.001</v>
      </c>
      <c r="O21" s="149" t="str">
        <f>VLOOKUP(Table27[[#This Row],[Key]],Table29[[#All],[Key]:[TSL Material Code3]],7,0)</f>
        <v>056</v>
      </c>
      <c r="P21" s="150">
        <f>VLOOKUP(Table27[[#This Row],[Key]],Table29[[#All],[Key]:[TSL Material Code3]],8,0)</f>
        <v>3502494</v>
      </c>
      <c r="Q21" s="19">
        <v>40</v>
      </c>
      <c r="R21" s="147">
        <v>15</v>
      </c>
      <c r="S21" s="147">
        <v>57</v>
      </c>
      <c r="T21" s="147">
        <v>0</v>
      </c>
      <c r="U21" s="147">
        <f t="shared" si="1"/>
        <v>42</v>
      </c>
      <c r="V21" s="147"/>
      <c r="W21" s="147">
        <f t="shared" si="2"/>
        <v>42</v>
      </c>
      <c r="X21" s="19">
        <f t="shared" si="4"/>
        <v>-2</v>
      </c>
      <c r="Y21" s="167">
        <f t="shared" si="3"/>
        <v>0</v>
      </c>
      <c r="Z21" s="19">
        <f>ROUND(SUMIFS(meghsteelsales_previousmonth[Quantity],meghsteelsales_previousmonth[Length Bucket],Table27[[#This Row],[Bucket CTL]])/1000,0)</f>
        <v>0</v>
      </c>
      <c r="AA21" s="419">
        <f>ROUND(SUMIFS(meghsteelsales_currentmonth[Quantity],meghsteelsales_currentmonth[Length Bucket],Table27[[#This Row],[Bucket CTL]])/1000,0)</f>
        <v>0</v>
      </c>
      <c r="AB21" s="90">
        <f>Table27[[#This Row],[ INDENT  FOR NOV-25 recommended]]+Table27[[#This Row],[order logg ]]</f>
        <v>0</v>
      </c>
      <c r="AC21" s="90">
        <f>Table27[[#This Row],[Before 20th]]+Table27[[#This Row],[ofter 20th]]</f>
        <v>0</v>
      </c>
      <c r="AD21">
        <f>IF(Table27[[#This Row],[Total Indent]]-Table27[[#This Row],[Total Supplied]]&lt;0,0,Table27[[#This Row],[Total Indent]]-Table27[[#This Row],[Total Supplied]])</f>
        <v>0</v>
      </c>
    </row>
    <row r="22" spans="1:30" x14ac:dyDescent="0.25">
      <c r="A22" s="265" t="s">
        <v>341</v>
      </c>
      <c r="B22" s="265">
        <v>943210</v>
      </c>
      <c r="C22" s="147" t="s">
        <v>342</v>
      </c>
      <c r="D22" s="147" t="s">
        <v>350</v>
      </c>
      <c r="E22" s="147" t="s">
        <v>348</v>
      </c>
      <c r="F22" s="147" t="s">
        <v>351</v>
      </c>
      <c r="G22" s="148">
        <v>22.2</v>
      </c>
      <c r="H22" s="148"/>
      <c r="I22" s="148">
        <v>2</v>
      </c>
      <c r="J22" s="147">
        <v>5390</v>
      </c>
      <c r="K22" s="147">
        <v>5.39</v>
      </c>
      <c r="L22" s="147" t="str">
        <f t="shared" si="0"/>
        <v>22.225.39CR ERW FIN CUT</v>
      </c>
      <c r="M22" s="147" t="str">
        <f>VLOOKUP(Table27[[#This Row],[Key]],Table29[[#All],[Key]:[TSL Material Code3]],4,0)</f>
        <v>22.23-0-2-ERW 1-FC</v>
      </c>
      <c r="N22" s="147" t="str">
        <f>VLOOKUP(Table27[[#This Row],[Key]],Table29[[#All],[Key]:[TSL Material Code3]],5,0)</f>
        <v>22.23-0-2-ERW 1-PE-5.39</v>
      </c>
      <c r="O22" s="149" t="str">
        <f>VLOOKUP(Table27[[#This Row],[Key]],Table29[[#All],[Key]:[TSL Material Code3]],7,0)</f>
        <v>0789</v>
      </c>
      <c r="P22" s="150">
        <f>VLOOKUP(Table27[[#This Row],[Key]],Table29[[#All],[Key]:[TSL Material Code3]],8,0)</f>
        <v>2431251</v>
      </c>
      <c r="Q22" s="19">
        <v>10</v>
      </c>
      <c r="R22" s="147">
        <v>5</v>
      </c>
      <c r="S22" s="147">
        <v>0</v>
      </c>
      <c r="T22" s="147">
        <v>0</v>
      </c>
      <c r="U22" s="147">
        <f t="shared" si="1"/>
        <v>-5</v>
      </c>
      <c r="V22" s="147"/>
      <c r="W22" s="147">
        <f t="shared" si="2"/>
        <v>-5</v>
      </c>
      <c r="X22" s="19">
        <f t="shared" si="4"/>
        <v>15</v>
      </c>
      <c r="Y22" s="167">
        <f t="shared" si="3"/>
        <v>22.5</v>
      </c>
      <c r="Z22" s="19">
        <f>ROUND(SUMIFS(meghsteelsales_previousmonth[Quantity],meghsteelsales_previousmonth[Length Bucket],Table27[[#This Row],[Bucket CTL]])/1000,0)</f>
        <v>5</v>
      </c>
      <c r="AA22" s="419">
        <f>ROUND(SUMIFS(meghsteelsales_currentmonth[Quantity],meghsteelsales_currentmonth[Length Bucket],Table27[[#This Row],[Bucket CTL]])/1000,0)</f>
        <v>23</v>
      </c>
      <c r="AB22" s="90">
        <f>Table27[[#This Row],[ INDENT  FOR NOV-25 recommended]]+Table27[[#This Row],[order logg ]]</f>
        <v>22.5</v>
      </c>
      <c r="AC22" s="90">
        <f>Table27[[#This Row],[Before 20th]]+Table27[[#This Row],[ofter 20th]]</f>
        <v>28</v>
      </c>
      <c r="AD22">
        <f>IF(Table27[[#This Row],[Total Indent]]-Table27[[#This Row],[Total Supplied]]&lt;0,0,Table27[[#This Row],[Total Indent]]-Table27[[#This Row],[Total Supplied]])</f>
        <v>0</v>
      </c>
    </row>
    <row r="23" spans="1:30" x14ac:dyDescent="0.25">
      <c r="A23" s="265" t="s">
        <v>341</v>
      </c>
      <c r="B23" s="265">
        <v>943210</v>
      </c>
      <c r="C23" s="147" t="s">
        <v>342</v>
      </c>
      <c r="D23" s="153" t="s">
        <v>344</v>
      </c>
      <c r="E23" s="147" t="s">
        <v>348</v>
      </c>
      <c r="F23" s="147" t="s">
        <v>349</v>
      </c>
      <c r="G23" s="148">
        <v>25.4</v>
      </c>
      <c r="H23" s="148"/>
      <c r="I23" s="148">
        <v>1.4</v>
      </c>
      <c r="J23" s="147">
        <v>5531</v>
      </c>
      <c r="K23" s="147">
        <v>5.5309999999999997</v>
      </c>
      <c r="L23" s="147" t="str">
        <f t="shared" si="0"/>
        <v>25.41.45.531HSTFIN CUT</v>
      </c>
      <c r="M23" s="147" t="str">
        <f>VLOOKUP(Table27[[#This Row],[Key]],Table29[[#All],[Key]:[TSL Material Code3]],4,0)</f>
        <v>25.4-0-1.4-ERW 2-FC</v>
      </c>
      <c r="N23" s="147" t="str">
        <f>VLOOKUP(Table27[[#This Row],[Key]],Table29[[#All],[Key]:[TSL Material Code3]],5,0)</f>
        <v>25.4-0-1.4-ERW 2-FC-5.531</v>
      </c>
      <c r="O23" s="149" t="str">
        <f>VLOOKUP(Table27[[#This Row],[Key]],Table29[[#All],[Key]:[TSL Material Code3]],7,0)</f>
        <v>056</v>
      </c>
      <c r="P23" s="150">
        <f>VLOOKUP(Table27[[#This Row],[Key]],Table29[[#All],[Key]:[TSL Material Code3]],8,0)</f>
        <v>3501900</v>
      </c>
      <c r="Q23" s="19">
        <v>15</v>
      </c>
      <c r="R23" s="147">
        <v>0</v>
      </c>
      <c r="S23" s="147">
        <v>0</v>
      </c>
      <c r="T23" s="147">
        <v>0</v>
      </c>
      <c r="U23" s="147">
        <f t="shared" si="1"/>
        <v>0</v>
      </c>
      <c r="V23" s="147">
        <v>16</v>
      </c>
      <c r="W23" s="147">
        <f t="shared" si="2"/>
        <v>16</v>
      </c>
      <c r="X23" s="19">
        <f t="shared" si="4"/>
        <v>-1</v>
      </c>
      <c r="Y23" s="167">
        <f t="shared" si="3"/>
        <v>0</v>
      </c>
      <c r="Z23" s="19">
        <f>ROUND(SUMIFS(meghsteelsales_previousmonth[Quantity],meghsteelsales_previousmonth[Length Bucket],Table27[[#This Row],[Bucket CTL]])/1000,0)</f>
        <v>0</v>
      </c>
      <c r="AA23" s="419">
        <f>ROUND(SUMIFS(meghsteelsales_currentmonth[Quantity],meghsteelsales_currentmonth[Length Bucket],Table27[[#This Row],[Bucket CTL]])/1000,0)</f>
        <v>0</v>
      </c>
      <c r="AB23" s="90">
        <f>Table27[[#This Row],[ INDENT  FOR NOV-25 recommended]]+Table27[[#This Row],[order logg ]]</f>
        <v>16</v>
      </c>
      <c r="AC23" s="90">
        <f>Table27[[#This Row],[Before 20th]]+Table27[[#This Row],[ofter 20th]]</f>
        <v>0</v>
      </c>
      <c r="AD23">
        <f>IF(Table27[[#This Row],[Total Indent]]-Table27[[#This Row],[Total Supplied]]&lt;0,0,Table27[[#This Row],[Total Indent]]-Table27[[#This Row],[Total Supplied]])</f>
        <v>16</v>
      </c>
    </row>
    <row r="24" spans="1:30" x14ac:dyDescent="0.25">
      <c r="A24" s="265" t="s">
        <v>341</v>
      </c>
      <c r="B24" s="265">
        <v>943210</v>
      </c>
      <c r="C24" s="147" t="s">
        <v>342</v>
      </c>
      <c r="D24" s="153" t="s">
        <v>338</v>
      </c>
      <c r="E24" s="147" t="s">
        <v>348</v>
      </c>
      <c r="F24" s="147" t="s">
        <v>340</v>
      </c>
      <c r="G24" s="148">
        <v>25.4</v>
      </c>
      <c r="H24" s="148"/>
      <c r="I24" s="148">
        <v>1.4</v>
      </c>
      <c r="J24" s="147">
        <v>6060</v>
      </c>
      <c r="K24" s="147">
        <v>6.06</v>
      </c>
      <c r="L24" s="147" t="str">
        <f t="shared" si="0"/>
        <v>25.41.46.06ERWFIN CUT</v>
      </c>
      <c r="M24" s="147" t="str">
        <f>VLOOKUP(Table27[[#This Row],[Key]],Table29[[#All],[Key]:[TSL Material Code3]],4,0)</f>
        <v>25.4-0-1.4-ERW 1-FC</v>
      </c>
      <c r="N24" s="147" t="str">
        <f>VLOOKUP(Table27[[#This Row],[Key]],Table29[[#All],[Key]:[TSL Material Code3]],5,0)</f>
        <v>25.4-0-1.4-ERW 1-FC-6.06</v>
      </c>
      <c r="O24" s="149" t="str">
        <f>VLOOKUP(Table27[[#This Row],[Key]],Table29[[#All],[Key]:[TSL Material Code3]],7,0)</f>
        <v>0789</v>
      </c>
      <c r="P24" s="150">
        <f>VLOOKUP(Table27[[#This Row],[Key]],Table29[[#All],[Key]:[TSL Material Code3]],8,0)</f>
        <v>3557792</v>
      </c>
      <c r="Q24" s="19">
        <v>15</v>
      </c>
      <c r="R24" s="147">
        <v>15</v>
      </c>
      <c r="S24" s="147">
        <v>0</v>
      </c>
      <c r="T24" s="147">
        <v>22</v>
      </c>
      <c r="U24" s="147">
        <f t="shared" si="1"/>
        <v>-15</v>
      </c>
      <c r="V24" s="147"/>
      <c r="W24" s="147">
        <f t="shared" si="2"/>
        <v>-15</v>
      </c>
      <c r="X24" s="19">
        <f t="shared" si="4"/>
        <v>30</v>
      </c>
      <c r="Y24" s="167">
        <f t="shared" si="3"/>
        <v>45</v>
      </c>
      <c r="Z24" s="19">
        <f>ROUND(SUMIFS(meghsteelsales_previousmonth[Quantity],meghsteelsales_previousmonth[Length Bucket],Table27[[#This Row],[Bucket CTL]])/1000,0)</f>
        <v>0</v>
      </c>
      <c r="AA24" s="419">
        <f>ROUND(SUMIFS(meghsteelsales_currentmonth[Quantity],meghsteelsales_currentmonth[Length Bucket],Table27[[#This Row],[Bucket CTL]])/1000,0)</f>
        <v>0</v>
      </c>
      <c r="AB24" s="90">
        <f>Table27[[#This Row],[ INDENT  FOR NOV-25 recommended]]+Table27[[#This Row],[order logg ]]</f>
        <v>45</v>
      </c>
      <c r="AC24" s="90">
        <f>Table27[[#This Row],[Before 20th]]+Table27[[#This Row],[ofter 20th]]</f>
        <v>0</v>
      </c>
      <c r="AD24">
        <f>IF(Table27[[#This Row],[Total Indent]]-Table27[[#This Row],[Total Supplied]]&lt;0,0,Table27[[#This Row],[Total Indent]]-Table27[[#This Row],[Total Supplied]])</f>
        <v>45</v>
      </c>
    </row>
    <row r="25" spans="1:30" x14ac:dyDescent="0.25">
      <c r="A25" s="265" t="s">
        <v>10</v>
      </c>
      <c r="B25" s="265">
        <v>943209</v>
      </c>
      <c r="C25" s="147" t="s">
        <v>116</v>
      </c>
      <c r="D25" s="153" t="s">
        <v>338</v>
      </c>
      <c r="E25" s="147" t="s">
        <v>339</v>
      </c>
      <c r="F25" s="147" t="s">
        <v>340</v>
      </c>
      <c r="G25" s="148">
        <v>25.4</v>
      </c>
      <c r="H25" s="148"/>
      <c r="I25" s="148">
        <v>1.6</v>
      </c>
      <c r="J25" s="147">
        <v>6000</v>
      </c>
      <c r="K25" s="147">
        <v>6</v>
      </c>
      <c r="L25" s="147" t="str">
        <f t="shared" si="0"/>
        <v>25.41.66ERWNON FIN</v>
      </c>
      <c r="M25" s="147" t="str">
        <f>VLOOKUP(Table27[[#This Row],[Key]],Table29[[#All],[Key]:[TSL Material Code3]],4,0)</f>
        <v>25.4-0-1.6-ERW 1-PE</v>
      </c>
      <c r="N25" s="147" t="str">
        <f>VLOOKUP(Table27[[#This Row],[Key]],Table29[[#All],[Key]:[TSL Material Code3]],5,0)</f>
        <v>25.4-0-1.6-ERW 1-PE-6</v>
      </c>
      <c r="O25" s="149" t="str">
        <f>VLOOKUP(Table27[[#This Row],[Key]],Table29[[#All],[Key]:[TSL Material Code3]],7,0)</f>
        <v>056</v>
      </c>
      <c r="P25" s="150">
        <f>VLOOKUP(Table27[[#This Row],[Key]],Table29[[#All],[Key]:[TSL Material Code3]],8,0)</f>
        <v>3500097</v>
      </c>
      <c r="Q25" s="19">
        <v>30</v>
      </c>
      <c r="R25" s="147">
        <v>15</v>
      </c>
      <c r="S25" s="147">
        <v>10</v>
      </c>
      <c r="T25" s="147">
        <v>50</v>
      </c>
      <c r="U25" s="147">
        <f t="shared" si="1"/>
        <v>-5</v>
      </c>
      <c r="V25" s="147">
        <v>29</v>
      </c>
      <c r="W25" s="147">
        <f t="shared" si="2"/>
        <v>24</v>
      </c>
      <c r="X25" s="19">
        <f t="shared" si="4"/>
        <v>6</v>
      </c>
      <c r="Y25" s="167">
        <f t="shared" si="3"/>
        <v>9</v>
      </c>
      <c r="Z25" s="19">
        <f>ROUND(SUMIFS(meghsteelsales_previousmonth[Quantity],meghsteelsales_previousmonth[Length Bucket],Table27[[#This Row],[Bucket CTL]])/1000,0)</f>
        <v>63</v>
      </c>
      <c r="AA25" s="419">
        <f>ROUND(SUMIFS(meghsteelsales_currentmonth[Quantity],meghsteelsales_currentmonth[Length Bucket],Table27[[#This Row],[Bucket CTL]])/1000,0)</f>
        <v>0</v>
      </c>
      <c r="AB25" s="90">
        <f>Table27[[#This Row],[ INDENT  FOR NOV-25 recommended]]+Table27[[#This Row],[order logg ]]</f>
        <v>38</v>
      </c>
      <c r="AC25" s="90">
        <f>Table27[[#This Row],[Before 20th]]+Table27[[#This Row],[ofter 20th]]</f>
        <v>63</v>
      </c>
      <c r="AD25">
        <f>IF(Table27[[#This Row],[Total Indent]]-Table27[[#This Row],[Total Supplied]]&lt;0,0,Table27[[#This Row],[Total Indent]]-Table27[[#This Row],[Total Supplied]])</f>
        <v>0</v>
      </c>
    </row>
    <row r="26" spans="1:30" s="45" customFormat="1" x14ac:dyDescent="0.25">
      <c r="A26" s="266" t="s">
        <v>5</v>
      </c>
      <c r="B26" s="266">
        <v>943211</v>
      </c>
      <c r="C26" s="156" t="s">
        <v>352</v>
      </c>
      <c r="D26" s="157" t="s">
        <v>353</v>
      </c>
      <c r="E26" s="156" t="s">
        <v>339</v>
      </c>
      <c r="F26" s="157" t="s">
        <v>353</v>
      </c>
      <c r="G26" s="248">
        <v>25.4</v>
      </c>
      <c r="H26" s="248"/>
      <c r="I26" s="248">
        <v>1.6</v>
      </c>
      <c r="J26" s="156">
        <v>5840</v>
      </c>
      <c r="K26" s="156">
        <v>5.84</v>
      </c>
      <c r="L26" s="147" t="str">
        <f t="shared" si="0"/>
        <v>25.41.65.84MICRO ALLOYNON FIN</v>
      </c>
      <c r="M26" s="147" t="s">
        <v>354</v>
      </c>
      <c r="N26" s="147" t="s">
        <v>355</v>
      </c>
      <c r="O26" s="158" t="s">
        <v>345</v>
      </c>
      <c r="P26" s="150">
        <v>4149395</v>
      </c>
      <c r="Q26" s="246">
        <v>25</v>
      </c>
      <c r="R26" s="156">
        <v>10</v>
      </c>
      <c r="S26" s="156">
        <v>16.7</v>
      </c>
      <c r="T26" s="156">
        <v>0</v>
      </c>
      <c r="U26" s="156">
        <f t="shared" si="1"/>
        <v>6.6999999999999993</v>
      </c>
      <c r="V26" s="156">
        <v>21</v>
      </c>
      <c r="W26" s="147">
        <f t="shared" si="2"/>
        <v>27.7</v>
      </c>
      <c r="X26" s="246">
        <f t="shared" si="4"/>
        <v>-2.6999999999999993</v>
      </c>
      <c r="Y26" s="167">
        <f t="shared" si="3"/>
        <v>0</v>
      </c>
      <c r="Z26" s="19">
        <f>ROUND(SUMIFS(meghsteelsales_previousmonth[Quantity],meghsteelsales_previousmonth[Length Bucket],Table27[[#This Row],[Bucket CTL]])/1000,0)</f>
        <v>0</v>
      </c>
      <c r="AA26" s="419">
        <f>ROUND(SUMIFS(meghsteelsales_currentmonth[Quantity],meghsteelsales_currentmonth[Length Bucket],Table27[[#This Row],[Bucket CTL]])/1000,0)</f>
        <v>0</v>
      </c>
      <c r="AB26" s="90">
        <f>Table27[[#This Row],[ INDENT  FOR NOV-25 recommended]]+Table27[[#This Row],[order logg ]]</f>
        <v>21</v>
      </c>
      <c r="AC26" s="90">
        <f>Table27[[#This Row],[Before 20th]]+Table27[[#This Row],[ofter 20th]]</f>
        <v>0</v>
      </c>
      <c r="AD26">
        <f>IF(Table27[[#This Row],[Total Indent]]-Table27[[#This Row],[Total Supplied]]&lt;0,0,Table27[[#This Row],[Total Indent]]-Table27[[#This Row],[Total Supplied]])</f>
        <v>21</v>
      </c>
    </row>
    <row r="27" spans="1:30" x14ac:dyDescent="0.25">
      <c r="A27" s="265" t="s">
        <v>10</v>
      </c>
      <c r="B27" s="265">
        <v>943209</v>
      </c>
      <c r="C27" s="147" t="s">
        <v>116</v>
      </c>
      <c r="D27" s="153" t="s">
        <v>338</v>
      </c>
      <c r="E27" s="147" t="s">
        <v>339</v>
      </c>
      <c r="F27" s="147" t="s">
        <v>340</v>
      </c>
      <c r="G27" s="148">
        <v>25.4</v>
      </c>
      <c r="H27" s="148"/>
      <c r="I27" s="148">
        <v>2</v>
      </c>
      <c r="J27" s="147">
        <v>6050</v>
      </c>
      <c r="K27" s="147">
        <v>6.05</v>
      </c>
      <c r="L27" s="147" t="str">
        <f t="shared" si="0"/>
        <v>25.426.05ERWNON FIN</v>
      </c>
      <c r="M27" s="147" t="str">
        <f>VLOOKUP(Table27[[#This Row],[Key]],Table29[[#All],[Key]:[TSL Material Code3]],4,0)</f>
        <v>25.4-0-2-ERW 1-PE</v>
      </c>
      <c r="N27" s="147" t="str">
        <f>VLOOKUP(Table27[[#This Row],[Key]],Table29[[#All],[Key]:[TSL Material Code3]],5,0)</f>
        <v>25.4-0-2-ERW 1-PE-6.05</v>
      </c>
      <c r="O27" s="149" t="str">
        <f>VLOOKUP(Table27[[#This Row],[Key]],Table29[[#All],[Key]:[TSL Material Code3]],7,0)</f>
        <v>0789</v>
      </c>
      <c r="P27" s="150">
        <f>VLOOKUP(Table27[[#This Row],[Key]],Table29[[#All],[Key]:[TSL Material Code3]],8,0)</f>
        <v>4055021</v>
      </c>
      <c r="Q27" s="19">
        <v>10</v>
      </c>
      <c r="R27" s="147">
        <v>0</v>
      </c>
      <c r="S27" s="147">
        <v>3</v>
      </c>
      <c r="T27" s="147">
        <v>0</v>
      </c>
      <c r="U27" s="147">
        <f t="shared" si="1"/>
        <v>3</v>
      </c>
      <c r="V27" s="147"/>
      <c r="W27" s="147">
        <f t="shared" si="2"/>
        <v>3</v>
      </c>
      <c r="X27" s="19">
        <f t="shared" si="4"/>
        <v>7</v>
      </c>
      <c r="Y27" s="167">
        <f t="shared" si="3"/>
        <v>10.5</v>
      </c>
      <c r="Z27" s="19">
        <f>ROUND(SUMIFS(meghsteelsales_previousmonth[Quantity],meghsteelsales_previousmonth[Length Bucket],Table27[[#This Row],[Bucket CTL]])/1000,0)</f>
        <v>0</v>
      </c>
      <c r="AA27" s="419">
        <f>ROUND(SUMIFS(meghsteelsales_currentmonth[Quantity],meghsteelsales_currentmonth[Length Bucket],Table27[[#This Row],[Bucket CTL]])/1000,0)</f>
        <v>0</v>
      </c>
      <c r="AB27" s="90">
        <f>Table27[[#This Row],[ INDENT  FOR NOV-25 recommended]]+Table27[[#This Row],[order logg ]]</f>
        <v>10.5</v>
      </c>
      <c r="AC27" s="90">
        <f>Table27[[#This Row],[Before 20th]]+Table27[[#This Row],[ofter 20th]]</f>
        <v>0</v>
      </c>
      <c r="AD27">
        <f>IF(Table27[[#This Row],[Total Indent]]-Table27[[#This Row],[Total Supplied]]&lt;0,0,Table27[[#This Row],[Total Indent]]-Table27[[#This Row],[Total Supplied]])</f>
        <v>10.5</v>
      </c>
    </row>
    <row r="28" spans="1:30" x14ac:dyDescent="0.25">
      <c r="A28" s="265" t="s">
        <v>10</v>
      </c>
      <c r="B28" s="265">
        <v>943209</v>
      </c>
      <c r="C28" s="147" t="s">
        <v>116</v>
      </c>
      <c r="D28" s="153" t="s">
        <v>338</v>
      </c>
      <c r="E28" s="147" t="s">
        <v>339</v>
      </c>
      <c r="F28" s="147" t="s">
        <v>340</v>
      </c>
      <c r="G28" s="148">
        <v>25.4</v>
      </c>
      <c r="H28" s="148"/>
      <c r="I28" s="148">
        <v>2.5</v>
      </c>
      <c r="J28" s="147">
        <v>5530</v>
      </c>
      <c r="K28" s="147">
        <v>5.53</v>
      </c>
      <c r="L28" s="147" t="str">
        <f t="shared" si="0"/>
        <v>25.42.55.53ERWNON FIN</v>
      </c>
      <c r="M28" s="147" t="str">
        <f>VLOOKUP(Table27[[#This Row],[Key]],Table29[[#All],[Key]:[TSL Material Code3]],4,0)</f>
        <v>25.4-0-2.5-ERW 1-PE</v>
      </c>
      <c r="N28" s="147" t="str">
        <f>VLOOKUP(Table27[[#This Row],[Key]],Table29[[#All],[Key]:[TSL Material Code3]],5,0)</f>
        <v>25.4-0-2.5-ERW 1-PE-5.53</v>
      </c>
      <c r="O28" s="149" t="str">
        <f>VLOOKUP(Table27[[#This Row],[Key]],Table29[[#All],[Key]:[TSL Material Code3]],7,0)</f>
        <v>056</v>
      </c>
      <c r="P28" s="150">
        <f>VLOOKUP(Table27[[#This Row],[Key]],Table29[[#All],[Key]:[TSL Material Code3]],8,0)</f>
        <v>3502256</v>
      </c>
      <c r="Q28" s="19">
        <v>40</v>
      </c>
      <c r="R28" s="147">
        <v>15</v>
      </c>
      <c r="S28" s="147">
        <v>5</v>
      </c>
      <c r="T28" s="147">
        <v>58</v>
      </c>
      <c r="U28" s="147">
        <f t="shared" si="1"/>
        <v>-10</v>
      </c>
      <c r="V28" s="147">
        <v>62</v>
      </c>
      <c r="W28" s="147">
        <f t="shared" si="2"/>
        <v>52</v>
      </c>
      <c r="X28" s="19">
        <f t="shared" si="4"/>
        <v>-12</v>
      </c>
      <c r="Y28" s="167">
        <f t="shared" si="3"/>
        <v>0</v>
      </c>
      <c r="Z28" s="19">
        <f>ROUND(SUMIFS(meghsteelsales_previousmonth[Quantity],meghsteelsales_previousmonth[Length Bucket],Table27[[#This Row],[Bucket CTL]])/1000,0)</f>
        <v>106</v>
      </c>
      <c r="AA28" s="419">
        <f>ROUND(SUMIFS(meghsteelsales_currentmonth[Quantity],meghsteelsales_currentmonth[Length Bucket],Table27[[#This Row],[Bucket CTL]])/1000,0)</f>
        <v>38</v>
      </c>
      <c r="AB28" s="90">
        <f>Table27[[#This Row],[ INDENT  FOR NOV-25 recommended]]+Table27[[#This Row],[order logg ]]</f>
        <v>62</v>
      </c>
      <c r="AC28" s="90">
        <f>Table27[[#This Row],[Before 20th]]+Table27[[#This Row],[ofter 20th]]</f>
        <v>144</v>
      </c>
      <c r="AD28">
        <f>IF(Table27[[#This Row],[Total Indent]]-Table27[[#This Row],[Total Supplied]]&lt;0,0,Table27[[#This Row],[Total Indent]]-Table27[[#This Row],[Total Supplied]])</f>
        <v>0</v>
      </c>
    </row>
    <row r="29" spans="1:30" x14ac:dyDescent="0.25">
      <c r="A29" s="265" t="s">
        <v>10</v>
      </c>
      <c r="B29" s="265">
        <v>943209</v>
      </c>
      <c r="C29" s="147" t="s">
        <v>346</v>
      </c>
      <c r="D29" s="153" t="s">
        <v>338</v>
      </c>
      <c r="E29" s="147" t="s">
        <v>348</v>
      </c>
      <c r="F29" s="147" t="s">
        <v>340</v>
      </c>
      <c r="G29" s="148">
        <v>28.6</v>
      </c>
      <c r="H29" s="148"/>
      <c r="I29" s="148">
        <v>1.2</v>
      </c>
      <c r="J29" s="147">
        <v>6000</v>
      </c>
      <c r="K29" s="147">
        <v>6</v>
      </c>
      <c r="L29" s="147" t="str">
        <f t="shared" si="0"/>
        <v>28.61.26ERWFIN CUT</v>
      </c>
      <c r="M29" s="147" t="e">
        <f>VLOOKUP(Table27[[#This Row],[Key]],Table29[[#All],[Key]:[TSL Material Code3]],4,0)</f>
        <v>#N/A</v>
      </c>
      <c r="N29" s="147" t="e">
        <f>VLOOKUP(Table27[[#This Row],[Key]],Table29[[#All],[Key]:[TSL Material Code3]],5,0)</f>
        <v>#N/A</v>
      </c>
      <c r="O29" s="149" t="str">
        <f>VLOOKUP(Table27[[#This Row],[Key]],Table29[[#All],[Key]:[TSL Material Code3]],7,0)</f>
        <v>0789</v>
      </c>
      <c r="P29" s="150">
        <f>VLOOKUP(Table27[[#This Row],[Key]],Table29[[#All],[Key]:[TSL Material Code3]],8,0)</f>
        <v>3702101</v>
      </c>
      <c r="Q29" s="19">
        <v>3</v>
      </c>
      <c r="R29" s="147">
        <v>0</v>
      </c>
      <c r="S29" s="147">
        <v>3.2</v>
      </c>
      <c r="T29" s="147">
        <v>0</v>
      </c>
      <c r="U29" s="147">
        <f t="shared" si="1"/>
        <v>3.2</v>
      </c>
      <c r="V29" s="147"/>
      <c r="W29" s="147">
        <f t="shared" si="2"/>
        <v>3.2</v>
      </c>
      <c r="X29" s="19">
        <f t="shared" si="4"/>
        <v>-0.20000000000000018</v>
      </c>
      <c r="Y29" s="167">
        <f t="shared" si="3"/>
        <v>0</v>
      </c>
      <c r="Z29" s="19">
        <f>ROUND(SUMIFS(meghsteelsales_previousmonth[Quantity],meghsteelsales_previousmonth[Length Bucket],Table27[[#This Row],[Bucket CTL]])/1000,0)</f>
        <v>0</v>
      </c>
      <c r="AA29" s="419">
        <f>ROUND(SUMIFS(meghsteelsales_currentmonth[Quantity],meghsteelsales_currentmonth[Length Bucket],Table27[[#This Row],[Bucket CTL]])/1000,0)</f>
        <v>0</v>
      </c>
      <c r="AB29" s="90">
        <f>Table27[[#This Row],[ INDENT  FOR NOV-25 recommended]]+Table27[[#This Row],[order logg ]]</f>
        <v>0</v>
      </c>
      <c r="AC29" s="90">
        <f>Table27[[#This Row],[Before 20th]]+Table27[[#This Row],[ofter 20th]]</f>
        <v>0</v>
      </c>
      <c r="AD29">
        <f>IF(Table27[[#This Row],[Total Indent]]-Table27[[#This Row],[Total Supplied]]&lt;0,0,Table27[[#This Row],[Total Indent]]-Table27[[#This Row],[Total Supplied]])</f>
        <v>0</v>
      </c>
    </row>
    <row r="30" spans="1:30" x14ac:dyDescent="0.25">
      <c r="A30" s="265" t="s">
        <v>10</v>
      </c>
      <c r="B30" s="265">
        <v>943209</v>
      </c>
      <c r="C30" s="147" t="s">
        <v>116</v>
      </c>
      <c r="D30" s="159" t="s">
        <v>356</v>
      </c>
      <c r="E30" s="147" t="s">
        <v>348</v>
      </c>
      <c r="F30" s="147" t="s">
        <v>357</v>
      </c>
      <c r="G30" s="168">
        <v>28.6</v>
      </c>
      <c r="H30" s="168"/>
      <c r="I30" s="168">
        <v>2.65</v>
      </c>
      <c r="J30" s="169">
        <v>6000</v>
      </c>
      <c r="K30" s="147">
        <v>6</v>
      </c>
      <c r="L30" s="147" t="str">
        <f t="shared" si="0"/>
        <v>28.62.656CEWFIN CUT</v>
      </c>
      <c r="M30" s="147" t="str">
        <f>VLOOKUP(Table27[[#This Row],[Key]],Table29[[#All],[Key]:[TSL Material Code3]],4,0)</f>
        <v>No Key</v>
      </c>
      <c r="N30" s="147" t="str">
        <f>VLOOKUP(Table27[[#This Row],[Key]],Table29[[#All],[Key]:[TSL Material Code3]],5,0)</f>
        <v>No Key</v>
      </c>
      <c r="O30" s="149" t="str">
        <f>VLOOKUP(Table27[[#This Row],[Key]],Table29[[#All],[Key]:[TSL Material Code3]],7,0)</f>
        <v>0788</v>
      </c>
      <c r="P30" s="150">
        <f>VLOOKUP(Table27[[#This Row],[Key]],Table29[[#All],[Key]:[TSL Material Code3]],8,0)</f>
        <v>2410388</v>
      </c>
      <c r="Q30" s="19">
        <v>10</v>
      </c>
      <c r="R30" s="147">
        <v>0</v>
      </c>
      <c r="S30" s="147">
        <v>9</v>
      </c>
      <c r="T30" s="147">
        <v>0</v>
      </c>
      <c r="U30" s="147">
        <f t="shared" si="1"/>
        <v>9</v>
      </c>
      <c r="V30" s="147"/>
      <c r="W30" s="147">
        <f t="shared" si="2"/>
        <v>9</v>
      </c>
      <c r="X30" s="19">
        <f t="shared" si="4"/>
        <v>1</v>
      </c>
      <c r="Y30" s="167">
        <f t="shared" si="3"/>
        <v>1.5</v>
      </c>
      <c r="Z30" s="19">
        <f>ROUND(SUMIFS(meghsteelsales_previousmonth[Quantity],meghsteelsales_previousmonth[Length Bucket],Table27[[#This Row],[Bucket CTL]])/1000,0)</f>
        <v>0</v>
      </c>
      <c r="AA30" s="419">
        <f>ROUND(SUMIFS(meghsteelsales_currentmonth[Quantity],meghsteelsales_currentmonth[Length Bucket],Table27[[#This Row],[Bucket CTL]])/1000,0)</f>
        <v>0</v>
      </c>
      <c r="AB30" s="90">
        <f>Table27[[#This Row],[ INDENT  FOR NOV-25 recommended]]+Table27[[#This Row],[order logg ]]</f>
        <v>1.5</v>
      </c>
      <c r="AC30" s="90">
        <f>Table27[[#This Row],[Before 20th]]+Table27[[#This Row],[ofter 20th]]</f>
        <v>0</v>
      </c>
      <c r="AD30">
        <f>IF(Table27[[#This Row],[Total Indent]]-Table27[[#This Row],[Total Supplied]]&lt;0,0,Table27[[#This Row],[Total Indent]]-Table27[[#This Row],[Total Supplied]])</f>
        <v>1.5</v>
      </c>
    </row>
    <row r="31" spans="1:30" x14ac:dyDescent="0.25">
      <c r="A31" s="265" t="s">
        <v>10</v>
      </c>
      <c r="B31" s="265">
        <v>943209</v>
      </c>
      <c r="C31" s="147" t="s">
        <v>346</v>
      </c>
      <c r="D31" s="153" t="s">
        <v>338</v>
      </c>
      <c r="E31" s="147" t="s">
        <v>348</v>
      </c>
      <c r="F31" s="147" t="s">
        <v>340</v>
      </c>
      <c r="G31" s="148">
        <v>31.75</v>
      </c>
      <c r="H31" s="148"/>
      <c r="I31" s="148">
        <v>1.2</v>
      </c>
      <c r="J31" s="147">
        <v>6000</v>
      </c>
      <c r="K31" s="147">
        <v>6</v>
      </c>
      <c r="L31" s="147" t="str">
        <f t="shared" si="0"/>
        <v>31.751.26ERWFIN CUT</v>
      </c>
      <c r="M31" s="147" t="str">
        <f>VLOOKUP(Table27[[#This Row],[Key]],Table29[[#All],[Key]:[TSL Material Code3]],4,0)</f>
        <v>31.75-0-1.2-ERW 1-FC</v>
      </c>
      <c r="N31" s="147" t="str">
        <f>VLOOKUP(Table27[[#This Row],[Key]],Table29[[#All],[Key]:[TSL Material Code3]],5,0)</f>
        <v>31.75-0-2-ERW 1-FC-6</v>
      </c>
      <c r="O31" s="149" t="str">
        <f>VLOOKUP(Table27[[#This Row],[Key]],Table29[[#All],[Key]:[TSL Material Code3]],7,0)</f>
        <v>056</v>
      </c>
      <c r="P31" s="150">
        <f>VLOOKUP(Table27[[#This Row],[Key]],Table29[[#All],[Key]:[TSL Material Code3]],8,0)</f>
        <v>3884381</v>
      </c>
      <c r="Q31" s="19">
        <v>5</v>
      </c>
      <c r="R31" s="147">
        <v>0</v>
      </c>
      <c r="S31" s="147">
        <v>20</v>
      </c>
      <c r="T31" s="147">
        <v>8.8000000000000007</v>
      </c>
      <c r="U31" s="147">
        <f t="shared" si="1"/>
        <v>20</v>
      </c>
      <c r="V31" s="147">
        <v>1.7</v>
      </c>
      <c r="W31" s="147">
        <f t="shared" si="2"/>
        <v>21.7</v>
      </c>
      <c r="X31" s="19">
        <f t="shared" si="4"/>
        <v>-16.7</v>
      </c>
      <c r="Y31" s="167">
        <f t="shared" si="3"/>
        <v>0</v>
      </c>
      <c r="Z31" s="19">
        <f>ROUND(SUMIFS(meghsteelsales_previousmonth[Quantity],meghsteelsales_previousmonth[Length Bucket],Table27[[#This Row],[Bucket CTL]])/1000,0)</f>
        <v>0</v>
      </c>
      <c r="AA31" s="419">
        <f>ROUND(SUMIFS(meghsteelsales_currentmonth[Quantity],meghsteelsales_currentmonth[Length Bucket],Table27[[#This Row],[Bucket CTL]])/1000,0)</f>
        <v>0</v>
      </c>
      <c r="AB31" s="90">
        <f>Table27[[#This Row],[ INDENT  FOR NOV-25 recommended]]+Table27[[#This Row],[order logg ]]</f>
        <v>1.7</v>
      </c>
      <c r="AC31" s="90">
        <f>Table27[[#This Row],[Before 20th]]+Table27[[#This Row],[ofter 20th]]</f>
        <v>0</v>
      </c>
      <c r="AD31">
        <f>IF(Table27[[#This Row],[Total Indent]]-Table27[[#This Row],[Total Supplied]]&lt;0,0,Table27[[#This Row],[Total Indent]]-Table27[[#This Row],[Total Supplied]])</f>
        <v>1.7</v>
      </c>
    </row>
    <row r="32" spans="1:30" x14ac:dyDescent="0.25">
      <c r="A32" s="265" t="s">
        <v>10</v>
      </c>
      <c r="B32" s="265">
        <v>943209</v>
      </c>
      <c r="C32" s="147" t="s">
        <v>346</v>
      </c>
      <c r="D32" s="153" t="s">
        <v>338</v>
      </c>
      <c r="E32" s="147" t="s">
        <v>348</v>
      </c>
      <c r="F32" s="147" t="s">
        <v>340</v>
      </c>
      <c r="G32" s="148">
        <v>31.75</v>
      </c>
      <c r="H32" s="148"/>
      <c r="I32" s="148">
        <v>2</v>
      </c>
      <c r="J32" s="147">
        <v>6000</v>
      </c>
      <c r="K32" s="147">
        <v>6</v>
      </c>
      <c r="L32" s="147" t="str">
        <f t="shared" si="0"/>
        <v>31.7526ERWFIN CUT</v>
      </c>
      <c r="M32" s="147" t="str">
        <f>VLOOKUP(Table27[[#This Row],[Key]],Table29[[#All],[Key]:[TSL Material Code3]],4,0)</f>
        <v>31.75-0-2-ERW 1-FC</v>
      </c>
      <c r="N32" s="147" t="e">
        <f>VLOOKUP(Table27[[#This Row],[Key]],Table29[[#All],[Key]:[TSL Material Code3]],5,0)</f>
        <v>#N/A</v>
      </c>
      <c r="O32" s="149" t="str">
        <f>VLOOKUP(Table27[[#This Row],[Key]],Table29[[#All],[Key]:[TSL Material Code3]],7,0)</f>
        <v>0789</v>
      </c>
      <c r="P32" s="150">
        <f>VLOOKUP(Table27[[#This Row],[Key]],Table29[[#All],[Key]:[TSL Material Code3]],8,0)</f>
        <v>1931387</v>
      </c>
      <c r="Q32" s="19">
        <v>10</v>
      </c>
      <c r="R32" s="147">
        <v>0</v>
      </c>
      <c r="S32" s="147">
        <v>10</v>
      </c>
      <c r="T32" s="147">
        <v>10</v>
      </c>
      <c r="U32" s="147">
        <f t="shared" si="1"/>
        <v>10</v>
      </c>
      <c r="V32" s="147"/>
      <c r="W32" s="147">
        <f t="shared" si="2"/>
        <v>10</v>
      </c>
      <c r="X32" s="19">
        <f t="shared" si="4"/>
        <v>0</v>
      </c>
      <c r="Y32" s="167">
        <f t="shared" si="3"/>
        <v>0</v>
      </c>
      <c r="Z32" s="19">
        <f>ROUND(SUMIFS(meghsteelsales_previousmonth[Quantity],meghsteelsales_previousmonth[Length Bucket],Table27[[#This Row],[Bucket CTL]])/1000,0)</f>
        <v>0</v>
      </c>
      <c r="AA32" s="419">
        <f>ROUND(SUMIFS(meghsteelsales_currentmonth[Quantity],meghsteelsales_currentmonth[Length Bucket],Table27[[#This Row],[Bucket CTL]])/1000,0)</f>
        <v>0</v>
      </c>
      <c r="AB32" s="90">
        <f>Table27[[#This Row],[ INDENT  FOR NOV-25 recommended]]+Table27[[#This Row],[order logg ]]</f>
        <v>0</v>
      </c>
      <c r="AC32" s="90">
        <f>Table27[[#This Row],[Before 20th]]+Table27[[#This Row],[ofter 20th]]</f>
        <v>0</v>
      </c>
      <c r="AD32">
        <f>IF(Table27[[#This Row],[Total Indent]]-Table27[[#This Row],[Total Supplied]]&lt;0,0,Table27[[#This Row],[Total Indent]]-Table27[[#This Row],[Total Supplied]])</f>
        <v>0</v>
      </c>
    </row>
    <row r="33" spans="1:30" x14ac:dyDescent="0.25">
      <c r="A33" s="265" t="s">
        <v>5</v>
      </c>
      <c r="B33" s="266">
        <v>943211</v>
      </c>
      <c r="C33" s="147" t="s">
        <v>358</v>
      </c>
      <c r="D33" s="153" t="s">
        <v>338</v>
      </c>
      <c r="E33" s="147" t="s">
        <v>348</v>
      </c>
      <c r="F33" s="147" t="s">
        <v>340</v>
      </c>
      <c r="G33" s="148">
        <v>31.75</v>
      </c>
      <c r="H33" s="148"/>
      <c r="I33" s="148">
        <v>2.2999999999999998</v>
      </c>
      <c r="J33" s="147">
        <v>5920</v>
      </c>
      <c r="K33" s="147">
        <v>5.92</v>
      </c>
      <c r="L33" s="147" t="str">
        <f t="shared" si="0"/>
        <v>31.752.35.92ERWFIN CUT</v>
      </c>
      <c r="M33" s="147" t="e">
        <f>VLOOKUP(Table27[[#This Row],[Key]],Table29[[#All],[Key]:[TSL Material Code3]],4,0)</f>
        <v>#N/A</v>
      </c>
      <c r="N33" s="147" t="e">
        <f>VLOOKUP(Table27[[#This Row],[Key]],Table29[[#All],[Key]:[TSL Material Code3]],5,0)</f>
        <v>#N/A</v>
      </c>
      <c r="O33" s="149" t="str">
        <f>VLOOKUP(Table27[[#This Row],[Key]],Table29[[#All],[Key]:[TSL Material Code3]],7,0)</f>
        <v>0789</v>
      </c>
      <c r="P33" s="150" t="str">
        <f>VLOOKUP(Table27[[#This Row],[Key]],Table29[[#All],[Key]:[TSL Material Code3]],8,0)</f>
        <v>MCR 42136</v>
      </c>
      <c r="Q33" s="19">
        <v>15</v>
      </c>
      <c r="R33" s="147">
        <v>5</v>
      </c>
      <c r="S33" s="147">
        <v>18</v>
      </c>
      <c r="T33" s="147">
        <v>0</v>
      </c>
      <c r="U33" s="147">
        <f t="shared" si="1"/>
        <v>13</v>
      </c>
      <c r="V33" s="147"/>
      <c r="W33" s="147">
        <f t="shared" si="2"/>
        <v>13</v>
      </c>
      <c r="X33" s="19">
        <f t="shared" si="4"/>
        <v>2</v>
      </c>
      <c r="Y33" s="167">
        <f t="shared" si="3"/>
        <v>3</v>
      </c>
      <c r="Z33" s="19">
        <f>ROUND(SUMIFS(meghsteelsales_previousmonth[Quantity],meghsteelsales_previousmonth[Length Bucket],Table27[[#This Row],[Bucket CTL]])/1000,0)</f>
        <v>0</v>
      </c>
      <c r="AA33" s="419">
        <f>ROUND(SUMIFS(meghsteelsales_currentmonth[Quantity],meghsteelsales_currentmonth[Length Bucket],Table27[[#This Row],[Bucket CTL]])/1000,0)</f>
        <v>0</v>
      </c>
      <c r="AB33" s="90">
        <f>Table27[[#This Row],[ INDENT  FOR NOV-25 recommended]]+Table27[[#This Row],[order logg ]]</f>
        <v>3</v>
      </c>
      <c r="AC33" s="90">
        <f>Table27[[#This Row],[Before 20th]]+Table27[[#This Row],[ofter 20th]]</f>
        <v>0</v>
      </c>
      <c r="AD33">
        <f>IF(Table27[[#This Row],[Total Indent]]-Table27[[#This Row],[Total Supplied]]&lt;0,0,Table27[[#This Row],[Total Indent]]-Table27[[#This Row],[Total Supplied]])</f>
        <v>3</v>
      </c>
    </row>
    <row r="34" spans="1:30" x14ac:dyDescent="0.25">
      <c r="A34" s="265" t="s">
        <v>10</v>
      </c>
      <c r="B34" s="265">
        <v>943209</v>
      </c>
      <c r="C34" s="147" t="s">
        <v>346</v>
      </c>
      <c r="D34" s="153" t="s">
        <v>338</v>
      </c>
      <c r="E34" s="147" t="s">
        <v>348</v>
      </c>
      <c r="F34" s="147" t="s">
        <v>340</v>
      </c>
      <c r="G34" s="148">
        <v>34.93</v>
      </c>
      <c r="H34" s="148"/>
      <c r="I34" s="148">
        <v>1.2</v>
      </c>
      <c r="J34" s="147">
        <v>6000</v>
      </c>
      <c r="K34" s="147">
        <v>6</v>
      </c>
      <c r="L34" s="147" t="str">
        <f t="shared" si="0"/>
        <v>34.931.26ERWFIN CUT</v>
      </c>
      <c r="M34" s="147" t="str">
        <f>VLOOKUP(Table27[[#This Row],[Key]],Table29[[#All],[Key]:[TSL Material Code3]],4,0)</f>
        <v>No Key</v>
      </c>
      <c r="N34" s="147" t="str">
        <f>VLOOKUP(Table27[[#This Row],[Key]],Table29[[#All],[Key]:[TSL Material Code3]],5,0)</f>
        <v>No Key</v>
      </c>
      <c r="O34" s="149" t="str">
        <f>VLOOKUP(Table27[[#This Row],[Key]],Table29[[#All],[Key]:[TSL Material Code3]],7,0)</f>
        <v>0789</v>
      </c>
      <c r="P34" s="150">
        <f>VLOOKUP(Table27[[#This Row],[Key]],Table29[[#All],[Key]:[TSL Material Code3]],8,0)</f>
        <v>1940701</v>
      </c>
      <c r="Q34" s="19">
        <v>5</v>
      </c>
      <c r="R34" s="147">
        <v>1</v>
      </c>
      <c r="S34" s="147">
        <v>34</v>
      </c>
      <c r="T34" s="147">
        <v>0</v>
      </c>
      <c r="U34" s="147">
        <f t="shared" si="1"/>
        <v>33</v>
      </c>
      <c r="V34" s="147">
        <v>62</v>
      </c>
      <c r="W34" s="147">
        <f t="shared" si="2"/>
        <v>95</v>
      </c>
      <c r="X34" s="19">
        <f t="shared" si="4"/>
        <v>-90</v>
      </c>
      <c r="Y34" s="167">
        <f t="shared" si="3"/>
        <v>0</v>
      </c>
      <c r="Z34" s="19">
        <f>ROUND(SUMIFS(meghsteelsales_previousmonth[Quantity],meghsteelsales_previousmonth[Length Bucket],Table27[[#This Row],[Bucket CTL]])/1000,0)</f>
        <v>0</v>
      </c>
      <c r="AA34" s="419">
        <f>ROUND(SUMIFS(meghsteelsales_currentmonth[Quantity],meghsteelsales_currentmonth[Length Bucket],Table27[[#This Row],[Bucket CTL]])/1000,0)</f>
        <v>0</v>
      </c>
      <c r="AB34" s="90">
        <f>Table27[[#This Row],[ INDENT  FOR NOV-25 recommended]]+Table27[[#This Row],[order logg ]]</f>
        <v>62</v>
      </c>
      <c r="AC34" s="90">
        <f>Table27[[#This Row],[Before 20th]]+Table27[[#This Row],[ofter 20th]]</f>
        <v>0</v>
      </c>
      <c r="AD34">
        <f>IF(Table27[[#This Row],[Total Indent]]-Table27[[#This Row],[Total Supplied]]&lt;0,0,Table27[[#This Row],[Total Indent]]-Table27[[#This Row],[Total Supplied]])</f>
        <v>62</v>
      </c>
    </row>
    <row r="35" spans="1:30" x14ac:dyDescent="0.25">
      <c r="A35" s="265" t="s">
        <v>5</v>
      </c>
      <c r="B35" s="266">
        <v>943211</v>
      </c>
      <c r="C35" s="147" t="s">
        <v>358</v>
      </c>
      <c r="D35" s="153" t="s">
        <v>338</v>
      </c>
      <c r="E35" s="147" t="s">
        <v>348</v>
      </c>
      <c r="F35" s="147" t="s">
        <v>340</v>
      </c>
      <c r="G35" s="148">
        <v>34.93</v>
      </c>
      <c r="H35" s="148"/>
      <c r="I35" s="148">
        <v>1.2</v>
      </c>
      <c r="J35" s="147">
        <v>620</v>
      </c>
      <c r="K35" s="147">
        <v>0.62</v>
      </c>
      <c r="L35" s="147" t="str">
        <f t="shared" si="0"/>
        <v>34.931.20.62ERWFIN CUT</v>
      </c>
      <c r="M35" s="147" t="str">
        <f>VLOOKUP(Table27[[#This Row],[Key]],Table29[[#All],[Key]:[TSL Material Code3]],4,0)</f>
        <v>34.93-0-1.2-ERW 1-FC</v>
      </c>
      <c r="N35" s="147" t="str">
        <f>VLOOKUP(Table27[[#This Row],[Key]],Table29[[#All],[Key]:[TSL Material Code3]],5,0)</f>
        <v>34.93-0-1.2-ERW 1-FC-0.620</v>
      </c>
      <c r="O35" s="149" t="str">
        <f>VLOOKUP(Table27[[#This Row],[Key]],Table29[[#All],[Key]:[TSL Material Code3]],7,0)</f>
        <v>056</v>
      </c>
      <c r="P35" s="150">
        <f>VLOOKUP(Table27[[#This Row],[Key]],Table29[[#All],[Key]:[TSL Material Code3]],8,0)</f>
        <v>3499589</v>
      </c>
      <c r="Q35" s="19">
        <v>10</v>
      </c>
      <c r="R35" s="147">
        <v>0</v>
      </c>
      <c r="S35" s="147">
        <v>0</v>
      </c>
      <c r="T35" s="147">
        <v>0</v>
      </c>
      <c r="U35" s="147">
        <f t="shared" si="1"/>
        <v>0</v>
      </c>
      <c r="V35" s="147"/>
      <c r="W35" s="147">
        <f t="shared" si="2"/>
        <v>0</v>
      </c>
      <c r="X35" s="19">
        <f t="shared" si="4"/>
        <v>10</v>
      </c>
      <c r="Y35" s="167">
        <f t="shared" si="3"/>
        <v>15</v>
      </c>
      <c r="Z35" s="19">
        <f>ROUND(SUMIFS(meghsteelsales_previousmonth[Quantity],meghsteelsales_previousmonth[Length Bucket],Table27[[#This Row],[Bucket CTL]])/1000,0)</f>
        <v>0</v>
      </c>
      <c r="AA35" s="419">
        <f>ROUND(SUMIFS(meghsteelsales_currentmonth[Quantity],meghsteelsales_currentmonth[Length Bucket],Table27[[#This Row],[Bucket CTL]])/1000,0)</f>
        <v>3</v>
      </c>
      <c r="AB35" s="90">
        <f>Table27[[#This Row],[ INDENT  FOR NOV-25 recommended]]+Table27[[#This Row],[order logg ]]</f>
        <v>15</v>
      </c>
      <c r="AC35" s="90">
        <f>Table27[[#This Row],[Before 20th]]+Table27[[#This Row],[ofter 20th]]</f>
        <v>3</v>
      </c>
      <c r="AD35">
        <f>IF(Table27[[#This Row],[Total Indent]]-Table27[[#This Row],[Total Supplied]]&lt;0,0,Table27[[#This Row],[Total Indent]]-Table27[[#This Row],[Total Supplied]])</f>
        <v>12</v>
      </c>
    </row>
    <row r="36" spans="1:30" x14ac:dyDescent="0.25">
      <c r="A36" s="265" t="s">
        <v>5</v>
      </c>
      <c r="B36" s="266">
        <v>943211</v>
      </c>
      <c r="C36" s="147" t="s">
        <v>359</v>
      </c>
      <c r="D36" s="153" t="s">
        <v>338</v>
      </c>
      <c r="E36" s="147" t="s">
        <v>348</v>
      </c>
      <c r="F36" s="147" t="s">
        <v>340</v>
      </c>
      <c r="G36" s="148">
        <v>34.93</v>
      </c>
      <c r="H36" s="148"/>
      <c r="I36" s="148">
        <v>1.2</v>
      </c>
      <c r="J36" s="147">
        <v>650</v>
      </c>
      <c r="K36" s="147">
        <v>0.65</v>
      </c>
      <c r="L36" s="147" t="str">
        <f t="shared" si="0"/>
        <v>34.931.20.65ERWFIN CUT</v>
      </c>
      <c r="M36" s="147" t="e">
        <f>VLOOKUP(Table27[[#This Row],[Key]],Table29[[#All],[Key]:[TSL Material Code3]],4,0)</f>
        <v>#N/A</v>
      </c>
      <c r="N36" s="147" t="e">
        <f>VLOOKUP(Table27[[#This Row],[Key]],Table29[[#All],[Key]:[TSL Material Code3]],5,0)</f>
        <v>#N/A</v>
      </c>
      <c r="O36" s="149" t="str">
        <f>VLOOKUP(Table27[[#This Row],[Key]],Table29[[#All],[Key]:[TSL Material Code3]],7,0)</f>
        <v>056</v>
      </c>
      <c r="P36" s="150">
        <f>VLOOKUP(Table27[[#This Row],[Key]],Table29[[#All],[Key]:[TSL Material Code3]],8,0)</f>
        <v>3499396</v>
      </c>
      <c r="Q36" s="19">
        <v>10</v>
      </c>
      <c r="R36" s="147">
        <v>0</v>
      </c>
      <c r="S36" s="147">
        <v>0</v>
      </c>
      <c r="T36" s="147">
        <v>0</v>
      </c>
      <c r="U36" s="147">
        <f t="shared" si="1"/>
        <v>0</v>
      </c>
      <c r="V36" s="147"/>
      <c r="W36" s="147">
        <f t="shared" si="2"/>
        <v>0</v>
      </c>
      <c r="X36" s="19">
        <f t="shared" si="4"/>
        <v>10</v>
      </c>
      <c r="Y36" s="167">
        <f t="shared" si="3"/>
        <v>15</v>
      </c>
      <c r="Z36" s="19">
        <f>ROUND(SUMIFS(meghsteelsales_previousmonth[Quantity],meghsteelsales_previousmonth[Length Bucket],Table27[[#This Row],[Bucket CTL]])/1000,0)</f>
        <v>0</v>
      </c>
      <c r="AA36" s="419">
        <f>ROUND(SUMIFS(meghsteelsales_currentmonth[Quantity],meghsteelsales_currentmonth[Length Bucket],Table27[[#This Row],[Bucket CTL]])/1000,0)</f>
        <v>0</v>
      </c>
      <c r="AB36" s="90">
        <f>Table27[[#This Row],[ INDENT  FOR NOV-25 recommended]]+Table27[[#This Row],[order logg ]]</f>
        <v>15</v>
      </c>
      <c r="AC36" s="90">
        <f>Table27[[#This Row],[Before 20th]]+Table27[[#This Row],[ofter 20th]]</f>
        <v>0</v>
      </c>
      <c r="AD36">
        <f>IF(Table27[[#This Row],[Total Indent]]-Table27[[#This Row],[Total Supplied]]&lt;0,0,Table27[[#This Row],[Total Indent]]-Table27[[#This Row],[Total Supplied]])</f>
        <v>15</v>
      </c>
    </row>
    <row r="37" spans="1:30" x14ac:dyDescent="0.25">
      <c r="A37" s="265" t="s">
        <v>341</v>
      </c>
      <c r="B37" s="265">
        <v>943210</v>
      </c>
      <c r="C37" s="147" t="s">
        <v>342</v>
      </c>
      <c r="D37" s="155" t="s">
        <v>344</v>
      </c>
      <c r="E37" s="147" t="s">
        <v>348</v>
      </c>
      <c r="F37" s="147" t="s">
        <v>340</v>
      </c>
      <c r="G37" s="154">
        <v>34</v>
      </c>
      <c r="H37" s="154"/>
      <c r="I37" s="154">
        <v>1.4</v>
      </c>
      <c r="J37" s="155">
        <v>5660</v>
      </c>
      <c r="K37" s="147">
        <v>5.66</v>
      </c>
      <c r="L37" s="147" t="str">
        <f t="shared" si="0"/>
        <v>341.45.66ERWFIN CUT</v>
      </c>
      <c r="M37" s="147" t="str">
        <f>VLOOKUP(Table27[[#This Row],[Key]],Table29[[#All],[Key]:[TSL Material Code3]],4,0)</f>
        <v>No Key</v>
      </c>
      <c r="N37" s="147" t="str">
        <f>VLOOKUP(Table27[[#This Row],[Key]],Table29[[#All],[Key]:[TSL Material Code3]],5,0)</f>
        <v>No Key</v>
      </c>
      <c r="O37" s="149" t="str">
        <f>VLOOKUP(Table27[[#This Row],[Key]],Table29[[#All],[Key]:[TSL Material Code3]],7,0)</f>
        <v>0788</v>
      </c>
      <c r="P37" s="150">
        <f>VLOOKUP(Table27[[#This Row],[Key]],Table29[[#All],[Key]:[TSL Material Code3]],8,0)</f>
        <v>3702855</v>
      </c>
      <c r="Q37" s="19">
        <v>5</v>
      </c>
      <c r="R37" s="147">
        <v>0</v>
      </c>
      <c r="S37" s="147">
        <v>0</v>
      </c>
      <c r="T37" s="147">
        <v>0</v>
      </c>
      <c r="U37" s="147">
        <f t="shared" si="1"/>
        <v>0</v>
      </c>
      <c r="V37" s="147"/>
      <c r="W37" s="147">
        <f t="shared" si="2"/>
        <v>0</v>
      </c>
      <c r="X37" s="19">
        <f t="shared" si="4"/>
        <v>5</v>
      </c>
      <c r="Y37" s="167">
        <f t="shared" si="3"/>
        <v>7.5</v>
      </c>
      <c r="Z37" s="19">
        <f>ROUND(SUMIFS(meghsteelsales_previousmonth[Quantity],meghsteelsales_previousmonth[Length Bucket],Table27[[#This Row],[Bucket CTL]])/1000,0)</f>
        <v>0</v>
      </c>
      <c r="AA37" s="419">
        <f>ROUND(SUMIFS(meghsteelsales_currentmonth[Quantity],meghsteelsales_currentmonth[Length Bucket],Table27[[#This Row],[Bucket CTL]])/1000,0)</f>
        <v>0</v>
      </c>
      <c r="AB37" s="90">
        <f>Table27[[#This Row],[ INDENT  FOR NOV-25 recommended]]+Table27[[#This Row],[order logg ]]</f>
        <v>7.5</v>
      </c>
      <c r="AC37" s="90">
        <f>Table27[[#This Row],[Before 20th]]+Table27[[#This Row],[ofter 20th]]</f>
        <v>0</v>
      </c>
      <c r="AD37">
        <f>IF(Table27[[#This Row],[Total Indent]]-Table27[[#This Row],[Total Supplied]]&lt;0,0,Table27[[#This Row],[Total Indent]]-Table27[[#This Row],[Total Supplied]])</f>
        <v>7.5</v>
      </c>
    </row>
    <row r="38" spans="1:30" x14ac:dyDescent="0.25">
      <c r="A38" s="265" t="s">
        <v>10</v>
      </c>
      <c r="B38" s="265">
        <v>943209</v>
      </c>
      <c r="C38" s="147" t="s">
        <v>346</v>
      </c>
      <c r="D38" s="153" t="s">
        <v>360</v>
      </c>
      <c r="E38" s="147" t="s">
        <v>348</v>
      </c>
      <c r="F38" s="147" t="s">
        <v>349</v>
      </c>
      <c r="G38" s="148">
        <v>38.1</v>
      </c>
      <c r="H38" s="148"/>
      <c r="I38" s="148">
        <v>1.6</v>
      </c>
      <c r="J38" s="147">
        <v>6190</v>
      </c>
      <c r="K38" s="147">
        <v>6.19</v>
      </c>
      <c r="L38" s="147" t="str">
        <f t="shared" si="0"/>
        <v>38.11.66.19HSTFIN CUT</v>
      </c>
      <c r="M38" s="147" t="str">
        <f>VLOOKUP(Table27[[#This Row],[Key]],Table29[[#All],[Key]:[TSL Material Code3]],4,0)</f>
        <v>38.1-0-1.6-ERW 1-FC</v>
      </c>
      <c r="N38" s="147" t="str">
        <f>VLOOKUP(Table27[[#This Row],[Key]],Table29[[#All],[Key]:[TSL Material Code3]],5,0)</f>
        <v>38.1-0-1.6-ERW 1-FC-6.19</v>
      </c>
      <c r="O38" s="149" t="str">
        <f>VLOOKUP(Table27[[#This Row],[Key]],Table29[[#All],[Key]:[TSL Material Code3]],7,0)</f>
        <v>056</v>
      </c>
      <c r="P38" s="150">
        <f>VLOOKUP(Table27[[#This Row],[Key]],Table29[[#All],[Key]:[TSL Material Code3]],8,0)</f>
        <v>3502254</v>
      </c>
      <c r="Q38" s="19">
        <v>40</v>
      </c>
      <c r="R38" s="147">
        <v>20</v>
      </c>
      <c r="S38" s="147">
        <v>23</v>
      </c>
      <c r="T38" s="147">
        <v>3.8</v>
      </c>
      <c r="U38" s="147">
        <f t="shared" si="1"/>
        <v>3</v>
      </c>
      <c r="V38" s="147">
        <v>61</v>
      </c>
      <c r="W38" s="147">
        <f t="shared" si="2"/>
        <v>64</v>
      </c>
      <c r="X38" s="19">
        <f t="shared" si="4"/>
        <v>-24</v>
      </c>
      <c r="Y38" s="167">
        <f t="shared" si="3"/>
        <v>0</v>
      </c>
      <c r="Z38" s="19">
        <f>ROUND(SUMIFS(meghsteelsales_previousmonth[Quantity],meghsteelsales_previousmonth[Length Bucket],Table27[[#This Row],[Bucket CTL]])/1000,0)</f>
        <v>46</v>
      </c>
      <c r="AA38" s="419">
        <f>ROUND(SUMIFS(meghsteelsales_currentmonth[Quantity],meghsteelsales_currentmonth[Length Bucket],Table27[[#This Row],[Bucket CTL]])/1000,0)</f>
        <v>16</v>
      </c>
      <c r="AB38" s="90">
        <f>Table27[[#This Row],[ INDENT  FOR NOV-25 recommended]]+Table27[[#This Row],[order logg ]]</f>
        <v>61</v>
      </c>
      <c r="AC38" s="90">
        <f>Table27[[#This Row],[Before 20th]]+Table27[[#This Row],[ofter 20th]]</f>
        <v>62</v>
      </c>
      <c r="AD38">
        <f>IF(Table27[[#This Row],[Total Indent]]-Table27[[#This Row],[Total Supplied]]&lt;0,0,Table27[[#This Row],[Total Indent]]-Table27[[#This Row],[Total Supplied]])</f>
        <v>0</v>
      </c>
    </row>
    <row r="39" spans="1:30" x14ac:dyDescent="0.25">
      <c r="A39" s="265" t="s">
        <v>10</v>
      </c>
      <c r="B39" s="265">
        <v>943209</v>
      </c>
      <c r="C39" s="147" t="s">
        <v>346</v>
      </c>
      <c r="D39" s="153" t="s">
        <v>338</v>
      </c>
      <c r="E39" s="147" t="s">
        <v>348</v>
      </c>
      <c r="F39" s="147" t="s">
        <v>340</v>
      </c>
      <c r="G39" s="148">
        <v>38.1</v>
      </c>
      <c r="H39" s="148"/>
      <c r="I39" s="148">
        <v>2</v>
      </c>
      <c r="J39" s="147">
        <v>5650</v>
      </c>
      <c r="K39" s="147">
        <v>5.65</v>
      </c>
      <c r="L39" s="147" t="str">
        <f t="shared" si="0"/>
        <v>38.125.65ERWFIN CUT</v>
      </c>
      <c r="M39" s="147" t="str">
        <f>VLOOKUP(Table27[[#This Row],[Key]],Table29[[#All],[Key]:[TSL Material Code3]],4,0)</f>
        <v>38.1-0-2-ERW 1-FC</v>
      </c>
      <c r="N39" s="147" t="str">
        <f>VLOOKUP(Table27[[#This Row],[Key]],Table29[[#All],[Key]:[TSL Material Code3]],5,0)</f>
        <v>38.1-0-2-ERW 1-FC-5.65</v>
      </c>
      <c r="O39" s="149" t="str">
        <f>VLOOKUP(Table27[[#This Row],[Key]],Table29[[#All],[Key]:[TSL Material Code3]],7,0)</f>
        <v>056</v>
      </c>
      <c r="P39" s="150">
        <f>VLOOKUP(Table27[[#This Row],[Key]],Table29[[#All],[Key]:[TSL Material Code3]],8,0)</f>
        <v>3500959</v>
      </c>
      <c r="Q39" s="19">
        <v>20</v>
      </c>
      <c r="R39" s="147">
        <v>10</v>
      </c>
      <c r="S39" s="147">
        <v>0</v>
      </c>
      <c r="T39" s="147">
        <v>0</v>
      </c>
      <c r="U39" s="147">
        <f t="shared" si="1"/>
        <v>-10</v>
      </c>
      <c r="V39" s="147">
        <v>49</v>
      </c>
      <c r="W39" s="147">
        <f t="shared" si="2"/>
        <v>39</v>
      </c>
      <c r="X39" s="19">
        <f t="shared" si="4"/>
        <v>-19</v>
      </c>
      <c r="Y39" s="167">
        <f t="shared" si="3"/>
        <v>0</v>
      </c>
      <c r="Z39" s="19">
        <f>ROUND(SUMIFS(meghsteelsales_previousmonth[Quantity],meghsteelsales_previousmonth[Length Bucket],Table27[[#This Row],[Bucket CTL]])/1000,0)</f>
        <v>4</v>
      </c>
      <c r="AA39" s="419">
        <f>ROUND(SUMIFS(meghsteelsales_currentmonth[Quantity],meghsteelsales_currentmonth[Length Bucket],Table27[[#This Row],[Bucket CTL]])/1000,0)</f>
        <v>0</v>
      </c>
      <c r="AB39" s="90">
        <f>Table27[[#This Row],[ INDENT  FOR NOV-25 recommended]]+Table27[[#This Row],[order logg ]]</f>
        <v>49</v>
      </c>
      <c r="AC39" s="90">
        <f>Table27[[#This Row],[Before 20th]]+Table27[[#This Row],[ofter 20th]]</f>
        <v>4</v>
      </c>
      <c r="AD39">
        <f>IF(Table27[[#This Row],[Total Indent]]-Table27[[#This Row],[Total Supplied]]&lt;0,0,Table27[[#This Row],[Total Indent]]-Table27[[#This Row],[Total Supplied]])</f>
        <v>45</v>
      </c>
    </row>
    <row r="40" spans="1:30" x14ac:dyDescent="0.25">
      <c r="A40" s="265" t="s">
        <v>10</v>
      </c>
      <c r="B40" s="265">
        <v>943209</v>
      </c>
      <c r="C40" s="147" t="s">
        <v>346</v>
      </c>
      <c r="D40" s="153" t="s">
        <v>344</v>
      </c>
      <c r="E40" s="147" t="s">
        <v>348</v>
      </c>
      <c r="F40" s="147" t="s">
        <v>349</v>
      </c>
      <c r="G40" s="148">
        <v>38.1</v>
      </c>
      <c r="H40" s="148"/>
      <c r="I40" s="148">
        <v>2.5</v>
      </c>
      <c r="J40" s="147">
        <v>6190</v>
      </c>
      <c r="K40" s="147">
        <v>6.19</v>
      </c>
      <c r="L40" s="147" t="str">
        <f t="shared" si="0"/>
        <v>38.12.56.19HSTFIN CUT</v>
      </c>
      <c r="M40" s="147" t="str">
        <f>VLOOKUP(Table27[[#This Row],[Key]],Table29[[#All],[Key]:[TSL Material Code3]],4,0)</f>
        <v>38.1-0-2.5-ERW 2 MAHS-FC</v>
      </c>
      <c r="N40" s="147" t="str">
        <f>VLOOKUP(Table27[[#This Row],[Key]],Table29[[#All],[Key]:[TSL Material Code3]],5,0)</f>
        <v>38.1-0-2.5-ERW 2 MAHS-FC-6.19</v>
      </c>
      <c r="O40" s="149" t="str">
        <f>VLOOKUP(Table27[[#This Row],[Key]],Table29[[#All],[Key]:[TSL Material Code3]],7,0)</f>
        <v>056</v>
      </c>
      <c r="P40" s="150">
        <f>VLOOKUP(Table27[[#This Row],[Key]],Table29[[#All],[Key]:[TSL Material Code3]],8,0)</f>
        <v>3502007</v>
      </c>
      <c r="Q40" s="19">
        <v>40</v>
      </c>
      <c r="R40" s="147">
        <v>20</v>
      </c>
      <c r="S40" s="147">
        <v>9</v>
      </c>
      <c r="T40" s="147">
        <v>16.989999999999998</v>
      </c>
      <c r="U40" s="147">
        <f t="shared" si="1"/>
        <v>-11</v>
      </c>
      <c r="V40" s="147">
        <v>98</v>
      </c>
      <c r="W40" s="147">
        <f t="shared" si="2"/>
        <v>87</v>
      </c>
      <c r="X40" s="19">
        <f t="shared" si="4"/>
        <v>-47</v>
      </c>
      <c r="Y40" s="167">
        <f t="shared" si="3"/>
        <v>0</v>
      </c>
      <c r="Z40" s="19">
        <f>ROUND(SUMIFS(meghsteelsales_previousmonth[Quantity],meghsteelsales_previousmonth[Length Bucket],Table27[[#This Row],[Bucket CTL]])/1000,0)</f>
        <v>6</v>
      </c>
      <c r="AA40" s="419">
        <f>ROUND(SUMIFS(meghsteelsales_currentmonth[Quantity],meghsteelsales_currentmonth[Length Bucket],Table27[[#This Row],[Bucket CTL]])/1000,0)</f>
        <v>112</v>
      </c>
      <c r="AB40" s="90">
        <f>Table27[[#This Row],[ INDENT  FOR NOV-25 recommended]]+Table27[[#This Row],[order logg ]]</f>
        <v>98</v>
      </c>
      <c r="AC40" s="90">
        <f>Table27[[#This Row],[Before 20th]]+Table27[[#This Row],[ofter 20th]]</f>
        <v>118</v>
      </c>
      <c r="AD40">
        <f>IF(Table27[[#This Row],[Total Indent]]-Table27[[#This Row],[Total Supplied]]&lt;0,0,Table27[[#This Row],[Total Indent]]-Table27[[#This Row],[Total Supplied]])</f>
        <v>0</v>
      </c>
    </row>
    <row r="41" spans="1:30" s="45" customFormat="1" x14ac:dyDescent="0.25">
      <c r="A41" s="266" t="s">
        <v>5</v>
      </c>
      <c r="B41" s="266">
        <v>943211</v>
      </c>
      <c r="C41" s="156" t="s">
        <v>358</v>
      </c>
      <c r="D41" s="157" t="s">
        <v>344</v>
      </c>
      <c r="E41" s="156" t="s">
        <v>348</v>
      </c>
      <c r="F41" s="156" t="s">
        <v>361</v>
      </c>
      <c r="G41" s="248">
        <v>38.1</v>
      </c>
      <c r="H41" s="248"/>
      <c r="I41" s="248">
        <v>3.2</v>
      </c>
      <c r="J41" s="156">
        <v>6000</v>
      </c>
      <c r="K41" s="156">
        <v>6</v>
      </c>
      <c r="L41" s="147" t="str">
        <f t="shared" si="0"/>
        <v>38.13.26ERW -2FIN CUT</v>
      </c>
      <c r="M41" s="147" t="e">
        <f>VLOOKUP(Table27[[#This Row],[Key]],Table29[[#All],[Key]:[TSL Material Code3]],4,0)</f>
        <v>#N/A</v>
      </c>
      <c r="N41" s="147" t="e">
        <f>VLOOKUP(Table27[[#This Row],[Key]],Table29[[#All],[Key]:[TSL Material Code3]],5,0)</f>
        <v>#N/A</v>
      </c>
      <c r="O41" s="158" t="s">
        <v>362</v>
      </c>
      <c r="P41" s="150">
        <v>4156196</v>
      </c>
      <c r="Q41" s="246">
        <v>15</v>
      </c>
      <c r="R41" s="156">
        <v>0</v>
      </c>
      <c r="S41" s="156">
        <v>0</v>
      </c>
      <c r="T41" s="156">
        <v>0</v>
      </c>
      <c r="U41" s="156">
        <f t="shared" si="1"/>
        <v>0</v>
      </c>
      <c r="V41" s="156"/>
      <c r="W41" s="147">
        <f t="shared" si="2"/>
        <v>0</v>
      </c>
      <c r="X41" s="246">
        <f t="shared" si="4"/>
        <v>15</v>
      </c>
      <c r="Y41" s="167">
        <f t="shared" si="3"/>
        <v>22.5</v>
      </c>
      <c r="Z41" s="19">
        <f>ROUND(SUMIFS(meghsteelsales_previousmonth[Quantity],meghsteelsales_previousmonth[Length Bucket],Table27[[#This Row],[Bucket CTL]])/1000,0)</f>
        <v>0</v>
      </c>
      <c r="AA41" s="419">
        <f>ROUND(SUMIFS(meghsteelsales_currentmonth[Quantity],meghsteelsales_currentmonth[Length Bucket],Table27[[#This Row],[Bucket CTL]])/1000,0)</f>
        <v>0</v>
      </c>
      <c r="AB41" s="90">
        <f>Table27[[#This Row],[ INDENT  FOR NOV-25 recommended]]+Table27[[#This Row],[order logg ]]</f>
        <v>22.5</v>
      </c>
      <c r="AC41" s="90">
        <f>Table27[[#This Row],[Before 20th]]+Table27[[#This Row],[ofter 20th]]</f>
        <v>0</v>
      </c>
      <c r="AD41">
        <f>IF(Table27[[#This Row],[Total Indent]]-Table27[[#This Row],[Total Supplied]]&lt;0,0,Table27[[#This Row],[Total Indent]]-Table27[[#This Row],[Total Supplied]])</f>
        <v>22.5</v>
      </c>
    </row>
    <row r="42" spans="1:30" s="386" customFormat="1" x14ac:dyDescent="0.25">
      <c r="A42" s="265" t="s">
        <v>10</v>
      </c>
      <c r="B42" s="265">
        <v>943209</v>
      </c>
      <c r="C42" s="147" t="s">
        <v>116</v>
      </c>
      <c r="D42" s="147" t="s">
        <v>338</v>
      </c>
      <c r="E42" s="147" t="s">
        <v>348</v>
      </c>
      <c r="F42" s="147" t="s">
        <v>340</v>
      </c>
      <c r="G42" s="148">
        <v>41.28</v>
      </c>
      <c r="H42" s="148"/>
      <c r="I42" s="148">
        <v>2.6</v>
      </c>
      <c r="J42" s="147">
        <v>6000</v>
      </c>
      <c r="K42" s="147">
        <v>6</v>
      </c>
      <c r="L42" s="147" t="str">
        <f t="shared" si="0"/>
        <v>41.282.66ERWFIN CUT</v>
      </c>
      <c r="M42" s="147" t="str">
        <f>VLOOKUP(Table27[[#This Row],[Key]],Table29[[#All],[Key]:[TSL Material Code3]],4,0)</f>
        <v>41.28-0-2.6-ERW 1-FC</v>
      </c>
      <c r="N42" s="147" t="str">
        <f>VLOOKUP(Table27[[#This Row],[Key]],Table29[[#All],[Key]:[TSL Material Code3]],5,0)</f>
        <v>41.28-0-2.6-ERW 1-FC-6</v>
      </c>
      <c r="O42" s="149" t="str">
        <f>VLOOKUP(Table27[[#This Row],[Key]],Table29[[#All],[Key]:[TSL Material Code3]],7,0)</f>
        <v>0789</v>
      </c>
      <c r="P42" s="150">
        <f>VLOOKUP(Table27[[#This Row],[Key]],Table29[[#All],[Key]:[TSL Material Code3]],8,0)</f>
        <v>3974563</v>
      </c>
      <c r="Q42" s="19">
        <v>35</v>
      </c>
      <c r="R42" s="147">
        <v>20</v>
      </c>
      <c r="S42" s="147">
        <v>26</v>
      </c>
      <c r="T42" s="147">
        <v>0</v>
      </c>
      <c r="U42" s="147">
        <f t="shared" si="1"/>
        <v>6</v>
      </c>
      <c r="V42" s="147">
        <v>15.7</v>
      </c>
      <c r="W42" s="147">
        <f t="shared" si="2"/>
        <v>21.7</v>
      </c>
      <c r="X42" s="19">
        <f t="shared" si="4"/>
        <v>13.3</v>
      </c>
      <c r="Y42" s="167">
        <f t="shared" si="3"/>
        <v>19.950000000000003</v>
      </c>
      <c r="Z42" s="19">
        <f>ROUND(SUMIFS(meghsteelsales_previousmonth[Quantity],meghsteelsales_previousmonth[Length Bucket],Table27[[#This Row],[Bucket CTL]])/1000,0)</f>
        <v>9</v>
      </c>
      <c r="AA42" s="419">
        <f>ROUND(SUMIFS(meghsteelsales_currentmonth[Quantity],meghsteelsales_currentmonth[Length Bucket],Table27[[#This Row],[Bucket CTL]])/1000,0)</f>
        <v>61</v>
      </c>
      <c r="AB42" s="90">
        <f>Table27[[#This Row],[ INDENT  FOR NOV-25 recommended]]+Table27[[#This Row],[order logg ]]</f>
        <v>35.650000000000006</v>
      </c>
      <c r="AC42" s="90">
        <f>Table27[[#This Row],[Before 20th]]+Table27[[#This Row],[ofter 20th]]</f>
        <v>70</v>
      </c>
      <c r="AD42">
        <f>IF(Table27[[#This Row],[Total Indent]]-Table27[[#This Row],[Total Supplied]]&lt;0,0,Table27[[#This Row],[Total Indent]]-Table27[[#This Row],[Total Supplied]])</f>
        <v>0</v>
      </c>
    </row>
    <row r="43" spans="1:30" x14ac:dyDescent="0.25">
      <c r="A43" s="265" t="s">
        <v>10</v>
      </c>
      <c r="B43" s="265">
        <v>943209</v>
      </c>
      <c r="C43" s="147" t="s">
        <v>116</v>
      </c>
      <c r="D43" s="159" t="s">
        <v>338</v>
      </c>
      <c r="E43" s="147" t="s">
        <v>348</v>
      </c>
      <c r="F43" s="147" t="s">
        <v>340</v>
      </c>
      <c r="G43" s="168" t="s">
        <v>363</v>
      </c>
      <c r="H43" s="168"/>
      <c r="I43" s="168">
        <v>1.6</v>
      </c>
      <c r="J43" s="169">
        <v>5900</v>
      </c>
      <c r="K43" s="147">
        <v>6.13</v>
      </c>
      <c r="L43" s="147" t="str">
        <f t="shared" si="0"/>
        <v>40x251.66.13ERWFIN CUT</v>
      </c>
      <c r="M43" s="147" t="str">
        <f>VLOOKUP(Table27[[#This Row],[Key]],Table29[[#All],[Key]:[TSL Material Code3]],4,0)</f>
        <v>40-25-1.6-ERW 1-FC</v>
      </c>
      <c r="N43" s="147" t="str">
        <f>VLOOKUP(Table27[[#This Row],[Key]],Table29[[#All],[Key]:[TSL Material Code3]],5,0)</f>
        <v>40-25-1.6-ERW 1-FC-6.13</v>
      </c>
      <c r="O43" s="149" t="str">
        <f>VLOOKUP(Table27[[#This Row],[Key]],Table29[[#All],[Key]:[TSL Material Code3]],7,0)</f>
        <v>0789</v>
      </c>
      <c r="P43" s="150">
        <f>VLOOKUP(Table27[[#This Row],[Key]],Table29[[#All],[Key]:[TSL Material Code3]],8,0)</f>
        <v>3919144</v>
      </c>
      <c r="Q43" s="19">
        <v>5</v>
      </c>
      <c r="R43" s="147">
        <v>0</v>
      </c>
      <c r="S43" s="147">
        <v>0</v>
      </c>
      <c r="T43" s="147">
        <v>0</v>
      </c>
      <c r="U43" s="147">
        <f t="shared" si="1"/>
        <v>0</v>
      </c>
      <c r="V43" s="147"/>
      <c r="W43" s="147">
        <f t="shared" si="2"/>
        <v>0</v>
      </c>
      <c r="X43" s="19">
        <f t="shared" si="4"/>
        <v>5</v>
      </c>
      <c r="Y43" s="167">
        <f t="shared" si="3"/>
        <v>7.5</v>
      </c>
      <c r="Z43" s="19">
        <f>ROUND(SUMIFS(meghsteelsales_previousmonth[Quantity],meghsteelsales_previousmonth[Length Bucket],Table27[[#This Row],[Bucket CTL]])/1000,0)</f>
        <v>0</v>
      </c>
      <c r="AA43" s="419">
        <f>ROUND(SUMIFS(meghsteelsales_currentmonth[Quantity],meghsteelsales_currentmonth[Length Bucket],Table27[[#This Row],[Bucket CTL]])/1000,0)</f>
        <v>0</v>
      </c>
      <c r="AB43" s="90">
        <f>Table27[[#This Row],[ INDENT  FOR NOV-25 recommended]]+Table27[[#This Row],[order logg ]]</f>
        <v>7.5</v>
      </c>
      <c r="AC43" s="90">
        <f>Table27[[#This Row],[Before 20th]]+Table27[[#This Row],[ofter 20th]]</f>
        <v>0</v>
      </c>
      <c r="AD43">
        <f>IF(Table27[[#This Row],[Total Indent]]-Table27[[#This Row],[Total Supplied]]&lt;0,0,Table27[[#This Row],[Total Indent]]-Table27[[#This Row],[Total Supplied]])</f>
        <v>7.5</v>
      </c>
    </row>
    <row r="44" spans="1:30" x14ac:dyDescent="0.25">
      <c r="A44" s="265" t="s">
        <v>341</v>
      </c>
      <c r="B44" s="265">
        <v>943210</v>
      </c>
      <c r="C44" s="147" t="s">
        <v>342</v>
      </c>
      <c r="D44" s="153" t="s">
        <v>338</v>
      </c>
      <c r="E44" s="147" t="s">
        <v>348</v>
      </c>
      <c r="F44" s="147" t="s">
        <v>340</v>
      </c>
      <c r="G44" s="148">
        <v>41.28</v>
      </c>
      <c r="H44" s="148"/>
      <c r="I44" s="148">
        <v>3.15</v>
      </c>
      <c r="J44" s="147">
        <v>5860</v>
      </c>
      <c r="K44" s="147">
        <v>5.86</v>
      </c>
      <c r="L44" s="147" t="str">
        <f t="shared" si="0"/>
        <v>41.283.155.86ERWFIN CUT</v>
      </c>
      <c r="M44" s="147" t="str">
        <f>VLOOKUP(Table27[[#This Row],[Key]],Table29[[#All],[Key]:[TSL Material Code3]],4,0)</f>
        <v>41.28-0-3.15-ERW 1-FC</v>
      </c>
      <c r="N44" s="147" t="str">
        <f>VLOOKUP(Table27[[#This Row],[Key]],Table29[[#All],[Key]:[TSL Material Code3]],5,0)</f>
        <v>41.28-0-3.15-ERW 1-FC-5.86</v>
      </c>
      <c r="O44" s="149" t="str">
        <f>VLOOKUP(Table27[[#This Row],[Key]],Table29[[#All],[Key]:[TSL Material Code3]],7,0)</f>
        <v>056</v>
      </c>
      <c r="P44" s="150">
        <f>VLOOKUP(Table27[[#This Row],[Key]],Table29[[#All],[Key]:[TSL Material Code3]],8,0)</f>
        <v>3673889</v>
      </c>
      <c r="Q44" s="19">
        <v>40</v>
      </c>
      <c r="R44" s="147">
        <v>15</v>
      </c>
      <c r="S44" s="147">
        <v>77</v>
      </c>
      <c r="T44" s="147">
        <v>0</v>
      </c>
      <c r="U44" s="147">
        <f t="shared" si="1"/>
        <v>62</v>
      </c>
      <c r="V44" s="147">
        <v>21</v>
      </c>
      <c r="W44" s="147">
        <f t="shared" si="2"/>
        <v>83</v>
      </c>
      <c r="X44" s="19">
        <f t="shared" si="4"/>
        <v>-43</v>
      </c>
      <c r="Y44" s="167">
        <f t="shared" si="3"/>
        <v>0</v>
      </c>
      <c r="Z44" s="19">
        <f>ROUND(SUMIFS(meghsteelsales_previousmonth[Quantity],meghsteelsales_previousmonth[Length Bucket],Table27[[#This Row],[Bucket CTL]])/1000,0)</f>
        <v>48</v>
      </c>
      <c r="AA44" s="419">
        <f>ROUND(SUMIFS(meghsteelsales_currentmonth[Quantity],meghsteelsales_currentmonth[Length Bucket],Table27[[#This Row],[Bucket CTL]])/1000,0)</f>
        <v>10</v>
      </c>
      <c r="AB44" s="90">
        <f>Table27[[#This Row],[ INDENT  FOR NOV-25 recommended]]+Table27[[#This Row],[order logg ]]</f>
        <v>21</v>
      </c>
      <c r="AC44" s="90">
        <f>Table27[[#This Row],[Before 20th]]+Table27[[#This Row],[ofter 20th]]</f>
        <v>58</v>
      </c>
      <c r="AD44">
        <f>IF(Table27[[#This Row],[Total Indent]]-Table27[[#This Row],[Total Supplied]]&lt;0,0,Table27[[#This Row],[Total Indent]]-Table27[[#This Row],[Total Supplied]])</f>
        <v>0</v>
      </c>
    </row>
    <row r="45" spans="1:30" x14ac:dyDescent="0.25">
      <c r="A45" s="265" t="s">
        <v>10</v>
      </c>
      <c r="B45" s="265">
        <v>943209</v>
      </c>
      <c r="C45" s="147" t="s">
        <v>346</v>
      </c>
      <c r="D45" s="153" t="s">
        <v>364</v>
      </c>
      <c r="E45" s="147" t="s">
        <v>348</v>
      </c>
      <c r="F45" s="147" t="s">
        <v>340</v>
      </c>
      <c r="G45" s="148">
        <v>42.7</v>
      </c>
      <c r="H45" s="148"/>
      <c r="I45" s="148">
        <v>3.5</v>
      </c>
      <c r="J45" s="147">
        <v>6000</v>
      </c>
      <c r="K45" s="147">
        <v>6</v>
      </c>
      <c r="L45" s="147" t="str">
        <f t="shared" si="0"/>
        <v>42.73.56ERWFIN CUT</v>
      </c>
      <c r="M45" s="147" t="str">
        <f>VLOOKUP(Table27[[#This Row],[Key]],Table29[[#All],[Key]:[TSL Material Code3]],4,0)</f>
        <v>42.7-0-3.5-ERW 1-FC</v>
      </c>
      <c r="N45" s="147" t="str">
        <f>VLOOKUP(Table27[[#This Row],[Key]],Table29[[#All],[Key]:[TSL Material Code3]],5,0)</f>
        <v>42.7-0-3.5-ERW 1-FC-6</v>
      </c>
      <c r="O45" s="149" t="str">
        <f>VLOOKUP(Table27[[#This Row],[Key]],Table29[[#All],[Key]:[TSL Material Code3]],7,0)</f>
        <v>0788</v>
      </c>
      <c r="P45" s="150">
        <f>VLOOKUP(Table27[[#This Row],[Key]],Table29[[#All],[Key]:[TSL Material Code3]],8,0)</f>
        <v>2396465</v>
      </c>
      <c r="Q45" s="19">
        <v>5</v>
      </c>
      <c r="R45" s="147">
        <v>2</v>
      </c>
      <c r="S45" s="147">
        <v>19</v>
      </c>
      <c r="T45" s="147">
        <v>0</v>
      </c>
      <c r="U45" s="147">
        <f t="shared" si="1"/>
        <v>17</v>
      </c>
      <c r="V45" s="147"/>
      <c r="W45" s="147">
        <f t="shared" si="2"/>
        <v>17</v>
      </c>
      <c r="X45" s="19">
        <f t="shared" si="4"/>
        <v>-12</v>
      </c>
      <c r="Y45" s="167">
        <f t="shared" si="3"/>
        <v>0</v>
      </c>
      <c r="Z45" s="19">
        <f>ROUND(SUMIFS(meghsteelsales_previousmonth[Quantity],meghsteelsales_previousmonth[Length Bucket],Table27[[#This Row],[Bucket CTL]])/1000,0)</f>
        <v>4</v>
      </c>
      <c r="AA45" s="419">
        <f>ROUND(SUMIFS(meghsteelsales_currentmonth[Quantity],meghsteelsales_currentmonth[Length Bucket],Table27[[#This Row],[Bucket CTL]])/1000,0)</f>
        <v>2</v>
      </c>
      <c r="AB45" s="90">
        <f>Table27[[#This Row],[ INDENT  FOR NOV-25 recommended]]+Table27[[#This Row],[order logg ]]</f>
        <v>0</v>
      </c>
      <c r="AC45" s="90">
        <f>Table27[[#This Row],[Before 20th]]+Table27[[#This Row],[ofter 20th]]</f>
        <v>6</v>
      </c>
      <c r="AD45">
        <f>IF(Table27[[#This Row],[Total Indent]]-Table27[[#This Row],[Total Supplied]]&lt;0,0,Table27[[#This Row],[Total Indent]]-Table27[[#This Row],[Total Supplied]])</f>
        <v>0</v>
      </c>
    </row>
    <row r="46" spans="1:30" x14ac:dyDescent="0.25">
      <c r="A46" s="265" t="s">
        <v>10</v>
      </c>
      <c r="B46" s="265">
        <v>943209</v>
      </c>
      <c r="C46" s="147" t="s">
        <v>346</v>
      </c>
      <c r="D46" s="153" t="s">
        <v>364</v>
      </c>
      <c r="E46" s="147" t="s">
        <v>348</v>
      </c>
      <c r="F46" s="147" t="s">
        <v>340</v>
      </c>
      <c r="G46" s="148">
        <v>42.7</v>
      </c>
      <c r="H46" s="148"/>
      <c r="I46" s="148">
        <v>4</v>
      </c>
      <c r="J46" s="147">
        <v>6000</v>
      </c>
      <c r="K46" s="147">
        <v>6</v>
      </c>
      <c r="L46" s="147" t="str">
        <f t="shared" si="0"/>
        <v>42.746ERWFIN CUT</v>
      </c>
      <c r="M46" s="147" t="str">
        <f>VLOOKUP(Table27[[#This Row],[Key]],Table29[[#All],[Key]:[TSL Material Code3]],4,0)</f>
        <v>42.7-0-4-ERW 1-FC</v>
      </c>
      <c r="N46" s="147" t="str">
        <f>VLOOKUP(Table27[[#This Row],[Key]],Table29[[#All],[Key]:[TSL Material Code3]],5,0)</f>
        <v>42.7-0-4-ERW 1-FC-6</v>
      </c>
      <c r="O46" s="149" t="str">
        <f>VLOOKUP(Table27[[#This Row],[Key]],Table29[[#All],[Key]:[TSL Material Code3]],7,0)</f>
        <v>0788</v>
      </c>
      <c r="P46" s="150">
        <f>VLOOKUP(Table27[[#This Row],[Key]],Table29[[#All],[Key]:[TSL Material Code3]],8,0)</f>
        <v>3501985</v>
      </c>
      <c r="Q46" s="19">
        <v>30</v>
      </c>
      <c r="R46" s="147">
        <v>10</v>
      </c>
      <c r="S46" s="147">
        <v>14</v>
      </c>
      <c r="T46" s="147">
        <v>0</v>
      </c>
      <c r="U46" s="147">
        <f t="shared" si="1"/>
        <v>4</v>
      </c>
      <c r="V46" s="147"/>
      <c r="W46" s="147">
        <f t="shared" si="2"/>
        <v>4</v>
      </c>
      <c r="X46" s="19">
        <f t="shared" si="4"/>
        <v>26</v>
      </c>
      <c r="Y46" s="167">
        <f t="shared" si="3"/>
        <v>39</v>
      </c>
      <c r="Z46" s="19">
        <f>ROUND(SUMIFS(meghsteelsales_previousmonth[Quantity],meghsteelsales_previousmonth[Length Bucket],Table27[[#This Row],[Bucket CTL]])/1000,0)</f>
        <v>38</v>
      </c>
      <c r="AA46" s="419">
        <f>ROUND(SUMIFS(meghsteelsales_currentmonth[Quantity],meghsteelsales_currentmonth[Length Bucket],Table27[[#This Row],[Bucket CTL]])/1000,0)</f>
        <v>35</v>
      </c>
      <c r="AB46" s="90">
        <f>Table27[[#This Row],[ INDENT  FOR NOV-25 recommended]]+Table27[[#This Row],[order logg ]]</f>
        <v>39</v>
      </c>
      <c r="AC46" s="90">
        <f>Table27[[#This Row],[Before 20th]]+Table27[[#This Row],[ofter 20th]]</f>
        <v>73</v>
      </c>
      <c r="AD46">
        <f>IF(Table27[[#This Row],[Total Indent]]-Table27[[#This Row],[Total Supplied]]&lt;0,0,Table27[[#This Row],[Total Indent]]-Table27[[#This Row],[Total Supplied]])</f>
        <v>0</v>
      </c>
    </row>
    <row r="47" spans="1:30" x14ac:dyDescent="0.25">
      <c r="A47" s="265" t="s">
        <v>10</v>
      </c>
      <c r="B47" s="265">
        <v>943209</v>
      </c>
      <c r="C47" s="147" t="s">
        <v>346</v>
      </c>
      <c r="D47" s="155" t="s">
        <v>338</v>
      </c>
      <c r="E47" s="147" t="s">
        <v>348</v>
      </c>
      <c r="F47" s="147" t="s">
        <v>340</v>
      </c>
      <c r="G47" s="154" t="s">
        <v>365</v>
      </c>
      <c r="H47" s="154"/>
      <c r="I47" s="154">
        <v>1.6</v>
      </c>
      <c r="J47" s="155">
        <v>5900</v>
      </c>
      <c r="K47" s="147">
        <v>5.9</v>
      </c>
      <c r="L47" s="147" t="str">
        <f t="shared" si="0"/>
        <v>40x301.65.9ERWFIN CUT</v>
      </c>
      <c r="M47" s="147" t="str">
        <f>VLOOKUP(Table27[[#This Row],[Key]],Table29[[#All],[Key]:[TSL Material Code3]],4,0)</f>
        <v>40-30-1.6-ERW 1-FC</v>
      </c>
      <c r="N47" s="147" t="str">
        <f>VLOOKUP(Table27[[#This Row],[Key]],Table29[[#All],[Key]:[TSL Material Code3]],5,0)</f>
        <v>40-30-1.6-ERW 1-FC-5.9</v>
      </c>
      <c r="O47" s="149" t="str">
        <f>VLOOKUP(Table27[[#This Row],[Key]],Table29[[#All],[Key]:[TSL Material Code3]],7,0)</f>
        <v>0789</v>
      </c>
      <c r="P47" s="150">
        <f>VLOOKUP(Table27[[#This Row],[Key]],Table29[[#All],[Key]:[TSL Material Code3]],8,0)</f>
        <v>3836440</v>
      </c>
      <c r="Q47" s="19">
        <v>5</v>
      </c>
      <c r="R47" s="147">
        <v>3</v>
      </c>
      <c r="S47" s="147">
        <v>14</v>
      </c>
      <c r="T47" s="147">
        <v>0</v>
      </c>
      <c r="U47" s="147">
        <f t="shared" si="1"/>
        <v>11</v>
      </c>
      <c r="V47" s="147"/>
      <c r="W47" s="147">
        <f t="shared" si="2"/>
        <v>11</v>
      </c>
      <c r="X47" s="19">
        <f t="shared" si="4"/>
        <v>-6</v>
      </c>
      <c r="Y47" s="167">
        <f t="shared" si="3"/>
        <v>0</v>
      </c>
      <c r="Z47" s="19">
        <f>ROUND(SUMIFS(meghsteelsales_previousmonth[Quantity],meghsteelsales_previousmonth[Length Bucket],Table27[[#This Row],[Bucket CTL]])/1000,0)</f>
        <v>0</v>
      </c>
      <c r="AA47" s="419">
        <f>ROUND(SUMIFS(meghsteelsales_currentmonth[Quantity],meghsteelsales_currentmonth[Length Bucket],Table27[[#This Row],[Bucket CTL]])/1000,0)</f>
        <v>0</v>
      </c>
      <c r="AB47" s="90">
        <f>Table27[[#This Row],[ INDENT  FOR NOV-25 recommended]]+Table27[[#This Row],[order logg ]]</f>
        <v>0</v>
      </c>
      <c r="AC47" s="90">
        <f>Table27[[#This Row],[Before 20th]]+Table27[[#This Row],[ofter 20th]]</f>
        <v>0</v>
      </c>
      <c r="AD47">
        <f>IF(Table27[[#This Row],[Total Indent]]-Table27[[#This Row],[Total Supplied]]&lt;0,0,Table27[[#This Row],[Total Indent]]-Table27[[#This Row],[Total Supplied]])</f>
        <v>0</v>
      </c>
    </row>
    <row r="48" spans="1:30" x14ac:dyDescent="0.25">
      <c r="A48" s="265" t="s">
        <v>341</v>
      </c>
      <c r="B48" s="265">
        <v>943210</v>
      </c>
      <c r="C48" s="147" t="s">
        <v>342</v>
      </c>
      <c r="D48" s="153" t="s">
        <v>344</v>
      </c>
      <c r="E48" s="147" t="s">
        <v>348</v>
      </c>
      <c r="F48" s="147" t="s">
        <v>349</v>
      </c>
      <c r="G48" s="148">
        <v>45</v>
      </c>
      <c r="H48" s="148"/>
      <c r="I48" s="148">
        <v>1.4</v>
      </c>
      <c r="J48" s="147">
        <v>6400</v>
      </c>
      <c r="K48" s="147">
        <v>6.42</v>
      </c>
      <c r="L48" s="147" t="str">
        <f t="shared" si="0"/>
        <v>451.46.42HSTFIN CUT</v>
      </c>
      <c r="M48" s="147" t="str">
        <f>VLOOKUP(Table27[[#This Row],[Key]],Table29[[#All],[Key]:[TSL Material Code3]],4,0)</f>
        <v>45-0-1.4-ERW 2-FIN CUT</v>
      </c>
      <c r="N48" s="147" t="str">
        <f>VLOOKUP(Table27[[#This Row],[Key]],Table29[[#All],[Key]:[TSL Material Code3]],5,0)</f>
        <v>45-0-1.4-ERW 2-FIN CUT-6.4</v>
      </c>
      <c r="O48" s="149" t="str">
        <f>VLOOKUP(Table27[[#This Row],[Key]],Table29[[#All],[Key]:[TSL Material Code3]],7,0)</f>
        <v>0789</v>
      </c>
      <c r="P48" s="150">
        <f>VLOOKUP(Table27[[#This Row],[Key]],Table29[[#All],[Key]:[TSL Material Code3]],8,0)</f>
        <v>3502343</v>
      </c>
      <c r="Q48" s="19">
        <v>5</v>
      </c>
      <c r="R48" s="147">
        <v>2</v>
      </c>
      <c r="S48" s="147">
        <v>40</v>
      </c>
      <c r="T48" s="147">
        <v>19.399999999999999</v>
      </c>
      <c r="U48" s="147">
        <f t="shared" si="1"/>
        <v>38</v>
      </c>
      <c r="V48" s="147"/>
      <c r="W48" s="147">
        <f t="shared" si="2"/>
        <v>38</v>
      </c>
      <c r="X48" s="19">
        <f t="shared" si="4"/>
        <v>-33</v>
      </c>
      <c r="Y48" s="167">
        <f t="shared" si="3"/>
        <v>0</v>
      </c>
      <c r="Z48" s="19">
        <f>ROUND(SUMIFS(meghsteelsales_previousmonth[Quantity],meghsteelsales_previousmonth[Length Bucket],Table27[[#This Row],[Bucket CTL]])/1000,0)</f>
        <v>4</v>
      </c>
      <c r="AA48" s="419">
        <f>ROUND(SUMIFS(meghsteelsales_currentmonth[Quantity],meghsteelsales_currentmonth[Length Bucket],Table27[[#This Row],[Bucket CTL]])/1000,0)</f>
        <v>0</v>
      </c>
      <c r="AB48" s="90">
        <f>Table27[[#This Row],[ INDENT  FOR NOV-25 recommended]]+Table27[[#This Row],[order logg ]]</f>
        <v>0</v>
      </c>
      <c r="AC48" s="90">
        <f>Table27[[#This Row],[Before 20th]]+Table27[[#This Row],[ofter 20th]]</f>
        <v>4</v>
      </c>
      <c r="AD48">
        <f>IF(Table27[[#This Row],[Total Indent]]-Table27[[#This Row],[Total Supplied]]&lt;0,0,Table27[[#This Row],[Total Indent]]-Table27[[#This Row],[Total Supplied]])</f>
        <v>0</v>
      </c>
    </row>
    <row r="49" spans="1:30" x14ac:dyDescent="0.25">
      <c r="A49" s="265" t="s">
        <v>341</v>
      </c>
      <c r="B49" s="265">
        <v>943210</v>
      </c>
      <c r="C49" s="147" t="s">
        <v>342</v>
      </c>
      <c r="D49" s="153" t="s">
        <v>338</v>
      </c>
      <c r="E49" s="147" t="s">
        <v>348</v>
      </c>
      <c r="F49" s="147" t="s">
        <v>340</v>
      </c>
      <c r="G49" s="148">
        <v>45</v>
      </c>
      <c r="H49" s="148"/>
      <c r="I49" s="148">
        <v>1.4</v>
      </c>
      <c r="J49" s="147">
        <v>5700</v>
      </c>
      <c r="K49" s="147">
        <v>5.7</v>
      </c>
      <c r="L49" s="147" t="str">
        <f t="shared" si="0"/>
        <v>451.45.7ERWFIN CUT</v>
      </c>
      <c r="M49" s="147" t="str">
        <f>VLOOKUP(Table27[[#This Row],[Key]],Table29[[#All],[Key]:[TSL Material Code3]],4,0)</f>
        <v>45--1.4-ERW 1-FIN CUT</v>
      </c>
      <c r="N49" s="147" t="str">
        <f>VLOOKUP(Table27[[#This Row],[Key]],Table29[[#All],[Key]:[TSL Material Code3]],5,0)</f>
        <v>45--1.4-ERW 1-FIN CUT-5.7</v>
      </c>
      <c r="O49" s="149" t="str">
        <f>VLOOKUP(Table27[[#This Row],[Key]],Table29[[#All],[Key]:[TSL Material Code3]],7,0)</f>
        <v>056</v>
      </c>
      <c r="P49" s="150">
        <f>VLOOKUP(Table27[[#This Row],[Key]],Table29[[#All],[Key]:[TSL Material Code3]],8,0)</f>
        <v>3545558</v>
      </c>
      <c r="Q49" s="19">
        <v>5</v>
      </c>
      <c r="R49" s="147">
        <v>0</v>
      </c>
      <c r="S49" s="147">
        <v>2</v>
      </c>
      <c r="T49" s="147">
        <v>0</v>
      </c>
      <c r="U49" s="147">
        <f t="shared" si="1"/>
        <v>2</v>
      </c>
      <c r="V49" s="147">
        <v>7</v>
      </c>
      <c r="W49" s="147">
        <f t="shared" si="2"/>
        <v>9</v>
      </c>
      <c r="X49" s="19">
        <f t="shared" si="4"/>
        <v>-4</v>
      </c>
      <c r="Y49" s="167">
        <f t="shared" si="3"/>
        <v>0</v>
      </c>
      <c r="Z49" s="19">
        <f>ROUND(SUMIFS(meghsteelsales_previousmonth[Quantity],meghsteelsales_previousmonth[Length Bucket],Table27[[#This Row],[Bucket CTL]])/1000,0)</f>
        <v>5</v>
      </c>
      <c r="AA49" s="419">
        <f>ROUND(SUMIFS(meghsteelsales_currentmonth[Quantity],meghsteelsales_currentmonth[Length Bucket],Table27[[#This Row],[Bucket CTL]])/1000,0)</f>
        <v>7</v>
      </c>
      <c r="AB49" s="90">
        <f>Table27[[#This Row],[ INDENT  FOR NOV-25 recommended]]+Table27[[#This Row],[order logg ]]</f>
        <v>7</v>
      </c>
      <c r="AC49" s="90">
        <f>Table27[[#This Row],[Before 20th]]+Table27[[#This Row],[ofter 20th]]</f>
        <v>12</v>
      </c>
      <c r="AD49">
        <f>IF(Table27[[#This Row],[Total Indent]]-Table27[[#This Row],[Total Supplied]]&lt;0,0,Table27[[#This Row],[Total Indent]]-Table27[[#This Row],[Total Supplied]])</f>
        <v>0</v>
      </c>
    </row>
    <row r="50" spans="1:30" x14ac:dyDescent="0.25">
      <c r="A50" s="265" t="s">
        <v>341</v>
      </c>
      <c r="B50" s="265">
        <v>943210</v>
      </c>
      <c r="C50" s="147" t="s">
        <v>342</v>
      </c>
      <c r="D50" s="153" t="s">
        <v>344</v>
      </c>
      <c r="E50" s="147" t="s">
        <v>348</v>
      </c>
      <c r="F50" s="147" t="s">
        <v>349</v>
      </c>
      <c r="G50" s="148">
        <v>45</v>
      </c>
      <c r="H50" s="148"/>
      <c r="I50" s="148">
        <v>1.6</v>
      </c>
      <c r="J50" s="147">
        <v>6400</v>
      </c>
      <c r="K50" s="147">
        <v>6.42</v>
      </c>
      <c r="L50" s="147" t="str">
        <f t="shared" si="0"/>
        <v>451.66.42HSTFIN CUT</v>
      </c>
      <c r="M50" s="147" t="str">
        <f>VLOOKUP(Table27[[#This Row],[Key]],Table29[[#All],[Key]:[TSL Material Code3]],4,0)</f>
        <v>45-0-1.6-ERW 2-FIN CUT</v>
      </c>
      <c r="N50" s="147" t="str">
        <f>VLOOKUP(Table27[[#This Row],[Key]],Table29[[#All],[Key]:[TSL Material Code3]],5,0)</f>
        <v>45-0-1.6-ERW 2-FIN CUT-6.4</v>
      </c>
      <c r="O50" s="149" t="str">
        <f>VLOOKUP(Table27[[#This Row],[Key]],Table29[[#All],[Key]:[TSL Material Code3]],7,0)</f>
        <v>0789</v>
      </c>
      <c r="P50" s="150">
        <f>VLOOKUP(Table27[[#This Row],[Key]],Table29[[#All],[Key]:[TSL Material Code3]],8,0)</f>
        <v>3502388</v>
      </c>
      <c r="Q50" s="19">
        <v>5</v>
      </c>
      <c r="R50" s="147">
        <v>2</v>
      </c>
      <c r="S50" s="147">
        <v>11</v>
      </c>
      <c r="T50" s="147">
        <v>0</v>
      </c>
      <c r="U50" s="147">
        <f t="shared" si="1"/>
        <v>9</v>
      </c>
      <c r="V50" s="147"/>
      <c r="W50" s="147">
        <f t="shared" si="2"/>
        <v>9</v>
      </c>
      <c r="X50" s="19">
        <f t="shared" si="4"/>
        <v>-4</v>
      </c>
      <c r="Y50" s="167">
        <f t="shared" si="3"/>
        <v>0</v>
      </c>
      <c r="Z50" s="19">
        <f>ROUND(SUMIFS(meghsteelsales_previousmonth[Quantity],meghsteelsales_previousmonth[Length Bucket],Table27[[#This Row],[Bucket CTL]])/1000,0)</f>
        <v>0</v>
      </c>
      <c r="AA50" s="419">
        <f>ROUND(SUMIFS(meghsteelsales_currentmonth[Quantity],meghsteelsales_currentmonth[Length Bucket],Table27[[#This Row],[Bucket CTL]])/1000,0)</f>
        <v>0</v>
      </c>
      <c r="AB50" s="90">
        <f>Table27[[#This Row],[ INDENT  FOR NOV-25 recommended]]+Table27[[#This Row],[order logg ]]</f>
        <v>0</v>
      </c>
      <c r="AC50" s="90">
        <f>Table27[[#This Row],[Before 20th]]+Table27[[#This Row],[ofter 20th]]</f>
        <v>0</v>
      </c>
      <c r="AD50">
        <f>IF(Table27[[#This Row],[Total Indent]]-Table27[[#This Row],[Total Supplied]]&lt;0,0,Table27[[#This Row],[Total Indent]]-Table27[[#This Row],[Total Supplied]])</f>
        <v>0</v>
      </c>
    </row>
    <row r="51" spans="1:30" x14ac:dyDescent="0.25">
      <c r="A51" s="265" t="s">
        <v>341</v>
      </c>
      <c r="B51" s="265">
        <v>943210</v>
      </c>
      <c r="C51" s="147" t="s">
        <v>342</v>
      </c>
      <c r="D51" s="153" t="s">
        <v>366</v>
      </c>
      <c r="E51" s="147" t="s">
        <v>348</v>
      </c>
      <c r="F51" s="147" t="s">
        <v>366</v>
      </c>
      <c r="G51" s="148">
        <v>45</v>
      </c>
      <c r="H51" s="148"/>
      <c r="I51" s="148">
        <v>3.5</v>
      </c>
      <c r="J51" s="147">
        <v>6100</v>
      </c>
      <c r="K51" s="147"/>
      <c r="L51" s="147" t="str">
        <f t="shared" si="0"/>
        <v>453.5CEW-1FIN CUT</v>
      </c>
      <c r="M51" s="147" t="e">
        <f>VLOOKUP(Table27[[#This Row],[Key]],Table29[[#All],[Key]:[TSL Material Code3]],4,0)</f>
        <v>#N/A</v>
      </c>
      <c r="N51" s="147" t="e">
        <f>VLOOKUP(Table27[[#This Row],[Key]],Table29[[#All],[Key]:[TSL Material Code3]],5,0)</f>
        <v>#N/A</v>
      </c>
      <c r="O51" s="158" t="s">
        <v>367</v>
      </c>
      <c r="P51" s="150">
        <v>3500263</v>
      </c>
      <c r="Q51" s="19">
        <v>10</v>
      </c>
      <c r="R51" s="147">
        <v>3</v>
      </c>
      <c r="S51" s="147">
        <v>0</v>
      </c>
      <c r="T51" s="147">
        <v>0</v>
      </c>
      <c r="U51" s="147">
        <f t="shared" si="1"/>
        <v>-3</v>
      </c>
      <c r="V51" s="147">
        <v>1.3</v>
      </c>
      <c r="W51" s="147">
        <f t="shared" si="2"/>
        <v>-1.7</v>
      </c>
      <c r="X51" s="19">
        <f t="shared" si="4"/>
        <v>11.7</v>
      </c>
      <c r="Y51" s="167">
        <f t="shared" si="3"/>
        <v>17.549999999999997</v>
      </c>
      <c r="Z51" s="19">
        <f>ROUND(SUMIFS(meghsteelsales_previousmonth[Quantity],meghsteelsales_previousmonth[Length Bucket],Table27[[#This Row],[Bucket CTL]])/1000,0)</f>
        <v>0</v>
      </c>
      <c r="AA51" s="419">
        <f>ROUND(SUMIFS(meghsteelsales_currentmonth[Quantity],meghsteelsales_currentmonth[Length Bucket],Table27[[#This Row],[Bucket CTL]])/1000,0)</f>
        <v>0</v>
      </c>
      <c r="AB51" s="90">
        <f>Table27[[#This Row],[ INDENT  FOR NOV-25 recommended]]+Table27[[#This Row],[order logg ]]</f>
        <v>18.849999999999998</v>
      </c>
      <c r="AC51" s="90">
        <f>Table27[[#This Row],[Before 20th]]+Table27[[#This Row],[ofter 20th]]</f>
        <v>0</v>
      </c>
      <c r="AD51">
        <f>IF(Table27[[#This Row],[Total Indent]]-Table27[[#This Row],[Total Supplied]]&lt;0,0,Table27[[#This Row],[Total Indent]]-Table27[[#This Row],[Total Supplied]])</f>
        <v>18.849999999999998</v>
      </c>
    </row>
    <row r="52" spans="1:30" x14ac:dyDescent="0.25">
      <c r="A52" s="265" t="s">
        <v>5</v>
      </c>
      <c r="B52" s="266">
        <v>943211</v>
      </c>
      <c r="C52" s="147" t="s">
        <v>358</v>
      </c>
      <c r="D52" s="153" t="s">
        <v>366</v>
      </c>
      <c r="E52" s="147" t="s">
        <v>348</v>
      </c>
      <c r="F52" s="147" t="s">
        <v>357</v>
      </c>
      <c r="G52" s="148">
        <v>47.63</v>
      </c>
      <c r="H52" s="148"/>
      <c r="I52" s="148">
        <v>4</v>
      </c>
      <c r="J52" s="147">
        <v>6040</v>
      </c>
      <c r="K52" s="147">
        <v>6.04</v>
      </c>
      <c r="L52" s="147" t="str">
        <f t="shared" si="0"/>
        <v>47.6346.04CEWFIN CUT</v>
      </c>
      <c r="M52" s="147" t="e">
        <f>VLOOKUP(Table27[[#This Row],[Key]],Table29[[#All],[Key]:[TSL Material Code3]],4,0)</f>
        <v>#N/A</v>
      </c>
      <c r="N52" s="147" t="e">
        <f>VLOOKUP(Table27[[#This Row],[Key]],Table29[[#All],[Key]:[TSL Material Code3]],5,0)</f>
        <v>#N/A</v>
      </c>
      <c r="O52" s="149" t="str">
        <f>VLOOKUP(Table27[[#This Row],[Key]],Table29[[#All],[Key]:[TSL Material Code3]],7,0)</f>
        <v>0788</v>
      </c>
      <c r="P52" s="150">
        <f>VLOOKUP(Table27[[#This Row],[Key]],Table29[[#All],[Key]:[TSL Material Code3]],8,0)</f>
        <v>3500635</v>
      </c>
      <c r="Q52" s="19">
        <v>10</v>
      </c>
      <c r="R52" s="147">
        <v>3</v>
      </c>
      <c r="S52" s="147">
        <v>4</v>
      </c>
      <c r="T52" s="147">
        <v>0</v>
      </c>
      <c r="U52" s="147">
        <f t="shared" si="1"/>
        <v>1</v>
      </c>
      <c r="V52" s="147"/>
      <c r="W52" s="147">
        <f t="shared" si="2"/>
        <v>1</v>
      </c>
      <c r="X52" s="19">
        <f t="shared" si="4"/>
        <v>9</v>
      </c>
      <c r="Y52" s="167">
        <f t="shared" si="3"/>
        <v>13.5</v>
      </c>
      <c r="Z52" s="19">
        <f>ROUND(SUMIFS(meghsteelsales_previousmonth[Quantity],meghsteelsales_previousmonth[Length Bucket],Table27[[#This Row],[Bucket CTL]])/1000,0)</f>
        <v>0</v>
      </c>
      <c r="AA52" s="419">
        <f>ROUND(SUMIFS(meghsteelsales_currentmonth[Quantity],meghsteelsales_currentmonth[Length Bucket],Table27[[#This Row],[Bucket CTL]])/1000,0)</f>
        <v>0</v>
      </c>
      <c r="AB52" s="90">
        <f>Table27[[#This Row],[ INDENT  FOR NOV-25 recommended]]+Table27[[#This Row],[order logg ]]</f>
        <v>13.5</v>
      </c>
      <c r="AC52" s="90">
        <f>Table27[[#This Row],[Before 20th]]+Table27[[#This Row],[ofter 20th]]</f>
        <v>0</v>
      </c>
      <c r="AD52">
        <f>IF(Table27[[#This Row],[Total Indent]]-Table27[[#This Row],[Total Supplied]]&lt;0,0,Table27[[#This Row],[Total Indent]]-Table27[[#This Row],[Total Supplied]])</f>
        <v>13.5</v>
      </c>
    </row>
    <row r="53" spans="1:30" x14ac:dyDescent="0.25">
      <c r="A53" s="265" t="s">
        <v>5</v>
      </c>
      <c r="B53" s="266">
        <v>943211</v>
      </c>
      <c r="C53" s="147" t="s">
        <v>358</v>
      </c>
      <c r="D53" s="153" t="s">
        <v>338</v>
      </c>
      <c r="E53" s="147" t="s">
        <v>348</v>
      </c>
      <c r="F53" s="147" t="s">
        <v>340</v>
      </c>
      <c r="G53" s="148">
        <v>48</v>
      </c>
      <c r="H53" s="148"/>
      <c r="I53" s="148">
        <v>1.2</v>
      </c>
      <c r="J53" s="147">
        <v>620</v>
      </c>
      <c r="K53" s="147">
        <v>0.62</v>
      </c>
      <c r="L53" s="147" t="str">
        <f t="shared" si="0"/>
        <v>481.20.62ERWFIN CUT</v>
      </c>
      <c r="M53" s="147" t="str">
        <f>VLOOKUP(Table27[[#This Row],[Key]],Table29[[#All],[Key]:[TSL Material Code3]],4,0)</f>
        <v>48--1.2-ERW 1-FIN CUT</v>
      </c>
      <c r="N53" s="147" t="str">
        <f>VLOOKUP(Table27[[#This Row],[Key]],Table29[[#All],[Key]:[TSL Material Code3]],5,0)</f>
        <v>48--1.2-ERW 1-FIN CUT-0.620</v>
      </c>
      <c r="O53" s="149" t="str">
        <f>VLOOKUP(Table27[[#This Row],[Key]],Table29[[#All],[Key]:[TSL Material Code3]],7,0)</f>
        <v>0789</v>
      </c>
      <c r="P53" s="150">
        <f>VLOOKUP(Table27[[#This Row],[Key]],Table29[[#All],[Key]:[TSL Material Code3]],8,0)</f>
        <v>2397072</v>
      </c>
      <c r="Q53" s="19">
        <v>10</v>
      </c>
      <c r="R53" s="147">
        <v>0</v>
      </c>
      <c r="S53" s="147">
        <v>0</v>
      </c>
      <c r="T53" s="147">
        <v>0</v>
      </c>
      <c r="U53" s="147">
        <f t="shared" si="1"/>
        <v>0</v>
      </c>
      <c r="V53" s="147"/>
      <c r="W53" s="147">
        <f t="shared" si="2"/>
        <v>0</v>
      </c>
      <c r="X53" s="19">
        <f t="shared" si="4"/>
        <v>10</v>
      </c>
      <c r="Y53" s="167">
        <f t="shared" si="3"/>
        <v>15</v>
      </c>
      <c r="Z53" s="19">
        <f>ROUND(SUMIFS(meghsteelsales_previousmonth[Quantity],meghsteelsales_previousmonth[Length Bucket],Table27[[#This Row],[Bucket CTL]])/1000,0)</f>
        <v>0</v>
      </c>
      <c r="AA53" s="419">
        <f>ROUND(SUMIFS(meghsteelsales_currentmonth[Quantity],meghsteelsales_currentmonth[Length Bucket],Table27[[#This Row],[Bucket CTL]])/1000,0)</f>
        <v>0</v>
      </c>
      <c r="AB53" s="90">
        <f>Table27[[#This Row],[ INDENT  FOR NOV-25 recommended]]+Table27[[#This Row],[order logg ]]</f>
        <v>15</v>
      </c>
      <c r="AC53" s="90">
        <f>Table27[[#This Row],[Before 20th]]+Table27[[#This Row],[ofter 20th]]</f>
        <v>0</v>
      </c>
      <c r="AD53">
        <f>IF(Table27[[#This Row],[Total Indent]]-Table27[[#This Row],[Total Supplied]]&lt;0,0,Table27[[#This Row],[Total Indent]]-Table27[[#This Row],[Total Supplied]])</f>
        <v>15</v>
      </c>
    </row>
    <row r="54" spans="1:30" x14ac:dyDescent="0.25">
      <c r="A54" s="265" t="s">
        <v>5</v>
      </c>
      <c r="B54" s="266">
        <v>943211</v>
      </c>
      <c r="C54" s="147" t="s">
        <v>359</v>
      </c>
      <c r="D54" s="153" t="s">
        <v>338</v>
      </c>
      <c r="E54" s="147" t="s">
        <v>348</v>
      </c>
      <c r="F54" s="147" t="s">
        <v>340</v>
      </c>
      <c r="G54" s="148">
        <v>48</v>
      </c>
      <c r="H54" s="148"/>
      <c r="I54" s="148">
        <v>1.2</v>
      </c>
      <c r="J54" s="147">
        <v>650</v>
      </c>
      <c r="K54" s="147">
        <v>0.65</v>
      </c>
      <c r="L54" s="147" t="str">
        <f t="shared" si="0"/>
        <v>481.20.65ERWFIN CUT</v>
      </c>
      <c r="M54" s="147" t="str">
        <f>VLOOKUP(Table27[[#This Row],[Key]],Table29[[#All],[Key]:[TSL Material Code3]],4,0)</f>
        <v>48--1.2-ERW 1-FIN CUT</v>
      </c>
      <c r="N54" s="147" t="str">
        <f>VLOOKUP(Table27[[#This Row],[Key]],Table29[[#All],[Key]:[TSL Material Code3]],5,0)</f>
        <v>48--1.2-ERW 1-FIN CUT-0.7</v>
      </c>
      <c r="O54" s="149" t="str">
        <f>VLOOKUP(Table27[[#This Row],[Key]],Table29[[#All],[Key]:[TSL Material Code3]],7,0)</f>
        <v>0789</v>
      </c>
      <c r="P54" s="150">
        <f>VLOOKUP(Table27[[#This Row],[Key]],Table29[[#All],[Key]:[TSL Material Code3]],8,0)</f>
        <v>2397060</v>
      </c>
      <c r="Q54" s="19">
        <v>14</v>
      </c>
      <c r="R54" s="147">
        <v>0</v>
      </c>
      <c r="S54" s="147">
        <v>0</v>
      </c>
      <c r="T54" s="147">
        <v>0</v>
      </c>
      <c r="U54" s="147">
        <f t="shared" si="1"/>
        <v>0</v>
      </c>
      <c r="V54" s="147"/>
      <c r="W54" s="147">
        <f t="shared" si="2"/>
        <v>0</v>
      </c>
      <c r="X54" s="19">
        <f t="shared" si="4"/>
        <v>14</v>
      </c>
      <c r="Y54" s="167">
        <f t="shared" si="3"/>
        <v>21</v>
      </c>
      <c r="Z54" s="19">
        <f>ROUND(SUMIFS(meghsteelsales_previousmonth[Quantity],meghsteelsales_previousmonth[Length Bucket],Table27[[#This Row],[Bucket CTL]])/1000,0)</f>
        <v>0</v>
      </c>
      <c r="AA54" s="419">
        <f>ROUND(SUMIFS(meghsteelsales_currentmonth[Quantity],meghsteelsales_currentmonth[Length Bucket],Table27[[#This Row],[Bucket CTL]])/1000,0)</f>
        <v>0</v>
      </c>
      <c r="AB54" s="90">
        <f>Table27[[#This Row],[ INDENT  FOR NOV-25 recommended]]+Table27[[#This Row],[order logg ]]</f>
        <v>21</v>
      </c>
      <c r="AC54" s="90">
        <f>Table27[[#This Row],[Before 20th]]+Table27[[#This Row],[ofter 20th]]</f>
        <v>0</v>
      </c>
      <c r="AD54">
        <f>IF(Table27[[#This Row],[Total Indent]]-Table27[[#This Row],[Total Supplied]]&lt;0,0,Table27[[#This Row],[Total Indent]]-Table27[[#This Row],[Total Supplied]])</f>
        <v>21</v>
      </c>
    </row>
    <row r="55" spans="1:30" x14ac:dyDescent="0.25">
      <c r="A55" s="265" t="s">
        <v>341</v>
      </c>
      <c r="B55" s="265">
        <v>943210</v>
      </c>
      <c r="C55" s="147" t="s">
        <v>342</v>
      </c>
      <c r="D55" s="153" t="s">
        <v>344</v>
      </c>
      <c r="E55" s="147" t="s">
        <v>348</v>
      </c>
      <c r="F55" s="147" t="s">
        <v>349</v>
      </c>
      <c r="G55" s="148">
        <v>48.6</v>
      </c>
      <c r="H55" s="148"/>
      <c r="I55" s="148">
        <v>2</v>
      </c>
      <c r="J55" s="147">
        <v>6270</v>
      </c>
      <c r="K55" s="147">
        <v>6.27</v>
      </c>
      <c r="L55" s="147" t="str">
        <f t="shared" si="0"/>
        <v>48.626.27HSTFIN CUT</v>
      </c>
      <c r="M55" s="147" t="str">
        <f>VLOOKUP(Table27[[#This Row],[Key]],Table29[[#All],[Key]:[TSL Material Code3]],4,0)</f>
        <v>No Key</v>
      </c>
      <c r="N55" s="147" t="str">
        <f>VLOOKUP(Table27[[#This Row],[Key]],Table29[[#All],[Key]:[TSL Material Code3]],5,0)</f>
        <v>No Key</v>
      </c>
      <c r="O55" s="149" t="str">
        <f>VLOOKUP(Table27[[#This Row],[Key]],Table29[[#All],[Key]:[TSL Material Code3]],7,0)</f>
        <v>056</v>
      </c>
      <c r="P55" s="150">
        <f>VLOOKUP(Table27[[#This Row],[Key]],Table29[[#All],[Key]:[TSL Material Code3]],8,0)</f>
        <v>3502301</v>
      </c>
      <c r="Q55" s="19">
        <v>5</v>
      </c>
      <c r="R55" s="147">
        <v>3</v>
      </c>
      <c r="S55" s="147">
        <v>30</v>
      </c>
      <c r="T55" s="147">
        <v>0</v>
      </c>
      <c r="U55" s="147">
        <f t="shared" si="1"/>
        <v>27</v>
      </c>
      <c r="V55" s="147"/>
      <c r="W55" s="147">
        <f t="shared" si="2"/>
        <v>27</v>
      </c>
      <c r="X55" s="19">
        <f t="shared" si="4"/>
        <v>-22</v>
      </c>
      <c r="Y55" s="167">
        <f t="shared" si="3"/>
        <v>0</v>
      </c>
      <c r="Z55" s="19">
        <f>ROUND(SUMIFS(meghsteelsales_previousmonth[Quantity],meghsteelsales_previousmonth[Length Bucket],Table27[[#This Row],[Bucket CTL]])/1000,0)</f>
        <v>0</v>
      </c>
      <c r="AA55" s="419">
        <f>ROUND(SUMIFS(meghsteelsales_currentmonth[Quantity],meghsteelsales_currentmonth[Length Bucket],Table27[[#This Row],[Bucket CTL]])/1000,0)</f>
        <v>0</v>
      </c>
      <c r="AB55" s="90">
        <f>Table27[[#This Row],[ INDENT  FOR NOV-25 recommended]]+Table27[[#This Row],[order logg ]]</f>
        <v>0</v>
      </c>
      <c r="AC55" s="90">
        <f>Table27[[#This Row],[Before 20th]]+Table27[[#This Row],[ofter 20th]]</f>
        <v>0</v>
      </c>
      <c r="AD55">
        <f>IF(Table27[[#This Row],[Total Indent]]-Table27[[#This Row],[Total Supplied]]&lt;0,0,Table27[[#This Row],[Total Indent]]-Table27[[#This Row],[Total Supplied]])</f>
        <v>0</v>
      </c>
    </row>
    <row r="56" spans="1:30" x14ac:dyDescent="0.25">
      <c r="A56" s="265" t="s">
        <v>341</v>
      </c>
      <c r="B56" s="265">
        <v>943210</v>
      </c>
      <c r="C56" s="147" t="s">
        <v>342</v>
      </c>
      <c r="D56" s="153" t="s">
        <v>344</v>
      </c>
      <c r="E56" s="147" t="s">
        <v>348</v>
      </c>
      <c r="F56" s="147" t="s">
        <v>349</v>
      </c>
      <c r="G56" s="148">
        <v>48.6</v>
      </c>
      <c r="H56" s="148"/>
      <c r="I56" s="148">
        <v>2.2999999999999998</v>
      </c>
      <c r="J56" s="147">
        <v>6270</v>
      </c>
      <c r="K56" s="147">
        <v>6.27</v>
      </c>
      <c r="L56" s="147" t="str">
        <f t="shared" si="0"/>
        <v>48.62.36.27HSTFIN CUT</v>
      </c>
      <c r="M56" s="147" t="str">
        <f>VLOOKUP(Table27[[#This Row],[Key]],Table29[[#All],[Key]:[TSL Material Code3]],4,0)</f>
        <v>48.6-0-2.3-ERW 2-FC</v>
      </c>
      <c r="N56" s="147" t="str">
        <f>VLOOKUP(Table27[[#This Row],[Key]],Table29[[#All],[Key]:[TSL Material Code3]],5,0)</f>
        <v>48.6-0-2.3-ERW 2-FC-6.27</v>
      </c>
      <c r="O56" s="149" t="str">
        <f>VLOOKUP(Table27[[#This Row],[Key]],Table29[[#All],[Key]:[TSL Material Code3]],7,0)</f>
        <v>056</v>
      </c>
      <c r="P56" s="150">
        <f>VLOOKUP(Table27[[#This Row],[Key]],Table29[[#All],[Key]:[TSL Material Code3]],8,0)</f>
        <v>3549720</v>
      </c>
      <c r="Q56" s="19">
        <v>5</v>
      </c>
      <c r="R56" s="147">
        <v>3</v>
      </c>
      <c r="S56" s="147">
        <v>0</v>
      </c>
      <c r="T56" s="147">
        <v>0</v>
      </c>
      <c r="U56" s="147">
        <f t="shared" si="1"/>
        <v>-3</v>
      </c>
      <c r="V56" s="147">
        <v>23.5</v>
      </c>
      <c r="W56" s="147">
        <f t="shared" si="2"/>
        <v>20.5</v>
      </c>
      <c r="X56" s="19">
        <f t="shared" si="4"/>
        <v>-15.5</v>
      </c>
      <c r="Y56" s="167">
        <f t="shared" si="3"/>
        <v>0</v>
      </c>
      <c r="Z56" s="19">
        <f>ROUND(SUMIFS(meghsteelsales_previousmonth[Quantity],meghsteelsales_previousmonth[Length Bucket],Table27[[#This Row],[Bucket CTL]])/1000,0)</f>
        <v>0</v>
      </c>
      <c r="AA56" s="419">
        <f>ROUND(SUMIFS(meghsteelsales_currentmonth[Quantity],meghsteelsales_currentmonth[Length Bucket],Table27[[#This Row],[Bucket CTL]])/1000,0)</f>
        <v>0</v>
      </c>
      <c r="AB56" s="90">
        <f>Table27[[#This Row],[ INDENT  FOR NOV-25 recommended]]+Table27[[#This Row],[order logg ]]</f>
        <v>23.5</v>
      </c>
      <c r="AC56" s="90">
        <f>Table27[[#This Row],[Before 20th]]+Table27[[#This Row],[ofter 20th]]</f>
        <v>0</v>
      </c>
      <c r="AD56">
        <f>IF(Table27[[#This Row],[Total Indent]]-Table27[[#This Row],[Total Supplied]]&lt;0,0,Table27[[#This Row],[Total Indent]]-Table27[[#This Row],[Total Supplied]])</f>
        <v>23.5</v>
      </c>
    </row>
    <row r="57" spans="1:30" x14ac:dyDescent="0.25">
      <c r="A57" s="265" t="s">
        <v>341</v>
      </c>
      <c r="B57" s="265">
        <v>943210</v>
      </c>
      <c r="C57" s="147" t="s">
        <v>342</v>
      </c>
      <c r="D57" s="153" t="s">
        <v>338</v>
      </c>
      <c r="E57" s="147" t="s">
        <v>348</v>
      </c>
      <c r="F57" s="147" t="s">
        <v>340</v>
      </c>
      <c r="G57" s="148">
        <v>48.6</v>
      </c>
      <c r="H57" s="148"/>
      <c r="I57" s="148">
        <v>3.5</v>
      </c>
      <c r="J57" s="147">
        <v>6000</v>
      </c>
      <c r="K57" s="147">
        <v>6</v>
      </c>
      <c r="L57" s="147" t="str">
        <f t="shared" si="0"/>
        <v>48.63.56ERWFIN CUT</v>
      </c>
      <c r="M57" s="147" t="str">
        <f>VLOOKUP(Table27[[#This Row],[Key]],Table29[[#All],[Key]:[TSL Material Code3]],4,0)</f>
        <v>48.6-0-3.5-ERW 1-FC</v>
      </c>
      <c r="N57" s="147" t="str">
        <f>VLOOKUP(Table27[[#This Row],[Key]],Table29[[#All],[Key]:[TSL Material Code3]],5,0)</f>
        <v>48.6-0-3.5-ERW 1-FC-6</v>
      </c>
      <c r="O57" s="149" t="str">
        <f>VLOOKUP(Table27[[#This Row],[Key]],Table29[[#All],[Key]:[TSL Material Code3]],7,0)</f>
        <v>0789</v>
      </c>
      <c r="P57" s="150">
        <f>VLOOKUP(Table27[[#This Row],[Key]],Table29[[#All],[Key]:[TSL Material Code3]],8,0)</f>
        <v>3502422</v>
      </c>
      <c r="Q57" s="19">
        <v>20</v>
      </c>
      <c r="R57" s="147">
        <v>10</v>
      </c>
      <c r="S57" s="147">
        <v>8</v>
      </c>
      <c r="T57" s="147">
        <v>0</v>
      </c>
      <c r="U57" s="147">
        <f t="shared" si="1"/>
        <v>-2</v>
      </c>
      <c r="V57" s="147"/>
      <c r="W57" s="147">
        <f t="shared" si="2"/>
        <v>-2</v>
      </c>
      <c r="X57" s="19">
        <f t="shared" si="4"/>
        <v>22</v>
      </c>
      <c r="Y57" s="167">
        <f t="shared" si="3"/>
        <v>33</v>
      </c>
      <c r="Z57" s="19">
        <f>ROUND(SUMIFS(meghsteelsales_previousmonth[Quantity],meghsteelsales_previousmonth[Length Bucket],Table27[[#This Row],[Bucket CTL]])/1000,0)</f>
        <v>3</v>
      </c>
      <c r="AA57" s="419">
        <f>ROUND(SUMIFS(meghsteelsales_currentmonth[Quantity],meghsteelsales_currentmonth[Length Bucket],Table27[[#This Row],[Bucket CTL]])/1000,0)</f>
        <v>14</v>
      </c>
      <c r="AB57" s="90">
        <f>Table27[[#This Row],[ INDENT  FOR NOV-25 recommended]]+Table27[[#This Row],[order logg ]]</f>
        <v>33</v>
      </c>
      <c r="AC57" s="90">
        <f>Table27[[#This Row],[Before 20th]]+Table27[[#This Row],[ofter 20th]]</f>
        <v>17</v>
      </c>
      <c r="AD57">
        <f>IF(Table27[[#This Row],[Total Indent]]-Table27[[#This Row],[Total Supplied]]&lt;0,0,Table27[[#This Row],[Total Indent]]-Table27[[#This Row],[Total Supplied]])</f>
        <v>16</v>
      </c>
    </row>
    <row r="58" spans="1:30" x14ac:dyDescent="0.25">
      <c r="A58" s="265" t="s">
        <v>10</v>
      </c>
      <c r="B58" s="265">
        <v>943209</v>
      </c>
      <c r="C58" s="147" t="s">
        <v>116</v>
      </c>
      <c r="D58" s="153" t="s">
        <v>338</v>
      </c>
      <c r="E58" s="147" t="s">
        <v>348</v>
      </c>
      <c r="F58" s="147" t="s">
        <v>340</v>
      </c>
      <c r="G58" s="168" t="s">
        <v>368</v>
      </c>
      <c r="H58" s="168"/>
      <c r="I58" s="168">
        <v>1.6</v>
      </c>
      <c r="J58" s="147">
        <v>6000</v>
      </c>
      <c r="K58" s="147">
        <v>6</v>
      </c>
      <c r="L58" s="147" t="str">
        <f t="shared" si="0"/>
        <v>59x301.66ERWFIN CUT</v>
      </c>
      <c r="M58" s="147" t="str">
        <f>VLOOKUP(Table27[[#This Row],[Key]],Table29[[#All],[Key]:[TSL Material Code3]],4,0)</f>
        <v>59-30-1.6-ERW 1-FIN CUT</v>
      </c>
      <c r="N58" s="147" t="str">
        <f>VLOOKUP(Table27[[#This Row],[Key]],Table29[[#All],[Key]:[TSL Material Code3]],5,0)</f>
        <v>59-30-1.6-ERW 1-FIN CUT-6</v>
      </c>
      <c r="O58" s="149" t="str">
        <f>VLOOKUP(Table27[[#This Row],[Key]],Table29[[#All],[Key]:[TSL Material Code3]],7,0)</f>
        <v>0789</v>
      </c>
      <c r="P58" s="150">
        <f>VLOOKUP(Table27[[#This Row],[Key]],Table29[[#All],[Key]:[TSL Material Code3]],8,0)</f>
        <v>1940925</v>
      </c>
      <c r="Q58" s="19">
        <v>5</v>
      </c>
      <c r="R58" s="147">
        <v>0</v>
      </c>
      <c r="S58" s="147">
        <v>1.5</v>
      </c>
      <c r="T58" s="147">
        <v>0</v>
      </c>
      <c r="U58" s="147">
        <f t="shared" si="1"/>
        <v>1.5</v>
      </c>
      <c r="V58" s="147"/>
      <c r="W58" s="147">
        <f t="shared" si="2"/>
        <v>1.5</v>
      </c>
      <c r="X58" s="19">
        <f t="shared" si="4"/>
        <v>3.5</v>
      </c>
      <c r="Y58" s="167">
        <f t="shared" si="3"/>
        <v>5.25</v>
      </c>
      <c r="Z58" s="19">
        <f>ROUND(SUMIFS(meghsteelsales_previousmonth[Quantity],meghsteelsales_previousmonth[Length Bucket],Table27[[#This Row],[Bucket CTL]])/1000,0)</f>
        <v>5</v>
      </c>
      <c r="AA58" s="419">
        <f>ROUND(SUMIFS(meghsteelsales_currentmonth[Quantity],meghsteelsales_currentmonth[Length Bucket],Table27[[#This Row],[Bucket CTL]])/1000,0)</f>
        <v>0</v>
      </c>
      <c r="AB58" s="90">
        <f>Table27[[#This Row],[ INDENT  FOR NOV-25 recommended]]+Table27[[#This Row],[order logg ]]</f>
        <v>5.25</v>
      </c>
      <c r="AC58" s="90">
        <f>Table27[[#This Row],[Before 20th]]+Table27[[#This Row],[ofter 20th]]</f>
        <v>5</v>
      </c>
      <c r="AD58">
        <f>IF(Table27[[#This Row],[Total Indent]]-Table27[[#This Row],[Total Supplied]]&lt;0,0,Table27[[#This Row],[Total Indent]]-Table27[[#This Row],[Total Supplied]])</f>
        <v>0.25</v>
      </c>
    </row>
    <row r="59" spans="1:30" x14ac:dyDescent="0.25">
      <c r="A59" s="265" t="s">
        <v>5</v>
      </c>
      <c r="B59" s="266">
        <v>943211</v>
      </c>
      <c r="C59" s="147" t="s">
        <v>369</v>
      </c>
      <c r="D59" s="153" t="s">
        <v>338</v>
      </c>
      <c r="E59" s="147" t="s">
        <v>348</v>
      </c>
      <c r="F59" s="147" t="s">
        <v>340</v>
      </c>
      <c r="G59" s="168" t="s">
        <v>368</v>
      </c>
      <c r="H59" s="168"/>
      <c r="I59" s="168">
        <v>1.6</v>
      </c>
      <c r="J59" s="169">
        <v>572.5</v>
      </c>
      <c r="K59" s="147">
        <v>0.57250000000000001</v>
      </c>
      <c r="L59" s="147" t="str">
        <f t="shared" si="0"/>
        <v>59x301.60.5725ERWFIN CUT</v>
      </c>
      <c r="M59" s="147" t="str">
        <f>VLOOKUP(Table27[[#This Row],[Key]],Table29[[#All],[Key]:[TSL Material Code3]],4,0)</f>
        <v>59-30-1.6-ERW 1-FIN CUT</v>
      </c>
      <c r="N59" s="147" t="str">
        <f>VLOOKUP(Table27[[#This Row],[Key]],Table29[[#All],[Key]:[TSL Material Code3]],5,0)</f>
        <v>59-30-1.6-ERW 1-FIN CUT-0.573</v>
      </c>
      <c r="O59" s="149" t="str">
        <f>VLOOKUP(Table27[[#This Row],[Key]],Table29[[#All],[Key]:[TSL Material Code3]],7,0)</f>
        <v>0789</v>
      </c>
      <c r="P59" s="150">
        <f>VLOOKUP(Table27[[#This Row],[Key]],Table29[[#All],[Key]:[TSL Material Code3]],8,0)</f>
        <v>2420716</v>
      </c>
      <c r="Q59" s="19">
        <v>30</v>
      </c>
      <c r="R59" s="147">
        <v>0</v>
      </c>
      <c r="S59" s="147">
        <v>0</v>
      </c>
      <c r="T59" s="147">
        <v>0</v>
      </c>
      <c r="U59" s="147">
        <f t="shared" si="1"/>
        <v>0</v>
      </c>
      <c r="V59" s="147"/>
      <c r="W59" s="147">
        <f t="shared" si="2"/>
        <v>0</v>
      </c>
      <c r="X59" s="19">
        <f t="shared" si="4"/>
        <v>30</v>
      </c>
      <c r="Y59" s="167">
        <f t="shared" si="3"/>
        <v>45</v>
      </c>
      <c r="Z59" s="19">
        <f>ROUND(SUMIFS(meghsteelsales_previousmonth[Quantity],meghsteelsales_previousmonth[Length Bucket],Table27[[#This Row],[Bucket CTL]])/1000,0)</f>
        <v>9</v>
      </c>
      <c r="AA59" s="419">
        <f>ROUND(SUMIFS(meghsteelsales_currentmonth[Quantity],meghsteelsales_currentmonth[Length Bucket],Table27[[#This Row],[Bucket CTL]])/1000,0)</f>
        <v>0</v>
      </c>
      <c r="AB59" s="90">
        <f>Table27[[#This Row],[ INDENT  FOR NOV-25 recommended]]+Table27[[#This Row],[order logg ]]</f>
        <v>45</v>
      </c>
      <c r="AC59" s="90">
        <f>Table27[[#This Row],[Before 20th]]+Table27[[#This Row],[ofter 20th]]</f>
        <v>9</v>
      </c>
      <c r="AD59">
        <f>IF(Table27[[#This Row],[Total Indent]]-Table27[[#This Row],[Total Supplied]]&lt;0,0,Table27[[#This Row],[Total Indent]]-Table27[[#This Row],[Total Supplied]])</f>
        <v>36</v>
      </c>
    </row>
    <row r="60" spans="1:30" x14ac:dyDescent="0.25">
      <c r="A60" s="265" t="s">
        <v>5</v>
      </c>
      <c r="B60" s="266">
        <v>943211</v>
      </c>
      <c r="C60" s="147" t="s">
        <v>358</v>
      </c>
      <c r="D60" s="153" t="s">
        <v>338</v>
      </c>
      <c r="E60" s="147" t="s">
        <v>348</v>
      </c>
      <c r="F60" s="147" t="s">
        <v>340</v>
      </c>
      <c r="G60" s="168" t="s">
        <v>370</v>
      </c>
      <c r="H60" s="168"/>
      <c r="I60" s="168">
        <v>1.6</v>
      </c>
      <c r="J60" s="169">
        <v>6040</v>
      </c>
      <c r="K60" s="147">
        <v>6.04</v>
      </c>
      <c r="L60" s="147" t="str">
        <f t="shared" si="0"/>
        <v>50X501.66.04ERWFIN CUT</v>
      </c>
      <c r="M60" s="147" t="e">
        <f>VLOOKUP(Table27[[#This Row],[Key]],Table29[[#All],[Key]:[TSL Material Code3]],4,0)</f>
        <v>#N/A</v>
      </c>
      <c r="N60" s="147" t="e">
        <f>VLOOKUP(Table27[[#This Row],[Key]],Table29[[#All],[Key]:[TSL Material Code3]],5,0)</f>
        <v>#N/A</v>
      </c>
      <c r="O60" s="149" t="str">
        <f>VLOOKUP(Table27[[#This Row],[Key]],Table29[[#All],[Key]:[TSL Material Code3]],7,0)</f>
        <v>0788</v>
      </c>
      <c r="P60" s="150">
        <f>VLOOKUP(Table27[[#This Row],[Key]],Table29[[#All],[Key]:[TSL Material Code3]],8,0)</f>
        <v>3500641</v>
      </c>
      <c r="Q60" s="19">
        <v>10</v>
      </c>
      <c r="R60" s="147">
        <v>5</v>
      </c>
      <c r="S60" s="147">
        <v>0</v>
      </c>
      <c r="T60" s="147">
        <v>15</v>
      </c>
      <c r="U60" s="147">
        <f t="shared" si="1"/>
        <v>-5</v>
      </c>
      <c r="V60" s="147">
        <v>20</v>
      </c>
      <c r="W60" s="147">
        <f t="shared" si="2"/>
        <v>15</v>
      </c>
      <c r="X60" s="19">
        <f t="shared" si="4"/>
        <v>-5</v>
      </c>
      <c r="Y60" s="167">
        <f t="shared" si="3"/>
        <v>0</v>
      </c>
      <c r="Z60" s="19">
        <f>ROUND(SUMIFS(meghsteelsales_previousmonth[Quantity],meghsteelsales_previousmonth[Length Bucket],Table27[[#This Row],[Bucket CTL]])/1000,0)</f>
        <v>0</v>
      </c>
      <c r="AA60" s="419">
        <f>ROUND(SUMIFS(meghsteelsales_currentmonth[Quantity],meghsteelsales_currentmonth[Length Bucket],Table27[[#This Row],[Bucket CTL]])/1000,0)</f>
        <v>0</v>
      </c>
      <c r="AB60" s="90">
        <f>Table27[[#This Row],[ INDENT  FOR NOV-25 recommended]]+Table27[[#This Row],[order logg ]]</f>
        <v>20</v>
      </c>
      <c r="AC60" s="90">
        <f>Table27[[#This Row],[Before 20th]]+Table27[[#This Row],[ofter 20th]]</f>
        <v>0</v>
      </c>
      <c r="AD60">
        <f>IF(Table27[[#This Row],[Total Indent]]-Table27[[#This Row],[Total Supplied]]&lt;0,0,Table27[[#This Row],[Total Indent]]-Table27[[#This Row],[Total Supplied]])</f>
        <v>20</v>
      </c>
    </row>
    <row r="61" spans="1:30" x14ac:dyDescent="0.25">
      <c r="A61" s="265" t="s">
        <v>5</v>
      </c>
      <c r="B61" s="266">
        <v>943211</v>
      </c>
      <c r="C61" s="147" t="s">
        <v>358</v>
      </c>
      <c r="D61" s="153" t="s">
        <v>338</v>
      </c>
      <c r="E61" s="147" t="s">
        <v>348</v>
      </c>
      <c r="F61" s="147" t="s">
        <v>340</v>
      </c>
      <c r="G61" s="168">
        <v>50.8</v>
      </c>
      <c r="H61" s="168"/>
      <c r="I61" s="168">
        <v>2.6</v>
      </c>
      <c r="J61" s="169">
        <v>6000</v>
      </c>
      <c r="K61" s="147">
        <v>6</v>
      </c>
      <c r="L61" s="147" t="str">
        <f t="shared" si="0"/>
        <v>50.82.66ERWFIN CUT</v>
      </c>
      <c r="M61" s="147" t="e">
        <f>VLOOKUP(Table27[[#This Row],[Key]],Table29[[#All],[Key]:[TSL Material Code3]],4,0)</f>
        <v>#N/A</v>
      </c>
      <c r="N61" s="147" t="e">
        <f>VLOOKUP(Table27[[#This Row],[Key]],Table29[[#All],[Key]:[TSL Material Code3]],5,0)</f>
        <v>#N/A</v>
      </c>
      <c r="O61" s="149" t="str">
        <f>VLOOKUP(Table27[[#This Row],[Key]],Table29[[#All],[Key]:[TSL Material Code3]],7,0)</f>
        <v>056</v>
      </c>
      <c r="P61" s="150">
        <f>VLOOKUP(Table27[[#This Row],[Key]],Table29[[#All],[Key]:[TSL Material Code3]],8,0)</f>
        <v>3518437</v>
      </c>
      <c r="Q61" s="19">
        <v>10</v>
      </c>
      <c r="R61" s="147">
        <v>0</v>
      </c>
      <c r="S61" s="147">
        <v>17</v>
      </c>
      <c r="T61" s="147">
        <v>0</v>
      </c>
      <c r="U61" s="147">
        <f t="shared" si="1"/>
        <v>17</v>
      </c>
      <c r="V61" s="147">
        <v>12.6</v>
      </c>
      <c r="W61" s="147">
        <f t="shared" si="2"/>
        <v>29.6</v>
      </c>
      <c r="X61" s="19">
        <v>5</v>
      </c>
      <c r="Y61" s="167">
        <f t="shared" si="3"/>
        <v>7.5</v>
      </c>
      <c r="Z61" s="19">
        <f>ROUND(SUMIFS(meghsteelsales_previousmonth[Quantity],meghsteelsales_previousmonth[Length Bucket],Table27[[#This Row],[Bucket CTL]])/1000,0)</f>
        <v>0</v>
      </c>
      <c r="AA61" s="419">
        <f>ROUND(SUMIFS(meghsteelsales_currentmonth[Quantity],meghsteelsales_currentmonth[Length Bucket],Table27[[#This Row],[Bucket CTL]])/1000,0)</f>
        <v>0</v>
      </c>
      <c r="AB61" s="90">
        <f>Table27[[#This Row],[ INDENT  FOR NOV-25 recommended]]+Table27[[#This Row],[order logg ]]</f>
        <v>20.100000000000001</v>
      </c>
      <c r="AC61" s="90">
        <f>Table27[[#This Row],[Before 20th]]+Table27[[#This Row],[ofter 20th]]</f>
        <v>0</v>
      </c>
      <c r="AD61">
        <f>IF(Table27[[#This Row],[Total Indent]]-Table27[[#This Row],[Total Supplied]]&lt;0,0,Table27[[#This Row],[Total Indent]]-Table27[[#This Row],[Total Supplied]])</f>
        <v>20.100000000000001</v>
      </c>
    </row>
    <row r="62" spans="1:30" x14ac:dyDescent="0.25">
      <c r="A62" s="265" t="s">
        <v>5</v>
      </c>
      <c r="B62" s="266">
        <v>943211</v>
      </c>
      <c r="C62" s="147" t="s">
        <v>358</v>
      </c>
      <c r="D62" s="153" t="s">
        <v>366</v>
      </c>
      <c r="E62" s="147" t="s">
        <v>348</v>
      </c>
      <c r="F62" s="147" t="s">
        <v>357</v>
      </c>
      <c r="G62" s="168">
        <v>50.8</v>
      </c>
      <c r="H62" s="168">
        <v>45.6</v>
      </c>
      <c r="I62" s="168">
        <v>2.6</v>
      </c>
      <c r="J62" s="169">
        <v>6000</v>
      </c>
      <c r="K62" s="147">
        <v>6</v>
      </c>
      <c r="L62" s="147" t="str">
        <f t="shared" si="0"/>
        <v>50.82.66CEWFIN CUT</v>
      </c>
      <c r="M62" s="147" t="e">
        <f>VLOOKUP(Table27[[#This Row],[Key]],Table29[[#All],[Key]:[TSL Material Code3]],4,0)</f>
        <v>#N/A</v>
      </c>
      <c r="N62" s="147" t="e">
        <f>VLOOKUP(Table27[[#This Row],[Key]],Table29[[#All],[Key]:[TSL Material Code3]],5,0)</f>
        <v>#N/A</v>
      </c>
      <c r="O62" s="149" t="str">
        <f>VLOOKUP(Table27[[#This Row],[Key]],Table29[[#All],[Key]:[TSL Material Code3]],7,0)</f>
        <v>056</v>
      </c>
      <c r="P62" s="150">
        <f>VLOOKUP(Table27[[#This Row],[Key]],Table29[[#All],[Key]:[TSL Material Code3]],8,0)</f>
        <v>3500695</v>
      </c>
      <c r="Q62" s="19">
        <v>5</v>
      </c>
      <c r="R62" s="147">
        <v>0</v>
      </c>
      <c r="S62" s="147">
        <v>1.4</v>
      </c>
      <c r="T62" s="147">
        <v>0</v>
      </c>
      <c r="U62" s="147">
        <f t="shared" si="1"/>
        <v>1.4</v>
      </c>
      <c r="V62" s="147">
        <v>24.5</v>
      </c>
      <c r="W62" s="147">
        <f t="shared" si="2"/>
        <v>25.9</v>
      </c>
      <c r="X62" s="19">
        <v>5</v>
      </c>
      <c r="Y62" s="167">
        <f t="shared" si="3"/>
        <v>7.5</v>
      </c>
      <c r="Z62" s="19">
        <f>ROUND(SUMIFS(meghsteelsales_previousmonth[Quantity],meghsteelsales_previousmonth[Length Bucket],Table27[[#This Row],[Bucket CTL]])/1000,0)</f>
        <v>0</v>
      </c>
      <c r="AA62" s="419">
        <f>ROUND(SUMIFS(meghsteelsales_currentmonth[Quantity],meghsteelsales_currentmonth[Length Bucket],Table27[[#This Row],[Bucket CTL]])/1000,0)</f>
        <v>0</v>
      </c>
      <c r="AB62" s="90">
        <f>Table27[[#This Row],[ INDENT  FOR NOV-25 recommended]]+Table27[[#This Row],[order logg ]]</f>
        <v>32</v>
      </c>
      <c r="AC62" s="90">
        <f>Table27[[#This Row],[Before 20th]]+Table27[[#This Row],[ofter 20th]]</f>
        <v>0</v>
      </c>
      <c r="AD62">
        <f>IF(Table27[[#This Row],[Total Indent]]-Table27[[#This Row],[Total Supplied]]&lt;0,0,Table27[[#This Row],[Total Indent]]-Table27[[#This Row],[Total Supplied]])</f>
        <v>32</v>
      </c>
    </row>
    <row r="63" spans="1:30" x14ac:dyDescent="0.25">
      <c r="A63" s="265" t="s">
        <v>10</v>
      </c>
      <c r="B63" s="265">
        <v>943209</v>
      </c>
      <c r="C63" s="147" t="s">
        <v>112</v>
      </c>
      <c r="D63" s="153" t="s">
        <v>338</v>
      </c>
      <c r="E63" s="147" t="s">
        <v>348</v>
      </c>
      <c r="F63" s="147" t="s">
        <v>340</v>
      </c>
      <c r="G63" s="168">
        <v>54</v>
      </c>
      <c r="H63" s="168"/>
      <c r="I63" s="168">
        <v>3</v>
      </c>
      <c r="J63" s="169">
        <v>5910</v>
      </c>
      <c r="K63" s="147">
        <v>5.91</v>
      </c>
      <c r="L63" s="147" t="str">
        <f t="shared" si="0"/>
        <v>5435.91ERWFIN CUT</v>
      </c>
      <c r="M63" s="147" t="e">
        <f>VLOOKUP(Table27[[#This Row],[Key]],Table29[[#All],[Key]:[TSL Material Code3]],4,0)</f>
        <v>#N/A</v>
      </c>
      <c r="N63" s="147" t="e">
        <f>VLOOKUP(Table27[[#This Row],[Key]],Table29[[#All],[Key]:[TSL Material Code3]],5,0)</f>
        <v>#N/A</v>
      </c>
      <c r="O63" s="158" t="s">
        <v>371</v>
      </c>
      <c r="P63" s="150">
        <v>3500391</v>
      </c>
      <c r="Q63" s="19">
        <v>10</v>
      </c>
      <c r="R63" s="147">
        <v>0</v>
      </c>
      <c r="S63" s="147">
        <v>1.5</v>
      </c>
      <c r="T63" s="147">
        <v>0</v>
      </c>
      <c r="U63" s="147">
        <f t="shared" si="1"/>
        <v>1.5</v>
      </c>
      <c r="V63" s="147"/>
      <c r="W63" s="147">
        <f t="shared" si="2"/>
        <v>1.5</v>
      </c>
      <c r="X63" s="19">
        <v>10</v>
      </c>
      <c r="Y63" s="167">
        <f t="shared" si="3"/>
        <v>15</v>
      </c>
      <c r="Z63" s="19">
        <f>ROUND(SUMIFS(meghsteelsales_previousmonth[Quantity],meghsteelsales_previousmonth[Length Bucket],Table27[[#This Row],[Bucket CTL]])/1000,0)</f>
        <v>0</v>
      </c>
      <c r="AA63" s="419">
        <f>ROUND(SUMIFS(meghsteelsales_currentmonth[Quantity],meghsteelsales_currentmonth[Length Bucket],Table27[[#This Row],[Bucket CTL]])/1000,0)</f>
        <v>0</v>
      </c>
      <c r="AB63" s="90">
        <f>Table27[[#This Row],[ INDENT  FOR NOV-25 recommended]]+Table27[[#This Row],[order logg ]]</f>
        <v>15</v>
      </c>
      <c r="AC63" s="90">
        <f>Table27[[#This Row],[Before 20th]]+Table27[[#This Row],[ofter 20th]]</f>
        <v>0</v>
      </c>
      <c r="AD63">
        <f>IF(Table27[[#This Row],[Total Indent]]-Table27[[#This Row],[Total Supplied]]&lt;0,0,Table27[[#This Row],[Total Indent]]-Table27[[#This Row],[Total Supplied]])</f>
        <v>15</v>
      </c>
    </row>
    <row r="64" spans="1:30" x14ac:dyDescent="0.25">
      <c r="A64" s="265" t="s">
        <v>10</v>
      </c>
      <c r="B64" s="265">
        <v>943209</v>
      </c>
      <c r="C64" s="147" t="s">
        <v>346</v>
      </c>
      <c r="D64" s="153" t="s">
        <v>338</v>
      </c>
      <c r="E64" s="147" t="s">
        <v>348</v>
      </c>
      <c r="F64" s="147" t="s">
        <v>340</v>
      </c>
      <c r="G64" s="148">
        <v>57.15</v>
      </c>
      <c r="H64" s="148"/>
      <c r="I64" s="148">
        <v>2.5</v>
      </c>
      <c r="J64" s="147">
        <v>5710</v>
      </c>
      <c r="K64" s="147">
        <v>5.71</v>
      </c>
      <c r="L64" s="147" t="str">
        <f t="shared" ref="L64:L68" si="5">_xlfn.CONCAT(G64,I64,K64,F64,E64)</f>
        <v>57.152.55.71ERWFIN CUT</v>
      </c>
      <c r="M64" s="147" t="str">
        <f>VLOOKUP(Table27[[#This Row],[Key]],Table29[[#All],[Key]:[TSL Material Code3]],4,0)</f>
        <v>57.15-0-2.5-ERW 1-FC</v>
      </c>
      <c r="N64" s="147" t="str">
        <f>VLOOKUP(Table27[[#This Row],[Key]],Table29[[#All],[Key]:[TSL Material Code3]],5,0)</f>
        <v>57.15-0-2.5-ERW 1-FC-5.711</v>
      </c>
      <c r="O64" s="149" t="str">
        <f>VLOOKUP(Table27[[#This Row],[Key]],Table29[[#All],[Key]:[TSL Material Code3]],7,0)</f>
        <v>056</v>
      </c>
      <c r="P64" s="150">
        <f>VLOOKUP(Table27[[#This Row],[Key]],Table29[[#All],[Key]:[TSL Material Code3]],8,0)</f>
        <v>3907863</v>
      </c>
      <c r="Q64" s="19">
        <v>70</v>
      </c>
      <c r="R64" s="147">
        <v>30</v>
      </c>
      <c r="S64" s="147">
        <v>93</v>
      </c>
      <c r="T64" s="147">
        <v>18.2</v>
      </c>
      <c r="U64" s="147">
        <f t="shared" si="1"/>
        <v>63</v>
      </c>
      <c r="V64" s="147">
        <v>82.7</v>
      </c>
      <c r="W64" s="147">
        <f t="shared" si="2"/>
        <v>145.69999999999999</v>
      </c>
      <c r="X64" s="19">
        <f t="shared" si="4"/>
        <v>-75.699999999999989</v>
      </c>
      <c r="Y64" s="167">
        <f t="shared" si="3"/>
        <v>0</v>
      </c>
      <c r="Z64" s="19">
        <f>ROUND(SUMIFS(meghsteelsales_previousmonth[Quantity],meghsteelsales_previousmonth[Length Bucket],Table27[[#This Row],[Bucket CTL]])/1000,0)</f>
        <v>16</v>
      </c>
      <c r="AA64" s="419">
        <f>ROUND(SUMIFS(meghsteelsales_currentmonth[Quantity],meghsteelsales_currentmonth[Length Bucket],Table27[[#This Row],[Bucket CTL]])/1000,0)</f>
        <v>207</v>
      </c>
      <c r="AB64" s="90">
        <f>Table27[[#This Row],[ INDENT  FOR NOV-25 recommended]]+Table27[[#This Row],[order logg ]]</f>
        <v>82.7</v>
      </c>
      <c r="AC64" s="90">
        <f>Table27[[#This Row],[Before 20th]]+Table27[[#This Row],[ofter 20th]]</f>
        <v>223</v>
      </c>
      <c r="AD64">
        <f>IF(Table27[[#This Row],[Total Indent]]-Table27[[#This Row],[Total Supplied]]&lt;0,0,Table27[[#This Row],[Total Indent]]-Table27[[#This Row],[Total Supplied]])</f>
        <v>0</v>
      </c>
    </row>
    <row r="65" spans="1:30" x14ac:dyDescent="0.25">
      <c r="A65" s="265" t="s">
        <v>10</v>
      </c>
      <c r="B65" s="265">
        <v>943209</v>
      </c>
      <c r="C65" s="147" t="s">
        <v>346</v>
      </c>
      <c r="D65" s="153" t="s">
        <v>338</v>
      </c>
      <c r="E65" s="147" t="s">
        <v>348</v>
      </c>
      <c r="F65" s="147" t="s">
        <v>340</v>
      </c>
      <c r="G65" s="148">
        <v>57.15</v>
      </c>
      <c r="H65" s="148"/>
      <c r="I65" s="148">
        <v>2.5</v>
      </c>
      <c r="J65" s="147">
        <v>5750</v>
      </c>
      <c r="K65" s="147">
        <v>5.75</v>
      </c>
      <c r="L65" s="147" t="str">
        <f t="shared" si="5"/>
        <v>57.152.55.75ERWFIN CUT</v>
      </c>
      <c r="M65" s="147" t="e">
        <f>VLOOKUP(Table27[[#This Row],[Key]],Table29[[#All],[Key]:[TSL Material Code3]],4,0)</f>
        <v>#N/A</v>
      </c>
      <c r="N65" s="147" t="e">
        <f>VLOOKUP(Table27[[#This Row],[Key]],Table29[[#All],[Key]:[TSL Material Code3]],5,0)</f>
        <v>#N/A</v>
      </c>
      <c r="O65" s="149" t="e">
        <f>VLOOKUP(Table27[[#This Row],[Key]],Table29[[#All],[Key]:[TSL Material Code3]],7,0)</f>
        <v>#N/A</v>
      </c>
      <c r="P65" s="150" t="e">
        <f>VLOOKUP(Table27[[#This Row],[Key]],Table29[[#All],[Key]:[TSL Material Code3]],8,0)</f>
        <v>#N/A</v>
      </c>
      <c r="Q65" s="19">
        <v>20</v>
      </c>
      <c r="R65" s="147">
        <v>0</v>
      </c>
      <c r="S65" s="147">
        <v>31</v>
      </c>
      <c r="T65" s="147">
        <v>18</v>
      </c>
      <c r="U65" s="147">
        <f t="shared" si="1"/>
        <v>31</v>
      </c>
      <c r="V65" s="147">
        <v>43.4</v>
      </c>
      <c r="W65" s="147">
        <f t="shared" si="2"/>
        <v>74.400000000000006</v>
      </c>
      <c r="X65" s="19">
        <f t="shared" si="4"/>
        <v>-54.400000000000006</v>
      </c>
      <c r="Y65" s="167">
        <f t="shared" ref="Y65:Y68" si="6">IF(X65&gt;0,X65,0)*150%</f>
        <v>0</v>
      </c>
      <c r="Z65" s="19">
        <f>ROUND(SUMIFS(meghsteelsales_previousmonth[Quantity],meghsteelsales_previousmonth[Length Bucket],Table27[[#This Row],[Bucket CTL]])/1000,0)</f>
        <v>0</v>
      </c>
      <c r="AA65" s="419">
        <f>ROUND(SUMIFS(meghsteelsales_currentmonth[Quantity],meghsteelsales_currentmonth[Length Bucket],Table27[[#This Row],[Bucket CTL]])/1000,0)</f>
        <v>0</v>
      </c>
      <c r="AB65" s="90">
        <f>Table27[[#This Row],[ INDENT  FOR NOV-25 recommended]]+Table27[[#This Row],[order logg ]]</f>
        <v>43.4</v>
      </c>
      <c r="AC65" s="90">
        <f>Table27[[#This Row],[Before 20th]]+Table27[[#This Row],[ofter 20th]]</f>
        <v>0</v>
      </c>
      <c r="AD65">
        <f>IF(Table27[[#This Row],[Total Indent]]-Table27[[#This Row],[Total Supplied]]&lt;0,0,Table27[[#This Row],[Total Indent]]-Table27[[#This Row],[Total Supplied]])</f>
        <v>43.4</v>
      </c>
    </row>
    <row r="66" spans="1:30" x14ac:dyDescent="0.25">
      <c r="A66" s="265" t="s">
        <v>10</v>
      </c>
      <c r="B66" s="265">
        <v>943209</v>
      </c>
      <c r="C66" s="147" t="s">
        <v>346</v>
      </c>
      <c r="D66" s="153" t="s">
        <v>338</v>
      </c>
      <c r="E66" s="147" t="s">
        <v>348</v>
      </c>
      <c r="F66" s="147" t="s">
        <v>340</v>
      </c>
      <c r="G66" s="148">
        <v>57.15</v>
      </c>
      <c r="H66" s="148"/>
      <c r="I66" s="148">
        <v>2.5</v>
      </c>
      <c r="J66" s="147">
        <v>6100</v>
      </c>
      <c r="K66" s="147">
        <v>6.1</v>
      </c>
      <c r="L66" s="147" t="str">
        <f t="shared" si="5"/>
        <v>57.152.56.1ERWFIN CUT</v>
      </c>
      <c r="M66" s="147" t="str">
        <f>VLOOKUP(Table27[[#This Row],[Key]],Table29[[#All],[Key]:[TSL Material Code3]],4,0)</f>
        <v>57.15-0-2.5-ERW 1-FC</v>
      </c>
      <c r="N66" s="147" t="str">
        <f>VLOOKUP(Table27[[#This Row],[Key]],Table29[[#All],[Key]:[TSL Material Code3]],5,0)</f>
        <v>57.15-0-2.5-ERW 1-FC-6.1</v>
      </c>
      <c r="O66" s="149" t="str">
        <f>VLOOKUP(Table27[[#This Row],[Key]],Table29[[#All],[Key]:[TSL Material Code3]],7,0)</f>
        <v>056</v>
      </c>
      <c r="P66" s="150">
        <f>VLOOKUP(Table27[[#This Row],[Key]],Table29[[#All],[Key]:[TSL Material Code3]],8,0)</f>
        <v>3910001</v>
      </c>
      <c r="Q66" s="19">
        <v>70</v>
      </c>
      <c r="R66" s="147">
        <v>30</v>
      </c>
      <c r="S66" s="147">
        <v>79</v>
      </c>
      <c r="T66" s="147">
        <v>22.5</v>
      </c>
      <c r="U66" s="147">
        <f t="shared" si="1"/>
        <v>49</v>
      </c>
      <c r="V66" s="147">
        <v>33.6</v>
      </c>
      <c r="W66" s="147">
        <f t="shared" si="2"/>
        <v>82.6</v>
      </c>
      <c r="X66" s="19">
        <f t="shared" si="4"/>
        <v>-12.599999999999994</v>
      </c>
      <c r="Y66" s="167">
        <f t="shared" si="6"/>
        <v>0</v>
      </c>
      <c r="Z66" s="19">
        <f>ROUND(SUMIFS(meghsteelsales_previousmonth[Quantity],meghsteelsales_previousmonth[Length Bucket],Table27[[#This Row],[Bucket CTL]])/1000,0)</f>
        <v>0</v>
      </c>
      <c r="AA66" s="419">
        <f>ROUND(SUMIFS(meghsteelsales_currentmonth[Quantity],meghsteelsales_currentmonth[Length Bucket],Table27[[#This Row],[Bucket CTL]])/1000,0)</f>
        <v>52</v>
      </c>
      <c r="AB66" s="90">
        <f>Table27[[#This Row],[ INDENT  FOR NOV-25 recommended]]+Table27[[#This Row],[order logg ]]</f>
        <v>33.6</v>
      </c>
      <c r="AC66" s="90">
        <f>Table27[[#This Row],[Before 20th]]+Table27[[#This Row],[ofter 20th]]</f>
        <v>52</v>
      </c>
      <c r="AD66">
        <f>IF(Table27[[#This Row],[Total Indent]]-Table27[[#This Row],[Total Supplied]]&lt;0,0,Table27[[#This Row],[Total Indent]]-Table27[[#This Row],[Total Supplied]])</f>
        <v>0</v>
      </c>
    </row>
    <row r="67" spans="1:30" x14ac:dyDescent="0.25">
      <c r="A67" s="265" t="s">
        <v>341</v>
      </c>
      <c r="B67" s="265">
        <v>943210</v>
      </c>
      <c r="C67" s="147" t="s">
        <v>342</v>
      </c>
      <c r="D67" s="153" t="s">
        <v>338</v>
      </c>
      <c r="E67" s="147" t="s">
        <v>348</v>
      </c>
      <c r="F67" s="147" t="s">
        <v>340</v>
      </c>
      <c r="G67" s="148">
        <v>57.15</v>
      </c>
      <c r="H67" s="148"/>
      <c r="I67" s="148">
        <v>3</v>
      </c>
      <c r="J67" s="147">
        <v>5650</v>
      </c>
      <c r="K67" s="147">
        <v>5.65</v>
      </c>
      <c r="L67" s="147" t="str">
        <f t="shared" si="5"/>
        <v>57.1535.65ERWFIN CUT</v>
      </c>
      <c r="M67" s="147" t="str">
        <f>VLOOKUP(Table27[[#This Row],[Key]],Table29[[#All],[Key]:[TSL Material Code3]],4,0)</f>
        <v>57.15-0-3-ERW 1-FC</v>
      </c>
      <c r="N67" s="147" t="str">
        <f>VLOOKUP(Table27[[#This Row],[Key]],Table29[[#All],[Key]:[TSL Material Code3]],5,0)</f>
        <v>57.15-0-3-ERW 1-FC-5.65</v>
      </c>
      <c r="O67" s="149" t="str">
        <f>VLOOKUP(Table27[[#This Row],[Key]],Table29[[#All],[Key]:[TSL Material Code3]],7,0)</f>
        <v>056</v>
      </c>
      <c r="P67" s="150">
        <f>VLOOKUP(Table27[[#This Row],[Key]],Table29[[#All],[Key]:[TSL Material Code3]],8,0)</f>
        <v>3501105</v>
      </c>
      <c r="Q67" s="19">
        <v>10</v>
      </c>
      <c r="R67" s="147">
        <v>0</v>
      </c>
      <c r="S67" s="147">
        <v>0</v>
      </c>
      <c r="T67" s="147">
        <v>0</v>
      </c>
      <c r="U67" s="147">
        <f t="shared" ref="U67:U68" si="7">S67-R67</f>
        <v>0</v>
      </c>
      <c r="V67" s="147">
        <v>15</v>
      </c>
      <c r="W67" s="147">
        <f t="shared" si="2"/>
        <v>15</v>
      </c>
      <c r="X67" s="19">
        <f t="shared" si="4"/>
        <v>-5</v>
      </c>
      <c r="Y67" s="167">
        <f t="shared" si="6"/>
        <v>0</v>
      </c>
      <c r="Z67" s="19">
        <f>ROUND(SUMIFS(meghsteelsales_previousmonth[Quantity],meghsteelsales_previousmonth[Length Bucket],Table27[[#This Row],[Bucket CTL]])/1000,0)</f>
        <v>0</v>
      </c>
      <c r="AA67" s="419">
        <f>ROUND(SUMIFS(meghsteelsales_currentmonth[Quantity],meghsteelsales_currentmonth[Length Bucket],Table27[[#This Row],[Bucket CTL]])/1000,0)</f>
        <v>0</v>
      </c>
      <c r="AB67" s="90">
        <f>Table27[[#This Row],[ INDENT  FOR NOV-25 recommended]]+Table27[[#This Row],[order logg ]]</f>
        <v>15</v>
      </c>
      <c r="AC67" s="90">
        <f>Table27[[#This Row],[Before 20th]]+Table27[[#This Row],[ofter 20th]]</f>
        <v>0</v>
      </c>
      <c r="AD67">
        <f>IF(Table27[[#This Row],[Total Indent]]-Table27[[#This Row],[Total Supplied]]&lt;0,0,Table27[[#This Row],[Total Indent]]-Table27[[#This Row],[Total Supplied]])</f>
        <v>15</v>
      </c>
    </row>
    <row r="68" spans="1:30" x14ac:dyDescent="0.25">
      <c r="A68" s="389" t="s">
        <v>10</v>
      </c>
      <c r="B68" s="265">
        <v>943209</v>
      </c>
      <c r="C68" s="285" t="s">
        <v>112</v>
      </c>
      <c r="D68" s="390" t="s">
        <v>338</v>
      </c>
      <c r="E68" s="285" t="s">
        <v>348</v>
      </c>
      <c r="F68" s="285" t="s">
        <v>340</v>
      </c>
      <c r="G68" s="391">
        <v>60.3</v>
      </c>
      <c r="H68" s="391"/>
      <c r="I68" s="391">
        <v>2</v>
      </c>
      <c r="J68" s="285">
        <v>5900</v>
      </c>
      <c r="K68" s="285">
        <v>5.9</v>
      </c>
      <c r="L68" s="147" t="str">
        <f t="shared" si="5"/>
        <v>60.325.9ERWFIN CUT</v>
      </c>
      <c r="M68" s="147" t="str">
        <f>VLOOKUP(Table27[[#This Row],[Key]],Table29[[#All],[Key]:[TSL Material Code3]],4,0)</f>
        <v>60.3-0-2-ERW 1-FC</v>
      </c>
      <c r="N68" s="147" t="str">
        <f>VLOOKUP(Table27[[#This Row],[Key]],Table29[[#All],[Key]:[TSL Material Code3]],5,0)</f>
        <v>60.3-0-2-ERW 1-FC-5.9</v>
      </c>
      <c r="O68" s="149" t="str">
        <f>VLOOKUP(Table27[[#This Row],[Key]],Table29[[#All],[Key]:[TSL Material Code3]],7,0)</f>
        <v>0788</v>
      </c>
      <c r="P68" s="150">
        <f>VLOOKUP(Table27[[#This Row],[Key]],Table29[[#All],[Key]:[TSL Material Code3]],8,0)</f>
        <v>3905049</v>
      </c>
      <c r="Q68" s="392">
        <v>30</v>
      </c>
      <c r="R68" s="285">
        <v>10</v>
      </c>
      <c r="S68" s="285">
        <v>25</v>
      </c>
      <c r="T68" s="285">
        <v>24.28</v>
      </c>
      <c r="U68" s="285">
        <f t="shared" si="7"/>
        <v>15</v>
      </c>
      <c r="V68" s="285"/>
      <c r="W68" s="285">
        <f t="shared" si="2"/>
        <v>15</v>
      </c>
      <c r="X68" s="392">
        <f t="shared" si="4"/>
        <v>15</v>
      </c>
      <c r="Y68" s="422">
        <f t="shared" si="6"/>
        <v>22.5</v>
      </c>
      <c r="Z68" s="19">
        <f>ROUND(SUMIFS(meghsteelsales_previousmonth[Quantity],meghsteelsales_previousmonth[Length Bucket],Table27[[#This Row],[Bucket CTL]])/1000,0)</f>
        <v>42</v>
      </c>
      <c r="AA68" s="419">
        <f>ROUND(SUMIFS(meghsteelsales_currentmonth[Quantity],meghsteelsales_currentmonth[Length Bucket],Table27[[#This Row],[Bucket CTL]])/1000,0)</f>
        <v>15</v>
      </c>
      <c r="AB68" s="90">
        <f>Table27[[#This Row],[ INDENT  FOR NOV-25 recommended]]+Table27[[#This Row],[order logg ]]</f>
        <v>22.5</v>
      </c>
      <c r="AC68" s="90">
        <f>Table27[[#This Row],[Before 20th]]+Table27[[#This Row],[ofter 20th]]</f>
        <v>57</v>
      </c>
      <c r="AD68">
        <f>IF(Table27[[#This Row],[Total Indent]]-Table27[[#This Row],[Total Supplied]]&lt;0,0,Table27[[#This Row],[Total Indent]]-Table27[[#This Row],[Total Supplied]])</f>
        <v>0</v>
      </c>
    </row>
    <row r="69" spans="1:30" x14ac:dyDescent="0.25">
      <c r="I69" s="152" t="s">
        <v>372</v>
      </c>
      <c r="J69" s="152"/>
      <c r="K69" s="152"/>
      <c r="L69" s="152"/>
      <c r="M69" s="152"/>
      <c r="N69" s="152"/>
      <c r="O69" s="197"/>
      <c r="P69" s="152"/>
      <c r="Q69" s="152">
        <f t="shared" ref="Q69:X69" si="8">SUM(R2:R68)</f>
        <v>402</v>
      </c>
      <c r="R69" s="152">
        <f t="shared" si="8"/>
        <v>928.1</v>
      </c>
      <c r="S69" s="152">
        <f t="shared" si="8"/>
        <v>305.52</v>
      </c>
      <c r="T69" s="152">
        <f t="shared" si="8"/>
        <v>530.1</v>
      </c>
      <c r="U69" s="152">
        <f t="shared" si="8"/>
        <v>772.30000000000007</v>
      </c>
      <c r="V69" s="15">
        <f>SUM(V2:V68)</f>
        <v>772.30000000000007</v>
      </c>
      <c r="W69" s="152">
        <f t="shared" si="8"/>
        <v>-64.399999999999949</v>
      </c>
      <c r="X69" s="172">
        <f t="shared" si="8"/>
        <v>714.3</v>
      </c>
      <c r="Y69" s="15">
        <f t="shared" ref="Y69:AD69" si="9">SUM(Y2:Y68)</f>
        <v>714.3</v>
      </c>
      <c r="Z69" s="15">
        <f t="shared" si="9"/>
        <v>608</v>
      </c>
      <c r="AA69" s="15">
        <f t="shared" si="9"/>
        <v>678</v>
      </c>
      <c r="AB69" s="15">
        <f t="shared" si="9"/>
        <v>1486.6</v>
      </c>
      <c r="AC69" s="15">
        <f t="shared" si="9"/>
        <v>1286</v>
      </c>
      <c r="AD69" s="15">
        <f t="shared" si="9"/>
        <v>705.35</v>
      </c>
    </row>
    <row r="70" spans="1:30" x14ac:dyDescent="0.25">
      <c r="O70" s="198"/>
      <c r="W70"/>
      <c r="X70" s="173"/>
    </row>
    <row r="71" spans="1:30" x14ac:dyDescent="0.25">
      <c r="A71" t="s">
        <v>373</v>
      </c>
      <c r="O71" s="198"/>
      <c r="W71"/>
      <c r="X71" s="173"/>
    </row>
    <row r="72" spans="1:30" x14ac:dyDescent="0.25">
      <c r="A72" t="str" cm="1">
        <f t="array" ref="A72:A75">_xlfn._xlws.FILTER(Table27[Key],ISNA(_xlfn.XMATCH(Table27[Key],Table29[Key])))</f>
        <v>25.41.65.84MICRO ALLOYNON FIN</v>
      </c>
      <c r="O72" s="198"/>
      <c r="W72"/>
      <c r="X72" s="173"/>
      <c r="AD72">
        <f>AB69-AD69</f>
        <v>781.24999999999989</v>
      </c>
    </row>
    <row r="73" spans="1:30" x14ac:dyDescent="0.25">
      <c r="A73" t="str">
        <v>38.13.26ERW -2FIN CUT</v>
      </c>
      <c r="O73" s="198"/>
      <c r="W73"/>
      <c r="X73" s="173"/>
      <c r="AD73">
        <f>AC69-AD72</f>
        <v>504.75000000000011</v>
      </c>
    </row>
    <row r="74" spans="1:30" x14ac:dyDescent="0.25">
      <c r="A74" t="str">
        <v>453.5CEW-1FIN CUT</v>
      </c>
      <c r="O74" s="198"/>
      <c r="W74"/>
      <c r="X74" s="173"/>
    </row>
    <row r="75" spans="1:30" x14ac:dyDescent="0.25">
      <c r="A75" t="str">
        <v>5435.91ERWFIN CUT</v>
      </c>
      <c r="O75" s="198"/>
      <c r="W75"/>
      <c r="X75" s="173"/>
    </row>
    <row r="76" spans="1:30" x14ac:dyDescent="0.25">
      <c r="O76" s="198"/>
      <c r="W76"/>
      <c r="X76" s="173"/>
    </row>
    <row r="77" spans="1:30" x14ac:dyDescent="0.25">
      <c r="O77" s="198"/>
      <c r="W77"/>
      <c r="X77" s="173"/>
    </row>
    <row r="78" spans="1:30" x14ac:dyDescent="0.25">
      <c r="A78" t="s">
        <v>322</v>
      </c>
      <c r="B78" t="s">
        <v>2</v>
      </c>
      <c r="C78" t="s">
        <v>312</v>
      </c>
      <c r="D78" t="s">
        <v>316</v>
      </c>
      <c r="E78" t="s">
        <v>317</v>
      </c>
      <c r="F78" t="s">
        <v>318</v>
      </c>
      <c r="G78" t="s">
        <v>319</v>
      </c>
      <c r="H78" t="s">
        <v>320</v>
      </c>
      <c r="I78" t="s">
        <v>323</v>
      </c>
      <c r="J78" t="s">
        <v>332</v>
      </c>
      <c r="K78" t="s">
        <v>313</v>
      </c>
      <c r="L78" t="s">
        <v>314</v>
      </c>
      <c r="M78" t="s">
        <v>374</v>
      </c>
      <c r="N78" t="s">
        <v>375</v>
      </c>
      <c r="O78" s="199" t="s">
        <v>376</v>
      </c>
      <c r="P78" t="s">
        <v>377</v>
      </c>
      <c r="Q78" s="198" t="s">
        <v>378</v>
      </c>
      <c r="W78"/>
      <c r="X78" s="173"/>
    </row>
    <row r="79" spans="1:30" x14ac:dyDescent="0.25">
      <c r="A79" t="s">
        <v>367</v>
      </c>
      <c r="B79" t="s">
        <v>341</v>
      </c>
      <c r="C79">
        <v>943210</v>
      </c>
      <c r="D79">
        <v>19.05</v>
      </c>
      <c r="E79">
        <v>0</v>
      </c>
      <c r="F79">
        <v>1.4</v>
      </c>
      <c r="G79">
        <v>6000</v>
      </c>
      <c r="H79">
        <v>6</v>
      </c>
      <c r="I79">
        <v>3891285</v>
      </c>
      <c r="J79">
        <v>15</v>
      </c>
      <c r="K79" t="s">
        <v>344</v>
      </c>
      <c r="L79" t="s">
        <v>339</v>
      </c>
      <c r="M79" t="e">
        <f>VLOOKUP(I79,[1]!zmat[#All],2,0)</f>
        <v>#REF!</v>
      </c>
      <c r="N79" t="e">
        <f>VLOOKUP(I79,[1]!zmat[#All],21,0)</f>
        <v>#REF!</v>
      </c>
      <c r="O79" s="198" t="e">
        <f>VLOOKUP(I79,[1]!zmat[#All],22,0)</f>
        <v>#REF!</v>
      </c>
      <c r="W79"/>
      <c r="X79" s="173"/>
    </row>
    <row r="80" spans="1:30" x14ac:dyDescent="0.25">
      <c r="A80" t="s">
        <v>367</v>
      </c>
      <c r="B80" t="s">
        <v>341</v>
      </c>
      <c r="C80">
        <v>943210</v>
      </c>
      <c r="D80">
        <v>45</v>
      </c>
      <c r="E80">
        <v>0</v>
      </c>
      <c r="F80">
        <v>3.5</v>
      </c>
      <c r="G80">
        <v>6100</v>
      </c>
      <c r="H80">
        <v>6.1</v>
      </c>
      <c r="I80">
        <v>3500263</v>
      </c>
      <c r="J80">
        <v>17.549999999999997</v>
      </c>
      <c r="K80" t="s">
        <v>366</v>
      </c>
      <c r="L80" t="s">
        <v>348</v>
      </c>
      <c r="M80" t="e">
        <f>VLOOKUP(I80,[1]!zmat[#All],2,0)</f>
        <v>#REF!</v>
      </c>
      <c r="N80" t="e">
        <f>VLOOKUP(I80,[1]!zmat[#All],21,0)</f>
        <v>#REF!</v>
      </c>
      <c r="O80" s="198" t="e">
        <f>VLOOKUP(I80,[1]!zmat[#All],22,0)</f>
        <v>#REF!</v>
      </c>
      <c r="W80"/>
      <c r="X80" s="173"/>
    </row>
    <row r="81" spans="1:24" x14ac:dyDescent="0.25">
      <c r="A81" t="s">
        <v>367</v>
      </c>
      <c r="B81" t="s">
        <v>5</v>
      </c>
      <c r="C81">
        <v>943211</v>
      </c>
      <c r="D81">
        <v>34.93</v>
      </c>
      <c r="E81">
        <v>0</v>
      </c>
      <c r="F81">
        <v>1.2</v>
      </c>
      <c r="G81">
        <v>620</v>
      </c>
      <c r="H81">
        <v>0.62</v>
      </c>
      <c r="I81">
        <v>3499589</v>
      </c>
      <c r="J81">
        <v>20</v>
      </c>
      <c r="K81" t="s">
        <v>338</v>
      </c>
      <c r="L81" t="s">
        <v>348</v>
      </c>
      <c r="M81" t="e">
        <f>VLOOKUP(I81,[1]!zmat[#All],2,0)</f>
        <v>#REF!</v>
      </c>
      <c r="N81" t="e">
        <f>VLOOKUP(I81,[1]!zmat[#All],21,0)</f>
        <v>#REF!</v>
      </c>
      <c r="O81" s="198" t="e">
        <f>VLOOKUP(I81,[1]!zmat[#All],22,0)</f>
        <v>#REF!</v>
      </c>
      <c r="W81"/>
      <c r="X81" s="173"/>
    </row>
    <row r="82" spans="1:24" x14ac:dyDescent="0.25">
      <c r="A82" t="s">
        <v>367</v>
      </c>
      <c r="B82" t="s">
        <v>5</v>
      </c>
      <c r="C82">
        <v>943211</v>
      </c>
      <c r="D82">
        <v>34.93</v>
      </c>
      <c r="E82">
        <v>0</v>
      </c>
      <c r="F82">
        <v>1.2</v>
      </c>
      <c r="G82">
        <v>650</v>
      </c>
      <c r="H82">
        <v>0.65</v>
      </c>
      <c r="I82">
        <v>3499396</v>
      </c>
      <c r="J82">
        <v>20</v>
      </c>
      <c r="K82" t="s">
        <v>338</v>
      </c>
      <c r="L82" t="s">
        <v>348</v>
      </c>
      <c r="M82" t="e">
        <f>VLOOKUP(I82,[1]!zmat[#All],2,0)</f>
        <v>#REF!</v>
      </c>
      <c r="N82" t="e">
        <f>VLOOKUP(I82,[1]!zmat[#All],21,0)</f>
        <v>#REF!</v>
      </c>
      <c r="O82" s="198" t="e">
        <f>VLOOKUP(I82,[1]!zmat[#All],22,0)</f>
        <v>#REF!</v>
      </c>
      <c r="W82"/>
      <c r="X82" s="173"/>
    </row>
    <row r="83" spans="1:24" x14ac:dyDescent="0.25">
      <c r="A83" t="s">
        <v>367</v>
      </c>
      <c r="B83" t="s">
        <v>5</v>
      </c>
      <c r="C83">
        <v>943211</v>
      </c>
      <c r="D83">
        <v>50.8</v>
      </c>
      <c r="E83">
        <v>0</v>
      </c>
      <c r="F83">
        <v>2.6</v>
      </c>
      <c r="G83">
        <v>6000</v>
      </c>
      <c r="H83">
        <v>6</v>
      </c>
      <c r="I83">
        <v>3518437</v>
      </c>
      <c r="J83">
        <v>7.5</v>
      </c>
      <c r="K83" t="s">
        <v>338</v>
      </c>
      <c r="L83" t="s">
        <v>348</v>
      </c>
      <c r="M83" t="e">
        <f>VLOOKUP(I83,[1]!zmat[#All],2,0)</f>
        <v>#REF!</v>
      </c>
      <c r="N83" t="e">
        <f>VLOOKUP(I83,[1]!zmat[#All],21,0)</f>
        <v>#REF!</v>
      </c>
      <c r="O83" s="198" t="e">
        <f>VLOOKUP(I83,[1]!zmat[#All],22,0)</f>
        <v>#REF!</v>
      </c>
      <c r="W83"/>
      <c r="X83" s="173"/>
    </row>
    <row r="84" spans="1:24" x14ac:dyDescent="0.25">
      <c r="A84" t="s">
        <v>367</v>
      </c>
      <c r="B84" t="s">
        <v>5</v>
      </c>
      <c r="C84">
        <v>943211</v>
      </c>
      <c r="D84">
        <v>50.8</v>
      </c>
      <c r="E84">
        <v>45.6</v>
      </c>
      <c r="F84">
        <v>2.6</v>
      </c>
      <c r="G84">
        <v>6000</v>
      </c>
      <c r="H84">
        <v>6</v>
      </c>
      <c r="I84">
        <v>3500695</v>
      </c>
      <c r="J84">
        <v>7.5</v>
      </c>
      <c r="K84" t="s">
        <v>366</v>
      </c>
      <c r="L84" t="s">
        <v>348</v>
      </c>
      <c r="M84" t="e">
        <f>VLOOKUP(I84,[1]!zmat[#All],2,0)</f>
        <v>#REF!</v>
      </c>
      <c r="N84" t="e">
        <f>VLOOKUP(I84,[1]!zmat[#All],21,0)</f>
        <v>#REF!</v>
      </c>
      <c r="O84" s="198" t="e">
        <f>VLOOKUP(I84,[1]!zmat[#All],22,0)</f>
        <v>#REF!</v>
      </c>
      <c r="W84"/>
      <c r="X84" s="173"/>
    </row>
    <row r="85" spans="1:24" x14ac:dyDescent="0.25">
      <c r="A85" t="s">
        <v>367</v>
      </c>
      <c r="B85" t="s">
        <v>10</v>
      </c>
      <c r="C85">
        <v>943209</v>
      </c>
      <c r="D85">
        <v>19.05</v>
      </c>
      <c r="E85">
        <v>0</v>
      </c>
      <c r="F85">
        <v>2</v>
      </c>
      <c r="G85">
        <v>5800</v>
      </c>
      <c r="H85">
        <v>5.8</v>
      </c>
      <c r="I85">
        <v>1940292</v>
      </c>
      <c r="J85">
        <v>52.5</v>
      </c>
      <c r="K85" t="s">
        <v>338</v>
      </c>
      <c r="L85" t="s">
        <v>339</v>
      </c>
      <c r="M85" t="e">
        <f>VLOOKUP(I85,[1]!zmat[#All],2,0)</f>
        <v>#REF!</v>
      </c>
      <c r="N85" t="e">
        <f>VLOOKUP(I85,[1]!zmat[#All],21,0)</f>
        <v>#REF!</v>
      </c>
      <c r="O85" s="198" t="e">
        <f>VLOOKUP(I85,[1]!zmat[#All],22,0)</f>
        <v>#REF!</v>
      </c>
      <c r="W85"/>
      <c r="X85" s="173"/>
    </row>
    <row r="86" spans="1:24" x14ac:dyDescent="0.25">
      <c r="A86" t="s">
        <v>367</v>
      </c>
      <c r="B86" t="s">
        <v>10</v>
      </c>
      <c r="C86">
        <v>943209</v>
      </c>
      <c r="D86">
        <v>22.2</v>
      </c>
      <c r="E86">
        <v>0</v>
      </c>
      <c r="F86">
        <v>1.2</v>
      </c>
      <c r="G86">
        <v>5870</v>
      </c>
      <c r="H86">
        <v>5.87</v>
      </c>
      <c r="I86">
        <v>3882110</v>
      </c>
      <c r="J86">
        <v>40.5</v>
      </c>
      <c r="K86" t="s">
        <v>338</v>
      </c>
      <c r="L86" t="s">
        <v>339</v>
      </c>
      <c r="M86" t="e">
        <f>VLOOKUP(I86,[1]!zmat[#All],2,0)</f>
        <v>#REF!</v>
      </c>
      <c r="N86" t="e">
        <f>VLOOKUP(I86,[1]!zmat[#All],21,0)</f>
        <v>#REF!</v>
      </c>
      <c r="O86" s="198" t="e">
        <f>VLOOKUP(I86,[1]!zmat[#All],22,0)</f>
        <v>#REF!</v>
      </c>
      <c r="W86"/>
      <c r="X86" s="173"/>
    </row>
    <row r="87" spans="1:24" x14ac:dyDescent="0.25">
      <c r="A87" t="s">
        <v>367</v>
      </c>
      <c r="B87" t="s">
        <v>10</v>
      </c>
      <c r="C87">
        <v>943209</v>
      </c>
      <c r="D87">
        <v>22.2</v>
      </c>
      <c r="E87">
        <v>0</v>
      </c>
      <c r="F87">
        <v>2</v>
      </c>
      <c r="G87">
        <v>5950</v>
      </c>
      <c r="H87">
        <v>5.95</v>
      </c>
      <c r="I87">
        <v>3905466</v>
      </c>
      <c r="J87">
        <v>86.399999999999991</v>
      </c>
      <c r="K87" t="s">
        <v>338</v>
      </c>
      <c r="L87" t="s">
        <v>339</v>
      </c>
      <c r="M87" t="e">
        <f>VLOOKUP(I87,[1]!zmat[#All],2,0)</f>
        <v>#REF!</v>
      </c>
      <c r="N87" t="e">
        <f>VLOOKUP(I87,[1]!zmat[#All],21,0)</f>
        <v>#REF!</v>
      </c>
      <c r="O87" s="198" t="e">
        <f>VLOOKUP(I87,[1]!zmat[#All],22,0)</f>
        <v>#REF!</v>
      </c>
      <c r="W87"/>
      <c r="X87" s="173"/>
    </row>
    <row r="88" spans="1:24" x14ac:dyDescent="0.25">
      <c r="A88" t="s">
        <v>367</v>
      </c>
      <c r="B88" t="s">
        <v>10</v>
      </c>
      <c r="C88">
        <v>943209</v>
      </c>
      <c r="D88">
        <v>25.4</v>
      </c>
      <c r="E88">
        <v>0</v>
      </c>
      <c r="F88">
        <v>1.6</v>
      </c>
      <c r="G88">
        <v>6000</v>
      </c>
      <c r="H88">
        <v>6</v>
      </c>
      <c r="I88">
        <v>3500097</v>
      </c>
      <c r="J88">
        <v>9</v>
      </c>
      <c r="K88" t="s">
        <v>338</v>
      </c>
      <c r="L88" t="s">
        <v>339</v>
      </c>
      <c r="M88" t="e">
        <f>VLOOKUP(I88,[1]!zmat[#All],2,0)</f>
        <v>#REF!</v>
      </c>
      <c r="N88" t="e">
        <f>VLOOKUP(I88,[1]!zmat[#All],21,0)</f>
        <v>#REF!</v>
      </c>
      <c r="O88" s="198" t="e">
        <f>VLOOKUP(I88,[1]!zmat[#All],22,0)</f>
        <v>#REF!</v>
      </c>
      <c r="W88"/>
      <c r="X88" s="173"/>
    </row>
    <row r="89" spans="1:24" x14ac:dyDescent="0.25">
      <c r="A89" t="s">
        <v>362</v>
      </c>
      <c r="B89" t="s">
        <v>341</v>
      </c>
      <c r="C89">
        <v>943210</v>
      </c>
      <c r="D89">
        <v>34</v>
      </c>
      <c r="E89">
        <v>0</v>
      </c>
      <c r="F89">
        <v>1.4</v>
      </c>
      <c r="G89">
        <v>5660</v>
      </c>
      <c r="H89">
        <v>5.66</v>
      </c>
      <c r="I89">
        <v>3702855</v>
      </c>
      <c r="J89">
        <v>7.5</v>
      </c>
      <c r="K89" t="s">
        <v>344</v>
      </c>
      <c r="L89" t="s">
        <v>348</v>
      </c>
      <c r="M89" t="e">
        <f>VLOOKUP(I89,[1]!zmat[#All],2,0)</f>
        <v>#REF!</v>
      </c>
      <c r="N89" t="e">
        <f>VLOOKUP(I89,[1]!zmat[#All],21,0)</f>
        <v>#REF!</v>
      </c>
      <c r="O89" s="198" t="e">
        <f>VLOOKUP(I89,[1]!zmat[#All],22,0)</f>
        <v>#REF!</v>
      </c>
      <c r="W89"/>
      <c r="X89" s="173"/>
    </row>
    <row r="90" spans="1:24" x14ac:dyDescent="0.25">
      <c r="A90" t="s">
        <v>362</v>
      </c>
      <c r="B90" t="s">
        <v>5</v>
      </c>
      <c r="C90">
        <v>943211</v>
      </c>
      <c r="D90">
        <v>47.63</v>
      </c>
      <c r="E90">
        <v>0</v>
      </c>
      <c r="F90">
        <v>4</v>
      </c>
      <c r="G90">
        <v>6040</v>
      </c>
      <c r="H90">
        <v>6.04</v>
      </c>
      <c r="I90">
        <v>3500635</v>
      </c>
      <c r="J90">
        <v>13.5</v>
      </c>
      <c r="K90" t="s">
        <v>366</v>
      </c>
      <c r="L90" t="s">
        <v>348</v>
      </c>
      <c r="M90" t="e">
        <f>VLOOKUP(I90,[1]!zmat[#All],2,0)</f>
        <v>#REF!</v>
      </c>
      <c r="N90" t="e">
        <f>VLOOKUP(I90,[1]!zmat[#All],21,0)</f>
        <v>#REF!</v>
      </c>
      <c r="O90" s="198" t="e">
        <f>VLOOKUP(I90,[1]!zmat[#All],22,0)</f>
        <v>#REF!</v>
      </c>
      <c r="W90"/>
      <c r="X90" s="173"/>
    </row>
    <row r="91" spans="1:24" x14ac:dyDescent="0.25">
      <c r="A91" s="47" t="s">
        <v>362</v>
      </c>
      <c r="B91" t="s">
        <v>10</v>
      </c>
      <c r="C91">
        <v>943209</v>
      </c>
      <c r="D91">
        <v>54</v>
      </c>
      <c r="E91">
        <v>0</v>
      </c>
      <c r="F91">
        <v>3</v>
      </c>
      <c r="G91">
        <v>5910</v>
      </c>
      <c r="H91">
        <v>5.91</v>
      </c>
      <c r="I91">
        <v>3500391</v>
      </c>
      <c r="J91">
        <v>15</v>
      </c>
      <c r="K91" t="s">
        <v>338</v>
      </c>
      <c r="L91" t="s">
        <v>348</v>
      </c>
      <c r="M91" t="e">
        <f>VLOOKUP(I91,[1]!zmat[#All],2,0)</f>
        <v>#REF!</v>
      </c>
      <c r="N91" t="e">
        <f>VLOOKUP(I91,[1]!zmat[#All],21,0)</f>
        <v>#REF!</v>
      </c>
      <c r="O91" s="198" t="e">
        <f>VLOOKUP(I91,[1]!zmat[#All],22,0)</f>
        <v>#REF!</v>
      </c>
      <c r="W91"/>
      <c r="X91" s="173"/>
    </row>
    <row r="92" spans="1:24" x14ac:dyDescent="0.25">
      <c r="A92" t="s">
        <v>345</v>
      </c>
      <c r="B92" t="s">
        <v>341</v>
      </c>
      <c r="C92">
        <v>943210</v>
      </c>
      <c r="D92">
        <v>12.7</v>
      </c>
      <c r="E92">
        <v>0</v>
      </c>
      <c r="F92">
        <v>1.6</v>
      </c>
      <c r="G92">
        <v>6000</v>
      </c>
      <c r="H92">
        <v>6</v>
      </c>
      <c r="I92">
        <v>1931154</v>
      </c>
      <c r="J92">
        <v>4.5</v>
      </c>
      <c r="K92" t="s">
        <v>338</v>
      </c>
      <c r="L92" t="s">
        <v>339</v>
      </c>
      <c r="M92" t="e">
        <f>VLOOKUP(I92,[1]!zmat[#All],2,0)</f>
        <v>#REF!</v>
      </c>
      <c r="N92" t="e">
        <f>VLOOKUP(I92,[1]!zmat[#All],21,0)</f>
        <v>#REF!</v>
      </c>
      <c r="O92" s="198" t="e">
        <f>VLOOKUP(I92,[1]!zmat[#All],22,0)</f>
        <v>#REF!</v>
      </c>
    </row>
    <row r="93" spans="1:24" x14ac:dyDescent="0.25">
      <c r="A93" t="s">
        <v>345</v>
      </c>
      <c r="B93" t="s">
        <v>341</v>
      </c>
      <c r="C93">
        <v>943210</v>
      </c>
      <c r="D93">
        <v>15.88</v>
      </c>
      <c r="E93">
        <v>0</v>
      </c>
      <c r="F93">
        <v>1.6</v>
      </c>
      <c r="G93">
        <v>6000</v>
      </c>
      <c r="H93">
        <v>6</v>
      </c>
      <c r="I93">
        <v>1900224</v>
      </c>
      <c r="J93">
        <v>9.75</v>
      </c>
      <c r="K93" t="s">
        <v>338</v>
      </c>
      <c r="L93" t="s">
        <v>339</v>
      </c>
      <c r="M93" t="e">
        <f>VLOOKUP(I93,[1]!zmat[#All],2,0)</f>
        <v>#REF!</v>
      </c>
      <c r="N93" t="e">
        <f>VLOOKUP(I93,[1]!zmat[#All],21,0)</f>
        <v>#REF!</v>
      </c>
      <c r="O93" s="198" t="e">
        <f>VLOOKUP(I93,[1]!zmat[#All],22,0)</f>
        <v>#REF!</v>
      </c>
    </row>
    <row r="94" spans="1:24" x14ac:dyDescent="0.25">
      <c r="A94" t="s">
        <v>345</v>
      </c>
      <c r="B94" t="s">
        <v>341</v>
      </c>
      <c r="C94">
        <v>943210</v>
      </c>
      <c r="D94">
        <v>22.2</v>
      </c>
      <c r="E94">
        <v>0</v>
      </c>
      <c r="F94">
        <v>2</v>
      </c>
      <c r="G94">
        <v>5390</v>
      </c>
      <c r="H94">
        <v>5.39</v>
      </c>
      <c r="I94">
        <v>2431251</v>
      </c>
      <c r="J94">
        <v>22.5</v>
      </c>
      <c r="K94" t="s">
        <v>350</v>
      </c>
      <c r="L94" t="s">
        <v>348</v>
      </c>
      <c r="M94" t="e">
        <f>VLOOKUP(I94,[1]!zmat[#All],2,0)</f>
        <v>#REF!</v>
      </c>
      <c r="N94" t="e">
        <f>VLOOKUP(I94,[1]!zmat[#All],21,0)</f>
        <v>#REF!</v>
      </c>
      <c r="O94" s="198" t="e">
        <f>VLOOKUP(I94,[1]!zmat[#All],22,0)</f>
        <v>#REF!</v>
      </c>
    </row>
    <row r="95" spans="1:24" x14ac:dyDescent="0.25">
      <c r="A95" t="s">
        <v>345</v>
      </c>
      <c r="B95" t="s">
        <v>341</v>
      </c>
      <c r="C95">
        <v>943210</v>
      </c>
      <c r="D95">
        <v>25.4</v>
      </c>
      <c r="E95">
        <v>0</v>
      </c>
      <c r="F95">
        <v>1.4</v>
      </c>
      <c r="G95">
        <v>6060</v>
      </c>
      <c r="H95">
        <v>6.06</v>
      </c>
      <c r="I95">
        <v>3557792</v>
      </c>
      <c r="J95">
        <v>45</v>
      </c>
      <c r="K95" t="s">
        <v>338</v>
      </c>
      <c r="L95" t="s">
        <v>348</v>
      </c>
      <c r="M95" t="e">
        <f>VLOOKUP(I95,[1]!zmat[#All],2,0)</f>
        <v>#REF!</v>
      </c>
      <c r="N95" t="e">
        <f>VLOOKUP(I95,[1]!zmat[#All],21,0)</f>
        <v>#REF!</v>
      </c>
      <c r="O95" s="198" t="e">
        <f>VLOOKUP(I95,[1]!zmat[#All],22,0)</f>
        <v>#REF!</v>
      </c>
    </row>
    <row r="96" spans="1:24" x14ac:dyDescent="0.25">
      <c r="A96" t="s">
        <v>345</v>
      </c>
      <c r="B96" t="s">
        <v>341</v>
      </c>
      <c r="C96">
        <v>943210</v>
      </c>
      <c r="D96">
        <v>48.6</v>
      </c>
      <c r="E96">
        <v>0</v>
      </c>
      <c r="F96">
        <v>3.5</v>
      </c>
      <c r="G96">
        <v>6000</v>
      </c>
      <c r="H96">
        <v>6</v>
      </c>
      <c r="I96">
        <v>3502422</v>
      </c>
      <c r="J96">
        <v>33</v>
      </c>
      <c r="K96" t="s">
        <v>338</v>
      </c>
      <c r="L96" t="s">
        <v>348</v>
      </c>
      <c r="M96" t="e">
        <f>VLOOKUP(I96,[1]!zmat[#All],2,0)</f>
        <v>#REF!</v>
      </c>
      <c r="N96" t="e">
        <f>VLOOKUP(I96,[1]!zmat[#All],21,0)</f>
        <v>#REF!</v>
      </c>
      <c r="O96" s="198" t="e">
        <f>VLOOKUP(I96,[1]!zmat[#All],22,0)</f>
        <v>#REF!</v>
      </c>
    </row>
    <row r="97" spans="1:15" x14ac:dyDescent="0.25">
      <c r="A97" t="s">
        <v>345</v>
      </c>
      <c r="B97" t="s">
        <v>5</v>
      </c>
      <c r="C97">
        <v>943211</v>
      </c>
      <c r="D97">
        <v>31.75</v>
      </c>
      <c r="E97">
        <v>0</v>
      </c>
      <c r="F97">
        <v>2.2999999999999998</v>
      </c>
      <c r="G97">
        <v>5920</v>
      </c>
      <c r="H97">
        <v>5.92</v>
      </c>
      <c r="I97" t="s">
        <v>379</v>
      </c>
      <c r="J97">
        <v>3</v>
      </c>
      <c r="K97" t="s">
        <v>338</v>
      </c>
      <c r="L97" t="s">
        <v>348</v>
      </c>
      <c r="M97" t="e">
        <f>VLOOKUP(I97,[1]!zmat[#All],2,0)</f>
        <v>#REF!</v>
      </c>
      <c r="N97" t="e">
        <f>VLOOKUP(I97,[1]!zmat[#All],21,0)</f>
        <v>#REF!</v>
      </c>
      <c r="O97" s="198" t="e">
        <f>VLOOKUP(I97,[1]!zmat[#All],22,0)</f>
        <v>#REF!</v>
      </c>
    </row>
    <row r="98" spans="1:15" x14ac:dyDescent="0.25">
      <c r="A98" t="s">
        <v>345</v>
      </c>
      <c r="B98" t="s">
        <v>5</v>
      </c>
      <c r="C98">
        <v>943211</v>
      </c>
      <c r="D98">
        <v>48</v>
      </c>
      <c r="E98">
        <v>0</v>
      </c>
      <c r="F98">
        <v>1.2</v>
      </c>
      <c r="G98">
        <v>620</v>
      </c>
      <c r="H98">
        <v>0.62</v>
      </c>
      <c r="I98">
        <v>2397072</v>
      </c>
      <c r="J98">
        <v>15</v>
      </c>
      <c r="K98" t="s">
        <v>338</v>
      </c>
      <c r="L98" t="s">
        <v>348</v>
      </c>
      <c r="M98" t="e">
        <f>VLOOKUP(I98,[1]!zmat[#All],2,0)</f>
        <v>#REF!</v>
      </c>
      <c r="N98" t="e">
        <f>VLOOKUP(I98,[1]!zmat[#All],21,0)</f>
        <v>#REF!</v>
      </c>
      <c r="O98" s="198" t="e">
        <f>VLOOKUP(I98,[1]!zmat[#All],22,0)</f>
        <v>#REF!</v>
      </c>
    </row>
    <row r="99" spans="1:15" x14ac:dyDescent="0.25">
      <c r="A99" t="s">
        <v>345</v>
      </c>
      <c r="B99" t="s">
        <v>5</v>
      </c>
      <c r="C99">
        <v>943211</v>
      </c>
      <c r="D99">
        <v>48</v>
      </c>
      <c r="E99">
        <v>0</v>
      </c>
      <c r="F99">
        <v>1.2</v>
      </c>
      <c r="G99">
        <v>650</v>
      </c>
      <c r="H99">
        <v>0.65</v>
      </c>
      <c r="I99">
        <v>2397060</v>
      </c>
      <c r="J99">
        <v>21</v>
      </c>
      <c r="K99" t="s">
        <v>338</v>
      </c>
      <c r="L99" t="s">
        <v>348</v>
      </c>
      <c r="M99" t="e">
        <f>VLOOKUP(I99,[1]!zmat[#All],2,0)</f>
        <v>#REF!</v>
      </c>
      <c r="N99" t="e">
        <f>VLOOKUP(I99,[1]!zmat[#All],21,0)</f>
        <v>#REF!</v>
      </c>
      <c r="O99" s="198" t="e">
        <f>VLOOKUP(I99,[1]!zmat[#All],22,0)</f>
        <v>#REF!</v>
      </c>
    </row>
    <row r="100" spans="1:15" x14ac:dyDescent="0.25">
      <c r="A100" t="s">
        <v>345</v>
      </c>
      <c r="B100" t="s">
        <v>5</v>
      </c>
      <c r="C100">
        <v>943211</v>
      </c>
      <c r="D100" t="s">
        <v>368</v>
      </c>
      <c r="E100">
        <v>0</v>
      </c>
      <c r="F100">
        <v>1.6</v>
      </c>
      <c r="G100">
        <v>572.5</v>
      </c>
      <c r="H100">
        <v>0.57250000000000001</v>
      </c>
      <c r="I100">
        <v>2420716</v>
      </c>
      <c r="J100">
        <v>45</v>
      </c>
      <c r="K100" t="s">
        <v>338</v>
      </c>
      <c r="L100" t="s">
        <v>348</v>
      </c>
      <c r="M100" t="e">
        <f>VLOOKUP(I100,[1]!zmat[#All],2,0)</f>
        <v>#REF!</v>
      </c>
      <c r="N100" t="e">
        <f>VLOOKUP(I100,[1]!zmat[#All],21,0)</f>
        <v>#REF!</v>
      </c>
      <c r="O100" s="198" t="e">
        <f>VLOOKUP(I100,[1]!zmat[#All],22,0)</f>
        <v>#REF!</v>
      </c>
    </row>
    <row r="101" spans="1:15" x14ac:dyDescent="0.25">
      <c r="A101" t="s">
        <v>345</v>
      </c>
      <c r="B101" t="s">
        <v>10</v>
      </c>
      <c r="C101">
        <v>943209</v>
      </c>
      <c r="D101">
        <v>12.7</v>
      </c>
      <c r="E101">
        <v>0</v>
      </c>
      <c r="F101">
        <v>1.2</v>
      </c>
      <c r="G101">
        <v>6000</v>
      </c>
      <c r="H101">
        <v>6</v>
      </c>
      <c r="I101">
        <v>1939985</v>
      </c>
      <c r="J101">
        <v>10</v>
      </c>
      <c r="K101" t="s">
        <v>338</v>
      </c>
      <c r="L101" t="s">
        <v>339</v>
      </c>
      <c r="M101" t="e">
        <f>VLOOKUP(I101,[1]!zmat[#All],2,0)</f>
        <v>#REF!</v>
      </c>
      <c r="N101" t="e">
        <f>VLOOKUP(I101,[1]!zmat[#All],21,0)</f>
        <v>#REF!</v>
      </c>
      <c r="O101" s="198" t="e">
        <f>VLOOKUP(I101,[1]!zmat[#All],22,0)</f>
        <v>#REF!</v>
      </c>
    </row>
    <row r="102" spans="1:15" x14ac:dyDescent="0.25">
      <c r="A102" t="s">
        <v>345</v>
      </c>
      <c r="B102" t="s">
        <v>10</v>
      </c>
      <c r="C102">
        <v>943209</v>
      </c>
      <c r="D102">
        <v>18.2</v>
      </c>
      <c r="E102">
        <v>0</v>
      </c>
      <c r="F102">
        <v>1</v>
      </c>
      <c r="G102">
        <v>6000</v>
      </c>
      <c r="H102">
        <v>6</v>
      </c>
      <c r="I102">
        <v>2288945</v>
      </c>
      <c r="J102">
        <v>9.2999999999999989</v>
      </c>
      <c r="K102" t="s">
        <v>338</v>
      </c>
      <c r="L102" t="s">
        <v>339</v>
      </c>
      <c r="M102" t="e">
        <f>VLOOKUP(I102,[1]!zmat[#All],2,0)</f>
        <v>#REF!</v>
      </c>
      <c r="N102" t="e">
        <f>VLOOKUP(I102,[1]!zmat[#All],21,0)</f>
        <v>#REF!</v>
      </c>
      <c r="O102" s="198" t="e">
        <f>VLOOKUP(I102,[1]!zmat[#All],22,0)</f>
        <v>#REF!</v>
      </c>
    </row>
    <row r="103" spans="1:15" x14ac:dyDescent="0.25">
      <c r="A103" t="s">
        <v>345</v>
      </c>
      <c r="B103" t="s">
        <v>10</v>
      </c>
      <c r="C103">
        <v>943209</v>
      </c>
      <c r="D103">
        <v>22.2</v>
      </c>
      <c r="E103">
        <v>0</v>
      </c>
      <c r="F103">
        <v>1.6</v>
      </c>
      <c r="G103">
        <v>5270</v>
      </c>
      <c r="H103">
        <v>5.27</v>
      </c>
      <c r="I103">
        <v>3575894</v>
      </c>
      <c r="J103">
        <v>60</v>
      </c>
      <c r="K103" t="s">
        <v>338</v>
      </c>
      <c r="L103" t="s">
        <v>339</v>
      </c>
      <c r="M103" t="e">
        <f>VLOOKUP(I103,[1]!zmat[#All],2,0)</f>
        <v>#REF!</v>
      </c>
      <c r="N103" t="e">
        <f>VLOOKUP(I103,[1]!zmat[#All],21,0)</f>
        <v>#REF!</v>
      </c>
      <c r="O103" s="198" t="e">
        <f>VLOOKUP(I103,[1]!zmat[#All],22,0)</f>
        <v>#REF!</v>
      </c>
    </row>
    <row r="104" spans="1:15" x14ac:dyDescent="0.25">
      <c r="A104" t="s">
        <v>345</v>
      </c>
      <c r="B104" t="s">
        <v>10</v>
      </c>
      <c r="C104">
        <v>943209</v>
      </c>
      <c r="D104">
        <v>22.2</v>
      </c>
      <c r="E104">
        <v>0</v>
      </c>
      <c r="F104">
        <v>1.6</v>
      </c>
      <c r="G104">
        <v>5670</v>
      </c>
      <c r="H104">
        <v>5.67</v>
      </c>
      <c r="I104">
        <v>3570690</v>
      </c>
      <c r="J104">
        <v>21.599999999999998</v>
      </c>
      <c r="K104" t="s">
        <v>338</v>
      </c>
      <c r="L104" t="s">
        <v>339</v>
      </c>
      <c r="M104" t="e">
        <f>VLOOKUP(I104,[1]!zmat[#All],2,0)</f>
        <v>#REF!</v>
      </c>
      <c r="N104" t="e">
        <f>VLOOKUP(I104,[1]!zmat[#All],21,0)</f>
        <v>#REF!</v>
      </c>
      <c r="O104" s="198" t="e">
        <f>VLOOKUP(I104,[1]!zmat[#All],22,0)</f>
        <v>#REF!</v>
      </c>
    </row>
    <row r="105" spans="1:15" x14ac:dyDescent="0.25">
      <c r="A105" t="s">
        <v>345</v>
      </c>
      <c r="B105" t="s">
        <v>10</v>
      </c>
      <c r="C105">
        <v>943209</v>
      </c>
      <c r="D105">
        <v>25.4</v>
      </c>
      <c r="E105">
        <v>0</v>
      </c>
      <c r="F105">
        <v>2</v>
      </c>
      <c r="G105">
        <v>6050</v>
      </c>
      <c r="H105">
        <v>6.05</v>
      </c>
      <c r="I105">
        <v>4055021</v>
      </c>
      <c r="J105">
        <v>10.5</v>
      </c>
      <c r="K105" t="s">
        <v>338</v>
      </c>
      <c r="L105" t="s">
        <v>339</v>
      </c>
      <c r="M105" t="e">
        <f>VLOOKUP(I105,[1]!zmat[#All],2,0)</f>
        <v>#REF!</v>
      </c>
      <c r="N105" t="e">
        <f>VLOOKUP(I105,[1]!zmat[#All],21,0)</f>
        <v>#REF!</v>
      </c>
      <c r="O105" s="198" t="e">
        <f>VLOOKUP(I105,[1]!zmat[#All],22,0)</f>
        <v>#REF!</v>
      </c>
    </row>
    <row r="106" spans="1:15" x14ac:dyDescent="0.25">
      <c r="A106" t="s">
        <v>345</v>
      </c>
      <c r="B106" t="s">
        <v>10</v>
      </c>
      <c r="C106">
        <v>943209</v>
      </c>
      <c r="D106">
        <v>41.28</v>
      </c>
      <c r="E106">
        <v>0</v>
      </c>
      <c r="F106">
        <v>2.6</v>
      </c>
      <c r="G106">
        <v>6000</v>
      </c>
      <c r="H106">
        <v>6</v>
      </c>
      <c r="I106">
        <v>3974563</v>
      </c>
      <c r="J106">
        <v>19.950000000000003</v>
      </c>
      <c r="K106" t="s">
        <v>338</v>
      </c>
      <c r="L106" t="s">
        <v>348</v>
      </c>
      <c r="M106" t="e">
        <f>VLOOKUP(I106,[1]!zmat[#All],2,0)</f>
        <v>#REF!</v>
      </c>
      <c r="N106" t="e">
        <f>VLOOKUP(I106,[1]!zmat[#All],21,0)</f>
        <v>#REF!</v>
      </c>
      <c r="O106" s="198" t="e">
        <f>VLOOKUP(I106,[1]!zmat[#All],22,0)</f>
        <v>#REF!</v>
      </c>
    </row>
    <row r="107" spans="1:15" x14ac:dyDescent="0.25">
      <c r="A107" t="s">
        <v>345</v>
      </c>
      <c r="B107" t="s">
        <v>10</v>
      </c>
      <c r="C107">
        <v>943209</v>
      </c>
      <c r="D107" t="s">
        <v>363</v>
      </c>
      <c r="E107">
        <v>0</v>
      </c>
      <c r="F107">
        <v>1.6</v>
      </c>
      <c r="G107">
        <v>5900</v>
      </c>
      <c r="H107">
        <v>6.13</v>
      </c>
      <c r="I107">
        <v>3919144</v>
      </c>
      <c r="J107">
        <v>10</v>
      </c>
      <c r="K107" t="s">
        <v>338</v>
      </c>
      <c r="L107" t="s">
        <v>348</v>
      </c>
      <c r="M107" t="e">
        <f>VLOOKUP(I107,[1]!zmat[#All],2,0)</f>
        <v>#REF!</v>
      </c>
      <c r="N107" t="e">
        <f>VLOOKUP(I107,[1]!zmat[#All],21,0)</f>
        <v>#REF!</v>
      </c>
      <c r="O107" s="198" t="e">
        <f>VLOOKUP(I107,[1]!zmat[#All],22,0)</f>
        <v>#REF!</v>
      </c>
    </row>
    <row r="108" spans="1:15" x14ac:dyDescent="0.25">
      <c r="A108" t="s">
        <v>345</v>
      </c>
      <c r="B108" t="s">
        <v>10</v>
      </c>
      <c r="C108">
        <v>943209</v>
      </c>
      <c r="D108" t="s">
        <v>368</v>
      </c>
      <c r="E108">
        <v>0</v>
      </c>
      <c r="F108">
        <v>1.6</v>
      </c>
      <c r="G108">
        <v>6000</v>
      </c>
      <c r="H108">
        <v>6</v>
      </c>
      <c r="I108">
        <v>1940925</v>
      </c>
      <c r="J108">
        <v>10</v>
      </c>
      <c r="K108" t="s">
        <v>338</v>
      </c>
      <c r="L108" t="s">
        <v>348</v>
      </c>
      <c r="M108" t="e">
        <f>VLOOKUP(I108,[1]!zmat[#All],2,0)</f>
        <v>#REF!</v>
      </c>
      <c r="N108" t="e">
        <f>VLOOKUP(I108,[1]!zmat[#All],21,0)</f>
        <v>#REF!</v>
      </c>
      <c r="O108" s="198" t="e">
        <f>VLOOKUP(I108,[1]!zmat[#All],22,0)</f>
        <v>#REF!</v>
      </c>
    </row>
  </sheetData>
  <conditionalFormatting sqref="L2:N68">
    <cfRule type="duplicateValues" dxfId="76" priority="497"/>
  </conditionalFormatting>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rgb="FFFFC000"/>
  </sheetPr>
  <dimension ref="A1:K1827"/>
  <sheetViews>
    <sheetView workbookViewId="0">
      <selection activeCell="F1" sqref="F1"/>
    </sheetView>
  </sheetViews>
  <sheetFormatPr defaultRowHeight="15" x14ac:dyDescent="0.25"/>
  <cols>
    <col min="1" max="1" width="16.7109375" bestFit="1" customWidth="1"/>
    <col min="2" max="2" width="37.7109375" bestFit="1" customWidth="1"/>
    <col min="3" max="3" width="13.7109375" bestFit="1" customWidth="1"/>
    <col min="4" max="4" width="11" bestFit="1" customWidth="1"/>
    <col min="5" max="5" width="25.140625" bestFit="1" customWidth="1"/>
    <col min="6" max="6" width="21" bestFit="1" customWidth="1"/>
    <col min="7" max="7" width="31.140625" bestFit="1" customWidth="1"/>
    <col min="8" max="8" width="11" bestFit="1" customWidth="1"/>
    <col min="9" max="9" width="42.7109375" bestFit="1" customWidth="1"/>
    <col min="10" max="10" width="16.85546875" bestFit="1" customWidth="1"/>
    <col min="11" max="11" width="36.5703125" bestFit="1" customWidth="1"/>
    <col min="12" max="12" width="16.85546875" bestFit="1" customWidth="1"/>
  </cols>
  <sheetData>
    <row r="1" spans="1:11" x14ac:dyDescent="0.25">
      <c r="A1" t="s">
        <v>380</v>
      </c>
      <c r="B1" t="s">
        <v>381</v>
      </c>
      <c r="C1" t="s">
        <v>382</v>
      </c>
      <c r="D1" t="s">
        <v>383</v>
      </c>
      <c r="E1" t="s">
        <v>384</v>
      </c>
      <c r="F1" t="s">
        <v>385</v>
      </c>
      <c r="G1" t="s">
        <v>386</v>
      </c>
      <c r="H1" t="s">
        <v>387</v>
      </c>
      <c r="I1" t="s">
        <v>388</v>
      </c>
      <c r="J1" t="s">
        <v>389</v>
      </c>
      <c r="K1" t="s">
        <v>390</v>
      </c>
    </row>
    <row r="2" spans="1:11" x14ac:dyDescent="0.25">
      <c r="A2" t="s">
        <v>391</v>
      </c>
      <c r="B2" t="s">
        <v>71</v>
      </c>
      <c r="C2" t="s">
        <v>392</v>
      </c>
      <c r="D2">
        <v>158</v>
      </c>
      <c r="E2">
        <v>701.80499999999995</v>
      </c>
      <c r="F2">
        <v>3995629</v>
      </c>
      <c r="G2" t="s">
        <v>393</v>
      </c>
      <c r="H2">
        <v>1940</v>
      </c>
      <c r="I2" t="s">
        <v>394</v>
      </c>
      <c r="J2" t="s">
        <v>10</v>
      </c>
      <c r="K2" t="s">
        <v>395</v>
      </c>
    </row>
    <row r="3" spans="1:11" x14ac:dyDescent="0.25">
      <c r="A3" t="s">
        <v>391</v>
      </c>
      <c r="B3" t="s">
        <v>71</v>
      </c>
      <c r="C3" t="s">
        <v>392</v>
      </c>
      <c r="D3">
        <v>152</v>
      </c>
      <c r="E3">
        <v>675.39700000000005</v>
      </c>
      <c r="F3">
        <v>3995629</v>
      </c>
      <c r="G3" t="s">
        <v>393</v>
      </c>
      <c r="H3">
        <v>1867</v>
      </c>
      <c r="I3" t="s">
        <v>394</v>
      </c>
      <c r="J3" t="s">
        <v>10</v>
      </c>
      <c r="K3" t="s">
        <v>395</v>
      </c>
    </row>
    <row r="4" spans="1:11" x14ac:dyDescent="0.25">
      <c r="A4" t="s">
        <v>391</v>
      </c>
      <c r="B4" t="s">
        <v>71</v>
      </c>
      <c r="C4" t="s">
        <v>392</v>
      </c>
      <c r="D4">
        <v>157</v>
      </c>
      <c r="E4">
        <v>697.46400000000006</v>
      </c>
      <c r="F4">
        <v>3995629</v>
      </c>
      <c r="G4" t="s">
        <v>393</v>
      </c>
      <c r="H4">
        <v>1928</v>
      </c>
      <c r="I4" t="s">
        <v>394</v>
      </c>
      <c r="J4" t="s">
        <v>10</v>
      </c>
      <c r="K4" t="s">
        <v>395</v>
      </c>
    </row>
    <row r="5" spans="1:11" x14ac:dyDescent="0.25">
      <c r="A5" t="s">
        <v>391</v>
      </c>
      <c r="B5" t="s">
        <v>71</v>
      </c>
      <c r="C5" t="s">
        <v>392</v>
      </c>
      <c r="D5">
        <v>148</v>
      </c>
      <c r="E5">
        <v>655.86199999999997</v>
      </c>
      <c r="F5">
        <v>3995629</v>
      </c>
      <c r="G5" t="s">
        <v>393</v>
      </c>
      <c r="H5">
        <v>1813</v>
      </c>
      <c r="I5" t="s">
        <v>394</v>
      </c>
      <c r="J5" t="s">
        <v>10</v>
      </c>
      <c r="K5" t="s">
        <v>395</v>
      </c>
    </row>
    <row r="6" spans="1:11" x14ac:dyDescent="0.25">
      <c r="A6" t="s">
        <v>391</v>
      </c>
      <c r="B6" t="s">
        <v>71</v>
      </c>
      <c r="C6" t="s">
        <v>392</v>
      </c>
      <c r="D6">
        <v>169</v>
      </c>
      <c r="E6">
        <v>750.64200000000005</v>
      </c>
      <c r="F6">
        <v>3995629</v>
      </c>
      <c r="G6" t="s">
        <v>393</v>
      </c>
      <c r="H6">
        <v>2075</v>
      </c>
      <c r="I6" t="s">
        <v>394</v>
      </c>
      <c r="J6" t="s">
        <v>10</v>
      </c>
      <c r="K6" t="s">
        <v>395</v>
      </c>
    </row>
    <row r="7" spans="1:11" x14ac:dyDescent="0.25">
      <c r="A7" t="s">
        <v>396</v>
      </c>
      <c r="B7" t="s">
        <v>61</v>
      </c>
      <c r="C7" t="s">
        <v>397</v>
      </c>
      <c r="D7">
        <v>23</v>
      </c>
      <c r="E7">
        <v>6.4189999999999996</v>
      </c>
      <c r="F7">
        <v>1939963</v>
      </c>
      <c r="G7" t="s">
        <v>398</v>
      </c>
      <c r="H7">
        <v>2.1850000000000001</v>
      </c>
      <c r="I7" t="s">
        <v>399</v>
      </c>
      <c r="J7" t="s">
        <v>10</v>
      </c>
      <c r="K7" t="s">
        <v>400</v>
      </c>
    </row>
    <row r="8" spans="1:11" x14ac:dyDescent="0.25">
      <c r="A8" t="s">
        <v>396</v>
      </c>
      <c r="B8" t="s">
        <v>61</v>
      </c>
      <c r="C8" t="s">
        <v>397</v>
      </c>
      <c r="D8">
        <v>2589</v>
      </c>
      <c r="E8">
        <v>722.54700000000003</v>
      </c>
      <c r="F8">
        <v>1939963</v>
      </c>
      <c r="G8" t="s">
        <v>398</v>
      </c>
      <c r="H8">
        <v>245.95500000000001</v>
      </c>
      <c r="I8" t="s">
        <v>399</v>
      </c>
      <c r="J8" t="s">
        <v>10</v>
      </c>
      <c r="K8" t="s">
        <v>400</v>
      </c>
    </row>
    <row r="9" spans="1:11" x14ac:dyDescent="0.25">
      <c r="A9" t="s">
        <v>396</v>
      </c>
      <c r="B9" t="s">
        <v>61</v>
      </c>
      <c r="C9" t="s">
        <v>397</v>
      </c>
      <c r="D9">
        <v>9088</v>
      </c>
      <c r="E9">
        <v>2536.31</v>
      </c>
      <c r="F9">
        <v>1939963</v>
      </c>
      <c r="G9" t="s">
        <v>398</v>
      </c>
      <c r="H9">
        <v>863.36</v>
      </c>
      <c r="I9" t="s">
        <v>399</v>
      </c>
      <c r="J9" t="s">
        <v>10</v>
      </c>
      <c r="K9" t="s">
        <v>400</v>
      </c>
    </row>
    <row r="10" spans="1:11" x14ac:dyDescent="0.25">
      <c r="A10" t="s">
        <v>396</v>
      </c>
      <c r="B10" t="s">
        <v>61</v>
      </c>
      <c r="C10" t="s">
        <v>397</v>
      </c>
      <c r="D10">
        <v>3000</v>
      </c>
      <c r="E10">
        <v>837.25</v>
      </c>
      <c r="F10">
        <v>1939963</v>
      </c>
      <c r="G10" t="s">
        <v>398</v>
      </c>
      <c r="H10">
        <v>285</v>
      </c>
      <c r="I10" t="s">
        <v>399</v>
      </c>
      <c r="J10" t="s">
        <v>10</v>
      </c>
      <c r="K10" t="s">
        <v>400</v>
      </c>
    </row>
    <row r="11" spans="1:11" x14ac:dyDescent="0.25">
      <c r="A11" t="s">
        <v>396</v>
      </c>
      <c r="B11" t="s">
        <v>61</v>
      </c>
      <c r="C11" t="s">
        <v>397</v>
      </c>
      <c r="D11">
        <v>8000</v>
      </c>
      <c r="E11">
        <v>2232.6669999999999</v>
      </c>
      <c r="F11">
        <v>1939963</v>
      </c>
      <c r="G11" t="s">
        <v>398</v>
      </c>
      <c r="H11">
        <v>760</v>
      </c>
      <c r="I11" t="s">
        <v>399</v>
      </c>
      <c r="J11" t="s">
        <v>10</v>
      </c>
      <c r="K11" t="s">
        <v>400</v>
      </c>
    </row>
    <row r="12" spans="1:11" x14ac:dyDescent="0.25">
      <c r="A12" t="s">
        <v>401</v>
      </c>
      <c r="B12" t="s">
        <v>17</v>
      </c>
      <c r="C12" t="s">
        <v>397</v>
      </c>
      <c r="D12">
        <v>5194</v>
      </c>
      <c r="E12">
        <v>2120.9340000000002</v>
      </c>
      <c r="F12">
        <v>1939966</v>
      </c>
      <c r="G12" t="s">
        <v>398</v>
      </c>
      <c r="H12">
        <v>721.96600000000001</v>
      </c>
      <c r="I12" t="s">
        <v>402</v>
      </c>
      <c r="J12" t="s">
        <v>10</v>
      </c>
      <c r="K12" t="s">
        <v>403</v>
      </c>
    </row>
    <row r="13" spans="1:11" x14ac:dyDescent="0.25">
      <c r="A13" t="s">
        <v>401</v>
      </c>
      <c r="B13" t="s">
        <v>17</v>
      </c>
      <c r="C13" t="s">
        <v>397</v>
      </c>
      <c r="D13">
        <v>2206</v>
      </c>
      <c r="E13">
        <v>900.80499999999995</v>
      </c>
      <c r="F13">
        <v>1939966</v>
      </c>
      <c r="G13" t="s">
        <v>398</v>
      </c>
      <c r="H13">
        <v>306.63400000000001</v>
      </c>
      <c r="I13" t="s">
        <v>402</v>
      </c>
      <c r="J13" t="s">
        <v>10</v>
      </c>
      <c r="K13" t="s">
        <v>403</v>
      </c>
    </row>
    <row r="14" spans="1:11" x14ac:dyDescent="0.25">
      <c r="A14" t="s">
        <v>401</v>
      </c>
      <c r="B14" t="s">
        <v>17</v>
      </c>
      <c r="C14" t="s">
        <v>397</v>
      </c>
      <c r="D14">
        <v>2563</v>
      </c>
      <c r="E14">
        <v>1046.5830000000001</v>
      </c>
      <c r="F14">
        <v>1939966</v>
      </c>
      <c r="G14" t="s">
        <v>398</v>
      </c>
      <c r="H14">
        <v>356.25700000000001</v>
      </c>
      <c r="I14" t="s">
        <v>402</v>
      </c>
      <c r="J14" t="s">
        <v>10</v>
      </c>
      <c r="K14" t="s">
        <v>403</v>
      </c>
    </row>
    <row r="15" spans="1:11" x14ac:dyDescent="0.25">
      <c r="A15" t="s">
        <v>401</v>
      </c>
      <c r="B15" t="s">
        <v>17</v>
      </c>
      <c r="C15" t="s">
        <v>397</v>
      </c>
      <c r="D15">
        <v>32</v>
      </c>
      <c r="E15">
        <v>13.067</v>
      </c>
      <c r="F15">
        <v>1939966</v>
      </c>
      <c r="G15" t="s">
        <v>398</v>
      </c>
      <c r="H15">
        <v>4.4480000000000004</v>
      </c>
      <c r="I15" t="s">
        <v>402</v>
      </c>
      <c r="J15" t="s">
        <v>10</v>
      </c>
      <c r="K15" t="s">
        <v>403</v>
      </c>
    </row>
    <row r="16" spans="1:11" x14ac:dyDescent="0.25">
      <c r="A16" t="s">
        <v>401</v>
      </c>
      <c r="B16" t="s">
        <v>17</v>
      </c>
      <c r="C16" t="s">
        <v>397</v>
      </c>
      <c r="D16">
        <v>2005</v>
      </c>
      <c r="E16">
        <v>818.72799999999995</v>
      </c>
      <c r="F16">
        <v>1939966</v>
      </c>
      <c r="G16" t="s">
        <v>398</v>
      </c>
      <c r="H16">
        <v>278.69499999999999</v>
      </c>
      <c r="I16" t="s">
        <v>402</v>
      </c>
      <c r="J16" t="s">
        <v>10</v>
      </c>
      <c r="K16" t="s">
        <v>403</v>
      </c>
    </row>
    <row r="17" spans="1:11" x14ac:dyDescent="0.25">
      <c r="A17" t="s">
        <v>401</v>
      </c>
      <c r="B17" t="s">
        <v>17</v>
      </c>
      <c r="C17" t="s">
        <v>397</v>
      </c>
      <c r="D17">
        <v>196</v>
      </c>
      <c r="E17">
        <v>80.034999999999997</v>
      </c>
      <c r="F17">
        <v>1939966</v>
      </c>
      <c r="G17" t="s">
        <v>398</v>
      </c>
      <c r="H17">
        <v>27.244</v>
      </c>
      <c r="I17" t="s">
        <v>402</v>
      </c>
      <c r="J17" t="s">
        <v>10</v>
      </c>
      <c r="K17" t="s">
        <v>403</v>
      </c>
    </row>
    <row r="18" spans="1:11" x14ac:dyDescent="0.25">
      <c r="A18" t="s">
        <v>401</v>
      </c>
      <c r="B18" t="s">
        <v>17</v>
      </c>
      <c r="C18" t="s">
        <v>397</v>
      </c>
      <c r="D18">
        <v>1985</v>
      </c>
      <c r="E18">
        <v>810.56100000000004</v>
      </c>
      <c r="F18">
        <v>1939966</v>
      </c>
      <c r="G18" t="s">
        <v>398</v>
      </c>
      <c r="H18">
        <v>275.91500000000002</v>
      </c>
      <c r="I18" t="s">
        <v>402</v>
      </c>
      <c r="J18" t="s">
        <v>10</v>
      </c>
      <c r="K18" t="s">
        <v>403</v>
      </c>
    </row>
    <row r="19" spans="1:11" x14ac:dyDescent="0.25">
      <c r="A19" t="s">
        <v>401</v>
      </c>
      <c r="B19" t="s">
        <v>17</v>
      </c>
      <c r="C19" t="s">
        <v>397</v>
      </c>
      <c r="D19">
        <v>7219</v>
      </c>
      <c r="E19">
        <v>2947.8290000000002</v>
      </c>
      <c r="F19">
        <v>1939966</v>
      </c>
      <c r="G19" t="s">
        <v>398</v>
      </c>
      <c r="H19">
        <v>1003.441</v>
      </c>
      <c r="I19" t="s">
        <v>402</v>
      </c>
      <c r="J19" t="s">
        <v>10</v>
      </c>
      <c r="K19" t="s">
        <v>403</v>
      </c>
    </row>
    <row r="20" spans="1:11" x14ac:dyDescent="0.25">
      <c r="A20" t="s">
        <v>391</v>
      </c>
      <c r="B20" t="s">
        <v>71</v>
      </c>
      <c r="C20" t="s">
        <v>392</v>
      </c>
      <c r="D20">
        <v>143</v>
      </c>
      <c r="E20">
        <v>799.577</v>
      </c>
      <c r="F20">
        <v>3770392</v>
      </c>
      <c r="G20" t="s">
        <v>404</v>
      </c>
      <c r="H20">
        <v>1512</v>
      </c>
      <c r="I20" t="s">
        <v>405</v>
      </c>
      <c r="J20" t="s">
        <v>10</v>
      </c>
      <c r="K20" t="s">
        <v>406</v>
      </c>
    </row>
    <row r="21" spans="1:11" x14ac:dyDescent="0.25">
      <c r="A21" t="s">
        <v>391</v>
      </c>
      <c r="B21" t="s">
        <v>71</v>
      </c>
      <c r="C21" t="s">
        <v>392</v>
      </c>
      <c r="D21">
        <v>153</v>
      </c>
      <c r="E21">
        <v>858.27599999999995</v>
      </c>
      <c r="F21">
        <v>3770392</v>
      </c>
      <c r="G21" t="s">
        <v>404</v>
      </c>
      <c r="H21">
        <v>1623</v>
      </c>
      <c r="I21" t="s">
        <v>405</v>
      </c>
      <c r="J21" t="s">
        <v>10</v>
      </c>
      <c r="K21" t="s">
        <v>406</v>
      </c>
    </row>
    <row r="22" spans="1:11" x14ac:dyDescent="0.25">
      <c r="A22" t="s">
        <v>391</v>
      </c>
      <c r="B22" t="s">
        <v>71</v>
      </c>
      <c r="C22" t="s">
        <v>392</v>
      </c>
      <c r="D22">
        <v>153</v>
      </c>
      <c r="E22">
        <v>858.27599999999995</v>
      </c>
      <c r="F22">
        <v>3770392</v>
      </c>
      <c r="G22" t="s">
        <v>404</v>
      </c>
      <c r="H22">
        <v>1623</v>
      </c>
      <c r="I22" t="s">
        <v>405</v>
      </c>
      <c r="J22" t="s">
        <v>10</v>
      </c>
      <c r="K22" t="s">
        <v>406</v>
      </c>
    </row>
    <row r="23" spans="1:11" x14ac:dyDescent="0.25">
      <c r="A23" t="s">
        <v>391</v>
      </c>
      <c r="B23" t="s">
        <v>71</v>
      </c>
      <c r="C23" t="s">
        <v>392</v>
      </c>
      <c r="D23">
        <v>153</v>
      </c>
      <c r="E23">
        <v>858.27599999999995</v>
      </c>
      <c r="F23">
        <v>3770392</v>
      </c>
      <c r="G23" t="s">
        <v>404</v>
      </c>
      <c r="H23">
        <v>1623</v>
      </c>
      <c r="I23" t="s">
        <v>405</v>
      </c>
      <c r="J23" t="s">
        <v>10</v>
      </c>
      <c r="K23" t="s">
        <v>406</v>
      </c>
    </row>
    <row r="24" spans="1:11" x14ac:dyDescent="0.25">
      <c r="A24" t="s">
        <v>391</v>
      </c>
      <c r="B24" t="s">
        <v>71</v>
      </c>
      <c r="C24" t="s">
        <v>392</v>
      </c>
      <c r="D24">
        <v>153</v>
      </c>
      <c r="E24">
        <v>858.27599999999995</v>
      </c>
      <c r="F24">
        <v>3770392</v>
      </c>
      <c r="G24" t="s">
        <v>404</v>
      </c>
      <c r="H24">
        <v>1623</v>
      </c>
      <c r="I24" t="s">
        <v>405</v>
      </c>
      <c r="J24" t="s">
        <v>10</v>
      </c>
      <c r="K24" t="s">
        <v>406</v>
      </c>
    </row>
    <row r="25" spans="1:11" x14ac:dyDescent="0.25">
      <c r="A25" t="s">
        <v>391</v>
      </c>
      <c r="B25" t="s">
        <v>71</v>
      </c>
      <c r="C25" t="s">
        <v>392</v>
      </c>
      <c r="D25">
        <v>153</v>
      </c>
      <c r="E25">
        <v>858.27599999999995</v>
      </c>
      <c r="F25">
        <v>3770392</v>
      </c>
      <c r="G25" t="s">
        <v>404</v>
      </c>
      <c r="H25">
        <v>1623</v>
      </c>
      <c r="I25" t="s">
        <v>405</v>
      </c>
      <c r="J25" t="s">
        <v>10</v>
      </c>
      <c r="K25" t="s">
        <v>406</v>
      </c>
    </row>
    <row r="26" spans="1:11" x14ac:dyDescent="0.25">
      <c r="A26" t="s">
        <v>391</v>
      </c>
      <c r="B26" t="s">
        <v>71</v>
      </c>
      <c r="C26" t="s">
        <v>392</v>
      </c>
      <c r="D26">
        <v>261</v>
      </c>
      <c r="E26">
        <v>1462.7180000000001</v>
      </c>
      <c r="F26">
        <v>3770392</v>
      </c>
      <c r="G26" t="s">
        <v>404</v>
      </c>
      <c r="H26">
        <v>2766</v>
      </c>
      <c r="I26" t="s">
        <v>405</v>
      </c>
      <c r="J26" t="s">
        <v>10</v>
      </c>
      <c r="K26" t="s">
        <v>406</v>
      </c>
    </row>
    <row r="27" spans="1:11" x14ac:dyDescent="0.25">
      <c r="A27" t="s">
        <v>391</v>
      </c>
      <c r="B27" t="s">
        <v>71</v>
      </c>
      <c r="C27" t="s">
        <v>392</v>
      </c>
      <c r="D27">
        <v>281</v>
      </c>
      <c r="E27">
        <v>1574.299</v>
      </c>
      <c r="F27">
        <v>3770392</v>
      </c>
      <c r="G27" t="s">
        <v>404</v>
      </c>
      <c r="H27">
        <v>2977</v>
      </c>
      <c r="I27" t="s">
        <v>405</v>
      </c>
      <c r="J27" t="s">
        <v>10</v>
      </c>
      <c r="K27" t="s">
        <v>406</v>
      </c>
    </row>
    <row r="28" spans="1:11" x14ac:dyDescent="0.25">
      <c r="A28" t="s">
        <v>391</v>
      </c>
      <c r="B28" t="s">
        <v>71</v>
      </c>
      <c r="C28" t="s">
        <v>392</v>
      </c>
      <c r="D28">
        <v>213</v>
      </c>
      <c r="E28">
        <v>1194.606</v>
      </c>
      <c r="F28">
        <v>3770392</v>
      </c>
      <c r="G28" t="s">
        <v>404</v>
      </c>
      <c r="H28">
        <v>2259</v>
      </c>
      <c r="I28" t="s">
        <v>405</v>
      </c>
      <c r="J28" t="s">
        <v>10</v>
      </c>
      <c r="K28" t="s">
        <v>406</v>
      </c>
    </row>
    <row r="29" spans="1:11" x14ac:dyDescent="0.25">
      <c r="A29" t="s">
        <v>391</v>
      </c>
      <c r="B29" t="s">
        <v>71</v>
      </c>
      <c r="C29" t="s">
        <v>392</v>
      </c>
      <c r="D29">
        <v>73</v>
      </c>
      <c r="E29">
        <v>411.423</v>
      </c>
      <c r="F29">
        <v>3770392</v>
      </c>
      <c r="G29" t="s">
        <v>404</v>
      </c>
      <c r="H29">
        <v>778</v>
      </c>
      <c r="I29" t="s">
        <v>405</v>
      </c>
      <c r="J29" t="s">
        <v>10</v>
      </c>
      <c r="K29" t="s">
        <v>406</v>
      </c>
    </row>
    <row r="30" spans="1:11" x14ac:dyDescent="0.25">
      <c r="A30" t="s">
        <v>391</v>
      </c>
      <c r="B30" t="s">
        <v>71</v>
      </c>
      <c r="C30" t="s">
        <v>392</v>
      </c>
      <c r="D30">
        <v>122</v>
      </c>
      <c r="E30">
        <v>682.17899999999997</v>
      </c>
      <c r="F30">
        <v>3770392</v>
      </c>
      <c r="G30" t="s">
        <v>404</v>
      </c>
      <c r="H30">
        <v>1290</v>
      </c>
      <c r="I30" t="s">
        <v>405</v>
      </c>
      <c r="J30" t="s">
        <v>10</v>
      </c>
      <c r="K30" t="s">
        <v>406</v>
      </c>
    </row>
    <row r="31" spans="1:11" x14ac:dyDescent="0.25">
      <c r="A31" t="s">
        <v>391</v>
      </c>
      <c r="B31" t="s">
        <v>71</v>
      </c>
      <c r="C31" t="s">
        <v>392</v>
      </c>
      <c r="D31">
        <v>25</v>
      </c>
      <c r="E31">
        <v>137.78299999999999</v>
      </c>
      <c r="F31">
        <v>3770392</v>
      </c>
      <c r="G31" t="s">
        <v>404</v>
      </c>
      <c r="H31">
        <v>260.548</v>
      </c>
      <c r="I31" t="s">
        <v>405</v>
      </c>
      <c r="J31" t="s">
        <v>10</v>
      </c>
      <c r="K31" t="s">
        <v>406</v>
      </c>
    </row>
    <row r="32" spans="1:11" x14ac:dyDescent="0.25">
      <c r="A32" t="s">
        <v>391</v>
      </c>
      <c r="B32" t="s">
        <v>71</v>
      </c>
      <c r="C32" t="s">
        <v>392</v>
      </c>
      <c r="D32">
        <v>47</v>
      </c>
      <c r="E32">
        <v>264.93900000000002</v>
      </c>
      <c r="F32">
        <v>3770392</v>
      </c>
      <c r="G32" t="s">
        <v>404</v>
      </c>
      <c r="H32">
        <v>501</v>
      </c>
      <c r="I32" t="s">
        <v>405</v>
      </c>
      <c r="J32" t="s">
        <v>10</v>
      </c>
      <c r="K32" t="s">
        <v>406</v>
      </c>
    </row>
    <row r="33" spans="1:11" x14ac:dyDescent="0.25">
      <c r="A33" t="s">
        <v>391</v>
      </c>
      <c r="B33" t="s">
        <v>71</v>
      </c>
      <c r="C33" t="s">
        <v>392</v>
      </c>
      <c r="D33">
        <v>47</v>
      </c>
      <c r="E33">
        <v>262.82400000000001</v>
      </c>
      <c r="F33">
        <v>3770392</v>
      </c>
      <c r="G33" t="s">
        <v>404</v>
      </c>
      <c r="H33">
        <v>497</v>
      </c>
      <c r="I33" t="s">
        <v>405</v>
      </c>
      <c r="J33" t="s">
        <v>10</v>
      </c>
      <c r="K33" t="s">
        <v>406</v>
      </c>
    </row>
    <row r="34" spans="1:11" x14ac:dyDescent="0.25">
      <c r="A34" t="s">
        <v>391</v>
      </c>
      <c r="B34" t="s">
        <v>71</v>
      </c>
      <c r="C34" t="s">
        <v>392</v>
      </c>
      <c r="D34">
        <v>19</v>
      </c>
      <c r="E34">
        <v>107.879</v>
      </c>
      <c r="F34">
        <v>3770392</v>
      </c>
      <c r="G34" t="s">
        <v>404</v>
      </c>
      <c r="H34">
        <v>204</v>
      </c>
      <c r="I34" t="s">
        <v>405</v>
      </c>
      <c r="J34" t="s">
        <v>10</v>
      </c>
      <c r="K34" t="s">
        <v>406</v>
      </c>
    </row>
    <row r="35" spans="1:11" x14ac:dyDescent="0.25">
      <c r="A35" t="s">
        <v>391</v>
      </c>
      <c r="B35" t="s">
        <v>71</v>
      </c>
      <c r="C35" t="s">
        <v>392</v>
      </c>
      <c r="D35">
        <v>71</v>
      </c>
      <c r="E35">
        <v>397.673</v>
      </c>
      <c r="F35">
        <v>3770392</v>
      </c>
      <c r="G35" t="s">
        <v>404</v>
      </c>
      <c r="H35">
        <v>752</v>
      </c>
      <c r="I35" t="s">
        <v>405</v>
      </c>
      <c r="J35" t="s">
        <v>10</v>
      </c>
      <c r="K35" t="s">
        <v>406</v>
      </c>
    </row>
    <row r="36" spans="1:11" x14ac:dyDescent="0.25">
      <c r="A36" t="s">
        <v>391</v>
      </c>
      <c r="B36" t="s">
        <v>71</v>
      </c>
      <c r="C36" t="s">
        <v>392</v>
      </c>
      <c r="D36">
        <v>55</v>
      </c>
      <c r="E36">
        <v>307.774</v>
      </c>
      <c r="F36">
        <v>3770392</v>
      </c>
      <c r="G36" t="s">
        <v>404</v>
      </c>
      <c r="H36">
        <v>582</v>
      </c>
      <c r="I36" t="s">
        <v>405</v>
      </c>
      <c r="J36" t="s">
        <v>10</v>
      </c>
      <c r="K36" t="s">
        <v>406</v>
      </c>
    </row>
    <row r="37" spans="1:11" x14ac:dyDescent="0.25">
      <c r="A37" t="s">
        <v>391</v>
      </c>
      <c r="B37" t="s">
        <v>71</v>
      </c>
      <c r="C37" t="s">
        <v>392</v>
      </c>
      <c r="D37">
        <v>138</v>
      </c>
      <c r="E37">
        <v>774.19399999999996</v>
      </c>
      <c r="F37">
        <v>3770392</v>
      </c>
      <c r="G37" t="s">
        <v>404</v>
      </c>
      <c r="H37">
        <v>1464</v>
      </c>
      <c r="I37" t="s">
        <v>405</v>
      </c>
      <c r="J37" t="s">
        <v>10</v>
      </c>
      <c r="K37" t="s">
        <v>406</v>
      </c>
    </row>
    <row r="38" spans="1:11" x14ac:dyDescent="0.25">
      <c r="A38" t="s">
        <v>391</v>
      </c>
      <c r="B38" t="s">
        <v>71</v>
      </c>
      <c r="C38" t="s">
        <v>392</v>
      </c>
      <c r="D38">
        <v>125</v>
      </c>
      <c r="E38">
        <v>701.745</v>
      </c>
      <c r="F38">
        <v>3770392</v>
      </c>
      <c r="G38" t="s">
        <v>404</v>
      </c>
      <c r="H38">
        <v>1327</v>
      </c>
      <c r="I38" t="s">
        <v>405</v>
      </c>
      <c r="J38" t="s">
        <v>10</v>
      </c>
      <c r="K38" t="s">
        <v>406</v>
      </c>
    </row>
    <row r="39" spans="1:11" x14ac:dyDescent="0.25">
      <c r="A39" t="s">
        <v>391</v>
      </c>
      <c r="B39" t="s">
        <v>71</v>
      </c>
      <c r="C39" t="s">
        <v>392</v>
      </c>
      <c r="D39">
        <v>139</v>
      </c>
      <c r="E39">
        <v>780.01099999999997</v>
      </c>
      <c r="F39">
        <v>3770392</v>
      </c>
      <c r="G39" t="s">
        <v>404</v>
      </c>
      <c r="H39">
        <v>1475</v>
      </c>
      <c r="I39" t="s">
        <v>405</v>
      </c>
      <c r="J39" t="s">
        <v>10</v>
      </c>
      <c r="K39" t="s">
        <v>406</v>
      </c>
    </row>
    <row r="40" spans="1:11" x14ac:dyDescent="0.25">
      <c r="A40" t="s">
        <v>391</v>
      </c>
      <c r="B40" t="s">
        <v>71</v>
      </c>
      <c r="C40" t="s">
        <v>392</v>
      </c>
      <c r="D40">
        <v>157</v>
      </c>
      <c r="E40">
        <v>880.48699999999997</v>
      </c>
      <c r="F40">
        <v>3770392</v>
      </c>
      <c r="G40" t="s">
        <v>404</v>
      </c>
      <c r="H40">
        <v>1665</v>
      </c>
      <c r="I40" t="s">
        <v>405</v>
      </c>
      <c r="J40" t="s">
        <v>10</v>
      </c>
      <c r="K40" t="s">
        <v>406</v>
      </c>
    </row>
    <row r="41" spans="1:11" x14ac:dyDescent="0.25">
      <c r="A41" t="s">
        <v>391</v>
      </c>
      <c r="B41" t="s">
        <v>71</v>
      </c>
      <c r="C41" t="s">
        <v>392</v>
      </c>
      <c r="D41">
        <v>151</v>
      </c>
      <c r="E41">
        <v>847.7</v>
      </c>
      <c r="F41">
        <v>3770392</v>
      </c>
      <c r="G41" t="s">
        <v>404</v>
      </c>
      <c r="H41">
        <v>1603</v>
      </c>
      <c r="I41" t="s">
        <v>405</v>
      </c>
      <c r="J41" t="s">
        <v>10</v>
      </c>
      <c r="K41" t="s">
        <v>406</v>
      </c>
    </row>
    <row r="42" spans="1:11" x14ac:dyDescent="0.25">
      <c r="A42" t="s">
        <v>391</v>
      </c>
      <c r="B42" t="s">
        <v>71</v>
      </c>
      <c r="C42" t="s">
        <v>392</v>
      </c>
      <c r="D42">
        <v>139</v>
      </c>
      <c r="E42">
        <v>780.53899999999999</v>
      </c>
      <c r="F42">
        <v>3770392</v>
      </c>
      <c r="G42" t="s">
        <v>404</v>
      </c>
      <c r="H42">
        <v>1476</v>
      </c>
      <c r="I42" t="s">
        <v>405</v>
      </c>
      <c r="J42" t="s">
        <v>10</v>
      </c>
      <c r="K42" t="s">
        <v>406</v>
      </c>
    </row>
    <row r="43" spans="1:11" x14ac:dyDescent="0.25">
      <c r="A43" t="s">
        <v>391</v>
      </c>
      <c r="B43" t="s">
        <v>71</v>
      </c>
      <c r="C43" t="s">
        <v>392</v>
      </c>
      <c r="D43">
        <v>108</v>
      </c>
      <c r="E43">
        <v>604.68100000000004</v>
      </c>
      <c r="F43">
        <v>3770392</v>
      </c>
      <c r="G43" t="s">
        <v>404</v>
      </c>
      <c r="H43">
        <v>1143.452</v>
      </c>
      <c r="I43" t="s">
        <v>405</v>
      </c>
      <c r="J43" t="s">
        <v>10</v>
      </c>
      <c r="K43" t="s">
        <v>406</v>
      </c>
    </row>
    <row r="44" spans="1:11" x14ac:dyDescent="0.25">
      <c r="A44" t="s">
        <v>391</v>
      </c>
      <c r="B44" t="s">
        <v>71</v>
      </c>
      <c r="C44" t="s">
        <v>392</v>
      </c>
      <c r="D44">
        <v>72</v>
      </c>
      <c r="E44">
        <v>405.35199999999998</v>
      </c>
      <c r="F44">
        <v>3770392</v>
      </c>
      <c r="G44" t="s">
        <v>404</v>
      </c>
      <c r="H44">
        <v>766.52</v>
      </c>
      <c r="I44" t="s">
        <v>405</v>
      </c>
      <c r="J44" t="s">
        <v>10</v>
      </c>
      <c r="K44" t="s">
        <v>406</v>
      </c>
    </row>
    <row r="45" spans="1:11" x14ac:dyDescent="0.25">
      <c r="A45" t="s">
        <v>391</v>
      </c>
      <c r="B45" t="s">
        <v>71</v>
      </c>
      <c r="C45" t="s">
        <v>392</v>
      </c>
      <c r="D45">
        <v>8</v>
      </c>
      <c r="E45">
        <v>43.363</v>
      </c>
      <c r="F45">
        <v>3770392</v>
      </c>
      <c r="G45" t="s">
        <v>404</v>
      </c>
      <c r="H45">
        <v>82</v>
      </c>
      <c r="I45" t="s">
        <v>405</v>
      </c>
      <c r="J45" t="s">
        <v>10</v>
      </c>
      <c r="K45" t="s">
        <v>406</v>
      </c>
    </row>
    <row r="46" spans="1:11" x14ac:dyDescent="0.25">
      <c r="A46" t="s">
        <v>391</v>
      </c>
      <c r="B46" t="s">
        <v>71</v>
      </c>
      <c r="C46" t="s">
        <v>392</v>
      </c>
      <c r="D46">
        <v>33</v>
      </c>
      <c r="E46">
        <v>185.08699999999999</v>
      </c>
      <c r="F46">
        <v>3770392</v>
      </c>
      <c r="G46" t="s">
        <v>404</v>
      </c>
      <c r="H46">
        <v>350</v>
      </c>
      <c r="I46" t="s">
        <v>405</v>
      </c>
      <c r="J46" t="s">
        <v>10</v>
      </c>
      <c r="K46" t="s">
        <v>406</v>
      </c>
    </row>
    <row r="47" spans="1:11" x14ac:dyDescent="0.25">
      <c r="A47" t="s">
        <v>391</v>
      </c>
      <c r="B47" t="s">
        <v>71</v>
      </c>
      <c r="C47" t="s">
        <v>392</v>
      </c>
      <c r="D47">
        <v>38</v>
      </c>
      <c r="E47">
        <v>211.52799999999999</v>
      </c>
      <c r="F47">
        <v>3770392</v>
      </c>
      <c r="G47" t="s">
        <v>404</v>
      </c>
      <c r="H47">
        <v>400</v>
      </c>
      <c r="I47" t="s">
        <v>405</v>
      </c>
      <c r="J47" t="s">
        <v>10</v>
      </c>
      <c r="K47" t="s">
        <v>406</v>
      </c>
    </row>
    <row r="48" spans="1:11" x14ac:dyDescent="0.25">
      <c r="A48" t="s">
        <v>391</v>
      </c>
      <c r="B48" t="s">
        <v>71</v>
      </c>
      <c r="C48" t="s">
        <v>392</v>
      </c>
      <c r="D48">
        <v>128</v>
      </c>
      <c r="E48">
        <v>714.18799999999999</v>
      </c>
      <c r="F48">
        <v>3770392</v>
      </c>
      <c r="G48" t="s">
        <v>404</v>
      </c>
      <c r="H48">
        <v>1350.529</v>
      </c>
      <c r="I48" t="s">
        <v>405</v>
      </c>
      <c r="J48" t="s">
        <v>10</v>
      </c>
      <c r="K48" t="s">
        <v>406</v>
      </c>
    </row>
    <row r="49" spans="1:11" x14ac:dyDescent="0.25">
      <c r="A49" t="s">
        <v>391</v>
      </c>
      <c r="B49" t="s">
        <v>71</v>
      </c>
      <c r="C49" t="s">
        <v>392</v>
      </c>
      <c r="D49">
        <v>23</v>
      </c>
      <c r="E49">
        <v>130.90899999999999</v>
      </c>
      <c r="F49">
        <v>3770392</v>
      </c>
      <c r="G49" t="s">
        <v>404</v>
      </c>
      <c r="H49">
        <v>247.548</v>
      </c>
      <c r="I49" t="s">
        <v>405</v>
      </c>
      <c r="J49" t="s">
        <v>10</v>
      </c>
      <c r="K49" t="s">
        <v>406</v>
      </c>
    </row>
    <row r="50" spans="1:11" x14ac:dyDescent="0.25">
      <c r="A50" t="s">
        <v>391</v>
      </c>
      <c r="B50" t="s">
        <v>71</v>
      </c>
      <c r="C50" t="s">
        <v>392</v>
      </c>
      <c r="D50">
        <v>19</v>
      </c>
      <c r="E50">
        <v>107.56399999999999</v>
      </c>
      <c r="F50">
        <v>3770392</v>
      </c>
      <c r="G50" t="s">
        <v>404</v>
      </c>
      <c r="H50">
        <v>203.40299999999999</v>
      </c>
      <c r="I50" t="s">
        <v>405</v>
      </c>
      <c r="J50" t="s">
        <v>10</v>
      </c>
      <c r="K50" t="s">
        <v>406</v>
      </c>
    </row>
    <row r="51" spans="1:11" x14ac:dyDescent="0.25">
      <c r="A51" t="s">
        <v>396</v>
      </c>
      <c r="B51" t="s">
        <v>61</v>
      </c>
      <c r="C51" t="s">
        <v>397</v>
      </c>
      <c r="D51">
        <v>3900</v>
      </c>
      <c r="E51">
        <v>984.84799999999996</v>
      </c>
      <c r="F51">
        <v>1940307</v>
      </c>
      <c r="G51" t="s">
        <v>407</v>
      </c>
      <c r="H51">
        <v>936</v>
      </c>
      <c r="I51" t="s">
        <v>408</v>
      </c>
      <c r="J51" t="s">
        <v>10</v>
      </c>
      <c r="K51" t="s">
        <v>409</v>
      </c>
    </row>
    <row r="52" spans="1:11" x14ac:dyDescent="0.25">
      <c r="A52" t="s">
        <v>396</v>
      </c>
      <c r="B52" t="s">
        <v>61</v>
      </c>
      <c r="C52" t="s">
        <v>397</v>
      </c>
      <c r="D52">
        <v>6157</v>
      </c>
      <c r="E52">
        <v>1813.931</v>
      </c>
      <c r="F52">
        <v>1940312</v>
      </c>
      <c r="G52" t="s">
        <v>407</v>
      </c>
      <c r="H52">
        <v>1723.96</v>
      </c>
      <c r="I52" t="s">
        <v>410</v>
      </c>
      <c r="J52" t="s">
        <v>10</v>
      </c>
      <c r="K52" t="s">
        <v>411</v>
      </c>
    </row>
    <row r="53" spans="1:11" x14ac:dyDescent="0.25">
      <c r="A53" t="s">
        <v>396</v>
      </c>
      <c r="B53" t="s">
        <v>61</v>
      </c>
      <c r="C53" t="s">
        <v>397</v>
      </c>
      <c r="D53">
        <v>2343</v>
      </c>
      <c r="E53">
        <v>690.27800000000002</v>
      </c>
      <c r="F53">
        <v>1940312</v>
      </c>
      <c r="G53" t="s">
        <v>407</v>
      </c>
      <c r="H53">
        <v>656.04</v>
      </c>
      <c r="I53" t="s">
        <v>410</v>
      </c>
      <c r="J53" t="s">
        <v>10</v>
      </c>
      <c r="K53" t="s">
        <v>411</v>
      </c>
    </row>
    <row r="54" spans="1:11" x14ac:dyDescent="0.25">
      <c r="A54" t="s">
        <v>396</v>
      </c>
      <c r="B54" t="s">
        <v>61</v>
      </c>
      <c r="C54" t="s">
        <v>397</v>
      </c>
      <c r="D54">
        <v>6407</v>
      </c>
      <c r="E54">
        <v>1887.5840000000001</v>
      </c>
      <c r="F54">
        <v>1940312</v>
      </c>
      <c r="G54" t="s">
        <v>407</v>
      </c>
      <c r="H54">
        <v>1793.96</v>
      </c>
      <c r="I54" t="s">
        <v>410</v>
      </c>
      <c r="J54" t="s">
        <v>10</v>
      </c>
      <c r="K54" t="s">
        <v>411</v>
      </c>
    </row>
    <row r="55" spans="1:11" x14ac:dyDescent="0.25">
      <c r="A55" t="s">
        <v>396</v>
      </c>
      <c r="B55" t="s">
        <v>61</v>
      </c>
      <c r="C55" t="s">
        <v>397</v>
      </c>
      <c r="D55">
        <v>3646</v>
      </c>
      <c r="E55">
        <v>1074.1579999999999</v>
      </c>
      <c r="F55">
        <v>1940312</v>
      </c>
      <c r="G55" t="s">
        <v>407</v>
      </c>
      <c r="H55">
        <v>1020.88</v>
      </c>
      <c r="I55" t="s">
        <v>410</v>
      </c>
      <c r="J55" t="s">
        <v>10</v>
      </c>
      <c r="K55" t="s">
        <v>411</v>
      </c>
    </row>
    <row r="56" spans="1:11" x14ac:dyDescent="0.25">
      <c r="A56" t="s">
        <v>396</v>
      </c>
      <c r="B56" t="s">
        <v>61</v>
      </c>
      <c r="C56" t="s">
        <v>397</v>
      </c>
      <c r="D56">
        <v>3553</v>
      </c>
      <c r="E56">
        <v>1046.759</v>
      </c>
      <c r="F56">
        <v>1940312</v>
      </c>
      <c r="G56" t="s">
        <v>407</v>
      </c>
      <c r="H56">
        <v>994.84</v>
      </c>
      <c r="I56" t="s">
        <v>410</v>
      </c>
      <c r="J56" t="s">
        <v>10</v>
      </c>
      <c r="K56" t="s">
        <v>411</v>
      </c>
    </row>
    <row r="57" spans="1:11" x14ac:dyDescent="0.25">
      <c r="A57" t="s">
        <v>396</v>
      </c>
      <c r="B57" t="s">
        <v>61</v>
      </c>
      <c r="C57" t="s">
        <v>397</v>
      </c>
      <c r="D57">
        <v>744</v>
      </c>
      <c r="E57">
        <v>219.19200000000001</v>
      </c>
      <c r="F57">
        <v>1940312</v>
      </c>
      <c r="G57" t="s">
        <v>407</v>
      </c>
      <c r="H57">
        <v>208.32</v>
      </c>
      <c r="I57" t="s">
        <v>410</v>
      </c>
      <c r="J57" t="s">
        <v>10</v>
      </c>
      <c r="K57" t="s">
        <v>411</v>
      </c>
    </row>
    <row r="58" spans="1:11" x14ac:dyDescent="0.25">
      <c r="A58" t="s">
        <v>396</v>
      </c>
      <c r="B58" t="s">
        <v>61</v>
      </c>
      <c r="C58" t="s">
        <v>397</v>
      </c>
      <c r="D58">
        <v>2150</v>
      </c>
      <c r="E58">
        <v>633.41800000000001</v>
      </c>
      <c r="F58">
        <v>1940312</v>
      </c>
      <c r="G58" t="s">
        <v>407</v>
      </c>
      <c r="H58">
        <v>602</v>
      </c>
      <c r="I58" t="s">
        <v>410</v>
      </c>
      <c r="J58" t="s">
        <v>10</v>
      </c>
      <c r="K58" t="s">
        <v>411</v>
      </c>
    </row>
    <row r="59" spans="1:11" x14ac:dyDescent="0.25">
      <c r="A59" t="s">
        <v>396</v>
      </c>
      <c r="B59" t="s">
        <v>61</v>
      </c>
      <c r="C59" t="s">
        <v>397</v>
      </c>
      <c r="D59">
        <v>660</v>
      </c>
      <c r="E59">
        <v>194.44399999999999</v>
      </c>
      <c r="F59">
        <v>1940312</v>
      </c>
      <c r="G59" t="s">
        <v>407</v>
      </c>
      <c r="H59">
        <v>184.8</v>
      </c>
      <c r="I59" t="s">
        <v>410</v>
      </c>
      <c r="J59" t="s">
        <v>10</v>
      </c>
      <c r="K59" t="s">
        <v>411</v>
      </c>
    </row>
    <row r="60" spans="1:11" x14ac:dyDescent="0.25">
      <c r="A60" t="s">
        <v>396</v>
      </c>
      <c r="B60" t="s">
        <v>61</v>
      </c>
      <c r="C60" t="s">
        <v>397</v>
      </c>
      <c r="D60">
        <v>309</v>
      </c>
      <c r="E60">
        <v>91.034999999999997</v>
      </c>
      <c r="F60">
        <v>1940312</v>
      </c>
      <c r="G60" t="s">
        <v>407</v>
      </c>
      <c r="H60">
        <v>86.52</v>
      </c>
      <c r="I60" t="s">
        <v>410</v>
      </c>
      <c r="J60" t="s">
        <v>10</v>
      </c>
      <c r="K60" t="s">
        <v>411</v>
      </c>
    </row>
    <row r="61" spans="1:11" x14ac:dyDescent="0.25">
      <c r="A61" t="s">
        <v>396</v>
      </c>
      <c r="B61" t="s">
        <v>61</v>
      </c>
      <c r="C61" t="s">
        <v>397</v>
      </c>
      <c r="D61">
        <v>60</v>
      </c>
      <c r="E61">
        <v>17.677</v>
      </c>
      <c r="F61">
        <v>1940312</v>
      </c>
      <c r="G61" t="s">
        <v>407</v>
      </c>
      <c r="H61">
        <v>16.8</v>
      </c>
      <c r="I61" t="s">
        <v>410</v>
      </c>
      <c r="J61" t="s">
        <v>10</v>
      </c>
      <c r="K61" t="s">
        <v>411</v>
      </c>
    </row>
    <row r="62" spans="1:11" x14ac:dyDescent="0.25">
      <c r="A62" t="s">
        <v>396</v>
      </c>
      <c r="B62" t="s">
        <v>61</v>
      </c>
      <c r="C62" t="s">
        <v>397</v>
      </c>
      <c r="D62">
        <v>21</v>
      </c>
      <c r="E62">
        <v>6.1870000000000003</v>
      </c>
      <c r="F62">
        <v>1940312</v>
      </c>
      <c r="G62" t="s">
        <v>407</v>
      </c>
      <c r="H62">
        <v>5.88</v>
      </c>
      <c r="I62" t="s">
        <v>410</v>
      </c>
      <c r="J62" t="s">
        <v>10</v>
      </c>
      <c r="K62" t="s">
        <v>411</v>
      </c>
    </row>
    <row r="63" spans="1:11" x14ac:dyDescent="0.25">
      <c r="A63" t="s">
        <v>396</v>
      </c>
      <c r="B63" t="s">
        <v>61</v>
      </c>
      <c r="C63" t="s">
        <v>397</v>
      </c>
      <c r="D63">
        <v>5857</v>
      </c>
      <c r="E63">
        <v>1725.547</v>
      </c>
      <c r="F63">
        <v>1940312</v>
      </c>
      <c r="G63" t="s">
        <v>407</v>
      </c>
      <c r="H63">
        <v>1639.96</v>
      </c>
      <c r="I63" t="s">
        <v>410</v>
      </c>
      <c r="J63" t="s">
        <v>10</v>
      </c>
      <c r="K63" t="s">
        <v>411</v>
      </c>
    </row>
    <row r="64" spans="1:11" x14ac:dyDescent="0.25">
      <c r="A64" t="s">
        <v>396</v>
      </c>
      <c r="B64" t="s">
        <v>61</v>
      </c>
      <c r="C64" t="s">
        <v>397</v>
      </c>
      <c r="D64">
        <v>5071</v>
      </c>
      <c r="E64">
        <v>1493.981</v>
      </c>
      <c r="F64">
        <v>1940312</v>
      </c>
      <c r="G64" t="s">
        <v>407</v>
      </c>
      <c r="H64">
        <v>1419.88</v>
      </c>
      <c r="I64" t="s">
        <v>410</v>
      </c>
      <c r="J64" t="s">
        <v>10</v>
      </c>
      <c r="K64" t="s">
        <v>411</v>
      </c>
    </row>
    <row r="65" spans="1:11" x14ac:dyDescent="0.25">
      <c r="A65" t="s">
        <v>396</v>
      </c>
      <c r="B65" t="s">
        <v>61</v>
      </c>
      <c r="C65" t="s">
        <v>397</v>
      </c>
      <c r="D65">
        <v>257</v>
      </c>
      <c r="E65">
        <v>75.715000000000003</v>
      </c>
      <c r="F65">
        <v>1940312</v>
      </c>
      <c r="G65" t="s">
        <v>407</v>
      </c>
      <c r="H65">
        <v>71.959999999999994</v>
      </c>
      <c r="I65" t="s">
        <v>410</v>
      </c>
      <c r="J65" t="s">
        <v>10</v>
      </c>
      <c r="K65" t="s">
        <v>411</v>
      </c>
    </row>
    <row r="66" spans="1:11" x14ac:dyDescent="0.25">
      <c r="A66" t="s">
        <v>396</v>
      </c>
      <c r="B66" t="s">
        <v>61</v>
      </c>
      <c r="C66" t="s">
        <v>397</v>
      </c>
      <c r="D66">
        <v>15</v>
      </c>
      <c r="E66">
        <v>4.4189999999999996</v>
      </c>
      <c r="F66">
        <v>1940312</v>
      </c>
      <c r="G66" t="s">
        <v>407</v>
      </c>
      <c r="H66">
        <v>4.2</v>
      </c>
      <c r="I66" t="s">
        <v>410</v>
      </c>
      <c r="J66" t="s">
        <v>10</v>
      </c>
      <c r="K66" t="s">
        <v>411</v>
      </c>
    </row>
    <row r="67" spans="1:11" x14ac:dyDescent="0.25">
      <c r="A67" t="s">
        <v>396</v>
      </c>
      <c r="B67" t="s">
        <v>61</v>
      </c>
      <c r="C67" t="s">
        <v>397</v>
      </c>
      <c r="D67">
        <v>2218</v>
      </c>
      <c r="E67">
        <v>653.45100000000002</v>
      </c>
      <c r="F67">
        <v>1940312</v>
      </c>
      <c r="G67" t="s">
        <v>407</v>
      </c>
      <c r="H67">
        <v>621.04</v>
      </c>
      <c r="I67" t="s">
        <v>410</v>
      </c>
      <c r="J67" t="s">
        <v>10</v>
      </c>
      <c r="K67" t="s">
        <v>411</v>
      </c>
    </row>
    <row r="68" spans="1:11" x14ac:dyDescent="0.25">
      <c r="A68" t="s">
        <v>396</v>
      </c>
      <c r="B68" t="s">
        <v>61</v>
      </c>
      <c r="C68" t="s">
        <v>397</v>
      </c>
      <c r="D68">
        <v>1753</v>
      </c>
      <c r="E68">
        <v>516.45600000000002</v>
      </c>
      <c r="F68">
        <v>1940312</v>
      </c>
      <c r="G68" t="s">
        <v>407</v>
      </c>
      <c r="H68">
        <v>490.84</v>
      </c>
      <c r="I68" t="s">
        <v>410</v>
      </c>
      <c r="J68" t="s">
        <v>10</v>
      </c>
      <c r="K68" t="s">
        <v>411</v>
      </c>
    </row>
    <row r="69" spans="1:11" x14ac:dyDescent="0.25">
      <c r="A69" t="s">
        <v>396</v>
      </c>
      <c r="B69" t="s">
        <v>61</v>
      </c>
      <c r="C69" t="s">
        <v>397</v>
      </c>
      <c r="D69">
        <v>1653</v>
      </c>
      <c r="E69">
        <v>486.995</v>
      </c>
      <c r="F69">
        <v>1940312</v>
      </c>
      <c r="G69" t="s">
        <v>407</v>
      </c>
      <c r="H69">
        <v>462.84</v>
      </c>
      <c r="I69" t="s">
        <v>410</v>
      </c>
      <c r="J69" t="s">
        <v>10</v>
      </c>
      <c r="K69" t="s">
        <v>411</v>
      </c>
    </row>
    <row r="70" spans="1:11" x14ac:dyDescent="0.25">
      <c r="A70" t="s">
        <v>396</v>
      </c>
      <c r="B70" t="s">
        <v>61</v>
      </c>
      <c r="C70" t="s">
        <v>397</v>
      </c>
      <c r="D70">
        <v>1100</v>
      </c>
      <c r="E70">
        <v>324.07400000000001</v>
      </c>
      <c r="F70">
        <v>1940312</v>
      </c>
      <c r="G70" t="s">
        <v>407</v>
      </c>
      <c r="H70">
        <v>308</v>
      </c>
      <c r="I70" t="s">
        <v>410</v>
      </c>
      <c r="J70" t="s">
        <v>10</v>
      </c>
      <c r="K70" t="s">
        <v>411</v>
      </c>
    </row>
    <row r="71" spans="1:11" x14ac:dyDescent="0.25">
      <c r="A71" t="s">
        <v>396</v>
      </c>
      <c r="B71" t="s">
        <v>61</v>
      </c>
      <c r="C71" t="s">
        <v>397</v>
      </c>
      <c r="D71">
        <v>626</v>
      </c>
      <c r="E71">
        <v>184.428</v>
      </c>
      <c r="F71">
        <v>1940312</v>
      </c>
      <c r="G71" t="s">
        <v>407</v>
      </c>
      <c r="H71">
        <v>175.28</v>
      </c>
      <c r="I71" t="s">
        <v>410</v>
      </c>
      <c r="J71" t="s">
        <v>10</v>
      </c>
      <c r="K71" t="s">
        <v>411</v>
      </c>
    </row>
    <row r="72" spans="1:11" x14ac:dyDescent="0.25">
      <c r="A72" t="s">
        <v>396</v>
      </c>
      <c r="B72" t="s">
        <v>61</v>
      </c>
      <c r="C72" t="s">
        <v>397</v>
      </c>
      <c r="D72">
        <v>800</v>
      </c>
      <c r="E72">
        <v>559.99</v>
      </c>
      <c r="F72">
        <v>2270133</v>
      </c>
      <c r="G72" t="s">
        <v>412</v>
      </c>
      <c r="H72">
        <v>456</v>
      </c>
      <c r="I72" t="s">
        <v>413</v>
      </c>
      <c r="J72" t="s">
        <v>10</v>
      </c>
      <c r="K72" t="s">
        <v>414</v>
      </c>
    </row>
    <row r="73" spans="1:11" x14ac:dyDescent="0.25">
      <c r="A73" t="s">
        <v>396</v>
      </c>
      <c r="B73" t="s">
        <v>61</v>
      </c>
      <c r="C73" t="s">
        <v>397</v>
      </c>
      <c r="D73">
        <v>567</v>
      </c>
      <c r="E73">
        <v>396.89299999999997</v>
      </c>
      <c r="F73">
        <v>2270133</v>
      </c>
      <c r="G73" t="s">
        <v>412</v>
      </c>
      <c r="H73">
        <v>323.19</v>
      </c>
      <c r="I73" t="s">
        <v>413</v>
      </c>
      <c r="J73" t="s">
        <v>10</v>
      </c>
      <c r="K73" t="s">
        <v>414</v>
      </c>
    </row>
    <row r="74" spans="1:11" x14ac:dyDescent="0.25">
      <c r="A74" t="s">
        <v>396</v>
      </c>
      <c r="B74" t="s">
        <v>61</v>
      </c>
      <c r="C74" t="s">
        <v>397</v>
      </c>
      <c r="D74">
        <v>350</v>
      </c>
      <c r="E74">
        <v>244.99600000000001</v>
      </c>
      <c r="F74">
        <v>2270133</v>
      </c>
      <c r="G74" t="s">
        <v>412</v>
      </c>
      <c r="H74">
        <v>199.5</v>
      </c>
      <c r="I74" t="s">
        <v>413</v>
      </c>
      <c r="J74" t="s">
        <v>10</v>
      </c>
      <c r="K74" t="s">
        <v>414</v>
      </c>
    </row>
    <row r="75" spans="1:11" x14ac:dyDescent="0.25">
      <c r="A75" t="s">
        <v>396</v>
      </c>
      <c r="B75" t="s">
        <v>61</v>
      </c>
      <c r="C75" t="s">
        <v>397</v>
      </c>
      <c r="D75">
        <v>30</v>
      </c>
      <c r="E75">
        <v>21</v>
      </c>
      <c r="F75">
        <v>2270133</v>
      </c>
      <c r="G75" t="s">
        <v>412</v>
      </c>
      <c r="H75">
        <v>17.100000000000001</v>
      </c>
      <c r="I75" t="s">
        <v>413</v>
      </c>
      <c r="J75" t="s">
        <v>10</v>
      </c>
      <c r="K75" t="s">
        <v>414</v>
      </c>
    </row>
    <row r="76" spans="1:11" x14ac:dyDescent="0.25">
      <c r="A76" t="s">
        <v>396</v>
      </c>
      <c r="B76" t="s">
        <v>61</v>
      </c>
      <c r="C76" t="s">
        <v>397</v>
      </c>
      <c r="D76">
        <v>20</v>
      </c>
      <c r="E76">
        <v>14</v>
      </c>
      <c r="F76">
        <v>2270133</v>
      </c>
      <c r="G76" t="s">
        <v>412</v>
      </c>
      <c r="H76">
        <v>11.4</v>
      </c>
      <c r="I76" t="s">
        <v>413</v>
      </c>
      <c r="J76" t="s">
        <v>10</v>
      </c>
      <c r="K76" t="s">
        <v>414</v>
      </c>
    </row>
    <row r="77" spans="1:11" x14ac:dyDescent="0.25">
      <c r="A77" t="s">
        <v>396</v>
      </c>
      <c r="B77" t="s">
        <v>61</v>
      </c>
      <c r="C77" t="s">
        <v>397</v>
      </c>
      <c r="D77">
        <v>8</v>
      </c>
      <c r="E77">
        <v>5.6</v>
      </c>
      <c r="F77">
        <v>2270133</v>
      </c>
      <c r="G77" t="s">
        <v>412</v>
      </c>
      <c r="H77">
        <v>4.5599999999999996</v>
      </c>
      <c r="I77" t="s">
        <v>413</v>
      </c>
      <c r="J77" t="s">
        <v>10</v>
      </c>
      <c r="K77" t="s">
        <v>414</v>
      </c>
    </row>
    <row r="78" spans="1:11" x14ac:dyDescent="0.25">
      <c r="A78" t="s">
        <v>415</v>
      </c>
      <c r="B78" t="s">
        <v>9</v>
      </c>
      <c r="C78" t="s">
        <v>397</v>
      </c>
      <c r="D78">
        <v>5953</v>
      </c>
      <c r="E78">
        <v>1127.5650000000001</v>
      </c>
      <c r="F78">
        <v>3432081</v>
      </c>
      <c r="G78" t="s">
        <v>416</v>
      </c>
      <c r="H78">
        <v>494.09899999999999</v>
      </c>
      <c r="I78" t="s">
        <v>417</v>
      </c>
      <c r="J78" t="s">
        <v>10</v>
      </c>
      <c r="K78" t="s">
        <v>418</v>
      </c>
    </row>
    <row r="79" spans="1:11" x14ac:dyDescent="0.25">
      <c r="A79" t="s">
        <v>415</v>
      </c>
      <c r="B79" t="s">
        <v>9</v>
      </c>
      <c r="C79" t="s">
        <v>397</v>
      </c>
      <c r="D79">
        <v>5433</v>
      </c>
      <c r="E79">
        <v>1029.0709999999999</v>
      </c>
      <c r="F79">
        <v>3432081</v>
      </c>
      <c r="G79" t="s">
        <v>416</v>
      </c>
      <c r="H79">
        <v>450.93900000000002</v>
      </c>
      <c r="I79" t="s">
        <v>417</v>
      </c>
      <c r="J79" t="s">
        <v>10</v>
      </c>
      <c r="K79" t="s">
        <v>418</v>
      </c>
    </row>
    <row r="80" spans="1:11" x14ac:dyDescent="0.25">
      <c r="A80" t="s">
        <v>415</v>
      </c>
      <c r="B80" t="s">
        <v>9</v>
      </c>
      <c r="C80" t="s">
        <v>397</v>
      </c>
      <c r="D80">
        <v>14</v>
      </c>
      <c r="E80">
        <v>2.6520000000000001</v>
      </c>
      <c r="F80">
        <v>3432081</v>
      </c>
      <c r="G80" t="s">
        <v>416</v>
      </c>
      <c r="H80">
        <v>1.1619999999999999</v>
      </c>
      <c r="I80" t="s">
        <v>417</v>
      </c>
      <c r="J80" t="s">
        <v>10</v>
      </c>
      <c r="K80" t="s">
        <v>418</v>
      </c>
    </row>
    <row r="81" spans="1:11" x14ac:dyDescent="0.25">
      <c r="A81" t="s">
        <v>419</v>
      </c>
      <c r="B81" t="s">
        <v>46</v>
      </c>
      <c r="C81" t="s">
        <v>397</v>
      </c>
      <c r="D81">
        <v>12806</v>
      </c>
      <c r="E81">
        <v>3215.3850000000002</v>
      </c>
      <c r="F81">
        <v>1939993</v>
      </c>
      <c r="G81" t="s">
        <v>416</v>
      </c>
      <c r="H81">
        <v>1408.66</v>
      </c>
      <c r="I81" t="s">
        <v>420</v>
      </c>
      <c r="J81" t="s">
        <v>10</v>
      </c>
      <c r="K81" t="s">
        <v>421</v>
      </c>
    </row>
    <row r="82" spans="1:11" x14ac:dyDescent="0.25">
      <c r="A82" t="s">
        <v>419</v>
      </c>
      <c r="B82" t="s">
        <v>46</v>
      </c>
      <c r="C82" t="s">
        <v>397</v>
      </c>
      <c r="D82">
        <v>5181</v>
      </c>
      <c r="E82">
        <v>1300.867</v>
      </c>
      <c r="F82">
        <v>1939993</v>
      </c>
      <c r="G82" t="s">
        <v>416</v>
      </c>
      <c r="H82">
        <v>569.91</v>
      </c>
      <c r="I82" t="s">
        <v>420</v>
      </c>
      <c r="J82" t="s">
        <v>10</v>
      </c>
      <c r="K82" t="s">
        <v>421</v>
      </c>
    </row>
    <row r="83" spans="1:11" x14ac:dyDescent="0.25">
      <c r="A83" t="s">
        <v>419</v>
      </c>
      <c r="B83" t="s">
        <v>46</v>
      </c>
      <c r="C83" t="s">
        <v>397</v>
      </c>
      <c r="D83">
        <v>1390</v>
      </c>
      <c r="E83">
        <v>349.00700000000001</v>
      </c>
      <c r="F83">
        <v>1939993</v>
      </c>
      <c r="G83" t="s">
        <v>416</v>
      </c>
      <c r="H83">
        <v>152.9</v>
      </c>
      <c r="I83" t="s">
        <v>420</v>
      </c>
      <c r="J83" t="s">
        <v>10</v>
      </c>
      <c r="K83" t="s">
        <v>421</v>
      </c>
    </row>
    <row r="84" spans="1:11" x14ac:dyDescent="0.25">
      <c r="A84" t="s">
        <v>419</v>
      </c>
      <c r="B84" t="s">
        <v>46</v>
      </c>
      <c r="C84" t="s">
        <v>397</v>
      </c>
      <c r="D84">
        <v>1490</v>
      </c>
      <c r="E84">
        <v>374.11500000000001</v>
      </c>
      <c r="F84">
        <v>1939993</v>
      </c>
      <c r="G84" t="s">
        <v>416</v>
      </c>
      <c r="H84">
        <v>163.9</v>
      </c>
      <c r="I84" t="s">
        <v>420</v>
      </c>
      <c r="J84" t="s">
        <v>10</v>
      </c>
      <c r="K84" t="s">
        <v>421</v>
      </c>
    </row>
    <row r="85" spans="1:11" x14ac:dyDescent="0.25">
      <c r="A85" t="s">
        <v>419</v>
      </c>
      <c r="B85" t="s">
        <v>46</v>
      </c>
      <c r="C85" t="s">
        <v>397</v>
      </c>
      <c r="D85">
        <v>33</v>
      </c>
      <c r="E85">
        <v>8.2859999999999996</v>
      </c>
      <c r="F85">
        <v>1939993</v>
      </c>
      <c r="G85" t="s">
        <v>416</v>
      </c>
      <c r="H85">
        <v>3.63</v>
      </c>
      <c r="I85" t="s">
        <v>420</v>
      </c>
      <c r="J85" t="s">
        <v>10</v>
      </c>
      <c r="K85" t="s">
        <v>421</v>
      </c>
    </row>
    <row r="86" spans="1:11" x14ac:dyDescent="0.25">
      <c r="A86" t="s">
        <v>422</v>
      </c>
      <c r="B86" t="s">
        <v>30</v>
      </c>
      <c r="C86" t="s">
        <v>397</v>
      </c>
      <c r="D86">
        <v>823</v>
      </c>
      <c r="E86">
        <v>1437.0550000000001</v>
      </c>
      <c r="F86">
        <v>3672606</v>
      </c>
      <c r="G86" t="s">
        <v>423</v>
      </c>
      <c r="H86">
        <v>527.54300000000001</v>
      </c>
      <c r="I86" t="s">
        <v>424</v>
      </c>
      <c r="J86" t="s">
        <v>10</v>
      </c>
      <c r="K86" t="s">
        <v>425</v>
      </c>
    </row>
    <row r="87" spans="1:11" x14ac:dyDescent="0.25">
      <c r="A87" t="s">
        <v>422</v>
      </c>
      <c r="B87" t="s">
        <v>30</v>
      </c>
      <c r="C87" t="s">
        <v>397</v>
      </c>
      <c r="D87">
        <v>698</v>
      </c>
      <c r="E87">
        <v>1218.7909999999999</v>
      </c>
      <c r="F87">
        <v>3672606</v>
      </c>
      <c r="G87" t="s">
        <v>423</v>
      </c>
      <c r="H87">
        <v>447.41800000000001</v>
      </c>
      <c r="I87" t="s">
        <v>424</v>
      </c>
      <c r="J87" t="s">
        <v>10</v>
      </c>
      <c r="K87" t="s">
        <v>425</v>
      </c>
    </row>
    <row r="88" spans="1:11" x14ac:dyDescent="0.25">
      <c r="A88" t="s">
        <v>422</v>
      </c>
      <c r="B88" t="s">
        <v>30</v>
      </c>
      <c r="C88" t="s">
        <v>397</v>
      </c>
      <c r="D88">
        <v>479</v>
      </c>
      <c r="E88">
        <v>836.39099999999996</v>
      </c>
      <c r="F88">
        <v>3672606</v>
      </c>
      <c r="G88" t="s">
        <v>423</v>
      </c>
      <c r="H88">
        <v>307.03899999999999</v>
      </c>
      <c r="I88" t="s">
        <v>424</v>
      </c>
      <c r="J88" t="s">
        <v>10</v>
      </c>
      <c r="K88" t="s">
        <v>425</v>
      </c>
    </row>
    <row r="89" spans="1:11" x14ac:dyDescent="0.25">
      <c r="A89" t="s">
        <v>396</v>
      </c>
      <c r="B89" t="s">
        <v>61</v>
      </c>
      <c r="C89" t="s">
        <v>397</v>
      </c>
      <c r="D89">
        <v>9171</v>
      </c>
      <c r="E89">
        <v>2386.4279999999999</v>
      </c>
      <c r="F89">
        <v>1932848</v>
      </c>
      <c r="G89" t="s">
        <v>416</v>
      </c>
      <c r="H89">
        <v>1045.4939999999999</v>
      </c>
      <c r="I89" t="s">
        <v>426</v>
      </c>
      <c r="J89" t="s">
        <v>10</v>
      </c>
      <c r="K89" t="s">
        <v>427</v>
      </c>
    </row>
    <row r="90" spans="1:11" x14ac:dyDescent="0.25">
      <c r="A90" t="s">
        <v>396</v>
      </c>
      <c r="B90" t="s">
        <v>61</v>
      </c>
      <c r="C90" t="s">
        <v>397</v>
      </c>
      <c r="D90">
        <v>3570</v>
      </c>
      <c r="E90">
        <v>928.96600000000001</v>
      </c>
      <c r="F90">
        <v>1932848</v>
      </c>
      <c r="G90" t="s">
        <v>416</v>
      </c>
      <c r="H90">
        <v>406.98</v>
      </c>
      <c r="I90" t="s">
        <v>426</v>
      </c>
      <c r="J90" t="s">
        <v>10</v>
      </c>
      <c r="K90" t="s">
        <v>427</v>
      </c>
    </row>
    <row r="91" spans="1:11" x14ac:dyDescent="0.25">
      <c r="A91" t="s">
        <v>396</v>
      </c>
      <c r="B91" t="s">
        <v>61</v>
      </c>
      <c r="C91" t="s">
        <v>397</v>
      </c>
      <c r="D91">
        <v>159</v>
      </c>
      <c r="E91">
        <v>41.374000000000002</v>
      </c>
      <c r="F91">
        <v>1932848</v>
      </c>
      <c r="G91" t="s">
        <v>416</v>
      </c>
      <c r="H91">
        <v>18.126000000000001</v>
      </c>
      <c r="I91" t="s">
        <v>426</v>
      </c>
      <c r="J91" t="s">
        <v>10</v>
      </c>
      <c r="K91" t="s">
        <v>427</v>
      </c>
    </row>
    <row r="92" spans="1:11" x14ac:dyDescent="0.25">
      <c r="A92" t="s">
        <v>396</v>
      </c>
      <c r="B92" t="s">
        <v>61</v>
      </c>
      <c r="C92" t="s">
        <v>397</v>
      </c>
      <c r="D92">
        <v>2596</v>
      </c>
      <c r="E92">
        <v>675.51700000000005</v>
      </c>
      <c r="F92">
        <v>1932848</v>
      </c>
      <c r="G92" t="s">
        <v>416</v>
      </c>
      <c r="H92">
        <v>295.94400000000002</v>
      </c>
      <c r="I92" t="s">
        <v>426</v>
      </c>
      <c r="J92" t="s">
        <v>10</v>
      </c>
      <c r="K92" t="s">
        <v>427</v>
      </c>
    </row>
    <row r="93" spans="1:11" x14ac:dyDescent="0.25">
      <c r="A93" t="s">
        <v>396</v>
      </c>
      <c r="B93" t="s">
        <v>61</v>
      </c>
      <c r="C93" t="s">
        <v>397</v>
      </c>
      <c r="D93">
        <v>2105</v>
      </c>
      <c r="E93">
        <v>547.75199999999995</v>
      </c>
      <c r="F93">
        <v>1932848</v>
      </c>
      <c r="G93" t="s">
        <v>416</v>
      </c>
      <c r="H93">
        <v>239.97</v>
      </c>
      <c r="I93" t="s">
        <v>426</v>
      </c>
      <c r="J93" t="s">
        <v>10</v>
      </c>
      <c r="K93" t="s">
        <v>427</v>
      </c>
    </row>
    <row r="94" spans="1:11" x14ac:dyDescent="0.25">
      <c r="A94" t="s">
        <v>396</v>
      </c>
      <c r="B94" t="s">
        <v>61</v>
      </c>
      <c r="C94" t="s">
        <v>397</v>
      </c>
      <c r="D94">
        <v>299</v>
      </c>
      <c r="E94">
        <v>77.804000000000002</v>
      </c>
      <c r="F94">
        <v>1932848</v>
      </c>
      <c r="G94" t="s">
        <v>416</v>
      </c>
      <c r="H94">
        <v>34.085999999999999</v>
      </c>
      <c r="I94" t="s">
        <v>426</v>
      </c>
      <c r="J94" t="s">
        <v>10</v>
      </c>
      <c r="K94" t="s">
        <v>427</v>
      </c>
    </row>
    <row r="95" spans="1:11" x14ac:dyDescent="0.25">
      <c r="A95" t="s">
        <v>422</v>
      </c>
      <c r="B95" t="s">
        <v>30</v>
      </c>
      <c r="C95" t="s">
        <v>397</v>
      </c>
      <c r="D95">
        <v>3074</v>
      </c>
      <c r="E95">
        <v>1653.825</v>
      </c>
      <c r="F95">
        <v>3786201</v>
      </c>
      <c r="G95" t="s">
        <v>428</v>
      </c>
      <c r="H95">
        <v>2590.221</v>
      </c>
      <c r="I95" t="s">
        <v>429</v>
      </c>
      <c r="J95" t="s">
        <v>10</v>
      </c>
      <c r="K95" t="s">
        <v>430</v>
      </c>
    </row>
    <row r="96" spans="1:11" x14ac:dyDescent="0.25">
      <c r="A96" t="s">
        <v>422</v>
      </c>
      <c r="B96" t="s">
        <v>30</v>
      </c>
      <c r="C96" t="s">
        <v>397</v>
      </c>
      <c r="D96">
        <v>1464</v>
      </c>
      <c r="E96">
        <v>787.63800000000003</v>
      </c>
      <c r="F96">
        <v>3786201</v>
      </c>
      <c r="G96" t="s">
        <v>428</v>
      </c>
      <c r="H96">
        <v>1233.5989999999999</v>
      </c>
      <c r="I96" t="s">
        <v>429</v>
      </c>
      <c r="J96" t="s">
        <v>10</v>
      </c>
      <c r="K96" t="s">
        <v>430</v>
      </c>
    </row>
    <row r="97" spans="1:11" x14ac:dyDescent="0.25">
      <c r="A97" t="s">
        <v>422</v>
      </c>
      <c r="B97" t="s">
        <v>30</v>
      </c>
      <c r="C97" t="s">
        <v>397</v>
      </c>
      <c r="D97">
        <v>1032</v>
      </c>
      <c r="E97">
        <v>555.22</v>
      </c>
      <c r="F97">
        <v>3786201</v>
      </c>
      <c r="G97" t="s">
        <v>428</v>
      </c>
      <c r="H97">
        <v>869.58600000000001</v>
      </c>
      <c r="I97" t="s">
        <v>429</v>
      </c>
      <c r="J97" t="s">
        <v>10</v>
      </c>
      <c r="K97" t="s">
        <v>430</v>
      </c>
    </row>
    <row r="98" spans="1:11" x14ac:dyDescent="0.25">
      <c r="A98" t="s">
        <v>422</v>
      </c>
      <c r="B98" t="s">
        <v>30</v>
      </c>
      <c r="C98" t="s">
        <v>397</v>
      </c>
      <c r="D98">
        <v>470</v>
      </c>
      <c r="E98">
        <v>252.86199999999999</v>
      </c>
      <c r="F98">
        <v>3786201</v>
      </c>
      <c r="G98" t="s">
        <v>428</v>
      </c>
      <c r="H98">
        <v>396.03199999999998</v>
      </c>
      <c r="I98" t="s">
        <v>429</v>
      </c>
      <c r="J98" t="s">
        <v>10</v>
      </c>
      <c r="K98" t="s">
        <v>430</v>
      </c>
    </row>
    <row r="99" spans="1:11" x14ac:dyDescent="0.25">
      <c r="A99" t="s">
        <v>422</v>
      </c>
      <c r="B99" t="s">
        <v>30</v>
      </c>
      <c r="C99" t="s">
        <v>397</v>
      </c>
      <c r="D99">
        <v>1090</v>
      </c>
      <c r="E99">
        <v>586.42499999999995</v>
      </c>
      <c r="F99">
        <v>3786201</v>
      </c>
      <c r="G99" t="s">
        <v>428</v>
      </c>
      <c r="H99">
        <v>918.45799999999997</v>
      </c>
      <c r="I99" t="s">
        <v>429</v>
      </c>
      <c r="J99" t="s">
        <v>10</v>
      </c>
      <c r="K99" t="s">
        <v>430</v>
      </c>
    </row>
    <row r="100" spans="1:11" x14ac:dyDescent="0.25">
      <c r="A100" t="s">
        <v>422</v>
      </c>
      <c r="B100" t="s">
        <v>30</v>
      </c>
      <c r="C100" t="s">
        <v>397</v>
      </c>
      <c r="D100">
        <v>850</v>
      </c>
      <c r="E100">
        <v>457.30399999999997</v>
      </c>
      <c r="F100">
        <v>3786201</v>
      </c>
      <c r="G100" t="s">
        <v>428</v>
      </c>
      <c r="H100">
        <v>716.22900000000004</v>
      </c>
      <c r="I100" t="s">
        <v>429</v>
      </c>
      <c r="J100" t="s">
        <v>10</v>
      </c>
      <c r="K100" t="s">
        <v>430</v>
      </c>
    </row>
    <row r="101" spans="1:11" x14ac:dyDescent="0.25">
      <c r="A101" t="s">
        <v>422</v>
      </c>
      <c r="B101" t="s">
        <v>30</v>
      </c>
      <c r="C101" t="s">
        <v>397</v>
      </c>
      <c r="D101">
        <v>15</v>
      </c>
      <c r="E101">
        <v>8.07</v>
      </c>
      <c r="F101">
        <v>3786201</v>
      </c>
      <c r="G101" t="s">
        <v>428</v>
      </c>
      <c r="H101">
        <v>12.638999999999999</v>
      </c>
      <c r="I101" t="s">
        <v>429</v>
      </c>
      <c r="J101" t="s">
        <v>10</v>
      </c>
      <c r="K101" t="s">
        <v>430</v>
      </c>
    </row>
    <row r="102" spans="1:11" x14ac:dyDescent="0.25">
      <c r="A102" t="s">
        <v>422</v>
      </c>
      <c r="B102" t="s">
        <v>30</v>
      </c>
      <c r="C102" t="s">
        <v>397</v>
      </c>
      <c r="D102">
        <v>5</v>
      </c>
      <c r="E102">
        <v>2.69</v>
      </c>
      <c r="F102">
        <v>3786201</v>
      </c>
      <c r="G102" t="s">
        <v>428</v>
      </c>
      <c r="H102">
        <v>4.2130000000000001</v>
      </c>
      <c r="I102" t="s">
        <v>429</v>
      </c>
      <c r="J102" t="s">
        <v>10</v>
      </c>
      <c r="K102" t="s">
        <v>430</v>
      </c>
    </row>
    <row r="103" spans="1:11" x14ac:dyDescent="0.25">
      <c r="A103" t="s">
        <v>396</v>
      </c>
      <c r="B103" t="s">
        <v>61</v>
      </c>
      <c r="C103" t="s">
        <v>397</v>
      </c>
      <c r="D103">
        <v>13162</v>
      </c>
      <c r="E103">
        <v>3695.3339999999998</v>
      </c>
      <c r="F103">
        <v>1939994</v>
      </c>
      <c r="G103" t="s">
        <v>416</v>
      </c>
      <c r="H103">
        <v>1618.9259999999999</v>
      </c>
      <c r="I103" t="s">
        <v>431</v>
      </c>
      <c r="J103" t="s">
        <v>10</v>
      </c>
      <c r="K103" t="s">
        <v>432</v>
      </c>
    </row>
    <row r="104" spans="1:11" x14ac:dyDescent="0.25">
      <c r="A104" t="s">
        <v>396</v>
      </c>
      <c r="B104" t="s">
        <v>61</v>
      </c>
      <c r="C104" t="s">
        <v>397</v>
      </c>
      <c r="D104">
        <v>5886</v>
      </c>
      <c r="E104">
        <v>1652.5409999999999</v>
      </c>
      <c r="F104">
        <v>1939994</v>
      </c>
      <c r="G104" t="s">
        <v>416</v>
      </c>
      <c r="H104">
        <v>723.97799999999995</v>
      </c>
      <c r="I104" t="s">
        <v>431</v>
      </c>
      <c r="J104" t="s">
        <v>10</v>
      </c>
      <c r="K104" t="s">
        <v>432</v>
      </c>
    </row>
    <row r="105" spans="1:11" x14ac:dyDescent="0.25">
      <c r="A105" t="s">
        <v>396</v>
      </c>
      <c r="B105" t="s">
        <v>61</v>
      </c>
      <c r="C105" t="s">
        <v>397</v>
      </c>
      <c r="D105">
        <v>1495</v>
      </c>
      <c r="E105">
        <v>419.733</v>
      </c>
      <c r="F105">
        <v>1939994</v>
      </c>
      <c r="G105" t="s">
        <v>416</v>
      </c>
      <c r="H105">
        <v>183.88499999999999</v>
      </c>
      <c r="I105" t="s">
        <v>431</v>
      </c>
      <c r="J105" t="s">
        <v>10</v>
      </c>
      <c r="K105" t="s">
        <v>432</v>
      </c>
    </row>
    <row r="106" spans="1:11" x14ac:dyDescent="0.25">
      <c r="A106" t="s">
        <v>396</v>
      </c>
      <c r="B106" t="s">
        <v>61</v>
      </c>
      <c r="C106" t="s">
        <v>397</v>
      </c>
      <c r="D106">
        <v>1157</v>
      </c>
      <c r="E106">
        <v>324.83699999999999</v>
      </c>
      <c r="F106">
        <v>1939994</v>
      </c>
      <c r="G106" t="s">
        <v>416</v>
      </c>
      <c r="H106">
        <v>142.31100000000001</v>
      </c>
      <c r="I106" t="s">
        <v>431</v>
      </c>
      <c r="J106" t="s">
        <v>10</v>
      </c>
      <c r="K106" t="s">
        <v>432</v>
      </c>
    </row>
    <row r="107" spans="1:11" x14ac:dyDescent="0.25">
      <c r="A107" t="s">
        <v>419</v>
      </c>
      <c r="B107" t="s">
        <v>46</v>
      </c>
      <c r="C107" t="s">
        <v>397</v>
      </c>
      <c r="D107">
        <v>5731</v>
      </c>
      <c r="E107">
        <v>1687.5119999999999</v>
      </c>
      <c r="F107">
        <v>1939996</v>
      </c>
      <c r="G107" t="s">
        <v>416</v>
      </c>
      <c r="H107">
        <v>739.29899999999998</v>
      </c>
      <c r="I107" t="s">
        <v>433</v>
      </c>
      <c r="J107" t="s">
        <v>10</v>
      </c>
      <c r="K107" t="s">
        <v>434</v>
      </c>
    </row>
    <row r="108" spans="1:11" x14ac:dyDescent="0.25">
      <c r="A108" t="s">
        <v>419</v>
      </c>
      <c r="B108" t="s">
        <v>46</v>
      </c>
      <c r="C108" t="s">
        <v>397</v>
      </c>
      <c r="D108">
        <v>2705</v>
      </c>
      <c r="E108">
        <v>796.49599999999998</v>
      </c>
      <c r="F108">
        <v>1939996</v>
      </c>
      <c r="G108" t="s">
        <v>416</v>
      </c>
      <c r="H108">
        <v>348.94499999999999</v>
      </c>
      <c r="I108" t="s">
        <v>433</v>
      </c>
      <c r="J108" t="s">
        <v>10</v>
      </c>
      <c r="K108" t="s">
        <v>434</v>
      </c>
    </row>
    <row r="109" spans="1:11" x14ac:dyDescent="0.25">
      <c r="A109" t="s">
        <v>419</v>
      </c>
      <c r="B109" t="s">
        <v>46</v>
      </c>
      <c r="C109" t="s">
        <v>397</v>
      </c>
      <c r="D109">
        <v>2410</v>
      </c>
      <c r="E109">
        <v>709.63300000000004</v>
      </c>
      <c r="F109">
        <v>1939996</v>
      </c>
      <c r="G109" t="s">
        <v>416</v>
      </c>
      <c r="H109">
        <v>310.89</v>
      </c>
      <c r="I109" t="s">
        <v>433</v>
      </c>
      <c r="J109" t="s">
        <v>10</v>
      </c>
      <c r="K109" t="s">
        <v>434</v>
      </c>
    </row>
    <row r="110" spans="1:11" x14ac:dyDescent="0.25">
      <c r="A110" t="s">
        <v>419</v>
      </c>
      <c r="B110" t="s">
        <v>46</v>
      </c>
      <c r="C110" t="s">
        <v>397</v>
      </c>
      <c r="D110">
        <v>154</v>
      </c>
      <c r="E110">
        <v>45.345999999999997</v>
      </c>
      <c r="F110">
        <v>1939996</v>
      </c>
      <c r="G110" t="s">
        <v>416</v>
      </c>
      <c r="H110">
        <v>19.866</v>
      </c>
      <c r="I110" t="s">
        <v>433</v>
      </c>
      <c r="J110" t="s">
        <v>10</v>
      </c>
      <c r="K110" t="s">
        <v>434</v>
      </c>
    </row>
    <row r="111" spans="1:11" x14ac:dyDescent="0.25">
      <c r="A111" t="s">
        <v>422</v>
      </c>
      <c r="B111" t="s">
        <v>30</v>
      </c>
      <c r="C111" t="s">
        <v>397</v>
      </c>
      <c r="D111">
        <v>2799</v>
      </c>
      <c r="E111">
        <v>1643.0060000000001</v>
      </c>
      <c r="F111">
        <v>3786202</v>
      </c>
      <c r="G111" t="s">
        <v>428</v>
      </c>
      <c r="H111">
        <v>2573.2759999999998</v>
      </c>
      <c r="I111" t="s">
        <v>435</v>
      </c>
      <c r="J111" t="s">
        <v>10</v>
      </c>
      <c r="K111" t="s">
        <v>436</v>
      </c>
    </row>
    <row r="112" spans="1:11" x14ac:dyDescent="0.25">
      <c r="A112" t="s">
        <v>422</v>
      </c>
      <c r="B112" t="s">
        <v>30</v>
      </c>
      <c r="C112" t="s">
        <v>397</v>
      </c>
      <c r="D112">
        <v>1399</v>
      </c>
      <c r="E112">
        <v>821.21</v>
      </c>
      <c r="F112">
        <v>3786202</v>
      </c>
      <c r="G112" t="s">
        <v>428</v>
      </c>
      <c r="H112">
        <v>1286.1780000000001</v>
      </c>
      <c r="I112" t="s">
        <v>435</v>
      </c>
      <c r="J112" t="s">
        <v>10</v>
      </c>
      <c r="K112" t="s">
        <v>436</v>
      </c>
    </row>
    <row r="113" spans="1:11" x14ac:dyDescent="0.25">
      <c r="A113" t="s">
        <v>422</v>
      </c>
      <c r="B113" t="s">
        <v>30</v>
      </c>
      <c r="C113" t="s">
        <v>397</v>
      </c>
      <c r="D113">
        <v>2</v>
      </c>
      <c r="E113">
        <v>1.1739999999999999</v>
      </c>
      <c r="F113">
        <v>3786202</v>
      </c>
      <c r="G113" t="s">
        <v>428</v>
      </c>
      <c r="H113">
        <v>1.839</v>
      </c>
      <c r="I113" t="s">
        <v>435</v>
      </c>
      <c r="J113" t="s">
        <v>10</v>
      </c>
      <c r="K113" t="s">
        <v>436</v>
      </c>
    </row>
    <row r="114" spans="1:11" x14ac:dyDescent="0.25">
      <c r="A114" t="s">
        <v>422</v>
      </c>
      <c r="B114" t="s">
        <v>30</v>
      </c>
      <c r="C114" t="s">
        <v>397</v>
      </c>
      <c r="D114">
        <v>1222</v>
      </c>
      <c r="E114">
        <v>717.31100000000004</v>
      </c>
      <c r="F114">
        <v>3786202</v>
      </c>
      <c r="G114" t="s">
        <v>428</v>
      </c>
      <c r="H114">
        <v>1123.452</v>
      </c>
      <c r="I114" t="s">
        <v>435</v>
      </c>
      <c r="J114" t="s">
        <v>10</v>
      </c>
      <c r="K114" t="s">
        <v>436</v>
      </c>
    </row>
    <row r="115" spans="1:11" x14ac:dyDescent="0.25">
      <c r="A115" t="s">
        <v>422</v>
      </c>
      <c r="B115" t="s">
        <v>30</v>
      </c>
      <c r="C115" t="s">
        <v>397</v>
      </c>
      <c r="D115">
        <v>18</v>
      </c>
      <c r="E115">
        <v>10.566000000000001</v>
      </c>
      <c r="F115">
        <v>3786202</v>
      </c>
      <c r="G115" t="s">
        <v>428</v>
      </c>
      <c r="H115">
        <v>16.547999999999998</v>
      </c>
      <c r="I115" t="s">
        <v>435</v>
      </c>
      <c r="J115" t="s">
        <v>10</v>
      </c>
      <c r="K115" t="s">
        <v>436</v>
      </c>
    </row>
    <row r="116" spans="1:11" x14ac:dyDescent="0.25">
      <c r="A116" t="s">
        <v>437</v>
      </c>
      <c r="B116" t="s">
        <v>18</v>
      </c>
      <c r="C116" t="s">
        <v>397</v>
      </c>
      <c r="D116">
        <v>4287</v>
      </c>
      <c r="E116">
        <v>4079.596</v>
      </c>
      <c r="F116">
        <v>3172238</v>
      </c>
      <c r="G116" t="s">
        <v>416</v>
      </c>
      <c r="H116">
        <v>1787.6790000000001</v>
      </c>
      <c r="I116" t="s">
        <v>438</v>
      </c>
      <c r="J116" t="s">
        <v>10</v>
      </c>
      <c r="K116" t="s">
        <v>439</v>
      </c>
    </row>
    <row r="117" spans="1:11" x14ac:dyDescent="0.25">
      <c r="A117" t="s">
        <v>422</v>
      </c>
      <c r="B117" t="s">
        <v>30</v>
      </c>
      <c r="C117" t="s">
        <v>397</v>
      </c>
      <c r="D117">
        <v>750</v>
      </c>
      <c r="E117">
        <v>1201.308</v>
      </c>
      <c r="F117">
        <v>1941846</v>
      </c>
      <c r="G117" t="s">
        <v>423</v>
      </c>
      <c r="H117">
        <v>441</v>
      </c>
      <c r="I117" t="s">
        <v>440</v>
      </c>
      <c r="J117" t="s">
        <v>10</v>
      </c>
      <c r="K117" t="s">
        <v>441</v>
      </c>
    </row>
    <row r="118" spans="1:11" x14ac:dyDescent="0.25">
      <c r="A118" t="s">
        <v>422</v>
      </c>
      <c r="B118" t="s">
        <v>30</v>
      </c>
      <c r="C118" t="s">
        <v>397</v>
      </c>
      <c r="D118">
        <v>553</v>
      </c>
      <c r="E118">
        <v>885.76400000000001</v>
      </c>
      <c r="F118">
        <v>1941846</v>
      </c>
      <c r="G118" t="s">
        <v>423</v>
      </c>
      <c r="H118">
        <v>325.16399999999999</v>
      </c>
      <c r="I118" t="s">
        <v>440</v>
      </c>
      <c r="J118" t="s">
        <v>10</v>
      </c>
      <c r="K118" t="s">
        <v>441</v>
      </c>
    </row>
    <row r="119" spans="1:11" x14ac:dyDescent="0.25">
      <c r="A119" t="s">
        <v>422</v>
      </c>
      <c r="B119" t="s">
        <v>30</v>
      </c>
      <c r="C119" t="s">
        <v>397</v>
      </c>
      <c r="D119">
        <v>976</v>
      </c>
      <c r="E119">
        <v>1563.3019999999999</v>
      </c>
      <c r="F119">
        <v>1941846</v>
      </c>
      <c r="G119" t="s">
        <v>423</v>
      </c>
      <c r="H119">
        <v>573.88800000000003</v>
      </c>
      <c r="I119" t="s">
        <v>440</v>
      </c>
      <c r="J119" t="s">
        <v>10</v>
      </c>
      <c r="K119" t="s">
        <v>441</v>
      </c>
    </row>
    <row r="120" spans="1:11" x14ac:dyDescent="0.25">
      <c r="A120" t="s">
        <v>422</v>
      </c>
      <c r="B120" t="s">
        <v>30</v>
      </c>
      <c r="C120" t="s">
        <v>397</v>
      </c>
      <c r="D120">
        <v>630</v>
      </c>
      <c r="E120">
        <v>1009.098</v>
      </c>
      <c r="F120">
        <v>1941846</v>
      </c>
      <c r="G120" t="s">
        <v>423</v>
      </c>
      <c r="H120">
        <v>370.44</v>
      </c>
      <c r="I120" t="s">
        <v>440</v>
      </c>
      <c r="J120" t="s">
        <v>10</v>
      </c>
      <c r="K120" t="s">
        <v>441</v>
      </c>
    </row>
    <row r="121" spans="1:11" x14ac:dyDescent="0.25">
      <c r="A121" t="s">
        <v>422</v>
      </c>
      <c r="B121" t="s">
        <v>30</v>
      </c>
      <c r="C121" t="s">
        <v>397</v>
      </c>
      <c r="D121">
        <v>445</v>
      </c>
      <c r="E121">
        <v>712.77599999999995</v>
      </c>
      <c r="F121">
        <v>1941846</v>
      </c>
      <c r="G121" t="s">
        <v>423</v>
      </c>
      <c r="H121">
        <v>261.66000000000003</v>
      </c>
      <c r="I121" t="s">
        <v>440</v>
      </c>
      <c r="J121" t="s">
        <v>10</v>
      </c>
      <c r="K121" t="s">
        <v>441</v>
      </c>
    </row>
    <row r="122" spans="1:11" x14ac:dyDescent="0.25">
      <c r="A122" t="s">
        <v>422</v>
      </c>
      <c r="B122" t="s">
        <v>30</v>
      </c>
      <c r="C122" t="s">
        <v>397</v>
      </c>
      <c r="D122">
        <v>139</v>
      </c>
      <c r="E122">
        <v>222.642</v>
      </c>
      <c r="F122">
        <v>1941846</v>
      </c>
      <c r="G122" t="s">
        <v>423</v>
      </c>
      <c r="H122">
        <v>81.731999999999999</v>
      </c>
      <c r="I122" t="s">
        <v>440</v>
      </c>
      <c r="J122" t="s">
        <v>10</v>
      </c>
      <c r="K122" t="s">
        <v>441</v>
      </c>
    </row>
    <row r="123" spans="1:11" x14ac:dyDescent="0.25">
      <c r="A123" t="s">
        <v>422</v>
      </c>
      <c r="B123" t="s">
        <v>30</v>
      </c>
      <c r="C123" t="s">
        <v>397</v>
      </c>
      <c r="D123">
        <v>57</v>
      </c>
      <c r="E123">
        <v>91.299000000000007</v>
      </c>
      <c r="F123">
        <v>1941846</v>
      </c>
      <c r="G123" t="s">
        <v>423</v>
      </c>
      <c r="H123">
        <v>33.515999999999998</v>
      </c>
      <c r="I123" t="s">
        <v>440</v>
      </c>
      <c r="J123" t="s">
        <v>10</v>
      </c>
      <c r="K123" t="s">
        <v>441</v>
      </c>
    </row>
    <row r="124" spans="1:11" x14ac:dyDescent="0.25">
      <c r="A124" t="s">
        <v>422</v>
      </c>
      <c r="B124" t="s">
        <v>30</v>
      </c>
      <c r="C124" t="s">
        <v>397</v>
      </c>
      <c r="D124">
        <v>25</v>
      </c>
      <c r="E124">
        <v>40.043999999999997</v>
      </c>
      <c r="F124">
        <v>1941846</v>
      </c>
      <c r="G124" t="s">
        <v>423</v>
      </c>
      <c r="H124">
        <v>14.7</v>
      </c>
      <c r="I124" t="s">
        <v>440</v>
      </c>
      <c r="J124" t="s">
        <v>10</v>
      </c>
      <c r="K124" t="s">
        <v>441</v>
      </c>
    </row>
    <row r="125" spans="1:11" x14ac:dyDescent="0.25">
      <c r="A125" t="s">
        <v>422</v>
      </c>
      <c r="B125" t="s">
        <v>30</v>
      </c>
      <c r="C125" t="s">
        <v>397</v>
      </c>
      <c r="D125">
        <v>1125</v>
      </c>
      <c r="E125">
        <v>1801.961</v>
      </c>
      <c r="F125">
        <v>1941846</v>
      </c>
      <c r="G125" t="s">
        <v>423</v>
      </c>
      <c r="H125">
        <v>661.5</v>
      </c>
      <c r="I125" t="s">
        <v>440</v>
      </c>
      <c r="J125" t="s">
        <v>10</v>
      </c>
      <c r="K125" t="s">
        <v>441</v>
      </c>
    </row>
    <row r="126" spans="1:11" x14ac:dyDescent="0.25">
      <c r="A126" t="s">
        <v>422</v>
      </c>
      <c r="B126" t="s">
        <v>30</v>
      </c>
      <c r="C126" t="s">
        <v>397</v>
      </c>
      <c r="D126">
        <v>880</v>
      </c>
      <c r="E126">
        <v>1409.5340000000001</v>
      </c>
      <c r="F126">
        <v>1941846</v>
      </c>
      <c r="G126" t="s">
        <v>423</v>
      </c>
      <c r="H126">
        <v>517.44000000000005</v>
      </c>
      <c r="I126" t="s">
        <v>440</v>
      </c>
      <c r="J126" t="s">
        <v>10</v>
      </c>
      <c r="K126" t="s">
        <v>441</v>
      </c>
    </row>
    <row r="127" spans="1:11" x14ac:dyDescent="0.25">
      <c r="A127" t="s">
        <v>422</v>
      </c>
      <c r="B127" t="s">
        <v>30</v>
      </c>
      <c r="C127" t="s">
        <v>397</v>
      </c>
      <c r="D127">
        <v>370</v>
      </c>
      <c r="E127">
        <v>592.64499999999998</v>
      </c>
      <c r="F127">
        <v>1941846</v>
      </c>
      <c r="G127" t="s">
        <v>423</v>
      </c>
      <c r="H127">
        <v>217.56</v>
      </c>
      <c r="I127" t="s">
        <v>440</v>
      </c>
      <c r="J127" t="s">
        <v>10</v>
      </c>
      <c r="K127" t="s">
        <v>441</v>
      </c>
    </row>
    <row r="128" spans="1:11" x14ac:dyDescent="0.25">
      <c r="A128" t="s">
        <v>422</v>
      </c>
      <c r="B128" t="s">
        <v>30</v>
      </c>
      <c r="C128" t="s">
        <v>397</v>
      </c>
      <c r="D128">
        <v>2375</v>
      </c>
      <c r="E128">
        <v>3804.1410000000001</v>
      </c>
      <c r="F128">
        <v>1941846</v>
      </c>
      <c r="G128" t="s">
        <v>423</v>
      </c>
      <c r="H128">
        <v>1396.5</v>
      </c>
      <c r="I128" t="s">
        <v>440</v>
      </c>
      <c r="J128" t="s">
        <v>10</v>
      </c>
      <c r="K128" t="s">
        <v>441</v>
      </c>
    </row>
    <row r="129" spans="1:11" x14ac:dyDescent="0.25">
      <c r="A129" t="s">
        <v>437</v>
      </c>
      <c r="B129" t="s">
        <v>18</v>
      </c>
      <c r="C129" t="s">
        <v>397</v>
      </c>
      <c r="D129">
        <v>1470</v>
      </c>
      <c r="E129">
        <v>1398.8820000000001</v>
      </c>
      <c r="F129">
        <v>3620427</v>
      </c>
      <c r="G129" t="s">
        <v>416</v>
      </c>
      <c r="H129">
        <v>612.99</v>
      </c>
      <c r="I129" t="s">
        <v>438</v>
      </c>
      <c r="J129" t="s">
        <v>10</v>
      </c>
      <c r="K129" t="s">
        <v>439</v>
      </c>
    </row>
    <row r="130" spans="1:11" x14ac:dyDescent="0.25">
      <c r="A130" t="s">
        <v>437</v>
      </c>
      <c r="B130" t="s">
        <v>18</v>
      </c>
      <c r="C130" t="s">
        <v>397</v>
      </c>
      <c r="D130">
        <v>1098</v>
      </c>
      <c r="E130">
        <v>1044.8789999999999</v>
      </c>
      <c r="F130">
        <v>3620427</v>
      </c>
      <c r="G130" t="s">
        <v>416</v>
      </c>
      <c r="H130">
        <v>457.86599999999999</v>
      </c>
      <c r="I130" t="s">
        <v>438</v>
      </c>
      <c r="J130" t="s">
        <v>10</v>
      </c>
      <c r="K130" t="s">
        <v>439</v>
      </c>
    </row>
    <row r="131" spans="1:11" x14ac:dyDescent="0.25">
      <c r="A131" t="s">
        <v>437</v>
      </c>
      <c r="B131" t="s">
        <v>18</v>
      </c>
      <c r="C131" t="s">
        <v>397</v>
      </c>
      <c r="D131">
        <v>472</v>
      </c>
      <c r="E131">
        <v>449.16500000000002</v>
      </c>
      <c r="F131">
        <v>3620427</v>
      </c>
      <c r="G131" t="s">
        <v>416</v>
      </c>
      <c r="H131">
        <v>196.82400000000001</v>
      </c>
      <c r="I131" t="s">
        <v>438</v>
      </c>
      <c r="J131" t="s">
        <v>10</v>
      </c>
      <c r="K131" t="s">
        <v>439</v>
      </c>
    </row>
    <row r="132" spans="1:11" x14ac:dyDescent="0.25">
      <c r="A132" t="s">
        <v>437</v>
      </c>
      <c r="B132" t="s">
        <v>18</v>
      </c>
      <c r="C132" t="s">
        <v>397</v>
      </c>
      <c r="D132">
        <v>273</v>
      </c>
      <c r="E132">
        <v>259.79199999999997</v>
      </c>
      <c r="F132">
        <v>3620427</v>
      </c>
      <c r="G132" t="s">
        <v>416</v>
      </c>
      <c r="H132">
        <v>113.84099999999999</v>
      </c>
      <c r="I132" t="s">
        <v>438</v>
      </c>
      <c r="J132" t="s">
        <v>10</v>
      </c>
      <c r="K132" t="s">
        <v>439</v>
      </c>
    </row>
    <row r="133" spans="1:11" x14ac:dyDescent="0.25">
      <c r="A133" t="s">
        <v>422</v>
      </c>
      <c r="B133" t="s">
        <v>30</v>
      </c>
      <c r="C133" t="s">
        <v>397</v>
      </c>
      <c r="D133">
        <v>1189</v>
      </c>
      <c r="E133">
        <v>2597.5970000000002</v>
      </c>
      <c r="F133">
        <v>1941847</v>
      </c>
      <c r="G133" t="s">
        <v>423</v>
      </c>
      <c r="H133">
        <v>953.57799999999997</v>
      </c>
      <c r="I133" t="s">
        <v>442</v>
      </c>
      <c r="J133" t="s">
        <v>10</v>
      </c>
      <c r="K133" t="s">
        <v>443</v>
      </c>
    </row>
    <row r="134" spans="1:11" x14ac:dyDescent="0.25">
      <c r="A134" t="s">
        <v>422</v>
      </c>
      <c r="B134" t="s">
        <v>30</v>
      </c>
      <c r="C134" t="s">
        <v>397</v>
      </c>
      <c r="D134">
        <v>380</v>
      </c>
      <c r="E134">
        <v>830.18299999999999</v>
      </c>
      <c r="F134">
        <v>1941847</v>
      </c>
      <c r="G134" t="s">
        <v>423</v>
      </c>
      <c r="H134">
        <v>304.76</v>
      </c>
      <c r="I134" t="s">
        <v>442</v>
      </c>
      <c r="J134" t="s">
        <v>10</v>
      </c>
      <c r="K134" t="s">
        <v>443</v>
      </c>
    </row>
    <row r="135" spans="1:11" x14ac:dyDescent="0.25">
      <c r="A135" t="s">
        <v>422</v>
      </c>
      <c r="B135" t="s">
        <v>30</v>
      </c>
      <c r="C135" t="s">
        <v>397</v>
      </c>
      <c r="D135">
        <v>184</v>
      </c>
      <c r="E135">
        <v>401.983</v>
      </c>
      <c r="F135">
        <v>1941847</v>
      </c>
      <c r="G135" t="s">
        <v>423</v>
      </c>
      <c r="H135">
        <v>147.56800000000001</v>
      </c>
      <c r="I135" t="s">
        <v>442</v>
      </c>
      <c r="J135" t="s">
        <v>10</v>
      </c>
      <c r="K135" t="s">
        <v>443</v>
      </c>
    </row>
    <row r="136" spans="1:11" x14ac:dyDescent="0.25">
      <c r="A136" t="s">
        <v>422</v>
      </c>
      <c r="B136" t="s">
        <v>30</v>
      </c>
      <c r="C136" t="s">
        <v>397</v>
      </c>
      <c r="D136">
        <v>16</v>
      </c>
      <c r="E136">
        <v>34.954999999999998</v>
      </c>
      <c r="F136">
        <v>1941847</v>
      </c>
      <c r="G136" t="s">
        <v>423</v>
      </c>
      <c r="H136">
        <v>12.832000000000001</v>
      </c>
      <c r="I136" t="s">
        <v>442</v>
      </c>
      <c r="J136" t="s">
        <v>10</v>
      </c>
      <c r="K136" t="s">
        <v>443</v>
      </c>
    </row>
    <row r="137" spans="1:11" x14ac:dyDescent="0.25">
      <c r="A137" t="s">
        <v>422</v>
      </c>
      <c r="B137" t="s">
        <v>30</v>
      </c>
      <c r="C137" t="s">
        <v>397</v>
      </c>
      <c r="D137">
        <v>6</v>
      </c>
      <c r="E137">
        <v>13.108000000000001</v>
      </c>
      <c r="F137">
        <v>1941847</v>
      </c>
      <c r="G137" t="s">
        <v>423</v>
      </c>
      <c r="H137">
        <v>4.8120000000000003</v>
      </c>
      <c r="I137" t="s">
        <v>442</v>
      </c>
      <c r="J137" t="s">
        <v>10</v>
      </c>
      <c r="K137" t="s">
        <v>443</v>
      </c>
    </row>
    <row r="138" spans="1:11" x14ac:dyDescent="0.25">
      <c r="A138" t="s">
        <v>422</v>
      </c>
      <c r="B138" t="s">
        <v>30</v>
      </c>
      <c r="C138" t="s">
        <v>397</v>
      </c>
      <c r="D138">
        <v>825</v>
      </c>
      <c r="E138">
        <v>1802.37</v>
      </c>
      <c r="F138">
        <v>1941847</v>
      </c>
      <c r="G138" t="s">
        <v>423</v>
      </c>
      <c r="H138">
        <v>661.65</v>
      </c>
      <c r="I138" t="s">
        <v>442</v>
      </c>
      <c r="J138" t="s">
        <v>10</v>
      </c>
      <c r="K138" t="s">
        <v>443</v>
      </c>
    </row>
    <row r="139" spans="1:11" x14ac:dyDescent="0.25">
      <c r="A139" t="s">
        <v>422</v>
      </c>
      <c r="B139" t="s">
        <v>30</v>
      </c>
      <c r="C139" t="s">
        <v>444</v>
      </c>
      <c r="D139">
        <v>181</v>
      </c>
      <c r="E139">
        <v>1086</v>
      </c>
      <c r="F139">
        <v>1940852</v>
      </c>
      <c r="G139" t="s">
        <v>445</v>
      </c>
      <c r="H139">
        <v>1594.682</v>
      </c>
      <c r="I139" t="s">
        <v>446</v>
      </c>
      <c r="J139" t="s">
        <v>10</v>
      </c>
      <c r="K139" t="s">
        <v>447</v>
      </c>
    </row>
    <row r="140" spans="1:11" x14ac:dyDescent="0.25">
      <c r="A140" t="s">
        <v>422</v>
      </c>
      <c r="B140" t="s">
        <v>30</v>
      </c>
      <c r="C140" t="s">
        <v>444</v>
      </c>
      <c r="D140">
        <v>175</v>
      </c>
      <c r="E140">
        <v>1050</v>
      </c>
      <c r="F140">
        <v>1940852</v>
      </c>
      <c r="G140" t="s">
        <v>445</v>
      </c>
      <c r="H140">
        <v>1541.82</v>
      </c>
      <c r="I140" t="s">
        <v>446</v>
      </c>
      <c r="J140" t="s">
        <v>10</v>
      </c>
      <c r="K140" t="s">
        <v>447</v>
      </c>
    </row>
    <row r="141" spans="1:11" x14ac:dyDescent="0.25">
      <c r="A141" t="s">
        <v>422</v>
      </c>
      <c r="B141" t="s">
        <v>30</v>
      </c>
      <c r="C141" t="s">
        <v>444</v>
      </c>
      <c r="D141">
        <v>160</v>
      </c>
      <c r="E141">
        <v>962</v>
      </c>
      <c r="F141">
        <v>1940852</v>
      </c>
      <c r="G141" t="s">
        <v>445</v>
      </c>
      <c r="H141">
        <v>1412.6010000000001</v>
      </c>
      <c r="I141" t="s">
        <v>446</v>
      </c>
      <c r="J141" t="s">
        <v>10</v>
      </c>
      <c r="K141" t="s">
        <v>447</v>
      </c>
    </row>
    <row r="142" spans="1:11" x14ac:dyDescent="0.25">
      <c r="A142" t="s">
        <v>422</v>
      </c>
      <c r="B142" t="s">
        <v>30</v>
      </c>
      <c r="C142" t="s">
        <v>444</v>
      </c>
      <c r="D142">
        <v>139</v>
      </c>
      <c r="E142">
        <v>834</v>
      </c>
      <c r="F142">
        <v>1940852</v>
      </c>
      <c r="G142" t="s">
        <v>445</v>
      </c>
      <c r="H142">
        <v>1224.646</v>
      </c>
      <c r="I142" t="s">
        <v>446</v>
      </c>
      <c r="J142" t="s">
        <v>10</v>
      </c>
      <c r="K142" t="s">
        <v>447</v>
      </c>
    </row>
    <row r="143" spans="1:11" x14ac:dyDescent="0.25">
      <c r="A143" t="s">
        <v>422</v>
      </c>
      <c r="B143" t="s">
        <v>30</v>
      </c>
      <c r="C143" t="s">
        <v>444</v>
      </c>
      <c r="D143">
        <v>95</v>
      </c>
      <c r="E143">
        <v>568</v>
      </c>
      <c r="F143">
        <v>1940852</v>
      </c>
      <c r="G143" t="s">
        <v>445</v>
      </c>
      <c r="H143">
        <v>834.05100000000004</v>
      </c>
      <c r="I143" t="s">
        <v>446</v>
      </c>
      <c r="J143" t="s">
        <v>10</v>
      </c>
      <c r="K143" t="s">
        <v>447</v>
      </c>
    </row>
    <row r="144" spans="1:11" x14ac:dyDescent="0.25">
      <c r="A144" t="s">
        <v>396</v>
      </c>
      <c r="B144" t="s">
        <v>61</v>
      </c>
      <c r="C144" t="s">
        <v>444</v>
      </c>
      <c r="D144">
        <v>7</v>
      </c>
      <c r="E144">
        <v>42</v>
      </c>
      <c r="F144">
        <v>1940014</v>
      </c>
      <c r="G144" t="s">
        <v>416</v>
      </c>
      <c r="H144">
        <v>18.399999999999999</v>
      </c>
      <c r="I144" t="s">
        <v>448</v>
      </c>
      <c r="J144" t="s">
        <v>10</v>
      </c>
      <c r="K144" t="s">
        <v>449</v>
      </c>
    </row>
    <row r="145" spans="1:11" x14ac:dyDescent="0.25">
      <c r="A145" t="s">
        <v>396</v>
      </c>
      <c r="B145" t="s">
        <v>61</v>
      </c>
      <c r="C145" t="s">
        <v>444</v>
      </c>
      <c r="D145">
        <v>7</v>
      </c>
      <c r="E145">
        <v>42</v>
      </c>
      <c r="F145">
        <v>1940014</v>
      </c>
      <c r="G145" t="s">
        <v>416</v>
      </c>
      <c r="H145">
        <v>18.399999999999999</v>
      </c>
      <c r="I145" t="s">
        <v>448</v>
      </c>
      <c r="J145" t="s">
        <v>10</v>
      </c>
      <c r="K145" t="s">
        <v>449</v>
      </c>
    </row>
    <row r="146" spans="1:11" x14ac:dyDescent="0.25">
      <c r="A146" t="s">
        <v>396</v>
      </c>
      <c r="B146" t="s">
        <v>61</v>
      </c>
      <c r="C146" t="s">
        <v>444</v>
      </c>
      <c r="D146">
        <v>7</v>
      </c>
      <c r="E146">
        <v>42</v>
      </c>
      <c r="F146">
        <v>1940014</v>
      </c>
      <c r="G146" t="s">
        <v>416</v>
      </c>
      <c r="H146">
        <v>18.399999999999999</v>
      </c>
      <c r="I146" t="s">
        <v>448</v>
      </c>
      <c r="J146" t="s">
        <v>10</v>
      </c>
      <c r="K146" t="s">
        <v>449</v>
      </c>
    </row>
    <row r="147" spans="1:11" x14ac:dyDescent="0.25">
      <c r="A147" t="s">
        <v>396</v>
      </c>
      <c r="B147" t="s">
        <v>61</v>
      </c>
      <c r="C147" t="s">
        <v>444</v>
      </c>
      <c r="D147">
        <v>551</v>
      </c>
      <c r="E147">
        <v>3306</v>
      </c>
      <c r="F147">
        <v>1940014</v>
      </c>
      <c r="G147" t="s">
        <v>416</v>
      </c>
      <c r="H147">
        <v>1448.3589999999999</v>
      </c>
      <c r="I147" t="s">
        <v>448</v>
      </c>
      <c r="J147" t="s">
        <v>10</v>
      </c>
      <c r="K147" t="s">
        <v>449</v>
      </c>
    </row>
    <row r="148" spans="1:11" x14ac:dyDescent="0.25">
      <c r="A148" t="s">
        <v>396</v>
      </c>
      <c r="B148" t="s">
        <v>61</v>
      </c>
      <c r="C148" t="s">
        <v>444</v>
      </c>
      <c r="D148">
        <v>428</v>
      </c>
      <c r="E148">
        <v>2568</v>
      </c>
      <c r="F148">
        <v>1940014</v>
      </c>
      <c r="G148" t="s">
        <v>416</v>
      </c>
      <c r="H148">
        <v>1125.0409999999999</v>
      </c>
      <c r="I148" t="s">
        <v>448</v>
      </c>
      <c r="J148" t="s">
        <v>10</v>
      </c>
      <c r="K148" t="s">
        <v>449</v>
      </c>
    </row>
    <row r="149" spans="1:11" x14ac:dyDescent="0.25">
      <c r="A149" t="s">
        <v>422</v>
      </c>
      <c r="B149" t="s">
        <v>30</v>
      </c>
      <c r="C149" t="s">
        <v>444</v>
      </c>
      <c r="D149">
        <v>998</v>
      </c>
      <c r="E149">
        <v>5988</v>
      </c>
      <c r="F149">
        <v>1940014</v>
      </c>
      <c r="G149" t="s">
        <v>416</v>
      </c>
      <c r="H149">
        <v>2623.3429999999998</v>
      </c>
      <c r="I149" t="s">
        <v>448</v>
      </c>
      <c r="J149" t="s">
        <v>10</v>
      </c>
      <c r="K149" t="s">
        <v>449</v>
      </c>
    </row>
    <row r="150" spans="1:11" x14ac:dyDescent="0.25">
      <c r="A150" t="s">
        <v>422</v>
      </c>
      <c r="B150" t="s">
        <v>30</v>
      </c>
      <c r="C150" t="s">
        <v>444</v>
      </c>
      <c r="D150">
        <v>602</v>
      </c>
      <c r="E150">
        <v>3615</v>
      </c>
      <c r="F150">
        <v>1940146</v>
      </c>
      <c r="G150" t="s">
        <v>450</v>
      </c>
      <c r="H150">
        <v>1999.4570000000001</v>
      </c>
      <c r="I150" t="s">
        <v>451</v>
      </c>
      <c r="J150" t="s">
        <v>10</v>
      </c>
      <c r="K150" t="s">
        <v>452</v>
      </c>
    </row>
    <row r="151" spans="1:11" x14ac:dyDescent="0.25">
      <c r="A151" t="s">
        <v>422</v>
      </c>
      <c r="B151" t="s">
        <v>30</v>
      </c>
      <c r="C151" t="s">
        <v>444</v>
      </c>
      <c r="D151">
        <v>247</v>
      </c>
      <c r="E151">
        <v>1485</v>
      </c>
      <c r="F151">
        <v>1940146</v>
      </c>
      <c r="G151" t="s">
        <v>450</v>
      </c>
      <c r="H151">
        <v>821.35400000000004</v>
      </c>
      <c r="I151" t="s">
        <v>451</v>
      </c>
      <c r="J151" t="s">
        <v>10</v>
      </c>
      <c r="K151" t="s">
        <v>452</v>
      </c>
    </row>
    <row r="152" spans="1:11" x14ac:dyDescent="0.25">
      <c r="A152" t="s">
        <v>453</v>
      </c>
      <c r="B152" t="s">
        <v>60</v>
      </c>
      <c r="C152" t="s">
        <v>392</v>
      </c>
      <c r="D152">
        <v>250</v>
      </c>
      <c r="E152">
        <v>1500.633</v>
      </c>
      <c r="F152">
        <v>1940146</v>
      </c>
      <c r="G152" t="s">
        <v>450</v>
      </c>
      <c r="H152">
        <v>830</v>
      </c>
      <c r="I152" t="s">
        <v>451</v>
      </c>
      <c r="J152" t="s">
        <v>10</v>
      </c>
      <c r="K152" t="s">
        <v>452</v>
      </c>
    </row>
    <row r="153" spans="1:11" x14ac:dyDescent="0.25">
      <c r="A153" t="s">
        <v>453</v>
      </c>
      <c r="B153" t="s">
        <v>60</v>
      </c>
      <c r="C153" t="s">
        <v>392</v>
      </c>
      <c r="D153">
        <v>609</v>
      </c>
      <c r="E153">
        <v>3652.1419999999998</v>
      </c>
      <c r="F153">
        <v>1940146</v>
      </c>
      <c r="G153" t="s">
        <v>450</v>
      </c>
      <c r="H153">
        <v>2020</v>
      </c>
      <c r="I153" t="s">
        <v>451</v>
      </c>
      <c r="J153" t="s">
        <v>10</v>
      </c>
      <c r="K153" t="s">
        <v>452</v>
      </c>
    </row>
    <row r="154" spans="1:11" x14ac:dyDescent="0.25">
      <c r="A154" t="s">
        <v>422</v>
      </c>
      <c r="B154" t="s">
        <v>30</v>
      </c>
      <c r="C154" t="s">
        <v>444</v>
      </c>
      <c r="D154">
        <v>813</v>
      </c>
      <c r="E154">
        <v>4881</v>
      </c>
      <c r="F154">
        <v>1940146</v>
      </c>
      <c r="G154" t="s">
        <v>450</v>
      </c>
      <c r="H154">
        <v>2699.681</v>
      </c>
      <c r="I154" t="s">
        <v>451</v>
      </c>
      <c r="J154" t="s">
        <v>10</v>
      </c>
      <c r="K154" t="s">
        <v>452</v>
      </c>
    </row>
    <row r="155" spans="1:11" x14ac:dyDescent="0.25">
      <c r="A155" t="s">
        <v>422</v>
      </c>
      <c r="B155" t="s">
        <v>30</v>
      </c>
      <c r="C155" t="s">
        <v>444</v>
      </c>
      <c r="D155">
        <v>674</v>
      </c>
      <c r="E155">
        <v>4047</v>
      </c>
      <c r="F155">
        <v>1940146</v>
      </c>
      <c r="G155" t="s">
        <v>450</v>
      </c>
      <c r="H155">
        <v>2238.3960000000002</v>
      </c>
      <c r="I155" t="s">
        <v>451</v>
      </c>
      <c r="J155" t="s">
        <v>10</v>
      </c>
      <c r="K155" t="s">
        <v>452</v>
      </c>
    </row>
    <row r="156" spans="1:11" x14ac:dyDescent="0.25">
      <c r="A156" t="s">
        <v>422</v>
      </c>
      <c r="B156" t="s">
        <v>30</v>
      </c>
      <c r="C156" t="s">
        <v>444</v>
      </c>
      <c r="D156">
        <v>13</v>
      </c>
      <c r="E156">
        <v>78</v>
      </c>
      <c r="F156">
        <v>1940146</v>
      </c>
      <c r="G156" t="s">
        <v>450</v>
      </c>
      <c r="H156">
        <v>43.142000000000003</v>
      </c>
      <c r="I156" t="s">
        <v>451</v>
      </c>
      <c r="J156" t="s">
        <v>10</v>
      </c>
      <c r="K156" t="s">
        <v>452</v>
      </c>
    </row>
    <row r="157" spans="1:11" x14ac:dyDescent="0.25">
      <c r="A157" t="s">
        <v>453</v>
      </c>
      <c r="B157" t="s">
        <v>60</v>
      </c>
      <c r="C157" t="s">
        <v>392</v>
      </c>
      <c r="D157">
        <v>357</v>
      </c>
      <c r="E157">
        <v>2142.4699999999998</v>
      </c>
      <c r="F157">
        <v>1940146</v>
      </c>
      <c r="G157" t="s">
        <v>450</v>
      </c>
      <c r="H157">
        <v>1185</v>
      </c>
      <c r="I157" t="s">
        <v>451</v>
      </c>
      <c r="J157" t="s">
        <v>10</v>
      </c>
      <c r="K157" t="s">
        <v>452</v>
      </c>
    </row>
    <row r="158" spans="1:11" x14ac:dyDescent="0.25">
      <c r="A158" t="s">
        <v>453</v>
      </c>
      <c r="B158" t="s">
        <v>60</v>
      </c>
      <c r="C158" t="s">
        <v>392</v>
      </c>
      <c r="D158">
        <v>246</v>
      </c>
      <c r="E158">
        <v>1475.3209999999999</v>
      </c>
      <c r="F158">
        <v>1940146</v>
      </c>
      <c r="G158" t="s">
        <v>450</v>
      </c>
      <c r="H158">
        <v>816</v>
      </c>
      <c r="I158" t="s">
        <v>451</v>
      </c>
      <c r="J158" t="s">
        <v>10</v>
      </c>
      <c r="K158" t="s">
        <v>452</v>
      </c>
    </row>
    <row r="159" spans="1:11" x14ac:dyDescent="0.25">
      <c r="A159" t="s">
        <v>422</v>
      </c>
      <c r="B159" t="s">
        <v>30</v>
      </c>
      <c r="C159" t="s">
        <v>444</v>
      </c>
      <c r="D159">
        <v>58</v>
      </c>
      <c r="E159">
        <v>348</v>
      </c>
      <c r="F159">
        <v>1940146</v>
      </c>
      <c r="G159" t="s">
        <v>450</v>
      </c>
      <c r="H159">
        <v>192.47900000000001</v>
      </c>
      <c r="I159" t="s">
        <v>451</v>
      </c>
      <c r="J159" t="s">
        <v>10</v>
      </c>
      <c r="K159" t="s">
        <v>452</v>
      </c>
    </row>
    <row r="160" spans="1:11" x14ac:dyDescent="0.25">
      <c r="A160" t="s">
        <v>422</v>
      </c>
      <c r="B160" t="s">
        <v>30</v>
      </c>
      <c r="C160" t="s">
        <v>444</v>
      </c>
      <c r="D160">
        <v>155</v>
      </c>
      <c r="E160">
        <v>931</v>
      </c>
      <c r="F160">
        <v>1940146</v>
      </c>
      <c r="G160" t="s">
        <v>450</v>
      </c>
      <c r="H160">
        <v>514.93600000000004</v>
      </c>
      <c r="I160" t="s">
        <v>451</v>
      </c>
      <c r="J160" t="s">
        <v>10</v>
      </c>
      <c r="K160" t="s">
        <v>452</v>
      </c>
    </row>
    <row r="161" spans="1:11" x14ac:dyDescent="0.25">
      <c r="A161" t="s">
        <v>422</v>
      </c>
      <c r="B161" t="s">
        <v>30</v>
      </c>
      <c r="C161" t="s">
        <v>444</v>
      </c>
      <c r="D161">
        <v>147</v>
      </c>
      <c r="E161">
        <v>885</v>
      </c>
      <c r="F161">
        <v>1940146</v>
      </c>
      <c r="G161" t="s">
        <v>450</v>
      </c>
      <c r="H161">
        <v>489.49400000000003</v>
      </c>
      <c r="I161" t="s">
        <v>451</v>
      </c>
      <c r="J161" t="s">
        <v>10</v>
      </c>
      <c r="K161" t="s">
        <v>452</v>
      </c>
    </row>
    <row r="162" spans="1:11" x14ac:dyDescent="0.25">
      <c r="A162" t="s">
        <v>422</v>
      </c>
      <c r="B162" t="s">
        <v>30</v>
      </c>
      <c r="C162" t="s">
        <v>444</v>
      </c>
      <c r="D162">
        <v>144</v>
      </c>
      <c r="E162">
        <v>865</v>
      </c>
      <c r="F162">
        <v>1940146</v>
      </c>
      <c r="G162" t="s">
        <v>450</v>
      </c>
      <c r="H162">
        <v>478.43200000000002</v>
      </c>
      <c r="I162" t="s">
        <v>451</v>
      </c>
      <c r="J162" t="s">
        <v>10</v>
      </c>
      <c r="K162" t="s">
        <v>452</v>
      </c>
    </row>
    <row r="163" spans="1:11" x14ac:dyDescent="0.25">
      <c r="A163" t="s">
        <v>422</v>
      </c>
      <c r="B163" t="s">
        <v>30</v>
      </c>
      <c r="C163" t="s">
        <v>444</v>
      </c>
      <c r="D163">
        <v>126</v>
      </c>
      <c r="E163">
        <v>756</v>
      </c>
      <c r="F163">
        <v>1940146</v>
      </c>
      <c r="G163" t="s">
        <v>450</v>
      </c>
      <c r="H163">
        <v>418.14400000000001</v>
      </c>
      <c r="I163" t="s">
        <v>451</v>
      </c>
      <c r="J163" t="s">
        <v>10</v>
      </c>
      <c r="K163" t="s">
        <v>452</v>
      </c>
    </row>
    <row r="164" spans="1:11" x14ac:dyDescent="0.25">
      <c r="A164" t="s">
        <v>422</v>
      </c>
      <c r="B164" t="s">
        <v>30</v>
      </c>
      <c r="C164" t="s">
        <v>444</v>
      </c>
      <c r="D164">
        <v>200</v>
      </c>
      <c r="E164">
        <v>1200</v>
      </c>
      <c r="F164">
        <v>1940146</v>
      </c>
      <c r="G164" t="s">
        <v>450</v>
      </c>
      <c r="H164">
        <v>663.72</v>
      </c>
      <c r="I164" t="s">
        <v>451</v>
      </c>
      <c r="J164" t="s">
        <v>10</v>
      </c>
      <c r="K164" t="s">
        <v>452</v>
      </c>
    </row>
    <row r="165" spans="1:11" x14ac:dyDescent="0.25">
      <c r="A165" t="s">
        <v>422</v>
      </c>
      <c r="B165" t="s">
        <v>30</v>
      </c>
      <c r="C165" t="s">
        <v>444</v>
      </c>
      <c r="D165">
        <v>115</v>
      </c>
      <c r="E165">
        <v>691</v>
      </c>
      <c r="F165">
        <v>1940146</v>
      </c>
      <c r="G165" t="s">
        <v>450</v>
      </c>
      <c r="H165">
        <v>382.19200000000001</v>
      </c>
      <c r="I165" t="s">
        <v>451</v>
      </c>
      <c r="J165" t="s">
        <v>10</v>
      </c>
      <c r="K165" t="s">
        <v>452</v>
      </c>
    </row>
    <row r="166" spans="1:11" x14ac:dyDescent="0.25">
      <c r="A166" t="s">
        <v>396</v>
      </c>
      <c r="B166" t="s">
        <v>61</v>
      </c>
      <c r="C166" t="s">
        <v>397</v>
      </c>
      <c r="D166">
        <v>6946</v>
      </c>
      <c r="E166">
        <v>1644.24</v>
      </c>
      <c r="F166">
        <v>1940306</v>
      </c>
      <c r="G166" t="s">
        <v>407</v>
      </c>
      <c r="H166">
        <v>1562.85</v>
      </c>
      <c r="I166" t="s">
        <v>454</v>
      </c>
      <c r="J166" t="s">
        <v>10</v>
      </c>
      <c r="K166" t="s">
        <v>455</v>
      </c>
    </row>
    <row r="167" spans="1:11" x14ac:dyDescent="0.25">
      <c r="A167" t="s">
        <v>396</v>
      </c>
      <c r="B167" t="s">
        <v>61</v>
      </c>
      <c r="C167" t="s">
        <v>397</v>
      </c>
      <c r="D167">
        <v>1746</v>
      </c>
      <c r="E167">
        <v>413.30900000000003</v>
      </c>
      <c r="F167">
        <v>1940306</v>
      </c>
      <c r="G167" t="s">
        <v>407</v>
      </c>
      <c r="H167">
        <v>392.85</v>
      </c>
      <c r="I167" t="s">
        <v>454</v>
      </c>
      <c r="J167" t="s">
        <v>10</v>
      </c>
      <c r="K167" t="s">
        <v>455</v>
      </c>
    </row>
    <row r="168" spans="1:11" x14ac:dyDescent="0.25">
      <c r="A168" t="s">
        <v>396</v>
      </c>
      <c r="B168" t="s">
        <v>61</v>
      </c>
      <c r="C168" t="s">
        <v>397</v>
      </c>
      <c r="D168">
        <v>758</v>
      </c>
      <c r="E168">
        <v>179.43199999999999</v>
      </c>
      <c r="F168">
        <v>1940306</v>
      </c>
      <c r="G168" t="s">
        <v>407</v>
      </c>
      <c r="H168">
        <v>170.55</v>
      </c>
      <c r="I168" t="s">
        <v>454</v>
      </c>
      <c r="J168" t="s">
        <v>10</v>
      </c>
      <c r="K168" t="s">
        <v>455</v>
      </c>
    </row>
    <row r="169" spans="1:11" x14ac:dyDescent="0.25">
      <c r="A169" t="s">
        <v>396</v>
      </c>
      <c r="B169" t="s">
        <v>61</v>
      </c>
      <c r="C169" t="s">
        <v>397</v>
      </c>
      <c r="D169">
        <v>1050</v>
      </c>
      <c r="E169">
        <v>248.553</v>
      </c>
      <c r="F169">
        <v>1940306</v>
      </c>
      <c r="G169" t="s">
        <v>407</v>
      </c>
      <c r="H169">
        <v>236.25</v>
      </c>
      <c r="I169" t="s">
        <v>454</v>
      </c>
      <c r="J169" t="s">
        <v>10</v>
      </c>
      <c r="K169" t="s">
        <v>455</v>
      </c>
    </row>
    <row r="170" spans="1:11" x14ac:dyDescent="0.25">
      <c r="A170" t="s">
        <v>453</v>
      </c>
      <c r="B170" t="s">
        <v>60</v>
      </c>
      <c r="C170" t="s">
        <v>392</v>
      </c>
      <c r="D170">
        <v>348</v>
      </c>
      <c r="E170">
        <v>2124.0459999999998</v>
      </c>
      <c r="F170">
        <v>4201127</v>
      </c>
      <c r="G170" t="s">
        <v>456</v>
      </c>
      <c r="H170">
        <v>2339</v>
      </c>
      <c r="I170" t="s">
        <v>457</v>
      </c>
      <c r="J170" t="s">
        <v>10</v>
      </c>
      <c r="K170" t="s">
        <v>458</v>
      </c>
    </row>
    <row r="171" spans="1:11" x14ac:dyDescent="0.25">
      <c r="A171" t="s">
        <v>453</v>
      </c>
      <c r="B171" t="s">
        <v>60</v>
      </c>
      <c r="C171" t="s">
        <v>392</v>
      </c>
      <c r="D171">
        <v>344</v>
      </c>
      <c r="E171">
        <v>2101.3440000000001</v>
      </c>
      <c r="F171">
        <v>4201127</v>
      </c>
      <c r="G171" t="s">
        <v>456</v>
      </c>
      <c r="H171">
        <v>2314</v>
      </c>
      <c r="I171" t="s">
        <v>457</v>
      </c>
      <c r="J171" t="s">
        <v>10</v>
      </c>
      <c r="K171" t="s">
        <v>458</v>
      </c>
    </row>
    <row r="172" spans="1:11" x14ac:dyDescent="0.25">
      <c r="A172" t="s">
        <v>453</v>
      </c>
      <c r="B172" t="s">
        <v>60</v>
      </c>
      <c r="C172" t="s">
        <v>392</v>
      </c>
      <c r="D172">
        <v>3</v>
      </c>
      <c r="E172">
        <v>15.438000000000001</v>
      </c>
      <c r="F172">
        <v>4201127</v>
      </c>
      <c r="G172" t="s">
        <v>456</v>
      </c>
      <c r="H172">
        <v>17</v>
      </c>
      <c r="I172" t="s">
        <v>457</v>
      </c>
      <c r="J172" t="s">
        <v>10</v>
      </c>
      <c r="K172" t="s">
        <v>458</v>
      </c>
    </row>
    <row r="173" spans="1:11" x14ac:dyDescent="0.25">
      <c r="A173" t="s">
        <v>453</v>
      </c>
      <c r="B173" t="s">
        <v>60</v>
      </c>
      <c r="C173" t="s">
        <v>392</v>
      </c>
      <c r="D173">
        <v>355</v>
      </c>
      <c r="E173">
        <v>2166.7269999999999</v>
      </c>
      <c r="F173">
        <v>4201127</v>
      </c>
      <c r="G173" t="s">
        <v>456</v>
      </c>
      <c r="H173">
        <v>2386</v>
      </c>
      <c r="I173" t="s">
        <v>457</v>
      </c>
      <c r="J173" t="s">
        <v>10</v>
      </c>
      <c r="K173" t="s">
        <v>458</v>
      </c>
    </row>
    <row r="174" spans="1:11" x14ac:dyDescent="0.25">
      <c r="A174" t="s">
        <v>453</v>
      </c>
      <c r="B174" t="s">
        <v>60</v>
      </c>
      <c r="C174" t="s">
        <v>392</v>
      </c>
      <c r="D174">
        <v>336</v>
      </c>
      <c r="E174">
        <v>2046.8579999999999</v>
      </c>
      <c r="F174">
        <v>4201127</v>
      </c>
      <c r="G174" t="s">
        <v>456</v>
      </c>
      <c r="H174">
        <v>2254</v>
      </c>
      <c r="I174" t="s">
        <v>457</v>
      </c>
      <c r="J174" t="s">
        <v>10</v>
      </c>
      <c r="K174" t="s">
        <v>458</v>
      </c>
    </row>
    <row r="175" spans="1:11" x14ac:dyDescent="0.25">
      <c r="A175" t="s">
        <v>453</v>
      </c>
      <c r="B175" t="s">
        <v>60</v>
      </c>
      <c r="C175" t="s">
        <v>392</v>
      </c>
      <c r="D175">
        <v>263</v>
      </c>
      <c r="E175">
        <v>1604.6130000000001</v>
      </c>
      <c r="F175">
        <v>4201127</v>
      </c>
      <c r="G175" t="s">
        <v>456</v>
      </c>
      <c r="H175">
        <v>1767</v>
      </c>
      <c r="I175" t="s">
        <v>457</v>
      </c>
      <c r="J175" t="s">
        <v>10</v>
      </c>
      <c r="K175" t="s">
        <v>458</v>
      </c>
    </row>
    <row r="176" spans="1:11" x14ac:dyDescent="0.25">
      <c r="A176" t="s">
        <v>453</v>
      </c>
      <c r="B176" t="s">
        <v>60</v>
      </c>
      <c r="C176" t="s">
        <v>392</v>
      </c>
      <c r="D176">
        <v>121</v>
      </c>
      <c r="E176">
        <v>738.28599999999994</v>
      </c>
      <c r="F176">
        <v>4201127</v>
      </c>
      <c r="G176" t="s">
        <v>456</v>
      </c>
      <c r="H176">
        <v>813</v>
      </c>
      <c r="I176" t="s">
        <v>457</v>
      </c>
      <c r="J176" t="s">
        <v>10</v>
      </c>
      <c r="K176" t="s">
        <v>458</v>
      </c>
    </row>
    <row r="177" spans="1:11" x14ac:dyDescent="0.25">
      <c r="A177" t="s">
        <v>453</v>
      </c>
      <c r="B177" t="s">
        <v>60</v>
      </c>
      <c r="C177" t="s">
        <v>392</v>
      </c>
      <c r="D177">
        <v>145</v>
      </c>
      <c r="E177">
        <v>885.39800000000002</v>
      </c>
      <c r="F177">
        <v>4201127</v>
      </c>
      <c r="G177" t="s">
        <v>456</v>
      </c>
      <c r="H177">
        <v>975</v>
      </c>
      <c r="I177" t="s">
        <v>457</v>
      </c>
      <c r="J177" t="s">
        <v>10</v>
      </c>
      <c r="K177" t="s">
        <v>458</v>
      </c>
    </row>
    <row r="178" spans="1:11" x14ac:dyDescent="0.25">
      <c r="A178" t="s">
        <v>636</v>
      </c>
      <c r="B178" t="s">
        <v>151</v>
      </c>
      <c r="C178" t="s">
        <v>397</v>
      </c>
      <c r="D178">
        <v>7588</v>
      </c>
      <c r="E178">
        <v>9363.5630000000001</v>
      </c>
      <c r="F178">
        <v>1941845</v>
      </c>
      <c r="G178" t="s">
        <v>423</v>
      </c>
      <c r="H178">
        <v>3437.364</v>
      </c>
      <c r="I178" t="s">
        <v>1173</v>
      </c>
      <c r="J178" t="s">
        <v>10</v>
      </c>
      <c r="K178" t="s">
        <v>2189</v>
      </c>
    </row>
    <row r="179" spans="1:11" x14ac:dyDescent="0.25">
      <c r="A179" t="s">
        <v>636</v>
      </c>
      <c r="B179" t="s">
        <v>151</v>
      </c>
      <c r="C179" t="s">
        <v>397</v>
      </c>
      <c r="D179">
        <v>37</v>
      </c>
      <c r="E179">
        <v>45.658000000000001</v>
      </c>
      <c r="F179">
        <v>1941845</v>
      </c>
      <c r="G179" t="s">
        <v>423</v>
      </c>
      <c r="H179">
        <v>16.760999999999999</v>
      </c>
      <c r="I179" t="s">
        <v>1173</v>
      </c>
      <c r="J179" t="s">
        <v>10</v>
      </c>
      <c r="K179" t="s">
        <v>2189</v>
      </c>
    </row>
    <row r="180" spans="1:11" x14ac:dyDescent="0.25">
      <c r="A180" t="s">
        <v>453</v>
      </c>
      <c r="B180" t="s">
        <v>60</v>
      </c>
      <c r="C180" t="s">
        <v>392</v>
      </c>
      <c r="D180">
        <v>640</v>
      </c>
      <c r="E180">
        <v>3928.0549999999998</v>
      </c>
      <c r="F180">
        <v>3597679</v>
      </c>
      <c r="G180" t="s">
        <v>450</v>
      </c>
      <c r="H180">
        <v>2173</v>
      </c>
      <c r="I180" t="s">
        <v>459</v>
      </c>
      <c r="J180" t="s">
        <v>10</v>
      </c>
      <c r="K180" t="s">
        <v>452</v>
      </c>
    </row>
    <row r="181" spans="1:11" x14ac:dyDescent="0.25">
      <c r="A181" t="s">
        <v>453</v>
      </c>
      <c r="B181" t="s">
        <v>60</v>
      </c>
      <c r="C181" t="s">
        <v>392</v>
      </c>
      <c r="D181">
        <v>547</v>
      </c>
      <c r="E181">
        <v>3356.8330000000001</v>
      </c>
      <c r="F181">
        <v>3597679</v>
      </c>
      <c r="G181" t="s">
        <v>450</v>
      </c>
      <c r="H181">
        <v>1857</v>
      </c>
      <c r="I181" t="s">
        <v>459</v>
      </c>
      <c r="J181" t="s">
        <v>10</v>
      </c>
      <c r="K181" t="s">
        <v>452</v>
      </c>
    </row>
    <row r="182" spans="1:11" x14ac:dyDescent="0.25">
      <c r="A182" t="s">
        <v>453</v>
      </c>
      <c r="B182" t="s">
        <v>60</v>
      </c>
      <c r="C182" t="s">
        <v>392</v>
      </c>
      <c r="D182">
        <v>658</v>
      </c>
      <c r="E182">
        <v>4040.13</v>
      </c>
      <c r="F182">
        <v>3597679</v>
      </c>
      <c r="G182" t="s">
        <v>450</v>
      </c>
      <c r="H182">
        <v>2235</v>
      </c>
      <c r="I182" t="s">
        <v>459</v>
      </c>
      <c r="J182" t="s">
        <v>10</v>
      </c>
      <c r="K182" t="s">
        <v>452</v>
      </c>
    </row>
    <row r="183" spans="1:11" x14ac:dyDescent="0.25">
      <c r="A183" t="s">
        <v>453</v>
      </c>
      <c r="B183" t="s">
        <v>60</v>
      </c>
      <c r="C183" t="s">
        <v>392</v>
      </c>
      <c r="D183">
        <v>355</v>
      </c>
      <c r="E183">
        <v>2178.2359999999999</v>
      </c>
      <c r="F183">
        <v>3597679</v>
      </c>
      <c r="G183" t="s">
        <v>450</v>
      </c>
      <c r="H183">
        <v>1205</v>
      </c>
      <c r="I183" t="s">
        <v>459</v>
      </c>
      <c r="J183" t="s">
        <v>10</v>
      </c>
      <c r="K183" t="s">
        <v>452</v>
      </c>
    </row>
    <row r="184" spans="1:11" x14ac:dyDescent="0.25">
      <c r="A184" t="s">
        <v>453</v>
      </c>
      <c r="B184" t="s">
        <v>60</v>
      </c>
      <c r="C184" t="s">
        <v>392</v>
      </c>
      <c r="D184">
        <v>402</v>
      </c>
      <c r="E184">
        <v>2465.654</v>
      </c>
      <c r="F184">
        <v>3597679</v>
      </c>
      <c r="G184" t="s">
        <v>450</v>
      </c>
      <c r="H184">
        <v>1364</v>
      </c>
      <c r="I184" t="s">
        <v>459</v>
      </c>
      <c r="J184" t="s">
        <v>10</v>
      </c>
      <c r="K184" t="s">
        <v>452</v>
      </c>
    </row>
    <row r="185" spans="1:11" x14ac:dyDescent="0.25">
      <c r="A185" t="s">
        <v>422</v>
      </c>
      <c r="B185" t="s">
        <v>30</v>
      </c>
      <c r="C185" t="s">
        <v>397</v>
      </c>
      <c r="D185">
        <v>1973</v>
      </c>
      <c r="E185">
        <v>3385.971</v>
      </c>
      <c r="F185">
        <v>3672607</v>
      </c>
      <c r="G185" t="s">
        <v>423</v>
      </c>
      <c r="H185">
        <v>1242.99</v>
      </c>
      <c r="I185" t="s">
        <v>460</v>
      </c>
      <c r="J185" t="s">
        <v>10</v>
      </c>
      <c r="K185" t="s">
        <v>461</v>
      </c>
    </row>
    <row r="186" spans="1:11" x14ac:dyDescent="0.25">
      <c r="A186" t="s">
        <v>422</v>
      </c>
      <c r="B186" t="s">
        <v>30</v>
      </c>
      <c r="C186" t="s">
        <v>397</v>
      </c>
      <c r="D186">
        <v>319</v>
      </c>
      <c r="E186">
        <v>547.45299999999997</v>
      </c>
      <c r="F186">
        <v>3672607</v>
      </c>
      <c r="G186" t="s">
        <v>423</v>
      </c>
      <c r="H186">
        <v>200.97</v>
      </c>
      <c r="I186" t="s">
        <v>460</v>
      </c>
      <c r="J186" t="s">
        <v>10</v>
      </c>
      <c r="K186" t="s">
        <v>461</v>
      </c>
    </row>
    <row r="187" spans="1:11" x14ac:dyDescent="0.25">
      <c r="A187" t="s">
        <v>422</v>
      </c>
      <c r="B187" t="s">
        <v>30</v>
      </c>
      <c r="C187" t="s">
        <v>397</v>
      </c>
      <c r="D187">
        <v>55</v>
      </c>
      <c r="E187">
        <v>94.388000000000005</v>
      </c>
      <c r="F187">
        <v>3672607</v>
      </c>
      <c r="G187" t="s">
        <v>423</v>
      </c>
      <c r="H187">
        <v>34.65</v>
      </c>
      <c r="I187" t="s">
        <v>460</v>
      </c>
      <c r="J187" t="s">
        <v>10</v>
      </c>
      <c r="K187" t="s">
        <v>461</v>
      </c>
    </row>
    <row r="188" spans="1:11" x14ac:dyDescent="0.25">
      <c r="A188" t="s">
        <v>422</v>
      </c>
      <c r="B188" t="s">
        <v>30</v>
      </c>
      <c r="C188" t="s">
        <v>397</v>
      </c>
      <c r="D188">
        <v>49</v>
      </c>
      <c r="E188">
        <v>84.091999999999999</v>
      </c>
      <c r="F188">
        <v>3672607</v>
      </c>
      <c r="G188" t="s">
        <v>423</v>
      </c>
      <c r="H188">
        <v>30.87</v>
      </c>
      <c r="I188" t="s">
        <v>460</v>
      </c>
      <c r="J188" t="s">
        <v>10</v>
      </c>
      <c r="K188" t="s">
        <v>461</v>
      </c>
    </row>
    <row r="189" spans="1:11" x14ac:dyDescent="0.25">
      <c r="A189" t="s">
        <v>422</v>
      </c>
      <c r="B189" t="s">
        <v>30</v>
      </c>
      <c r="C189" t="s">
        <v>397</v>
      </c>
      <c r="D189">
        <v>4</v>
      </c>
      <c r="E189">
        <v>6.8650000000000002</v>
      </c>
      <c r="F189">
        <v>3672607</v>
      </c>
      <c r="G189" t="s">
        <v>423</v>
      </c>
      <c r="H189">
        <v>2.52</v>
      </c>
      <c r="I189" t="s">
        <v>460</v>
      </c>
      <c r="J189" t="s">
        <v>10</v>
      </c>
      <c r="K189" t="s">
        <v>461</v>
      </c>
    </row>
    <row r="190" spans="1:11" x14ac:dyDescent="0.25">
      <c r="A190" t="s">
        <v>453</v>
      </c>
      <c r="B190" t="s">
        <v>60</v>
      </c>
      <c r="C190" t="s">
        <v>392</v>
      </c>
      <c r="D190">
        <v>400</v>
      </c>
      <c r="E190">
        <v>2125.8629999999998</v>
      </c>
      <c r="F190">
        <v>3731692</v>
      </c>
      <c r="G190" t="s">
        <v>456</v>
      </c>
      <c r="H190">
        <v>2341</v>
      </c>
      <c r="I190" t="s">
        <v>462</v>
      </c>
      <c r="J190" t="s">
        <v>10</v>
      </c>
    </row>
    <row r="191" spans="1:11" x14ac:dyDescent="0.25">
      <c r="A191" t="s">
        <v>453</v>
      </c>
      <c r="B191" t="s">
        <v>60</v>
      </c>
      <c r="C191" t="s">
        <v>392</v>
      </c>
      <c r="D191">
        <v>226</v>
      </c>
      <c r="E191">
        <v>1197.7840000000001</v>
      </c>
      <c r="F191">
        <v>3731692</v>
      </c>
      <c r="G191" t="s">
        <v>456</v>
      </c>
      <c r="H191">
        <v>1319</v>
      </c>
      <c r="I191" t="s">
        <v>462</v>
      </c>
      <c r="J191" t="s">
        <v>10</v>
      </c>
    </row>
    <row r="192" spans="1:11" x14ac:dyDescent="0.25">
      <c r="A192" t="s">
        <v>453</v>
      </c>
      <c r="B192" t="s">
        <v>60</v>
      </c>
      <c r="C192" t="s">
        <v>392</v>
      </c>
      <c r="D192">
        <v>149</v>
      </c>
      <c r="E192">
        <v>790.04700000000003</v>
      </c>
      <c r="F192">
        <v>3731692</v>
      </c>
      <c r="G192" t="s">
        <v>456</v>
      </c>
      <c r="H192">
        <v>870</v>
      </c>
      <c r="I192" t="s">
        <v>462</v>
      </c>
      <c r="J192" t="s">
        <v>10</v>
      </c>
    </row>
    <row r="193" spans="1:11" x14ac:dyDescent="0.25">
      <c r="A193" t="s">
        <v>453</v>
      </c>
      <c r="B193" t="s">
        <v>60</v>
      </c>
      <c r="C193" t="s">
        <v>392</v>
      </c>
      <c r="D193">
        <v>396</v>
      </c>
      <c r="E193">
        <v>2103.16</v>
      </c>
      <c r="F193">
        <v>3731692</v>
      </c>
      <c r="G193" t="s">
        <v>456</v>
      </c>
      <c r="H193">
        <v>2316</v>
      </c>
      <c r="I193" t="s">
        <v>462</v>
      </c>
      <c r="J193" t="s">
        <v>10</v>
      </c>
    </row>
    <row r="194" spans="1:11" x14ac:dyDescent="0.25">
      <c r="A194" t="s">
        <v>453</v>
      </c>
      <c r="B194" t="s">
        <v>60</v>
      </c>
      <c r="C194" t="s">
        <v>392</v>
      </c>
      <c r="D194">
        <v>47</v>
      </c>
      <c r="E194">
        <v>248.81899999999999</v>
      </c>
      <c r="F194">
        <v>3731692</v>
      </c>
      <c r="G194" t="s">
        <v>456</v>
      </c>
      <c r="H194">
        <v>274</v>
      </c>
      <c r="I194" t="s">
        <v>462</v>
      </c>
      <c r="J194" t="s">
        <v>10</v>
      </c>
    </row>
    <row r="195" spans="1:11" x14ac:dyDescent="0.25">
      <c r="A195" t="s">
        <v>453</v>
      </c>
      <c r="B195" t="s">
        <v>60</v>
      </c>
      <c r="C195" t="s">
        <v>392</v>
      </c>
      <c r="D195">
        <v>210</v>
      </c>
      <c r="E195">
        <v>1116.0550000000001</v>
      </c>
      <c r="F195">
        <v>3731692</v>
      </c>
      <c r="G195" t="s">
        <v>456</v>
      </c>
      <c r="H195">
        <v>1229</v>
      </c>
      <c r="I195" t="s">
        <v>462</v>
      </c>
      <c r="J195" t="s">
        <v>10</v>
      </c>
    </row>
    <row r="196" spans="1:11" x14ac:dyDescent="0.25">
      <c r="A196" t="s">
        <v>453</v>
      </c>
      <c r="B196" t="s">
        <v>60</v>
      </c>
      <c r="C196" t="s">
        <v>392</v>
      </c>
      <c r="D196">
        <v>361</v>
      </c>
      <c r="E196">
        <v>1917</v>
      </c>
      <c r="F196">
        <v>3731692</v>
      </c>
      <c r="G196" t="s">
        <v>456</v>
      </c>
      <c r="H196">
        <v>2111</v>
      </c>
      <c r="I196" t="s">
        <v>462</v>
      </c>
      <c r="J196" t="s">
        <v>10</v>
      </c>
    </row>
    <row r="197" spans="1:11" x14ac:dyDescent="0.25">
      <c r="A197" t="s">
        <v>422</v>
      </c>
      <c r="B197" t="s">
        <v>30</v>
      </c>
      <c r="C197" t="s">
        <v>397</v>
      </c>
      <c r="D197">
        <v>1154</v>
      </c>
      <c r="E197">
        <v>2700.3159999999998</v>
      </c>
      <c r="F197">
        <v>3672608</v>
      </c>
      <c r="G197" t="s">
        <v>423</v>
      </c>
      <c r="H197">
        <v>991.28599999999994</v>
      </c>
      <c r="I197" t="s">
        <v>1939</v>
      </c>
      <c r="J197" t="s">
        <v>10</v>
      </c>
      <c r="K197" t="s">
        <v>2194</v>
      </c>
    </row>
    <row r="198" spans="1:11" x14ac:dyDescent="0.25">
      <c r="A198" t="s">
        <v>422</v>
      </c>
      <c r="B198" t="s">
        <v>30</v>
      </c>
      <c r="C198" t="s">
        <v>397</v>
      </c>
      <c r="D198">
        <v>471</v>
      </c>
      <c r="E198">
        <v>1102.1220000000001</v>
      </c>
      <c r="F198">
        <v>3672608</v>
      </c>
      <c r="G198" t="s">
        <v>423</v>
      </c>
      <c r="H198">
        <v>404.589</v>
      </c>
      <c r="I198" t="s">
        <v>1939</v>
      </c>
      <c r="J198" t="s">
        <v>10</v>
      </c>
      <c r="K198" t="s">
        <v>2194</v>
      </c>
    </row>
    <row r="199" spans="1:11" x14ac:dyDescent="0.25">
      <c r="A199" t="s">
        <v>415</v>
      </c>
      <c r="B199" t="s">
        <v>9</v>
      </c>
      <c r="C199" t="s">
        <v>397</v>
      </c>
      <c r="D199">
        <v>3000</v>
      </c>
      <c r="E199">
        <v>1620.0340000000001</v>
      </c>
      <c r="F199">
        <v>1940034</v>
      </c>
      <c r="G199" t="s">
        <v>463</v>
      </c>
      <c r="H199">
        <v>704.06700000000001</v>
      </c>
      <c r="I199" t="s">
        <v>464</v>
      </c>
      <c r="J199" t="s">
        <v>10</v>
      </c>
      <c r="K199" t="s">
        <v>465</v>
      </c>
    </row>
    <row r="200" spans="1:11" x14ac:dyDescent="0.25">
      <c r="A200" t="s">
        <v>636</v>
      </c>
      <c r="B200" t="s">
        <v>151</v>
      </c>
      <c r="C200" t="s">
        <v>397</v>
      </c>
      <c r="D200">
        <v>1358</v>
      </c>
      <c r="E200">
        <v>3947.1149999999998</v>
      </c>
      <c r="F200">
        <v>3541434</v>
      </c>
      <c r="G200" t="s">
        <v>423</v>
      </c>
      <c r="H200">
        <v>1448.9860000000001</v>
      </c>
      <c r="I200" t="s">
        <v>1176</v>
      </c>
      <c r="J200" t="s">
        <v>10</v>
      </c>
      <c r="K200" t="s">
        <v>2196</v>
      </c>
    </row>
    <row r="201" spans="1:11" x14ac:dyDescent="0.25">
      <c r="A201" t="s">
        <v>636</v>
      </c>
      <c r="B201" t="s">
        <v>151</v>
      </c>
      <c r="C201" t="s">
        <v>397</v>
      </c>
      <c r="D201">
        <v>442</v>
      </c>
      <c r="E201">
        <v>1284.702</v>
      </c>
      <c r="F201">
        <v>3541434</v>
      </c>
      <c r="G201" t="s">
        <v>423</v>
      </c>
      <c r="H201">
        <v>471.61399999999998</v>
      </c>
      <c r="I201" t="s">
        <v>1176</v>
      </c>
      <c r="J201" t="s">
        <v>10</v>
      </c>
      <c r="K201" t="s">
        <v>2196</v>
      </c>
    </row>
    <row r="202" spans="1:11" x14ac:dyDescent="0.25">
      <c r="A202" t="s">
        <v>415</v>
      </c>
      <c r="B202" t="s">
        <v>9</v>
      </c>
      <c r="C202" t="s">
        <v>397</v>
      </c>
      <c r="D202">
        <v>3000</v>
      </c>
      <c r="E202">
        <v>3926.777</v>
      </c>
      <c r="F202">
        <v>1940046</v>
      </c>
      <c r="G202" t="s">
        <v>463</v>
      </c>
      <c r="H202">
        <v>1641</v>
      </c>
      <c r="I202" t="s">
        <v>466</v>
      </c>
      <c r="J202" t="s">
        <v>10</v>
      </c>
      <c r="K202" t="s">
        <v>467</v>
      </c>
    </row>
    <row r="203" spans="1:11" x14ac:dyDescent="0.25">
      <c r="A203" t="s">
        <v>415</v>
      </c>
      <c r="B203" t="s">
        <v>9</v>
      </c>
      <c r="C203" t="s">
        <v>397</v>
      </c>
      <c r="D203">
        <v>924</v>
      </c>
      <c r="E203">
        <v>2393.8440000000001</v>
      </c>
      <c r="F203">
        <v>2409618</v>
      </c>
      <c r="G203" t="s">
        <v>468</v>
      </c>
      <c r="H203">
        <v>2249.0160000000001</v>
      </c>
      <c r="I203" t="s">
        <v>469</v>
      </c>
      <c r="J203" t="s">
        <v>10</v>
      </c>
      <c r="K203" t="s">
        <v>470</v>
      </c>
    </row>
    <row r="204" spans="1:11" x14ac:dyDescent="0.25">
      <c r="A204" t="s">
        <v>415</v>
      </c>
      <c r="B204" t="s">
        <v>9</v>
      </c>
      <c r="C204" t="s">
        <v>397</v>
      </c>
      <c r="D204">
        <v>76</v>
      </c>
      <c r="E204">
        <v>196.89599999999999</v>
      </c>
      <c r="F204">
        <v>2409618</v>
      </c>
      <c r="G204" t="s">
        <v>468</v>
      </c>
      <c r="H204">
        <v>184.98400000000001</v>
      </c>
      <c r="I204" t="s">
        <v>469</v>
      </c>
      <c r="J204" t="s">
        <v>10</v>
      </c>
      <c r="K204" t="s">
        <v>470</v>
      </c>
    </row>
    <row r="205" spans="1:11" x14ac:dyDescent="0.25">
      <c r="A205" t="s">
        <v>415</v>
      </c>
      <c r="B205" t="s">
        <v>9</v>
      </c>
      <c r="C205" t="s">
        <v>397</v>
      </c>
      <c r="D205">
        <v>88</v>
      </c>
      <c r="E205">
        <v>227.98500000000001</v>
      </c>
      <c r="F205">
        <v>2409618</v>
      </c>
      <c r="G205" t="s">
        <v>468</v>
      </c>
      <c r="H205">
        <v>214.19200000000001</v>
      </c>
      <c r="I205" t="s">
        <v>469</v>
      </c>
      <c r="J205" t="s">
        <v>10</v>
      </c>
      <c r="K205" t="s">
        <v>470</v>
      </c>
    </row>
    <row r="206" spans="1:11" x14ac:dyDescent="0.25">
      <c r="A206" t="s">
        <v>415</v>
      </c>
      <c r="B206" t="s">
        <v>9</v>
      </c>
      <c r="C206" t="s">
        <v>397</v>
      </c>
      <c r="D206">
        <v>220</v>
      </c>
      <c r="E206">
        <v>569.96299999999997</v>
      </c>
      <c r="F206">
        <v>2409618</v>
      </c>
      <c r="G206" t="s">
        <v>468</v>
      </c>
      <c r="H206">
        <v>535.48</v>
      </c>
      <c r="I206" t="s">
        <v>469</v>
      </c>
      <c r="J206" t="s">
        <v>10</v>
      </c>
      <c r="K206" t="s">
        <v>470</v>
      </c>
    </row>
    <row r="207" spans="1:11" x14ac:dyDescent="0.25">
      <c r="A207" t="s">
        <v>415</v>
      </c>
      <c r="B207" t="s">
        <v>9</v>
      </c>
      <c r="C207" t="s">
        <v>397</v>
      </c>
      <c r="D207">
        <v>2</v>
      </c>
      <c r="E207">
        <v>5.181</v>
      </c>
      <c r="F207">
        <v>2409618</v>
      </c>
      <c r="G207" t="s">
        <v>468</v>
      </c>
      <c r="H207">
        <v>4.8680000000000003</v>
      </c>
      <c r="I207" t="s">
        <v>469</v>
      </c>
      <c r="J207" t="s">
        <v>10</v>
      </c>
      <c r="K207" t="s">
        <v>470</v>
      </c>
    </row>
    <row r="208" spans="1:11" x14ac:dyDescent="0.25">
      <c r="A208" t="s">
        <v>415</v>
      </c>
      <c r="B208" t="s">
        <v>9</v>
      </c>
      <c r="C208" t="s">
        <v>397</v>
      </c>
      <c r="D208">
        <v>325</v>
      </c>
      <c r="E208">
        <v>349.37299999999999</v>
      </c>
      <c r="F208">
        <v>3229740</v>
      </c>
      <c r="G208" t="s">
        <v>471</v>
      </c>
      <c r="H208">
        <v>177.446</v>
      </c>
      <c r="I208" t="s">
        <v>472</v>
      </c>
      <c r="J208" t="s">
        <v>10</v>
      </c>
      <c r="K208" t="s">
        <v>473</v>
      </c>
    </row>
    <row r="209" spans="1:11" x14ac:dyDescent="0.25">
      <c r="A209" t="s">
        <v>415</v>
      </c>
      <c r="B209" t="s">
        <v>9</v>
      </c>
      <c r="C209" t="s">
        <v>397</v>
      </c>
      <c r="D209">
        <v>2060</v>
      </c>
      <c r="E209">
        <v>2214.4850000000001</v>
      </c>
      <c r="F209">
        <v>3229740</v>
      </c>
      <c r="G209" t="s">
        <v>471</v>
      </c>
      <c r="H209">
        <v>1124.7370000000001</v>
      </c>
      <c r="I209" t="s">
        <v>472</v>
      </c>
      <c r="J209" t="s">
        <v>10</v>
      </c>
      <c r="K209" t="s">
        <v>473</v>
      </c>
    </row>
    <row r="210" spans="1:11" x14ac:dyDescent="0.25">
      <c r="A210" t="s">
        <v>415</v>
      </c>
      <c r="B210" t="s">
        <v>9</v>
      </c>
      <c r="C210" t="s">
        <v>397</v>
      </c>
      <c r="D210">
        <v>631</v>
      </c>
      <c r="E210">
        <v>678.32100000000003</v>
      </c>
      <c r="F210">
        <v>3229740</v>
      </c>
      <c r="G210" t="s">
        <v>471</v>
      </c>
      <c r="H210">
        <v>344.51900000000001</v>
      </c>
      <c r="I210" t="s">
        <v>472</v>
      </c>
      <c r="J210" t="s">
        <v>10</v>
      </c>
      <c r="K210" t="s">
        <v>473</v>
      </c>
    </row>
    <row r="211" spans="1:11" x14ac:dyDescent="0.25">
      <c r="A211" t="s">
        <v>415</v>
      </c>
      <c r="B211" t="s">
        <v>9</v>
      </c>
      <c r="C211" t="s">
        <v>397</v>
      </c>
      <c r="D211">
        <v>474</v>
      </c>
      <c r="E211">
        <v>509.54700000000003</v>
      </c>
      <c r="F211">
        <v>3229740</v>
      </c>
      <c r="G211" t="s">
        <v>471</v>
      </c>
      <c r="H211">
        <v>258.79899999999998</v>
      </c>
      <c r="I211" t="s">
        <v>472</v>
      </c>
      <c r="J211" t="s">
        <v>10</v>
      </c>
      <c r="K211" t="s">
        <v>473</v>
      </c>
    </row>
    <row r="212" spans="1:11" x14ac:dyDescent="0.25">
      <c r="A212" t="s">
        <v>415</v>
      </c>
      <c r="B212" t="s">
        <v>9</v>
      </c>
      <c r="C212" t="s">
        <v>397</v>
      </c>
      <c r="D212">
        <v>260</v>
      </c>
      <c r="E212">
        <v>279.49799999999999</v>
      </c>
      <c r="F212">
        <v>3229740</v>
      </c>
      <c r="G212" t="s">
        <v>471</v>
      </c>
      <c r="H212">
        <v>141.95699999999999</v>
      </c>
      <c r="I212" t="s">
        <v>472</v>
      </c>
      <c r="J212" t="s">
        <v>10</v>
      </c>
      <c r="K212" t="s">
        <v>473</v>
      </c>
    </row>
    <row r="213" spans="1:11" x14ac:dyDescent="0.25">
      <c r="A213" t="s">
        <v>415</v>
      </c>
      <c r="B213" t="s">
        <v>9</v>
      </c>
      <c r="C213" t="s">
        <v>397</v>
      </c>
      <c r="D213">
        <v>150</v>
      </c>
      <c r="E213">
        <v>161.249</v>
      </c>
      <c r="F213">
        <v>3229740</v>
      </c>
      <c r="G213" t="s">
        <v>471</v>
      </c>
      <c r="H213">
        <v>81.897999999999996</v>
      </c>
      <c r="I213" t="s">
        <v>472</v>
      </c>
      <c r="J213" t="s">
        <v>10</v>
      </c>
      <c r="K213" t="s">
        <v>473</v>
      </c>
    </row>
    <row r="214" spans="1:11" x14ac:dyDescent="0.25">
      <c r="A214" t="s">
        <v>415</v>
      </c>
      <c r="B214" t="s">
        <v>9</v>
      </c>
      <c r="C214" t="s">
        <v>397</v>
      </c>
      <c r="D214">
        <v>625</v>
      </c>
      <c r="E214">
        <v>687.72199999999998</v>
      </c>
      <c r="F214">
        <v>2430128</v>
      </c>
      <c r="G214" t="s">
        <v>474</v>
      </c>
      <c r="H214">
        <v>1335.625</v>
      </c>
      <c r="I214" t="s">
        <v>475</v>
      </c>
      <c r="J214" t="s">
        <v>10</v>
      </c>
      <c r="K214" t="s">
        <v>476</v>
      </c>
    </row>
    <row r="215" spans="1:11" x14ac:dyDescent="0.25">
      <c r="A215" t="s">
        <v>415</v>
      </c>
      <c r="B215" t="s">
        <v>9</v>
      </c>
      <c r="C215" t="s">
        <v>397</v>
      </c>
      <c r="D215">
        <v>273</v>
      </c>
      <c r="E215">
        <v>300.39699999999999</v>
      </c>
      <c r="F215">
        <v>2430128</v>
      </c>
      <c r="G215" t="s">
        <v>474</v>
      </c>
      <c r="H215">
        <v>583.40099999999995</v>
      </c>
      <c r="I215" t="s">
        <v>475</v>
      </c>
      <c r="J215" t="s">
        <v>10</v>
      </c>
      <c r="K215" t="s">
        <v>476</v>
      </c>
    </row>
    <row r="216" spans="1:11" x14ac:dyDescent="0.25">
      <c r="A216" t="s">
        <v>415</v>
      </c>
      <c r="B216" t="s">
        <v>9</v>
      </c>
      <c r="C216" t="s">
        <v>397</v>
      </c>
      <c r="D216">
        <v>101</v>
      </c>
      <c r="E216">
        <v>111.136</v>
      </c>
      <c r="F216">
        <v>2430128</v>
      </c>
      <c r="G216" t="s">
        <v>474</v>
      </c>
      <c r="H216">
        <v>215.83699999999999</v>
      </c>
      <c r="I216" t="s">
        <v>475</v>
      </c>
      <c r="J216" t="s">
        <v>10</v>
      </c>
      <c r="K216" t="s">
        <v>476</v>
      </c>
    </row>
    <row r="217" spans="1:11" x14ac:dyDescent="0.25">
      <c r="A217" t="s">
        <v>415</v>
      </c>
      <c r="B217" t="s">
        <v>9</v>
      </c>
      <c r="C217" t="s">
        <v>397</v>
      </c>
      <c r="D217">
        <v>1000</v>
      </c>
      <c r="E217">
        <v>1145.009</v>
      </c>
      <c r="F217">
        <v>4110464</v>
      </c>
      <c r="G217" t="s">
        <v>471</v>
      </c>
      <c r="H217">
        <v>604.84400000000005</v>
      </c>
      <c r="I217" t="s">
        <v>477</v>
      </c>
      <c r="J217" t="s">
        <v>10</v>
      </c>
    </row>
    <row r="218" spans="1:11" x14ac:dyDescent="0.25">
      <c r="A218" t="s">
        <v>415</v>
      </c>
      <c r="B218" t="s">
        <v>9</v>
      </c>
      <c r="C218" t="s">
        <v>397</v>
      </c>
      <c r="D218">
        <v>1586</v>
      </c>
      <c r="E218">
        <v>1815.9839999999999</v>
      </c>
      <c r="F218">
        <v>4110464</v>
      </c>
      <c r="G218" t="s">
        <v>471</v>
      </c>
      <c r="H218">
        <v>959.28300000000002</v>
      </c>
      <c r="I218" t="s">
        <v>477</v>
      </c>
      <c r="J218" t="s">
        <v>10</v>
      </c>
    </row>
    <row r="219" spans="1:11" x14ac:dyDescent="0.25">
      <c r="A219" t="s">
        <v>415</v>
      </c>
      <c r="B219" t="s">
        <v>9</v>
      </c>
      <c r="C219" t="s">
        <v>397</v>
      </c>
      <c r="D219">
        <v>414</v>
      </c>
      <c r="E219">
        <v>474.03399999999999</v>
      </c>
      <c r="F219">
        <v>4110464</v>
      </c>
      <c r="G219" t="s">
        <v>471</v>
      </c>
      <c r="H219">
        <v>250.40600000000001</v>
      </c>
      <c r="I219" t="s">
        <v>477</v>
      </c>
      <c r="J219" t="s">
        <v>10</v>
      </c>
    </row>
    <row r="220" spans="1:11" x14ac:dyDescent="0.25">
      <c r="A220" t="s">
        <v>453</v>
      </c>
      <c r="B220" t="s">
        <v>60</v>
      </c>
      <c r="C220" t="s">
        <v>397</v>
      </c>
      <c r="D220">
        <v>1324</v>
      </c>
      <c r="E220">
        <v>1734.9549999999999</v>
      </c>
      <c r="F220">
        <v>1940801</v>
      </c>
      <c r="G220" t="s">
        <v>456</v>
      </c>
      <c r="H220">
        <v>1910.5319999999999</v>
      </c>
      <c r="I220" t="s">
        <v>478</v>
      </c>
      <c r="J220" t="s">
        <v>10</v>
      </c>
      <c r="K220" t="s">
        <v>479</v>
      </c>
    </row>
    <row r="221" spans="1:11" x14ac:dyDescent="0.25">
      <c r="A221" t="s">
        <v>453</v>
      </c>
      <c r="B221" t="s">
        <v>60</v>
      </c>
      <c r="C221" t="s">
        <v>397</v>
      </c>
      <c r="D221">
        <v>176</v>
      </c>
      <c r="E221">
        <v>230.62799999999999</v>
      </c>
      <c r="F221">
        <v>1940801</v>
      </c>
      <c r="G221" t="s">
        <v>456</v>
      </c>
      <c r="H221">
        <v>253.96799999999999</v>
      </c>
      <c r="I221" t="s">
        <v>478</v>
      </c>
      <c r="J221" t="s">
        <v>10</v>
      </c>
      <c r="K221" t="s">
        <v>479</v>
      </c>
    </row>
    <row r="222" spans="1:11" x14ac:dyDescent="0.25">
      <c r="A222" t="s">
        <v>422</v>
      </c>
      <c r="B222" t="s">
        <v>30</v>
      </c>
      <c r="C222" t="s">
        <v>397</v>
      </c>
      <c r="D222">
        <v>1123</v>
      </c>
      <c r="E222">
        <v>1471.566</v>
      </c>
      <c r="F222">
        <v>1940801</v>
      </c>
      <c r="G222" t="s">
        <v>456</v>
      </c>
      <c r="H222">
        <v>1620.489</v>
      </c>
      <c r="I222" t="s">
        <v>478</v>
      </c>
      <c r="J222" t="s">
        <v>10</v>
      </c>
      <c r="K222" t="s">
        <v>479</v>
      </c>
    </row>
    <row r="223" spans="1:11" x14ac:dyDescent="0.25">
      <c r="A223" t="s">
        <v>422</v>
      </c>
      <c r="B223" t="s">
        <v>30</v>
      </c>
      <c r="C223" t="s">
        <v>397</v>
      </c>
      <c r="D223">
        <v>188</v>
      </c>
      <c r="E223">
        <v>246.35300000000001</v>
      </c>
      <c r="F223">
        <v>1940801</v>
      </c>
      <c r="G223" t="s">
        <v>456</v>
      </c>
      <c r="H223">
        <v>271.28399999999999</v>
      </c>
      <c r="I223" t="s">
        <v>478</v>
      </c>
      <c r="J223" t="s">
        <v>10</v>
      </c>
      <c r="K223" t="s">
        <v>479</v>
      </c>
    </row>
    <row r="224" spans="1:11" x14ac:dyDescent="0.25">
      <c r="A224" t="s">
        <v>422</v>
      </c>
      <c r="B224" t="s">
        <v>30</v>
      </c>
      <c r="C224" t="s">
        <v>397</v>
      </c>
      <c r="D224">
        <v>149</v>
      </c>
      <c r="E224">
        <v>195.24799999999999</v>
      </c>
      <c r="F224">
        <v>1940801</v>
      </c>
      <c r="G224" t="s">
        <v>456</v>
      </c>
      <c r="H224">
        <v>215.00700000000001</v>
      </c>
      <c r="I224" t="s">
        <v>478</v>
      </c>
      <c r="J224" t="s">
        <v>10</v>
      </c>
      <c r="K224" t="s">
        <v>479</v>
      </c>
    </row>
    <row r="225" spans="1:11" x14ac:dyDescent="0.25">
      <c r="A225" t="s">
        <v>422</v>
      </c>
      <c r="B225" t="s">
        <v>30</v>
      </c>
      <c r="C225" t="s">
        <v>397</v>
      </c>
      <c r="D225">
        <v>40</v>
      </c>
      <c r="E225">
        <v>52.415999999999997</v>
      </c>
      <c r="F225">
        <v>1940801</v>
      </c>
      <c r="G225" t="s">
        <v>456</v>
      </c>
      <c r="H225">
        <v>57.72</v>
      </c>
      <c r="I225" t="s">
        <v>478</v>
      </c>
      <c r="J225" t="s">
        <v>10</v>
      </c>
      <c r="K225" t="s">
        <v>479</v>
      </c>
    </row>
    <row r="226" spans="1:11" x14ac:dyDescent="0.25">
      <c r="A226" t="s">
        <v>422</v>
      </c>
      <c r="B226" t="s">
        <v>30</v>
      </c>
      <c r="C226" t="s">
        <v>397</v>
      </c>
      <c r="D226">
        <v>1500</v>
      </c>
      <c r="E226">
        <v>1965.5830000000001</v>
      </c>
      <c r="F226">
        <v>1940801</v>
      </c>
      <c r="G226" t="s">
        <v>456</v>
      </c>
      <c r="H226">
        <v>2164.5</v>
      </c>
      <c r="I226" t="s">
        <v>478</v>
      </c>
      <c r="J226" t="s">
        <v>10</v>
      </c>
      <c r="K226" t="s">
        <v>479</v>
      </c>
    </row>
    <row r="227" spans="1:11" x14ac:dyDescent="0.25">
      <c r="A227" t="s">
        <v>453</v>
      </c>
      <c r="B227" t="s">
        <v>60</v>
      </c>
      <c r="C227" t="s">
        <v>397</v>
      </c>
      <c r="D227">
        <v>1349</v>
      </c>
      <c r="E227">
        <v>1767.7139999999999</v>
      </c>
      <c r="F227">
        <v>1940801</v>
      </c>
      <c r="G227" t="s">
        <v>456</v>
      </c>
      <c r="H227">
        <v>1946.607</v>
      </c>
      <c r="I227" t="s">
        <v>478</v>
      </c>
      <c r="J227" t="s">
        <v>10</v>
      </c>
      <c r="K227" t="s">
        <v>479</v>
      </c>
    </row>
    <row r="228" spans="1:11" x14ac:dyDescent="0.25">
      <c r="A228" t="s">
        <v>453</v>
      </c>
      <c r="B228" t="s">
        <v>60</v>
      </c>
      <c r="C228" t="s">
        <v>397</v>
      </c>
      <c r="D228">
        <v>151</v>
      </c>
      <c r="E228">
        <v>197.869</v>
      </c>
      <c r="F228">
        <v>1940801</v>
      </c>
      <c r="G228" t="s">
        <v>456</v>
      </c>
      <c r="H228">
        <v>217.893</v>
      </c>
      <c r="I228" t="s">
        <v>478</v>
      </c>
      <c r="J228" t="s">
        <v>10</v>
      </c>
      <c r="K228" t="s">
        <v>479</v>
      </c>
    </row>
    <row r="229" spans="1:11" x14ac:dyDescent="0.25">
      <c r="A229" t="s">
        <v>422</v>
      </c>
      <c r="B229" t="s">
        <v>30</v>
      </c>
      <c r="C229" t="s">
        <v>397</v>
      </c>
      <c r="D229">
        <v>799</v>
      </c>
      <c r="E229">
        <v>1047.001</v>
      </c>
      <c r="F229">
        <v>1940801</v>
      </c>
      <c r="G229" t="s">
        <v>456</v>
      </c>
      <c r="H229">
        <v>1152.9570000000001</v>
      </c>
      <c r="I229" t="s">
        <v>478</v>
      </c>
      <c r="J229" t="s">
        <v>10</v>
      </c>
      <c r="K229" t="s">
        <v>479</v>
      </c>
    </row>
    <row r="230" spans="1:11" x14ac:dyDescent="0.25">
      <c r="A230" t="s">
        <v>422</v>
      </c>
      <c r="B230" t="s">
        <v>30</v>
      </c>
      <c r="C230" t="s">
        <v>397</v>
      </c>
      <c r="D230">
        <v>559</v>
      </c>
      <c r="E230">
        <v>732.50699999999995</v>
      </c>
      <c r="F230">
        <v>1940801</v>
      </c>
      <c r="G230" t="s">
        <v>456</v>
      </c>
      <c r="H230">
        <v>806.63699999999994</v>
      </c>
      <c r="I230" t="s">
        <v>478</v>
      </c>
      <c r="J230" t="s">
        <v>10</v>
      </c>
      <c r="K230" t="s">
        <v>479</v>
      </c>
    </row>
    <row r="231" spans="1:11" x14ac:dyDescent="0.25">
      <c r="A231" t="s">
        <v>422</v>
      </c>
      <c r="B231" t="s">
        <v>30</v>
      </c>
      <c r="C231" t="s">
        <v>397</v>
      </c>
      <c r="D231">
        <v>84</v>
      </c>
      <c r="E231">
        <v>110.07299999999999</v>
      </c>
      <c r="F231">
        <v>1940801</v>
      </c>
      <c r="G231" t="s">
        <v>456</v>
      </c>
      <c r="H231">
        <v>121.212</v>
      </c>
      <c r="I231" t="s">
        <v>478</v>
      </c>
      <c r="J231" t="s">
        <v>10</v>
      </c>
      <c r="K231" t="s">
        <v>479</v>
      </c>
    </row>
    <row r="232" spans="1:11" x14ac:dyDescent="0.25">
      <c r="A232" t="s">
        <v>422</v>
      </c>
      <c r="B232" t="s">
        <v>30</v>
      </c>
      <c r="C232" t="s">
        <v>397</v>
      </c>
      <c r="D232">
        <v>48</v>
      </c>
      <c r="E232">
        <v>62.899000000000001</v>
      </c>
      <c r="F232">
        <v>1940801</v>
      </c>
      <c r="G232" t="s">
        <v>456</v>
      </c>
      <c r="H232">
        <v>69.263999999999996</v>
      </c>
      <c r="I232" t="s">
        <v>478</v>
      </c>
      <c r="J232" t="s">
        <v>10</v>
      </c>
      <c r="K232" t="s">
        <v>479</v>
      </c>
    </row>
    <row r="233" spans="1:11" x14ac:dyDescent="0.25">
      <c r="A233" t="s">
        <v>422</v>
      </c>
      <c r="B233" t="s">
        <v>30</v>
      </c>
      <c r="C233" t="s">
        <v>397</v>
      </c>
      <c r="D233">
        <v>10</v>
      </c>
      <c r="E233">
        <v>13.103999999999999</v>
      </c>
      <c r="F233">
        <v>1940801</v>
      </c>
      <c r="G233" t="s">
        <v>456</v>
      </c>
      <c r="H233">
        <v>14.43</v>
      </c>
      <c r="I233" t="s">
        <v>478</v>
      </c>
      <c r="J233" t="s">
        <v>10</v>
      </c>
      <c r="K233" t="s">
        <v>479</v>
      </c>
    </row>
    <row r="234" spans="1:11" x14ac:dyDescent="0.25">
      <c r="A234" t="s">
        <v>453</v>
      </c>
      <c r="B234" t="s">
        <v>60</v>
      </c>
      <c r="C234" t="s">
        <v>397</v>
      </c>
      <c r="D234">
        <v>1349</v>
      </c>
      <c r="E234">
        <v>1767.7139999999999</v>
      </c>
      <c r="F234">
        <v>1940801</v>
      </c>
      <c r="G234" t="s">
        <v>456</v>
      </c>
      <c r="H234">
        <v>1946.607</v>
      </c>
      <c r="I234" t="s">
        <v>478</v>
      </c>
      <c r="J234" t="s">
        <v>10</v>
      </c>
      <c r="K234" t="s">
        <v>479</v>
      </c>
    </row>
    <row r="235" spans="1:11" x14ac:dyDescent="0.25">
      <c r="A235" t="s">
        <v>453</v>
      </c>
      <c r="B235" t="s">
        <v>60</v>
      </c>
      <c r="C235" t="s">
        <v>397</v>
      </c>
      <c r="D235">
        <v>151</v>
      </c>
      <c r="E235">
        <v>197.869</v>
      </c>
      <c r="F235">
        <v>1940801</v>
      </c>
      <c r="G235" t="s">
        <v>456</v>
      </c>
      <c r="H235">
        <v>217.893</v>
      </c>
      <c r="I235" t="s">
        <v>478</v>
      </c>
      <c r="J235" t="s">
        <v>10</v>
      </c>
      <c r="K235" t="s">
        <v>479</v>
      </c>
    </row>
    <row r="236" spans="1:11" x14ac:dyDescent="0.25">
      <c r="A236" t="s">
        <v>422</v>
      </c>
      <c r="B236" t="s">
        <v>30</v>
      </c>
      <c r="C236" t="s">
        <v>397</v>
      </c>
      <c r="D236">
        <v>824</v>
      </c>
      <c r="E236">
        <v>1079.76</v>
      </c>
      <c r="F236">
        <v>1940801</v>
      </c>
      <c r="G236" t="s">
        <v>456</v>
      </c>
      <c r="H236">
        <v>1189.0319999999999</v>
      </c>
      <c r="I236" t="s">
        <v>478</v>
      </c>
      <c r="J236" t="s">
        <v>10</v>
      </c>
      <c r="K236" t="s">
        <v>479</v>
      </c>
    </row>
    <row r="237" spans="1:11" x14ac:dyDescent="0.25">
      <c r="A237" t="s">
        <v>422</v>
      </c>
      <c r="B237" t="s">
        <v>30</v>
      </c>
      <c r="C237" t="s">
        <v>397</v>
      </c>
      <c r="D237">
        <v>676</v>
      </c>
      <c r="E237">
        <v>885.82299999999998</v>
      </c>
      <c r="F237">
        <v>1940801</v>
      </c>
      <c r="G237" t="s">
        <v>456</v>
      </c>
      <c r="H237">
        <v>975.46799999999996</v>
      </c>
      <c r="I237" t="s">
        <v>478</v>
      </c>
      <c r="J237" t="s">
        <v>10</v>
      </c>
      <c r="K237" t="s">
        <v>479</v>
      </c>
    </row>
    <row r="238" spans="1:11" x14ac:dyDescent="0.25">
      <c r="A238" t="s">
        <v>453</v>
      </c>
      <c r="B238" t="s">
        <v>60</v>
      </c>
      <c r="C238" t="s">
        <v>397</v>
      </c>
      <c r="D238">
        <v>799</v>
      </c>
      <c r="E238">
        <v>1047.001</v>
      </c>
      <c r="F238">
        <v>1940801</v>
      </c>
      <c r="G238" t="s">
        <v>456</v>
      </c>
      <c r="H238">
        <v>1152.9570000000001</v>
      </c>
      <c r="I238" t="s">
        <v>478</v>
      </c>
      <c r="J238" t="s">
        <v>10</v>
      </c>
      <c r="K238" t="s">
        <v>479</v>
      </c>
    </row>
    <row r="239" spans="1:11" x14ac:dyDescent="0.25">
      <c r="A239" t="s">
        <v>453</v>
      </c>
      <c r="B239" t="s">
        <v>60</v>
      </c>
      <c r="C239" t="s">
        <v>397</v>
      </c>
      <c r="D239">
        <v>701</v>
      </c>
      <c r="E239">
        <v>918.58199999999999</v>
      </c>
      <c r="F239">
        <v>1940801</v>
      </c>
      <c r="G239" t="s">
        <v>456</v>
      </c>
      <c r="H239">
        <v>1011.543</v>
      </c>
      <c r="I239" t="s">
        <v>478</v>
      </c>
      <c r="J239" t="s">
        <v>10</v>
      </c>
      <c r="K239" t="s">
        <v>479</v>
      </c>
    </row>
    <row r="240" spans="1:11" x14ac:dyDescent="0.25">
      <c r="A240" t="s">
        <v>422</v>
      </c>
      <c r="B240" t="s">
        <v>30</v>
      </c>
      <c r="C240" t="s">
        <v>397</v>
      </c>
      <c r="D240">
        <v>1249</v>
      </c>
      <c r="E240">
        <v>1636.675</v>
      </c>
      <c r="F240">
        <v>1940801</v>
      </c>
      <c r="G240" t="s">
        <v>456</v>
      </c>
      <c r="H240">
        <v>1802.307</v>
      </c>
      <c r="I240" t="s">
        <v>478</v>
      </c>
      <c r="J240" t="s">
        <v>10</v>
      </c>
      <c r="K240" t="s">
        <v>479</v>
      </c>
    </row>
    <row r="241" spans="1:11" x14ac:dyDescent="0.25">
      <c r="A241" t="s">
        <v>422</v>
      </c>
      <c r="B241" t="s">
        <v>30</v>
      </c>
      <c r="C241" t="s">
        <v>397</v>
      </c>
      <c r="D241">
        <v>251</v>
      </c>
      <c r="E241">
        <v>328.90800000000002</v>
      </c>
      <c r="F241">
        <v>1940801</v>
      </c>
      <c r="G241" t="s">
        <v>456</v>
      </c>
      <c r="H241">
        <v>362.19299999999998</v>
      </c>
      <c r="I241" t="s">
        <v>478</v>
      </c>
      <c r="J241" t="s">
        <v>10</v>
      </c>
      <c r="K241" t="s">
        <v>479</v>
      </c>
    </row>
    <row r="242" spans="1:11" x14ac:dyDescent="0.25">
      <c r="A242" t="s">
        <v>453</v>
      </c>
      <c r="B242" t="s">
        <v>60</v>
      </c>
      <c r="C242" t="s">
        <v>397</v>
      </c>
      <c r="D242">
        <v>1500</v>
      </c>
      <c r="E242">
        <v>1965.5830000000001</v>
      </c>
      <c r="F242">
        <v>1940801</v>
      </c>
      <c r="G242" t="s">
        <v>456</v>
      </c>
      <c r="H242">
        <v>2164.5</v>
      </c>
      <c r="I242" t="s">
        <v>478</v>
      </c>
      <c r="J242" t="s">
        <v>10</v>
      </c>
      <c r="K242" t="s">
        <v>479</v>
      </c>
    </row>
    <row r="243" spans="1:11" x14ac:dyDescent="0.25">
      <c r="A243" t="s">
        <v>422</v>
      </c>
      <c r="B243" t="s">
        <v>30</v>
      </c>
      <c r="C243" t="s">
        <v>397</v>
      </c>
      <c r="D243">
        <v>1500</v>
      </c>
      <c r="E243">
        <v>1965.5830000000001</v>
      </c>
      <c r="F243">
        <v>1940801</v>
      </c>
      <c r="G243" t="s">
        <v>456</v>
      </c>
      <c r="H243">
        <v>2164.5</v>
      </c>
      <c r="I243" t="s">
        <v>478</v>
      </c>
      <c r="J243" t="s">
        <v>10</v>
      </c>
      <c r="K243" t="s">
        <v>479</v>
      </c>
    </row>
    <row r="244" spans="1:11" x14ac:dyDescent="0.25">
      <c r="A244" t="s">
        <v>453</v>
      </c>
      <c r="B244" t="s">
        <v>60</v>
      </c>
      <c r="C244" t="s">
        <v>397</v>
      </c>
      <c r="D244">
        <v>819</v>
      </c>
      <c r="E244">
        <v>1073.2080000000001</v>
      </c>
      <c r="F244">
        <v>1940801</v>
      </c>
      <c r="G244" t="s">
        <v>456</v>
      </c>
      <c r="H244">
        <v>1181.817</v>
      </c>
      <c r="I244" t="s">
        <v>478</v>
      </c>
      <c r="J244" t="s">
        <v>10</v>
      </c>
      <c r="K244" t="s">
        <v>479</v>
      </c>
    </row>
    <row r="245" spans="1:11" x14ac:dyDescent="0.25">
      <c r="A245" t="s">
        <v>453</v>
      </c>
      <c r="B245" t="s">
        <v>60</v>
      </c>
      <c r="C245" t="s">
        <v>397</v>
      </c>
      <c r="D245">
        <v>648</v>
      </c>
      <c r="E245">
        <v>849.13199999999995</v>
      </c>
      <c r="F245">
        <v>1940801</v>
      </c>
      <c r="G245" t="s">
        <v>456</v>
      </c>
      <c r="H245">
        <v>935.06399999999996</v>
      </c>
      <c r="I245" t="s">
        <v>478</v>
      </c>
      <c r="J245" t="s">
        <v>10</v>
      </c>
      <c r="K245" t="s">
        <v>479</v>
      </c>
    </row>
    <row r="246" spans="1:11" x14ac:dyDescent="0.25">
      <c r="A246" t="s">
        <v>453</v>
      </c>
      <c r="B246" t="s">
        <v>60</v>
      </c>
      <c r="C246" t="s">
        <v>397</v>
      </c>
      <c r="D246">
        <v>33</v>
      </c>
      <c r="E246">
        <v>43.243000000000002</v>
      </c>
      <c r="F246">
        <v>1940801</v>
      </c>
      <c r="G246" t="s">
        <v>456</v>
      </c>
      <c r="H246">
        <v>47.619</v>
      </c>
      <c r="I246" t="s">
        <v>478</v>
      </c>
      <c r="J246" t="s">
        <v>10</v>
      </c>
      <c r="K246" t="s">
        <v>479</v>
      </c>
    </row>
    <row r="247" spans="1:11" x14ac:dyDescent="0.25">
      <c r="A247" t="s">
        <v>422</v>
      </c>
      <c r="B247" t="s">
        <v>30</v>
      </c>
      <c r="C247" t="s">
        <v>397</v>
      </c>
      <c r="D247">
        <v>814</v>
      </c>
      <c r="E247">
        <v>1066.6559999999999</v>
      </c>
      <c r="F247">
        <v>1940801</v>
      </c>
      <c r="G247" t="s">
        <v>456</v>
      </c>
      <c r="H247">
        <v>1174.6020000000001</v>
      </c>
      <c r="I247" t="s">
        <v>478</v>
      </c>
      <c r="J247" t="s">
        <v>10</v>
      </c>
      <c r="K247" t="s">
        <v>479</v>
      </c>
    </row>
    <row r="248" spans="1:11" x14ac:dyDescent="0.25">
      <c r="A248" t="s">
        <v>422</v>
      </c>
      <c r="B248" t="s">
        <v>30</v>
      </c>
      <c r="C248" t="s">
        <v>397</v>
      </c>
      <c r="D248">
        <v>565</v>
      </c>
      <c r="E248">
        <v>740.37</v>
      </c>
      <c r="F248">
        <v>1940801</v>
      </c>
      <c r="G248" t="s">
        <v>456</v>
      </c>
      <c r="H248">
        <v>815.29499999999996</v>
      </c>
      <c r="I248" t="s">
        <v>478</v>
      </c>
      <c r="J248" t="s">
        <v>10</v>
      </c>
      <c r="K248" t="s">
        <v>479</v>
      </c>
    </row>
    <row r="249" spans="1:11" x14ac:dyDescent="0.25">
      <c r="A249" t="s">
        <v>422</v>
      </c>
      <c r="B249" t="s">
        <v>30</v>
      </c>
      <c r="C249" t="s">
        <v>397</v>
      </c>
      <c r="D249">
        <v>121</v>
      </c>
      <c r="E249">
        <v>158.55699999999999</v>
      </c>
      <c r="F249">
        <v>1940801</v>
      </c>
      <c r="G249" t="s">
        <v>456</v>
      </c>
      <c r="H249">
        <v>174.60300000000001</v>
      </c>
      <c r="I249" t="s">
        <v>478</v>
      </c>
      <c r="J249" t="s">
        <v>10</v>
      </c>
      <c r="K249" t="s">
        <v>479</v>
      </c>
    </row>
    <row r="250" spans="1:11" x14ac:dyDescent="0.25">
      <c r="A250" t="s">
        <v>453</v>
      </c>
      <c r="B250" t="s">
        <v>60</v>
      </c>
      <c r="C250" t="s">
        <v>397</v>
      </c>
      <c r="D250">
        <v>1500</v>
      </c>
      <c r="E250">
        <v>1965.5830000000001</v>
      </c>
      <c r="F250">
        <v>1940801</v>
      </c>
      <c r="G250" t="s">
        <v>456</v>
      </c>
      <c r="H250">
        <v>2164.5</v>
      </c>
      <c r="I250" t="s">
        <v>478</v>
      </c>
      <c r="J250" t="s">
        <v>10</v>
      </c>
      <c r="K250" t="s">
        <v>479</v>
      </c>
    </row>
    <row r="251" spans="1:11" x14ac:dyDescent="0.25">
      <c r="A251" t="s">
        <v>453</v>
      </c>
      <c r="B251" t="s">
        <v>60</v>
      </c>
      <c r="C251" t="s">
        <v>397</v>
      </c>
      <c r="D251">
        <v>423</v>
      </c>
      <c r="E251">
        <v>527.40599999999995</v>
      </c>
      <c r="F251">
        <v>3233554</v>
      </c>
      <c r="G251" t="s">
        <v>456</v>
      </c>
      <c r="H251">
        <v>580.779</v>
      </c>
      <c r="I251" t="s">
        <v>480</v>
      </c>
      <c r="J251" t="s">
        <v>10</v>
      </c>
      <c r="K251" t="s">
        <v>481</v>
      </c>
    </row>
    <row r="252" spans="1:11" x14ac:dyDescent="0.25">
      <c r="A252" t="s">
        <v>453</v>
      </c>
      <c r="B252" t="s">
        <v>60</v>
      </c>
      <c r="C252" t="s">
        <v>397</v>
      </c>
      <c r="D252">
        <v>77</v>
      </c>
      <c r="E252">
        <v>96.004999999999995</v>
      </c>
      <c r="F252">
        <v>3233554</v>
      </c>
      <c r="G252" t="s">
        <v>456</v>
      </c>
      <c r="H252">
        <v>105.721</v>
      </c>
      <c r="I252" t="s">
        <v>480</v>
      </c>
      <c r="J252" t="s">
        <v>10</v>
      </c>
      <c r="K252" t="s">
        <v>481</v>
      </c>
    </row>
    <row r="253" spans="1:11" x14ac:dyDescent="0.25">
      <c r="A253" t="s">
        <v>422</v>
      </c>
      <c r="B253" t="s">
        <v>30</v>
      </c>
      <c r="C253" t="s">
        <v>397</v>
      </c>
      <c r="D253">
        <v>500</v>
      </c>
      <c r="E253">
        <v>623.41099999999994</v>
      </c>
      <c r="F253">
        <v>3233554</v>
      </c>
      <c r="G253" t="s">
        <v>456</v>
      </c>
      <c r="H253">
        <v>686.5</v>
      </c>
      <c r="I253" t="s">
        <v>480</v>
      </c>
      <c r="J253" t="s">
        <v>10</v>
      </c>
      <c r="K253" t="s">
        <v>481</v>
      </c>
    </row>
    <row r="254" spans="1:11" x14ac:dyDescent="0.25">
      <c r="A254" t="s">
        <v>422</v>
      </c>
      <c r="B254" t="s">
        <v>30</v>
      </c>
      <c r="C254" t="s">
        <v>397</v>
      </c>
      <c r="D254">
        <v>500</v>
      </c>
      <c r="E254">
        <v>623.41099999999994</v>
      </c>
      <c r="F254">
        <v>3233554</v>
      </c>
      <c r="G254" t="s">
        <v>456</v>
      </c>
      <c r="H254">
        <v>686.5</v>
      </c>
      <c r="I254" t="s">
        <v>480</v>
      </c>
      <c r="J254" t="s">
        <v>10</v>
      </c>
      <c r="K254" t="s">
        <v>481</v>
      </c>
    </row>
    <row r="255" spans="1:11" x14ac:dyDescent="0.25">
      <c r="A255" t="s">
        <v>453</v>
      </c>
      <c r="B255" t="s">
        <v>60</v>
      </c>
      <c r="C255" t="s">
        <v>397</v>
      </c>
      <c r="D255">
        <v>439</v>
      </c>
      <c r="E255">
        <v>547.35500000000002</v>
      </c>
      <c r="F255">
        <v>3233554</v>
      </c>
      <c r="G255" t="s">
        <v>456</v>
      </c>
      <c r="H255">
        <v>602.74699999999996</v>
      </c>
      <c r="I255" t="s">
        <v>480</v>
      </c>
      <c r="J255" t="s">
        <v>10</v>
      </c>
      <c r="K255" t="s">
        <v>481</v>
      </c>
    </row>
    <row r="256" spans="1:11" x14ac:dyDescent="0.25">
      <c r="A256" t="s">
        <v>453</v>
      </c>
      <c r="B256" t="s">
        <v>60</v>
      </c>
      <c r="C256" t="s">
        <v>397</v>
      </c>
      <c r="D256">
        <v>61</v>
      </c>
      <c r="E256">
        <v>76.055999999999997</v>
      </c>
      <c r="F256">
        <v>3233554</v>
      </c>
      <c r="G256" t="s">
        <v>456</v>
      </c>
      <c r="H256">
        <v>83.753</v>
      </c>
      <c r="I256" t="s">
        <v>480</v>
      </c>
      <c r="J256" t="s">
        <v>10</v>
      </c>
      <c r="K256" t="s">
        <v>481</v>
      </c>
    </row>
    <row r="257" spans="1:11" x14ac:dyDescent="0.25">
      <c r="A257" t="s">
        <v>422</v>
      </c>
      <c r="B257" t="s">
        <v>30</v>
      </c>
      <c r="C257" t="s">
        <v>397</v>
      </c>
      <c r="D257">
        <v>500</v>
      </c>
      <c r="E257">
        <v>623.41099999999994</v>
      </c>
      <c r="F257">
        <v>3233554</v>
      </c>
      <c r="G257" t="s">
        <v>456</v>
      </c>
      <c r="H257">
        <v>686.5</v>
      </c>
      <c r="I257" t="s">
        <v>480</v>
      </c>
      <c r="J257" t="s">
        <v>10</v>
      </c>
      <c r="K257" t="s">
        <v>481</v>
      </c>
    </row>
    <row r="258" spans="1:11" x14ac:dyDescent="0.25">
      <c r="A258" t="s">
        <v>453</v>
      </c>
      <c r="B258" t="s">
        <v>60</v>
      </c>
      <c r="C258" t="s">
        <v>397</v>
      </c>
      <c r="D258">
        <v>500</v>
      </c>
      <c r="E258">
        <v>623.41099999999994</v>
      </c>
      <c r="F258">
        <v>3233554</v>
      </c>
      <c r="G258" t="s">
        <v>456</v>
      </c>
      <c r="H258">
        <v>686.5</v>
      </c>
      <c r="I258" t="s">
        <v>480</v>
      </c>
      <c r="J258" t="s">
        <v>10</v>
      </c>
      <c r="K258" t="s">
        <v>481</v>
      </c>
    </row>
    <row r="259" spans="1:11" x14ac:dyDescent="0.25">
      <c r="A259" t="s">
        <v>422</v>
      </c>
      <c r="B259" t="s">
        <v>30</v>
      </c>
      <c r="C259" t="s">
        <v>397</v>
      </c>
      <c r="D259">
        <v>320</v>
      </c>
      <c r="E259">
        <v>398.983</v>
      </c>
      <c r="F259">
        <v>3233554</v>
      </c>
      <c r="G259" t="s">
        <v>456</v>
      </c>
      <c r="H259">
        <v>439.36</v>
      </c>
      <c r="I259" t="s">
        <v>480</v>
      </c>
      <c r="J259" t="s">
        <v>10</v>
      </c>
      <c r="K259" t="s">
        <v>481</v>
      </c>
    </row>
    <row r="260" spans="1:11" x14ac:dyDescent="0.25">
      <c r="A260" t="s">
        <v>422</v>
      </c>
      <c r="B260" t="s">
        <v>30</v>
      </c>
      <c r="C260" t="s">
        <v>397</v>
      </c>
      <c r="D260">
        <v>171</v>
      </c>
      <c r="E260">
        <v>213.20699999999999</v>
      </c>
      <c r="F260">
        <v>3233554</v>
      </c>
      <c r="G260" t="s">
        <v>456</v>
      </c>
      <c r="H260">
        <v>234.78299999999999</v>
      </c>
      <c r="I260" t="s">
        <v>480</v>
      </c>
      <c r="J260" t="s">
        <v>10</v>
      </c>
      <c r="K260" t="s">
        <v>481</v>
      </c>
    </row>
    <row r="261" spans="1:11" x14ac:dyDescent="0.25">
      <c r="A261" t="s">
        <v>422</v>
      </c>
      <c r="B261" t="s">
        <v>30</v>
      </c>
      <c r="C261" t="s">
        <v>397</v>
      </c>
      <c r="D261">
        <v>9</v>
      </c>
      <c r="E261">
        <v>11.221</v>
      </c>
      <c r="F261">
        <v>3233554</v>
      </c>
      <c r="G261" t="s">
        <v>456</v>
      </c>
      <c r="H261">
        <v>12.356999999999999</v>
      </c>
      <c r="I261" t="s">
        <v>480</v>
      </c>
      <c r="J261" t="s">
        <v>10</v>
      </c>
      <c r="K261" t="s">
        <v>481</v>
      </c>
    </row>
    <row r="262" spans="1:11" x14ac:dyDescent="0.25">
      <c r="A262" t="s">
        <v>453</v>
      </c>
      <c r="B262" t="s">
        <v>60</v>
      </c>
      <c r="C262" t="s">
        <v>397</v>
      </c>
      <c r="D262">
        <v>500</v>
      </c>
      <c r="E262">
        <v>623.41099999999994</v>
      </c>
      <c r="F262">
        <v>3233554</v>
      </c>
      <c r="G262" t="s">
        <v>456</v>
      </c>
      <c r="H262">
        <v>686.5</v>
      </c>
      <c r="I262" t="s">
        <v>480</v>
      </c>
      <c r="J262" t="s">
        <v>10</v>
      </c>
      <c r="K262" t="s">
        <v>481</v>
      </c>
    </row>
    <row r="263" spans="1:11" x14ac:dyDescent="0.25">
      <c r="A263" t="s">
        <v>422</v>
      </c>
      <c r="B263" t="s">
        <v>30</v>
      </c>
      <c r="C263" t="s">
        <v>397</v>
      </c>
      <c r="D263">
        <v>500</v>
      </c>
      <c r="E263">
        <v>623.41099999999994</v>
      </c>
      <c r="F263">
        <v>3233554</v>
      </c>
      <c r="G263" t="s">
        <v>456</v>
      </c>
      <c r="H263">
        <v>686.5</v>
      </c>
      <c r="I263" t="s">
        <v>480</v>
      </c>
      <c r="J263" t="s">
        <v>10</v>
      </c>
      <c r="K263" t="s">
        <v>481</v>
      </c>
    </row>
    <row r="264" spans="1:11" x14ac:dyDescent="0.25">
      <c r="A264" t="s">
        <v>453</v>
      </c>
      <c r="B264" t="s">
        <v>60</v>
      </c>
      <c r="C264" t="s">
        <v>397</v>
      </c>
      <c r="D264">
        <v>500</v>
      </c>
      <c r="E264">
        <v>623.41099999999994</v>
      </c>
      <c r="F264">
        <v>3233554</v>
      </c>
      <c r="G264" t="s">
        <v>456</v>
      </c>
      <c r="H264">
        <v>686.5</v>
      </c>
      <c r="I264" t="s">
        <v>480</v>
      </c>
      <c r="J264" t="s">
        <v>10</v>
      </c>
      <c r="K264" t="s">
        <v>481</v>
      </c>
    </row>
    <row r="265" spans="1:11" x14ac:dyDescent="0.25">
      <c r="A265" t="s">
        <v>422</v>
      </c>
      <c r="B265" t="s">
        <v>30</v>
      </c>
      <c r="C265" t="s">
        <v>397</v>
      </c>
      <c r="D265">
        <v>500</v>
      </c>
      <c r="E265">
        <v>623.41099999999994</v>
      </c>
      <c r="F265">
        <v>3233554</v>
      </c>
      <c r="G265" t="s">
        <v>456</v>
      </c>
      <c r="H265">
        <v>686.5</v>
      </c>
      <c r="I265" t="s">
        <v>480</v>
      </c>
      <c r="J265" t="s">
        <v>10</v>
      </c>
      <c r="K265" t="s">
        <v>481</v>
      </c>
    </row>
    <row r="266" spans="1:11" x14ac:dyDescent="0.25">
      <c r="A266" t="s">
        <v>453</v>
      </c>
      <c r="B266" t="s">
        <v>60</v>
      </c>
      <c r="C266" t="s">
        <v>397</v>
      </c>
      <c r="D266">
        <v>500</v>
      </c>
      <c r="E266">
        <v>623.41099999999994</v>
      </c>
      <c r="F266">
        <v>3233554</v>
      </c>
      <c r="G266" t="s">
        <v>456</v>
      </c>
      <c r="H266">
        <v>686.5</v>
      </c>
      <c r="I266" t="s">
        <v>480</v>
      </c>
      <c r="J266" t="s">
        <v>10</v>
      </c>
      <c r="K266" t="s">
        <v>481</v>
      </c>
    </row>
    <row r="267" spans="1:11" x14ac:dyDescent="0.25">
      <c r="A267" t="s">
        <v>422</v>
      </c>
      <c r="B267" t="s">
        <v>30</v>
      </c>
      <c r="C267" t="s">
        <v>397</v>
      </c>
      <c r="D267">
        <v>449</v>
      </c>
      <c r="E267">
        <v>559.82299999999998</v>
      </c>
      <c r="F267">
        <v>3233554</v>
      </c>
      <c r="G267" t="s">
        <v>456</v>
      </c>
      <c r="H267">
        <v>616.47699999999998</v>
      </c>
      <c r="I267" t="s">
        <v>480</v>
      </c>
      <c r="J267" t="s">
        <v>10</v>
      </c>
      <c r="K267" t="s">
        <v>481</v>
      </c>
    </row>
    <row r="268" spans="1:11" x14ac:dyDescent="0.25">
      <c r="A268" t="s">
        <v>422</v>
      </c>
      <c r="B268" t="s">
        <v>30</v>
      </c>
      <c r="C268" t="s">
        <v>397</v>
      </c>
      <c r="D268">
        <v>51</v>
      </c>
      <c r="E268">
        <v>63.588000000000001</v>
      </c>
      <c r="F268">
        <v>3233554</v>
      </c>
      <c r="G268" t="s">
        <v>456</v>
      </c>
      <c r="H268">
        <v>70.022999999999996</v>
      </c>
      <c r="I268" t="s">
        <v>480</v>
      </c>
      <c r="J268" t="s">
        <v>10</v>
      </c>
      <c r="K268" t="s">
        <v>481</v>
      </c>
    </row>
    <row r="269" spans="1:11" x14ac:dyDescent="0.25">
      <c r="A269" t="s">
        <v>453</v>
      </c>
      <c r="B269" t="s">
        <v>60</v>
      </c>
      <c r="C269" t="s">
        <v>397</v>
      </c>
      <c r="D269">
        <v>500</v>
      </c>
      <c r="E269">
        <v>623.41099999999994</v>
      </c>
      <c r="F269">
        <v>3233554</v>
      </c>
      <c r="G269" t="s">
        <v>456</v>
      </c>
      <c r="H269">
        <v>686.5</v>
      </c>
      <c r="I269" t="s">
        <v>480</v>
      </c>
      <c r="J269" t="s">
        <v>10</v>
      </c>
      <c r="K269" t="s">
        <v>481</v>
      </c>
    </row>
    <row r="270" spans="1:11" x14ac:dyDescent="0.25">
      <c r="A270" t="s">
        <v>453</v>
      </c>
      <c r="B270" t="s">
        <v>60</v>
      </c>
      <c r="C270" t="s">
        <v>397</v>
      </c>
      <c r="D270">
        <v>1939</v>
      </c>
      <c r="E270">
        <v>2172.835</v>
      </c>
      <c r="F270">
        <v>3233555</v>
      </c>
      <c r="G270" t="s">
        <v>456</v>
      </c>
      <c r="H270">
        <v>2392.7260000000001</v>
      </c>
      <c r="I270" t="s">
        <v>482</v>
      </c>
      <c r="J270" t="s">
        <v>10</v>
      </c>
      <c r="K270" t="s">
        <v>483</v>
      </c>
    </row>
    <row r="271" spans="1:11" x14ac:dyDescent="0.25">
      <c r="A271" t="s">
        <v>453</v>
      </c>
      <c r="B271" t="s">
        <v>60</v>
      </c>
      <c r="C271" t="s">
        <v>397</v>
      </c>
      <c r="D271">
        <v>61</v>
      </c>
      <c r="E271">
        <v>68.355999999999995</v>
      </c>
      <c r="F271">
        <v>3233555</v>
      </c>
      <c r="G271" t="s">
        <v>456</v>
      </c>
      <c r="H271">
        <v>75.274000000000001</v>
      </c>
      <c r="I271" t="s">
        <v>482</v>
      </c>
      <c r="J271" t="s">
        <v>10</v>
      </c>
      <c r="K271" t="s">
        <v>483</v>
      </c>
    </row>
    <row r="272" spans="1:11" x14ac:dyDescent="0.25">
      <c r="A272" t="s">
        <v>422</v>
      </c>
      <c r="B272" t="s">
        <v>30</v>
      </c>
      <c r="C272" t="s">
        <v>397</v>
      </c>
      <c r="D272">
        <v>1849</v>
      </c>
      <c r="E272">
        <v>2071.9810000000002</v>
      </c>
      <c r="F272">
        <v>3233555</v>
      </c>
      <c r="G272" t="s">
        <v>456</v>
      </c>
      <c r="H272">
        <v>2281.6660000000002</v>
      </c>
      <c r="I272" t="s">
        <v>482</v>
      </c>
      <c r="J272" t="s">
        <v>10</v>
      </c>
      <c r="K272" t="s">
        <v>483</v>
      </c>
    </row>
    <row r="273" spans="1:11" x14ac:dyDescent="0.25">
      <c r="A273" t="s">
        <v>422</v>
      </c>
      <c r="B273" t="s">
        <v>30</v>
      </c>
      <c r="C273" t="s">
        <v>397</v>
      </c>
      <c r="D273">
        <v>151</v>
      </c>
      <c r="E273">
        <v>169.21</v>
      </c>
      <c r="F273">
        <v>3233555</v>
      </c>
      <c r="G273" t="s">
        <v>456</v>
      </c>
      <c r="H273">
        <v>186.334</v>
      </c>
      <c r="I273" t="s">
        <v>482</v>
      </c>
      <c r="J273" t="s">
        <v>10</v>
      </c>
      <c r="K273" t="s">
        <v>483</v>
      </c>
    </row>
    <row r="274" spans="1:11" x14ac:dyDescent="0.25">
      <c r="A274" t="s">
        <v>422</v>
      </c>
      <c r="B274" t="s">
        <v>30</v>
      </c>
      <c r="C274" t="s">
        <v>397</v>
      </c>
      <c r="D274">
        <v>1898</v>
      </c>
      <c r="E274">
        <v>2126.8910000000001</v>
      </c>
      <c r="F274">
        <v>3233555</v>
      </c>
      <c r="G274" t="s">
        <v>456</v>
      </c>
      <c r="H274">
        <v>2342.1320000000001</v>
      </c>
      <c r="I274" t="s">
        <v>482</v>
      </c>
      <c r="J274" t="s">
        <v>10</v>
      </c>
      <c r="K274" t="s">
        <v>483</v>
      </c>
    </row>
    <row r="275" spans="1:11" x14ac:dyDescent="0.25">
      <c r="A275" t="s">
        <v>422</v>
      </c>
      <c r="B275" t="s">
        <v>30</v>
      </c>
      <c r="C275" t="s">
        <v>397</v>
      </c>
      <c r="D275">
        <v>102</v>
      </c>
      <c r="E275">
        <v>114.301</v>
      </c>
      <c r="F275">
        <v>3233555</v>
      </c>
      <c r="G275" t="s">
        <v>456</v>
      </c>
      <c r="H275">
        <v>125.86799999999999</v>
      </c>
      <c r="I275" t="s">
        <v>482</v>
      </c>
      <c r="J275" t="s">
        <v>10</v>
      </c>
      <c r="K275" t="s">
        <v>483</v>
      </c>
    </row>
    <row r="276" spans="1:11" x14ac:dyDescent="0.25">
      <c r="A276" t="s">
        <v>453</v>
      </c>
      <c r="B276" t="s">
        <v>60</v>
      </c>
      <c r="C276" t="s">
        <v>397</v>
      </c>
      <c r="D276">
        <v>1510</v>
      </c>
      <c r="E276">
        <v>1692.1</v>
      </c>
      <c r="F276">
        <v>3233555</v>
      </c>
      <c r="G276" t="s">
        <v>456</v>
      </c>
      <c r="H276">
        <v>1863.34</v>
      </c>
      <c r="I276" t="s">
        <v>482</v>
      </c>
      <c r="J276" t="s">
        <v>10</v>
      </c>
      <c r="K276" t="s">
        <v>483</v>
      </c>
    </row>
    <row r="277" spans="1:11" x14ac:dyDescent="0.25">
      <c r="A277" t="s">
        <v>453</v>
      </c>
      <c r="B277" t="s">
        <v>60</v>
      </c>
      <c r="C277" t="s">
        <v>397</v>
      </c>
      <c r="D277">
        <v>490</v>
      </c>
      <c r="E277">
        <v>549.09199999999998</v>
      </c>
      <c r="F277">
        <v>3233555</v>
      </c>
      <c r="G277" t="s">
        <v>456</v>
      </c>
      <c r="H277">
        <v>604.66</v>
      </c>
      <c r="I277" t="s">
        <v>482</v>
      </c>
      <c r="J277" t="s">
        <v>10</v>
      </c>
      <c r="K277" t="s">
        <v>483</v>
      </c>
    </row>
    <row r="278" spans="1:11" x14ac:dyDescent="0.25">
      <c r="A278" t="s">
        <v>422</v>
      </c>
      <c r="B278" t="s">
        <v>30</v>
      </c>
      <c r="C278" t="s">
        <v>397</v>
      </c>
      <c r="D278">
        <v>1404</v>
      </c>
      <c r="E278">
        <v>1573.316</v>
      </c>
      <c r="F278">
        <v>3233555</v>
      </c>
      <c r="G278" t="s">
        <v>456</v>
      </c>
      <c r="H278">
        <v>1732.5360000000001</v>
      </c>
      <c r="I278" t="s">
        <v>482</v>
      </c>
      <c r="J278" t="s">
        <v>10</v>
      </c>
      <c r="K278" t="s">
        <v>483</v>
      </c>
    </row>
    <row r="279" spans="1:11" x14ac:dyDescent="0.25">
      <c r="A279" t="s">
        <v>422</v>
      </c>
      <c r="B279" t="s">
        <v>30</v>
      </c>
      <c r="C279" t="s">
        <v>397</v>
      </c>
      <c r="D279">
        <v>384</v>
      </c>
      <c r="E279">
        <v>430.30900000000003</v>
      </c>
      <c r="F279">
        <v>3233555</v>
      </c>
      <c r="G279" t="s">
        <v>456</v>
      </c>
      <c r="H279">
        <v>473.85599999999999</v>
      </c>
      <c r="I279" t="s">
        <v>482</v>
      </c>
      <c r="J279" t="s">
        <v>10</v>
      </c>
      <c r="K279" t="s">
        <v>483</v>
      </c>
    </row>
    <row r="280" spans="1:11" x14ac:dyDescent="0.25">
      <c r="A280" t="s">
        <v>422</v>
      </c>
      <c r="B280" t="s">
        <v>30</v>
      </c>
      <c r="C280" t="s">
        <v>397</v>
      </c>
      <c r="D280">
        <v>167</v>
      </c>
      <c r="E280">
        <v>187.13900000000001</v>
      </c>
      <c r="F280">
        <v>3233555</v>
      </c>
      <c r="G280" t="s">
        <v>456</v>
      </c>
      <c r="H280">
        <v>206.078</v>
      </c>
      <c r="I280" t="s">
        <v>482</v>
      </c>
      <c r="J280" t="s">
        <v>10</v>
      </c>
      <c r="K280" t="s">
        <v>483</v>
      </c>
    </row>
    <row r="281" spans="1:11" x14ac:dyDescent="0.25">
      <c r="A281" t="s">
        <v>422</v>
      </c>
      <c r="B281" t="s">
        <v>30</v>
      </c>
      <c r="C281" t="s">
        <v>397</v>
      </c>
      <c r="D281">
        <v>45</v>
      </c>
      <c r="E281">
        <v>50.427</v>
      </c>
      <c r="F281">
        <v>3233555</v>
      </c>
      <c r="G281" t="s">
        <v>456</v>
      </c>
      <c r="H281">
        <v>55.53</v>
      </c>
      <c r="I281" t="s">
        <v>482</v>
      </c>
      <c r="J281" t="s">
        <v>10</v>
      </c>
      <c r="K281" t="s">
        <v>483</v>
      </c>
    </row>
    <row r="282" spans="1:11" x14ac:dyDescent="0.25">
      <c r="A282" t="s">
        <v>453</v>
      </c>
      <c r="B282" t="s">
        <v>60</v>
      </c>
      <c r="C282" t="s">
        <v>397</v>
      </c>
      <c r="D282">
        <v>1898</v>
      </c>
      <c r="E282">
        <v>2126.8910000000001</v>
      </c>
      <c r="F282">
        <v>3233555</v>
      </c>
      <c r="G282" t="s">
        <v>456</v>
      </c>
      <c r="H282">
        <v>2342.1320000000001</v>
      </c>
      <c r="I282" t="s">
        <v>482</v>
      </c>
      <c r="J282" t="s">
        <v>10</v>
      </c>
      <c r="K282" t="s">
        <v>483</v>
      </c>
    </row>
    <row r="283" spans="1:11" x14ac:dyDescent="0.25">
      <c r="A283" t="s">
        <v>453</v>
      </c>
      <c r="B283" t="s">
        <v>60</v>
      </c>
      <c r="C283" t="s">
        <v>397</v>
      </c>
      <c r="D283">
        <v>102</v>
      </c>
      <c r="E283">
        <v>114.301</v>
      </c>
      <c r="F283">
        <v>3233555</v>
      </c>
      <c r="G283" t="s">
        <v>456</v>
      </c>
      <c r="H283">
        <v>125.86799999999999</v>
      </c>
      <c r="I283" t="s">
        <v>482</v>
      </c>
      <c r="J283" t="s">
        <v>10</v>
      </c>
      <c r="K283" t="s">
        <v>483</v>
      </c>
    </row>
    <row r="284" spans="1:11" x14ac:dyDescent="0.25">
      <c r="A284" t="s">
        <v>422</v>
      </c>
      <c r="B284" t="s">
        <v>30</v>
      </c>
      <c r="C284" t="s">
        <v>397</v>
      </c>
      <c r="D284">
        <v>1898</v>
      </c>
      <c r="E284">
        <v>2126.8910000000001</v>
      </c>
      <c r="F284">
        <v>3233555</v>
      </c>
      <c r="G284" t="s">
        <v>456</v>
      </c>
      <c r="H284">
        <v>2342.1320000000001</v>
      </c>
      <c r="I284" t="s">
        <v>482</v>
      </c>
      <c r="J284" t="s">
        <v>10</v>
      </c>
      <c r="K284" t="s">
        <v>483</v>
      </c>
    </row>
    <row r="285" spans="1:11" x14ac:dyDescent="0.25">
      <c r="A285" t="s">
        <v>422</v>
      </c>
      <c r="B285" t="s">
        <v>30</v>
      </c>
      <c r="C285" t="s">
        <v>397</v>
      </c>
      <c r="D285">
        <v>102</v>
      </c>
      <c r="E285">
        <v>114.301</v>
      </c>
      <c r="F285">
        <v>3233555</v>
      </c>
      <c r="G285" t="s">
        <v>456</v>
      </c>
      <c r="H285">
        <v>125.86799999999999</v>
      </c>
      <c r="I285" t="s">
        <v>482</v>
      </c>
      <c r="J285" t="s">
        <v>10</v>
      </c>
      <c r="K285" t="s">
        <v>483</v>
      </c>
    </row>
    <row r="286" spans="1:11" x14ac:dyDescent="0.25">
      <c r="A286" t="s">
        <v>453</v>
      </c>
      <c r="B286" t="s">
        <v>60</v>
      </c>
      <c r="C286" t="s">
        <v>397</v>
      </c>
      <c r="D286">
        <v>1898</v>
      </c>
      <c r="E286">
        <v>2126.8910000000001</v>
      </c>
      <c r="F286">
        <v>3233555</v>
      </c>
      <c r="G286" t="s">
        <v>456</v>
      </c>
      <c r="H286">
        <v>2342.1320000000001</v>
      </c>
      <c r="I286" t="s">
        <v>482</v>
      </c>
      <c r="J286" t="s">
        <v>10</v>
      </c>
      <c r="K286" t="s">
        <v>483</v>
      </c>
    </row>
    <row r="287" spans="1:11" x14ac:dyDescent="0.25">
      <c r="A287" t="s">
        <v>453</v>
      </c>
      <c r="B287" t="s">
        <v>60</v>
      </c>
      <c r="C287" t="s">
        <v>397</v>
      </c>
      <c r="D287">
        <v>102</v>
      </c>
      <c r="E287">
        <v>114.301</v>
      </c>
      <c r="F287">
        <v>3233555</v>
      </c>
      <c r="G287" t="s">
        <v>456</v>
      </c>
      <c r="H287">
        <v>125.86799999999999</v>
      </c>
      <c r="I287" t="s">
        <v>482</v>
      </c>
      <c r="J287" t="s">
        <v>10</v>
      </c>
      <c r="K287" t="s">
        <v>483</v>
      </c>
    </row>
    <row r="288" spans="1:11" x14ac:dyDescent="0.25">
      <c r="A288" t="s">
        <v>422</v>
      </c>
      <c r="B288" t="s">
        <v>30</v>
      </c>
      <c r="C288" t="s">
        <v>397</v>
      </c>
      <c r="D288">
        <v>949</v>
      </c>
      <c r="E288">
        <v>1063.4449999999999</v>
      </c>
      <c r="F288">
        <v>3233555</v>
      </c>
      <c r="G288" t="s">
        <v>456</v>
      </c>
      <c r="H288">
        <v>1171.066</v>
      </c>
      <c r="I288" t="s">
        <v>482</v>
      </c>
      <c r="J288" t="s">
        <v>10</v>
      </c>
      <c r="K288" t="s">
        <v>483</v>
      </c>
    </row>
    <row r="289" spans="1:11" x14ac:dyDescent="0.25">
      <c r="A289" t="s">
        <v>422</v>
      </c>
      <c r="B289" t="s">
        <v>30</v>
      </c>
      <c r="C289" t="s">
        <v>397</v>
      </c>
      <c r="D289">
        <v>944</v>
      </c>
      <c r="E289">
        <v>1057.8420000000001</v>
      </c>
      <c r="F289">
        <v>3233555</v>
      </c>
      <c r="G289" t="s">
        <v>456</v>
      </c>
      <c r="H289">
        <v>1164.896</v>
      </c>
      <c r="I289" t="s">
        <v>482</v>
      </c>
      <c r="J289" t="s">
        <v>10</v>
      </c>
      <c r="K289" t="s">
        <v>483</v>
      </c>
    </row>
    <row r="290" spans="1:11" x14ac:dyDescent="0.25">
      <c r="A290" t="s">
        <v>422</v>
      </c>
      <c r="B290" t="s">
        <v>30</v>
      </c>
      <c r="C290" t="s">
        <v>397</v>
      </c>
      <c r="D290">
        <v>107</v>
      </c>
      <c r="E290">
        <v>119.904</v>
      </c>
      <c r="F290">
        <v>3233555</v>
      </c>
      <c r="G290" t="s">
        <v>456</v>
      </c>
      <c r="H290">
        <v>132.03800000000001</v>
      </c>
      <c r="I290" t="s">
        <v>482</v>
      </c>
      <c r="J290" t="s">
        <v>10</v>
      </c>
      <c r="K290" t="s">
        <v>483</v>
      </c>
    </row>
    <row r="291" spans="1:11" x14ac:dyDescent="0.25">
      <c r="A291" t="s">
        <v>453</v>
      </c>
      <c r="B291" t="s">
        <v>60</v>
      </c>
      <c r="C291" t="s">
        <v>397</v>
      </c>
      <c r="D291">
        <v>2000</v>
      </c>
      <c r="E291">
        <v>2241.1909999999998</v>
      </c>
      <c r="F291">
        <v>3233555</v>
      </c>
      <c r="G291" t="s">
        <v>456</v>
      </c>
      <c r="H291">
        <v>2468</v>
      </c>
      <c r="I291" t="s">
        <v>482</v>
      </c>
      <c r="J291" t="s">
        <v>10</v>
      </c>
      <c r="K291" t="s">
        <v>483</v>
      </c>
    </row>
    <row r="292" spans="1:11" x14ac:dyDescent="0.25">
      <c r="A292" t="s">
        <v>422</v>
      </c>
      <c r="B292" t="s">
        <v>30</v>
      </c>
      <c r="C292" t="s">
        <v>397</v>
      </c>
      <c r="D292">
        <v>859</v>
      </c>
      <c r="E292">
        <v>962.59199999999998</v>
      </c>
      <c r="F292">
        <v>3233555</v>
      </c>
      <c r="G292" t="s">
        <v>456</v>
      </c>
      <c r="H292">
        <v>1060.0060000000001</v>
      </c>
      <c r="I292" t="s">
        <v>482</v>
      </c>
      <c r="J292" t="s">
        <v>10</v>
      </c>
      <c r="K292" t="s">
        <v>483</v>
      </c>
    </row>
    <row r="293" spans="1:11" x14ac:dyDescent="0.25">
      <c r="A293" t="s">
        <v>422</v>
      </c>
      <c r="B293" t="s">
        <v>30</v>
      </c>
      <c r="C293" t="s">
        <v>397</v>
      </c>
      <c r="D293">
        <v>790</v>
      </c>
      <c r="E293">
        <v>885.27099999999996</v>
      </c>
      <c r="F293">
        <v>3233555</v>
      </c>
      <c r="G293" t="s">
        <v>456</v>
      </c>
      <c r="H293">
        <v>974.86</v>
      </c>
      <c r="I293" t="s">
        <v>482</v>
      </c>
      <c r="J293" t="s">
        <v>10</v>
      </c>
      <c r="K293" t="s">
        <v>483</v>
      </c>
    </row>
    <row r="294" spans="1:11" x14ac:dyDescent="0.25">
      <c r="A294" t="s">
        <v>422</v>
      </c>
      <c r="B294" t="s">
        <v>30</v>
      </c>
      <c r="C294" t="s">
        <v>397</v>
      </c>
      <c r="D294">
        <v>351</v>
      </c>
      <c r="E294">
        <v>393.32900000000001</v>
      </c>
      <c r="F294">
        <v>3233555</v>
      </c>
      <c r="G294" t="s">
        <v>456</v>
      </c>
      <c r="H294">
        <v>433.13400000000001</v>
      </c>
      <c r="I294" t="s">
        <v>482</v>
      </c>
      <c r="J294" t="s">
        <v>10</v>
      </c>
      <c r="K294" t="s">
        <v>483</v>
      </c>
    </row>
    <row r="295" spans="1:11" x14ac:dyDescent="0.25">
      <c r="A295" t="s">
        <v>453</v>
      </c>
      <c r="B295" t="s">
        <v>60</v>
      </c>
      <c r="C295" t="s">
        <v>397</v>
      </c>
      <c r="D295">
        <v>964</v>
      </c>
      <c r="E295">
        <v>1080.2539999999999</v>
      </c>
      <c r="F295">
        <v>3233555</v>
      </c>
      <c r="G295" t="s">
        <v>456</v>
      </c>
      <c r="H295">
        <v>1189.576</v>
      </c>
      <c r="I295" t="s">
        <v>482</v>
      </c>
      <c r="J295" t="s">
        <v>10</v>
      </c>
      <c r="K295" t="s">
        <v>483</v>
      </c>
    </row>
    <row r="296" spans="1:11" x14ac:dyDescent="0.25">
      <c r="A296" t="s">
        <v>453</v>
      </c>
      <c r="B296" t="s">
        <v>60</v>
      </c>
      <c r="C296" t="s">
        <v>397</v>
      </c>
      <c r="D296">
        <v>684</v>
      </c>
      <c r="E296">
        <v>766.48699999999997</v>
      </c>
      <c r="F296">
        <v>3233555</v>
      </c>
      <c r="G296" t="s">
        <v>456</v>
      </c>
      <c r="H296">
        <v>844.05600000000004</v>
      </c>
      <c r="I296" t="s">
        <v>482</v>
      </c>
      <c r="J296" t="s">
        <v>10</v>
      </c>
      <c r="K296" t="s">
        <v>483</v>
      </c>
    </row>
    <row r="297" spans="1:11" x14ac:dyDescent="0.25">
      <c r="A297" t="s">
        <v>453</v>
      </c>
      <c r="B297" t="s">
        <v>60</v>
      </c>
      <c r="C297" t="s">
        <v>397</v>
      </c>
      <c r="D297">
        <v>348</v>
      </c>
      <c r="E297">
        <v>389.96699999999998</v>
      </c>
      <c r="F297">
        <v>3233555</v>
      </c>
      <c r="G297" t="s">
        <v>456</v>
      </c>
      <c r="H297">
        <v>429.43200000000002</v>
      </c>
      <c r="I297" t="s">
        <v>482</v>
      </c>
      <c r="J297" t="s">
        <v>10</v>
      </c>
      <c r="K297" t="s">
        <v>483</v>
      </c>
    </row>
    <row r="298" spans="1:11" x14ac:dyDescent="0.25">
      <c r="A298" t="s">
        <v>453</v>
      </c>
      <c r="B298" t="s">
        <v>60</v>
      </c>
      <c r="C298" t="s">
        <v>397</v>
      </c>
      <c r="D298">
        <v>4</v>
      </c>
      <c r="E298">
        <v>4.4820000000000002</v>
      </c>
      <c r="F298">
        <v>3233555</v>
      </c>
      <c r="G298" t="s">
        <v>456</v>
      </c>
      <c r="H298">
        <v>4.9359999999999999</v>
      </c>
      <c r="I298" t="s">
        <v>482</v>
      </c>
      <c r="J298" t="s">
        <v>10</v>
      </c>
      <c r="K298" t="s">
        <v>483</v>
      </c>
    </row>
    <row r="299" spans="1:11" x14ac:dyDescent="0.25">
      <c r="A299" t="s">
        <v>422</v>
      </c>
      <c r="B299" t="s">
        <v>30</v>
      </c>
      <c r="C299" t="s">
        <v>397</v>
      </c>
      <c r="D299">
        <v>1699</v>
      </c>
      <c r="E299">
        <v>1903.8920000000001</v>
      </c>
      <c r="F299">
        <v>3233555</v>
      </c>
      <c r="G299" t="s">
        <v>456</v>
      </c>
      <c r="H299">
        <v>2096.5659999999998</v>
      </c>
      <c r="I299" t="s">
        <v>482</v>
      </c>
      <c r="J299" t="s">
        <v>10</v>
      </c>
      <c r="K299" t="s">
        <v>483</v>
      </c>
    </row>
    <row r="300" spans="1:11" x14ac:dyDescent="0.25">
      <c r="A300" t="s">
        <v>422</v>
      </c>
      <c r="B300" t="s">
        <v>30</v>
      </c>
      <c r="C300" t="s">
        <v>397</v>
      </c>
      <c r="D300">
        <v>301</v>
      </c>
      <c r="E300">
        <v>337.29899999999998</v>
      </c>
      <c r="F300">
        <v>3233555</v>
      </c>
      <c r="G300" t="s">
        <v>456</v>
      </c>
      <c r="H300">
        <v>371.43400000000003</v>
      </c>
      <c r="I300" t="s">
        <v>482</v>
      </c>
      <c r="J300" t="s">
        <v>10</v>
      </c>
      <c r="K300" t="s">
        <v>483</v>
      </c>
    </row>
    <row r="301" spans="1:11" x14ac:dyDescent="0.25">
      <c r="A301" t="s">
        <v>453</v>
      </c>
      <c r="B301" t="s">
        <v>60</v>
      </c>
      <c r="C301" t="s">
        <v>397</v>
      </c>
      <c r="D301">
        <v>1649</v>
      </c>
      <c r="E301">
        <v>1847.8620000000001</v>
      </c>
      <c r="F301">
        <v>3233555</v>
      </c>
      <c r="G301" t="s">
        <v>456</v>
      </c>
      <c r="H301">
        <v>2034.866</v>
      </c>
      <c r="I301" t="s">
        <v>482</v>
      </c>
      <c r="J301" t="s">
        <v>10</v>
      </c>
      <c r="K301" t="s">
        <v>483</v>
      </c>
    </row>
    <row r="302" spans="1:11" x14ac:dyDescent="0.25">
      <c r="A302" t="s">
        <v>453</v>
      </c>
      <c r="B302" t="s">
        <v>60</v>
      </c>
      <c r="C302" t="s">
        <v>397</v>
      </c>
      <c r="D302">
        <v>351</v>
      </c>
      <c r="E302">
        <v>393.32900000000001</v>
      </c>
      <c r="F302">
        <v>3233555</v>
      </c>
      <c r="G302" t="s">
        <v>456</v>
      </c>
      <c r="H302">
        <v>433.13400000000001</v>
      </c>
      <c r="I302" t="s">
        <v>482</v>
      </c>
      <c r="J302" t="s">
        <v>10</v>
      </c>
      <c r="K302" t="s">
        <v>483</v>
      </c>
    </row>
    <row r="303" spans="1:11" x14ac:dyDescent="0.25">
      <c r="A303" t="s">
        <v>453</v>
      </c>
      <c r="B303" t="s">
        <v>60</v>
      </c>
      <c r="C303" t="s">
        <v>397</v>
      </c>
      <c r="D303">
        <v>214</v>
      </c>
      <c r="E303">
        <v>184.14500000000001</v>
      </c>
      <c r="F303">
        <v>3572051</v>
      </c>
      <c r="G303" t="s">
        <v>456</v>
      </c>
      <c r="H303">
        <v>201.16</v>
      </c>
      <c r="I303" t="s">
        <v>484</v>
      </c>
      <c r="J303" t="s">
        <v>10</v>
      </c>
      <c r="K303" t="s">
        <v>485</v>
      </c>
    </row>
    <row r="304" spans="1:11" x14ac:dyDescent="0.25">
      <c r="A304" t="s">
        <v>453</v>
      </c>
      <c r="B304" t="s">
        <v>60</v>
      </c>
      <c r="C304" t="s">
        <v>397</v>
      </c>
      <c r="D304">
        <v>523</v>
      </c>
      <c r="E304">
        <v>450.03699999999998</v>
      </c>
      <c r="F304">
        <v>3572051</v>
      </c>
      <c r="G304" t="s">
        <v>456</v>
      </c>
      <c r="H304">
        <v>491.62</v>
      </c>
      <c r="I304" t="s">
        <v>484</v>
      </c>
      <c r="J304" t="s">
        <v>10</v>
      </c>
      <c r="K304" t="s">
        <v>485</v>
      </c>
    </row>
    <row r="305" spans="1:11" x14ac:dyDescent="0.25">
      <c r="A305" t="s">
        <v>453</v>
      </c>
      <c r="B305" t="s">
        <v>60</v>
      </c>
      <c r="C305" t="s">
        <v>397</v>
      </c>
      <c r="D305">
        <v>498</v>
      </c>
      <c r="E305">
        <v>428.524</v>
      </c>
      <c r="F305">
        <v>3572051</v>
      </c>
      <c r="G305" t="s">
        <v>456</v>
      </c>
      <c r="H305">
        <v>468.12</v>
      </c>
      <c r="I305" t="s">
        <v>484</v>
      </c>
      <c r="J305" t="s">
        <v>10</v>
      </c>
      <c r="K305" t="s">
        <v>485</v>
      </c>
    </row>
    <row r="306" spans="1:11" x14ac:dyDescent="0.25">
      <c r="A306" t="s">
        <v>453</v>
      </c>
      <c r="B306" t="s">
        <v>60</v>
      </c>
      <c r="C306" t="s">
        <v>397</v>
      </c>
      <c r="D306">
        <v>448</v>
      </c>
      <c r="E306">
        <v>385.5</v>
      </c>
      <c r="F306">
        <v>3572051</v>
      </c>
      <c r="G306" t="s">
        <v>456</v>
      </c>
      <c r="H306">
        <v>421.12</v>
      </c>
      <c r="I306" t="s">
        <v>484</v>
      </c>
      <c r="J306" t="s">
        <v>10</v>
      </c>
      <c r="K306" t="s">
        <v>485</v>
      </c>
    </row>
    <row r="307" spans="1:11" x14ac:dyDescent="0.25">
      <c r="A307" t="s">
        <v>453</v>
      </c>
      <c r="B307" t="s">
        <v>60</v>
      </c>
      <c r="C307" t="s">
        <v>397</v>
      </c>
      <c r="D307">
        <v>198</v>
      </c>
      <c r="E307">
        <v>170.37700000000001</v>
      </c>
      <c r="F307">
        <v>3572051</v>
      </c>
      <c r="G307" t="s">
        <v>456</v>
      </c>
      <c r="H307">
        <v>186.12</v>
      </c>
      <c r="I307" t="s">
        <v>484</v>
      </c>
      <c r="J307" t="s">
        <v>10</v>
      </c>
      <c r="K307" t="s">
        <v>485</v>
      </c>
    </row>
    <row r="308" spans="1:11" x14ac:dyDescent="0.25">
      <c r="A308" t="s">
        <v>453</v>
      </c>
      <c r="B308" t="s">
        <v>60</v>
      </c>
      <c r="C308" t="s">
        <v>397</v>
      </c>
      <c r="D308">
        <v>116</v>
      </c>
      <c r="E308">
        <v>99.816999999999993</v>
      </c>
      <c r="F308">
        <v>3572051</v>
      </c>
      <c r="G308" t="s">
        <v>456</v>
      </c>
      <c r="H308">
        <v>109.04</v>
      </c>
      <c r="I308" t="s">
        <v>484</v>
      </c>
      <c r="J308" t="s">
        <v>10</v>
      </c>
      <c r="K308" t="s">
        <v>485</v>
      </c>
    </row>
    <row r="309" spans="1:11" x14ac:dyDescent="0.25">
      <c r="A309" t="s">
        <v>453</v>
      </c>
      <c r="B309" t="s">
        <v>60</v>
      </c>
      <c r="C309" t="s">
        <v>397</v>
      </c>
      <c r="D309">
        <v>3</v>
      </c>
      <c r="E309">
        <v>2.581</v>
      </c>
      <c r="F309">
        <v>3572051</v>
      </c>
      <c r="G309" t="s">
        <v>456</v>
      </c>
      <c r="H309">
        <v>2.82</v>
      </c>
      <c r="I309" t="s">
        <v>484</v>
      </c>
      <c r="J309" t="s">
        <v>10</v>
      </c>
      <c r="K309" t="s">
        <v>485</v>
      </c>
    </row>
    <row r="310" spans="1:11" x14ac:dyDescent="0.25">
      <c r="A310" t="s">
        <v>422</v>
      </c>
      <c r="B310" t="s">
        <v>30</v>
      </c>
      <c r="C310" t="s">
        <v>397</v>
      </c>
      <c r="D310">
        <v>2000</v>
      </c>
      <c r="E310">
        <v>1720.981</v>
      </c>
      <c r="F310">
        <v>3572051</v>
      </c>
      <c r="G310" t="s">
        <v>456</v>
      </c>
      <c r="H310">
        <v>1880</v>
      </c>
      <c r="I310" t="s">
        <v>484</v>
      </c>
      <c r="J310" t="s">
        <v>10</v>
      </c>
      <c r="K310" t="s">
        <v>485</v>
      </c>
    </row>
    <row r="311" spans="1:11" x14ac:dyDescent="0.25">
      <c r="A311" t="s">
        <v>422</v>
      </c>
      <c r="B311" t="s">
        <v>30</v>
      </c>
      <c r="C311" t="s">
        <v>397</v>
      </c>
      <c r="D311">
        <v>2000</v>
      </c>
      <c r="E311">
        <v>1720.981</v>
      </c>
      <c r="F311">
        <v>3572051</v>
      </c>
      <c r="G311" t="s">
        <v>456</v>
      </c>
      <c r="H311">
        <v>1880</v>
      </c>
      <c r="I311" t="s">
        <v>484</v>
      </c>
      <c r="J311" t="s">
        <v>10</v>
      </c>
      <c r="K311" t="s">
        <v>485</v>
      </c>
    </row>
    <row r="312" spans="1:11" x14ac:dyDescent="0.25">
      <c r="A312" t="s">
        <v>453</v>
      </c>
      <c r="B312" t="s">
        <v>60</v>
      </c>
      <c r="C312" t="s">
        <v>397</v>
      </c>
      <c r="D312">
        <v>2000</v>
      </c>
      <c r="E312">
        <v>1720.981</v>
      </c>
      <c r="F312">
        <v>3572051</v>
      </c>
      <c r="G312" t="s">
        <v>456</v>
      </c>
      <c r="H312">
        <v>1880</v>
      </c>
      <c r="I312" t="s">
        <v>484</v>
      </c>
      <c r="J312" t="s">
        <v>10</v>
      </c>
      <c r="K312" t="s">
        <v>485</v>
      </c>
    </row>
    <row r="313" spans="1:11" x14ac:dyDescent="0.25">
      <c r="A313" t="s">
        <v>422</v>
      </c>
      <c r="B313" t="s">
        <v>30</v>
      </c>
      <c r="C313" t="s">
        <v>397</v>
      </c>
      <c r="D313">
        <v>2000</v>
      </c>
      <c r="E313">
        <v>1720.981</v>
      </c>
      <c r="F313">
        <v>3572051</v>
      </c>
      <c r="G313" t="s">
        <v>456</v>
      </c>
      <c r="H313">
        <v>1880</v>
      </c>
      <c r="I313" t="s">
        <v>484</v>
      </c>
      <c r="J313" t="s">
        <v>10</v>
      </c>
      <c r="K313" t="s">
        <v>485</v>
      </c>
    </row>
    <row r="314" spans="1:11" x14ac:dyDescent="0.25">
      <c r="A314" t="s">
        <v>453</v>
      </c>
      <c r="B314" t="s">
        <v>60</v>
      </c>
      <c r="C314" t="s">
        <v>397</v>
      </c>
      <c r="D314">
        <v>2000</v>
      </c>
      <c r="E314">
        <v>1720.981</v>
      </c>
      <c r="F314">
        <v>3572051</v>
      </c>
      <c r="G314" t="s">
        <v>456</v>
      </c>
      <c r="H314">
        <v>1880</v>
      </c>
      <c r="I314" t="s">
        <v>484</v>
      </c>
      <c r="J314" t="s">
        <v>10</v>
      </c>
      <c r="K314" t="s">
        <v>485</v>
      </c>
    </row>
    <row r="315" spans="1:11" x14ac:dyDescent="0.25">
      <c r="A315" t="s">
        <v>422</v>
      </c>
      <c r="B315" t="s">
        <v>30</v>
      </c>
      <c r="C315" t="s">
        <v>397</v>
      </c>
      <c r="D315">
        <v>2000</v>
      </c>
      <c r="E315">
        <v>1720.981</v>
      </c>
      <c r="F315">
        <v>3572051</v>
      </c>
      <c r="G315" t="s">
        <v>456</v>
      </c>
      <c r="H315">
        <v>1880</v>
      </c>
      <c r="I315" t="s">
        <v>484</v>
      </c>
      <c r="J315" t="s">
        <v>10</v>
      </c>
      <c r="K315" t="s">
        <v>485</v>
      </c>
    </row>
    <row r="316" spans="1:11" x14ac:dyDescent="0.25">
      <c r="A316" t="s">
        <v>453</v>
      </c>
      <c r="B316" t="s">
        <v>60</v>
      </c>
      <c r="C316" t="s">
        <v>397</v>
      </c>
      <c r="D316">
        <v>498</v>
      </c>
      <c r="E316">
        <v>428.524</v>
      </c>
      <c r="F316">
        <v>3572051</v>
      </c>
      <c r="G316" t="s">
        <v>456</v>
      </c>
      <c r="H316">
        <v>468.12</v>
      </c>
      <c r="I316" t="s">
        <v>484</v>
      </c>
      <c r="J316" t="s">
        <v>10</v>
      </c>
      <c r="K316" t="s">
        <v>485</v>
      </c>
    </row>
    <row r="317" spans="1:11" x14ac:dyDescent="0.25">
      <c r="A317" t="s">
        <v>453</v>
      </c>
      <c r="B317" t="s">
        <v>60</v>
      </c>
      <c r="C317" t="s">
        <v>397</v>
      </c>
      <c r="D317">
        <v>498</v>
      </c>
      <c r="E317">
        <v>428.524</v>
      </c>
      <c r="F317">
        <v>3572051</v>
      </c>
      <c r="G317" t="s">
        <v>456</v>
      </c>
      <c r="H317">
        <v>468.12</v>
      </c>
      <c r="I317" t="s">
        <v>484</v>
      </c>
      <c r="J317" t="s">
        <v>10</v>
      </c>
      <c r="K317" t="s">
        <v>485</v>
      </c>
    </row>
    <row r="318" spans="1:11" x14ac:dyDescent="0.25">
      <c r="A318" t="s">
        <v>453</v>
      </c>
      <c r="B318" t="s">
        <v>60</v>
      </c>
      <c r="C318" t="s">
        <v>397</v>
      </c>
      <c r="D318">
        <v>448</v>
      </c>
      <c r="E318">
        <v>385.5</v>
      </c>
      <c r="F318">
        <v>3572051</v>
      </c>
      <c r="G318" t="s">
        <v>456</v>
      </c>
      <c r="H318">
        <v>421.12</v>
      </c>
      <c r="I318" t="s">
        <v>484</v>
      </c>
      <c r="J318" t="s">
        <v>10</v>
      </c>
      <c r="K318" t="s">
        <v>485</v>
      </c>
    </row>
    <row r="319" spans="1:11" x14ac:dyDescent="0.25">
      <c r="A319" t="s">
        <v>453</v>
      </c>
      <c r="B319" t="s">
        <v>60</v>
      </c>
      <c r="C319" t="s">
        <v>397</v>
      </c>
      <c r="D319">
        <v>259</v>
      </c>
      <c r="E319">
        <v>222.86699999999999</v>
      </c>
      <c r="F319">
        <v>3572051</v>
      </c>
      <c r="G319" t="s">
        <v>456</v>
      </c>
      <c r="H319">
        <v>243.46</v>
      </c>
      <c r="I319" t="s">
        <v>484</v>
      </c>
      <c r="J319" t="s">
        <v>10</v>
      </c>
      <c r="K319" t="s">
        <v>485</v>
      </c>
    </row>
    <row r="320" spans="1:11" x14ac:dyDescent="0.25">
      <c r="A320" t="s">
        <v>453</v>
      </c>
      <c r="B320" t="s">
        <v>60</v>
      </c>
      <c r="C320" t="s">
        <v>397</v>
      </c>
      <c r="D320">
        <v>198</v>
      </c>
      <c r="E320">
        <v>170.37700000000001</v>
      </c>
      <c r="F320">
        <v>3572051</v>
      </c>
      <c r="G320" t="s">
        <v>456</v>
      </c>
      <c r="H320">
        <v>186.12</v>
      </c>
      <c r="I320" t="s">
        <v>484</v>
      </c>
      <c r="J320" t="s">
        <v>10</v>
      </c>
      <c r="K320" t="s">
        <v>485</v>
      </c>
    </row>
    <row r="321" spans="1:11" x14ac:dyDescent="0.25">
      <c r="A321" t="s">
        <v>453</v>
      </c>
      <c r="B321" t="s">
        <v>60</v>
      </c>
      <c r="C321" t="s">
        <v>397</v>
      </c>
      <c r="D321">
        <v>99</v>
      </c>
      <c r="E321">
        <v>85.188999999999993</v>
      </c>
      <c r="F321">
        <v>3572051</v>
      </c>
      <c r="G321" t="s">
        <v>456</v>
      </c>
      <c r="H321">
        <v>93.06</v>
      </c>
      <c r="I321" t="s">
        <v>484</v>
      </c>
      <c r="J321" t="s">
        <v>10</v>
      </c>
      <c r="K321" t="s">
        <v>485</v>
      </c>
    </row>
    <row r="322" spans="1:11" x14ac:dyDescent="0.25">
      <c r="A322" t="s">
        <v>422</v>
      </c>
      <c r="B322" t="s">
        <v>30</v>
      </c>
      <c r="C322" t="s">
        <v>397</v>
      </c>
      <c r="D322">
        <v>2000</v>
      </c>
      <c r="E322">
        <v>1720.981</v>
      </c>
      <c r="F322">
        <v>3572051</v>
      </c>
      <c r="G322" t="s">
        <v>456</v>
      </c>
      <c r="H322">
        <v>1880</v>
      </c>
      <c r="I322" t="s">
        <v>484</v>
      </c>
      <c r="J322" t="s">
        <v>10</v>
      </c>
      <c r="K322" t="s">
        <v>485</v>
      </c>
    </row>
    <row r="323" spans="1:11" x14ac:dyDescent="0.25">
      <c r="A323" t="s">
        <v>453</v>
      </c>
      <c r="B323" t="s">
        <v>60</v>
      </c>
      <c r="C323" t="s">
        <v>397</v>
      </c>
      <c r="D323">
        <v>2000</v>
      </c>
      <c r="E323">
        <v>1720.981</v>
      </c>
      <c r="F323">
        <v>3572051</v>
      </c>
      <c r="G323" t="s">
        <v>456</v>
      </c>
      <c r="H323">
        <v>1880</v>
      </c>
      <c r="I323" t="s">
        <v>484</v>
      </c>
      <c r="J323" t="s">
        <v>10</v>
      </c>
      <c r="K323" t="s">
        <v>485</v>
      </c>
    </row>
    <row r="324" spans="1:11" x14ac:dyDescent="0.25">
      <c r="A324" t="s">
        <v>422</v>
      </c>
      <c r="B324" t="s">
        <v>30</v>
      </c>
      <c r="C324" t="s">
        <v>397</v>
      </c>
      <c r="D324">
        <v>1000</v>
      </c>
      <c r="E324">
        <v>860.49099999999999</v>
      </c>
      <c r="F324">
        <v>3572051</v>
      </c>
      <c r="G324" t="s">
        <v>456</v>
      </c>
      <c r="H324">
        <v>940</v>
      </c>
      <c r="I324" t="s">
        <v>484</v>
      </c>
      <c r="J324" t="s">
        <v>10</v>
      </c>
      <c r="K324" t="s">
        <v>485</v>
      </c>
    </row>
    <row r="325" spans="1:11" x14ac:dyDescent="0.25">
      <c r="A325" t="s">
        <v>453</v>
      </c>
      <c r="B325" t="s">
        <v>60</v>
      </c>
      <c r="C325" t="s">
        <v>397</v>
      </c>
      <c r="D325">
        <v>2000</v>
      </c>
      <c r="E325">
        <v>1720.981</v>
      </c>
      <c r="F325">
        <v>3572051</v>
      </c>
      <c r="G325" t="s">
        <v>456</v>
      </c>
      <c r="H325">
        <v>1880</v>
      </c>
      <c r="I325" t="s">
        <v>484</v>
      </c>
      <c r="J325" t="s">
        <v>10</v>
      </c>
      <c r="K325" t="s">
        <v>485</v>
      </c>
    </row>
    <row r="326" spans="1:11" x14ac:dyDescent="0.25">
      <c r="A326" t="s">
        <v>422</v>
      </c>
      <c r="B326" t="s">
        <v>30</v>
      </c>
      <c r="C326" t="s">
        <v>397</v>
      </c>
      <c r="D326">
        <v>1797</v>
      </c>
      <c r="E326">
        <v>1546.3019999999999</v>
      </c>
      <c r="F326">
        <v>3572051</v>
      </c>
      <c r="G326" t="s">
        <v>456</v>
      </c>
      <c r="H326">
        <v>1689.18</v>
      </c>
      <c r="I326" t="s">
        <v>484</v>
      </c>
      <c r="J326" t="s">
        <v>10</v>
      </c>
      <c r="K326" t="s">
        <v>485</v>
      </c>
    </row>
    <row r="327" spans="1:11" x14ac:dyDescent="0.25">
      <c r="A327" t="s">
        <v>422</v>
      </c>
      <c r="B327" t="s">
        <v>30</v>
      </c>
      <c r="C327" t="s">
        <v>397</v>
      </c>
      <c r="D327">
        <v>203</v>
      </c>
      <c r="E327">
        <v>174.68</v>
      </c>
      <c r="F327">
        <v>3572051</v>
      </c>
      <c r="G327" t="s">
        <v>456</v>
      </c>
      <c r="H327">
        <v>190.82</v>
      </c>
      <c r="I327" t="s">
        <v>484</v>
      </c>
      <c r="J327" t="s">
        <v>10</v>
      </c>
      <c r="K327" t="s">
        <v>485</v>
      </c>
    </row>
    <row r="328" spans="1:11" x14ac:dyDescent="0.25">
      <c r="A328" t="s">
        <v>453</v>
      </c>
      <c r="B328" t="s">
        <v>60</v>
      </c>
      <c r="C328" t="s">
        <v>397</v>
      </c>
      <c r="D328">
        <v>2000</v>
      </c>
      <c r="E328">
        <v>1720.981</v>
      </c>
      <c r="F328">
        <v>3572051</v>
      </c>
      <c r="G328" t="s">
        <v>456</v>
      </c>
      <c r="H328">
        <v>1880</v>
      </c>
      <c r="I328" t="s">
        <v>484</v>
      </c>
      <c r="J328" t="s">
        <v>10</v>
      </c>
      <c r="K328" t="s">
        <v>485</v>
      </c>
    </row>
    <row r="329" spans="1:11" x14ac:dyDescent="0.25">
      <c r="A329" t="s">
        <v>396</v>
      </c>
      <c r="B329" t="s">
        <v>61</v>
      </c>
      <c r="C329" t="s">
        <v>397</v>
      </c>
      <c r="D329">
        <v>1699</v>
      </c>
      <c r="E329">
        <v>1509.0060000000001</v>
      </c>
      <c r="F329">
        <v>1940043</v>
      </c>
      <c r="G329" t="s">
        <v>463</v>
      </c>
      <c r="H329">
        <v>655.81399999999996</v>
      </c>
      <c r="I329" t="s">
        <v>486</v>
      </c>
      <c r="J329" t="s">
        <v>10</v>
      </c>
      <c r="K329" t="s">
        <v>487</v>
      </c>
    </row>
    <row r="330" spans="1:11" x14ac:dyDescent="0.25">
      <c r="A330" t="s">
        <v>396</v>
      </c>
      <c r="B330" t="s">
        <v>61</v>
      </c>
      <c r="C330" t="s">
        <v>397</v>
      </c>
      <c r="D330">
        <v>751</v>
      </c>
      <c r="E330">
        <v>667.01800000000003</v>
      </c>
      <c r="F330">
        <v>1940043</v>
      </c>
      <c r="G330" t="s">
        <v>463</v>
      </c>
      <c r="H330">
        <v>289.88600000000002</v>
      </c>
      <c r="I330" t="s">
        <v>486</v>
      </c>
      <c r="J330" t="s">
        <v>10</v>
      </c>
      <c r="K330" t="s">
        <v>487</v>
      </c>
    </row>
    <row r="331" spans="1:11" x14ac:dyDescent="0.25">
      <c r="A331" t="s">
        <v>396</v>
      </c>
      <c r="B331" t="s">
        <v>61</v>
      </c>
      <c r="C331" t="s">
        <v>397</v>
      </c>
      <c r="D331">
        <v>1481</v>
      </c>
      <c r="E331">
        <v>1315.384</v>
      </c>
      <c r="F331">
        <v>1940043</v>
      </c>
      <c r="G331" t="s">
        <v>463</v>
      </c>
      <c r="H331">
        <v>571.66600000000005</v>
      </c>
      <c r="I331" t="s">
        <v>486</v>
      </c>
      <c r="J331" t="s">
        <v>10</v>
      </c>
      <c r="K331" t="s">
        <v>487</v>
      </c>
    </row>
    <row r="332" spans="1:11" x14ac:dyDescent="0.25">
      <c r="A332" t="s">
        <v>396</v>
      </c>
      <c r="B332" t="s">
        <v>61</v>
      </c>
      <c r="C332" t="s">
        <v>397</v>
      </c>
      <c r="D332">
        <v>19</v>
      </c>
      <c r="E332">
        <v>16.875</v>
      </c>
      <c r="F332">
        <v>1940043</v>
      </c>
      <c r="G332" t="s">
        <v>463</v>
      </c>
      <c r="H332">
        <v>7.3339999999999996</v>
      </c>
      <c r="I332" t="s">
        <v>486</v>
      </c>
      <c r="J332" t="s">
        <v>10</v>
      </c>
      <c r="K332" t="s">
        <v>487</v>
      </c>
    </row>
    <row r="333" spans="1:11" x14ac:dyDescent="0.25">
      <c r="A333" t="s">
        <v>396</v>
      </c>
      <c r="B333" t="s">
        <v>61</v>
      </c>
      <c r="C333" t="s">
        <v>397</v>
      </c>
      <c r="D333">
        <v>3676</v>
      </c>
      <c r="E333">
        <v>3264.924</v>
      </c>
      <c r="F333">
        <v>1940043</v>
      </c>
      <c r="G333" t="s">
        <v>463</v>
      </c>
      <c r="H333">
        <v>1418.9359999999999</v>
      </c>
      <c r="I333" t="s">
        <v>486</v>
      </c>
      <c r="J333" t="s">
        <v>10</v>
      </c>
      <c r="K333" t="s">
        <v>487</v>
      </c>
    </row>
    <row r="334" spans="1:11" x14ac:dyDescent="0.25">
      <c r="A334" t="s">
        <v>396</v>
      </c>
      <c r="B334" t="s">
        <v>61</v>
      </c>
      <c r="C334" t="s">
        <v>397</v>
      </c>
      <c r="D334">
        <v>17</v>
      </c>
      <c r="E334">
        <v>15.099</v>
      </c>
      <c r="F334">
        <v>1940043</v>
      </c>
      <c r="G334" t="s">
        <v>463</v>
      </c>
      <c r="H334">
        <v>6.5620000000000003</v>
      </c>
      <c r="I334" t="s">
        <v>486</v>
      </c>
      <c r="J334" t="s">
        <v>10</v>
      </c>
      <c r="K334" t="s">
        <v>487</v>
      </c>
    </row>
    <row r="335" spans="1:11" x14ac:dyDescent="0.25">
      <c r="A335" t="s">
        <v>396</v>
      </c>
      <c r="B335" t="s">
        <v>61</v>
      </c>
      <c r="C335" t="s">
        <v>397</v>
      </c>
      <c r="D335">
        <v>7</v>
      </c>
      <c r="E335">
        <v>6.2169999999999996</v>
      </c>
      <c r="F335">
        <v>1940043</v>
      </c>
      <c r="G335" t="s">
        <v>463</v>
      </c>
      <c r="H335">
        <v>2.702</v>
      </c>
      <c r="I335" t="s">
        <v>486</v>
      </c>
      <c r="J335" t="s">
        <v>10</v>
      </c>
      <c r="K335" t="s">
        <v>487</v>
      </c>
    </row>
    <row r="336" spans="1:11" x14ac:dyDescent="0.25">
      <c r="A336" t="s">
        <v>396</v>
      </c>
      <c r="B336" t="s">
        <v>61</v>
      </c>
      <c r="C336" t="s">
        <v>397</v>
      </c>
      <c r="D336">
        <v>3906</v>
      </c>
      <c r="E336">
        <v>3469.2040000000002</v>
      </c>
      <c r="F336">
        <v>1940043</v>
      </c>
      <c r="G336" t="s">
        <v>463</v>
      </c>
      <c r="H336">
        <v>1507.7159999999999</v>
      </c>
      <c r="I336" t="s">
        <v>486</v>
      </c>
      <c r="J336" t="s">
        <v>10</v>
      </c>
      <c r="K336" t="s">
        <v>487</v>
      </c>
    </row>
    <row r="337" spans="1:11" x14ac:dyDescent="0.25">
      <c r="A337" t="s">
        <v>396</v>
      </c>
      <c r="B337" t="s">
        <v>61</v>
      </c>
      <c r="C337" t="s">
        <v>397</v>
      </c>
      <c r="D337">
        <v>3608</v>
      </c>
      <c r="E337">
        <v>3204.5279999999998</v>
      </c>
      <c r="F337">
        <v>1940043</v>
      </c>
      <c r="G337" t="s">
        <v>463</v>
      </c>
      <c r="H337">
        <v>1392.6880000000001</v>
      </c>
      <c r="I337" t="s">
        <v>486</v>
      </c>
      <c r="J337" t="s">
        <v>10</v>
      </c>
      <c r="K337" t="s">
        <v>487</v>
      </c>
    </row>
    <row r="338" spans="1:11" x14ac:dyDescent="0.25">
      <c r="A338" t="s">
        <v>396</v>
      </c>
      <c r="B338" t="s">
        <v>61</v>
      </c>
      <c r="C338" t="s">
        <v>397</v>
      </c>
      <c r="D338">
        <v>2150</v>
      </c>
      <c r="E338">
        <v>1909.5719999999999</v>
      </c>
      <c r="F338">
        <v>1940043</v>
      </c>
      <c r="G338" t="s">
        <v>463</v>
      </c>
      <c r="H338">
        <v>829.9</v>
      </c>
      <c r="I338" t="s">
        <v>486</v>
      </c>
      <c r="J338" t="s">
        <v>10</v>
      </c>
      <c r="K338" t="s">
        <v>487</v>
      </c>
    </row>
    <row r="339" spans="1:11" x14ac:dyDescent="0.25">
      <c r="A339" t="s">
        <v>396</v>
      </c>
      <c r="B339" t="s">
        <v>61</v>
      </c>
      <c r="C339" t="s">
        <v>397</v>
      </c>
      <c r="D339">
        <v>1468</v>
      </c>
      <c r="E339">
        <v>1303.838</v>
      </c>
      <c r="F339">
        <v>1940043</v>
      </c>
      <c r="G339" t="s">
        <v>463</v>
      </c>
      <c r="H339">
        <v>566.64800000000002</v>
      </c>
      <c r="I339" t="s">
        <v>486</v>
      </c>
      <c r="J339" t="s">
        <v>10</v>
      </c>
      <c r="K339" t="s">
        <v>487</v>
      </c>
    </row>
    <row r="340" spans="1:11" x14ac:dyDescent="0.25">
      <c r="A340" t="s">
        <v>396</v>
      </c>
      <c r="B340" t="s">
        <v>61</v>
      </c>
      <c r="C340" t="s">
        <v>397</v>
      </c>
      <c r="D340">
        <v>1349</v>
      </c>
      <c r="E340">
        <v>1198.145</v>
      </c>
      <c r="F340">
        <v>1940043</v>
      </c>
      <c r="G340" t="s">
        <v>463</v>
      </c>
      <c r="H340">
        <v>520.71400000000006</v>
      </c>
      <c r="I340" t="s">
        <v>486</v>
      </c>
      <c r="J340" t="s">
        <v>10</v>
      </c>
      <c r="K340" t="s">
        <v>487</v>
      </c>
    </row>
    <row r="341" spans="1:11" x14ac:dyDescent="0.25">
      <c r="A341" t="s">
        <v>396</v>
      </c>
      <c r="B341" t="s">
        <v>61</v>
      </c>
      <c r="C341" t="s">
        <v>397</v>
      </c>
      <c r="D341">
        <v>19</v>
      </c>
      <c r="E341">
        <v>16.875</v>
      </c>
      <c r="F341">
        <v>1940043</v>
      </c>
      <c r="G341" t="s">
        <v>463</v>
      </c>
      <c r="H341">
        <v>7.3339999999999996</v>
      </c>
      <c r="I341" t="s">
        <v>486</v>
      </c>
      <c r="J341" t="s">
        <v>10</v>
      </c>
      <c r="K341" t="s">
        <v>487</v>
      </c>
    </row>
    <row r="342" spans="1:11" x14ac:dyDescent="0.25">
      <c r="A342" t="s">
        <v>396</v>
      </c>
      <c r="B342" t="s">
        <v>61</v>
      </c>
      <c r="C342" t="s">
        <v>397</v>
      </c>
      <c r="D342">
        <v>3650</v>
      </c>
      <c r="E342">
        <v>3241.8319999999999</v>
      </c>
      <c r="F342">
        <v>1940043</v>
      </c>
      <c r="G342" t="s">
        <v>463</v>
      </c>
      <c r="H342">
        <v>1408.9</v>
      </c>
      <c r="I342" t="s">
        <v>486</v>
      </c>
      <c r="J342" t="s">
        <v>10</v>
      </c>
      <c r="K342" t="s">
        <v>487</v>
      </c>
    </row>
    <row r="343" spans="1:11" x14ac:dyDescent="0.25">
      <c r="A343" t="s">
        <v>453</v>
      </c>
      <c r="B343" t="s">
        <v>60</v>
      </c>
      <c r="C343" t="s">
        <v>397</v>
      </c>
      <c r="D343">
        <v>1000</v>
      </c>
      <c r="E343">
        <v>754.99400000000003</v>
      </c>
      <c r="F343">
        <v>4151472</v>
      </c>
      <c r="G343" t="s">
        <v>456</v>
      </c>
      <c r="H343">
        <v>824.75599999999997</v>
      </c>
      <c r="I343" t="s">
        <v>488</v>
      </c>
      <c r="J343" t="s">
        <v>10</v>
      </c>
      <c r="K343" t="s">
        <v>489</v>
      </c>
    </row>
    <row r="344" spans="1:11" x14ac:dyDescent="0.25">
      <c r="A344" t="s">
        <v>453</v>
      </c>
      <c r="B344" t="s">
        <v>60</v>
      </c>
      <c r="C344" t="s">
        <v>397</v>
      </c>
      <c r="D344">
        <v>949</v>
      </c>
      <c r="E344">
        <v>716.48900000000003</v>
      </c>
      <c r="F344">
        <v>4151472</v>
      </c>
      <c r="G344" t="s">
        <v>456</v>
      </c>
      <c r="H344">
        <v>782.69299999999998</v>
      </c>
      <c r="I344" t="s">
        <v>488</v>
      </c>
      <c r="J344" t="s">
        <v>10</v>
      </c>
      <c r="K344" t="s">
        <v>489</v>
      </c>
    </row>
    <row r="345" spans="1:11" x14ac:dyDescent="0.25">
      <c r="A345" t="s">
        <v>453</v>
      </c>
      <c r="B345" t="s">
        <v>60</v>
      </c>
      <c r="C345" t="s">
        <v>397</v>
      </c>
      <c r="D345">
        <v>25</v>
      </c>
      <c r="E345">
        <v>18.875</v>
      </c>
      <c r="F345">
        <v>4151472</v>
      </c>
      <c r="G345" t="s">
        <v>456</v>
      </c>
      <c r="H345">
        <v>20.619</v>
      </c>
      <c r="I345" t="s">
        <v>488</v>
      </c>
      <c r="J345" t="s">
        <v>10</v>
      </c>
      <c r="K345" t="s">
        <v>489</v>
      </c>
    </row>
    <row r="346" spans="1:11" x14ac:dyDescent="0.25">
      <c r="A346" t="s">
        <v>453</v>
      </c>
      <c r="B346" t="s">
        <v>60</v>
      </c>
      <c r="C346" t="s">
        <v>397</v>
      </c>
      <c r="D346">
        <v>17</v>
      </c>
      <c r="E346">
        <v>12.835000000000001</v>
      </c>
      <c r="F346">
        <v>4151472</v>
      </c>
      <c r="G346" t="s">
        <v>456</v>
      </c>
      <c r="H346">
        <v>14.021000000000001</v>
      </c>
      <c r="I346" t="s">
        <v>488</v>
      </c>
      <c r="J346" t="s">
        <v>10</v>
      </c>
      <c r="K346" t="s">
        <v>489</v>
      </c>
    </row>
    <row r="347" spans="1:11" x14ac:dyDescent="0.25">
      <c r="A347" t="s">
        <v>453</v>
      </c>
      <c r="B347" t="s">
        <v>60</v>
      </c>
      <c r="C347" t="s">
        <v>397</v>
      </c>
      <c r="D347">
        <v>9</v>
      </c>
      <c r="E347">
        <v>6.7949999999999999</v>
      </c>
      <c r="F347">
        <v>4151472</v>
      </c>
      <c r="G347" t="s">
        <v>456</v>
      </c>
      <c r="H347">
        <v>7.423</v>
      </c>
      <c r="I347" t="s">
        <v>488</v>
      </c>
      <c r="J347" t="s">
        <v>10</v>
      </c>
      <c r="K347" t="s">
        <v>489</v>
      </c>
    </row>
    <row r="348" spans="1:11" x14ac:dyDescent="0.25">
      <c r="A348" t="s">
        <v>453</v>
      </c>
      <c r="B348" t="s">
        <v>60</v>
      </c>
      <c r="C348" t="s">
        <v>397</v>
      </c>
      <c r="D348">
        <v>1000</v>
      </c>
      <c r="E348">
        <v>754.99400000000003</v>
      </c>
      <c r="F348">
        <v>4151472</v>
      </c>
      <c r="G348" t="s">
        <v>456</v>
      </c>
      <c r="H348">
        <v>824.75599999999997</v>
      </c>
      <c r="I348" t="s">
        <v>488</v>
      </c>
      <c r="J348" t="s">
        <v>10</v>
      </c>
      <c r="K348" t="s">
        <v>489</v>
      </c>
    </row>
    <row r="349" spans="1:11" x14ac:dyDescent="0.25">
      <c r="A349" t="s">
        <v>453</v>
      </c>
      <c r="B349" t="s">
        <v>60</v>
      </c>
      <c r="C349" t="s">
        <v>397</v>
      </c>
      <c r="D349">
        <v>1000</v>
      </c>
      <c r="E349">
        <v>754.99400000000003</v>
      </c>
      <c r="F349">
        <v>4151472</v>
      </c>
      <c r="G349" t="s">
        <v>456</v>
      </c>
      <c r="H349">
        <v>824.75599999999997</v>
      </c>
      <c r="I349" t="s">
        <v>488</v>
      </c>
      <c r="J349" t="s">
        <v>10</v>
      </c>
      <c r="K349" t="s">
        <v>489</v>
      </c>
    </row>
    <row r="350" spans="1:11" x14ac:dyDescent="0.25">
      <c r="A350" t="s">
        <v>422</v>
      </c>
      <c r="B350" t="s">
        <v>30</v>
      </c>
      <c r="C350" t="s">
        <v>397</v>
      </c>
      <c r="D350">
        <v>1000</v>
      </c>
      <c r="E350">
        <v>754.99400000000003</v>
      </c>
      <c r="F350">
        <v>4151472</v>
      </c>
      <c r="G350" t="s">
        <v>456</v>
      </c>
      <c r="H350">
        <v>824.75599999999997</v>
      </c>
      <c r="I350" t="s">
        <v>488</v>
      </c>
      <c r="J350" t="s">
        <v>10</v>
      </c>
      <c r="K350" t="s">
        <v>489</v>
      </c>
    </row>
    <row r="351" spans="1:11" x14ac:dyDescent="0.25">
      <c r="A351" t="s">
        <v>453</v>
      </c>
      <c r="B351" t="s">
        <v>60</v>
      </c>
      <c r="C351" t="s">
        <v>397</v>
      </c>
      <c r="D351">
        <v>1000</v>
      </c>
      <c r="E351">
        <v>754.99400000000003</v>
      </c>
      <c r="F351">
        <v>4151472</v>
      </c>
      <c r="G351" t="s">
        <v>456</v>
      </c>
      <c r="H351">
        <v>824.75599999999997</v>
      </c>
      <c r="I351" t="s">
        <v>488</v>
      </c>
      <c r="J351" t="s">
        <v>10</v>
      </c>
      <c r="K351" t="s">
        <v>489</v>
      </c>
    </row>
    <row r="352" spans="1:11" x14ac:dyDescent="0.25">
      <c r="A352" t="s">
        <v>453</v>
      </c>
      <c r="B352" t="s">
        <v>60</v>
      </c>
      <c r="C352" t="s">
        <v>397</v>
      </c>
      <c r="D352">
        <v>500</v>
      </c>
      <c r="E352">
        <v>377.49700000000001</v>
      </c>
      <c r="F352">
        <v>4151472</v>
      </c>
      <c r="G352" t="s">
        <v>456</v>
      </c>
      <c r="H352">
        <v>412.37799999999999</v>
      </c>
      <c r="I352" t="s">
        <v>488</v>
      </c>
      <c r="J352" t="s">
        <v>10</v>
      </c>
      <c r="K352" t="s">
        <v>489</v>
      </c>
    </row>
    <row r="353" spans="1:11" x14ac:dyDescent="0.25">
      <c r="A353" t="s">
        <v>453</v>
      </c>
      <c r="B353" t="s">
        <v>60</v>
      </c>
      <c r="C353" t="s">
        <v>397</v>
      </c>
      <c r="D353">
        <v>200</v>
      </c>
      <c r="E353">
        <v>150.999</v>
      </c>
      <c r="F353">
        <v>4151472</v>
      </c>
      <c r="G353" t="s">
        <v>456</v>
      </c>
      <c r="H353">
        <v>164.95099999999999</v>
      </c>
      <c r="I353" t="s">
        <v>488</v>
      </c>
      <c r="J353" t="s">
        <v>10</v>
      </c>
      <c r="K353" t="s">
        <v>489</v>
      </c>
    </row>
    <row r="354" spans="1:11" x14ac:dyDescent="0.25">
      <c r="A354" t="s">
        <v>453</v>
      </c>
      <c r="B354" t="s">
        <v>60</v>
      </c>
      <c r="C354" t="s">
        <v>397</v>
      </c>
      <c r="D354">
        <v>190</v>
      </c>
      <c r="E354">
        <v>143.44900000000001</v>
      </c>
      <c r="F354">
        <v>4151472</v>
      </c>
      <c r="G354" t="s">
        <v>456</v>
      </c>
      <c r="H354">
        <v>156.70400000000001</v>
      </c>
      <c r="I354" t="s">
        <v>488</v>
      </c>
      <c r="J354" t="s">
        <v>10</v>
      </c>
      <c r="K354" t="s">
        <v>489</v>
      </c>
    </row>
    <row r="355" spans="1:11" x14ac:dyDescent="0.25">
      <c r="A355" t="s">
        <v>453</v>
      </c>
      <c r="B355" t="s">
        <v>60</v>
      </c>
      <c r="C355" t="s">
        <v>397</v>
      </c>
      <c r="D355">
        <v>110</v>
      </c>
      <c r="E355">
        <v>83.049000000000007</v>
      </c>
      <c r="F355">
        <v>4151472</v>
      </c>
      <c r="G355" t="s">
        <v>456</v>
      </c>
      <c r="H355">
        <v>90.722999999999999</v>
      </c>
      <c r="I355" t="s">
        <v>488</v>
      </c>
      <c r="J355" t="s">
        <v>10</v>
      </c>
      <c r="K355" t="s">
        <v>489</v>
      </c>
    </row>
    <row r="356" spans="1:11" x14ac:dyDescent="0.25">
      <c r="A356" t="s">
        <v>453</v>
      </c>
      <c r="B356" t="s">
        <v>60</v>
      </c>
      <c r="C356" t="s">
        <v>397</v>
      </c>
      <c r="D356">
        <v>1000</v>
      </c>
      <c r="E356">
        <v>120.777</v>
      </c>
      <c r="F356">
        <v>3233559</v>
      </c>
      <c r="G356" t="s">
        <v>456</v>
      </c>
      <c r="H356">
        <v>133</v>
      </c>
      <c r="I356" t="s">
        <v>490</v>
      </c>
      <c r="J356" t="s">
        <v>10</v>
      </c>
      <c r="K356" t="s">
        <v>491</v>
      </c>
    </row>
    <row r="357" spans="1:11" x14ac:dyDescent="0.25">
      <c r="A357" t="s">
        <v>453</v>
      </c>
      <c r="B357" t="s">
        <v>60</v>
      </c>
      <c r="C357" t="s">
        <v>397</v>
      </c>
      <c r="D357">
        <v>1000</v>
      </c>
      <c r="E357">
        <v>120.777</v>
      </c>
      <c r="F357">
        <v>3233559</v>
      </c>
      <c r="G357" t="s">
        <v>456</v>
      </c>
      <c r="H357">
        <v>133</v>
      </c>
      <c r="I357" t="s">
        <v>490</v>
      </c>
      <c r="J357" t="s">
        <v>10</v>
      </c>
      <c r="K357" t="s">
        <v>491</v>
      </c>
    </row>
    <row r="358" spans="1:11" x14ac:dyDescent="0.25">
      <c r="A358" t="s">
        <v>453</v>
      </c>
      <c r="B358" t="s">
        <v>60</v>
      </c>
      <c r="C358" t="s">
        <v>397</v>
      </c>
      <c r="D358">
        <v>1000</v>
      </c>
      <c r="E358">
        <v>120.777</v>
      </c>
      <c r="F358">
        <v>3233559</v>
      </c>
      <c r="G358" t="s">
        <v>456</v>
      </c>
      <c r="H358">
        <v>133</v>
      </c>
      <c r="I358" t="s">
        <v>490</v>
      </c>
      <c r="J358" t="s">
        <v>10</v>
      </c>
      <c r="K358" t="s">
        <v>491</v>
      </c>
    </row>
    <row r="359" spans="1:11" x14ac:dyDescent="0.25">
      <c r="A359" t="s">
        <v>453</v>
      </c>
      <c r="B359" t="s">
        <v>60</v>
      </c>
      <c r="C359" t="s">
        <v>397</v>
      </c>
      <c r="D359">
        <v>1000</v>
      </c>
      <c r="E359">
        <v>120.777</v>
      </c>
      <c r="F359">
        <v>3233559</v>
      </c>
      <c r="G359" t="s">
        <v>456</v>
      </c>
      <c r="H359">
        <v>133</v>
      </c>
      <c r="I359" t="s">
        <v>490</v>
      </c>
      <c r="J359" t="s">
        <v>10</v>
      </c>
      <c r="K359" t="s">
        <v>491</v>
      </c>
    </row>
    <row r="360" spans="1:11" x14ac:dyDescent="0.25">
      <c r="A360" t="s">
        <v>453</v>
      </c>
      <c r="B360" t="s">
        <v>60</v>
      </c>
      <c r="C360" t="s">
        <v>397</v>
      </c>
      <c r="D360">
        <v>1000</v>
      </c>
      <c r="E360">
        <v>120.777</v>
      </c>
      <c r="F360">
        <v>3233559</v>
      </c>
      <c r="G360" t="s">
        <v>456</v>
      </c>
      <c r="H360">
        <v>133</v>
      </c>
      <c r="I360" t="s">
        <v>490</v>
      </c>
      <c r="J360" t="s">
        <v>10</v>
      </c>
      <c r="K360" t="s">
        <v>491</v>
      </c>
    </row>
    <row r="361" spans="1:11" x14ac:dyDescent="0.25">
      <c r="A361" t="s">
        <v>422</v>
      </c>
      <c r="B361" t="s">
        <v>30</v>
      </c>
      <c r="C361" t="s">
        <v>397</v>
      </c>
      <c r="D361">
        <v>1766</v>
      </c>
      <c r="E361">
        <v>213.29300000000001</v>
      </c>
      <c r="F361">
        <v>3233559</v>
      </c>
      <c r="G361" t="s">
        <v>456</v>
      </c>
      <c r="H361">
        <v>234.87799999999999</v>
      </c>
      <c r="I361" t="s">
        <v>490</v>
      </c>
      <c r="J361" t="s">
        <v>10</v>
      </c>
      <c r="K361" t="s">
        <v>491</v>
      </c>
    </row>
    <row r="362" spans="1:11" x14ac:dyDescent="0.25">
      <c r="A362" t="s">
        <v>422</v>
      </c>
      <c r="B362" t="s">
        <v>30</v>
      </c>
      <c r="C362" t="s">
        <v>397</v>
      </c>
      <c r="D362">
        <v>234</v>
      </c>
      <c r="E362">
        <v>28.262</v>
      </c>
      <c r="F362">
        <v>3233559</v>
      </c>
      <c r="G362" t="s">
        <v>456</v>
      </c>
      <c r="H362">
        <v>31.122</v>
      </c>
      <c r="I362" t="s">
        <v>490</v>
      </c>
      <c r="J362" t="s">
        <v>10</v>
      </c>
      <c r="K362" t="s">
        <v>491</v>
      </c>
    </row>
    <row r="363" spans="1:11" x14ac:dyDescent="0.25">
      <c r="A363" t="s">
        <v>453</v>
      </c>
      <c r="B363" t="s">
        <v>60</v>
      </c>
      <c r="C363" t="s">
        <v>397</v>
      </c>
      <c r="D363">
        <v>1000</v>
      </c>
      <c r="E363">
        <v>120.777</v>
      </c>
      <c r="F363">
        <v>3233559</v>
      </c>
      <c r="G363" t="s">
        <v>456</v>
      </c>
      <c r="H363">
        <v>133</v>
      </c>
      <c r="I363" t="s">
        <v>490</v>
      </c>
      <c r="J363" t="s">
        <v>10</v>
      </c>
      <c r="K363" t="s">
        <v>491</v>
      </c>
    </row>
    <row r="364" spans="1:11" x14ac:dyDescent="0.25">
      <c r="A364" t="s">
        <v>453</v>
      </c>
      <c r="B364" t="s">
        <v>60</v>
      </c>
      <c r="C364" t="s">
        <v>397</v>
      </c>
      <c r="D364">
        <v>1000</v>
      </c>
      <c r="E364">
        <v>120.777</v>
      </c>
      <c r="F364">
        <v>3233559</v>
      </c>
      <c r="G364" t="s">
        <v>456</v>
      </c>
      <c r="H364">
        <v>133</v>
      </c>
      <c r="I364" t="s">
        <v>490</v>
      </c>
      <c r="J364" t="s">
        <v>10</v>
      </c>
      <c r="K364" t="s">
        <v>491</v>
      </c>
    </row>
    <row r="365" spans="1:11" x14ac:dyDescent="0.25">
      <c r="A365" t="s">
        <v>453</v>
      </c>
      <c r="B365" t="s">
        <v>60</v>
      </c>
      <c r="C365" t="s">
        <v>397</v>
      </c>
      <c r="D365">
        <v>1000</v>
      </c>
      <c r="E365">
        <v>110.765</v>
      </c>
      <c r="F365">
        <v>3572047</v>
      </c>
      <c r="G365" t="s">
        <v>456</v>
      </c>
      <c r="H365">
        <v>121</v>
      </c>
      <c r="I365" t="s">
        <v>492</v>
      </c>
      <c r="J365" t="s">
        <v>10</v>
      </c>
      <c r="K365" t="s">
        <v>493</v>
      </c>
    </row>
    <row r="366" spans="1:11" x14ac:dyDescent="0.25">
      <c r="A366" t="s">
        <v>453</v>
      </c>
      <c r="B366" t="s">
        <v>60</v>
      </c>
      <c r="C366" t="s">
        <v>397</v>
      </c>
      <c r="D366">
        <v>1000</v>
      </c>
      <c r="E366">
        <v>110.765</v>
      </c>
      <c r="F366">
        <v>3572047</v>
      </c>
      <c r="G366" t="s">
        <v>456</v>
      </c>
      <c r="H366">
        <v>121</v>
      </c>
      <c r="I366" t="s">
        <v>492</v>
      </c>
      <c r="J366" t="s">
        <v>10</v>
      </c>
      <c r="K366" t="s">
        <v>493</v>
      </c>
    </row>
    <row r="367" spans="1:11" x14ac:dyDescent="0.25">
      <c r="A367" t="s">
        <v>453</v>
      </c>
      <c r="B367" t="s">
        <v>60</v>
      </c>
      <c r="C367" t="s">
        <v>397</v>
      </c>
      <c r="D367">
        <v>876</v>
      </c>
      <c r="E367">
        <v>97.03</v>
      </c>
      <c r="F367">
        <v>3572047</v>
      </c>
      <c r="G367" t="s">
        <v>456</v>
      </c>
      <c r="H367">
        <v>105.996</v>
      </c>
      <c r="I367" t="s">
        <v>492</v>
      </c>
      <c r="J367" t="s">
        <v>10</v>
      </c>
      <c r="K367" t="s">
        <v>493</v>
      </c>
    </row>
    <row r="368" spans="1:11" x14ac:dyDescent="0.25">
      <c r="A368" t="s">
        <v>453</v>
      </c>
      <c r="B368" t="s">
        <v>60</v>
      </c>
      <c r="C368" t="s">
        <v>397</v>
      </c>
      <c r="D368">
        <v>124</v>
      </c>
      <c r="E368">
        <v>13.734999999999999</v>
      </c>
      <c r="F368">
        <v>3572047</v>
      </c>
      <c r="G368" t="s">
        <v>456</v>
      </c>
      <c r="H368">
        <v>15.004</v>
      </c>
      <c r="I368" t="s">
        <v>492</v>
      </c>
      <c r="J368" t="s">
        <v>10</v>
      </c>
      <c r="K368" t="s">
        <v>493</v>
      </c>
    </row>
    <row r="369" spans="1:11" x14ac:dyDescent="0.25">
      <c r="A369" t="s">
        <v>453</v>
      </c>
      <c r="B369" t="s">
        <v>60</v>
      </c>
      <c r="C369" t="s">
        <v>397</v>
      </c>
      <c r="D369">
        <v>1000</v>
      </c>
      <c r="E369">
        <v>110.765</v>
      </c>
      <c r="F369">
        <v>3572047</v>
      </c>
      <c r="G369" t="s">
        <v>456</v>
      </c>
      <c r="H369">
        <v>121</v>
      </c>
      <c r="I369" t="s">
        <v>492</v>
      </c>
      <c r="J369" t="s">
        <v>10</v>
      </c>
      <c r="K369" t="s">
        <v>493</v>
      </c>
    </row>
    <row r="370" spans="1:11" x14ac:dyDescent="0.25">
      <c r="A370" t="s">
        <v>422</v>
      </c>
      <c r="B370" t="s">
        <v>30</v>
      </c>
      <c r="C370" t="s">
        <v>397</v>
      </c>
      <c r="D370">
        <v>487</v>
      </c>
      <c r="E370">
        <v>53.942999999999998</v>
      </c>
      <c r="F370">
        <v>3572047</v>
      </c>
      <c r="G370" t="s">
        <v>456</v>
      </c>
      <c r="H370">
        <v>58.927</v>
      </c>
      <c r="I370" t="s">
        <v>492</v>
      </c>
      <c r="J370" t="s">
        <v>10</v>
      </c>
      <c r="K370" t="s">
        <v>493</v>
      </c>
    </row>
    <row r="371" spans="1:11" x14ac:dyDescent="0.25">
      <c r="A371" t="s">
        <v>422</v>
      </c>
      <c r="B371" t="s">
        <v>30</v>
      </c>
      <c r="C371" t="s">
        <v>397</v>
      </c>
      <c r="D371">
        <v>454</v>
      </c>
      <c r="E371">
        <v>50.286999999999999</v>
      </c>
      <c r="F371">
        <v>3572047</v>
      </c>
      <c r="G371" t="s">
        <v>456</v>
      </c>
      <c r="H371">
        <v>54.933999999999997</v>
      </c>
      <c r="I371" t="s">
        <v>492</v>
      </c>
      <c r="J371" t="s">
        <v>10</v>
      </c>
      <c r="K371" t="s">
        <v>493</v>
      </c>
    </row>
    <row r="372" spans="1:11" x14ac:dyDescent="0.25">
      <c r="A372" t="s">
        <v>422</v>
      </c>
      <c r="B372" t="s">
        <v>30</v>
      </c>
      <c r="C372" t="s">
        <v>397</v>
      </c>
      <c r="D372">
        <v>59</v>
      </c>
      <c r="E372">
        <v>6.5350000000000001</v>
      </c>
      <c r="F372">
        <v>3572047</v>
      </c>
      <c r="G372" t="s">
        <v>456</v>
      </c>
      <c r="H372">
        <v>7.1390000000000002</v>
      </c>
      <c r="I372" t="s">
        <v>492</v>
      </c>
      <c r="J372" t="s">
        <v>10</v>
      </c>
      <c r="K372" t="s">
        <v>493</v>
      </c>
    </row>
    <row r="373" spans="1:11" x14ac:dyDescent="0.25">
      <c r="A373" t="s">
        <v>453</v>
      </c>
      <c r="B373" t="s">
        <v>60</v>
      </c>
      <c r="C373" t="s">
        <v>397</v>
      </c>
      <c r="D373">
        <v>1000</v>
      </c>
      <c r="E373">
        <v>110.765</v>
      </c>
      <c r="F373">
        <v>3572047</v>
      </c>
      <c r="G373" t="s">
        <v>456</v>
      </c>
      <c r="H373">
        <v>121</v>
      </c>
      <c r="I373" t="s">
        <v>492</v>
      </c>
      <c r="J373" t="s">
        <v>10</v>
      </c>
      <c r="K373" t="s">
        <v>493</v>
      </c>
    </row>
    <row r="374" spans="1:11" x14ac:dyDescent="0.25">
      <c r="A374" t="s">
        <v>453</v>
      </c>
      <c r="B374" t="s">
        <v>60</v>
      </c>
      <c r="C374" t="s">
        <v>397</v>
      </c>
      <c r="D374">
        <v>1000</v>
      </c>
      <c r="E374">
        <v>110.765</v>
      </c>
      <c r="F374">
        <v>3572047</v>
      </c>
      <c r="G374" t="s">
        <v>456</v>
      </c>
      <c r="H374">
        <v>121</v>
      </c>
      <c r="I374" t="s">
        <v>492</v>
      </c>
      <c r="J374" t="s">
        <v>10</v>
      </c>
      <c r="K374" t="s">
        <v>493</v>
      </c>
    </row>
    <row r="375" spans="1:11" x14ac:dyDescent="0.25">
      <c r="A375" t="s">
        <v>453</v>
      </c>
      <c r="B375" t="s">
        <v>60</v>
      </c>
      <c r="C375" t="s">
        <v>397</v>
      </c>
      <c r="D375">
        <v>1000</v>
      </c>
      <c r="E375">
        <v>794.99099999999999</v>
      </c>
      <c r="F375">
        <v>4151429</v>
      </c>
      <c r="G375" t="s">
        <v>450</v>
      </c>
      <c r="H375">
        <v>439.78899999999999</v>
      </c>
      <c r="I375" t="s">
        <v>494</v>
      </c>
      <c r="J375" t="s">
        <v>10</v>
      </c>
      <c r="K375" t="s">
        <v>495</v>
      </c>
    </row>
    <row r="376" spans="1:11" x14ac:dyDescent="0.25">
      <c r="A376" t="s">
        <v>453</v>
      </c>
      <c r="B376" t="s">
        <v>60</v>
      </c>
      <c r="C376" t="s">
        <v>397</v>
      </c>
      <c r="D376">
        <v>800</v>
      </c>
      <c r="E376">
        <v>635.99300000000005</v>
      </c>
      <c r="F376">
        <v>4151429</v>
      </c>
      <c r="G376" t="s">
        <v>450</v>
      </c>
      <c r="H376">
        <v>351.83100000000002</v>
      </c>
      <c r="I376" t="s">
        <v>494</v>
      </c>
      <c r="J376" t="s">
        <v>10</v>
      </c>
      <c r="K376" t="s">
        <v>495</v>
      </c>
    </row>
    <row r="377" spans="1:11" x14ac:dyDescent="0.25">
      <c r="A377" t="s">
        <v>453</v>
      </c>
      <c r="B377" t="s">
        <v>60</v>
      </c>
      <c r="C377" t="s">
        <v>397</v>
      </c>
      <c r="D377">
        <v>149</v>
      </c>
      <c r="E377">
        <v>118.45399999999999</v>
      </c>
      <c r="F377">
        <v>4151429</v>
      </c>
      <c r="G377" t="s">
        <v>450</v>
      </c>
      <c r="H377">
        <v>65.528999999999996</v>
      </c>
      <c r="I377" t="s">
        <v>494</v>
      </c>
      <c r="J377" t="s">
        <v>10</v>
      </c>
      <c r="K377" t="s">
        <v>495</v>
      </c>
    </row>
    <row r="378" spans="1:11" x14ac:dyDescent="0.25">
      <c r="A378" t="s">
        <v>453</v>
      </c>
      <c r="B378" t="s">
        <v>60</v>
      </c>
      <c r="C378" t="s">
        <v>397</v>
      </c>
      <c r="D378">
        <v>51</v>
      </c>
      <c r="E378">
        <v>40.545000000000002</v>
      </c>
      <c r="F378">
        <v>4151429</v>
      </c>
      <c r="G378" t="s">
        <v>450</v>
      </c>
      <c r="H378">
        <v>22.428999999999998</v>
      </c>
      <c r="I378" t="s">
        <v>494</v>
      </c>
      <c r="J378" t="s">
        <v>10</v>
      </c>
      <c r="K378" t="s">
        <v>495</v>
      </c>
    </row>
    <row r="379" spans="1:11" x14ac:dyDescent="0.25">
      <c r="A379" t="s">
        <v>453</v>
      </c>
      <c r="B379" t="s">
        <v>60</v>
      </c>
      <c r="C379" t="s">
        <v>397</v>
      </c>
      <c r="D379">
        <v>1000</v>
      </c>
      <c r="E379">
        <v>794.99099999999999</v>
      </c>
      <c r="F379">
        <v>4151429</v>
      </c>
      <c r="G379" t="s">
        <v>450</v>
      </c>
      <c r="H379">
        <v>439.78899999999999</v>
      </c>
      <c r="I379" t="s">
        <v>494</v>
      </c>
      <c r="J379" t="s">
        <v>10</v>
      </c>
      <c r="K379" t="s">
        <v>495</v>
      </c>
    </row>
    <row r="380" spans="1:11" x14ac:dyDescent="0.25">
      <c r="A380" t="s">
        <v>453</v>
      </c>
      <c r="B380" t="s">
        <v>60</v>
      </c>
      <c r="C380" t="s">
        <v>397</v>
      </c>
      <c r="D380">
        <v>1000</v>
      </c>
      <c r="E380">
        <v>794.99099999999999</v>
      </c>
      <c r="F380">
        <v>4151429</v>
      </c>
      <c r="G380" t="s">
        <v>450</v>
      </c>
      <c r="H380">
        <v>439.78899999999999</v>
      </c>
      <c r="I380" t="s">
        <v>494</v>
      </c>
      <c r="J380" t="s">
        <v>10</v>
      </c>
      <c r="K380" t="s">
        <v>495</v>
      </c>
    </row>
    <row r="381" spans="1:11" x14ac:dyDescent="0.25">
      <c r="A381" t="s">
        <v>422</v>
      </c>
      <c r="B381" t="s">
        <v>30</v>
      </c>
      <c r="C381" t="s">
        <v>397</v>
      </c>
      <c r="D381">
        <v>1000</v>
      </c>
      <c r="E381">
        <v>794.99099999999999</v>
      </c>
      <c r="F381">
        <v>4151429</v>
      </c>
      <c r="G381" t="s">
        <v>450</v>
      </c>
      <c r="H381">
        <v>439.78899999999999</v>
      </c>
      <c r="I381" t="s">
        <v>494</v>
      </c>
      <c r="J381" t="s">
        <v>10</v>
      </c>
      <c r="K381" t="s">
        <v>495</v>
      </c>
    </row>
    <row r="382" spans="1:11" x14ac:dyDescent="0.25">
      <c r="A382" t="s">
        <v>453</v>
      </c>
      <c r="B382" t="s">
        <v>60</v>
      </c>
      <c r="C382" t="s">
        <v>397</v>
      </c>
      <c r="D382">
        <v>999</v>
      </c>
      <c r="E382">
        <v>794.19600000000003</v>
      </c>
      <c r="F382">
        <v>4151429</v>
      </c>
      <c r="G382" t="s">
        <v>450</v>
      </c>
      <c r="H382">
        <v>439.34899999999999</v>
      </c>
      <c r="I382" t="s">
        <v>494</v>
      </c>
      <c r="J382" t="s">
        <v>10</v>
      </c>
      <c r="K382" t="s">
        <v>495</v>
      </c>
    </row>
    <row r="383" spans="1:11" x14ac:dyDescent="0.25">
      <c r="A383" t="s">
        <v>453</v>
      </c>
      <c r="B383" t="s">
        <v>60</v>
      </c>
      <c r="C383" t="s">
        <v>397</v>
      </c>
      <c r="D383">
        <v>1</v>
      </c>
      <c r="E383">
        <v>0.79500000000000004</v>
      </c>
      <c r="F383">
        <v>4151429</v>
      </c>
      <c r="G383" t="s">
        <v>450</v>
      </c>
      <c r="H383">
        <v>0.44</v>
      </c>
      <c r="I383" t="s">
        <v>494</v>
      </c>
      <c r="J383" t="s">
        <v>10</v>
      </c>
      <c r="K383" t="s">
        <v>495</v>
      </c>
    </row>
    <row r="384" spans="1:11" x14ac:dyDescent="0.25">
      <c r="A384" t="s">
        <v>453</v>
      </c>
      <c r="B384" t="s">
        <v>60</v>
      </c>
      <c r="C384" t="s">
        <v>397</v>
      </c>
      <c r="D384">
        <v>1000</v>
      </c>
      <c r="E384">
        <v>794.99099999999999</v>
      </c>
      <c r="F384">
        <v>4151429</v>
      </c>
      <c r="G384" t="s">
        <v>450</v>
      </c>
      <c r="H384">
        <v>439.78899999999999</v>
      </c>
      <c r="I384" t="s">
        <v>494</v>
      </c>
      <c r="J384" t="s">
        <v>10</v>
      </c>
      <c r="K384" t="s">
        <v>495</v>
      </c>
    </row>
    <row r="385" spans="1:11" x14ac:dyDescent="0.25">
      <c r="A385" t="s">
        <v>453</v>
      </c>
      <c r="B385" t="s">
        <v>60</v>
      </c>
      <c r="C385" t="s">
        <v>397</v>
      </c>
      <c r="D385">
        <v>1000</v>
      </c>
      <c r="E385">
        <v>469.99400000000003</v>
      </c>
      <c r="F385">
        <v>3230488</v>
      </c>
      <c r="G385" t="s">
        <v>450</v>
      </c>
      <c r="H385">
        <v>256.10000000000002</v>
      </c>
      <c r="I385" t="s">
        <v>496</v>
      </c>
      <c r="J385" t="s">
        <v>10</v>
      </c>
      <c r="K385" t="s">
        <v>497</v>
      </c>
    </row>
    <row r="386" spans="1:11" x14ac:dyDescent="0.25">
      <c r="A386" t="s">
        <v>422</v>
      </c>
      <c r="B386" t="s">
        <v>30</v>
      </c>
      <c r="C386" t="s">
        <v>397</v>
      </c>
      <c r="D386">
        <v>1000</v>
      </c>
      <c r="E386">
        <v>469.99400000000003</v>
      </c>
      <c r="F386">
        <v>3230488</v>
      </c>
      <c r="G386" t="s">
        <v>450</v>
      </c>
      <c r="H386">
        <v>256.10000000000002</v>
      </c>
      <c r="I386" t="s">
        <v>496</v>
      </c>
      <c r="J386" t="s">
        <v>10</v>
      </c>
      <c r="K386" t="s">
        <v>497</v>
      </c>
    </row>
    <row r="387" spans="1:11" x14ac:dyDescent="0.25">
      <c r="A387" t="s">
        <v>422</v>
      </c>
      <c r="B387" t="s">
        <v>30</v>
      </c>
      <c r="C387" t="s">
        <v>397</v>
      </c>
      <c r="D387">
        <v>1000</v>
      </c>
      <c r="E387">
        <v>469.99400000000003</v>
      </c>
      <c r="F387">
        <v>3230488</v>
      </c>
      <c r="G387" t="s">
        <v>450</v>
      </c>
      <c r="H387">
        <v>256.10000000000002</v>
      </c>
      <c r="I387" t="s">
        <v>496</v>
      </c>
      <c r="J387" t="s">
        <v>10</v>
      </c>
      <c r="K387" t="s">
        <v>497</v>
      </c>
    </row>
    <row r="388" spans="1:11" x14ac:dyDescent="0.25">
      <c r="A388" t="s">
        <v>453</v>
      </c>
      <c r="B388" t="s">
        <v>60</v>
      </c>
      <c r="C388" t="s">
        <v>397</v>
      </c>
      <c r="D388">
        <v>1000</v>
      </c>
      <c r="E388">
        <v>469.99400000000003</v>
      </c>
      <c r="F388">
        <v>3230488</v>
      </c>
      <c r="G388" t="s">
        <v>450</v>
      </c>
      <c r="H388">
        <v>256.10000000000002</v>
      </c>
      <c r="I388" t="s">
        <v>496</v>
      </c>
      <c r="J388" t="s">
        <v>10</v>
      </c>
      <c r="K388" t="s">
        <v>497</v>
      </c>
    </row>
    <row r="389" spans="1:11" x14ac:dyDescent="0.25">
      <c r="A389" t="s">
        <v>422</v>
      </c>
      <c r="B389" t="s">
        <v>30</v>
      </c>
      <c r="C389" t="s">
        <v>397</v>
      </c>
      <c r="D389">
        <v>1000</v>
      </c>
      <c r="E389">
        <v>469.99400000000003</v>
      </c>
      <c r="F389">
        <v>3230488</v>
      </c>
      <c r="G389" t="s">
        <v>450</v>
      </c>
      <c r="H389">
        <v>256.10000000000002</v>
      </c>
      <c r="I389" t="s">
        <v>496</v>
      </c>
      <c r="J389" t="s">
        <v>10</v>
      </c>
      <c r="K389" t="s">
        <v>497</v>
      </c>
    </row>
    <row r="390" spans="1:11" x14ac:dyDescent="0.25">
      <c r="A390" t="s">
        <v>453</v>
      </c>
      <c r="B390" t="s">
        <v>60</v>
      </c>
      <c r="C390" t="s">
        <v>397</v>
      </c>
      <c r="D390">
        <v>1000</v>
      </c>
      <c r="E390">
        <v>469.99400000000003</v>
      </c>
      <c r="F390">
        <v>3230488</v>
      </c>
      <c r="G390" t="s">
        <v>450</v>
      </c>
      <c r="H390">
        <v>256.10000000000002</v>
      </c>
      <c r="I390" t="s">
        <v>496</v>
      </c>
      <c r="J390" t="s">
        <v>10</v>
      </c>
      <c r="K390" t="s">
        <v>497</v>
      </c>
    </row>
    <row r="391" spans="1:11" x14ac:dyDescent="0.25">
      <c r="A391" t="s">
        <v>422</v>
      </c>
      <c r="B391" t="s">
        <v>30</v>
      </c>
      <c r="C391" t="s">
        <v>397</v>
      </c>
      <c r="D391">
        <v>800</v>
      </c>
      <c r="E391">
        <v>375.99599999999998</v>
      </c>
      <c r="F391">
        <v>3230488</v>
      </c>
      <c r="G391" t="s">
        <v>450</v>
      </c>
      <c r="H391">
        <v>204.88</v>
      </c>
      <c r="I391" t="s">
        <v>496</v>
      </c>
      <c r="J391" t="s">
        <v>10</v>
      </c>
      <c r="K391" t="s">
        <v>497</v>
      </c>
    </row>
    <row r="392" spans="1:11" x14ac:dyDescent="0.25">
      <c r="A392" t="s">
        <v>422</v>
      </c>
      <c r="B392" t="s">
        <v>30</v>
      </c>
      <c r="C392" t="s">
        <v>397</v>
      </c>
      <c r="D392">
        <v>200</v>
      </c>
      <c r="E392">
        <v>93.998999999999995</v>
      </c>
      <c r="F392">
        <v>3230488</v>
      </c>
      <c r="G392" t="s">
        <v>450</v>
      </c>
      <c r="H392">
        <v>51.22</v>
      </c>
      <c r="I392" t="s">
        <v>496</v>
      </c>
      <c r="J392" t="s">
        <v>10</v>
      </c>
      <c r="K392" t="s">
        <v>497</v>
      </c>
    </row>
    <row r="393" spans="1:11" x14ac:dyDescent="0.25">
      <c r="A393" t="s">
        <v>453</v>
      </c>
      <c r="B393" t="s">
        <v>60</v>
      </c>
      <c r="C393" t="s">
        <v>397</v>
      </c>
      <c r="D393">
        <v>1000</v>
      </c>
      <c r="E393">
        <v>469.99400000000003</v>
      </c>
      <c r="F393">
        <v>3230488</v>
      </c>
      <c r="G393" t="s">
        <v>450</v>
      </c>
      <c r="H393">
        <v>256.10000000000002</v>
      </c>
      <c r="I393" t="s">
        <v>496</v>
      </c>
      <c r="J393" t="s">
        <v>10</v>
      </c>
      <c r="K393" t="s">
        <v>497</v>
      </c>
    </row>
    <row r="394" spans="1:11" x14ac:dyDescent="0.25">
      <c r="A394" t="s">
        <v>422</v>
      </c>
      <c r="B394" t="s">
        <v>30</v>
      </c>
      <c r="C394" t="s">
        <v>397</v>
      </c>
      <c r="D394">
        <v>1000</v>
      </c>
      <c r="E394">
        <v>469.99400000000003</v>
      </c>
      <c r="F394">
        <v>3230488</v>
      </c>
      <c r="G394" t="s">
        <v>450</v>
      </c>
      <c r="H394">
        <v>256.10000000000002</v>
      </c>
      <c r="I394" t="s">
        <v>496</v>
      </c>
      <c r="J394" t="s">
        <v>10</v>
      </c>
      <c r="K394" t="s">
        <v>497</v>
      </c>
    </row>
    <row r="395" spans="1:11" x14ac:dyDescent="0.25">
      <c r="A395" t="s">
        <v>453</v>
      </c>
      <c r="B395" t="s">
        <v>60</v>
      </c>
      <c r="C395" t="s">
        <v>397</v>
      </c>
      <c r="D395">
        <v>1000</v>
      </c>
      <c r="E395">
        <v>469.99400000000003</v>
      </c>
      <c r="F395">
        <v>3230488</v>
      </c>
      <c r="G395" t="s">
        <v>450</v>
      </c>
      <c r="H395">
        <v>256.10000000000002</v>
      </c>
      <c r="I395" t="s">
        <v>496</v>
      </c>
      <c r="J395" t="s">
        <v>10</v>
      </c>
      <c r="K395" t="s">
        <v>497</v>
      </c>
    </row>
    <row r="396" spans="1:11" x14ac:dyDescent="0.25">
      <c r="A396" t="s">
        <v>422</v>
      </c>
      <c r="B396" t="s">
        <v>30</v>
      </c>
      <c r="C396" t="s">
        <v>397</v>
      </c>
      <c r="D396">
        <v>1000</v>
      </c>
      <c r="E396">
        <v>469.99400000000003</v>
      </c>
      <c r="F396">
        <v>3230488</v>
      </c>
      <c r="G396" t="s">
        <v>450</v>
      </c>
      <c r="H396">
        <v>256.10000000000002</v>
      </c>
      <c r="I396" t="s">
        <v>496</v>
      </c>
      <c r="J396" t="s">
        <v>10</v>
      </c>
      <c r="K396" t="s">
        <v>497</v>
      </c>
    </row>
    <row r="397" spans="1:11" x14ac:dyDescent="0.25">
      <c r="A397" t="s">
        <v>453</v>
      </c>
      <c r="B397" t="s">
        <v>60</v>
      </c>
      <c r="C397" t="s">
        <v>397</v>
      </c>
      <c r="D397">
        <v>1000</v>
      </c>
      <c r="E397">
        <v>469.99400000000003</v>
      </c>
      <c r="F397">
        <v>3230488</v>
      </c>
      <c r="G397" t="s">
        <v>450</v>
      </c>
      <c r="H397">
        <v>256.10000000000002</v>
      </c>
      <c r="I397" t="s">
        <v>496</v>
      </c>
      <c r="J397" t="s">
        <v>10</v>
      </c>
      <c r="K397" t="s">
        <v>497</v>
      </c>
    </row>
    <row r="398" spans="1:11" x14ac:dyDescent="0.25">
      <c r="A398" t="s">
        <v>422</v>
      </c>
      <c r="B398" t="s">
        <v>30</v>
      </c>
      <c r="C398" t="s">
        <v>397</v>
      </c>
      <c r="D398">
        <v>1000</v>
      </c>
      <c r="E398">
        <v>469.99400000000003</v>
      </c>
      <c r="F398">
        <v>3230488</v>
      </c>
      <c r="G398" t="s">
        <v>450</v>
      </c>
      <c r="H398">
        <v>256.10000000000002</v>
      </c>
      <c r="I398" t="s">
        <v>496</v>
      </c>
      <c r="J398" t="s">
        <v>10</v>
      </c>
      <c r="K398" t="s">
        <v>497</v>
      </c>
    </row>
    <row r="399" spans="1:11" x14ac:dyDescent="0.25">
      <c r="A399" t="s">
        <v>453</v>
      </c>
      <c r="B399" t="s">
        <v>60</v>
      </c>
      <c r="C399" t="s">
        <v>397</v>
      </c>
      <c r="D399">
        <v>1000</v>
      </c>
      <c r="E399">
        <v>469.99400000000003</v>
      </c>
      <c r="F399">
        <v>3230488</v>
      </c>
      <c r="G399" t="s">
        <v>450</v>
      </c>
      <c r="H399">
        <v>256.10000000000002</v>
      </c>
      <c r="I399" t="s">
        <v>496</v>
      </c>
      <c r="J399" t="s">
        <v>10</v>
      </c>
      <c r="K399" t="s">
        <v>497</v>
      </c>
    </row>
    <row r="400" spans="1:11" x14ac:dyDescent="0.25">
      <c r="A400" t="s">
        <v>453</v>
      </c>
      <c r="B400" t="s">
        <v>60</v>
      </c>
      <c r="C400" t="s">
        <v>397</v>
      </c>
      <c r="D400">
        <v>2581</v>
      </c>
      <c r="E400">
        <v>1031.0940000000001</v>
      </c>
      <c r="F400">
        <v>3230487</v>
      </c>
      <c r="G400" t="s">
        <v>450</v>
      </c>
      <c r="H400">
        <v>570.40099999999995</v>
      </c>
      <c r="I400" t="s">
        <v>498</v>
      </c>
      <c r="J400" t="s">
        <v>10</v>
      </c>
      <c r="K400" t="s">
        <v>499</v>
      </c>
    </row>
    <row r="401" spans="1:11" x14ac:dyDescent="0.25">
      <c r="A401" t="s">
        <v>453</v>
      </c>
      <c r="B401" t="s">
        <v>60</v>
      </c>
      <c r="C401" t="s">
        <v>397</v>
      </c>
      <c r="D401">
        <v>1419</v>
      </c>
      <c r="E401">
        <v>566.88199999999995</v>
      </c>
      <c r="F401">
        <v>3230487</v>
      </c>
      <c r="G401" t="s">
        <v>450</v>
      </c>
      <c r="H401">
        <v>313.59899999999999</v>
      </c>
      <c r="I401" t="s">
        <v>498</v>
      </c>
      <c r="J401" t="s">
        <v>10</v>
      </c>
      <c r="K401" t="s">
        <v>499</v>
      </c>
    </row>
    <row r="402" spans="1:11" x14ac:dyDescent="0.25">
      <c r="A402" t="s">
        <v>422</v>
      </c>
      <c r="B402" t="s">
        <v>30</v>
      </c>
      <c r="C402" t="s">
        <v>397</v>
      </c>
      <c r="D402">
        <v>2693</v>
      </c>
      <c r="E402">
        <v>1075.837</v>
      </c>
      <c r="F402">
        <v>3230487</v>
      </c>
      <c r="G402" t="s">
        <v>450</v>
      </c>
      <c r="H402">
        <v>595.15300000000002</v>
      </c>
      <c r="I402" t="s">
        <v>498</v>
      </c>
      <c r="J402" t="s">
        <v>10</v>
      </c>
      <c r="K402" t="s">
        <v>499</v>
      </c>
    </row>
    <row r="403" spans="1:11" x14ac:dyDescent="0.25">
      <c r="A403" t="s">
        <v>422</v>
      </c>
      <c r="B403" t="s">
        <v>30</v>
      </c>
      <c r="C403" t="s">
        <v>397</v>
      </c>
      <c r="D403">
        <v>162</v>
      </c>
      <c r="E403">
        <v>64.718000000000004</v>
      </c>
      <c r="F403">
        <v>3230487</v>
      </c>
      <c r="G403" t="s">
        <v>450</v>
      </c>
      <c r="H403">
        <v>35.802</v>
      </c>
      <c r="I403" t="s">
        <v>498</v>
      </c>
      <c r="J403" t="s">
        <v>10</v>
      </c>
      <c r="K403" t="s">
        <v>499</v>
      </c>
    </row>
    <row r="404" spans="1:11" x14ac:dyDescent="0.25">
      <c r="A404" t="s">
        <v>422</v>
      </c>
      <c r="B404" t="s">
        <v>30</v>
      </c>
      <c r="C404" t="s">
        <v>397</v>
      </c>
      <c r="D404">
        <v>140</v>
      </c>
      <c r="E404">
        <v>55.929000000000002</v>
      </c>
      <c r="F404">
        <v>3230487</v>
      </c>
      <c r="G404" t="s">
        <v>450</v>
      </c>
      <c r="H404">
        <v>30.94</v>
      </c>
      <c r="I404" t="s">
        <v>498</v>
      </c>
      <c r="J404" t="s">
        <v>10</v>
      </c>
      <c r="K404" t="s">
        <v>499</v>
      </c>
    </row>
    <row r="405" spans="1:11" x14ac:dyDescent="0.25">
      <c r="A405" t="s">
        <v>422</v>
      </c>
      <c r="B405" t="s">
        <v>30</v>
      </c>
      <c r="C405" t="s">
        <v>397</v>
      </c>
      <c r="D405">
        <v>5</v>
      </c>
      <c r="E405">
        <v>1.9970000000000001</v>
      </c>
      <c r="F405">
        <v>3230487</v>
      </c>
      <c r="G405" t="s">
        <v>450</v>
      </c>
      <c r="H405">
        <v>1.105</v>
      </c>
      <c r="I405" t="s">
        <v>498</v>
      </c>
      <c r="J405" t="s">
        <v>10</v>
      </c>
      <c r="K405" t="s">
        <v>499</v>
      </c>
    </row>
    <row r="406" spans="1:11" x14ac:dyDescent="0.25">
      <c r="A406" t="s">
        <v>422</v>
      </c>
      <c r="B406" t="s">
        <v>30</v>
      </c>
      <c r="C406" t="s">
        <v>397</v>
      </c>
      <c r="D406">
        <v>3000</v>
      </c>
      <c r="E406">
        <v>1198.482</v>
      </c>
      <c r="F406">
        <v>3230487</v>
      </c>
      <c r="G406" t="s">
        <v>450</v>
      </c>
      <c r="H406">
        <v>663</v>
      </c>
      <c r="I406" t="s">
        <v>498</v>
      </c>
      <c r="J406" t="s">
        <v>10</v>
      </c>
      <c r="K406" t="s">
        <v>499</v>
      </c>
    </row>
    <row r="407" spans="1:11" x14ac:dyDescent="0.25">
      <c r="A407" t="s">
        <v>453</v>
      </c>
      <c r="B407" t="s">
        <v>60</v>
      </c>
      <c r="C407" t="s">
        <v>397</v>
      </c>
      <c r="D407">
        <v>3000</v>
      </c>
      <c r="E407">
        <v>1198.482</v>
      </c>
      <c r="F407">
        <v>3230487</v>
      </c>
      <c r="G407" t="s">
        <v>450</v>
      </c>
      <c r="H407">
        <v>663</v>
      </c>
      <c r="I407" t="s">
        <v>498</v>
      </c>
      <c r="J407" t="s">
        <v>10</v>
      </c>
      <c r="K407" t="s">
        <v>499</v>
      </c>
    </row>
    <row r="408" spans="1:11" x14ac:dyDescent="0.25">
      <c r="A408" t="s">
        <v>422</v>
      </c>
      <c r="B408" t="s">
        <v>30</v>
      </c>
      <c r="C408" t="s">
        <v>397</v>
      </c>
      <c r="D408">
        <v>3000</v>
      </c>
      <c r="E408">
        <v>1198.482</v>
      </c>
      <c r="F408">
        <v>3230487</v>
      </c>
      <c r="G408" t="s">
        <v>450</v>
      </c>
      <c r="H408">
        <v>663</v>
      </c>
      <c r="I408" t="s">
        <v>498</v>
      </c>
      <c r="J408" t="s">
        <v>10</v>
      </c>
      <c r="K408" t="s">
        <v>499</v>
      </c>
    </row>
    <row r="409" spans="1:11" x14ac:dyDescent="0.25">
      <c r="A409" t="s">
        <v>453</v>
      </c>
      <c r="B409" t="s">
        <v>60</v>
      </c>
      <c r="C409" t="s">
        <v>397</v>
      </c>
      <c r="D409">
        <v>4000</v>
      </c>
      <c r="E409">
        <v>1597.9749999999999</v>
      </c>
      <c r="F409">
        <v>3230487</v>
      </c>
      <c r="G409" t="s">
        <v>450</v>
      </c>
      <c r="H409">
        <v>884</v>
      </c>
      <c r="I409" t="s">
        <v>498</v>
      </c>
      <c r="J409" t="s">
        <v>10</v>
      </c>
      <c r="K409" t="s">
        <v>499</v>
      </c>
    </row>
    <row r="410" spans="1:11" x14ac:dyDescent="0.25">
      <c r="A410" t="s">
        <v>422</v>
      </c>
      <c r="B410" t="s">
        <v>30</v>
      </c>
      <c r="C410" t="s">
        <v>397</v>
      </c>
      <c r="D410">
        <v>3000</v>
      </c>
      <c r="E410">
        <v>1198.482</v>
      </c>
      <c r="F410">
        <v>3230487</v>
      </c>
      <c r="G410" t="s">
        <v>450</v>
      </c>
      <c r="H410">
        <v>663</v>
      </c>
      <c r="I410" t="s">
        <v>498</v>
      </c>
      <c r="J410" t="s">
        <v>10</v>
      </c>
      <c r="K410" t="s">
        <v>499</v>
      </c>
    </row>
    <row r="411" spans="1:11" x14ac:dyDescent="0.25">
      <c r="A411" t="s">
        <v>453</v>
      </c>
      <c r="B411" t="s">
        <v>60</v>
      </c>
      <c r="C411" t="s">
        <v>397</v>
      </c>
      <c r="D411">
        <v>2590</v>
      </c>
      <c r="E411">
        <v>1034.6890000000001</v>
      </c>
      <c r="F411">
        <v>3230487</v>
      </c>
      <c r="G411" t="s">
        <v>450</v>
      </c>
      <c r="H411">
        <v>572.39</v>
      </c>
      <c r="I411" t="s">
        <v>498</v>
      </c>
      <c r="J411" t="s">
        <v>10</v>
      </c>
      <c r="K411" t="s">
        <v>499</v>
      </c>
    </row>
    <row r="412" spans="1:11" x14ac:dyDescent="0.25">
      <c r="A412" t="s">
        <v>453</v>
      </c>
      <c r="B412" t="s">
        <v>60</v>
      </c>
      <c r="C412" t="s">
        <v>397</v>
      </c>
      <c r="D412">
        <v>1410</v>
      </c>
      <c r="E412">
        <v>563.28599999999994</v>
      </c>
      <c r="F412">
        <v>3230487</v>
      </c>
      <c r="G412" t="s">
        <v>450</v>
      </c>
      <c r="H412">
        <v>311.61</v>
      </c>
      <c r="I412" t="s">
        <v>498</v>
      </c>
      <c r="J412" t="s">
        <v>10</v>
      </c>
      <c r="K412" t="s">
        <v>499</v>
      </c>
    </row>
    <row r="413" spans="1:11" x14ac:dyDescent="0.25">
      <c r="A413" t="s">
        <v>422</v>
      </c>
      <c r="B413" t="s">
        <v>30</v>
      </c>
      <c r="C413" t="s">
        <v>397</v>
      </c>
      <c r="D413">
        <v>3000</v>
      </c>
      <c r="E413">
        <v>1198.482</v>
      </c>
      <c r="F413">
        <v>3230487</v>
      </c>
      <c r="G413" t="s">
        <v>450</v>
      </c>
      <c r="H413">
        <v>663</v>
      </c>
      <c r="I413" t="s">
        <v>498</v>
      </c>
      <c r="J413" t="s">
        <v>10</v>
      </c>
      <c r="K413" t="s">
        <v>499</v>
      </c>
    </row>
    <row r="414" spans="1:11" x14ac:dyDescent="0.25">
      <c r="A414" t="s">
        <v>453</v>
      </c>
      <c r="B414" t="s">
        <v>60</v>
      </c>
      <c r="C414" t="s">
        <v>397</v>
      </c>
      <c r="D414">
        <v>4000</v>
      </c>
      <c r="E414">
        <v>1597.9749999999999</v>
      </c>
      <c r="F414">
        <v>3230487</v>
      </c>
      <c r="G414" t="s">
        <v>450</v>
      </c>
      <c r="H414">
        <v>884</v>
      </c>
      <c r="I414" t="s">
        <v>498</v>
      </c>
      <c r="J414" t="s">
        <v>10</v>
      </c>
      <c r="K414" t="s">
        <v>499</v>
      </c>
    </row>
    <row r="415" spans="1:11" x14ac:dyDescent="0.25">
      <c r="A415" t="s">
        <v>422</v>
      </c>
      <c r="B415" t="s">
        <v>30</v>
      </c>
      <c r="C415" t="s">
        <v>397</v>
      </c>
      <c r="D415">
        <v>4000</v>
      </c>
      <c r="E415">
        <v>1597.9749999999999</v>
      </c>
      <c r="F415">
        <v>3230487</v>
      </c>
      <c r="G415" t="s">
        <v>450</v>
      </c>
      <c r="H415">
        <v>884</v>
      </c>
      <c r="I415" t="s">
        <v>498</v>
      </c>
      <c r="J415" t="s">
        <v>10</v>
      </c>
      <c r="K415" t="s">
        <v>499</v>
      </c>
    </row>
    <row r="416" spans="1:11" x14ac:dyDescent="0.25">
      <c r="A416" t="s">
        <v>453</v>
      </c>
      <c r="B416" t="s">
        <v>60</v>
      </c>
      <c r="C416" t="s">
        <v>397</v>
      </c>
      <c r="D416">
        <v>3675</v>
      </c>
      <c r="E416">
        <v>1468.14</v>
      </c>
      <c r="F416">
        <v>3230487</v>
      </c>
      <c r="G416" t="s">
        <v>450</v>
      </c>
      <c r="H416">
        <v>812.17499999999995</v>
      </c>
      <c r="I416" t="s">
        <v>498</v>
      </c>
      <c r="J416" t="s">
        <v>10</v>
      </c>
      <c r="K416" t="s">
        <v>499</v>
      </c>
    </row>
    <row r="417" spans="1:11" x14ac:dyDescent="0.25">
      <c r="A417" t="s">
        <v>453</v>
      </c>
      <c r="B417" t="s">
        <v>60</v>
      </c>
      <c r="C417" t="s">
        <v>397</v>
      </c>
      <c r="D417">
        <v>325</v>
      </c>
      <c r="E417">
        <v>129.83600000000001</v>
      </c>
      <c r="F417">
        <v>3230487</v>
      </c>
      <c r="G417" t="s">
        <v>450</v>
      </c>
      <c r="H417">
        <v>71.825000000000003</v>
      </c>
      <c r="I417" t="s">
        <v>498</v>
      </c>
      <c r="J417" t="s">
        <v>10</v>
      </c>
      <c r="K417" t="s">
        <v>499</v>
      </c>
    </row>
    <row r="418" spans="1:11" x14ac:dyDescent="0.25">
      <c r="A418" t="s">
        <v>422</v>
      </c>
      <c r="B418" t="s">
        <v>30</v>
      </c>
      <c r="C418" t="s">
        <v>397</v>
      </c>
      <c r="D418">
        <v>2891</v>
      </c>
      <c r="E418">
        <v>1154.9369999999999</v>
      </c>
      <c r="F418">
        <v>3230487</v>
      </c>
      <c r="G418" t="s">
        <v>450</v>
      </c>
      <c r="H418">
        <v>638.91099999999994</v>
      </c>
      <c r="I418" t="s">
        <v>498</v>
      </c>
      <c r="J418" t="s">
        <v>10</v>
      </c>
      <c r="K418" t="s">
        <v>499</v>
      </c>
    </row>
    <row r="419" spans="1:11" x14ac:dyDescent="0.25">
      <c r="A419" t="s">
        <v>422</v>
      </c>
      <c r="B419" t="s">
        <v>30</v>
      </c>
      <c r="C419" t="s">
        <v>397</v>
      </c>
      <c r="D419">
        <v>109</v>
      </c>
      <c r="E419">
        <v>43.545000000000002</v>
      </c>
      <c r="F419">
        <v>3230487</v>
      </c>
      <c r="G419" t="s">
        <v>450</v>
      </c>
      <c r="H419">
        <v>24.088999999999999</v>
      </c>
      <c r="I419" t="s">
        <v>498</v>
      </c>
      <c r="J419" t="s">
        <v>10</v>
      </c>
      <c r="K419" t="s">
        <v>499</v>
      </c>
    </row>
    <row r="420" spans="1:11" x14ac:dyDescent="0.25">
      <c r="A420" t="s">
        <v>453</v>
      </c>
      <c r="B420" t="s">
        <v>60</v>
      </c>
      <c r="C420" t="s">
        <v>397</v>
      </c>
      <c r="D420">
        <v>4000</v>
      </c>
      <c r="E420">
        <v>1597.9749999999999</v>
      </c>
      <c r="F420">
        <v>3230487</v>
      </c>
      <c r="G420" t="s">
        <v>450</v>
      </c>
      <c r="H420">
        <v>884</v>
      </c>
      <c r="I420" t="s">
        <v>498</v>
      </c>
      <c r="J420" t="s">
        <v>10</v>
      </c>
      <c r="K420" t="s">
        <v>499</v>
      </c>
    </row>
    <row r="421" spans="1:11" x14ac:dyDescent="0.25">
      <c r="A421" t="s">
        <v>453</v>
      </c>
      <c r="B421" t="s">
        <v>60</v>
      </c>
      <c r="C421" t="s">
        <v>397</v>
      </c>
      <c r="D421">
        <v>218</v>
      </c>
      <c r="E421">
        <v>21.8</v>
      </c>
      <c r="F421">
        <v>3931834</v>
      </c>
      <c r="G421" t="s">
        <v>450</v>
      </c>
      <c r="H421">
        <v>11.881</v>
      </c>
      <c r="I421" t="s">
        <v>500</v>
      </c>
      <c r="J421" t="s">
        <v>10</v>
      </c>
      <c r="K421" t="s">
        <v>501</v>
      </c>
    </row>
    <row r="422" spans="1:11" x14ac:dyDescent="0.25">
      <c r="A422" t="s">
        <v>453</v>
      </c>
      <c r="B422" t="s">
        <v>60</v>
      </c>
      <c r="C422" t="s">
        <v>397</v>
      </c>
      <c r="D422">
        <v>1559</v>
      </c>
      <c r="E422">
        <v>155.89699999999999</v>
      </c>
      <c r="F422">
        <v>3931834</v>
      </c>
      <c r="G422" t="s">
        <v>450</v>
      </c>
      <c r="H422">
        <v>84.965999999999994</v>
      </c>
      <c r="I422" t="s">
        <v>500</v>
      </c>
      <c r="J422" t="s">
        <v>10</v>
      </c>
      <c r="K422" t="s">
        <v>501</v>
      </c>
    </row>
    <row r="423" spans="1:11" x14ac:dyDescent="0.25">
      <c r="A423" t="s">
        <v>453</v>
      </c>
      <c r="B423" t="s">
        <v>60</v>
      </c>
      <c r="C423" t="s">
        <v>397</v>
      </c>
      <c r="D423">
        <v>126</v>
      </c>
      <c r="E423">
        <v>12.6</v>
      </c>
      <c r="F423">
        <v>3931834</v>
      </c>
      <c r="G423" t="s">
        <v>450</v>
      </c>
      <c r="H423">
        <v>6.867</v>
      </c>
      <c r="I423" t="s">
        <v>500</v>
      </c>
      <c r="J423" t="s">
        <v>10</v>
      </c>
      <c r="K423" t="s">
        <v>501</v>
      </c>
    </row>
    <row r="424" spans="1:11" x14ac:dyDescent="0.25">
      <c r="A424" t="s">
        <v>453</v>
      </c>
      <c r="B424" t="s">
        <v>60</v>
      </c>
      <c r="C424" t="s">
        <v>397</v>
      </c>
      <c r="D424">
        <v>53</v>
      </c>
      <c r="E424">
        <v>5.3</v>
      </c>
      <c r="F424">
        <v>3931834</v>
      </c>
      <c r="G424" t="s">
        <v>450</v>
      </c>
      <c r="H424">
        <v>2.8889999999999998</v>
      </c>
      <c r="I424" t="s">
        <v>500</v>
      </c>
      <c r="J424" t="s">
        <v>10</v>
      </c>
      <c r="K424" t="s">
        <v>501</v>
      </c>
    </row>
    <row r="425" spans="1:11" x14ac:dyDescent="0.25">
      <c r="A425" t="s">
        <v>453</v>
      </c>
      <c r="B425" t="s">
        <v>60</v>
      </c>
      <c r="C425" t="s">
        <v>397</v>
      </c>
      <c r="D425">
        <v>44</v>
      </c>
      <c r="E425">
        <v>4.4000000000000004</v>
      </c>
      <c r="F425">
        <v>3931834</v>
      </c>
      <c r="G425" t="s">
        <v>450</v>
      </c>
      <c r="H425">
        <v>2.3980000000000001</v>
      </c>
      <c r="I425" t="s">
        <v>500</v>
      </c>
      <c r="J425" t="s">
        <v>10</v>
      </c>
      <c r="K425" t="s">
        <v>501</v>
      </c>
    </row>
    <row r="426" spans="1:11" x14ac:dyDescent="0.25">
      <c r="A426" t="s">
        <v>453</v>
      </c>
      <c r="B426" t="s">
        <v>60</v>
      </c>
      <c r="C426" t="s">
        <v>397</v>
      </c>
      <c r="D426">
        <v>2000</v>
      </c>
      <c r="E426">
        <v>199.99600000000001</v>
      </c>
      <c r="F426">
        <v>3931834</v>
      </c>
      <c r="G426" t="s">
        <v>450</v>
      </c>
      <c r="H426">
        <v>109</v>
      </c>
      <c r="I426" t="s">
        <v>500</v>
      </c>
      <c r="J426" t="s">
        <v>10</v>
      </c>
      <c r="K426" t="s">
        <v>501</v>
      </c>
    </row>
    <row r="427" spans="1:11" x14ac:dyDescent="0.25">
      <c r="A427" t="s">
        <v>453</v>
      </c>
      <c r="B427" t="s">
        <v>60</v>
      </c>
      <c r="C427" t="s">
        <v>397</v>
      </c>
      <c r="D427">
        <v>2000</v>
      </c>
      <c r="E427">
        <v>199.99600000000001</v>
      </c>
      <c r="F427">
        <v>3931834</v>
      </c>
      <c r="G427" t="s">
        <v>450</v>
      </c>
      <c r="H427">
        <v>109</v>
      </c>
      <c r="I427" t="s">
        <v>500</v>
      </c>
      <c r="J427" t="s">
        <v>10</v>
      </c>
      <c r="K427" t="s">
        <v>501</v>
      </c>
    </row>
    <row r="428" spans="1:11" x14ac:dyDescent="0.25">
      <c r="A428" t="s">
        <v>453</v>
      </c>
      <c r="B428" t="s">
        <v>60</v>
      </c>
      <c r="C428" t="s">
        <v>397</v>
      </c>
      <c r="D428">
        <v>2000</v>
      </c>
      <c r="E428">
        <v>199.99600000000001</v>
      </c>
      <c r="F428">
        <v>3931834</v>
      </c>
      <c r="G428" t="s">
        <v>450</v>
      </c>
      <c r="H428">
        <v>109</v>
      </c>
      <c r="I428" t="s">
        <v>500</v>
      </c>
      <c r="J428" t="s">
        <v>10</v>
      </c>
      <c r="K428" t="s">
        <v>501</v>
      </c>
    </row>
    <row r="429" spans="1:11" x14ac:dyDescent="0.25">
      <c r="A429" t="s">
        <v>422</v>
      </c>
      <c r="B429" t="s">
        <v>30</v>
      </c>
      <c r="C429" t="s">
        <v>397</v>
      </c>
      <c r="D429">
        <v>2000</v>
      </c>
      <c r="E429">
        <v>199.99600000000001</v>
      </c>
      <c r="F429">
        <v>3931834</v>
      </c>
      <c r="G429" t="s">
        <v>450</v>
      </c>
      <c r="H429">
        <v>109</v>
      </c>
      <c r="I429" t="s">
        <v>500</v>
      </c>
      <c r="J429" t="s">
        <v>10</v>
      </c>
      <c r="K429" t="s">
        <v>501</v>
      </c>
    </row>
    <row r="430" spans="1:11" x14ac:dyDescent="0.25">
      <c r="A430" t="s">
        <v>453</v>
      </c>
      <c r="B430" t="s">
        <v>60</v>
      </c>
      <c r="C430" t="s">
        <v>397</v>
      </c>
      <c r="D430">
        <v>1158</v>
      </c>
      <c r="E430">
        <v>115.798</v>
      </c>
      <c r="F430">
        <v>3931834</v>
      </c>
      <c r="G430" t="s">
        <v>450</v>
      </c>
      <c r="H430">
        <v>63.110999999999997</v>
      </c>
      <c r="I430" t="s">
        <v>500</v>
      </c>
      <c r="J430" t="s">
        <v>10</v>
      </c>
      <c r="K430" t="s">
        <v>501</v>
      </c>
    </row>
    <row r="431" spans="1:11" x14ac:dyDescent="0.25">
      <c r="A431" t="s">
        <v>453</v>
      </c>
      <c r="B431" t="s">
        <v>60</v>
      </c>
      <c r="C431" t="s">
        <v>397</v>
      </c>
      <c r="D431">
        <v>842</v>
      </c>
      <c r="E431">
        <v>84.197999999999993</v>
      </c>
      <c r="F431">
        <v>3931834</v>
      </c>
      <c r="G431" t="s">
        <v>450</v>
      </c>
      <c r="H431">
        <v>45.889000000000003</v>
      </c>
      <c r="I431" t="s">
        <v>500</v>
      </c>
      <c r="J431" t="s">
        <v>10</v>
      </c>
      <c r="K431" t="s">
        <v>501</v>
      </c>
    </row>
    <row r="432" spans="1:11" x14ac:dyDescent="0.25">
      <c r="A432" t="s">
        <v>453</v>
      </c>
      <c r="B432" t="s">
        <v>60</v>
      </c>
      <c r="C432" t="s">
        <v>397</v>
      </c>
      <c r="D432">
        <v>2000</v>
      </c>
      <c r="E432">
        <v>199.99600000000001</v>
      </c>
      <c r="F432">
        <v>3931834</v>
      </c>
      <c r="G432" t="s">
        <v>450</v>
      </c>
      <c r="H432">
        <v>109</v>
      </c>
      <c r="I432" t="s">
        <v>500</v>
      </c>
      <c r="J432" t="s">
        <v>10</v>
      </c>
      <c r="K432" t="s">
        <v>501</v>
      </c>
    </row>
    <row r="433" spans="1:11" x14ac:dyDescent="0.25">
      <c r="A433" t="s">
        <v>453</v>
      </c>
      <c r="B433" t="s">
        <v>60</v>
      </c>
      <c r="C433" t="s">
        <v>397</v>
      </c>
      <c r="D433">
        <v>1000</v>
      </c>
      <c r="E433">
        <v>150</v>
      </c>
      <c r="F433">
        <v>4104140</v>
      </c>
      <c r="G433" t="s">
        <v>463</v>
      </c>
      <c r="H433">
        <v>65.167000000000002</v>
      </c>
      <c r="I433" t="s">
        <v>502</v>
      </c>
      <c r="J433" t="s">
        <v>10</v>
      </c>
      <c r="K433" t="s">
        <v>503</v>
      </c>
    </row>
    <row r="434" spans="1:11" x14ac:dyDescent="0.25">
      <c r="A434" t="s">
        <v>453</v>
      </c>
      <c r="B434" t="s">
        <v>60</v>
      </c>
      <c r="C434" t="s">
        <v>397</v>
      </c>
      <c r="D434">
        <v>1000</v>
      </c>
      <c r="E434">
        <v>150</v>
      </c>
      <c r="F434">
        <v>4104140</v>
      </c>
      <c r="G434" t="s">
        <v>463</v>
      </c>
      <c r="H434">
        <v>65.167000000000002</v>
      </c>
      <c r="I434" t="s">
        <v>502</v>
      </c>
      <c r="J434" t="s">
        <v>10</v>
      </c>
      <c r="K434" t="s">
        <v>503</v>
      </c>
    </row>
    <row r="435" spans="1:11" x14ac:dyDescent="0.25">
      <c r="A435" t="s">
        <v>453</v>
      </c>
      <c r="B435" t="s">
        <v>60</v>
      </c>
      <c r="C435" t="s">
        <v>397</v>
      </c>
      <c r="D435">
        <v>4000</v>
      </c>
      <c r="E435">
        <v>600</v>
      </c>
      <c r="F435">
        <v>4104140</v>
      </c>
      <c r="G435" t="s">
        <v>463</v>
      </c>
      <c r="H435">
        <v>260.66699999999997</v>
      </c>
      <c r="I435" t="s">
        <v>502</v>
      </c>
      <c r="J435" t="s">
        <v>10</v>
      </c>
      <c r="K435" t="s">
        <v>503</v>
      </c>
    </row>
    <row r="436" spans="1:11" x14ac:dyDescent="0.25">
      <c r="A436" t="s">
        <v>453</v>
      </c>
      <c r="B436" t="s">
        <v>60</v>
      </c>
      <c r="C436" t="s">
        <v>397</v>
      </c>
      <c r="D436">
        <v>1000</v>
      </c>
      <c r="E436">
        <v>150</v>
      </c>
      <c r="F436">
        <v>4104140</v>
      </c>
      <c r="G436" t="s">
        <v>463</v>
      </c>
      <c r="H436">
        <v>65.167000000000002</v>
      </c>
      <c r="I436" t="s">
        <v>502</v>
      </c>
      <c r="J436" t="s">
        <v>10</v>
      </c>
      <c r="K436" t="s">
        <v>503</v>
      </c>
    </row>
    <row r="437" spans="1:11" x14ac:dyDescent="0.25">
      <c r="A437" t="s">
        <v>453</v>
      </c>
      <c r="B437" t="s">
        <v>60</v>
      </c>
      <c r="C437" t="s">
        <v>397</v>
      </c>
      <c r="D437">
        <v>1000</v>
      </c>
      <c r="E437">
        <v>150</v>
      </c>
      <c r="F437">
        <v>4104140</v>
      </c>
      <c r="G437" t="s">
        <v>463</v>
      </c>
      <c r="H437">
        <v>65.167000000000002</v>
      </c>
      <c r="I437" t="s">
        <v>502</v>
      </c>
      <c r="J437" t="s">
        <v>10</v>
      </c>
      <c r="K437" t="s">
        <v>503</v>
      </c>
    </row>
    <row r="438" spans="1:11" x14ac:dyDescent="0.25">
      <c r="A438" t="s">
        <v>453</v>
      </c>
      <c r="B438" t="s">
        <v>60</v>
      </c>
      <c r="C438" t="s">
        <v>397</v>
      </c>
      <c r="D438">
        <v>1000</v>
      </c>
      <c r="E438">
        <v>150</v>
      </c>
      <c r="F438">
        <v>4104140</v>
      </c>
      <c r="G438" t="s">
        <v>463</v>
      </c>
      <c r="H438">
        <v>65.167000000000002</v>
      </c>
      <c r="I438" t="s">
        <v>502</v>
      </c>
      <c r="J438" t="s">
        <v>10</v>
      </c>
      <c r="K438" t="s">
        <v>503</v>
      </c>
    </row>
    <row r="439" spans="1:11" x14ac:dyDescent="0.25">
      <c r="A439" t="s">
        <v>453</v>
      </c>
      <c r="B439" t="s">
        <v>60</v>
      </c>
      <c r="C439" t="s">
        <v>397</v>
      </c>
      <c r="D439">
        <v>501</v>
      </c>
      <c r="E439">
        <v>75.150000000000006</v>
      </c>
      <c r="F439">
        <v>4104140</v>
      </c>
      <c r="G439" t="s">
        <v>463</v>
      </c>
      <c r="H439">
        <v>32.648000000000003</v>
      </c>
      <c r="I439" t="s">
        <v>502</v>
      </c>
      <c r="J439" t="s">
        <v>10</v>
      </c>
      <c r="K439" t="s">
        <v>503</v>
      </c>
    </row>
    <row r="440" spans="1:11" x14ac:dyDescent="0.25">
      <c r="A440" t="s">
        <v>453</v>
      </c>
      <c r="B440" t="s">
        <v>60</v>
      </c>
      <c r="C440" t="s">
        <v>397</v>
      </c>
      <c r="D440">
        <v>499</v>
      </c>
      <c r="E440">
        <v>74.849999999999994</v>
      </c>
      <c r="F440">
        <v>4104140</v>
      </c>
      <c r="G440" t="s">
        <v>463</v>
      </c>
      <c r="H440">
        <v>32.518000000000001</v>
      </c>
      <c r="I440" t="s">
        <v>502</v>
      </c>
      <c r="J440" t="s">
        <v>10</v>
      </c>
      <c r="K440" t="s">
        <v>503</v>
      </c>
    </row>
    <row r="441" spans="1:11" x14ac:dyDescent="0.25">
      <c r="A441" t="s">
        <v>453</v>
      </c>
      <c r="B441" t="s">
        <v>60</v>
      </c>
      <c r="C441" t="s">
        <v>397</v>
      </c>
      <c r="D441">
        <v>1000</v>
      </c>
      <c r="E441">
        <v>150</v>
      </c>
      <c r="F441">
        <v>4104140</v>
      </c>
      <c r="G441" t="s">
        <v>463</v>
      </c>
      <c r="H441">
        <v>65.167000000000002</v>
      </c>
      <c r="I441" t="s">
        <v>502</v>
      </c>
      <c r="J441" t="s">
        <v>10</v>
      </c>
      <c r="K441" t="s">
        <v>503</v>
      </c>
    </row>
    <row r="442" spans="1:11" x14ac:dyDescent="0.25">
      <c r="A442" t="s">
        <v>453</v>
      </c>
      <c r="B442" t="s">
        <v>60</v>
      </c>
      <c r="C442" t="s">
        <v>397</v>
      </c>
      <c r="D442">
        <v>428</v>
      </c>
      <c r="E442">
        <v>49.222000000000001</v>
      </c>
      <c r="F442">
        <v>4151428</v>
      </c>
      <c r="G442" t="s">
        <v>450</v>
      </c>
      <c r="H442">
        <v>26.821000000000002</v>
      </c>
      <c r="I442" t="s">
        <v>504</v>
      </c>
      <c r="J442" t="s">
        <v>10</v>
      </c>
      <c r="K442" t="s">
        <v>505</v>
      </c>
    </row>
    <row r="443" spans="1:11" x14ac:dyDescent="0.25">
      <c r="A443" t="s">
        <v>453</v>
      </c>
      <c r="B443" t="s">
        <v>60</v>
      </c>
      <c r="C443" t="s">
        <v>397</v>
      </c>
      <c r="D443">
        <v>501</v>
      </c>
      <c r="E443">
        <v>57.618000000000002</v>
      </c>
      <c r="F443">
        <v>4151428</v>
      </c>
      <c r="G443" t="s">
        <v>450</v>
      </c>
      <c r="H443">
        <v>31.396000000000001</v>
      </c>
      <c r="I443" t="s">
        <v>504</v>
      </c>
      <c r="J443" t="s">
        <v>10</v>
      </c>
      <c r="K443" t="s">
        <v>505</v>
      </c>
    </row>
    <row r="444" spans="1:11" x14ac:dyDescent="0.25">
      <c r="A444" t="s">
        <v>453</v>
      </c>
      <c r="B444" t="s">
        <v>60</v>
      </c>
      <c r="C444" t="s">
        <v>397</v>
      </c>
      <c r="D444">
        <v>45</v>
      </c>
      <c r="E444">
        <v>5.1749999999999998</v>
      </c>
      <c r="F444">
        <v>4151428</v>
      </c>
      <c r="G444" t="s">
        <v>450</v>
      </c>
      <c r="H444">
        <v>2.82</v>
      </c>
      <c r="I444" t="s">
        <v>504</v>
      </c>
      <c r="J444" t="s">
        <v>10</v>
      </c>
      <c r="K444" t="s">
        <v>505</v>
      </c>
    </row>
    <row r="445" spans="1:11" x14ac:dyDescent="0.25">
      <c r="A445" t="s">
        <v>453</v>
      </c>
      <c r="B445" t="s">
        <v>60</v>
      </c>
      <c r="C445" t="s">
        <v>397</v>
      </c>
      <c r="D445">
        <v>26</v>
      </c>
      <c r="E445">
        <v>2.99</v>
      </c>
      <c r="F445">
        <v>4151428</v>
      </c>
      <c r="G445" t="s">
        <v>450</v>
      </c>
      <c r="H445">
        <v>1.629</v>
      </c>
      <c r="I445" t="s">
        <v>504</v>
      </c>
      <c r="J445" t="s">
        <v>10</v>
      </c>
      <c r="K445" t="s">
        <v>505</v>
      </c>
    </row>
    <row r="446" spans="1:11" x14ac:dyDescent="0.25">
      <c r="A446" t="s">
        <v>453</v>
      </c>
      <c r="B446" t="s">
        <v>60</v>
      </c>
      <c r="C446" t="s">
        <v>397</v>
      </c>
      <c r="D446">
        <v>1000</v>
      </c>
      <c r="E446">
        <v>115.006</v>
      </c>
      <c r="F446">
        <v>4151428</v>
      </c>
      <c r="G446" t="s">
        <v>450</v>
      </c>
      <c r="H446">
        <v>62.667000000000002</v>
      </c>
      <c r="I446" t="s">
        <v>504</v>
      </c>
      <c r="J446" t="s">
        <v>10</v>
      </c>
      <c r="K446" t="s">
        <v>505</v>
      </c>
    </row>
    <row r="447" spans="1:11" x14ac:dyDescent="0.25">
      <c r="A447" t="s">
        <v>453</v>
      </c>
      <c r="B447" t="s">
        <v>60</v>
      </c>
      <c r="C447" t="s">
        <v>397</v>
      </c>
      <c r="D447">
        <v>1000</v>
      </c>
      <c r="E447">
        <v>115.006</v>
      </c>
      <c r="F447">
        <v>4151428</v>
      </c>
      <c r="G447" t="s">
        <v>450</v>
      </c>
      <c r="H447">
        <v>62.667000000000002</v>
      </c>
      <c r="I447" t="s">
        <v>504</v>
      </c>
      <c r="J447" t="s">
        <v>10</v>
      </c>
      <c r="K447" t="s">
        <v>505</v>
      </c>
    </row>
    <row r="448" spans="1:11" x14ac:dyDescent="0.25">
      <c r="A448" t="s">
        <v>453</v>
      </c>
      <c r="B448" t="s">
        <v>60</v>
      </c>
      <c r="C448" t="s">
        <v>397</v>
      </c>
      <c r="D448">
        <v>1000</v>
      </c>
      <c r="E448">
        <v>115.006</v>
      </c>
      <c r="F448">
        <v>4151428</v>
      </c>
      <c r="G448" t="s">
        <v>450</v>
      </c>
      <c r="H448">
        <v>62.667000000000002</v>
      </c>
      <c r="I448" t="s">
        <v>504</v>
      </c>
      <c r="J448" t="s">
        <v>10</v>
      </c>
      <c r="K448" t="s">
        <v>505</v>
      </c>
    </row>
    <row r="449" spans="1:11" x14ac:dyDescent="0.25">
      <c r="A449" t="s">
        <v>422</v>
      </c>
      <c r="B449" t="s">
        <v>30</v>
      </c>
      <c r="C449" t="s">
        <v>397</v>
      </c>
      <c r="D449">
        <v>1000</v>
      </c>
      <c r="E449">
        <v>115.006</v>
      </c>
      <c r="F449">
        <v>4151428</v>
      </c>
      <c r="G449" t="s">
        <v>450</v>
      </c>
      <c r="H449">
        <v>62.667000000000002</v>
      </c>
      <c r="I449" t="s">
        <v>504</v>
      </c>
      <c r="J449" t="s">
        <v>10</v>
      </c>
      <c r="K449" t="s">
        <v>505</v>
      </c>
    </row>
    <row r="450" spans="1:11" x14ac:dyDescent="0.25">
      <c r="A450" t="s">
        <v>453</v>
      </c>
      <c r="B450" t="s">
        <v>60</v>
      </c>
      <c r="C450" t="s">
        <v>397</v>
      </c>
      <c r="D450">
        <v>1000</v>
      </c>
      <c r="E450">
        <v>115.006</v>
      </c>
      <c r="F450">
        <v>4151428</v>
      </c>
      <c r="G450" t="s">
        <v>450</v>
      </c>
      <c r="H450">
        <v>62.667000000000002</v>
      </c>
      <c r="I450" t="s">
        <v>504</v>
      </c>
      <c r="J450" t="s">
        <v>10</v>
      </c>
      <c r="K450" t="s">
        <v>505</v>
      </c>
    </row>
    <row r="451" spans="1:11" x14ac:dyDescent="0.25">
      <c r="A451" t="s">
        <v>453</v>
      </c>
      <c r="B451" t="s">
        <v>60</v>
      </c>
      <c r="C451" t="s">
        <v>397</v>
      </c>
      <c r="D451">
        <v>630</v>
      </c>
      <c r="E451">
        <v>72.453999999999994</v>
      </c>
      <c r="F451">
        <v>4151428</v>
      </c>
      <c r="G451" t="s">
        <v>450</v>
      </c>
      <c r="H451">
        <v>39.479999999999997</v>
      </c>
      <c r="I451" t="s">
        <v>504</v>
      </c>
      <c r="J451" t="s">
        <v>10</v>
      </c>
      <c r="K451" t="s">
        <v>505</v>
      </c>
    </row>
    <row r="452" spans="1:11" x14ac:dyDescent="0.25">
      <c r="A452" t="s">
        <v>453</v>
      </c>
      <c r="B452" t="s">
        <v>60</v>
      </c>
      <c r="C452" t="s">
        <v>397</v>
      </c>
      <c r="D452">
        <v>370</v>
      </c>
      <c r="E452">
        <v>42.552</v>
      </c>
      <c r="F452">
        <v>4151428</v>
      </c>
      <c r="G452" t="s">
        <v>450</v>
      </c>
      <c r="H452">
        <v>23.187000000000001</v>
      </c>
      <c r="I452" t="s">
        <v>504</v>
      </c>
      <c r="J452" t="s">
        <v>10</v>
      </c>
      <c r="K452" t="s">
        <v>505</v>
      </c>
    </row>
    <row r="453" spans="1:11" x14ac:dyDescent="0.25">
      <c r="A453" t="s">
        <v>396</v>
      </c>
      <c r="B453" t="s">
        <v>61</v>
      </c>
      <c r="C453" t="s">
        <v>397</v>
      </c>
      <c r="D453">
        <v>10738</v>
      </c>
      <c r="E453">
        <v>4686.0879999999997</v>
      </c>
      <c r="F453">
        <v>3620428</v>
      </c>
      <c r="G453" t="s">
        <v>506</v>
      </c>
      <c r="H453">
        <v>2641.5479999999998</v>
      </c>
      <c r="I453" t="s">
        <v>507</v>
      </c>
      <c r="J453" t="s">
        <v>10</v>
      </c>
      <c r="K453" t="s">
        <v>508</v>
      </c>
    </row>
    <row r="454" spans="1:11" x14ac:dyDescent="0.25">
      <c r="A454" t="s">
        <v>396</v>
      </c>
      <c r="B454" t="s">
        <v>61</v>
      </c>
      <c r="C454" t="s">
        <v>397</v>
      </c>
      <c r="D454">
        <v>5012</v>
      </c>
      <c r="E454">
        <v>2187.2489999999998</v>
      </c>
      <c r="F454">
        <v>3620428</v>
      </c>
      <c r="G454" t="s">
        <v>506</v>
      </c>
      <c r="H454">
        <v>1232.952</v>
      </c>
      <c r="I454" t="s">
        <v>507</v>
      </c>
      <c r="J454" t="s">
        <v>10</v>
      </c>
      <c r="K454" t="s">
        <v>508</v>
      </c>
    </row>
    <row r="455" spans="1:11" x14ac:dyDescent="0.25">
      <c r="A455" t="s">
        <v>396</v>
      </c>
      <c r="B455" t="s">
        <v>61</v>
      </c>
      <c r="C455" t="s">
        <v>397</v>
      </c>
      <c r="D455">
        <v>1100</v>
      </c>
      <c r="E455">
        <v>480.04300000000001</v>
      </c>
      <c r="F455">
        <v>3620428</v>
      </c>
      <c r="G455" t="s">
        <v>506</v>
      </c>
      <c r="H455">
        <v>270.60000000000002</v>
      </c>
      <c r="I455" t="s">
        <v>507</v>
      </c>
      <c r="J455" t="s">
        <v>10</v>
      </c>
      <c r="K455" t="s">
        <v>508</v>
      </c>
    </row>
    <row r="456" spans="1:11" x14ac:dyDescent="0.25">
      <c r="A456" t="s">
        <v>453</v>
      </c>
      <c r="B456" t="s">
        <v>60</v>
      </c>
      <c r="C456" t="s">
        <v>397</v>
      </c>
      <c r="D456">
        <v>228</v>
      </c>
      <c r="E456">
        <v>219.56200000000001</v>
      </c>
      <c r="F456">
        <v>4151427</v>
      </c>
      <c r="G456" t="s">
        <v>450</v>
      </c>
      <c r="H456">
        <v>119.639</v>
      </c>
      <c r="I456" t="s">
        <v>509</v>
      </c>
      <c r="J456" t="s">
        <v>10</v>
      </c>
      <c r="K456" t="s">
        <v>510</v>
      </c>
    </row>
    <row r="457" spans="1:11" x14ac:dyDescent="0.25">
      <c r="A457" t="s">
        <v>453</v>
      </c>
      <c r="B457" t="s">
        <v>60</v>
      </c>
      <c r="C457" t="s">
        <v>397</v>
      </c>
      <c r="D457">
        <v>398</v>
      </c>
      <c r="E457">
        <v>383.27</v>
      </c>
      <c r="F457">
        <v>4151427</v>
      </c>
      <c r="G457" t="s">
        <v>450</v>
      </c>
      <c r="H457">
        <v>208.84399999999999</v>
      </c>
      <c r="I457" t="s">
        <v>509</v>
      </c>
      <c r="J457" t="s">
        <v>10</v>
      </c>
      <c r="K457" t="s">
        <v>510</v>
      </c>
    </row>
    <row r="458" spans="1:11" x14ac:dyDescent="0.25">
      <c r="A458" t="s">
        <v>453</v>
      </c>
      <c r="B458" t="s">
        <v>60</v>
      </c>
      <c r="C458" t="s">
        <v>397</v>
      </c>
      <c r="D458">
        <v>350</v>
      </c>
      <c r="E458">
        <v>337.04700000000003</v>
      </c>
      <c r="F458">
        <v>4151427</v>
      </c>
      <c r="G458" t="s">
        <v>450</v>
      </c>
      <c r="H458">
        <v>183.65700000000001</v>
      </c>
      <c r="I458" t="s">
        <v>509</v>
      </c>
      <c r="J458" t="s">
        <v>10</v>
      </c>
      <c r="K458" t="s">
        <v>510</v>
      </c>
    </row>
    <row r="459" spans="1:11" x14ac:dyDescent="0.25">
      <c r="A459" t="s">
        <v>453</v>
      </c>
      <c r="B459" t="s">
        <v>60</v>
      </c>
      <c r="C459" t="s">
        <v>397</v>
      </c>
      <c r="D459">
        <v>24</v>
      </c>
      <c r="E459">
        <v>23.111999999999998</v>
      </c>
      <c r="F459">
        <v>4151427</v>
      </c>
      <c r="G459" t="s">
        <v>450</v>
      </c>
      <c r="H459">
        <v>12.593999999999999</v>
      </c>
      <c r="I459" t="s">
        <v>509</v>
      </c>
      <c r="J459" t="s">
        <v>10</v>
      </c>
      <c r="K459" t="s">
        <v>510</v>
      </c>
    </row>
    <row r="460" spans="1:11" x14ac:dyDescent="0.25">
      <c r="A460" t="s">
        <v>453</v>
      </c>
      <c r="B460" t="s">
        <v>60</v>
      </c>
      <c r="C460" t="s">
        <v>397</v>
      </c>
      <c r="D460">
        <v>1000</v>
      </c>
      <c r="E460">
        <v>962.99</v>
      </c>
      <c r="F460">
        <v>4151427</v>
      </c>
      <c r="G460" t="s">
        <v>450</v>
      </c>
      <c r="H460">
        <v>524.73299999999995</v>
      </c>
      <c r="I460" t="s">
        <v>509</v>
      </c>
      <c r="J460" t="s">
        <v>10</v>
      </c>
      <c r="K460" t="s">
        <v>510</v>
      </c>
    </row>
    <row r="461" spans="1:11" x14ac:dyDescent="0.25">
      <c r="A461" t="s">
        <v>453</v>
      </c>
      <c r="B461" t="s">
        <v>60</v>
      </c>
      <c r="C461" t="s">
        <v>397</v>
      </c>
      <c r="D461">
        <v>1000</v>
      </c>
      <c r="E461">
        <v>962.99</v>
      </c>
      <c r="F461">
        <v>4151427</v>
      </c>
      <c r="G461" t="s">
        <v>450</v>
      </c>
      <c r="H461">
        <v>524.73299999999995</v>
      </c>
      <c r="I461" t="s">
        <v>509</v>
      </c>
      <c r="J461" t="s">
        <v>10</v>
      </c>
      <c r="K461" t="s">
        <v>510</v>
      </c>
    </row>
    <row r="462" spans="1:11" x14ac:dyDescent="0.25">
      <c r="A462" t="s">
        <v>453</v>
      </c>
      <c r="B462" t="s">
        <v>60</v>
      </c>
      <c r="C462" t="s">
        <v>397</v>
      </c>
      <c r="D462">
        <v>1000</v>
      </c>
      <c r="E462">
        <v>962.99</v>
      </c>
      <c r="F462">
        <v>4151427</v>
      </c>
      <c r="G462" t="s">
        <v>450</v>
      </c>
      <c r="H462">
        <v>524.73299999999995</v>
      </c>
      <c r="I462" t="s">
        <v>509</v>
      </c>
      <c r="J462" t="s">
        <v>10</v>
      </c>
      <c r="K462" t="s">
        <v>510</v>
      </c>
    </row>
    <row r="463" spans="1:11" x14ac:dyDescent="0.25">
      <c r="A463" t="s">
        <v>422</v>
      </c>
      <c r="B463" t="s">
        <v>30</v>
      </c>
      <c r="C463" t="s">
        <v>397</v>
      </c>
      <c r="D463">
        <v>1000</v>
      </c>
      <c r="E463">
        <v>962.99</v>
      </c>
      <c r="F463">
        <v>4151427</v>
      </c>
      <c r="G463" t="s">
        <v>450</v>
      </c>
      <c r="H463">
        <v>524.73299999999995</v>
      </c>
      <c r="I463" t="s">
        <v>509</v>
      </c>
      <c r="J463" t="s">
        <v>10</v>
      </c>
      <c r="K463" t="s">
        <v>510</v>
      </c>
    </row>
    <row r="464" spans="1:11" x14ac:dyDescent="0.25">
      <c r="A464" t="s">
        <v>453</v>
      </c>
      <c r="B464" t="s">
        <v>60</v>
      </c>
      <c r="C464" t="s">
        <v>397</v>
      </c>
      <c r="D464">
        <v>1000</v>
      </c>
      <c r="E464">
        <v>962.99</v>
      </c>
      <c r="F464">
        <v>4151427</v>
      </c>
      <c r="G464" t="s">
        <v>450</v>
      </c>
      <c r="H464">
        <v>524.73299999999995</v>
      </c>
      <c r="I464" t="s">
        <v>509</v>
      </c>
      <c r="J464" t="s">
        <v>10</v>
      </c>
      <c r="K464" t="s">
        <v>510</v>
      </c>
    </row>
    <row r="465" spans="1:11" x14ac:dyDescent="0.25">
      <c r="A465" t="s">
        <v>453</v>
      </c>
      <c r="B465" t="s">
        <v>60</v>
      </c>
      <c r="C465" t="s">
        <v>397</v>
      </c>
      <c r="D465">
        <v>1000</v>
      </c>
      <c r="E465">
        <v>962.99</v>
      </c>
      <c r="F465">
        <v>4151427</v>
      </c>
      <c r="G465" t="s">
        <v>450</v>
      </c>
      <c r="H465">
        <v>524.73299999999995</v>
      </c>
      <c r="I465" t="s">
        <v>509</v>
      </c>
      <c r="J465" t="s">
        <v>10</v>
      </c>
      <c r="K465" t="s">
        <v>510</v>
      </c>
    </row>
    <row r="466" spans="1:11" x14ac:dyDescent="0.25">
      <c r="A466" t="s">
        <v>453</v>
      </c>
      <c r="B466" t="s">
        <v>60</v>
      </c>
      <c r="C466" t="s">
        <v>397</v>
      </c>
      <c r="D466">
        <v>1000</v>
      </c>
      <c r="E466">
        <v>755.00099999999998</v>
      </c>
      <c r="F466">
        <v>4151426</v>
      </c>
      <c r="G466" t="s">
        <v>450</v>
      </c>
      <c r="H466">
        <v>411.4</v>
      </c>
      <c r="I466" t="s">
        <v>511</v>
      </c>
      <c r="J466" t="s">
        <v>10</v>
      </c>
      <c r="K466" t="s">
        <v>512</v>
      </c>
    </row>
    <row r="467" spans="1:11" x14ac:dyDescent="0.25">
      <c r="A467" t="s">
        <v>453</v>
      </c>
      <c r="B467" t="s">
        <v>60</v>
      </c>
      <c r="C467" t="s">
        <v>397</v>
      </c>
      <c r="D467">
        <v>999</v>
      </c>
      <c r="E467">
        <v>754.24599999999998</v>
      </c>
      <c r="F467">
        <v>4151426</v>
      </c>
      <c r="G467" t="s">
        <v>450</v>
      </c>
      <c r="H467">
        <v>410.98899999999998</v>
      </c>
      <c r="I467" t="s">
        <v>511</v>
      </c>
      <c r="J467" t="s">
        <v>10</v>
      </c>
      <c r="K467" t="s">
        <v>512</v>
      </c>
    </row>
    <row r="468" spans="1:11" x14ac:dyDescent="0.25">
      <c r="A468" t="s">
        <v>453</v>
      </c>
      <c r="B468" t="s">
        <v>60</v>
      </c>
      <c r="C468" t="s">
        <v>397</v>
      </c>
      <c r="D468">
        <v>1</v>
      </c>
      <c r="E468">
        <v>0.755</v>
      </c>
      <c r="F468">
        <v>4151426</v>
      </c>
      <c r="G468" t="s">
        <v>450</v>
      </c>
      <c r="H468">
        <v>0.41099999999999998</v>
      </c>
      <c r="I468" t="s">
        <v>511</v>
      </c>
      <c r="J468" t="s">
        <v>10</v>
      </c>
      <c r="K468" t="s">
        <v>512</v>
      </c>
    </row>
    <row r="469" spans="1:11" x14ac:dyDescent="0.25">
      <c r="A469" t="s">
        <v>453</v>
      </c>
      <c r="B469" t="s">
        <v>60</v>
      </c>
      <c r="C469" t="s">
        <v>397</v>
      </c>
      <c r="D469">
        <v>1000</v>
      </c>
      <c r="E469">
        <v>755.00099999999998</v>
      </c>
      <c r="F469">
        <v>4151426</v>
      </c>
      <c r="G469" t="s">
        <v>450</v>
      </c>
      <c r="H469">
        <v>411.4</v>
      </c>
      <c r="I469" t="s">
        <v>511</v>
      </c>
      <c r="J469" t="s">
        <v>10</v>
      </c>
      <c r="K469" t="s">
        <v>512</v>
      </c>
    </row>
    <row r="470" spans="1:11" x14ac:dyDescent="0.25">
      <c r="A470" t="s">
        <v>453</v>
      </c>
      <c r="B470" t="s">
        <v>60</v>
      </c>
      <c r="C470" t="s">
        <v>397</v>
      </c>
      <c r="D470">
        <v>1000</v>
      </c>
      <c r="E470">
        <v>755.00099999999998</v>
      </c>
      <c r="F470">
        <v>4151426</v>
      </c>
      <c r="G470" t="s">
        <v>450</v>
      </c>
      <c r="H470">
        <v>411.4</v>
      </c>
      <c r="I470" t="s">
        <v>511</v>
      </c>
      <c r="J470" t="s">
        <v>10</v>
      </c>
      <c r="K470" t="s">
        <v>512</v>
      </c>
    </row>
    <row r="471" spans="1:11" x14ac:dyDescent="0.25">
      <c r="A471" t="s">
        <v>422</v>
      </c>
      <c r="B471" t="s">
        <v>30</v>
      </c>
      <c r="C471" t="s">
        <v>397</v>
      </c>
      <c r="D471">
        <v>1000</v>
      </c>
      <c r="E471">
        <v>755.00099999999998</v>
      </c>
      <c r="F471">
        <v>4151426</v>
      </c>
      <c r="G471" t="s">
        <v>450</v>
      </c>
      <c r="H471">
        <v>411.4</v>
      </c>
      <c r="I471" t="s">
        <v>511</v>
      </c>
      <c r="J471" t="s">
        <v>10</v>
      </c>
      <c r="K471" t="s">
        <v>512</v>
      </c>
    </row>
    <row r="472" spans="1:11" x14ac:dyDescent="0.25">
      <c r="A472" t="s">
        <v>453</v>
      </c>
      <c r="B472" t="s">
        <v>60</v>
      </c>
      <c r="C472" t="s">
        <v>397</v>
      </c>
      <c r="D472">
        <v>1000</v>
      </c>
      <c r="E472">
        <v>755.00099999999998</v>
      </c>
      <c r="F472">
        <v>4151426</v>
      </c>
      <c r="G472" t="s">
        <v>450</v>
      </c>
      <c r="H472">
        <v>411.4</v>
      </c>
      <c r="I472" t="s">
        <v>511</v>
      </c>
      <c r="J472" t="s">
        <v>10</v>
      </c>
      <c r="K472" t="s">
        <v>512</v>
      </c>
    </row>
    <row r="473" spans="1:11" x14ac:dyDescent="0.25">
      <c r="A473" t="s">
        <v>453</v>
      </c>
      <c r="B473" t="s">
        <v>60</v>
      </c>
      <c r="C473" t="s">
        <v>397</v>
      </c>
      <c r="D473">
        <v>1000</v>
      </c>
      <c r="E473">
        <v>755.00099999999998</v>
      </c>
      <c r="F473">
        <v>4151426</v>
      </c>
      <c r="G473" t="s">
        <v>450</v>
      </c>
      <c r="H473">
        <v>411.4</v>
      </c>
      <c r="I473" t="s">
        <v>511</v>
      </c>
      <c r="J473" t="s">
        <v>10</v>
      </c>
      <c r="K473" t="s">
        <v>512</v>
      </c>
    </row>
    <row r="474" spans="1:11" x14ac:dyDescent="0.25">
      <c r="A474" t="s">
        <v>422</v>
      </c>
      <c r="B474" t="s">
        <v>30</v>
      </c>
      <c r="C474" t="s">
        <v>444</v>
      </c>
      <c r="D474">
        <v>350</v>
      </c>
      <c r="E474">
        <v>2100</v>
      </c>
      <c r="F474">
        <v>1900224</v>
      </c>
      <c r="G474" t="s">
        <v>506</v>
      </c>
      <c r="H474">
        <v>1183.77</v>
      </c>
      <c r="I474" t="s">
        <v>513</v>
      </c>
      <c r="J474" t="s">
        <v>10</v>
      </c>
      <c r="K474" t="s">
        <v>514</v>
      </c>
    </row>
    <row r="475" spans="1:11" x14ac:dyDescent="0.25">
      <c r="A475" t="s">
        <v>453</v>
      </c>
      <c r="B475" t="s">
        <v>60</v>
      </c>
      <c r="C475" t="s">
        <v>397</v>
      </c>
      <c r="D475">
        <v>1000</v>
      </c>
      <c r="E475">
        <v>356.11</v>
      </c>
      <c r="F475">
        <v>3230490</v>
      </c>
      <c r="G475" t="s">
        <v>450</v>
      </c>
      <c r="H475">
        <v>197</v>
      </c>
      <c r="I475" t="s">
        <v>515</v>
      </c>
      <c r="J475" t="s">
        <v>10</v>
      </c>
      <c r="K475" t="s">
        <v>516</v>
      </c>
    </row>
    <row r="476" spans="1:11" x14ac:dyDescent="0.25">
      <c r="A476" t="s">
        <v>422</v>
      </c>
      <c r="B476" t="s">
        <v>30</v>
      </c>
      <c r="C476" t="s">
        <v>397</v>
      </c>
      <c r="D476">
        <v>588</v>
      </c>
      <c r="E476">
        <v>209.393</v>
      </c>
      <c r="F476">
        <v>3230490</v>
      </c>
      <c r="G476" t="s">
        <v>450</v>
      </c>
      <c r="H476">
        <v>115.836</v>
      </c>
      <c r="I476" t="s">
        <v>515</v>
      </c>
      <c r="J476" t="s">
        <v>10</v>
      </c>
      <c r="K476" t="s">
        <v>516</v>
      </c>
    </row>
    <row r="477" spans="1:11" x14ac:dyDescent="0.25">
      <c r="A477" t="s">
        <v>422</v>
      </c>
      <c r="B477" t="s">
        <v>30</v>
      </c>
      <c r="C477" t="s">
        <v>397</v>
      </c>
      <c r="D477">
        <v>412</v>
      </c>
      <c r="E477">
        <v>146.71700000000001</v>
      </c>
      <c r="F477">
        <v>3230490</v>
      </c>
      <c r="G477" t="s">
        <v>450</v>
      </c>
      <c r="H477">
        <v>81.164000000000001</v>
      </c>
      <c r="I477" t="s">
        <v>515</v>
      </c>
      <c r="J477" t="s">
        <v>10</v>
      </c>
      <c r="K477" t="s">
        <v>516</v>
      </c>
    </row>
    <row r="478" spans="1:11" x14ac:dyDescent="0.25">
      <c r="A478" t="s">
        <v>422</v>
      </c>
      <c r="B478" t="s">
        <v>30</v>
      </c>
      <c r="C478" t="s">
        <v>397</v>
      </c>
      <c r="D478">
        <v>1000</v>
      </c>
      <c r="E478">
        <v>356.11</v>
      </c>
      <c r="F478">
        <v>3230490</v>
      </c>
      <c r="G478" t="s">
        <v>450</v>
      </c>
      <c r="H478">
        <v>197</v>
      </c>
      <c r="I478" t="s">
        <v>515</v>
      </c>
      <c r="J478" t="s">
        <v>10</v>
      </c>
      <c r="K478" t="s">
        <v>516</v>
      </c>
    </row>
    <row r="479" spans="1:11" x14ac:dyDescent="0.25">
      <c r="A479" t="s">
        <v>453</v>
      </c>
      <c r="B479" t="s">
        <v>60</v>
      </c>
      <c r="C479" t="s">
        <v>397</v>
      </c>
      <c r="D479">
        <v>1000</v>
      </c>
      <c r="E479">
        <v>356.11</v>
      </c>
      <c r="F479">
        <v>3230490</v>
      </c>
      <c r="G479" t="s">
        <v>450</v>
      </c>
      <c r="H479">
        <v>197</v>
      </c>
      <c r="I479" t="s">
        <v>515</v>
      </c>
      <c r="J479" t="s">
        <v>10</v>
      </c>
      <c r="K479" t="s">
        <v>516</v>
      </c>
    </row>
    <row r="480" spans="1:11" x14ac:dyDescent="0.25">
      <c r="A480" t="s">
        <v>422</v>
      </c>
      <c r="B480" t="s">
        <v>30</v>
      </c>
      <c r="C480" t="s">
        <v>397</v>
      </c>
      <c r="D480">
        <v>1000</v>
      </c>
      <c r="E480">
        <v>356.11</v>
      </c>
      <c r="F480">
        <v>3230490</v>
      </c>
      <c r="G480" t="s">
        <v>450</v>
      </c>
      <c r="H480">
        <v>197</v>
      </c>
      <c r="I480" t="s">
        <v>515</v>
      </c>
      <c r="J480" t="s">
        <v>10</v>
      </c>
      <c r="K480" t="s">
        <v>516</v>
      </c>
    </row>
    <row r="481" spans="1:11" x14ac:dyDescent="0.25">
      <c r="A481" t="s">
        <v>453</v>
      </c>
      <c r="B481" t="s">
        <v>60</v>
      </c>
      <c r="C481" t="s">
        <v>397</v>
      </c>
      <c r="D481">
        <v>1000</v>
      </c>
      <c r="E481">
        <v>356.11</v>
      </c>
      <c r="F481">
        <v>3230490</v>
      </c>
      <c r="G481" t="s">
        <v>450</v>
      </c>
      <c r="H481">
        <v>197</v>
      </c>
      <c r="I481" t="s">
        <v>515</v>
      </c>
      <c r="J481" t="s">
        <v>10</v>
      </c>
      <c r="K481" t="s">
        <v>516</v>
      </c>
    </row>
    <row r="482" spans="1:11" x14ac:dyDescent="0.25">
      <c r="A482" t="s">
        <v>422</v>
      </c>
      <c r="B482" t="s">
        <v>30</v>
      </c>
      <c r="C482" t="s">
        <v>397</v>
      </c>
      <c r="D482">
        <v>1000</v>
      </c>
      <c r="E482">
        <v>356.11</v>
      </c>
      <c r="F482">
        <v>3230490</v>
      </c>
      <c r="G482" t="s">
        <v>450</v>
      </c>
      <c r="H482">
        <v>197</v>
      </c>
      <c r="I482" t="s">
        <v>515</v>
      </c>
      <c r="J482" t="s">
        <v>10</v>
      </c>
      <c r="K482" t="s">
        <v>516</v>
      </c>
    </row>
    <row r="483" spans="1:11" x14ac:dyDescent="0.25">
      <c r="A483" t="s">
        <v>453</v>
      </c>
      <c r="B483" t="s">
        <v>60</v>
      </c>
      <c r="C483" t="s">
        <v>397</v>
      </c>
      <c r="D483">
        <v>979</v>
      </c>
      <c r="E483">
        <v>348.63200000000001</v>
      </c>
      <c r="F483">
        <v>3230490</v>
      </c>
      <c r="G483" t="s">
        <v>450</v>
      </c>
      <c r="H483">
        <v>192.863</v>
      </c>
      <c r="I483" t="s">
        <v>515</v>
      </c>
      <c r="J483" t="s">
        <v>10</v>
      </c>
      <c r="K483" t="s">
        <v>516</v>
      </c>
    </row>
    <row r="484" spans="1:11" x14ac:dyDescent="0.25">
      <c r="A484" t="s">
        <v>453</v>
      </c>
      <c r="B484" t="s">
        <v>60</v>
      </c>
      <c r="C484" t="s">
        <v>397</v>
      </c>
      <c r="D484">
        <v>21</v>
      </c>
      <c r="E484">
        <v>7.4779999999999998</v>
      </c>
      <c r="F484">
        <v>3230490</v>
      </c>
      <c r="G484" t="s">
        <v>450</v>
      </c>
      <c r="H484">
        <v>4.1369999999999996</v>
      </c>
      <c r="I484" t="s">
        <v>515</v>
      </c>
      <c r="J484" t="s">
        <v>10</v>
      </c>
      <c r="K484" t="s">
        <v>516</v>
      </c>
    </row>
    <row r="485" spans="1:11" x14ac:dyDescent="0.25">
      <c r="A485" t="s">
        <v>422</v>
      </c>
      <c r="B485" t="s">
        <v>30</v>
      </c>
      <c r="C485" t="s">
        <v>397</v>
      </c>
      <c r="D485">
        <v>1000</v>
      </c>
      <c r="E485">
        <v>356.11</v>
      </c>
      <c r="F485">
        <v>3230490</v>
      </c>
      <c r="G485" t="s">
        <v>450</v>
      </c>
      <c r="H485">
        <v>197</v>
      </c>
      <c r="I485" t="s">
        <v>515</v>
      </c>
      <c r="J485" t="s">
        <v>10</v>
      </c>
      <c r="K485" t="s">
        <v>516</v>
      </c>
    </row>
    <row r="486" spans="1:11" x14ac:dyDescent="0.25">
      <c r="A486" t="s">
        <v>453</v>
      </c>
      <c r="B486" t="s">
        <v>60</v>
      </c>
      <c r="C486" t="s">
        <v>397</v>
      </c>
      <c r="D486">
        <v>1000</v>
      </c>
      <c r="E486">
        <v>356.11</v>
      </c>
      <c r="F486">
        <v>3230490</v>
      </c>
      <c r="G486" t="s">
        <v>450</v>
      </c>
      <c r="H486">
        <v>197</v>
      </c>
      <c r="I486" t="s">
        <v>515</v>
      </c>
      <c r="J486" t="s">
        <v>10</v>
      </c>
      <c r="K486" t="s">
        <v>516</v>
      </c>
    </row>
    <row r="487" spans="1:11" x14ac:dyDescent="0.25">
      <c r="A487" t="s">
        <v>422</v>
      </c>
      <c r="B487" t="s">
        <v>30</v>
      </c>
      <c r="C487" t="s">
        <v>397</v>
      </c>
      <c r="D487">
        <v>1000</v>
      </c>
      <c r="E487">
        <v>356.11</v>
      </c>
      <c r="F487">
        <v>3230490</v>
      </c>
      <c r="G487" t="s">
        <v>450</v>
      </c>
      <c r="H487">
        <v>197</v>
      </c>
      <c r="I487" t="s">
        <v>515</v>
      </c>
      <c r="J487" t="s">
        <v>10</v>
      </c>
      <c r="K487" t="s">
        <v>516</v>
      </c>
    </row>
    <row r="488" spans="1:11" x14ac:dyDescent="0.25">
      <c r="A488" t="s">
        <v>453</v>
      </c>
      <c r="B488" t="s">
        <v>60</v>
      </c>
      <c r="C488" t="s">
        <v>397</v>
      </c>
      <c r="D488">
        <v>527</v>
      </c>
      <c r="E488">
        <v>187.67</v>
      </c>
      <c r="F488">
        <v>3230490</v>
      </c>
      <c r="G488" t="s">
        <v>450</v>
      </c>
      <c r="H488">
        <v>103.819</v>
      </c>
      <c r="I488" t="s">
        <v>515</v>
      </c>
      <c r="J488" t="s">
        <v>10</v>
      </c>
      <c r="K488" t="s">
        <v>516</v>
      </c>
    </row>
    <row r="489" spans="1:11" x14ac:dyDescent="0.25">
      <c r="A489" t="s">
        <v>453</v>
      </c>
      <c r="B489" t="s">
        <v>60</v>
      </c>
      <c r="C489" t="s">
        <v>397</v>
      </c>
      <c r="D489">
        <v>273</v>
      </c>
      <c r="E489">
        <v>97.218000000000004</v>
      </c>
      <c r="F489">
        <v>3230490</v>
      </c>
      <c r="G489" t="s">
        <v>450</v>
      </c>
      <c r="H489">
        <v>53.780999999999999</v>
      </c>
      <c r="I489" t="s">
        <v>515</v>
      </c>
      <c r="J489" t="s">
        <v>10</v>
      </c>
      <c r="K489" t="s">
        <v>516</v>
      </c>
    </row>
    <row r="490" spans="1:11" x14ac:dyDescent="0.25">
      <c r="A490" t="s">
        <v>453</v>
      </c>
      <c r="B490" t="s">
        <v>60</v>
      </c>
      <c r="C490" t="s">
        <v>397</v>
      </c>
      <c r="D490">
        <v>109</v>
      </c>
      <c r="E490">
        <v>38.816000000000003</v>
      </c>
      <c r="F490">
        <v>3230490</v>
      </c>
      <c r="G490" t="s">
        <v>450</v>
      </c>
      <c r="H490">
        <v>21.472999999999999</v>
      </c>
      <c r="I490" t="s">
        <v>515</v>
      </c>
      <c r="J490" t="s">
        <v>10</v>
      </c>
      <c r="K490" t="s">
        <v>516</v>
      </c>
    </row>
    <row r="491" spans="1:11" x14ac:dyDescent="0.25">
      <c r="A491" t="s">
        <v>453</v>
      </c>
      <c r="B491" t="s">
        <v>60</v>
      </c>
      <c r="C491" t="s">
        <v>397</v>
      </c>
      <c r="D491">
        <v>75</v>
      </c>
      <c r="E491">
        <v>26.707999999999998</v>
      </c>
      <c r="F491">
        <v>3230490</v>
      </c>
      <c r="G491" t="s">
        <v>450</v>
      </c>
      <c r="H491">
        <v>14.775</v>
      </c>
      <c r="I491" t="s">
        <v>515</v>
      </c>
      <c r="J491" t="s">
        <v>10</v>
      </c>
      <c r="K491" t="s">
        <v>516</v>
      </c>
    </row>
    <row r="492" spans="1:11" x14ac:dyDescent="0.25">
      <c r="A492" t="s">
        <v>453</v>
      </c>
      <c r="B492" t="s">
        <v>60</v>
      </c>
      <c r="C492" t="s">
        <v>397</v>
      </c>
      <c r="D492">
        <v>16</v>
      </c>
      <c r="E492">
        <v>5.6980000000000004</v>
      </c>
      <c r="F492">
        <v>3230490</v>
      </c>
      <c r="G492" t="s">
        <v>450</v>
      </c>
      <c r="H492">
        <v>3.1520000000000001</v>
      </c>
      <c r="I492" t="s">
        <v>515</v>
      </c>
      <c r="J492" t="s">
        <v>10</v>
      </c>
      <c r="K492" t="s">
        <v>516</v>
      </c>
    </row>
    <row r="493" spans="1:11" x14ac:dyDescent="0.25">
      <c r="A493" t="s">
        <v>422</v>
      </c>
      <c r="B493" t="s">
        <v>30</v>
      </c>
      <c r="C493" t="s">
        <v>397</v>
      </c>
      <c r="D493">
        <v>1000</v>
      </c>
      <c r="E493">
        <v>356.11</v>
      </c>
      <c r="F493">
        <v>3230490</v>
      </c>
      <c r="G493" t="s">
        <v>450</v>
      </c>
      <c r="H493">
        <v>197</v>
      </c>
      <c r="I493" t="s">
        <v>515</v>
      </c>
      <c r="J493" t="s">
        <v>10</v>
      </c>
      <c r="K493" t="s">
        <v>516</v>
      </c>
    </row>
    <row r="494" spans="1:11" x14ac:dyDescent="0.25">
      <c r="A494" t="s">
        <v>453</v>
      </c>
      <c r="B494" t="s">
        <v>60</v>
      </c>
      <c r="C494" t="s">
        <v>397</v>
      </c>
      <c r="D494">
        <v>1000</v>
      </c>
      <c r="E494">
        <v>356.11</v>
      </c>
      <c r="F494">
        <v>3230490</v>
      </c>
      <c r="G494" t="s">
        <v>450</v>
      </c>
      <c r="H494">
        <v>197</v>
      </c>
      <c r="I494" t="s">
        <v>515</v>
      </c>
      <c r="J494" t="s">
        <v>10</v>
      </c>
      <c r="K494" t="s">
        <v>516</v>
      </c>
    </row>
    <row r="495" spans="1:11" x14ac:dyDescent="0.25">
      <c r="A495" t="s">
        <v>517</v>
      </c>
      <c r="B495" t="s">
        <v>19</v>
      </c>
      <c r="C495" t="s">
        <v>444</v>
      </c>
      <c r="D495">
        <v>707</v>
      </c>
      <c r="E495">
        <v>4242</v>
      </c>
      <c r="F495">
        <v>1940078</v>
      </c>
      <c r="G495" t="s">
        <v>506</v>
      </c>
      <c r="H495">
        <v>2391.2150000000001</v>
      </c>
      <c r="I495" t="s">
        <v>518</v>
      </c>
      <c r="J495" t="s">
        <v>10</v>
      </c>
      <c r="K495" t="s">
        <v>514</v>
      </c>
    </row>
    <row r="496" spans="1:11" x14ac:dyDescent="0.25">
      <c r="A496" t="s">
        <v>517</v>
      </c>
      <c r="B496" t="s">
        <v>19</v>
      </c>
      <c r="C496" t="s">
        <v>444</v>
      </c>
      <c r="D496">
        <v>1</v>
      </c>
      <c r="E496">
        <v>6</v>
      </c>
      <c r="F496">
        <v>1940078</v>
      </c>
      <c r="G496" t="s">
        <v>506</v>
      </c>
      <c r="H496">
        <v>3.3820000000000001</v>
      </c>
      <c r="I496" t="s">
        <v>518</v>
      </c>
      <c r="J496" t="s">
        <v>10</v>
      </c>
      <c r="K496" t="s">
        <v>514</v>
      </c>
    </row>
    <row r="497" spans="1:11" x14ac:dyDescent="0.25">
      <c r="A497" t="s">
        <v>396</v>
      </c>
      <c r="B497" t="s">
        <v>61</v>
      </c>
      <c r="C497" t="s">
        <v>444</v>
      </c>
      <c r="D497">
        <v>151</v>
      </c>
      <c r="E497">
        <v>906</v>
      </c>
      <c r="F497">
        <v>1940078</v>
      </c>
      <c r="G497" t="s">
        <v>506</v>
      </c>
      <c r="H497">
        <v>510.71199999999999</v>
      </c>
      <c r="I497" t="s">
        <v>518</v>
      </c>
      <c r="J497" t="s">
        <v>10</v>
      </c>
      <c r="K497" t="s">
        <v>514</v>
      </c>
    </row>
    <row r="498" spans="1:11" x14ac:dyDescent="0.25">
      <c r="A498" t="s">
        <v>396</v>
      </c>
      <c r="B498" t="s">
        <v>61</v>
      </c>
      <c r="C498" t="s">
        <v>444</v>
      </c>
      <c r="D498">
        <v>244</v>
      </c>
      <c r="E498">
        <v>1464</v>
      </c>
      <c r="F498">
        <v>1940078</v>
      </c>
      <c r="G498" t="s">
        <v>506</v>
      </c>
      <c r="H498">
        <v>825.25699999999995</v>
      </c>
      <c r="I498" t="s">
        <v>518</v>
      </c>
      <c r="J498" t="s">
        <v>10</v>
      </c>
      <c r="K498" t="s">
        <v>514</v>
      </c>
    </row>
    <row r="499" spans="1:11" x14ac:dyDescent="0.25">
      <c r="A499" t="s">
        <v>396</v>
      </c>
      <c r="B499" t="s">
        <v>61</v>
      </c>
      <c r="C499" t="s">
        <v>444</v>
      </c>
      <c r="D499">
        <v>605</v>
      </c>
      <c r="E499">
        <v>3630</v>
      </c>
      <c r="F499">
        <v>1940078</v>
      </c>
      <c r="G499" t="s">
        <v>506</v>
      </c>
      <c r="H499">
        <v>2046.231</v>
      </c>
      <c r="I499" t="s">
        <v>518</v>
      </c>
      <c r="J499" t="s">
        <v>10</v>
      </c>
      <c r="K499" t="s">
        <v>514</v>
      </c>
    </row>
    <row r="500" spans="1:11" x14ac:dyDescent="0.25">
      <c r="A500" t="s">
        <v>453</v>
      </c>
      <c r="B500" t="s">
        <v>60</v>
      </c>
      <c r="C500" t="s">
        <v>397</v>
      </c>
      <c r="D500">
        <v>1000</v>
      </c>
      <c r="E500">
        <v>1303.991</v>
      </c>
      <c r="F500">
        <v>3572039</v>
      </c>
      <c r="G500" t="s">
        <v>450</v>
      </c>
      <c r="H500">
        <v>710.54399999999998</v>
      </c>
      <c r="I500" t="s">
        <v>519</v>
      </c>
      <c r="J500" t="s">
        <v>10</v>
      </c>
      <c r="K500" t="s">
        <v>520</v>
      </c>
    </row>
    <row r="501" spans="1:11" x14ac:dyDescent="0.25">
      <c r="A501" t="s">
        <v>453</v>
      </c>
      <c r="B501" t="s">
        <v>60</v>
      </c>
      <c r="C501" t="s">
        <v>397</v>
      </c>
      <c r="D501">
        <v>1000</v>
      </c>
      <c r="E501">
        <v>1303.991</v>
      </c>
      <c r="F501">
        <v>3572039</v>
      </c>
      <c r="G501" t="s">
        <v>450</v>
      </c>
      <c r="H501">
        <v>710.54399999999998</v>
      </c>
      <c r="I501" t="s">
        <v>519</v>
      </c>
      <c r="J501" t="s">
        <v>10</v>
      </c>
      <c r="K501" t="s">
        <v>520</v>
      </c>
    </row>
    <row r="502" spans="1:11" x14ac:dyDescent="0.25">
      <c r="A502" t="s">
        <v>453</v>
      </c>
      <c r="B502" t="s">
        <v>60</v>
      </c>
      <c r="C502" t="s">
        <v>397</v>
      </c>
      <c r="D502">
        <v>1000</v>
      </c>
      <c r="E502">
        <v>1303.991</v>
      </c>
      <c r="F502">
        <v>3572039</v>
      </c>
      <c r="G502" t="s">
        <v>450</v>
      </c>
      <c r="H502">
        <v>710.54399999999998</v>
      </c>
      <c r="I502" t="s">
        <v>519</v>
      </c>
      <c r="J502" t="s">
        <v>10</v>
      </c>
      <c r="K502" t="s">
        <v>520</v>
      </c>
    </row>
    <row r="503" spans="1:11" x14ac:dyDescent="0.25">
      <c r="A503" t="s">
        <v>453</v>
      </c>
      <c r="B503" t="s">
        <v>60</v>
      </c>
      <c r="C503" t="s">
        <v>397</v>
      </c>
      <c r="D503">
        <v>1000</v>
      </c>
      <c r="E503">
        <v>1303.991</v>
      </c>
      <c r="F503">
        <v>3572039</v>
      </c>
      <c r="G503" t="s">
        <v>450</v>
      </c>
      <c r="H503">
        <v>710.54399999999998</v>
      </c>
      <c r="I503" t="s">
        <v>519</v>
      </c>
      <c r="J503" t="s">
        <v>10</v>
      </c>
      <c r="K503" t="s">
        <v>520</v>
      </c>
    </row>
    <row r="504" spans="1:11" x14ac:dyDescent="0.25">
      <c r="A504" t="s">
        <v>422</v>
      </c>
      <c r="B504" t="s">
        <v>30</v>
      </c>
      <c r="C504" t="s">
        <v>397</v>
      </c>
      <c r="D504">
        <v>796</v>
      </c>
      <c r="E504">
        <v>1037.9760000000001</v>
      </c>
      <c r="F504">
        <v>3572039</v>
      </c>
      <c r="G504" t="s">
        <v>450</v>
      </c>
      <c r="H504">
        <v>565.59299999999996</v>
      </c>
      <c r="I504" t="s">
        <v>519</v>
      </c>
      <c r="J504" t="s">
        <v>10</v>
      </c>
      <c r="K504" t="s">
        <v>520</v>
      </c>
    </row>
    <row r="505" spans="1:11" x14ac:dyDescent="0.25">
      <c r="A505" t="s">
        <v>422</v>
      </c>
      <c r="B505" t="s">
        <v>30</v>
      </c>
      <c r="C505" t="s">
        <v>397</v>
      </c>
      <c r="D505">
        <v>204</v>
      </c>
      <c r="E505">
        <v>266.01400000000001</v>
      </c>
      <c r="F505">
        <v>3572039</v>
      </c>
      <c r="G505" t="s">
        <v>450</v>
      </c>
      <c r="H505">
        <v>144.95099999999999</v>
      </c>
      <c r="I505" t="s">
        <v>519</v>
      </c>
      <c r="J505" t="s">
        <v>10</v>
      </c>
      <c r="K505" t="s">
        <v>520</v>
      </c>
    </row>
    <row r="506" spans="1:11" x14ac:dyDescent="0.25">
      <c r="A506" t="s">
        <v>453</v>
      </c>
      <c r="B506" t="s">
        <v>60</v>
      </c>
      <c r="C506" t="s">
        <v>397</v>
      </c>
      <c r="D506">
        <v>1000</v>
      </c>
      <c r="E506">
        <v>1303.991</v>
      </c>
      <c r="F506">
        <v>3572039</v>
      </c>
      <c r="G506" t="s">
        <v>450</v>
      </c>
      <c r="H506">
        <v>710.54399999999998</v>
      </c>
      <c r="I506" t="s">
        <v>519</v>
      </c>
      <c r="J506" t="s">
        <v>10</v>
      </c>
      <c r="K506" t="s">
        <v>520</v>
      </c>
    </row>
    <row r="507" spans="1:11" x14ac:dyDescent="0.25">
      <c r="A507" t="s">
        <v>453</v>
      </c>
      <c r="B507" t="s">
        <v>60</v>
      </c>
      <c r="C507" t="s">
        <v>397</v>
      </c>
      <c r="D507">
        <v>1000</v>
      </c>
      <c r="E507">
        <v>1303.991</v>
      </c>
      <c r="F507">
        <v>3572039</v>
      </c>
      <c r="G507" t="s">
        <v>450</v>
      </c>
      <c r="H507">
        <v>710.54399999999998</v>
      </c>
      <c r="I507" t="s">
        <v>519</v>
      </c>
      <c r="J507" t="s">
        <v>10</v>
      </c>
      <c r="K507" t="s">
        <v>520</v>
      </c>
    </row>
    <row r="508" spans="1:11" x14ac:dyDescent="0.25">
      <c r="A508" t="s">
        <v>453</v>
      </c>
      <c r="B508" t="s">
        <v>60</v>
      </c>
      <c r="C508" t="s">
        <v>397</v>
      </c>
      <c r="D508">
        <v>500</v>
      </c>
      <c r="E508">
        <v>622.99900000000002</v>
      </c>
      <c r="F508">
        <v>3572038</v>
      </c>
      <c r="G508" t="s">
        <v>450</v>
      </c>
      <c r="H508">
        <v>339.47199999999998</v>
      </c>
      <c r="I508" t="s">
        <v>521</v>
      </c>
      <c r="J508" t="s">
        <v>10</v>
      </c>
      <c r="K508" t="s">
        <v>522</v>
      </c>
    </row>
    <row r="509" spans="1:11" x14ac:dyDescent="0.25">
      <c r="A509" t="s">
        <v>422</v>
      </c>
      <c r="B509" t="s">
        <v>30</v>
      </c>
      <c r="C509" t="s">
        <v>397</v>
      </c>
      <c r="D509">
        <v>495</v>
      </c>
      <c r="E509">
        <v>616.76900000000001</v>
      </c>
      <c r="F509">
        <v>3572038</v>
      </c>
      <c r="G509" t="s">
        <v>450</v>
      </c>
      <c r="H509">
        <v>336.077</v>
      </c>
      <c r="I509" t="s">
        <v>521</v>
      </c>
      <c r="J509" t="s">
        <v>10</v>
      </c>
      <c r="K509" t="s">
        <v>522</v>
      </c>
    </row>
    <row r="510" spans="1:11" x14ac:dyDescent="0.25">
      <c r="A510" t="s">
        <v>422</v>
      </c>
      <c r="B510" t="s">
        <v>30</v>
      </c>
      <c r="C510" t="s">
        <v>397</v>
      </c>
      <c r="D510">
        <v>5</v>
      </c>
      <c r="E510">
        <v>6.23</v>
      </c>
      <c r="F510">
        <v>3572038</v>
      </c>
      <c r="G510" t="s">
        <v>450</v>
      </c>
      <c r="H510">
        <v>3.395</v>
      </c>
      <c r="I510" t="s">
        <v>521</v>
      </c>
      <c r="J510" t="s">
        <v>10</v>
      </c>
      <c r="K510" t="s">
        <v>522</v>
      </c>
    </row>
    <row r="511" spans="1:11" x14ac:dyDescent="0.25">
      <c r="A511" t="s">
        <v>422</v>
      </c>
      <c r="B511" t="s">
        <v>30</v>
      </c>
      <c r="C511" t="s">
        <v>397</v>
      </c>
      <c r="D511">
        <v>500</v>
      </c>
      <c r="E511">
        <v>622.99900000000002</v>
      </c>
      <c r="F511">
        <v>3572038</v>
      </c>
      <c r="G511" t="s">
        <v>450</v>
      </c>
      <c r="H511">
        <v>339.47199999999998</v>
      </c>
      <c r="I511" t="s">
        <v>521</v>
      </c>
      <c r="J511" t="s">
        <v>10</v>
      </c>
      <c r="K511" t="s">
        <v>522</v>
      </c>
    </row>
    <row r="512" spans="1:11" x14ac:dyDescent="0.25">
      <c r="A512" t="s">
        <v>453</v>
      </c>
      <c r="B512" t="s">
        <v>60</v>
      </c>
      <c r="C512" t="s">
        <v>397</v>
      </c>
      <c r="D512">
        <v>500</v>
      </c>
      <c r="E512">
        <v>622.99900000000002</v>
      </c>
      <c r="F512">
        <v>3572038</v>
      </c>
      <c r="G512" t="s">
        <v>450</v>
      </c>
      <c r="H512">
        <v>339.47199999999998</v>
      </c>
      <c r="I512" t="s">
        <v>521</v>
      </c>
      <c r="J512" t="s">
        <v>10</v>
      </c>
      <c r="K512" t="s">
        <v>522</v>
      </c>
    </row>
    <row r="513" spans="1:11" x14ac:dyDescent="0.25">
      <c r="A513" t="s">
        <v>422</v>
      </c>
      <c r="B513" t="s">
        <v>30</v>
      </c>
      <c r="C513" t="s">
        <v>397</v>
      </c>
      <c r="D513">
        <v>500</v>
      </c>
      <c r="E513">
        <v>622.99900000000002</v>
      </c>
      <c r="F513">
        <v>3572038</v>
      </c>
      <c r="G513" t="s">
        <v>450</v>
      </c>
      <c r="H513">
        <v>339.47199999999998</v>
      </c>
      <c r="I513" t="s">
        <v>521</v>
      </c>
      <c r="J513" t="s">
        <v>10</v>
      </c>
      <c r="K513" t="s">
        <v>522</v>
      </c>
    </row>
    <row r="514" spans="1:11" x14ac:dyDescent="0.25">
      <c r="A514" t="s">
        <v>453</v>
      </c>
      <c r="B514" t="s">
        <v>60</v>
      </c>
      <c r="C514" t="s">
        <v>397</v>
      </c>
      <c r="D514">
        <v>500</v>
      </c>
      <c r="E514">
        <v>622.99900000000002</v>
      </c>
      <c r="F514">
        <v>3572038</v>
      </c>
      <c r="G514" t="s">
        <v>450</v>
      </c>
      <c r="H514">
        <v>339.47199999999998</v>
      </c>
      <c r="I514" t="s">
        <v>521</v>
      </c>
      <c r="J514" t="s">
        <v>10</v>
      </c>
      <c r="K514" t="s">
        <v>522</v>
      </c>
    </row>
    <row r="515" spans="1:11" x14ac:dyDescent="0.25">
      <c r="A515" t="s">
        <v>422</v>
      </c>
      <c r="B515" t="s">
        <v>30</v>
      </c>
      <c r="C515" t="s">
        <v>397</v>
      </c>
      <c r="D515">
        <v>500</v>
      </c>
      <c r="E515">
        <v>622.99900000000002</v>
      </c>
      <c r="F515">
        <v>3572038</v>
      </c>
      <c r="G515" t="s">
        <v>450</v>
      </c>
      <c r="H515">
        <v>339.47199999999998</v>
      </c>
      <c r="I515" t="s">
        <v>521</v>
      </c>
      <c r="J515" t="s">
        <v>10</v>
      </c>
      <c r="K515" t="s">
        <v>522</v>
      </c>
    </row>
    <row r="516" spans="1:11" x14ac:dyDescent="0.25">
      <c r="A516" t="s">
        <v>453</v>
      </c>
      <c r="B516" t="s">
        <v>60</v>
      </c>
      <c r="C516" t="s">
        <v>397</v>
      </c>
      <c r="D516">
        <v>500</v>
      </c>
      <c r="E516">
        <v>622.99900000000002</v>
      </c>
      <c r="F516">
        <v>3572038</v>
      </c>
      <c r="G516" t="s">
        <v>450</v>
      </c>
      <c r="H516">
        <v>339.47199999999998</v>
      </c>
      <c r="I516" t="s">
        <v>521</v>
      </c>
      <c r="J516" t="s">
        <v>10</v>
      </c>
      <c r="K516" t="s">
        <v>522</v>
      </c>
    </row>
    <row r="517" spans="1:11" x14ac:dyDescent="0.25">
      <c r="A517" t="s">
        <v>422</v>
      </c>
      <c r="B517" t="s">
        <v>30</v>
      </c>
      <c r="C517" t="s">
        <v>397</v>
      </c>
      <c r="D517">
        <v>500</v>
      </c>
      <c r="E517">
        <v>622.99900000000002</v>
      </c>
      <c r="F517">
        <v>3572038</v>
      </c>
      <c r="G517" t="s">
        <v>450</v>
      </c>
      <c r="H517">
        <v>339.47199999999998</v>
      </c>
      <c r="I517" t="s">
        <v>521</v>
      </c>
      <c r="J517" t="s">
        <v>10</v>
      </c>
      <c r="K517" t="s">
        <v>522</v>
      </c>
    </row>
    <row r="518" spans="1:11" x14ac:dyDescent="0.25">
      <c r="A518" t="s">
        <v>453</v>
      </c>
      <c r="B518" t="s">
        <v>60</v>
      </c>
      <c r="C518" t="s">
        <v>397</v>
      </c>
      <c r="D518">
        <v>500</v>
      </c>
      <c r="E518">
        <v>622.99900000000002</v>
      </c>
      <c r="F518">
        <v>3572038</v>
      </c>
      <c r="G518" t="s">
        <v>450</v>
      </c>
      <c r="H518">
        <v>339.47199999999998</v>
      </c>
      <c r="I518" t="s">
        <v>521</v>
      </c>
      <c r="J518" t="s">
        <v>10</v>
      </c>
      <c r="K518" t="s">
        <v>522</v>
      </c>
    </row>
    <row r="519" spans="1:11" x14ac:dyDescent="0.25">
      <c r="A519" t="s">
        <v>422</v>
      </c>
      <c r="B519" t="s">
        <v>30</v>
      </c>
      <c r="C519" t="s">
        <v>397</v>
      </c>
      <c r="D519">
        <v>500</v>
      </c>
      <c r="E519">
        <v>622.99900000000002</v>
      </c>
      <c r="F519">
        <v>3572038</v>
      </c>
      <c r="G519" t="s">
        <v>450</v>
      </c>
      <c r="H519">
        <v>339.47199999999998</v>
      </c>
      <c r="I519" t="s">
        <v>521</v>
      </c>
      <c r="J519" t="s">
        <v>10</v>
      </c>
      <c r="K519" t="s">
        <v>522</v>
      </c>
    </row>
    <row r="520" spans="1:11" x14ac:dyDescent="0.25">
      <c r="A520" t="s">
        <v>453</v>
      </c>
      <c r="B520" t="s">
        <v>60</v>
      </c>
      <c r="C520" t="s">
        <v>397</v>
      </c>
      <c r="D520">
        <v>500</v>
      </c>
      <c r="E520">
        <v>622.99900000000002</v>
      </c>
      <c r="F520">
        <v>3572038</v>
      </c>
      <c r="G520" t="s">
        <v>450</v>
      </c>
      <c r="H520">
        <v>339.47199999999998</v>
      </c>
      <c r="I520" t="s">
        <v>521</v>
      </c>
      <c r="J520" t="s">
        <v>10</v>
      </c>
      <c r="K520" t="s">
        <v>522</v>
      </c>
    </row>
    <row r="521" spans="1:11" x14ac:dyDescent="0.25">
      <c r="A521" t="s">
        <v>422</v>
      </c>
      <c r="B521" t="s">
        <v>30</v>
      </c>
      <c r="C521" t="s">
        <v>397</v>
      </c>
      <c r="D521">
        <v>500</v>
      </c>
      <c r="E521">
        <v>622.99900000000002</v>
      </c>
      <c r="F521">
        <v>3572038</v>
      </c>
      <c r="G521" t="s">
        <v>450</v>
      </c>
      <c r="H521">
        <v>339.47199999999998</v>
      </c>
      <c r="I521" t="s">
        <v>521</v>
      </c>
      <c r="J521" t="s">
        <v>10</v>
      </c>
      <c r="K521" t="s">
        <v>522</v>
      </c>
    </row>
    <row r="522" spans="1:11" x14ac:dyDescent="0.25">
      <c r="A522" t="s">
        <v>453</v>
      </c>
      <c r="B522" t="s">
        <v>60</v>
      </c>
      <c r="C522" t="s">
        <v>397</v>
      </c>
      <c r="D522">
        <v>500</v>
      </c>
      <c r="E522">
        <v>622.99900000000002</v>
      </c>
      <c r="F522">
        <v>3572038</v>
      </c>
      <c r="G522" t="s">
        <v>450</v>
      </c>
      <c r="H522">
        <v>339.47199999999998</v>
      </c>
      <c r="I522" t="s">
        <v>521</v>
      </c>
      <c r="J522" t="s">
        <v>10</v>
      </c>
      <c r="K522" t="s">
        <v>522</v>
      </c>
    </row>
    <row r="523" spans="1:11" x14ac:dyDescent="0.25">
      <c r="A523" t="s">
        <v>453</v>
      </c>
      <c r="B523" t="s">
        <v>60</v>
      </c>
      <c r="C523" t="s">
        <v>397</v>
      </c>
      <c r="D523">
        <v>1000</v>
      </c>
      <c r="E523">
        <v>835</v>
      </c>
      <c r="F523">
        <v>4151425</v>
      </c>
      <c r="G523" t="s">
        <v>450</v>
      </c>
      <c r="H523">
        <v>461.92200000000003</v>
      </c>
      <c r="I523" t="s">
        <v>523</v>
      </c>
      <c r="J523" t="s">
        <v>10</v>
      </c>
      <c r="K523" t="s">
        <v>524</v>
      </c>
    </row>
    <row r="524" spans="1:11" x14ac:dyDescent="0.25">
      <c r="A524" t="s">
        <v>453</v>
      </c>
      <c r="B524" t="s">
        <v>60</v>
      </c>
      <c r="C524" t="s">
        <v>397</v>
      </c>
      <c r="D524">
        <v>699</v>
      </c>
      <c r="E524">
        <v>583.66499999999996</v>
      </c>
      <c r="F524">
        <v>4151425</v>
      </c>
      <c r="G524" t="s">
        <v>450</v>
      </c>
      <c r="H524">
        <v>322.88400000000001</v>
      </c>
      <c r="I524" t="s">
        <v>523</v>
      </c>
      <c r="J524" t="s">
        <v>10</v>
      </c>
      <c r="K524" t="s">
        <v>524</v>
      </c>
    </row>
    <row r="525" spans="1:11" x14ac:dyDescent="0.25">
      <c r="A525" t="s">
        <v>453</v>
      </c>
      <c r="B525" t="s">
        <v>60</v>
      </c>
      <c r="C525" t="s">
        <v>397</v>
      </c>
      <c r="D525">
        <v>301</v>
      </c>
      <c r="E525">
        <v>251.33500000000001</v>
      </c>
      <c r="F525">
        <v>4151425</v>
      </c>
      <c r="G525" t="s">
        <v>450</v>
      </c>
      <c r="H525">
        <v>139.03899999999999</v>
      </c>
      <c r="I525" t="s">
        <v>523</v>
      </c>
      <c r="J525" t="s">
        <v>10</v>
      </c>
      <c r="K525" t="s">
        <v>524</v>
      </c>
    </row>
    <row r="526" spans="1:11" x14ac:dyDescent="0.25">
      <c r="A526" t="s">
        <v>453</v>
      </c>
      <c r="B526" t="s">
        <v>60</v>
      </c>
      <c r="C526" t="s">
        <v>397</v>
      </c>
      <c r="D526">
        <v>1000</v>
      </c>
      <c r="E526">
        <v>835</v>
      </c>
      <c r="F526">
        <v>4151425</v>
      </c>
      <c r="G526" t="s">
        <v>450</v>
      </c>
      <c r="H526">
        <v>461.92200000000003</v>
      </c>
      <c r="I526" t="s">
        <v>523</v>
      </c>
      <c r="J526" t="s">
        <v>10</v>
      </c>
      <c r="K526" t="s">
        <v>524</v>
      </c>
    </row>
    <row r="527" spans="1:11" x14ac:dyDescent="0.25">
      <c r="A527" t="s">
        <v>453</v>
      </c>
      <c r="B527" t="s">
        <v>60</v>
      </c>
      <c r="C527" t="s">
        <v>397</v>
      </c>
      <c r="D527">
        <v>1000</v>
      </c>
      <c r="E527">
        <v>835</v>
      </c>
      <c r="F527">
        <v>4151425</v>
      </c>
      <c r="G527" t="s">
        <v>450</v>
      </c>
      <c r="H527">
        <v>461.92200000000003</v>
      </c>
      <c r="I527" t="s">
        <v>523</v>
      </c>
      <c r="J527" t="s">
        <v>10</v>
      </c>
      <c r="K527" t="s">
        <v>524</v>
      </c>
    </row>
    <row r="528" spans="1:11" x14ac:dyDescent="0.25">
      <c r="A528" t="s">
        <v>422</v>
      </c>
      <c r="B528" t="s">
        <v>30</v>
      </c>
      <c r="C528" t="s">
        <v>397</v>
      </c>
      <c r="D528">
        <v>1000</v>
      </c>
      <c r="E528">
        <v>835</v>
      </c>
      <c r="F528">
        <v>4151425</v>
      </c>
      <c r="G528" t="s">
        <v>450</v>
      </c>
      <c r="H528">
        <v>461.92200000000003</v>
      </c>
      <c r="I528" t="s">
        <v>523</v>
      </c>
      <c r="J528" t="s">
        <v>10</v>
      </c>
      <c r="K528" t="s">
        <v>524</v>
      </c>
    </row>
    <row r="529" spans="1:11" x14ac:dyDescent="0.25">
      <c r="A529" t="s">
        <v>453</v>
      </c>
      <c r="B529" t="s">
        <v>60</v>
      </c>
      <c r="C529" t="s">
        <v>397</v>
      </c>
      <c r="D529">
        <v>898</v>
      </c>
      <c r="E529">
        <v>749.83</v>
      </c>
      <c r="F529">
        <v>4151425</v>
      </c>
      <c r="G529" t="s">
        <v>450</v>
      </c>
      <c r="H529">
        <v>414.80599999999998</v>
      </c>
      <c r="I529" t="s">
        <v>523</v>
      </c>
      <c r="J529" t="s">
        <v>10</v>
      </c>
      <c r="K529" t="s">
        <v>524</v>
      </c>
    </row>
    <row r="530" spans="1:11" x14ac:dyDescent="0.25">
      <c r="A530" t="s">
        <v>453</v>
      </c>
      <c r="B530" t="s">
        <v>60</v>
      </c>
      <c r="C530" t="s">
        <v>397</v>
      </c>
      <c r="D530">
        <v>102</v>
      </c>
      <c r="E530">
        <v>85.17</v>
      </c>
      <c r="F530">
        <v>4151425</v>
      </c>
      <c r="G530" t="s">
        <v>450</v>
      </c>
      <c r="H530">
        <v>47.116</v>
      </c>
      <c r="I530" t="s">
        <v>523</v>
      </c>
      <c r="J530" t="s">
        <v>10</v>
      </c>
      <c r="K530" t="s">
        <v>524</v>
      </c>
    </row>
    <row r="531" spans="1:11" x14ac:dyDescent="0.25">
      <c r="A531" t="s">
        <v>453</v>
      </c>
      <c r="B531" t="s">
        <v>60</v>
      </c>
      <c r="C531" t="s">
        <v>397</v>
      </c>
      <c r="D531">
        <v>588</v>
      </c>
      <c r="E531">
        <v>490.98</v>
      </c>
      <c r="F531">
        <v>4151425</v>
      </c>
      <c r="G531" t="s">
        <v>450</v>
      </c>
      <c r="H531">
        <v>271.61</v>
      </c>
      <c r="I531" t="s">
        <v>523</v>
      </c>
      <c r="J531" t="s">
        <v>10</v>
      </c>
      <c r="K531" t="s">
        <v>524</v>
      </c>
    </row>
    <row r="532" spans="1:11" x14ac:dyDescent="0.25">
      <c r="A532" t="s">
        <v>453</v>
      </c>
      <c r="B532" t="s">
        <v>60</v>
      </c>
      <c r="C532" t="s">
        <v>397</v>
      </c>
      <c r="D532">
        <v>195</v>
      </c>
      <c r="E532">
        <v>162.82499999999999</v>
      </c>
      <c r="F532">
        <v>4151425</v>
      </c>
      <c r="G532" t="s">
        <v>450</v>
      </c>
      <c r="H532">
        <v>90.075000000000003</v>
      </c>
      <c r="I532" t="s">
        <v>523</v>
      </c>
      <c r="J532" t="s">
        <v>10</v>
      </c>
      <c r="K532" t="s">
        <v>524</v>
      </c>
    </row>
    <row r="533" spans="1:11" x14ac:dyDescent="0.25">
      <c r="A533" t="s">
        <v>453</v>
      </c>
      <c r="B533" t="s">
        <v>60</v>
      </c>
      <c r="C533" t="s">
        <v>397</v>
      </c>
      <c r="D533">
        <v>96</v>
      </c>
      <c r="E533">
        <v>80.16</v>
      </c>
      <c r="F533">
        <v>4151425</v>
      </c>
      <c r="G533" t="s">
        <v>450</v>
      </c>
      <c r="H533">
        <v>44.344999999999999</v>
      </c>
      <c r="I533" t="s">
        <v>523</v>
      </c>
      <c r="J533" t="s">
        <v>10</v>
      </c>
      <c r="K533" t="s">
        <v>524</v>
      </c>
    </row>
    <row r="534" spans="1:11" x14ac:dyDescent="0.25">
      <c r="A534" t="s">
        <v>453</v>
      </c>
      <c r="B534" t="s">
        <v>60</v>
      </c>
      <c r="C534" t="s">
        <v>397</v>
      </c>
      <c r="D534">
        <v>67</v>
      </c>
      <c r="E534">
        <v>55.945</v>
      </c>
      <c r="F534">
        <v>4151425</v>
      </c>
      <c r="G534" t="s">
        <v>450</v>
      </c>
      <c r="H534">
        <v>30.949000000000002</v>
      </c>
      <c r="I534" t="s">
        <v>523</v>
      </c>
      <c r="J534" t="s">
        <v>10</v>
      </c>
      <c r="K534" t="s">
        <v>524</v>
      </c>
    </row>
    <row r="535" spans="1:11" x14ac:dyDescent="0.25">
      <c r="A535" t="s">
        <v>453</v>
      </c>
      <c r="B535" t="s">
        <v>60</v>
      </c>
      <c r="C535" t="s">
        <v>397</v>
      </c>
      <c r="D535">
        <v>54</v>
      </c>
      <c r="E535">
        <v>45.09</v>
      </c>
      <c r="F535">
        <v>4151425</v>
      </c>
      <c r="G535" t="s">
        <v>450</v>
      </c>
      <c r="H535">
        <v>24.943999999999999</v>
      </c>
      <c r="I535" t="s">
        <v>523</v>
      </c>
      <c r="J535" t="s">
        <v>10</v>
      </c>
      <c r="K535" t="s">
        <v>524</v>
      </c>
    </row>
    <row r="536" spans="1:11" x14ac:dyDescent="0.25">
      <c r="A536" t="s">
        <v>453</v>
      </c>
      <c r="B536" t="s">
        <v>60</v>
      </c>
      <c r="C536" t="s">
        <v>397</v>
      </c>
      <c r="D536">
        <v>1000</v>
      </c>
      <c r="E536">
        <v>539.99699999999996</v>
      </c>
      <c r="F536">
        <v>3571870</v>
      </c>
      <c r="G536" t="s">
        <v>450</v>
      </c>
      <c r="H536">
        <v>294.24400000000003</v>
      </c>
      <c r="I536" t="s">
        <v>525</v>
      </c>
      <c r="J536" t="s">
        <v>10</v>
      </c>
      <c r="K536" t="s">
        <v>526</v>
      </c>
    </row>
    <row r="537" spans="1:11" x14ac:dyDescent="0.25">
      <c r="A537" t="s">
        <v>422</v>
      </c>
      <c r="B537" t="s">
        <v>30</v>
      </c>
      <c r="C537" t="s">
        <v>397</v>
      </c>
      <c r="D537">
        <v>1000</v>
      </c>
      <c r="E537">
        <v>539.99699999999996</v>
      </c>
      <c r="F537">
        <v>3571870</v>
      </c>
      <c r="G537" t="s">
        <v>450</v>
      </c>
      <c r="H537">
        <v>294.24400000000003</v>
      </c>
      <c r="I537" t="s">
        <v>525</v>
      </c>
      <c r="J537" t="s">
        <v>10</v>
      </c>
      <c r="K537" t="s">
        <v>526</v>
      </c>
    </row>
    <row r="538" spans="1:11" x14ac:dyDescent="0.25">
      <c r="A538" t="s">
        <v>422</v>
      </c>
      <c r="B538" t="s">
        <v>30</v>
      </c>
      <c r="C538" t="s">
        <v>397</v>
      </c>
      <c r="D538">
        <v>1000</v>
      </c>
      <c r="E538">
        <v>539.99699999999996</v>
      </c>
      <c r="F538">
        <v>3571870</v>
      </c>
      <c r="G538" t="s">
        <v>450</v>
      </c>
      <c r="H538">
        <v>294.24400000000003</v>
      </c>
      <c r="I538" t="s">
        <v>525</v>
      </c>
      <c r="J538" t="s">
        <v>10</v>
      </c>
      <c r="K538" t="s">
        <v>526</v>
      </c>
    </row>
    <row r="539" spans="1:11" x14ac:dyDescent="0.25">
      <c r="A539" t="s">
        <v>453</v>
      </c>
      <c r="B539" t="s">
        <v>60</v>
      </c>
      <c r="C539" t="s">
        <v>397</v>
      </c>
      <c r="D539">
        <v>1000</v>
      </c>
      <c r="E539">
        <v>539.99699999999996</v>
      </c>
      <c r="F539">
        <v>3571870</v>
      </c>
      <c r="G539" t="s">
        <v>450</v>
      </c>
      <c r="H539">
        <v>294.24400000000003</v>
      </c>
      <c r="I539" t="s">
        <v>525</v>
      </c>
      <c r="J539" t="s">
        <v>10</v>
      </c>
      <c r="K539" t="s">
        <v>526</v>
      </c>
    </row>
    <row r="540" spans="1:11" x14ac:dyDescent="0.25">
      <c r="A540" t="s">
        <v>422</v>
      </c>
      <c r="B540" t="s">
        <v>30</v>
      </c>
      <c r="C540" t="s">
        <v>397</v>
      </c>
      <c r="D540">
        <v>1000</v>
      </c>
      <c r="E540">
        <v>539.99699999999996</v>
      </c>
      <c r="F540">
        <v>3571870</v>
      </c>
      <c r="G540" t="s">
        <v>450</v>
      </c>
      <c r="H540">
        <v>294.24400000000003</v>
      </c>
      <c r="I540" t="s">
        <v>525</v>
      </c>
      <c r="J540" t="s">
        <v>10</v>
      </c>
      <c r="K540" t="s">
        <v>526</v>
      </c>
    </row>
    <row r="541" spans="1:11" x14ac:dyDescent="0.25">
      <c r="A541" t="s">
        <v>453</v>
      </c>
      <c r="B541" t="s">
        <v>60</v>
      </c>
      <c r="C541" t="s">
        <v>397</v>
      </c>
      <c r="D541">
        <v>595</v>
      </c>
      <c r="E541">
        <v>321.298</v>
      </c>
      <c r="F541">
        <v>3571870</v>
      </c>
      <c r="G541" t="s">
        <v>450</v>
      </c>
      <c r="H541">
        <v>175.07499999999999</v>
      </c>
      <c r="I541" t="s">
        <v>525</v>
      </c>
      <c r="J541" t="s">
        <v>10</v>
      </c>
      <c r="K541" t="s">
        <v>526</v>
      </c>
    </row>
    <row r="542" spans="1:11" x14ac:dyDescent="0.25">
      <c r="A542" t="s">
        <v>453</v>
      </c>
      <c r="B542" t="s">
        <v>60</v>
      </c>
      <c r="C542" t="s">
        <v>397</v>
      </c>
      <c r="D542">
        <v>405</v>
      </c>
      <c r="E542">
        <v>218.69900000000001</v>
      </c>
      <c r="F542">
        <v>3571870</v>
      </c>
      <c r="G542" t="s">
        <v>450</v>
      </c>
      <c r="H542">
        <v>119.169</v>
      </c>
      <c r="I542" t="s">
        <v>525</v>
      </c>
      <c r="J542" t="s">
        <v>10</v>
      </c>
      <c r="K542" t="s">
        <v>526</v>
      </c>
    </row>
    <row r="543" spans="1:11" x14ac:dyDescent="0.25">
      <c r="A543" t="s">
        <v>422</v>
      </c>
      <c r="B543" t="s">
        <v>30</v>
      </c>
      <c r="C543" t="s">
        <v>397</v>
      </c>
      <c r="D543">
        <v>1000</v>
      </c>
      <c r="E543">
        <v>539.99699999999996</v>
      </c>
      <c r="F543">
        <v>3571870</v>
      </c>
      <c r="G543" t="s">
        <v>450</v>
      </c>
      <c r="H543">
        <v>294.24400000000003</v>
      </c>
      <c r="I543" t="s">
        <v>525</v>
      </c>
      <c r="J543" t="s">
        <v>10</v>
      </c>
      <c r="K543" t="s">
        <v>526</v>
      </c>
    </row>
    <row r="544" spans="1:11" x14ac:dyDescent="0.25">
      <c r="A544" t="s">
        <v>453</v>
      </c>
      <c r="B544" t="s">
        <v>60</v>
      </c>
      <c r="C544" t="s">
        <v>397</v>
      </c>
      <c r="D544">
        <v>1000</v>
      </c>
      <c r="E544">
        <v>539.99699999999996</v>
      </c>
      <c r="F544">
        <v>3571870</v>
      </c>
      <c r="G544" t="s">
        <v>450</v>
      </c>
      <c r="H544">
        <v>294.24400000000003</v>
      </c>
      <c r="I544" t="s">
        <v>525</v>
      </c>
      <c r="J544" t="s">
        <v>10</v>
      </c>
      <c r="K544" t="s">
        <v>526</v>
      </c>
    </row>
    <row r="545" spans="1:11" x14ac:dyDescent="0.25">
      <c r="A545" t="s">
        <v>422</v>
      </c>
      <c r="B545" t="s">
        <v>30</v>
      </c>
      <c r="C545" t="s">
        <v>397</v>
      </c>
      <c r="D545">
        <v>1000</v>
      </c>
      <c r="E545">
        <v>539.99699999999996</v>
      </c>
      <c r="F545">
        <v>3571870</v>
      </c>
      <c r="G545" t="s">
        <v>450</v>
      </c>
      <c r="H545">
        <v>294.24400000000003</v>
      </c>
      <c r="I545" t="s">
        <v>525</v>
      </c>
      <c r="J545" t="s">
        <v>10</v>
      </c>
      <c r="K545" t="s">
        <v>526</v>
      </c>
    </row>
    <row r="546" spans="1:11" x14ac:dyDescent="0.25">
      <c r="A546" t="s">
        <v>453</v>
      </c>
      <c r="B546" t="s">
        <v>60</v>
      </c>
      <c r="C546" t="s">
        <v>397</v>
      </c>
      <c r="D546">
        <v>1000</v>
      </c>
      <c r="E546">
        <v>539.99699999999996</v>
      </c>
      <c r="F546">
        <v>3571870</v>
      </c>
      <c r="G546" t="s">
        <v>450</v>
      </c>
      <c r="H546">
        <v>294.24400000000003</v>
      </c>
      <c r="I546" t="s">
        <v>525</v>
      </c>
      <c r="J546" t="s">
        <v>10</v>
      </c>
      <c r="K546" t="s">
        <v>526</v>
      </c>
    </row>
    <row r="547" spans="1:11" x14ac:dyDescent="0.25">
      <c r="A547" t="s">
        <v>422</v>
      </c>
      <c r="B547" t="s">
        <v>30</v>
      </c>
      <c r="C547" t="s">
        <v>397</v>
      </c>
      <c r="D547">
        <v>1000</v>
      </c>
      <c r="E547">
        <v>539.99699999999996</v>
      </c>
      <c r="F547">
        <v>3571870</v>
      </c>
      <c r="G547" t="s">
        <v>450</v>
      </c>
      <c r="H547">
        <v>294.24400000000003</v>
      </c>
      <c r="I547" t="s">
        <v>525</v>
      </c>
      <c r="J547" t="s">
        <v>10</v>
      </c>
      <c r="K547" t="s">
        <v>526</v>
      </c>
    </row>
    <row r="548" spans="1:11" x14ac:dyDescent="0.25">
      <c r="A548" t="s">
        <v>453</v>
      </c>
      <c r="B548" t="s">
        <v>60</v>
      </c>
      <c r="C548" t="s">
        <v>397</v>
      </c>
      <c r="D548">
        <v>989</v>
      </c>
      <c r="E548">
        <v>534.05700000000002</v>
      </c>
      <c r="F548">
        <v>3571870</v>
      </c>
      <c r="G548" t="s">
        <v>450</v>
      </c>
      <c r="H548">
        <v>291.00799999999998</v>
      </c>
      <c r="I548" t="s">
        <v>525</v>
      </c>
      <c r="J548" t="s">
        <v>10</v>
      </c>
      <c r="K548" t="s">
        <v>526</v>
      </c>
    </row>
    <row r="549" spans="1:11" x14ac:dyDescent="0.25">
      <c r="A549" t="s">
        <v>453</v>
      </c>
      <c r="B549" t="s">
        <v>60</v>
      </c>
      <c r="C549" t="s">
        <v>397</v>
      </c>
      <c r="D549">
        <v>11</v>
      </c>
      <c r="E549">
        <v>5.94</v>
      </c>
      <c r="F549">
        <v>3571870</v>
      </c>
      <c r="G549" t="s">
        <v>450</v>
      </c>
      <c r="H549">
        <v>3.2370000000000001</v>
      </c>
      <c r="I549" t="s">
        <v>525</v>
      </c>
      <c r="J549" t="s">
        <v>10</v>
      </c>
      <c r="K549" t="s">
        <v>526</v>
      </c>
    </row>
    <row r="550" spans="1:11" x14ac:dyDescent="0.25">
      <c r="A550" t="s">
        <v>422</v>
      </c>
      <c r="B550" t="s">
        <v>30</v>
      </c>
      <c r="C550" t="s">
        <v>397</v>
      </c>
      <c r="D550">
        <v>575</v>
      </c>
      <c r="E550">
        <v>310.49799999999999</v>
      </c>
      <c r="F550">
        <v>3571870</v>
      </c>
      <c r="G550" t="s">
        <v>450</v>
      </c>
      <c r="H550">
        <v>169.191</v>
      </c>
      <c r="I550" t="s">
        <v>525</v>
      </c>
      <c r="J550" t="s">
        <v>10</v>
      </c>
      <c r="K550" t="s">
        <v>526</v>
      </c>
    </row>
    <row r="551" spans="1:11" x14ac:dyDescent="0.25">
      <c r="A551" t="s">
        <v>422</v>
      </c>
      <c r="B551" t="s">
        <v>30</v>
      </c>
      <c r="C551" t="s">
        <v>397</v>
      </c>
      <c r="D551">
        <v>425</v>
      </c>
      <c r="E551">
        <v>229.499</v>
      </c>
      <c r="F551">
        <v>3571870</v>
      </c>
      <c r="G551" t="s">
        <v>450</v>
      </c>
      <c r="H551">
        <v>125.054</v>
      </c>
      <c r="I551" t="s">
        <v>525</v>
      </c>
      <c r="J551" t="s">
        <v>10</v>
      </c>
      <c r="K551" t="s">
        <v>526</v>
      </c>
    </row>
    <row r="552" spans="1:11" x14ac:dyDescent="0.25">
      <c r="A552" t="s">
        <v>453</v>
      </c>
      <c r="B552" t="s">
        <v>60</v>
      </c>
      <c r="C552" t="s">
        <v>397</v>
      </c>
      <c r="D552">
        <v>1000</v>
      </c>
      <c r="E552">
        <v>539.99699999999996</v>
      </c>
      <c r="F552">
        <v>3571870</v>
      </c>
      <c r="G552" t="s">
        <v>450</v>
      </c>
      <c r="H552">
        <v>294.24400000000003</v>
      </c>
      <c r="I552" t="s">
        <v>525</v>
      </c>
      <c r="J552" t="s">
        <v>10</v>
      </c>
      <c r="K552" t="s">
        <v>526</v>
      </c>
    </row>
    <row r="553" spans="1:11" x14ac:dyDescent="0.25">
      <c r="A553" t="s">
        <v>453</v>
      </c>
      <c r="B553" t="s">
        <v>60</v>
      </c>
      <c r="C553" t="s">
        <v>397</v>
      </c>
      <c r="D553">
        <v>1000</v>
      </c>
      <c r="E553">
        <v>110.008</v>
      </c>
      <c r="F553">
        <v>3931835</v>
      </c>
      <c r="G553" t="s">
        <v>450</v>
      </c>
      <c r="H553">
        <v>59.956000000000003</v>
      </c>
      <c r="I553" t="s">
        <v>527</v>
      </c>
      <c r="J553" t="s">
        <v>10</v>
      </c>
      <c r="K553" t="s">
        <v>528</v>
      </c>
    </row>
    <row r="554" spans="1:11" x14ac:dyDescent="0.25">
      <c r="A554" t="s">
        <v>453</v>
      </c>
      <c r="B554" t="s">
        <v>60</v>
      </c>
      <c r="C554" t="s">
        <v>397</v>
      </c>
      <c r="D554">
        <v>1000</v>
      </c>
      <c r="E554">
        <v>110.008</v>
      </c>
      <c r="F554">
        <v>3931835</v>
      </c>
      <c r="G554" t="s">
        <v>450</v>
      </c>
      <c r="H554">
        <v>59.956000000000003</v>
      </c>
      <c r="I554" t="s">
        <v>527</v>
      </c>
      <c r="J554" t="s">
        <v>10</v>
      </c>
      <c r="K554" t="s">
        <v>528</v>
      </c>
    </row>
    <row r="555" spans="1:11" x14ac:dyDescent="0.25">
      <c r="A555" t="s">
        <v>453</v>
      </c>
      <c r="B555" t="s">
        <v>60</v>
      </c>
      <c r="C555" t="s">
        <v>397</v>
      </c>
      <c r="D555">
        <v>835</v>
      </c>
      <c r="E555">
        <v>91.856999999999999</v>
      </c>
      <c r="F555">
        <v>3931835</v>
      </c>
      <c r="G555" t="s">
        <v>450</v>
      </c>
      <c r="H555">
        <v>50.063000000000002</v>
      </c>
      <c r="I555" t="s">
        <v>527</v>
      </c>
      <c r="J555" t="s">
        <v>10</v>
      </c>
      <c r="K555" t="s">
        <v>528</v>
      </c>
    </row>
    <row r="556" spans="1:11" x14ac:dyDescent="0.25">
      <c r="A556" t="s">
        <v>453</v>
      </c>
      <c r="B556" t="s">
        <v>60</v>
      </c>
      <c r="C556" t="s">
        <v>397</v>
      </c>
      <c r="D556">
        <v>165</v>
      </c>
      <c r="E556">
        <v>18.151</v>
      </c>
      <c r="F556">
        <v>3931835</v>
      </c>
      <c r="G556" t="s">
        <v>450</v>
      </c>
      <c r="H556">
        <v>9.8930000000000007</v>
      </c>
      <c r="I556" t="s">
        <v>527</v>
      </c>
      <c r="J556" t="s">
        <v>10</v>
      </c>
      <c r="K556" t="s">
        <v>528</v>
      </c>
    </row>
    <row r="557" spans="1:11" x14ac:dyDescent="0.25">
      <c r="A557" t="s">
        <v>453</v>
      </c>
      <c r="B557" t="s">
        <v>60</v>
      </c>
      <c r="C557" t="s">
        <v>397</v>
      </c>
      <c r="D557">
        <v>1000</v>
      </c>
      <c r="E557">
        <v>110.008</v>
      </c>
      <c r="F557">
        <v>3931835</v>
      </c>
      <c r="G557" t="s">
        <v>450</v>
      </c>
      <c r="H557">
        <v>59.956000000000003</v>
      </c>
      <c r="I557" t="s">
        <v>527</v>
      </c>
      <c r="J557" t="s">
        <v>10</v>
      </c>
      <c r="K557" t="s">
        <v>528</v>
      </c>
    </row>
    <row r="558" spans="1:11" x14ac:dyDescent="0.25">
      <c r="A558" t="s">
        <v>453</v>
      </c>
      <c r="B558" t="s">
        <v>60</v>
      </c>
      <c r="C558" t="s">
        <v>397</v>
      </c>
      <c r="D558">
        <v>1000</v>
      </c>
      <c r="E558">
        <v>110.008</v>
      </c>
      <c r="F558">
        <v>3931835</v>
      </c>
      <c r="G558" t="s">
        <v>450</v>
      </c>
      <c r="H558">
        <v>59.956000000000003</v>
      </c>
      <c r="I558" t="s">
        <v>527</v>
      </c>
      <c r="J558" t="s">
        <v>10</v>
      </c>
      <c r="K558" t="s">
        <v>528</v>
      </c>
    </row>
    <row r="559" spans="1:11" x14ac:dyDescent="0.25">
      <c r="A559" t="s">
        <v>422</v>
      </c>
      <c r="B559" t="s">
        <v>30</v>
      </c>
      <c r="C559" t="s">
        <v>397</v>
      </c>
      <c r="D559">
        <v>1000</v>
      </c>
      <c r="E559">
        <v>110.008</v>
      </c>
      <c r="F559">
        <v>3931835</v>
      </c>
      <c r="G559" t="s">
        <v>450</v>
      </c>
      <c r="H559">
        <v>59.956000000000003</v>
      </c>
      <c r="I559" t="s">
        <v>527</v>
      </c>
      <c r="J559" t="s">
        <v>10</v>
      </c>
      <c r="K559" t="s">
        <v>528</v>
      </c>
    </row>
    <row r="560" spans="1:11" x14ac:dyDescent="0.25">
      <c r="A560" t="s">
        <v>453</v>
      </c>
      <c r="B560" t="s">
        <v>60</v>
      </c>
      <c r="C560" t="s">
        <v>397</v>
      </c>
      <c r="D560">
        <v>1000</v>
      </c>
      <c r="E560">
        <v>110.008</v>
      </c>
      <c r="F560">
        <v>3931835</v>
      </c>
      <c r="G560" t="s">
        <v>450</v>
      </c>
      <c r="H560">
        <v>59.956000000000003</v>
      </c>
      <c r="I560" t="s">
        <v>527</v>
      </c>
      <c r="J560" t="s">
        <v>10</v>
      </c>
      <c r="K560" t="s">
        <v>528</v>
      </c>
    </row>
    <row r="561" spans="1:11" x14ac:dyDescent="0.25">
      <c r="A561" t="s">
        <v>453</v>
      </c>
      <c r="B561" t="s">
        <v>60</v>
      </c>
      <c r="C561" t="s">
        <v>397</v>
      </c>
      <c r="D561">
        <v>835</v>
      </c>
      <c r="E561">
        <v>91.856999999999999</v>
      </c>
      <c r="F561">
        <v>3931835</v>
      </c>
      <c r="G561" t="s">
        <v>450</v>
      </c>
      <c r="H561">
        <v>50.063000000000002</v>
      </c>
      <c r="I561" t="s">
        <v>527</v>
      </c>
      <c r="J561" t="s">
        <v>10</v>
      </c>
      <c r="K561" t="s">
        <v>528</v>
      </c>
    </row>
    <row r="562" spans="1:11" x14ac:dyDescent="0.25">
      <c r="A562" t="s">
        <v>453</v>
      </c>
      <c r="B562" t="s">
        <v>60</v>
      </c>
      <c r="C562" t="s">
        <v>397</v>
      </c>
      <c r="D562">
        <v>165</v>
      </c>
      <c r="E562">
        <v>18.151</v>
      </c>
      <c r="F562">
        <v>3931835</v>
      </c>
      <c r="G562" t="s">
        <v>450</v>
      </c>
      <c r="H562">
        <v>9.8930000000000007</v>
      </c>
      <c r="I562" t="s">
        <v>527</v>
      </c>
      <c r="J562" t="s">
        <v>10</v>
      </c>
      <c r="K562" t="s">
        <v>528</v>
      </c>
    </row>
    <row r="563" spans="1:11" x14ac:dyDescent="0.25">
      <c r="A563" t="s">
        <v>453</v>
      </c>
      <c r="B563" t="s">
        <v>60</v>
      </c>
      <c r="C563" t="s">
        <v>397</v>
      </c>
      <c r="D563">
        <v>1000</v>
      </c>
      <c r="E563">
        <v>639.99800000000005</v>
      </c>
      <c r="F563">
        <v>4151430</v>
      </c>
      <c r="G563" t="s">
        <v>529</v>
      </c>
      <c r="H563">
        <v>578.87800000000004</v>
      </c>
      <c r="I563" t="s">
        <v>530</v>
      </c>
      <c r="J563" t="s">
        <v>10</v>
      </c>
      <c r="K563" t="s">
        <v>531</v>
      </c>
    </row>
    <row r="564" spans="1:11" x14ac:dyDescent="0.25">
      <c r="A564" t="s">
        <v>453</v>
      </c>
      <c r="B564" t="s">
        <v>60</v>
      </c>
      <c r="C564" t="s">
        <v>397</v>
      </c>
      <c r="D564">
        <v>2364</v>
      </c>
      <c r="E564">
        <v>1512.954</v>
      </c>
      <c r="F564">
        <v>4151430</v>
      </c>
      <c r="G564" t="s">
        <v>529</v>
      </c>
      <c r="H564">
        <v>1368.4670000000001</v>
      </c>
      <c r="I564" t="s">
        <v>530</v>
      </c>
      <c r="J564" t="s">
        <v>10</v>
      </c>
      <c r="K564" t="s">
        <v>531</v>
      </c>
    </row>
    <row r="565" spans="1:11" x14ac:dyDescent="0.25">
      <c r="A565" t="s">
        <v>453</v>
      </c>
      <c r="B565" t="s">
        <v>60</v>
      </c>
      <c r="C565" t="s">
        <v>397</v>
      </c>
      <c r="D565">
        <v>874</v>
      </c>
      <c r="E565">
        <v>559.35799999999995</v>
      </c>
      <c r="F565">
        <v>4151430</v>
      </c>
      <c r="G565" t="s">
        <v>529</v>
      </c>
      <c r="H565">
        <v>505.93900000000002</v>
      </c>
      <c r="I565" t="s">
        <v>530</v>
      </c>
      <c r="J565" t="s">
        <v>10</v>
      </c>
      <c r="K565" t="s">
        <v>531</v>
      </c>
    </row>
    <row r="566" spans="1:11" x14ac:dyDescent="0.25">
      <c r="A566" t="s">
        <v>453</v>
      </c>
      <c r="B566" t="s">
        <v>60</v>
      </c>
      <c r="C566" t="s">
        <v>397</v>
      </c>
      <c r="D566">
        <v>549</v>
      </c>
      <c r="E566">
        <v>351.35899999999998</v>
      </c>
      <c r="F566">
        <v>4151430</v>
      </c>
      <c r="G566" t="s">
        <v>529</v>
      </c>
      <c r="H566">
        <v>317.80399999999997</v>
      </c>
      <c r="I566" t="s">
        <v>530</v>
      </c>
      <c r="J566" t="s">
        <v>10</v>
      </c>
      <c r="K566" t="s">
        <v>531</v>
      </c>
    </row>
    <row r="567" spans="1:11" x14ac:dyDescent="0.25">
      <c r="A567" t="s">
        <v>453</v>
      </c>
      <c r="B567" t="s">
        <v>60</v>
      </c>
      <c r="C567" t="s">
        <v>397</v>
      </c>
      <c r="D567">
        <v>82</v>
      </c>
      <c r="E567">
        <v>52.48</v>
      </c>
      <c r="F567">
        <v>4151430</v>
      </c>
      <c r="G567" t="s">
        <v>529</v>
      </c>
      <c r="H567">
        <v>47.468000000000004</v>
      </c>
      <c r="I567" t="s">
        <v>530</v>
      </c>
      <c r="J567" t="s">
        <v>10</v>
      </c>
      <c r="K567" t="s">
        <v>531</v>
      </c>
    </row>
    <row r="568" spans="1:11" x14ac:dyDescent="0.25">
      <c r="A568" t="s">
        <v>453</v>
      </c>
      <c r="B568" t="s">
        <v>60</v>
      </c>
      <c r="C568" t="s">
        <v>397</v>
      </c>
      <c r="D568">
        <v>69</v>
      </c>
      <c r="E568">
        <v>44.16</v>
      </c>
      <c r="F568">
        <v>4151430</v>
      </c>
      <c r="G568" t="s">
        <v>529</v>
      </c>
      <c r="H568">
        <v>39.942999999999998</v>
      </c>
      <c r="I568" t="s">
        <v>530</v>
      </c>
      <c r="J568" t="s">
        <v>10</v>
      </c>
      <c r="K568" t="s">
        <v>531</v>
      </c>
    </row>
    <row r="569" spans="1:11" x14ac:dyDescent="0.25">
      <c r="A569" t="s">
        <v>453</v>
      </c>
      <c r="B569" t="s">
        <v>60</v>
      </c>
      <c r="C569" t="s">
        <v>397</v>
      </c>
      <c r="D569">
        <v>62</v>
      </c>
      <c r="E569">
        <v>39.68</v>
      </c>
      <c r="F569">
        <v>4151430</v>
      </c>
      <c r="G569" t="s">
        <v>529</v>
      </c>
      <c r="H569">
        <v>35.89</v>
      </c>
      <c r="I569" t="s">
        <v>530</v>
      </c>
      <c r="J569" t="s">
        <v>10</v>
      </c>
      <c r="K569" t="s">
        <v>531</v>
      </c>
    </row>
    <row r="570" spans="1:11" x14ac:dyDescent="0.25">
      <c r="A570" t="s">
        <v>453</v>
      </c>
      <c r="B570" t="s">
        <v>60</v>
      </c>
      <c r="C570" t="s">
        <v>397</v>
      </c>
      <c r="D570">
        <v>1000</v>
      </c>
      <c r="E570">
        <v>639.99800000000005</v>
      </c>
      <c r="F570">
        <v>4151430</v>
      </c>
      <c r="G570" t="s">
        <v>529</v>
      </c>
      <c r="H570">
        <v>578.87800000000004</v>
      </c>
      <c r="I570" t="s">
        <v>530</v>
      </c>
      <c r="J570" t="s">
        <v>10</v>
      </c>
      <c r="K570" t="s">
        <v>531</v>
      </c>
    </row>
    <row r="571" spans="1:11" x14ac:dyDescent="0.25">
      <c r="A571" t="s">
        <v>453</v>
      </c>
      <c r="B571" t="s">
        <v>60</v>
      </c>
      <c r="C571" t="s">
        <v>397</v>
      </c>
      <c r="D571">
        <v>1000</v>
      </c>
      <c r="E571">
        <v>639.99800000000005</v>
      </c>
      <c r="F571">
        <v>4151430</v>
      </c>
      <c r="G571" t="s">
        <v>529</v>
      </c>
      <c r="H571">
        <v>578.87800000000004</v>
      </c>
      <c r="I571" t="s">
        <v>530</v>
      </c>
      <c r="J571" t="s">
        <v>10</v>
      </c>
      <c r="K571" t="s">
        <v>531</v>
      </c>
    </row>
    <row r="572" spans="1:11" x14ac:dyDescent="0.25">
      <c r="A572" t="s">
        <v>453</v>
      </c>
      <c r="B572" t="s">
        <v>60</v>
      </c>
      <c r="C572" t="s">
        <v>397</v>
      </c>
      <c r="D572">
        <v>1000</v>
      </c>
      <c r="E572">
        <v>639.99800000000005</v>
      </c>
      <c r="F572">
        <v>4151430</v>
      </c>
      <c r="G572" t="s">
        <v>529</v>
      </c>
      <c r="H572">
        <v>578.87800000000004</v>
      </c>
      <c r="I572" t="s">
        <v>530</v>
      </c>
      <c r="J572" t="s">
        <v>10</v>
      </c>
      <c r="K572" t="s">
        <v>531</v>
      </c>
    </row>
    <row r="573" spans="1:11" x14ac:dyDescent="0.25">
      <c r="A573" t="s">
        <v>422</v>
      </c>
      <c r="B573" t="s">
        <v>30</v>
      </c>
      <c r="C573" t="s">
        <v>397</v>
      </c>
      <c r="D573">
        <v>850</v>
      </c>
      <c r="E573">
        <v>543.99800000000005</v>
      </c>
      <c r="F573">
        <v>4151430</v>
      </c>
      <c r="G573" t="s">
        <v>529</v>
      </c>
      <c r="H573">
        <v>492.04599999999999</v>
      </c>
      <c r="I573" t="s">
        <v>530</v>
      </c>
      <c r="J573" t="s">
        <v>10</v>
      </c>
      <c r="K573" t="s">
        <v>531</v>
      </c>
    </row>
    <row r="574" spans="1:11" x14ac:dyDescent="0.25">
      <c r="A574" t="s">
        <v>422</v>
      </c>
      <c r="B574" t="s">
        <v>30</v>
      </c>
      <c r="C574" t="s">
        <v>397</v>
      </c>
      <c r="D574">
        <v>150</v>
      </c>
      <c r="E574">
        <v>96</v>
      </c>
      <c r="F574">
        <v>4151430</v>
      </c>
      <c r="G574" t="s">
        <v>529</v>
      </c>
      <c r="H574">
        <v>86.831999999999994</v>
      </c>
      <c r="I574" t="s">
        <v>530</v>
      </c>
      <c r="J574" t="s">
        <v>10</v>
      </c>
      <c r="K574" t="s">
        <v>531</v>
      </c>
    </row>
    <row r="575" spans="1:11" x14ac:dyDescent="0.25">
      <c r="A575" t="s">
        <v>453</v>
      </c>
      <c r="B575" t="s">
        <v>60</v>
      </c>
      <c r="C575" t="s">
        <v>397</v>
      </c>
      <c r="D575">
        <v>1000</v>
      </c>
      <c r="E575">
        <v>639.99800000000005</v>
      </c>
      <c r="F575">
        <v>4151430</v>
      </c>
      <c r="G575" t="s">
        <v>529</v>
      </c>
      <c r="H575">
        <v>578.87800000000004</v>
      </c>
      <c r="I575" t="s">
        <v>530</v>
      </c>
      <c r="J575" t="s">
        <v>10</v>
      </c>
      <c r="K575" t="s">
        <v>531</v>
      </c>
    </row>
    <row r="576" spans="1:11" x14ac:dyDescent="0.25">
      <c r="A576" t="s">
        <v>453</v>
      </c>
      <c r="B576" t="s">
        <v>60</v>
      </c>
      <c r="C576" t="s">
        <v>397</v>
      </c>
      <c r="D576">
        <v>670</v>
      </c>
      <c r="E576">
        <v>428.798</v>
      </c>
      <c r="F576">
        <v>4151430</v>
      </c>
      <c r="G576" t="s">
        <v>529</v>
      </c>
      <c r="H576">
        <v>387.84800000000001</v>
      </c>
      <c r="I576" t="s">
        <v>530</v>
      </c>
      <c r="J576" t="s">
        <v>10</v>
      </c>
      <c r="K576" t="s">
        <v>531</v>
      </c>
    </row>
    <row r="577" spans="1:11" x14ac:dyDescent="0.25">
      <c r="A577" t="s">
        <v>453</v>
      </c>
      <c r="B577" t="s">
        <v>60</v>
      </c>
      <c r="C577" t="s">
        <v>397</v>
      </c>
      <c r="D577">
        <v>330</v>
      </c>
      <c r="E577">
        <v>211.19900000000001</v>
      </c>
      <c r="F577">
        <v>4151430</v>
      </c>
      <c r="G577" t="s">
        <v>529</v>
      </c>
      <c r="H577">
        <v>191.03</v>
      </c>
      <c r="I577" t="s">
        <v>530</v>
      </c>
      <c r="J577" t="s">
        <v>10</v>
      </c>
      <c r="K577" t="s">
        <v>531</v>
      </c>
    </row>
    <row r="578" spans="1:11" x14ac:dyDescent="0.25">
      <c r="A578" t="s">
        <v>453</v>
      </c>
      <c r="B578" t="s">
        <v>60</v>
      </c>
      <c r="C578" t="s">
        <v>397</v>
      </c>
      <c r="D578">
        <v>500</v>
      </c>
      <c r="E578">
        <v>615.00400000000002</v>
      </c>
      <c r="F578">
        <v>3929692</v>
      </c>
      <c r="G578" t="s">
        <v>532</v>
      </c>
      <c r="H578">
        <v>324.87200000000001</v>
      </c>
      <c r="I578" t="s">
        <v>533</v>
      </c>
      <c r="J578" t="s">
        <v>10</v>
      </c>
      <c r="K578" t="s">
        <v>534</v>
      </c>
    </row>
    <row r="579" spans="1:11" x14ac:dyDescent="0.25">
      <c r="A579" t="s">
        <v>422</v>
      </c>
      <c r="B579" t="s">
        <v>30</v>
      </c>
      <c r="C579" t="s">
        <v>397</v>
      </c>
      <c r="D579">
        <v>500</v>
      </c>
      <c r="E579">
        <v>615.00400000000002</v>
      </c>
      <c r="F579">
        <v>3929692</v>
      </c>
      <c r="G579" t="s">
        <v>532</v>
      </c>
      <c r="H579">
        <v>324.87200000000001</v>
      </c>
      <c r="I579" t="s">
        <v>533</v>
      </c>
      <c r="J579" t="s">
        <v>10</v>
      </c>
      <c r="K579" t="s">
        <v>534</v>
      </c>
    </row>
    <row r="580" spans="1:11" x14ac:dyDescent="0.25">
      <c r="A580" t="s">
        <v>422</v>
      </c>
      <c r="B580" t="s">
        <v>30</v>
      </c>
      <c r="C580" t="s">
        <v>397</v>
      </c>
      <c r="D580">
        <v>500</v>
      </c>
      <c r="E580">
        <v>615.00400000000002</v>
      </c>
      <c r="F580">
        <v>3929692</v>
      </c>
      <c r="G580" t="s">
        <v>532</v>
      </c>
      <c r="H580">
        <v>324.87200000000001</v>
      </c>
      <c r="I580" t="s">
        <v>533</v>
      </c>
      <c r="J580" t="s">
        <v>10</v>
      </c>
      <c r="K580" t="s">
        <v>534</v>
      </c>
    </row>
    <row r="581" spans="1:11" x14ac:dyDescent="0.25">
      <c r="A581" t="s">
        <v>453</v>
      </c>
      <c r="B581" t="s">
        <v>60</v>
      </c>
      <c r="C581" t="s">
        <v>397</v>
      </c>
      <c r="D581">
        <v>500</v>
      </c>
      <c r="E581">
        <v>615.00400000000002</v>
      </c>
      <c r="F581">
        <v>3929692</v>
      </c>
      <c r="G581" t="s">
        <v>532</v>
      </c>
      <c r="H581">
        <v>324.87200000000001</v>
      </c>
      <c r="I581" t="s">
        <v>533</v>
      </c>
      <c r="J581" t="s">
        <v>10</v>
      </c>
      <c r="K581" t="s">
        <v>534</v>
      </c>
    </row>
    <row r="582" spans="1:11" x14ac:dyDescent="0.25">
      <c r="A582" t="s">
        <v>453</v>
      </c>
      <c r="B582" t="s">
        <v>60</v>
      </c>
      <c r="C582" t="s">
        <v>397</v>
      </c>
      <c r="D582">
        <v>1025</v>
      </c>
      <c r="E582">
        <v>1260.7570000000001</v>
      </c>
      <c r="F582">
        <v>3929692</v>
      </c>
      <c r="G582" t="s">
        <v>532</v>
      </c>
      <c r="H582">
        <v>665.98800000000006</v>
      </c>
      <c r="I582" t="s">
        <v>533</v>
      </c>
      <c r="J582" t="s">
        <v>10</v>
      </c>
      <c r="K582" t="s">
        <v>534</v>
      </c>
    </row>
    <row r="583" spans="1:11" x14ac:dyDescent="0.25">
      <c r="A583" t="s">
        <v>453</v>
      </c>
      <c r="B583" t="s">
        <v>60</v>
      </c>
      <c r="C583" t="s">
        <v>397</v>
      </c>
      <c r="D583">
        <v>576</v>
      </c>
      <c r="E583">
        <v>708.48400000000004</v>
      </c>
      <c r="F583">
        <v>3929692</v>
      </c>
      <c r="G583" t="s">
        <v>532</v>
      </c>
      <c r="H583">
        <v>374.25299999999999</v>
      </c>
      <c r="I583" t="s">
        <v>533</v>
      </c>
      <c r="J583" t="s">
        <v>10</v>
      </c>
      <c r="K583" t="s">
        <v>534</v>
      </c>
    </row>
    <row r="584" spans="1:11" x14ac:dyDescent="0.25">
      <c r="A584" t="s">
        <v>453</v>
      </c>
      <c r="B584" t="s">
        <v>60</v>
      </c>
      <c r="C584" t="s">
        <v>397</v>
      </c>
      <c r="D584">
        <v>150</v>
      </c>
      <c r="E584">
        <v>184.501</v>
      </c>
      <c r="F584">
        <v>3929692</v>
      </c>
      <c r="G584" t="s">
        <v>532</v>
      </c>
      <c r="H584">
        <v>97.462000000000003</v>
      </c>
      <c r="I584" t="s">
        <v>533</v>
      </c>
      <c r="J584" t="s">
        <v>10</v>
      </c>
      <c r="K584" t="s">
        <v>534</v>
      </c>
    </row>
    <row r="585" spans="1:11" x14ac:dyDescent="0.25">
      <c r="A585" t="s">
        <v>453</v>
      </c>
      <c r="B585" t="s">
        <v>60</v>
      </c>
      <c r="C585" t="s">
        <v>397</v>
      </c>
      <c r="D585">
        <v>149</v>
      </c>
      <c r="E585">
        <v>183.27099999999999</v>
      </c>
      <c r="F585">
        <v>3929692</v>
      </c>
      <c r="G585" t="s">
        <v>532</v>
      </c>
      <c r="H585">
        <v>96.811999999999998</v>
      </c>
      <c r="I585" t="s">
        <v>533</v>
      </c>
      <c r="J585" t="s">
        <v>10</v>
      </c>
      <c r="K585" t="s">
        <v>534</v>
      </c>
    </row>
    <row r="586" spans="1:11" x14ac:dyDescent="0.25">
      <c r="A586" t="s">
        <v>453</v>
      </c>
      <c r="B586" t="s">
        <v>60</v>
      </c>
      <c r="C586" t="s">
        <v>397</v>
      </c>
      <c r="D586">
        <v>76</v>
      </c>
      <c r="E586">
        <v>93.480999999999995</v>
      </c>
      <c r="F586">
        <v>3929692</v>
      </c>
      <c r="G586" t="s">
        <v>532</v>
      </c>
      <c r="H586">
        <v>49.381</v>
      </c>
      <c r="I586" t="s">
        <v>533</v>
      </c>
      <c r="J586" t="s">
        <v>10</v>
      </c>
      <c r="K586" t="s">
        <v>534</v>
      </c>
    </row>
    <row r="587" spans="1:11" x14ac:dyDescent="0.25">
      <c r="A587" t="s">
        <v>453</v>
      </c>
      <c r="B587" t="s">
        <v>60</v>
      </c>
      <c r="C587" t="s">
        <v>397</v>
      </c>
      <c r="D587">
        <v>18</v>
      </c>
      <c r="E587">
        <v>22.14</v>
      </c>
      <c r="F587">
        <v>3929692</v>
      </c>
      <c r="G587" t="s">
        <v>532</v>
      </c>
      <c r="H587">
        <v>11.695</v>
      </c>
      <c r="I587" t="s">
        <v>533</v>
      </c>
      <c r="J587" t="s">
        <v>10</v>
      </c>
      <c r="K587" t="s">
        <v>534</v>
      </c>
    </row>
    <row r="588" spans="1:11" x14ac:dyDescent="0.25">
      <c r="A588" t="s">
        <v>453</v>
      </c>
      <c r="B588" t="s">
        <v>60</v>
      </c>
      <c r="C588" t="s">
        <v>397</v>
      </c>
      <c r="D588">
        <v>6</v>
      </c>
      <c r="E588">
        <v>7.38</v>
      </c>
      <c r="F588">
        <v>3929692</v>
      </c>
      <c r="G588" t="s">
        <v>532</v>
      </c>
      <c r="H588">
        <v>3.8980000000000001</v>
      </c>
      <c r="I588" t="s">
        <v>533</v>
      </c>
      <c r="J588" t="s">
        <v>10</v>
      </c>
      <c r="K588" t="s">
        <v>534</v>
      </c>
    </row>
    <row r="589" spans="1:11" x14ac:dyDescent="0.25">
      <c r="A589" t="s">
        <v>422</v>
      </c>
      <c r="B589" t="s">
        <v>30</v>
      </c>
      <c r="C589" t="s">
        <v>397</v>
      </c>
      <c r="D589">
        <v>500</v>
      </c>
      <c r="E589">
        <v>615.00400000000002</v>
      </c>
      <c r="F589">
        <v>3929692</v>
      </c>
      <c r="G589" t="s">
        <v>532</v>
      </c>
      <c r="H589">
        <v>324.87200000000001</v>
      </c>
      <c r="I589" t="s">
        <v>533</v>
      </c>
      <c r="J589" t="s">
        <v>10</v>
      </c>
      <c r="K589" t="s">
        <v>534</v>
      </c>
    </row>
    <row r="590" spans="1:11" x14ac:dyDescent="0.25">
      <c r="A590" t="s">
        <v>453</v>
      </c>
      <c r="B590" t="s">
        <v>60</v>
      </c>
      <c r="C590" t="s">
        <v>397</v>
      </c>
      <c r="D590">
        <v>500</v>
      </c>
      <c r="E590">
        <v>615.00400000000002</v>
      </c>
      <c r="F590">
        <v>3929692</v>
      </c>
      <c r="G590" t="s">
        <v>532</v>
      </c>
      <c r="H590">
        <v>324.87200000000001</v>
      </c>
      <c r="I590" t="s">
        <v>533</v>
      </c>
      <c r="J590" t="s">
        <v>10</v>
      </c>
      <c r="K590" t="s">
        <v>534</v>
      </c>
    </row>
    <row r="591" spans="1:11" x14ac:dyDescent="0.25">
      <c r="A591" t="s">
        <v>422</v>
      </c>
      <c r="B591" t="s">
        <v>30</v>
      </c>
      <c r="C591" t="s">
        <v>397</v>
      </c>
      <c r="D591">
        <v>500</v>
      </c>
      <c r="E591">
        <v>615.00400000000002</v>
      </c>
      <c r="F591">
        <v>3929692</v>
      </c>
      <c r="G591" t="s">
        <v>532</v>
      </c>
      <c r="H591">
        <v>324.87200000000001</v>
      </c>
      <c r="I591" t="s">
        <v>533</v>
      </c>
      <c r="J591" t="s">
        <v>10</v>
      </c>
      <c r="K591" t="s">
        <v>534</v>
      </c>
    </row>
    <row r="592" spans="1:11" x14ac:dyDescent="0.25">
      <c r="A592" t="s">
        <v>453</v>
      </c>
      <c r="B592" t="s">
        <v>60</v>
      </c>
      <c r="C592" t="s">
        <v>397</v>
      </c>
      <c r="D592">
        <v>500</v>
      </c>
      <c r="E592">
        <v>615.00400000000002</v>
      </c>
      <c r="F592">
        <v>3929692</v>
      </c>
      <c r="G592" t="s">
        <v>532</v>
      </c>
      <c r="H592">
        <v>324.87200000000001</v>
      </c>
      <c r="I592" t="s">
        <v>533</v>
      </c>
      <c r="J592" t="s">
        <v>10</v>
      </c>
      <c r="K592" t="s">
        <v>534</v>
      </c>
    </row>
    <row r="593" spans="1:11" x14ac:dyDescent="0.25">
      <c r="A593" t="s">
        <v>422</v>
      </c>
      <c r="B593" t="s">
        <v>30</v>
      </c>
      <c r="C593" t="s">
        <v>397</v>
      </c>
      <c r="D593">
        <v>500</v>
      </c>
      <c r="E593">
        <v>615.00400000000002</v>
      </c>
      <c r="F593">
        <v>3929692</v>
      </c>
      <c r="G593" t="s">
        <v>532</v>
      </c>
      <c r="H593">
        <v>324.87200000000001</v>
      </c>
      <c r="I593" t="s">
        <v>533</v>
      </c>
      <c r="J593" t="s">
        <v>10</v>
      </c>
      <c r="K593" t="s">
        <v>534</v>
      </c>
    </row>
    <row r="594" spans="1:11" x14ac:dyDescent="0.25">
      <c r="A594" t="s">
        <v>453</v>
      </c>
      <c r="B594" t="s">
        <v>60</v>
      </c>
      <c r="C594" t="s">
        <v>397</v>
      </c>
      <c r="D594">
        <v>500</v>
      </c>
      <c r="E594">
        <v>615.00400000000002</v>
      </c>
      <c r="F594">
        <v>3929692</v>
      </c>
      <c r="G594" t="s">
        <v>532</v>
      </c>
      <c r="H594">
        <v>324.87200000000001</v>
      </c>
      <c r="I594" t="s">
        <v>533</v>
      </c>
      <c r="J594" t="s">
        <v>10</v>
      </c>
      <c r="K594" t="s">
        <v>534</v>
      </c>
    </row>
    <row r="595" spans="1:11" x14ac:dyDescent="0.25">
      <c r="A595" t="s">
        <v>422</v>
      </c>
      <c r="B595" t="s">
        <v>30</v>
      </c>
      <c r="C595" t="s">
        <v>397</v>
      </c>
      <c r="D595">
        <v>500</v>
      </c>
      <c r="E595">
        <v>615.00400000000002</v>
      </c>
      <c r="F595">
        <v>3929692</v>
      </c>
      <c r="G595" t="s">
        <v>532</v>
      </c>
      <c r="H595">
        <v>324.87200000000001</v>
      </c>
      <c r="I595" t="s">
        <v>533</v>
      </c>
      <c r="J595" t="s">
        <v>10</v>
      </c>
      <c r="K595" t="s">
        <v>534</v>
      </c>
    </row>
    <row r="596" spans="1:11" x14ac:dyDescent="0.25">
      <c r="A596" t="s">
        <v>453</v>
      </c>
      <c r="B596" t="s">
        <v>60</v>
      </c>
      <c r="C596" t="s">
        <v>397</v>
      </c>
      <c r="D596">
        <v>276</v>
      </c>
      <c r="E596">
        <v>339.48200000000003</v>
      </c>
      <c r="F596">
        <v>3929692</v>
      </c>
      <c r="G596" t="s">
        <v>532</v>
      </c>
      <c r="H596">
        <v>179.32900000000001</v>
      </c>
      <c r="I596" t="s">
        <v>533</v>
      </c>
      <c r="J596" t="s">
        <v>10</v>
      </c>
      <c r="K596" t="s">
        <v>534</v>
      </c>
    </row>
    <row r="597" spans="1:11" x14ac:dyDescent="0.25">
      <c r="A597" t="s">
        <v>453</v>
      </c>
      <c r="B597" t="s">
        <v>60</v>
      </c>
      <c r="C597" t="s">
        <v>397</v>
      </c>
      <c r="D597">
        <v>217</v>
      </c>
      <c r="E597">
        <v>266.91199999999998</v>
      </c>
      <c r="F597">
        <v>3929692</v>
      </c>
      <c r="G597" t="s">
        <v>532</v>
      </c>
      <c r="H597">
        <v>140.995</v>
      </c>
      <c r="I597" t="s">
        <v>533</v>
      </c>
      <c r="J597" t="s">
        <v>10</v>
      </c>
      <c r="K597" t="s">
        <v>534</v>
      </c>
    </row>
    <row r="598" spans="1:11" x14ac:dyDescent="0.25">
      <c r="A598" t="s">
        <v>453</v>
      </c>
      <c r="B598" t="s">
        <v>60</v>
      </c>
      <c r="C598" t="s">
        <v>397</v>
      </c>
      <c r="D598">
        <v>5</v>
      </c>
      <c r="E598">
        <v>6.15</v>
      </c>
      <c r="F598">
        <v>3929692</v>
      </c>
      <c r="G598" t="s">
        <v>532</v>
      </c>
      <c r="H598">
        <v>3.2490000000000001</v>
      </c>
      <c r="I598" t="s">
        <v>533</v>
      </c>
      <c r="J598" t="s">
        <v>10</v>
      </c>
      <c r="K598" t="s">
        <v>534</v>
      </c>
    </row>
    <row r="599" spans="1:11" x14ac:dyDescent="0.25">
      <c r="A599" t="s">
        <v>453</v>
      </c>
      <c r="B599" t="s">
        <v>60</v>
      </c>
      <c r="C599" t="s">
        <v>397</v>
      </c>
      <c r="D599">
        <v>2</v>
      </c>
      <c r="E599">
        <v>2.46</v>
      </c>
      <c r="F599">
        <v>3929692</v>
      </c>
      <c r="G599" t="s">
        <v>532</v>
      </c>
      <c r="H599">
        <v>1.2989999999999999</v>
      </c>
      <c r="I599" t="s">
        <v>533</v>
      </c>
      <c r="J599" t="s">
        <v>10</v>
      </c>
      <c r="K599" t="s">
        <v>534</v>
      </c>
    </row>
    <row r="600" spans="1:11" x14ac:dyDescent="0.25">
      <c r="A600" t="s">
        <v>422</v>
      </c>
      <c r="B600" t="s">
        <v>30</v>
      </c>
      <c r="C600" t="s">
        <v>397</v>
      </c>
      <c r="D600">
        <v>500</v>
      </c>
      <c r="E600">
        <v>615.00400000000002</v>
      </c>
      <c r="F600">
        <v>3929692</v>
      </c>
      <c r="G600" t="s">
        <v>532</v>
      </c>
      <c r="H600">
        <v>324.87200000000001</v>
      </c>
      <c r="I600" t="s">
        <v>533</v>
      </c>
      <c r="J600" t="s">
        <v>10</v>
      </c>
      <c r="K600" t="s">
        <v>534</v>
      </c>
    </row>
    <row r="601" spans="1:11" x14ac:dyDescent="0.25">
      <c r="A601" t="s">
        <v>453</v>
      </c>
      <c r="B601" t="s">
        <v>60</v>
      </c>
      <c r="C601" t="s">
        <v>397</v>
      </c>
      <c r="D601">
        <v>500</v>
      </c>
      <c r="E601">
        <v>615.00400000000002</v>
      </c>
      <c r="F601">
        <v>3929692</v>
      </c>
      <c r="G601" t="s">
        <v>532</v>
      </c>
      <c r="H601">
        <v>324.87200000000001</v>
      </c>
      <c r="I601" t="s">
        <v>533</v>
      </c>
      <c r="J601" t="s">
        <v>10</v>
      </c>
      <c r="K601" t="s">
        <v>534</v>
      </c>
    </row>
    <row r="602" spans="1:11" x14ac:dyDescent="0.25">
      <c r="A602" t="s">
        <v>453</v>
      </c>
      <c r="B602" t="s">
        <v>60</v>
      </c>
      <c r="C602" t="s">
        <v>397</v>
      </c>
      <c r="D602">
        <v>774</v>
      </c>
      <c r="E602">
        <v>154.79300000000001</v>
      </c>
      <c r="F602">
        <v>3929691</v>
      </c>
      <c r="G602" t="s">
        <v>532</v>
      </c>
      <c r="H602">
        <v>81.769000000000005</v>
      </c>
      <c r="I602" t="s">
        <v>535</v>
      </c>
      <c r="J602" t="s">
        <v>10</v>
      </c>
      <c r="K602" t="s">
        <v>536</v>
      </c>
    </row>
    <row r="603" spans="1:11" x14ac:dyDescent="0.25">
      <c r="A603" t="s">
        <v>453</v>
      </c>
      <c r="B603" t="s">
        <v>60</v>
      </c>
      <c r="C603" t="s">
        <v>397</v>
      </c>
      <c r="D603">
        <v>1997</v>
      </c>
      <c r="E603">
        <v>399.38299999999998</v>
      </c>
      <c r="F603">
        <v>3929691</v>
      </c>
      <c r="G603" t="s">
        <v>532</v>
      </c>
      <c r="H603">
        <v>210.97200000000001</v>
      </c>
      <c r="I603" t="s">
        <v>535</v>
      </c>
      <c r="J603" t="s">
        <v>10</v>
      </c>
      <c r="K603" t="s">
        <v>536</v>
      </c>
    </row>
    <row r="604" spans="1:11" x14ac:dyDescent="0.25">
      <c r="A604" t="s">
        <v>453</v>
      </c>
      <c r="B604" t="s">
        <v>60</v>
      </c>
      <c r="C604" t="s">
        <v>397</v>
      </c>
      <c r="D604">
        <v>78</v>
      </c>
      <c r="E604">
        <v>15.599</v>
      </c>
      <c r="F604">
        <v>3929691</v>
      </c>
      <c r="G604" t="s">
        <v>532</v>
      </c>
      <c r="H604">
        <v>8.24</v>
      </c>
      <c r="I604" t="s">
        <v>535</v>
      </c>
      <c r="J604" t="s">
        <v>10</v>
      </c>
      <c r="K604" t="s">
        <v>536</v>
      </c>
    </row>
    <row r="605" spans="1:11" x14ac:dyDescent="0.25">
      <c r="A605" t="s">
        <v>453</v>
      </c>
      <c r="B605" t="s">
        <v>60</v>
      </c>
      <c r="C605" t="s">
        <v>397</v>
      </c>
      <c r="D605">
        <v>78</v>
      </c>
      <c r="E605">
        <v>15.599</v>
      </c>
      <c r="F605">
        <v>3929691</v>
      </c>
      <c r="G605" t="s">
        <v>532</v>
      </c>
      <c r="H605">
        <v>8.24</v>
      </c>
      <c r="I605" t="s">
        <v>535</v>
      </c>
      <c r="J605" t="s">
        <v>10</v>
      </c>
      <c r="K605" t="s">
        <v>536</v>
      </c>
    </row>
    <row r="606" spans="1:11" x14ac:dyDescent="0.25">
      <c r="A606" t="s">
        <v>453</v>
      </c>
      <c r="B606" t="s">
        <v>60</v>
      </c>
      <c r="C606" t="s">
        <v>397</v>
      </c>
      <c r="D606">
        <v>55</v>
      </c>
      <c r="E606">
        <v>11</v>
      </c>
      <c r="F606">
        <v>3929691</v>
      </c>
      <c r="G606" t="s">
        <v>532</v>
      </c>
      <c r="H606">
        <v>5.81</v>
      </c>
      <c r="I606" t="s">
        <v>535</v>
      </c>
      <c r="J606" t="s">
        <v>10</v>
      </c>
      <c r="K606" t="s">
        <v>536</v>
      </c>
    </row>
    <row r="607" spans="1:11" x14ac:dyDescent="0.25">
      <c r="A607" t="s">
        <v>453</v>
      </c>
      <c r="B607" t="s">
        <v>60</v>
      </c>
      <c r="C607" t="s">
        <v>397</v>
      </c>
      <c r="D607">
        <v>7</v>
      </c>
      <c r="E607">
        <v>1.4</v>
      </c>
      <c r="F607">
        <v>3929691</v>
      </c>
      <c r="G607" t="s">
        <v>532</v>
      </c>
      <c r="H607">
        <v>0.74</v>
      </c>
      <c r="I607" t="s">
        <v>535</v>
      </c>
      <c r="J607" t="s">
        <v>10</v>
      </c>
      <c r="K607" t="s">
        <v>536</v>
      </c>
    </row>
    <row r="608" spans="1:11" x14ac:dyDescent="0.25">
      <c r="A608" t="s">
        <v>453</v>
      </c>
      <c r="B608" t="s">
        <v>60</v>
      </c>
      <c r="C608" t="s">
        <v>397</v>
      </c>
      <c r="D608">
        <v>6</v>
      </c>
      <c r="E608">
        <v>1.2</v>
      </c>
      <c r="F608">
        <v>3929691</v>
      </c>
      <c r="G608" t="s">
        <v>532</v>
      </c>
      <c r="H608">
        <v>0.63400000000000001</v>
      </c>
      <c r="I608" t="s">
        <v>535</v>
      </c>
      <c r="J608" t="s">
        <v>10</v>
      </c>
      <c r="K608" t="s">
        <v>536</v>
      </c>
    </row>
    <row r="609" spans="1:11" x14ac:dyDescent="0.25">
      <c r="A609" t="s">
        <v>453</v>
      </c>
      <c r="B609" t="s">
        <v>60</v>
      </c>
      <c r="C609" t="s">
        <v>397</v>
      </c>
      <c r="D609">
        <v>5</v>
      </c>
      <c r="E609">
        <v>1</v>
      </c>
      <c r="F609">
        <v>3929691</v>
      </c>
      <c r="G609" t="s">
        <v>532</v>
      </c>
      <c r="H609">
        <v>0.52800000000000002</v>
      </c>
      <c r="I609" t="s">
        <v>535</v>
      </c>
      <c r="J609" t="s">
        <v>10</v>
      </c>
      <c r="K609" t="s">
        <v>536</v>
      </c>
    </row>
    <row r="610" spans="1:11" x14ac:dyDescent="0.25">
      <c r="A610" t="s">
        <v>422</v>
      </c>
      <c r="B610" t="s">
        <v>30</v>
      </c>
      <c r="C610" t="s">
        <v>397</v>
      </c>
      <c r="D610">
        <v>2000</v>
      </c>
      <c r="E610">
        <v>399.983</v>
      </c>
      <c r="F610">
        <v>3929691</v>
      </c>
      <c r="G610" t="s">
        <v>532</v>
      </c>
      <c r="H610">
        <v>211.28899999999999</v>
      </c>
      <c r="I610" t="s">
        <v>535</v>
      </c>
      <c r="J610" t="s">
        <v>10</v>
      </c>
      <c r="K610" t="s">
        <v>536</v>
      </c>
    </row>
    <row r="611" spans="1:11" x14ac:dyDescent="0.25">
      <c r="A611" t="s">
        <v>422</v>
      </c>
      <c r="B611" t="s">
        <v>30</v>
      </c>
      <c r="C611" t="s">
        <v>397</v>
      </c>
      <c r="D611">
        <v>2000</v>
      </c>
      <c r="E611">
        <v>399.983</v>
      </c>
      <c r="F611">
        <v>3929691</v>
      </c>
      <c r="G611" t="s">
        <v>532</v>
      </c>
      <c r="H611">
        <v>211.28899999999999</v>
      </c>
      <c r="I611" t="s">
        <v>535</v>
      </c>
      <c r="J611" t="s">
        <v>10</v>
      </c>
      <c r="K611" t="s">
        <v>536</v>
      </c>
    </row>
    <row r="612" spans="1:11" x14ac:dyDescent="0.25">
      <c r="A612" t="s">
        <v>453</v>
      </c>
      <c r="B612" t="s">
        <v>60</v>
      </c>
      <c r="C612" t="s">
        <v>397</v>
      </c>
      <c r="D612">
        <v>2000</v>
      </c>
      <c r="E612">
        <v>399.983</v>
      </c>
      <c r="F612">
        <v>3929691</v>
      </c>
      <c r="G612" t="s">
        <v>532</v>
      </c>
      <c r="H612">
        <v>211.28899999999999</v>
      </c>
      <c r="I612" t="s">
        <v>535</v>
      </c>
      <c r="J612" t="s">
        <v>10</v>
      </c>
      <c r="K612" t="s">
        <v>536</v>
      </c>
    </row>
    <row r="613" spans="1:11" x14ac:dyDescent="0.25">
      <c r="A613" t="s">
        <v>453</v>
      </c>
      <c r="B613" t="s">
        <v>60</v>
      </c>
      <c r="C613" t="s">
        <v>397</v>
      </c>
      <c r="D613">
        <v>7515</v>
      </c>
      <c r="E613">
        <v>1502.9369999999999</v>
      </c>
      <c r="F613">
        <v>3929691</v>
      </c>
      <c r="G613" t="s">
        <v>532</v>
      </c>
      <c r="H613">
        <v>793.91800000000001</v>
      </c>
      <c r="I613" t="s">
        <v>535</v>
      </c>
      <c r="J613" t="s">
        <v>10</v>
      </c>
      <c r="K613" t="s">
        <v>536</v>
      </c>
    </row>
    <row r="614" spans="1:11" x14ac:dyDescent="0.25">
      <c r="A614" t="s">
        <v>453</v>
      </c>
      <c r="B614" t="s">
        <v>60</v>
      </c>
      <c r="C614" t="s">
        <v>397</v>
      </c>
      <c r="D614">
        <v>4301</v>
      </c>
      <c r="E614">
        <v>860.16399999999999</v>
      </c>
      <c r="F614">
        <v>3929691</v>
      </c>
      <c r="G614" t="s">
        <v>532</v>
      </c>
      <c r="H614">
        <v>454.37700000000001</v>
      </c>
      <c r="I614" t="s">
        <v>535</v>
      </c>
      <c r="J614" t="s">
        <v>10</v>
      </c>
      <c r="K614" t="s">
        <v>536</v>
      </c>
    </row>
    <row r="615" spans="1:11" x14ac:dyDescent="0.25">
      <c r="A615" t="s">
        <v>453</v>
      </c>
      <c r="B615" t="s">
        <v>60</v>
      </c>
      <c r="C615" t="s">
        <v>397</v>
      </c>
      <c r="D615">
        <v>184</v>
      </c>
      <c r="E615">
        <v>36.798000000000002</v>
      </c>
      <c r="F615">
        <v>3929691</v>
      </c>
      <c r="G615" t="s">
        <v>532</v>
      </c>
      <c r="H615">
        <v>19.439</v>
      </c>
      <c r="I615" t="s">
        <v>535</v>
      </c>
      <c r="J615" t="s">
        <v>10</v>
      </c>
      <c r="K615" t="s">
        <v>536</v>
      </c>
    </row>
    <row r="616" spans="1:11" x14ac:dyDescent="0.25">
      <c r="A616" t="s">
        <v>422</v>
      </c>
      <c r="B616" t="s">
        <v>30</v>
      </c>
      <c r="C616" t="s">
        <v>397</v>
      </c>
      <c r="D616">
        <v>2000</v>
      </c>
      <c r="E616">
        <v>399.983</v>
      </c>
      <c r="F616">
        <v>3929691</v>
      </c>
      <c r="G616" t="s">
        <v>532</v>
      </c>
      <c r="H616">
        <v>211.28899999999999</v>
      </c>
      <c r="I616" t="s">
        <v>535</v>
      </c>
      <c r="J616" t="s">
        <v>10</v>
      </c>
      <c r="K616" t="s">
        <v>536</v>
      </c>
    </row>
    <row r="617" spans="1:11" x14ac:dyDescent="0.25">
      <c r="A617" t="s">
        <v>453</v>
      </c>
      <c r="B617" t="s">
        <v>60</v>
      </c>
      <c r="C617" t="s">
        <v>397</v>
      </c>
      <c r="D617">
        <v>2997</v>
      </c>
      <c r="E617">
        <v>599.375</v>
      </c>
      <c r="F617">
        <v>3929691</v>
      </c>
      <c r="G617" t="s">
        <v>532</v>
      </c>
      <c r="H617">
        <v>316.61599999999999</v>
      </c>
      <c r="I617" t="s">
        <v>535</v>
      </c>
      <c r="J617" t="s">
        <v>10</v>
      </c>
      <c r="K617" t="s">
        <v>536</v>
      </c>
    </row>
    <row r="618" spans="1:11" x14ac:dyDescent="0.25">
      <c r="A618" t="s">
        <v>453</v>
      </c>
      <c r="B618" t="s">
        <v>60</v>
      </c>
      <c r="C618" t="s">
        <v>397</v>
      </c>
      <c r="D618">
        <v>3</v>
      </c>
      <c r="E618">
        <v>0.6</v>
      </c>
      <c r="F618">
        <v>3929691</v>
      </c>
      <c r="G618" t="s">
        <v>532</v>
      </c>
      <c r="H618">
        <v>0.317</v>
      </c>
      <c r="I618" t="s">
        <v>535</v>
      </c>
      <c r="J618" t="s">
        <v>10</v>
      </c>
      <c r="K618" t="s">
        <v>536</v>
      </c>
    </row>
    <row r="619" spans="1:11" x14ac:dyDescent="0.25">
      <c r="A619" t="s">
        <v>422</v>
      </c>
      <c r="B619" t="s">
        <v>30</v>
      </c>
      <c r="C619" t="s">
        <v>397</v>
      </c>
      <c r="D619">
        <v>2000</v>
      </c>
      <c r="E619">
        <v>399.983</v>
      </c>
      <c r="F619">
        <v>3929691</v>
      </c>
      <c r="G619" t="s">
        <v>532</v>
      </c>
      <c r="H619">
        <v>211.28899999999999</v>
      </c>
      <c r="I619" t="s">
        <v>535</v>
      </c>
      <c r="J619" t="s">
        <v>10</v>
      </c>
      <c r="K619" t="s">
        <v>536</v>
      </c>
    </row>
    <row r="620" spans="1:11" x14ac:dyDescent="0.25">
      <c r="A620" t="s">
        <v>453</v>
      </c>
      <c r="B620" t="s">
        <v>60</v>
      </c>
      <c r="C620" t="s">
        <v>397</v>
      </c>
      <c r="D620">
        <v>3000</v>
      </c>
      <c r="E620">
        <v>599.97500000000002</v>
      </c>
      <c r="F620">
        <v>3929691</v>
      </c>
      <c r="G620" t="s">
        <v>532</v>
      </c>
      <c r="H620">
        <v>316.93299999999999</v>
      </c>
      <c r="I620" t="s">
        <v>535</v>
      </c>
      <c r="J620" t="s">
        <v>10</v>
      </c>
      <c r="K620" t="s">
        <v>536</v>
      </c>
    </row>
    <row r="621" spans="1:11" x14ac:dyDescent="0.25">
      <c r="A621" t="s">
        <v>422</v>
      </c>
      <c r="B621" t="s">
        <v>30</v>
      </c>
      <c r="C621" t="s">
        <v>397</v>
      </c>
      <c r="D621">
        <v>2000</v>
      </c>
      <c r="E621">
        <v>399.983</v>
      </c>
      <c r="F621">
        <v>3929691</v>
      </c>
      <c r="G621" t="s">
        <v>532</v>
      </c>
      <c r="H621">
        <v>211.28899999999999</v>
      </c>
      <c r="I621" t="s">
        <v>535</v>
      </c>
      <c r="J621" t="s">
        <v>10</v>
      </c>
      <c r="K621" t="s">
        <v>536</v>
      </c>
    </row>
    <row r="622" spans="1:11" x14ac:dyDescent="0.25">
      <c r="A622" t="s">
        <v>453</v>
      </c>
      <c r="B622" t="s">
        <v>60</v>
      </c>
      <c r="C622" t="s">
        <v>397</v>
      </c>
      <c r="D622">
        <v>3000</v>
      </c>
      <c r="E622">
        <v>599.97500000000002</v>
      </c>
      <c r="F622">
        <v>3929691</v>
      </c>
      <c r="G622" t="s">
        <v>532</v>
      </c>
      <c r="H622">
        <v>316.93299999999999</v>
      </c>
      <c r="I622" t="s">
        <v>535</v>
      </c>
      <c r="J622" t="s">
        <v>10</v>
      </c>
      <c r="K622" t="s">
        <v>536</v>
      </c>
    </row>
    <row r="623" spans="1:11" x14ac:dyDescent="0.25">
      <c r="A623" t="s">
        <v>422</v>
      </c>
      <c r="B623" t="s">
        <v>30</v>
      </c>
      <c r="C623" t="s">
        <v>397</v>
      </c>
      <c r="D623">
        <v>3000</v>
      </c>
      <c r="E623">
        <v>599.97500000000002</v>
      </c>
      <c r="F623">
        <v>3929691</v>
      </c>
      <c r="G623" t="s">
        <v>532</v>
      </c>
      <c r="H623">
        <v>316.93299999999999</v>
      </c>
      <c r="I623" t="s">
        <v>535</v>
      </c>
      <c r="J623" t="s">
        <v>10</v>
      </c>
      <c r="K623" t="s">
        <v>536</v>
      </c>
    </row>
    <row r="624" spans="1:11" x14ac:dyDescent="0.25">
      <c r="A624" t="s">
        <v>453</v>
      </c>
      <c r="B624" t="s">
        <v>60</v>
      </c>
      <c r="C624" t="s">
        <v>397</v>
      </c>
      <c r="D624">
        <v>3000</v>
      </c>
      <c r="E624">
        <v>599.97500000000002</v>
      </c>
      <c r="F624">
        <v>3929691</v>
      </c>
      <c r="G624" t="s">
        <v>532</v>
      </c>
      <c r="H624">
        <v>316.93299999999999</v>
      </c>
      <c r="I624" t="s">
        <v>535</v>
      </c>
      <c r="J624" t="s">
        <v>10</v>
      </c>
      <c r="K624" t="s">
        <v>536</v>
      </c>
    </row>
    <row r="625" spans="1:11" x14ac:dyDescent="0.25">
      <c r="A625" t="s">
        <v>422</v>
      </c>
      <c r="B625" t="s">
        <v>30</v>
      </c>
      <c r="C625" t="s">
        <v>397</v>
      </c>
      <c r="D625">
        <v>2000</v>
      </c>
      <c r="E625">
        <v>399.983</v>
      </c>
      <c r="F625">
        <v>3929691</v>
      </c>
      <c r="G625" t="s">
        <v>532</v>
      </c>
      <c r="H625">
        <v>211.28899999999999</v>
      </c>
      <c r="I625" t="s">
        <v>535</v>
      </c>
      <c r="J625" t="s">
        <v>10</v>
      </c>
      <c r="K625" t="s">
        <v>536</v>
      </c>
    </row>
    <row r="626" spans="1:11" x14ac:dyDescent="0.25">
      <c r="A626" t="s">
        <v>453</v>
      </c>
      <c r="B626" t="s">
        <v>60</v>
      </c>
      <c r="C626" t="s">
        <v>397</v>
      </c>
      <c r="D626">
        <v>3000</v>
      </c>
      <c r="E626">
        <v>599.97500000000002</v>
      </c>
      <c r="F626">
        <v>3929691</v>
      </c>
      <c r="G626" t="s">
        <v>532</v>
      </c>
      <c r="H626">
        <v>316.93299999999999</v>
      </c>
      <c r="I626" t="s">
        <v>535</v>
      </c>
      <c r="J626" t="s">
        <v>10</v>
      </c>
      <c r="K626" t="s">
        <v>536</v>
      </c>
    </row>
    <row r="627" spans="1:11" x14ac:dyDescent="0.25">
      <c r="A627" t="s">
        <v>517</v>
      </c>
      <c r="B627" t="s">
        <v>19</v>
      </c>
      <c r="C627" t="s">
        <v>397</v>
      </c>
      <c r="D627">
        <v>12400</v>
      </c>
      <c r="E627">
        <v>3614.2220000000002</v>
      </c>
      <c r="F627">
        <v>1940090</v>
      </c>
      <c r="G627" t="s">
        <v>537</v>
      </c>
      <c r="H627">
        <v>2368.4</v>
      </c>
      <c r="I627" t="s">
        <v>538</v>
      </c>
      <c r="J627" t="s">
        <v>10</v>
      </c>
      <c r="K627" t="s">
        <v>539</v>
      </c>
    </row>
    <row r="628" spans="1:11" x14ac:dyDescent="0.25">
      <c r="A628" t="s">
        <v>419</v>
      </c>
      <c r="B628" t="s">
        <v>46</v>
      </c>
      <c r="C628" t="s">
        <v>397</v>
      </c>
      <c r="D628">
        <v>6061</v>
      </c>
      <c r="E628">
        <v>1766.597</v>
      </c>
      <c r="F628">
        <v>1940090</v>
      </c>
      <c r="G628" t="s">
        <v>537</v>
      </c>
      <c r="H628">
        <v>1157.6510000000001</v>
      </c>
      <c r="I628" t="s">
        <v>538</v>
      </c>
      <c r="J628" t="s">
        <v>10</v>
      </c>
      <c r="K628" t="s">
        <v>539</v>
      </c>
    </row>
    <row r="629" spans="1:11" x14ac:dyDescent="0.25">
      <c r="A629" t="s">
        <v>419</v>
      </c>
      <c r="B629" t="s">
        <v>46</v>
      </c>
      <c r="C629" t="s">
        <v>397</v>
      </c>
      <c r="D629">
        <v>2984</v>
      </c>
      <c r="E629">
        <v>869.745</v>
      </c>
      <c r="F629">
        <v>1940090</v>
      </c>
      <c r="G629" t="s">
        <v>537</v>
      </c>
      <c r="H629">
        <v>569.94399999999996</v>
      </c>
      <c r="I629" t="s">
        <v>538</v>
      </c>
      <c r="J629" t="s">
        <v>10</v>
      </c>
      <c r="K629" t="s">
        <v>539</v>
      </c>
    </row>
    <row r="630" spans="1:11" x14ac:dyDescent="0.25">
      <c r="A630" t="s">
        <v>419</v>
      </c>
      <c r="B630" t="s">
        <v>46</v>
      </c>
      <c r="C630" t="s">
        <v>397</v>
      </c>
      <c r="D630">
        <v>755</v>
      </c>
      <c r="E630">
        <v>220.06</v>
      </c>
      <c r="F630">
        <v>1940090</v>
      </c>
      <c r="G630" t="s">
        <v>537</v>
      </c>
      <c r="H630">
        <v>144.20500000000001</v>
      </c>
      <c r="I630" t="s">
        <v>538</v>
      </c>
      <c r="J630" t="s">
        <v>10</v>
      </c>
      <c r="K630" t="s">
        <v>539</v>
      </c>
    </row>
    <row r="631" spans="1:11" x14ac:dyDescent="0.25">
      <c r="A631" t="s">
        <v>419</v>
      </c>
      <c r="B631" t="s">
        <v>46</v>
      </c>
      <c r="C631" t="s">
        <v>397</v>
      </c>
      <c r="D631">
        <v>1409</v>
      </c>
      <c r="E631">
        <v>410.68099999999998</v>
      </c>
      <c r="F631">
        <v>1940090</v>
      </c>
      <c r="G631" t="s">
        <v>537</v>
      </c>
      <c r="H631">
        <v>269.11900000000003</v>
      </c>
      <c r="I631" t="s">
        <v>538</v>
      </c>
      <c r="J631" t="s">
        <v>10</v>
      </c>
      <c r="K631" t="s">
        <v>539</v>
      </c>
    </row>
    <row r="632" spans="1:11" x14ac:dyDescent="0.25">
      <c r="A632" t="s">
        <v>419</v>
      </c>
      <c r="B632" t="s">
        <v>46</v>
      </c>
      <c r="C632" t="s">
        <v>397</v>
      </c>
      <c r="D632">
        <v>43</v>
      </c>
      <c r="E632">
        <v>12.532999999999999</v>
      </c>
      <c r="F632">
        <v>1940090</v>
      </c>
      <c r="G632" t="s">
        <v>537</v>
      </c>
      <c r="H632">
        <v>8.2129999999999992</v>
      </c>
      <c r="I632" t="s">
        <v>538</v>
      </c>
      <c r="J632" t="s">
        <v>10</v>
      </c>
      <c r="K632" t="s">
        <v>539</v>
      </c>
    </row>
    <row r="633" spans="1:11" x14ac:dyDescent="0.25">
      <c r="A633" t="s">
        <v>419</v>
      </c>
      <c r="B633" t="s">
        <v>46</v>
      </c>
      <c r="C633" t="s">
        <v>397</v>
      </c>
      <c r="D633">
        <v>548</v>
      </c>
      <c r="E633">
        <v>159.72499999999999</v>
      </c>
      <c r="F633">
        <v>1940090</v>
      </c>
      <c r="G633" t="s">
        <v>537</v>
      </c>
      <c r="H633">
        <v>104.66800000000001</v>
      </c>
      <c r="I633" t="s">
        <v>538</v>
      </c>
      <c r="J633" t="s">
        <v>10</v>
      </c>
      <c r="K633" t="s">
        <v>539</v>
      </c>
    </row>
    <row r="634" spans="1:11" x14ac:dyDescent="0.25">
      <c r="A634" t="s">
        <v>419</v>
      </c>
      <c r="B634" t="s">
        <v>46</v>
      </c>
      <c r="C634" t="s">
        <v>397</v>
      </c>
      <c r="D634">
        <v>2426</v>
      </c>
      <c r="E634">
        <v>707.10500000000002</v>
      </c>
      <c r="F634">
        <v>1940090</v>
      </c>
      <c r="G634" t="s">
        <v>537</v>
      </c>
      <c r="H634">
        <v>463.36599999999999</v>
      </c>
      <c r="I634" t="s">
        <v>538</v>
      </c>
      <c r="J634" t="s">
        <v>10</v>
      </c>
      <c r="K634" t="s">
        <v>539</v>
      </c>
    </row>
    <row r="635" spans="1:11" x14ac:dyDescent="0.25">
      <c r="A635" t="s">
        <v>419</v>
      </c>
      <c r="B635" t="s">
        <v>46</v>
      </c>
      <c r="C635" t="s">
        <v>397</v>
      </c>
      <c r="D635">
        <v>840</v>
      </c>
      <c r="E635">
        <v>244.834</v>
      </c>
      <c r="F635">
        <v>1940090</v>
      </c>
      <c r="G635" t="s">
        <v>537</v>
      </c>
      <c r="H635">
        <v>160.44</v>
      </c>
      <c r="I635" t="s">
        <v>538</v>
      </c>
      <c r="J635" t="s">
        <v>10</v>
      </c>
      <c r="K635" t="s">
        <v>539</v>
      </c>
    </row>
    <row r="636" spans="1:11" x14ac:dyDescent="0.25">
      <c r="A636" t="s">
        <v>419</v>
      </c>
      <c r="B636" t="s">
        <v>46</v>
      </c>
      <c r="C636" t="s">
        <v>397</v>
      </c>
      <c r="D636">
        <v>159</v>
      </c>
      <c r="E636">
        <v>46.344000000000001</v>
      </c>
      <c r="F636">
        <v>1940090</v>
      </c>
      <c r="G636" t="s">
        <v>537</v>
      </c>
      <c r="H636">
        <v>30.369</v>
      </c>
      <c r="I636" t="s">
        <v>538</v>
      </c>
      <c r="J636" t="s">
        <v>10</v>
      </c>
      <c r="K636" t="s">
        <v>539</v>
      </c>
    </row>
    <row r="637" spans="1:11" x14ac:dyDescent="0.25">
      <c r="A637" t="s">
        <v>419</v>
      </c>
      <c r="B637" t="s">
        <v>46</v>
      </c>
      <c r="C637" t="s">
        <v>397</v>
      </c>
      <c r="D637">
        <v>25</v>
      </c>
      <c r="E637">
        <v>7.2869999999999999</v>
      </c>
      <c r="F637">
        <v>1940090</v>
      </c>
      <c r="G637" t="s">
        <v>537</v>
      </c>
      <c r="H637">
        <v>4.7750000000000004</v>
      </c>
      <c r="I637" t="s">
        <v>538</v>
      </c>
      <c r="J637" t="s">
        <v>10</v>
      </c>
      <c r="K637" t="s">
        <v>539</v>
      </c>
    </row>
    <row r="638" spans="1:11" x14ac:dyDescent="0.25">
      <c r="A638" t="s">
        <v>396</v>
      </c>
      <c r="B638" t="s">
        <v>61</v>
      </c>
      <c r="C638" t="s">
        <v>444</v>
      </c>
      <c r="D638">
        <v>513</v>
      </c>
      <c r="E638">
        <v>3078</v>
      </c>
      <c r="F638">
        <v>1940120</v>
      </c>
      <c r="G638" t="s">
        <v>537</v>
      </c>
      <c r="H638">
        <v>2107.8139999999999</v>
      </c>
      <c r="I638" t="s">
        <v>540</v>
      </c>
      <c r="J638" t="s">
        <v>10</v>
      </c>
      <c r="K638" t="s">
        <v>541</v>
      </c>
    </row>
    <row r="639" spans="1:11" x14ac:dyDescent="0.25">
      <c r="A639" t="s">
        <v>396</v>
      </c>
      <c r="B639" t="s">
        <v>61</v>
      </c>
      <c r="C639" t="s">
        <v>444</v>
      </c>
      <c r="D639">
        <v>195</v>
      </c>
      <c r="E639">
        <v>1170</v>
      </c>
      <c r="F639">
        <v>1940120</v>
      </c>
      <c r="G639" t="s">
        <v>537</v>
      </c>
      <c r="H639">
        <v>801.21600000000001</v>
      </c>
      <c r="I639" t="s">
        <v>540</v>
      </c>
      <c r="J639" t="s">
        <v>10</v>
      </c>
      <c r="K639" t="s">
        <v>541</v>
      </c>
    </row>
    <row r="640" spans="1:11" x14ac:dyDescent="0.25">
      <c r="A640" t="s">
        <v>453</v>
      </c>
      <c r="B640" t="s">
        <v>60</v>
      </c>
      <c r="C640" t="s">
        <v>397</v>
      </c>
      <c r="D640">
        <v>2000</v>
      </c>
      <c r="E640">
        <v>317.35199999999998</v>
      </c>
      <c r="F640">
        <v>3572055</v>
      </c>
      <c r="G640" t="s">
        <v>445</v>
      </c>
      <c r="H640">
        <v>466</v>
      </c>
      <c r="I640" t="s">
        <v>542</v>
      </c>
      <c r="J640" t="s">
        <v>10</v>
      </c>
      <c r="K640" t="s">
        <v>543</v>
      </c>
    </row>
    <row r="641" spans="1:11" x14ac:dyDescent="0.25">
      <c r="A641" t="s">
        <v>453</v>
      </c>
      <c r="B641" t="s">
        <v>60</v>
      </c>
      <c r="C641" t="s">
        <v>397</v>
      </c>
      <c r="D641">
        <v>5004</v>
      </c>
      <c r="E641">
        <v>794.01499999999999</v>
      </c>
      <c r="F641">
        <v>3572055</v>
      </c>
      <c r="G641" t="s">
        <v>445</v>
      </c>
      <c r="H641">
        <v>1165.932</v>
      </c>
      <c r="I641" t="s">
        <v>542</v>
      </c>
      <c r="J641" t="s">
        <v>10</v>
      </c>
      <c r="K641" t="s">
        <v>543</v>
      </c>
    </row>
    <row r="642" spans="1:11" x14ac:dyDescent="0.25">
      <c r="A642" t="s">
        <v>453</v>
      </c>
      <c r="B642" t="s">
        <v>60</v>
      </c>
      <c r="C642" t="s">
        <v>397</v>
      </c>
      <c r="D642">
        <v>1974</v>
      </c>
      <c r="E642">
        <v>313.22699999999998</v>
      </c>
      <c r="F642">
        <v>3572055</v>
      </c>
      <c r="G642" t="s">
        <v>445</v>
      </c>
      <c r="H642">
        <v>459.94200000000001</v>
      </c>
      <c r="I642" t="s">
        <v>542</v>
      </c>
      <c r="J642" t="s">
        <v>10</v>
      </c>
      <c r="K642" t="s">
        <v>543</v>
      </c>
    </row>
    <row r="643" spans="1:11" x14ac:dyDescent="0.25">
      <c r="A643" t="s">
        <v>453</v>
      </c>
      <c r="B643" t="s">
        <v>60</v>
      </c>
      <c r="C643" t="s">
        <v>397</v>
      </c>
      <c r="D643">
        <v>853</v>
      </c>
      <c r="E643">
        <v>135.351</v>
      </c>
      <c r="F643">
        <v>3572055</v>
      </c>
      <c r="G643" t="s">
        <v>445</v>
      </c>
      <c r="H643">
        <v>198.749</v>
      </c>
      <c r="I643" t="s">
        <v>542</v>
      </c>
      <c r="J643" t="s">
        <v>10</v>
      </c>
      <c r="K643" t="s">
        <v>543</v>
      </c>
    </row>
    <row r="644" spans="1:11" x14ac:dyDescent="0.25">
      <c r="A644" t="s">
        <v>453</v>
      </c>
      <c r="B644" t="s">
        <v>60</v>
      </c>
      <c r="C644" t="s">
        <v>397</v>
      </c>
      <c r="D644">
        <v>169</v>
      </c>
      <c r="E644">
        <v>26.815999999999999</v>
      </c>
      <c r="F644">
        <v>3572055</v>
      </c>
      <c r="G644" t="s">
        <v>445</v>
      </c>
      <c r="H644">
        <v>39.377000000000002</v>
      </c>
      <c r="I644" t="s">
        <v>542</v>
      </c>
      <c r="J644" t="s">
        <v>10</v>
      </c>
      <c r="K644" t="s">
        <v>543</v>
      </c>
    </row>
    <row r="645" spans="1:11" x14ac:dyDescent="0.25">
      <c r="A645" t="s">
        <v>453</v>
      </c>
      <c r="B645" t="s">
        <v>60</v>
      </c>
      <c r="C645" t="s">
        <v>397</v>
      </c>
      <c r="D645">
        <v>2000</v>
      </c>
      <c r="E645">
        <v>317.35199999999998</v>
      </c>
      <c r="F645">
        <v>3572055</v>
      </c>
      <c r="G645" t="s">
        <v>445</v>
      </c>
      <c r="H645">
        <v>466</v>
      </c>
      <c r="I645" t="s">
        <v>542</v>
      </c>
      <c r="J645" t="s">
        <v>10</v>
      </c>
      <c r="K645" t="s">
        <v>543</v>
      </c>
    </row>
    <row r="646" spans="1:11" x14ac:dyDescent="0.25">
      <c r="A646" t="s">
        <v>453</v>
      </c>
      <c r="B646" t="s">
        <v>60</v>
      </c>
      <c r="C646" t="s">
        <v>397</v>
      </c>
      <c r="D646">
        <v>2000</v>
      </c>
      <c r="E646">
        <v>317.35199999999998</v>
      </c>
      <c r="F646">
        <v>3572055</v>
      </c>
      <c r="G646" t="s">
        <v>445</v>
      </c>
      <c r="H646">
        <v>466</v>
      </c>
      <c r="I646" t="s">
        <v>542</v>
      </c>
      <c r="J646" t="s">
        <v>10</v>
      </c>
      <c r="K646" t="s">
        <v>543</v>
      </c>
    </row>
    <row r="647" spans="1:11" x14ac:dyDescent="0.25">
      <c r="A647" t="s">
        <v>453</v>
      </c>
      <c r="B647" t="s">
        <v>60</v>
      </c>
      <c r="C647" t="s">
        <v>397</v>
      </c>
      <c r="D647">
        <v>2000</v>
      </c>
      <c r="E647">
        <v>317.35199999999998</v>
      </c>
      <c r="F647">
        <v>3572055</v>
      </c>
      <c r="G647" t="s">
        <v>445</v>
      </c>
      <c r="H647">
        <v>466</v>
      </c>
      <c r="I647" t="s">
        <v>542</v>
      </c>
      <c r="J647" t="s">
        <v>10</v>
      </c>
      <c r="K647" t="s">
        <v>543</v>
      </c>
    </row>
    <row r="648" spans="1:11" x14ac:dyDescent="0.25">
      <c r="A648" t="s">
        <v>453</v>
      </c>
      <c r="B648" t="s">
        <v>60</v>
      </c>
      <c r="C648" t="s">
        <v>397</v>
      </c>
      <c r="D648">
        <v>1643</v>
      </c>
      <c r="E648">
        <v>260.70499999999998</v>
      </c>
      <c r="F648">
        <v>3572055</v>
      </c>
      <c r="G648" t="s">
        <v>445</v>
      </c>
      <c r="H648">
        <v>382.81900000000002</v>
      </c>
      <c r="I648" t="s">
        <v>542</v>
      </c>
      <c r="J648" t="s">
        <v>10</v>
      </c>
      <c r="K648" t="s">
        <v>543</v>
      </c>
    </row>
    <row r="649" spans="1:11" x14ac:dyDescent="0.25">
      <c r="A649" t="s">
        <v>453</v>
      </c>
      <c r="B649" t="s">
        <v>60</v>
      </c>
      <c r="C649" t="s">
        <v>397</v>
      </c>
      <c r="D649">
        <v>357</v>
      </c>
      <c r="E649">
        <v>56.646999999999998</v>
      </c>
      <c r="F649">
        <v>3572055</v>
      </c>
      <c r="G649" t="s">
        <v>445</v>
      </c>
      <c r="H649">
        <v>83.180999999999997</v>
      </c>
      <c r="I649" t="s">
        <v>542</v>
      </c>
      <c r="J649" t="s">
        <v>10</v>
      </c>
      <c r="K649" t="s">
        <v>543</v>
      </c>
    </row>
    <row r="650" spans="1:11" x14ac:dyDescent="0.25">
      <c r="A650" t="s">
        <v>453</v>
      </c>
      <c r="B650" t="s">
        <v>60</v>
      </c>
      <c r="C650" t="s">
        <v>397</v>
      </c>
      <c r="D650">
        <v>2000</v>
      </c>
      <c r="E650">
        <v>317.35199999999998</v>
      </c>
      <c r="F650">
        <v>3572055</v>
      </c>
      <c r="G650" t="s">
        <v>445</v>
      </c>
      <c r="H650">
        <v>466</v>
      </c>
      <c r="I650" t="s">
        <v>542</v>
      </c>
      <c r="J650" t="s">
        <v>10</v>
      </c>
      <c r="K650" t="s">
        <v>543</v>
      </c>
    </row>
    <row r="651" spans="1:11" x14ac:dyDescent="0.25">
      <c r="A651" t="s">
        <v>453</v>
      </c>
      <c r="B651" t="s">
        <v>60</v>
      </c>
      <c r="C651" t="s">
        <v>397</v>
      </c>
      <c r="D651">
        <v>1000</v>
      </c>
      <c r="E651">
        <v>115</v>
      </c>
      <c r="F651">
        <v>4151471</v>
      </c>
      <c r="G651" t="s">
        <v>445</v>
      </c>
      <c r="H651">
        <v>168.86699999999999</v>
      </c>
      <c r="I651" t="s">
        <v>544</v>
      </c>
      <c r="J651" t="s">
        <v>10</v>
      </c>
      <c r="K651" t="s">
        <v>545</v>
      </c>
    </row>
    <row r="652" spans="1:11" x14ac:dyDescent="0.25">
      <c r="A652" t="s">
        <v>453</v>
      </c>
      <c r="B652" t="s">
        <v>60</v>
      </c>
      <c r="C652" t="s">
        <v>397</v>
      </c>
      <c r="D652">
        <v>2499</v>
      </c>
      <c r="E652">
        <v>287.38600000000002</v>
      </c>
      <c r="F652">
        <v>4151471</v>
      </c>
      <c r="G652" t="s">
        <v>445</v>
      </c>
      <c r="H652">
        <v>421.99799999999999</v>
      </c>
      <c r="I652" t="s">
        <v>544</v>
      </c>
      <c r="J652" t="s">
        <v>10</v>
      </c>
      <c r="K652" t="s">
        <v>545</v>
      </c>
    </row>
    <row r="653" spans="1:11" x14ac:dyDescent="0.25">
      <c r="A653" t="s">
        <v>453</v>
      </c>
      <c r="B653" t="s">
        <v>60</v>
      </c>
      <c r="C653" t="s">
        <v>397</v>
      </c>
      <c r="D653">
        <v>1501</v>
      </c>
      <c r="E653">
        <v>172.61600000000001</v>
      </c>
      <c r="F653">
        <v>4151471</v>
      </c>
      <c r="G653" t="s">
        <v>445</v>
      </c>
      <c r="H653">
        <v>253.46899999999999</v>
      </c>
      <c r="I653" t="s">
        <v>544</v>
      </c>
      <c r="J653" t="s">
        <v>10</v>
      </c>
      <c r="K653" t="s">
        <v>545</v>
      </c>
    </row>
    <row r="654" spans="1:11" x14ac:dyDescent="0.25">
      <c r="A654" t="s">
        <v>453</v>
      </c>
      <c r="B654" t="s">
        <v>60</v>
      </c>
      <c r="C654" t="s">
        <v>397</v>
      </c>
      <c r="D654">
        <v>499</v>
      </c>
      <c r="E654">
        <v>57.384999999999998</v>
      </c>
      <c r="F654">
        <v>4151471</v>
      </c>
      <c r="G654" t="s">
        <v>445</v>
      </c>
      <c r="H654">
        <v>84.263999999999996</v>
      </c>
      <c r="I654" t="s">
        <v>544</v>
      </c>
      <c r="J654" t="s">
        <v>10</v>
      </c>
      <c r="K654" t="s">
        <v>545</v>
      </c>
    </row>
    <row r="655" spans="1:11" x14ac:dyDescent="0.25">
      <c r="A655" t="s">
        <v>453</v>
      </c>
      <c r="B655" t="s">
        <v>60</v>
      </c>
      <c r="C655" t="s">
        <v>397</v>
      </c>
      <c r="D655">
        <v>399</v>
      </c>
      <c r="E655">
        <v>45.884999999999998</v>
      </c>
      <c r="F655">
        <v>4151471</v>
      </c>
      <c r="G655" t="s">
        <v>445</v>
      </c>
      <c r="H655">
        <v>67.378</v>
      </c>
      <c r="I655" t="s">
        <v>544</v>
      </c>
      <c r="J655" t="s">
        <v>10</v>
      </c>
      <c r="K655" t="s">
        <v>545</v>
      </c>
    </row>
    <row r="656" spans="1:11" x14ac:dyDescent="0.25">
      <c r="A656" t="s">
        <v>453</v>
      </c>
      <c r="B656" t="s">
        <v>60</v>
      </c>
      <c r="C656" t="s">
        <v>397</v>
      </c>
      <c r="D656">
        <v>102</v>
      </c>
      <c r="E656">
        <v>11.73</v>
      </c>
      <c r="F656">
        <v>4151471</v>
      </c>
      <c r="G656" t="s">
        <v>445</v>
      </c>
      <c r="H656">
        <v>17.224</v>
      </c>
      <c r="I656" t="s">
        <v>544</v>
      </c>
      <c r="J656" t="s">
        <v>10</v>
      </c>
      <c r="K656" t="s">
        <v>545</v>
      </c>
    </row>
    <row r="657" spans="1:11" x14ac:dyDescent="0.25">
      <c r="A657" t="s">
        <v>453</v>
      </c>
      <c r="B657" t="s">
        <v>60</v>
      </c>
      <c r="C657" t="s">
        <v>397</v>
      </c>
      <c r="D657">
        <v>1000</v>
      </c>
      <c r="E657">
        <v>115</v>
      </c>
      <c r="F657">
        <v>4151471</v>
      </c>
      <c r="G657" t="s">
        <v>445</v>
      </c>
      <c r="H657">
        <v>168.86699999999999</v>
      </c>
      <c r="I657" t="s">
        <v>544</v>
      </c>
      <c r="J657" t="s">
        <v>10</v>
      </c>
      <c r="K657" t="s">
        <v>545</v>
      </c>
    </row>
    <row r="658" spans="1:11" x14ac:dyDescent="0.25">
      <c r="A658" t="s">
        <v>453</v>
      </c>
      <c r="B658" t="s">
        <v>60</v>
      </c>
      <c r="C658" t="s">
        <v>397</v>
      </c>
      <c r="D658">
        <v>1000</v>
      </c>
      <c r="E658">
        <v>115</v>
      </c>
      <c r="F658">
        <v>4151471</v>
      </c>
      <c r="G658" t="s">
        <v>445</v>
      </c>
      <c r="H658">
        <v>168.86699999999999</v>
      </c>
      <c r="I658" t="s">
        <v>544</v>
      </c>
      <c r="J658" t="s">
        <v>10</v>
      </c>
      <c r="K658" t="s">
        <v>545</v>
      </c>
    </row>
    <row r="659" spans="1:11" x14ac:dyDescent="0.25">
      <c r="A659" t="s">
        <v>453</v>
      </c>
      <c r="B659" t="s">
        <v>60</v>
      </c>
      <c r="C659" t="s">
        <v>397</v>
      </c>
      <c r="D659">
        <v>1000</v>
      </c>
      <c r="E659">
        <v>115</v>
      </c>
      <c r="F659">
        <v>4151471</v>
      </c>
      <c r="G659" t="s">
        <v>445</v>
      </c>
      <c r="H659">
        <v>168.86699999999999</v>
      </c>
      <c r="I659" t="s">
        <v>544</v>
      </c>
      <c r="J659" t="s">
        <v>10</v>
      </c>
      <c r="K659" t="s">
        <v>545</v>
      </c>
    </row>
    <row r="660" spans="1:11" x14ac:dyDescent="0.25">
      <c r="A660" t="s">
        <v>453</v>
      </c>
      <c r="B660" t="s">
        <v>60</v>
      </c>
      <c r="C660" t="s">
        <v>397</v>
      </c>
      <c r="D660">
        <v>1000</v>
      </c>
      <c r="E660">
        <v>115</v>
      </c>
      <c r="F660">
        <v>4151471</v>
      </c>
      <c r="G660" t="s">
        <v>445</v>
      </c>
      <c r="H660">
        <v>168.86699999999999</v>
      </c>
      <c r="I660" t="s">
        <v>544</v>
      </c>
      <c r="J660" t="s">
        <v>10</v>
      </c>
      <c r="K660" t="s">
        <v>545</v>
      </c>
    </row>
    <row r="661" spans="1:11" x14ac:dyDescent="0.25">
      <c r="A661" t="s">
        <v>517</v>
      </c>
      <c r="B661" t="s">
        <v>19</v>
      </c>
      <c r="C661" t="s">
        <v>444</v>
      </c>
      <c r="D661">
        <v>82</v>
      </c>
      <c r="E661">
        <v>407.65600000000001</v>
      </c>
      <c r="F661">
        <v>3188792</v>
      </c>
      <c r="G661" t="s">
        <v>546</v>
      </c>
      <c r="H661">
        <v>371.70100000000002</v>
      </c>
      <c r="I661" t="s">
        <v>547</v>
      </c>
      <c r="J661" t="s">
        <v>10</v>
      </c>
      <c r="K661" t="s">
        <v>548</v>
      </c>
    </row>
    <row r="662" spans="1:11" x14ac:dyDescent="0.25">
      <c r="A662" t="s">
        <v>517</v>
      </c>
      <c r="B662" t="s">
        <v>19</v>
      </c>
      <c r="C662" t="s">
        <v>444</v>
      </c>
      <c r="D662">
        <v>144</v>
      </c>
      <c r="E662">
        <v>720.36599999999999</v>
      </c>
      <c r="F662">
        <v>3188792</v>
      </c>
      <c r="G662" t="s">
        <v>546</v>
      </c>
      <c r="H662">
        <v>656.83</v>
      </c>
      <c r="I662" t="s">
        <v>547</v>
      </c>
      <c r="J662" t="s">
        <v>10</v>
      </c>
      <c r="K662" t="s">
        <v>548</v>
      </c>
    </row>
    <row r="663" spans="1:11" x14ac:dyDescent="0.25">
      <c r="A663" t="s">
        <v>517</v>
      </c>
      <c r="B663" t="s">
        <v>19</v>
      </c>
      <c r="C663" t="s">
        <v>444</v>
      </c>
      <c r="D663">
        <v>121</v>
      </c>
      <c r="E663">
        <v>604.29899999999998</v>
      </c>
      <c r="F663">
        <v>3188792</v>
      </c>
      <c r="G663" t="s">
        <v>546</v>
      </c>
      <c r="H663">
        <v>551</v>
      </c>
      <c r="I663" t="s">
        <v>547</v>
      </c>
      <c r="J663" t="s">
        <v>10</v>
      </c>
      <c r="K663" t="s">
        <v>548</v>
      </c>
    </row>
    <row r="664" spans="1:11" x14ac:dyDescent="0.25">
      <c r="A664" t="s">
        <v>517</v>
      </c>
      <c r="B664" t="s">
        <v>19</v>
      </c>
      <c r="C664" t="s">
        <v>444</v>
      </c>
      <c r="D664">
        <v>156</v>
      </c>
      <c r="E664">
        <v>778.02099999999996</v>
      </c>
      <c r="F664">
        <v>3188792</v>
      </c>
      <c r="G664" t="s">
        <v>546</v>
      </c>
      <c r="H664">
        <v>709.4</v>
      </c>
      <c r="I664" t="s">
        <v>547</v>
      </c>
      <c r="J664" t="s">
        <v>10</v>
      </c>
      <c r="K664" t="s">
        <v>548</v>
      </c>
    </row>
    <row r="665" spans="1:11" x14ac:dyDescent="0.25">
      <c r="A665" t="s">
        <v>517</v>
      </c>
      <c r="B665" t="s">
        <v>19</v>
      </c>
      <c r="C665" t="s">
        <v>444</v>
      </c>
      <c r="D665">
        <v>311</v>
      </c>
      <c r="E665">
        <v>1552.972</v>
      </c>
      <c r="F665">
        <v>3188792</v>
      </c>
      <c r="G665" t="s">
        <v>546</v>
      </c>
      <c r="H665">
        <v>1416</v>
      </c>
      <c r="I665" t="s">
        <v>547</v>
      </c>
      <c r="J665" t="s">
        <v>10</v>
      </c>
      <c r="K665" t="s">
        <v>548</v>
      </c>
    </row>
    <row r="666" spans="1:11" x14ac:dyDescent="0.25">
      <c r="A666" t="s">
        <v>517</v>
      </c>
      <c r="B666" t="s">
        <v>19</v>
      </c>
      <c r="C666" t="s">
        <v>444</v>
      </c>
      <c r="D666">
        <v>584</v>
      </c>
      <c r="E666">
        <v>2918.4029999999998</v>
      </c>
      <c r="F666">
        <v>3188792</v>
      </c>
      <c r="G666" t="s">
        <v>546</v>
      </c>
      <c r="H666">
        <v>2661</v>
      </c>
      <c r="I666" t="s">
        <v>547</v>
      </c>
      <c r="J666" t="s">
        <v>10</v>
      </c>
      <c r="K666" t="s">
        <v>548</v>
      </c>
    </row>
    <row r="667" spans="1:11" x14ac:dyDescent="0.25">
      <c r="A667" t="s">
        <v>517</v>
      </c>
      <c r="B667" t="s">
        <v>19</v>
      </c>
      <c r="C667" t="s">
        <v>444</v>
      </c>
      <c r="D667">
        <v>104</v>
      </c>
      <c r="E667">
        <v>518.28300000000002</v>
      </c>
      <c r="F667">
        <v>3188792</v>
      </c>
      <c r="G667" t="s">
        <v>546</v>
      </c>
      <c r="H667">
        <v>472.57</v>
      </c>
      <c r="I667" t="s">
        <v>547</v>
      </c>
      <c r="J667" t="s">
        <v>10</v>
      </c>
      <c r="K667" t="s">
        <v>548</v>
      </c>
    </row>
    <row r="668" spans="1:11" x14ac:dyDescent="0.25">
      <c r="A668" t="s">
        <v>453</v>
      </c>
      <c r="B668" t="s">
        <v>60</v>
      </c>
      <c r="C668" t="s">
        <v>397</v>
      </c>
      <c r="D668">
        <v>1000</v>
      </c>
      <c r="E668">
        <v>190</v>
      </c>
      <c r="F668">
        <v>4151424</v>
      </c>
      <c r="G668" t="s">
        <v>549</v>
      </c>
      <c r="H668">
        <v>207.55600000000001</v>
      </c>
      <c r="I668" t="s">
        <v>550</v>
      </c>
      <c r="J668" t="s">
        <v>10</v>
      </c>
      <c r="K668" t="s">
        <v>551</v>
      </c>
    </row>
    <row r="669" spans="1:11" x14ac:dyDescent="0.25">
      <c r="A669" t="s">
        <v>453</v>
      </c>
      <c r="B669" t="s">
        <v>60</v>
      </c>
      <c r="C669" t="s">
        <v>397</v>
      </c>
      <c r="D669">
        <v>2297</v>
      </c>
      <c r="E669">
        <v>436.42899999999997</v>
      </c>
      <c r="F669">
        <v>4151424</v>
      </c>
      <c r="G669" t="s">
        <v>549</v>
      </c>
      <c r="H669">
        <v>476.755</v>
      </c>
      <c r="I669" t="s">
        <v>550</v>
      </c>
      <c r="J669" t="s">
        <v>10</v>
      </c>
      <c r="K669" t="s">
        <v>551</v>
      </c>
    </row>
    <row r="670" spans="1:11" x14ac:dyDescent="0.25">
      <c r="A670" t="s">
        <v>453</v>
      </c>
      <c r="B670" t="s">
        <v>60</v>
      </c>
      <c r="C670" t="s">
        <v>397</v>
      </c>
      <c r="D670">
        <v>1686</v>
      </c>
      <c r="E670">
        <v>320.339</v>
      </c>
      <c r="F670">
        <v>4151424</v>
      </c>
      <c r="G670" t="s">
        <v>549</v>
      </c>
      <c r="H670">
        <v>349.93900000000002</v>
      </c>
      <c r="I670" t="s">
        <v>550</v>
      </c>
      <c r="J670" t="s">
        <v>10</v>
      </c>
      <c r="K670" t="s">
        <v>551</v>
      </c>
    </row>
    <row r="671" spans="1:11" x14ac:dyDescent="0.25">
      <c r="A671" t="s">
        <v>453</v>
      </c>
      <c r="B671" t="s">
        <v>60</v>
      </c>
      <c r="C671" t="s">
        <v>397</v>
      </c>
      <c r="D671">
        <v>14</v>
      </c>
      <c r="E671">
        <v>2.66</v>
      </c>
      <c r="F671">
        <v>4151424</v>
      </c>
      <c r="G671" t="s">
        <v>549</v>
      </c>
      <c r="H671">
        <v>2.9060000000000001</v>
      </c>
      <c r="I671" t="s">
        <v>550</v>
      </c>
      <c r="J671" t="s">
        <v>10</v>
      </c>
      <c r="K671" t="s">
        <v>551</v>
      </c>
    </row>
    <row r="672" spans="1:11" x14ac:dyDescent="0.25">
      <c r="A672" t="s">
        <v>453</v>
      </c>
      <c r="B672" t="s">
        <v>60</v>
      </c>
      <c r="C672" t="s">
        <v>397</v>
      </c>
      <c r="D672">
        <v>3</v>
      </c>
      <c r="E672">
        <v>0.56999999999999995</v>
      </c>
      <c r="F672">
        <v>4151424</v>
      </c>
      <c r="G672" t="s">
        <v>549</v>
      </c>
      <c r="H672">
        <v>0.623</v>
      </c>
      <c r="I672" t="s">
        <v>550</v>
      </c>
      <c r="J672" t="s">
        <v>10</v>
      </c>
      <c r="K672" t="s">
        <v>551</v>
      </c>
    </row>
    <row r="673" spans="1:11" x14ac:dyDescent="0.25">
      <c r="A673" t="s">
        <v>453</v>
      </c>
      <c r="B673" t="s">
        <v>60</v>
      </c>
      <c r="C673" t="s">
        <v>397</v>
      </c>
      <c r="D673">
        <v>1000</v>
      </c>
      <c r="E673">
        <v>190</v>
      </c>
      <c r="F673">
        <v>4151424</v>
      </c>
      <c r="G673" t="s">
        <v>549</v>
      </c>
      <c r="H673">
        <v>207.55600000000001</v>
      </c>
      <c r="I673" t="s">
        <v>550</v>
      </c>
      <c r="J673" t="s">
        <v>10</v>
      </c>
      <c r="K673" t="s">
        <v>551</v>
      </c>
    </row>
    <row r="674" spans="1:11" x14ac:dyDescent="0.25">
      <c r="A674" t="s">
        <v>453</v>
      </c>
      <c r="B674" t="s">
        <v>60</v>
      </c>
      <c r="C674" t="s">
        <v>397</v>
      </c>
      <c r="D674">
        <v>1000</v>
      </c>
      <c r="E674">
        <v>190</v>
      </c>
      <c r="F674">
        <v>4151424</v>
      </c>
      <c r="G674" t="s">
        <v>549</v>
      </c>
      <c r="H674">
        <v>207.55600000000001</v>
      </c>
      <c r="I674" t="s">
        <v>550</v>
      </c>
      <c r="J674" t="s">
        <v>10</v>
      </c>
      <c r="K674" t="s">
        <v>551</v>
      </c>
    </row>
    <row r="675" spans="1:11" x14ac:dyDescent="0.25">
      <c r="A675" t="s">
        <v>453</v>
      </c>
      <c r="B675" t="s">
        <v>60</v>
      </c>
      <c r="C675" t="s">
        <v>397</v>
      </c>
      <c r="D675">
        <v>1000</v>
      </c>
      <c r="E675">
        <v>190</v>
      </c>
      <c r="F675">
        <v>4151424</v>
      </c>
      <c r="G675" t="s">
        <v>549</v>
      </c>
      <c r="H675">
        <v>207.55600000000001</v>
      </c>
      <c r="I675" t="s">
        <v>550</v>
      </c>
      <c r="J675" t="s">
        <v>10</v>
      </c>
      <c r="K675" t="s">
        <v>551</v>
      </c>
    </row>
    <row r="676" spans="1:11" x14ac:dyDescent="0.25">
      <c r="A676" t="s">
        <v>422</v>
      </c>
      <c r="B676" t="s">
        <v>30</v>
      </c>
      <c r="C676" t="s">
        <v>397</v>
      </c>
      <c r="D676">
        <v>1000</v>
      </c>
      <c r="E676">
        <v>190</v>
      </c>
      <c r="F676">
        <v>4151424</v>
      </c>
      <c r="G676" t="s">
        <v>549</v>
      </c>
      <c r="H676">
        <v>207.55600000000001</v>
      </c>
      <c r="I676" t="s">
        <v>550</v>
      </c>
      <c r="J676" t="s">
        <v>10</v>
      </c>
      <c r="K676" t="s">
        <v>551</v>
      </c>
    </row>
    <row r="677" spans="1:11" x14ac:dyDescent="0.25">
      <c r="A677" t="s">
        <v>453</v>
      </c>
      <c r="B677" t="s">
        <v>60</v>
      </c>
      <c r="C677" t="s">
        <v>397</v>
      </c>
      <c r="D677">
        <v>1000</v>
      </c>
      <c r="E677">
        <v>190</v>
      </c>
      <c r="F677">
        <v>4151424</v>
      </c>
      <c r="G677" t="s">
        <v>549</v>
      </c>
      <c r="H677">
        <v>207.55600000000001</v>
      </c>
      <c r="I677" t="s">
        <v>550</v>
      </c>
      <c r="J677" t="s">
        <v>10</v>
      </c>
      <c r="K677" t="s">
        <v>551</v>
      </c>
    </row>
    <row r="678" spans="1:11" x14ac:dyDescent="0.25">
      <c r="A678" t="s">
        <v>453</v>
      </c>
      <c r="B678" t="s">
        <v>60</v>
      </c>
      <c r="C678" t="s">
        <v>397</v>
      </c>
      <c r="D678">
        <v>896</v>
      </c>
      <c r="E678">
        <v>170.24</v>
      </c>
      <c r="F678">
        <v>4151424</v>
      </c>
      <c r="G678" t="s">
        <v>549</v>
      </c>
      <c r="H678">
        <v>185.97</v>
      </c>
      <c r="I678" t="s">
        <v>550</v>
      </c>
      <c r="J678" t="s">
        <v>10</v>
      </c>
      <c r="K678" t="s">
        <v>551</v>
      </c>
    </row>
    <row r="679" spans="1:11" x14ac:dyDescent="0.25">
      <c r="A679" t="s">
        <v>453</v>
      </c>
      <c r="B679" t="s">
        <v>60</v>
      </c>
      <c r="C679" t="s">
        <v>397</v>
      </c>
      <c r="D679">
        <v>102</v>
      </c>
      <c r="E679">
        <v>19.38</v>
      </c>
      <c r="F679">
        <v>4151424</v>
      </c>
      <c r="G679" t="s">
        <v>549</v>
      </c>
      <c r="H679">
        <v>21.170999999999999</v>
      </c>
      <c r="I679" t="s">
        <v>550</v>
      </c>
      <c r="J679" t="s">
        <v>10</v>
      </c>
      <c r="K679" t="s">
        <v>551</v>
      </c>
    </row>
    <row r="680" spans="1:11" x14ac:dyDescent="0.25">
      <c r="A680" t="s">
        <v>453</v>
      </c>
      <c r="B680" t="s">
        <v>60</v>
      </c>
      <c r="C680" t="s">
        <v>397</v>
      </c>
      <c r="D680">
        <v>2</v>
      </c>
      <c r="E680">
        <v>0.38</v>
      </c>
      <c r="F680">
        <v>4151424</v>
      </c>
      <c r="G680" t="s">
        <v>549</v>
      </c>
      <c r="H680">
        <v>0.41499999999999998</v>
      </c>
      <c r="I680" t="s">
        <v>550</v>
      </c>
      <c r="J680" t="s">
        <v>10</v>
      </c>
      <c r="K680" t="s">
        <v>551</v>
      </c>
    </row>
    <row r="681" spans="1:11" x14ac:dyDescent="0.25">
      <c r="A681" t="s">
        <v>453</v>
      </c>
      <c r="B681" t="s">
        <v>60</v>
      </c>
      <c r="C681" t="s">
        <v>397</v>
      </c>
      <c r="D681">
        <v>500</v>
      </c>
      <c r="E681">
        <v>503.50700000000001</v>
      </c>
      <c r="F681">
        <v>4100796</v>
      </c>
      <c r="G681" t="s">
        <v>450</v>
      </c>
      <c r="H681">
        <v>274.41699999999997</v>
      </c>
      <c r="I681" t="s">
        <v>552</v>
      </c>
      <c r="J681" t="s">
        <v>10</v>
      </c>
      <c r="K681" t="s">
        <v>553</v>
      </c>
    </row>
    <row r="682" spans="1:11" x14ac:dyDescent="0.25">
      <c r="A682" t="s">
        <v>422</v>
      </c>
      <c r="B682" t="s">
        <v>30</v>
      </c>
      <c r="C682" t="s">
        <v>397</v>
      </c>
      <c r="D682">
        <v>500</v>
      </c>
      <c r="E682">
        <v>503.50700000000001</v>
      </c>
      <c r="F682">
        <v>4100796</v>
      </c>
      <c r="G682" t="s">
        <v>450</v>
      </c>
      <c r="H682">
        <v>274.41699999999997</v>
      </c>
      <c r="I682" t="s">
        <v>552</v>
      </c>
      <c r="J682" t="s">
        <v>10</v>
      </c>
      <c r="K682" t="s">
        <v>553</v>
      </c>
    </row>
    <row r="683" spans="1:11" x14ac:dyDescent="0.25">
      <c r="A683" t="s">
        <v>422</v>
      </c>
      <c r="B683" t="s">
        <v>30</v>
      </c>
      <c r="C683" t="s">
        <v>397</v>
      </c>
      <c r="D683">
        <v>500</v>
      </c>
      <c r="E683">
        <v>503.50700000000001</v>
      </c>
      <c r="F683">
        <v>4100796</v>
      </c>
      <c r="G683" t="s">
        <v>450</v>
      </c>
      <c r="H683">
        <v>274.41699999999997</v>
      </c>
      <c r="I683" t="s">
        <v>552</v>
      </c>
      <c r="J683" t="s">
        <v>10</v>
      </c>
      <c r="K683" t="s">
        <v>553</v>
      </c>
    </row>
    <row r="684" spans="1:11" x14ac:dyDescent="0.25">
      <c r="A684" t="s">
        <v>453</v>
      </c>
      <c r="B684" t="s">
        <v>60</v>
      </c>
      <c r="C684" t="s">
        <v>397</v>
      </c>
      <c r="D684">
        <v>500</v>
      </c>
      <c r="E684">
        <v>503.50700000000001</v>
      </c>
      <c r="F684">
        <v>4100796</v>
      </c>
      <c r="G684" t="s">
        <v>450</v>
      </c>
      <c r="H684">
        <v>274.41699999999997</v>
      </c>
      <c r="I684" t="s">
        <v>552</v>
      </c>
      <c r="J684" t="s">
        <v>10</v>
      </c>
      <c r="K684" t="s">
        <v>553</v>
      </c>
    </row>
    <row r="685" spans="1:11" x14ac:dyDescent="0.25">
      <c r="A685" t="s">
        <v>422</v>
      </c>
      <c r="B685" t="s">
        <v>30</v>
      </c>
      <c r="C685" t="s">
        <v>397</v>
      </c>
      <c r="D685">
        <v>500</v>
      </c>
      <c r="E685">
        <v>503.50700000000001</v>
      </c>
      <c r="F685">
        <v>4100796</v>
      </c>
      <c r="G685" t="s">
        <v>450</v>
      </c>
      <c r="H685">
        <v>274.41699999999997</v>
      </c>
      <c r="I685" t="s">
        <v>552</v>
      </c>
      <c r="J685" t="s">
        <v>10</v>
      </c>
      <c r="K685" t="s">
        <v>553</v>
      </c>
    </row>
    <row r="686" spans="1:11" x14ac:dyDescent="0.25">
      <c r="A686" t="s">
        <v>453</v>
      </c>
      <c r="B686" t="s">
        <v>60</v>
      </c>
      <c r="C686" t="s">
        <v>397</v>
      </c>
      <c r="D686">
        <v>500</v>
      </c>
      <c r="E686">
        <v>503.50700000000001</v>
      </c>
      <c r="F686">
        <v>4100796</v>
      </c>
      <c r="G686" t="s">
        <v>450</v>
      </c>
      <c r="H686">
        <v>274.41699999999997</v>
      </c>
      <c r="I686" t="s">
        <v>552</v>
      </c>
      <c r="J686" t="s">
        <v>10</v>
      </c>
      <c r="K686" t="s">
        <v>553</v>
      </c>
    </row>
    <row r="687" spans="1:11" x14ac:dyDescent="0.25">
      <c r="A687" t="s">
        <v>422</v>
      </c>
      <c r="B687" t="s">
        <v>30</v>
      </c>
      <c r="C687" t="s">
        <v>397</v>
      </c>
      <c r="D687">
        <v>500</v>
      </c>
      <c r="E687">
        <v>503.50700000000001</v>
      </c>
      <c r="F687">
        <v>4100796</v>
      </c>
      <c r="G687" t="s">
        <v>450</v>
      </c>
      <c r="H687">
        <v>274.41699999999997</v>
      </c>
      <c r="I687" t="s">
        <v>552</v>
      </c>
      <c r="J687" t="s">
        <v>10</v>
      </c>
      <c r="K687" t="s">
        <v>553</v>
      </c>
    </row>
    <row r="688" spans="1:11" x14ac:dyDescent="0.25">
      <c r="A688" t="s">
        <v>453</v>
      </c>
      <c r="B688" t="s">
        <v>60</v>
      </c>
      <c r="C688" t="s">
        <v>397</v>
      </c>
      <c r="D688">
        <v>500</v>
      </c>
      <c r="E688">
        <v>503.50700000000001</v>
      </c>
      <c r="F688">
        <v>4100796</v>
      </c>
      <c r="G688" t="s">
        <v>450</v>
      </c>
      <c r="H688">
        <v>274.41699999999997</v>
      </c>
      <c r="I688" t="s">
        <v>552</v>
      </c>
      <c r="J688" t="s">
        <v>10</v>
      </c>
      <c r="K688" t="s">
        <v>553</v>
      </c>
    </row>
    <row r="689" spans="1:11" x14ac:dyDescent="0.25">
      <c r="A689" t="s">
        <v>422</v>
      </c>
      <c r="B689" t="s">
        <v>30</v>
      </c>
      <c r="C689" t="s">
        <v>397</v>
      </c>
      <c r="D689">
        <v>500</v>
      </c>
      <c r="E689">
        <v>503.50700000000001</v>
      </c>
      <c r="F689">
        <v>4100796</v>
      </c>
      <c r="G689" t="s">
        <v>450</v>
      </c>
      <c r="H689">
        <v>274.41699999999997</v>
      </c>
      <c r="I689" t="s">
        <v>552</v>
      </c>
      <c r="J689" t="s">
        <v>10</v>
      </c>
      <c r="K689" t="s">
        <v>553</v>
      </c>
    </row>
    <row r="690" spans="1:11" x14ac:dyDescent="0.25">
      <c r="A690" t="s">
        <v>453</v>
      </c>
      <c r="B690" t="s">
        <v>60</v>
      </c>
      <c r="C690" t="s">
        <v>397</v>
      </c>
      <c r="D690">
        <v>500</v>
      </c>
      <c r="E690">
        <v>503.50700000000001</v>
      </c>
      <c r="F690">
        <v>4100796</v>
      </c>
      <c r="G690" t="s">
        <v>450</v>
      </c>
      <c r="H690">
        <v>274.41699999999997</v>
      </c>
      <c r="I690" t="s">
        <v>552</v>
      </c>
      <c r="J690" t="s">
        <v>10</v>
      </c>
      <c r="K690" t="s">
        <v>553</v>
      </c>
    </row>
    <row r="691" spans="1:11" x14ac:dyDescent="0.25">
      <c r="A691" t="s">
        <v>422</v>
      </c>
      <c r="B691" t="s">
        <v>30</v>
      </c>
      <c r="C691" t="s">
        <v>397</v>
      </c>
      <c r="D691">
        <v>457</v>
      </c>
      <c r="E691">
        <v>460.20499999999998</v>
      </c>
      <c r="F691">
        <v>4100796</v>
      </c>
      <c r="G691" t="s">
        <v>450</v>
      </c>
      <c r="H691">
        <v>250.81700000000001</v>
      </c>
      <c r="I691" t="s">
        <v>552</v>
      </c>
      <c r="J691" t="s">
        <v>10</v>
      </c>
      <c r="K691" t="s">
        <v>553</v>
      </c>
    </row>
    <row r="692" spans="1:11" x14ac:dyDescent="0.25">
      <c r="A692" t="s">
        <v>422</v>
      </c>
      <c r="B692" t="s">
        <v>30</v>
      </c>
      <c r="C692" t="s">
        <v>397</v>
      </c>
      <c r="D692">
        <v>43</v>
      </c>
      <c r="E692">
        <v>43.302</v>
      </c>
      <c r="F692">
        <v>4100796</v>
      </c>
      <c r="G692" t="s">
        <v>450</v>
      </c>
      <c r="H692">
        <v>23.6</v>
      </c>
      <c r="I692" t="s">
        <v>552</v>
      </c>
      <c r="J692" t="s">
        <v>10</v>
      </c>
      <c r="K692" t="s">
        <v>553</v>
      </c>
    </row>
    <row r="693" spans="1:11" x14ac:dyDescent="0.25">
      <c r="A693" t="s">
        <v>453</v>
      </c>
      <c r="B693" t="s">
        <v>60</v>
      </c>
      <c r="C693" t="s">
        <v>397</v>
      </c>
      <c r="D693">
        <v>218</v>
      </c>
      <c r="E693">
        <v>219.529</v>
      </c>
      <c r="F693">
        <v>4100796</v>
      </c>
      <c r="G693" t="s">
        <v>450</v>
      </c>
      <c r="H693">
        <v>119.646</v>
      </c>
      <c r="I693" t="s">
        <v>552</v>
      </c>
      <c r="J693" t="s">
        <v>10</v>
      </c>
      <c r="K693" t="s">
        <v>553</v>
      </c>
    </row>
    <row r="694" spans="1:11" x14ac:dyDescent="0.25">
      <c r="A694" t="s">
        <v>453</v>
      </c>
      <c r="B694" t="s">
        <v>60</v>
      </c>
      <c r="C694" t="s">
        <v>397</v>
      </c>
      <c r="D694">
        <v>125</v>
      </c>
      <c r="E694">
        <v>125.877</v>
      </c>
      <c r="F694">
        <v>4100796</v>
      </c>
      <c r="G694" t="s">
        <v>450</v>
      </c>
      <c r="H694">
        <v>68.603999999999999</v>
      </c>
      <c r="I694" t="s">
        <v>552</v>
      </c>
      <c r="J694" t="s">
        <v>10</v>
      </c>
      <c r="K694" t="s">
        <v>553</v>
      </c>
    </row>
    <row r="695" spans="1:11" x14ac:dyDescent="0.25">
      <c r="A695" t="s">
        <v>453</v>
      </c>
      <c r="B695" t="s">
        <v>60</v>
      </c>
      <c r="C695" t="s">
        <v>397</v>
      </c>
      <c r="D695">
        <v>59</v>
      </c>
      <c r="E695">
        <v>59.414000000000001</v>
      </c>
      <c r="F695">
        <v>4100796</v>
      </c>
      <c r="G695" t="s">
        <v>450</v>
      </c>
      <c r="H695">
        <v>32.381</v>
      </c>
      <c r="I695" t="s">
        <v>552</v>
      </c>
      <c r="J695" t="s">
        <v>10</v>
      </c>
      <c r="K695" t="s">
        <v>553</v>
      </c>
    </row>
    <row r="696" spans="1:11" x14ac:dyDescent="0.25">
      <c r="A696" t="s">
        <v>453</v>
      </c>
      <c r="B696" t="s">
        <v>60</v>
      </c>
      <c r="C696" t="s">
        <v>397</v>
      </c>
      <c r="D696">
        <v>51</v>
      </c>
      <c r="E696">
        <v>51.357999999999997</v>
      </c>
      <c r="F696">
        <v>4100796</v>
      </c>
      <c r="G696" t="s">
        <v>450</v>
      </c>
      <c r="H696">
        <v>27.99</v>
      </c>
      <c r="I696" t="s">
        <v>552</v>
      </c>
      <c r="J696" t="s">
        <v>10</v>
      </c>
      <c r="K696" t="s">
        <v>553</v>
      </c>
    </row>
    <row r="697" spans="1:11" x14ac:dyDescent="0.25">
      <c r="A697" t="s">
        <v>453</v>
      </c>
      <c r="B697" t="s">
        <v>60</v>
      </c>
      <c r="C697" t="s">
        <v>397</v>
      </c>
      <c r="D697">
        <v>29</v>
      </c>
      <c r="E697">
        <v>29.202999999999999</v>
      </c>
      <c r="F697">
        <v>4100796</v>
      </c>
      <c r="G697" t="s">
        <v>450</v>
      </c>
      <c r="H697">
        <v>15.916</v>
      </c>
      <c r="I697" t="s">
        <v>552</v>
      </c>
      <c r="J697" t="s">
        <v>10</v>
      </c>
      <c r="K697" t="s">
        <v>553</v>
      </c>
    </row>
    <row r="698" spans="1:11" x14ac:dyDescent="0.25">
      <c r="A698" t="s">
        <v>453</v>
      </c>
      <c r="B698" t="s">
        <v>60</v>
      </c>
      <c r="C698" t="s">
        <v>397</v>
      </c>
      <c r="D698">
        <v>18</v>
      </c>
      <c r="E698">
        <v>18.126000000000001</v>
      </c>
      <c r="F698">
        <v>4100796</v>
      </c>
      <c r="G698" t="s">
        <v>450</v>
      </c>
      <c r="H698">
        <v>9.8789999999999996</v>
      </c>
      <c r="I698" t="s">
        <v>552</v>
      </c>
      <c r="J698" t="s">
        <v>10</v>
      </c>
      <c r="K698" t="s">
        <v>553</v>
      </c>
    </row>
    <row r="699" spans="1:11" x14ac:dyDescent="0.25">
      <c r="A699" t="s">
        <v>422</v>
      </c>
      <c r="B699" t="s">
        <v>30</v>
      </c>
      <c r="C699" t="s">
        <v>397</v>
      </c>
      <c r="D699">
        <v>500</v>
      </c>
      <c r="E699">
        <v>503.50700000000001</v>
      </c>
      <c r="F699">
        <v>4100796</v>
      </c>
      <c r="G699" t="s">
        <v>450</v>
      </c>
      <c r="H699">
        <v>274.41699999999997</v>
      </c>
      <c r="I699" t="s">
        <v>552</v>
      </c>
      <c r="J699" t="s">
        <v>10</v>
      </c>
      <c r="K699" t="s">
        <v>553</v>
      </c>
    </row>
    <row r="700" spans="1:11" x14ac:dyDescent="0.25">
      <c r="A700" t="s">
        <v>453</v>
      </c>
      <c r="B700" t="s">
        <v>60</v>
      </c>
      <c r="C700" t="s">
        <v>397</v>
      </c>
      <c r="D700">
        <v>500</v>
      </c>
      <c r="E700">
        <v>503.50700000000001</v>
      </c>
      <c r="F700">
        <v>4100796</v>
      </c>
      <c r="G700" t="s">
        <v>450</v>
      </c>
      <c r="H700">
        <v>274.41699999999997</v>
      </c>
      <c r="I700" t="s">
        <v>552</v>
      </c>
      <c r="J700" t="s">
        <v>10</v>
      </c>
      <c r="K700" t="s">
        <v>553</v>
      </c>
    </row>
    <row r="701" spans="1:11" x14ac:dyDescent="0.25">
      <c r="A701" t="s">
        <v>453</v>
      </c>
      <c r="B701" t="s">
        <v>60</v>
      </c>
      <c r="C701" t="s">
        <v>397</v>
      </c>
      <c r="D701">
        <v>1000</v>
      </c>
      <c r="E701">
        <v>129.00899999999999</v>
      </c>
      <c r="F701">
        <v>3938687</v>
      </c>
      <c r="G701" t="s">
        <v>450</v>
      </c>
      <c r="H701">
        <v>70.311000000000007</v>
      </c>
      <c r="I701" t="s">
        <v>554</v>
      </c>
      <c r="J701" t="s">
        <v>10</v>
      </c>
      <c r="K701" t="s">
        <v>555</v>
      </c>
    </row>
    <row r="702" spans="1:11" x14ac:dyDescent="0.25">
      <c r="A702" t="s">
        <v>453</v>
      </c>
      <c r="B702" t="s">
        <v>60</v>
      </c>
      <c r="C702" t="s">
        <v>397</v>
      </c>
      <c r="D702">
        <v>1000</v>
      </c>
      <c r="E702">
        <v>129.00899999999999</v>
      </c>
      <c r="F702">
        <v>3938687</v>
      </c>
      <c r="G702" t="s">
        <v>450</v>
      </c>
      <c r="H702">
        <v>70.311000000000007</v>
      </c>
      <c r="I702" t="s">
        <v>554</v>
      </c>
      <c r="J702" t="s">
        <v>10</v>
      </c>
      <c r="K702" t="s">
        <v>555</v>
      </c>
    </row>
    <row r="703" spans="1:11" x14ac:dyDescent="0.25">
      <c r="A703" t="s">
        <v>453</v>
      </c>
      <c r="B703" t="s">
        <v>60</v>
      </c>
      <c r="C703" t="s">
        <v>397</v>
      </c>
      <c r="D703">
        <v>1000</v>
      </c>
      <c r="E703">
        <v>129.00899999999999</v>
      </c>
      <c r="F703">
        <v>3938687</v>
      </c>
      <c r="G703" t="s">
        <v>450</v>
      </c>
      <c r="H703">
        <v>70.311000000000007</v>
      </c>
      <c r="I703" t="s">
        <v>554</v>
      </c>
      <c r="J703" t="s">
        <v>10</v>
      </c>
      <c r="K703" t="s">
        <v>555</v>
      </c>
    </row>
    <row r="704" spans="1:11" x14ac:dyDescent="0.25">
      <c r="A704" t="s">
        <v>453</v>
      </c>
      <c r="B704" t="s">
        <v>60</v>
      </c>
      <c r="C704" t="s">
        <v>397</v>
      </c>
      <c r="D704">
        <v>716</v>
      </c>
      <c r="E704">
        <v>92.37</v>
      </c>
      <c r="F704">
        <v>3938687</v>
      </c>
      <c r="G704" t="s">
        <v>450</v>
      </c>
      <c r="H704">
        <v>50.343000000000004</v>
      </c>
      <c r="I704" t="s">
        <v>554</v>
      </c>
      <c r="J704" t="s">
        <v>10</v>
      </c>
      <c r="K704" t="s">
        <v>555</v>
      </c>
    </row>
    <row r="705" spans="1:11" x14ac:dyDescent="0.25">
      <c r="A705" t="s">
        <v>453</v>
      </c>
      <c r="B705" t="s">
        <v>60</v>
      </c>
      <c r="C705" t="s">
        <v>397</v>
      </c>
      <c r="D705">
        <v>167</v>
      </c>
      <c r="E705">
        <v>21.544</v>
      </c>
      <c r="F705">
        <v>3938687</v>
      </c>
      <c r="G705" t="s">
        <v>450</v>
      </c>
      <c r="H705">
        <v>11.742000000000001</v>
      </c>
      <c r="I705" t="s">
        <v>554</v>
      </c>
      <c r="J705" t="s">
        <v>10</v>
      </c>
      <c r="K705" t="s">
        <v>555</v>
      </c>
    </row>
    <row r="706" spans="1:11" x14ac:dyDescent="0.25">
      <c r="A706" t="s">
        <v>453</v>
      </c>
      <c r="B706" t="s">
        <v>60</v>
      </c>
      <c r="C706" t="s">
        <v>397</v>
      </c>
      <c r="D706">
        <v>98</v>
      </c>
      <c r="E706">
        <v>12.643000000000001</v>
      </c>
      <c r="F706">
        <v>3938687</v>
      </c>
      <c r="G706" t="s">
        <v>450</v>
      </c>
      <c r="H706">
        <v>6.89</v>
      </c>
      <c r="I706" t="s">
        <v>554</v>
      </c>
      <c r="J706" t="s">
        <v>10</v>
      </c>
      <c r="K706" t="s">
        <v>555</v>
      </c>
    </row>
    <row r="707" spans="1:11" x14ac:dyDescent="0.25">
      <c r="A707" t="s">
        <v>453</v>
      </c>
      <c r="B707" t="s">
        <v>60</v>
      </c>
      <c r="C707" t="s">
        <v>397</v>
      </c>
      <c r="D707">
        <v>19</v>
      </c>
      <c r="E707">
        <v>2.4510000000000001</v>
      </c>
      <c r="F707">
        <v>3938687</v>
      </c>
      <c r="G707" t="s">
        <v>450</v>
      </c>
      <c r="H707">
        <v>1.3360000000000001</v>
      </c>
      <c r="I707" t="s">
        <v>554</v>
      </c>
      <c r="J707" t="s">
        <v>10</v>
      </c>
      <c r="K707" t="s">
        <v>555</v>
      </c>
    </row>
    <row r="708" spans="1:11" x14ac:dyDescent="0.25">
      <c r="A708" t="s">
        <v>453</v>
      </c>
      <c r="B708" t="s">
        <v>60</v>
      </c>
      <c r="C708" t="s">
        <v>397</v>
      </c>
      <c r="D708">
        <v>1000</v>
      </c>
      <c r="E708">
        <v>129.00899999999999</v>
      </c>
      <c r="F708">
        <v>3938687</v>
      </c>
      <c r="G708" t="s">
        <v>450</v>
      </c>
      <c r="H708">
        <v>70.311000000000007</v>
      </c>
      <c r="I708" t="s">
        <v>554</v>
      </c>
      <c r="J708" t="s">
        <v>10</v>
      </c>
      <c r="K708" t="s">
        <v>555</v>
      </c>
    </row>
    <row r="709" spans="1:11" x14ac:dyDescent="0.25">
      <c r="A709" t="s">
        <v>422</v>
      </c>
      <c r="B709" t="s">
        <v>30</v>
      </c>
      <c r="C709" t="s">
        <v>397</v>
      </c>
      <c r="D709">
        <v>1000</v>
      </c>
      <c r="E709">
        <v>129.00899999999999</v>
      </c>
      <c r="F709">
        <v>3938687</v>
      </c>
      <c r="G709" t="s">
        <v>450</v>
      </c>
      <c r="H709">
        <v>70.311000000000007</v>
      </c>
      <c r="I709" t="s">
        <v>554</v>
      </c>
      <c r="J709" t="s">
        <v>10</v>
      </c>
      <c r="K709" t="s">
        <v>555</v>
      </c>
    </row>
    <row r="710" spans="1:11" x14ac:dyDescent="0.25">
      <c r="A710" t="s">
        <v>453</v>
      </c>
      <c r="B710" t="s">
        <v>60</v>
      </c>
      <c r="C710" t="s">
        <v>397</v>
      </c>
      <c r="D710">
        <v>1000</v>
      </c>
      <c r="E710">
        <v>129.00899999999999</v>
      </c>
      <c r="F710">
        <v>3938687</v>
      </c>
      <c r="G710" t="s">
        <v>450</v>
      </c>
      <c r="H710">
        <v>70.311000000000007</v>
      </c>
      <c r="I710" t="s">
        <v>554</v>
      </c>
      <c r="J710" t="s">
        <v>10</v>
      </c>
      <c r="K710" t="s">
        <v>555</v>
      </c>
    </row>
    <row r="711" spans="1:11" x14ac:dyDescent="0.25">
      <c r="A711" t="s">
        <v>453</v>
      </c>
      <c r="B711" t="s">
        <v>60</v>
      </c>
      <c r="C711" t="s">
        <v>397</v>
      </c>
      <c r="D711">
        <v>1000</v>
      </c>
      <c r="E711">
        <v>129.00899999999999</v>
      </c>
      <c r="F711">
        <v>3938687</v>
      </c>
      <c r="G711" t="s">
        <v>450</v>
      </c>
      <c r="H711">
        <v>70.311000000000007</v>
      </c>
      <c r="I711" t="s">
        <v>554</v>
      </c>
      <c r="J711" t="s">
        <v>10</v>
      </c>
      <c r="K711" t="s">
        <v>555</v>
      </c>
    </row>
    <row r="712" spans="1:11" x14ac:dyDescent="0.25">
      <c r="A712" t="s">
        <v>453</v>
      </c>
      <c r="B712" t="s">
        <v>60</v>
      </c>
      <c r="C712" t="s">
        <v>397</v>
      </c>
      <c r="D712">
        <v>500</v>
      </c>
      <c r="E712">
        <v>164.995</v>
      </c>
      <c r="F712">
        <v>3935313</v>
      </c>
      <c r="G712" t="s">
        <v>532</v>
      </c>
      <c r="H712">
        <v>87.183000000000007</v>
      </c>
      <c r="I712" t="s">
        <v>560</v>
      </c>
      <c r="J712" t="s">
        <v>10</v>
      </c>
      <c r="K712" t="s">
        <v>561</v>
      </c>
    </row>
    <row r="713" spans="1:11" x14ac:dyDescent="0.25">
      <c r="A713" t="s">
        <v>422</v>
      </c>
      <c r="B713" t="s">
        <v>30</v>
      </c>
      <c r="C713" t="s">
        <v>397</v>
      </c>
      <c r="D713">
        <v>348</v>
      </c>
      <c r="E713">
        <v>114.836</v>
      </c>
      <c r="F713">
        <v>3935313</v>
      </c>
      <c r="G713" t="s">
        <v>532</v>
      </c>
      <c r="H713">
        <v>60.68</v>
      </c>
      <c r="I713" t="s">
        <v>560</v>
      </c>
      <c r="J713" t="s">
        <v>10</v>
      </c>
      <c r="K713" t="s">
        <v>561</v>
      </c>
    </row>
    <row r="714" spans="1:11" x14ac:dyDescent="0.25">
      <c r="A714" t="s">
        <v>422</v>
      </c>
      <c r="B714" t="s">
        <v>30</v>
      </c>
      <c r="C714" t="s">
        <v>397</v>
      </c>
      <c r="D714">
        <v>100</v>
      </c>
      <c r="E714">
        <v>32.999000000000002</v>
      </c>
      <c r="F714">
        <v>3935313</v>
      </c>
      <c r="G714" t="s">
        <v>532</v>
      </c>
      <c r="H714">
        <v>17.437000000000001</v>
      </c>
      <c r="I714" t="s">
        <v>560</v>
      </c>
      <c r="J714" t="s">
        <v>10</v>
      </c>
      <c r="K714" t="s">
        <v>561</v>
      </c>
    </row>
    <row r="715" spans="1:11" x14ac:dyDescent="0.25">
      <c r="A715" t="s">
        <v>422</v>
      </c>
      <c r="B715" t="s">
        <v>30</v>
      </c>
      <c r="C715" t="s">
        <v>397</v>
      </c>
      <c r="D715">
        <v>52</v>
      </c>
      <c r="E715">
        <v>17.158999999999999</v>
      </c>
      <c r="F715">
        <v>3935313</v>
      </c>
      <c r="G715" t="s">
        <v>532</v>
      </c>
      <c r="H715">
        <v>9.0670000000000002</v>
      </c>
      <c r="I715" t="s">
        <v>560</v>
      </c>
      <c r="J715" t="s">
        <v>10</v>
      </c>
      <c r="K715" t="s">
        <v>561</v>
      </c>
    </row>
    <row r="716" spans="1:11" x14ac:dyDescent="0.25">
      <c r="A716" t="s">
        <v>422</v>
      </c>
      <c r="B716" t="s">
        <v>30</v>
      </c>
      <c r="C716" t="s">
        <v>397</v>
      </c>
      <c r="D716">
        <v>500</v>
      </c>
      <c r="E716">
        <v>164.995</v>
      </c>
      <c r="F716">
        <v>3935313</v>
      </c>
      <c r="G716" t="s">
        <v>532</v>
      </c>
      <c r="H716">
        <v>87.183000000000007</v>
      </c>
      <c r="I716" t="s">
        <v>560</v>
      </c>
      <c r="J716" t="s">
        <v>10</v>
      </c>
      <c r="K716" t="s">
        <v>561</v>
      </c>
    </row>
    <row r="717" spans="1:11" x14ac:dyDescent="0.25">
      <c r="A717" t="s">
        <v>453</v>
      </c>
      <c r="B717" t="s">
        <v>60</v>
      </c>
      <c r="C717" t="s">
        <v>397</v>
      </c>
      <c r="D717">
        <v>500</v>
      </c>
      <c r="E717">
        <v>164.995</v>
      </c>
      <c r="F717">
        <v>3935313</v>
      </c>
      <c r="G717" t="s">
        <v>532</v>
      </c>
      <c r="H717">
        <v>87.183000000000007</v>
      </c>
      <c r="I717" t="s">
        <v>560</v>
      </c>
      <c r="J717" t="s">
        <v>10</v>
      </c>
      <c r="K717" t="s">
        <v>561</v>
      </c>
    </row>
    <row r="718" spans="1:11" x14ac:dyDescent="0.25">
      <c r="A718" t="s">
        <v>453</v>
      </c>
      <c r="B718" t="s">
        <v>60</v>
      </c>
      <c r="C718" t="s">
        <v>397</v>
      </c>
      <c r="D718">
        <v>1330</v>
      </c>
      <c r="E718">
        <v>438.887</v>
      </c>
      <c r="F718">
        <v>3935313</v>
      </c>
      <c r="G718" t="s">
        <v>532</v>
      </c>
      <c r="H718">
        <v>231.90799999999999</v>
      </c>
      <c r="I718" t="s">
        <v>560</v>
      </c>
      <c r="J718" t="s">
        <v>10</v>
      </c>
      <c r="K718" t="s">
        <v>561</v>
      </c>
    </row>
    <row r="719" spans="1:11" x14ac:dyDescent="0.25">
      <c r="A719" t="s">
        <v>453</v>
      </c>
      <c r="B719" t="s">
        <v>60</v>
      </c>
      <c r="C719" t="s">
        <v>397</v>
      </c>
      <c r="D719">
        <v>652</v>
      </c>
      <c r="E719">
        <v>215.15299999999999</v>
      </c>
      <c r="F719">
        <v>3935313</v>
      </c>
      <c r="G719" t="s">
        <v>532</v>
      </c>
      <c r="H719">
        <v>113.687</v>
      </c>
      <c r="I719" t="s">
        <v>560</v>
      </c>
      <c r="J719" t="s">
        <v>10</v>
      </c>
      <c r="K719" t="s">
        <v>561</v>
      </c>
    </row>
    <row r="720" spans="1:11" x14ac:dyDescent="0.25">
      <c r="A720" t="s">
        <v>453</v>
      </c>
      <c r="B720" t="s">
        <v>60</v>
      </c>
      <c r="C720" t="s">
        <v>397</v>
      </c>
      <c r="D720">
        <v>18</v>
      </c>
      <c r="E720">
        <v>5.94</v>
      </c>
      <c r="F720">
        <v>3935313</v>
      </c>
      <c r="G720" t="s">
        <v>532</v>
      </c>
      <c r="H720">
        <v>3.1389999999999998</v>
      </c>
      <c r="I720" t="s">
        <v>560</v>
      </c>
      <c r="J720" t="s">
        <v>10</v>
      </c>
      <c r="K720" t="s">
        <v>561</v>
      </c>
    </row>
    <row r="721" spans="1:11" x14ac:dyDescent="0.25">
      <c r="A721" t="s">
        <v>422</v>
      </c>
      <c r="B721" t="s">
        <v>30</v>
      </c>
      <c r="C721" t="s">
        <v>397</v>
      </c>
      <c r="D721">
        <v>500</v>
      </c>
      <c r="E721">
        <v>164.995</v>
      </c>
      <c r="F721">
        <v>3935313</v>
      </c>
      <c r="G721" t="s">
        <v>532</v>
      </c>
      <c r="H721">
        <v>87.183000000000007</v>
      </c>
      <c r="I721" t="s">
        <v>560</v>
      </c>
      <c r="J721" t="s">
        <v>10</v>
      </c>
      <c r="K721" t="s">
        <v>561</v>
      </c>
    </row>
    <row r="722" spans="1:11" x14ac:dyDescent="0.25">
      <c r="A722" t="s">
        <v>453</v>
      </c>
      <c r="B722" t="s">
        <v>60</v>
      </c>
      <c r="C722" t="s">
        <v>397</v>
      </c>
      <c r="D722">
        <v>500</v>
      </c>
      <c r="E722">
        <v>164.995</v>
      </c>
      <c r="F722">
        <v>3935313</v>
      </c>
      <c r="G722" t="s">
        <v>532</v>
      </c>
      <c r="H722">
        <v>87.183000000000007</v>
      </c>
      <c r="I722" t="s">
        <v>560</v>
      </c>
      <c r="J722" t="s">
        <v>10</v>
      </c>
      <c r="K722" t="s">
        <v>561</v>
      </c>
    </row>
    <row r="723" spans="1:11" x14ac:dyDescent="0.25">
      <c r="A723" t="s">
        <v>422</v>
      </c>
      <c r="B723" t="s">
        <v>30</v>
      </c>
      <c r="C723" t="s">
        <v>397</v>
      </c>
      <c r="D723">
        <v>500</v>
      </c>
      <c r="E723">
        <v>164.995</v>
      </c>
      <c r="F723">
        <v>3935313</v>
      </c>
      <c r="G723" t="s">
        <v>532</v>
      </c>
      <c r="H723">
        <v>87.183000000000007</v>
      </c>
      <c r="I723" t="s">
        <v>560</v>
      </c>
      <c r="J723" t="s">
        <v>10</v>
      </c>
      <c r="K723" t="s">
        <v>561</v>
      </c>
    </row>
    <row r="724" spans="1:11" x14ac:dyDescent="0.25">
      <c r="A724" t="s">
        <v>453</v>
      </c>
      <c r="B724" t="s">
        <v>60</v>
      </c>
      <c r="C724" t="s">
        <v>397</v>
      </c>
      <c r="D724">
        <v>500</v>
      </c>
      <c r="E724">
        <v>164.995</v>
      </c>
      <c r="F724">
        <v>3935313</v>
      </c>
      <c r="G724" t="s">
        <v>532</v>
      </c>
      <c r="H724">
        <v>87.183000000000007</v>
      </c>
      <c r="I724" t="s">
        <v>560</v>
      </c>
      <c r="J724" t="s">
        <v>10</v>
      </c>
      <c r="K724" t="s">
        <v>561</v>
      </c>
    </row>
    <row r="725" spans="1:11" x14ac:dyDescent="0.25">
      <c r="A725" t="s">
        <v>422</v>
      </c>
      <c r="B725" t="s">
        <v>30</v>
      </c>
      <c r="C725" t="s">
        <v>397</v>
      </c>
      <c r="D725">
        <v>500</v>
      </c>
      <c r="E725">
        <v>164.995</v>
      </c>
      <c r="F725">
        <v>3935313</v>
      </c>
      <c r="G725" t="s">
        <v>532</v>
      </c>
      <c r="H725">
        <v>87.183000000000007</v>
      </c>
      <c r="I725" t="s">
        <v>560</v>
      </c>
      <c r="J725" t="s">
        <v>10</v>
      </c>
      <c r="K725" t="s">
        <v>561</v>
      </c>
    </row>
    <row r="726" spans="1:11" x14ac:dyDescent="0.25">
      <c r="A726" t="s">
        <v>453</v>
      </c>
      <c r="B726" t="s">
        <v>60</v>
      </c>
      <c r="C726" t="s">
        <v>397</v>
      </c>
      <c r="D726">
        <v>500</v>
      </c>
      <c r="E726">
        <v>164.995</v>
      </c>
      <c r="F726">
        <v>3935313</v>
      </c>
      <c r="G726" t="s">
        <v>532</v>
      </c>
      <c r="H726">
        <v>87.183000000000007</v>
      </c>
      <c r="I726" t="s">
        <v>560</v>
      </c>
      <c r="J726" t="s">
        <v>10</v>
      </c>
      <c r="K726" t="s">
        <v>561</v>
      </c>
    </row>
    <row r="727" spans="1:11" x14ac:dyDescent="0.25">
      <c r="A727" t="s">
        <v>422</v>
      </c>
      <c r="B727" t="s">
        <v>30</v>
      </c>
      <c r="C727" t="s">
        <v>397</v>
      </c>
      <c r="D727">
        <v>500</v>
      </c>
      <c r="E727">
        <v>164.995</v>
      </c>
      <c r="F727">
        <v>3935313</v>
      </c>
      <c r="G727" t="s">
        <v>532</v>
      </c>
      <c r="H727">
        <v>87.183000000000007</v>
      </c>
      <c r="I727" t="s">
        <v>560</v>
      </c>
      <c r="J727" t="s">
        <v>10</v>
      </c>
      <c r="K727" t="s">
        <v>561</v>
      </c>
    </row>
    <row r="728" spans="1:11" x14ac:dyDescent="0.25">
      <c r="A728" t="s">
        <v>453</v>
      </c>
      <c r="B728" t="s">
        <v>60</v>
      </c>
      <c r="C728" t="s">
        <v>397</v>
      </c>
      <c r="D728">
        <v>500</v>
      </c>
      <c r="E728">
        <v>164.995</v>
      </c>
      <c r="F728">
        <v>3935313</v>
      </c>
      <c r="G728" t="s">
        <v>532</v>
      </c>
      <c r="H728">
        <v>87.183000000000007</v>
      </c>
      <c r="I728" t="s">
        <v>560</v>
      </c>
      <c r="J728" t="s">
        <v>10</v>
      </c>
      <c r="K728" t="s">
        <v>561</v>
      </c>
    </row>
    <row r="729" spans="1:11" x14ac:dyDescent="0.25">
      <c r="A729" t="s">
        <v>422</v>
      </c>
      <c r="B729" t="s">
        <v>30</v>
      </c>
      <c r="C729" t="s">
        <v>397</v>
      </c>
      <c r="D729">
        <v>500</v>
      </c>
      <c r="E729">
        <v>164.995</v>
      </c>
      <c r="F729">
        <v>3935313</v>
      </c>
      <c r="G729" t="s">
        <v>532</v>
      </c>
      <c r="H729">
        <v>87.183000000000007</v>
      </c>
      <c r="I729" t="s">
        <v>560</v>
      </c>
      <c r="J729" t="s">
        <v>10</v>
      </c>
      <c r="K729" t="s">
        <v>561</v>
      </c>
    </row>
    <row r="730" spans="1:11" x14ac:dyDescent="0.25">
      <c r="A730" t="s">
        <v>453</v>
      </c>
      <c r="B730" t="s">
        <v>60</v>
      </c>
      <c r="C730" t="s">
        <v>397</v>
      </c>
      <c r="D730">
        <v>500</v>
      </c>
      <c r="E730">
        <v>164.995</v>
      </c>
      <c r="F730">
        <v>3935313</v>
      </c>
      <c r="G730" t="s">
        <v>532</v>
      </c>
      <c r="H730">
        <v>87.183000000000007</v>
      </c>
      <c r="I730" t="s">
        <v>560</v>
      </c>
      <c r="J730" t="s">
        <v>10</v>
      </c>
      <c r="K730" t="s">
        <v>561</v>
      </c>
    </row>
    <row r="731" spans="1:11" x14ac:dyDescent="0.25">
      <c r="A731" t="s">
        <v>517</v>
      </c>
      <c r="B731" t="s">
        <v>19</v>
      </c>
      <c r="C731" t="s">
        <v>397</v>
      </c>
      <c r="D731">
        <v>1949</v>
      </c>
      <c r="E731">
        <v>1394.2349999999999</v>
      </c>
      <c r="F731">
        <v>3910020</v>
      </c>
      <c r="G731" t="s">
        <v>562</v>
      </c>
      <c r="H731">
        <v>1391.586</v>
      </c>
      <c r="I731" t="s">
        <v>563</v>
      </c>
      <c r="J731" t="s">
        <v>10</v>
      </c>
      <c r="K731" t="s">
        <v>564</v>
      </c>
    </row>
    <row r="732" spans="1:11" x14ac:dyDescent="0.25">
      <c r="A732" t="s">
        <v>517</v>
      </c>
      <c r="B732" t="s">
        <v>19</v>
      </c>
      <c r="C732" t="s">
        <v>397</v>
      </c>
      <c r="D732">
        <v>1399</v>
      </c>
      <c r="E732">
        <v>1000.787</v>
      </c>
      <c r="F732">
        <v>3910020</v>
      </c>
      <c r="G732" t="s">
        <v>562</v>
      </c>
      <c r="H732">
        <v>998.88599999999997</v>
      </c>
      <c r="I732" t="s">
        <v>563</v>
      </c>
      <c r="J732" t="s">
        <v>10</v>
      </c>
      <c r="K732" t="s">
        <v>564</v>
      </c>
    </row>
    <row r="733" spans="1:11" x14ac:dyDescent="0.25">
      <c r="A733" t="s">
        <v>517</v>
      </c>
      <c r="B733" t="s">
        <v>19</v>
      </c>
      <c r="C733" t="s">
        <v>397</v>
      </c>
      <c r="D733">
        <v>1140</v>
      </c>
      <c r="E733">
        <v>815.50900000000001</v>
      </c>
      <c r="F733">
        <v>3910020</v>
      </c>
      <c r="G733" t="s">
        <v>562</v>
      </c>
      <c r="H733">
        <v>813.96</v>
      </c>
      <c r="I733" t="s">
        <v>563</v>
      </c>
      <c r="J733" t="s">
        <v>10</v>
      </c>
      <c r="K733" t="s">
        <v>564</v>
      </c>
    </row>
    <row r="734" spans="1:11" x14ac:dyDescent="0.25">
      <c r="A734" t="s">
        <v>517</v>
      </c>
      <c r="B734" t="s">
        <v>19</v>
      </c>
      <c r="C734" t="s">
        <v>397</v>
      </c>
      <c r="D734">
        <v>476</v>
      </c>
      <c r="E734">
        <v>340.51100000000002</v>
      </c>
      <c r="F734">
        <v>3910020</v>
      </c>
      <c r="G734" t="s">
        <v>562</v>
      </c>
      <c r="H734">
        <v>339.86399999999998</v>
      </c>
      <c r="I734" t="s">
        <v>563</v>
      </c>
      <c r="J734" t="s">
        <v>10</v>
      </c>
      <c r="K734" t="s">
        <v>564</v>
      </c>
    </row>
    <row r="735" spans="1:11" x14ac:dyDescent="0.25">
      <c r="A735" t="s">
        <v>517</v>
      </c>
      <c r="B735" t="s">
        <v>19</v>
      </c>
      <c r="C735" t="s">
        <v>397</v>
      </c>
      <c r="D735">
        <v>11</v>
      </c>
      <c r="E735">
        <v>7.8689999999999998</v>
      </c>
      <c r="F735">
        <v>3910020</v>
      </c>
      <c r="G735" t="s">
        <v>562</v>
      </c>
      <c r="H735">
        <v>7.8540000000000001</v>
      </c>
      <c r="I735" t="s">
        <v>563</v>
      </c>
      <c r="J735" t="s">
        <v>10</v>
      </c>
      <c r="K735" t="s">
        <v>564</v>
      </c>
    </row>
    <row r="736" spans="1:11" x14ac:dyDescent="0.25">
      <c r="A736" t="s">
        <v>517</v>
      </c>
      <c r="B736" t="s">
        <v>19</v>
      </c>
      <c r="C736" t="s">
        <v>397</v>
      </c>
      <c r="D736">
        <v>666</v>
      </c>
      <c r="E736">
        <v>1149.655</v>
      </c>
      <c r="F736">
        <v>1940710</v>
      </c>
      <c r="G736" t="s">
        <v>565</v>
      </c>
      <c r="H736">
        <v>1512.4860000000001</v>
      </c>
      <c r="I736" t="s">
        <v>566</v>
      </c>
      <c r="J736" t="s">
        <v>10</v>
      </c>
      <c r="K736" t="s">
        <v>567</v>
      </c>
    </row>
    <row r="737" spans="1:11" x14ac:dyDescent="0.25">
      <c r="A737" t="s">
        <v>517</v>
      </c>
      <c r="B737" t="s">
        <v>19</v>
      </c>
      <c r="C737" t="s">
        <v>397</v>
      </c>
      <c r="D737">
        <v>450</v>
      </c>
      <c r="E737">
        <v>776.79399999999998</v>
      </c>
      <c r="F737">
        <v>1940710</v>
      </c>
      <c r="G737" t="s">
        <v>565</v>
      </c>
      <c r="H737">
        <v>1021.95</v>
      </c>
      <c r="I737" t="s">
        <v>566</v>
      </c>
      <c r="J737" t="s">
        <v>10</v>
      </c>
      <c r="K737" t="s">
        <v>567</v>
      </c>
    </row>
    <row r="738" spans="1:11" x14ac:dyDescent="0.25">
      <c r="A738" t="s">
        <v>517</v>
      </c>
      <c r="B738" t="s">
        <v>19</v>
      </c>
      <c r="C738" t="s">
        <v>397</v>
      </c>
      <c r="D738">
        <v>380</v>
      </c>
      <c r="E738">
        <v>655.95899999999995</v>
      </c>
      <c r="F738">
        <v>1940710</v>
      </c>
      <c r="G738" t="s">
        <v>565</v>
      </c>
      <c r="H738">
        <v>862.98</v>
      </c>
      <c r="I738" t="s">
        <v>566</v>
      </c>
      <c r="J738" t="s">
        <v>10</v>
      </c>
      <c r="K738" t="s">
        <v>567</v>
      </c>
    </row>
    <row r="739" spans="1:11" x14ac:dyDescent="0.25">
      <c r="A739" t="s">
        <v>517</v>
      </c>
      <c r="B739" t="s">
        <v>19</v>
      </c>
      <c r="C739" t="s">
        <v>397</v>
      </c>
      <c r="D739">
        <v>94</v>
      </c>
      <c r="E739">
        <v>162.26400000000001</v>
      </c>
      <c r="F739">
        <v>1940710</v>
      </c>
      <c r="G739" t="s">
        <v>565</v>
      </c>
      <c r="H739">
        <v>213.47399999999999</v>
      </c>
      <c r="I739" t="s">
        <v>566</v>
      </c>
      <c r="J739" t="s">
        <v>10</v>
      </c>
      <c r="K739" t="s">
        <v>567</v>
      </c>
    </row>
    <row r="740" spans="1:11" x14ac:dyDescent="0.25">
      <c r="A740" t="s">
        <v>517</v>
      </c>
      <c r="B740" t="s">
        <v>19</v>
      </c>
      <c r="C740" t="s">
        <v>397</v>
      </c>
      <c r="D740">
        <v>1309</v>
      </c>
      <c r="E740">
        <v>839.64499999999998</v>
      </c>
      <c r="F740">
        <v>3781649</v>
      </c>
      <c r="G740" t="s">
        <v>568</v>
      </c>
      <c r="H740">
        <v>1557.71</v>
      </c>
      <c r="I740" t="s">
        <v>569</v>
      </c>
      <c r="J740" t="s">
        <v>10</v>
      </c>
      <c r="K740" t="s">
        <v>570</v>
      </c>
    </row>
    <row r="741" spans="1:11" x14ac:dyDescent="0.25">
      <c r="A741" t="s">
        <v>517</v>
      </c>
      <c r="B741" t="s">
        <v>19</v>
      </c>
      <c r="C741" t="s">
        <v>397</v>
      </c>
      <c r="D741">
        <v>1</v>
      </c>
      <c r="E741">
        <v>0.64100000000000001</v>
      </c>
      <c r="F741">
        <v>3781649</v>
      </c>
      <c r="G741" t="s">
        <v>568</v>
      </c>
      <c r="H741">
        <v>1.19</v>
      </c>
      <c r="I741" t="s">
        <v>569</v>
      </c>
      <c r="J741" t="s">
        <v>10</v>
      </c>
      <c r="K741" t="s">
        <v>570</v>
      </c>
    </row>
    <row r="742" spans="1:11" x14ac:dyDescent="0.25">
      <c r="A742" t="s">
        <v>517</v>
      </c>
      <c r="B742" t="s">
        <v>19</v>
      </c>
      <c r="C742" t="s">
        <v>397</v>
      </c>
      <c r="D742">
        <v>2008</v>
      </c>
      <c r="E742">
        <v>1288.0119999999999</v>
      </c>
      <c r="F742">
        <v>3781649</v>
      </c>
      <c r="G742" t="s">
        <v>568</v>
      </c>
      <c r="H742">
        <v>2389.52</v>
      </c>
      <c r="I742" t="s">
        <v>569</v>
      </c>
      <c r="J742" t="s">
        <v>10</v>
      </c>
      <c r="K742" t="s">
        <v>570</v>
      </c>
    </row>
    <row r="743" spans="1:11" x14ac:dyDescent="0.25">
      <c r="A743" t="s">
        <v>517</v>
      </c>
      <c r="B743" t="s">
        <v>19</v>
      </c>
      <c r="C743" t="s">
        <v>397</v>
      </c>
      <c r="D743">
        <v>2</v>
      </c>
      <c r="E743">
        <v>1.2829999999999999</v>
      </c>
      <c r="F743">
        <v>3781649</v>
      </c>
      <c r="G743" t="s">
        <v>568</v>
      </c>
      <c r="H743">
        <v>2.38</v>
      </c>
      <c r="I743" t="s">
        <v>569</v>
      </c>
      <c r="J743" t="s">
        <v>10</v>
      </c>
      <c r="K743" t="s">
        <v>570</v>
      </c>
    </row>
    <row r="744" spans="1:11" x14ac:dyDescent="0.25">
      <c r="A744" t="s">
        <v>437</v>
      </c>
      <c r="B744" t="s">
        <v>18</v>
      </c>
      <c r="C744" t="s">
        <v>397</v>
      </c>
      <c r="D744">
        <v>2600</v>
      </c>
      <c r="E744">
        <v>1333.0350000000001</v>
      </c>
      <c r="F744">
        <v>1940821</v>
      </c>
      <c r="G744" t="s">
        <v>428</v>
      </c>
      <c r="H744">
        <v>2087.8000000000002</v>
      </c>
      <c r="I744" t="s">
        <v>571</v>
      </c>
      <c r="J744" t="s">
        <v>10</v>
      </c>
      <c r="K744" t="s">
        <v>572</v>
      </c>
    </row>
    <row r="745" spans="1:11" x14ac:dyDescent="0.25">
      <c r="A745" t="s">
        <v>437</v>
      </c>
      <c r="B745" t="s">
        <v>18</v>
      </c>
      <c r="C745" t="s">
        <v>397</v>
      </c>
      <c r="D745">
        <v>2321</v>
      </c>
      <c r="E745">
        <v>1189.99</v>
      </c>
      <c r="F745">
        <v>1940821</v>
      </c>
      <c r="G745" t="s">
        <v>428</v>
      </c>
      <c r="H745">
        <v>1863.7629999999999</v>
      </c>
      <c r="I745" t="s">
        <v>571</v>
      </c>
      <c r="J745" t="s">
        <v>10</v>
      </c>
      <c r="K745" t="s">
        <v>572</v>
      </c>
    </row>
    <row r="746" spans="1:11" x14ac:dyDescent="0.25">
      <c r="A746" t="s">
        <v>437</v>
      </c>
      <c r="B746" t="s">
        <v>18</v>
      </c>
      <c r="C746" t="s">
        <v>397</v>
      </c>
      <c r="D746">
        <v>1500</v>
      </c>
      <c r="E746">
        <v>769.05899999999997</v>
      </c>
      <c r="F746">
        <v>1940821</v>
      </c>
      <c r="G746" t="s">
        <v>428</v>
      </c>
      <c r="H746">
        <v>1204.5</v>
      </c>
      <c r="I746" t="s">
        <v>571</v>
      </c>
      <c r="J746" t="s">
        <v>10</v>
      </c>
      <c r="K746" t="s">
        <v>572</v>
      </c>
    </row>
    <row r="747" spans="1:11" x14ac:dyDescent="0.25">
      <c r="A747" t="s">
        <v>437</v>
      </c>
      <c r="B747" t="s">
        <v>18</v>
      </c>
      <c r="C747" t="s">
        <v>397</v>
      </c>
      <c r="D747">
        <v>452</v>
      </c>
      <c r="E747">
        <v>231.74299999999999</v>
      </c>
      <c r="F747">
        <v>1940821</v>
      </c>
      <c r="G747" t="s">
        <v>428</v>
      </c>
      <c r="H747">
        <v>362.95600000000002</v>
      </c>
      <c r="I747" t="s">
        <v>571</v>
      </c>
      <c r="J747" t="s">
        <v>10</v>
      </c>
      <c r="K747" t="s">
        <v>572</v>
      </c>
    </row>
    <row r="748" spans="1:11" x14ac:dyDescent="0.25">
      <c r="A748" t="s">
        <v>437</v>
      </c>
      <c r="B748" t="s">
        <v>18</v>
      </c>
      <c r="C748" t="s">
        <v>397</v>
      </c>
      <c r="D748">
        <v>347</v>
      </c>
      <c r="E748">
        <v>177.90899999999999</v>
      </c>
      <c r="F748">
        <v>1940821</v>
      </c>
      <c r="G748" t="s">
        <v>428</v>
      </c>
      <c r="H748">
        <v>278.64100000000002</v>
      </c>
      <c r="I748" t="s">
        <v>571</v>
      </c>
      <c r="J748" t="s">
        <v>10</v>
      </c>
      <c r="K748" t="s">
        <v>572</v>
      </c>
    </row>
    <row r="749" spans="1:11" x14ac:dyDescent="0.25">
      <c r="A749" t="s">
        <v>573</v>
      </c>
      <c r="B749" t="s">
        <v>52</v>
      </c>
      <c r="C749" t="s">
        <v>397</v>
      </c>
      <c r="D749">
        <v>2400</v>
      </c>
      <c r="E749">
        <v>1230.4939999999999</v>
      </c>
      <c r="F749">
        <v>1940821</v>
      </c>
      <c r="G749" t="s">
        <v>428</v>
      </c>
      <c r="H749">
        <v>1927.2</v>
      </c>
      <c r="I749" t="s">
        <v>571</v>
      </c>
      <c r="J749" t="s">
        <v>10</v>
      </c>
      <c r="K749" t="s">
        <v>572</v>
      </c>
    </row>
    <row r="750" spans="1:11" x14ac:dyDescent="0.25">
      <c r="A750" t="s">
        <v>437</v>
      </c>
      <c r="B750" t="s">
        <v>18</v>
      </c>
      <c r="C750" t="s">
        <v>397</v>
      </c>
      <c r="D750">
        <v>2696</v>
      </c>
      <c r="E750">
        <v>1382.2550000000001</v>
      </c>
      <c r="F750">
        <v>1940821</v>
      </c>
      <c r="G750" t="s">
        <v>428</v>
      </c>
      <c r="H750">
        <v>2164.8879999999999</v>
      </c>
      <c r="I750" t="s">
        <v>571</v>
      </c>
      <c r="J750" t="s">
        <v>10</v>
      </c>
      <c r="K750" t="s">
        <v>572</v>
      </c>
    </row>
    <row r="751" spans="1:11" x14ac:dyDescent="0.25">
      <c r="A751" t="s">
        <v>437</v>
      </c>
      <c r="B751" t="s">
        <v>18</v>
      </c>
      <c r="C751" t="s">
        <v>397</v>
      </c>
      <c r="D751">
        <v>1296</v>
      </c>
      <c r="E751">
        <v>664.46699999999998</v>
      </c>
      <c r="F751">
        <v>1940821</v>
      </c>
      <c r="G751" t="s">
        <v>428</v>
      </c>
      <c r="H751">
        <v>1040.6880000000001</v>
      </c>
      <c r="I751" t="s">
        <v>571</v>
      </c>
      <c r="J751" t="s">
        <v>10</v>
      </c>
      <c r="K751" t="s">
        <v>572</v>
      </c>
    </row>
    <row r="752" spans="1:11" x14ac:dyDescent="0.25">
      <c r="A752" t="s">
        <v>437</v>
      </c>
      <c r="B752" t="s">
        <v>18</v>
      </c>
      <c r="C752" t="s">
        <v>397</v>
      </c>
      <c r="D752">
        <v>6</v>
      </c>
      <c r="E752">
        <v>3.0760000000000001</v>
      </c>
      <c r="F752">
        <v>1940821</v>
      </c>
      <c r="G752" t="s">
        <v>428</v>
      </c>
      <c r="H752">
        <v>4.8179999999999996</v>
      </c>
      <c r="I752" t="s">
        <v>571</v>
      </c>
      <c r="J752" t="s">
        <v>10</v>
      </c>
      <c r="K752" t="s">
        <v>572</v>
      </c>
    </row>
    <row r="753" spans="1:11" x14ac:dyDescent="0.25">
      <c r="A753" t="s">
        <v>437</v>
      </c>
      <c r="B753" t="s">
        <v>18</v>
      </c>
      <c r="C753" t="s">
        <v>397</v>
      </c>
      <c r="D753">
        <v>2</v>
      </c>
      <c r="E753">
        <v>1.0249999999999999</v>
      </c>
      <c r="F753">
        <v>1940821</v>
      </c>
      <c r="G753" t="s">
        <v>428</v>
      </c>
      <c r="H753">
        <v>1.6060000000000001</v>
      </c>
      <c r="I753" t="s">
        <v>571</v>
      </c>
      <c r="J753" t="s">
        <v>10</v>
      </c>
      <c r="K753" t="s">
        <v>572</v>
      </c>
    </row>
    <row r="754" spans="1:11" x14ac:dyDescent="0.25">
      <c r="A754" t="s">
        <v>437</v>
      </c>
      <c r="B754" t="s">
        <v>18</v>
      </c>
      <c r="C754" t="s">
        <v>397</v>
      </c>
      <c r="D754">
        <v>1210</v>
      </c>
      <c r="E754">
        <v>620.37400000000002</v>
      </c>
      <c r="F754">
        <v>1940821</v>
      </c>
      <c r="G754" t="s">
        <v>428</v>
      </c>
      <c r="H754">
        <v>971.63</v>
      </c>
      <c r="I754" t="s">
        <v>571</v>
      </c>
      <c r="J754" t="s">
        <v>10</v>
      </c>
      <c r="K754" t="s">
        <v>572</v>
      </c>
    </row>
    <row r="755" spans="1:11" x14ac:dyDescent="0.25">
      <c r="A755" t="s">
        <v>437</v>
      </c>
      <c r="B755" t="s">
        <v>18</v>
      </c>
      <c r="C755" t="s">
        <v>397</v>
      </c>
      <c r="D755">
        <v>500</v>
      </c>
      <c r="E755">
        <v>256.35300000000001</v>
      </c>
      <c r="F755">
        <v>1940821</v>
      </c>
      <c r="G755" t="s">
        <v>428</v>
      </c>
      <c r="H755">
        <v>401.5</v>
      </c>
      <c r="I755" t="s">
        <v>571</v>
      </c>
      <c r="J755" t="s">
        <v>10</v>
      </c>
      <c r="K755" t="s">
        <v>572</v>
      </c>
    </row>
    <row r="756" spans="1:11" x14ac:dyDescent="0.25">
      <c r="A756" t="s">
        <v>437</v>
      </c>
      <c r="B756" t="s">
        <v>18</v>
      </c>
      <c r="C756" t="s">
        <v>397</v>
      </c>
      <c r="D756">
        <v>490</v>
      </c>
      <c r="E756">
        <v>251.226</v>
      </c>
      <c r="F756">
        <v>1940821</v>
      </c>
      <c r="G756" t="s">
        <v>428</v>
      </c>
      <c r="H756">
        <v>393.47</v>
      </c>
      <c r="I756" t="s">
        <v>571</v>
      </c>
      <c r="J756" t="s">
        <v>10</v>
      </c>
      <c r="K756" t="s">
        <v>572</v>
      </c>
    </row>
    <row r="757" spans="1:11" x14ac:dyDescent="0.25">
      <c r="A757" t="s">
        <v>437</v>
      </c>
      <c r="B757" t="s">
        <v>18</v>
      </c>
      <c r="C757" t="s">
        <v>397</v>
      </c>
      <c r="D757">
        <v>161</v>
      </c>
      <c r="E757">
        <v>82.546000000000006</v>
      </c>
      <c r="F757">
        <v>1940821</v>
      </c>
      <c r="G757" t="s">
        <v>428</v>
      </c>
      <c r="H757">
        <v>129.28299999999999</v>
      </c>
      <c r="I757" t="s">
        <v>571</v>
      </c>
      <c r="J757" t="s">
        <v>10</v>
      </c>
      <c r="K757" t="s">
        <v>572</v>
      </c>
    </row>
    <row r="758" spans="1:11" x14ac:dyDescent="0.25">
      <c r="A758" t="s">
        <v>437</v>
      </c>
      <c r="B758" t="s">
        <v>18</v>
      </c>
      <c r="C758" t="s">
        <v>397</v>
      </c>
      <c r="D758">
        <v>99</v>
      </c>
      <c r="E758">
        <v>50.758000000000003</v>
      </c>
      <c r="F758">
        <v>1940821</v>
      </c>
      <c r="G758" t="s">
        <v>428</v>
      </c>
      <c r="H758">
        <v>79.497</v>
      </c>
      <c r="I758" t="s">
        <v>571</v>
      </c>
      <c r="J758" t="s">
        <v>10</v>
      </c>
      <c r="K758" t="s">
        <v>572</v>
      </c>
    </row>
    <row r="759" spans="1:11" x14ac:dyDescent="0.25">
      <c r="A759" t="s">
        <v>437</v>
      </c>
      <c r="B759" t="s">
        <v>18</v>
      </c>
      <c r="C759" t="s">
        <v>397</v>
      </c>
      <c r="D759">
        <v>3048</v>
      </c>
      <c r="E759">
        <v>1634.7339999999999</v>
      </c>
      <c r="F759">
        <v>1940822</v>
      </c>
      <c r="G759" t="s">
        <v>428</v>
      </c>
      <c r="H759">
        <v>2560.3200000000002</v>
      </c>
      <c r="I759" t="s">
        <v>574</v>
      </c>
      <c r="J759" t="s">
        <v>10</v>
      </c>
      <c r="K759" t="s">
        <v>575</v>
      </c>
    </row>
    <row r="760" spans="1:11" x14ac:dyDescent="0.25">
      <c r="A760" t="s">
        <v>437</v>
      </c>
      <c r="B760" t="s">
        <v>18</v>
      </c>
      <c r="C760" t="s">
        <v>397</v>
      </c>
      <c r="D760">
        <v>2698</v>
      </c>
      <c r="E760">
        <v>1447.018</v>
      </c>
      <c r="F760">
        <v>1940822</v>
      </c>
      <c r="G760" t="s">
        <v>428</v>
      </c>
      <c r="H760">
        <v>2266.3200000000002</v>
      </c>
      <c r="I760" t="s">
        <v>574</v>
      </c>
      <c r="J760" t="s">
        <v>10</v>
      </c>
      <c r="K760" t="s">
        <v>575</v>
      </c>
    </row>
    <row r="761" spans="1:11" x14ac:dyDescent="0.25">
      <c r="A761" t="s">
        <v>437</v>
      </c>
      <c r="B761" t="s">
        <v>18</v>
      </c>
      <c r="C761" t="s">
        <v>397</v>
      </c>
      <c r="D761">
        <v>2094</v>
      </c>
      <c r="E761">
        <v>1123.075</v>
      </c>
      <c r="F761">
        <v>1940822</v>
      </c>
      <c r="G761" t="s">
        <v>428</v>
      </c>
      <c r="H761">
        <v>1758.96</v>
      </c>
      <c r="I761" t="s">
        <v>574</v>
      </c>
      <c r="J761" t="s">
        <v>10</v>
      </c>
      <c r="K761" t="s">
        <v>575</v>
      </c>
    </row>
    <row r="762" spans="1:11" x14ac:dyDescent="0.25">
      <c r="A762" t="s">
        <v>437</v>
      </c>
      <c r="B762" t="s">
        <v>18</v>
      </c>
      <c r="C762" t="s">
        <v>397</v>
      </c>
      <c r="D762">
        <v>3172</v>
      </c>
      <c r="E762">
        <v>1701.239</v>
      </c>
      <c r="F762">
        <v>1940822</v>
      </c>
      <c r="G762" t="s">
        <v>428</v>
      </c>
      <c r="H762">
        <v>2664.48</v>
      </c>
      <c r="I762" t="s">
        <v>574</v>
      </c>
      <c r="J762" t="s">
        <v>10</v>
      </c>
      <c r="K762" t="s">
        <v>575</v>
      </c>
    </row>
    <row r="763" spans="1:11" x14ac:dyDescent="0.25">
      <c r="A763" t="s">
        <v>437</v>
      </c>
      <c r="B763" t="s">
        <v>18</v>
      </c>
      <c r="C763" t="s">
        <v>397</v>
      </c>
      <c r="D763">
        <v>828</v>
      </c>
      <c r="E763">
        <v>444.08100000000002</v>
      </c>
      <c r="F763">
        <v>1940822</v>
      </c>
      <c r="G763" t="s">
        <v>428</v>
      </c>
      <c r="H763">
        <v>695.52</v>
      </c>
      <c r="I763" t="s">
        <v>574</v>
      </c>
      <c r="J763" t="s">
        <v>10</v>
      </c>
      <c r="K763" t="s">
        <v>575</v>
      </c>
    </row>
    <row r="764" spans="1:11" x14ac:dyDescent="0.25">
      <c r="A764" t="s">
        <v>437</v>
      </c>
      <c r="B764" t="s">
        <v>18</v>
      </c>
      <c r="C764" t="s">
        <v>397</v>
      </c>
      <c r="D764">
        <v>2130</v>
      </c>
      <c r="E764">
        <v>1142.383</v>
      </c>
      <c r="F764">
        <v>1940822</v>
      </c>
      <c r="G764" t="s">
        <v>428</v>
      </c>
      <c r="H764">
        <v>1789.2</v>
      </c>
      <c r="I764" t="s">
        <v>574</v>
      </c>
      <c r="J764" t="s">
        <v>10</v>
      </c>
      <c r="K764" t="s">
        <v>575</v>
      </c>
    </row>
    <row r="765" spans="1:11" x14ac:dyDescent="0.25">
      <c r="A765" t="s">
        <v>437</v>
      </c>
      <c r="B765" t="s">
        <v>18</v>
      </c>
      <c r="C765" t="s">
        <v>397</v>
      </c>
      <c r="D765">
        <v>1698</v>
      </c>
      <c r="E765">
        <v>910.68799999999999</v>
      </c>
      <c r="F765">
        <v>1940822</v>
      </c>
      <c r="G765" t="s">
        <v>428</v>
      </c>
      <c r="H765">
        <v>1426.32</v>
      </c>
      <c r="I765" t="s">
        <v>574</v>
      </c>
      <c r="J765" t="s">
        <v>10</v>
      </c>
      <c r="K765" t="s">
        <v>575</v>
      </c>
    </row>
    <row r="766" spans="1:11" x14ac:dyDescent="0.25">
      <c r="A766" t="s">
        <v>437</v>
      </c>
      <c r="B766" t="s">
        <v>18</v>
      </c>
      <c r="C766" t="s">
        <v>397</v>
      </c>
      <c r="D766">
        <v>1385</v>
      </c>
      <c r="E766">
        <v>742.81700000000001</v>
      </c>
      <c r="F766">
        <v>1940822</v>
      </c>
      <c r="G766" t="s">
        <v>428</v>
      </c>
      <c r="H766">
        <v>1163.4000000000001</v>
      </c>
      <c r="I766" t="s">
        <v>574</v>
      </c>
      <c r="J766" t="s">
        <v>10</v>
      </c>
      <c r="K766" t="s">
        <v>575</v>
      </c>
    </row>
    <row r="767" spans="1:11" x14ac:dyDescent="0.25">
      <c r="A767" t="s">
        <v>437</v>
      </c>
      <c r="B767" t="s">
        <v>18</v>
      </c>
      <c r="C767" t="s">
        <v>397</v>
      </c>
      <c r="D767">
        <v>204</v>
      </c>
      <c r="E767">
        <v>109.411</v>
      </c>
      <c r="F767">
        <v>1940822</v>
      </c>
      <c r="G767" t="s">
        <v>428</v>
      </c>
      <c r="H767">
        <v>171.36</v>
      </c>
      <c r="I767" t="s">
        <v>574</v>
      </c>
      <c r="J767" t="s">
        <v>10</v>
      </c>
      <c r="K767" t="s">
        <v>575</v>
      </c>
    </row>
    <row r="768" spans="1:11" x14ac:dyDescent="0.25">
      <c r="A768" t="s">
        <v>437</v>
      </c>
      <c r="B768" t="s">
        <v>18</v>
      </c>
      <c r="C768" t="s">
        <v>397</v>
      </c>
      <c r="D768">
        <v>3</v>
      </c>
      <c r="E768">
        <v>1.609</v>
      </c>
      <c r="F768">
        <v>1940822</v>
      </c>
      <c r="G768" t="s">
        <v>428</v>
      </c>
      <c r="H768">
        <v>2.52</v>
      </c>
      <c r="I768" t="s">
        <v>574</v>
      </c>
      <c r="J768" t="s">
        <v>10</v>
      </c>
      <c r="K768" t="s">
        <v>575</v>
      </c>
    </row>
    <row r="769" spans="1:11" x14ac:dyDescent="0.25">
      <c r="A769" t="s">
        <v>437</v>
      </c>
      <c r="B769" t="s">
        <v>18</v>
      </c>
      <c r="C769" t="s">
        <v>397</v>
      </c>
      <c r="D769">
        <v>1535</v>
      </c>
      <c r="E769">
        <v>823.26700000000005</v>
      </c>
      <c r="F769">
        <v>1940822</v>
      </c>
      <c r="G769" t="s">
        <v>428</v>
      </c>
      <c r="H769">
        <v>1289.4000000000001</v>
      </c>
      <c r="I769" t="s">
        <v>574</v>
      </c>
      <c r="J769" t="s">
        <v>10</v>
      </c>
      <c r="K769" t="s">
        <v>575</v>
      </c>
    </row>
    <row r="770" spans="1:11" x14ac:dyDescent="0.25">
      <c r="A770" t="s">
        <v>437</v>
      </c>
      <c r="B770" t="s">
        <v>18</v>
      </c>
      <c r="C770" t="s">
        <v>397</v>
      </c>
      <c r="D770">
        <v>1023</v>
      </c>
      <c r="E770">
        <v>548.66600000000005</v>
      </c>
      <c r="F770">
        <v>1940822</v>
      </c>
      <c r="G770" t="s">
        <v>428</v>
      </c>
      <c r="H770">
        <v>859.32</v>
      </c>
      <c r="I770" t="s">
        <v>574</v>
      </c>
      <c r="J770" t="s">
        <v>10</v>
      </c>
      <c r="K770" t="s">
        <v>575</v>
      </c>
    </row>
    <row r="771" spans="1:11" x14ac:dyDescent="0.25">
      <c r="A771" t="s">
        <v>437</v>
      </c>
      <c r="B771" t="s">
        <v>18</v>
      </c>
      <c r="C771" t="s">
        <v>397</v>
      </c>
      <c r="D771">
        <v>359</v>
      </c>
      <c r="E771">
        <v>192.542</v>
      </c>
      <c r="F771">
        <v>1940822</v>
      </c>
      <c r="G771" t="s">
        <v>428</v>
      </c>
      <c r="H771">
        <v>301.56</v>
      </c>
      <c r="I771" t="s">
        <v>574</v>
      </c>
      <c r="J771" t="s">
        <v>10</v>
      </c>
      <c r="K771" t="s">
        <v>575</v>
      </c>
    </row>
    <row r="772" spans="1:11" x14ac:dyDescent="0.25">
      <c r="A772" t="s">
        <v>437</v>
      </c>
      <c r="B772" t="s">
        <v>18</v>
      </c>
      <c r="C772" t="s">
        <v>397</v>
      </c>
      <c r="D772">
        <v>2</v>
      </c>
      <c r="E772">
        <v>1.073</v>
      </c>
      <c r="F772">
        <v>1940822</v>
      </c>
      <c r="G772" t="s">
        <v>428</v>
      </c>
      <c r="H772">
        <v>1.68</v>
      </c>
      <c r="I772" t="s">
        <v>574</v>
      </c>
      <c r="J772" t="s">
        <v>10</v>
      </c>
      <c r="K772" t="s">
        <v>575</v>
      </c>
    </row>
    <row r="773" spans="1:11" x14ac:dyDescent="0.25">
      <c r="A773" t="s">
        <v>437</v>
      </c>
      <c r="B773" t="s">
        <v>18</v>
      </c>
      <c r="C773" t="s">
        <v>397</v>
      </c>
      <c r="D773">
        <v>1</v>
      </c>
      <c r="E773">
        <v>0.53600000000000003</v>
      </c>
      <c r="F773">
        <v>1940822</v>
      </c>
      <c r="G773" t="s">
        <v>428</v>
      </c>
      <c r="H773">
        <v>0.84</v>
      </c>
      <c r="I773" t="s">
        <v>574</v>
      </c>
      <c r="J773" t="s">
        <v>10</v>
      </c>
      <c r="K773" t="s">
        <v>575</v>
      </c>
    </row>
    <row r="774" spans="1:11" x14ac:dyDescent="0.25">
      <c r="A774" t="s">
        <v>437</v>
      </c>
      <c r="B774" t="s">
        <v>18</v>
      </c>
      <c r="C774" t="s">
        <v>397</v>
      </c>
      <c r="D774">
        <v>1340</v>
      </c>
      <c r="E774">
        <v>718.68200000000002</v>
      </c>
      <c r="F774">
        <v>1940822</v>
      </c>
      <c r="G774" t="s">
        <v>428</v>
      </c>
      <c r="H774">
        <v>1125.5999999999999</v>
      </c>
      <c r="I774" t="s">
        <v>574</v>
      </c>
      <c r="J774" t="s">
        <v>10</v>
      </c>
      <c r="K774" t="s">
        <v>575</v>
      </c>
    </row>
    <row r="775" spans="1:11" x14ac:dyDescent="0.25">
      <c r="A775" t="s">
        <v>437</v>
      </c>
      <c r="B775" t="s">
        <v>18</v>
      </c>
      <c r="C775" t="s">
        <v>397</v>
      </c>
      <c r="D775">
        <v>4620</v>
      </c>
      <c r="E775">
        <v>2477.8440000000001</v>
      </c>
      <c r="F775">
        <v>1940822</v>
      </c>
      <c r="G775" t="s">
        <v>428</v>
      </c>
      <c r="H775">
        <v>3880.8</v>
      </c>
      <c r="I775" t="s">
        <v>574</v>
      </c>
      <c r="J775" t="s">
        <v>10</v>
      </c>
      <c r="K775" t="s">
        <v>575</v>
      </c>
    </row>
    <row r="776" spans="1:11" x14ac:dyDescent="0.25">
      <c r="A776" t="s">
        <v>437</v>
      </c>
      <c r="B776" t="s">
        <v>18</v>
      </c>
      <c r="C776" t="s">
        <v>397</v>
      </c>
      <c r="D776">
        <v>2500</v>
      </c>
      <c r="E776">
        <v>1399.885</v>
      </c>
      <c r="F776">
        <v>1940823</v>
      </c>
      <c r="G776" t="s">
        <v>428</v>
      </c>
      <c r="H776">
        <v>2192.5</v>
      </c>
      <c r="I776" t="s">
        <v>576</v>
      </c>
      <c r="J776" t="s">
        <v>10</v>
      </c>
      <c r="K776" t="s">
        <v>577</v>
      </c>
    </row>
    <row r="777" spans="1:11" x14ac:dyDescent="0.25">
      <c r="A777" t="s">
        <v>437</v>
      </c>
      <c r="B777" t="s">
        <v>18</v>
      </c>
      <c r="C777" t="s">
        <v>397</v>
      </c>
      <c r="D777">
        <v>336</v>
      </c>
      <c r="E777">
        <v>188.14500000000001</v>
      </c>
      <c r="F777">
        <v>1940823</v>
      </c>
      <c r="G777" t="s">
        <v>428</v>
      </c>
      <c r="H777">
        <v>294.67200000000003</v>
      </c>
      <c r="I777" t="s">
        <v>576</v>
      </c>
      <c r="J777" t="s">
        <v>10</v>
      </c>
      <c r="K777" t="s">
        <v>577</v>
      </c>
    </row>
    <row r="778" spans="1:11" x14ac:dyDescent="0.25">
      <c r="A778" t="s">
        <v>437</v>
      </c>
      <c r="B778" t="s">
        <v>18</v>
      </c>
      <c r="C778" t="s">
        <v>397</v>
      </c>
      <c r="D778">
        <v>4</v>
      </c>
      <c r="E778">
        <v>2.2400000000000002</v>
      </c>
      <c r="F778">
        <v>1940823</v>
      </c>
      <c r="G778" t="s">
        <v>428</v>
      </c>
      <c r="H778">
        <v>3.508</v>
      </c>
      <c r="I778" t="s">
        <v>576</v>
      </c>
      <c r="J778" t="s">
        <v>10</v>
      </c>
      <c r="K778" t="s">
        <v>577</v>
      </c>
    </row>
    <row r="779" spans="1:11" x14ac:dyDescent="0.25">
      <c r="A779" t="s">
        <v>437</v>
      </c>
      <c r="B779" t="s">
        <v>18</v>
      </c>
      <c r="C779" t="s">
        <v>397</v>
      </c>
      <c r="D779">
        <v>2060</v>
      </c>
      <c r="E779">
        <v>1153.5050000000001</v>
      </c>
      <c r="F779">
        <v>1940823</v>
      </c>
      <c r="G779" t="s">
        <v>428</v>
      </c>
      <c r="H779">
        <v>1806.62</v>
      </c>
      <c r="I779" t="s">
        <v>576</v>
      </c>
      <c r="J779" t="s">
        <v>10</v>
      </c>
      <c r="K779" t="s">
        <v>577</v>
      </c>
    </row>
    <row r="780" spans="1:11" x14ac:dyDescent="0.25">
      <c r="A780" t="s">
        <v>437</v>
      </c>
      <c r="B780" t="s">
        <v>18</v>
      </c>
      <c r="C780" t="s">
        <v>397</v>
      </c>
      <c r="D780">
        <v>353</v>
      </c>
      <c r="E780">
        <v>197.66399999999999</v>
      </c>
      <c r="F780">
        <v>1940823</v>
      </c>
      <c r="G780" t="s">
        <v>428</v>
      </c>
      <c r="H780">
        <v>309.58100000000002</v>
      </c>
      <c r="I780" t="s">
        <v>576</v>
      </c>
      <c r="J780" t="s">
        <v>10</v>
      </c>
      <c r="K780" t="s">
        <v>577</v>
      </c>
    </row>
    <row r="781" spans="1:11" x14ac:dyDescent="0.25">
      <c r="A781" t="s">
        <v>437</v>
      </c>
      <c r="B781" t="s">
        <v>18</v>
      </c>
      <c r="C781" t="s">
        <v>397</v>
      </c>
      <c r="D781">
        <v>4</v>
      </c>
      <c r="E781">
        <v>2.2400000000000002</v>
      </c>
      <c r="F781">
        <v>1940823</v>
      </c>
      <c r="G781" t="s">
        <v>428</v>
      </c>
      <c r="H781">
        <v>3.508</v>
      </c>
      <c r="I781" t="s">
        <v>576</v>
      </c>
      <c r="J781" t="s">
        <v>10</v>
      </c>
      <c r="K781" t="s">
        <v>577</v>
      </c>
    </row>
    <row r="782" spans="1:11" x14ac:dyDescent="0.25">
      <c r="A782" t="s">
        <v>437</v>
      </c>
      <c r="B782" t="s">
        <v>18</v>
      </c>
      <c r="C782" t="s">
        <v>397</v>
      </c>
      <c r="D782">
        <v>3</v>
      </c>
      <c r="E782">
        <v>1.68</v>
      </c>
      <c r="F782">
        <v>1940823</v>
      </c>
      <c r="G782" t="s">
        <v>428</v>
      </c>
      <c r="H782">
        <v>2.6309999999999998</v>
      </c>
      <c r="I782" t="s">
        <v>576</v>
      </c>
      <c r="J782" t="s">
        <v>10</v>
      </c>
      <c r="K782" t="s">
        <v>577</v>
      </c>
    </row>
    <row r="783" spans="1:11" x14ac:dyDescent="0.25">
      <c r="A783" t="s">
        <v>437</v>
      </c>
      <c r="B783" t="s">
        <v>18</v>
      </c>
      <c r="C783" t="s">
        <v>397</v>
      </c>
      <c r="D783">
        <v>1400</v>
      </c>
      <c r="E783">
        <v>783.93600000000004</v>
      </c>
      <c r="F783">
        <v>1940823</v>
      </c>
      <c r="G783" t="s">
        <v>428</v>
      </c>
      <c r="H783">
        <v>1227.8</v>
      </c>
      <c r="I783" t="s">
        <v>576</v>
      </c>
      <c r="J783" t="s">
        <v>10</v>
      </c>
      <c r="K783" t="s">
        <v>577</v>
      </c>
    </row>
    <row r="784" spans="1:11" x14ac:dyDescent="0.25">
      <c r="A784" t="s">
        <v>437</v>
      </c>
      <c r="B784" t="s">
        <v>18</v>
      </c>
      <c r="C784" t="s">
        <v>397</v>
      </c>
      <c r="D784">
        <v>800</v>
      </c>
      <c r="E784">
        <v>447.96300000000002</v>
      </c>
      <c r="F784">
        <v>1940823</v>
      </c>
      <c r="G784" t="s">
        <v>428</v>
      </c>
      <c r="H784">
        <v>701.6</v>
      </c>
      <c r="I784" t="s">
        <v>576</v>
      </c>
      <c r="J784" t="s">
        <v>10</v>
      </c>
      <c r="K784" t="s">
        <v>577</v>
      </c>
    </row>
    <row r="785" spans="1:11" x14ac:dyDescent="0.25">
      <c r="A785" t="s">
        <v>437</v>
      </c>
      <c r="B785" t="s">
        <v>18</v>
      </c>
      <c r="C785" t="s">
        <v>397</v>
      </c>
      <c r="D785">
        <v>633</v>
      </c>
      <c r="E785">
        <v>354.45100000000002</v>
      </c>
      <c r="F785">
        <v>1940823</v>
      </c>
      <c r="G785" t="s">
        <v>428</v>
      </c>
      <c r="H785">
        <v>555.14099999999996</v>
      </c>
      <c r="I785" t="s">
        <v>576</v>
      </c>
      <c r="J785" t="s">
        <v>10</v>
      </c>
      <c r="K785" t="s">
        <v>577</v>
      </c>
    </row>
    <row r="786" spans="1:11" x14ac:dyDescent="0.25">
      <c r="A786" t="s">
        <v>437</v>
      </c>
      <c r="B786" t="s">
        <v>18</v>
      </c>
      <c r="C786" t="s">
        <v>397</v>
      </c>
      <c r="D786">
        <v>7</v>
      </c>
      <c r="E786">
        <v>3.92</v>
      </c>
      <c r="F786">
        <v>1940823</v>
      </c>
      <c r="G786" t="s">
        <v>428</v>
      </c>
      <c r="H786">
        <v>6.1390000000000002</v>
      </c>
      <c r="I786" t="s">
        <v>576</v>
      </c>
      <c r="J786" t="s">
        <v>10</v>
      </c>
      <c r="K786" t="s">
        <v>577</v>
      </c>
    </row>
    <row r="787" spans="1:11" x14ac:dyDescent="0.25">
      <c r="A787" t="s">
        <v>437</v>
      </c>
      <c r="B787" t="s">
        <v>18</v>
      </c>
      <c r="C787" t="s">
        <v>397</v>
      </c>
      <c r="D787">
        <v>880</v>
      </c>
      <c r="E787">
        <v>492.76</v>
      </c>
      <c r="F787">
        <v>1940823</v>
      </c>
      <c r="G787" t="s">
        <v>428</v>
      </c>
      <c r="H787">
        <v>771.76</v>
      </c>
      <c r="I787" t="s">
        <v>576</v>
      </c>
      <c r="J787" t="s">
        <v>10</v>
      </c>
      <c r="K787" t="s">
        <v>577</v>
      </c>
    </row>
    <row r="788" spans="1:11" x14ac:dyDescent="0.25">
      <c r="A788" t="s">
        <v>437</v>
      </c>
      <c r="B788" t="s">
        <v>18</v>
      </c>
      <c r="C788" t="s">
        <v>397</v>
      </c>
      <c r="D788">
        <v>1995</v>
      </c>
      <c r="E788">
        <v>1117.1079999999999</v>
      </c>
      <c r="F788">
        <v>1940823</v>
      </c>
      <c r="G788" t="s">
        <v>428</v>
      </c>
      <c r="H788">
        <v>1749.615</v>
      </c>
      <c r="I788" t="s">
        <v>576</v>
      </c>
      <c r="J788" t="s">
        <v>10</v>
      </c>
      <c r="K788" t="s">
        <v>577</v>
      </c>
    </row>
    <row r="789" spans="1:11" x14ac:dyDescent="0.25">
      <c r="A789" t="s">
        <v>437</v>
      </c>
      <c r="B789" t="s">
        <v>18</v>
      </c>
      <c r="C789" t="s">
        <v>397</v>
      </c>
      <c r="D789">
        <v>5</v>
      </c>
      <c r="E789">
        <v>2.8</v>
      </c>
      <c r="F789">
        <v>1940823</v>
      </c>
      <c r="G789" t="s">
        <v>428</v>
      </c>
      <c r="H789">
        <v>4.3849999999999998</v>
      </c>
      <c r="I789" t="s">
        <v>576</v>
      </c>
      <c r="J789" t="s">
        <v>10</v>
      </c>
      <c r="K789" t="s">
        <v>577</v>
      </c>
    </row>
    <row r="790" spans="1:11" x14ac:dyDescent="0.25">
      <c r="A790" t="s">
        <v>437</v>
      </c>
      <c r="B790" t="s">
        <v>18</v>
      </c>
      <c r="C790" t="s">
        <v>397</v>
      </c>
      <c r="D790">
        <v>842</v>
      </c>
      <c r="E790">
        <v>471.48099999999999</v>
      </c>
      <c r="F790">
        <v>1940823</v>
      </c>
      <c r="G790" t="s">
        <v>428</v>
      </c>
      <c r="H790">
        <v>738.43399999999997</v>
      </c>
      <c r="I790" t="s">
        <v>576</v>
      </c>
      <c r="J790" t="s">
        <v>10</v>
      </c>
      <c r="K790" t="s">
        <v>577</v>
      </c>
    </row>
    <row r="791" spans="1:11" x14ac:dyDescent="0.25">
      <c r="A791" t="s">
        <v>437</v>
      </c>
      <c r="B791" t="s">
        <v>18</v>
      </c>
      <c r="C791" t="s">
        <v>397</v>
      </c>
      <c r="D791">
        <v>299</v>
      </c>
      <c r="E791">
        <v>167.42599999999999</v>
      </c>
      <c r="F791">
        <v>1940823</v>
      </c>
      <c r="G791" t="s">
        <v>428</v>
      </c>
      <c r="H791">
        <v>262.22300000000001</v>
      </c>
      <c r="I791" t="s">
        <v>576</v>
      </c>
      <c r="J791" t="s">
        <v>10</v>
      </c>
      <c r="K791" t="s">
        <v>577</v>
      </c>
    </row>
    <row r="792" spans="1:11" x14ac:dyDescent="0.25">
      <c r="A792" t="s">
        <v>437</v>
      </c>
      <c r="B792" t="s">
        <v>18</v>
      </c>
      <c r="C792" t="s">
        <v>397</v>
      </c>
      <c r="D792">
        <v>299</v>
      </c>
      <c r="E792">
        <v>167.42599999999999</v>
      </c>
      <c r="F792">
        <v>1940823</v>
      </c>
      <c r="G792" t="s">
        <v>428</v>
      </c>
      <c r="H792">
        <v>262.22300000000001</v>
      </c>
      <c r="I792" t="s">
        <v>576</v>
      </c>
      <c r="J792" t="s">
        <v>10</v>
      </c>
      <c r="K792" t="s">
        <v>577</v>
      </c>
    </row>
    <row r="793" spans="1:11" x14ac:dyDescent="0.25">
      <c r="A793" t="s">
        <v>437</v>
      </c>
      <c r="B793" t="s">
        <v>18</v>
      </c>
      <c r="C793" t="s">
        <v>397</v>
      </c>
      <c r="D793">
        <v>2580</v>
      </c>
      <c r="E793">
        <v>1444.681</v>
      </c>
      <c r="F793">
        <v>1940823</v>
      </c>
      <c r="G793" t="s">
        <v>428</v>
      </c>
      <c r="H793">
        <v>2262.66</v>
      </c>
      <c r="I793" t="s">
        <v>576</v>
      </c>
      <c r="J793" t="s">
        <v>10</v>
      </c>
      <c r="K793" t="s">
        <v>577</v>
      </c>
    </row>
    <row r="794" spans="1:11" x14ac:dyDescent="0.25">
      <c r="A794" t="s">
        <v>437</v>
      </c>
      <c r="B794" t="s">
        <v>18</v>
      </c>
      <c r="C794" t="s">
        <v>397</v>
      </c>
      <c r="D794">
        <v>520</v>
      </c>
      <c r="E794">
        <v>77.171999999999997</v>
      </c>
      <c r="F794">
        <v>4098592</v>
      </c>
      <c r="G794" t="s">
        <v>578</v>
      </c>
      <c r="H794">
        <v>153.91999999999999</v>
      </c>
      <c r="I794" t="s">
        <v>579</v>
      </c>
      <c r="J794" t="s">
        <v>10</v>
      </c>
      <c r="K794" t="s">
        <v>580</v>
      </c>
    </row>
    <row r="795" spans="1:11" x14ac:dyDescent="0.25">
      <c r="A795" t="s">
        <v>437</v>
      </c>
      <c r="B795" t="s">
        <v>18</v>
      </c>
      <c r="C795" t="s">
        <v>397</v>
      </c>
      <c r="D795">
        <v>3657</v>
      </c>
      <c r="E795">
        <v>542.72900000000004</v>
      </c>
      <c r="F795">
        <v>4098592</v>
      </c>
      <c r="G795" t="s">
        <v>578</v>
      </c>
      <c r="H795">
        <v>1082.472</v>
      </c>
      <c r="I795" t="s">
        <v>579</v>
      </c>
      <c r="J795" t="s">
        <v>10</v>
      </c>
      <c r="K795" t="s">
        <v>580</v>
      </c>
    </row>
    <row r="796" spans="1:11" x14ac:dyDescent="0.25">
      <c r="A796" t="s">
        <v>437</v>
      </c>
      <c r="B796" t="s">
        <v>18</v>
      </c>
      <c r="C796" t="s">
        <v>397</v>
      </c>
      <c r="D796">
        <v>3</v>
      </c>
      <c r="E796">
        <v>0.44500000000000001</v>
      </c>
      <c r="F796">
        <v>4098592</v>
      </c>
      <c r="G796" t="s">
        <v>578</v>
      </c>
      <c r="H796">
        <v>0.88800000000000001</v>
      </c>
      <c r="I796" t="s">
        <v>579</v>
      </c>
      <c r="J796" t="s">
        <v>10</v>
      </c>
      <c r="K796" t="s">
        <v>580</v>
      </c>
    </row>
    <row r="797" spans="1:11" x14ac:dyDescent="0.25">
      <c r="A797" t="s">
        <v>437</v>
      </c>
      <c r="B797" t="s">
        <v>18</v>
      </c>
      <c r="C797" t="s">
        <v>397</v>
      </c>
      <c r="D797">
        <v>760</v>
      </c>
      <c r="E797">
        <v>112.79</v>
      </c>
      <c r="F797">
        <v>4098592</v>
      </c>
      <c r="G797" t="s">
        <v>578</v>
      </c>
      <c r="H797">
        <v>224.96</v>
      </c>
      <c r="I797" t="s">
        <v>579</v>
      </c>
      <c r="J797" t="s">
        <v>10</v>
      </c>
      <c r="K797" t="s">
        <v>580</v>
      </c>
    </row>
    <row r="798" spans="1:11" x14ac:dyDescent="0.25">
      <c r="A798" t="s">
        <v>437</v>
      </c>
      <c r="B798" t="s">
        <v>18</v>
      </c>
      <c r="C798" t="s">
        <v>397</v>
      </c>
      <c r="D798">
        <v>1200</v>
      </c>
      <c r="E798">
        <v>178.09</v>
      </c>
      <c r="F798">
        <v>4098592</v>
      </c>
      <c r="G798" t="s">
        <v>578</v>
      </c>
      <c r="H798">
        <v>355.2</v>
      </c>
      <c r="I798" t="s">
        <v>579</v>
      </c>
      <c r="J798" t="s">
        <v>10</v>
      </c>
      <c r="K798" t="s">
        <v>580</v>
      </c>
    </row>
    <row r="799" spans="1:11" x14ac:dyDescent="0.25">
      <c r="A799" t="s">
        <v>437</v>
      </c>
      <c r="B799" t="s">
        <v>18</v>
      </c>
      <c r="C799" t="s">
        <v>397</v>
      </c>
      <c r="D799">
        <v>2794</v>
      </c>
      <c r="E799">
        <v>414.65199999999999</v>
      </c>
      <c r="F799">
        <v>4098592</v>
      </c>
      <c r="G799" t="s">
        <v>578</v>
      </c>
      <c r="H799">
        <v>827.024</v>
      </c>
      <c r="I799" t="s">
        <v>579</v>
      </c>
      <c r="J799" t="s">
        <v>10</v>
      </c>
      <c r="K799" t="s">
        <v>580</v>
      </c>
    </row>
    <row r="800" spans="1:11" x14ac:dyDescent="0.25">
      <c r="A800" t="s">
        <v>437</v>
      </c>
      <c r="B800" t="s">
        <v>18</v>
      </c>
      <c r="C800" t="s">
        <v>397</v>
      </c>
      <c r="D800">
        <v>642</v>
      </c>
      <c r="E800">
        <v>95.278000000000006</v>
      </c>
      <c r="F800">
        <v>4098592</v>
      </c>
      <c r="G800" t="s">
        <v>578</v>
      </c>
      <c r="H800">
        <v>190.03200000000001</v>
      </c>
      <c r="I800" t="s">
        <v>579</v>
      </c>
      <c r="J800" t="s">
        <v>10</v>
      </c>
      <c r="K800" t="s">
        <v>580</v>
      </c>
    </row>
    <row r="801" spans="1:11" x14ac:dyDescent="0.25">
      <c r="A801" t="s">
        <v>437</v>
      </c>
      <c r="B801" t="s">
        <v>18</v>
      </c>
      <c r="C801" t="s">
        <v>397</v>
      </c>
      <c r="D801">
        <v>56</v>
      </c>
      <c r="E801">
        <v>8.3109999999999999</v>
      </c>
      <c r="F801">
        <v>4098592</v>
      </c>
      <c r="G801" t="s">
        <v>578</v>
      </c>
      <c r="H801">
        <v>16.576000000000001</v>
      </c>
      <c r="I801" t="s">
        <v>579</v>
      </c>
      <c r="J801" t="s">
        <v>10</v>
      </c>
      <c r="K801" t="s">
        <v>580</v>
      </c>
    </row>
    <row r="802" spans="1:11" x14ac:dyDescent="0.25">
      <c r="A802" t="s">
        <v>437</v>
      </c>
      <c r="B802" t="s">
        <v>18</v>
      </c>
      <c r="C802" t="s">
        <v>397</v>
      </c>
      <c r="D802">
        <v>8</v>
      </c>
      <c r="E802">
        <v>1.1870000000000001</v>
      </c>
      <c r="F802">
        <v>4098592</v>
      </c>
      <c r="G802" t="s">
        <v>578</v>
      </c>
      <c r="H802">
        <v>2.3679999999999999</v>
      </c>
      <c r="I802" t="s">
        <v>579</v>
      </c>
      <c r="J802" t="s">
        <v>10</v>
      </c>
      <c r="K802" t="s">
        <v>580</v>
      </c>
    </row>
    <row r="803" spans="1:11" x14ac:dyDescent="0.25">
      <c r="A803" t="s">
        <v>437</v>
      </c>
      <c r="B803" t="s">
        <v>18</v>
      </c>
      <c r="C803" t="s">
        <v>397</v>
      </c>
      <c r="D803">
        <v>1664</v>
      </c>
      <c r="E803">
        <v>246.95099999999999</v>
      </c>
      <c r="F803">
        <v>4098592</v>
      </c>
      <c r="G803" t="s">
        <v>578</v>
      </c>
      <c r="H803">
        <v>492.54399999999998</v>
      </c>
      <c r="I803" t="s">
        <v>579</v>
      </c>
      <c r="J803" t="s">
        <v>10</v>
      </c>
      <c r="K803" t="s">
        <v>580</v>
      </c>
    </row>
    <row r="804" spans="1:11" x14ac:dyDescent="0.25">
      <c r="A804" t="s">
        <v>437</v>
      </c>
      <c r="B804" t="s">
        <v>18</v>
      </c>
      <c r="C804" t="s">
        <v>397</v>
      </c>
      <c r="D804">
        <v>483</v>
      </c>
      <c r="E804">
        <v>71.680999999999997</v>
      </c>
      <c r="F804">
        <v>4098592</v>
      </c>
      <c r="G804" t="s">
        <v>578</v>
      </c>
      <c r="H804">
        <v>142.96799999999999</v>
      </c>
      <c r="I804" t="s">
        <v>579</v>
      </c>
      <c r="J804" t="s">
        <v>10</v>
      </c>
      <c r="K804" t="s">
        <v>580</v>
      </c>
    </row>
    <row r="805" spans="1:11" x14ac:dyDescent="0.25">
      <c r="A805" t="s">
        <v>437</v>
      </c>
      <c r="B805" t="s">
        <v>18</v>
      </c>
      <c r="C805" t="s">
        <v>397</v>
      </c>
      <c r="D805">
        <v>13</v>
      </c>
      <c r="E805">
        <v>1.929</v>
      </c>
      <c r="F805">
        <v>4098592</v>
      </c>
      <c r="G805" t="s">
        <v>578</v>
      </c>
      <c r="H805">
        <v>3.8479999999999999</v>
      </c>
      <c r="I805" t="s">
        <v>579</v>
      </c>
      <c r="J805" t="s">
        <v>10</v>
      </c>
      <c r="K805" t="s">
        <v>580</v>
      </c>
    </row>
    <row r="806" spans="1:11" x14ac:dyDescent="0.25">
      <c r="A806" t="s">
        <v>437</v>
      </c>
      <c r="B806" t="s">
        <v>18</v>
      </c>
      <c r="C806" t="s">
        <v>397</v>
      </c>
      <c r="D806">
        <v>2090</v>
      </c>
      <c r="E806">
        <v>310.173</v>
      </c>
      <c r="F806">
        <v>4098592</v>
      </c>
      <c r="G806" t="s">
        <v>578</v>
      </c>
      <c r="H806">
        <v>618.64</v>
      </c>
      <c r="I806" t="s">
        <v>579</v>
      </c>
      <c r="J806" t="s">
        <v>10</v>
      </c>
      <c r="K806" t="s">
        <v>580</v>
      </c>
    </row>
    <row r="807" spans="1:11" x14ac:dyDescent="0.25">
      <c r="A807" t="s">
        <v>437</v>
      </c>
      <c r="B807" t="s">
        <v>18</v>
      </c>
      <c r="C807" t="s">
        <v>397</v>
      </c>
      <c r="D807">
        <v>439</v>
      </c>
      <c r="E807">
        <v>65.150999999999996</v>
      </c>
      <c r="F807">
        <v>4098592</v>
      </c>
      <c r="G807" t="s">
        <v>578</v>
      </c>
      <c r="H807">
        <v>129.94399999999999</v>
      </c>
      <c r="I807" t="s">
        <v>579</v>
      </c>
      <c r="J807" t="s">
        <v>10</v>
      </c>
      <c r="K807" t="s">
        <v>580</v>
      </c>
    </row>
    <row r="808" spans="1:11" x14ac:dyDescent="0.25">
      <c r="A808" t="s">
        <v>437</v>
      </c>
      <c r="B808" t="s">
        <v>18</v>
      </c>
      <c r="C808" t="s">
        <v>397</v>
      </c>
      <c r="D808">
        <v>11</v>
      </c>
      <c r="E808">
        <v>1.6319999999999999</v>
      </c>
      <c r="F808">
        <v>4098592</v>
      </c>
      <c r="G808" t="s">
        <v>578</v>
      </c>
      <c r="H808">
        <v>3.2559999999999998</v>
      </c>
      <c r="I808" t="s">
        <v>579</v>
      </c>
      <c r="J808" t="s">
        <v>10</v>
      </c>
      <c r="K808" t="s">
        <v>580</v>
      </c>
    </row>
    <row r="809" spans="1:11" x14ac:dyDescent="0.25">
      <c r="A809" t="s">
        <v>437</v>
      </c>
      <c r="B809" t="s">
        <v>18</v>
      </c>
      <c r="C809" t="s">
        <v>397</v>
      </c>
      <c r="D809">
        <v>1780</v>
      </c>
      <c r="E809">
        <v>264.166</v>
      </c>
      <c r="F809">
        <v>4098592</v>
      </c>
      <c r="G809" t="s">
        <v>578</v>
      </c>
      <c r="H809">
        <v>526.88</v>
      </c>
      <c r="I809" t="s">
        <v>579</v>
      </c>
      <c r="J809" t="s">
        <v>10</v>
      </c>
      <c r="K809" t="s">
        <v>580</v>
      </c>
    </row>
    <row r="810" spans="1:11" x14ac:dyDescent="0.25">
      <c r="A810" t="s">
        <v>437</v>
      </c>
      <c r="B810" t="s">
        <v>18</v>
      </c>
      <c r="C810" t="s">
        <v>397</v>
      </c>
      <c r="D810">
        <v>380</v>
      </c>
      <c r="E810">
        <v>56.395000000000003</v>
      </c>
      <c r="F810">
        <v>4098592</v>
      </c>
      <c r="G810" t="s">
        <v>578</v>
      </c>
      <c r="H810">
        <v>112.48</v>
      </c>
      <c r="I810" t="s">
        <v>579</v>
      </c>
      <c r="J810" t="s">
        <v>10</v>
      </c>
      <c r="K810" t="s">
        <v>580</v>
      </c>
    </row>
    <row r="811" spans="1:11" x14ac:dyDescent="0.25">
      <c r="A811" t="s">
        <v>437</v>
      </c>
      <c r="B811" t="s">
        <v>18</v>
      </c>
      <c r="C811" t="s">
        <v>397</v>
      </c>
      <c r="D811">
        <v>1260</v>
      </c>
      <c r="E811">
        <v>186.994</v>
      </c>
      <c r="F811">
        <v>4098592</v>
      </c>
      <c r="G811" t="s">
        <v>578</v>
      </c>
      <c r="H811">
        <v>372.96</v>
      </c>
      <c r="I811" t="s">
        <v>579</v>
      </c>
      <c r="J811" t="s">
        <v>10</v>
      </c>
      <c r="K811" t="s">
        <v>580</v>
      </c>
    </row>
    <row r="812" spans="1:11" x14ac:dyDescent="0.25">
      <c r="A812" t="s">
        <v>437</v>
      </c>
      <c r="B812" t="s">
        <v>18</v>
      </c>
      <c r="C812" t="s">
        <v>397</v>
      </c>
      <c r="D812">
        <v>1500</v>
      </c>
      <c r="E812">
        <v>222.61199999999999</v>
      </c>
      <c r="F812">
        <v>4098592</v>
      </c>
      <c r="G812" t="s">
        <v>578</v>
      </c>
      <c r="H812">
        <v>444</v>
      </c>
      <c r="I812" t="s">
        <v>579</v>
      </c>
      <c r="J812" t="s">
        <v>10</v>
      </c>
      <c r="K812" t="s">
        <v>580</v>
      </c>
    </row>
    <row r="813" spans="1:11" x14ac:dyDescent="0.25">
      <c r="A813" t="s">
        <v>437</v>
      </c>
      <c r="B813" t="s">
        <v>18</v>
      </c>
      <c r="C813" t="s">
        <v>397</v>
      </c>
      <c r="D813">
        <v>1885</v>
      </c>
      <c r="E813">
        <v>279.74900000000002</v>
      </c>
      <c r="F813">
        <v>4098592</v>
      </c>
      <c r="G813" t="s">
        <v>578</v>
      </c>
      <c r="H813">
        <v>557.96</v>
      </c>
      <c r="I813" t="s">
        <v>579</v>
      </c>
      <c r="J813" t="s">
        <v>10</v>
      </c>
      <c r="K813" t="s">
        <v>580</v>
      </c>
    </row>
    <row r="814" spans="1:11" x14ac:dyDescent="0.25">
      <c r="A814" t="s">
        <v>437</v>
      </c>
      <c r="B814" t="s">
        <v>18</v>
      </c>
      <c r="C814" t="s">
        <v>397</v>
      </c>
      <c r="D814">
        <v>175</v>
      </c>
      <c r="E814">
        <v>25.971</v>
      </c>
      <c r="F814">
        <v>4098592</v>
      </c>
      <c r="G814" t="s">
        <v>578</v>
      </c>
      <c r="H814">
        <v>51.8</v>
      </c>
      <c r="I814" t="s">
        <v>579</v>
      </c>
      <c r="J814" t="s">
        <v>10</v>
      </c>
      <c r="K814" t="s">
        <v>580</v>
      </c>
    </row>
    <row r="815" spans="1:11" x14ac:dyDescent="0.25">
      <c r="A815" t="s">
        <v>437</v>
      </c>
      <c r="B815" t="s">
        <v>18</v>
      </c>
      <c r="C815" t="s">
        <v>397</v>
      </c>
      <c r="D815">
        <v>120</v>
      </c>
      <c r="E815">
        <v>17.809000000000001</v>
      </c>
      <c r="F815">
        <v>4098592</v>
      </c>
      <c r="G815" t="s">
        <v>578</v>
      </c>
      <c r="H815">
        <v>35.520000000000003</v>
      </c>
      <c r="I815" t="s">
        <v>579</v>
      </c>
      <c r="J815" t="s">
        <v>10</v>
      </c>
      <c r="K815" t="s">
        <v>580</v>
      </c>
    </row>
    <row r="816" spans="1:11" x14ac:dyDescent="0.25">
      <c r="A816" t="s">
        <v>581</v>
      </c>
      <c r="B816" t="s">
        <v>18</v>
      </c>
      <c r="C816" t="s">
        <v>397</v>
      </c>
      <c r="D816">
        <v>2575</v>
      </c>
      <c r="E816">
        <v>1223.124</v>
      </c>
      <c r="F816">
        <v>1940626</v>
      </c>
      <c r="G816" t="s">
        <v>582</v>
      </c>
      <c r="H816">
        <v>1566.9449999999999</v>
      </c>
      <c r="I816" t="s">
        <v>583</v>
      </c>
      <c r="J816" t="s">
        <v>10</v>
      </c>
      <c r="K816" t="s">
        <v>584</v>
      </c>
    </row>
    <row r="817" spans="1:11" x14ac:dyDescent="0.25">
      <c r="A817" t="s">
        <v>581</v>
      </c>
      <c r="B817" t="s">
        <v>18</v>
      </c>
      <c r="C817" t="s">
        <v>397</v>
      </c>
      <c r="D817">
        <v>4629</v>
      </c>
      <c r="E817">
        <v>2198.7739999999999</v>
      </c>
      <c r="F817">
        <v>1940626</v>
      </c>
      <c r="G817" t="s">
        <v>582</v>
      </c>
      <c r="H817">
        <v>2816.8490000000002</v>
      </c>
      <c r="I817" t="s">
        <v>583</v>
      </c>
      <c r="J817" t="s">
        <v>10</v>
      </c>
      <c r="K817" t="s">
        <v>584</v>
      </c>
    </row>
    <row r="818" spans="1:11" x14ac:dyDescent="0.25">
      <c r="A818" t="s">
        <v>581</v>
      </c>
      <c r="B818" t="s">
        <v>18</v>
      </c>
      <c r="C818" t="s">
        <v>397</v>
      </c>
      <c r="D818">
        <v>3168</v>
      </c>
      <c r="E818">
        <v>1504.799</v>
      </c>
      <c r="F818">
        <v>1940626</v>
      </c>
      <c r="G818" t="s">
        <v>582</v>
      </c>
      <c r="H818">
        <v>1927.798</v>
      </c>
      <c r="I818" t="s">
        <v>583</v>
      </c>
      <c r="J818" t="s">
        <v>10</v>
      </c>
      <c r="K818" t="s">
        <v>584</v>
      </c>
    </row>
    <row r="819" spans="1:11" x14ac:dyDescent="0.25">
      <c r="A819" t="s">
        <v>581</v>
      </c>
      <c r="B819" t="s">
        <v>18</v>
      </c>
      <c r="C819" t="s">
        <v>397</v>
      </c>
      <c r="D819">
        <v>98</v>
      </c>
      <c r="E819">
        <v>46.55</v>
      </c>
      <c r="F819">
        <v>1940626</v>
      </c>
      <c r="G819" t="s">
        <v>582</v>
      </c>
      <c r="H819">
        <v>59.634999999999998</v>
      </c>
      <c r="I819" t="s">
        <v>583</v>
      </c>
      <c r="J819" t="s">
        <v>10</v>
      </c>
      <c r="K819" t="s">
        <v>584</v>
      </c>
    </row>
    <row r="820" spans="1:11" x14ac:dyDescent="0.25">
      <c r="A820" t="s">
        <v>581</v>
      </c>
      <c r="B820" t="s">
        <v>18</v>
      </c>
      <c r="C820" t="s">
        <v>397</v>
      </c>
      <c r="D820">
        <v>4</v>
      </c>
      <c r="E820">
        <v>1.9</v>
      </c>
      <c r="F820">
        <v>1940626</v>
      </c>
      <c r="G820" t="s">
        <v>582</v>
      </c>
      <c r="H820">
        <v>2.4340000000000002</v>
      </c>
      <c r="I820" t="s">
        <v>583</v>
      </c>
      <c r="J820" t="s">
        <v>10</v>
      </c>
      <c r="K820" t="s">
        <v>584</v>
      </c>
    </row>
    <row r="821" spans="1:11" x14ac:dyDescent="0.25">
      <c r="A821" t="s">
        <v>581</v>
      </c>
      <c r="B821" t="s">
        <v>18</v>
      </c>
      <c r="C821" t="s">
        <v>397</v>
      </c>
      <c r="D821">
        <v>1</v>
      </c>
      <c r="E821">
        <v>0.47499999999999998</v>
      </c>
      <c r="F821">
        <v>1940626</v>
      </c>
      <c r="G821" t="s">
        <v>582</v>
      </c>
      <c r="H821">
        <v>0.60899999999999999</v>
      </c>
      <c r="I821" t="s">
        <v>583</v>
      </c>
      <c r="J821" t="s">
        <v>10</v>
      </c>
      <c r="K821" t="s">
        <v>584</v>
      </c>
    </row>
    <row r="822" spans="1:11" x14ac:dyDescent="0.25">
      <c r="A822" t="s">
        <v>581</v>
      </c>
      <c r="B822" t="s">
        <v>18</v>
      </c>
      <c r="C822" t="s">
        <v>397</v>
      </c>
      <c r="D822">
        <v>3000</v>
      </c>
      <c r="E822">
        <v>1424.999</v>
      </c>
      <c r="F822">
        <v>1940626</v>
      </c>
      <c r="G822" t="s">
        <v>582</v>
      </c>
      <c r="H822">
        <v>1825.567</v>
      </c>
      <c r="I822" t="s">
        <v>583</v>
      </c>
      <c r="J822" t="s">
        <v>10</v>
      </c>
      <c r="K822" t="s">
        <v>584</v>
      </c>
    </row>
    <row r="823" spans="1:11" x14ac:dyDescent="0.25">
      <c r="A823" t="s">
        <v>585</v>
      </c>
      <c r="B823" t="s">
        <v>48</v>
      </c>
      <c r="C823" t="s">
        <v>397</v>
      </c>
      <c r="D823">
        <v>1469</v>
      </c>
      <c r="E823">
        <v>1263.684</v>
      </c>
      <c r="F823">
        <v>1940830</v>
      </c>
      <c r="G823" t="s">
        <v>586</v>
      </c>
      <c r="H823">
        <v>2137.395</v>
      </c>
      <c r="I823" t="s">
        <v>587</v>
      </c>
      <c r="J823" t="s">
        <v>10</v>
      </c>
      <c r="K823" t="s">
        <v>588</v>
      </c>
    </row>
    <row r="824" spans="1:11" x14ac:dyDescent="0.25">
      <c r="A824" t="s">
        <v>585</v>
      </c>
      <c r="B824" t="s">
        <v>48</v>
      </c>
      <c r="C824" t="s">
        <v>397</v>
      </c>
      <c r="D824">
        <v>1341</v>
      </c>
      <c r="E824">
        <v>1153.5740000000001</v>
      </c>
      <c r="F824">
        <v>1940830</v>
      </c>
      <c r="G824" t="s">
        <v>586</v>
      </c>
      <c r="H824">
        <v>1951.155</v>
      </c>
      <c r="I824" t="s">
        <v>587</v>
      </c>
      <c r="J824" t="s">
        <v>10</v>
      </c>
      <c r="K824" t="s">
        <v>588</v>
      </c>
    </row>
    <row r="825" spans="1:11" x14ac:dyDescent="0.25">
      <c r="A825" t="s">
        <v>585</v>
      </c>
      <c r="B825" t="s">
        <v>48</v>
      </c>
      <c r="C825" t="s">
        <v>397</v>
      </c>
      <c r="D825">
        <v>190</v>
      </c>
      <c r="E825">
        <v>163.44399999999999</v>
      </c>
      <c r="F825">
        <v>1940830</v>
      </c>
      <c r="G825" t="s">
        <v>586</v>
      </c>
      <c r="H825">
        <v>276.45</v>
      </c>
      <c r="I825" t="s">
        <v>587</v>
      </c>
      <c r="J825" t="s">
        <v>10</v>
      </c>
      <c r="K825" t="s">
        <v>588</v>
      </c>
    </row>
    <row r="826" spans="1:11" x14ac:dyDescent="0.25">
      <c r="A826" t="s">
        <v>585</v>
      </c>
      <c r="B826" t="s">
        <v>48</v>
      </c>
      <c r="C826" t="s">
        <v>397</v>
      </c>
      <c r="D826">
        <v>577</v>
      </c>
      <c r="E826">
        <v>496.35500000000002</v>
      </c>
      <c r="F826">
        <v>1940830</v>
      </c>
      <c r="G826" t="s">
        <v>586</v>
      </c>
      <c r="H826">
        <v>839.53499999999997</v>
      </c>
      <c r="I826" t="s">
        <v>587</v>
      </c>
      <c r="J826" t="s">
        <v>10</v>
      </c>
      <c r="K826" t="s">
        <v>588</v>
      </c>
    </row>
    <row r="827" spans="1:11" x14ac:dyDescent="0.25">
      <c r="A827" t="s">
        <v>585</v>
      </c>
      <c r="B827" t="s">
        <v>48</v>
      </c>
      <c r="C827" t="s">
        <v>397</v>
      </c>
      <c r="D827">
        <v>1274</v>
      </c>
      <c r="E827">
        <v>1095.9380000000001</v>
      </c>
      <c r="F827">
        <v>1940830</v>
      </c>
      <c r="G827" t="s">
        <v>586</v>
      </c>
      <c r="H827">
        <v>1853.67</v>
      </c>
      <c r="I827" t="s">
        <v>587</v>
      </c>
      <c r="J827" t="s">
        <v>10</v>
      </c>
      <c r="K827" t="s">
        <v>588</v>
      </c>
    </row>
    <row r="828" spans="1:11" x14ac:dyDescent="0.25">
      <c r="A828" t="s">
        <v>585</v>
      </c>
      <c r="B828" t="s">
        <v>48</v>
      </c>
      <c r="C828" t="s">
        <v>397</v>
      </c>
      <c r="D828">
        <v>1149</v>
      </c>
      <c r="E828">
        <v>988.40899999999999</v>
      </c>
      <c r="F828">
        <v>1940830</v>
      </c>
      <c r="G828" t="s">
        <v>586</v>
      </c>
      <c r="H828">
        <v>1671.7950000000001</v>
      </c>
      <c r="I828" t="s">
        <v>587</v>
      </c>
      <c r="J828" t="s">
        <v>10</v>
      </c>
      <c r="K828" t="s">
        <v>588</v>
      </c>
    </row>
    <row r="829" spans="1:11" x14ac:dyDescent="0.25">
      <c r="A829" t="s">
        <v>585</v>
      </c>
      <c r="B829" t="s">
        <v>48</v>
      </c>
      <c r="C829" t="s">
        <v>397</v>
      </c>
      <c r="D829">
        <v>890</v>
      </c>
      <c r="E829">
        <v>765.60799999999995</v>
      </c>
      <c r="F829">
        <v>1940830</v>
      </c>
      <c r="G829" t="s">
        <v>586</v>
      </c>
      <c r="H829">
        <v>1294.95</v>
      </c>
      <c r="I829" t="s">
        <v>587</v>
      </c>
      <c r="J829" t="s">
        <v>10</v>
      </c>
      <c r="K829" t="s">
        <v>588</v>
      </c>
    </row>
    <row r="830" spans="1:11" x14ac:dyDescent="0.25">
      <c r="A830" t="s">
        <v>585</v>
      </c>
      <c r="B830" t="s">
        <v>48</v>
      </c>
      <c r="C830" t="s">
        <v>397</v>
      </c>
      <c r="D830">
        <v>752</v>
      </c>
      <c r="E830">
        <v>646.89599999999996</v>
      </c>
      <c r="F830">
        <v>1940830</v>
      </c>
      <c r="G830" t="s">
        <v>586</v>
      </c>
      <c r="H830">
        <v>1094.1600000000001</v>
      </c>
      <c r="I830" t="s">
        <v>587</v>
      </c>
      <c r="J830" t="s">
        <v>10</v>
      </c>
      <c r="K830" t="s">
        <v>588</v>
      </c>
    </row>
    <row r="831" spans="1:11" x14ac:dyDescent="0.25">
      <c r="A831" t="s">
        <v>585</v>
      </c>
      <c r="B831" t="s">
        <v>48</v>
      </c>
      <c r="C831" t="s">
        <v>397</v>
      </c>
      <c r="D831">
        <v>274</v>
      </c>
      <c r="E831">
        <v>235.70400000000001</v>
      </c>
      <c r="F831">
        <v>1940830</v>
      </c>
      <c r="G831" t="s">
        <v>586</v>
      </c>
      <c r="H831">
        <v>398.67</v>
      </c>
      <c r="I831" t="s">
        <v>587</v>
      </c>
      <c r="J831" t="s">
        <v>10</v>
      </c>
      <c r="K831" t="s">
        <v>588</v>
      </c>
    </row>
    <row r="832" spans="1:11" x14ac:dyDescent="0.25">
      <c r="A832" t="s">
        <v>585</v>
      </c>
      <c r="B832" t="s">
        <v>48</v>
      </c>
      <c r="C832" t="s">
        <v>397</v>
      </c>
      <c r="D832">
        <v>2</v>
      </c>
      <c r="E832">
        <v>1.72</v>
      </c>
      <c r="F832">
        <v>1940830</v>
      </c>
      <c r="G832" t="s">
        <v>586</v>
      </c>
      <c r="H832">
        <v>2.91</v>
      </c>
      <c r="I832" t="s">
        <v>587</v>
      </c>
      <c r="J832" t="s">
        <v>10</v>
      </c>
      <c r="K832" t="s">
        <v>588</v>
      </c>
    </row>
    <row r="833" spans="1:11" x14ac:dyDescent="0.25">
      <c r="A833" t="s">
        <v>585</v>
      </c>
      <c r="B833" t="s">
        <v>48</v>
      </c>
      <c r="C833" t="s">
        <v>397</v>
      </c>
      <c r="D833">
        <v>2</v>
      </c>
      <c r="E833">
        <v>1.72</v>
      </c>
      <c r="F833">
        <v>1940830</v>
      </c>
      <c r="G833" t="s">
        <v>586</v>
      </c>
      <c r="H833">
        <v>2.91</v>
      </c>
      <c r="I833" t="s">
        <v>587</v>
      </c>
      <c r="J833" t="s">
        <v>10</v>
      </c>
      <c r="K833" t="s">
        <v>588</v>
      </c>
    </row>
    <row r="834" spans="1:11" x14ac:dyDescent="0.25">
      <c r="A834" t="s">
        <v>589</v>
      </c>
      <c r="B834" t="s">
        <v>45</v>
      </c>
      <c r="C834" t="s">
        <v>397</v>
      </c>
      <c r="D834">
        <v>599.9</v>
      </c>
      <c r="E834">
        <v>352.96600000000001</v>
      </c>
      <c r="F834">
        <v>1938191</v>
      </c>
      <c r="G834" t="s">
        <v>590</v>
      </c>
      <c r="H834">
        <v>445.726</v>
      </c>
      <c r="I834" t="s">
        <v>591</v>
      </c>
      <c r="J834" t="s">
        <v>10</v>
      </c>
      <c r="K834" t="s">
        <v>592</v>
      </c>
    </row>
    <row r="835" spans="1:11" x14ac:dyDescent="0.25">
      <c r="A835" t="s">
        <v>589</v>
      </c>
      <c r="B835" t="s">
        <v>45</v>
      </c>
      <c r="C835" t="s">
        <v>397</v>
      </c>
      <c r="D835">
        <v>608.86900000000003</v>
      </c>
      <c r="E835">
        <v>358.24299999999999</v>
      </c>
      <c r="F835">
        <v>1938191</v>
      </c>
      <c r="G835" t="s">
        <v>590</v>
      </c>
      <c r="H835">
        <v>452.39</v>
      </c>
      <c r="I835" t="s">
        <v>591</v>
      </c>
      <c r="J835" t="s">
        <v>10</v>
      </c>
      <c r="K835" t="s">
        <v>592</v>
      </c>
    </row>
    <row r="836" spans="1:11" x14ac:dyDescent="0.25">
      <c r="A836" t="s">
        <v>589</v>
      </c>
      <c r="B836" t="s">
        <v>45</v>
      </c>
      <c r="C836" t="s">
        <v>397</v>
      </c>
      <c r="D836">
        <v>685.47</v>
      </c>
      <c r="E836">
        <v>403.31299999999999</v>
      </c>
      <c r="F836">
        <v>1938191</v>
      </c>
      <c r="G836" t="s">
        <v>590</v>
      </c>
      <c r="H836">
        <v>509.30399999999997</v>
      </c>
      <c r="I836" t="s">
        <v>591</v>
      </c>
      <c r="J836" t="s">
        <v>10</v>
      </c>
      <c r="K836" t="s">
        <v>592</v>
      </c>
    </row>
    <row r="837" spans="1:11" x14ac:dyDescent="0.25">
      <c r="A837" t="s">
        <v>589</v>
      </c>
      <c r="B837" t="s">
        <v>45</v>
      </c>
      <c r="C837" t="s">
        <v>397</v>
      </c>
      <c r="D837">
        <v>1102.31</v>
      </c>
      <c r="E837">
        <v>648.572</v>
      </c>
      <c r="F837">
        <v>1938191</v>
      </c>
      <c r="G837" t="s">
        <v>590</v>
      </c>
      <c r="H837">
        <v>819.01599999999996</v>
      </c>
      <c r="I837" t="s">
        <v>591</v>
      </c>
      <c r="J837" t="s">
        <v>10</v>
      </c>
      <c r="K837" t="s">
        <v>592</v>
      </c>
    </row>
    <row r="838" spans="1:11" x14ac:dyDescent="0.25">
      <c r="A838" t="s">
        <v>589</v>
      </c>
      <c r="B838" t="s">
        <v>45</v>
      </c>
      <c r="C838" t="s">
        <v>397</v>
      </c>
      <c r="D838">
        <v>1034.6099999999999</v>
      </c>
      <c r="E838">
        <v>608.73900000000003</v>
      </c>
      <c r="F838">
        <v>1938191</v>
      </c>
      <c r="G838" t="s">
        <v>590</v>
      </c>
      <c r="H838">
        <v>768.71500000000003</v>
      </c>
      <c r="I838" t="s">
        <v>591</v>
      </c>
      <c r="J838" t="s">
        <v>10</v>
      </c>
      <c r="K838" t="s">
        <v>592</v>
      </c>
    </row>
    <row r="839" spans="1:11" x14ac:dyDescent="0.25">
      <c r="A839" t="s">
        <v>589</v>
      </c>
      <c r="B839" t="s">
        <v>45</v>
      </c>
      <c r="C839" t="s">
        <v>397</v>
      </c>
      <c r="D839">
        <v>429.64499999999998</v>
      </c>
      <c r="E839">
        <v>252.792</v>
      </c>
      <c r="F839">
        <v>1938191</v>
      </c>
      <c r="G839" t="s">
        <v>590</v>
      </c>
      <c r="H839">
        <v>319.226</v>
      </c>
      <c r="I839" t="s">
        <v>591</v>
      </c>
      <c r="J839" t="s">
        <v>10</v>
      </c>
      <c r="K839" t="s">
        <v>592</v>
      </c>
    </row>
    <row r="840" spans="1:11" x14ac:dyDescent="0.25">
      <c r="A840" t="s">
        <v>589</v>
      </c>
      <c r="B840" t="s">
        <v>45</v>
      </c>
      <c r="C840" t="s">
        <v>397</v>
      </c>
      <c r="D840">
        <v>826.41</v>
      </c>
      <c r="E840">
        <v>486.23899999999998</v>
      </c>
      <c r="F840">
        <v>1938191</v>
      </c>
      <c r="G840" t="s">
        <v>590</v>
      </c>
      <c r="H840">
        <v>614.02300000000002</v>
      </c>
      <c r="I840" t="s">
        <v>591</v>
      </c>
      <c r="J840" t="s">
        <v>10</v>
      </c>
      <c r="K840" t="s">
        <v>592</v>
      </c>
    </row>
    <row r="841" spans="1:11" x14ac:dyDescent="0.25">
      <c r="A841" t="s">
        <v>589</v>
      </c>
      <c r="B841" t="s">
        <v>45</v>
      </c>
      <c r="C841" t="s">
        <v>397</v>
      </c>
      <c r="D841">
        <v>460.786</v>
      </c>
      <c r="E841">
        <v>271.11500000000001</v>
      </c>
      <c r="F841">
        <v>1938191</v>
      </c>
      <c r="G841" t="s">
        <v>590</v>
      </c>
      <c r="H841">
        <v>342.36399999999998</v>
      </c>
      <c r="I841" t="s">
        <v>591</v>
      </c>
      <c r="J841" t="s">
        <v>10</v>
      </c>
      <c r="K841" t="s">
        <v>592</v>
      </c>
    </row>
    <row r="842" spans="1:11" x14ac:dyDescent="0.25">
      <c r="A842" t="s">
        <v>396</v>
      </c>
      <c r="B842" t="s">
        <v>61</v>
      </c>
      <c r="C842" t="s">
        <v>397</v>
      </c>
      <c r="D842">
        <v>123.869</v>
      </c>
      <c r="E842">
        <v>72.881</v>
      </c>
      <c r="F842">
        <v>1938191</v>
      </c>
      <c r="G842" t="s">
        <v>590</v>
      </c>
      <c r="H842">
        <v>92.034999999999997</v>
      </c>
      <c r="I842" t="s">
        <v>591</v>
      </c>
      <c r="J842" t="s">
        <v>10</v>
      </c>
      <c r="K842" t="s">
        <v>592</v>
      </c>
    </row>
    <row r="843" spans="1:11" x14ac:dyDescent="0.25">
      <c r="A843" t="s">
        <v>396</v>
      </c>
      <c r="B843" t="s">
        <v>61</v>
      </c>
      <c r="C843" t="s">
        <v>397</v>
      </c>
      <c r="D843">
        <v>283.87299999999999</v>
      </c>
      <c r="E843">
        <v>167.024</v>
      </c>
      <c r="F843">
        <v>1938191</v>
      </c>
      <c r="G843" t="s">
        <v>590</v>
      </c>
      <c r="H843">
        <v>210.91800000000001</v>
      </c>
      <c r="I843" t="s">
        <v>591</v>
      </c>
      <c r="J843" t="s">
        <v>10</v>
      </c>
      <c r="K843" t="s">
        <v>592</v>
      </c>
    </row>
    <row r="844" spans="1:11" x14ac:dyDescent="0.25">
      <c r="A844" t="s">
        <v>396</v>
      </c>
      <c r="B844" t="s">
        <v>61</v>
      </c>
      <c r="C844" t="s">
        <v>397</v>
      </c>
      <c r="D844">
        <v>592.25800000000004</v>
      </c>
      <c r="E844">
        <v>348.47</v>
      </c>
      <c r="F844">
        <v>1938191</v>
      </c>
      <c r="G844" t="s">
        <v>590</v>
      </c>
      <c r="H844">
        <v>440.048</v>
      </c>
      <c r="I844" t="s">
        <v>591</v>
      </c>
      <c r="J844" t="s">
        <v>10</v>
      </c>
      <c r="K844" t="s">
        <v>592</v>
      </c>
    </row>
    <row r="845" spans="1:11" x14ac:dyDescent="0.25">
      <c r="A845" t="s">
        <v>396</v>
      </c>
      <c r="B845" t="s">
        <v>61</v>
      </c>
      <c r="C845" t="s">
        <v>397</v>
      </c>
      <c r="D845">
        <v>3020</v>
      </c>
      <c r="E845">
        <v>1776.893</v>
      </c>
      <c r="F845">
        <v>1938191</v>
      </c>
      <c r="G845" t="s">
        <v>590</v>
      </c>
      <c r="H845">
        <v>2243.86</v>
      </c>
      <c r="I845" t="s">
        <v>591</v>
      </c>
      <c r="J845" t="s">
        <v>10</v>
      </c>
      <c r="K845" t="s">
        <v>592</v>
      </c>
    </row>
    <row r="846" spans="1:11" x14ac:dyDescent="0.25">
      <c r="A846" t="s">
        <v>585</v>
      </c>
      <c r="B846" t="s">
        <v>48</v>
      </c>
      <c r="C846" t="s">
        <v>397</v>
      </c>
      <c r="D846">
        <v>1324</v>
      </c>
      <c r="E846">
        <v>1151.7439999999999</v>
      </c>
      <c r="F846">
        <v>1940837</v>
      </c>
      <c r="G846" t="s">
        <v>578</v>
      </c>
      <c r="H846">
        <v>2412.328</v>
      </c>
      <c r="I846" t="s">
        <v>593</v>
      </c>
      <c r="J846" t="s">
        <v>10</v>
      </c>
      <c r="K846" t="s">
        <v>594</v>
      </c>
    </row>
    <row r="847" spans="1:11" x14ac:dyDescent="0.25">
      <c r="A847" t="s">
        <v>585</v>
      </c>
      <c r="B847" t="s">
        <v>48</v>
      </c>
      <c r="C847" t="s">
        <v>397</v>
      </c>
      <c r="D847">
        <v>1319</v>
      </c>
      <c r="E847">
        <v>1147.395</v>
      </c>
      <c r="F847">
        <v>1940837</v>
      </c>
      <c r="G847" t="s">
        <v>578</v>
      </c>
      <c r="H847">
        <v>2403.2179999999998</v>
      </c>
      <c r="I847" t="s">
        <v>593</v>
      </c>
      <c r="J847" t="s">
        <v>10</v>
      </c>
      <c r="K847" t="s">
        <v>594</v>
      </c>
    </row>
    <row r="848" spans="1:11" x14ac:dyDescent="0.25">
      <c r="A848" t="s">
        <v>585</v>
      </c>
      <c r="B848" t="s">
        <v>48</v>
      </c>
      <c r="C848" t="s">
        <v>397</v>
      </c>
      <c r="D848">
        <v>357</v>
      </c>
      <c r="E848">
        <v>310.553</v>
      </c>
      <c r="F848">
        <v>1940837</v>
      </c>
      <c r="G848" t="s">
        <v>578</v>
      </c>
      <c r="H848">
        <v>650.45399999999995</v>
      </c>
      <c r="I848" t="s">
        <v>593</v>
      </c>
      <c r="J848" t="s">
        <v>10</v>
      </c>
      <c r="K848" t="s">
        <v>594</v>
      </c>
    </row>
    <row r="849" spans="1:11" x14ac:dyDescent="0.25">
      <c r="A849" t="s">
        <v>419</v>
      </c>
      <c r="B849" t="s">
        <v>46</v>
      </c>
      <c r="C849" t="s">
        <v>397</v>
      </c>
      <c r="D849">
        <v>1142</v>
      </c>
      <c r="E849">
        <v>993.423</v>
      </c>
      <c r="F849">
        <v>1940837</v>
      </c>
      <c r="G849" t="s">
        <v>578</v>
      </c>
      <c r="H849">
        <v>2080.7240000000002</v>
      </c>
      <c r="I849" t="s">
        <v>593</v>
      </c>
      <c r="J849" t="s">
        <v>10</v>
      </c>
      <c r="K849" t="s">
        <v>594</v>
      </c>
    </row>
    <row r="850" spans="1:11" x14ac:dyDescent="0.25">
      <c r="A850" t="s">
        <v>419</v>
      </c>
      <c r="B850" t="s">
        <v>46</v>
      </c>
      <c r="C850" t="s">
        <v>397</v>
      </c>
      <c r="D850">
        <v>850</v>
      </c>
      <c r="E850">
        <v>739.41300000000001</v>
      </c>
      <c r="F850">
        <v>1940837</v>
      </c>
      <c r="G850" t="s">
        <v>578</v>
      </c>
      <c r="H850">
        <v>1548.7</v>
      </c>
      <c r="I850" t="s">
        <v>593</v>
      </c>
      <c r="J850" t="s">
        <v>10</v>
      </c>
      <c r="K850" t="s">
        <v>594</v>
      </c>
    </row>
    <row r="851" spans="1:11" x14ac:dyDescent="0.25">
      <c r="A851" t="s">
        <v>419</v>
      </c>
      <c r="B851" t="s">
        <v>46</v>
      </c>
      <c r="C851" t="s">
        <v>397</v>
      </c>
      <c r="D851">
        <v>133</v>
      </c>
      <c r="E851">
        <v>115.696</v>
      </c>
      <c r="F851">
        <v>1940837</v>
      </c>
      <c r="G851" t="s">
        <v>578</v>
      </c>
      <c r="H851">
        <v>242.32599999999999</v>
      </c>
      <c r="I851" t="s">
        <v>593</v>
      </c>
      <c r="J851" t="s">
        <v>10</v>
      </c>
      <c r="K851" t="s">
        <v>594</v>
      </c>
    </row>
    <row r="852" spans="1:11" x14ac:dyDescent="0.25">
      <c r="A852" t="s">
        <v>419</v>
      </c>
      <c r="B852" t="s">
        <v>46</v>
      </c>
      <c r="C852" t="s">
        <v>397</v>
      </c>
      <c r="D852">
        <v>677</v>
      </c>
      <c r="E852">
        <v>588.92100000000005</v>
      </c>
      <c r="F852">
        <v>1940837</v>
      </c>
      <c r="G852" t="s">
        <v>578</v>
      </c>
      <c r="H852">
        <v>1233.4939999999999</v>
      </c>
      <c r="I852" t="s">
        <v>593</v>
      </c>
      <c r="J852" t="s">
        <v>10</v>
      </c>
      <c r="K852" t="s">
        <v>594</v>
      </c>
    </row>
    <row r="853" spans="1:11" x14ac:dyDescent="0.25">
      <c r="A853" t="s">
        <v>419</v>
      </c>
      <c r="B853" t="s">
        <v>46</v>
      </c>
      <c r="C853" t="s">
        <v>397</v>
      </c>
      <c r="D853">
        <v>655</v>
      </c>
      <c r="E853">
        <v>569.78300000000002</v>
      </c>
      <c r="F853">
        <v>1940837</v>
      </c>
      <c r="G853" t="s">
        <v>578</v>
      </c>
      <c r="H853">
        <v>1193.4100000000001</v>
      </c>
      <c r="I853" t="s">
        <v>593</v>
      </c>
      <c r="J853" t="s">
        <v>10</v>
      </c>
      <c r="K853" t="s">
        <v>594</v>
      </c>
    </row>
    <row r="854" spans="1:11" x14ac:dyDescent="0.25">
      <c r="A854" t="s">
        <v>419</v>
      </c>
      <c r="B854" t="s">
        <v>46</v>
      </c>
      <c r="C854" t="s">
        <v>397</v>
      </c>
      <c r="D854">
        <v>620</v>
      </c>
      <c r="E854">
        <v>539.33600000000001</v>
      </c>
      <c r="F854">
        <v>1940837</v>
      </c>
      <c r="G854" t="s">
        <v>578</v>
      </c>
      <c r="H854">
        <v>1129.6400000000001</v>
      </c>
      <c r="I854" t="s">
        <v>593</v>
      </c>
      <c r="J854" t="s">
        <v>10</v>
      </c>
      <c r="K854" t="s">
        <v>594</v>
      </c>
    </row>
    <row r="855" spans="1:11" x14ac:dyDescent="0.25">
      <c r="A855" t="s">
        <v>419</v>
      </c>
      <c r="B855" t="s">
        <v>46</v>
      </c>
      <c r="C855" t="s">
        <v>397</v>
      </c>
      <c r="D855">
        <v>590</v>
      </c>
      <c r="E855">
        <v>513.23900000000003</v>
      </c>
      <c r="F855">
        <v>1940837</v>
      </c>
      <c r="G855" t="s">
        <v>578</v>
      </c>
      <c r="H855">
        <v>1074.98</v>
      </c>
      <c r="I855" t="s">
        <v>593</v>
      </c>
      <c r="J855" t="s">
        <v>10</v>
      </c>
      <c r="K855" t="s">
        <v>594</v>
      </c>
    </row>
    <row r="856" spans="1:11" x14ac:dyDescent="0.25">
      <c r="A856" t="s">
        <v>419</v>
      </c>
      <c r="B856" t="s">
        <v>46</v>
      </c>
      <c r="C856" t="s">
        <v>397</v>
      </c>
      <c r="D856">
        <v>549</v>
      </c>
      <c r="E856">
        <v>477.57400000000001</v>
      </c>
      <c r="F856">
        <v>1940837</v>
      </c>
      <c r="G856" t="s">
        <v>578</v>
      </c>
      <c r="H856">
        <v>1000.278</v>
      </c>
      <c r="I856" t="s">
        <v>593</v>
      </c>
      <c r="J856" t="s">
        <v>10</v>
      </c>
      <c r="K856" t="s">
        <v>594</v>
      </c>
    </row>
    <row r="857" spans="1:11" x14ac:dyDescent="0.25">
      <c r="A857" t="s">
        <v>419</v>
      </c>
      <c r="B857" t="s">
        <v>46</v>
      </c>
      <c r="C857" t="s">
        <v>397</v>
      </c>
      <c r="D857">
        <v>500</v>
      </c>
      <c r="E857">
        <v>434.94900000000001</v>
      </c>
      <c r="F857">
        <v>1940837</v>
      </c>
      <c r="G857" t="s">
        <v>578</v>
      </c>
      <c r="H857">
        <v>911</v>
      </c>
      <c r="I857" t="s">
        <v>593</v>
      </c>
      <c r="J857" t="s">
        <v>10</v>
      </c>
      <c r="K857" t="s">
        <v>594</v>
      </c>
    </row>
    <row r="858" spans="1:11" x14ac:dyDescent="0.25">
      <c r="A858" t="s">
        <v>419</v>
      </c>
      <c r="B858" t="s">
        <v>46</v>
      </c>
      <c r="C858" t="s">
        <v>397</v>
      </c>
      <c r="D858">
        <v>334</v>
      </c>
      <c r="E858">
        <v>290.54599999999999</v>
      </c>
      <c r="F858">
        <v>1940837</v>
      </c>
      <c r="G858" t="s">
        <v>578</v>
      </c>
      <c r="H858">
        <v>608.548</v>
      </c>
      <c r="I858" t="s">
        <v>593</v>
      </c>
      <c r="J858" t="s">
        <v>10</v>
      </c>
      <c r="K858" t="s">
        <v>594</v>
      </c>
    </row>
    <row r="859" spans="1:11" x14ac:dyDescent="0.25">
      <c r="A859" t="s">
        <v>419</v>
      </c>
      <c r="B859" t="s">
        <v>46</v>
      </c>
      <c r="C859" t="s">
        <v>397</v>
      </c>
      <c r="D859">
        <v>332</v>
      </c>
      <c r="E859">
        <v>288.80599999999998</v>
      </c>
      <c r="F859">
        <v>1940837</v>
      </c>
      <c r="G859" t="s">
        <v>578</v>
      </c>
      <c r="H859">
        <v>604.904</v>
      </c>
      <c r="I859" t="s">
        <v>593</v>
      </c>
      <c r="J859" t="s">
        <v>10</v>
      </c>
      <c r="K859" t="s">
        <v>594</v>
      </c>
    </row>
    <row r="860" spans="1:11" x14ac:dyDescent="0.25">
      <c r="A860" t="s">
        <v>419</v>
      </c>
      <c r="B860" t="s">
        <v>46</v>
      </c>
      <c r="C860" t="s">
        <v>397</v>
      </c>
      <c r="D860">
        <v>239</v>
      </c>
      <c r="E860">
        <v>207.905</v>
      </c>
      <c r="F860">
        <v>1940837</v>
      </c>
      <c r="G860" t="s">
        <v>578</v>
      </c>
      <c r="H860">
        <v>435.45800000000003</v>
      </c>
      <c r="I860" t="s">
        <v>593</v>
      </c>
      <c r="J860" t="s">
        <v>10</v>
      </c>
      <c r="K860" t="s">
        <v>594</v>
      </c>
    </row>
    <row r="861" spans="1:11" x14ac:dyDescent="0.25">
      <c r="A861" t="s">
        <v>419</v>
      </c>
      <c r="B861" t="s">
        <v>46</v>
      </c>
      <c r="C861" t="s">
        <v>397</v>
      </c>
      <c r="D861">
        <v>229</v>
      </c>
      <c r="E861">
        <v>199.20599999999999</v>
      </c>
      <c r="F861">
        <v>1940837</v>
      </c>
      <c r="G861" t="s">
        <v>578</v>
      </c>
      <c r="H861">
        <v>417.238</v>
      </c>
      <c r="I861" t="s">
        <v>593</v>
      </c>
      <c r="J861" t="s">
        <v>10</v>
      </c>
      <c r="K861" t="s">
        <v>594</v>
      </c>
    </row>
    <row r="862" spans="1:11" x14ac:dyDescent="0.25">
      <c r="A862" t="s">
        <v>419</v>
      </c>
      <c r="B862" t="s">
        <v>46</v>
      </c>
      <c r="C862" t="s">
        <v>397</v>
      </c>
      <c r="D862">
        <v>108</v>
      </c>
      <c r="E862">
        <v>93.948999999999998</v>
      </c>
      <c r="F862">
        <v>1940837</v>
      </c>
      <c r="G862" t="s">
        <v>578</v>
      </c>
      <c r="H862">
        <v>196.77600000000001</v>
      </c>
      <c r="I862" t="s">
        <v>593</v>
      </c>
      <c r="J862" t="s">
        <v>10</v>
      </c>
      <c r="K862" t="s">
        <v>594</v>
      </c>
    </row>
    <row r="863" spans="1:11" x14ac:dyDescent="0.25">
      <c r="A863" t="s">
        <v>419</v>
      </c>
      <c r="B863" t="s">
        <v>46</v>
      </c>
      <c r="C863" t="s">
        <v>397</v>
      </c>
      <c r="D863">
        <v>13</v>
      </c>
      <c r="E863">
        <v>11.308999999999999</v>
      </c>
      <c r="F863">
        <v>1940837</v>
      </c>
      <c r="G863" t="s">
        <v>578</v>
      </c>
      <c r="H863">
        <v>23.686</v>
      </c>
      <c r="I863" t="s">
        <v>593</v>
      </c>
      <c r="J863" t="s">
        <v>10</v>
      </c>
      <c r="K863" t="s">
        <v>594</v>
      </c>
    </row>
    <row r="864" spans="1:11" x14ac:dyDescent="0.25">
      <c r="A864" t="s">
        <v>419</v>
      </c>
      <c r="B864" t="s">
        <v>46</v>
      </c>
      <c r="C864" t="s">
        <v>397</v>
      </c>
      <c r="D864">
        <v>8</v>
      </c>
      <c r="E864">
        <v>6.9589999999999996</v>
      </c>
      <c r="F864">
        <v>1940837</v>
      </c>
      <c r="G864" t="s">
        <v>578</v>
      </c>
      <c r="H864">
        <v>14.576000000000001</v>
      </c>
      <c r="I864" t="s">
        <v>593</v>
      </c>
      <c r="J864" t="s">
        <v>10</v>
      </c>
      <c r="K864" t="s">
        <v>594</v>
      </c>
    </row>
    <row r="865" spans="1:11" x14ac:dyDescent="0.25">
      <c r="A865" t="s">
        <v>419</v>
      </c>
      <c r="B865" t="s">
        <v>46</v>
      </c>
      <c r="C865" t="s">
        <v>397</v>
      </c>
      <c r="D865">
        <v>5</v>
      </c>
      <c r="E865">
        <v>4.3490000000000002</v>
      </c>
      <c r="F865">
        <v>1940837</v>
      </c>
      <c r="G865" t="s">
        <v>578</v>
      </c>
      <c r="H865">
        <v>9.11</v>
      </c>
      <c r="I865" t="s">
        <v>593</v>
      </c>
      <c r="J865" t="s">
        <v>10</v>
      </c>
      <c r="K865" t="s">
        <v>594</v>
      </c>
    </row>
    <row r="866" spans="1:11" x14ac:dyDescent="0.25">
      <c r="A866" t="s">
        <v>585</v>
      </c>
      <c r="B866" t="s">
        <v>48</v>
      </c>
      <c r="C866" t="s">
        <v>444</v>
      </c>
      <c r="D866">
        <v>188</v>
      </c>
      <c r="E866">
        <v>1165.664</v>
      </c>
      <c r="F866">
        <v>3775569</v>
      </c>
      <c r="G866" t="s">
        <v>590</v>
      </c>
      <c r="H866">
        <v>1472</v>
      </c>
      <c r="I866" t="s">
        <v>595</v>
      </c>
      <c r="J866" t="s">
        <v>10</v>
      </c>
      <c r="K866" t="s">
        <v>596</v>
      </c>
    </row>
    <row r="867" spans="1:11" x14ac:dyDescent="0.25">
      <c r="A867" t="s">
        <v>585</v>
      </c>
      <c r="B867" t="s">
        <v>48</v>
      </c>
      <c r="C867" t="s">
        <v>444</v>
      </c>
      <c r="D867">
        <v>221</v>
      </c>
      <c r="E867">
        <v>1369.971</v>
      </c>
      <c r="F867">
        <v>3775569</v>
      </c>
      <c r="G867" t="s">
        <v>590</v>
      </c>
      <c r="H867">
        <v>1729.999</v>
      </c>
      <c r="I867" t="s">
        <v>595</v>
      </c>
      <c r="J867" t="s">
        <v>10</v>
      </c>
      <c r="K867" t="s">
        <v>596</v>
      </c>
    </row>
    <row r="868" spans="1:11" x14ac:dyDescent="0.25">
      <c r="A868" t="s">
        <v>585</v>
      </c>
      <c r="B868" t="s">
        <v>48</v>
      </c>
      <c r="C868" t="s">
        <v>444</v>
      </c>
      <c r="D868">
        <v>225</v>
      </c>
      <c r="E868">
        <v>1394.52</v>
      </c>
      <c r="F868">
        <v>3775569</v>
      </c>
      <c r="G868" t="s">
        <v>590</v>
      </c>
      <c r="H868">
        <v>1761</v>
      </c>
      <c r="I868" t="s">
        <v>595</v>
      </c>
      <c r="J868" t="s">
        <v>10</v>
      </c>
      <c r="K868" t="s">
        <v>596</v>
      </c>
    </row>
    <row r="869" spans="1:11" x14ac:dyDescent="0.25">
      <c r="A869" t="s">
        <v>585</v>
      </c>
      <c r="B869" t="s">
        <v>48</v>
      </c>
      <c r="C869" t="s">
        <v>444</v>
      </c>
      <c r="D869">
        <v>217</v>
      </c>
      <c r="E869">
        <v>1344.845</v>
      </c>
      <c r="F869">
        <v>3775569</v>
      </c>
      <c r="G869" t="s">
        <v>590</v>
      </c>
      <c r="H869">
        <v>1698.27</v>
      </c>
      <c r="I869" t="s">
        <v>595</v>
      </c>
      <c r="J869" t="s">
        <v>10</v>
      </c>
      <c r="K869" t="s">
        <v>596</v>
      </c>
    </row>
    <row r="870" spans="1:11" x14ac:dyDescent="0.25">
      <c r="A870" t="s">
        <v>597</v>
      </c>
      <c r="B870" t="s">
        <v>78</v>
      </c>
      <c r="C870" t="s">
        <v>397</v>
      </c>
      <c r="D870">
        <v>6800</v>
      </c>
      <c r="E870">
        <v>2730.6889999999999</v>
      </c>
      <c r="F870">
        <v>1940399</v>
      </c>
      <c r="G870" t="s">
        <v>412</v>
      </c>
      <c r="H870">
        <v>2223.6</v>
      </c>
      <c r="I870" t="s">
        <v>598</v>
      </c>
      <c r="J870" t="s">
        <v>10</v>
      </c>
      <c r="K870" t="s">
        <v>599</v>
      </c>
    </row>
    <row r="871" spans="1:11" x14ac:dyDescent="0.25">
      <c r="A871" t="s">
        <v>597</v>
      </c>
      <c r="B871" t="s">
        <v>78</v>
      </c>
      <c r="C871" t="s">
        <v>397</v>
      </c>
      <c r="D871">
        <v>1368</v>
      </c>
      <c r="E871">
        <v>549.35</v>
      </c>
      <c r="F871">
        <v>1940399</v>
      </c>
      <c r="G871" t="s">
        <v>412</v>
      </c>
      <c r="H871">
        <v>447.33600000000001</v>
      </c>
      <c r="I871" t="s">
        <v>598</v>
      </c>
      <c r="J871" t="s">
        <v>10</v>
      </c>
      <c r="K871" t="s">
        <v>599</v>
      </c>
    </row>
    <row r="872" spans="1:11" x14ac:dyDescent="0.25">
      <c r="A872" t="s">
        <v>597</v>
      </c>
      <c r="B872" t="s">
        <v>78</v>
      </c>
      <c r="C872" t="s">
        <v>397</v>
      </c>
      <c r="D872">
        <v>81</v>
      </c>
      <c r="E872">
        <v>32.527000000000001</v>
      </c>
      <c r="F872">
        <v>1940399</v>
      </c>
      <c r="G872" t="s">
        <v>412</v>
      </c>
      <c r="H872">
        <v>26.486999999999998</v>
      </c>
      <c r="I872" t="s">
        <v>598</v>
      </c>
      <c r="J872" t="s">
        <v>10</v>
      </c>
      <c r="K872" t="s">
        <v>599</v>
      </c>
    </row>
    <row r="873" spans="1:11" x14ac:dyDescent="0.25">
      <c r="A873" t="s">
        <v>597</v>
      </c>
      <c r="B873" t="s">
        <v>78</v>
      </c>
      <c r="C873" t="s">
        <v>397</v>
      </c>
      <c r="D873">
        <v>51</v>
      </c>
      <c r="E873">
        <v>20.48</v>
      </c>
      <c r="F873">
        <v>1940399</v>
      </c>
      <c r="G873" t="s">
        <v>412</v>
      </c>
      <c r="H873">
        <v>16.677</v>
      </c>
      <c r="I873" t="s">
        <v>598</v>
      </c>
      <c r="J873" t="s">
        <v>10</v>
      </c>
      <c r="K873" t="s">
        <v>599</v>
      </c>
    </row>
    <row r="874" spans="1:11" x14ac:dyDescent="0.25">
      <c r="A874" t="s">
        <v>597</v>
      </c>
      <c r="B874" t="s">
        <v>78</v>
      </c>
      <c r="C874" t="s">
        <v>397</v>
      </c>
      <c r="D874">
        <v>1892</v>
      </c>
      <c r="E874">
        <v>1212.701</v>
      </c>
      <c r="F874">
        <v>3556680</v>
      </c>
      <c r="G874" t="s">
        <v>412</v>
      </c>
      <c r="H874">
        <v>987.62400000000002</v>
      </c>
      <c r="I874" t="s">
        <v>600</v>
      </c>
      <c r="J874" t="s">
        <v>10</v>
      </c>
      <c r="K874" t="s">
        <v>601</v>
      </c>
    </row>
    <row r="875" spans="1:11" x14ac:dyDescent="0.25">
      <c r="A875" t="s">
        <v>597</v>
      </c>
      <c r="B875" t="s">
        <v>78</v>
      </c>
      <c r="C875" t="s">
        <v>397</v>
      </c>
      <c r="D875">
        <v>1122</v>
      </c>
      <c r="E875">
        <v>719.16</v>
      </c>
      <c r="F875">
        <v>3556680</v>
      </c>
      <c r="G875" t="s">
        <v>412</v>
      </c>
      <c r="H875">
        <v>585.68399999999997</v>
      </c>
      <c r="I875" t="s">
        <v>600</v>
      </c>
      <c r="J875" t="s">
        <v>10</v>
      </c>
      <c r="K875" t="s">
        <v>601</v>
      </c>
    </row>
    <row r="876" spans="1:11" x14ac:dyDescent="0.25">
      <c r="A876" t="s">
        <v>597</v>
      </c>
      <c r="B876" t="s">
        <v>78</v>
      </c>
      <c r="C876" t="s">
        <v>397</v>
      </c>
      <c r="D876">
        <v>11</v>
      </c>
      <c r="E876">
        <v>7.0510000000000002</v>
      </c>
      <c r="F876">
        <v>3556680</v>
      </c>
      <c r="G876" t="s">
        <v>412</v>
      </c>
      <c r="H876">
        <v>5.742</v>
      </c>
      <c r="I876" t="s">
        <v>600</v>
      </c>
      <c r="J876" t="s">
        <v>10</v>
      </c>
      <c r="K876" t="s">
        <v>601</v>
      </c>
    </row>
    <row r="877" spans="1:11" x14ac:dyDescent="0.25">
      <c r="A877" t="s">
        <v>453</v>
      </c>
      <c r="B877" t="s">
        <v>60</v>
      </c>
      <c r="C877" t="s">
        <v>397</v>
      </c>
      <c r="D877">
        <v>2000</v>
      </c>
      <c r="E877">
        <v>300.072</v>
      </c>
      <c r="F877">
        <v>3230486</v>
      </c>
      <c r="G877" t="s">
        <v>450</v>
      </c>
      <c r="H877">
        <v>166</v>
      </c>
      <c r="I877" t="s">
        <v>602</v>
      </c>
      <c r="J877" t="s">
        <v>10</v>
      </c>
      <c r="K877" t="s">
        <v>603</v>
      </c>
    </row>
    <row r="878" spans="1:11" x14ac:dyDescent="0.25">
      <c r="A878" t="s">
        <v>396</v>
      </c>
      <c r="B878" t="s">
        <v>61</v>
      </c>
      <c r="C878" t="s">
        <v>397</v>
      </c>
      <c r="D878">
        <v>2698</v>
      </c>
      <c r="E878">
        <v>2200.223</v>
      </c>
      <c r="F878">
        <v>1940287</v>
      </c>
      <c r="G878" t="s">
        <v>604</v>
      </c>
      <c r="H878">
        <v>1850.828</v>
      </c>
      <c r="I878" t="s">
        <v>605</v>
      </c>
      <c r="J878" t="s">
        <v>10</v>
      </c>
      <c r="K878" t="s">
        <v>606</v>
      </c>
    </row>
    <row r="879" spans="1:11" x14ac:dyDescent="0.25">
      <c r="A879" t="s">
        <v>396</v>
      </c>
      <c r="B879" t="s">
        <v>61</v>
      </c>
      <c r="C879" t="s">
        <v>397</v>
      </c>
      <c r="D879">
        <v>1099</v>
      </c>
      <c r="E879">
        <v>896.23599999999999</v>
      </c>
      <c r="F879">
        <v>1940287</v>
      </c>
      <c r="G879" t="s">
        <v>604</v>
      </c>
      <c r="H879">
        <v>753.91399999999999</v>
      </c>
      <c r="I879" t="s">
        <v>605</v>
      </c>
      <c r="J879" t="s">
        <v>10</v>
      </c>
      <c r="K879" t="s">
        <v>606</v>
      </c>
    </row>
    <row r="880" spans="1:11" x14ac:dyDescent="0.25">
      <c r="A880" t="s">
        <v>396</v>
      </c>
      <c r="B880" t="s">
        <v>61</v>
      </c>
      <c r="C880" t="s">
        <v>397</v>
      </c>
      <c r="D880">
        <v>988</v>
      </c>
      <c r="E880">
        <v>805.71600000000001</v>
      </c>
      <c r="F880">
        <v>1940287</v>
      </c>
      <c r="G880" t="s">
        <v>604</v>
      </c>
      <c r="H880">
        <v>677.76800000000003</v>
      </c>
      <c r="I880" t="s">
        <v>605</v>
      </c>
      <c r="J880" t="s">
        <v>10</v>
      </c>
      <c r="K880" t="s">
        <v>606</v>
      </c>
    </row>
    <row r="881" spans="1:11" x14ac:dyDescent="0.25">
      <c r="A881" t="s">
        <v>396</v>
      </c>
      <c r="B881" t="s">
        <v>61</v>
      </c>
      <c r="C881" t="s">
        <v>397</v>
      </c>
      <c r="D881">
        <v>215</v>
      </c>
      <c r="E881">
        <v>175.333</v>
      </c>
      <c r="F881">
        <v>1940287</v>
      </c>
      <c r="G881" t="s">
        <v>604</v>
      </c>
      <c r="H881">
        <v>147.49</v>
      </c>
      <c r="I881" t="s">
        <v>605</v>
      </c>
      <c r="J881" t="s">
        <v>10</v>
      </c>
      <c r="K881" t="s">
        <v>606</v>
      </c>
    </row>
    <row r="882" spans="1:11" x14ac:dyDescent="0.25">
      <c r="A882" t="s">
        <v>396</v>
      </c>
      <c r="B882" t="s">
        <v>61</v>
      </c>
      <c r="C882" t="s">
        <v>397</v>
      </c>
      <c r="D882">
        <v>4497</v>
      </c>
      <c r="E882">
        <v>3667.3110000000001</v>
      </c>
      <c r="F882">
        <v>1940287</v>
      </c>
      <c r="G882" t="s">
        <v>604</v>
      </c>
      <c r="H882">
        <v>3084.942</v>
      </c>
      <c r="I882" t="s">
        <v>605</v>
      </c>
      <c r="J882" t="s">
        <v>10</v>
      </c>
      <c r="K882" t="s">
        <v>606</v>
      </c>
    </row>
    <row r="883" spans="1:11" x14ac:dyDescent="0.25">
      <c r="A883" t="s">
        <v>396</v>
      </c>
      <c r="B883" t="s">
        <v>61</v>
      </c>
      <c r="C883" t="s">
        <v>397</v>
      </c>
      <c r="D883">
        <v>1074</v>
      </c>
      <c r="E883">
        <v>875.84900000000005</v>
      </c>
      <c r="F883">
        <v>1940287</v>
      </c>
      <c r="G883" t="s">
        <v>604</v>
      </c>
      <c r="H883">
        <v>736.76400000000001</v>
      </c>
      <c r="I883" t="s">
        <v>605</v>
      </c>
      <c r="J883" t="s">
        <v>10</v>
      </c>
      <c r="K883" t="s">
        <v>606</v>
      </c>
    </row>
    <row r="884" spans="1:11" x14ac:dyDescent="0.25">
      <c r="A884" t="s">
        <v>396</v>
      </c>
      <c r="B884" t="s">
        <v>61</v>
      </c>
      <c r="C884" t="s">
        <v>397</v>
      </c>
      <c r="D884">
        <v>599</v>
      </c>
      <c r="E884">
        <v>488.48500000000001</v>
      </c>
      <c r="F884">
        <v>1940287</v>
      </c>
      <c r="G884" t="s">
        <v>604</v>
      </c>
      <c r="H884">
        <v>410.91399999999999</v>
      </c>
      <c r="I884" t="s">
        <v>605</v>
      </c>
      <c r="J884" t="s">
        <v>10</v>
      </c>
      <c r="K884" t="s">
        <v>606</v>
      </c>
    </row>
    <row r="885" spans="1:11" x14ac:dyDescent="0.25">
      <c r="A885" t="s">
        <v>396</v>
      </c>
      <c r="B885" t="s">
        <v>61</v>
      </c>
      <c r="C885" t="s">
        <v>397</v>
      </c>
      <c r="D885">
        <v>249</v>
      </c>
      <c r="E885">
        <v>203.06</v>
      </c>
      <c r="F885">
        <v>1940287</v>
      </c>
      <c r="G885" t="s">
        <v>604</v>
      </c>
      <c r="H885">
        <v>170.81399999999999</v>
      </c>
      <c r="I885" t="s">
        <v>605</v>
      </c>
      <c r="J885" t="s">
        <v>10</v>
      </c>
      <c r="K885" t="s">
        <v>606</v>
      </c>
    </row>
    <row r="886" spans="1:11" x14ac:dyDescent="0.25">
      <c r="A886" t="s">
        <v>396</v>
      </c>
      <c r="B886" t="s">
        <v>61</v>
      </c>
      <c r="C886" t="s">
        <v>397</v>
      </c>
      <c r="D886">
        <v>6</v>
      </c>
      <c r="E886">
        <v>4.8929999999999998</v>
      </c>
      <c r="F886">
        <v>1940287</v>
      </c>
      <c r="G886" t="s">
        <v>604</v>
      </c>
      <c r="H886">
        <v>4.1159999999999997</v>
      </c>
      <c r="I886" t="s">
        <v>605</v>
      </c>
      <c r="J886" t="s">
        <v>10</v>
      </c>
      <c r="K886" t="s">
        <v>606</v>
      </c>
    </row>
    <row r="887" spans="1:11" x14ac:dyDescent="0.25">
      <c r="A887" t="s">
        <v>396</v>
      </c>
      <c r="B887" t="s">
        <v>61</v>
      </c>
      <c r="C887" t="s">
        <v>397</v>
      </c>
      <c r="D887">
        <v>1750</v>
      </c>
      <c r="E887">
        <v>2288.9850000000001</v>
      </c>
      <c r="F887">
        <v>3747393</v>
      </c>
      <c r="G887" t="s">
        <v>607</v>
      </c>
      <c r="H887">
        <v>1425.1220000000001</v>
      </c>
      <c r="I887" t="s">
        <v>608</v>
      </c>
      <c r="J887" t="s">
        <v>10</v>
      </c>
      <c r="K887" t="s">
        <v>609</v>
      </c>
    </row>
    <row r="888" spans="1:11" x14ac:dyDescent="0.25">
      <c r="A888" t="s">
        <v>396</v>
      </c>
      <c r="B888" t="s">
        <v>61</v>
      </c>
      <c r="C888" t="s">
        <v>397</v>
      </c>
      <c r="D888">
        <v>1349</v>
      </c>
      <c r="E888">
        <v>1764.481</v>
      </c>
      <c r="F888">
        <v>3747393</v>
      </c>
      <c r="G888" t="s">
        <v>607</v>
      </c>
      <c r="H888">
        <v>1098.566</v>
      </c>
      <c r="I888" t="s">
        <v>608</v>
      </c>
      <c r="J888" t="s">
        <v>10</v>
      </c>
      <c r="K888" t="s">
        <v>609</v>
      </c>
    </row>
    <row r="889" spans="1:11" x14ac:dyDescent="0.25">
      <c r="A889" t="s">
        <v>396</v>
      </c>
      <c r="B889" t="s">
        <v>61</v>
      </c>
      <c r="C889" t="s">
        <v>397</v>
      </c>
      <c r="D889">
        <v>275</v>
      </c>
      <c r="E889">
        <v>359.69799999999998</v>
      </c>
      <c r="F889">
        <v>3747393</v>
      </c>
      <c r="G889" t="s">
        <v>607</v>
      </c>
      <c r="H889">
        <v>223.94800000000001</v>
      </c>
      <c r="I889" t="s">
        <v>608</v>
      </c>
      <c r="J889" t="s">
        <v>10</v>
      </c>
      <c r="K889" t="s">
        <v>609</v>
      </c>
    </row>
    <row r="890" spans="1:11" x14ac:dyDescent="0.25">
      <c r="A890" t="s">
        <v>396</v>
      </c>
      <c r="B890" t="s">
        <v>61</v>
      </c>
      <c r="C890" t="s">
        <v>397</v>
      </c>
      <c r="D890">
        <v>1</v>
      </c>
      <c r="E890">
        <v>1.3080000000000001</v>
      </c>
      <c r="F890">
        <v>3747393</v>
      </c>
      <c r="G890" t="s">
        <v>607</v>
      </c>
      <c r="H890">
        <v>0.81399999999999995</v>
      </c>
      <c r="I890" t="s">
        <v>608</v>
      </c>
      <c r="J890" t="s">
        <v>10</v>
      </c>
      <c r="K890" t="s">
        <v>609</v>
      </c>
    </row>
    <row r="891" spans="1:11" x14ac:dyDescent="0.25">
      <c r="A891" t="s">
        <v>422</v>
      </c>
      <c r="B891" t="s">
        <v>30</v>
      </c>
      <c r="C891" t="s">
        <v>397</v>
      </c>
      <c r="D891">
        <v>1000</v>
      </c>
      <c r="E891">
        <v>800.03599999999994</v>
      </c>
      <c r="F891">
        <v>3233557</v>
      </c>
      <c r="G891" t="s">
        <v>456</v>
      </c>
      <c r="H891">
        <v>881</v>
      </c>
      <c r="I891" t="s">
        <v>610</v>
      </c>
      <c r="J891" t="s">
        <v>10</v>
      </c>
      <c r="K891" t="s">
        <v>611</v>
      </c>
    </row>
    <row r="892" spans="1:11" x14ac:dyDescent="0.25">
      <c r="A892" t="s">
        <v>422</v>
      </c>
      <c r="B892" t="s">
        <v>30</v>
      </c>
      <c r="C892" t="s">
        <v>397</v>
      </c>
      <c r="D892">
        <v>1000</v>
      </c>
      <c r="E892">
        <v>800.03599999999994</v>
      </c>
      <c r="F892">
        <v>3233557</v>
      </c>
      <c r="G892" t="s">
        <v>456</v>
      </c>
      <c r="H892">
        <v>881</v>
      </c>
      <c r="I892" t="s">
        <v>610</v>
      </c>
      <c r="J892" t="s">
        <v>10</v>
      </c>
      <c r="K892" t="s">
        <v>611</v>
      </c>
    </row>
    <row r="893" spans="1:11" x14ac:dyDescent="0.25">
      <c r="A893" t="s">
        <v>453</v>
      </c>
      <c r="B893" t="s">
        <v>60</v>
      </c>
      <c r="C893" t="s">
        <v>397</v>
      </c>
      <c r="D893">
        <v>599</v>
      </c>
      <c r="E893">
        <v>479.22199999999998</v>
      </c>
      <c r="F893">
        <v>3233557</v>
      </c>
      <c r="G893" t="s">
        <v>456</v>
      </c>
      <c r="H893">
        <v>527.71900000000005</v>
      </c>
      <c r="I893" t="s">
        <v>610</v>
      </c>
      <c r="J893" t="s">
        <v>10</v>
      </c>
      <c r="K893" t="s">
        <v>611</v>
      </c>
    </row>
    <row r="894" spans="1:11" x14ac:dyDescent="0.25">
      <c r="A894" t="s">
        <v>453</v>
      </c>
      <c r="B894" t="s">
        <v>60</v>
      </c>
      <c r="C894" t="s">
        <v>397</v>
      </c>
      <c r="D894">
        <v>399</v>
      </c>
      <c r="E894">
        <v>319.214</v>
      </c>
      <c r="F894">
        <v>3233557</v>
      </c>
      <c r="G894" t="s">
        <v>456</v>
      </c>
      <c r="H894">
        <v>351.51900000000001</v>
      </c>
      <c r="I894" t="s">
        <v>610</v>
      </c>
      <c r="J894" t="s">
        <v>10</v>
      </c>
      <c r="K894" t="s">
        <v>611</v>
      </c>
    </row>
    <row r="895" spans="1:11" x14ac:dyDescent="0.25">
      <c r="A895" t="s">
        <v>453</v>
      </c>
      <c r="B895" t="s">
        <v>60</v>
      </c>
      <c r="C895" t="s">
        <v>397</v>
      </c>
      <c r="D895">
        <v>2</v>
      </c>
      <c r="E895">
        <v>1.6</v>
      </c>
      <c r="F895">
        <v>3233557</v>
      </c>
      <c r="G895" t="s">
        <v>456</v>
      </c>
      <c r="H895">
        <v>1.762</v>
      </c>
      <c r="I895" t="s">
        <v>610</v>
      </c>
      <c r="J895" t="s">
        <v>10</v>
      </c>
      <c r="K895" t="s">
        <v>611</v>
      </c>
    </row>
    <row r="896" spans="1:11" x14ac:dyDescent="0.25">
      <c r="A896" t="s">
        <v>422</v>
      </c>
      <c r="B896" t="s">
        <v>30</v>
      </c>
      <c r="C896" t="s">
        <v>397</v>
      </c>
      <c r="D896">
        <v>786</v>
      </c>
      <c r="E896">
        <v>628.82899999999995</v>
      </c>
      <c r="F896">
        <v>3233557</v>
      </c>
      <c r="G896" t="s">
        <v>456</v>
      </c>
      <c r="H896">
        <v>692.46600000000001</v>
      </c>
      <c r="I896" t="s">
        <v>610</v>
      </c>
      <c r="J896" t="s">
        <v>10</v>
      </c>
      <c r="K896" t="s">
        <v>611</v>
      </c>
    </row>
    <row r="897" spans="1:11" x14ac:dyDescent="0.25">
      <c r="A897" t="s">
        <v>422</v>
      </c>
      <c r="B897" t="s">
        <v>30</v>
      </c>
      <c r="C897" t="s">
        <v>397</v>
      </c>
      <c r="D897">
        <v>87</v>
      </c>
      <c r="E897">
        <v>69.602999999999994</v>
      </c>
      <c r="F897">
        <v>3233557</v>
      </c>
      <c r="G897" t="s">
        <v>456</v>
      </c>
      <c r="H897">
        <v>76.647000000000006</v>
      </c>
      <c r="I897" t="s">
        <v>610</v>
      </c>
      <c r="J897" t="s">
        <v>10</v>
      </c>
      <c r="K897" t="s">
        <v>611</v>
      </c>
    </row>
    <row r="898" spans="1:11" x14ac:dyDescent="0.25">
      <c r="A898" t="s">
        <v>422</v>
      </c>
      <c r="B898" t="s">
        <v>30</v>
      </c>
      <c r="C898" t="s">
        <v>397</v>
      </c>
      <c r="D898">
        <v>59</v>
      </c>
      <c r="E898">
        <v>47.201999999999998</v>
      </c>
      <c r="F898">
        <v>3233557</v>
      </c>
      <c r="G898" t="s">
        <v>456</v>
      </c>
      <c r="H898">
        <v>51.978999999999999</v>
      </c>
      <c r="I898" t="s">
        <v>610</v>
      </c>
      <c r="J898" t="s">
        <v>10</v>
      </c>
      <c r="K898" t="s">
        <v>611</v>
      </c>
    </row>
    <row r="899" spans="1:11" x14ac:dyDescent="0.25">
      <c r="A899" t="s">
        <v>422</v>
      </c>
      <c r="B899" t="s">
        <v>30</v>
      </c>
      <c r="C899" t="s">
        <v>397</v>
      </c>
      <c r="D899">
        <v>58</v>
      </c>
      <c r="E899">
        <v>46.402000000000001</v>
      </c>
      <c r="F899">
        <v>3233557</v>
      </c>
      <c r="G899" t="s">
        <v>456</v>
      </c>
      <c r="H899">
        <v>51.097999999999999</v>
      </c>
      <c r="I899" t="s">
        <v>610</v>
      </c>
      <c r="J899" t="s">
        <v>10</v>
      </c>
      <c r="K899" t="s">
        <v>611</v>
      </c>
    </row>
    <row r="900" spans="1:11" x14ac:dyDescent="0.25">
      <c r="A900" t="s">
        <v>422</v>
      </c>
      <c r="B900" t="s">
        <v>30</v>
      </c>
      <c r="C900" t="s">
        <v>397</v>
      </c>
      <c r="D900">
        <v>10</v>
      </c>
      <c r="E900">
        <v>8</v>
      </c>
      <c r="F900">
        <v>3233557</v>
      </c>
      <c r="G900" t="s">
        <v>456</v>
      </c>
      <c r="H900">
        <v>8.81</v>
      </c>
      <c r="I900" t="s">
        <v>610</v>
      </c>
      <c r="J900" t="s">
        <v>10</v>
      </c>
      <c r="K900" t="s">
        <v>611</v>
      </c>
    </row>
    <row r="901" spans="1:11" x14ac:dyDescent="0.25">
      <c r="A901" t="s">
        <v>422</v>
      </c>
      <c r="B901" t="s">
        <v>30</v>
      </c>
      <c r="C901" t="s">
        <v>397</v>
      </c>
      <c r="D901">
        <v>1000</v>
      </c>
      <c r="E901">
        <v>800.03599999999994</v>
      </c>
      <c r="F901">
        <v>3233557</v>
      </c>
      <c r="G901" t="s">
        <v>456</v>
      </c>
      <c r="H901">
        <v>881</v>
      </c>
      <c r="I901" t="s">
        <v>610</v>
      </c>
      <c r="J901" t="s">
        <v>10</v>
      </c>
      <c r="K901" t="s">
        <v>611</v>
      </c>
    </row>
    <row r="902" spans="1:11" x14ac:dyDescent="0.25">
      <c r="A902" t="s">
        <v>422</v>
      </c>
      <c r="B902" t="s">
        <v>30</v>
      </c>
      <c r="C902" t="s">
        <v>397</v>
      </c>
      <c r="D902">
        <v>1000</v>
      </c>
      <c r="E902">
        <v>800.03599999999994</v>
      </c>
      <c r="F902">
        <v>3233557</v>
      </c>
      <c r="G902" t="s">
        <v>456</v>
      </c>
      <c r="H902">
        <v>881</v>
      </c>
      <c r="I902" t="s">
        <v>610</v>
      </c>
      <c r="J902" t="s">
        <v>10</v>
      </c>
      <c r="K902" t="s">
        <v>611</v>
      </c>
    </row>
    <row r="903" spans="1:11" x14ac:dyDescent="0.25">
      <c r="A903" t="s">
        <v>422</v>
      </c>
      <c r="B903" t="s">
        <v>30</v>
      </c>
      <c r="C903" t="s">
        <v>397</v>
      </c>
      <c r="D903">
        <v>1000</v>
      </c>
      <c r="E903">
        <v>800.03599999999994</v>
      </c>
      <c r="F903">
        <v>3233557</v>
      </c>
      <c r="G903" t="s">
        <v>456</v>
      </c>
      <c r="H903">
        <v>881</v>
      </c>
      <c r="I903" t="s">
        <v>610</v>
      </c>
      <c r="J903" t="s">
        <v>10</v>
      </c>
      <c r="K903" t="s">
        <v>611</v>
      </c>
    </row>
    <row r="904" spans="1:11" x14ac:dyDescent="0.25">
      <c r="A904" t="s">
        <v>422</v>
      </c>
      <c r="B904" t="s">
        <v>30</v>
      </c>
      <c r="C904" t="s">
        <v>397</v>
      </c>
      <c r="D904">
        <v>561</v>
      </c>
      <c r="E904">
        <v>448.80200000000002</v>
      </c>
      <c r="F904">
        <v>3931836</v>
      </c>
      <c r="G904" t="s">
        <v>450</v>
      </c>
      <c r="H904">
        <v>244.602</v>
      </c>
      <c r="I904" t="s">
        <v>612</v>
      </c>
      <c r="J904" t="s">
        <v>10</v>
      </c>
      <c r="K904" t="s">
        <v>613</v>
      </c>
    </row>
    <row r="905" spans="1:11" x14ac:dyDescent="0.25">
      <c r="A905" t="s">
        <v>422</v>
      </c>
      <c r="B905" t="s">
        <v>30</v>
      </c>
      <c r="C905" t="s">
        <v>397</v>
      </c>
      <c r="D905">
        <v>247</v>
      </c>
      <c r="E905">
        <v>197.601</v>
      </c>
      <c r="F905">
        <v>3931836</v>
      </c>
      <c r="G905" t="s">
        <v>450</v>
      </c>
      <c r="H905">
        <v>107.69499999999999</v>
      </c>
      <c r="I905" t="s">
        <v>612</v>
      </c>
      <c r="J905" t="s">
        <v>10</v>
      </c>
      <c r="K905" t="s">
        <v>613</v>
      </c>
    </row>
    <row r="906" spans="1:11" x14ac:dyDescent="0.25">
      <c r="A906" t="s">
        <v>422</v>
      </c>
      <c r="B906" t="s">
        <v>30</v>
      </c>
      <c r="C906" t="s">
        <v>397</v>
      </c>
      <c r="D906">
        <v>192</v>
      </c>
      <c r="E906">
        <v>153.601</v>
      </c>
      <c r="F906">
        <v>3931836</v>
      </c>
      <c r="G906" t="s">
        <v>450</v>
      </c>
      <c r="H906">
        <v>83.713999999999999</v>
      </c>
      <c r="I906" t="s">
        <v>612</v>
      </c>
      <c r="J906" t="s">
        <v>10</v>
      </c>
      <c r="K906" t="s">
        <v>613</v>
      </c>
    </row>
    <row r="907" spans="1:11" x14ac:dyDescent="0.25">
      <c r="A907" t="s">
        <v>422</v>
      </c>
      <c r="B907" t="s">
        <v>30</v>
      </c>
      <c r="C907" t="s">
        <v>397</v>
      </c>
      <c r="D907">
        <v>1000</v>
      </c>
      <c r="E907">
        <v>800.00400000000002</v>
      </c>
      <c r="F907">
        <v>3931836</v>
      </c>
      <c r="G907" t="s">
        <v>450</v>
      </c>
      <c r="H907">
        <v>436.01100000000002</v>
      </c>
      <c r="I907" t="s">
        <v>612</v>
      </c>
      <c r="J907" t="s">
        <v>10</v>
      </c>
      <c r="K907" t="s">
        <v>613</v>
      </c>
    </row>
    <row r="908" spans="1:11" x14ac:dyDescent="0.25">
      <c r="A908" t="s">
        <v>453</v>
      </c>
      <c r="B908" t="s">
        <v>60</v>
      </c>
      <c r="C908" t="s">
        <v>397</v>
      </c>
      <c r="D908">
        <v>1000</v>
      </c>
      <c r="E908">
        <v>800.00400000000002</v>
      </c>
      <c r="F908">
        <v>3931836</v>
      </c>
      <c r="G908" t="s">
        <v>450</v>
      </c>
      <c r="H908">
        <v>436.01100000000002</v>
      </c>
      <c r="I908" t="s">
        <v>612</v>
      </c>
      <c r="J908" t="s">
        <v>10</v>
      </c>
      <c r="K908" t="s">
        <v>613</v>
      </c>
    </row>
    <row r="909" spans="1:11" x14ac:dyDescent="0.25">
      <c r="A909" t="s">
        <v>422</v>
      </c>
      <c r="B909" t="s">
        <v>30</v>
      </c>
      <c r="C909" t="s">
        <v>397</v>
      </c>
      <c r="D909">
        <v>1000</v>
      </c>
      <c r="E909">
        <v>800.00400000000002</v>
      </c>
      <c r="F909">
        <v>3931836</v>
      </c>
      <c r="G909" t="s">
        <v>450</v>
      </c>
      <c r="H909">
        <v>436.01100000000002</v>
      </c>
      <c r="I909" t="s">
        <v>612</v>
      </c>
      <c r="J909" t="s">
        <v>10</v>
      </c>
      <c r="K909" t="s">
        <v>613</v>
      </c>
    </row>
    <row r="910" spans="1:11" x14ac:dyDescent="0.25">
      <c r="A910" t="s">
        <v>422</v>
      </c>
      <c r="B910" t="s">
        <v>30</v>
      </c>
      <c r="C910" t="s">
        <v>397</v>
      </c>
      <c r="D910">
        <v>1000</v>
      </c>
      <c r="E910">
        <v>800.00400000000002</v>
      </c>
      <c r="F910">
        <v>3931836</v>
      </c>
      <c r="G910" t="s">
        <v>450</v>
      </c>
      <c r="H910">
        <v>436.01100000000002</v>
      </c>
      <c r="I910" t="s">
        <v>612</v>
      </c>
      <c r="J910" t="s">
        <v>10</v>
      </c>
      <c r="K910" t="s">
        <v>613</v>
      </c>
    </row>
    <row r="911" spans="1:11" x14ac:dyDescent="0.25">
      <c r="A911" t="s">
        <v>422</v>
      </c>
      <c r="B911" t="s">
        <v>30</v>
      </c>
      <c r="C911" t="s">
        <v>397</v>
      </c>
      <c r="D911">
        <v>1000</v>
      </c>
      <c r="E911">
        <v>800.00400000000002</v>
      </c>
      <c r="F911">
        <v>3931836</v>
      </c>
      <c r="G911" t="s">
        <v>450</v>
      </c>
      <c r="H911">
        <v>436.01100000000002</v>
      </c>
      <c r="I911" t="s">
        <v>612</v>
      </c>
      <c r="J911" t="s">
        <v>10</v>
      </c>
      <c r="K911" t="s">
        <v>613</v>
      </c>
    </row>
    <row r="912" spans="1:11" x14ac:dyDescent="0.25">
      <c r="A912" t="s">
        <v>422</v>
      </c>
      <c r="B912" t="s">
        <v>30</v>
      </c>
      <c r="C912" t="s">
        <v>397</v>
      </c>
      <c r="D912">
        <v>1000</v>
      </c>
      <c r="E912">
        <v>800.00400000000002</v>
      </c>
      <c r="F912">
        <v>3931836</v>
      </c>
      <c r="G912" t="s">
        <v>450</v>
      </c>
      <c r="H912">
        <v>436.01100000000002</v>
      </c>
      <c r="I912" t="s">
        <v>612</v>
      </c>
      <c r="J912" t="s">
        <v>10</v>
      </c>
      <c r="K912" t="s">
        <v>613</v>
      </c>
    </row>
    <row r="913" spans="1:11" x14ac:dyDescent="0.25">
      <c r="A913" t="s">
        <v>422</v>
      </c>
      <c r="B913" t="s">
        <v>30</v>
      </c>
      <c r="C913" t="s">
        <v>397</v>
      </c>
      <c r="D913">
        <v>1098</v>
      </c>
      <c r="E913">
        <v>966.60500000000002</v>
      </c>
      <c r="F913">
        <v>3230492</v>
      </c>
      <c r="G913" t="s">
        <v>450</v>
      </c>
      <c r="H913">
        <v>534.726</v>
      </c>
      <c r="I913" t="s">
        <v>614</v>
      </c>
      <c r="J913" t="s">
        <v>10</v>
      </c>
      <c r="K913" t="s">
        <v>615</v>
      </c>
    </row>
    <row r="914" spans="1:11" x14ac:dyDescent="0.25">
      <c r="A914" t="s">
        <v>422</v>
      </c>
      <c r="B914" t="s">
        <v>30</v>
      </c>
      <c r="C914" t="s">
        <v>397</v>
      </c>
      <c r="D914">
        <v>402</v>
      </c>
      <c r="E914">
        <v>353.89400000000001</v>
      </c>
      <c r="F914">
        <v>3230492</v>
      </c>
      <c r="G914" t="s">
        <v>450</v>
      </c>
      <c r="H914">
        <v>195.774</v>
      </c>
      <c r="I914" t="s">
        <v>614</v>
      </c>
      <c r="J914" t="s">
        <v>10</v>
      </c>
      <c r="K914" t="s">
        <v>615</v>
      </c>
    </row>
    <row r="915" spans="1:11" x14ac:dyDescent="0.25">
      <c r="A915" t="s">
        <v>422</v>
      </c>
      <c r="B915" t="s">
        <v>30</v>
      </c>
      <c r="C915" t="s">
        <v>397</v>
      </c>
      <c r="D915">
        <v>648</v>
      </c>
      <c r="E915">
        <v>570.45600000000002</v>
      </c>
      <c r="F915">
        <v>3230492</v>
      </c>
      <c r="G915" t="s">
        <v>450</v>
      </c>
      <c r="H915">
        <v>315.57600000000002</v>
      </c>
      <c r="I915" t="s">
        <v>614</v>
      </c>
      <c r="J915" t="s">
        <v>10</v>
      </c>
      <c r="K915" t="s">
        <v>615</v>
      </c>
    </row>
    <row r="916" spans="1:11" x14ac:dyDescent="0.25">
      <c r="A916" t="s">
        <v>422</v>
      </c>
      <c r="B916" t="s">
        <v>30</v>
      </c>
      <c r="C916" t="s">
        <v>397</v>
      </c>
      <c r="D916">
        <v>599</v>
      </c>
      <c r="E916">
        <v>527.31899999999996</v>
      </c>
      <c r="F916">
        <v>3230492</v>
      </c>
      <c r="G916" t="s">
        <v>450</v>
      </c>
      <c r="H916">
        <v>291.71300000000002</v>
      </c>
      <c r="I916" t="s">
        <v>614</v>
      </c>
      <c r="J916" t="s">
        <v>10</v>
      </c>
      <c r="K916" t="s">
        <v>615</v>
      </c>
    </row>
    <row r="917" spans="1:11" x14ac:dyDescent="0.25">
      <c r="A917" t="s">
        <v>422</v>
      </c>
      <c r="B917" t="s">
        <v>30</v>
      </c>
      <c r="C917" t="s">
        <v>397</v>
      </c>
      <c r="D917">
        <v>253</v>
      </c>
      <c r="E917">
        <v>222.72399999999999</v>
      </c>
      <c r="F917">
        <v>3230492</v>
      </c>
      <c r="G917" t="s">
        <v>450</v>
      </c>
      <c r="H917">
        <v>123.211</v>
      </c>
      <c r="I917" t="s">
        <v>614</v>
      </c>
      <c r="J917" t="s">
        <v>10</v>
      </c>
      <c r="K917" t="s">
        <v>615</v>
      </c>
    </row>
    <row r="918" spans="1:11" x14ac:dyDescent="0.25">
      <c r="A918" t="s">
        <v>453</v>
      </c>
      <c r="B918" t="s">
        <v>60</v>
      </c>
      <c r="C918" t="s">
        <v>397</v>
      </c>
      <c r="D918">
        <v>1000</v>
      </c>
      <c r="E918">
        <v>880.33299999999997</v>
      </c>
      <c r="F918">
        <v>3230492</v>
      </c>
      <c r="G918" t="s">
        <v>450</v>
      </c>
      <c r="H918">
        <v>487</v>
      </c>
      <c r="I918" t="s">
        <v>614</v>
      </c>
      <c r="J918" t="s">
        <v>10</v>
      </c>
      <c r="K918" t="s">
        <v>615</v>
      </c>
    </row>
    <row r="919" spans="1:11" x14ac:dyDescent="0.25">
      <c r="A919" t="s">
        <v>422</v>
      </c>
      <c r="B919" t="s">
        <v>30</v>
      </c>
      <c r="C919" t="s">
        <v>397</v>
      </c>
      <c r="D919">
        <v>1500</v>
      </c>
      <c r="E919">
        <v>1320.499</v>
      </c>
      <c r="F919">
        <v>3230492</v>
      </c>
      <c r="G919" t="s">
        <v>450</v>
      </c>
      <c r="H919">
        <v>730.5</v>
      </c>
      <c r="I919" t="s">
        <v>614</v>
      </c>
      <c r="J919" t="s">
        <v>10</v>
      </c>
      <c r="K919" t="s">
        <v>615</v>
      </c>
    </row>
    <row r="920" spans="1:11" x14ac:dyDescent="0.25">
      <c r="A920" t="s">
        <v>422</v>
      </c>
      <c r="B920" t="s">
        <v>30</v>
      </c>
      <c r="C920" t="s">
        <v>397</v>
      </c>
      <c r="D920">
        <v>1500</v>
      </c>
      <c r="E920">
        <v>1320.499</v>
      </c>
      <c r="F920">
        <v>3230492</v>
      </c>
      <c r="G920" t="s">
        <v>450</v>
      </c>
      <c r="H920">
        <v>730.5</v>
      </c>
      <c r="I920" t="s">
        <v>614</v>
      </c>
      <c r="J920" t="s">
        <v>10</v>
      </c>
      <c r="K920" t="s">
        <v>615</v>
      </c>
    </row>
    <row r="921" spans="1:11" x14ac:dyDescent="0.25">
      <c r="A921" t="s">
        <v>422</v>
      </c>
      <c r="B921" t="s">
        <v>30</v>
      </c>
      <c r="C921" t="s">
        <v>397</v>
      </c>
      <c r="D921">
        <v>899</v>
      </c>
      <c r="E921">
        <v>791.41899999999998</v>
      </c>
      <c r="F921">
        <v>3230492</v>
      </c>
      <c r="G921" t="s">
        <v>450</v>
      </c>
      <c r="H921">
        <v>437.81299999999999</v>
      </c>
      <c r="I921" t="s">
        <v>614</v>
      </c>
      <c r="J921" t="s">
        <v>10</v>
      </c>
      <c r="K921" t="s">
        <v>615</v>
      </c>
    </row>
    <row r="922" spans="1:11" x14ac:dyDescent="0.25">
      <c r="A922" t="s">
        <v>422</v>
      </c>
      <c r="B922" t="s">
        <v>30</v>
      </c>
      <c r="C922" t="s">
        <v>397</v>
      </c>
      <c r="D922">
        <v>273</v>
      </c>
      <c r="E922">
        <v>240.33099999999999</v>
      </c>
      <c r="F922">
        <v>3230492</v>
      </c>
      <c r="G922" t="s">
        <v>450</v>
      </c>
      <c r="H922">
        <v>132.95099999999999</v>
      </c>
      <c r="I922" t="s">
        <v>614</v>
      </c>
      <c r="J922" t="s">
        <v>10</v>
      </c>
      <c r="K922" t="s">
        <v>615</v>
      </c>
    </row>
    <row r="923" spans="1:11" x14ac:dyDescent="0.25">
      <c r="A923" t="s">
        <v>422</v>
      </c>
      <c r="B923" t="s">
        <v>30</v>
      </c>
      <c r="C923" t="s">
        <v>397</v>
      </c>
      <c r="D923">
        <v>147</v>
      </c>
      <c r="E923">
        <v>129.40899999999999</v>
      </c>
      <c r="F923">
        <v>3230492</v>
      </c>
      <c r="G923" t="s">
        <v>450</v>
      </c>
      <c r="H923">
        <v>71.588999999999999</v>
      </c>
      <c r="I923" t="s">
        <v>614</v>
      </c>
      <c r="J923" t="s">
        <v>10</v>
      </c>
      <c r="K923" t="s">
        <v>615</v>
      </c>
    </row>
    <row r="924" spans="1:11" x14ac:dyDescent="0.25">
      <c r="A924" t="s">
        <v>422</v>
      </c>
      <c r="B924" t="s">
        <v>30</v>
      </c>
      <c r="C924" t="s">
        <v>397</v>
      </c>
      <c r="D924">
        <v>71</v>
      </c>
      <c r="E924">
        <v>62.503999999999998</v>
      </c>
      <c r="F924">
        <v>3230492</v>
      </c>
      <c r="G924" t="s">
        <v>450</v>
      </c>
      <c r="H924">
        <v>34.576999999999998</v>
      </c>
      <c r="I924" t="s">
        <v>614</v>
      </c>
      <c r="J924" t="s">
        <v>10</v>
      </c>
      <c r="K924" t="s">
        <v>615</v>
      </c>
    </row>
    <row r="925" spans="1:11" x14ac:dyDescent="0.25">
      <c r="A925" t="s">
        <v>422</v>
      </c>
      <c r="B925" t="s">
        <v>30</v>
      </c>
      <c r="C925" t="s">
        <v>397</v>
      </c>
      <c r="D925">
        <v>70</v>
      </c>
      <c r="E925">
        <v>61.622999999999998</v>
      </c>
      <c r="F925">
        <v>3230492</v>
      </c>
      <c r="G925" t="s">
        <v>450</v>
      </c>
      <c r="H925">
        <v>34.090000000000003</v>
      </c>
      <c r="I925" t="s">
        <v>614</v>
      </c>
      <c r="J925" t="s">
        <v>10</v>
      </c>
      <c r="K925" t="s">
        <v>615</v>
      </c>
    </row>
    <row r="926" spans="1:11" x14ac:dyDescent="0.25">
      <c r="A926" t="s">
        <v>422</v>
      </c>
      <c r="B926" t="s">
        <v>30</v>
      </c>
      <c r="C926" t="s">
        <v>397</v>
      </c>
      <c r="D926">
        <v>40</v>
      </c>
      <c r="E926">
        <v>35.213000000000001</v>
      </c>
      <c r="F926">
        <v>3230492</v>
      </c>
      <c r="G926" t="s">
        <v>450</v>
      </c>
      <c r="H926">
        <v>19.48</v>
      </c>
      <c r="I926" t="s">
        <v>614</v>
      </c>
      <c r="J926" t="s">
        <v>10</v>
      </c>
      <c r="K926" t="s">
        <v>615</v>
      </c>
    </row>
    <row r="927" spans="1:11" x14ac:dyDescent="0.25">
      <c r="A927" t="s">
        <v>422</v>
      </c>
      <c r="B927" t="s">
        <v>30</v>
      </c>
      <c r="C927" t="s">
        <v>397</v>
      </c>
      <c r="D927">
        <v>1500</v>
      </c>
      <c r="E927">
        <v>1320.499</v>
      </c>
      <c r="F927">
        <v>3230492</v>
      </c>
      <c r="G927" t="s">
        <v>450</v>
      </c>
      <c r="H927">
        <v>730.5</v>
      </c>
      <c r="I927" t="s">
        <v>614</v>
      </c>
      <c r="J927" t="s">
        <v>10</v>
      </c>
      <c r="K927" t="s">
        <v>615</v>
      </c>
    </row>
    <row r="928" spans="1:11" x14ac:dyDescent="0.25">
      <c r="A928" t="s">
        <v>422</v>
      </c>
      <c r="B928" t="s">
        <v>30</v>
      </c>
      <c r="C928" t="s">
        <v>397</v>
      </c>
      <c r="D928">
        <v>1000</v>
      </c>
      <c r="E928">
        <v>840.56399999999996</v>
      </c>
      <c r="F928">
        <v>3230485</v>
      </c>
      <c r="G928" t="s">
        <v>450</v>
      </c>
      <c r="H928">
        <v>465</v>
      </c>
      <c r="I928" t="s">
        <v>616</v>
      </c>
      <c r="J928" t="s">
        <v>10</v>
      </c>
      <c r="K928" t="s">
        <v>617</v>
      </c>
    </row>
    <row r="929" spans="1:11" x14ac:dyDescent="0.25">
      <c r="A929" t="s">
        <v>422</v>
      </c>
      <c r="B929" t="s">
        <v>30</v>
      </c>
      <c r="C929" t="s">
        <v>397</v>
      </c>
      <c r="D929">
        <v>1000</v>
      </c>
      <c r="E929">
        <v>840.56399999999996</v>
      </c>
      <c r="F929">
        <v>3230485</v>
      </c>
      <c r="G929" t="s">
        <v>450</v>
      </c>
      <c r="H929">
        <v>465</v>
      </c>
      <c r="I929" t="s">
        <v>616</v>
      </c>
      <c r="J929" t="s">
        <v>10</v>
      </c>
      <c r="K929" t="s">
        <v>617</v>
      </c>
    </row>
    <row r="930" spans="1:11" x14ac:dyDescent="0.25">
      <c r="A930" t="s">
        <v>453</v>
      </c>
      <c r="B930" t="s">
        <v>60</v>
      </c>
      <c r="C930" t="s">
        <v>397</v>
      </c>
      <c r="D930">
        <v>1000</v>
      </c>
      <c r="E930">
        <v>840.56399999999996</v>
      </c>
      <c r="F930">
        <v>3230485</v>
      </c>
      <c r="G930" t="s">
        <v>450</v>
      </c>
      <c r="H930">
        <v>465</v>
      </c>
      <c r="I930" t="s">
        <v>616</v>
      </c>
      <c r="J930" t="s">
        <v>10</v>
      </c>
      <c r="K930" t="s">
        <v>617</v>
      </c>
    </row>
    <row r="931" spans="1:11" x14ac:dyDescent="0.25">
      <c r="A931" t="s">
        <v>422</v>
      </c>
      <c r="B931" t="s">
        <v>30</v>
      </c>
      <c r="C931" t="s">
        <v>397</v>
      </c>
      <c r="D931">
        <v>1000</v>
      </c>
      <c r="E931">
        <v>840.56399999999996</v>
      </c>
      <c r="F931">
        <v>3230485</v>
      </c>
      <c r="G931" t="s">
        <v>450</v>
      </c>
      <c r="H931">
        <v>465</v>
      </c>
      <c r="I931" t="s">
        <v>616</v>
      </c>
      <c r="J931" t="s">
        <v>10</v>
      </c>
      <c r="K931" t="s">
        <v>617</v>
      </c>
    </row>
    <row r="932" spans="1:11" x14ac:dyDescent="0.25">
      <c r="A932" t="s">
        <v>422</v>
      </c>
      <c r="B932" t="s">
        <v>30</v>
      </c>
      <c r="C932" t="s">
        <v>397</v>
      </c>
      <c r="D932">
        <v>1000</v>
      </c>
      <c r="E932">
        <v>840.56399999999996</v>
      </c>
      <c r="F932">
        <v>3230485</v>
      </c>
      <c r="G932" t="s">
        <v>450</v>
      </c>
      <c r="H932">
        <v>465</v>
      </c>
      <c r="I932" t="s">
        <v>616</v>
      </c>
      <c r="J932" t="s">
        <v>10</v>
      </c>
      <c r="K932" t="s">
        <v>617</v>
      </c>
    </row>
    <row r="933" spans="1:11" x14ac:dyDescent="0.25">
      <c r="A933" t="s">
        <v>422</v>
      </c>
      <c r="B933" t="s">
        <v>30</v>
      </c>
      <c r="C933" t="s">
        <v>397</v>
      </c>
      <c r="D933">
        <v>496</v>
      </c>
      <c r="E933">
        <v>416.92</v>
      </c>
      <c r="F933">
        <v>3230485</v>
      </c>
      <c r="G933" t="s">
        <v>450</v>
      </c>
      <c r="H933">
        <v>230.64</v>
      </c>
      <c r="I933" t="s">
        <v>616</v>
      </c>
      <c r="J933" t="s">
        <v>10</v>
      </c>
      <c r="K933" t="s">
        <v>617</v>
      </c>
    </row>
    <row r="934" spans="1:11" x14ac:dyDescent="0.25">
      <c r="A934" t="s">
        <v>422</v>
      </c>
      <c r="B934" t="s">
        <v>30</v>
      </c>
      <c r="C934" t="s">
        <v>397</v>
      </c>
      <c r="D934">
        <v>496</v>
      </c>
      <c r="E934">
        <v>416.92</v>
      </c>
      <c r="F934">
        <v>3230485</v>
      </c>
      <c r="G934" t="s">
        <v>450</v>
      </c>
      <c r="H934">
        <v>230.64</v>
      </c>
      <c r="I934" t="s">
        <v>616</v>
      </c>
      <c r="J934" t="s">
        <v>10</v>
      </c>
      <c r="K934" t="s">
        <v>617</v>
      </c>
    </row>
    <row r="935" spans="1:11" x14ac:dyDescent="0.25">
      <c r="A935" t="s">
        <v>422</v>
      </c>
      <c r="B935" t="s">
        <v>30</v>
      </c>
      <c r="C935" t="s">
        <v>397</v>
      </c>
      <c r="D935">
        <v>8</v>
      </c>
      <c r="E935">
        <v>6.7249999999999996</v>
      </c>
      <c r="F935">
        <v>3230485</v>
      </c>
      <c r="G935" t="s">
        <v>450</v>
      </c>
      <c r="H935">
        <v>3.72</v>
      </c>
      <c r="I935" t="s">
        <v>616</v>
      </c>
      <c r="J935" t="s">
        <v>10</v>
      </c>
      <c r="K935" t="s">
        <v>617</v>
      </c>
    </row>
    <row r="936" spans="1:11" x14ac:dyDescent="0.25">
      <c r="A936" t="s">
        <v>422</v>
      </c>
      <c r="B936" t="s">
        <v>30</v>
      </c>
      <c r="C936" t="s">
        <v>397</v>
      </c>
      <c r="D936">
        <v>1000</v>
      </c>
      <c r="E936">
        <v>840.56399999999996</v>
      </c>
      <c r="F936">
        <v>3230485</v>
      </c>
      <c r="G936" t="s">
        <v>450</v>
      </c>
      <c r="H936">
        <v>465</v>
      </c>
      <c r="I936" t="s">
        <v>616</v>
      </c>
      <c r="J936" t="s">
        <v>10</v>
      </c>
      <c r="K936" t="s">
        <v>617</v>
      </c>
    </row>
    <row r="937" spans="1:11" x14ac:dyDescent="0.25">
      <c r="A937" t="s">
        <v>453</v>
      </c>
      <c r="B937" t="s">
        <v>60</v>
      </c>
      <c r="C937" t="s">
        <v>397</v>
      </c>
      <c r="D937">
        <v>500</v>
      </c>
      <c r="E937">
        <v>437.45499999999998</v>
      </c>
      <c r="F937">
        <v>3233560</v>
      </c>
      <c r="G937" t="s">
        <v>450</v>
      </c>
      <c r="H937">
        <v>242</v>
      </c>
      <c r="I937" t="s">
        <v>618</v>
      </c>
      <c r="J937" t="s">
        <v>10</v>
      </c>
      <c r="K937" t="s">
        <v>619</v>
      </c>
    </row>
    <row r="938" spans="1:11" x14ac:dyDescent="0.25">
      <c r="A938" t="s">
        <v>453</v>
      </c>
      <c r="B938" t="s">
        <v>60</v>
      </c>
      <c r="C938" t="s">
        <v>397</v>
      </c>
      <c r="D938">
        <v>485</v>
      </c>
      <c r="E938">
        <v>424.33100000000002</v>
      </c>
      <c r="F938">
        <v>3233560</v>
      </c>
      <c r="G938" t="s">
        <v>450</v>
      </c>
      <c r="H938">
        <v>234.74</v>
      </c>
      <c r="I938" t="s">
        <v>618</v>
      </c>
      <c r="J938" t="s">
        <v>10</v>
      </c>
      <c r="K938" t="s">
        <v>619</v>
      </c>
    </row>
    <row r="939" spans="1:11" x14ac:dyDescent="0.25">
      <c r="A939" t="s">
        <v>453</v>
      </c>
      <c r="B939" t="s">
        <v>60</v>
      </c>
      <c r="C939" t="s">
        <v>397</v>
      </c>
      <c r="D939">
        <v>10</v>
      </c>
      <c r="E939">
        <v>8.7490000000000006</v>
      </c>
      <c r="F939">
        <v>3233560</v>
      </c>
      <c r="G939" t="s">
        <v>450</v>
      </c>
      <c r="H939">
        <v>4.84</v>
      </c>
      <c r="I939" t="s">
        <v>618</v>
      </c>
      <c r="J939" t="s">
        <v>10</v>
      </c>
      <c r="K939" t="s">
        <v>619</v>
      </c>
    </row>
    <row r="940" spans="1:11" x14ac:dyDescent="0.25">
      <c r="A940" t="s">
        <v>453</v>
      </c>
      <c r="B940" t="s">
        <v>60</v>
      </c>
      <c r="C940" t="s">
        <v>397</v>
      </c>
      <c r="D940">
        <v>5</v>
      </c>
      <c r="E940">
        <v>4.375</v>
      </c>
      <c r="F940">
        <v>3233560</v>
      </c>
      <c r="G940" t="s">
        <v>450</v>
      </c>
      <c r="H940">
        <v>2.42</v>
      </c>
      <c r="I940" t="s">
        <v>618</v>
      </c>
      <c r="J940" t="s">
        <v>10</v>
      </c>
      <c r="K940" t="s">
        <v>619</v>
      </c>
    </row>
    <row r="941" spans="1:11" x14ac:dyDescent="0.25">
      <c r="A941" t="s">
        <v>422</v>
      </c>
      <c r="B941" t="s">
        <v>30</v>
      </c>
      <c r="C941" t="s">
        <v>397</v>
      </c>
      <c r="D941">
        <v>373</v>
      </c>
      <c r="E941">
        <v>325.30599999999998</v>
      </c>
      <c r="F941">
        <v>3605739</v>
      </c>
      <c r="G941" t="s">
        <v>450</v>
      </c>
      <c r="H941">
        <v>181.65100000000001</v>
      </c>
      <c r="I941" t="s">
        <v>620</v>
      </c>
      <c r="J941" t="s">
        <v>10</v>
      </c>
      <c r="K941" t="s">
        <v>621</v>
      </c>
    </row>
    <row r="942" spans="1:11" x14ac:dyDescent="0.25">
      <c r="A942" t="s">
        <v>422</v>
      </c>
      <c r="B942" t="s">
        <v>30</v>
      </c>
      <c r="C942" t="s">
        <v>397</v>
      </c>
      <c r="D942">
        <v>246</v>
      </c>
      <c r="E942">
        <v>214.54499999999999</v>
      </c>
      <c r="F942">
        <v>3605739</v>
      </c>
      <c r="G942" t="s">
        <v>450</v>
      </c>
      <c r="H942">
        <v>119.80200000000001</v>
      </c>
      <c r="I942" t="s">
        <v>620</v>
      </c>
      <c r="J942" t="s">
        <v>10</v>
      </c>
      <c r="K942" t="s">
        <v>621</v>
      </c>
    </row>
    <row r="943" spans="1:11" x14ac:dyDescent="0.25">
      <c r="A943" t="s">
        <v>422</v>
      </c>
      <c r="B943" t="s">
        <v>30</v>
      </c>
      <c r="C943" t="s">
        <v>397</v>
      </c>
      <c r="D943">
        <v>193</v>
      </c>
      <c r="E943">
        <v>168.322</v>
      </c>
      <c r="F943">
        <v>3605739</v>
      </c>
      <c r="G943" t="s">
        <v>450</v>
      </c>
      <c r="H943">
        <v>93.991</v>
      </c>
      <c r="I943" t="s">
        <v>620</v>
      </c>
      <c r="J943" t="s">
        <v>10</v>
      </c>
      <c r="K943" t="s">
        <v>621</v>
      </c>
    </row>
    <row r="944" spans="1:11" x14ac:dyDescent="0.25">
      <c r="A944" t="s">
        <v>422</v>
      </c>
      <c r="B944" t="s">
        <v>30</v>
      </c>
      <c r="C944" t="s">
        <v>397</v>
      </c>
      <c r="D944">
        <v>188</v>
      </c>
      <c r="E944">
        <v>163.96100000000001</v>
      </c>
      <c r="F944">
        <v>3605739</v>
      </c>
      <c r="G944" t="s">
        <v>450</v>
      </c>
      <c r="H944">
        <v>91.555999999999997</v>
      </c>
      <c r="I944" t="s">
        <v>620</v>
      </c>
      <c r="J944" t="s">
        <v>10</v>
      </c>
      <c r="K944" t="s">
        <v>621</v>
      </c>
    </row>
    <row r="945" spans="1:11" x14ac:dyDescent="0.25">
      <c r="A945" t="s">
        <v>422</v>
      </c>
      <c r="B945" t="s">
        <v>30</v>
      </c>
      <c r="C945" t="s">
        <v>397</v>
      </c>
      <c r="D945">
        <v>1000</v>
      </c>
      <c r="E945">
        <v>872.13499999999999</v>
      </c>
      <c r="F945">
        <v>3605739</v>
      </c>
      <c r="G945" t="s">
        <v>450</v>
      </c>
      <c r="H945">
        <v>487</v>
      </c>
      <c r="I945" t="s">
        <v>620</v>
      </c>
      <c r="J945" t="s">
        <v>10</v>
      </c>
      <c r="K945" t="s">
        <v>621</v>
      </c>
    </row>
    <row r="946" spans="1:11" x14ac:dyDescent="0.25">
      <c r="A946" t="s">
        <v>422</v>
      </c>
      <c r="B946" t="s">
        <v>30</v>
      </c>
      <c r="C946" t="s">
        <v>397</v>
      </c>
      <c r="D946">
        <v>1000</v>
      </c>
      <c r="E946">
        <v>872.13499999999999</v>
      </c>
      <c r="F946">
        <v>3605739</v>
      </c>
      <c r="G946" t="s">
        <v>450</v>
      </c>
      <c r="H946">
        <v>487</v>
      </c>
      <c r="I946" t="s">
        <v>620</v>
      </c>
      <c r="J946" t="s">
        <v>10</v>
      </c>
      <c r="K946" t="s">
        <v>621</v>
      </c>
    </row>
    <row r="947" spans="1:11" x14ac:dyDescent="0.25">
      <c r="A947" t="s">
        <v>422</v>
      </c>
      <c r="B947" t="s">
        <v>30</v>
      </c>
      <c r="C947" t="s">
        <v>397</v>
      </c>
      <c r="D947">
        <v>1000</v>
      </c>
      <c r="E947">
        <v>872.13499999999999</v>
      </c>
      <c r="F947">
        <v>3605739</v>
      </c>
      <c r="G947" t="s">
        <v>450</v>
      </c>
      <c r="H947">
        <v>487</v>
      </c>
      <c r="I947" t="s">
        <v>620</v>
      </c>
      <c r="J947" t="s">
        <v>10</v>
      </c>
      <c r="K947" t="s">
        <v>621</v>
      </c>
    </row>
    <row r="948" spans="1:11" x14ac:dyDescent="0.25">
      <c r="A948" t="s">
        <v>422</v>
      </c>
      <c r="B948" t="s">
        <v>30</v>
      </c>
      <c r="C948" t="s">
        <v>397</v>
      </c>
      <c r="D948">
        <v>1000</v>
      </c>
      <c r="E948">
        <v>872.13499999999999</v>
      </c>
      <c r="F948">
        <v>3605739</v>
      </c>
      <c r="G948" t="s">
        <v>450</v>
      </c>
      <c r="H948">
        <v>487</v>
      </c>
      <c r="I948" t="s">
        <v>620</v>
      </c>
      <c r="J948" t="s">
        <v>10</v>
      </c>
      <c r="K948" t="s">
        <v>621</v>
      </c>
    </row>
    <row r="949" spans="1:11" x14ac:dyDescent="0.25">
      <c r="A949" t="s">
        <v>422</v>
      </c>
      <c r="B949" t="s">
        <v>30</v>
      </c>
      <c r="C949" t="s">
        <v>397</v>
      </c>
      <c r="D949">
        <v>648</v>
      </c>
      <c r="E949">
        <v>565.14300000000003</v>
      </c>
      <c r="F949">
        <v>3605739</v>
      </c>
      <c r="G949" t="s">
        <v>450</v>
      </c>
      <c r="H949">
        <v>315.57600000000002</v>
      </c>
      <c r="I949" t="s">
        <v>620</v>
      </c>
      <c r="J949" t="s">
        <v>10</v>
      </c>
      <c r="K949" t="s">
        <v>621</v>
      </c>
    </row>
    <row r="950" spans="1:11" x14ac:dyDescent="0.25">
      <c r="A950" t="s">
        <v>422</v>
      </c>
      <c r="B950" t="s">
        <v>30</v>
      </c>
      <c r="C950" t="s">
        <v>397</v>
      </c>
      <c r="D950">
        <v>268</v>
      </c>
      <c r="E950">
        <v>233.732</v>
      </c>
      <c r="F950">
        <v>3605739</v>
      </c>
      <c r="G950" t="s">
        <v>450</v>
      </c>
      <c r="H950">
        <v>130.51599999999999</v>
      </c>
      <c r="I950" t="s">
        <v>620</v>
      </c>
      <c r="J950" t="s">
        <v>10</v>
      </c>
      <c r="K950" t="s">
        <v>621</v>
      </c>
    </row>
    <row r="951" spans="1:11" x14ac:dyDescent="0.25">
      <c r="A951" t="s">
        <v>422</v>
      </c>
      <c r="B951" t="s">
        <v>30</v>
      </c>
      <c r="C951" t="s">
        <v>397</v>
      </c>
      <c r="D951">
        <v>32</v>
      </c>
      <c r="E951">
        <v>27.908000000000001</v>
      </c>
      <c r="F951">
        <v>3605739</v>
      </c>
      <c r="G951" t="s">
        <v>450</v>
      </c>
      <c r="H951">
        <v>15.584</v>
      </c>
      <c r="I951" t="s">
        <v>620</v>
      </c>
      <c r="J951" t="s">
        <v>10</v>
      </c>
      <c r="K951" t="s">
        <v>621</v>
      </c>
    </row>
    <row r="952" spans="1:11" x14ac:dyDescent="0.25">
      <c r="A952" t="s">
        <v>422</v>
      </c>
      <c r="B952" t="s">
        <v>30</v>
      </c>
      <c r="C952" t="s">
        <v>397</v>
      </c>
      <c r="D952">
        <v>24</v>
      </c>
      <c r="E952">
        <v>20.931000000000001</v>
      </c>
      <c r="F952">
        <v>3605739</v>
      </c>
      <c r="G952" t="s">
        <v>450</v>
      </c>
      <c r="H952">
        <v>11.688000000000001</v>
      </c>
      <c r="I952" t="s">
        <v>620</v>
      </c>
      <c r="J952" t="s">
        <v>10</v>
      </c>
      <c r="K952" t="s">
        <v>621</v>
      </c>
    </row>
    <row r="953" spans="1:11" x14ac:dyDescent="0.25">
      <c r="A953" t="s">
        <v>422</v>
      </c>
      <c r="B953" t="s">
        <v>30</v>
      </c>
      <c r="C953" t="s">
        <v>397</v>
      </c>
      <c r="D953">
        <v>24</v>
      </c>
      <c r="E953">
        <v>20.931000000000001</v>
      </c>
      <c r="F953">
        <v>3605739</v>
      </c>
      <c r="G953" t="s">
        <v>450</v>
      </c>
      <c r="H953">
        <v>11.688000000000001</v>
      </c>
      <c r="I953" t="s">
        <v>620</v>
      </c>
      <c r="J953" t="s">
        <v>10</v>
      </c>
      <c r="K953" t="s">
        <v>621</v>
      </c>
    </row>
    <row r="954" spans="1:11" x14ac:dyDescent="0.25">
      <c r="A954" t="s">
        <v>422</v>
      </c>
      <c r="B954" t="s">
        <v>30</v>
      </c>
      <c r="C954" t="s">
        <v>397</v>
      </c>
      <c r="D954">
        <v>4</v>
      </c>
      <c r="E954">
        <v>3.4889999999999999</v>
      </c>
      <c r="F954">
        <v>3605739</v>
      </c>
      <c r="G954" t="s">
        <v>450</v>
      </c>
      <c r="H954">
        <v>1.948</v>
      </c>
      <c r="I954" t="s">
        <v>620</v>
      </c>
      <c r="J954" t="s">
        <v>10</v>
      </c>
      <c r="K954" t="s">
        <v>621</v>
      </c>
    </row>
    <row r="955" spans="1:11" x14ac:dyDescent="0.25">
      <c r="A955" t="s">
        <v>422</v>
      </c>
      <c r="B955" t="s">
        <v>30</v>
      </c>
      <c r="C955" t="s">
        <v>397</v>
      </c>
      <c r="D955">
        <v>500</v>
      </c>
      <c r="E955">
        <v>649.00599999999997</v>
      </c>
      <c r="F955">
        <v>3935311</v>
      </c>
      <c r="G955" t="s">
        <v>529</v>
      </c>
      <c r="H955">
        <v>563.15</v>
      </c>
      <c r="I955" t="s">
        <v>622</v>
      </c>
      <c r="J955" t="s">
        <v>10</v>
      </c>
      <c r="K955" t="s">
        <v>623</v>
      </c>
    </row>
    <row r="956" spans="1:11" x14ac:dyDescent="0.25">
      <c r="A956" t="s">
        <v>422</v>
      </c>
      <c r="B956" t="s">
        <v>30</v>
      </c>
      <c r="C956" t="s">
        <v>397</v>
      </c>
      <c r="D956">
        <v>500</v>
      </c>
      <c r="E956">
        <v>649.00599999999997</v>
      </c>
      <c r="F956">
        <v>3935311</v>
      </c>
      <c r="G956" t="s">
        <v>529</v>
      </c>
      <c r="H956">
        <v>563.15</v>
      </c>
      <c r="I956" t="s">
        <v>622</v>
      </c>
      <c r="J956" t="s">
        <v>10</v>
      </c>
      <c r="K956" t="s">
        <v>623</v>
      </c>
    </row>
    <row r="957" spans="1:11" x14ac:dyDescent="0.25">
      <c r="A957" t="s">
        <v>453</v>
      </c>
      <c r="B957" t="s">
        <v>60</v>
      </c>
      <c r="C957" t="s">
        <v>397</v>
      </c>
      <c r="D957">
        <v>500</v>
      </c>
      <c r="E957">
        <v>649.00599999999997</v>
      </c>
      <c r="F957">
        <v>3935311</v>
      </c>
      <c r="G957" t="s">
        <v>529</v>
      </c>
      <c r="H957">
        <v>563.15</v>
      </c>
      <c r="I957" t="s">
        <v>622</v>
      </c>
      <c r="J957" t="s">
        <v>10</v>
      </c>
      <c r="K957" t="s">
        <v>623</v>
      </c>
    </row>
    <row r="958" spans="1:11" x14ac:dyDescent="0.25">
      <c r="A958" t="s">
        <v>422</v>
      </c>
      <c r="B958" t="s">
        <v>30</v>
      </c>
      <c r="C958" t="s">
        <v>397</v>
      </c>
      <c r="D958">
        <v>500</v>
      </c>
      <c r="E958">
        <v>649.00599999999997</v>
      </c>
      <c r="F958">
        <v>3935311</v>
      </c>
      <c r="G958" t="s">
        <v>529</v>
      </c>
      <c r="H958">
        <v>563.15</v>
      </c>
      <c r="I958" t="s">
        <v>622</v>
      </c>
      <c r="J958" t="s">
        <v>10</v>
      </c>
      <c r="K958" t="s">
        <v>623</v>
      </c>
    </row>
    <row r="959" spans="1:11" x14ac:dyDescent="0.25">
      <c r="A959" t="s">
        <v>422</v>
      </c>
      <c r="B959" t="s">
        <v>30</v>
      </c>
      <c r="C959" t="s">
        <v>397</v>
      </c>
      <c r="D959">
        <v>219</v>
      </c>
      <c r="E959">
        <v>284.26499999999999</v>
      </c>
      <c r="F959">
        <v>3935311</v>
      </c>
      <c r="G959" t="s">
        <v>529</v>
      </c>
      <c r="H959">
        <v>246.66</v>
      </c>
      <c r="I959" t="s">
        <v>622</v>
      </c>
      <c r="J959" t="s">
        <v>10</v>
      </c>
      <c r="K959" t="s">
        <v>623</v>
      </c>
    </row>
    <row r="960" spans="1:11" x14ac:dyDescent="0.25">
      <c r="A960" t="s">
        <v>422</v>
      </c>
      <c r="B960" t="s">
        <v>30</v>
      </c>
      <c r="C960" t="s">
        <v>397</v>
      </c>
      <c r="D960">
        <v>125</v>
      </c>
      <c r="E960">
        <v>162.25200000000001</v>
      </c>
      <c r="F960">
        <v>3935311</v>
      </c>
      <c r="G960" t="s">
        <v>529</v>
      </c>
      <c r="H960">
        <v>140.78800000000001</v>
      </c>
      <c r="I960" t="s">
        <v>622</v>
      </c>
      <c r="J960" t="s">
        <v>10</v>
      </c>
      <c r="K960" t="s">
        <v>623</v>
      </c>
    </row>
    <row r="961" spans="1:11" x14ac:dyDescent="0.25">
      <c r="A961" t="s">
        <v>422</v>
      </c>
      <c r="B961" t="s">
        <v>30</v>
      </c>
      <c r="C961" t="s">
        <v>397</v>
      </c>
      <c r="D961">
        <v>63</v>
      </c>
      <c r="E961">
        <v>81.775000000000006</v>
      </c>
      <c r="F961">
        <v>3935311</v>
      </c>
      <c r="G961" t="s">
        <v>529</v>
      </c>
      <c r="H961">
        <v>70.956999999999994</v>
      </c>
      <c r="I961" t="s">
        <v>622</v>
      </c>
      <c r="J961" t="s">
        <v>10</v>
      </c>
      <c r="K961" t="s">
        <v>623</v>
      </c>
    </row>
    <row r="962" spans="1:11" x14ac:dyDescent="0.25">
      <c r="A962" t="s">
        <v>422</v>
      </c>
      <c r="B962" t="s">
        <v>30</v>
      </c>
      <c r="C962" t="s">
        <v>397</v>
      </c>
      <c r="D962">
        <v>47</v>
      </c>
      <c r="E962">
        <v>61.006999999999998</v>
      </c>
      <c r="F962">
        <v>3935311</v>
      </c>
      <c r="G962" t="s">
        <v>529</v>
      </c>
      <c r="H962">
        <v>52.936</v>
      </c>
      <c r="I962" t="s">
        <v>622</v>
      </c>
      <c r="J962" t="s">
        <v>10</v>
      </c>
      <c r="K962" t="s">
        <v>623</v>
      </c>
    </row>
    <row r="963" spans="1:11" x14ac:dyDescent="0.25">
      <c r="A963" t="s">
        <v>422</v>
      </c>
      <c r="B963" t="s">
        <v>30</v>
      </c>
      <c r="C963" t="s">
        <v>397</v>
      </c>
      <c r="D963">
        <v>42</v>
      </c>
      <c r="E963">
        <v>54.517000000000003</v>
      </c>
      <c r="F963">
        <v>3935311</v>
      </c>
      <c r="G963" t="s">
        <v>529</v>
      </c>
      <c r="H963">
        <v>47.305</v>
      </c>
      <c r="I963" t="s">
        <v>622</v>
      </c>
      <c r="J963" t="s">
        <v>10</v>
      </c>
      <c r="K963" t="s">
        <v>623</v>
      </c>
    </row>
    <row r="964" spans="1:11" x14ac:dyDescent="0.25">
      <c r="A964" t="s">
        <v>422</v>
      </c>
      <c r="B964" t="s">
        <v>30</v>
      </c>
      <c r="C964" t="s">
        <v>397</v>
      </c>
      <c r="D964">
        <v>4</v>
      </c>
      <c r="E964">
        <v>5.1920000000000002</v>
      </c>
      <c r="F964">
        <v>3935311</v>
      </c>
      <c r="G964" t="s">
        <v>529</v>
      </c>
      <c r="H964">
        <v>4.5049999999999999</v>
      </c>
      <c r="I964" t="s">
        <v>622</v>
      </c>
      <c r="J964" t="s">
        <v>10</v>
      </c>
      <c r="K964" t="s">
        <v>623</v>
      </c>
    </row>
    <row r="965" spans="1:11" x14ac:dyDescent="0.25">
      <c r="A965" t="s">
        <v>422</v>
      </c>
      <c r="B965" t="s">
        <v>30</v>
      </c>
      <c r="C965" t="s">
        <v>397</v>
      </c>
      <c r="D965">
        <v>500</v>
      </c>
      <c r="E965">
        <v>649.00599999999997</v>
      </c>
      <c r="F965">
        <v>3935311</v>
      </c>
      <c r="G965" t="s">
        <v>529</v>
      </c>
      <c r="H965">
        <v>563.15</v>
      </c>
      <c r="I965" t="s">
        <v>622</v>
      </c>
      <c r="J965" t="s">
        <v>10</v>
      </c>
      <c r="K965" t="s">
        <v>623</v>
      </c>
    </row>
    <row r="966" spans="1:11" x14ac:dyDescent="0.25">
      <c r="A966" t="s">
        <v>422</v>
      </c>
      <c r="B966" t="s">
        <v>30</v>
      </c>
      <c r="C966" t="s">
        <v>397</v>
      </c>
      <c r="D966">
        <v>500</v>
      </c>
      <c r="E966">
        <v>649.00599999999997</v>
      </c>
      <c r="F966">
        <v>3935311</v>
      </c>
      <c r="G966" t="s">
        <v>529</v>
      </c>
      <c r="H966">
        <v>563.15</v>
      </c>
      <c r="I966" t="s">
        <v>622</v>
      </c>
      <c r="J966" t="s">
        <v>10</v>
      </c>
      <c r="K966" t="s">
        <v>623</v>
      </c>
    </row>
    <row r="967" spans="1:11" x14ac:dyDescent="0.25">
      <c r="A967" t="s">
        <v>422</v>
      </c>
      <c r="B967" t="s">
        <v>30</v>
      </c>
      <c r="C967" t="s">
        <v>397</v>
      </c>
      <c r="D967">
        <v>1000</v>
      </c>
      <c r="E967">
        <v>787.17499999999995</v>
      </c>
      <c r="F967">
        <v>3230482</v>
      </c>
      <c r="G967" t="s">
        <v>529</v>
      </c>
      <c r="H967">
        <v>712</v>
      </c>
      <c r="I967" t="s">
        <v>624</v>
      </c>
      <c r="J967" t="s">
        <v>10</v>
      </c>
      <c r="K967" t="s">
        <v>625</v>
      </c>
    </row>
    <row r="968" spans="1:11" x14ac:dyDescent="0.25">
      <c r="A968" t="s">
        <v>422</v>
      </c>
      <c r="B968" t="s">
        <v>30</v>
      </c>
      <c r="C968" t="s">
        <v>397</v>
      </c>
      <c r="D968">
        <v>1000</v>
      </c>
      <c r="E968">
        <v>787.17499999999995</v>
      </c>
      <c r="F968">
        <v>3230482</v>
      </c>
      <c r="G968" t="s">
        <v>529</v>
      </c>
      <c r="H968">
        <v>712</v>
      </c>
      <c r="I968" t="s">
        <v>624</v>
      </c>
      <c r="J968" t="s">
        <v>10</v>
      </c>
      <c r="K968" t="s">
        <v>625</v>
      </c>
    </row>
    <row r="969" spans="1:11" x14ac:dyDescent="0.25">
      <c r="A969" t="s">
        <v>453</v>
      </c>
      <c r="B969" t="s">
        <v>60</v>
      </c>
      <c r="C969" t="s">
        <v>397</v>
      </c>
      <c r="D969">
        <v>1000</v>
      </c>
      <c r="E969">
        <v>787.17499999999995</v>
      </c>
      <c r="F969">
        <v>3230482</v>
      </c>
      <c r="G969" t="s">
        <v>529</v>
      </c>
      <c r="H969">
        <v>712</v>
      </c>
      <c r="I969" t="s">
        <v>624</v>
      </c>
      <c r="J969" t="s">
        <v>10</v>
      </c>
      <c r="K969" t="s">
        <v>625</v>
      </c>
    </row>
    <row r="970" spans="1:11" x14ac:dyDescent="0.25">
      <c r="A970" t="s">
        <v>422</v>
      </c>
      <c r="B970" t="s">
        <v>30</v>
      </c>
      <c r="C970" t="s">
        <v>397</v>
      </c>
      <c r="D970">
        <v>1000</v>
      </c>
      <c r="E970">
        <v>787.17499999999995</v>
      </c>
      <c r="F970">
        <v>3230482</v>
      </c>
      <c r="G970" t="s">
        <v>529</v>
      </c>
      <c r="H970">
        <v>712</v>
      </c>
      <c r="I970" t="s">
        <v>624</v>
      </c>
      <c r="J970" t="s">
        <v>10</v>
      </c>
      <c r="K970" t="s">
        <v>625</v>
      </c>
    </row>
    <row r="971" spans="1:11" x14ac:dyDescent="0.25">
      <c r="A971" t="s">
        <v>422</v>
      </c>
      <c r="B971" t="s">
        <v>30</v>
      </c>
      <c r="C971" t="s">
        <v>397</v>
      </c>
      <c r="D971">
        <v>1000</v>
      </c>
      <c r="E971">
        <v>787.17499999999995</v>
      </c>
      <c r="F971">
        <v>3230482</v>
      </c>
      <c r="G971" t="s">
        <v>529</v>
      </c>
      <c r="H971">
        <v>712</v>
      </c>
      <c r="I971" t="s">
        <v>624</v>
      </c>
      <c r="J971" t="s">
        <v>10</v>
      </c>
      <c r="K971" t="s">
        <v>625</v>
      </c>
    </row>
    <row r="972" spans="1:11" x14ac:dyDescent="0.25">
      <c r="A972" t="s">
        <v>422</v>
      </c>
      <c r="B972" t="s">
        <v>30</v>
      </c>
      <c r="C972" t="s">
        <v>397</v>
      </c>
      <c r="D972">
        <v>599</v>
      </c>
      <c r="E972">
        <v>471.51799999999997</v>
      </c>
      <c r="F972">
        <v>3230482</v>
      </c>
      <c r="G972" t="s">
        <v>529</v>
      </c>
      <c r="H972">
        <v>426.488</v>
      </c>
      <c r="I972" t="s">
        <v>624</v>
      </c>
      <c r="J972" t="s">
        <v>10</v>
      </c>
      <c r="K972" t="s">
        <v>625</v>
      </c>
    </row>
    <row r="973" spans="1:11" x14ac:dyDescent="0.25">
      <c r="A973" t="s">
        <v>422</v>
      </c>
      <c r="B973" t="s">
        <v>30</v>
      </c>
      <c r="C973" t="s">
        <v>397</v>
      </c>
      <c r="D973">
        <v>401</v>
      </c>
      <c r="E973">
        <v>315.65699999999998</v>
      </c>
      <c r="F973">
        <v>3230482</v>
      </c>
      <c r="G973" t="s">
        <v>529</v>
      </c>
      <c r="H973">
        <v>285.512</v>
      </c>
      <c r="I973" t="s">
        <v>624</v>
      </c>
      <c r="J973" t="s">
        <v>10</v>
      </c>
      <c r="K973" t="s">
        <v>625</v>
      </c>
    </row>
    <row r="974" spans="1:11" x14ac:dyDescent="0.25">
      <c r="A974" t="s">
        <v>422</v>
      </c>
      <c r="B974" t="s">
        <v>30</v>
      </c>
      <c r="C974" t="s">
        <v>397</v>
      </c>
      <c r="D974">
        <v>724</v>
      </c>
      <c r="E974">
        <v>569.91499999999996</v>
      </c>
      <c r="F974">
        <v>3230482</v>
      </c>
      <c r="G974" t="s">
        <v>529</v>
      </c>
      <c r="H974">
        <v>515.48800000000006</v>
      </c>
      <c r="I974" t="s">
        <v>624</v>
      </c>
      <c r="J974" t="s">
        <v>10</v>
      </c>
      <c r="K974" t="s">
        <v>625</v>
      </c>
    </row>
    <row r="975" spans="1:11" x14ac:dyDescent="0.25">
      <c r="A975" t="s">
        <v>422</v>
      </c>
      <c r="B975" t="s">
        <v>30</v>
      </c>
      <c r="C975" t="s">
        <v>397</v>
      </c>
      <c r="D975">
        <v>276</v>
      </c>
      <c r="E975">
        <v>217.26</v>
      </c>
      <c r="F975">
        <v>3230482</v>
      </c>
      <c r="G975" t="s">
        <v>529</v>
      </c>
      <c r="H975">
        <v>196.512</v>
      </c>
      <c r="I975" t="s">
        <v>624</v>
      </c>
      <c r="J975" t="s">
        <v>10</v>
      </c>
      <c r="K975" t="s">
        <v>625</v>
      </c>
    </row>
    <row r="976" spans="1:11" x14ac:dyDescent="0.25">
      <c r="A976" t="s">
        <v>422</v>
      </c>
      <c r="B976" t="s">
        <v>30</v>
      </c>
      <c r="C976" t="s">
        <v>397</v>
      </c>
      <c r="D976">
        <v>1000</v>
      </c>
      <c r="E976">
        <v>682.00699999999995</v>
      </c>
      <c r="F976">
        <v>3929540</v>
      </c>
      <c r="G976" t="s">
        <v>626</v>
      </c>
      <c r="H976">
        <v>360.267</v>
      </c>
      <c r="I976" t="s">
        <v>627</v>
      </c>
      <c r="J976" t="s">
        <v>10</v>
      </c>
      <c r="K976" t="s">
        <v>628</v>
      </c>
    </row>
    <row r="977" spans="1:11" x14ac:dyDescent="0.25">
      <c r="A977" t="s">
        <v>422</v>
      </c>
      <c r="B977" t="s">
        <v>30</v>
      </c>
      <c r="C977" t="s">
        <v>397</v>
      </c>
      <c r="D977">
        <v>1000</v>
      </c>
      <c r="E977">
        <v>682.00699999999995</v>
      </c>
      <c r="F977">
        <v>3929540</v>
      </c>
      <c r="G977" t="s">
        <v>626</v>
      </c>
      <c r="H977">
        <v>360.267</v>
      </c>
      <c r="I977" t="s">
        <v>627</v>
      </c>
      <c r="J977" t="s">
        <v>10</v>
      </c>
      <c r="K977" t="s">
        <v>628</v>
      </c>
    </row>
    <row r="978" spans="1:11" x14ac:dyDescent="0.25">
      <c r="A978" t="s">
        <v>453</v>
      </c>
      <c r="B978" t="s">
        <v>60</v>
      </c>
      <c r="C978" t="s">
        <v>397</v>
      </c>
      <c r="D978">
        <v>1000</v>
      </c>
      <c r="E978">
        <v>682.00699999999995</v>
      </c>
      <c r="F978">
        <v>3929540</v>
      </c>
      <c r="G978" t="s">
        <v>626</v>
      </c>
      <c r="H978">
        <v>360.267</v>
      </c>
      <c r="I978" t="s">
        <v>627</v>
      </c>
      <c r="J978" t="s">
        <v>10</v>
      </c>
      <c r="K978" t="s">
        <v>628</v>
      </c>
    </row>
    <row r="979" spans="1:11" x14ac:dyDescent="0.25">
      <c r="A979" t="s">
        <v>422</v>
      </c>
      <c r="B979" t="s">
        <v>30</v>
      </c>
      <c r="C979" t="s">
        <v>397</v>
      </c>
      <c r="D979">
        <v>1000</v>
      </c>
      <c r="E979">
        <v>682.00699999999995</v>
      </c>
      <c r="F979">
        <v>3929540</v>
      </c>
      <c r="G979" t="s">
        <v>626</v>
      </c>
      <c r="H979">
        <v>360.267</v>
      </c>
      <c r="I979" t="s">
        <v>627</v>
      </c>
      <c r="J979" t="s">
        <v>10</v>
      </c>
      <c r="K979" t="s">
        <v>628</v>
      </c>
    </row>
    <row r="980" spans="1:11" x14ac:dyDescent="0.25">
      <c r="A980" t="s">
        <v>422</v>
      </c>
      <c r="B980" t="s">
        <v>30</v>
      </c>
      <c r="C980" t="s">
        <v>397</v>
      </c>
      <c r="D980">
        <v>1000</v>
      </c>
      <c r="E980">
        <v>682.00699999999995</v>
      </c>
      <c r="F980">
        <v>3929540</v>
      </c>
      <c r="G980" t="s">
        <v>626</v>
      </c>
      <c r="H980">
        <v>360.267</v>
      </c>
      <c r="I980" t="s">
        <v>627</v>
      </c>
      <c r="J980" t="s">
        <v>10</v>
      </c>
      <c r="K980" t="s">
        <v>628</v>
      </c>
    </row>
    <row r="981" spans="1:11" x14ac:dyDescent="0.25">
      <c r="A981" t="s">
        <v>422</v>
      </c>
      <c r="B981" t="s">
        <v>30</v>
      </c>
      <c r="C981" t="s">
        <v>397</v>
      </c>
      <c r="D981">
        <v>1000</v>
      </c>
      <c r="E981">
        <v>682.00699999999995</v>
      </c>
      <c r="F981">
        <v>3929540</v>
      </c>
      <c r="G981" t="s">
        <v>626</v>
      </c>
      <c r="H981">
        <v>360.267</v>
      </c>
      <c r="I981" t="s">
        <v>627</v>
      </c>
      <c r="J981" t="s">
        <v>10</v>
      </c>
      <c r="K981" t="s">
        <v>628</v>
      </c>
    </row>
    <row r="982" spans="1:11" x14ac:dyDescent="0.25">
      <c r="A982" t="s">
        <v>422</v>
      </c>
      <c r="B982" t="s">
        <v>30</v>
      </c>
      <c r="C982" t="s">
        <v>397</v>
      </c>
      <c r="D982">
        <v>800</v>
      </c>
      <c r="E982">
        <v>545.60599999999999</v>
      </c>
      <c r="F982">
        <v>3929540</v>
      </c>
      <c r="G982" t="s">
        <v>626</v>
      </c>
      <c r="H982">
        <v>288.21300000000002</v>
      </c>
      <c r="I982" t="s">
        <v>627</v>
      </c>
      <c r="J982" t="s">
        <v>10</v>
      </c>
      <c r="K982" t="s">
        <v>628</v>
      </c>
    </row>
    <row r="983" spans="1:11" x14ac:dyDescent="0.25">
      <c r="A983" t="s">
        <v>422</v>
      </c>
      <c r="B983" t="s">
        <v>30</v>
      </c>
      <c r="C983" t="s">
        <v>397</v>
      </c>
      <c r="D983">
        <v>200</v>
      </c>
      <c r="E983">
        <v>136.40100000000001</v>
      </c>
      <c r="F983">
        <v>3929540</v>
      </c>
      <c r="G983" t="s">
        <v>626</v>
      </c>
      <c r="H983">
        <v>72.052999999999997</v>
      </c>
      <c r="I983" t="s">
        <v>627</v>
      </c>
      <c r="J983" t="s">
        <v>10</v>
      </c>
      <c r="K983" t="s">
        <v>628</v>
      </c>
    </row>
    <row r="984" spans="1:11" x14ac:dyDescent="0.25">
      <c r="A984" t="s">
        <v>422</v>
      </c>
      <c r="B984" t="s">
        <v>30</v>
      </c>
      <c r="C984" t="s">
        <v>397</v>
      </c>
      <c r="D984">
        <v>1000</v>
      </c>
      <c r="E984">
        <v>220.61500000000001</v>
      </c>
      <c r="F984">
        <v>3230495</v>
      </c>
      <c r="G984" t="s">
        <v>549</v>
      </c>
      <c r="H984">
        <v>241</v>
      </c>
      <c r="I984" t="s">
        <v>629</v>
      </c>
      <c r="J984" t="s">
        <v>10</v>
      </c>
      <c r="K984" t="s">
        <v>630</v>
      </c>
    </row>
    <row r="985" spans="1:11" x14ac:dyDescent="0.25">
      <c r="A985" t="s">
        <v>422</v>
      </c>
      <c r="B985" t="s">
        <v>30</v>
      </c>
      <c r="C985" t="s">
        <v>397</v>
      </c>
      <c r="D985">
        <v>1000</v>
      </c>
      <c r="E985">
        <v>220.61500000000001</v>
      </c>
      <c r="F985">
        <v>3230495</v>
      </c>
      <c r="G985" t="s">
        <v>549</v>
      </c>
      <c r="H985">
        <v>241</v>
      </c>
      <c r="I985" t="s">
        <v>629</v>
      </c>
      <c r="J985" t="s">
        <v>10</v>
      </c>
      <c r="K985" t="s">
        <v>630</v>
      </c>
    </row>
    <row r="986" spans="1:11" x14ac:dyDescent="0.25">
      <c r="A986" t="s">
        <v>453</v>
      </c>
      <c r="B986" t="s">
        <v>60</v>
      </c>
      <c r="C986" t="s">
        <v>397</v>
      </c>
      <c r="D986">
        <v>1000</v>
      </c>
      <c r="E986">
        <v>220.61500000000001</v>
      </c>
      <c r="F986">
        <v>3230495</v>
      </c>
      <c r="G986" t="s">
        <v>549</v>
      </c>
      <c r="H986">
        <v>241</v>
      </c>
      <c r="I986" t="s">
        <v>629</v>
      </c>
      <c r="J986" t="s">
        <v>10</v>
      </c>
      <c r="K986" t="s">
        <v>630</v>
      </c>
    </row>
    <row r="987" spans="1:11" x14ac:dyDescent="0.25">
      <c r="A987" t="s">
        <v>422</v>
      </c>
      <c r="B987" t="s">
        <v>30</v>
      </c>
      <c r="C987" t="s">
        <v>397</v>
      </c>
      <c r="D987">
        <v>1000</v>
      </c>
      <c r="E987">
        <v>220.61500000000001</v>
      </c>
      <c r="F987">
        <v>3230495</v>
      </c>
      <c r="G987" t="s">
        <v>549</v>
      </c>
      <c r="H987">
        <v>241</v>
      </c>
      <c r="I987" t="s">
        <v>629</v>
      </c>
      <c r="J987" t="s">
        <v>10</v>
      </c>
      <c r="K987" t="s">
        <v>630</v>
      </c>
    </row>
    <row r="988" spans="1:11" x14ac:dyDescent="0.25">
      <c r="A988" t="s">
        <v>422</v>
      </c>
      <c r="B988" t="s">
        <v>30</v>
      </c>
      <c r="C988" t="s">
        <v>397</v>
      </c>
      <c r="D988">
        <v>1000</v>
      </c>
      <c r="E988">
        <v>220.61500000000001</v>
      </c>
      <c r="F988">
        <v>3230495</v>
      </c>
      <c r="G988" t="s">
        <v>549</v>
      </c>
      <c r="H988">
        <v>241</v>
      </c>
      <c r="I988" t="s">
        <v>629</v>
      </c>
      <c r="J988" t="s">
        <v>10</v>
      </c>
      <c r="K988" t="s">
        <v>630</v>
      </c>
    </row>
    <row r="989" spans="1:11" x14ac:dyDescent="0.25">
      <c r="A989" t="s">
        <v>422</v>
      </c>
      <c r="B989" t="s">
        <v>30</v>
      </c>
      <c r="C989" t="s">
        <v>397</v>
      </c>
      <c r="D989">
        <v>887</v>
      </c>
      <c r="E989">
        <v>195.68600000000001</v>
      </c>
      <c r="F989">
        <v>3230495</v>
      </c>
      <c r="G989" t="s">
        <v>549</v>
      </c>
      <c r="H989">
        <v>213.767</v>
      </c>
      <c r="I989" t="s">
        <v>629</v>
      </c>
      <c r="J989" t="s">
        <v>10</v>
      </c>
      <c r="K989" t="s">
        <v>630</v>
      </c>
    </row>
    <row r="990" spans="1:11" x14ac:dyDescent="0.25">
      <c r="A990" t="s">
        <v>422</v>
      </c>
      <c r="B990" t="s">
        <v>30</v>
      </c>
      <c r="C990" t="s">
        <v>397</v>
      </c>
      <c r="D990">
        <v>113</v>
      </c>
      <c r="E990">
        <v>24.93</v>
      </c>
      <c r="F990">
        <v>3230495</v>
      </c>
      <c r="G990" t="s">
        <v>549</v>
      </c>
      <c r="H990">
        <v>27.233000000000001</v>
      </c>
      <c r="I990" t="s">
        <v>629</v>
      </c>
      <c r="J990" t="s">
        <v>10</v>
      </c>
      <c r="K990" t="s">
        <v>630</v>
      </c>
    </row>
    <row r="991" spans="1:11" x14ac:dyDescent="0.25">
      <c r="A991" t="s">
        <v>422</v>
      </c>
      <c r="B991" t="s">
        <v>30</v>
      </c>
      <c r="C991" t="s">
        <v>397</v>
      </c>
      <c r="D991">
        <v>336</v>
      </c>
      <c r="E991">
        <v>74.126999999999995</v>
      </c>
      <c r="F991">
        <v>3230495</v>
      </c>
      <c r="G991" t="s">
        <v>549</v>
      </c>
      <c r="H991">
        <v>80.975999999999999</v>
      </c>
      <c r="I991" t="s">
        <v>629</v>
      </c>
      <c r="J991" t="s">
        <v>10</v>
      </c>
      <c r="K991" t="s">
        <v>630</v>
      </c>
    </row>
    <row r="992" spans="1:11" x14ac:dyDescent="0.25">
      <c r="A992" t="s">
        <v>422</v>
      </c>
      <c r="B992" t="s">
        <v>30</v>
      </c>
      <c r="C992" t="s">
        <v>397</v>
      </c>
      <c r="D992">
        <v>293</v>
      </c>
      <c r="E992">
        <v>64.64</v>
      </c>
      <c r="F992">
        <v>3230495</v>
      </c>
      <c r="G992" t="s">
        <v>549</v>
      </c>
      <c r="H992">
        <v>70.613</v>
      </c>
      <c r="I992" t="s">
        <v>629</v>
      </c>
      <c r="J992" t="s">
        <v>10</v>
      </c>
      <c r="K992" t="s">
        <v>630</v>
      </c>
    </row>
    <row r="993" spans="1:11" x14ac:dyDescent="0.25">
      <c r="A993" t="s">
        <v>422</v>
      </c>
      <c r="B993" t="s">
        <v>30</v>
      </c>
      <c r="C993" t="s">
        <v>397</v>
      </c>
      <c r="D993">
        <v>286</v>
      </c>
      <c r="E993">
        <v>63.095999999999997</v>
      </c>
      <c r="F993">
        <v>3230495</v>
      </c>
      <c r="G993" t="s">
        <v>549</v>
      </c>
      <c r="H993">
        <v>68.926000000000002</v>
      </c>
      <c r="I993" t="s">
        <v>629</v>
      </c>
      <c r="J993" t="s">
        <v>10</v>
      </c>
      <c r="K993" t="s">
        <v>630</v>
      </c>
    </row>
    <row r="994" spans="1:11" x14ac:dyDescent="0.25">
      <c r="A994" t="s">
        <v>422</v>
      </c>
      <c r="B994" t="s">
        <v>30</v>
      </c>
      <c r="C994" t="s">
        <v>397</v>
      </c>
      <c r="D994">
        <v>35</v>
      </c>
      <c r="E994">
        <v>7.7220000000000004</v>
      </c>
      <c r="F994">
        <v>3230495</v>
      </c>
      <c r="G994" t="s">
        <v>549</v>
      </c>
      <c r="H994">
        <v>8.4350000000000005</v>
      </c>
      <c r="I994" t="s">
        <v>629</v>
      </c>
      <c r="J994" t="s">
        <v>10</v>
      </c>
      <c r="K994" t="s">
        <v>630</v>
      </c>
    </row>
    <row r="995" spans="1:11" x14ac:dyDescent="0.25">
      <c r="A995" t="s">
        <v>422</v>
      </c>
      <c r="B995" t="s">
        <v>30</v>
      </c>
      <c r="C995" t="s">
        <v>397</v>
      </c>
      <c r="D995">
        <v>15</v>
      </c>
      <c r="E995">
        <v>3.3090000000000002</v>
      </c>
      <c r="F995">
        <v>3230495</v>
      </c>
      <c r="G995" t="s">
        <v>549</v>
      </c>
      <c r="H995">
        <v>3.6150000000000002</v>
      </c>
      <c r="I995" t="s">
        <v>629</v>
      </c>
      <c r="J995" t="s">
        <v>10</v>
      </c>
      <c r="K995" t="s">
        <v>630</v>
      </c>
    </row>
    <row r="996" spans="1:11" x14ac:dyDescent="0.25">
      <c r="A996" t="s">
        <v>422</v>
      </c>
      <c r="B996" t="s">
        <v>30</v>
      </c>
      <c r="C996" t="s">
        <v>397</v>
      </c>
      <c r="D996">
        <v>8</v>
      </c>
      <c r="E996">
        <v>1.7649999999999999</v>
      </c>
      <c r="F996">
        <v>3230495</v>
      </c>
      <c r="G996" t="s">
        <v>549</v>
      </c>
      <c r="H996">
        <v>1.9279999999999999</v>
      </c>
      <c r="I996" t="s">
        <v>629</v>
      </c>
      <c r="J996" t="s">
        <v>10</v>
      </c>
      <c r="K996" t="s">
        <v>630</v>
      </c>
    </row>
    <row r="997" spans="1:11" x14ac:dyDescent="0.25">
      <c r="A997" t="s">
        <v>422</v>
      </c>
      <c r="B997" t="s">
        <v>30</v>
      </c>
      <c r="C997" t="s">
        <v>397</v>
      </c>
      <c r="D997">
        <v>8</v>
      </c>
      <c r="E997">
        <v>1.7649999999999999</v>
      </c>
      <c r="F997">
        <v>3230495</v>
      </c>
      <c r="G997" t="s">
        <v>549</v>
      </c>
      <c r="H997">
        <v>1.9279999999999999</v>
      </c>
      <c r="I997" t="s">
        <v>629</v>
      </c>
      <c r="J997" t="s">
        <v>10</v>
      </c>
      <c r="K997" t="s">
        <v>630</v>
      </c>
    </row>
    <row r="998" spans="1:11" x14ac:dyDescent="0.25">
      <c r="A998" t="s">
        <v>422</v>
      </c>
      <c r="B998" t="s">
        <v>30</v>
      </c>
      <c r="C998" t="s">
        <v>397</v>
      </c>
      <c r="D998">
        <v>8</v>
      </c>
      <c r="E998">
        <v>1.7649999999999999</v>
      </c>
      <c r="F998">
        <v>3230495</v>
      </c>
      <c r="G998" t="s">
        <v>549</v>
      </c>
      <c r="H998">
        <v>1.9279999999999999</v>
      </c>
      <c r="I998" t="s">
        <v>629</v>
      </c>
      <c r="J998" t="s">
        <v>10</v>
      </c>
      <c r="K998" t="s">
        <v>630</v>
      </c>
    </row>
    <row r="999" spans="1:11" x14ac:dyDescent="0.25">
      <c r="A999" t="s">
        <v>422</v>
      </c>
      <c r="B999" t="s">
        <v>30</v>
      </c>
      <c r="C999" t="s">
        <v>397</v>
      </c>
      <c r="D999">
        <v>7</v>
      </c>
      <c r="E999">
        <v>1.544</v>
      </c>
      <c r="F999">
        <v>3230495</v>
      </c>
      <c r="G999" t="s">
        <v>549</v>
      </c>
      <c r="H999">
        <v>1.6870000000000001</v>
      </c>
      <c r="I999" t="s">
        <v>629</v>
      </c>
      <c r="J999" t="s">
        <v>10</v>
      </c>
      <c r="K999" t="s">
        <v>630</v>
      </c>
    </row>
    <row r="1000" spans="1:11" x14ac:dyDescent="0.25">
      <c r="A1000" t="s">
        <v>422</v>
      </c>
      <c r="B1000" t="s">
        <v>30</v>
      </c>
      <c r="C1000" t="s">
        <v>397</v>
      </c>
      <c r="D1000">
        <v>4</v>
      </c>
      <c r="E1000">
        <v>0.88200000000000001</v>
      </c>
      <c r="F1000">
        <v>3230495</v>
      </c>
      <c r="G1000" t="s">
        <v>549</v>
      </c>
      <c r="H1000">
        <v>0.96399999999999997</v>
      </c>
      <c r="I1000" t="s">
        <v>629</v>
      </c>
      <c r="J1000" t="s">
        <v>10</v>
      </c>
      <c r="K1000" t="s">
        <v>630</v>
      </c>
    </row>
    <row r="1001" spans="1:11" x14ac:dyDescent="0.25">
      <c r="A1001" t="s">
        <v>585</v>
      </c>
      <c r="B1001" t="s">
        <v>48</v>
      </c>
      <c r="C1001" t="s">
        <v>397</v>
      </c>
      <c r="D1001">
        <v>1547</v>
      </c>
      <c r="E1001">
        <v>1291.7280000000001</v>
      </c>
      <c r="F1001">
        <v>3712521</v>
      </c>
      <c r="G1001" t="s">
        <v>586</v>
      </c>
      <c r="H1001">
        <v>2184.828</v>
      </c>
      <c r="I1001" t="s">
        <v>631</v>
      </c>
      <c r="J1001" t="s">
        <v>10</v>
      </c>
      <c r="K1001" t="s">
        <v>632</v>
      </c>
    </row>
    <row r="1002" spans="1:11" x14ac:dyDescent="0.25">
      <c r="A1002" t="s">
        <v>585</v>
      </c>
      <c r="B1002" t="s">
        <v>48</v>
      </c>
      <c r="C1002" t="s">
        <v>397</v>
      </c>
      <c r="D1002">
        <v>1419</v>
      </c>
      <c r="E1002">
        <v>1184.8489999999999</v>
      </c>
      <c r="F1002">
        <v>3712521</v>
      </c>
      <c r="G1002" t="s">
        <v>586</v>
      </c>
      <c r="H1002">
        <v>2004.0540000000001</v>
      </c>
      <c r="I1002" t="s">
        <v>631</v>
      </c>
      <c r="J1002" t="s">
        <v>10</v>
      </c>
      <c r="K1002" t="s">
        <v>632</v>
      </c>
    </row>
    <row r="1003" spans="1:11" x14ac:dyDescent="0.25">
      <c r="A1003" t="s">
        <v>585</v>
      </c>
      <c r="B1003" t="s">
        <v>48</v>
      </c>
      <c r="C1003" t="s">
        <v>397</v>
      </c>
      <c r="D1003">
        <v>1370</v>
      </c>
      <c r="E1003">
        <v>1143.9349999999999</v>
      </c>
      <c r="F1003">
        <v>3712521</v>
      </c>
      <c r="G1003" t="s">
        <v>586</v>
      </c>
      <c r="H1003">
        <v>1934.8510000000001</v>
      </c>
      <c r="I1003" t="s">
        <v>631</v>
      </c>
      <c r="J1003" t="s">
        <v>10</v>
      </c>
      <c r="K1003" t="s">
        <v>632</v>
      </c>
    </row>
    <row r="1004" spans="1:11" x14ac:dyDescent="0.25">
      <c r="A1004" t="s">
        <v>585</v>
      </c>
      <c r="B1004" t="s">
        <v>48</v>
      </c>
      <c r="C1004" t="s">
        <v>397</v>
      </c>
      <c r="D1004">
        <v>504</v>
      </c>
      <c r="E1004">
        <v>420.834</v>
      </c>
      <c r="F1004">
        <v>3712521</v>
      </c>
      <c r="G1004" t="s">
        <v>586</v>
      </c>
      <c r="H1004">
        <v>711.79899999999998</v>
      </c>
      <c r="I1004" t="s">
        <v>631</v>
      </c>
      <c r="J1004" t="s">
        <v>10</v>
      </c>
      <c r="K1004" t="s">
        <v>632</v>
      </c>
    </row>
    <row r="1005" spans="1:11" x14ac:dyDescent="0.25">
      <c r="A1005" t="s">
        <v>585</v>
      </c>
      <c r="B1005" t="s">
        <v>48</v>
      </c>
      <c r="C1005" t="s">
        <v>397</v>
      </c>
      <c r="D1005">
        <v>10</v>
      </c>
      <c r="E1005">
        <v>8.35</v>
      </c>
      <c r="F1005">
        <v>3712521</v>
      </c>
      <c r="G1005" t="s">
        <v>586</v>
      </c>
      <c r="H1005">
        <v>14.122999999999999</v>
      </c>
      <c r="I1005" t="s">
        <v>631</v>
      </c>
      <c r="J1005" t="s">
        <v>10</v>
      </c>
      <c r="K1005" t="s">
        <v>632</v>
      </c>
    </row>
    <row r="1006" spans="1:11" x14ac:dyDescent="0.25">
      <c r="A1006" t="s">
        <v>585</v>
      </c>
      <c r="B1006" t="s">
        <v>48</v>
      </c>
      <c r="C1006" t="s">
        <v>397</v>
      </c>
      <c r="D1006">
        <v>10</v>
      </c>
      <c r="E1006">
        <v>8.35</v>
      </c>
      <c r="F1006">
        <v>3712521</v>
      </c>
      <c r="G1006" t="s">
        <v>586</v>
      </c>
      <c r="H1006">
        <v>14.122999999999999</v>
      </c>
      <c r="I1006" t="s">
        <v>631</v>
      </c>
      <c r="J1006" t="s">
        <v>10</v>
      </c>
      <c r="K1006" t="s">
        <v>632</v>
      </c>
    </row>
    <row r="1007" spans="1:11" x14ac:dyDescent="0.25">
      <c r="A1007" t="s">
        <v>585</v>
      </c>
      <c r="B1007" t="s">
        <v>48</v>
      </c>
      <c r="C1007" t="s">
        <v>397</v>
      </c>
      <c r="D1007">
        <v>1976</v>
      </c>
      <c r="E1007">
        <v>1649.9380000000001</v>
      </c>
      <c r="F1007">
        <v>3712521</v>
      </c>
      <c r="G1007" t="s">
        <v>586</v>
      </c>
      <c r="H1007">
        <v>2790.7049999999999</v>
      </c>
      <c r="I1007" t="s">
        <v>631</v>
      </c>
      <c r="J1007" t="s">
        <v>10</v>
      </c>
      <c r="K1007" t="s">
        <v>632</v>
      </c>
    </row>
    <row r="1008" spans="1:11" x14ac:dyDescent="0.25">
      <c r="A1008" t="s">
        <v>585</v>
      </c>
      <c r="B1008" t="s">
        <v>48</v>
      </c>
      <c r="C1008" t="s">
        <v>397</v>
      </c>
      <c r="D1008">
        <v>19</v>
      </c>
      <c r="E1008">
        <v>15.865</v>
      </c>
      <c r="F1008">
        <v>3712521</v>
      </c>
      <c r="G1008" t="s">
        <v>586</v>
      </c>
      <c r="H1008">
        <v>26.834</v>
      </c>
      <c r="I1008" t="s">
        <v>631</v>
      </c>
      <c r="J1008" t="s">
        <v>10</v>
      </c>
      <c r="K1008" t="s">
        <v>632</v>
      </c>
    </row>
    <row r="1009" spans="1:11" x14ac:dyDescent="0.25">
      <c r="A1009" t="s">
        <v>585</v>
      </c>
      <c r="B1009" t="s">
        <v>48</v>
      </c>
      <c r="C1009" t="s">
        <v>397</v>
      </c>
      <c r="D1009">
        <v>132.839</v>
      </c>
      <c r="E1009">
        <v>110.919</v>
      </c>
      <c r="F1009">
        <v>3712521</v>
      </c>
      <c r="G1009" t="s">
        <v>586</v>
      </c>
      <c r="H1009">
        <v>187.60900000000001</v>
      </c>
      <c r="I1009" t="s">
        <v>631</v>
      </c>
      <c r="J1009" t="s">
        <v>10</v>
      </c>
      <c r="K1009" t="s">
        <v>632</v>
      </c>
    </row>
    <row r="1010" spans="1:11" x14ac:dyDescent="0.25">
      <c r="A1010" t="s">
        <v>585</v>
      </c>
      <c r="B1010" t="s">
        <v>48</v>
      </c>
      <c r="C1010" t="s">
        <v>397</v>
      </c>
      <c r="D1010">
        <v>354.03199999999998</v>
      </c>
      <c r="E1010">
        <v>295.613</v>
      </c>
      <c r="F1010">
        <v>3712521</v>
      </c>
      <c r="G1010" t="s">
        <v>586</v>
      </c>
      <c r="H1010">
        <v>499.99900000000002</v>
      </c>
      <c r="I1010" t="s">
        <v>631</v>
      </c>
      <c r="J1010" t="s">
        <v>10</v>
      </c>
      <c r="K1010" t="s">
        <v>632</v>
      </c>
    </row>
    <row r="1011" spans="1:11" x14ac:dyDescent="0.25">
      <c r="A1011" t="s">
        <v>585</v>
      </c>
      <c r="B1011" t="s">
        <v>48</v>
      </c>
      <c r="C1011" t="s">
        <v>397</v>
      </c>
      <c r="D1011">
        <v>226.87299999999999</v>
      </c>
      <c r="E1011">
        <v>189.43600000000001</v>
      </c>
      <c r="F1011">
        <v>3712521</v>
      </c>
      <c r="G1011" t="s">
        <v>586</v>
      </c>
      <c r="H1011">
        <v>320.41300000000001</v>
      </c>
      <c r="I1011" t="s">
        <v>631</v>
      </c>
      <c r="J1011" t="s">
        <v>10</v>
      </c>
      <c r="K1011" t="s">
        <v>632</v>
      </c>
    </row>
    <row r="1012" spans="1:11" x14ac:dyDescent="0.25">
      <c r="A1012" t="s">
        <v>585</v>
      </c>
      <c r="B1012" t="s">
        <v>48</v>
      </c>
      <c r="C1012" t="s">
        <v>397</v>
      </c>
      <c r="D1012">
        <v>1563.2560000000001</v>
      </c>
      <c r="E1012">
        <v>1305.3009999999999</v>
      </c>
      <c r="F1012">
        <v>3712521</v>
      </c>
      <c r="G1012" t="s">
        <v>586</v>
      </c>
      <c r="H1012">
        <v>2207.7860000000001</v>
      </c>
      <c r="I1012" t="s">
        <v>631</v>
      </c>
      <c r="J1012" t="s">
        <v>10</v>
      </c>
      <c r="K1012" t="s">
        <v>632</v>
      </c>
    </row>
    <row r="1013" spans="1:11" x14ac:dyDescent="0.25">
      <c r="A1013" t="s">
        <v>585</v>
      </c>
      <c r="B1013" t="s">
        <v>48</v>
      </c>
      <c r="C1013" t="s">
        <v>397</v>
      </c>
      <c r="D1013">
        <v>1290</v>
      </c>
      <c r="E1013">
        <v>1077.136</v>
      </c>
      <c r="F1013">
        <v>3712521</v>
      </c>
      <c r="G1013" t="s">
        <v>586</v>
      </c>
      <c r="H1013">
        <v>1821.867</v>
      </c>
      <c r="I1013" t="s">
        <v>631</v>
      </c>
      <c r="J1013" t="s">
        <v>10</v>
      </c>
      <c r="K1013" t="s">
        <v>632</v>
      </c>
    </row>
    <row r="1014" spans="1:11" x14ac:dyDescent="0.25">
      <c r="A1014" t="s">
        <v>573</v>
      </c>
      <c r="B1014" t="s">
        <v>52</v>
      </c>
      <c r="C1014" t="s">
        <v>397</v>
      </c>
      <c r="D1014">
        <v>1299</v>
      </c>
      <c r="E1014">
        <v>1059.2929999999999</v>
      </c>
      <c r="F1014">
        <v>2413708</v>
      </c>
      <c r="G1014" t="s">
        <v>633</v>
      </c>
      <c r="H1014">
        <v>1057.386</v>
      </c>
      <c r="I1014" t="s">
        <v>634</v>
      </c>
      <c r="J1014" t="s">
        <v>10</v>
      </c>
      <c r="K1014" t="s">
        <v>635</v>
      </c>
    </row>
    <row r="1015" spans="1:11" x14ac:dyDescent="0.25">
      <c r="A1015" t="s">
        <v>573</v>
      </c>
      <c r="B1015" t="s">
        <v>52</v>
      </c>
      <c r="C1015" t="s">
        <v>397</v>
      </c>
      <c r="D1015">
        <v>624</v>
      </c>
      <c r="E1015">
        <v>508.85199999999998</v>
      </c>
      <c r="F1015">
        <v>2413708</v>
      </c>
      <c r="G1015" t="s">
        <v>633</v>
      </c>
      <c r="H1015">
        <v>507.93599999999998</v>
      </c>
      <c r="I1015" t="s">
        <v>634</v>
      </c>
      <c r="J1015" t="s">
        <v>10</v>
      </c>
      <c r="K1015" t="s">
        <v>635</v>
      </c>
    </row>
    <row r="1016" spans="1:11" x14ac:dyDescent="0.25">
      <c r="A1016" t="s">
        <v>573</v>
      </c>
      <c r="B1016" t="s">
        <v>52</v>
      </c>
      <c r="C1016" t="s">
        <v>397</v>
      </c>
      <c r="D1016">
        <v>2</v>
      </c>
      <c r="E1016">
        <v>1.631</v>
      </c>
      <c r="F1016">
        <v>2413708</v>
      </c>
      <c r="G1016" t="s">
        <v>633</v>
      </c>
      <c r="H1016">
        <v>1.6279999999999999</v>
      </c>
      <c r="I1016" t="s">
        <v>634</v>
      </c>
      <c r="J1016" t="s">
        <v>10</v>
      </c>
      <c r="K1016" t="s">
        <v>635</v>
      </c>
    </row>
    <row r="1017" spans="1:11" x14ac:dyDescent="0.25">
      <c r="A1017" t="s">
        <v>636</v>
      </c>
      <c r="B1017" t="s">
        <v>151</v>
      </c>
      <c r="C1017" t="s">
        <v>397</v>
      </c>
      <c r="D1017">
        <v>10000</v>
      </c>
      <c r="E1017">
        <v>8154.6779999999999</v>
      </c>
      <c r="F1017">
        <v>2413708</v>
      </c>
      <c r="G1017" t="s">
        <v>633</v>
      </c>
      <c r="H1017">
        <v>8140</v>
      </c>
      <c r="I1017" t="s">
        <v>634</v>
      </c>
      <c r="J1017" t="s">
        <v>10</v>
      </c>
      <c r="K1017" t="s">
        <v>635</v>
      </c>
    </row>
    <row r="1018" spans="1:11" x14ac:dyDescent="0.25">
      <c r="A1018" t="s">
        <v>573</v>
      </c>
      <c r="B1018" t="s">
        <v>52</v>
      </c>
      <c r="C1018" t="s">
        <v>397</v>
      </c>
      <c r="D1018">
        <v>1057</v>
      </c>
      <c r="E1018">
        <v>861.95</v>
      </c>
      <c r="F1018">
        <v>2413708</v>
      </c>
      <c r="G1018" t="s">
        <v>633</v>
      </c>
      <c r="H1018">
        <v>860.39800000000002</v>
      </c>
      <c r="I1018" t="s">
        <v>634</v>
      </c>
      <c r="J1018" t="s">
        <v>10</v>
      </c>
      <c r="K1018" t="s">
        <v>635</v>
      </c>
    </row>
    <row r="1019" spans="1:11" x14ac:dyDescent="0.25">
      <c r="A1019" t="s">
        <v>573</v>
      </c>
      <c r="B1019" t="s">
        <v>52</v>
      </c>
      <c r="C1019" t="s">
        <v>397</v>
      </c>
      <c r="D1019">
        <v>808</v>
      </c>
      <c r="E1019">
        <v>658.89800000000002</v>
      </c>
      <c r="F1019">
        <v>2413708</v>
      </c>
      <c r="G1019" t="s">
        <v>633</v>
      </c>
      <c r="H1019">
        <v>657.71199999999999</v>
      </c>
      <c r="I1019" t="s">
        <v>634</v>
      </c>
      <c r="J1019" t="s">
        <v>10</v>
      </c>
      <c r="K1019" t="s">
        <v>635</v>
      </c>
    </row>
    <row r="1020" spans="1:11" x14ac:dyDescent="0.25">
      <c r="A1020" t="s">
        <v>573</v>
      </c>
      <c r="B1020" t="s">
        <v>52</v>
      </c>
      <c r="C1020" t="s">
        <v>397</v>
      </c>
      <c r="D1020">
        <v>10</v>
      </c>
      <c r="E1020">
        <v>8.1549999999999994</v>
      </c>
      <c r="F1020">
        <v>2413708</v>
      </c>
      <c r="G1020" t="s">
        <v>633</v>
      </c>
      <c r="H1020">
        <v>8.14</v>
      </c>
      <c r="I1020" t="s">
        <v>634</v>
      </c>
      <c r="J1020" t="s">
        <v>10</v>
      </c>
      <c r="K1020" t="s">
        <v>635</v>
      </c>
    </row>
    <row r="1021" spans="1:11" x14ac:dyDescent="0.25">
      <c r="A1021" t="s">
        <v>573</v>
      </c>
      <c r="B1021" t="s">
        <v>52</v>
      </c>
      <c r="C1021" t="s">
        <v>397</v>
      </c>
      <c r="D1021">
        <v>125</v>
      </c>
      <c r="E1021">
        <v>101.93300000000001</v>
      </c>
      <c r="F1021">
        <v>2413708</v>
      </c>
      <c r="G1021" t="s">
        <v>633</v>
      </c>
      <c r="H1021">
        <v>101.75</v>
      </c>
      <c r="I1021" t="s">
        <v>634</v>
      </c>
      <c r="J1021" t="s">
        <v>10</v>
      </c>
      <c r="K1021" t="s">
        <v>635</v>
      </c>
    </row>
    <row r="1022" spans="1:11" x14ac:dyDescent="0.25">
      <c r="A1022" t="s">
        <v>573</v>
      </c>
      <c r="B1022" t="s">
        <v>52</v>
      </c>
      <c r="C1022" t="s">
        <v>397</v>
      </c>
      <c r="D1022">
        <v>2152</v>
      </c>
      <c r="E1022">
        <v>847.89400000000001</v>
      </c>
      <c r="F1022">
        <v>1940437</v>
      </c>
      <c r="G1022" t="s">
        <v>633</v>
      </c>
      <c r="H1022">
        <v>825.69799999999998</v>
      </c>
      <c r="I1022" t="s">
        <v>637</v>
      </c>
      <c r="J1022" t="s">
        <v>10</v>
      </c>
      <c r="K1022" t="s">
        <v>638</v>
      </c>
    </row>
    <row r="1023" spans="1:11" x14ac:dyDescent="0.25">
      <c r="A1023" t="s">
        <v>573</v>
      </c>
      <c r="B1023" t="s">
        <v>52</v>
      </c>
      <c r="C1023" t="s">
        <v>397</v>
      </c>
      <c r="D1023">
        <v>470</v>
      </c>
      <c r="E1023">
        <v>185.18100000000001</v>
      </c>
      <c r="F1023">
        <v>1940437</v>
      </c>
      <c r="G1023" t="s">
        <v>633</v>
      </c>
      <c r="H1023">
        <v>180.334</v>
      </c>
      <c r="I1023" t="s">
        <v>637</v>
      </c>
      <c r="J1023" t="s">
        <v>10</v>
      </c>
      <c r="K1023" t="s">
        <v>638</v>
      </c>
    </row>
    <row r="1024" spans="1:11" x14ac:dyDescent="0.25">
      <c r="A1024" t="s">
        <v>573</v>
      </c>
      <c r="B1024" t="s">
        <v>52</v>
      </c>
      <c r="C1024" t="s">
        <v>397</v>
      </c>
      <c r="D1024">
        <v>3</v>
      </c>
      <c r="E1024">
        <v>1.1819999999999999</v>
      </c>
      <c r="F1024">
        <v>1940437</v>
      </c>
      <c r="G1024" t="s">
        <v>633</v>
      </c>
      <c r="H1024">
        <v>1.151</v>
      </c>
      <c r="I1024" t="s">
        <v>637</v>
      </c>
      <c r="J1024" t="s">
        <v>10</v>
      </c>
      <c r="K1024" t="s">
        <v>638</v>
      </c>
    </row>
    <row r="1025" spans="1:11" x14ac:dyDescent="0.25">
      <c r="A1025" t="s">
        <v>573</v>
      </c>
      <c r="B1025" t="s">
        <v>52</v>
      </c>
      <c r="C1025" t="s">
        <v>397</v>
      </c>
      <c r="D1025">
        <v>2350</v>
      </c>
      <c r="E1025">
        <v>925.90700000000004</v>
      </c>
      <c r="F1025">
        <v>1940437</v>
      </c>
      <c r="G1025" t="s">
        <v>633</v>
      </c>
      <c r="H1025">
        <v>901.66899999999998</v>
      </c>
      <c r="I1025" t="s">
        <v>637</v>
      </c>
      <c r="J1025" t="s">
        <v>10</v>
      </c>
      <c r="K1025" t="s">
        <v>638</v>
      </c>
    </row>
    <row r="1026" spans="1:11" x14ac:dyDescent="0.25">
      <c r="A1026" t="s">
        <v>573</v>
      </c>
      <c r="B1026" t="s">
        <v>52</v>
      </c>
      <c r="C1026" t="s">
        <v>397</v>
      </c>
      <c r="D1026">
        <v>1787</v>
      </c>
      <c r="E1026">
        <v>704.08299999999997</v>
      </c>
      <c r="F1026">
        <v>1940437</v>
      </c>
      <c r="G1026" t="s">
        <v>633</v>
      </c>
      <c r="H1026">
        <v>685.65200000000004</v>
      </c>
      <c r="I1026" t="s">
        <v>637</v>
      </c>
      <c r="J1026" t="s">
        <v>10</v>
      </c>
      <c r="K1026" t="s">
        <v>638</v>
      </c>
    </row>
    <row r="1027" spans="1:11" x14ac:dyDescent="0.25">
      <c r="A1027" t="s">
        <v>573</v>
      </c>
      <c r="B1027" t="s">
        <v>52</v>
      </c>
      <c r="C1027" t="s">
        <v>397</v>
      </c>
      <c r="D1027">
        <v>571</v>
      </c>
      <c r="E1027">
        <v>224.976</v>
      </c>
      <c r="F1027">
        <v>1940437</v>
      </c>
      <c r="G1027" t="s">
        <v>633</v>
      </c>
      <c r="H1027">
        <v>219.08600000000001</v>
      </c>
      <c r="I1027" t="s">
        <v>637</v>
      </c>
      <c r="J1027" t="s">
        <v>10</v>
      </c>
      <c r="K1027" t="s">
        <v>638</v>
      </c>
    </row>
    <row r="1028" spans="1:11" x14ac:dyDescent="0.25">
      <c r="A1028" t="s">
        <v>573</v>
      </c>
      <c r="B1028" t="s">
        <v>52</v>
      </c>
      <c r="C1028" t="s">
        <v>397</v>
      </c>
      <c r="D1028">
        <v>17</v>
      </c>
      <c r="E1028">
        <v>6.6980000000000004</v>
      </c>
      <c r="F1028">
        <v>1940437</v>
      </c>
      <c r="G1028" t="s">
        <v>633</v>
      </c>
      <c r="H1028">
        <v>6.5229999999999997</v>
      </c>
      <c r="I1028" t="s">
        <v>637</v>
      </c>
      <c r="J1028" t="s">
        <v>10</v>
      </c>
      <c r="K1028" t="s">
        <v>638</v>
      </c>
    </row>
    <row r="1029" spans="1:11" x14ac:dyDescent="0.25">
      <c r="A1029" t="s">
        <v>573</v>
      </c>
      <c r="B1029" t="s">
        <v>52</v>
      </c>
      <c r="C1029" t="s">
        <v>397</v>
      </c>
      <c r="D1029">
        <v>297</v>
      </c>
      <c r="E1029">
        <v>199.876</v>
      </c>
      <c r="F1029">
        <v>3667938</v>
      </c>
      <c r="G1029" t="s">
        <v>607</v>
      </c>
      <c r="H1029">
        <v>124.443</v>
      </c>
      <c r="I1029" t="s">
        <v>639</v>
      </c>
      <c r="J1029" t="s">
        <v>10</v>
      </c>
      <c r="K1029" t="s">
        <v>640</v>
      </c>
    </row>
    <row r="1030" spans="1:11" x14ac:dyDescent="0.25">
      <c r="A1030" t="s">
        <v>573</v>
      </c>
      <c r="B1030" t="s">
        <v>52</v>
      </c>
      <c r="C1030" t="s">
        <v>397</v>
      </c>
      <c r="D1030">
        <v>3</v>
      </c>
      <c r="E1030">
        <v>2.0190000000000001</v>
      </c>
      <c r="F1030">
        <v>3667938</v>
      </c>
      <c r="G1030" t="s">
        <v>607</v>
      </c>
      <c r="H1030">
        <v>1.2569999999999999</v>
      </c>
      <c r="I1030" t="s">
        <v>639</v>
      </c>
      <c r="J1030" t="s">
        <v>10</v>
      </c>
      <c r="K1030" t="s">
        <v>640</v>
      </c>
    </row>
    <row r="1031" spans="1:11" x14ac:dyDescent="0.25">
      <c r="A1031" t="s">
        <v>573</v>
      </c>
      <c r="B1031" t="s">
        <v>52</v>
      </c>
      <c r="C1031" t="s">
        <v>397</v>
      </c>
      <c r="D1031">
        <v>100</v>
      </c>
      <c r="E1031">
        <v>67.298000000000002</v>
      </c>
      <c r="F1031">
        <v>3667938</v>
      </c>
      <c r="G1031" t="s">
        <v>607</v>
      </c>
      <c r="H1031">
        <v>41.9</v>
      </c>
      <c r="I1031" t="s">
        <v>639</v>
      </c>
      <c r="J1031" t="s">
        <v>10</v>
      </c>
      <c r="K1031" t="s">
        <v>640</v>
      </c>
    </row>
    <row r="1032" spans="1:11" x14ac:dyDescent="0.25">
      <c r="A1032" t="s">
        <v>641</v>
      </c>
      <c r="B1032" t="s">
        <v>180</v>
      </c>
      <c r="C1032" t="s">
        <v>397</v>
      </c>
      <c r="D1032">
        <v>727</v>
      </c>
      <c r="E1032">
        <v>657.73099999999999</v>
      </c>
      <c r="F1032">
        <v>1940478</v>
      </c>
      <c r="G1032" t="s">
        <v>642</v>
      </c>
      <c r="H1032">
        <v>656.48099999999999</v>
      </c>
      <c r="I1032" t="s">
        <v>643</v>
      </c>
      <c r="J1032" t="s">
        <v>10</v>
      </c>
      <c r="K1032" t="s">
        <v>644</v>
      </c>
    </row>
    <row r="1033" spans="1:11" x14ac:dyDescent="0.25">
      <c r="A1033" t="s">
        <v>641</v>
      </c>
      <c r="B1033" t="s">
        <v>180</v>
      </c>
      <c r="C1033" t="s">
        <v>397</v>
      </c>
      <c r="D1033">
        <v>100</v>
      </c>
      <c r="E1033">
        <v>90.471999999999994</v>
      </c>
      <c r="F1033">
        <v>1940478</v>
      </c>
      <c r="G1033" t="s">
        <v>642</v>
      </c>
      <c r="H1033">
        <v>90.3</v>
      </c>
      <c r="I1033" t="s">
        <v>643</v>
      </c>
      <c r="J1033" t="s">
        <v>10</v>
      </c>
      <c r="K1033" t="s">
        <v>644</v>
      </c>
    </row>
    <row r="1034" spans="1:11" x14ac:dyDescent="0.25">
      <c r="A1034" t="s">
        <v>641</v>
      </c>
      <c r="B1034" t="s">
        <v>180</v>
      </c>
      <c r="C1034" t="s">
        <v>397</v>
      </c>
      <c r="D1034">
        <v>23</v>
      </c>
      <c r="E1034">
        <v>20.809000000000001</v>
      </c>
      <c r="F1034">
        <v>1940478</v>
      </c>
      <c r="G1034" t="s">
        <v>642</v>
      </c>
      <c r="H1034">
        <v>20.768999999999998</v>
      </c>
      <c r="I1034" t="s">
        <v>643</v>
      </c>
      <c r="J1034" t="s">
        <v>10</v>
      </c>
      <c r="K1034" t="s">
        <v>644</v>
      </c>
    </row>
    <row r="1035" spans="1:11" x14ac:dyDescent="0.25">
      <c r="A1035" t="s">
        <v>641</v>
      </c>
      <c r="B1035" t="s">
        <v>180</v>
      </c>
      <c r="C1035" t="s">
        <v>397</v>
      </c>
      <c r="D1035">
        <v>278</v>
      </c>
      <c r="E1035">
        <v>251.512</v>
      </c>
      <c r="F1035">
        <v>1940478</v>
      </c>
      <c r="G1035" t="s">
        <v>642</v>
      </c>
      <c r="H1035">
        <v>251.03399999999999</v>
      </c>
      <c r="I1035" t="s">
        <v>643</v>
      </c>
      <c r="J1035" t="s">
        <v>10</v>
      </c>
      <c r="K1035" t="s">
        <v>644</v>
      </c>
    </row>
    <row r="1036" spans="1:11" x14ac:dyDescent="0.25">
      <c r="A1036" t="s">
        <v>641</v>
      </c>
      <c r="B1036" t="s">
        <v>180</v>
      </c>
      <c r="C1036" t="s">
        <v>397</v>
      </c>
      <c r="D1036">
        <v>2651</v>
      </c>
      <c r="E1036">
        <v>2398.41</v>
      </c>
      <c r="F1036">
        <v>1940478</v>
      </c>
      <c r="G1036" t="s">
        <v>642</v>
      </c>
      <c r="H1036">
        <v>2393.8530000000001</v>
      </c>
      <c r="I1036" t="s">
        <v>643</v>
      </c>
      <c r="J1036" t="s">
        <v>10</v>
      </c>
      <c r="K1036" t="s">
        <v>644</v>
      </c>
    </row>
    <row r="1037" spans="1:11" x14ac:dyDescent="0.25">
      <c r="A1037" t="s">
        <v>641</v>
      </c>
      <c r="B1037" t="s">
        <v>180</v>
      </c>
      <c r="C1037" t="s">
        <v>397</v>
      </c>
      <c r="D1037">
        <v>524</v>
      </c>
      <c r="E1037">
        <v>474.07299999999998</v>
      </c>
      <c r="F1037">
        <v>1940478</v>
      </c>
      <c r="G1037" t="s">
        <v>642</v>
      </c>
      <c r="H1037">
        <v>473.17200000000003</v>
      </c>
      <c r="I1037" t="s">
        <v>643</v>
      </c>
      <c r="J1037" t="s">
        <v>10</v>
      </c>
      <c r="K1037" t="s">
        <v>644</v>
      </c>
    </row>
    <row r="1038" spans="1:11" x14ac:dyDescent="0.25">
      <c r="A1038" t="s">
        <v>641</v>
      </c>
      <c r="B1038" t="s">
        <v>180</v>
      </c>
      <c r="C1038" t="s">
        <v>397</v>
      </c>
      <c r="D1038">
        <v>22</v>
      </c>
      <c r="E1038">
        <v>19.904</v>
      </c>
      <c r="F1038">
        <v>1940478</v>
      </c>
      <c r="G1038" t="s">
        <v>642</v>
      </c>
      <c r="H1038">
        <v>19.866</v>
      </c>
      <c r="I1038" t="s">
        <v>643</v>
      </c>
      <c r="J1038" t="s">
        <v>10</v>
      </c>
      <c r="K1038" t="s">
        <v>644</v>
      </c>
    </row>
    <row r="1039" spans="1:11" x14ac:dyDescent="0.25">
      <c r="A1039" t="s">
        <v>641</v>
      </c>
      <c r="B1039" t="s">
        <v>180</v>
      </c>
      <c r="C1039" t="s">
        <v>397</v>
      </c>
      <c r="D1039">
        <v>2649</v>
      </c>
      <c r="E1039">
        <v>2396.6010000000001</v>
      </c>
      <c r="F1039">
        <v>1940478</v>
      </c>
      <c r="G1039" t="s">
        <v>642</v>
      </c>
      <c r="H1039">
        <v>2392.047</v>
      </c>
      <c r="I1039" t="s">
        <v>643</v>
      </c>
      <c r="J1039" t="s">
        <v>10</v>
      </c>
      <c r="K1039" t="s">
        <v>644</v>
      </c>
    </row>
    <row r="1040" spans="1:11" x14ac:dyDescent="0.25">
      <c r="A1040" t="s">
        <v>641</v>
      </c>
      <c r="B1040" t="s">
        <v>180</v>
      </c>
      <c r="C1040" t="s">
        <v>397</v>
      </c>
      <c r="D1040">
        <v>2476</v>
      </c>
      <c r="E1040">
        <v>2240.0839999999998</v>
      </c>
      <c r="F1040">
        <v>1940478</v>
      </c>
      <c r="G1040" t="s">
        <v>642</v>
      </c>
      <c r="H1040">
        <v>2235.828</v>
      </c>
      <c r="I1040" t="s">
        <v>643</v>
      </c>
      <c r="J1040" t="s">
        <v>10</v>
      </c>
      <c r="K1040" t="s">
        <v>644</v>
      </c>
    </row>
    <row r="1041" spans="1:11" x14ac:dyDescent="0.25">
      <c r="A1041" t="s">
        <v>641</v>
      </c>
      <c r="B1041" t="s">
        <v>180</v>
      </c>
      <c r="C1041" t="s">
        <v>397</v>
      </c>
      <c r="D1041">
        <v>26</v>
      </c>
      <c r="E1041">
        <v>23.523</v>
      </c>
      <c r="F1041">
        <v>1940478</v>
      </c>
      <c r="G1041" t="s">
        <v>642</v>
      </c>
      <c r="H1041">
        <v>23.478000000000002</v>
      </c>
      <c r="I1041" t="s">
        <v>643</v>
      </c>
      <c r="J1041" t="s">
        <v>10</v>
      </c>
      <c r="K1041" t="s">
        <v>644</v>
      </c>
    </row>
    <row r="1042" spans="1:11" x14ac:dyDescent="0.25">
      <c r="A1042" t="s">
        <v>641</v>
      </c>
      <c r="B1042" t="s">
        <v>180</v>
      </c>
      <c r="C1042" t="s">
        <v>397</v>
      </c>
      <c r="D1042">
        <v>2100</v>
      </c>
      <c r="E1042">
        <v>1899.91</v>
      </c>
      <c r="F1042">
        <v>1940478</v>
      </c>
      <c r="G1042" t="s">
        <v>642</v>
      </c>
      <c r="H1042">
        <v>1896.3</v>
      </c>
      <c r="I1042" t="s">
        <v>643</v>
      </c>
      <c r="J1042" t="s">
        <v>10</v>
      </c>
      <c r="K1042" t="s">
        <v>644</v>
      </c>
    </row>
    <row r="1043" spans="1:11" x14ac:dyDescent="0.25">
      <c r="A1043" t="s">
        <v>641</v>
      </c>
      <c r="B1043" t="s">
        <v>180</v>
      </c>
      <c r="C1043" t="s">
        <v>397</v>
      </c>
      <c r="D1043">
        <v>1950</v>
      </c>
      <c r="E1043">
        <v>1764.202</v>
      </c>
      <c r="F1043">
        <v>1940478</v>
      </c>
      <c r="G1043" t="s">
        <v>642</v>
      </c>
      <c r="H1043">
        <v>1760.85</v>
      </c>
      <c r="I1043" t="s">
        <v>643</v>
      </c>
      <c r="J1043" t="s">
        <v>10</v>
      </c>
      <c r="K1043" t="s">
        <v>644</v>
      </c>
    </row>
    <row r="1044" spans="1:11" x14ac:dyDescent="0.25">
      <c r="A1044" t="s">
        <v>641</v>
      </c>
      <c r="B1044" t="s">
        <v>180</v>
      </c>
      <c r="C1044" t="s">
        <v>397</v>
      </c>
      <c r="D1044">
        <v>24</v>
      </c>
      <c r="E1044">
        <v>21.713000000000001</v>
      </c>
      <c r="F1044">
        <v>1940478</v>
      </c>
      <c r="G1044" t="s">
        <v>642</v>
      </c>
      <c r="H1044">
        <v>21.672000000000001</v>
      </c>
      <c r="I1044" t="s">
        <v>643</v>
      </c>
      <c r="J1044" t="s">
        <v>10</v>
      </c>
      <c r="K1044" t="s">
        <v>644</v>
      </c>
    </row>
    <row r="1045" spans="1:11" x14ac:dyDescent="0.25">
      <c r="A1045" t="s">
        <v>641</v>
      </c>
      <c r="B1045" t="s">
        <v>180</v>
      </c>
      <c r="C1045" t="s">
        <v>397</v>
      </c>
      <c r="D1045">
        <v>2124</v>
      </c>
      <c r="E1045">
        <v>1921.623</v>
      </c>
      <c r="F1045">
        <v>1940478</v>
      </c>
      <c r="G1045" t="s">
        <v>642</v>
      </c>
      <c r="H1045">
        <v>1917.972</v>
      </c>
      <c r="I1045" t="s">
        <v>643</v>
      </c>
      <c r="J1045" t="s">
        <v>10</v>
      </c>
      <c r="K1045" t="s">
        <v>644</v>
      </c>
    </row>
    <row r="1046" spans="1:11" x14ac:dyDescent="0.25">
      <c r="A1046" t="s">
        <v>641</v>
      </c>
      <c r="B1046" t="s">
        <v>180</v>
      </c>
      <c r="C1046" t="s">
        <v>397</v>
      </c>
      <c r="D1046">
        <v>651</v>
      </c>
      <c r="E1046">
        <v>588.97199999999998</v>
      </c>
      <c r="F1046">
        <v>1940478</v>
      </c>
      <c r="G1046" t="s">
        <v>642</v>
      </c>
      <c r="H1046">
        <v>587.85299999999995</v>
      </c>
      <c r="I1046" t="s">
        <v>643</v>
      </c>
      <c r="J1046" t="s">
        <v>10</v>
      </c>
      <c r="K1046" t="s">
        <v>644</v>
      </c>
    </row>
    <row r="1047" spans="1:11" x14ac:dyDescent="0.25">
      <c r="A1047" t="s">
        <v>641</v>
      </c>
      <c r="B1047" t="s">
        <v>180</v>
      </c>
      <c r="C1047" t="s">
        <v>397</v>
      </c>
      <c r="D1047">
        <v>3474</v>
      </c>
      <c r="E1047">
        <v>3005.0149999999999</v>
      </c>
      <c r="F1047">
        <v>4228296</v>
      </c>
      <c r="G1047" t="s">
        <v>645</v>
      </c>
      <c r="H1047">
        <v>2999.6060000000002</v>
      </c>
      <c r="I1047" t="s">
        <v>646</v>
      </c>
      <c r="J1047" t="s">
        <v>10</v>
      </c>
      <c r="K1047" t="s">
        <v>647</v>
      </c>
    </row>
    <row r="1048" spans="1:11" x14ac:dyDescent="0.25">
      <c r="A1048" t="s">
        <v>641</v>
      </c>
      <c r="B1048" t="s">
        <v>180</v>
      </c>
      <c r="C1048" t="s">
        <v>397</v>
      </c>
      <c r="D1048">
        <v>299</v>
      </c>
      <c r="E1048">
        <v>258.63499999999999</v>
      </c>
      <c r="F1048">
        <v>4228296</v>
      </c>
      <c r="G1048" t="s">
        <v>645</v>
      </c>
      <c r="H1048">
        <v>258.17</v>
      </c>
      <c r="I1048" t="s">
        <v>646</v>
      </c>
      <c r="J1048" t="s">
        <v>10</v>
      </c>
      <c r="K1048" t="s">
        <v>647</v>
      </c>
    </row>
    <row r="1049" spans="1:11" x14ac:dyDescent="0.25">
      <c r="A1049" t="s">
        <v>641</v>
      </c>
      <c r="B1049" t="s">
        <v>180</v>
      </c>
      <c r="C1049" t="s">
        <v>397</v>
      </c>
      <c r="D1049">
        <v>2</v>
      </c>
      <c r="E1049">
        <v>1.73</v>
      </c>
      <c r="F1049">
        <v>4228296</v>
      </c>
      <c r="G1049" t="s">
        <v>645</v>
      </c>
      <c r="H1049">
        <v>1.7270000000000001</v>
      </c>
      <c r="I1049" t="s">
        <v>646</v>
      </c>
      <c r="J1049" t="s">
        <v>10</v>
      </c>
      <c r="K1049" t="s">
        <v>647</v>
      </c>
    </row>
    <row r="1050" spans="1:11" x14ac:dyDescent="0.25">
      <c r="A1050" t="s">
        <v>422</v>
      </c>
      <c r="B1050" t="s">
        <v>30</v>
      </c>
      <c r="C1050" t="s">
        <v>397</v>
      </c>
      <c r="D1050">
        <v>207</v>
      </c>
      <c r="E1050">
        <v>248.69800000000001</v>
      </c>
      <c r="F1050">
        <v>3635694</v>
      </c>
      <c r="G1050" t="s">
        <v>648</v>
      </c>
      <c r="H1050">
        <v>110.745</v>
      </c>
      <c r="I1050" t="s">
        <v>649</v>
      </c>
      <c r="J1050" t="s">
        <v>10</v>
      </c>
      <c r="K1050" t="s">
        <v>650</v>
      </c>
    </row>
    <row r="1051" spans="1:11" x14ac:dyDescent="0.25">
      <c r="A1051" t="s">
        <v>422</v>
      </c>
      <c r="B1051" t="s">
        <v>30</v>
      </c>
      <c r="C1051" t="s">
        <v>397</v>
      </c>
      <c r="D1051">
        <v>106</v>
      </c>
      <c r="E1051">
        <v>127.352</v>
      </c>
      <c r="F1051">
        <v>3635694</v>
      </c>
      <c r="G1051" t="s">
        <v>648</v>
      </c>
      <c r="H1051">
        <v>56.71</v>
      </c>
      <c r="I1051" t="s">
        <v>649</v>
      </c>
      <c r="J1051" t="s">
        <v>10</v>
      </c>
      <c r="K1051" t="s">
        <v>650</v>
      </c>
    </row>
    <row r="1052" spans="1:11" x14ac:dyDescent="0.25">
      <c r="A1052" t="s">
        <v>422</v>
      </c>
      <c r="B1052" t="s">
        <v>30</v>
      </c>
      <c r="C1052" t="s">
        <v>397</v>
      </c>
      <c r="D1052">
        <v>12</v>
      </c>
      <c r="E1052">
        <v>14.417</v>
      </c>
      <c r="F1052">
        <v>3635694</v>
      </c>
      <c r="G1052" t="s">
        <v>648</v>
      </c>
      <c r="H1052">
        <v>6.42</v>
      </c>
      <c r="I1052" t="s">
        <v>649</v>
      </c>
      <c r="J1052" t="s">
        <v>10</v>
      </c>
      <c r="K1052" t="s">
        <v>650</v>
      </c>
    </row>
    <row r="1053" spans="1:11" x14ac:dyDescent="0.25">
      <c r="A1053" t="s">
        <v>422</v>
      </c>
      <c r="B1053" t="s">
        <v>30</v>
      </c>
      <c r="C1053" t="s">
        <v>397</v>
      </c>
      <c r="D1053">
        <v>2971</v>
      </c>
      <c r="E1053">
        <v>3569.47</v>
      </c>
      <c r="F1053">
        <v>3635694</v>
      </c>
      <c r="G1053" t="s">
        <v>648</v>
      </c>
      <c r="H1053">
        <v>1589.4849999999999</v>
      </c>
      <c r="I1053" t="s">
        <v>649</v>
      </c>
      <c r="J1053" t="s">
        <v>10</v>
      </c>
      <c r="K1053" t="s">
        <v>650</v>
      </c>
    </row>
    <row r="1054" spans="1:11" x14ac:dyDescent="0.25">
      <c r="A1054" t="s">
        <v>422</v>
      </c>
      <c r="B1054" t="s">
        <v>30</v>
      </c>
      <c r="C1054" t="s">
        <v>397</v>
      </c>
      <c r="D1054">
        <v>1314</v>
      </c>
      <c r="E1054">
        <v>1578.6890000000001</v>
      </c>
      <c r="F1054">
        <v>3635694</v>
      </c>
      <c r="G1054" t="s">
        <v>648</v>
      </c>
      <c r="H1054">
        <v>702.99</v>
      </c>
      <c r="I1054" t="s">
        <v>649</v>
      </c>
      <c r="J1054" t="s">
        <v>10</v>
      </c>
      <c r="K1054" t="s">
        <v>650</v>
      </c>
    </row>
    <row r="1055" spans="1:11" x14ac:dyDescent="0.25">
      <c r="A1055" t="s">
        <v>422</v>
      </c>
      <c r="B1055" t="s">
        <v>30</v>
      </c>
      <c r="C1055" t="s">
        <v>397</v>
      </c>
      <c r="D1055">
        <v>115</v>
      </c>
      <c r="E1055">
        <v>138.16499999999999</v>
      </c>
      <c r="F1055">
        <v>3635694</v>
      </c>
      <c r="G1055" t="s">
        <v>648</v>
      </c>
      <c r="H1055">
        <v>61.524999999999999</v>
      </c>
      <c r="I1055" t="s">
        <v>649</v>
      </c>
      <c r="J1055" t="s">
        <v>10</v>
      </c>
      <c r="K1055" t="s">
        <v>650</v>
      </c>
    </row>
    <row r="1056" spans="1:11" x14ac:dyDescent="0.25">
      <c r="A1056" t="s">
        <v>422</v>
      </c>
      <c r="B1056" t="s">
        <v>30</v>
      </c>
      <c r="C1056" t="s">
        <v>397</v>
      </c>
      <c r="D1056">
        <v>949</v>
      </c>
      <c r="E1056">
        <v>1140.164</v>
      </c>
      <c r="F1056">
        <v>3635694</v>
      </c>
      <c r="G1056" t="s">
        <v>648</v>
      </c>
      <c r="H1056">
        <v>507.71499999999997</v>
      </c>
      <c r="I1056" t="s">
        <v>649</v>
      </c>
      <c r="J1056" t="s">
        <v>10</v>
      </c>
      <c r="K1056" t="s">
        <v>650</v>
      </c>
    </row>
    <row r="1057" spans="1:11" x14ac:dyDescent="0.25">
      <c r="A1057" t="s">
        <v>422</v>
      </c>
      <c r="B1057" t="s">
        <v>30</v>
      </c>
      <c r="C1057" t="s">
        <v>397</v>
      </c>
      <c r="D1057">
        <v>51</v>
      </c>
      <c r="E1057">
        <v>61.273000000000003</v>
      </c>
      <c r="F1057">
        <v>3635694</v>
      </c>
      <c r="G1057" t="s">
        <v>648</v>
      </c>
      <c r="H1057">
        <v>27.285</v>
      </c>
      <c r="I1057" t="s">
        <v>649</v>
      </c>
      <c r="J1057" t="s">
        <v>10</v>
      </c>
      <c r="K1057" t="s">
        <v>650</v>
      </c>
    </row>
    <row r="1058" spans="1:11" x14ac:dyDescent="0.25">
      <c r="A1058" t="s">
        <v>422</v>
      </c>
      <c r="B1058" t="s">
        <v>30</v>
      </c>
      <c r="C1058" t="s">
        <v>397</v>
      </c>
      <c r="D1058">
        <v>1971</v>
      </c>
      <c r="E1058">
        <v>2368.0329999999999</v>
      </c>
      <c r="F1058">
        <v>3635694</v>
      </c>
      <c r="G1058" t="s">
        <v>648</v>
      </c>
      <c r="H1058">
        <v>1054.4849999999999</v>
      </c>
      <c r="I1058" t="s">
        <v>649</v>
      </c>
      <c r="J1058" t="s">
        <v>10</v>
      </c>
      <c r="K1058" t="s">
        <v>650</v>
      </c>
    </row>
    <row r="1059" spans="1:11" x14ac:dyDescent="0.25">
      <c r="A1059" t="s">
        <v>422</v>
      </c>
      <c r="B1059" t="s">
        <v>30</v>
      </c>
      <c r="C1059" t="s">
        <v>397</v>
      </c>
      <c r="D1059">
        <v>29</v>
      </c>
      <c r="E1059">
        <v>34.841999999999999</v>
      </c>
      <c r="F1059">
        <v>3635694</v>
      </c>
      <c r="G1059" t="s">
        <v>648</v>
      </c>
      <c r="H1059">
        <v>15.515000000000001</v>
      </c>
      <c r="I1059" t="s">
        <v>649</v>
      </c>
      <c r="J1059" t="s">
        <v>10</v>
      </c>
      <c r="K1059" t="s">
        <v>650</v>
      </c>
    </row>
    <row r="1060" spans="1:11" x14ac:dyDescent="0.25">
      <c r="A1060" t="s">
        <v>396</v>
      </c>
      <c r="B1060" t="s">
        <v>61</v>
      </c>
      <c r="C1060" t="s">
        <v>397</v>
      </c>
      <c r="D1060">
        <v>2549</v>
      </c>
      <c r="E1060">
        <v>3323.9659999999999</v>
      </c>
      <c r="F1060">
        <v>3673011</v>
      </c>
      <c r="G1060" t="s">
        <v>412</v>
      </c>
      <c r="H1060">
        <v>2707.038</v>
      </c>
      <c r="I1060" t="s">
        <v>651</v>
      </c>
      <c r="J1060" t="s">
        <v>10</v>
      </c>
      <c r="K1060" t="s">
        <v>652</v>
      </c>
    </row>
    <row r="1061" spans="1:11" x14ac:dyDescent="0.25">
      <c r="A1061" t="s">
        <v>396</v>
      </c>
      <c r="B1061" t="s">
        <v>61</v>
      </c>
      <c r="C1061" t="s">
        <v>397</v>
      </c>
      <c r="D1061">
        <v>2451</v>
      </c>
      <c r="E1061">
        <v>3196.1709999999998</v>
      </c>
      <c r="F1061">
        <v>3673011</v>
      </c>
      <c r="G1061" t="s">
        <v>412</v>
      </c>
      <c r="H1061">
        <v>2602.962</v>
      </c>
      <c r="I1061" t="s">
        <v>651</v>
      </c>
      <c r="J1061" t="s">
        <v>10</v>
      </c>
      <c r="K1061" t="s">
        <v>652</v>
      </c>
    </row>
    <row r="1062" spans="1:11" x14ac:dyDescent="0.25">
      <c r="A1062" t="s">
        <v>396</v>
      </c>
      <c r="B1062" t="s">
        <v>61</v>
      </c>
      <c r="C1062" t="s">
        <v>397</v>
      </c>
      <c r="D1062">
        <v>2170</v>
      </c>
      <c r="E1062">
        <v>2829.74</v>
      </c>
      <c r="F1062">
        <v>3673011</v>
      </c>
      <c r="G1062" t="s">
        <v>412</v>
      </c>
      <c r="H1062">
        <v>2304.54</v>
      </c>
      <c r="I1062" t="s">
        <v>651</v>
      </c>
      <c r="J1062" t="s">
        <v>10</v>
      </c>
      <c r="K1062" t="s">
        <v>652</v>
      </c>
    </row>
    <row r="1063" spans="1:11" x14ac:dyDescent="0.25">
      <c r="A1063" t="s">
        <v>396</v>
      </c>
      <c r="B1063" t="s">
        <v>61</v>
      </c>
      <c r="C1063" t="s">
        <v>397</v>
      </c>
      <c r="D1063">
        <v>1149</v>
      </c>
      <c r="E1063">
        <v>1498.328</v>
      </c>
      <c r="F1063">
        <v>3673011</v>
      </c>
      <c r="G1063" t="s">
        <v>412</v>
      </c>
      <c r="H1063">
        <v>1220.2380000000001</v>
      </c>
      <c r="I1063" t="s">
        <v>651</v>
      </c>
      <c r="J1063" t="s">
        <v>10</v>
      </c>
      <c r="K1063" t="s">
        <v>652</v>
      </c>
    </row>
    <row r="1064" spans="1:11" x14ac:dyDescent="0.25">
      <c r="A1064" t="s">
        <v>396</v>
      </c>
      <c r="B1064" t="s">
        <v>61</v>
      </c>
      <c r="C1064" t="s">
        <v>397</v>
      </c>
      <c r="D1064">
        <v>923</v>
      </c>
      <c r="E1064">
        <v>1203.617</v>
      </c>
      <c r="F1064">
        <v>3673011</v>
      </c>
      <c r="G1064" t="s">
        <v>412</v>
      </c>
      <c r="H1064">
        <v>980.226</v>
      </c>
      <c r="I1064" t="s">
        <v>651</v>
      </c>
      <c r="J1064" t="s">
        <v>10</v>
      </c>
      <c r="K1064" t="s">
        <v>652</v>
      </c>
    </row>
    <row r="1065" spans="1:11" x14ac:dyDescent="0.25">
      <c r="A1065" t="s">
        <v>396</v>
      </c>
      <c r="B1065" t="s">
        <v>61</v>
      </c>
      <c r="C1065" t="s">
        <v>397</v>
      </c>
      <c r="D1065">
        <v>564</v>
      </c>
      <c r="E1065">
        <v>735.47199999999998</v>
      </c>
      <c r="F1065">
        <v>3673011</v>
      </c>
      <c r="G1065" t="s">
        <v>412</v>
      </c>
      <c r="H1065">
        <v>598.96799999999996</v>
      </c>
      <c r="I1065" t="s">
        <v>651</v>
      </c>
      <c r="J1065" t="s">
        <v>10</v>
      </c>
      <c r="K1065" t="s">
        <v>652</v>
      </c>
    </row>
    <row r="1066" spans="1:11" x14ac:dyDescent="0.25">
      <c r="A1066" t="s">
        <v>396</v>
      </c>
      <c r="B1066" t="s">
        <v>61</v>
      </c>
      <c r="C1066" t="s">
        <v>397</v>
      </c>
      <c r="D1066">
        <v>387</v>
      </c>
      <c r="E1066">
        <v>504.65899999999999</v>
      </c>
      <c r="F1066">
        <v>3673011</v>
      </c>
      <c r="G1066" t="s">
        <v>412</v>
      </c>
      <c r="H1066">
        <v>410.99400000000003</v>
      </c>
      <c r="I1066" t="s">
        <v>651</v>
      </c>
      <c r="J1066" t="s">
        <v>10</v>
      </c>
      <c r="K1066" t="s">
        <v>652</v>
      </c>
    </row>
    <row r="1067" spans="1:11" x14ac:dyDescent="0.25">
      <c r="A1067" t="s">
        <v>396</v>
      </c>
      <c r="B1067" t="s">
        <v>61</v>
      </c>
      <c r="C1067" t="s">
        <v>397</v>
      </c>
      <c r="D1067">
        <v>161</v>
      </c>
      <c r="E1067">
        <v>209.94800000000001</v>
      </c>
      <c r="F1067">
        <v>3673011</v>
      </c>
      <c r="G1067" t="s">
        <v>412</v>
      </c>
      <c r="H1067">
        <v>170.982</v>
      </c>
      <c r="I1067" t="s">
        <v>651</v>
      </c>
      <c r="J1067" t="s">
        <v>10</v>
      </c>
      <c r="K1067" t="s">
        <v>652</v>
      </c>
    </row>
    <row r="1068" spans="1:11" x14ac:dyDescent="0.25">
      <c r="A1068" t="s">
        <v>396</v>
      </c>
      <c r="B1068" t="s">
        <v>61</v>
      </c>
      <c r="C1068" t="s">
        <v>397</v>
      </c>
      <c r="D1068">
        <v>83</v>
      </c>
      <c r="E1068">
        <v>108.23399999999999</v>
      </c>
      <c r="F1068">
        <v>3673011</v>
      </c>
      <c r="G1068" t="s">
        <v>412</v>
      </c>
      <c r="H1068">
        <v>88.146000000000001</v>
      </c>
      <c r="I1068" t="s">
        <v>651</v>
      </c>
      <c r="J1068" t="s">
        <v>10</v>
      </c>
      <c r="K1068" t="s">
        <v>652</v>
      </c>
    </row>
    <row r="1069" spans="1:11" x14ac:dyDescent="0.25">
      <c r="A1069" t="s">
        <v>396</v>
      </c>
      <c r="B1069" t="s">
        <v>61</v>
      </c>
      <c r="C1069" t="s">
        <v>397</v>
      </c>
      <c r="D1069">
        <v>13</v>
      </c>
      <c r="E1069">
        <v>16.952000000000002</v>
      </c>
      <c r="F1069">
        <v>3673011</v>
      </c>
      <c r="G1069" t="s">
        <v>412</v>
      </c>
      <c r="H1069">
        <v>13.805999999999999</v>
      </c>
      <c r="I1069" t="s">
        <v>651</v>
      </c>
      <c r="J1069" t="s">
        <v>10</v>
      </c>
      <c r="K1069" t="s">
        <v>652</v>
      </c>
    </row>
    <row r="1070" spans="1:11" x14ac:dyDescent="0.25">
      <c r="A1070" t="s">
        <v>653</v>
      </c>
      <c r="B1070" t="s">
        <v>39</v>
      </c>
      <c r="C1070" t="s">
        <v>397</v>
      </c>
      <c r="D1070">
        <v>210</v>
      </c>
      <c r="E1070">
        <v>51.661000000000001</v>
      </c>
      <c r="F1070">
        <v>3768907</v>
      </c>
      <c r="G1070" t="s">
        <v>654</v>
      </c>
      <c r="H1070">
        <v>155.30199999999999</v>
      </c>
      <c r="I1070" t="s">
        <v>655</v>
      </c>
      <c r="J1070" t="s">
        <v>10</v>
      </c>
      <c r="K1070" t="s">
        <v>656</v>
      </c>
    </row>
    <row r="1071" spans="1:11" x14ac:dyDescent="0.25">
      <c r="A1071" t="s">
        <v>653</v>
      </c>
      <c r="B1071" t="s">
        <v>39</v>
      </c>
      <c r="C1071" t="s">
        <v>397</v>
      </c>
      <c r="D1071">
        <v>450</v>
      </c>
      <c r="E1071">
        <v>110.70099999999999</v>
      </c>
      <c r="F1071">
        <v>3768907</v>
      </c>
      <c r="G1071" t="s">
        <v>654</v>
      </c>
      <c r="H1071">
        <v>332.79</v>
      </c>
      <c r="I1071" t="s">
        <v>655</v>
      </c>
      <c r="J1071" t="s">
        <v>10</v>
      </c>
      <c r="K1071" t="s">
        <v>656</v>
      </c>
    </row>
    <row r="1072" spans="1:11" x14ac:dyDescent="0.25">
      <c r="A1072" t="s">
        <v>653</v>
      </c>
      <c r="B1072" t="s">
        <v>39</v>
      </c>
      <c r="C1072" t="s">
        <v>397</v>
      </c>
      <c r="D1072">
        <v>300</v>
      </c>
      <c r="E1072">
        <v>73.801000000000002</v>
      </c>
      <c r="F1072">
        <v>3768907</v>
      </c>
      <c r="G1072" t="s">
        <v>654</v>
      </c>
      <c r="H1072">
        <v>221.86</v>
      </c>
      <c r="I1072" t="s">
        <v>655</v>
      </c>
      <c r="J1072" t="s">
        <v>10</v>
      </c>
      <c r="K1072" t="s">
        <v>656</v>
      </c>
    </row>
    <row r="1073" spans="1:11" x14ac:dyDescent="0.25">
      <c r="A1073" t="s">
        <v>653</v>
      </c>
      <c r="B1073" t="s">
        <v>39</v>
      </c>
      <c r="C1073" t="s">
        <v>397</v>
      </c>
      <c r="D1073">
        <v>40</v>
      </c>
      <c r="E1073">
        <v>9.84</v>
      </c>
      <c r="F1073">
        <v>3768907</v>
      </c>
      <c r="G1073" t="s">
        <v>654</v>
      </c>
      <c r="H1073">
        <v>29.581</v>
      </c>
      <c r="I1073" t="s">
        <v>655</v>
      </c>
      <c r="J1073" t="s">
        <v>10</v>
      </c>
      <c r="K1073" t="s">
        <v>656</v>
      </c>
    </row>
    <row r="1074" spans="1:11" x14ac:dyDescent="0.25">
      <c r="A1074" t="s">
        <v>653</v>
      </c>
      <c r="B1074" t="s">
        <v>39</v>
      </c>
      <c r="C1074" t="s">
        <v>397</v>
      </c>
      <c r="D1074">
        <v>824</v>
      </c>
      <c r="E1074">
        <v>724.91</v>
      </c>
      <c r="F1074">
        <v>1940831</v>
      </c>
      <c r="G1074" t="s">
        <v>586</v>
      </c>
      <c r="H1074">
        <v>1226.1120000000001</v>
      </c>
      <c r="I1074" t="s">
        <v>657</v>
      </c>
      <c r="J1074" t="s">
        <v>10</v>
      </c>
      <c r="K1074" t="s">
        <v>658</v>
      </c>
    </row>
    <row r="1075" spans="1:11" x14ac:dyDescent="0.25">
      <c r="A1075" t="s">
        <v>653</v>
      </c>
      <c r="B1075" t="s">
        <v>39</v>
      </c>
      <c r="C1075" t="s">
        <v>397</v>
      </c>
      <c r="D1075">
        <v>934</v>
      </c>
      <c r="E1075">
        <v>821.68100000000004</v>
      </c>
      <c r="F1075">
        <v>1940831</v>
      </c>
      <c r="G1075" t="s">
        <v>586</v>
      </c>
      <c r="H1075">
        <v>1389.7919999999999</v>
      </c>
      <c r="I1075" t="s">
        <v>657</v>
      </c>
      <c r="J1075" t="s">
        <v>10</v>
      </c>
      <c r="K1075" t="s">
        <v>658</v>
      </c>
    </row>
    <row r="1076" spans="1:11" x14ac:dyDescent="0.25">
      <c r="A1076" t="s">
        <v>653</v>
      </c>
      <c r="B1076" t="s">
        <v>39</v>
      </c>
      <c r="C1076" t="s">
        <v>397</v>
      </c>
      <c r="D1076">
        <v>50</v>
      </c>
      <c r="E1076">
        <v>43.987000000000002</v>
      </c>
      <c r="F1076">
        <v>1940831</v>
      </c>
      <c r="G1076" t="s">
        <v>586</v>
      </c>
      <c r="H1076">
        <v>74.400000000000006</v>
      </c>
      <c r="I1076" t="s">
        <v>657</v>
      </c>
      <c r="J1076" t="s">
        <v>10</v>
      </c>
      <c r="K1076" t="s">
        <v>658</v>
      </c>
    </row>
    <row r="1077" spans="1:11" x14ac:dyDescent="0.25">
      <c r="A1077" t="s">
        <v>653</v>
      </c>
      <c r="B1077" t="s">
        <v>39</v>
      </c>
      <c r="C1077" t="s">
        <v>397</v>
      </c>
      <c r="D1077">
        <v>22</v>
      </c>
      <c r="E1077">
        <v>19.353999999999999</v>
      </c>
      <c r="F1077">
        <v>1940831</v>
      </c>
      <c r="G1077" t="s">
        <v>586</v>
      </c>
      <c r="H1077">
        <v>32.735999999999997</v>
      </c>
      <c r="I1077" t="s">
        <v>657</v>
      </c>
      <c r="J1077" t="s">
        <v>10</v>
      </c>
      <c r="K1077" t="s">
        <v>658</v>
      </c>
    </row>
    <row r="1078" spans="1:11" x14ac:dyDescent="0.25">
      <c r="A1078" t="s">
        <v>653</v>
      </c>
      <c r="B1078" t="s">
        <v>39</v>
      </c>
      <c r="C1078" t="s">
        <v>397</v>
      </c>
      <c r="D1078">
        <v>1500</v>
      </c>
      <c r="E1078">
        <v>1319.617</v>
      </c>
      <c r="F1078">
        <v>1940831</v>
      </c>
      <c r="G1078" t="s">
        <v>586</v>
      </c>
      <c r="H1078">
        <v>2232</v>
      </c>
      <c r="I1078" t="s">
        <v>657</v>
      </c>
      <c r="J1078" t="s">
        <v>10</v>
      </c>
      <c r="K1078" t="s">
        <v>658</v>
      </c>
    </row>
    <row r="1079" spans="1:11" x14ac:dyDescent="0.25">
      <c r="A1079" t="s">
        <v>653</v>
      </c>
      <c r="B1079" t="s">
        <v>39</v>
      </c>
      <c r="C1079" t="s">
        <v>397</v>
      </c>
      <c r="D1079">
        <v>990</v>
      </c>
      <c r="E1079">
        <v>870.947</v>
      </c>
      <c r="F1079">
        <v>1940831</v>
      </c>
      <c r="G1079" t="s">
        <v>586</v>
      </c>
      <c r="H1079">
        <v>1473.12</v>
      </c>
      <c r="I1079" t="s">
        <v>657</v>
      </c>
      <c r="J1079" t="s">
        <v>10</v>
      </c>
      <c r="K1079" t="s">
        <v>658</v>
      </c>
    </row>
    <row r="1080" spans="1:11" x14ac:dyDescent="0.25">
      <c r="A1080" t="s">
        <v>653</v>
      </c>
      <c r="B1080" t="s">
        <v>39</v>
      </c>
      <c r="C1080" t="s">
        <v>397</v>
      </c>
      <c r="D1080">
        <v>1068</v>
      </c>
      <c r="E1080">
        <v>939.75800000000004</v>
      </c>
      <c r="F1080">
        <v>1940838</v>
      </c>
      <c r="G1080" t="s">
        <v>578</v>
      </c>
      <c r="H1080">
        <v>1968.3240000000001</v>
      </c>
      <c r="I1080" t="s">
        <v>659</v>
      </c>
      <c r="J1080" t="s">
        <v>10</v>
      </c>
      <c r="K1080" t="s">
        <v>660</v>
      </c>
    </row>
    <row r="1081" spans="1:11" x14ac:dyDescent="0.25">
      <c r="A1081" t="s">
        <v>653</v>
      </c>
      <c r="B1081" t="s">
        <v>39</v>
      </c>
      <c r="C1081" t="s">
        <v>397</v>
      </c>
      <c r="D1081">
        <v>419</v>
      </c>
      <c r="E1081">
        <v>368.68799999999999</v>
      </c>
      <c r="F1081">
        <v>1940838</v>
      </c>
      <c r="G1081" t="s">
        <v>578</v>
      </c>
      <c r="H1081">
        <v>772.21699999999998</v>
      </c>
      <c r="I1081" t="s">
        <v>659</v>
      </c>
      <c r="J1081" t="s">
        <v>10</v>
      </c>
      <c r="K1081" t="s">
        <v>660</v>
      </c>
    </row>
    <row r="1082" spans="1:11" x14ac:dyDescent="0.25">
      <c r="A1082" t="s">
        <v>653</v>
      </c>
      <c r="B1082" t="s">
        <v>39</v>
      </c>
      <c r="C1082" t="s">
        <v>397</v>
      </c>
      <c r="D1082">
        <v>320</v>
      </c>
      <c r="E1082">
        <v>281.57600000000002</v>
      </c>
      <c r="F1082">
        <v>1940838</v>
      </c>
      <c r="G1082" t="s">
        <v>578</v>
      </c>
      <c r="H1082">
        <v>589.76</v>
      </c>
      <c r="I1082" t="s">
        <v>659</v>
      </c>
      <c r="J1082" t="s">
        <v>10</v>
      </c>
      <c r="K1082" t="s">
        <v>660</v>
      </c>
    </row>
    <row r="1083" spans="1:11" x14ac:dyDescent="0.25">
      <c r="A1083" t="s">
        <v>653</v>
      </c>
      <c r="B1083" t="s">
        <v>39</v>
      </c>
      <c r="C1083" t="s">
        <v>397</v>
      </c>
      <c r="D1083">
        <v>143</v>
      </c>
      <c r="E1083">
        <v>125.82899999999999</v>
      </c>
      <c r="F1083">
        <v>1940838</v>
      </c>
      <c r="G1083" t="s">
        <v>578</v>
      </c>
      <c r="H1083">
        <v>263.54899999999998</v>
      </c>
      <c r="I1083" t="s">
        <v>659</v>
      </c>
      <c r="J1083" t="s">
        <v>10</v>
      </c>
      <c r="K1083" t="s">
        <v>660</v>
      </c>
    </row>
    <row r="1084" spans="1:11" x14ac:dyDescent="0.25">
      <c r="A1084" t="s">
        <v>653</v>
      </c>
      <c r="B1084" t="s">
        <v>39</v>
      </c>
      <c r="C1084" t="s">
        <v>397</v>
      </c>
      <c r="D1084">
        <v>41</v>
      </c>
      <c r="E1084">
        <v>36.076999999999998</v>
      </c>
      <c r="F1084">
        <v>1940838</v>
      </c>
      <c r="G1084" t="s">
        <v>578</v>
      </c>
      <c r="H1084">
        <v>75.563000000000002</v>
      </c>
      <c r="I1084" t="s">
        <v>659</v>
      </c>
      <c r="J1084" t="s">
        <v>10</v>
      </c>
      <c r="K1084" t="s">
        <v>660</v>
      </c>
    </row>
    <row r="1085" spans="1:11" x14ac:dyDescent="0.25">
      <c r="A1085" t="s">
        <v>653</v>
      </c>
      <c r="B1085" t="s">
        <v>39</v>
      </c>
      <c r="C1085" t="s">
        <v>397</v>
      </c>
      <c r="D1085">
        <v>1</v>
      </c>
      <c r="E1085">
        <v>0.88</v>
      </c>
      <c r="F1085">
        <v>1940838</v>
      </c>
      <c r="G1085" t="s">
        <v>578</v>
      </c>
      <c r="H1085">
        <v>1.843</v>
      </c>
      <c r="I1085" t="s">
        <v>659</v>
      </c>
      <c r="J1085" t="s">
        <v>10</v>
      </c>
      <c r="K1085" t="s">
        <v>660</v>
      </c>
    </row>
    <row r="1086" spans="1:11" x14ac:dyDescent="0.25">
      <c r="A1086" t="s">
        <v>653</v>
      </c>
      <c r="B1086" t="s">
        <v>39</v>
      </c>
      <c r="C1086" t="s">
        <v>397</v>
      </c>
      <c r="D1086">
        <v>840</v>
      </c>
      <c r="E1086">
        <v>739.13599999999997</v>
      </c>
      <c r="F1086">
        <v>1940838</v>
      </c>
      <c r="G1086" t="s">
        <v>578</v>
      </c>
      <c r="H1086">
        <v>1548.12</v>
      </c>
      <c r="I1086" t="s">
        <v>659</v>
      </c>
      <c r="J1086" t="s">
        <v>10</v>
      </c>
      <c r="K1086" t="s">
        <v>660</v>
      </c>
    </row>
    <row r="1087" spans="1:11" x14ac:dyDescent="0.25">
      <c r="A1087" t="s">
        <v>573</v>
      </c>
      <c r="B1087" t="s">
        <v>52</v>
      </c>
      <c r="C1087" t="s">
        <v>397</v>
      </c>
      <c r="D1087">
        <v>1356</v>
      </c>
      <c r="E1087">
        <v>880.22</v>
      </c>
      <c r="F1087">
        <v>1937022</v>
      </c>
      <c r="G1087" t="s">
        <v>471</v>
      </c>
      <c r="H1087">
        <v>465.108</v>
      </c>
      <c r="I1087" t="s">
        <v>1321</v>
      </c>
      <c r="J1087" t="s">
        <v>10</v>
      </c>
      <c r="K1087" t="s">
        <v>2273</v>
      </c>
    </row>
    <row r="1088" spans="1:11" x14ac:dyDescent="0.25">
      <c r="A1088" t="s">
        <v>573</v>
      </c>
      <c r="B1088" t="s">
        <v>52</v>
      </c>
      <c r="C1088" t="s">
        <v>397</v>
      </c>
      <c r="D1088">
        <v>1472</v>
      </c>
      <c r="E1088">
        <v>955.51900000000001</v>
      </c>
      <c r="F1088">
        <v>1937022</v>
      </c>
      <c r="G1088" t="s">
        <v>471</v>
      </c>
      <c r="H1088">
        <v>504.89600000000002</v>
      </c>
      <c r="I1088" t="s">
        <v>1321</v>
      </c>
      <c r="J1088" t="s">
        <v>10</v>
      </c>
      <c r="K1088" t="s">
        <v>2273</v>
      </c>
    </row>
    <row r="1089" spans="1:11" x14ac:dyDescent="0.25">
      <c r="A1089" t="s">
        <v>573</v>
      </c>
      <c r="B1089" t="s">
        <v>52</v>
      </c>
      <c r="C1089" t="s">
        <v>397</v>
      </c>
      <c r="D1089">
        <v>1166</v>
      </c>
      <c r="E1089">
        <v>756.88499999999999</v>
      </c>
      <c r="F1089">
        <v>1937022</v>
      </c>
      <c r="G1089" t="s">
        <v>471</v>
      </c>
      <c r="H1089">
        <v>399.93799999999999</v>
      </c>
      <c r="I1089" t="s">
        <v>1321</v>
      </c>
      <c r="J1089" t="s">
        <v>10</v>
      </c>
      <c r="K1089" t="s">
        <v>2273</v>
      </c>
    </row>
    <row r="1090" spans="1:11" x14ac:dyDescent="0.25">
      <c r="A1090" t="s">
        <v>573</v>
      </c>
      <c r="B1090" t="s">
        <v>52</v>
      </c>
      <c r="C1090" t="s">
        <v>397</v>
      </c>
      <c r="D1090">
        <v>6</v>
      </c>
      <c r="E1090">
        <v>3.895</v>
      </c>
      <c r="F1090">
        <v>1937022</v>
      </c>
      <c r="G1090" t="s">
        <v>471</v>
      </c>
      <c r="H1090">
        <v>2.0579999999999998</v>
      </c>
      <c r="I1090" t="s">
        <v>1321</v>
      </c>
      <c r="J1090" t="s">
        <v>10</v>
      </c>
      <c r="K1090" t="s">
        <v>2273</v>
      </c>
    </row>
    <row r="1091" spans="1:11" x14ac:dyDescent="0.25">
      <c r="A1091" t="s">
        <v>422</v>
      </c>
      <c r="B1091" t="s">
        <v>30</v>
      </c>
      <c r="C1091" t="s">
        <v>397</v>
      </c>
      <c r="D1091">
        <v>1723</v>
      </c>
      <c r="E1091">
        <v>613.399</v>
      </c>
      <c r="F1091">
        <v>4100177</v>
      </c>
      <c r="G1091" t="s">
        <v>661</v>
      </c>
      <c r="H1091">
        <v>843.48500000000001</v>
      </c>
      <c r="I1091" t="s">
        <v>662</v>
      </c>
      <c r="J1091" t="s">
        <v>10</v>
      </c>
      <c r="K1091" t="s">
        <v>663</v>
      </c>
    </row>
    <row r="1092" spans="1:11" x14ac:dyDescent="0.25">
      <c r="A1092" t="s">
        <v>422</v>
      </c>
      <c r="B1092" t="s">
        <v>30</v>
      </c>
      <c r="C1092" t="s">
        <v>397</v>
      </c>
      <c r="D1092">
        <v>1352</v>
      </c>
      <c r="E1092">
        <v>481.32100000000003</v>
      </c>
      <c r="F1092">
        <v>4100177</v>
      </c>
      <c r="G1092" t="s">
        <v>661</v>
      </c>
      <c r="H1092">
        <v>661.86400000000003</v>
      </c>
      <c r="I1092" t="s">
        <v>662</v>
      </c>
      <c r="J1092" t="s">
        <v>10</v>
      </c>
      <c r="K1092" t="s">
        <v>663</v>
      </c>
    </row>
    <row r="1093" spans="1:11" x14ac:dyDescent="0.25">
      <c r="A1093" t="s">
        <v>422</v>
      </c>
      <c r="B1093" t="s">
        <v>30</v>
      </c>
      <c r="C1093" t="s">
        <v>397</v>
      </c>
      <c r="D1093">
        <v>1005</v>
      </c>
      <c r="E1093">
        <v>357.786</v>
      </c>
      <c r="F1093">
        <v>4100177</v>
      </c>
      <c r="G1093" t="s">
        <v>661</v>
      </c>
      <c r="H1093">
        <v>491.99200000000002</v>
      </c>
      <c r="I1093" t="s">
        <v>662</v>
      </c>
      <c r="J1093" t="s">
        <v>10</v>
      </c>
      <c r="K1093" t="s">
        <v>663</v>
      </c>
    </row>
    <row r="1094" spans="1:11" x14ac:dyDescent="0.25">
      <c r="A1094" t="s">
        <v>437</v>
      </c>
      <c r="B1094" t="s">
        <v>18</v>
      </c>
      <c r="C1094" t="s">
        <v>397</v>
      </c>
      <c r="D1094">
        <v>4074</v>
      </c>
      <c r="E1094">
        <v>1686.98</v>
      </c>
      <c r="F1094">
        <v>3598957</v>
      </c>
      <c r="G1094" t="s">
        <v>664</v>
      </c>
      <c r="H1094">
        <v>1796.634</v>
      </c>
      <c r="I1094" t="s">
        <v>665</v>
      </c>
      <c r="J1094" t="s">
        <v>10</v>
      </c>
      <c r="K1094" t="s">
        <v>666</v>
      </c>
    </row>
    <row r="1095" spans="1:11" x14ac:dyDescent="0.25">
      <c r="A1095" t="s">
        <v>437</v>
      </c>
      <c r="B1095" t="s">
        <v>18</v>
      </c>
      <c r="C1095" t="s">
        <v>397</v>
      </c>
      <c r="D1095">
        <v>1909</v>
      </c>
      <c r="E1095">
        <v>790.48699999999997</v>
      </c>
      <c r="F1095">
        <v>3598957</v>
      </c>
      <c r="G1095" t="s">
        <v>664</v>
      </c>
      <c r="H1095">
        <v>841.86900000000003</v>
      </c>
      <c r="I1095" t="s">
        <v>665</v>
      </c>
      <c r="J1095" t="s">
        <v>10</v>
      </c>
      <c r="K1095" t="s">
        <v>666</v>
      </c>
    </row>
    <row r="1096" spans="1:11" x14ac:dyDescent="0.25">
      <c r="A1096" t="s">
        <v>437</v>
      </c>
      <c r="B1096" t="s">
        <v>18</v>
      </c>
      <c r="C1096" t="s">
        <v>397</v>
      </c>
      <c r="D1096">
        <v>1240</v>
      </c>
      <c r="E1096">
        <v>513.46500000000003</v>
      </c>
      <c r="F1096">
        <v>3598957</v>
      </c>
      <c r="G1096" t="s">
        <v>664</v>
      </c>
      <c r="H1096">
        <v>546.84</v>
      </c>
      <c r="I1096" t="s">
        <v>665</v>
      </c>
      <c r="J1096" t="s">
        <v>10</v>
      </c>
      <c r="K1096" t="s">
        <v>666</v>
      </c>
    </row>
    <row r="1097" spans="1:11" x14ac:dyDescent="0.25">
      <c r="A1097" t="s">
        <v>437</v>
      </c>
      <c r="B1097" t="s">
        <v>18</v>
      </c>
      <c r="C1097" t="s">
        <v>397</v>
      </c>
      <c r="D1097">
        <v>377</v>
      </c>
      <c r="E1097">
        <v>156.11000000000001</v>
      </c>
      <c r="F1097">
        <v>3598957</v>
      </c>
      <c r="G1097" t="s">
        <v>664</v>
      </c>
      <c r="H1097">
        <v>166.25700000000001</v>
      </c>
      <c r="I1097" t="s">
        <v>665</v>
      </c>
      <c r="J1097" t="s">
        <v>10</v>
      </c>
      <c r="K1097" t="s">
        <v>666</v>
      </c>
    </row>
    <row r="1098" spans="1:11" x14ac:dyDescent="0.25">
      <c r="A1098" t="s">
        <v>437</v>
      </c>
      <c r="B1098" t="s">
        <v>18</v>
      </c>
      <c r="C1098" t="s">
        <v>397</v>
      </c>
      <c r="D1098">
        <v>4049</v>
      </c>
      <c r="E1098">
        <v>1676.6279999999999</v>
      </c>
      <c r="F1098">
        <v>3598957</v>
      </c>
      <c r="G1098" t="s">
        <v>664</v>
      </c>
      <c r="H1098">
        <v>1785.6089999999999</v>
      </c>
      <c r="I1098" t="s">
        <v>665</v>
      </c>
      <c r="J1098" t="s">
        <v>10</v>
      </c>
      <c r="K1098" t="s">
        <v>666</v>
      </c>
    </row>
    <row r="1099" spans="1:11" x14ac:dyDescent="0.25">
      <c r="A1099" t="s">
        <v>437</v>
      </c>
      <c r="B1099" t="s">
        <v>18</v>
      </c>
      <c r="C1099" t="s">
        <v>397</v>
      </c>
      <c r="D1099">
        <v>1951</v>
      </c>
      <c r="E1099">
        <v>807.87900000000002</v>
      </c>
      <c r="F1099">
        <v>3598957</v>
      </c>
      <c r="G1099" t="s">
        <v>664</v>
      </c>
      <c r="H1099">
        <v>860.39099999999996</v>
      </c>
      <c r="I1099" t="s">
        <v>665</v>
      </c>
      <c r="J1099" t="s">
        <v>10</v>
      </c>
      <c r="K1099" t="s">
        <v>666</v>
      </c>
    </row>
    <row r="1100" spans="1:11" x14ac:dyDescent="0.25">
      <c r="A1100" t="s">
        <v>437</v>
      </c>
      <c r="B1100" t="s">
        <v>18</v>
      </c>
      <c r="C1100" t="s">
        <v>397</v>
      </c>
      <c r="D1100">
        <v>1598</v>
      </c>
      <c r="E1100">
        <v>661.70699999999999</v>
      </c>
      <c r="F1100">
        <v>3598957</v>
      </c>
      <c r="G1100" t="s">
        <v>664</v>
      </c>
      <c r="H1100">
        <v>704.71799999999996</v>
      </c>
      <c r="I1100" t="s">
        <v>665</v>
      </c>
      <c r="J1100" t="s">
        <v>10</v>
      </c>
      <c r="K1100" t="s">
        <v>666</v>
      </c>
    </row>
    <row r="1101" spans="1:11" x14ac:dyDescent="0.25">
      <c r="A1101" t="s">
        <v>437</v>
      </c>
      <c r="B1101" t="s">
        <v>18</v>
      </c>
      <c r="C1101" t="s">
        <v>397</v>
      </c>
      <c r="D1101">
        <v>1058</v>
      </c>
      <c r="E1101">
        <v>438.101</v>
      </c>
      <c r="F1101">
        <v>3598957</v>
      </c>
      <c r="G1101" t="s">
        <v>664</v>
      </c>
      <c r="H1101">
        <v>466.57799999999997</v>
      </c>
      <c r="I1101" t="s">
        <v>665</v>
      </c>
      <c r="J1101" t="s">
        <v>10</v>
      </c>
      <c r="K1101" t="s">
        <v>666</v>
      </c>
    </row>
    <row r="1102" spans="1:11" x14ac:dyDescent="0.25">
      <c r="A1102" t="s">
        <v>437</v>
      </c>
      <c r="B1102" t="s">
        <v>18</v>
      </c>
      <c r="C1102" t="s">
        <v>397</v>
      </c>
      <c r="D1102">
        <v>850</v>
      </c>
      <c r="E1102">
        <v>351.97199999999998</v>
      </c>
      <c r="F1102">
        <v>3598957</v>
      </c>
      <c r="G1102" t="s">
        <v>664</v>
      </c>
      <c r="H1102">
        <v>374.85</v>
      </c>
      <c r="I1102" t="s">
        <v>665</v>
      </c>
      <c r="J1102" t="s">
        <v>10</v>
      </c>
      <c r="K1102" t="s">
        <v>666</v>
      </c>
    </row>
    <row r="1103" spans="1:11" x14ac:dyDescent="0.25">
      <c r="A1103" t="s">
        <v>437</v>
      </c>
      <c r="B1103" t="s">
        <v>18</v>
      </c>
      <c r="C1103" t="s">
        <v>397</v>
      </c>
      <c r="D1103">
        <v>775</v>
      </c>
      <c r="E1103">
        <v>320.91500000000002</v>
      </c>
      <c r="F1103">
        <v>3598957</v>
      </c>
      <c r="G1103" t="s">
        <v>664</v>
      </c>
      <c r="H1103">
        <v>341.77499999999998</v>
      </c>
      <c r="I1103" t="s">
        <v>665</v>
      </c>
      <c r="J1103" t="s">
        <v>10</v>
      </c>
      <c r="K1103" t="s">
        <v>666</v>
      </c>
    </row>
    <row r="1104" spans="1:11" x14ac:dyDescent="0.25">
      <c r="A1104" t="s">
        <v>437</v>
      </c>
      <c r="B1104" t="s">
        <v>18</v>
      </c>
      <c r="C1104" t="s">
        <v>397</v>
      </c>
      <c r="D1104">
        <v>750</v>
      </c>
      <c r="E1104">
        <v>310.56299999999999</v>
      </c>
      <c r="F1104">
        <v>3598957</v>
      </c>
      <c r="G1104" t="s">
        <v>664</v>
      </c>
      <c r="H1104">
        <v>330.75</v>
      </c>
      <c r="I1104" t="s">
        <v>665</v>
      </c>
      <c r="J1104" t="s">
        <v>10</v>
      </c>
      <c r="K1104" t="s">
        <v>666</v>
      </c>
    </row>
    <row r="1105" spans="1:11" x14ac:dyDescent="0.25">
      <c r="A1105" t="s">
        <v>437</v>
      </c>
      <c r="B1105" t="s">
        <v>18</v>
      </c>
      <c r="C1105" t="s">
        <v>397</v>
      </c>
      <c r="D1105">
        <v>616</v>
      </c>
      <c r="E1105">
        <v>255.07599999999999</v>
      </c>
      <c r="F1105">
        <v>3598957</v>
      </c>
      <c r="G1105" t="s">
        <v>664</v>
      </c>
      <c r="H1105">
        <v>271.65600000000001</v>
      </c>
      <c r="I1105" t="s">
        <v>665</v>
      </c>
      <c r="J1105" t="s">
        <v>10</v>
      </c>
      <c r="K1105" t="s">
        <v>666</v>
      </c>
    </row>
    <row r="1106" spans="1:11" x14ac:dyDescent="0.25">
      <c r="A1106" t="s">
        <v>437</v>
      </c>
      <c r="B1106" t="s">
        <v>18</v>
      </c>
      <c r="C1106" t="s">
        <v>397</v>
      </c>
      <c r="D1106">
        <v>469</v>
      </c>
      <c r="E1106">
        <v>194.20599999999999</v>
      </c>
      <c r="F1106">
        <v>3598957</v>
      </c>
      <c r="G1106" t="s">
        <v>664</v>
      </c>
      <c r="H1106">
        <v>206.82900000000001</v>
      </c>
      <c r="I1106" t="s">
        <v>665</v>
      </c>
      <c r="J1106" t="s">
        <v>10</v>
      </c>
      <c r="K1106" t="s">
        <v>666</v>
      </c>
    </row>
    <row r="1107" spans="1:11" x14ac:dyDescent="0.25">
      <c r="A1107" t="s">
        <v>437</v>
      </c>
      <c r="B1107" t="s">
        <v>18</v>
      </c>
      <c r="C1107" t="s">
        <v>397</v>
      </c>
      <c r="D1107">
        <v>448</v>
      </c>
      <c r="E1107">
        <v>185.51</v>
      </c>
      <c r="F1107">
        <v>3598957</v>
      </c>
      <c r="G1107" t="s">
        <v>664</v>
      </c>
      <c r="H1107">
        <v>197.56800000000001</v>
      </c>
      <c r="I1107" t="s">
        <v>665</v>
      </c>
      <c r="J1107" t="s">
        <v>10</v>
      </c>
      <c r="K1107" t="s">
        <v>666</v>
      </c>
    </row>
    <row r="1108" spans="1:11" x14ac:dyDescent="0.25">
      <c r="A1108" t="s">
        <v>437</v>
      </c>
      <c r="B1108" t="s">
        <v>18</v>
      </c>
      <c r="C1108" t="s">
        <v>397</v>
      </c>
      <c r="D1108">
        <v>171</v>
      </c>
      <c r="E1108">
        <v>70.808000000000007</v>
      </c>
      <c r="F1108">
        <v>3598957</v>
      </c>
      <c r="G1108" t="s">
        <v>664</v>
      </c>
      <c r="H1108">
        <v>75.411000000000001</v>
      </c>
      <c r="I1108" t="s">
        <v>665</v>
      </c>
      <c r="J1108" t="s">
        <v>10</v>
      </c>
      <c r="K1108" t="s">
        <v>666</v>
      </c>
    </row>
    <row r="1109" spans="1:11" x14ac:dyDescent="0.25">
      <c r="A1109" t="s">
        <v>437</v>
      </c>
      <c r="B1109" t="s">
        <v>18</v>
      </c>
      <c r="C1109" t="s">
        <v>397</v>
      </c>
      <c r="D1109">
        <v>127</v>
      </c>
      <c r="E1109">
        <v>52.588999999999999</v>
      </c>
      <c r="F1109">
        <v>3598957</v>
      </c>
      <c r="G1109" t="s">
        <v>664</v>
      </c>
      <c r="H1109">
        <v>56.006999999999998</v>
      </c>
      <c r="I1109" t="s">
        <v>665</v>
      </c>
      <c r="J1109" t="s">
        <v>10</v>
      </c>
      <c r="K1109" t="s">
        <v>666</v>
      </c>
    </row>
    <row r="1110" spans="1:11" x14ac:dyDescent="0.25">
      <c r="A1110" t="s">
        <v>437</v>
      </c>
      <c r="B1110" t="s">
        <v>18</v>
      </c>
      <c r="C1110" t="s">
        <v>397</v>
      </c>
      <c r="D1110">
        <v>13</v>
      </c>
      <c r="E1110">
        <v>5.383</v>
      </c>
      <c r="F1110">
        <v>3598957</v>
      </c>
      <c r="G1110" t="s">
        <v>664</v>
      </c>
      <c r="H1110">
        <v>5.7329999999999997</v>
      </c>
      <c r="I1110" t="s">
        <v>665</v>
      </c>
      <c r="J1110" t="s">
        <v>10</v>
      </c>
      <c r="K1110" t="s">
        <v>666</v>
      </c>
    </row>
    <row r="1111" spans="1:11" x14ac:dyDescent="0.25">
      <c r="A1111" t="s">
        <v>415</v>
      </c>
      <c r="B1111" t="s">
        <v>9</v>
      </c>
      <c r="C1111" t="s">
        <v>397</v>
      </c>
      <c r="D1111">
        <v>2360</v>
      </c>
      <c r="E1111">
        <v>3009.0250000000001</v>
      </c>
      <c r="F1111">
        <v>3409367</v>
      </c>
      <c r="G1111" t="s">
        <v>471</v>
      </c>
      <c r="H1111">
        <v>1528.2840000000001</v>
      </c>
      <c r="I1111" t="s">
        <v>667</v>
      </c>
      <c r="J1111" t="s">
        <v>10</v>
      </c>
      <c r="K1111" t="s">
        <v>668</v>
      </c>
    </row>
    <row r="1112" spans="1:11" x14ac:dyDescent="0.25">
      <c r="A1112" t="s">
        <v>415</v>
      </c>
      <c r="B1112" t="s">
        <v>9</v>
      </c>
      <c r="C1112" t="s">
        <v>397</v>
      </c>
      <c r="D1112">
        <v>680</v>
      </c>
      <c r="E1112">
        <v>867.00699999999995</v>
      </c>
      <c r="F1112">
        <v>3409367</v>
      </c>
      <c r="G1112" t="s">
        <v>471</v>
      </c>
      <c r="H1112">
        <v>440.35300000000001</v>
      </c>
      <c r="I1112" t="s">
        <v>667</v>
      </c>
      <c r="J1112" t="s">
        <v>10</v>
      </c>
      <c r="K1112" t="s">
        <v>668</v>
      </c>
    </row>
    <row r="1113" spans="1:11" x14ac:dyDescent="0.25">
      <c r="A1113" t="s">
        <v>415</v>
      </c>
      <c r="B1113" t="s">
        <v>9</v>
      </c>
      <c r="C1113" t="s">
        <v>397</v>
      </c>
      <c r="D1113">
        <v>270</v>
      </c>
      <c r="E1113">
        <v>344.25299999999999</v>
      </c>
      <c r="F1113">
        <v>3409367</v>
      </c>
      <c r="G1113" t="s">
        <v>471</v>
      </c>
      <c r="H1113">
        <v>174.846</v>
      </c>
      <c r="I1113" t="s">
        <v>667</v>
      </c>
      <c r="J1113" t="s">
        <v>10</v>
      </c>
      <c r="K1113" t="s">
        <v>668</v>
      </c>
    </row>
    <row r="1114" spans="1:11" x14ac:dyDescent="0.25">
      <c r="A1114" t="s">
        <v>415</v>
      </c>
      <c r="B1114" t="s">
        <v>9</v>
      </c>
      <c r="C1114" t="s">
        <v>397</v>
      </c>
      <c r="D1114">
        <v>90</v>
      </c>
      <c r="E1114">
        <v>114.751</v>
      </c>
      <c r="F1114">
        <v>3409367</v>
      </c>
      <c r="G1114" t="s">
        <v>471</v>
      </c>
      <c r="H1114">
        <v>58.281999999999996</v>
      </c>
      <c r="I1114" t="s">
        <v>667</v>
      </c>
      <c r="J1114" t="s">
        <v>10</v>
      </c>
      <c r="K1114" t="s">
        <v>668</v>
      </c>
    </row>
    <row r="1115" spans="1:11" x14ac:dyDescent="0.25">
      <c r="A1115" t="s">
        <v>437</v>
      </c>
      <c r="B1115" t="s">
        <v>18</v>
      </c>
      <c r="C1115" t="s">
        <v>397</v>
      </c>
      <c r="D1115">
        <v>2349</v>
      </c>
      <c r="E1115">
        <v>505.041</v>
      </c>
      <c r="F1115">
        <v>3727212</v>
      </c>
      <c r="G1115" t="s">
        <v>664</v>
      </c>
      <c r="H1115">
        <v>537.86900000000003</v>
      </c>
      <c r="I1115" t="s">
        <v>669</v>
      </c>
      <c r="J1115" t="s">
        <v>10</v>
      </c>
      <c r="K1115" t="s">
        <v>670</v>
      </c>
    </row>
    <row r="1116" spans="1:11" x14ac:dyDescent="0.25">
      <c r="A1116" t="s">
        <v>437</v>
      </c>
      <c r="B1116" t="s">
        <v>18</v>
      </c>
      <c r="C1116" t="s">
        <v>397</v>
      </c>
      <c r="D1116">
        <v>76</v>
      </c>
      <c r="E1116">
        <v>16.34</v>
      </c>
      <c r="F1116">
        <v>3727212</v>
      </c>
      <c r="G1116" t="s">
        <v>664</v>
      </c>
      <c r="H1116">
        <v>17.402000000000001</v>
      </c>
      <c r="I1116" t="s">
        <v>669</v>
      </c>
      <c r="J1116" t="s">
        <v>10</v>
      </c>
      <c r="K1116" t="s">
        <v>670</v>
      </c>
    </row>
    <row r="1117" spans="1:11" x14ac:dyDescent="0.25">
      <c r="A1117" t="s">
        <v>437</v>
      </c>
      <c r="B1117" t="s">
        <v>18</v>
      </c>
      <c r="C1117" t="s">
        <v>397</v>
      </c>
      <c r="D1117">
        <v>1350</v>
      </c>
      <c r="E1117">
        <v>815.38</v>
      </c>
      <c r="F1117">
        <v>2427158</v>
      </c>
      <c r="G1117" t="s">
        <v>474</v>
      </c>
      <c r="H1117">
        <v>1583.55</v>
      </c>
      <c r="I1117" t="s">
        <v>671</v>
      </c>
      <c r="J1117" t="s">
        <v>10</v>
      </c>
      <c r="K1117" t="s">
        <v>672</v>
      </c>
    </row>
    <row r="1118" spans="1:11" x14ac:dyDescent="0.25">
      <c r="A1118" t="s">
        <v>437</v>
      </c>
      <c r="B1118" t="s">
        <v>18</v>
      </c>
      <c r="C1118" t="s">
        <v>397</v>
      </c>
      <c r="D1118">
        <v>1329</v>
      </c>
      <c r="E1118">
        <v>802.697</v>
      </c>
      <c r="F1118">
        <v>2427158</v>
      </c>
      <c r="G1118" t="s">
        <v>474</v>
      </c>
      <c r="H1118">
        <v>1558.9169999999999</v>
      </c>
      <c r="I1118" t="s">
        <v>671</v>
      </c>
      <c r="J1118" t="s">
        <v>10</v>
      </c>
      <c r="K1118" t="s">
        <v>672</v>
      </c>
    </row>
    <row r="1119" spans="1:11" x14ac:dyDescent="0.25">
      <c r="A1119" t="s">
        <v>437</v>
      </c>
      <c r="B1119" t="s">
        <v>18</v>
      </c>
      <c r="C1119" t="s">
        <v>397</v>
      </c>
      <c r="D1119">
        <v>1311</v>
      </c>
      <c r="E1119">
        <v>791.82500000000005</v>
      </c>
      <c r="F1119">
        <v>2427158</v>
      </c>
      <c r="G1119" t="s">
        <v>474</v>
      </c>
      <c r="H1119">
        <v>1537.8030000000001</v>
      </c>
      <c r="I1119" t="s">
        <v>671</v>
      </c>
      <c r="J1119" t="s">
        <v>10</v>
      </c>
      <c r="K1119" t="s">
        <v>672</v>
      </c>
    </row>
    <row r="1120" spans="1:11" x14ac:dyDescent="0.25">
      <c r="A1120" t="s">
        <v>437</v>
      </c>
      <c r="B1120" t="s">
        <v>18</v>
      </c>
      <c r="C1120" t="s">
        <v>397</v>
      </c>
      <c r="D1120">
        <v>1319</v>
      </c>
      <c r="E1120">
        <v>796.65700000000004</v>
      </c>
      <c r="F1120">
        <v>2427158</v>
      </c>
      <c r="G1120" t="s">
        <v>474</v>
      </c>
      <c r="H1120">
        <v>1547.1869999999999</v>
      </c>
      <c r="I1120" t="s">
        <v>671</v>
      </c>
      <c r="J1120" t="s">
        <v>10</v>
      </c>
      <c r="K1120" t="s">
        <v>672</v>
      </c>
    </row>
    <row r="1121" spans="1:11" x14ac:dyDescent="0.25">
      <c r="A1121" t="s">
        <v>437</v>
      </c>
      <c r="B1121" t="s">
        <v>18</v>
      </c>
      <c r="C1121" t="s">
        <v>397</v>
      </c>
      <c r="D1121">
        <v>1314</v>
      </c>
      <c r="E1121">
        <v>793.63699999999994</v>
      </c>
      <c r="F1121">
        <v>2427158</v>
      </c>
      <c r="G1121" t="s">
        <v>474</v>
      </c>
      <c r="H1121">
        <v>1541.3219999999999</v>
      </c>
      <c r="I1121" t="s">
        <v>671</v>
      </c>
      <c r="J1121" t="s">
        <v>10</v>
      </c>
      <c r="K1121" t="s">
        <v>672</v>
      </c>
    </row>
    <row r="1122" spans="1:11" x14ac:dyDescent="0.25">
      <c r="A1122" t="s">
        <v>437</v>
      </c>
      <c r="B1122" t="s">
        <v>18</v>
      </c>
      <c r="C1122" t="s">
        <v>397</v>
      </c>
      <c r="D1122">
        <v>1000</v>
      </c>
      <c r="E1122">
        <v>603.98500000000001</v>
      </c>
      <c r="F1122">
        <v>2427158</v>
      </c>
      <c r="G1122" t="s">
        <v>474</v>
      </c>
      <c r="H1122">
        <v>1173</v>
      </c>
      <c r="I1122" t="s">
        <v>671</v>
      </c>
      <c r="J1122" t="s">
        <v>10</v>
      </c>
      <c r="K1122" t="s">
        <v>672</v>
      </c>
    </row>
    <row r="1123" spans="1:11" x14ac:dyDescent="0.25">
      <c r="A1123" t="s">
        <v>437</v>
      </c>
      <c r="B1123" t="s">
        <v>18</v>
      </c>
      <c r="C1123" t="s">
        <v>397</v>
      </c>
      <c r="D1123">
        <v>305</v>
      </c>
      <c r="E1123">
        <v>184.21600000000001</v>
      </c>
      <c r="F1123">
        <v>2427158</v>
      </c>
      <c r="G1123" t="s">
        <v>474</v>
      </c>
      <c r="H1123">
        <v>357.76499999999999</v>
      </c>
      <c r="I1123" t="s">
        <v>671</v>
      </c>
      <c r="J1123" t="s">
        <v>10</v>
      </c>
      <c r="K1123" t="s">
        <v>672</v>
      </c>
    </row>
    <row r="1124" spans="1:11" x14ac:dyDescent="0.25">
      <c r="A1124" t="s">
        <v>437</v>
      </c>
      <c r="B1124" t="s">
        <v>18</v>
      </c>
      <c r="C1124" t="s">
        <v>397</v>
      </c>
      <c r="D1124">
        <v>134</v>
      </c>
      <c r="E1124">
        <v>80.933999999999997</v>
      </c>
      <c r="F1124">
        <v>2427158</v>
      </c>
      <c r="G1124" t="s">
        <v>474</v>
      </c>
      <c r="H1124">
        <v>157.18199999999999</v>
      </c>
      <c r="I1124" t="s">
        <v>671</v>
      </c>
      <c r="J1124" t="s">
        <v>10</v>
      </c>
      <c r="K1124" t="s">
        <v>672</v>
      </c>
    </row>
    <row r="1125" spans="1:11" x14ac:dyDescent="0.25">
      <c r="A1125" t="s">
        <v>437</v>
      </c>
      <c r="B1125" t="s">
        <v>18</v>
      </c>
      <c r="C1125" t="s">
        <v>397</v>
      </c>
      <c r="D1125">
        <v>8</v>
      </c>
      <c r="E1125">
        <v>4.8319999999999999</v>
      </c>
      <c r="F1125">
        <v>2427158</v>
      </c>
      <c r="G1125" t="s">
        <v>474</v>
      </c>
      <c r="H1125">
        <v>9.3840000000000003</v>
      </c>
      <c r="I1125" t="s">
        <v>671</v>
      </c>
      <c r="J1125" t="s">
        <v>10</v>
      </c>
      <c r="K1125" t="s">
        <v>672</v>
      </c>
    </row>
    <row r="1126" spans="1:11" x14ac:dyDescent="0.25">
      <c r="A1126" t="s">
        <v>437</v>
      </c>
      <c r="B1126" t="s">
        <v>18</v>
      </c>
      <c r="C1126" t="s">
        <v>397</v>
      </c>
      <c r="D1126">
        <v>1329</v>
      </c>
      <c r="E1126">
        <v>802.697</v>
      </c>
      <c r="F1126">
        <v>2427158</v>
      </c>
      <c r="G1126" t="s">
        <v>474</v>
      </c>
      <c r="H1126">
        <v>1558.9169999999999</v>
      </c>
      <c r="I1126" t="s">
        <v>671</v>
      </c>
      <c r="J1126" t="s">
        <v>10</v>
      </c>
      <c r="K1126" t="s">
        <v>672</v>
      </c>
    </row>
    <row r="1127" spans="1:11" x14ac:dyDescent="0.25">
      <c r="A1127" t="s">
        <v>437</v>
      </c>
      <c r="B1127" t="s">
        <v>18</v>
      </c>
      <c r="C1127" t="s">
        <v>397</v>
      </c>
      <c r="D1127">
        <v>1324</v>
      </c>
      <c r="E1127">
        <v>799.67700000000002</v>
      </c>
      <c r="F1127">
        <v>2427158</v>
      </c>
      <c r="G1127" t="s">
        <v>474</v>
      </c>
      <c r="H1127">
        <v>1553.0519999999999</v>
      </c>
      <c r="I1127" t="s">
        <v>671</v>
      </c>
      <c r="J1127" t="s">
        <v>10</v>
      </c>
      <c r="K1127" t="s">
        <v>672</v>
      </c>
    </row>
    <row r="1128" spans="1:11" x14ac:dyDescent="0.25">
      <c r="A1128" t="s">
        <v>437</v>
      </c>
      <c r="B1128" t="s">
        <v>18</v>
      </c>
      <c r="C1128" t="s">
        <v>397</v>
      </c>
      <c r="D1128">
        <v>827</v>
      </c>
      <c r="E1128">
        <v>499.49599999999998</v>
      </c>
      <c r="F1128">
        <v>2427158</v>
      </c>
      <c r="G1128" t="s">
        <v>474</v>
      </c>
      <c r="H1128">
        <v>970.07100000000003</v>
      </c>
      <c r="I1128" t="s">
        <v>671</v>
      </c>
      <c r="J1128" t="s">
        <v>10</v>
      </c>
      <c r="K1128" t="s">
        <v>672</v>
      </c>
    </row>
    <row r="1129" spans="1:11" x14ac:dyDescent="0.25">
      <c r="A1129" t="s">
        <v>437</v>
      </c>
      <c r="B1129" t="s">
        <v>18</v>
      </c>
      <c r="C1129" t="s">
        <v>397</v>
      </c>
      <c r="D1129">
        <v>1310</v>
      </c>
      <c r="E1129">
        <v>791.221</v>
      </c>
      <c r="F1129">
        <v>2427158</v>
      </c>
      <c r="G1129" t="s">
        <v>474</v>
      </c>
      <c r="H1129">
        <v>1536.63</v>
      </c>
      <c r="I1129" t="s">
        <v>671</v>
      </c>
      <c r="J1129" t="s">
        <v>10</v>
      </c>
      <c r="K1129" t="s">
        <v>672</v>
      </c>
    </row>
    <row r="1130" spans="1:11" x14ac:dyDescent="0.25">
      <c r="A1130" t="s">
        <v>437</v>
      </c>
      <c r="B1130" t="s">
        <v>18</v>
      </c>
      <c r="C1130" t="s">
        <v>397</v>
      </c>
      <c r="D1130">
        <v>1300</v>
      </c>
      <c r="E1130">
        <v>785.18100000000004</v>
      </c>
      <c r="F1130">
        <v>2427158</v>
      </c>
      <c r="G1130" t="s">
        <v>474</v>
      </c>
      <c r="H1130">
        <v>1524.9</v>
      </c>
      <c r="I1130" t="s">
        <v>671</v>
      </c>
      <c r="J1130" t="s">
        <v>10</v>
      </c>
      <c r="K1130" t="s">
        <v>672</v>
      </c>
    </row>
    <row r="1131" spans="1:11" x14ac:dyDescent="0.25">
      <c r="A1131" t="s">
        <v>437</v>
      </c>
      <c r="B1131" t="s">
        <v>18</v>
      </c>
      <c r="C1131" t="s">
        <v>397</v>
      </c>
      <c r="D1131">
        <v>390</v>
      </c>
      <c r="E1131">
        <v>235.554</v>
      </c>
      <c r="F1131">
        <v>2427158</v>
      </c>
      <c r="G1131" t="s">
        <v>474</v>
      </c>
      <c r="H1131">
        <v>457.47</v>
      </c>
      <c r="I1131" t="s">
        <v>671</v>
      </c>
      <c r="J1131" t="s">
        <v>10</v>
      </c>
      <c r="K1131" t="s">
        <v>672</v>
      </c>
    </row>
    <row r="1132" spans="1:11" x14ac:dyDescent="0.25">
      <c r="A1132" t="s">
        <v>437</v>
      </c>
      <c r="B1132" t="s">
        <v>18</v>
      </c>
      <c r="C1132" t="s">
        <v>397</v>
      </c>
      <c r="D1132">
        <v>1294</v>
      </c>
      <c r="E1132">
        <v>781.55700000000002</v>
      </c>
      <c r="F1132">
        <v>2427158</v>
      </c>
      <c r="G1132" t="s">
        <v>474</v>
      </c>
      <c r="H1132">
        <v>1517.8620000000001</v>
      </c>
      <c r="I1132" t="s">
        <v>671</v>
      </c>
      <c r="J1132" t="s">
        <v>10</v>
      </c>
      <c r="K1132" t="s">
        <v>672</v>
      </c>
    </row>
    <row r="1133" spans="1:11" x14ac:dyDescent="0.25">
      <c r="A1133" t="s">
        <v>437</v>
      </c>
      <c r="B1133" t="s">
        <v>18</v>
      </c>
      <c r="C1133" t="s">
        <v>397</v>
      </c>
      <c r="D1133">
        <v>910</v>
      </c>
      <c r="E1133">
        <v>549.62699999999995</v>
      </c>
      <c r="F1133">
        <v>2427158</v>
      </c>
      <c r="G1133" t="s">
        <v>474</v>
      </c>
      <c r="H1133">
        <v>1067.43</v>
      </c>
      <c r="I1133" t="s">
        <v>671</v>
      </c>
      <c r="J1133" t="s">
        <v>10</v>
      </c>
      <c r="K1133" t="s">
        <v>672</v>
      </c>
    </row>
    <row r="1134" spans="1:11" x14ac:dyDescent="0.25">
      <c r="A1134" t="s">
        <v>437</v>
      </c>
      <c r="B1134" t="s">
        <v>18</v>
      </c>
      <c r="C1134" t="s">
        <v>397</v>
      </c>
      <c r="D1134">
        <v>900</v>
      </c>
      <c r="E1134">
        <v>543.58699999999999</v>
      </c>
      <c r="F1134">
        <v>2427158</v>
      </c>
      <c r="G1134" t="s">
        <v>474</v>
      </c>
      <c r="H1134">
        <v>1055.7</v>
      </c>
      <c r="I1134" t="s">
        <v>671</v>
      </c>
      <c r="J1134" t="s">
        <v>10</v>
      </c>
      <c r="K1134" t="s">
        <v>672</v>
      </c>
    </row>
    <row r="1135" spans="1:11" x14ac:dyDescent="0.25">
      <c r="A1135" t="s">
        <v>437</v>
      </c>
      <c r="B1135" t="s">
        <v>18</v>
      </c>
      <c r="C1135" t="s">
        <v>397</v>
      </c>
      <c r="D1135">
        <v>525</v>
      </c>
      <c r="E1135">
        <v>317.09199999999998</v>
      </c>
      <c r="F1135">
        <v>2427158</v>
      </c>
      <c r="G1135" t="s">
        <v>474</v>
      </c>
      <c r="H1135">
        <v>615.82500000000005</v>
      </c>
      <c r="I1135" t="s">
        <v>671</v>
      </c>
      <c r="J1135" t="s">
        <v>10</v>
      </c>
      <c r="K1135" t="s">
        <v>672</v>
      </c>
    </row>
    <row r="1136" spans="1:11" x14ac:dyDescent="0.25">
      <c r="A1136" t="s">
        <v>437</v>
      </c>
      <c r="B1136" t="s">
        <v>18</v>
      </c>
      <c r="C1136" t="s">
        <v>397</v>
      </c>
      <c r="D1136">
        <v>389</v>
      </c>
      <c r="E1136">
        <v>234.95</v>
      </c>
      <c r="F1136">
        <v>2427158</v>
      </c>
      <c r="G1136" t="s">
        <v>474</v>
      </c>
      <c r="H1136">
        <v>456.29700000000003</v>
      </c>
      <c r="I1136" t="s">
        <v>671</v>
      </c>
      <c r="J1136" t="s">
        <v>10</v>
      </c>
      <c r="K1136" t="s">
        <v>672</v>
      </c>
    </row>
    <row r="1137" spans="1:11" x14ac:dyDescent="0.25">
      <c r="A1137" t="s">
        <v>437</v>
      </c>
      <c r="B1137" t="s">
        <v>18</v>
      </c>
      <c r="C1137" t="s">
        <v>397</v>
      </c>
      <c r="D1137">
        <v>2</v>
      </c>
      <c r="E1137">
        <v>1.208</v>
      </c>
      <c r="F1137">
        <v>2427158</v>
      </c>
      <c r="G1137" t="s">
        <v>474</v>
      </c>
      <c r="H1137">
        <v>2.3460000000000001</v>
      </c>
      <c r="I1137" t="s">
        <v>671</v>
      </c>
      <c r="J1137" t="s">
        <v>10</v>
      </c>
      <c r="K1137" t="s">
        <v>672</v>
      </c>
    </row>
    <row r="1138" spans="1:11" x14ac:dyDescent="0.25">
      <c r="A1138" t="s">
        <v>437</v>
      </c>
      <c r="B1138" t="s">
        <v>18</v>
      </c>
      <c r="C1138" t="s">
        <v>397</v>
      </c>
      <c r="D1138">
        <v>1385</v>
      </c>
      <c r="E1138">
        <v>836.52</v>
      </c>
      <c r="F1138">
        <v>2427158</v>
      </c>
      <c r="G1138" t="s">
        <v>474</v>
      </c>
      <c r="H1138">
        <v>1624.605</v>
      </c>
      <c r="I1138" t="s">
        <v>671</v>
      </c>
      <c r="J1138" t="s">
        <v>10</v>
      </c>
      <c r="K1138" t="s">
        <v>672</v>
      </c>
    </row>
    <row r="1139" spans="1:11" x14ac:dyDescent="0.25">
      <c r="A1139" t="s">
        <v>437</v>
      </c>
      <c r="B1139" t="s">
        <v>18</v>
      </c>
      <c r="C1139" t="s">
        <v>397</v>
      </c>
      <c r="D1139">
        <v>1380</v>
      </c>
      <c r="E1139">
        <v>833.5</v>
      </c>
      <c r="F1139">
        <v>2427158</v>
      </c>
      <c r="G1139" t="s">
        <v>474</v>
      </c>
      <c r="H1139">
        <v>1618.74</v>
      </c>
      <c r="I1139" t="s">
        <v>671</v>
      </c>
      <c r="J1139" t="s">
        <v>10</v>
      </c>
      <c r="K1139" t="s">
        <v>672</v>
      </c>
    </row>
    <row r="1140" spans="1:11" x14ac:dyDescent="0.25">
      <c r="A1140" t="s">
        <v>437</v>
      </c>
      <c r="B1140" t="s">
        <v>18</v>
      </c>
      <c r="C1140" t="s">
        <v>397</v>
      </c>
      <c r="D1140">
        <v>235</v>
      </c>
      <c r="E1140">
        <v>141.93700000000001</v>
      </c>
      <c r="F1140">
        <v>2427158</v>
      </c>
      <c r="G1140" t="s">
        <v>474</v>
      </c>
      <c r="H1140">
        <v>275.65499999999997</v>
      </c>
      <c r="I1140" t="s">
        <v>671</v>
      </c>
      <c r="J1140" t="s">
        <v>10</v>
      </c>
      <c r="K1140" t="s">
        <v>672</v>
      </c>
    </row>
    <row r="1141" spans="1:11" x14ac:dyDescent="0.25">
      <c r="A1141" t="s">
        <v>437</v>
      </c>
      <c r="B1141" t="s">
        <v>18</v>
      </c>
      <c r="C1141" t="s">
        <v>397</v>
      </c>
      <c r="D1141">
        <v>442</v>
      </c>
      <c r="E1141">
        <v>266.96199999999999</v>
      </c>
      <c r="F1141">
        <v>2427158</v>
      </c>
      <c r="G1141" t="s">
        <v>474</v>
      </c>
      <c r="H1141">
        <v>518.46600000000001</v>
      </c>
      <c r="I1141" t="s">
        <v>671</v>
      </c>
      <c r="J1141" t="s">
        <v>10</v>
      </c>
      <c r="K1141" t="s">
        <v>672</v>
      </c>
    </row>
    <row r="1142" spans="1:11" x14ac:dyDescent="0.25">
      <c r="A1142" t="s">
        <v>437</v>
      </c>
      <c r="B1142" t="s">
        <v>18</v>
      </c>
      <c r="C1142" t="s">
        <v>397</v>
      </c>
      <c r="D1142">
        <v>1350</v>
      </c>
      <c r="E1142">
        <v>815.38</v>
      </c>
      <c r="F1142">
        <v>2427158</v>
      </c>
      <c r="G1142" t="s">
        <v>474</v>
      </c>
      <c r="H1142">
        <v>1583.55</v>
      </c>
      <c r="I1142" t="s">
        <v>671</v>
      </c>
      <c r="J1142" t="s">
        <v>10</v>
      </c>
      <c r="K1142" t="s">
        <v>672</v>
      </c>
    </row>
    <row r="1143" spans="1:11" x14ac:dyDescent="0.25">
      <c r="A1143" t="s">
        <v>437</v>
      </c>
      <c r="B1143" t="s">
        <v>18</v>
      </c>
      <c r="C1143" t="s">
        <v>397</v>
      </c>
      <c r="D1143">
        <v>1140</v>
      </c>
      <c r="E1143">
        <v>688.54300000000001</v>
      </c>
      <c r="F1143">
        <v>2427158</v>
      </c>
      <c r="G1143" t="s">
        <v>474</v>
      </c>
      <c r="H1143">
        <v>1337.22</v>
      </c>
      <c r="I1143" t="s">
        <v>671</v>
      </c>
      <c r="J1143" t="s">
        <v>10</v>
      </c>
      <c r="K1143" t="s">
        <v>672</v>
      </c>
    </row>
    <row r="1144" spans="1:11" x14ac:dyDescent="0.25">
      <c r="A1144" t="s">
        <v>437</v>
      </c>
      <c r="B1144" t="s">
        <v>18</v>
      </c>
      <c r="C1144" t="s">
        <v>397</v>
      </c>
      <c r="D1144">
        <v>570</v>
      </c>
      <c r="E1144">
        <v>344.27199999999999</v>
      </c>
      <c r="F1144">
        <v>2427158</v>
      </c>
      <c r="G1144" t="s">
        <v>474</v>
      </c>
      <c r="H1144">
        <v>668.61</v>
      </c>
      <c r="I1144" t="s">
        <v>671</v>
      </c>
      <c r="J1144" t="s">
        <v>10</v>
      </c>
      <c r="K1144" t="s">
        <v>672</v>
      </c>
    </row>
    <row r="1145" spans="1:11" x14ac:dyDescent="0.25">
      <c r="A1145" t="s">
        <v>437</v>
      </c>
      <c r="B1145" t="s">
        <v>18</v>
      </c>
      <c r="C1145" t="s">
        <v>397</v>
      </c>
      <c r="D1145">
        <v>3</v>
      </c>
      <c r="E1145">
        <v>1.8120000000000001</v>
      </c>
      <c r="F1145">
        <v>2427158</v>
      </c>
      <c r="G1145" t="s">
        <v>474</v>
      </c>
      <c r="H1145">
        <v>3.5190000000000001</v>
      </c>
      <c r="I1145" t="s">
        <v>671</v>
      </c>
      <c r="J1145" t="s">
        <v>10</v>
      </c>
      <c r="K1145" t="s">
        <v>672</v>
      </c>
    </row>
    <row r="1146" spans="1:11" x14ac:dyDescent="0.25">
      <c r="A1146" t="s">
        <v>437</v>
      </c>
      <c r="B1146" t="s">
        <v>18</v>
      </c>
      <c r="C1146" t="s">
        <v>397</v>
      </c>
      <c r="D1146">
        <v>3</v>
      </c>
      <c r="E1146">
        <v>1.8120000000000001</v>
      </c>
      <c r="F1146">
        <v>2427158</v>
      </c>
      <c r="G1146" t="s">
        <v>474</v>
      </c>
      <c r="H1146">
        <v>3.5190000000000001</v>
      </c>
      <c r="I1146" t="s">
        <v>671</v>
      </c>
      <c r="J1146" t="s">
        <v>10</v>
      </c>
      <c r="K1146" t="s">
        <v>672</v>
      </c>
    </row>
    <row r="1147" spans="1:11" x14ac:dyDescent="0.25">
      <c r="A1147" t="s">
        <v>437</v>
      </c>
      <c r="B1147" t="s">
        <v>18</v>
      </c>
      <c r="C1147" t="s">
        <v>397</v>
      </c>
      <c r="D1147">
        <v>1</v>
      </c>
      <c r="E1147">
        <v>0.60399999999999998</v>
      </c>
      <c r="F1147">
        <v>2427158</v>
      </c>
      <c r="G1147" t="s">
        <v>474</v>
      </c>
      <c r="H1147">
        <v>1.173</v>
      </c>
      <c r="I1147" t="s">
        <v>671</v>
      </c>
      <c r="J1147" t="s">
        <v>10</v>
      </c>
      <c r="K1147" t="s">
        <v>672</v>
      </c>
    </row>
    <row r="1148" spans="1:11" x14ac:dyDescent="0.25">
      <c r="A1148" t="s">
        <v>437</v>
      </c>
      <c r="B1148" t="s">
        <v>18</v>
      </c>
      <c r="C1148" t="s">
        <v>397</v>
      </c>
      <c r="D1148">
        <v>1</v>
      </c>
      <c r="E1148">
        <v>0.60399999999999998</v>
      </c>
      <c r="F1148">
        <v>2427158</v>
      </c>
      <c r="G1148" t="s">
        <v>474</v>
      </c>
      <c r="H1148">
        <v>1.173</v>
      </c>
      <c r="I1148" t="s">
        <v>671</v>
      </c>
      <c r="J1148" t="s">
        <v>10</v>
      </c>
      <c r="K1148" t="s">
        <v>672</v>
      </c>
    </row>
    <row r="1149" spans="1:11" x14ac:dyDescent="0.25">
      <c r="A1149" t="s">
        <v>437</v>
      </c>
      <c r="B1149" t="s">
        <v>18</v>
      </c>
      <c r="C1149" t="s">
        <v>397</v>
      </c>
      <c r="D1149">
        <v>1300</v>
      </c>
      <c r="E1149">
        <v>785.18100000000004</v>
      </c>
      <c r="F1149">
        <v>2427158</v>
      </c>
      <c r="G1149" t="s">
        <v>474</v>
      </c>
      <c r="H1149">
        <v>1524.9</v>
      </c>
      <c r="I1149" t="s">
        <v>671</v>
      </c>
      <c r="J1149" t="s">
        <v>10</v>
      </c>
      <c r="K1149" t="s">
        <v>672</v>
      </c>
    </row>
    <row r="1150" spans="1:11" x14ac:dyDescent="0.25">
      <c r="A1150" t="s">
        <v>437</v>
      </c>
      <c r="B1150" t="s">
        <v>18</v>
      </c>
      <c r="C1150" t="s">
        <v>397</v>
      </c>
      <c r="D1150">
        <v>927</v>
      </c>
      <c r="E1150">
        <v>559.89400000000001</v>
      </c>
      <c r="F1150">
        <v>2427158</v>
      </c>
      <c r="G1150" t="s">
        <v>474</v>
      </c>
      <c r="H1150">
        <v>1087.3710000000001</v>
      </c>
      <c r="I1150" t="s">
        <v>671</v>
      </c>
      <c r="J1150" t="s">
        <v>10</v>
      </c>
      <c r="K1150" t="s">
        <v>672</v>
      </c>
    </row>
    <row r="1151" spans="1:11" x14ac:dyDescent="0.25">
      <c r="A1151" t="s">
        <v>437</v>
      </c>
      <c r="B1151" t="s">
        <v>18</v>
      </c>
      <c r="C1151" t="s">
        <v>397</v>
      </c>
      <c r="D1151">
        <v>905</v>
      </c>
      <c r="E1151">
        <v>546.60699999999997</v>
      </c>
      <c r="F1151">
        <v>2427158</v>
      </c>
      <c r="G1151" t="s">
        <v>474</v>
      </c>
      <c r="H1151">
        <v>1061.5650000000001</v>
      </c>
      <c r="I1151" t="s">
        <v>671</v>
      </c>
      <c r="J1151" t="s">
        <v>10</v>
      </c>
      <c r="K1151" t="s">
        <v>672</v>
      </c>
    </row>
    <row r="1152" spans="1:11" x14ac:dyDescent="0.25">
      <c r="A1152" t="s">
        <v>437</v>
      </c>
      <c r="B1152" t="s">
        <v>18</v>
      </c>
      <c r="C1152" t="s">
        <v>397</v>
      </c>
      <c r="D1152">
        <v>63</v>
      </c>
      <c r="E1152">
        <v>38.051000000000002</v>
      </c>
      <c r="F1152">
        <v>2427158</v>
      </c>
      <c r="G1152" t="s">
        <v>474</v>
      </c>
      <c r="H1152">
        <v>73.899000000000001</v>
      </c>
      <c r="I1152" t="s">
        <v>671</v>
      </c>
      <c r="J1152" t="s">
        <v>10</v>
      </c>
      <c r="K1152" t="s">
        <v>672</v>
      </c>
    </row>
    <row r="1153" spans="1:11" x14ac:dyDescent="0.25">
      <c r="A1153" t="s">
        <v>517</v>
      </c>
      <c r="B1153" t="s">
        <v>19</v>
      </c>
      <c r="C1153" t="s">
        <v>397</v>
      </c>
      <c r="D1153">
        <v>510</v>
      </c>
      <c r="E1153">
        <v>877.71799999999996</v>
      </c>
      <c r="F1153">
        <v>1940715</v>
      </c>
      <c r="G1153" t="s">
        <v>673</v>
      </c>
      <c r="H1153">
        <v>1754.91</v>
      </c>
      <c r="I1153" t="s">
        <v>674</v>
      </c>
      <c r="J1153" t="s">
        <v>10</v>
      </c>
      <c r="K1153" t="s">
        <v>675</v>
      </c>
    </row>
    <row r="1154" spans="1:11" x14ac:dyDescent="0.25">
      <c r="A1154" t="s">
        <v>517</v>
      </c>
      <c r="B1154" t="s">
        <v>19</v>
      </c>
      <c r="C1154" t="s">
        <v>397</v>
      </c>
      <c r="D1154">
        <v>500</v>
      </c>
      <c r="E1154">
        <v>860.50800000000004</v>
      </c>
      <c r="F1154">
        <v>1940715</v>
      </c>
      <c r="G1154" t="s">
        <v>673</v>
      </c>
      <c r="H1154">
        <v>1720.5</v>
      </c>
      <c r="I1154" t="s">
        <v>674</v>
      </c>
      <c r="J1154" t="s">
        <v>10</v>
      </c>
      <c r="K1154" t="s">
        <v>675</v>
      </c>
    </row>
    <row r="1155" spans="1:11" x14ac:dyDescent="0.25">
      <c r="A1155" t="s">
        <v>517</v>
      </c>
      <c r="B1155" t="s">
        <v>19</v>
      </c>
      <c r="C1155" t="s">
        <v>397</v>
      </c>
      <c r="D1155">
        <v>500</v>
      </c>
      <c r="E1155">
        <v>860.50800000000004</v>
      </c>
      <c r="F1155">
        <v>1940715</v>
      </c>
      <c r="G1155" t="s">
        <v>673</v>
      </c>
      <c r="H1155">
        <v>1720.5</v>
      </c>
      <c r="I1155" t="s">
        <v>674</v>
      </c>
      <c r="J1155" t="s">
        <v>10</v>
      </c>
      <c r="K1155" t="s">
        <v>675</v>
      </c>
    </row>
    <row r="1156" spans="1:11" x14ac:dyDescent="0.25">
      <c r="A1156" t="s">
        <v>517</v>
      </c>
      <c r="B1156" t="s">
        <v>19</v>
      </c>
      <c r="C1156" t="s">
        <v>397</v>
      </c>
      <c r="D1156">
        <v>490</v>
      </c>
      <c r="E1156">
        <v>843.298</v>
      </c>
      <c r="F1156">
        <v>1940715</v>
      </c>
      <c r="G1156" t="s">
        <v>673</v>
      </c>
      <c r="H1156">
        <v>1686.09</v>
      </c>
      <c r="I1156" t="s">
        <v>674</v>
      </c>
      <c r="J1156" t="s">
        <v>10</v>
      </c>
      <c r="K1156" t="s">
        <v>675</v>
      </c>
    </row>
    <row r="1157" spans="1:11" x14ac:dyDescent="0.25">
      <c r="A1157" t="s">
        <v>517</v>
      </c>
      <c r="B1157" t="s">
        <v>19</v>
      </c>
      <c r="C1157" t="s">
        <v>397</v>
      </c>
      <c r="D1157">
        <v>490</v>
      </c>
      <c r="E1157">
        <v>843.298</v>
      </c>
      <c r="F1157">
        <v>1940715</v>
      </c>
      <c r="G1157" t="s">
        <v>673</v>
      </c>
      <c r="H1157">
        <v>1686.09</v>
      </c>
      <c r="I1157" t="s">
        <v>674</v>
      </c>
      <c r="J1157" t="s">
        <v>10</v>
      </c>
      <c r="K1157" t="s">
        <v>675</v>
      </c>
    </row>
    <row r="1158" spans="1:11" x14ac:dyDescent="0.25">
      <c r="A1158" t="s">
        <v>517</v>
      </c>
      <c r="B1158" t="s">
        <v>19</v>
      </c>
      <c r="C1158" t="s">
        <v>397</v>
      </c>
      <c r="D1158">
        <v>372</v>
      </c>
      <c r="E1158">
        <v>640.21799999999996</v>
      </c>
      <c r="F1158">
        <v>1940715</v>
      </c>
      <c r="G1158" t="s">
        <v>673</v>
      </c>
      <c r="H1158">
        <v>1280.0519999999999</v>
      </c>
      <c r="I1158" t="s">
        <v>674</v>
      </c>
      <c r="J1158" t="s">
        <v>10</v>
      </c>
      <c r="K1158" t="s">
        <v>675</v>
      </c>
    </row>
    <row r="1159" spans="1:11" x14ac:dyDescent="0.25">
      <c r="A1159" t="s">
        <v>517</v>
      </c>
      <c r="B1159" t="s">
        <v>19</v>
      </c>
      <c r="C1159" t="s">
        <v>397</v>
      </c>
      <c r="D1159">
        <v>138</v>
      </c>
      <c r="E1159">
        <v>237.5</v>
      </c>
      <c r="F1159">
        <v>1940715</v>
      </c>
      <c r="G1159" t="s">
        <v>673</v>
      </c>
      <c r="H1159">
        <v>474.858</v>
      </c>
      <c r="I1159" t="s">
        <v>674</v>
      </c>
      <c r="J1159" t="s">
        <v>10</v>
      </c>
      <c r="K1159" t="s">
        <v>675</v>
      </c>
    </row>
    <row r="1160" spans="1:11" x14ac:dyDescent="0.25">
      <c r="A1160" t="s">
        <v>517</v>
      </c>
      <c r="B1160" t="s">
        <v>19</v>
      </c>
      <c r="C1160" t="s">
        <v>397</v>
      </c>
      <c r="D1160">
        <v>1349</v>
      </c>
      <c r="E1160">
        <v>857.88599999999997</v>
      </c>
      <c r="F1160">
        <v>1940879</v>
      </c>
      <c r="G1160" t="s">
        <v>474</v>
      </c>
      <c r="H1160">
        <v>1666.0150000000001</v>
      </c>
      <c r="I1160" t="s">
        <v>676</v>
      </c>
      <c r="J1160" t="s">
        <v>10</v>
      </c>
      <c r="K1160" t="s">
        <v>677</v>
      </c>
    </row>
    <row r="1161" spans="1:11" x14ac:dyDescent="0.25">
      <c r="A1161" t="s">
        <v>517</v>
      </c>
      <c r="B1161" t="s">
        <v>19</v>
      </c>
      <c r="C1161" t="s">
        <v>397</v>
      </c>
      <c r="D1161">
        <v>1300</v>
      </c>
      <c r="E1161">
        <v>826.72500000000002</v>
      </c>
      <c r="F1161">
        <v>1940879</v>
      </c>
      <c r="G1161" t="s">
        <v>474</v>
      </c>
      <c r="H1161">
        <v>1605.5</v>
      </c>
      <c r="I1161" t="s">
        <v>676</v>
      </c>
      <c r="J1161" t="s">
        <v>10</v>
      </c>
      <c r="K1161" t="s">
        <v>677</v>
      </c>
    </row>
    <row r="1162" spans="1:11" x14ac:dyDescent="0.25">
      <c r="A1162" t="s">
        <v>517</v>
      </c>
      <c r="B1162" t="s">
        <v>19</v>
      </c>
      <c r="C1162" t="s">
        <v>397</v>
      </c>
      <c r="D1162">
        <v>1190</v>
      </c>
      <c r="E1162">
        <v>756.77099999999996</v>
      </c>
      <c r="F1162">
        <v>1940879</v>
      </c>
      <c r="G1162" t="s">
        <v>474</v>
      </c>
      <c r="H1162">
        <v>1469.65</v>
      </c>
      <c r="I1162" t="s">
        <v>676</v>
      </c>
      <c r="J1162" t="s">
        <v>10</v>
      </c>
      <c r="K1162" t="s">
        <v>677</v>
      </c>
    </row>
    <row r="1163" spans="1:11" x14ac:dyDescent="0.25">
      <c r="A1163" t="s">
        <v>517</v>
      </c>
      <c r="B1163" t="s">
        <v>19</v>
      </c>
      <c r="C1163" t="s">
        <v>397</v>
      </c>
      <c r="D1163">
        <v>870</v>
      </c>
      <c r="E1163">
        <v>553.27</v>
      </c>
      <c r="F1163">
        <v>1940879</v>
      </c>
      <c r="G1163" t="s">
        <v>474</v>
      </c>
      <c r="H1163">
        <v>1074.45</v>
      </c>
      <c r="I1163" t="s">
        <v>676</v>
      </c>
      <c r="J1163" t="s">
        <v>10</v>
      </c>
      <c r="K1163" t="s">
        <v>677</v>
      </c>
    </row>
    <row r="1164" spans="1:11" x14ac:dyDescent="0.25">
      <c r="A1164" t="s">
        <v>517</v>
      </c>
      <c r="B1164" t="s">
        <v>19</v>
      </c>
      <c r="C1164" t="s">
        <v>397</v>
      </c>
      <c r="D1164">
        <v>269</v>
      </c>
      <c r="E1164">
        <v>171.06800000000001</v>
      </c>
      <c r="F1164">
        <v>1940879</v>
      </c>
      <c r="G1164" t="s">
        <v>474</v>
      </c>
      <c r="H1164">
        <v>332.21499999999997</v>
      </c>
      <c r="I1164" t="s">
        <v>676</v>
      </c>
      <c r="J1164" t="s">
        <v>10</v>
      </c>
      <c r="K1164" t="s">
        <v>677</v>
      </c>
    </row>
    <row r="1165" spans="1:11" x14ac:dyDescent="0.25">
      <c r="A1165" t="s">
        <v>517</v>
      </c>
      <c r="B1165" t="s">
        <v>19</v>
      </c>
      <c r="C1165" t="s">
        <v>397</v>
      </c>
      <c r="D1165">
        <v>94</v>
      </c>
      <c r="E1165">
        <v>59.779000000000003</v>
      </c>
      <c r="F1165">
        <v>1940879</v>
      </c>
      <c r="G1165" t="s">
        <v>474</v>
      </c>
      <c r="H1165">
        <v>116.09</v>
      </c>
      <c r="I1165" t="s">
        <v>676</v>
      </c>
      <c r="J1165" t="s">
        <v>10</v>
      </c>
      <c r="K1165" t="s">
        <v>677</v>
      </c>
    </row>
    <row r="1166" spans="1:11" x14ac:dyDescent="0.25">
      <c r="A1166" t="s">
        <v>517</v>
      </c>
      <c r="B1166" t="s">
        <v>19</v>
      </c>
      <c r="C1166" t="s">
        <v>397</v>
      </c>
      <c r="D1166">
        <v>25</v>
      </c>
      <c r="E1166">
        <v>15.898999999999999</v>
      </c>
      <c r="F1166">
        <v>1940879</v>
      </c>
      <c r="G1166" t="s">
        <v>474</v>
      </c>
      <c r="H1166">
        <v>30.875</v>
      </c>
      <c r="I1166" t="s">
        <v>676</v>
      </c>
      <c r="J1166" t="s">
        <v>10</v>
      </c>
      <c r="K1166" t="s">
        <v>677</v>
      </c>
    </row>
    <row r="1167" spans="1:11" x14ac:dyDescent="0.25">
      <c r="A1167" t="s">
        <v>517</v>
      </c>
      <c r="B1167" t="s">
        <v>19</v>
      </c>
      <c r="C1167" t="s">
        <v>397</v>
      </c>
      <c r="D1167">
        <v>3</v>
      </c>
      <c r="E1167">
        <v>1.9079999999999999</v>
      </c>
      <c r="F1167">
        <v>1940879</v>
      </c>
      <c r="G1167" t="s">
        <v>474</v>
      </c>
      <c r="H1167">
        <v>3.7050000000000001</v>
      </c>
      <c r="I1167" t="s">
        <v>676</v>
      </c>
      <c r="J1167" t="s">
        <v>10</v>
      </c>
      <c r="K1167" t="s">
        <v>677</v>
      </c>
    </row>
    <row r="1168" spans="1:11" x14ac:dyDescent="0.25">
      <c r="A1168" t="s">
        <v>517</v>
      </c>
      <c r="B1168" t="s">
        <v>19</v>
      </c>
      <c r="C1168" t="s">
        <v>397</v>
      </c>
      <c r="D1168">
        <v>1259</v>
      </c>
      <c r="E1168">
        <v>800.65099999999995</v>
      </c>
      <c r="F1168">
        <v>1940879</v>
      </c>
      <c r="G1168" t="s">
        <v>474</v>
      </c>
      <c r="H1168">
        <v>1554.865</v>
      </c>
      <c r="I1168" t="s">
        <v>676</v>
      </c>
      <c r="J1168" t="s">
        <v>10</v>
      </c>
      <c r="K1168" t="s">
        <v>677</v>
      </c>
    </row>
    <row r="1169" spans="1:11" x14ac:dyDescent="0.25">
      <c r="A1169" t="s">
        <v>517</v>
      </c>
      <c r="B1169" t="s">
        <v>19</v>
      </c>
      <c r="C1169" t="s">
        <v>397</v>
      </c>
      <c r="D1169">
        <v>659</v>
      </c>
      <c r="E1169">
        <v>419.08600000000001</v>
      </c>
      <c r="F1169">
        <v>1940879</v>
      </c>
      <c r="G1169" t="s">
        <v>474</v>
      </c>
      <c r="H1169">
        <v>813.86500000000001</v>
      </c>
      <c r="I1169" t="s">
        <v>676</v>
      </c>
      <c r="J1169" t="s">
        <v>10</v>
      </c>
      <c r="K1169" t="s">
        <v>677</v>
      </c>
    </row>
    <row r="1170" spans="1:11" x14ac:dyDescent="0.25">
      <c r="A1170" t="s">
        <v>517</v>
      </c>
      <c r="B1170" t="s">
        <v>19</v>
      </c>
      <c r="C1170" t="s">
        <v>397</v>
      </c>
      <c r="D1170">
        <v>510</v>
      </c>
      <c r="E1170">
        <v>324.33100000000002</v>
      </c>
      <c r="F1170">
        <v>1940879</v>
      </c>
      <c r="G1170" t="s">
        <v>474</v>
      </c>
      <c r="H1170">
        <v>629.85</v>
      </c>
      <c r="I1170" t="s">
        <v>676</v>
      </c>
      <c r="J1170" t="s">
        <v>10</v>
      </c>
      <c r="K1170" t="s">
        <v>677</v>
      </c>
    </row>
    <row r="1171" spans="1:11" x14ac:dyDescent="0.25">
      <c r="A1171" t="s">
        <v>517</v>
      </c>
      <c r="B1171" t="s">
        <v>19</v>
      </c>
      <c r="C1171" t="s">
        <v>397</v>
      </c>
      <c r="D1171">
        <v>2</v>
      </c>
      <c r="E1171">
        <v>1.272</v>
      </c>
      <c r="F1171">
        <v>1940879</v>
      </c>
      <c r="G1171" t="s">
        <v>474</v>
      </c>
      <c r="H1171">
        <v>2.4700000000000002</v>
      </c>
      <c r="I1171" t="s">
        <v>676</v>
      </c>
      <c r="J1171" t="s">
        <v>10</v>
      </c>
      <c r="K1171" t="s">
        <v>677</v>
      </c>
    </row>
    <row r="1172" spans="1:11" x14ac:dyDescent="0.25">
      <c r="A1172" t="s">
        <v>573</v>
      </c>
      <c r="B1172" t="s">
        <v>52</v>
      </c>
      <c r="C1172" t="s">
        <v>397</v>
      </c>
      <c r="D1172">
        <v>2848</v>
      </c>
      <c r="E1172">
        <v>1695.2380000000001</v>
      </c>
      <c r="F1172">
        <v>1940247</v>
      </c>
      <c r="G1172" t="s">
        <v>983</v>
      </c>
      <c r="H1172">
        <v>1167.68</v>
      </c>
      <c r="I1172" t="s">
        <v>1349</v>
      </c>
      <c r="J1172" t="s">
        <v>10</v>
      </c>
      <c r="K1172" t="s">
        <v>2200</v>
      </c>
    </row>
    <row r="1173" spans="1:11" x14ac:dyDescent="0.25">
      <c r="A1173" t="s">
        <v>573</v>
      </c>
      <c r="B1173" t="s">
        <v>52</v>
      </c>
      <c r="C1173" t="s">
        <v>397</v>
      </c>
      <c r="D1173">
        <v>700</v>
      </c>
      <c r="E1173">
        <v>416.66699999999997</v>
      </c>
      <c r="F1173">
        <v>1940247</v>
      </c>
      <c r="G1173" t="s">
        <v>983</v>
      </c>
      <c r="H1173">
        <v>287</v>
      </c>
      <c r="I1173" t="s">
        <v>1349</v>
      </c>
      <c r="J1173" t="s">
        <v>10</v>
      </c>
      <c r="K1173" t="s">
        <v>2200</v>
      </c>
    </row>
    <row r="1174" spans="1:11" x14ac:dyDescent="0.25">
      <c r="A1174" t="s">
        <v>573</v>
      </c>
      <c r="B1174" t="s">
        <v>52</v>
      </c>
      <c r="C1174" t="s">
        <v>397</v>
      </c>
      <c r="D1174">
        <v>685</v>
      </c>
      <c r="E1174">
        <v>407.738</v>
      </c>
      <c r="F1174">
        <v>1940247</v>
      </c>
      <c r="G1174" t="s">
        <v>983</v>
      </c>
      <c r="H1174">
        <v>280.85000000000002</v>
      </c>
      <c r="I1174" t="s">
        <v>1349</v>
      </c>
      <c r="J1174" t="s">
        <v>10</v>
      </c>
      <c r="K1174" t="s">
        <v>2200</v>
      </c>
    </row>
    <row r="1175" spans="1:11" x14ac:dyDescent="0.25">
      <c r="A1175" t="s">
        <v>573</v>
      </c>
      <c r="B1175" t="s">
        <v>52</v>
      </c>
      <c r="C1175" t="s">
        <v>397</v>
      </c>
      <c r="D1175">
        <v>39</v>
      </c>
      <c r="E1175">
        <v>23.213999999999999</v>
      </c>
      <c r="F1175">
        <v>1940247</v>
      </c>
      <c r="G1175" t="s">
        <v>983</v>
      </c>
      <c r="H1175">
        <v>15.99</v>
      </c>
      <c r="I1175" t="s">
        <v>1349</v>
      </c>
      <c r="J1175" t="s">
        <v>10</v>
      </c>
      <c r="K1175" t="s">
        <v>2200</v>
      </c>
    </row>
    <row r="1176" spans="1:11" x14ac:dyDescent="0.25">
      <c r="A1176" t="s">
        <v>573</v>
      </c>
      <c r="B1176" t="s">
        <v>52</v>
      </c>
      <c r="C1176" t="s">
        <v>397</v>
      </c>
      <c r="D1176">
        <v>28</v>
      </c>
      <c r="E1176">
        <v>16.667000000000002</v>
      </c>
      <c r="F1176">
        <v>1940247</v>
      </c>
      <c r="G1176" t="s">
        <v>983</v>
      </c>
      <c r="H1176">
        <v>11.48</v>
      </c>
      <c r="I1176" t="s">
        <v>1349</v>
      </c>
      <c r="J1176" t="s">
        <v>10</v>
      </c>
      <c r="K1176" t="s">
        <v>2200</v>
      </c>
    </row>
    <row r="1177" spans="1:11" x14ac:dyDescent="0.25">
      <c r="A1177" t="s">
        <v>678</v>
      </c>
      <c r="B1177" t="s">
        <v>181</v>
      </c>
      <c r="C1177" t="s">
        <v>397</v>
      </c>
      <c r="D1177">
        <v>6500</v>
      </c>
      <c r="E1177">
        <v>5557.7539999999999</v>
      </c>
      <c r="F1177">
        <v>3943203</v>
      </c>
      <c r="G1177" t="s">
        <v>679</v>
      </c>
      <c r="H1177">
        <v>5547.75</v>
      </c>
      <c r="I1177" t="s">
        <v>680</v>
      </c>
      <c r="J1177" t="s">
        <v>10</v>
      </c>
      <c r="K1177" t="s">
        <v>681</v>
      </c>
    </row>
    <row r="1178" spans="1:11" x14ac:dyDescent="0.25">
      <c r="A1178" t="s">
        <v>678</v>
      </c>
      <c r="B1178" t="s">
        <v>181</v>
      </c>
      <c r="C1178" t="s">
        <v>397</v>
      </c>
      <c r="D1178">
        <v>3075</v>
      </c>
      <c r="E1178">
        <v>2629.2449999999999</v>
      </c>
      <c r="F1178">
        <v>3943203</v>
      </c>
      <c r="G1178" t="s">
        <v>679</v>
      </c>
      <c r="H1178">
        <v>2624.5129999999999</v>
      </c>
      <c r="I1178" t="s">
        <v>680</v>
      </c>
      <c r="J1178" t="s">
        <v>10</v>
      </c>
      <c r="K1178" t="s">
        <v>681</v>
      </c>
    </row>
    <row r="1179" spans="1:11" x14ac:dyDescent="0.25">
      <c r="A1179" t="s">
        <v>678</v>
      </c>
      <c r="B1179" t="s">
        <v>181</v>
      </c>
      <c r="C1179" t="s">
        <v>397</v>
      </c>
      <c r="D1179">
        <v>75</v>
      </c>
      <c r="E1179">
        <v>64.128</v>
      </c>
      <c r="F1179">
        <v>3943203</v>
      </c>
      <c r="G1179" t="s">
        <v>679</v>
      </c>
      <c r="H1179">
        <v>64.013000000000005</v>
      </c>
      <c r="I1179" t="s">
        <v>680</v>
      </c>
      <c r="J1179" t="s">
        <v>10</v>
      </c>
      <c r="K1179" t="s">
        <v>681</v>
      </c>
    </row>
    <row r="1180" spans="1:11" x14ac:dyDescent="0.25">
      <c r="A1180" t="s">
        <v>678</v>
      </c>
      <c r="B1180" t="s">
        <v>181</v>
      </c>
      <c r="C1180" t="s">
        <v>397</v>
      </c>
      <c r="D1180">
        <v>78</v>
      </c>
      <c r="E1180">
        <v>66.692999999999998</v>
      </c>
      <c r="F1180">
        <v>3943203</v>
      </c>
      <c r="G1180" t="s">
        <v>679</v>
      </c>
      <c r="H1180">
        <v>66.572999999999993</v>
      </c>
      <c r="I1180" t="s">
        <v>680</v>
      </c>
      <c r="J1180" t="s">
        <v>10</v>
      </c>
      <c r="K1180" t="s">
        <v>681</v>
      </c>
    </row>
    <row r="1181" spans="1:11" x14ac:dyDescent="0.25">
      <c r="A1181" t="s">
        <v>678</v>
      </c>
      <c r="B1181" t="s">
        <v>181</v>
      </c>
      <c r="C1181" t="s">
        <v>397</v>
      </c>
      <c r="D1181">
        <v>2875</v>
      </c>
      <c r="E1181">
        <v>2458.2370000000001</v>
      </c>
      <c r="F1181">
        <v>3943203</v>
      </c>
      <c r="G1181" t="s">
        <v>679</v>
      </c>
      <c r="H1181">
        <v>2453.8130000000001</v>
      </c>
      <c r="I1181" t="s">
        <v>680</v>
      </c>
      <c r="J1181" t="s">
        <v>10</v>
      </c>
      <c r="K1181" t="s">
        <v>681</v>
      </c>
    </row>
    <row r="1182" spans="1:11" x14ac:dyDescent="0.25">
      <c r="A1182" t="s">
        <v>678</v>
      </c>
      <c r="B1182" t="s">
        <v>181</v>
      </c>
      <c r="C1182" t="s">
        <v>397</v>
      </c>
      <c r="D1182">
        <v>466</v>
      </c>
      <c r="E1182">
        <v>398.44799999999998</v>
      </c>
      <c r="F1182">
        <v>3943203</v>
      </c>
      <c r="G1182" t="s">
        <v>679</v>
      </c>
      <c r="H1182">
        <v>397.73099999999999</v>
      </c>
      <c r="I1182" t="s">
        <v>680</v>
      </c>
      <c r="J1182" t="s">
        <v>10</v>
      </c>
      <c r="K1182" t="s">
        <v>681</v>
      </c>
    </row>
    <row r="1183" spans="1:11" x14ac:dyDescent="0.25">
      <c r="A1183" t="s">
        <v>678</v>
      </c>
      <c r="B1183" t="s">
        <v>181</v>
      </c>
      <c r="C1183" t="s">
        <v>397</v>
      </c>
      <c r="D1183">
        <v>6</v>
      </c>
      <c r="E1183">
        <v>5.13</v>
      </c>
      <c r="F1183">
        <v>3943203</v>
      </c>
      <c r="G1183" t="s">
        <v>679</v>
      </c>
      <c r="H1183">
        <v>5.1210000000000004</v>
      </c>
      <c r="I1183" t="s">
        <v>680</v>
      </c>
      <c r="J1183" t="s">
        <v>10</v>
      </c>
      <c r="K1183" t="s">
        <v>681</v>
      </c>
    </row>
    <row r="1184" spans="1:11" x14ac:dyDescent="0.25">
      <c r="A1184" t="s">
        <v>678</v>
      </c>
      <c r="B1184" t="s">
        <v>181</v>
      </c>
      <c r="C1184" t="s">
        <v>397</v>
      </c>
      <c r="D1184">
        <v>2600</v>
      </c>
      <c r="E1184">
        <v>2223.1019999999999</v>
      </c>
      <c r="F1184">
        <v>3943203</v>
      </c>
      <c r="G1184" t="s">
        <v>679</v>
      </c>
      <c r="H1184">
        <v>2219.1</v>
      </c>
      <c r="I1184" t="s">
        <v>680</v>
      </c>
      <c r="J1184" t="s">
        <v>10</v>
      </c>
      <c r="K1184" t="s">
        <v>681</v>
      </c>
    </row>
    <row r="1185" spans="1:11" x14ac:dyDescent="0.25">
      <c r="A1185" t="s">
        <v>678</v>
      </c>
      <c r="B1185" t="s">
        <v>181</v>
      </c>
      <c r="C1185" t="s">
        <v>397</v>
      </c>
      <c r="D1185">
        <v>48</v>
      </c>
      <c r="E1185">
        <v>41.042000000000002</v>
      </c>
      <c r="F1185">
        <v>3943203</v>
      </c>
      <c r="G1185" t="s">
        <v>679</v>
      </c>
      <c r="H1185">
        <v>40.968000000000004</v>
      </c>
      <c r="I1185" t="s">
        <v>680</v>
      </c>
      <c r="J1185" t="s">
        <v>10</v>
      </c>
      <c r="K1185" t="s">
        <v>681</v>
      </c>
    </row>
    <row r="1186" spans="1:11" x14ac:dyDescent="0.25">
      <c r="A1186" t="s">
        <v>678</v>
      </c>
      <c r="B1186" t="s">
        <v>181</v>
      </c>
      <c r="C1186" t="s">
        <v>397</v>
      </c>
      <c r="D1186">
        <v>272</v>
      </c>
      <c r="E1186">
        <v>232.571</v>
      </c>
      <c r="F1186">
        <v>3943203</v>
      </c>
      <c r="G1186" t="s">
        <v>679</v>
      </c>
      <c r="H1186">
        <v>232.15199999999999</v>
      </c>
      <c r="I1186" t="s">
        <v>680</v>
      </c>
      <c r="J1186" t="s">
        <v>10</v>
      </c>
      <c r="K1186" t="s">
        <v>681</v>
      </c>
    </row>
    <row r="1187" spans="1:11" x14ac:dyDescent="0.25">
      <c r="A1187" t="s">
        <v>678</v>
      </c>
      <c r="B1187" t="s">
        <v>181</v>
      </c>
      <c r="C1187" t="s">
        <v>397</v>
      </c>
      <c r="D1187">
        <v>5</v>
      </c>
      <c r="E1187">
        <v>4.2750000000000004</v>
      </c>
      <c r="F1187">
        <v>3943203</v>
      </c>
      <c r="G1187" t="s">
        <v>679</v>
      </c>
      <c r="H1187">
        <v>4.2679999999999998</v>
      </c>
      <c r="I1187" t="s">
        <v>680</v>
      </c>
      <c r="J1187" t="s">
        <v>10</v>
      </c>
      <c r="K1187" t="s">
        <v>681</v>
      </c>
    </row>
    <row r="1188" spans="1:11" x14ac:dyDescent="0.25">
      <c r="A1188" t="s">
        <v>422</v>
      </c>
      <c r="B1188" t="s">
        <v>30</v>
      </c>
      <c r="C1188" t="s">
        <v>397</v>
      </c>
      <c r="D1188">
        <v>1636</v>
      </c>
      <c r="E1188">
        <v>841.86699999999996</v>
      </c>
      <c r="F1188">
        <v>3438761</v>
      </c>
      <c r="G1188" t="s">
        <v>428</v>
      </c>
      <c r="H1188">
        <v>1318.616</v>
      </c>
      <c r="I1188" t="s">
        <v>682</v>
      </c>
      <c r="J1188" t="s">
        <v>10</v>
      </c>
      <c r="K1188" t="s">
        <v>683</v>
      </c>
    </row>
    <row r="1189" spans="1:11" x14ac:dyDescent="0.25">
      <c r="A1189" t="s">
        <v>422</v>
      </c>
      <c r="B1189" t="s">
        <v>30</v>
      </c>
      <c r="C1189" t="s">
        <v>397</v>
      </c>
      <c r="D1189">
        <v>719</v>
      </c>
      <c r="E1189">
        <v>369.98899999999998</v>
      </c>
      <c r="F1189">
        <v>3438761</v>
      </c>
      <c r="G1189" t="s">
        <v>428</v>
      </c>
      <c r="H1189">
        <v>579.51400000000001</v>
      </c>
      <c r="I1189" t="s">
        <v>682</v>
      </c>
      <c r="J1189" t="s">
        <v>10</v>
      </c>
      <c r="K1189" t="s">
        <v>683</v>
      </c>
    </row>
    <row r="1190" spans="1:11" x14ac:dyDescent="0.25">
      <c r="A1190" t="s">
        <v>422</v>
      </c>
      <c r="B1190" t="s">
        <v>30</v>
      </c>
      <c r="C1190" t="s">
        <v>397</v>
      </c>
      <c r="D1190">
        <v>435</v>
      </c>
      <c r="E1190">
        <v>223.846</v>
      </c>
      <c r="F1190">
        <v>3438761</v>
      </c>
      <c r="G1190" t="s">
        <v>428</v>
      </c>
      <c r="H1190">
        <v>350.61</v>
      </c>
      <c r="I1190" t="s">
        <v>682</v>
      </c>
      <c r="J1190" t="s">
        <v>10</v>
      </c>
      <c r="K1190" t="s">
        <v>683</v>
      </c>
    </row>
    <row r="1191" spans="1:11" x14ac:dyDescent="0.25">
      <c r="A1191" t="s">
        <v>422</v>
      </c>
      <c r="B1191" t="s">
        <v>30</v>
      </c>
      <c r="C1191" t="s">
        <v>397</v>
      </c>
      <c r="D1191">
        <v>290</v>
      </c>
      <c r="E1191">
        <v>149.23099999999999</v>
      </c>
      <c r="F1191">
        <v>3438761</v>
      </c>
      <c r="G1191" t="s">
        <v>428</v>
      </c>
      <c r="H1191">
        <v>233.74</v>
      </c>
      <c r="I1191" t="s">
        <v>682</v>
      </c>
      <c r="J1191" t="s">
        <v>10</v>
      </c>
      <c r="K1191" t="s">
        <v>683</v>
      </c>
    </row>
    <row r="1192" spans="1:11" x14ac:dyDescent="0.25">
      <c r="A1192" t="s">
        <v>419</v>
      </c>
      <c r="B1192" t="s">
        <v>46</v>
      </c>
      <c r="C1192" t="s">
        <v>397</v>
      </c>
      <c r="D1192">
        <v>3826</v>
      </c>
      <c r="E1192">
        <v>2965.163</v>
      </c>
      <c r="F1192">
        <v>3507464</v>
      </c>
      <c r="G1192" t="s">
        <v>604</v>
      </c>
      <c r="H1192">
        <v>2438.3519999999999</v>
      </c>
      <c r="I1192" t="s">
        <v>684</v>
      </c>
      <c r="J1192" t="s">
        <v>10</v>
      </c>
      <c r="K1192" t="s">
        <v>685</v>
      </c>
    </row>
    <row r="1193" spans="1:11" x14ac:dyDescent="0.25">
      <c r="A1193" t="s">
        <v>419</v>
      </c>
      <c r="B1193" t="s">
        <v>46</v>
      </c>
      <c r="C1193" t="s">
        <v>397</v>
      </c>
      <c r="D1193">
        <v>3784</v>
      </c>
      <c r="E1193">
        <v>2932.6129999999998</v>
      </c>
      <c r="F1193">
        <v>3507464</v>
      </c>
      <c r="G1193" t="s">
        <v>604</v>
      </c>
      <c r="H1193">
        <v>2411.585</v>
      </c>
      <c r="I1193" t="s">
        <v>684</v>
      </c>
      <c r="J1193" t="s">
        <v>10</v>
      </c>
      <c r="K1193" t="s">
        <v>685</v>
      </c>
    </row>
    <row r="1194" spans="1:11" x14ac:dyDescent="0.25">
      <c r="A1194" t="s">
        <v>419</v>
      </c>
      <c r="B1194" t="s">
        <v>46</v>
      </c>
      <c r="C1194" t="s">
        <v>397</v>
      </c>
      <c r="D1194">
        <v>2394</v>
      </c>
      <c r="E1194">
        <v>1855.3579999999999</v>
      </c>
      <c r="F1194">
        <v>3507464</v>
      </c>
      <c r="G1194" t="s">
        <v>604</v>
      </c>
      <c r="H1194">
        <v>1525.723</v>
      </c>
      <c r="I1194" t="s">
        <v>684</v>
      </c>
      <c r="J1194" t="s">
        <v>10</v>
      </c>
      <c r="K1194" t="s">
        <v>685</v>
      </c>
    </row>
    <row r="1195" spans="1:11" x14ac:dyDescent="0.25">
      <c r="A1195" t="s">
        <v>419</v>
      </c>
      <c r="B1195" t="s">
        <v>46</v>
      </c>
      <c r="C1195" t="s">
        <v>397</v>
      </c>
      <c r="D1195">
        <v>1749</v>
      </c>
      <c r="E1195">
        <v>1355.481</v>
      </c>
      <c r="F1195">
        <v>3507464</v>
      </c>
      <c r="G1195" t="s">
        <v>604</v>
      </c>
      <c r="H1195">
        <v>1114.6569999999999</v>
      </c>
      <c r="I1195" t="s">
        <v>684</v>
      </c>
      <c r="J1195" t="s">
        <v>10</v>
      </c>
      <c r="K1195" t="s">
        <v>685</v>
      </c>
    </row>
    <row r="1196" spans="1:11" x14ac:dyDescent="0.25">
      <c r="A1196" t="s">
        <v>419</v>
      </c>
      <c r="B1196" t="s">
        <v>46</v>
      </c>
      <c r="C1196" t="s">
        <v>397</v>
      </c>
      <c r="D1196">
        <v>1319</v>
      </c>
      <c r="E1196">
        <v>1022.229</v>
      </c>
      <c r="F1196">
        <v>3507464</v>
      </c>
      <c r="G1196" t="s">
        <v>604</v>
      </c>
      <c r="H1196">
        <v>840.61300000000006</v>
      </c>
      <c r="I1196" t="s">
        <v>684</v>
      </c>
      <c r="J1196" t="s">
        <v>10</v>
      </c>
      <c r="K1196" t="s">
        <v>685</v>
      </c>
    </row>
    <row r="1197" spans="1:11" x14ac:dyDescent="0.25">
      <c r="A1197" t="s">
        <v>419</v>
      </c>
      <c r="B1197" t="s">
        <v>46</v>
      </c>
      <c r="C1197" t="s">
        <v>397</v>
      </c>
      <c r="D1197">
        <v>3</v>
      </c>
      <c r="E1197">
        <v>2.3250000000000002</v>
      </c>
      <c r="F1197">
        <v>3507464</v>
      </c>
      <c r="G1197" t="s">
        <v>604</v>
      </c>
      <c r="H1197">
        <v>1.9119999999999999</v>
      </c>
      <c r="I1197" t="s">
        <v>684</v>
      </c>
      <c r="J1197" t="s">
        <v>10</v>
      </c>
      <c r="K1197" t="s">
        <v>685</v>
      </c>
    </row>
    <row r="1198" spans="1:11" x14ac:dyDescent="0.25">
      <c r="A1198" t="s">
        <v>453</v>
      </c>
      <c r="B1198" t="s">
        <v>60</v>
      </c>
      <c r="C1198" t="s">
        <v>397</v>
      </c>
      <c r="D1198">
        <v>1000</v>
      </c>
      <c r="E1198">
        <v>130.904</v>
      </c>
      <c r="F1198">
        <v>3584171</v>
      </c>
      <c r="G1198" t="s">
        <v>456</v>
      </c>
      <c r="H1198">
        <v>143</v>
      </c>
      <c r="I1198" t="s">
        <v>686</v>
      </c>
      <c r="J1198" t="s">
        <v>10</v>
      </c>
      <c r="K1198" t="s">
        <v>687</v>
      </c>
    </row>
    <row r="1199" spans="1:11" x14ac:dyDescent="0.25">
      <c r="A1199" t="s">
        <v>453</v>
      </c>
      <c r="B1199" t="s">
        <v>60</v>
      </c>
      <c r="C1199" t="s">
        <v>397</v>
      </c>
      <c r="D1199">
        <v>577</v>
      </c>
      <c r="E1199">
        <v>80.947000000000003</v>
      </c>
      <c r="F1199">
        <v>1940850</v>
      </c>
      <c r="G1199" t="s">
        <v>445</v>
      </c>
      <c r="H1199">
        <v>118.86199999999999</v>
      </c>
      <c r="I1199" t="s">
        <v>688</v>
      </c>
      <c r="J1199" t="s">
        <v>10</v>
      </c>
      <c r="K1199" t="s">
        <v>689</v>
      </c>
    </row>
    <row r="1200" spans="1:11" x14ac:dyDescent="0.25">
      <c r="A1200" t="s">
        <v>453</v>
      </c>
      <c r="B1200" t="s">
        <v>60</v>
      </c>
      <c r="C1200" t="s">
        <v>397</v>
      </c>
      <c r="D1200">
        <v>310</v>
      </c>
      <c r="E1200">
        <v>43.49</v>
      </c>
      <c r="F1200">
        <v>1940850</v>
      </c>
      <c r="G1200" t="s">
        <v>445</v>
      </c>
      <c r="H1200">
        <v>63.86</v>
      </c>
      <c r="I1200" t="s">
        <v>688</v>
      </c>
      <c r="J1200" t="s">
        <v>10</v>
      </c>
      <c r="K1200" t="s">
        <v>689</v>
      </c>
    </row>
    <row r="1201" spans="1:11" x14ac:dyDescent="0.25">
      <c r="A1201" t="s">
        <v>453</v>
      </c>
      <c r="B1201" t="s">
        <v>60</v>
      </c>
      <c r="C1201" t="s">
        <v>397</v>
      </c>
      <c r="D1201">
        <v>113</v>
      </c>
      <c r="E1201">
        <v>15.853</v>
      </c>
      <c r="F1201">
        <v>1940850</v>
      </c>
      <c r="G1201" t="s">
        <v>445</v>
      </c>
      <c r="H1201">
        <v>23.277999999999999</v>
      </c>
      <c r="I1201" t="s">
        <v>688</v>
      </c>
      <c r="J1201" t="s">
        <v>10</v>
      </c>
      <c r="K1201" t="s">
        <v>689</v>
      </c>
    </row>
    <row r="1202" spans="1:11" x14ac:dyDescent="0.25">
      <c r="A1202" t="s">
        <v>453</v>
      </c>
      <c r="B1202" t="s">
        <v>60</v>
      </c>
      <c r="C1202" t="s">
        <v>397</v>
      </c>
      <c r="D1202">
        <v>1000</v>
      </c>
      <c r="E1202">
        <v>125.306</v>
      </c>
      <c r="F1202">
        <v>1940849</v>
      </c>
      <c r="G1202" t="s">
        <v>445</v>
      </c>
      <c r="H1202">
        <v>184</v>
      </c>
      <c r="I1202" t="s">
        <v>690</v>
      </c>
      <c r="J1202" t="s">
        <v>10</v>
      </c>
      <c r="K1202" t="s">
        <v>691</v>
      </c>
    </row>
    <row r="1203" spans="1:11" x14ac:dyDescent="0.25">
      <c r="A1203" t="s">
        <v>573</v>
      </c>
      <c r="B1203" t="s">
        <v>52</v>
      </c>
      <c r="C1203" t="s">
        <v>397</v>
      </c>
      <c r="D1203">
        <v>716</v>
      </c>
      <c r="E1203">
        <v>425.745</v>
      </c>
      <c r="F1203">
        <v>1940614</v>
      </c>
      <c r="G1203" t="s">
        <v>692</v>
      </c>
      <c r="H1203">
        <v>325.77999999999997</v>
      </c>
      <c r="I1203" t="s">
        <v>693</v>
      </c>
      <c r="J1203" t="s">
        <v>10</v>
      </c>
      <c r="K1203" t="s">
        <v>694</v>
      </c>
    </row>
    <row r="1204" spans="1:11" x14ac:dyDescent="0.25">
      <c r="A1204" t="s">
        <v>573</v>
      </c>
      <c r="B1204" t="s">
        <v>52</v>
      </c>
      <c r="C1204" t="s">
        <v>397</v>
      </c>
      <c r="D1204">
        <v>1670</v>
      </c>
      <c r="E1204">
        <v>993.00800000000004</v>
      </c>
      <c r="F1204">
        <v>1940614</v>
      </c>
      <c r="G1204" t="s">
        <v>692</v>
      </c>
      <c r="H1204">
        <v>759.85</v>
      </c>
      <c r="I1204" t="s">
        <v>693</v>
      </c>
      <c r="J1204" t="s">
        <v>10</v>
      </c>
      <c r="K1204" t="s">
        <v>694</v>
      </c>
    </row>
    <row r="1205" spans="1:11" x14ac:dyDescent="0.25">
      <c r="A1205" t="s">
        <v>573</v>
      </c>
      <c r="B1205" t="s">
        <v>52</v>
      </c>
      <c r="C1205" t="s">
        <v>397</v>
      </c>
      <c r="D1205">
        <v>1483</v>
      </c>
      <c r="E1205">
        <v>881.81500000000005</v>
      </c>
      <c r="F1205">
        <v>1940614</v>
      </c>
      <c r="G1205" t="s">
        <v>692</v>
      </c>
      <c r="H1205">
        <v>674.76499999999999</v>
      </c>
      <c r="I1205" t="s">
        <v>693</v>
      </c>
      <c r="J1205" t="s">
        <v>10</v>
      </c>
      <c r="K1205" t="s">
        <v>694</v>
      </c>
    </row>
    <row r="1206" spans="1:11" x14ac:dyDescent="0.25">
      <c r="A1206" t="s">
        <v>573</v>
      </c>
      <c r="B1206" t="s">
        <v>52</v>
      </c>
      <c r="C1206" t="s">
        <v>397</v>
      </c>
      <c r="D1206">
        <v>706</v>
      </c>
      <c r="E1206">
        <v>419.79899999999998</v>
      </c>
      <c r="F1206">
        <v>1940614</v>
      </c>
      <c r="G1206" t="s">
        <v>692</v>
      </c>
      <c r="H1206">
        <v>321.23</v>
      </c>
      <c r="I1206" t="s">
        <v>693</v>
      </c>
      <c r="J1206" t="s">
        <v>10</v>
      </c>
      <c r="K1206" t="s">
        <v>694</v>
      </c>
    </row>
    <row r="1207" spans="1:11" x14ac:dyDescent="0.25">
      <c r="A1207" t="s">
        <v>573</v>
      </c>
      <c r="B1207" t="s">
        <v>52</v>
      </c>
      <c r="C1207" t="s">
        <v>397</v>
      </c>
      <c r="D1207">
        <v>975</v>
      </c>
      <c r="E1207">
        <v>579.75</v>
      </c>
      <c r="F1207">
        <v>1940614</v>
      </c>
      <c r="G1207" t="s">
        <v>692</v>
      </c>
      <c r="H1207">
        <v>443.625</v>
      </c>
      <c r="I1207" t="s">
        <v>693</v>
      </c>
      <c r="J1207" t="s">
        <v>10</v>
      </c>
      <c r="K1207" t="s">
        <v>694</v>
      </c>
    </row>
    <row r="1208" spans="1:11" x14ac:dyDescent="0.25">
      <c r="A1208" t="s">
        <v>641</v>
      </c>
      <c r="B1208" t="s">
        <v>180</v>
      </c>
      <c r="C1208" t="s">
        <v>397</v>
      </c>
      <c r="D1208">
        <v>1314</v>
      </c>
      <c r="E1208">
        <v>1227.992</v>
      </c>
      <c r="F1208">
        <v>1940416</v>
      </c>
      <c r="G1208" t="s">
        <v>695</v>
      </c>
      <c r="H1208">
        <v>999.95399999999995</v>
      </c>
      <c r="I1208" t="s">
        <v>696</v>
      </c>
      <c r="J1208" t="s">
        <v>10</v>
      </c>
      <c r="K1208" t="s">
        <v>697</v>
      </c>
    </row>
    <row r="1209" spans="1:11" x14ac:dyDescent="0.25">
      <c r="A1209" t="s">
        <v>641</v>
      </c>
      <c r="B1209" t="s">
        <v>180</v>
      </c>
      <c r="C1209" t="s">
        <v>397</v>
      </c>
      <c r="D1209">
        <v>1101</v>
      </c>
      <c r="E1209">
        <v>1028.934</v>
      </c>
      <c r="F1209">
        <v>1940416</v>
      </c>
      <c r="G1209" t="s">
        <v>695</v>
      </c>
      <c r="H1209">
        <v>837.86099999999999</v>
      </c>
      <c r="I1209" t="s">
        <v>696</v>
      </c>
      <c r="J1209" t="s">
        <v>10</v>
      </c>
      <c r="K1209" t="s">
        <v>697</v>
      </c>
    </row>
    <row r="1210" spans="1:11" x14ac:dyDescent="0.25">
      <c r="A1210" t="s">
        <v>641</v>
      </c>
      <c r="B1210" t="s">
        <v>180</v>
      </c>
      <c r="C1210" t="s">
        <v>397</v>
      </c>
      <c r="D1210">
        <v>131</v>
      </c>
      <c r="E1210">
        <v>122.425</v>
      </c>
      <c r="F1210">
        <v>1940416</v>
      </c>
      <c r="G1210" t="s">
        <v>695</v>
      </c>
      <c r="H1210">
        <v>99.691000000000003</v>
      </c>
      <c r="I1210" t="s">
        <v>696</v>
      </c>
      <c r="J1210" t="s">
        <v>10</v>
      </c>
      <c r="K1210" t="s">
        <v>697</v>
      </c>
    </row>
    <row r="1211" spans="1:11" x14ac:dyDescent="0.25">
      <c r="A1211" t="s">
        <v>641</v>
      </c>
      <c r="B1211" t="s">
        <v>180</v>
      </c>
      <c r="C1211" t="s">
        <v>397</v>
      </c>
      <c r="D1211">
        <v>179</v>
      </c>
      <c r="E1211">
        <v>167.28399999999999</v>
      </c>
      <c r="F1211">
        <v>1940416</v>
      </c>
      <c r="G1211" t="s">
        <v>695</v>
      </c>
      <c r="H1211">
        <v>136.21899999999999</v>
      </c>
      <c r="I1211" t="s">
        <v>696</v>
      </c>
      <c r="J1211" t="s">
        <v>10</v>
      </c>
      <c r="K1211" t="s">
        <v>697</v>
      </c>
    </row>
    <row r="1212" spans="1:11" x14ac:dyDescent="0.25">
      <c r="A1212" t="s">
        <v>678</v>
      </c>
      <c r="B1212" t="s">
        <v>181</v>
      </c>
      <c r="C1212" t="s">
        <v>397</v>
      </c>
      <c r="D1212">
        <v>2375</v>
      </c>
      <c r="E1212">
        <v>2208.1959999999999</v>
      </c>
      <c r="F1212">
        <v>1940479</v>
      </c>
      <c r="G1212" t="s">
        <v>642</v>
      </c>
      <c r="H1212">
        <v>2204</v>
      </c>
      <c r="I1212" t="s">
        <v>698</v>
      </c>
      <c r="J1212" t="s">
        <v>10</v>
      </c>
      <c r="K1212" t="s">
        <v>699</v>
      </c>
    </row>
    <row r="1213" spans="1:11" x14ac:dyDescent="0.25">
      <c r="A1213" t="s">
        <v>678</v>
      </c>
      <c r="B1213" t="s">
        <v>181</v>
      </c>
      <c r="C1213" t="s">
        <v>397</v>
      </c>
      <c r="D1213">
        <v>2851</v>
      </c>
      <c r="E1213">
        <v>2650.7640000000001</v>
      </c>
      <c r="F1213">
        <v>1940479</v>
      </c>
      <c r="G1213" t="s">
        <v>642</v>
      </c>
      <c r="H1213">
        <v>2645.7280000000001</v>
      </c>
      <c r="I1213" t="s">
        <v>698</v>
      </c>
      <c r="J1213" t="s">
        <v>10</v>
      </c>
      <c r="K1213" t="s">
        <v>699</v>
      </c>
    </row>
    <row r="1214" spans="1:11" x14ac:dyDescent="0.25">
      <c r="A1214" t="s">
        <v>678</v>
      </c>
      <c r="B1214" t="s">
        <v>181</v>
      </c>
      <c r="C1214" t="s">
        <v>397</v>
      </c>
      <c r="D1214">
        <v>2425</v>
      </c>
      <c r="E1214">
        <v>2254.6840000000002</v>
      </c>
      <c r="F1214">
        <v>1940479</v>
      </c>
      <c r="G1214" t="s">
        <v>642</v>
      </c>
      <c r="H1214">
        <v>2250.4</v>
      </c>
      <c r="I1214" t="s">
        <v>698</v>
      </c>
      <c r="J1214" t="s">
        <v>10</v>
      </c>
      <c r="K1214" t="s">
        <v>699</v>
      </c>
    </row>
    <row r="1215" spans="1:11" x14ac:dyDescent="0.25">
      <c r="A1215" t="s">
        <v>678</v>
      </c>
      <c r="B1215" t="s">
        <v>181</v>
      </c>
      <c r="C1215" t="s">
        <v>397</v>
      </c>
      <c r="D1215">
        <v>574</v>
      </c>
      <c r="E1215">
        <v>533.68600000000004</v>
      </c>
      <c r="F1215">
        <v>1940479</v>
      </c>
      <c r="G1215" t="s">
        <v>642</v>
      </c>
      <c r="H1215">
        <v>532.67200000000003</v>
      </c>
      <c r="I1215" t="s">
        <v>698</v>
      </c>
      <c r="J1215" t="s">
        <v>10</v>
      </c>
      <c r="K1215" t="s">
        <v>699</v>
      </c>
    </row>
    <row r="1216" spans="1:11" x14ac:dyDescent="0.25">
      <c r="A1216" t="s">
        <v>678</v>
      </c>
      <c r="B1216" t="s">
        <v>181</v>
      </c>
      <c r="C1216" t="s">
        <v>397</v>
      </c>
      <c r="D1216">
        <v>240</v>
      </c>
      <c r="E1216">
        <v>223.14400000000001</v>
      </c>
      <c r="F1216">
        <v>1940479</v>
      </c>
      <c r="G1216" t="s">
        <v>642</v>
      </c>
      <c r="H1216">
        <v>222.72</v>
      </c>
      <c r="I1216" t="s">
        <v>698</v>
      </c>
      <c r="J1216" t="s">
        <v>10</v>
      </c>
      <c r="K1216" t="s">
        <v>699</v>
      </c>
    </row>
    <row r="1217" spans="1:11" x14ac:dyDescent="0.25">
      <c r="A1217" t="s">
        <v>678</v>
      </c>
      <c r="B1217" t="s">
        <v>181</v>
      </c>
      <c r="C1217" t="s">
        <v>397</v>
      </c>
      <c r="D1217">
        <v>1975</v>
      </c>
      <c r="E1217">
        <v>1836.289</v>
      </c>
      <c r="F1217">
        <v>1940479</v>
      </c>
      <c r="G1217" t="s">
        <v>642</v>
      </c>
      <c r="H1217">
        <v>1832.8</v>
      </c>
      <c r="I1217" t="s">
        <v>698</v>
      </c>
      <c r="J1217" t="s">
        <v>10</v>
      </c>
      <c r="K1217" t="s">
        <v>699</v>
      </c>
    </row>
    <row r="1218" spans="1:11" x14ac:dyDescent="0.25">
      <c r="A1218" t="s">
        <v>678</v>
      </c>
      <c r="B1218" t="s">
        <v>181</v>
      </c>
      <c r="C1218" t="s">
        <v>397</v>
      </c>
      <c r="D1218">
        <v>801</v>
      </c>
      <c r="E1218">
        <v>744.74300000000005</v>
      </c>
      <c r="F1218">
        <v>1940479</v>
      </c>
      <c r="G1218" t="s">
        <v>642</v>
      </c>
      <c r="H1218">
        <v>743.32799999999997</v>
      </c>
      <c r="I1218" t="s">
        <v>698</v>
      </c>
      <c r="J1218" t="s">
        <v>10</v>
      </c>
      <c r="K1218" t="s">
        <v>699</v>
      </c>
    </row>
    <row r="1219" spans="1:11" x14ac:dyDescent="0.25">
      <c r="A1219" t="s">
        <v>678</v>
      </c>
      <c r="B1219" t="s">
        <v>181</v>
      </c>
      <c r="C1219" t="s">
        <v>397</v>
      </c>
      <c r="D1219">
        <v>669</v>
      </c>
      <c r="E1219">
        <v>622.01400000000001</v>
      </c>
      <c r="F1219">
        <v>1940479</v>
      </c>
      <c r="G1219" t="s">
        <v>642</v>
      </c>
      <c r="H1219">
        <v>620.83199999999999</v>
      </c>
      <c r="I1219" t="s">
        <v>698</v>
      </c>
      <c r="J1219" t="s">
        <v>10</v>
      </c>
      <c r="K1219" t="s">
        <v>699</v>
      </c>
    </row>
    <row r="1220" spans="1:11" x14ac:dyDescent="0.25">
      <c r="A1220" t="s">
        <v>678</v>
      </c>
      <c r="B1220" t="s">
        <v>181</v>
      </c>
      <c r="C1220" t="s">
        <v>397</v>
      </c>
      <c r="D1220">
        <v>15</v>
      </c>
      <c r="E1220">
        <v>13.946</v>
      </c>
      <c r="F1220">
        <v>1940479</v>
      </c>
      <c r="G1220" t="s">
        <v>642</v>
      </c>
      <c r="H1220">
        <v>13.92</v>
      </c>
      <c r="I1220" t="s">
        <v>698</v>
      </c>
      <c r="J1220" t="s">
        <v>10</v>
      </c>
      <c r="K1220" t="s">
        <v>699</v>
      </c>
    </row>
    <row r="1221" spans="1:11" x14ac:dyDescent="0.25">
      <c r="A1221" t="s">
        <v>678</v>
      </c>
      <c r="B1221" t="s">
        <v>181</v>
      </c>
      <c r="C1221" t="s">
        <v>397</v>
      </c>
      <c r="D1221">
        <v>2851</v>
      </c>
      <c r="E1221">
        <v>2650.7640000000001</v>
      </c>
      <c r="F1221">
        <v>1940479</v>
      </c>
      <c r="G1221" t="s">
        <v>642</v>
      </c>
      <c r="H1221">
        <v>2645.7280000000001</v>
      </c>
      <c r="I1221" t="s">
        <v>698</v>
      </c>
      <c r="J1221" t="s">
        <v>10</v>
      </c>
      <c r="K1221" t="s">
        <v>699</v>
      </c>
    </row>
    <row r="1222" spans="1:11" x14ac:dyDescent="0.25">
      <c r="A1222" t="s">
        <v>678</v>
      </c>
      <c r="B1222" t="s">
        <v>181</v>
      </c>
      <c r="C1222" t="s">
        <v>397</v>
      </c>
      <c r="D1222">
        <v>2024</v>
      </c>
      <c r="E1222">
        <v>1881.848</v>
      </c>
      <c r="F1222">
        <v>1940479</v>
      </c>
      <c r="G1222" t="s">
        <v>642</v>
      </c>
      <c r="H1222">
        <v>1878.2719999999999</v>
      </c>
      <c r="I1222" t="s">
        <v>698</v>
      </c>
      <c r="J1222" t="s">
        <v>10</v>
      </c>
      <c r="K1222" t="s">
        <v>699</v>
      </c>
    </row>
    <row r="1223" spans="1:11" x14ac:dyDescent="0.25">
      <c r="A1223" t="s">
        <v>581</v>
      </c>
      <c r="B1223" t="s">
        <v>18</v>
      </c>
      <c r="C1223" t="s">
        <v>397</v>
      </c>
      <c r="D1223">
        <v>650</v>
      </c>
      <c r="E1223">
        <v>165.751</v>
      </c>
      <c r="F1223">
        <v>2427712</v>
      </c>
      <c r="G1223" t="s">
        <v>407</v>
      </c>
      <c r="H1223">
        <v>151.529</v>
      </c>
      <c r="I1223" t="s">
        <v>700</v>
      </c>
      <c r="J1223" t="s">
        <v>10</v>
      </c>
      <c r="K1223" t="s">
        <v>701</v>
      </c>
    </row>
    <row r="1224" spans="1:11" x14ac:dyDescent="0.25">
      <c r="A1224" t="s">
        <v>396</v>
      </c>
      <c r="B1224" t="s">
        <v>61</v>
      </c>
      <c r="C1224" t="s">
        <v>397</v>
      </c>
      <c r="D1224">
        <v>5396</v>
      </c>
      <c r="E1224">
        <v>1430.758</v>
      </c>
      <c r="F1224">
        <v>1940309</v>
      </c>
      <c r="G1224" t="s">
        <v>407</v>
      </c>
      <c r="H1224">
        <v>1359.7919999999999</v>
      </c>
      <c r="I1224" t="s">
        <v>703</v>
      </c>
      <c r="J1224" t="s">
        <v>10</v>
      </c>
      <c r="K1224" t="s">
        <v>704</v>
      </c>
    </row>
    <row r="1225" spans="1:11" x14ac:dyDescent="0.25">
      <c r="A1225" t="s">
        <v>396</v>
      </c>
      <c r="B1225" t="s">
        <v>61</v>
      </c>
      <c r="C1225" t="s">
        <v>397</v>
      </c>
      <c r="D1225">
        <v>3599</v>
      </c>
      <c r="E1225">
        <v>954.28</v>
      </c>
      <c r="F1225">
        <v>1940309</v>
      </c>
      <c r="G1225" t="s">
        <v>407</v>
      </c>
      <c r="H1225">
        <v>906.94799999999998</v>
      </c>
      <c r="I1225" t="s">
        <v>703</v>
      </c>
      <c r="J1225" t="s">
        <v>10</v>
      </c>
      <c r="K1225" t="s">
        <v>704</v>
      </c>
    </row>
    <row r="1226" spans="1:11" x14ac:dyDescent="0.25">
      <c r="A1226" t="s">
        <v>396</v>
      </c>
      <c r="B1226" t="s">
        <v>61</v>
      </c>
      <c r="C1226" t="s">
        <v>397</v>
      </c>
      <c r="D1226">
        <v>105</v>
      </c>
      <c r="E1226">
        <v>27.841000000000001</v>
      </c>
      <c r="F1226">
        <v>1940309</v>
      </c>
      <c r="G1226" t="s">
        <v>407</v>
      </c>
      <c r="H1226">
        <v>26.46</v>
      </c>
      <c r="I1226" t="s">
        <v>703</v>
      </c>
      <c r="J1226" t="s">
        <v>10</v>
      </c>
      <c r="K1226" t="s">
        <v>704</v>
      </c>
    </row>
    <row r="1227" spans="1:11" x14ac:dyDescent="0.25">
      <c r="A1227" t="s">
        <v>396</v>
      </c>
      <c r="B1227" t="s">
        <v>61</v>
      </c>
      <c r="C1227" t="s">
        <v>397</v>
      </c>
      <c r="D1227">
        <v>650</v>
      </c>
      <c r="E1227">
        <v>172.34800000000001</v>
      </c>
      <c r="F1227">
        <v>1940309</v>
      </c>
      <c r="G1227" t="s">
        <v>407</v>
      </c>
      <c r="H1227">
        <v>163.80000000000001</v>
      </c>
      <c r="I1227" t="s">
        <v>703</v>
      </c>
      <c r="J1227" t="s">
        <v>10</v>
      </c>
      <c r="K1227" t="s">
        <v>704</v>
      </c>
    </row>
    <row r="1228" spans="1:11" x14ac:dyDescent="0.25">
      <c r="A1228" t="s">
        <v>396</v>
      </c>
      <c r="B1228" t="s">
        <v>61</v>
      </c>
      <c r="C1228" t="s">
        <v>397</v>
      </c>
      <c r="D1228">
        <v>158</v>
      </c>
      <c r="E1228">
        <v>41.893999999999998</v>
      </c>
      <c r="F1228">
        <v>1940309</v>
      </c>
      <c r="G1228" t="s">
        <v>407</v>
      </c>
      <c r="H1228">
        <v>39.816000000000003</v>
      </c>
      <c r="I1228" t="s">
        <v>703</v>
      </c>
      <c r="J1228" t="s">
        <v>10</v>
      </c>
      <c r="K1228" t="s">
        <v>704</v>
      </c>
    </row>
    <row r="1229" spans="1:11" x14ac:dyDescent="0.25">
      <c r="A1229" t="s">
        <v>396</v>
      </c>
      <c r="B1229" t="s">
        <v>61</v>
      </c>
      <c r="C1229" t="s">
        <v>397</v>
      </c>
      <c r="D1229">
        <v>92</v>
      </c>
      <c r="E1229">
        <v>24.393999999999998</v>
      </c>
      <c r="F1229">
        <v>1940309</v>
      </c>
      <c r="G1229" t="s">
        <v>407</v>
      </c>
      <c r="H1229">
        <v>23.184000000000001</v>
      </c>
      <c r="I1229" t="s">
        <v>703</v>
      </c>
      <c r="J1229" t="s">
        <v>10</v>
      </c>
      <c r="K1229" t="s">
        <v>704</v>
      </c>
    </row>
    <row r="1230" spans="1:11" x14ac:dyDescent="0.25">
      <c r="A1230" t="s">
        <v>396</v>
      </c>
      <c r="B1230" t="s">
        <v>61</v>
      </c>
      <c r="C1230" t="s">
        <v>397</v>
      </c>
      <c r="D1230">
        <v>2797</v>
      </c>
      <c r="E1230">
        <v>741.62900000000002</v>
      </c>
      <c r="F1230">
        <v>1940309</v>
      </c>
      <c r="G1230" t="s">
        <v>407</v>
      </c>
      <c r="H1230">
        <v>704.84400000000005</v>
      </c>
      <c r="I1230" t="s">
        <v>703</v>
      </c>
      <c r="J1230" t="s">
        <v>10</v>
      </c>
      <c r="K1230" t="s">
        <v>704</v>
      </c>
    </row>
    <row r="1231" spans="1:11" x14ac:dyDescent="0.25">
      <c r="A1231" t="s">
        <v>396</v>
      </c>
      <c r="B1231" t="s">
        <v>61</v>
      </c>
      <c r="C1231" t="s">
        <v>397</v>
      </c>
      <c r="D1231">
        <v>2744</v>
      </c>
      <c r="E1231">
        <v>727.57600000000002</v>
      </c>
      <c r="F1231">
        <v>1940309</v>
      </c>
      <c r="G1231" t="s">
        <v>407</v>
      </c>
      <c r="H1231">
        <v>691.48800000000006</v>
      </c>
      <c r="I1231" t="s">
        <v>703</v>
      </c>
      <c r="J1231" t="s">
        <v>10</v>
      </c>
      <c r="K1231" t="s">
        <v>704</v>
      </c>
    </row>
    <row r="1232" spans="1:11" x14ac:dyDescent="0.25">
      <c r="A1232" t="s">
        <v>396</v>
      </c>
      <c r="B1232" t="s">
        <v>61</v>
      </c>
      <c r="C1232" t="s">
        <v>397</v>
      </c>
      <c r="D1232">
        <v>1609</v>
      </c>
      <c r="E1232">
        <v>426.62900000000002</v>
      </c>
      <c r="F1232">
        <v>1940309</v>
      </c>
      <c r="G1232" t="s">
        <v>407</v>
      </c>
      <c r="H1232">
        <v>405.46800000000002</v>
      </c>
      <c r="I1232" t="s">
        <v>703</v>
      </c>
      <c r="J1232" t="s">
        <v>10</v>
      </c>
      <c r="K1232" t="s">
        <v>704</v>
      </c>
    </row>
    <row r="1233" spans="1:11" x14ac:dyDescent="0.25">
      <c r="A1233" t="s">
        <v>581</v>
      </c>
      <c r="B1233" t="s">
        <v>18</v>
      </c>
      <c r="C1233" t="s">
        <v>397</v>
      </c>
      <c r="D1233">
        <v>414</v>
      </c>
      <c r="E1233">
        <v>117.992</v>
      </c>
      <c r="F1233">
        <v>2427711</v>
      </c>
      <c r="G1233" t="s">
        <v>407</v>
      </c>
      <c r="H1233">
        <v>110.027</v>
      </c>
      <c r="I1233" t="s">
        <v>705</v>
      </c>
      <c r="J1233" t="s">
        <v>10</v>
      </c>
      <c r="K1233" t="s">
        <v>706</v>
      </c>
    </row>
    <row r="1234" spans="1:11" x14ac:dyDescent="0.25">
      <c r="A1234" t="s">
        <v>581</v>
      </c>
      <c r="B1234" t="s">
        <v>18</v>
      </c>
      <c r="C1234" t="s">
        <v>397</v>
      </c>
      <c r="D1234">
        <v>236</v>
      </c>
      <c r="E1234">
        <v>67.260999999999996</v>
      </c>
      <c r="F1234">
        <v>2427711</v>
      </c>
      <c r="G1234" t="s">
        <v>407</v>
      </c>
      <c r="H1234">
        <v>62.720999999999997</v>
      </c>
      <c r="I1234" t="s">
        <v>705</v>
      </c>
      <c r="J1234" t="s">
        <v>10</v>
      </c>
      <c r="K1234" t="s">
        <v>706</v>
      </c>
    </row>
    <row r="1235" spans="1:11" x14ac:dyDescent="0.25">
      <c r="A1235" t="s">
        <v>581</v>
      </c>
      <c r="B1235" t="s">
        <v>18</v>
      </c>
      <c r="C1235" t="s">
        <v>397</v>
      </c>
      <c r="D1235">
        <v>2444</v>
      </c>
      <c r="E1235">
        <v>740.52499999999998</v>
      </c>
      <c r="F1235">
        <v>1940313</v>
      </c>
      <c r="G1235" t="s">
        <v>407</v>
      </c>
      <c r="H1235">
        <v>676.98800000000006</v>
      </c>
      <c r="I1235" t="s">
        <v>707</v>
      </c>
      <c r="J1235" t="s">
        <v>10</v>
      </c>
      <c r="K1235" t="s">
        <v>708</v>
      </c>
    </row>
    <row r="1236" spans="1:11" x14ac:dyDescent="0.25">
      <c r="A1236" t="s">
        <v>581</v>
      </c>
      <c r="B1236" t="s">
        <v>18</v>
      </c>
      <c r="C1236" t="s">
        <v>397</v>
      </c>
      <c r="D1236">
        <v>1027</v>
      </c>
      <c r="E1236">
        <v>311.178</v>
      </c>
      <c r="F1236">
        <v>1940313</v>
      </c>
      <c r="G1236" t="s">
        <v>407</v>
      </c>
      <c r="H1236">
        <v>284.47899999999998</v>
      </c>
      <c r="I1236" t="s">
        <v>707</v>
      </c>
      <c r="J1236" t="s">
        <v>10</v>
      </c>
      <c r="K1236" t="s">
        <v>708</v>
      </c>
    </row>
    <row r="1237" spans="1:11" x14ac:dyDescent="0.25">
      <c r="A1237" t="s">
        <v>581</v>
      </c>
      <c r="B1237" t="s">
        <v>18</v>
      </c>
      <c r="C1237" t="s">
        <v>397</v>
      </c>
      <c r="D1237">
        <v>570</v>
      </c>
      <c r="E1237">
        <v>172.708</v>
      </c>
      <c r="F1237">
        <v>1940313</v>
      </c>
      <c r="G1237" t="s">
        <v>407</v>
      </c>
      <c r="H1237">
        <v>157.88999999999999</v>
      </c>
      <c r="I1237" t="s">
        <v>707</v>
      </c>
      <c r="J1237" t="s">
        <v>10</v>
      </c>
      <c r="K1237" t="s">
        <v>708</v>
      </c>
    </row>
    <row r="1238" spans="1:11" x14ac:dyDescent="0.25">
      <c r="A1238" t="s">
        <v>581</v>
      </c>
      <c r="B1238" t="s">
        <v>18</v>
      </c>
      <c r="C1238" t="s">
        <v>397</v>
      </c>
      <c r="D1238">
        <v>159</v>
      </c>
      <c r="E1238">
        <v>48.177</v>
      </c>
      <c r="F1238">
        <v>1940313</v>
      </c>
      <c r="G1238" t="s">
        <v>407</v>
      </c>
      <c r="H1238">
        <v>44.042999999999999</v>
      </c>
      <c r="I1238" t="s">
        <v>707</v>
      </c>
      <c r="J1238" t="s">
        <v>10</v>
      </c>
      <c r="K1238" t="s">
        <v>708</v>
      </c>
    </row>
    <row r="1239" spans="1:11" x14ac:dyDescent="0.25">
      <c r="A1239" t="s">
        <v>581</v>
      </c>
      <c r="B1239" t="s">
        <v>18</v>
      </c>
      <c r="C1239" t="s">
        <v>397</v>
      </c>
      <c r="D1239">
        <v>5281</v>
      </c>
      <c r="E1239">
        <v>1600.1279999999999</v>
      </c>
      <c r="F1239">
        <v>1940313</v>
      </c>
      <c r="G1239" t="s">
        <v>407</v>
      </c>
      <c r="H1239">
        <v>1462.837</v>
      </c>
      <c r="I1239" t="s">
        <v>707</v>
      </c>
      <c r="J1239" t="s">
        <v>10</v>
      </c>
      <c r="K1239" t="s">
        <v>708</v>
      </c>
    </row>
    <row r="1240" spans="1:11" x14ac:dyDescent="0.25">
      <c r="A1240" t="s">
        <v>581</v>
      </c>
      <c r="B1240" t="s">
        <v>18</v>
      </c>
      <c r="C1240" t="s">
        <v>397</v>
      </c>
      <c r="D1240">
        <v>2219</v>
      </c>
      <c r="E1240">
        <v>672.351</v>
      </c>
      <c r="F1240">
        <v>1940313</v>
      </c>
      <c r="G1240" t="s">
        <v>407</v>
      </c>
      <c r="H1240">
        <v>614.66300000000001</v>
      </c>
      <c r="I1240" t="s">
        <v>707</v>
      </c>
      <c r="J1240" t="s">
        <v>10</v>
      </c>
      <c r="K1240" t="s">
        <v>708</v>
      </c>
    </row>
    <row r="1241" spans="1:11" x14ac:dyDescent="0.25">
      <c r="A1241" t="s">
        <v>581</v>
      </c>
      <c r="B1241" t="s">
        <v>18</v>
      </c>
      <c r="C1241" t="s">
        <v>397</v>
      </c>
      <c r="D1241">
        <v>586.39700000000005</v>
      </c>
      <c r="E1241">
        <v>177.67699999999999</v>
      </c>
      <c r="F1241">
        <v>1940313</v>
      </c>
      <c r="G1241" t="s">
        <v>407</v>
      </c>
      <c r="H1241">
        <v>162.43199999999999</v>
      </c>
      <c r="I1241" t="s">
        <v>707</v>
      </c>
      <c r="J1241" t="s">
        <v>10</v>
      </c>
      <c r="K1241" t="s">
        <v>708</v>
      </c>
    </row>
    <row r="1242" spans="1:11" x14ac:dyDescent="0.25">
      <c r="A1242" t="s">
        <v>581</v>
      </c>
      <c r="B1242" t="s">
        <v>18</v>
      </c>
      <c r="C1242" t="s">
        <v>397</v>
      </c>
      <c r="D1242">
        <v>2237.6390000000001</v>
      </c>
      <c r="E1242">
        <v>677.99800000000005</v>
      </c>
      <c r="F1242">
        <v>1940313</v>
      </c>
      <c r="G1242" t="s">
        <v>407</v>
      </c>
      <c r="H1242">
        <v>619.82600000000002</v>
      </c>
      <c r="I1242" t="s">
        <v>707</v>
      </c>
      <c r="J1242" t="s">
        <v>10</v>
      </c>
      <c r="K1242" t="s">
        <v>708</v>
      </c>
    </row>
    <row r="1243" spans="1:11" x14ac:dyDescent="0.25">
      <c r="A1243" t="s">
        <v>581</v>
      </c>
      <c r="B1243" t="s">
        <v>18</v>
      </c>
      <c r="C1243" t="s">
        <v>397</v>
      </c>
      <c r="D1243">
        <v>175.964</v>
      </c>
      <c r="E1243">
        <v>53.317</v>
      </c>
      <c r="F1243">
        <v>1940313</v>
      </c>
      <c r="G1243" t="s">
        <v>407</v>
      </c>
      <c r="H1243">
        <v>48.741999999999997</v>
      </c>
      <c r="I1243" t="s">
        <v>707</v>
      </c>
      <c r="J1243" t="s">
        <v>10</v>
      </c>
      <c r="K1243" t="s">
        <v>708</v>
      </c>
    </row>
    <row r="1244" spans="1:11" x14ac:dyDescent="0.25">
      <c r="A1244" t="s">
        <v>636</v>
      </c>
      <c r="B1244" t="s">
        <v>151</v>
      </c>
      <c r="C1244" t="s">
        <v>397</v>
      </c>
      <c r="D1244">
        <v>2600</v>
      </c>
      <c r="E1244">
        <v>1023.148</v>
      </c>
      <c r="F1244">
        <v>1940318</v>
      </c>
      <c r="G1244" t="s">
        <v>407</v>
      </c>
      <c r="H1244">
        <v>972.4</v>
      </c>
      <c r="I1244" t="s">
        <v>710</v>
      </c>
      <c r="J1244" t="s">
        <v>10</v>
      </c>
      <c r="K1244" t="s">
        <v>711</v>
      </c>
    </row>
    <row r="1245" spans="1:11" x14ac:dyDescent="0.25">
      <c r="A1245" t="s">
        <v>556</v>
      </c>
      <c r="B1245" t="s">
        <v>151</v>
      </c>
      <c r="C1245" t="s">
        <v>397</v>
      </c>
      <c r="D1245">
        <v>1020</v>
      </c>
      <c r="E1245">
        <v>199.92</v>
      </c>
      <c r="F1245">
        <v>3677062</v>
      </c>
      <c r="G1245" t="s">
        <v>712</v>
      </c>
      <c r="H1245">
        <v>778.24900000000002</v>
      </c>
      <c r="I1245" t="s">
        <v>713</v>
      </c>
      <c r="J1245" t="s">
        <v>10</v>
      </c>
      <c r="K1245" t="s">
        <v>714</v>
      </c>
    </row>
    <row r="1246" spans="1:11" x14ac:dyDescent="0.25">
      <c r="A1246" t="s">
        <v>556</v>
      </c>
      <c r="B1246" t="s">
        <v>151</v>
      </c>
      <c r="C1246" t="s">
        <v>397</v>
      </c>
      <c r="D1246">
        <v>500</v>
      </c>
      <c r="E1246">
        <v>98</v>
      </c>
      <c r="F1246">
        <v>3677062</v>
      </c>
      <c r="G1246" t="s">
        <v>712</v>
      </c>
      <c r="H1246">
        <v>381.49400000000003</v>
      </c>
      <c r="I1246" t="s">
        <v>713</v>
      </c>
      <c r="J1246" t="s">
        <v>10</v>
      </c>
      <c r="K1246" t="s">
        <v>714</v>
      </c>
    </row>
    <row r="1247" spans="1:11" x14ac:dyDescent="0.25">
      <c r="A1247" t="s">
        <v>556</v>
      </c>
      <c r="B1247" t="s">
        <v>151</v>
      </c>
      <c r="C1247" t="s">
        <v>397</v>
      </c>
      <c r="D1247">
        <v>1190</v>
      </c>
      <c r="E1247">
        <v>233.24</v>
      </c>
      <c r="F1247">
        <v>3677062</v>
      </c>
      <c r="G1247" t="s">
        <v>712</v>
      </c>
      <c r="H1247">
        <v>907.95699999999999</v>
      </c>
      <c r="I1247" t="s">
        <v>713</v>
      </c>
      <c r="J1247" t="s">
        <v>10</v>
      </c>
      <c r="K1247" t="s">
        <v>714</v>
      </c>
    </row>
    <row r="1248" spans="1:11" x14ac:dyDescent="0.25">
      <c r="A1248" t="s">
        <v>556</v>
      </c>
      <c r="B1248" t="s">
        <v>151</v>
      </c>
      <c r="C1248" t="s">
        <v>397</v>
      </c>
      <c r="D1248">
        <v>40</v>
      </c>
      <c r="E1248">
        <v>7.84</v>
      </c>
      <c r="F1248">
        <v>3677062</v>
      </c>
      <c r="G1248" t="s">
        <v>712</v>
      </c>
      <c r="H1248">
        <v>30.52</v>
      </c>
      <c r="I1248" t="s">
        <v>713</v>
      </c>
      <c r="J1248" t="s">
        <v>10</v>
      </c>
      <c r="K1248" t="s">
        <v>714</v>
      </c>
    </row>
    <row r="1249" spans="1:11" x14ac:dyDescent="0.25">
      <c r="A1249" t="s">
        <v>396</v>
      </c>
      <c r="B1249" t="s">
        <v>61</v>
      </c>
      <c r="C1249" t="s">
        <v>397</v>
      </c>
      <c r="D1249">
        <v>650</v>
      </c>
      <c r="E1249">
        <v>370.68599999999998</v>
      </c>
      <c r="F1249">
        <v>1940325</v>
      </c>
      <c r="G1249" t="s">
        <v>407</v>
      </c>
      <c r="H1249">
        <v>352.3</v>
      </c>
      <c r="I1249" t="s">
        <v>715</v>
      </c>
      <c r="J1249" t="s">
        <v>10</v>
      </c>
      <c r="K1249" t="s">
        <v>716</v>
      </c>
    </row>
    <row r="1250" spans="1:11" x14ac:dyDescent="0.25">
      <c r="A1250" t="s">
        <v>396</v>
      </c>
      <c r="B1250" t="s">
        <v>61</v>
      </c>
      <c r="C1250" t="s">
        <v>397</v>
      </c>
      <c r="D1250">
        <v>2218</v>
      </c>
      <c r="E1250">
        <v>1353.577</v>
      </c>
      <c r="F1250">
        <v>1940329</v>
      </c>
      <c r="G1250" t="s">
        <v>407</v>
      </c>
      <c r="H1250">
        <v>1286.44</v>
      </c>
      <c r="I1250" t="s">
        <v>1419</v>
      </c>
      <c r="J1250" t="s">
        <v>10</v>
      </c>
      <c r="K1250" t="s">
        <v>722</v>
      </c>
    </row>
    <row r="1251" spans="1:11" x14ac:dyDescent="0.25">
      <c r="A1251" t="s">
        <v>396</v>
      </c>
      <c r="B1251" t="s">
        <v>61</v>
      </c>
      <c r="C1251" t="s">
        <v>397</v>
      </c>
      <c r="D1251">
        <v>2129</v>
      </c>
      <c r="E1251">
        <v>1299.2629999999999</v>
      </c>
      <c r="F1251">
        <v>1940329</v>
      </c>
      <c r="G1251" t="s">
        <v>407</v>
      </c>
      <c r="H1251">
        <v>1234.82</v>
      </c>
      <c r="I1251" t="s">
        <v>1419</v>
      </c>
      <c r="J1251" t="s">
        <v>10</v>
      </c>
      <c r="K1251" t="s">
        <v>722</v>
      </c>
    </row>
    <row r="1252" spans="1:11" x14ac:dyDescent="0.25">
      <c r="A1252" t="s">
        <v>396</v>
      </c>
      <c r="B1252" t="s">
        <v>61</v>
      </c>
      <c r="C1252" t="s">
        <v>397</v>
      </c>
      <c r="D1252">
        <v>1600</v>
      </c>
      <c r="E1252">
        <v>976.43100000000004</v>
      </c>
      <c r="F1252">
        <v>1940329</v>
      </c>
      <c r="G1252" t="s">
        <v>407</v>
      </c>
      <c r="H1252">
        <v>928</v>
      </c>
      <c r="I1252" t="s">
        <v>1419</v>
      </c>
      <c r="J1252" t="s">
        <v>10</v>
      </c>
      <c r="K1252" t="s">
        <v>722</v>
      </c>
    </row>
    <row r="1253" spans="1:11" x14ac:dyDescent="0.25">
      <c r="A1253" t="s">
        <v>396</v>
      </c>
      <c r="B1253" t="s">
        <v>61</v>
      </c>
      <c r="C1253" t="s">
        <v>397</v>
      </c>
      <c r="D1253">
        <v>556</v>
      </c>
      <c r="E1253">
        <v>339.31</v>
      </c>
      <c r="F1253">
        <v>1940329</v>
      </c>
      <c r="G1253" t="s">
        <v>407</v>
      </c>
      <c r="H1253">
        <v>322.48</v>
      </c>
      <c r="I1253" t="s">
        <v>1419</v>
      </c>
      <c r="J1253" t="s">
        <v>10</v>
      </c>
      <c r="K1253" t="s">
        <v>722</v>
      </c>
    </row>
    <row r="1254" spans="1:11" x14ac:dyDescent="0.25">
      <c r="A1254" t="s">
        <v>396</v>
      </c>
      <c r="B1254" t="s">
        <v>61</v>
      </c>
      <c r="C1254" t="s">
        <v>397</v>
      </c>
      <c r="D1254">
        <v>532</v>
      </c>
      <c r="E1254">
        <v>324.66300000000001</v>
      </c>
      <c r="F1254">
        <v>1940329</v>
      </c>
      <c r="G1254" t="s">
        <v>407</v>
      </c>
      <c r="H1254">
        <v>308.56</v>
      </c>
      <c r="I1254" t="s">
        <v>1419</v>
      </c>
      <c r="J1254" t="s">
        <v>10</v>
      </c>
      <c r="K1254" t="s">
        <v>722</v>
      </c>
    </row>
    <row r="1255" spans="1:11" x14ac:dyDescent="0.25">
      <c r="A1255" t="s">
        <v>396</v>
      </c>
      <c r="B1255" t="s">
        <v>61</v>
      </c>
      <c r="C1255" t="s">
        <v>397</v>
      </c>
      <c r="D1255">
        <v>222</v>
      </c>
      <c r="E1255">
        <v>135.47999999999999</v>
      </c>
      <c r="F1255">
        <v>1940329</v>
      </c>
      <c r="G1255" t="s">
        <v>407</v>
      </c>
      <c r="H1255">
        <v>128.76</v>
      </c>
      <c r="I1255" t="s">
        <v>1419</v>
      </c>
      <c r="J1255" t="s">
        <v>10</v>
      </c>
      <c r="K1255" t="s">
        <v>722</v>
      </c>
    </row>
    <row r="1256" spans="1:11" x14ac:dyDescent="0.25">
      <c r="A1256" t="s">
        <v>396</v>
      </c>
      <c r="B1256" t="s">
        <v>61</v>
      </c>
      <c r="C1256" t="s">
        <v>397</v>
      </c>
      <c r="D1256">
        <v>168</v>
      </c>
      <c r="E1256">
        <v>102.52500000000001</v>
      </c>
      <c r="F1256">
        <v>1940329</v>
      </c>
      <c r="G1256" t="s">
        <v>407</v>
      </c>
      <c r="H1256">
        <v>97.44</v>
      </c>
      <c r="I1256" t="s">
        <v>1419</v>
      </c>
      <c r="J1256" t="s">
        <v>10</v>
      </c>
      <c r="K1256" t="s">
        <v>722</v>
      </c>
    </row>
    <row r="1257" spans="1:11" x14ac:dyDescent="0.25">
      <c r="A1257" t="s">
        <v>723</v>
      </c>
      <c r="B1257" t="s">
        <v>27</v>
      </c>
      <c r="C1257" t="s">
        <v>397</v>
      </c>
      <c r="D1257">
        <v>3000</v>
      </c>
      <c r="E1257">
        <v>815.91899999999998</v>
      </c>
      <c r="F1257">
        <v>3228788</v>
      </c>
      <c r="G1257" t="s">
        <v>724</v>
      </c>
      <c r="H1257">
        <v>531</v>
      </c>
      <c r="I1257" t="s">
        <v>725</v>
      </c>
      <c r="J1257" t="s">
        <v>10</v>
      </c>
      <c r="K1257" t="s">
        <v>726</v>
      </c>
    </row>
    <row r="1258" spans="1:11" x14ac:dyDescent="0.25">
      <c r="A1258" t="s">
        <v>396</v>
      </c>
      <c r="B1258" t="s">
        <v>61</v>
      </c>
      <c r="C1258" t="s">
        <v>444</v>
      </c>
      <c r="D1258">
        <v>505</v>
      </c>
      <c r="E1258">
        <v>2272</v>
      </c>
      <c r="F1258">
        <v>2410999</v>
      </c>
      <c r="G1258" t="s">
        <v>727</v>
      </c>
      <c r="H1258">
        <v>2920.8829999999998</v>
      </c>
      <c r="I1258" t="s">
        <v>728</v>
      </c>
      <c r="J1258" t="s">
        <v>10</v>
      </c>
      <c r="K1258" t="s">
        <v>729</v>
      </c>
    </row>
    <row r="1259" spans="1:11" x14ac:dyDescent="0.25">
      <c r="A1259" t="s">
        <v>517</v>
      </c>
      <c r="B1259" t="s">
        <v>19</v>
      </c>
      <c r="C1259" t="s">
        <v>397</v>
      </c>
      <c r="D1259">
        <v>5818</v>
      </c>
      <c r="E1259">
        <v>2040.7850000000001</v>
      </c>
      <c r="F1259">
        <v>3616911</v>
      </c>
      <c r="G1259" t="s">
        <v>737</v>
      </c>
      <c r="H1259">
        <v>2356.29</v>
      </c>
      <c r="I1259" t="s">
        <v>738</v>
      </c>
      <c r="J1259" t="s">
        <v>10</v>
      </c>
      <c r="K1259" t="s">
        <v>739</v>
      </c>
    </row>
    <row r="1260" spans="1:11" x14ac:dyDescent="0.25">
      <c r="A1260" t="s">
        <v>517</v>
      </c>
      <c r="B1260" t="s">
        <v>19</v>
      </c>
      <c r="C1260" t="s">
        <v>397</v>
      </c>
      <c r="D1260">
        <v>5837</v>
      </c>
      <c r="E1260">
        <v>2047.4490000000001</v>
      </c>
      <c r="F1260">
        <v>3616911</v>
      </c>
      <c r="G1260" t="s">
        <v>737</v>
      </c>
      <c r="H1260">
        <v>2363.9850000000001</v>
      </c>
      <c r="I1260" t="s">
        <v>738</v>
      </c>
      <c r="J1260" t="s">
        <v>10</v>
      </c>
      <c r="K1260" t="s">
        <v>739</v>
      </c>
    </row>
    <row r="1261" spans="1:11" x14ac:dyDescent="0.25">
      <c r="A1261" t="s">
        <v>517</v>
      </c>
      <c r="B1261" t="s">
        <v>19</v>
      </c>
      <c r="C1261" t="s">
        <v>397</v>
      </c>
      <c r="D1261">
        <v>2269</v>
      </c>
      <c r="E1261">
        <v>795.899</v>
      </c>
      <c r="F1261">
        <v>3616911</v>
      </c>
      <c r="G1261" t="s">
        <v>737</v>
      </c>
      <c r="H1261">
        <v>918.94500000000005</v>
      </c>
      <c r="I1261" t="s">
        <v>738</v>
      </c>
      <c r="J1261" t="s">
        <v>10</v>
      </c>
      <c r="K1261" t="s">
        <v>739</v>
      </c>
    </row>
    <row r="1262" spans="1:11" x14ac:dyDescent="0.25">
      <c r="A1262" t="s">
        <v>517</v>
      </c>
      <c r="B1262" t="s">
        <v>19</v>
      </c>
      <c r="C1262" t="s">
        <v>397</v>
      </c>
      <c r="D1262">
        <v>1496</v>
      </c>
      <c r="E1262">
        <v>524.75300000000004</v>
      </c>
      <c r="F1262">
        <v>3616911</v>
      </c>
      <c r="G1262" t="s">
        <v>737</v>
      </c>
      <c r="H1262">
        <v>605.88</v>
      </c>
      <c r="I1262" t="s">
        <v>738</v>
      </c>
      <c r="J1262" t="s">
        <v>10</v>
      </c>
      <c r="K1262" t="s">
        <v>739</v>
      </c>
    </row>
    <row r="1263" spans="1:11" x14ac:dyDescent="0.25">
      <c r="A1263" t="s">
        <v>517</v>
      </c>
      <c r="B1263" t="s">
        <v>19</v>
      </c>
      <c r="C1263" t="s">
        <v>397</v>
      </c>
      <c r="D1263">
        <v>5</v>
      </c>
      <c r="E1263">
        <v>1.754</v>
      </c>
      <c r="F1263">
        <v>3616911</v>
      </c>
      <c r="G1263" t="s">
        <v>737</v>
      </c>
      <c r="H1263">
        <v>2.0249999999999999</v>
      </c>
      <c r="I1263" t="s">
        <v>738</v>
      </c>
      <c r="J1263" t="s">
        <v>10</v>
      </c>
      <c r="K1263" t="s">
        <v>739</v>
      </c>
    </row>
    <row r="1264" spans="1:11" x14ac:dyDescent="0.25">
      <c r="A1264" t="s">
        <v>585</v>
      </c>
      <c r="B1264" t="s">
        <v>48</v>
      </c>
      <c r="C1264" t="s">
        <v>397</v>
      </c>
      <c r="D1264">
        <v>2482</v>
      </c>
      <c r="E1264">
        <v>1605.8040000000001</v>
      </c>
      <c r="F1264">
        <v>4229657</v>
      </c>
      <c r="G1264" t="s">
        <v>428</v>
      </c>
      <c r="H1264">
        <v>2515.011</v>
      </c>
      <c r="I1264" t="s">
        <v>740</v>
      </c>
      <c r="J1264" t="s">
        <v>10</v>
      </c>
      <c r="K1264" t="s">
        <v>741</v>
      </c>
    </row>
    <row r="1265" spans="1:11" x14ac:dyDescent="0.25">
      <c r="A1265" t="s">
        <v>585</v>
      </c>
      <c r="B1265" t="s">
        <v>48</v>
      </c>
      <c r="C1265" t="s">
        <v>397</v>
      </c>
      <c r="D1265">
        <v>79</v>
      </c>
      <c r="E1265">
        <v>51.110999999999997</v>
      </c>
      <c r="F1265">
        <v>4229657</v>
      </c>
      <c r="G1265" t="s">
        <v>428</v>
      </c>
      <c r="H1265">
        <v>80.051000000000002</v>
      </c>
      <c r="I1265" t="s">
        <v>740</v>
      </c>
      <c r="J1265" t="s">
        <v>10</v>
      </c>
      <c r="K1265" t="s">
        <v>741</v>
      </c>
    </row>
    <row r="1266" spans="1:11" x14ac:dyDescent="0.25">
      <c r="A1266" t="s">
        <v>585</v>
      </c>
      <c r="B1266" t="s">
        <v>48</v>
      </c>
      <c r="C1266" t="s">
        <v>397</v>
      </c>
      <c r="D1266">
        <v>19</v>
      </c>
      <c r="E1266">
        <v>12.292999999999999</v>
      </c>
      <c r="F1266">
        <v>4229657</v>
      </c>
      <c r="G1266" t="s">
        <v>428</v>
      </c>
      <c r="H1266">
        <v>19.253</v>
      </c>
      <c r="I1266" t="s">
        <v>740</v>
      </c>
      <c r="J1266" t="s">
        <v>10</v>
      </c>
      <c r="K1266" t="s">
        <v>741</v>
      </c>
    </row>
    <row r="1267" spans="1:11" x14ac:dyDescent="0.25">
      <c r="A1267" t="s">
        <v>422</v>
      </c>
      <c r="B1267" t="s">
        <v>30</v>
      </c>
      <c r="C1267" t="s">
        <v>444</v>
      </c>
      <c r="D1267">
        <v>303</v>
      </c>
      <c r="E1267">
        <v>1774</v>
      </c>
      <c r="F1267">
        <v>3929636</v>
      </c>
      <c r="G1267" t="s">
        <v>661</v>
      </c>
      <c r="H1267">
        <v>2439.0729999999999</v>
      </c>
      <c r="I1267" t="s">
        <v>742</v>
      </c>
      <c r="J1267" t="s">
        <v>10</v>
      </c>
      <c r="K1267" t="s">
        <v>743</v>
      </c>
    </row>
    <row r="1268" spans="1:11" x14ac:dyDescent="0.25">
      <c r="A1268" t="s">
        <v>422</v>
      </c>
      <c r="B1268" t="s">
        <v>30</v>
      </c>
      <c r="C1268" t="s">
        <v>444</v>
      </c>
      <c r="D1268">
        <v>92</v>
      </c>
      <c r="E1268">
        <v>538</v>
      </c>
      <c r="F1268">
        <v>3929636</v>
      </c>
      <c r="G1268" t="s">
        <v>661</v>
      </c>
      <c r="H1268">
        <v>739.69600000000003</v>
      </c>
      <c r="I1268" t="s">
        <v>742</v>
      </c>
      <c r="J1268" t="s">
        <v>10</v>
      </c>
      <c r="K1268" t="s">
        <v>743</v>
      </c>
    </row>
    <row r="1269" spans="1:11" x14ac:dyDescent="0.25">
      <c r="A1269" t="s">
        <v>422</v>
      </c>
      <c r="B1269" t="s">
        <v>30</v>
      </c>
      <c r="C1269" t="s">
        <v>444</v>
      </c>
      <c r="D1269">
        <v>5</v>
      </c>
      <c r="E1269">
        <v>32</v>
      </c>
      <c r="F1269">
        <v>3929636</v>
      </c>
      <c r="G1269" t="s">
        <v>661</v>
      </c>
      <c r="H1269">
        <v>43.997</v>
      </c>
      <c r="I1269" t="s">
        <v>742</v>
      </c>
      <c r="J1269" t="s">
        <v>10</v>
      </c>
      <c r="K1269" t="s">
        <v>743</v>
      </c>
    </row>
    <row r="1270" spans="1:11" x14ac:dyDescent="0.25">
      <c r="A1270" t="s">
        <v>422</v>
      </c>
      <c r="B1270" t="s">
        <v>30</v>
      </c>
      <c r="C1270" t="s">
        <v>444</v>
      </c>
      <c r="D1270">
        <v>20</v>
      </c>
      <c r="E1270">
        <v>117.2</v>
      </c>
      <c r="F1270">
        <v>3929636</v>
      </c>
      <c r="G1270" t="s">
        <v>661</v>
      </c>
      <c r="H1270">
        <v>161.13800000000001</v>
      </c>
      <c r="I1270" t="s">
        <v>742</v>
      </c>
      <c r="J1270" t="s">
        <v>10</v>
      </c>
      <c r="K1270" t="s">
        <v>743</v>
      </c>
    </row>
    <row r="1271" spans="1:11" x14ac:dyDescent="0.25">
      <c r="A1271" t="s">
        <v>422</v>
      </c>
      <c r="B1271" t="s">
        <v>30</v>
      </c>
      <c r="C1271" t="s">
        <v>444</v>
      </c>
      <c r="D1271">
        <v>200</v>
      </c>
      <c r="E1271">
        <v>1172</v>
      </c>
      <c r="F1271">
        <v>3929636</v>
      </c>
      <c r="G1271" t="s">
        <v>661</v>
      </c>
      <c r="H1271">
        <v>1611.383</v>
      </c>
      <c r="I1271" t="s">
        <v>742</v>
      </c>
      <c r="J1271" t="s">
        <v>10</v>
      </c>
      <c r="K1271" t="s">
        <v>743</v>
      </c>
    </row>
    <row r="1272" spans="1:11" x14ac:dyDescent="0.25">
      <c r="A1272" t="s">
        <v>422</v>
      </c>
      <c r="B1272" t="s">
        <v>30</v>
      </c>
      <c r="C1272" t="s">
        <v>444</v>
      </c>
      <c r="D1272">
        <v>300</v>
      </c>
      <c r="E1272">
        <v>1704</v>
      </c>
      <c r="F1272">
        <v>3597714</v>
      </c>
      <c r="G1272" t="s">
        <v>456</v>
      </c>
      <c r="H1272">
        <v>1861.45</v>
      </c>
      <c r="I1272" t="s">
        <v>744</v>
      </c>
      <c r="J1272" t="s">
        <v>10</v>
      </c>
      <c r="K1272" t="s">
        <v>458</v>
      </c>
    </row>
    <row r="1273" spans="1:11" x14ac:dyDescent="0.25">
      <c r="A1273" t="s">
        <v>422</v>
      </c>
      <c r="B1273" t="s">
        <v>30</v>
      </c>
      <c r="C1273" t="s">
        <v>444</v>
      </c>
      <c r="D1273">
        <v>31</v>
      </c>
      <c r="E1273">
        <v>178</v>
      </c>
      <c r="F1273">
        <v>3597714</v>
      </c>
      <c r="G1273" t="s">
        <v>456</v>
      </c>
      <c r="H1273">
        <v>194.447</v>
      </c>
      <c r="I1273" t="s">
        <v>744</v>
      </c>
      <c r="J1273" t="s">
        <v>10</v>
      </c>
      <c r="K1273" t="s">
        <v>458</v>
      </c>
    </row>
    <row r="1274" spans="1:11" x14ac:dyDescent="0.25">
      <c r="A1274" t="s">
        <v>422</v>
      </c>
      <c r="B1274" t="s">
        <v>30</v>
      </c>
      <c r="C1274" t="s">
        <v>444</v>
      </c>
      <c r="D1274">
        <v>169</v>
      </c>
      <c r="E1274">
        <v>958</v>
      </c>
      <c r="F1274">
        <v>3597714</v>
      </c>
      <c r="G1274" t="s">
        <v>456</v>
      </c>
      <c r="H1274">
        <v>1046.519</v>
      </c>
      <c r="I1274" t="s">
        <v>744</v>
      </c>
      <c r="J1274" t="s">
        <v>10</v>
      </c>
      <c r="K1274" t="s">
        <v>458</v>
      </c>
    </row>
    <row r="1275" spans="1:11" x14ac:dyDescent="0.25">
      <c r="A1275" t="s">
        <v>419</v>
      </c>
      <c r="B1275" t="s">
        <v>46</v>
      </c>
      <c r="C1275" t="s">
        <v>444</v>
      </c>
      <c r="D1275">
        <v>410</v>
      </c>
      <c r="E1275">
        <v>2550</v>
      </c>
      <c r="F1275">
        <v>3500367</v>
      </c>
      <c r="G1275" t="s">
        <v>748</v>
      </c>
      <c r="H1275">
        <v>2767.0050000000001</v>
      </c>
      <c r="I1275" t="s">
        <v>755</v>
      </c>
      <c r="J1275" t="s">
        <v>10</v>
      </c>
      <c r="K1275" t="s">
        <v>756</v>
      </c>
    </row>
    <row r="1276" spans="1:11" x14ac:dyDescent="0.25">
      <c r="A1276" t="s">
        <v>573</v>
      </c>
      <c r="B1276" t="s">
        <v>52</v>
      </c>
      <c r="C1276" t="s">
        <v>397</v>
      </c>
      <c r="D1276">
        <v>443</v>
      </c>
      <c r="E1276">
        <v>121.84699999999999</v>
      </c>
      <c r="F1276">
        <v>3553684</v>
      </c>
      <c r="G1276" t="s">
        <v>412</v>
      </c>
      <c r="H1276">
        <v>99.231999999999999</v>
      </c>
      <c r="I1276" t="s">
        <v>1505</v>
      </c>
      <c r="J1276" t="s">
        <v>10</v>
      </c>
      <c r="K1276" t="s">
        <v>2286</v>
      </c>
    </row>
    <row r="1277" spans="1:11" x14ac:dyDescent="0.25">
      <c r="A1277" t="s">
        <v>573</v>
      </c>
      <c r="B1277" t="s">
        <v>52</v>
      </c>
      <c r="C1277" t="s">
        <v>397</v>
      </c>
      <c r="D1277">
        <v>85</v>
      </c>
      <c r="E1277">
        <v>23.379000000000001</v>
      </c>
      <c r="F1277">
        <v>3553684</v>
      </c>
      <c r="G1277" t="s">
        <v>412</v>
      </c>
      <c r="H1277">
        <v>19.04</v>
      </c>
      <c r="I1277" t="s">
        <v>1505</v>
      </c>
      <c r="J1277" t="s">
        <v>10</v>
      </c>
      <c r="K1277" t="s">
        <v>2286</v>
      </c>
    </row>
    <row r="1278" spans="1:11" x14ac:dyDescent="0.25">
      <c r="A1278" t="s">
        <v>573</v>
      </c>
      <c r="B1278" t="s">
        <v>52</v>
      </c>
      <c r="C1278" t="s">
        <v>397</v>
      </c>
      <c r="D1278">
        <v>72</v>
      </c>
      <c r="E1278">
        <v>19.803999999999998</v>
      </c>
      <c r="F1278">
        <v>3553684</v>
      </c>
      <c r="G1278" t="s">
        <v>412</v>
      </c>
      <c r="H1278">
        <v>16.128</v>
      </c>
      <c r="I1278" t="s">
        <v>1505</v>
      </c>
      <c r="J1278" t="s">
        <v>10</v>
      </c>
      <c r="K1278" t="s">
        <v>2286</v>
      </c>
    </row>
    <row r="1279" spans="1:11" x14ac:dyDescent="0.25">
      <c r="A1279" t="s">
        <v>757</v>
      </c>
      <c r="B1279" t="s">
        <v>53</v>
      </c>
      <c r="C1279" t="s">
        <v>397</v>
      </c>
      <c r="D1279">
        <v>1224</v>
      </c>
      <c r="E1279">
        <v>844.65599999999995</v>
      </c>
      <c r="F1279">
        <v>3714733</v>
      </c>
      <c r="G1279" t="s">
        <v>412</v>
      </c>
      <c r="H1279">
        <v>687.88800000000003</v>
      </c>
      <c r="I1279" t="s">
        <v>758</v>
      </c>
      <c r="J1279" t="s">
        <v>10</v>
      </c>
      <c r="K1279" t="s">
        <v>759</v>
      </c>
    </row>
    <row r="1280" spans="1:11" x14ac:dyDescent="0.25">
      <c r="A1280" t="s">
        <v>757</v>
      </c>
      <c r="B1280" t="s">
        <v>53</v>
      </c>
      <c r="C1280" t="s">
        <v>397</v>
      </c>
      <c r="D1280">
        <v>2270</v>
      </c>
      <c r="E1280">
        <v>1566.4780000000001</v>
      </c>
      <c r="F1280">
        <v>3714733</v>
      </c>
      <c r="G1280" t="s">
        <v>412</v>
      </c>
      <c r="H1280">
        <v>1275.74</v>
      </c>
      <c r="I1280" t="s">
        <v>758</v>
      </c>
      <c r="J1280" t="s">
        <v>10</v>
      </c>
      <c r="K1280" t="s">
        <v>759</v>
      </c>
    </row>
    <row r="1281" spans="1:11" x14ac:dyDescent="0.25">
      <c r="A1281" t="s">
        <v>757</v>
      </c>
      <c r="B1281" t="s">
        <v>53</v>
      </c>
      <c r="C1281" t="s">
        <v>397</v>
      </c>
      <c r="D1281">
        <v>619</v>
      </c>
      <c r="E1281">
        <v>427.15899999999999</v>
      </c>
      <c r="F1281">
        <v>3714733</v>
      </c>
      <c r="G1281" t="s">
        <v>412</v>
      </c>
      <c r="H1281">
        <v>347.87799999999999</v>
      </c>
      <c r="I1281" t="s">
        <v>758</v>
      </c>
      <c r="J1281" t="s">
        <v>10</v>
      </c>
      <c r="K1281" t="s">
        <v>759</v>
      </c>
    </row>
    <row r="1282" spans="1:11" x14ac:dyDescent="0.25">
      <c r="A1282" t="s">
        <v>757</v>
      </c>
      <c r="B1282" t="s">
        <v>53</v>
      </c>
      <c r="C1282" t="s">
        <v>397</v>
      </c>
      <c r="D1282">
        <v>787</v>
      </c>
      <c r="E1282">
        <v>543.09199999999998</v>
      </c>
      <c r="F1282">
        <v>3714733</v>
      </c>
      <c r="G1282" t="s">
        <v>412</v>
      </c>
      <c r="H1282">
        <v>442.29399999999998</v>
      </c>
      <c r="I1282" t="s">
        <v>758</v>
      </c>
      <c r="J1282" t="s">
        <v>10</v>
      </c>
      <c r="K1282" t="s">
        <v>759</v>
      </c>
    </row>
    <row r="1283" spans="1:11" x14ac:dyDescent="0.25">
      <c r="A1283" t="s">
        <v>396</v>
      </c>
      <c r="B1283" t="s">
        <v>61</v>
      </c>
      <c r="C1283" t="s">
        <v>397</v>
      </c>
      <c r="D1283">
        <v>2558</v>
      </c>
      <c r="E1283">
        <v>3423.6489999999999</v>
      </c>
      <c r="F1283">
        <v>2349249</v>
      </c>
      <c r="G1283" t="s">
        <v>412</v>
      </c>
      <c r="H1283">
        <v>2788.22</v>
      </c>
      <c r="I1283" t="s">
        <v>760</v>
      </c>
      <c r="J1283" t="s">
        <v>10</v>
      </c>
      <c r="K1283" t="s">
        <v>761</v>
      </c>
    </row>
    <row r="1284" spans="1:11" x14ac:dyDescent="0.25">
      <c r="A1284" t="s">
        <v>396</v>
      </c>
      <c r="B1284" t="s">
        <v>61</v>
      </c>
      <c r="C1284" t="s">
        <v>397</v>
      </c>
      <c r="D1284">
        <v>1649</v>
      </c>
      <c r="E1284">
        <v>2207.0360000000001</v>
      </c>
      <c r="F1284">
        <v>2349249</v>
      </c>
      <c r="G1284" t="s">
        <v>412</v>
      </c>
      <c r="H1284">
        <v>1797.41</v>
      </c>
      <c r="I1284" t="s">
        <v>760</v>
      </c>
      <c r="J1284" t="s">
        <v>10</v>
      </c>
      <c r="K1284" t="s">
        <v>761</v>
      </c>
    </row>
    <row r="1285" spans="1:11" x14ac:dyDescent="0.25">
      <c r="A1285" t="s">
        <v>396</v>
      </c>
      <c r="B1285" t="s">
        <v>61</v>
      </c>
      <c r="C1285" t="s">
        <v>397</v>
      </c>
      <c r="D1285">
        <v>43</v>
      </c>
      <c r="E1285">
        <v>57.552</v>
      </c>
      <c r="F1285">
        <v>2349249</v>
      </c>
      <c r="G1285" t="s">
        <v>412</v>
      </c>
      <c r="H1285">
        <v>46.87</v>
      </c>
      <c r="I1285" t="s">
        <v>760</v>
      </c>
      <c r="J1285" t="s">
        <v>10</v>
      </c>
      <c r="K1285" t="s">
        <v>761</v>
      </c>
    </row>
    <row r="1286" spans="1:11" x14ac:dyDescent="0.25">
      <c r="A1286" t="s">
        <v>396</v>
      </c>
      <c r="B1286" t="s">
        <v>61</v>
      </c>
      <c r="C1286" t="s">
        <v>397</v>
      </c>
      <c r="D1286">
        <v>1958</v>
      </c>
      <c r="E1286">
        <v>430.767</v>
      </c>
      <c r="F1286">
        <v>1940430</v>
      </c>
      <c r="G1286" t="s">
        <v>633</v>
      </c>
      <c r="H1286">
        <v>419.49099999999999</v>
      </c>
      <c r="I1286" t="s">
        <v>762</v>
      </c>
      <c r="J1286" t="s">
        <v>10</v>
      </c>
      <c r="K1286" t="s">
        <v>763</v>
      </c>
    </row>
    <row r="1287" spans="1:11" x14ac:dyDescent="0.25">
      <c r="A1287" t="s">
        <v>396</v>
      </c>
      <c r="B1287" t="s">
        <v>61</v>
      </c>
      <c r="C1287" t="s">
        <v>397</v>
      </c>
      <c r="D1287">
        <v>1300</v>
      </c>
      <c r="E1287">
        <v>286.005</v>
      </c>
      <c r="F1287">
        <v>1940430</v>
      </c>
      <c r="G1287" t="s">
        <v>633</v>
      </c>
      <c r="H1287">
        <v>278.51799999999997</v>
      </c>
      <c r="I1287" t="s">
        <v>762</v>
      </c>
      <c r="J1287" t="s">
        <v>10</v>
      </c>
      <c r="K1287" t="s">
        <v>763</v>
      </c>
    </row>
    <row r="1288" spans="1:11" x14ac:dyDescent="0.25">
      <c r="A1288" t="s">
        <v>396</v>
      </c>
      <c r="B1288" t="s">
        <v>61</v>
      </c>
      <c r="C1288" t="s">
        <v>397</v>
      </c>
      <c r="D1288">
        <v>924</v>
      </c>
      <c r="E1288">
        <v>203.28299999999999</v>
      </c>
      <c r="F1288">
        <v>1940430</v>
      </c>
      <c r="G1288" t="s">
        <v>633</v>
      </c>
      <c r="H1288">
        <v>197.96199999999999</v>
      </c>
      <c r="I1288" t="s">
        <v>762</v>
      </c>
      <c r="J1288" t="s">
        <v>10</v>
      </c>
      <c r="K1288" t="s">
        <v>763</v>
      </c>
    </row>
    <row r="1289" spans="1:11" x14ac:dyDescent="0.25">
      <c r="A1289" t="s">
        <v>396</v>
      </c>
      <c r="B1289" t="s">
        <v>61</v>
      </c>
      <c r="C1289" t="s">
        <v>397</v>
      </c>
      <c r="D1289">
        <v>18</v>
      </c>
      <c r="E1289">
        <v>3.96</v>
      </c>
      <c r="F1289">
        <v>1940430</v>
      </c>
      <c r="G1289" t="s">
        <v>633</v>
      </c>
      <c r="H1289">
        <v>3.8559999999999999</v>
      </c>
      <c r="I1289" t="s">
        <v>762</v>
      </c>
      <c r="J1289" t="s">
        <v>10</v>
      </c>
      <c r="K1289" t="s">
        <v>763</v>
      </c>
    </row>
    <row r="1290" spans="1:11" x14ac:dyDescent="0.25">
      <c r="A1290" t="s">
        <v>641</v>
      </c>
      <c r="B1290" t="s">
        <v>180</v>
      </c>
      <c r="C1290" t="s">
        <v>397</v>
      </c>
      <c r="D1290">
        <v>1874</v>
      </c>
      <c r="E1290">
        <v>1453.1859999999999</v>
      </c>
      <c r="F1290">
        <v>2422186</v>
      </c>
      <c r="G1290" t="s">
        <v>633</v>
      </c>
      <c r="H1290">
        <v>1384.886</v>
      </c>
      <c r="I1290" t="s">
        <v>2098</v>
      </c>
      <c r="J1290" t="s">
        <v>10</v>
      </c>
      <c r="K1290" t="s">
        <v>2218</v>
      </c>
    </row>
    <row r="1291" spans="1:11" x14ac:dyDescent="0.25">
      <c r="A1291" t="s">
        <v>641</v>
      </c>
      <c r="B1291" t="s">
        <v>180</v>
      </c>
      <c r="C1291" t="s">
        <v>397</v>
      </c>
      <c r="D1291">
        <v>2098</v>
      </c>
      <c r="E1291">
        <v>1626.886</v>
      </c>
      <c r="F1291">
        <v>2422186</v>
      </c>
      <c r="G1291" t="s">
        <v>633</v>
      </c>
      <c r="H1291">
        <v>1550.422</v>
      </c>
      <c r="I1291" t="s">
        <v>2098</v>
      </c>
      <c r="J1291" t="s">
        <v>10</v>
      </c>
      <c r="K1291" t="s">
        <v>2218</v>
      </c>
    </row>
    <row r="1292" spans="1:11" x14ac:dyDescent="0.25">
      <c r="A1292" t="s">
        <v>641</v>
      </c>
      <c r="B1292" t="s">
        <v>180</v>
      </c>
      <c r="C1292" t="s">
        <v>397</v>
      </c>
      <c r="D1292">
        <v>1698</v>
      </c>
      <c r="E1292">
        <v>1316.7070000000001</v>
      </c>
      <c r="F1292">
        <v>2422186</v>
      </c>
      <c r="G1292" t="s">
        <v>633</v>
      </c>
      <c r="H1292">
        <v>1254.8219999999999</v>
      </c>
      <c r="I1292" t="s">
        <v>2098</v>
      </c>
      <c r="J1292" t="s">
        <v>10</v>
      </c>
      <c r="K1292" t="s">
        <v>2218</v>
      </c>
    </row>
    <row r="1293" spans="1:11" x14ac:dyDescent="0.25">
      <c r="A1293" t="s">
        <v>641</v>
      </c>
      <c r="B1293" t="s">
        <v>180</v>
      </c>
      <c r="C1293" t="s">
        <v>397</v>
      </c>
      <c r="D1293">
        <v>775</v>
      </c>
      <c r="E1293">
        <v>600.971</v>
      </c>
      <c r="F1293">
        <v>2422186</v>
      </c>
      <c r="G1293" t="s">
        <v>633</v>
      </c>
      <c r="H1293">
        <v>572.72500000000002</v>
      </c>
      <c r="I1293" t="s">
        <v>2098</v>
      </c>
      <c r="J1293" t="s">
        <v>10</v>
      </c>
      <c r="K1293" t="s">
        <v>2218</v>
      </c>
    </row>
    <row r="1294" spans="1:11" x14ac:dyDescent="0.25">
      <c r="A1294" t="s">
        <v>641</v>
      </c>
      <c r="B1294" t="s">
        <v>180</v>
      </c>
      <c r="C1294" t="s">
        <v>397</v>
      </c>
      <c r="D1294">
        <v>500</v>
      </c>
      <c r="E1294">
        <v>387.72300000000001</v>
      </c>
      <c r="F1294">
        <v>2422186</v>
      </c>
      <c r="G1294" t="s">
        <v>633</v>
      </c>
      <c r="H1294">
        <v>369.5</v>
      </c>
      <c r="I1294" t="s">
        <v>2098</v>
      </c>
      <c r="J1294" t="s">
        <v>10</v>
      </c>
      <c r="K1294" t="s">
        <v>2218</v>
      </c>
    </row>
    <row r="1295" spans="1:11" x14ac:dyDescent="0.25">
      <c r="A1295" t="s">
        <v>641</v>
      </c>
      <c r="B1295" t="s">
        <v>180</v>
      </c>
      <c r="C1295" t="s">
        <v>397</v>
      </c>
      <c r="D1295">
        <v>237</v>
      </c>
      <c r="E1295">
        <v>183.78100000000001</v>
      </c>
      <c r="F1295">
        <v>2422186</v>
      </c>
      <c r="G1295" t="s">
        <v>633</v>
      </c>
      <c r="H1295">
        <v>175.143</v>
      </c>
      <c r="I1295" t="s">
        <v>2098</v>
      </c>
      <c r="J1295" t="s">
        <v>10</v>
      </c>
      <c r="K1295" t="s">
        <v>2218</v>
      </c>
    </row>
    <row r="1296" spans="1:11" x14ac:dyDescent="0.25">
      <c r="A1296" t="s">
        <v>641</v>
      </c>
      <c r="B1296" t="s">
        <v>180</v>
      </c>
      <c r="C1296" t="s">
        <v>397</v>
      </c>
      <c r="D1296">
        <v>18</v>
      </c>
      <c r="E1296">
        <v>13.958</v>
      </c>
      <c r="F1296">
        <v>2422186</v>
      </c>
      <c r="G1296" t="s">
        <v>633</v>
      </c>
      <c r="H1296">
        <v>13.302</v>
      </c>
      <c r="I1296" t="s">
        <v>2098</v>
      </c>
      <c r="J1296" t="s">
        <v>10</v>
      </c>
      <c r="K1296" t="s">
        <v>2218</v>
      </c>
    </row>
    <row r="1297" spans="1:11" x14ac:dyDescent="0.25">
      <c r="A1297" t="s">
        <v>678</v>
      </c>
      <c r="B1297" t="s">
        <v>181</v>
      </c>
      <c r="C1297" t="s">
        <v>397</v>
      </c>
      <c r="D1297">
        <v>2420</v>
      </c>
      <c r="E1297">
        <v>2032.829</v>
      </c>
      <c r="F1297">
        <v>3943202</v>
      </c>
      <c r="G1297" t="s">
        <v>679</v>
      </c>
      <c r="H1297">
        <v>2029.17</v>
      </c>
      <c r="I1297" t="s">
        <v>768</v>
      </c>
      <c r="J1297" t="s">
        <v>10</v>
      </c>
      <c r="K1297" t="s">
        <v>769</v>
      </c>
    </row>
    <row r="1298" spans="1:11" x14ac:dyDescent="0.25">
      <c r="A1298" t="s">
        <v>678</v>
      </c>
      <c r="B1298" t="s">
        <v>181</v>
      </c>
      <c r="C1298" t="s">
        <v>397</v>
      </c>
      <c r="D1298">
        <v>5</v>
      </c>
      <c r="E1298">
        <v>4.2</v>
      </c>
      <c r="F1298">
        <v>3943202</v>
      </c>
      <c r="G1298" t="s">
        <v>679</v>
      </c>
      <c r="H1298">
        <v>4.1920000000000002</v>
      </c>
      <c r="I1298" t="s">
        <v>768</v>
      </c>
      <c r="J1298" t="s">
        <v>10</v>
      </c>
      <c r="K1298" t="s">
        <v>769</v>
      </c>
    </row>
    <row r="1299" spans="1:11" x14ac:dyDescent="0.25">
      <c r="A1299" t="s">
        <v>678</v>
      </c>
      <c r="B1299" t="s">
        <v>181</v>
      </c>
      <c r="C1299" t="s">
        <v>397</v>
      </c>
      <c r="D1299">
        <v>3174</v>
      </c>
      <c r="E1299">
        <v>2666.1979999999999</v>
      </c>
      <c r="F1299">
        <v>3943202</v>
      </c>
      <c r="G1299" t="s">
        <v>679</v>
      </c>
      <c r="H1299">
        <v>2661.3989999999999</v>
      </c>
      <c r="I1299" t="s">
        <v>768</v>
      </c>
      <c r="J1299" t="s">
        <v>10</v>
      </c>
      <c r="K1299" t="s">
        <v>769</v>
      </c>
    </row>
    <row r="1300" spans="1:11" x14ac:dyDescent="0.25">
      <c r="A1300" t="s">
        <v>678</v>
      </c>
      <c r="B1300" t="s">
        <v>181</v>
      </c>
      <c r="C1300" t="s">
        <v>397</v>
      </c>
      <c r="D1300">
        <v>1324</v>
      </c>
      <c r="E1300">
        <v>1112.1759999999999</v>
      </c>
      <c r="F1300">
        <v>3943202</v>
      </c>
      <c r="G1300" t="s">
        <v>679</v>
      </c>
      <c r="H1300">
        <v>1110.174</v>
      </c>
      <c r="I1300" t="s">
        <v>768</v>
      </c>
      <c r="J1300" t="s">
        <v>10</v>
      </c>
      <c r="K1300" t="s">
        <v>769</v>
      </c>
    </row>
    <row r="1301" spans="1:11" x14ac:dyDescent="0.25">
      <c r="A1301" t="s">
        <v>678</v>
      </c>
      <c r="B1301" t="s">
        <v>181</v>
      </c>
      <c r="C1301" t="s">
        <v>397</v>
      </c>
      <c r="D1301">
        <v>1049</v>
      </c>
      <c r="E1301">
        <v>881.173</v>
      </c>
      <c r="F1301">
        <v>3943202</v>
      </c>
      <c r="G1301" t="s">
        <v>679</v>
      </c>
      <c r="H1301">
        <v>879.58699999999999</v>
      </c>
      <c r="I1301" t="s">
        <v>768</v>
      </c>
      <c r="J1301" t="s">
        <v>10</v>
      </c>
      <c r="K1301" t="s">
        <v>769</v>
      </c>
    </row>
    <row r="1302" spans="1:11" x14ac:dyDescent="0.25">
      <c r="A1302" t="s">
        <v>678</v>
      </c>
      <c r="B1302" t="s">
        <v>181</v>
      </c>
      <c r="C1302" t="s">
        <v>397</v>
      </c>
      <c r="D1302">
        <v>503</v>
      </c>
      <c r="E1302">
        <v>422.52600000000001</v>
      </c>
      <c r="F1302">
        <v>3943202</v>
      </c>
      <c r="G1302" t="s">
        <v>679</v>
      </c>
      <c r="H1302">
        <v>421.76600000000002</v>
      </c>
      <c r="I1302" t="s">
        <v>768</v>
      </c>
      <c r="J1302" t="s">
        <v>10</v>
      </c>
      <c r="K1302" t="s">
        <v>769</v>
      </c>
    </row>
    <row r="1303" spans="1:11" x14ac:dyDescent="0.25">
      <c r="A1303" t="s">
        <v>597</v>
      </c>
      <c r="B1303" t="s">
        <v>78</v>
      </c>
      <c r="C1303" t="s">
        <v>397</v>
      </c>
      <c r="D1303">
        <v>2340</v>
      </c>
      <c r="E1303">
        <v>3101.4029999999998</v>
      </c>
      <c r="F1303">
        <v>2420106</v>
      </c>
      <c r="G1303" t="s">
        <v>633</v>
      </c>
      <c r="H1303">
        <v>3095.82</v>
      </c>
      <c r="I1303" t="s">
        <v>775</v>
      </c>
      <c r="J1303" t="s">
        <v>10</v>
      </c>
      <c r="K1303" t="s">
        <v>776</v>
      </c>
    </row>
    <row r="1304" spans="1:11" x14ac:dyDescent="0.25">
      <c r="A1304" t="s">
        <v>396</v>
      </c>
      <c r="B1304" t="s">
        <v>61</v>
      </c>
      <c r="C1304" t="s">
        <v>397</v>
      </c>
      <c r="D1304">
        <v>6399</v>
      </c>
      <c r="E1304">
        <v>1798.1479999999999</v>
      </c>
      <c r="F1304">
        <v>1940584</v>
      </c>
      <c r="G1304" t="s">
        <v>737</v>
      </c>
      <c r="H1304">
        <v>2027.7719999999999</v>
      </c>
      <c r="I1304" t="s">
        <v>779</v>
      </c>
      <c r="J1304" t="s">
        <v>10</v>
      </c>
      <c r="K1304" t="s">
        <v>780</v>
      </c>
    </row>
    <row r="1305" spans="1:11" x14ac:dyDescent="0.25">
      <c r="A1305" t="s">
        <v>396</v>
      </c>
      <c r="B1305" t="s">
        <v>61</v>
      </c>
      <c r="C1305" t="s">
        <v>397</v>
      </c>
      <c r="D1305">
        <v>1022</v>
      </c>
      <c r="E1305">
        <v>287.18700000000001</v>
      </c>
      <c r="F1305">
        <v>1940584</v>
      </c>
      <c r="G1305" t="s">
        <v>737</v>
      </c>
      <c r="H1305">
        <v>323.86</v>
      </c>
      <c r="I1305" t="s">
        <v>779</v>
      </c>
      <c r="J1305" t="s">
        <v>10</v>
      </c>
      <c r="K1305" t="s">
        <v>780</v>
      </c>
    </row>
    <row r="1306" spans="1:11" x14ac:dyDescent="0.25">
      <c r="A1306" t="s">
        <v>396</v>
      </c>
      <c r="B1306" t="s">
        <v>61</v>
      </c>
      <c r="C1306" t="s">
        <v>397</v>
      </c>
      <c r="D1306">
        <v>729</v>
      </c>
      <c r="E1306">
        <v>204.852</v>
      </c>
      <c r="F1306">
        <v>1940584</v>
      </c>
      <c r="G1306" t="s">
        <v>737</v>
      </c>
      <c r="H1306">
        <v>231.012</v>
      </c>
      <c r="I1306" t="s">
        <v>779</v>
      </c>
      <c r="J1306" t="s">
        <v>10</v>
      </c>
      <c r="K1306" t="s">
        <v>780</v>
      </c>
    </row>
    <row r="1307" spans="1:11" x14ac:dyDescent="0.25">
      <c r="A1307" t="s">
        <v>396</v>
      </c>
      <c r="B1307" t="s">
        <v>61</v>
      </c>
      <c r="C1307" t="s">
        <v>397</v>
      </c>
      <c r="D1307">
        <v>4218</v>
      </c>
      <c r="E1307">
        <v>1185.277</v>
      </c>
      <c r="F1307">
        <v>1940584</v>
      </c>
      <c r="G1307" t="s">
        <v>737</v>
      </c>
      <c r="H1307">
        <v>1336.6369999999999</v>
      </c>
      <c r="I1307" t="s">
        <v>779</v>
      </c>
      <c r="J1307" t="s">
        <v>10</v>
      </c>
      <c r="K1307" t="s">
        <v>780</v>
      </c>
    </row>
    <row r="1308" spans="1:11" x14ac:dyDescent="0.25">
      <c r="A1308" t="s">
        <v>396</v>
      </c>
      <c r="B1308" t="s">
        <v>61</v>
      </c>
      <c r="C1308" t="s">
        <v>397</v>
      </c>
      <c r="D1308">
        <v>1915</v>
      </c>
      <c r="E1308">
        <v>538.12400000000002</v>
      </c>
      <c r="F1308">
        <v>1940584</v>
      </c>
      <c r="G1308" t="s">
        <v>737</v>
      </c>
      <c r="H1308">
        <v>606.84199999999998</v>
      </c>
      <c r="I1308" t="s">
        <v>779</v>
      </c>
      <c r="J1308" t="s">
        <v>10</v>
      </c>
      <c r="K1308" t="s">
        <v>780</v>
      </c>
    </row>
    <row r="1309" spans="1:11" x14ac:dyDescent="0.25">
      <c r="A1309" t="s">
        <v>396</v>
      </c>
      <c r="B1309" t="s">
        <v>61</v>
      </c>
      <c r="C1309" t="s">
        <v>397</v>
      </c>
      <c r="D1309">
        <v>117</v>
      </c>
      <c r="E1309">
        <v>32.878</v>
      </c>
      <c r="F1309">
        <v>1940584</v>
      </c>
      <c r="G1309" t="s">
        <v>737</v>
      </c>
      <c r="H1309">
        <v>37.076000000000001</v>
      </c>
      <c r="I1309" t="s">
        <v>779</v>
      </c>
      <c r="J1309" t="s">
        <v>10</v>
      </c>
      <c r="K1309" t="s">
        <v>780</v>
      </c>
    </row>
    <row r="1310" spans="1:11" x14ac:dyDescent="0.25">
      <c r="A1310" t="s">
        <v>396</v>
      </c>
      <c r="B1310" t="s">
        <v>61</v>
      </c>
      <c r="C1310" t="s">
        <v>397</v>
      </c>
      <c r="D1310">
        <v>2075</v>
      </c>
      <c r="E1310">
        <v>583.08500000000004</v>
      </c>
      <c r="F1310">
        <v>1940584</v>
      </c>
      <c r="G1310" t="s">
        <v>737</v>
      </c>
      <c r="H1310">
        <v>657.54399999999998</v>
      </c>
      <c r="I1310" t="s">
        <v>779</v>
      </c>
      <c r="J1310" t="s">
        <v>10</v>
      </c>
      <c r="K1310" t="s">
        <v>780</v>
      </c>
    </row>
    <row r="1311" spans="1:11" x14ac:dyDescent="0.25">
      <c r="A1311" t="s">
        <v>517</v>
      </c>
      <c r="B1311" t="s">
        <v>19</v>
      </c>
      <c r="C1311" t="s">
        <v>444</v>
      </c>
      <c r="D1311">
        <v>356</v>
      </c>
      <c r="E1311">
        <v>2137.06</v>
      </c>
      <c r="F1311">
        <v>1931535</v>
      </c>
      <c r="G1311" t="s">
        <v>633</v>
      </c>
      <c r="H1311">
        <v>2133</v>
      </c>
      <c r="I1311" t="s">
        <v>781</v>
      </c>
      <c r="J1311" t="s">
        <v>10</v>
      </c>
      <c r="K1311" t="s">
        <v>782</v>
      </c>
    </row>
    <row r="1312" spans="1:11" x14ac:dyDescent="0.25">
      <c r="A1312" t="s">
        <v>517</v>
      </c>
      <c r="B1312" t="s">
        <v>19</v>
      </c>
      <c r="C1312" t="s">
        <v>444</v>
      </c>
      <c r="D1312">
        <v>338</v>
      </c>
      <c r="E1312">
        <v>2026.8510000000001</v>
      </c>
      <c r="F1312">
        <v>1931535</v>
      </c>
      <c r="G1312" t="s">
        <v>633</v>
      </c>
      <c r="H1312">
        <v>2023</v>
      </c>
      <c r="I1312" t="s">
        <v>781</v>
      </c>
      <c r="J1312" t="s">
        <v>10</v>
      </c>
      <c r="K1312" t="s">
        <v>782</v>
      </c>
    </row>
    <row r="1313" spans="1:11" x14ac:dyDescent="0.25">
      <c r="A1313" t="s">
        <v>517</v>
      </c>
      <c r="B1313" t="s">
        <v>19</v>
      </c>
      <c r="C1313" t="s">
        <v>444</v>
      </c>
      <c r="D1313">
        <v>358</v>
      </c>
      <c r="E1313">
        <v>2149.0830000000001</v>
      </c>
      <c r="F1313">
        <v>1931535</v>
      </c>
      <c r="G1313" t="s">
        <v>633</v>
      </c>
      <c r="H1313">
        <v>2145</v>
      </c>
      <c r="I1313" t="s">
        <v>781</v>
      </c>
      <c r="J1313" t="s">
        <v>10</v>
      </c>
      <c r="K1313" t="s">
        <v>782</v>
      </c>
    </row>
    <row r="1314" spans="1:11" x14ac:dyDescent="0.25">
      <c r="A1314" t="s">
        <v>517</v>
      </c>
      <c r="B1314" t="s">
        <v>19</v>
      </c>
      <c r="C1314" t="s">
        <v>444</v>
      </c>
      <c r="D1314">
        <v>352</v>
      </c>
      <c r="E1314">
        <v>2111.7620000000002</v>
      </c>
      <c r="F1314">
        <v>1931535</v>
      </c>
      <c r="G1314" t="s">
        <v>633</v>
      </c>
      <c r="H1314">
        <v>2107.75</v>
      </c>
      <c r="I1314" t="s">
        <v>781</v>
      </c>
      <c r="J1314" t="s">
        <v>10</v>
      </c>
      <c r="K1314" t="s">
        <v>782</v>
      </c>
    </row>
    <row r="1315" spans="1:11" x14ac:dyDescent="0.25">
      <c r="A1315" t="s">
        <v>517</v>
      </c>
      <c r="B1315" t="s">
        <v>19</v>
      </c>
      <c r="C1315" t="s">
        <v>444</v>
      </c>
      <c r="D1315">
        <v>365</v>
      </c>
      <c r="E1315">
        <v>2189.9110000000001</v>
      </c>
      <c r="F1315">
        <v>1931535</v>
      </c>
      <c r="G1315" t="s">
        <v>633</v>
      </c>
      <c r="H1315">
        <v>2185.75</v>
      </c>
      <c r="I1315" t="s">
        <v>781</v>
      </c>
      <c r="J1315" t="s">
        <v>10</v>
      </c>
      <c r="K1315" t="s">
        <v>782</v>
      </c>
    </row>
    <row r="1316" spans="1:11" x14ac:dyDescent="0.25">
      <c r="A1316" t="s">
        <v>517</v>
      </c>
      <c r="B1316" t="s">
        <v>19</v>
      </c>
      <c r="C1316" t="s">
        <v>444</v>
      </c>
      <c r="D1316">
        <v>181</v>
      </c>
      <c r="E1316">
        <v>1086.8150000000001</v>
      </c>
      <c r="F1316">
        <v>1931535</v>
      </c>
      <c r="G1316" t="s">
        <v>633</v>
      </c>
      <c r="H1316">
        <v>1084.75</v>
      </c>
      <c r="I1316" t="s">
        <v>781</v>
      </c>
      <c r="J1316" t="s">
        <v>10</v>
      </c>
      <c r="K1316" t="s">
        <v>782</v>
      </c>
    </row>
    <row r="1317" spans="1:11" x14ac:dyDescent="0.25">
      <c r="A1317" t="s">
        <v>517</v>
      </c>
      <c r="B1317" t="s">
        <v>19</v>
      </c>
      <c r="C1317" t="s">
        <v>444</v>
      </c>
      <c r="D1317">
        <v>192</v>
      </c>
      <c r="E1317">
        <v>1154.193</v>
      </c>
      <c r="F1317">
        <v>1931535</v>
      </c>
      <c r="G1317" t="s">
        <v>633</v>
      </c>
      <c r="H1317">
        <v>1152</v>
      </c>
      <c r="I1317" t="s">
        <v>781</v>
      </c>
      <c r="J1317" t="s">
        <v>10</v>
      </c>
      <c r="K1317" t="s">
        <v>782</v>
      </c>
    </row>
    <row r="1318" spans="1:11" x14ac:dyDescent="0.25">
      <c r="A1318" t="s">
        <v>517</v>
      </c>
      <c r="B1318" t="s">
        <v>19</v>
      </c>
      <c r="C1318" t="s">
        <v>444</v>
      </c>
      <c r="D1318">
        <v>12</v>
      </c>
      <c r="E1318">
        <v>74.325000000000003</v>
      </c>
      <c r="F1318">
        <v>1931535</v>
      </c>
      <c r="G1318" t="s">
        <v>633</v>
      </c>
      <c r="H1318">
        <v>74.183999999999997</v>
      </c>
      <c r="I1318" t="s">
        <v>781</v>
      </c>
      <c r="J1318" t="s">
        <v>10</v>
      </c>
      <c r="K1318" t="s">
        <v>782</v>
      </c>
    </row>
    <row r="1319" spans="1:11" x14ac:dyDescent="0.25">
      <c r="A1319" t="s">
        <v>422</v>
      </c>
      <c r="B1319" t="s">
        <v>30</v>
      </c>
      <c r="C1319" t="s">
        <v>397</v>
      </c>
      <c r="D1319">
        <v>875</v>
      </c>
      <c r="E1319">
        <v>2231.1579999999999</v>
      </c>
      <c r="F1319">
        <v>2426142</v>
      </c>
      <c r="G1319" t="s">
        <v>785</v>
      </c>
      <c r="H1319">
        <v>1598.625</v>
      </c>
      <c r="I1319" t="s">
        <v>786</v>
      </c>
      <c r="J1319" t="s">
        <v>10</v>
      </c>
      <c r="K1319" t="s">
        <v>787</v>
      </c>
    </row>
    <row r="1320" spans="1:11" x14ac:dyDescent="0.25">
      <c r="A1320" t="s">
        <v>422</v>
      </c>
      <c r="B1320" t="s">
        <v>30</v>
      </c>
      <c r="C1320" t="s">
        <v>397</v>
      </c>
      <c r="D1320">
        <v>875</v>
      </c>
      <c r="E1320">
        <v>2231.1579999999999</v>
      </c>
      <c r="F1320">
        <v>2426142</v>
      </c>
      <c r="G1320" t="s">
        <v>785</v>
      </c>
      <c r="H1320">
        <v>1598.625</v>
      </c>
      <c r="I1320" t="s">
        <v>786</v>
      </c>
      <c r="J1320" t="s">
        <v>10</v>
      </c>
      <c r="K1320" t="s">
        <v>787</v>
      </c>
    </row>
    <row r="1321" spans="1:11" x14ac:dyDescent="0.25">
      <c r="A1321" t="s">
        <v>422</v>
      </c>
      <c r="B1321" t="s">
        <v>30</v>
      </c>
      <c r="C1321" t="s">
        <v>397</v>
      </c>
      <c r="D1321">
        <v>620</v>
      </c>
      <c r="E1321">
        <v>1580.9349999999999</v>
      </c>
      <c r="F1321">
        <v>2426142</v>
      </c>
      <c r="G1321" t="s">
        <v>785</v>
      </c>
      <c r="H1321">
        <v>1132.74</v>
      </c>
      <c r="I1321" t="s">
        <v>786</v>
      </c>
      <c r="J1321" t="s">
        <v>10</v>
      </c>
      <c r="K1321" t="s">
        <v>787</v>
      </c>
    </row>
    <row r="1322" spans="1:11" x14ac:dyDescent="0.25">
      <c r="A1322" t="s">
        <v>422</v>
      </c>
      <c r="B1322" t="s">
        <v>30</v>
      </c>
      <c r="C1322" t="s">
        <v>397</v>
      </c>
      <c r="D1322">
        <v>270</v>
      </c>
      <c r="E1322">
        <v>688.47199999999998</v>
      </c>
      <c r="F1322">
        <v>2426142</v>
      </c>
      <c r="G1322" t="s">
        <v>785</v>
      </c>
      <c r="H1322">
        <v>493.29</v>
      </c>
      <c r="I1322" t="s">
        <v>786</v>
      </c>
      <c r="J1322" t="s">
        <v>10</v>
      </c>
      <c r="K1322" t="s">
        <v>787</v>
      </c>
    </row>
    <row r="1323" spans="1:11" x14ac:dyDescent="0.25">
      <c r="A1323" t="s">
        <v>422</v>
      </c>
      <c r="B1323" t="s">
        <v>30</v>
      </c>
      <c r="C1323" t="s">
        <v>397</v>
      </c>
      <c r="D1323">
        <v>379</v>
      </c>
      <c r="E1323">
        <v>966.41</v>
      </c>
      <c r="F1323">
        <v>2426142</v>
      </c>
      <c r="G1323" t="s">
        <v>785</v>
      </c>
      <c r="H1323">
        <v>692.43299999999999</v>
      </c>
      <c r="I1323" t="s">
        <v>786</v>
      </c>
      <c r="J1323" t="s">
        <v>10</v>
      </c>
      <c r="K1323" t="s">
        <v>787</v>
      </c>
    </row>
    <row r="1324" spans="1:11" x14ac:dyDescent="0.25">
      <c r="A1324" t="s">
        <v>422</v>
      </c>
      <c r="B1324" t="s">
        <v>30</v>
      </c>
      <c r="C1324" t="s">
        <v>397</v>
      </c>
      <c r="D1324">
        <v>246</v>
      </c>
      <c r="E1324">
        <v>627.274</v>
      </c>
      <c r="F1324">
        <v>2426142</v>
      </c>
      <c r="G1324" t="s">
        <v>785</v>
      </c>
      <c r="H1324">
        <v>449.44200000000001</v>
      </c>
      <c r="I1324" t="s">
        <v>786</v>
      </c>
      <c r="J1324" t="s">
        <v>10</v>
      </c>
      <c r="K1324" t="s">
        <v>787</v>
      </c>
    </row>
    <row r="1325" spans="1:11" x14ac:dyDescent="0.25">
      <c r="A1325" t="s">
        <v>422</v>
      </c>
      <c r="B1325" t="s">
        <v>30</v>
      </c>
      <c r="C1325" t="s">
        <v>397</v>
      </c>
      <c r="D1325">
        <v>215</v>
      </c>
      <c r="E1325">
        <v>548.22699999999998</v>
      </c>
      <c r="F1325">
        <v>2426142</v>
      </c>
      <c r="G1325" t="s">
        <v>785</v>
      </c>
      <c r="H1325">
        <v>392.80500000000001</v>
      </c>
      <c r="I1325" t="s">
        <v>786</v>
      </c>
      <c r="J1325" t="s">
        <v>10</v>
      </c>
      <c r="K1325" t="s">
        <v>787</v>
      </c>
    </row>
    <row r="1326" spans="1:11" x14ac:dyDescent="0.25">
      <c r="A1326" t="s">
        <v>437</v>
      </c>
      <c r="B1326" t="s">
        <v>18</v>
      </c>
      <c r="C1326" t="s">
        <v>397</v>
      </c>
      <c r="D1326">
        <v>543</v>
      </c>
      <c r="E1326">
        <v>317.57600000000002</v>
      </c>
      <c r="F1326">
        <v>1940825</v>
      </c>
      <c r="G1326" t="s">
        <v>428</v>
      </c>
      <c r="H1326">
        <v>497.38799999999998</v>
      </c>
      <c r="I1326" t="s">
        <v>788</v>
      </c>
      <c r="J1326" t="s">
        <v>10</v>
      </c>
      <c r="K1326" t="s">
        <v>789</v>
      </c>
    </row>
    <row r="1327" spans="1:11" x14ac:dyDescent="0.25">
      <c r="A1327" t="s">
        <v>437</v>
      </c>
      <c r="B1327" t="s">
        <v>18</v>
      </c>
      <c r="C1327" t="s">
        <v>397</v>
      </c>
      <c r="D1327">
        <v>319</v>
      </c>
      <c r="E1327">
        <v>186.56899999999999</v>
      </c>
      <c r="F1327">
        <v>1940825</v>
      </c>
      <c r="G1327" t="s">
        <v>428</v>
      </c>
      <c r="H1327">
        <v>292.20400000000001</v>
      </c>
      <c r="I1327" t="s">
        <v>788</v>
      </c>
      <c r="J1327" t="s">
        <v>10</v>
      </c>
      <c r="K1327" t="s">
        <v>789</v>
      </c>
    </row>
    <row r="1328" spans="1:11" x14ac:dyDescent="0.25">
      <c r="A1328" t="s">
        <v>437</v>
      </c>
      <c r="B1328" t="s">
        <v>18</v>
      </c>
      <c r="C1328" t="s">
        <v>397</v>
      </c>
      <c r="D1328">
        <v>18</v>
      </c>
      <c r="E1328">
        <v>10.526999999999999</v>
      </c>
      <c r="F1328">
        <v>1940825</v>
      </c>
      <c r="G1328" t="s">
        <v>428</v>
      </c>
      <c r="H1328">
        <v>16.488</v>
      </c>
      <c r="I1328" t="s">
        <v>788</v>
      </c>
      <c r="J1328" t="s">
        <v>10</v>
      </c>
      <c r="K1328" t="s">
        <v>789</v>
      </c>
    </row>
    <row r="1329" spans="1:11" x14ac:dyDescent="0.25">
      <c r="A1329" t="s">
        <v>437</v>
      </c>
      <c r="B1329" t="s">
        <v>18</v>
      </c>
      <c r="C1329" t="s">
        <v>397</v>
      </c>
      <c r="D1329">
        <v>1765</v>
      </c>
      <c r="E1329">
        <v>1032.269</v>
      </c>
      <c r="F1329">
        <v>1940825</v>
      </c>
      <c r="G1329" t="s">
        <v>428</v>
      </c>
      <c r="H1329">
        <v>1616.74</v>
      </c>
      <c r="I1329" t="s">
        <v>788</v>
      </c>
      <c r="J1329" t="s">
        <v>10</v>
      </c>
      <c r="K1329" t="s">
        <v>789</v>
      </c>
    </row>
    <row r="1330" spans="1:11" x14ac:dyDescent="0.25">
      <c r="A1330" t="s">
        <v>437</v>
      </c>
      <c r="B1330" t="s">
        <v>18</v>
      </c>
      <c r="C1330" t="s">
        <v>397</v>
      </c>
      <c r="D1330">
        <v>95</v>
      </c>
      <c r="E1330">
        <v>55.561</v>
      </c>
      <c r="F1330">
        <v>1940825</v>
      </c>
      <c r="G1330" t="s">
        <v>428</v>
      </c>
      <c r="H1330">
        <v>87.02</v>
      </c>
      <c r="I1330" t="s">
        <v>788</v>
      </c>
      <c r="J1330" t="s">
        <v>10</v>
      </c>
      <c r="K1330" t="s">
        <v>789</v>
      </c>
    </row>
    <row r="1331" spans="1:11" x14ac:dyDescent="0.25">
      <c r="A1331" t="s">
        <v>437</v>
      </c>
      <c r="B1331" t="s">
        <v>18</v>
      </c>
      <c r="C1331" t="s">
        <v>397</v>
      </c>
      <c r="D1331">
        <v>2118</v>
      </c>
      <c r="E1331">
        <v>1017.322</v>
      </c>
      <c r="F1331">
        <v>1940815</v>
      </c>
      <c r="G1331" t="s">
        <v>661</v>
      </c>
      <c r="H1331">
        <v>1465.6559999999999</v>
      </c>
      <c r="I1331" t="s">
        <v>790</v>
      </c>
      <c r="J1331" t="s">
        <v>10</v>
      </c>
      <c r="K1331" t="s">
        <v>791</v>
      </c>
    </row>
    <row r="1332" spans="1:11" x14ac:dyDescent="0.25">
      <c r="A1332" t="s">
        <v>437</v>
      </c>
      <c r="B1332" t="s">
        <v>18</v>
      </c>
      <c r="C1332" t="s">
        <v>397</v>
      </c>
      <c r="D1332">
        <v>1618</v>
      </c>
      <c r="E1332">
        <v>777.16099999999994</v>
      </c>
      <c r="F1332">
        <v>1940815</v>
      </c>
      <c r="G1332" t="s">
        <v>661</v>
      </c>
      <c r="H1332">
        <v>1119.6559999999999</v>
      </c>
      <c r="I1332" t="s">
        <v>790</v>
      </c>
      <c r="J1332" t="s">
        <v>10</v>
      </c>
      <c r="K1332" t="s">
        <v>791</v>
      </c>
    </row>
    <row r="1333" spans="1:11" x14ac:dyDescent="0.25">
      <c r="A1333" t="s">
        <v>437</v>
      </c>
      <c r="B1333" t="s">
        <v>18</v>
      </c>
      <c r="C1333" t="s">
        <v>397</v>
      </c>
      <c r="D1333">
        <v>424</v>
      </c>
      <c r="E1333">
        <v>203.65700000000001</v>
      </c>
      <c r="F1333">
        <v>1940815</v>
      </c>
      <c r="G1333" t="s">
        <v>661</v>
      </c>
      <c r="H1333">
        <v>293.40800000000002</v>
      </c>
      <c r="I1333" t="s">
        <v>790</v>
      </c>
      <c r="J1333" t="s">
        <v>10</v>
      </c>
      <c r="K1333" t="s">
        <v>791</v>
      </c>
    </row>
    <row r="1334" spans="1:11" x14ac:dyDescent="0.25">
      <c r="A1334" t="s">
        <v>437</v>
      </c>
      <c r="B1334" t="s">
        <v>18</v>
      </c>
      <c r="C1334" t="s">
        <v>397</v>
      </c>
      <c r="D1334">
        <v>2998</v>
      </c>
      <c r="E1334">
        <v>1440.0060000000001</v>
      </c>
      <c r="F1334">
        <v>1940815</v>
      </c>
      <c r="G1334" t="s">
        <v>661</v>
      </c>
      <c r="H1334">
        <v>2074.616</v>
      </c>
      <c r="I1334" t="s">
        <v>790</v>
      </c>
      <c r="J1334" t="s">
        <v>10</v>
      </c>
      <c r="K1334" t="s">
        <v>791</v>
      </c>
    </row>
    <row r="1335" spans="1:11" x14ac:dyDescent="0.25">
      <c r="A1335" t="s">
        <v>437</v>
      </c>
      <c r="B1335" t="s">
        <v>18</v>
      </c>
      <c r="C1335" t="s">
        <v>397</v>
      </c>
      <c r="D1335">
        <v>442</v>
      </c>
      <c r="E1335">
        <v>212.30199999999999</v>
      </c>
      <c r="F1335">
        <v>1940815</v>
      </c>
      <c r="G1335" t="s">
        <v>661</v>
      </c>
      <c r="H1335">
        <v>305.86399999999998</v>
      </c>
      <c r="I1335" t="s">
        <v>790</v>
      </c>
      <c r="J1335" t="s">
        <v>10</v>
      </c>
      <c r="K1335" t="s">
        <v>791</v>
      </c>
    </row>
    <row r="1336" spans="1:11" x14ac:dyDescent="0.25">
      <c r="A1336" t="s">
        <v>437</v>
      </c>
      <c r="B1336" t="s">
        <v>18</v>
      </c>
      <c r="C1336" t="s">
        <v>397</v>
      </c>
      <c r="D1336">
        <v>1598</v>
      </c>
      <c r="E1336">
        <v>767.55499999999995</v>
      </c>
      <c r="F1336">
        <v>1940815</v>
      </c>
      <c r="G1336" t="s">
        <v>661</v>
      </c>
      <c r="H1336">
        <v>1105.816</v>
      </c>
      <c r="I1336" t="s">
        <v>790</v>
      </c>
      <c r="J1336" t="s">
        <v>10</v>
      </c>
      <c r="K1336" t="s">
        <v>791</v>
      </c>
    </row>
    <row r="1337" spans="1:11" x14ac:dyDescent="0.25">
      <c r="A1337" t="s">
        <v>437</v>
      </c>
      <c r="B1337" t="s">
        <v>18</v>
      </c>
      <c r="C1337" t="s">
        <v>397</v>
      </c>
      <c r="D1337">
        <v>619</v>
      </c>
      <c r="E1337">
        <v>297.31900000000002</v>
      </c>
      <c r="F1337">
        <v>1940815</v>
      </c>
      <c r="G1337" t="s">
        <v>661</v>
      </c>
      <c r="H1337">
        <v>428.34800000000001</v>
      </c>
      <c r="I1337" t="s">
        <v>790</v>
      </c>
      <c r="J1337" t="s">
        <v>10</v>
      </c>
      <c r="K1337" t="s">
        <v>791</v>
      </c>
    </row>
    <row r="1338" spans="1:11" x14ac:dyDescent="0.25">
      <c r="A1338" t="s">
        <v>437</v>
      </c>
      <c r="B1338" t="s">
        <v>18</v>
      </c>
      <c r="C1338" t="s">
        <v>397</v>
      </c>
      <c r="D1338">
        <v>119</v>
      </c>
      <c r="E1338">
        <v>57.158000000000001</v>
      </c>
      <c r="F1338">
        <v>1940815</v>
      </c>
      <c r="G1338" t="s">
        <v>661</v>
      </c>
      <c r="H1338">
        <v>82.347999999999999</v>
      </c>
      <c r="I1338" t="s">
        <v>790</v>
      </c>
      <c r="J1338" t="s">
        <v>10</v>
      </c>
      <c r="K1338" t="s">
        <v>791</v>
      </c>
    </row>
    <row r="1339" spans="1:11" x14ac:dyDescent="0.25">
      <c r="A1339" t="s">
        <v>437</v>
      </c>
      <c r="B1339" t="s">
        <v>18</v>
      </c>
      <c r="C1339" t="s">
        <v>397</v>
      </c>
      <c r="D1339">
        <v>4</v>
      </c>
      <c r="E1339">
        <v>1.921</v>
      </c>
      <c r="F1339">
        <v>1940815</v>
      </c>
      <c r="G1339" t="s">
        <v>661</v>
      </c>
      <c r="H1339">
        <v>2.7679999999999998</v>
      </c>
      <c r="I1339" t="s">
        <v>790</v>
      </c>
      <c r="J1339" t="s">
        <v>10</v>
      </c>
      <c r="K1339" t="s">
        <v>791</v>
      </c>
    </row>
    <row r="1340" spans="1:11" x14ac:dyDescent="0.25">
      <c r="A1340" t="s">
        <v>653</v>
      </c>
      <c r="B1340" t="s">
        <v>39</v>
      </c>
      <c r="C1340" t="s">
        <v>397</v>
      </c>
      <c r="D1340">
        <v>2449</v>
      </c>
      <c r="E1340">
        <v>823.721</v>
      </c>
      <c r="F1340">
        <v>2325421</v>
      </c>
      <c r="G1340" t="s">
        <v>794</v>
      </c>
      <c r="H1340">
        <v>1155.9280000000001</v>
      </c>
      <c r="I1340" t="s">
        <v>795</v>
      </c>
      <c r="J1340" t="s">
        <v>10</v>
      </c>
      <c r="K1340" t="s">
        <v>796</v>
      </c>
    </row>
    <row r="1341" spans="1:11" x14ac:dyDescent="0.25">
      <c r="A1341" t="s">
        <v>653</v>
      </c>
      <c r="B1341" t="s">
        <v>39</v>
      </c>
      <c r="C1341" t="s">
        <v>397</v>
      </c>
      <c r="D1341">
        <v>1349</v>
      </c>
      <c r="E1341">
        <v>453.73599999999999</v>
      </c>
      <c r="F1341">
        <v>2325421</v>
      </c>
      <c r="G1341" t="s">
        <v>794</v>
      </c>
      <c r="H1341">
        <v>636.72799999999995</v>
      </c>
      <c r="I1341" t="s">
        <v>795</v>
      </c>
      <c r="J1341" t="s">
        <v>10</v>
      </c>
      <c r="K1341" t="s">
        <v>796</v>
      </c>
    </row>
    <row r="1342" spans="1:11" x14ac:dyDescent="0.25">
      <c r="A1342" t="s">
        <v>653</v>
      </c>
      <c r="B1342" t="s">
        <v>39</v>
      </c>
      <c r="C1342" t="s">
        <v>397</v>
      </c>
      <c r="D1342">
        <v>88</v>
      </c>
      <c r="E1342">
        <v>29.599</v>
      </c>
      <c r="F1342">
        <v>2325421</v>
      </c>
      <c r="G1342" t="s">
        <v>794</v>
      </c>
      <c r="H1342">
        <v>41.536000000000001</v>
      </c>
      <c r="I1342" t="s">
        <v>795</v>
      </c>
      <c r="J1342" t="s">
        <v>10</v>
      </c>
      <c r="K1342" t="s">
        <v>796</v>
      </c>
    </row>
    <row r="1343" spans="1:11" x14ac:dyDescent="0.25">
      <c r="A1343" t="s">
        <v>653</v>
      </c>
      <c r="B1343" t="s">
        <v>39</v>
      </c>
      <c r="C1343" t="s">
        <v>397</v>
      </c>
      <c r="D1343">
        <v>67</v>
      </c>
      <c r="E1343">
        <v>22.535</v>
      </c>
      <c r="F1343">
        <v>2325421</v>
      </c>
      <c r="G1343" t="s">
        <v>794</v>
      </c>
      <c r="H1343">
        <v>31.623999999999999</v>
      </c>
      <c r="I1343" t="s">
        <v>795</v>
      </c>
      <c r="J1343" t="s">
        <v>10</v>
      </c>
      <c r="K1343" t="s">
        <v>796</v>
      </c>
    </row>
    <row r="1344" spans="1:11" x14ac:dyDescent="0.25">
      <c r="A1344" t="s">
        <v>653</v>
      </c>
      <c r="B1344" t="s">
        <v>39</v>
      </c>
      <c r="C1344" t="s">
        <v>397</v>
      </c>
      <c r="D1344">
        <v>47</v>
      </c>
      <c r="E1344">
        <v>15.808</v>
      </c>
      <c r="F1344">
        <v>2325421</v>
      </c>
      <c r="G1344" t="s">
        <v>794</v>
      </c>
      <c r="H1344">
        <v>22.184000000000001</v>
      </c>
      <c r="I1344" t="s">
        <v>795</v>
      </c>
      <c r="J1344" t="s">
        <v>10</v>
      </c>
      <c r="K1344" t="s">
        <v>796</v>
      </c>
    </row>
    <row r="1345" spans="1:11" x14ac:dyDescent="0.25">
      <c r="A1345" t="s">
        <v>653</v>
      </c>
      <c r="B1345" t="s">
        <v>39</v>
      </c>
      <c r="C1345" t="s">
        <v>397</v>
      </c>
      <c r="D1345">
        <v>2647.7330000000002</v>
      </c>
      <c r="E1345">
        <v>890.56500000000005</v>
      </c>
      <c r="F1345">
        <v>2325421</v>
      </c>
      <c r="G1345" t="s">
        <v>794</v>
      </c>
      <c r="H1345">
        <v>1249.73</v>
      </c>
      <c r="I1345" t="s">
        <v>795</v>
      </c>
      <c r="J1345" t="s">
        <v>10</v>
      </c>
      <c r="K1345" t="s">
        <v>796</v>
      </c>
    </row>
    <row r="1346" spans="1:11" x14ac:dyDescent="0.25">
      <c r="A1346" t="s">
        <v>653</v>
      </c>
      <c r="B1346" t="s">
        <v>39</v>
      </c>
      <c r="C1346" t="s">
        <v>397</v>
      </c>
      <c r="D1346">
        <v>163.82599999999999</v>
      </c>
      <c r="E1346">
        <v>55.103000000000002</v>
      </c>
      <c r="F1346">
        <v>2325421</v>
      </c>
      <c r="G1346" t="s">
        <v>794</v>
      </c>
      <c r="H1346">
        <v>77.325999999999993</v>
      </c>
      <c r="I1346" t="s">
        <v>795</v>
      </c>
      <c r="J1346" t="s">
        <v>10</v>
      </c>
      <c r="K1346" t="s">
        <v>796</v>
      </c>
    </row>
    <row r="1347" spans="1:11" x14ac:dyDescent="0.25">
      <c r="A1347" t="s">
        <v>653</v>
      </c>
      <c r="B1347" t="s">
        <v>39</v>
      </c>
      <c r="C1347" t="s">
        <v>397</v>
      </c>
      <c r="D1347">
        <v>406.44099999999997</v>
      </c>
      <c r="E1347">
        <v>136.70599999999999</v>
      </c>
      <c r="F1347">
        <v>2325421</v>
      </c>
      <c r="G1347" t="s">
        <v>794</v>
      </c>
      <c r="H1347">
        <v>191.84</v>
      </c>
      <c r="I1347" t="s">
        <v>795</v>
      </c>
      <c r="J1347" t="s">
        <v>10</v>
      </c>
      <c r="K1347" t="s">
        <v>796</v>
      </c>
    </row>
    <row r="1348" spans="1:11" x14ac:dyDescent="0.25">
      <c r="A1348" t="s">
        <v>437</v>
      </c>
      <c r="B1348" t="s">
        <v>18</v>
      </c>
      <c r="C1348" t="s">
        <v>397</v>
      </c>
      <c r="D1348">
        <v>3219</v>
      </c>
      <c r="E1348">
        <v>1143.0709999999999</v>
      </c>
      <c r="F1348">
        <v>1940588</v>
      </c>
      <c r="G1348" t="s">
        <v>737</v>
      </c>
      <c r="H1348">
        <v>1319.79</v>
      </c>
      <c r="I1348" t="s">
        <v>797</v>
      </c>
      <c r="J1348" t="s">
        <v>10</v>
      </c>
      <c r="K1348" t="s">
        <v>798</v>
      </c>
    </row>
    <row r="1349" spans="1:11" x14ac:dyDescent="0.25">
      <c r="A1349" t="s">
        <v>437</v>
      </c>
      <c r="B1349" t="s">
        <v>18</v>
      </c>
      <c r="C1349" t="s">
        <v>397</v>
      </c>
      <c r="D1349">
        <v>3085</v>
      </c>
      <c r="E1349">
        <v>1095.4880000000001</v>
      </c>
      <c r="F1349">
        <v>1940588</v>
      </c>
      <c r="G1349" t="s">
        <v>737</v>
      </c>
      <c r="H1349">
        <v>1264.8499999999999</v>
      </c>
      <c r="I1349" t="s">
        <v>797</v>
      </c>
      <c r="J1349" t="s">
        <v>10</v>
      </c>
      <c r="K1349" t="s">
        <v>798</v>
      </c>
    </row>
    <row r="1350" spans="1:11" x14ac:dyDescent="0.25">
      <c r="A1350" t="s">
        <v>437</v>
      </c>
      <c r="B1350" t="s">
        <v>18</v>
      </c>
      <c r="C1350" t="s">
        <v>397</v>
      </c>
      <c r="D1350">
        <v>21</v>
      </c>
      <c r="E1350">
        <v>7.4569999999999999</v>
      </c>
      <c r="F1350">
        <v>1940588</v>
      </c>
      <c r="G1350" t="s">
        <v>737</v>
      </c>
      <c r="H1350">
        <v>8.61</v>
      </c>
      <c r="I1350" t="s">
        <v>797</v>
      </c>
      <c r="J1350" t="s">
        <v>10</v>
      </c>
      <c r="K1350" t="s">
        <v>798</v>
      </c>
    </row>
    <row r="1351" spans="1:11" x14ac:dyDescent="0.25">
      <c r="A1351" t="s">
        <v>573</v>
      </c>
      <c r="B1351" t="s">
        <v>52</v>
      </c>
      <c r="C1351" t="s">
        <v>397</v>
      </c>
      <c r="D1351">
        <v>1395</v>
      </c>
      <c r="E1351">
        <v>495.36599999999999</v>
      </c>
      <c r="F1351">
        <v>1940588</v>
      </c>
      <c r="G1351" t="s">
        <v>737</v>
      </c>
      <c r="H1351">
        <v>571.95000000000005</v>
      </c>
      <c r="I1351" t="s">
        <v>797</v>
      </c>
      <c r="J1351" t="s">
        <v>10</v>
      </c>
      <c r="K1351" t="s">
        <v>798</v>
      </c>
    </row>
    <row r="1352" spans="1:11" x14ac:dyDescent="0.25">
      <c r="A1352" t="s">
        <v>573</v>
      </c>
      <c r="B1352" t="s">
        <v>52</v>
      </c>
      <c r="C1352" t="s">
        <v>397</v>
      </c>
      <c r="D1352">
        <v>105</v>
      </c>
      <c r="E1352">
        <v>37.286000000000001</v>
      </c>
      <c r="F1352">
        <v>1940588</v>
      </c>
      <c r="G1352" t="s">
        <v>737</v>
      </c>
      <c r="H1352">
        <v>43.05</v>
      </c>
      <c r="I1352" t="s">
        <v>797</v>
      </c>
      <c r="J1352" t="s">
        <v>10</v>
      </c>
      <c r="K1352" t="s">
        <v>798</v>
      </c>
    </row>
    <row r="1353" spans="1:11" x14ac:dyDescent="0.25">
      <c r="A1353" t="s">
        <v>517</v>
      </c>
      <c r="B1353" t="s">
        <v>19</v>
      </c>
      <c r="C1353" t="s">
        <v>397</v>
      </c>
      <c r="D1353">
        <v>3749</v>
      </c>
      <c r="E1353">
        <v>723.56799999999998</v>
      </c>
      <c r="F1353">
        <v>3509016</v>
      </c>
      <c r="G1353" t="s">
        <v>799</v>
      </c>
      <c r="H1353">
        <v>1281.367</v>
      </c>
      <c r="I1353" t="s">
        <v>800</v>
      </c>
      <c r="J1353" t="s">
        <v>10</v>
      </c>
      <c r="K1353" t="s">
        <v>801</v>
      </c>
    </row>
    <row r="1354" spans="1:11" x14ac:dyDescent="0.25">
      <c r="A1354" t="s">
        <v>517</v>
      </c>
      <c r="B1354" t="s">
        <v>19</v>
      </c>
      <c r="C1354" t="s">
        <v>397</v>
      </c>
      <c r="D1354">
        <v>1242</v>
      </c>
      <c r="E1354">
        <v>239.71</v>
      </c>
      <c r="F1354">
        <v>3509016</v>
      </c>
      <c r="G1354" t="s">
        <v>799</v>
      </c>
      <c r="H1354">
        <v>424.50200000000001</v>
      </c>
      <c r="I1354" t="s">
        <v>800</v>
      </c>
      <c r="J1354" t="s">
        <v>10</v>
      </c>
      <c r="K1354" t="s">
        <v>801</v>
      </c>
    </row>
    <row r="1355" spans="1:11" x14ac:dyDescent="0.25">
      <c r="A1355" t="s">
        <v>517</v>
      </c>
      <c r="B1355" t="s">
        <v>19</v>
      </c>
      <c r="C1355" t="s">
        <v>397</v>
      </c>
      <c r="D1355">
        <v>49</v>
      </c>
      <c r="E1355">
        <v>9.4570000000000007</v>
      </c>
      <c r="F1355">
        <v>3509016</v>
      </c>
      <c r="G1355" t="s">
        <v>799</v>
      </c>
      <c r="H1355">
        <v>16.748000000000001</v>
      </c>
      <c r="I1355" t="s">
        <v>800</v>
      </c>
      <c r="J1355" t="s">
        <v>10</v>
      </c>
      <c r="K1355" t="s">
        <v>801</v>
      </c>
    </row>
    <row r="1356" spans="1:11" x14ac:dyDescent="0.25">
      <c r="A1356" t="s">
        <v>517</v>
      </c>
      <c r="B1356" t="s">
        <v>19</v>
      </c>
      <c r="C1356" t="s">
        <v>397</v>
      </c>
      <c r="D1356">
        <v>10</v>
      </c>
      <c r="E1356">
        <v>1.93</v>
      </c>
      <c r="F1356">
        <v>3509016</v>
      </c>
      <c r="G1356" t="s">
        <v>799</v>
      </c>
      <c r="H1356">
        <v>3.4180000000000001</v>
      </c>
      <c r="I1356" t="s">
        <v>800</v>
      </c>
      <c r="J1356" t="s">
        <v>10</v>
      </c>
      <c r="K1356" t="s">
        <v>801</v>
      </c>
    </row>
    <row r="1357" spans="1:11" x14ac:dyDescent="0.25">
      <c r="A1357" t="s">
        <v>422</v>
      </c>
      <c r="B1357" t="s">
        <v>30</v>
      </c>
      <c r="C1357" t="s">
        <v>397</v>
      </c>
      <c r="D1357">
        <v>6000</v>
      </c>
      <c r="E1357">
        <v>1299.915</v>
      </c>
      <c r="F1357">
        <v>1939544</v>
      </c>
      <c r="G1357" t="s">
        <v>806</v>
      </c>
      <c r="H1357">
        <v>1836</v>
      </c>
      <c r="I1357" t="s">
        <v>807</v>
      </c>
      <c r="J1357" t="s">
        <v>10</v>
      </c>
      <c r="K1357" t="s">
        <v>808</v>
      </c>
    </row>
    <row r="1358" spans="1:11" x14ac:dyDescent="0.25">
      <c r="A1358" t="s">
        <v>422</v>
      </c>
      <c r="B1358" t="s">
        <v>30</v>
      </c>
      <c r="C1358" t="s">
        <v>397</v>
      </c>
      <c r="D1358">
        <v>65.355999999999995</v>
      </c>
      <c r="E1358">
        <v>14.16</v>
      </c>
      <c r="F1358">
        <v>1939544</v>
      </c>
      <c r="G1358" t="s">
        <v>806</v>
      </c>
      <c r="H1358">
        <v>19.998999999999999</v>
      </c>
      <c r="I1358" t="s">
        <v>807</v>
      </c>
      <c r="J1358" t="s">
        <v>10</v>
      </c>
      <c r="K1358" t="s">
        <v>808</v>
      </c>
    </row>
    <row r="1359" spans="1:11" x14ac:dyDescent="0.25">
      <c r="A1359" t="s">
        <v>422</v>
      </c>
      <c r="B1359" t="s">
        <v>30</v>
      </c>
      <c r="C1359" t="s">
        <v>397</v>
      </c>
      <c r="D1359">
        <v>339</v>
      </c>
      <c r="E1359">
        <v>73.444999999999993</v>
      </c>
      <c r="F1359">
        <v>1939544</v>
      </c>
      <c r="G1359" t="s">
        <v>806</v>
      </c>
      <c r="H1359">
        <v>103.73399999999999</v>
      </c>
      <c r="I1359" t="s">
        <v>807</v>
      </c>
      <c r="J1359" t="s">
        <v>10</v>
      </c>
      <c r="K1359" t="s">
        <v>808</v>
      </c>
    </row>
    <row r="1360" spans="1:11" x14ac:dyDescent="0.25">
      <c r="A1360" t="s">
        <v>422</v>
      </c>
      <c r="B1360" t="s">
        <v>30</v>
      </c>
      <c r="C1360" t="s">
        <v>397</v>
      </c>
      <c r="D1360">
        <v>1946.722</v>
      </c>
      <c r="E1360">
        <v>421.762</v>
      </c>
      <c r="F1360">
        <v>1939544</v>
      </c>
      <c r="G1360" t="s">
        <v>806</v>
      </c>
      <c r="H1360">
        <v>595.697</v>
      </c>
      <c r="I1360" t="s">
        <v>807</v>
      </c>
      <c r="J1360" t="s">
        <v>10</v>
      </c>
      <c r="K1360" t="s">
        <v>808</v>
      </c>
    </row>
    <row r="1361" spans="1:11" x14ac:dyDescent="0.25">
      <c r="A1361" t="s">
        <v>422</v>
      </c>
      <c r="B1361" t="s">
        <v>30</v>
      </c>
      <c r="C1361" t="s">
        <v>397</v>
      </c>
      <c r="D1361">
        <v>932.03899999999999</v>
      </c>
      <c r="E1361">
        <v>201.929</v>
      </c>
      <c r="F1361">
        <v>1939544</v>
      </c>
      <c r="G1361" t="s">
        <v>806</v>
      </c>
      <c r="H1361">
        <v>285.20400000000001</v>
      </c>
      <c r="I1361" t="s">
        <v>807</v>
      </c>
      <c r="J1361" t="s">
        <v>10</v>
      </c>
      <c r="K1361" t="s">
        <v>808</v>
      </c>
    </row>
    <row r="1362" spans="1:11" x14ac:dyDescent="0.25">
      <c r="A1362" t="s">
        <v>422</v>
      </c>
      <c r="B1362" t="s">
        <v>30</v>
      </c>
      <c r="C1362" t="s">
        <v>397</v>
      </c>
      <c r="D1362">
        <v>166.88300000000001</v>
      </c>
      <c r="E1362">
        <v>36.155999999999999</v>
      </c>
      <c r="F1362">
        <v>1939544</v>
      </c>
      <c r="G1362" t="s">
        <v>806</v>
      </c>
      <c r="H1362">
        <v>51.066000000000003</v>
      </c>
      <c r="I1362" t="s">
        <v>807</v>
      </c>
      <c r="J1362" t="s">
        <v>10</v>
      </c>
      <c r="K1362" t="s">
        <v>808</v>
      </c>
    </row>
    <row r="1363" spans="1:11" x14ac:dyDescent="0.25">
      <c r="A1363" t="s">
        <v>422</v>
      </c>
      <c r="B1363" t="s">
        <v>30</v>
      </c>
      <c r="C1363" t="s">
        <v>397</v>
      </c>
      <c r="D1363">
        <v>8500</v>
      </c>
      <c r="E1363">
        <v>1841.546</v>
      </c>
      <c r="F1363">
        <v>1939544</v>
      </c>
      <c r="G1363" t="s">
        <v>806</v>
      </c>
      <c r="H1363">
        <v>2601</v>
      </c>
      <c r="I1363" t="s">
        <v>807</v>
      </c>
      <c r="J1363" t="s">
        <v>10</v>
      </c>
      <c r="K1363" t="s">
        <v>808</v>
      </c>
    </row>
    <row r="1364" spans="1:11" x14ac:dyDescent="0.25">
      <c r="A1364" t="s">
        <v>757</v>
      </c>
      <c r="B1364" t="s">
        <v>53</v>
      </c>
      <c r="C1364" t="s">
        <v>397</v>
      </c>
      <c r="D1364">
        <v>2775</v>
      </c>
      <c r="E1364">
        <v>2172.8069999999998</v>
      </c>
      <c r="F1364">
        <v>3775636</v>
      </c>
      <c r="G1364" t="s">
        <v>810</v>
      </c>
      <c r="H1364">
        <v>3068.873</v>
      </c>
      <c r="I1364" t="s">
        <v>811</v>
      </c>
      <c r="J1364" t="s">
        <v>10</v>
      </c>
      <c r="K1364" t="s">
        <v>812</v>
      </c>
    </row>
    <row r="1365" spans="1:11" x14ac:dyDescent="0.25">
      <c r="A1365" t="s">
        <v>757</v>
      </c>
      <c r="B1365" t="s">
        <v>53</v>
      </c>
      <c r="C1365" t="s">
        <v>397</v>
      </c>
      <c r="D1365">
        <v>2099</v>
      </c>
      <c r="E1365">
        <v>1643.5029999999999</v>
      </c>
      <c r="F1365">
        <v>3775636</v>
      </c>
      <c r="G1365" t="s">
        <v>810</v>
      </c>
      <c r="H1365">
        <v>2321.2840000000001</v>
      </c>
      <c r="I1365" t="s">
        <v>811</v>
      </c>
      <c r="J1365" t="s">
        <v>10</v>
      </c>
      <c r="K1365" t="s">
        <v>812</v>
      </c>
    </row>
    <row r="1366" spans="1:11" x14ac:dyDescent="0.25">
      <c r="A1366" t="s">
        <v>757</v>
      </c>
      <c r="B1366" t="s">
        <v>53</v>
      </c>
      <c r="C1366" t="s">
        <v>397</v>
      </c>
      <c r="D1366">
        <v>126</v>
      </c>
      <c r="E1366">
        <v>98.656999999999996</v>
      </c>
      <c r="F1366">
        <v>3775636</v>
      </c>
      <c r="G1366" t="s">
        <v>810</v>
      </c>
      <c r="H1366">
        <v>139.34299999999999</v>
      </c>
      <c r="I1366" t="s">
        <v>811</v>
      </c>
      <c r="J1366" t="s">
        <v>10</v>
      </c>
      <c r="K1366" t="s">
        <v>812</v>
      </c>
    </row>
    <row r="1367" spans="1:11" x14ac:dyDescent="0.25">
      <c r="A1367" t="s">
        <v>556</v>
      </c>
      <c r="B1367" t="s">
        <v>151</v>
      </c>
      <c r="C1367" t="s">
        <v>444</v>
      </c>
      <c r="D1367">
        <v>202</v>
      </c>
      <c r="E1367">
        <v>909.50599999999997</v>
      </c>
      <c r="F1367">
        <v>2410997</v>
      </c>
      <c r="G1367" t="s">
        <v>813</v>
      </c>
      <c r="H1367">
        <v>1594</v>
      </c>
      <c r="I1367" t="s">
        <v>814</v>
      </c>
      <c r="J1367" t="s">
        <v>10</v>
      </c>
      <c r="K1367" t="s">
        <v>815</v>
      </c>
    </row>
    <row r="1368" spans="1:11" x14ac:dyDescent="0.25">
      <c r="A1368" t="s">
        <v>556</v>
      </c>
      <c r="B1368" t="s">
        <v>151</v>
      </c>
      <c r="C1368" t="s">
        <v>444</v>
      </c>
      <c r="D1368">
        <v>66</v>
      </c>
      <c r="E1368">
        <v>298.77</v>
      </c>
      <c r="F1368">
        <v>2410997</v>
      </c>
      <c r="G1368" t="s">
        <v>813</v>
      </c>
      <c r="H1368">
        <v>523.62400000000002</v>
      </c>
      <c r="I1368" t="s">
        <v>814</v>
      </c>
      <c r="J1368" t="s">
        <v>10</v>
      </c>
      <c r="K1368" t="s">
        <v>815</v>
      </c>
    </row>
    <row r="1369" spans="1:11" x14ac:dyDescent="0.25">
      <c r="A1369" t="s">
        <v>556</v>
      </c>
      <c r="B1369" t="s">
        <v>151</v>
      </c>
      <c r="C1369" t="s">
        <v>444</v>
      </c>
      <c r="D1369">
        <v>201</v>
      </c>
      <c r="E1369">
        <v>905.51199999999994</v>
      </c>
      <c r="F1369">
        <v>2410997</v>
      </c>
      <c r="G1369" t="s">
        <v>813</v>
      </c>
      <c r="H1369">
        <v>1587</v>
      </c>
      <c r="I1369" t="s">
        <v>814</v>
      </c>
      <c r="J1369" t="s">
        <v>10</v>
      </c>
      <c r="K1369" t="s">
        <v>815</v>
      </c>
    </row>
    <row r="1370" spans="1:11" x14ac:dyDescent="0.25">
      <c r="A1370" t="s">
        <v>556</v>
      </c>
      <c r="B1370" t="s">
        <v>151</v>
      </c>
      <c r="C1370" t="s">
        <v>444</v>
      </c>
      <c r="D1370">
        <v>64</v>
      </c>
      <c r="E1370">
        <v>286.21199999999999</v>
      </c>
      <c r="F1370">
        <v>2410997</v>
      </c>
      <c r="G1370" t="s">
        <v>813</v>
      </c>
      <c r="H1370">
        <v>501.61500000000001</v>
      </c>
      <c r="I1370" t="s">
        <v>814</v>
      </c>
      <c r="J1370" t="s">
        <v>10</v>
      </c>
      <c r="K1370" t="s">
        <v>815</v>
      </c>
    </row>
    <row r="1371" spans="1:11" x14ac:dyDescent="0.25">
      <c r="A1371" t="s">
        <v>437</v>
      </c>
      <c r="B1371" t="s">
        <v>18</v>
      </c>
      <c r="C1371" t="s">
        <v>444</v>
      </c>
      <c r="D1371">
        <v>3</v>
      </c>
      <c r="E1371">
        <v>12.154</v>
      </c>
      <c r="F1371">
        <v>2410388</v>
      </c>
      <c r="G1371" t="s">
        <v>816</v>
      </c>
      <c r="H1371">
        <v>20.619</v>
      </c>
      <c r="I1371" t="s">
        <v>819</v>
      </c>
      <c r="J1371" t="s">
        <v>10</v>
      </c>
      <c r="K1371" t="s">
        <v>820</v>
      </c>
    </row>
    <row r="1372" spans="1:11" x14ac:dyDescent="0.25">
      <c r="A1372" t="s">
        <v>437</v>
      </c>
      <c r="B1372" t="s">
        <v>18</v>
      </c>
      <c r="C1372" t="s">
        <v>444</v>
      </c>
      <c r="D1372">
        <v>209</v>
      </c>
      <c r="E1372">
        <v>939.58100000000002</v>
      </c>
      <c r="F1372">
        <v>2410388</v>
      </c>
      <c r="G1372" t="s">
        <v>816</v>
      </c>
      <c r="H1372">
        <v>1593.999</v>
      </c>
      <c r="I1372" t="s">
        <v>819</v>
      </c>
      <c r="J1372" t="s">
        <v>10</v>
      </c>
      <c r="K1372" t="s">
        <v>820</v>
      </c>
    </row>
    <row r="1373" spans="1:11" x14ac:dyDescent="0.25">
      <c r="A1373" t="s">
        <v>437</v>
      </c>
      <c r="B1373" t="s">
        <v>18</v>
      </c>
      <c r="C1373" t="s">
        <v>444</v>
      </c>
      <c r="D1373">
        <v>97</v>
      </c>
      <c r="E1373">
        <v>434.26499999999999</v>
      </c>
      <c r="F1373">
        <v>2410388</v>
      </c>
      <c r="G1373" t="s">
        <v>816</v>
      </c>
      <c r="H1373">
        <v>736.73099999999999</v>
      </c>
      <c r="I1373" t="s">
        <v>819</v>
      </c>
      <c r="J1373" t="s">
        <v>10</v>
      </c>
      <c r="K1373" t="s">
        <v>820</v>
      </c>
    </row>
    <row r="1374" spans="1:11" x14ac:dyDescent="0.25">
      <c r="A1374" t="s">
        <v>821</v>
      </c>
      <c r="B1374" t="s">
        <v>177</v>
      </c>
      <c r="C1374" t="s">
        <v>397</v>
      </c>
      <c r="D1374">
        <v>108.408</v>
      </c>
      <c r="E1374">
        <v>38.701000000000001</v>
      </c>
      <c r="F1374">
        <v>3909903</v>
      </c>
      <c r="G1374" t="s">
        <v>393</v>
      </c>
      <c r="H1374">
        <v>116.441</v>
      </c>
      <c r="I1374" t="s">
        <v>822</v>
      </c>
      <c r="J1374" t="s">
        <v>10</v>
      </c>
      <c r="K1374" t="s">
        <v>823</v>
      </c>
    </row>
    <row r="1375" spans="1:11" x14ac:dyDescent="0.25">
      <c r="A1375" t="s">
        <v>821</v>
      </c>
      <c r="B1375" t="s">
        <v>177</v>
      </c>
      <c r="C1375" t="s">
        <v>397</v>
      </c>
      <c r="D1375">
        <v>558.57600000000002</v>
      </c>
      <c r="E1375">
        <v>199.411</v>
      </c>
      <c r="F1375">
        <v>3909903</v>
      </c>
      <c r="G1375" t="s">
        <v>393</v>
      </c>
      <c r="H1375">
        <v>599.96600000000001</v>
      </c>
      <c r="I1375" t="s">
        <v>822</v>
      </c>
      <c r="J1375" t="s">
        <v>10</v>
      </c>
      <c r="K1375" t="s">
        <v>823</v>
      </c>
    </row>
    <row r="1376" spans="1:11" x14ac:dyDescent="0.25">
      <c r="A1376" t="s">
        <v>821</v>
      </c>
      <c r="B1376" t="s">
        <v>177</v>
      </c>
      <c r="C1376" t="s">
        <v>397</v>
      </c>
      <c r="D1376">
        <v>1499.4960000000001</v>
      </c>
      <c r="E1376">
        <v>535.31700000000001</v>
      </c>
      <c r="F1376">
        <v>3909903</v>
      </c>
      <c r="G1376" t="s">
        <v>393</v>
      </c>
      <c r="H1376">
        <v>1610.6089999999999</v>
      </c>
      <c r="I1376" t="s">
        <v>822</v>
      </c>
      <c r="J1376" t="s">
        <v>10</v>
      </c>
      <c r="K1376" t="s">
        <v>823</v>
      </c>
    </row>
    <row r="1377" spans="1:11" x14ac:dyDescent="0.25">
      <c r="A1377" t="s">
        <v>821</v>
      </c>
      <c r="B1377" t="s">
        <v>177</v>
      </c>
      <c r="C1377" t="s">
        <v>397</v>
      </c>
      <c r="D1377">
        <v>1696.5340000000001</v>
      </c>
      <c r="E1377">
        <v>605.65899999999999</v>
      </c>
      <c r="F1377">
        <v>3909903</v>
      </c>
      <c r="G1377" t="s">
        <v>393</v>
      </c>
      <c r="H1377">
        <v>1822.2470000000001</v>
      </c>
      <c r="I1377" t="s">
        <v>822</v>
      </c>
      <c r="J1377" t="s">
        <v>10</v>
      </c>
      <c r="K1377" t="s">
        <v>823</v>
      </c>
    </row>
    <row r="1378" spans="1:11" x14ac:dyDescent="0.25">
      <c r="A1378" t="s">
        <v>821</v>
      </c>
      <c r="B1378" t="s">
        <v>177</v>
      </c>
      <c r="C1378" t="s">
        <v>397</v>
      </c>
      <c r="D1378">
        <v>1986.3019999999999</v>
      </c>
      <c r="E1378">
        <v>709.10599999999999</v>
      </c>
      <c r="F1378">
        <v>3909903</v>
      </c>
      <c r="G1378" t="s">
        <v>393</v>
      </c>
      <c r="H1378">
        <v>2133.4870000000001</v>
      </c>
      <c r="I1378" t="s">
        <v>822</v>
      </c>
      <c r="J1378" t="s">
        <v>10</v>
      </c>
      <c r="K1378" t="s">
        <v>823</v>
      </c>
    </row>
    <row r="1379" spans="1:11" x14ac:dyDescent="0.25">
      <c r="A1379" t="s">
        <v>821</v>
      </c>
      <c r="B1379" t="s">
        <v>177</v>
      </c>
      <c r="C1379" t="s">
        <v>397</v>
      </c>
      <c r="D1379">
        <v>150.684</v>
      </c>
      <c r="E1379">
        <v>53.793999999999997</v>
      </c>
      <c r="F1379">
        <v>3909903</v>
      </c>
      <c r="G1379" t="s">
        <v>393</v>
      </c>
      <c r="H1379">
        <v>161.85</v>
      </c>
      <c r="I1379" t="s">
        <v>822</v>
      </c>
      <c r="J1379" t="s">
        <v>10</v>
      </c>
      <c r="K1379" t="s">
        <v>823</v>
      </c>
    </row>
    <row r="1380" spans="1:11" x14ac:dyDescent="0.25">
      <c r="A1380" t="s">
        <v>821</v>
      </c>
      <c r="B1380" t="s">
        <v>177</v>
      </c>
      <c r="C1380" t="s">
        <v>397</v>
      </c>
      <c r="D1380">
        <v>1476.3689999999999</v>
      </c>
      <c r="E1380">
        <v>527.06100000000004</v>
      </c>
      <c r="F1380">
        <v>3909903</v>
      </c>
      <c r="G1380" t="s">
        <v>393</v>
      </c>
      <c r="H1380">
        <v>1585.768</v>
      </c>
      <c r="I1380" t="s">
        <v>822</v>
      </c>
      <c r="J1380" t="s">
        <v>10</v>
      </c>
      <c r="K1380" t="s">
        <v>823</v>
      </c>
    </row>
    <row r="1381" spans="1:11" x14ac:dyDescent="0.25">
      <c r="A1381" t="s">
        <v>821</v>
      </c>
      <c r="B1381" t="s">
        <v>177</v>
      </c>
      <c r="C1381" t="s">
        <v>397</v>
      </c>
      <c r="D1381">
        <v>1398.9480000000001</v>
      </c>
      <c r="E1381">
        <v>499.42200000000003</v>
      </c>
      <c r="F1381">
        <v>3909903</v>
      </c>
      <c r="G1381" t="s">
        <v>393</v>
      </c>
      <c r="H1381">
        <v>1502.61</v>
      </c>
      <c r="I1381" t="s">
        <v>822</v>
      </c>
      <c r="J1381" t="s">
        <v>10</v>
      </c>
      <c r="K1381" t="s">
        <v>823</v>
      </c>
    </row>
    <row r="1382" spans="1:11" x14ac:dyDescent="0.25">
      <c r="A1382" t="s">
        <v>821</v>
      </c>
      <c r="B1382" t="s">
        <v>177</v>
      </c>
      <c r="C1382" t="s">
        <v>397</v>
      </c>
      <c r="D1382">
        <v>124.68300000000001</v>
      </c>
      <c r="E1382">
        <v>44.512</v>
      </c>
      <c r="F1382">
        <v>3909903</v>
      </c>
      <c r="G1382" t="s">
        <v>393</v>
      </c>
      <c r="H1382">
        <v>133.922</v>
      </c>
      <c r="I1382" t="s">
        <v>822</v>
      </c>
      <c r="J1382" t="s">
        <v>10</v>
      </c>
      <c r="K1382" t="s">
        <v>823</v>
      </c>
    </row>
    <row r="1383" spans="1:11" x14ac:dyDescent="0.25">
      <c r="A1383" t="s">
        <v>821</v>
      </c>
      <c r="B1383" t="s">
        <v>177</v>
      </c>
      <c r="C1383" t="s">
        <v>397</v>
      </c>
      <c r="D1383">
        <v>4000</v>
      </c>
      <c r="E1383">
        <v>1427.992</v>
      </c>
      <c r="F1383">
        <v>3909903</v>
      </c>
      <c r="G1383" t="s">
        <v>393</v>
      </c>
      <c r="H1383">
        <v>4296.3999999999996</v>
      </c>
      <c r="I1383" t="s">
        <v>822</v>
      </c>
      <c r="J1383" t="s">
        <v>10</v>
      </c>
      <c r="K1383" t="s">
        <v>823</v>
      </c>
    </row>
    <row r="1384" spans="1:11" x14ac:dyDescent="0.25">
      <c r="A1384" t="s">
        <v>821</v>
      </c>
      <c r="B1384" t="s">
        <v>177</v>
      </c>
      <c r="C1384" t="s">
        <v>397</v>
      </c>
      <c r="D1384">
        <v>154.62100000000001</v>
      </c>
      <c r="E1384">
        <v>55.198999999999998</v>
      </c>
      <c r="F1384">
        <v>3909903</v>
      </c>
      <c r="G1384" t="s">
        <v>393</v>
      </c>
      <c r="H1384">
        <v>166.078</v>
      </c>
      <c r="I1384" t="s">
        <v>822</v>
      </c>
      <c r="J1384" t="s">
        <v>10</v>
      </c>
      <c r="K1384" t="s">
        <v>823</v>
      </c>
    </row>
    <row r="1385" spans="1:11" x14ac:dyDescent="0.25">
      <c r="A1385" t="s">
        <v>821</v>
      </c>
      <c r="B1385" t="s">
        <v>177</v>
      </c>
      <c r="C1385" t="s">
        <v>397</v>
      </c>
      <c r="D1385">
        <v>589.78499999999997</v>
      </c>
      <c r="E1385">
        <v>210.55199999999999</v>
      </c>
      <c r="F1385">
        <v>3909903</v>
      </c>
      <c r="G1385" t="s">
        <v>393</v>
      </c>
      <c r="H1385">
        <v>633.48800000000006</v>
      </c>
      <c r="I1385" t="s">
        <v>822</v>
      </c>
      <c r="J1385" t="s">
        <v>10</v>
      </c>
      <c r="K1385" t="s">
        <v>823</v>
      </c>
    </row>
    <row r="1386" spans="1:11" x14ac:dyDescent="0.25">
      <c r="A1386" t="s">
        <v>821</v>
      </c>
      <c r="B1386" t="s">
        <v>177</v>
      </c>
      <c r="C1386" t="s">
        <v>397</v>
      </c>
      <c r="D1386">
        <v>2041</v>
      </c>
      <c r="E1386">
        <v>728.63300000000004</v>
      </c>
      <c r="F1386">
        <v>3909903</v>
      </c>
      <c r="G1386" t="s">
        <v>393</v>
      </c>
      <c r="H1386">
        <v>2192.2379999999998</v>
      </c>
      <c r="I1386" t="s">
        <v>822</v>
      </c>
      <c r="J1386" t="s">
        <v>10</v>
      </c>
      <c r="K1386" t="s">
        <v>823</v>
      </c>
    </row>
    <row r="1387" spans="1:11" x14ac:dyDescent="0.25">
      <c r="A1387" t="s">
        <v>821</v>
      </c>
      <c r="B1387" t="s">
        <v>177</v>
      </c>
      <c r="C1387" t="s">
        <v>397</v>
      </c>
      <c r="D1387">
        <v>1944.5940000000001</v>
      </c>
      <c r="E1387">
        <v>694.21600000000001</v>
      </c>
      <c r="F1387">
        <v>3909903</v>
      </c>
      <c r="G1387" t="s">
        <v>393</v>
      </c>
      <c r="H1387">
        <v>2088.6880000000001</v>
      </c>
      <c r="I1387" t="s">
        <v>822</v>
      </c>
      <c r="J1387" t="s">
        <v>10</v>
      </c>
      <c r="K1387" t="s">
        <v>823</v>
      </c>
    </row>
    <row r="1388" spans="1:11" x14ac:dyDescent="0.25">
      <c r="A1388" t="s">
        <v>821</v>
      </c>
      <c r="B1388" t="s">
        <v>177</v>
      </c>
      <c r="C1388" t="s">
        <v>397</v>
      </c>
      <c r="D1388">
        <v>27</v>
      </c>
      <c r="E1388">
        <v>10.154999999999999</v>
      </c>
      <c r="F1388">
        <v>2359912</v>
      </c>
      <c r="G1388" t="s">
        <v>824</v>
      </c>
      <c r="H1388">
        <v>28.053000000000001</v>
      </c>
      <c r="I1388" t="s">
        <v>825</v>
      </c>
      <c r="J1388" t="s">
        <v>10</v>
      </c>
      <c r="K1388" t="s">
        <v>826</v>
      </c>
    </row>
    <row r="1389" spans="1:11" x14ac:dyDescent="0.25">
      <c r="A1389" t="s">
        <v>422</v>
      </c>
      <c r="B1389" t="s">
        <v>30</v>
      </c>
      <c r="C1389" t="s">
        <v>397</v>
      </c>
      <c r="D1389">
        <v>1082.6310000000001</v>
      </c>
      <c r="E1389">
        <v>525.04399999999998</v>
      </c>
      <c r="F1389">
        <v>2359755</v>
      </c>
      <c r="G1389" t="s">
        <v>827</v>
      </c>
      <c r="H1389">
        <v>808.72500000000002</v>
      </c>
      <c r="I1389" t="s">
        <v>828</v>
      </c>
      <c r="J1389" t="s">
        <v>10</v>
      </c>
      <c r="K1389" t="s">
        <v>829</v>
      </c>
    </row>
    <row r="1390" spans="1:11" x14ac:dyDescent="0.25">
      <c r="A1390" t="s">
        <v>422</v>
      </c>
      <c r="B1390" t="s">
        <v>30</v>
      </c>
      <c r="C1390" t="s">
        <v>397</v>
      </c>
      <c r="D1390">
        <v>1803.6310000000001</v>
      </c>
      <c r="E1390">
        <v>874.70799999999997</v>
      </c>
      <c r="F1390">
        <v>2359755</v>
      </c>
      <c r="G1390" t="s">
        <v>827</v>
      </c>
      <c r="H1390">
        <v>1347.3119999999999</v>
      </c>
      <c r="I1390" t="s">
        <v>828</v>
      </c>
      <c r="J1390" t="s">
        <v>10</v>
      </c>
      <c r="K1390" t="s">
        <v>829</v>
      </c>
    </row>
    <row r="1391" spans="1:11" x14ac:dyDescent="0.25">
      <c r="A1391" t="s">
        <v>422</v>
      </c>
      <c r="B1391" t="s">
        <v>30</v>
      </c>
      <c r="C1391" t="s">
        <v>397</v>
      </c>
      <c r="D1391">
        <v>613.73800000000006</v>
      </c>
      <c r="E1391">
        <v>297.64499999999998</v>
      </c>
      <c r="F1391">
        <v>2359755</v>
      </c>
      <c r="G1391" t="s">
        <v>827</v>
      </c>
      <c r="H1391">
        <v>458.46199999999999</v>
      </c>
      <c r="I1391" t="s">
        <v>828</v>
      </c>
      <c r="J1391" t="s">
        <v>10</v>
      </c>
      <c r="K1391" t="s">
        <v>829</v>
      </c>
    </row>
    <row r="1392" spans="1:11" x14ac:dyDescent="0.25">
      <c r="A1392" t="s">
        <v>809</v>
      </c>
      <c r="B1392" t="s">
        <v>72</v>
      </c>
      <c r="C1392" t="s">
        <v>397</v>
      </c>
      <c r="D1392">
        <v>110.372</v>
      </c>
      <c r="E1392">
        <v>53.527000000000001</v>
      </c>
      <c r="F1392">
        <v>2359755</v>
      </c>
      <c r="G1392" t="s">
        <v>827</v>
      </c>
      <c r="H1392">
        <v>82.447999999999993</v>
      </c>
      <c r="I1392" t="s">
        <v>828</v>
      </c>
      <c r="J1392" t="s">
        <v>10</v>
      </c>
      <c r="K1392" t="s">
        <v>829</v>
      </c>
    </row>
    <row r="1393" spans="1:11" x14ac:dyDescent="0.25">
      <c r="A1393" t="s">
        <v>809</v>
      </c>
      <c r="B1393" t="s">
        <v>72</v>
      </c>
      <c r="C1393" t="s">
        <v>397</v>
      </c>
      <c r="D1393">
        <v>926.70299999999997</v>
      </c>
      <c r="E1393">
        <v>449.42399999999998</v>
      </c>
      <c r="F1393">
        <v>2359755</v>
      </c>
      <c r="G1393" t="s">
        <v>827</v>
      </c>
      <c r="H1393">
        <v>692.24699999999996</v>
      </c>
      <c r="I1393" t="s">
        <v>828</v>
      </c>
      <c r="J1393" t="s">
        <v>10</v>
      </c>
      <c r="K1393" t="s">
        <v>829</v>
      </c>
    </row>
    <row r="1394" spans="1:11" x14ac:dyDescent="0.25">
      <c r="A1394" t="s">
        <v>809</v>
      </c>
      <c r="B1394" t="s">
        <v>72</v>
      </c>
      <c r="C1394" t="s">
        <v>397</v>
      </c>
      <c r="D1394">
        <v>42.853999999999999</v>
      </c>
      <c r="E1394">
        <v>20.783000000000001</v>
      </c>
      <c r="F1394">
        <v>2359755</v>
      </c>
      <c r="G1394" t="s">
        <v>827</v>
      </c>
      <c r="H1394">
        <v>32.012</v>
      </c>
      <c r="I1394" t="s">
        <v>828</v>
      </c>
      <c r="J1394" t="s">
        <v>10</v>
      </c>
      <c r="K1394" t="s">
        <v>829</v>
      </c>
    </row>
    <row r="1395" spans="1:11" x14ac:dyDescent="0.25">
      <c r="A1395" t="s">
        <v>809</v>
      </c>
      <c r="B1395" t="s">
        <v>72</v>
      </c>
      <c r="C1395" t="s">
        <v>397</v>
      </c>
      <c r="D1395">
        <v>128.67599999999999</v>
      </c>
      <c r="E1395">
        <v>62.404000000000003</v>
      </c>
      <c r="F1395">
        <v>2359755</v>
      </c>
      <c r="G1395" t="s">
        <v>827</v>
      </c>
      <c r="H1395">
        <v>96.120999999999995</v>
      </c>
      <c r="I1395" t="s">
        <v>828</v>
      </c>
      <c r="J1395" t="s">
        <v>10</v>
      </c>
      <c r="K1395" t="s">
        <v>829</v>
      </c>
    </row>
    <row r="1396" spans="1:11" x14ac:dyDescent="0.25">
      <c r="A1396" t="s">
        <v>809</v>
      </c>
      <c r="B1396" t="s">
        <v>72</v>
      </c>
      <c r="C1396" t="s">
        <v>397</v>
      </c>
      <c r="D1396">
        <v>351.39499999999998</v>
      </c>
      <c r="E1396">
        <v>170.416</v>
      </c>
      <c r="F1396">
        <v>2359755</v>
      </c>
      <c r="G1396" t="s">
        <v>827</v>
      </c>
      <c r="H1396">
        <v>262.49200000000002</v>
      </c>
      <c r="I1396" t="s">
        <v>828</v>
      </c>
      <c r="J1396" t="s">
        <v>10</v>
      </c>
      <c r="K1396" t="s">
        <v>829</v>
      </c>
    </row>
    <row r="1397" spans="1:11" x14ac:dyDescent="0.25">
      <c r="A1397" t="s">
        <v>422</v>
      </c>
      <c r="B1397" t="s">
        <v>30</v>
      </c>
      <c r="C1397" t="s">
        <v>397</v>
      </c>
      <c r="D1397">
        <v>1000</v>
      </c>
      <c r="E1397">
        <v>484.97</v>
      </c>
      <c r="F1397">
        <v>2359755</v>
      </c>
      <c r="G1397" t="s">
        <v>827</v>
      </c>
      <c r="H1397">
        <v>747</v>
      </c>
      <c r="I1397" t="s">
        <v>828</v>
      </c>
      <c r="J1397" t="s">
        <v>10</v>
      </c>
      <c r="K1397" t="s">
        <v>829</v>
      </c>
    </row>
    <row r="1398" spans="1:11" x14ac:dyDescent="0.25">
      <c r="A1398" t="s">
        <v>809</v>
      </c>
      <c r="B1398" t="s">
        <v>72</v>
      </c>
      <c r="C1398" t="s">
        <v>397</v>
      </c>
      <c r="D1398">
        <v>2654.0639999999999</v>
      </c>
      <c r="E1398">
        <v>1287.143</v>
      </c>
      <c r="F1398">
        <v>2359755</v>
      </c>
      <c r="G1398" t="s">
        <v>827</v>
      </c>
      <c r="H1398">
        <v>1982.586</v>
      </c>
      <c r="I1398" t="s">
        <v>828</v>
      </c>
      <c r="J1398" t="s">
        <v>10</v>
      </c>
      <c r="K1398" t="s">
        <v>829</v>
      </c>
    </row>
    <row r="1399" spans="1:11" x14ac:dyDescent="0.25">
      <c r="A1399" t="s">
        <v>809</v>
      </c>
      <c r="B1399" t="s">
        <v>72</v>
      </c>
      <c r="C1399" t="s">
        <v>397</v>
      </c>
      <c r="D1399">
        <v>1085.9359999999999</v>
      </c>
      <c r="E1399">
        <v>526.64700000000005</v>
      </c>
      <c r="F1399">
        <v>2359755</v>
      </c>
      <c r="G1399" t="s">
        <v>827</v>
      </c>
      <c r="H1399">
        <v>811.19399999999996</v>
      </c>
      <c r="I1399" t="s">
        <v>828</v>
      </c>
      <c r="J1399" t="s">
        <v>10</v>
      </c>
      <c r="K1399" t="s">
        <v>829</v>
      </c>
    </row>
    <row r="1400" spans="1:11" x14ac:dyDescent="0.25">
      <c r="A1400" t="s">
        <v>422</v>
      </c>
      <c r="B1400" t="s">
        <v>30</v>
      </c>
      <c r="C1400" t="s">
        <v>397</v>
      </c>
      <c r="D1400">
        <v>2582.0520000000001</v>
      </c>
      <c r="E1400">
        <v>1252.2190000000001</v>
      </c>
      <c r="F1400">
        <v>2359755</v>
      </c>
      <c r="G1400" t="s">
        <v>827</v>
      </c>
      <c r="H1400">
        <v>1928.7929999999999</v>
      </c>
      <c r="I1400" t="s">
        <v>828</v>
      </c>
      <c r="J1400" t="s">
        <v>10</v>
      </c>
      <c r="K1400" t="s">
        <v>829</v>
      </c>
    </row>
    <row r="1401" spans="1:11" x14ac:dyDescent="0.25">
      <c r="A1401" t="s">
        <v>422</v>
      </c>
      <c r="B1401" t="s">
        <v>30</v>
      </c>
      <c r="C1401" t="s">
        <v>397</v>
      </c>
      <c r="D1401">
        <v>600</v>
      </c>
      <c r="E1401">
        <v>290.98200000000003</v>
      </c>
      <c r="F1401">
        <v>2359755</v>
      </c>
      <c r="G1401" t="s">
        <v>827</v>
      </c>
      <c r="H1401">
        <v>448.2</v>
      </c>
      <c r="I1401" t="s">
        <v>828</v>
      </c>
      <c r="J1401" t="s">
        <v>10</v>
      </c>
      <c r="K1401" t="s">
        <v>829</v>
      </c>
    </row>
    <row r="1402" spans="1:11" x14ac:dyDescent="0.25">
      <c r="A1402" t="s">
        <v>422</v>
      </c>
      <c r="B1402" t="s">
        <v>30</v>
      </c>
      <c r="C1402" t="s">
        <v>397</v>
      </c>
      <c r="D1402">
        <v>114.06399999999999</v>
      </c>
      <c r="E1402">
        <v>55.317999999999998</v>
      </c>
      <c r="F1402">
        <v>2359755</v>
      </c>
      <c r="G1402" t="s">
        <v>827</v>
      </c>
      <c r="H1402">
        <v>85.206000000000003</v>
      </c>
      <c r="I1402" t="s">
        <v>828</v>
      </c>
      <c r="J1402" t="s">
        <v>10</v>
      </c>
      <c r="K1402" t="s">
        <v>829</v>
      </c>
    </row>
    <row r="1403" spans="1:11" x14ac:dyDescent="0.25">
      <c r="A1403" t="s">
        <v>422</v>
      </c>
      <c r="B1403" t="s">
        <v>30</v>
      </c>
      <c r="C1403" t="s">
        <v>397</v>
      </c>
      <c r="D1403">
        <v>200</v>
      </c>
      <c r="E1403">
        <v>96.994</v>
      </c>
      <c r="F1403">
        <v>2359755</v>
      </c>
      <c r="G1403" t="s">
        <v>827</v>
      </c>
      <c r="H1403">
        <v>149.4</v>
      </c>
      <c r="I1403" t="s">
        <v>828</v>
      </c>
      <c r="J1403" t="s">
        <v>10</v>
      </c>
      <c r="K1403" t="s">
        <v>829</v>
      </c>
    </row>
    <row r="1404" spans="1:11" x14ac:dyDescent="0.25">
      <c r="A1404" t="s">
        <v>422</v>
      </c>
      <c r="B1404" t="s">
        <v>30</v>
      </c>
      <c r="C1404" t="s">
        <v>397</v>
      </c>
      <c r="D1404">
        <v>503.88400000000001</v>
      </c>
      <c r="E1404">
        <v>244.369</v>
      </c>
      <c r="F1404">
        <v>2359755</v>
      </c>
      <c r="G1404" t="s">
        <v>827</v>
      </c>
      <c r="H1404">
        <v>376.40100000000001</v>
      </c>
      <c r="I1404" t="s">
        <v>828</v>
      </c>
      <c r="J1404" t="s">
        <v>10</v>
      </c>
      <c r="K1404" t="s">
        <v>829</v>
      </c>
    </row>
    <row r="1405" spans="1:11" x14ac:dyDescent="0.25">
      <c r="A1405" t="s">
        <v>809</v>
      </c>
      <c r="B1405" t="s">
        <v>72</v>
      </c>
      <c r="C1405" t="s">
        <v>397</v>
      </c>
      <c r="D1405">
        <v>2630.4969999999998</v>
      </c>
      <c r="E1405">
        <v>1275.713</v>
      </c>
      <c r="F1405">
        <v>2359755</v>
      </c>
      <c r="G1405" t="s">
        <v>827</v>
      </c>
      <c r="H1405">
        <v>1964.981</v>
      </c>
      <c r="I1405" t="s">
        <v>828</v>
      </c>
      <c r="J1405" t="s">
        <v>10</v>
      </c>
      <c r="K1405" t="s">
        <v>829</v>
      </c>
    </row>
    <row r="1406" spans="1:11" x14ac:dyDescent="0.25">
      <c r="A1406" t="s">
        <v>809</v>
      </c>
      <c r="B1406" t="s">
        <v>72</v>
      </c>
      <c r="C1406" t="s">
        <v>397</v>
      </c>
      <c r="D1406">
        <v>1369.5029999999999</v>
      </c>
      <c r="E1406">
        <v>664.16899999999998</v>
      </c>
      <c r="F1406">
        <v>2359755</v>
      </c>
      <c r="G1406" t="s">
        <v>827</v>
      </c>
      <c r="H1406">
        <v>1023.019</v>
      </c>
      <c r="I1406" t="s">
        <v>828</v>
      </c>
      <c r="J1406" t="s">
        <v>10</v>
      </c>
      <c r="K1406" t="s">
        <v>829</v>
      </c>
    </row>
    <row r="1407" spans="1:11" x14ac:dyDescent="0.25">
      <c r="A1407" t="s">
        <v>809</v>
      </c>
      <c r="B1407" t="s">
        <v>72</v>
      </c>
      <c r="C1407" t="s">
        <v>397</v>
      </c>
      <c r="D1407">
        <v>44.604999999999997</v>
      </c>
      <c r="E1407">
        <v>21.632000000000001</v>
      </c>
      <c r="F1407">
        <v>2359755</v>
      </c>
      <c r="G1407" t="s">
        <v>827</v>
      </c>
      <c r="H1407">
        <v>33.32</v>
      </c>
      <c r="I1407" t="s">
        <v>828</v>
      </c>
      <c r="J1407" t="s">
        <v>10</v>
      </c>
      <c r="K1407" t="s">
        <v>829</v>
      </c>
    </row>
    <row r="1408" spans="1:11" x14ac:dyDescent="0.25">
      <c r="A1408" t="s">
        <v>809</v>
      </c>
      <c r="B1408" t="s">
        <v>72</v>
      </c>
      <c r="C1408" t="s">
        <v>397</v>
      </c>
      <c r="D1408">
        <v>240</v>
      </c>
      <c r="E1408">
        <v>116.393</v>
      </c>
      <c r="F1408">
        <v>2359755</v>
      </c>
      <c r="G1408" t="s">
        <v>827</v>
      </c>
      <c r="H1408">
        <v>179.28</v>
      </c>
      <c r="I1408" t="s">
        <v>828</v>
      </c>
      <c r="J1408" t="s">
        <v>10</v>
      </c>
      <c r="K1408" t="s">
        <v>829</v>
      </c>
    </row>
    <row r="1409" spans="1:11" x14ac:dyDescent="0.25">
      <c r="A1409" t="s">
        <v>809</v>
      </c>
      <c r="B1409" t="s">
        <v>72</v>
      </c>
      <c r="C1409" t="s">
        <v>397</v>
      </c>
      <c r="D1409">
        <v>70.497</v>
      </c>
      <c r="E1409">
        <v>34.189</v>
      </c>
      <c r="F1409">
        <v>2359755</v>
      </c>
      <c r="G1409" t="s">
        <v>827</v>
      </c>
      <c r="H1409">
        <v>52.661000000000001</v>
      </c>
      <c r="I1409" t="s">
        <v>828</v>
      </c>
      <c r="J1409" t="s">
        <v>10</v>
      </c>
      <c r="K1409" t="s">
        <v>829</v>
      </c>
    </row>
    <row r="1410" spans="1:11" x14ac:dyDescent="0.25">
      <c r="A1410" t="s">
        <v>809</v>
      </c>
      <c r="B1410" t="s">
        <v>72</v>
      </c>
      <c r="C1410" t="s">
        <v>397</v>
      </c>
      <c r="D1410">
        <v>96.116</v>
      </c>
      <c r="E1410">
        <v>46.613</v>
      </c>
      <c r="F1410">
        <v>2359755</v>
      </c>
      <c r="G1410" t="s">
        <v>827</v>
      </c>
      <c r="H1410">
        <v>71.799000000000007</v>
      </c>
      <c r="I1410" t="s">
        <v>828</v>
      </c>
      <c r="J1410" t="s">
        <v>10</v>
      </c>
      <c r="K1410" t="s">
        <v>829</v>
      </c>
    </row>
    <row r="1411" spans="1:11" x14ac:dyDescent="0.25">
      <c r="A1411" t="s">
        <v>809</v>
      </c>
      <c r="B1411" t="s">
        <v>72</v>
      </c>
      <c r="C1411" t="s">
        <v>397</v>
      </c>
      <c r="D1411">
        <v>2548.7820000000002</v>
      </c>
      <c r="E1411">
        <v>1236.0840000000001</v>
      </c>
      <c r="F1411">
        <v>2359755</v>
      </c>
      <c r="G1411" t="s">
        <v>827</v>
      </c>
      <c r="H1411">
        <v>1903.94</v>
      </c>
      <c r="I1411" t="s">
        <v>828</v>
      </c>
      <c r="J1411" t="s">
        <v>10</v>
      </c>
      <c r="K1411" t="s">
        <v>829</v>
      </c>
    </row>
    <row r="1412" spans="1:11" x14ac:dyDescent="0.25">
      <c r="A1412" t="s">
        <v>809</v>
      </c>
      <c r="B1412" t="s">
        <v>72</v>
      </c>
      <c r="C1412" t="s">
        <v>397</v>
      </c>
      <c r="D1412">
        <v>2642.28</v>
      </c>
      <c r="E1412">
        <v>1281.4280000000001</v>
      </c>
      <c r="F1412">
        <v>2359755</v>
      </c>
      <c r="G1412" t="s">
        <v>827</v>
      </c>
      <c r="H1412">
        <v>1973.7829999999999</v>
      </c>
      <c r="I1412" t="s">
        <v>828</v>
      </c>
      <c r="J1412" t="s">
        <v>10</v>
      </c>
      <c r="K1412" t="s">
        <v>829</v>
      </c>
    </row>
    <row r="1413" spans="1:11" x14ac:dyDescent="0.25">
      <c r="A1413" t="s">
        <v>809</v>
      </c>
      <c r="B1413" t="s">
        <v>72</v>
      </c>
      <c r="C1413" t="s">
        <v>397</v>
      </c>
      <c r="D1413">
        <v>1357.72</v>
      </c>
      <c r="E1413">
        <v>658.45399999999995</v>
      </c>
      <c r="F1413">
        <v>2359755</v>
      </c>
      <c r="G1413" t="s">
        <v>827</v>
      </c>
      <c r="H1413">
        <v>1014.217</v>
      </c>
      <c r="I1413" t="s">
        <v>828</v>
      </c>
      <c r="J1413" t="s">
        <v>10</v>
      </c>
      <c r="K1413" t="s">
        <v>829</v>
      </c>
    </row>
    <row r="1414" spans="1:11" x14ac:dyDescent="0.25">
      <c r="A1414" t="s">
        <v>809</v>
      </c>
      <c r="B1414" t="s">
        <v>72</v>
      </c>
      <c r="C1414" t="s">
        <v>397</v>
      </c>
      <c r="D1414">
        <v>1110</v>
      </c>
      <c r="E1414">
        <v>516.154</v>
      </c>
      <c r="F1414">
        <v>3781608</v>
      </c>
      <c r="G1414" t="s">
        <v>827</v>
      </c>
      <c r="H1414">
        <v>795.03099999999995</v>
      </c>
      <c r="I1414" t="s">
        <v>830</v>
      </c>
      <c r="J1414" t="s">
        <v>10</v>
      </c>
      <c r="K1414" t="s">
        <v>831</v>
      </c>
    </row>
    <row r="1415" spans="1:11" x14ac:dyDescent="0.25">
      <c r="A1415" t="s">
        <v>809</v>
      </c>
      <c r="B1415" t="s">
        <v>72</v>
      </c>
      <c r="C1415" t="s">
        <v>397</v>
      </c>
      <c r="D1415">
        <v>300</v>
      </c>
      <c r="E1415">
        <v>139.501</v>
      </c>
      <c r="F1415">
        <v>3781608</v>
      </c>
      <c r="G1415" t="s">
        <v>827</v>
      </c>
      <c r="H1415">
        <v>214.87299999999999</v>
      </c>
      <c r="I1415" t="s">
        <v>830</v>
      </c>
      <c r="J1415" t="s">
        <v>10</v>
      </c>
      <c r="K1415" t="s">
        <v>831</v>
      </c>
    </row>
    <row r="1416" spans="1:11" x14ac:dyDescent="0.25">
      <c r="A1416" t="s">
        <v>809</v>
      </c>
      <c r="B1416" t="s">
        <v>72</v>
      </c>
      <c r="C1416" t="s">
        <v>397</v>
      </c>
      <c r="D1416">
        <v>200</v>
      </c>
      <c r="E1416">
        <v>93.001000000000005</v>
      </c>
      <c r="F1416">
        <v>3781608</v>
      </c>
      <c r="G1416" t="s">
        <v>827</v>
      </c>
      <c r="H1416">
        <v>143.249</v>
      </c>
      <c r="I1416" t="s">
        <v>830</v>
      </c>
      <c r="J1416" t="s">
        <v>10</v>
      </c>
      <c r="K1416" t="s">
        <v>831</v>
      </c>
    </row>
    <row r="1417" spans="1:11" x14ac:dyDescent="0.25">
      <c r="A1417" t="s">
        <v>809</v>
      </c>
      <c r="B1417" t="s">
        <v>72</v>
      </c>
      <c r="C1417" t="s">
        <v>397</v>
      </c>
      <c r="D1417">
        <v>830</v>
      </c>
      <c r="E1417">
        <v>385.95299999999997</v>
      </c>
      <c r="F1417">
        <v>3781608</v>
      </c>
      <c r="G1417" t="s">
        <v>827</v>
      </c>
      <c r="H1417">
        <v>594.48299999999995</v>
      </c>
      <c r="I1417" t="s">
        <v>830</v>
      </c>
      <c r="J1417" t="s">
        <v>10</v>
      </c>
      <c r="K1417" t="s">
        <v>831</v>
      </c>
    </row>
    <row r="1418" spans="1:11" x14ac:dyDescent="0.25">
      <c r="A1418" t="s">
        <v>809</v>
      </c>
      <c r="B1418" t="s">
        <v>72</v>
      </c>
      <c r="C1418" t="s">
        <v>397</v>
      </c>
      <c r="D1418">
        <v>200</v>
      </c>
      <c r="E1418">
        <v>93.001000000000005</v>
      </c>
      <c r="F1418">
        <v>3781608</v>
      </c>
      <c r="G1418" t="s">
        <v>827</v>
      </c>
      <c r="H1418">
        <v>143.249</v>
      </c>
      <c r="I1418" t="s">
        <v>830</v>
      </c>
      <c r="J1418" t="s">
        <v>10</v>
      </c>
      <c r="K1418" t="s">
        <v>831</v>
      </c>
    </row>
    <row r="1419" spans="1:11" x14ac:dyDescent="0.25">
      <c r="A1419" t="s">
        <v>809</v>
      </c>
      <c r="B1419" t="s">
        <v>72</v>
      </c>
      <c r="C1419" t="s">
        <v>397</v>
      </c>
      <c r="D1419">
        <v>360</v>
      </c>
      <c r="E1419">
        <v>167.40100000000001</v>
      </c>
      <c r="F1419">
        <v>3781608</v>
      </c>
      <c r="G1419" t="s">
        <v>827</v>
      </c>
      <c r="H1419">
        <v>257.84800000000001</v>
      </c>
      <c r="I1419" t="s">
        <v>830</v>
      </c>
      <c r="J1419" t="s">
        <v>10</v>
      </c>
      <c r="K1419" t="s">
        <v>831</v>
      </c>
    </row>
    <row r="1420" spans="1:11" x14ac:dyDescent="0.25">
      <c r="A1420" t="s">
        <v>809</v>
      </c>
      <c r="B1420" t="s">
        <v>72</v>
      </c>
      <c r="C1420" t="s">
        <v>397</v>
      </c>
      <c r="D1420">
        <v>1000</v>
      </c>
      <c r="E1420">
        <v>465.00299999999999</v>
      </c>
      <c r="F1420">
        <v>3781608</v>
      </c>
      <c r="G1420" t="s">
        <v>827</v>
      </c>
      <c r="H1420">
        <v>716.24400000000003</v>
      </c>
      <c r="I1420" t="s">
        <v>830</v>
      </c>
      <c r="J1420" t="s">
        <v>10</v>
      </c>
      <c r="K1420" t="s">
        <v>831</v>
      </c>
    </row>
    <row r="1421" spans="1:11" x14ac:dyDescent="0.25">
      <c r="A1421" t="s">
        <v>809</v>
      </c>
      <c r="B1421" t="s">
        <v>72</v>
      </c>
      <c r="C1421" t="s">
        <v>397</v>
      </c>
      <c r="D1421">
        <v>800</v>
      </c>
      <c r="E1421">
        <v>372.00299999999999</v>
      </c>
      <c r="F1421">
        <v>3781608</v>
      </c>
      <c r="G1421" t="s">
        <v>827</v>
      </c>
      <c r="H1421">
        <v>572.99599999999998</v>
      </c>
      <c r="I1421" t="s">
        <v>830</v>
      </c>
      <c r="J1421" t="s">
        <v>10</v>
      </c>
      <c r="K1421" t="s">
        <v>831</v>
      </c>
    </row>
    <row r="1422" spans="1:11" x14ac:dyDescent="0.25">
      <c r="A1422" t="s">
        <v>809</v>
      </c>
      <c r="B1422" t="s">
        <v>72</v>
      </c>
      <c r="C1422" t="s">
        <v>397</v>
      </c>
      <c r="D1422">
        <v>200</v>
      </c>
      <c r="E1422">
        <v>93.001000000000005</v>
      </c>
      <c r="F1422">
        <v>3781608</v>
      </c>
      <c r="G1422" t="s">
        <v>827</v>
      </c>
      <c r="H1422">
        <v>143.249</v>
      </c>
      <c r="I1422" t="s">
        <v>830</v>
      </c>
      <c r="J1422" t="s">
        <v>10</v>
      </c>
      <c r="K1422" t="s">
        <v>831</v>
      </c>
    </row>
    <row r="1423" spans="1:11" x14ac:dyDescent="0.25">
      <c r="A1423" t="s">
        <v>573</v>
      </c>
      <c r="B1423" t="s">
        <v>52</v>
      </c>
      <c r="C1423" t="s">
        <v>397</v>
      </c>
      <c r="D1423">
        <v>641</v>
      </c>
      <c r="E1423">
        <v>134.66399999999999</v>
      </c>
      <c r="F1423">
        <v>2256593</v>
      </c>
      <c r="G1423" t="s">
        <v>836</v>
      </c>
      <c r="H1423">
        <v>121.79</v>
      </c>
      <c r="I1423" t="s">
        <v>1598</v>
      </c>
      <c r="J1423" t="s">
        <v>10</v>
      </c>
      <c r="K1423" t="s">
        <v>2320</v>
      </c>
    </row>
    <row r="1424" spans="1:11" x14ac:dyDescent="0.25">
      <c r="A1424" t="s">
        <v>573</v>
      </c>
      <c r="B1424" t="s">
        <v>52</v>
      </c>
      <c r="C1424" t="s">
        <v>397</v>
      </c>
      <c r="D1424">
        <v>9</v>
      </c>
      <c r="E1424">
        <v>1.891</v>
      </c>
      <c r="F1424">
        <v>2256593</v>
      </c>
      <c r="G1424" t="s">
        <v>836</v>
      </c>
      <c r="H1424">
        <v>1.71</v>
      </c>
      <c r="I1424" t="s">
        <v>1598</v>
      </c>
      <c r="J1424" t="s">
        <v>10</v>
      </c>
      <c r="K1424" t="s">
        <v>2320</v>
      </c>
    </row>
    <row r="1425" spans="1:11" x14ac:dyDescent="0.25">
      <c r="A1425" t="s">
        <v>636</v>
      </c>
      <c r="B1425" t="s">
        <v>151</v>
      </c>
      <c r="C1425" t="s">
        <v>397</v>
      </c>
      <c r="D1425">
        <v>1424</v>
      </c>
      <c r="E1425">
        <v>1039.701</v>
      </c>
      <c r="F1425">
        <v>1940881</v>
      </c>
      <c r="G1425" t="s">
        <v>841</v>
      </c>
      <c r="H1425">
        <v>2503.3919999999998</v>
      </c>
      <c r="I1425" t="s">
        <v>842</v>
      </c>
      <c r="J1425" t="s">
        <v>10</v>
      </c>
      <c r="K1425" t="s">
        <v>843</v>
      </c>
    </row>
    <row r="1426" spans="1:11" x14ac:dyDescent="0.25">
      <c r="A1426" t="s">
        <v>636</v>
      </c>
      <c r="B1426" t="s">
        <v>151</v>
      </c>
      <c r="C1426" t="s">
        <v>397</v>
      </c>
      <c r="D1426">
        <v>1415</v>
      </c>
      <c r="E1426">
        <v>1033.1300000000001</v>
      </c>
      <c r="F1426">
        <v>1940881</v>
      </c>
      <c r="G1426" t="s">
        <v>841</v>
      </c>
      <c r="H1426">
        <v>2487.5700000000002</v>
      </c>
      <c r="I1426" t="s">
        <v>842</v>
      </c>
      <c r="J1426" t="s">
        <v>10</v>
      </c>
      <c r="K1426" t="s">
        <v>843</v>
      </c>
    </row>
    <row r="1427" spans="1:11" x14ac:dyDescent="0.25">
      <c r="A1427" t="s">
        <v>636</v>
      </c>
      <c r="B1427" t="s">
        <v>151</v>
      </c>
      <c r="C1427" t="s">
        <v>397</v>
      </c>
      <c r="D1427">
        <v>1399</v>
      </c>
      <c r="E1427">
        <v>1021.448</v>
      </c>
      <c r="F1427">
        <v>1940881</v>
      </c>
      <c r="G1427" t="s">
        <v>841</v>
      </c>
      <c r="H1427">
        <v>2459.442</v>
      </c>
      <c r="I1427" t="s">
        <v>842</v>
      </c>
      <c r="J1427" t="s">
        <v>10</v>
      </c>
      <c r="K1427" t="s">
        <v>843</v>
      </c>
    </row>
    <row r="1428" spans="1:11" x14ac:dyDescent="0.25">
      <c r="A1428" t="s">
        <v>636</v>
      </c>
      <c r="B1428" t="s">
        <v>151</v>
      </c>
      <c r="C1428" t="s">
        <v>397</v>
      </c>
      <c r="D1428">
        <v>1226</v>
      </c>
      <c r="E1428">
        <v>895.13599999999997</v>
      </c>
      <c r="F1428">
        <v>1940881</v>
      </c>
      <c r="G1428" t="s">
        <v>841</v>
      </c>
      <c r="H1428">
        <v>2155.308</v>
      </c>
      <c r="I1428" t="s">
        <v>842</v>
      </c>
      <c r="J1428" t="s">
        <v>10</v>
      </c>
      <c r="K1428" t="s">
        <v>843</v>
      </c>
    </row>
    <row r="1429" spans="1:11" x14ac:dyDescent="0.25">
      <c r="A1429" t="s">
        <v>636</v>
      </c>
      <c r="B1429" t="s">
        <v>151</v>
      </c>
      <c r="C1429" t="s">
        <v>397</v>
      </c>
      <c r="D1429">
        <v>1115</v>
      </c>
      <c r="E1429">
        <v>814.09199999999998</v>
      </c>
      <c r="F1429">
        <v>1940881</v>
      </c>
      <c r="G1429" t="s">
        <v>841</v>
      </c>
      <c r="H1429">
        <v>1960.17</v>
      </c>
      <c r="I1429" t="s">
        <v>842</v>
      </c>
      <c r="J1429" t="s">
        <v>10</v>
      </c>
      <c r="K1429" t="s">
        <v>843</v>
      </c>
    </row>
    <row r="1430" spans="1:11" x14ac:dyDescent="0.25">
      <c r="A1430" t="s">
        <v>636</v>
      </c>
      <c r="B1430" t="s">
        <v>151</v>
      </c>
      <c r="C1430" t="s">
        <v>397</v>
      </c>
      <c r="D1430">
        <v>699</v>
      </c>
      <c r="E1430">
        <v>510.35899999999998</v>
      </c>
      <c r="F1430">
        <v>1940881</v>
      </c>
      <c r="G1430" t="s">
        <v>841</v>
      </c>
      <c r="H1430">
        <v>1228.8420000000001</v>
      </c>
      <c r="I1430" t="s">
        <v>842</v>
      </c>
      <c r="J1430" t="s">
        <v>10</v>
      </c>
      <c r="K1430" t="s">
        <v>843</v>
      </c>
    </row>
    <row r="1431" spans="1:11" x14ac:dyDescent="0.25">
      <c r="A1431" t="s">
        <v>636</v>
      </c>
      <c r="B1431" t="s">
        <v>151</v>
      </c>
      <c r="C1431" t="s">
        <v>397</v>
      </c>
      <c r="D1431">
        <v>18</v>
      </c>
      <c r="E1431">
        <v>13.141999999999999</v>
      </c>
      <c r="F1431">
        <v>1940881</v>
      </c>
      <c r="G1431" t="s">
        <v>841</v>
      </c>
      <c r="H1431">
        <v>31.643999999999998</v>
      </c>
      <c r="I1431" t="s">
        <v>842</v>
      </c>
      <c r="J1431" t="s">
        <v>10</v>
      </c>
      <c r="K1431" t="s">
        <v>843</v>
      </c>
    </row>
    <row r="1432" spans="1:11" x14ac:dyDescent="0.25">
      <c r="A1432" t="s">
        <v>419</v>
      </c>
      <c r="B1432" t="s">
        <v>46</v>
      </c>
      <c r="C1432" t="s">
        <v>444</v>
      </c>
      <c r="D1432">
        <v>155</v>
      </c>
      <c r="E1432">
        <v>928.34299999999996</v>
      </c>
      <c r="F1432">
        <v>3702361</v>
      </c>
      <c r="G1432" t="s">
        <v>799</v>
      </c>
      <c r="H1432">
        <v>1644.0029999999999</v>
      </c>
      <c r="I1432" t="s">
        <v>844</v>
      </c>
      <c r="J1432" t="s">
        <v>10</v>
      </c>
      <c r="K1432" t="s">
        <v>845</v>
      </c>
    </row>
    <row r="1433" spans="1:11" x14ac:dyDescent="0.25">
      <c r="A1433" t="s">
        <v>419</v>
      </c>
      <c r="B1433" t="s">
        <v>46</v>
      </c>
      <c r="C1433" t="s">
        <v>444</v>
      </c>
      <c r="D1433">
        <v>141</v>
      </c>
      <c r="E1433">
        <v>846.65700000000004</v>
      </c>
      <c r="F1433">
        <v>3702361</v>
      </c>
      <c r="G1433" t="s">
        <v>799</v>
      </c>
      <c r="H1433">
        <v>1499.345</v>
      </c>
      <c r="I1433" t="s">
        <v>844</v>
      </c>
      <c r="J1433" t="s">
        <v>10</v>
      </c>
      <c r="K1433" t="s">
        <v>845</v>
      </c>
    </row>
    <row r="1434" spans="1:11" x14ac:dyDescent="0.25">
      <c r="A1434" t="s">
        <v>653</v>
      </c>
      <c r="B1434" t="s">
        <v>39</v>
      </c>
      <c r="C1434" t="s">
        <v>444</v>
      </c>
      <c r="D1434">
        <v>216</v>
      </c>
      <c r="E1434">
        <v>1337.0640000000001</v>
      </c>
      <c r="F1434">
        <v>3502254</v>
      </c>
      <c r="G1434" t="s">
        <v>857</v>
      </c>
      <c r="H1434">
        <v>1925.64</v>
      </c>
      <c r="I1434" t="s">
        <v>858</v>
      </c>
      <c r="J1434" t="s">
        <v>10</v>
      </c>
      <c r="K1434" t="s">
        <v>859</v>
      </c>
    </row>
    <row r="1435" spans="1:11" x14ac:dyDescent="0.25">
      <c r="A1435" t="s">
        <v>653</v>
      </c>
      <c r="B1435" t="s">
        <v>39</v>
      </c>
      <c r="C1435" t="s">
        <v>444</v>
      </c>
      <c r="D1435">
        <v>216</v>
      </c>
      <c r="E1435">
        <v>1337.0640000000001</v>
      </c>
      <c r="F1435">
        <v>3502254</v>
      </c>
      <c r="G1435" t="s">
        <v>857</v>
      </c>
      <c r="H1435">
        <v>1925.64</v>
      </c>
      <c r="I1435" t="s">
        <v>858</v>
      </c>
      <c r="J1435" t="s">
        <v>10</v>
      </c>
      <c r="K1435" t="s">
        <v>859</v>
      </c>
    </row>
    <row r="1436" spans="1:11" x14ac:dyDescent="0.25">
      <c r="A1436" t="s">
        <v>653</v>
      </c>
      <c r="B1436" t="s">
        <v>39</v>
      </c>
      <c r="C1436" t="s">
        <v>444</v>
      </c>
      <c r="D1436">
        <v>217</v>
      </c>
      <c r="E1436">
        <v>1342.8720000000001</v>
      </c>
      <c r="F1436">
        <v>3502254</v>
      </c>
      <c r="G1436" t="s">
        <v>857</v>
      </c>
      <c r="H1436">
        <v>1934.0039999999999</v>
      </c>
      <c r="I1436" t="s">
        <v>858</v>
      </c>
      <c r="J1436" t="s">
        <v>10</v>
      </c>
      <c r="K1436" t="s">
        <v>859</v>
      </c>
    </row>
    <row r="1437" spans="1:11" x14ac:dyDescent="0.25">
      <c r="A1437" t="s">
        <v>636</v>
      </c>
      <c r="B1437" t="s">
        <v>151</v>
      </c>
      <c r="C1437" t="s">
        <v>397</v>
      </c>
      <c r="D1437">
        <v>2800</v>
      </c>
      <c r="E1437">
        <v>1190.221</v>
      </c>
      <c r="F1437">
        <v>1940738</v>
      </c>
      <c r="G1437" t="s">
        <v>860</v>
      </c>
      <c r="H1437">
        <v>2069.1999999999998</v>
      </c>
      <c r="I1437" t="s">
        <v>863</v>
      </c>
      <c r="J1437" t="s">
        <v>10</v>
      </c>
      <c r="K1437" t="s">
        <v>864</v>
      </c>
    </row>
    <row r="1438" spans="1:11" x14ac:dyDescent="0.25">
      <c r="A1438" t="s">
        <v>636</v>
      </c>
      <c r="B1438" t="s">
        <v>151</v>
      </c>
      <c r="C1438" t="s">
        <v>397</v>
      </c>
      <c r="D1438">
        <v>2800</v>
      </c>
      <c r="E1438">
        <v>1190.221</v>
      </c>
      <c r="F1438">
        <v>1940738</v>
      </c>
      <c r="G1438" t="s">
        <v>860</v>
      </c>
      <c r="H1438">
        <v>2069.1999999999998</v>
      </c>
      <c r="I1438" t="s">
        <v>863</v>
      </c>
      <c r="J1438" t="s">
        <v>10</v>
      </c>
      <c r="K1438" t="s">
        <v>864</v>
      </c>
    </row>
    <row r="1439" spans="1:11" x14ac:dyDescent="0.25">
      <c r="A1439" t="s">
        <v>636</v>
      </c>
      <c r="B1439" t="s">
        <v>151</v>
      </c>
      <c r="C1439" t="s">
        <v>397</v>
      </c>
      <c r="D1439">
        <v>400</v>
      </c>
      <c r="E1439">
        <v>170.03200000000001</v>
      </c>
      <c r="F1439">
        <v>1940738</v>
      </c>
      <c r="G1439" t="s">
        <v>860</v>
      </c>
      <c r="H1439">
        <v>295.60000000000002</v>
      </c>
      <c r="I1439" t="s">
        <v>863</v>
      </c>
      <c r="J1439" t="s">
        <v>10</v>
      </c>
      <c r="K1439" t="s">
        <v>864</v>
      </c>
    </row>
    <row r="1440" spans="1:11" x14ac:dyDescent="0.25">
      <c r="A1440" t="s">
        <v>636</v>
      </c>
      <c r="B1440" t="s">
        <v>151</v>
      </c>
      <c r="C1440" t="s">
        <v>397</v>
      </c>
      <c r="D1440">
        <v>300</v>
      </c>
      <c r="E1440">
        <v>127.524</v>
      </c>
      <c r="F1440">
        <v>1940738</v>
      </c>
      <c r="G1440" t="s">
        <v>860</v>
      </c>
      <c r="H1440">
        <v>221.7</v>
      </c>
      <c r="I1440" t="s">
        <v>863</v>
      </c>
      <c r="J1440" t="s">
        <v>10</v>
      </c>
      <c r="K1440" t="s">
        <v>864</v>
      </c>
    </row>
    <row r="1441" spans="1:11" x14ac:dyDescent="0.25">
      <c r="A1441" t="s">
        <v>636</v>
      </c>
      <c r="B1441" t="s">
        <v>151</v>
      </c>
      <c r="C1441" t="s">
        <v>397</v>
      </c>
      <c r="D1441">
        <v>700</v>
      </c>
      <c r="E1441">
        <v>297.55500000000001</v>
      </c>
      <c r="F1441">
        <v>1940738</v>
      </c>
      <c r="G1441" t="s">
        <v>860</v>
      </c>
      <c r="H1441">
        <v>517.29999999999995</v>
      </c>
      <c r="I1441" t="s">
        <v>863</v>
      </c>
      <c r="J1441" t="s">
        <v>10</v>
      </c>
      <c r="K1441" t="s">
        <v>864</v>
      </c>
    </row>
    <row r="1442" spans="1:11" x14ac:dyDescent="0.25">
      <c r="A1442" t="s">
        <v>636</v>
      </c>
      <c r="B1442" t="s">
        <v>151</v>
      </c>
      <c r="C1442" t="s">
        <v>397</v>
      </c>
      <c r="D1442">
        <v>1519</v>
      </c>
      <c r="E1442">
        <v>1233.143</v>
      </c>
      <c r="F1442">
        <v>1940743</v>
      </c>
      <c r="G1442" t="s">
        <v>860</v>
      </c>
      <c r="H1442">
        <v>2196.4740000000002</v>
      </c>
      <c r="I1442" t="s">
        <v>867</v>
      </c>
      <c r="J1442" t="s">
        <v>10</v>
      </c>
      <c r="K1442" t="s">
        <v>868</v>
      </c>
    </row>
    <row r="1443" spans="1:11" x14ac:dyDescent="0.25">
      <c r="A1443" t="s">
        <v>636</v>
      </c>
      <c r="B1443" t="s">
        <v>151</v>
      </c>
      <c r="C1443" t="s">
        <v>397</v>
      </c>
      <c r="D1443">
        <v>1512</v>
      </c>
      <c r="E1443">
        <v>1227.46</v>
      </c>
      <c r="F1443">
        <v>1940743</v>
      </c>
      <c r="G1443" t="s">
        <v>860</v>
      </c>
      <c r="H1443">
        <v>2186.3519999999999</v>
      </c>
      <c r="I1443" t="s">
        <v>867</v>
      </c>
      <c r="J1443" t="s">
        <v>10</v>
      </c>
      <c r="K1443" t="s">
        <v>868</v>
      </c>
    </row>
    <row r="1444" spans="1:11" x14ac:dyDescent="0.25">
      <c r="A1444" t="s">
        <v>636</v>
      </c>
      <c r="B1444" t="s">
        <v>151</v>
      </c>
      <c r="C1444" t="s">
        <v>397</v>
      </c>
      <c r="D1444">
        <v>1519</v>
      </c>
      <c r="E1444">
        <v>1233.143</v>
      </c>
      <c r="F1444">
        <v>1940743</v>
      </c>
      <c r="G1444" t="s">
        <v>860</v>
      </c>
      <c r="H1444">
        <v>2196.4740000000002</v>
      </c>
      <c r="I1444" t="s">
        <v>867</v>
      </c>
      <c r="J1444" t="s">
        <v>10</v>
      </c>
      <c r="K1444" t="s">
        <v>868</v>
      </c>
    </row>
    <row r="1445" spans="1:11" x14ac:dyDescent="0.25">
      <c r="A1445" t="s">
        <v>636</v>
      </c>
      <c r="B1445" t="s">
        <v>151</v>
      </c>
      <c r="C1445" t="s">
        <v>397</v>
      </c>
      <c r="D1445">
        <v>450</v>
      </c>
      <c r="E1445">
        <v>365.31599999999997</v>
      </c>
      <c r="F1445">
        <v>1940743</v>
      </c>
      <c r="G1445" t="s">
        <v>860</v>
      </c>
      <c r="H1445">
        <v>650.70000000000005</v>
      </c>
      <c r="I1445" t="s">
        <v>867</v>
      </c>
      <c r="J1445" t="s">
        <v>10</v>
      </c>
      <c r="K1445" t="s">
        <v>868</v>
      </c>
    </row>
    <row r="1446" spans="1:11" x14ac:dyDescent="0.25">
      <c r="A1446" t="s">
        <v>437</v>
      </c>
      <c r="B1446" t="s">
        <v>18</v>
      </c>
      <c r="C1446" t="s">
        <v>397</v>
      </c>
      <c r="D1446">
        <v>180</v>
      </c>
      <c r="E1446">
        <v>29.24</v>
      </c>
      <c r="F1446">
        <v>4098593</v>
      </c>
      <c r="G1446" t="s">
        <v>578</v>
      </c>
      <c r="H1446">
        <v>58.32</v>
      </c>
      <c r="I1446" t="s">
        <v>1896</v>
      </c>
      <c r="J1446" t="s">
        <v>10</v>
      </c>
      <c r="K1446" t="s">
        <v>2308</v>
      </c>
    </row>
    <row r="1447" spans="1:11" x14ac:dyDescent="0.25">
      <c r="A1447" t="s">
        <v>437</v>
      </c>
      <c r="B1447" t="s">
        <v>18</v>
      </c>
      <c r="C1447" t="s">
        <v>397</v>
      </c>
      <c r="D1447">
        <v>1000</v>
      </c>
      <c r="E1447">
        <v>162.447</v>
      </c>
      <c r="F1447">
        <v>4098593</v>
      </c>
      <c r="G1447" t="s">
        <v>578</v>
      </c>
      <c r="H1447">
        <v>324</v>
      </c>
      <c r="I1447" t="s">
        <v>1896</v>
      </c>
      <c r="J1447" t="s">
        <v>10</v>
      </c>
      <c r="K1447" t="s">
        <v>2308</v>
      </c>
    </row>
    <row r="1448" spans="1:11" x14ac:dyDescent="0.25">
      <c r="A1448" t="s">
        <v>437</v>
      </c>
      <c r="B1448" t="s">
        <v>18</v>
      </c>
      <c r="C1448" t="s">
        <v>397</v>
      </c>
      <c r="D1448">
        <v>629</v>
      </c>
      <c r="E1448">
        <v>102.179</v>
      </c>
      <c r="F1448">
        <v>4098593</v>
      </c>
      <c r="G1448" t="s">
        <v>578</v>
      </c>
      <c r="H1448">
        <v>203.79599999999999</v>
      </c>
      <c r="I1448" t="s">
        <v>1896</v>
      </c>
      <c r="J1448" t="s">
        <v>10</v>
      </c>
      <c r="K1448" t="s">
        <v>2308</v>
      </c>
    </row>
    <row r="1449" spans="1:11" x14ac:dyDescent="0.25">
      <c r="A1449" t="s">
        <v>437</v>
      </c>
      <c r="B1449" t="s">
        <v>18</v>
      </c>
      <c r="C1449" t="s">
        <v>397</v>
      </c>
      <c r="D1449">
        <v>524</v>
      </c>
      <c r="E1449">
        <v>85.122</v>
      </c>
      <c r="F1449">
        <v>4098593</v>
      </c>
      <c r="G1449" t="s">
        <v>578</v>
      </c>
      <c r="H1449">
        <v>169.77600000000001</v>
      </c>
      <c r="I1449" t="s">
        <v>1896</v>
      </c>
      <c r="J1449" t="s">
        <v>10</v>
      </c>
      <c r="K1449" t="s">
        <v>2308</v>
      </c>
    </row>
    <row r="1450" spans="1:11" x14ac:dyDescent="0.25">
      <c r="A1450" t="s">
        <v>437</v>
      </c>
      <c r="B1450" t="s">
        <v>18</v>
      </c>
      <c r="C1450" t="s">
        <v>397</v>
      </c>
      <c r="D1450">
        <v>426</v>
      </c>
      <c r="E1450">
        <v>69.201999999999998</v>
      </c>
      <c r="F1450">
        <v>4098593</v>
      </c>
      <c r="G1450" t="s">
        <v>578</v>
      </c>
      <c r="H1450">
        <v>138.024</v>
      </c>
      <c r="I1450" t="s">
        <v>1896</v>
      </c>
      <c r="J1450" t="s">
        <v>10</v>
      </c>
      <c r="K1450" t="s">
        <v>2308</v>
      </c>
    </row>
    <row r="1451" spans="1:11" x14ac:dyDescent="0.25">
      <c r="A1451" t="s">
        <v>437</v>
      </c>
      <c r="B1451" t="s">
        <v>18</v>
      </c>
      <c r="C1451" t="s">
        <v>397</v>
      </c>
      <c r="D1451">
        <v>41</v>
      </c>
      <c r="E1451">
        <v>6.66</v>
      </c>
      <c r="F1451">
        <v>4098593</v>
      </c>
      <c r="G1451" t="s">
        <v>578</v>
      </c>
      <c r="H1451">
        <v>13.284000000000001</v>
      </c>
      <c r="I1451" t="s">
        <v>1896</v>
      </c>
      <c r="J1451" t="s">
        <v>10</v>
      </c>
      <c r="K1451" t="s">
        <v>2308</v>
      </c>
    </row>
    <row r="1452" spans="1:11" x14ac:dyDescent="0.25">
      <c r="A1452" t="s">
        <v>809</v>
      </c>
      <c r="B1452" t="s">
        <v>72</v>
      </c>
      <c r="C1452" t="s">
        <v>397</v>
      </c>
      <c r="D1452">
        <v>531.63199999999995</v>
      </c>
      <c r="E1452">
        <v>144.53299999999999</v>
      </c>
      <c r="F1452">
        <v>1938125</v>
      </c>
      <c r="G1452" t="s">
        <v>869</v>
      </c>
      <c r="H1452">
        <v>325.35899999999998</v>
      </c>
      <c r="I1452" t="s">
        <v>870</v>
      </c>
      <c r="J1452" t="s">
        <v>10</v>
      </c>
      <c r="K1452" t="s">
        <v>871</v>
      </c>
    </row>
    <row r="1453" spans="1:11" x14ac:dyDescent="0.25">
      <c r="A1453" t="s">
        <v>809</v>
      </c>
      <c r="B1453" t="s">
        <v>72</v>
      </c>
      <c r="C1453" t="s">
        <v>397</v>
      </c>
      <c r="D1453">
        <v>616</v>
      </c>
      <c r="E1453">
        <v>167.47</v>
      </c>
      <c r="F1453">
        <v>1938125</v>
      </c>
      <c r="G1453" t="s">
        <v>869</v>
      </c>
      <c r="H1453">
        <v>376.99200000000002</v>
      </c>
      <c r="I1453" t="s">
        <v>870</v>
      </c>
      <c r="J1453" t="s">
        <v>10</v>
      </c>
      <c r="K1453" t="s">
        <v>871</v>
      </c>
    </row>
    <row r="1454" spans="1:11" x14ac:dyDescent="0.25">
      <c r="A1454" t="s">
        <v>809</v>
      </c>
      <c r="B1454" t="s">
        <v>72</v>
      </c>
      <c r="C1454" t="s">
        <v>397</v>
      </c>
      <c r="D1454">
        <v>2852.3679999999999</v>
      </c>
      <c r="E1454">
        <v>775.46500000000003</v>
      </c>
      <c r="F1454">
        <v>1938125</v>
      </c>
      <c r="G1454" t="s">
        <v>869</v>
      </c>
      <c r="H1454">
        <v>1745.6489999999999</v>
      </c>
      <c r="I1454" t="s">
        <v>870</v>
      </c>
      <c r="J1454" t="s">
        <v>10</v>
      </c>
      <c r="K1454" t="s">
        <v>871</v>
      </c>
    </row>
    <row r="1455" spans="1:11" x14ac:dyDescent="0.25">
      <c r="A1455" t="s">
        <v>422</v>
      </c>
      <c r="B1455" t="s">
        <v>30</v>
      </c>
      <c r="C1455" t="s">
        <v>397</v>
      </c>
      <c r="D1455">
        <v>3343.5160000000001</v>
      </c>
      <c r="E1455">
        <v>908.99199999999996</v>
      </c>
      <c r="F1455">
        <v>1938125</v>
      </c>
      <c r="G1455" t="s">
        <v>869</v>
      </c>
      <c r="H1455">
        <v>2046.232</v>
      </c>
      <c r="I1455" t="s">
        <v>870</v>
      </c>
      <c r="J1455" t="s">
        <v>10</v>
      </c>
      <c r="K1455" t="s">
        <v>871</v>
      </c>
    </row>
    <row r="1456" spans="1:11" x14ac:dyDescent="0.25">
      <c r="A1456" t="s">
        <v>422</v>
      </c>
      <c r="B1456" t="s">
        <v>30</v>
      </c>
      <c r="C1456" t="s">
        <v>397</v>
      </c>
      <c r="D1456">
        <v>1656.4839999999999</v>
      </c>
      <c r="E1456">
        <v>450.34300000000002</v>
      </c>
      <c r="F1456">
        <v>1938125</v>
      </c>
      <c r="G1456" t="s">
        <v>869</v>
      </c>
      <c r="H1456">
        <v>1013.768</v>
      </c>
      <c r="I1456" t="s">
        <v>870</v>
      </c>
      <c r="J1456" t="s">
        <v>10</v>
      </c>
      <c r="K1456" t="s">
        <v>871</v>
      </c>
    </row>
    <row r="1457" spans="1:11" x14ac:dyDescent="0.25">
      <c r="A1457" t="s">
        <v>809</v>
      </c>
      <c r="B1457" t="s">
        <v>72</v>
      </c>
      <c r="C1457" t="s">
        <v>397</v>
      </c>
      <c r="D1457">
        <v>2500</v>
      </c>
      <c r="E1457">
        <v>679.66800000000001</v>
      </c>
      <c r="F1457">
        <v>1938125</v>
      </c>
      <c r="G1457" t="s">
        <v>869</v>
      </c>
      <c r="H1457">
        <v>1530</v>
      </c>
      <c r="I1457" t="s">
        <v>870</v>
      </c>
      <c r="J1457" t="s">
        <v>10</v>
      </c>
      <c r="K1457" t="s">
        <v>871</v>
      </c>
    </row>
    <row r="1458" spans="1:11" x14ac:dyDescent="0.25">
      <c r="A1458" t="s">
        <v>809</v>
      </c>
      <c r="B1458" t="s">
        <v>72</v>
      </c>
      <c r="C1458" t="s">
        <v>397</v>
      </c>
      <c r="D1458">
        <v>350</v>
      </c>
      <c r="E1458">
        <v>95.153000000000006</v>
      </c>
      <c r="F1458">
        <v>1938125</v>
      </c>
      <c r="G1458" t="s">
        <v>869</v>
      </c>
      <c r="H1458">
        <v>214.2</v>
      </c>
      <c r="I1458" t="s">
        <v>870</v>
      </c>
      <c r="J1458" t="s">
        <v>10</v>
      </c>
      <c r="K1458" t="s">
        <v>871</v>
      </c>
    </row>
    <row r="1459" spans="1:11" x14ac:dyDescent="0.25">
      <c r="A1459" t="s">
        <v>809</v>
      </c>
      <c r="B1459" t="s">
        <v>72</v>
      </c>
      <c r="C1459" t="s">
        <v>397</v>
      </c>
      <c r="D1459">
        <v>1000</v>
      </c>
      <c r="E1459">
        <v>271.86700000000002</v>
      </c>
      <c r="F1459">
        <v>1938125</v>
      </c>
      <c r="G1459" t="s">
        <v>869</v>
      </c>
      <c r="H1459">
        <v>612</v>
      </c>
      <c r="I1459" t="s">
        <v>870</v>
      </c>
      <c r="J1459" t="s">
        <v>10</v>
      </c>
      <c r="K1459" t="s">
        <v>871</v>
      </c>
    </row>
    <row r="1460" spans="1:11" x14ac:dyDescent="0.25">
      <c r="A1460" t="s">
        <v>422</v>
      </c>
      <c r="B1460" t="s">
        <v>30</v>
      </c>
      <c r="C1460" t="s">
        <v>397</v>
      </c>
      <c r="D1460">
        <v>3100.3939999999998</v>
      </c>
      <c r="E1460">
        <v>842.89499999999998</v>
      </c>
      <c r="F1460">
        <v>1938125</v>
      </c>
      <c r="G1460" t="s">
        <v>869</v>
      </c>
      <c r="H1460">
        <v>1897.441</v>
      </c>
      <c r="I1460" t="s">
        <v>870</v>
      </c>
      <c r="J1460" t="s">
        <v>10</v>
      </c>
      <c r="K1460" t="s">
        <v>871</v>
      </c>
    </row>
    <row r="1461" spans="1:11" x14ac:dyDescent="0.25">
      <c r="A1461" t="s">
        <v>422</v>
      </c>
      <c r="B1461" t="s">
        <v>30</v>
      </c>
      <c r="C1461" t="s">
        <v>397</v>
      </c>
      <c r="D1461">
        <v>160.636</v>
      </c>
      <c r="E1461">
        <v>43.671999999999997</v>
      </c>
      <c r="F1461">
        <v>1938125</v>
      </c>
      <c r="G1461" t="s">
        <v>869</v>
      </c>
      <c r="H1461">
        <v>98.308999999999997</v>
      </c>
      <c r="I1461" t="s">
        <v>870</v>
      </c>
      <c r="J1461" t="s">
        <v>10</v>
      </c>
      <c r="K1461" t="s">
        <v>871</v>
      </c>
    </row>
    <row r="1462" spans="1:11" x14ac:dyDescent="0.25">
      <c r="A1462" t="s">
        <v>422</v>
      </c>
      <c r="B1462" t="s">
        <v>30</v>
      </c>
      <c r="C1462" t="s">
        <v>397</v>
      </c>
      <c r="D1462">
        <v>98.668000000000006</v>
      </c>
      <c r="E1462">
        <v>26.824999999999999</v>
      </c>
      <c r="F1462">
        <v>1938125</v>
      </c>
      <c r="G1462" t="s">
        <v>869</v>
      </c>
      <c r="H1462">
        <v>60.384999999999998</v>
      </c>
      <c r="I1462" t="s">
        <v>870</v>
      </c>
      <c r="J1462" t="s">
        <v>10</v>
      </c>
      <c r="K1462" t="s">
        <v>871</v>
      </c>
    </row>
    <row r="1463" spans="1:11" x14ac:dyDescent="0.25">
      <c r="A1463" t="s">
        <v>422</v>
      </c>
      <c r="B1463" t="s">
        <v>30</v>
      </c>
      <c r="C1463" t="s">
        <v>397</v>
      </c>
      <c r="D1463">
        <v>70.302000000000007</v>
      </c>
      <c r="E1463">
        <v>19.113</v>
      </c>
      <c r="F1463">
        <v>1938125</v>
      </c>
      <c r="G1463" t="s">
        <v>869</v>
      </c>
      <c r="H1463">
        <v>43.024999999999999</v>
      </c>
      <c r="I1463" t="s">
        <v>870</v>
      </c>
      <c r="J1463" t="s">
        <v>10</v>
      </c>
      <c r="K1463" t="s">
        <v>871</v>
      </c>
    </row>
    <row r="1464" spans="1:11" x14ac:dyDescent="0.25">
      <c r="A1464" t="s">
        <v>809</v>
      </c>
      <c r="B1464" t="s">
        <v>72</v>
      </c>
      <c r="C1464" t="s">
        <v>397</v>
      </c>
      <c r="D1464">
        <v>1000</v>
      </c>
      <c r="E1464">
        <v>271.86700000000002</v>
      </c>
      <c r="F1464">
        <v>1938125</v>
      </c>
      <c r="G1464" t="s">
        <v>869</v>
      </c>
      <c r="H1464">
        <v>612</v>
      </c>
      <c r="I1464" t="s">
        <v>870</v>
      </c>
      <c r="J1464" t="s">
        <v>10</v>
      </c>
      <c r="K1464" t="s">
        <v>871</v>
      </c>
    </row>
    <row r="1465" spans="1:11" x14ac:dyDescent="0.25">
      <c r="A1465" t="s">
        <v>422</v>
      </c>
      <c r="B1465" t="s">
        <v>30</v>
      </c>
      <c r="C1465" t="s">
        <v>397</v>
      </c>
      <c r="D1465">
        <v>1841.366</v>
      </c>
      <c r="E1465">
        <v>500.60700000000003</v>
      </c>
      <c r="F1465">
        <v>1938125</v>
      </c>
      <c r="G1465" t="s">
        <v>869</v>
      </c>
      <c r="H1465">
        <v>1126.9159999999999</v>
      </c>
      <c r="I1465" t="s">
        <v>870</v>
      </c>
      <c r="J1465" t="s">
        <v>10</v>
      </c>
      <c r="K1465" t="s">
        <v>871</v>
      </c>
    </row>
    <row r="1466" spans="1:11" x14ac:dyDescent="0.25">
      <c r="A1466" t="s">
        <v>422</v>
      </c>
      <c r="B1466" t="s">
        <v>30</v>
      </c>
      <c r="C1466" t="s">
        <v>397</v>
      </c>
      <c r="D1466">
        <v>2795.297</v>
      </c>
      <c r="E1466">
        <v>759.94899999999996</v>
      </c>
      <c r="F1466">
        <v>1938125</v>
      </c>
      <c r="G1466" t="s">
        <v>869</v>
      </c>
      <c r="H1466">
        <v>1710.722</v>
      </c>
      <c r="I1466" t="s">
        <v>870</v>
      </c>
      <c r="J1466" t="s">
        <v>10</v>
      </c>
      <c r="K1466" t="s">
        <v>871</v>
      </c>
    </row>
    <row r="1467" spans="1:11" x14ac:dyDescent="0.25">
      <c r="A1467" t="s">
        <v>422</v>
      </c>
      <c r="B1467" t="s">
        <v>30</v>
      </c>
      <c r="C1467" t="s">
        <v>397</v>
      </c>
      <c r="D1467">
        <v>1936</v>
      </c>
      <c r="E1467">
        <v>526.33500000000004</v>
      </c>
      <c r="F1467">
        <v>1938125</v>
      </c>
      <c r="G1467" t="s">
        <v>869</v>
      </c>
      <c r="H1467">
        <v>1184.8320000000001</v>
      </c>
      <c r="I1467" t="s">
        <v>870</v>
      </c>
      <c r="J1467" t="s">
        <v>10</v>
      </c>
      <c r="K1467" t="s">
        <v>871</v>
      </c>
    </row>
    <row r="1468" spans="1:11" x14ac:dyDescent="0.25">
      <c r="A1468" t="s">
        <v>422</v>
      </c>
      <c r="B1468" t="s">
        <v>30</v>
      </c>
      <c r="C1468" t="s">
        <v>397</v>
      </c>
      <c r="D1468">
        <v>2378.9259999999999</v>
      </c>
      <c r="E1468">
        <v>646.75199999999995</v>
      </c>
      <c r="F1468">
        <v>1938125</v>
      </c>
      <c r="G1468" t="s">
        <v>869</v>
      </c>
      <c r="H1468">
        <v>1455.903</v>
      </c>
      <c r="I1468" t="s">
        <v>870</v>
      </c>
      <c r="J1468" t="s">
        <v>10</v>
      </c>
      <c r="K1468" t="s">
        <v>871</v>
      </c>
    </row>
    <row r="1469" spans="1:11" x14ac:dyDescent="0.25">
      <c r="A1469" t="s">
        <v>422</v>
      </c>
      <c r="B1469" t="s">
        <v>30</v>
      </c>
      <c r="C1469" t="s">
        <v>397</v>
      </c>
      <c r="D1469">
        <v>966.30600000000004</v>
      </c>
      <c r="E1469">
        <v>262.70699999999999</v>
      </c>
      <c r="F1469">
        <v>1938125</v>
      </c>
      <c r="G1469" t="s">
        <v>869</v>
      </c>
      <c r="H1469">
        <v>591.37900000000002</v>
      </c>
      <c r="I1469" t="s">
        <v>870</v>
      </c>
      <c r="J1469" t="s">
        <v>10</v>
      </c>
      <c r="K1469" t="s">
        <v>871</v>
      </c>
    </row>
    <row r="1470" spans="1:11" x14ac:dyDescent="0.25">
      <c r="A1470" t="s">
        <v>422</v>
      </c>
      <c r="B1470" t="s">
        <v>30</v>
      </c>
      <c r="C1470" t="s">
        <v>397</v>
      </c>
      <c r="D1470">
        <v>232.10499999999999</v>
      </c>
      <c r="E1470">
        <v>63.101999999999997</v>
      </c>
      <c r="F1470">
        <v>1938125</v>
      </c>
      <c r="G1470" t="s">
        <v>869</v>
      </c>
      <c r="H1470">
        <v>142.048</v>
      </c>
      <c r="I1470" t="s">
        <v>870</v>
      </c>
      <c r="J1470" t="s">
        <v>10</v>
      </c>
      <c r="K1470" t="s">
        <v>871</v>
      </c>
    </row>
    <row r="1471" spans="1:11" x14ac:dyDescent="0.25">
      <c r="A1471" t="s">
        <v>809</v>
      </c>
      <c r="B1471" t="s">
        <v>72</v>
      </c>
      <c r="C1471" t="s">
        <v>397</v>
      </c>
      <c r="D1471">
        <v>2000</v>
      </c>
      <c r="E1471">
        <v>543.73400000000004</v>
      </c>
      <c r="F1471">
        <v>1938125</v>
      </c>
      <c r="G1471" t="s">
        <v>869</v>
      </c>
      <c r="H1471">
        <v>1224</v>
      </c>
      <c r="I1471" t="s">
        <v>870</v>
      </c>
      <c r="J1471" t="s">
        <v>10</v>
      </c>
      <c r="K1471" t="s">
        <v>871</v>
      </c>
    </row>
    <row r="1472" spans="1:11" x14ac:dyDescent="0.25">
      <c r="A1472" t="s">
        <v>809</v>
      </c>
      <c r="B1472" t="s">
        <v>72</v>
      </c>
      <c r="C1472" t="s">
        <v>397</v>
      </c>
      <c r="D1472">
        <v>1500</v>
      </c>
      <c r="E1472">
        <v>407.80099999999999</v>
      </c>
      <c r="F1472">
        <v>1938125</v>
      </c>
      <c r="G1472" t="s">
        <v>869</v>
      </c>
      <c r="H1472">
        <v>918</v>
      </c>
      <c r="I1472" t="s">
        <v>870</v>
      </c>
      <c r="J1472" t="s">
        <v>10</v>
      </c>
      <c r="K1472" t="s">
        <v>871</v>
      </c>
    </row>
    <row r="1473" spans="1:11" x14ac:dyDescent="0.25">
      <c r="A1473" t="s">
        <v>757</v>
      </c>
      <c r="B1473" t="s">
        <v>53</v>
      </c>
      <c r="C1473" t="s">
        <v>397</v>
      </c>
      <c r="D1473">
        <v>1180</v>
      </c>
      <c r="E1473">
        <v>1002.967</v>
      </c>
      <c r="F1473">
        <v>3910648</v>
      </c>
      <c r="G1473" t="s">
        <v>886</v>
      </c>
      <c r="H1473">
        <v>2487.558</v>
      </c>
      <c r="I1473" t="s">
        <v>887</v>
      </c>
      <c r="J1473" t="s">
        <v>10</v>
      </c>
      <c r="K1473" t="s">
        <v>888</v>
      </c>
    </row>
    <row r="1474" spans="1:11" x14ac:dyDescent="0.25">
      <c r="A1474" t="s">
        <v>757</v>
      </c>
      <c r="B1474" t="s">
        <v>53</v>
      </c>
      <c r="C1474" t="s">
        <v>397</v>
      </c>
      <c r="D1474">
        <v>1180</v>
      </c>
      <c r="E1474">
        <v>1002.967</v>
      </c>
      <c r="F1474">
        <v>3910648</v>
      </c>
      <c r="G1474" t="s">
        <v>886</v>
      </c>
      <c r="H1474">
        <v>2487.558</v>
      </c>
      <c r="I1474" t="s">
        <v>887</v>
      </c>
      <c r="J1474" t="s">
        <v>10</v>
      </c>
      <c r="K1474" t="s">
        <v>888</v>
      </c>
    </row>
    <row r="1475" spans="1:11" x14ac:dyDescent="0.25">
      <c r="A1475" t="s">
        <v>757</v>
      </c>
      <c r="B1475" t="s">
        <v>53</v>
      </c>
      <c r="C1475" t="s">
        <v>397</v>
      </c>
      <c r="D1475">
        <v>1180</v>
      </c>
      <c r="E1475">
        <v>1002.967</v>
      </c>
      <c r="F1475">
        <v>3910648</v>
      </c>
      <c r="G1475" t="s">
        <v>886</v>
      </c>
      <c r="H1475">
        <v>2487.558</v>
      </c>
      <c r="I1475" t="s">
        <v>887</v>
      </c>
      <c r="J1475" t="s">
        <v>10</v>
      </c>
      <c r="K1475" t="s">
        <v>888</v>
      </c>
    </row>
    <row r="1476" spans="1:11" x14ac:dyDescent="0.25">
      <c r="A1476" t="s">
        <v>757</v>
      </c>
      <c r="B1476" t="s">
        <v>53</v>
      </c>
      <c r="C1476" t="s">
        <v>397</v>
      </c>
      <c r="D1476">
        <v>1170</v>
      </c>
      <c r="E1476">
        <v>994.46699999999998</v>
      </c>
      <c r="F1476">
        <v>3910648</v>
      </c>
      <c r="G1476" t="s">
        <v>886</v>
      </c>
      <c r="H1476">
        <v>2466.4769999999999</v>
      </c>
      <c r="I1476" t="s">
        <v>887</v>
      </c>
      <c r="J1476" t="s">
        <v>10</v>
      </c>
      <c r="K1476" t="s">
        <v>888</v>
      </c>
    </row>
    <row r="1477" spans="1:11" x14ac:dyDescent="0.25">
      <c r="A1477" t="s">
        <v>757</v>
      </c>
      <c r="B1477" t="s">
        <v>53</v>
      </c>
      <c r="C1477" t="s">
        <v>397</v>
      </c>
      <c r="D1477">
        <v>910</v>
      </c>
      <c r="E1477">
        <v>773.47400000000005</v>
      </c>
      <c r="F1477">
        <v>3910648</v>
      </c>
      <c r="G1477" t="s">
        <v>886</v>
      </c>
      <c r="H1477">
        <v>1918.3710000000001</v>
      </c>
      <c r="I1477" t="s">
        <v>887</v>
      </c>
      <c r="J1477" t="s">
        <v>10</v>
      </c>
      <c r="K1477" t="s">
        <v>888</v>
      </c>
    </row>
    <row r="1478" spans="1:11" x14ac:dyDescent="0.25">
      <c r="A1478" t="s">
        <v>757</v>
      </c>
      <c r="B1478" t="s">
        <v>53</v>
      </c>
      <c r="C1478" t="s">
        <v>397</v>
      </c>
      <c r="D1478">
        <v>20</v>
      </c>
      <c r="E1478">
        <v>16.998999999999999</v>
      </c>
      <c r="F1478">
        <v>3910648</v>
      </c>
      <c r="G1478" t="s">
        <v>886</v>
      </c>
      <c r="H1478">
        <v>42.161999999999999</v>
      </c>
      <c r="I1478" t="s">
        <v>887</v>
      </c>
      <c r="J1478" t="s">
        <v>10</v>
      </c>
      <c r="K1478" t="s">
        <v>888</v>
      </c>
    </row>
    <row r="1479" spans="1:11" x14ac:dyDescent="0.25">
      <c r="A1479" t="s">
        <v>585</v>
      </c>
      <c r="B1479" t="s">
        <v>48</v>
      </c>
      <c r="C1479" t="s">
        <v>397</v>
      </c>
      <c r="D1479">
        <v>1621.4359999999999</v>
      </c>
      <c r="E1479">
        <v>372.93400000000003</v>
      </c>
      <c r="F1479">
        <v>4010435</v>
      </c>
      <c r="G1479" t="s">
        <v>654</v>
      </c>
      <c r="H1479">
        <v>1121.115</v>
      </c>
      <c r="I1479" t="s">
        <v>878</v>
      </c>
      <c r="J1479" t="s">
        <v>10</v>
      </c>
      <c r="K1479" t="s">
        <v>879</v>
      </c>
    </row>
    <row r="1480" spans="1:11" x14ac:dyDescent="0.25">
      <c r="A1480" t="s">
        <v>585</v>
      </c>
      <c r="B1480" t="s">
        <v>48</v>
      </c>
      <c r="C1480" t="s">
        <v>397</v>
      </c>
      <c r="D1480">
        <v>1398.5640000000001</v>
      </c>
      <c r="E1480">
        <v>321.673</v>
      </c>
      <c r="F1480">
        <v>4010435</v>
      </c>
      <c r="G1480" t="s">
        <v>654</v>
      </c>
      <c r="H1480">
        <v>967.01400000000001</v>
      </c>
      <c r="I1480" t="s">
        <v>878</v>
      </c>
      <c r="J1480" t="s">
        <v>10</v>
      </c>
      <c r="K1480" t="s">
        <v>879</v>
      </c>
    </row>
    <row r="1481" spans="1:11" x14ac:dyDescent="0.25">
      <c r="A1481" t="s">
        <v>573</v>
      </c>
      <c r="B1481" t="s">
        <v>52</v>
      </c>
      <c r="C1481" t="s">
        <v>397</v>
      </c>
      <c r="D1481">
        <v>2848.1320000000001</v>
      </c>
      <c r="E1481">
        <v>592.41499999999996</v>
      </c>
      <c r="F1481">
        <v>3722021</v>
      </c>
      <c r="G1481" t="s">
        <v>875</v>
      </c>
      <c r="H1481">
        <v>2005.1479999999999</v>
      </c>
      <c r="I1481" t="s">
        <v>884</v>
      </c>
      <c r="J1481" t="s">
        <v>10</v>
      </c>
      <c r="K1481" t="s">
        <v>885</v>
      </c>
    </row>
    <row r="1482" spans="1:11" x14ac:dyDescent="0.25">
      <c r="A1482" t="s">
        <v>573</v>
      </c>
      <c r="B1482" t="s">
        <v>52</v>
      </c>
      <c r="C1482" t="s">
        <v>397</v>
      </c>
      <c r="D1482">
        <v>2904.692</v>
      </c>
      <c r="E1482">
        <v>604.17999999999995</v>
      </c>
      <c r="F1482">
        <v>3722021</v>
      </c>
      <c r="G1482" t="s">
        <v>875</v>
      </c>
      <c r="H1482">
        <v>2044.9680000000001</v>
      </c>
      <c r="I1482" t="s">
        <v>884</v>
      </c>
      <c r="J1482" t="s">
        <v>10</v>
      </c>
      <c r="K1482" t="s">
        <v>885</v>
      </c>
    </row>
    <row r="1483" spans="1:11" x14ac:dyDescent="0.25">
      <c r="A1483" t="s">
        <v>573</v>
      </c>
      <c r="B1483" t="s">
        <v>52</v>
      </c>
      <c r="C1483" t="s">
        <v>397</v>
      </c>
      <c r="D1483">
        <v>3035.7040000000002</v>
      </c>
      <c r="E1483">
        <v>631.43100000000004</v>
      </c>
      <c r="F1483">
        <v>3722021</v>
      </c>
      <c r="G1483" t="s">
        <v>875</v>
      </c>
      <c r="H1483">
        <v>2137.203</v>
      </c>
      <c r="I1483" t="s">
        <v>884</v>
      </c>
      <c r="J1483" t="s">
        <v>10</v>
      </c>
      <c r="K1483" t="s">
        <v>885</v>
      </c>
    </row>
    <row r="1484" spans="1:11" x14ac:dyDescent="0.25">
      <c r="A1484" t="s">
        <v>573</v>
      </c>
      <c r="B1484" t="s">
        <v>52</v>
      </c>
      <c r="C1484" t="s">
        <v>397</v>
      </c>
      <c r="D1484">
        <v>536.47199999999998</v>
      </c>
      <c r="E1484">
        <v>111.587</v>
      </c>
      <c r="F1484">
        <v>3722021</v>
      </c>
      <c r="G1484" t="s">
        <v>875</v>
      </c>
      <c r="H1484">
        <v>377.68799999999999</v>
      </c>
      <c r="I1484" t="s">
        <v>884</v>
      </c>
      <c r="J1484" t="s">
        <v>10</v>
      </c>
      <c r="K1484" t="s">
        <v>885</v>
      </c>
    </row>
    <row r="1485" spans="1:11" x14ac:dyDescent="0.25">
      <c r="A1485" t="s">
        <v>636</v>
      </c>
      <c r="B1485" t="s">
        <v>151</v>
      </c>
      <c r="C1485" t="s">
        <v>397</v>
      </c>
      <c r="D1485">
        <v>900.39400000000001</v>
      </c>
      <c r="E1485">
        <v>188.87299999999999</v>
      </c>
      <c r="F1485">
        <v>2417648</v>
      </c>
      <c r="G1485" t="s">
        <v>875</v>
      </c>
      <c r="H1485">
        <v>639.28</v>
      </c>
      <c r="I1485" t="s">
        <v>876</v>
      </c>
      <c r="J1485" t="s">
        <v>10</v>
      </c>
      <c r="K1485" t="s">
        <v>877</v>
      </c>
    </row>
    <row r="1486" spans="1:11" x14ac:dyDescent="0.25">
      <c r="A1486" t="s">
        <v>636</v>
      </c>
      <c r="B1486" t="s">
        <v>151</v>
      </c>
      <c r="C1486" t="s">
        <v>397</v>
      </c>
      <c r="D1486">
        <v>99.605999999999995</v>
      </c>
      <c r="E1486">
        <v>20.893999999999998</v>
      </c>
      <c r="F1486">
        <v>2417648</v>
      </c>
      <c r="G1486" t="s">
        <v>875</v>
      </c>
      <c r="H1486">
        <v>70.72</v>
      </c>
      <c r="I1486" t="s">
        <v>876</v>
      </c>
      <c r="J1486" t="s">
        <v>10</v>
      </c>
      <c r="K1486" t="s">
        <v>877</v>
      </c>
    </row>
    <row r="1487" spans="1:11" x14ac:dyDescent="0.25">
      <c r="A1487" t="s">
        <v>636</v>
      </c>
      <c r="B1487" t="s">
        <v>151</v>
      </c>
      <c r="C1487" t="s">
        <v>397</v>
      </c>
      <c r="D1487">
        <v>1500</v>
      </c>
      <c r="E1487">
        <v>314.65100000000001</v>
      </c>
      <c r="F1487">
        <v>2417648</v>
      </c>
      <c r="G1487" t="s">
        <v>875</v>
      </c>
      <c r="H1487">
        <v>1065</v>
      </c>
      <c r="I1487" t="s">
        <v>876</v>
      </c>
      <c r="J1487" t="s">
        <v>10</v>
      </c>
      <c r="K1487" t="s">
        <v>877</v>
      </c>
    </row>
    <row r="1488" spans="1:11" x14ac:dyDescent="0.25">
      <c r="A1488" t="s">
        <v>636</v>
      </c>
      <c r="B1488" t="s">
        <v>151</v>
      </c>
      <c r="C1488" t="s">
        <v>397</v>
      </c>
      <c r="D1488">
        <v>1432.2439999999999</v>
      </c>
      <c r="E1488">
        <v>300.43799999999999</v>
      </c>
      <c r="F1488">
        <v>2417648</v>
      </c>
      <c r="G1488" t="s">
        <v>875</v>
      </c>
      <c r="H1488">
        <v>1016.893</v>
      </c>
      <c r="I1488" t="s">
        <v>876</v>
      </c>
      <c r="J1488" t="s">
        <v>10</v>
      </c>
      <c r="K1488" t="s">
        <v>877</v>
      </c>
    </row>
    <row r="1489" spans="1:11" x14ac:dyDescent="0.25">
      <c r="A1489" t="s">
        <v>636</v>
      </c>
      <c r="B1489" t="s">
        <v>151</v>
      </c>
      <c r="C1489" t="s">
        <v>397</v>
      </c>
      <c r="D1489">
        <v>1067.7560000000001</v>
      </c>
      <c r="E1489">
        <v>223.98</v>
      </c>
      <c r="F1489">
        <v>2417648</v>
      </c>
      <c r="G1489" t="s">
        <v>875</v>
      </c>
      <c r="H1489">
        <v>758.10699999999997</v>
      </c>
      <c r="I1489" t="s">
        <v>876</v>
      </c>
      <c r="J1489" t="s">
        <v>10</v>
      </c>
      <c r="K1489" t="s">
        <v>877</v>
      </c>
    </row>
    <row r="1490" spans="1:11" x14ac:dyDescent="0.25">
      <c r="A1490" t="s">
        <v>636</v>
      </c>
      <c r="B1490" t="s">
        <v>151</v>
      </c>
      <c r="C1490" t="s">
        <v>397</v>
      </c>
      <c r="D1490">
        <v>1836.9069999999999</v>
      </c>
      <c r="E1490">
        <v>385.32299999999998</v>
      </c>
      <c r="F1490">
        <v>2417648</v>
      </c>
      <c r="G1490" t="s">
        <v>875</v>
      </c>
      <c r="H1490">
        <v>1304.204</v>
      </c>
      <c r="I1490" t="s">
        <v>876</v>
      </c>
      <c r="J1490" t="s">
        <v>10</v>
      </c>
      <c r="K1490" t="s">
        <v>877</v>
      </c>
    </row>
    <row r="1491" spans="1:11" x14ac:dyDescent="0.25">
      <c r="A1491" t="s">
        <v>636</v>
      </c>
      <c r="B1491" t="s">
        <v>151</v>
      </c>
      <c r="C1491" t="s">
        <v>397</v>
      </c>
      <c r="D1491">
        <v>3009.4960000000001</v>
      </c>
      <c r="E1491">
        <v>631.29399999999998</v>
      </c>
      <c r="F1491">
        <v>2417648</v>
      </c>
      <c r="G1491" t="s">
        <v>875</v>
      </c>
      <c r="H1491">
        <v>2136.7420000000002</v>
      </c>
      <c r="I1491" t="s">
        <v>876</v>
      </c>
      <c r="J1491" t="s">
        <v>10</v>
      </c>
      <c r="K1491" t="s">
        <v>877</v>
      </c>
    </row>
    <row r="1492" spans="1:11" x14ac:dyDescent="0.25">
      <c r="A1492" t="s">
        <v>636</v>
      </c>
      <c r="B1492" t="s">
        <v>151</v>
      </c>
      <c r="C1492" t="s">
        <v>397</v>
      </c>
      <c r="D1492">
        <v>1653.597</v>
      </c>
      <c r="E1492">
        <v>346.87099999999998</v>
      </c>
      <c r="F1492">
        <v>2417648</v>
      </c>
      <c r="G1492" t="s">
        <v>875</v>
      </c>
      <c r="H1492">
        <v>1174.0540000000001</v>
      </c>
      <c r="I1492" t="s">
        <v>876</v>
      </c>
      <c r="J1492" t="s">
        <v>10</v>
      </c>
      <c r="K1492" t="s">
        <v>877</v>
      </c>
    </row>
    <row r="1493" spans="1:11" x14ac:dyDescent="0.25">
      <c r="A1493" t="s">
        <v>653</v>
      </c>
      <c r="B1493" t="s">
        <v>39</v>
      </c>
      <c r="C1493" t="s">
        <v>397</v>
      </c>
      <c r="D1493">
        <v>500</v>
      </c>
      <c r="E1493">
        <v>104.884</v>
      </c>
      <c r="F1493">
        <v>2417648</v>
      </c>
      <c r="G1493" t="s">
        <v>875</v>
      </c>
      <c r="H1493">
        <v>355</v>
      </c>
      <c r="I1493" t="s">
        <v>876</v>
      </c>
      <c r="J1493" t="s">
        <v>10</v>
      </c>
      <c r="K1493" t="s">
        <v>877</v>
      </c>
    </row>
    <row r="1494" spans="1:11" x14ac:dyDescent="0.25">
      <c r="A1494" t="s">
        <v>636</v>
      </c>
      <c r="B1494" t="s">
        <v>151</v>
      </c>
      <c r="C1494" t="s">
        <v>397</v>
      </c>
      <c r="D1494">
        <v>230.465</v>
      </c>
      <c r="E1494">
        <v>48.344000000000001</v>
      </c>
      <c r="F1494">
        <v>2417648</v>
      </c>
      <c r="G1494" t="s">
        <v>875</v>
      </c>
      <c r="H1494">
        <v>163.63</v>
      </c>
      <c r="I1494" t="s">
        <v>876</v>
      </c>
      <c r="J1494" t="s">
        <v>10</v>
      </c>
      <c r="K1494" t="s">
        <v>877</v>
      </c>
    </row>
    <row r="1495" spans="1:11" x14ac:dyDescent="0.25">
      <c r="A1495" t="s">
        <v>636</v>
      </c>
      <c r="B1495" t="s">
        <v>151</v>
      </c>
      <c r="C1495" t="s">
        <v>397</v>
      </c>
      <c r="D1495">
        <v>313.48</v>
      </c>
      <c r="E1495">
        <v>65.757999999999996</v>
      </c>
      <c r="F1495">
        <v>2417648</v>
      </c>
      <c r="G1495" t="s">
        <v>875</v>
      </c>
      <c r="H1495">
        <v>222.571</v>
      </c>
      <c r="I1495" t="s">
        <v>876</v>
      </c>
      <c r="J1495" t="s">
        <v>10</v>
      </c>
      <c r="K1495" t="s">
        <v>877</v>
      </c>
    </row>
    <row r="1496" spans="1:11" x14ac:dyDescent="0.25">
      <c r="A1496" t="s">
        <v>636</v>
      </c>
      <c r="B1496" t="s">
        <v>151</v>
      </c>
      <c r="C1496" t="s">
        <v>397</v>
      </c>
      <c r="D1496">
        <v>826.94600000000003</v>
      </c>
      <c r="E1496">
        <v>173.46600000000001</v>
      </c>
      <c r="F1496">
        <v>2417648</v>
      </c>
      <c r="G1496" t="s">
        <v>875</v>
      </c>
      <c r="H1496">
        <v>587.13199999999995</v>
      </c>
      <c r="I1496" t="s">
        <v>876</v>
      </c>
      <c r="J1496" t="s">
        <v>10</v>
      </c>
      <c r="K1496" t="s">
        <v>877</v>
      </c>
    </row>
    <row r="1497" spans="1:11" x14ac:dyDescent="0.25">
      <c r="A1497" t="s">
        <v>636</v>
      </c>
      <c r="B1497" t="s">
        <v>151</v>
      </c>
      <c r="C1497" t="s">
        <v>397</v>
      </c>
      <c r="D1497">
        <v>68.819999999999993</v>
      </c>
      <c r="E1497">
        <v>14.436</v>
      </c>
      <c r="F1497">
        <v>2417648</v>
      </c>
      <c r="G1497" t="s">
        <v>875</v>
      </c>
      <c r="H1497">
        <v>48.862000000000002</v>
      </c>
      <c r="I1497" t="s">
        <v>876</v>
      </c>
      <c r="J1497" t="s">
        <v>10</v>
      </c>
      <c r="K1497" t="s">
        <v>877</v>
      </c>
    </row>
    <row r="1498" spans="1:11" x14ac:dyDescent="0.25">
      <c r="A1498" t="s">
        <v>636</v>
      </c>
      <c r="B1498" t="s">
        <v>151</v>
      </c>
      <c r="C1498" t="s">
        <v>397</v>
      </c>
      <c r="D1498">
        <v>2897.7759999999998</v>
      </c>
      <c r="E1498">
        <v>607.85900000000004</v>
      </c>
      <c r="F1498">
        <v>2417648</v>
      </c>
      <c r="G1498" t="s">
        <v>875</v>
      </c>
      <c r="H1498">
        <v>2057.4209999999998</v>
      </c>
      <c r="I1498" t="s">
        <v>876</v>
      </c>
      <c r="J1498" t="s">
        <v>10</v>
      </c>
      <c r="K1498" t="s">
        <v>877</v>
      </c>
    </row>
    <row r="1499" spans="1:11" x14ac:dyDescent="0.25">
      <c r="A1499" t="s">
        <v>636</v>
      </c>
      <c r="B1499" t="s">
        <v>151</v>
      </c>
      <c r="C1499" t="s">
        <v>397</v>
      </c>
      <c r="D1499">
        <v>1292.5129999999999</v>
      </c>
      <c r="E1499">
        <v>271.12700000000001</v>
      </c>
      <c r="F1499">
        <v>2417648</v>
      </c>
      <c r="G1499" t="s">
        <v>875</v>
      </c>
      <c r="H1499">
        <v>917.68399999999997</v>
      </c>
      <c r="I1499" t="s">
        <v>876</v>
      </c>
      <c r="J1499" t="s">
        <v>10</v>
      </c>
      <c r="K1499" t="s">
        <v>877</v>
      </c>
    </row>
    <row r="1500" spans="1:11" x14ac:dyDescent="0.25">
      <c r="A1500" t="s">
        <v>585</v>
      </c>
      <c r="B1500" t="s">
        <v>48</v>
      </c>
      <c r="C1500" t="s">
        <v>397</v>
      </c>
      <c r="D1500">
        <v>760</v>
      </c>
      <c r="E1500">
        <v>193.04</v>
      </c>
      <c r="F1500">
        <v>1938358</v>
      </c>
      <c r="G1500" t="s">
        <v>891</v>
      </c>
      <c r="H1500">
        <v>737.2</v>
      </c>
      <c r="I1500" t="s">
        <v>892</v>
      </c>
      <c r="J1500" t="s">
        <v>10</v>
      </c>
      <c r="K1500" t="s">
        <v>893</v>
      </c>
    </row>
    <row r="1501" spans="1:11" x14ac:dyDescent="0.25">
      <c r="A1501" t="s">
        <v>636</v>
      </c>
      <c r="B1501" t="s">
        <v>151</v>
      </c>
      <c r="C1501" t="s">
        <v>397</v>
      </c>
      <c r="D1501">
        <v>500</v>
      </c>
      <c r="E1501">
        <v>117.998</v>
      </c>
      <c r="F1501">
        <v>3784473</v>
      </c>
      <c r="G1501" t="s">
        <v>872</v>
      </c>
      <c r="H1501">
        <v>676.4</v>
      </c>
      <c r="I1501" t="s">
        <v>873</v>
      </c>
      <c r="J1501" t="s">
        <v>10</v>
      </c>
      <c r="K1501" t="s">
        <v>874</v>
      </c>
    </row>
    <row r="1502" spans="1:11" x14ac:dyDescent="0.25">
      <c r="A1502" t="s">
        <v>636</v>
      </c>
      <c r="B1502" t="s">
        <v>151</v>
      </c>
      <c r="C1502" t="s">
        <v>397</v>
      </c>
      <c r="D1502">
        <v>88.25</v>
      </c>
      <c r="E1502">
        <v>20.827000000000002</v>
      </c>
      <c r="F1502">
        <v>3784473</v>
      </c>
      <c r="G1502" t="s">
        <v>872</v>
      </c>
      <c r="H1502">
        <v>119.38500000000001</v>
      </c>
      <c r="I1502" t="s">
        <v>873</v>
      </c>
      <c r="J1502" t="s">
        <v>10</v>
      </c>
      <c r="K1502" t="s">
        <v>874</v>
      </c>
    </row>
    <row r="1503" spans="1:11" x14ac:dyDescent="0.25">
      <c r="A1503" t="s">
        <v>636</v>
      </c>
      <c r="B1503" t="s">
        <v>151</v>
      </c>
      <c r="C1503" t="s">
        <v>397</v>
      </c>
      <c r="D1503">
        <v>60.573999999999998</v>
      </c>
      <c r="E1503">
        <v>14.295</v>
      </c>
      <c r="F1503">
        <v>3784473</v>
      </c>
      <c r="G1503" t="s">
        <v>872</v>
      </c>
      <c r="H1503">
        <v>81.944999999999993</v>
      </c>
      <c r="I1503" t="s">
        <v>873</v>
      </c>
      <c r="J1503" t="s">
        <v>10</v>
      </c>
      <c r="K1503" t="s">
        <v>874</v>
      </c>
    </row>
    <row r="1504" spans="1:11" x14ac:dyDescent="0.25">
      <c r="A1504" t="s">
        <v>636</v>
      </c>
      <c r="B1504" t="s">
        <v>151</v>
      </c>
      <c r="C1504" t="s">
        <v>397</v>
      </c>
      <c r="D1504">
        <v>1091.1759999999999</v>
      </c>
      <c r="E1504">
        <v>257.51299999999998</v>
      </c>
      <c r="F1504">
        <v>3784473</v>
      </c>
      <c r="G1504" t="s">
        <v>872</v>
      </c>
      <c r="H1504">
        <v>1476.143</v>
      </c>
      <c r="I1504" t="s">
        <v>873</v>
      </c>
      <c r="J1504" t="s">
        <v>10</v>
      </c>
      <c r="K1504" t="s">
        <v>874</v>
      </c>
    </row>
    <row r="1505" spans="1:11" x14ac:dyDescent="0.25">
      <c r="A1505" t="s">
        <v>636</v>
      </c>
      <c r="B1505" t="s">
        <v>151</v>
      </c>
      <c r="C1505" t="s">
        <v>397</v>
      </c>
      <c r="D1505">
        <v>540</v>
      </c>
      <c r="E1505">
        <v>127.438</v>
      </c>
      <c r="F1505">
        <v>3784473</v>
      </c>
      <c r="G1505" t="s">
        <v>872</v>
      </c>
      <c r="H1505">
        <v>730.51199999999994</v>
      </c>
      <c r="I1505" t="s">
        <v>873</v>
      </c>
      <c r="J1505" t="s">
        <v>10</v>
      </c>
      <c r="K1505" t="s">
        <v>874</v>
      </c>
    </row>
    <row r="1506" spans="1:11" x14ac:dyDescent="0.25">
      <c r="A1506" t="s">
        <v>636</v>
      </c>
      <c r="B1506" t="s">
        <v>151</v>
      </c>
      <c r="C1506" t="s">
        <v>397</v>
      </c>
      <c r="D1506">
        <v>680</v>
      </c>
      <c r="E1506">
        <v>160.477</v>
      </c>
      <c r="F1506">
        <v>3784473</v>
      </c>
      <c r="G1506" t="s">
        <v>872</v>
      </c>
      <c r="H1506">
        <v>919.904</v>
      </c>
      <c r="I1506" t="s">
        <v>873</v>
      </c>
      <c r="J1506" t="s">
        <v>10</v>
      </c>
      <c r="K1506" t="s">
        <v>874</v>
      </c>
    </row>
    <row r="1507" spans="1:11" x14ac:dyDescent="0.25">
      <c r="A1507" t="s">
        <v>556</v>
      </c>
      <c r="B1507" t="s">
        <v>151</v>
      </c>
      <c r="C1507" t="s">
        <v>397</v>
      </c>
      <c r="D1507">
        <v>1000</v>
      </c>
      <c r="E1507">
        <v>196</v>
      </c>
      <c r="F1507">
        <v>3781594</v>
      </c>
      <c r="G1507" t="s">
        <v>712</v>
      </c>
      <c r="H1507">
        <v>762.98900000000003</v>
      </c>
      <c r="I1507" t="s">
        <v>900</v>
      </c>
      <c r="J1507" t="s">
        <v>10</v>
      </c>
      <c r="K1507" t="s">
        <v>714</v>
      </c>
    </row>
    <row r="1508" spans="1:11" x14ac:dyDescent="0.25">
      <c r="A1508" t="s">
        <v>723</v>
      </c>
      <c r="B1508" t="s">
        <v>27</v>
      </c>
      <c r="C1508" t="s">
        <v>397</v>
      </c>
      <c r="D1508">
        <v>600</v>
      </c>
      <c r="E1508">
        <v>140.404</v>
      </c>
      <c r="F1508">
        <v>3746291</v>
      </c>
      <c r="G1508" t="s">
        <v>872</v>
      </c>
      <c r="H1508">
        <v>804.84</v>
      </c>
      <c r="I1508" t="s">
        <v>880</v>
      </c>
      <c r="J1508" t="s">
        <v>10</v>
      </c>
      <c r="K1508" t="s">
        <v>881</v>
      </c>
    </row>
    <row r="1509" spans="1:11" x14ac:dyDescent="0.25">
      <c r="A1509" t="s">
        <v>723</v>
      </c>
      <c r="B1509" t="s">
        <v>27</v>
      </c>
      <c r="C1509" t="s">
        <v>397</v>
      </c>
      <c r="D1509">
        <v>102.72499999999999</v>
      </c>
      <c r="E1509">
        <v>24.038</v>
      </c>
      <c r="F1509">
        <v>3746291</v>
      </c>
      <c r="G1509" t="s">
        <v>872</v>
      </c>
      <c r="H1509">
        <v>137.79499999999999</v>
      </c>
      <c r="I1509" t="s">
        <v>880</v>
      </c>
      <c r="J1509" t="s">
        <v>10</v>
      </c>
      <c r="K1509" t="s">
        <v>881</v>
      </c>
    </row>
    <row r="1510" spans="1:11" x14ac:dyDescent="0.25">
      <c r="A1510" t="s">
        <v>723</v>
      </c>
      <c r="B1510" t="s">
        <v>27</v>
      </c>
      <c r="C1510" t="s">
        <v>397</v>
      </c>
      <c r="D1510">
        <v>326.27499999999998</v>
      </c>
      <c r="E1510">
        <v>76.350999999999999</v>
      </c>
      <c r="F1510">
        <v>3746291</v>
      </c>
      <c r="G1510" t="s">
        <v>872</v>
      </c>
      <c r="H1510">
        <v>437.66500000000002</v>
      </c>
      <c r="I1510" t="s">
        <v>880</v>
      </c>
      <c r="J1510" t="s">
        <v>10</v>
      </c>
      <c r="K1510" t="s">
        <v>881</v>
      </c>
    </row>
    <row r="1511" spans="1:11" x14ac:dyDescent="0.25">
      <c r="A1511" t="s">
        <v>723</v>
      </c>
      <c r="B1511" t="s">
        <v>27</v>
      </c>
      <c r="C1511" t="s">
        <v>397</v>
      </c>
      <c r="D1511">
        <v>560</v>
      </c>
      <c r="E1511">
        <v>131.04400000000001</v>
      </c>
      <c r="F1511">
        <v>3746291</v>
      </c>
      <c r="G1511" t="s">
        <v>872</v>
      </c>
      <c r="H1511">
        <v>751.18399999999997</v>
      </c>
      <c r="I1511" t="s">
        <v>880</v>
      </c>
      <c r="J1511" t="s">
        <v>10</v>
      </c>
      <c r="K1511" t="s">
        <v>881</v>
      </c>
    </row>
    <row r="1512" spans="1:11" x14ac:dyDescent="0.25">
      <c r="A1512" t="s">
        <v>723</v>
      </c>
      <c r="B1512" t="s">
        <v>27</v>
      </c>
      <c r="C1512" t="s">
        <v>397</v>
      </c>
      <c r="D1512">
        <v>307.2</v>
      </c>
      <c r="E1512">
        <v>71.887</v>
      </c>
      <c r="F1512">
        <v>3746291</v>
      </c>
      <c r="G1512" t="s">
        <v>872</v>
      </c>
      <c r="H1512">
        <v>412.07799999999997</v>
      </c>
      <c r="I1512" t="s">
        <v>880</v>
      </c>
      <c r="J1512" t="s">
        <v>10</v>
      </c>
      <c r="K1512" t="s">
        <v>881</v>
      </c>
    </row>
    <row r="1513" spans="1:11" x14ac:dyDescent="0.25">
      <c r="A1513" t="s">
        <v>723</v>
      </c>
      <c r="B1513" t="s">
        <v>27</v>
      </c>
      <c r="C1513" t="s">
        <v>397</v>
      </c>
      <c r="D1513">
        <v>192.8</v>
      </c>
      <c r="E1513">
        <v>45.116999999999997</v>
      </c>
      <c r="F1513">
        <v>3746291</v>
      </c>
      <c r="G1513" t="s">
        <v>872</v>
      </c>
      <c r="H1513">
        <v>258.62200000000001</v>
      </c>
      <c r="I1513" t="s">
        <v>880</v>
      </c>
      <c r="J1513" t="s">
        <v>10</v>
      </c>
      <c r="K1513" t="s">
        <v>881</v>
      </c>
    </row>
    <row r="1514" spans="1:11" x14ac:dyDescent="0.25">
      <c r="A1514" t="s">
        <v>723</v>
      </c>
      <c r="B1514" t="s">
        <v>27</v>
      </c>
      <c r="C1514" t="s">
        <v>397</v>
      </c>
      <c r="D1514">
        <v>795</v>
      </c>
      <c r="E1514">
        <v>186.036</v>
      </c>
      <c r="F1514">
        <v>3746291</v>
      </c>
      <c r="G1514" t="s">
        <v>872</v>
      </c>
      <c r="H1514">
        <v>1066.413</v>
      </c>
      <c r="I1514" t="s">
        <v>880</v>
      </c>
      <c r="J1514" t="s">
        <v>10</v>
      </c>
      <c r="K1514" t="s">
        <v>881</v>
      </c>
    </row>
    <row r="1515" spans="1:11" x14ac:dyDescent="0.25">
      <c r="A1515" t="s">
        <v>723</v>
      </c>
      <c r="B1515" t="s">
        <v>27</v>
      </c>
      <c r="C1515" t="s">
        <v>397</v>
      </c>
      <c r="D1515">
        <v>100</v>
      </c>
      <c r="E1515">
        <v>23.401</v>
      </c>
      <c r="F1515">
        <v>3746291</v>
      </c>
      <c r="G1515" t="s">
        <v>872</v>
      </c>
      <c r="H1515">
        <v>134.13999999999999</v>
      </c>
      <c r="I1515" t="s">
        <v>880</v>
      </c>
      <c r="J1515" t="s">
        <v>10</v>
      </c>
      <c r="K1515" t="s">
        <v>881</v>
      </c>
    </row>
    <row r="1516" spans="1:11" x14ac:dyDescent="0.25">
      <c r="A1516" t="s">
        <v>723</v>
      </c>
      <c r="B1516" t="s">
        <v>27</v>
      </c>
      <c r="C1516" t="s">
        <v>397</v>
      </c>
      <c r="D1516">
        <v>300</v>
      </c>
      <c r="E1516">
        <v>78.900000000000006</v>
      </c>
      <c r="F1516">
        <v>4196298</v>
      </c>
      <c r="G1516" t="s">
        <v>872</v>
      </c>
      <c r="H1516">
        <v>452.28</v>
      </c>
      <c r="I1516" t="s">
        <v>882</v>
      </c>
      <c r="J1516" t="s">
        <v>10</v>
      </c>
      <c r="K1516" t="s">
        <v>883</v>
      </c>
    </row>
    <row r="1517" spans="1:11" x14ac:dyDescent="0.25">
      <c r="A1517" t="s">
        <v>723</v>
      </c>
      <c r="B1517" t="s">
        <v>27</v>
      </c>
      <c r="C1517" t="s">
        <v>397</v>
      </c>
      <c r="D1517">
        <v>220</v>
      </c>
      <c r="E1517">
        <v>57.86</v>
      </c>
      <c r="F1517">
        <v>4196298</v>
      </c>
      <c r="G1517" t="s">
        <v>872</v>
      </c>
      <c r="H1517">
        <v>331.67200000000003</v>
      </c>
      <c r="I1517" t="s">
        <v>882</v>
      </c>
      <c r="J1517" t="s">
        <v>10</v>
      </c>
      <c r="K1517" t="s">
        <v>883</v>
      </c>
    </row>
    <row r="1518" spans="1:11" x14ac:dyDescent="0.25">
      <c r="A1518" t="s">
        <v>723</v>
      </c>
      <c r="B1518" t="s">
        <v>27</v>
      </c>
      <c r="C1518" t="s">
        <v>397</v>
      </c>
      <c r="D1518">
        <v>550</v>
      </c>
      <c r="E1518">
        <v>144.65</v>
      </c>
      <c r="F1518">
        <v>4196298</v>
      </c>
      <c r="G1518" t="s">
        <v>872</v>
      </c>
      <c r="H1518">
        <v>829.18</v>
      </c>
      <c r="I1518" t="s">
        <v>882</v>
      </c>
      <c r="J1518" t="s">
        <v>10</v>
      </c>
      <c r="K1518" t="s">
        <v>883</v>
      </c>
    </row>
    <row r="1519" spans="1:11" x14ac:dyDescent="0.25">
      <c r="A1519" t="s">
        <v>723</v>
      </c>
      <c r="B1519" t="s">
        <v>27</v>
      </c>
      <c r="C1519" t="s">
        <v>397</v>
      </c>
      <c r="D1519">
        <v>377</v>
      </c>
      <c r="E1519">
        <v>319.32100000000003</v>
      </c>
      <c r="F1519">
        <v>3781664</v>
      </c>
      <c r="G1519" t="s">
        <v>895</v>
      </c>
      <c r="H1519">
        <v>733.00099999999998</v>
      </c>
      <c r="I1519" t="s">
        <v>896</v>
      </c>
      <c r="J1519" t="s">
        <v>10</v>
      </c>
      <c r="K1519" t="s">
        <v>897</v>
      </c>
    </row>
    <row r="1520" spans="1:11" x14ac:dyDescent="0.25">
      <c r="A1520" t="s">
        <v>723</v>
      </c>
      <c r="B1520" t="s">
        <v>27</v>
      </c>
      <c r="C1520" t="s">
        <v>397</v>
      </c>
      <c r="D1520">
        <v>631</v>
      </c>
      <c r="E1520">
        <v>534.46</v>
      </c>
      <c r="F1520">
        <v>3781664</v>
      </c>
      <c r="G1520" t="s">
        <v>895</v>
      </c>
      <c r="H1520">
        <v>1226.8530000000001</v>
      </c>
      <c r="I1520" t="s">
        <v>896</v>
      </c>
      <c r="J1520" t="s">
        <v>10</v>
      </c>
      <c r="K1520" t="s">
        <v>897</v>
      </c>
    </row>
    <row r="1521" spans="1:11" x14ac:dyDescent="0.25">
      <c r="A1521" t="s">
        <v>636</v>
      </c>
      <c r="B1521" t="s">
        <v>151</v>
      </c>
      <c r="C1521" t="s">
        <v>397</v>
      </c>
      <c r="D1521">
        <v>2542</v>
      </c>
      <c r="E1521">
        <v>599.62</v>
      </c>
      <c r="F1521">
        <v>2429059</v>
      </c>
      <c r="G1521" t="s">
        <v>872</v>
      </c>
      <c r="H1521">
        <v>3520.67</v>
      </c>
      <c r="I1521" t="s">
        <v>894</v>
      </c>
      <c r="J1521" t="s">
        <v>10</v>
      </c>
      <c r="K1521" t="s">
        <v>874</v>
      </c>
    </row>
    <row r="1522" spans="1:11" x14ac:dyDescent="0.25">
      <c r="A1522" t="s">
        <v>809</v>
      </c>
      <c r="B1522" t="s">
        <v>72</v>
      </c>
      <c r="C1522" t="s">
        <v>397</v>
      </c>
      <c r="D1522">
        <v>3940</v>
      </c>
      <c r="E1522">
        <v>853.61099999999999</v>
      </c>
      <c r="F1522">
        <v>1939544</v>
      </c>
      <c r="G1522" t="s">
        <v>806</v>
      </c>
      <c r="H1522">
        <v>1205.6400000000001</v>
      </c>
      <c r="I1522" t="s">
        <v>807</v>
      </c>
      <c r="J1522" t="s">
        <v>10</v>
      </c>
      <c r="K1522" t="s">
        <v>808</v>
      </c>
    </row>
    <row r="1523" spans="1:11" x14ac:dyDescent="0.25">
      <c r="A1523" t="s">
        <v>589</v>
      </c>
      <c r="B1523" t="s">
        <v>45</v>
      </c>
      <c r="C1523" t="s">
        <v>397</v>
      </c>
      <c r="D1523">
        <v>480</v>
      </c>
      <c r="E1523">
        <v>282.42</v>
      </c>
      <c r="F1523">
        <v>1938191</v>
      </c>
      <c r="G1523" t="s">
        <v>590</v>
      </c>
      <c r="H1523">
        <v>356.64</v>
      </c>
      <c r="I1523" t="s">
        <v>591</v>
      </c>
      <c r="J1523" t="s">
        <v>10</v>
      </c>
      <c r="K1523" t="s">
        <v>592</v>
      </c>
    </row>
    <row r="1524" spans="1:11" x14ac:dyDescent="0.25">
      <c r="A1524" t="s">
        <v>589</v>
      </c>
      <c r="B1524" t="s">
        <v>45</v>
      </c>
      <c r="C1524" t="s">
        <v>397</v>
      </c>
      <c r="D1524">
        <v>1470.17</v>
      </c>
      <c r="E1524">
        <v>865.01099999999997</v>
      </c>
      <c r="F1524">
        <v>1938191</v>
      </c>
      <c r="G1524" t="s">
        <v>590</v>
      </c>
      <c r="H1524">
        <v>1092.336</v>
      </c>
      <c r="I1524" t="s">
        <v>591</v>
      </c>
      <c r="J1524" t="s">
        <v>10</v>
      </c>
      <c r="K1524" t="s">
        <v>592</v>
      </c>
    </row>
    <row r="1525" spans="1:11" x14ac:dyDescent="0.25">
      <c r="A1525" t="s">
        <v>589</v>
      </c>
      <c r="B1525" t="s">
        <v>45</v>
      </c>
      <c r="C1525" t="s">
        <v>397</v>
      </c>
      <c r="D1525">
        <v>49.83</v>
      </c>
      <c r="E1525">
        <v>29.318999999999999</v>
      </c>
      <c r="F1525">
        <v>1938191</v>
      </c>
      <c r="G1525" t="s">
        <v>590</v>
      </c>
      <c r="H1525">
        <v>37.024000000000001</v>
      </c>
      <c r="I1525" t="s">
        <v>591</v>
      </c>
      <c r="J1525" t="s">
        <v>10</v>
      </c>
      <c r="K1525" t="s">
        <v>592</v>
      </c>
    </row>
    <row r="1526" spans="1:11" x14ac:dyDescent="0.25">
      <c r="A1526" t="s">
        <v>556</v>
      </c>
      <c r="B1526" t="s">
        <v>151</v>
      </c>
      <c r="C1526" t="s">
        <v>397</v>
      </c>
      <c r="D1526">
        <v>1660.732</v>
      </c>
      <c r="E1526">
        <v>325.50400000000002</v>
      </c>
      <c r="F1526">
        <v>3781594</v>
      </c>
      <c r="G1526" t="s">
        <v>712</v>
      </c>
      <c r="H1526">
        <v>1267.1199999999999</v>
      </c>
      <c r="I1526" t="s">
        <v>900</v>
      </c>
      <c r="J1526" t="s">
        <v>10</v>
      </c>
      <c r="K1526" t="s">
        <v>714</v>
      </c>
    </row>
    <row r="1527" spans="1:11" x14ac:dyDescent="0.25">
      <c r="A1527" t="s">
        <v>556</v>
      </c>
      <c r="B1527" t="s">
        <v>151</v>
      </c>
      <c r="C1527" t="s">
        <v>397</v>
      </c>
      <c r="D1527">
        <v>469.26799999999997</v>
      </c>
      <c r="E1527">
        <v>91.977000000000004</v>
      </c>
      <c r="F1527">
        <v>3781594</v>
      </c>
      <c r="G1527" t="s">
        <v>712</v>
      </c>
      <c r="H1527">
        <v>358.04599999999999</v>
      </c>
      <c r="I1527" t="s">
        <v>900</v>
      </c>
      <c r="J1527" t="s">
        <v>10</v>
      </c>
      <c r="K1527" t="s">
        <v>714</v>
      </c>
    </row>
    <row r="1528" spans="1:11" x14ac:dyDescent="0.25">
      <c r="A1528" t="s">
        <v>422</v>
      </c>
      <c r="B1528" t="s">
        <v>30</v>
      </c>
      <c r="C1528" t="s">
        <v>397</v>
      </c>
      <c r="D1528">
        <v>2293.9920000000002</v>
      </c>
      <c r="E1528">
        <v>1112.518</v>
      </c>
      <c r="F1528">
        <v>2359755</v>
      </c>
      <c r="G1528" t="s">
        <v>827</v>
      </c>
      <c r="H1528">
        <v>1713.6120000000001</v>
      </c>
      <c r="I1528" t="s">
        <v>828</v>
      </c>
      <c r="J1528" t="s">
        <v>10</v>
      </c>
      <c r="K1528" t="s">
        <v>829</v>
      </c>
    </row>
    <row r="1529" spans="1:11" x14ac:dyDescent="0.25">
      <c r="A1529" t="s">
        <v>422</v>
      </c>
      <c r="B1529" t="s">
        <v>30</v>
      </c>
      <c r="C1529" t="s">
        <v>397</v>
      </c>
      <c r="D1529">
        <v>1706.008</v>
      </c>
      <c r="E1529">
        <v>827.36300000000006</v>
      </c>
      <c r="F1529">
        <v>2359755</v>
      </c>
      <c r="G1529" t="s">
        <v>827</v>
      </c>
      <c r="H1529">
        <v>1274.3879999999999</v>
      </c>
      <c r="I1529" t="s">
        <v>828</v>
      </c>
      <c r="J1529" t="s">
        <v>10</v>
      </c>
      <c r="K1529" t="s">
        <v>829</v>
      </c>
    </row>
    <row r="1530" spans="1:11" x14ac:dyDescent="0.25">
      <c r="A1530" t="s">
        <v>723</v>
      </c>
      <c r="B1530" t="s">
        <v>27</v>
      </c>
      <c r="C1530" t="s">
        <v>397</v>
      </c>
      <c r="D1530">
        <v>1325.1579999999999</v>
      </c>
      <c r="E1530">
        <v>360.40699999999998</v>
      </c>
      <c r="F1530">
        <v>3228788</v>
      </c>
      <c r="G1530" t="s">
        <v>724</v>
      </c>
      <c r="H1530">
        <v>234.553</v>
      </c>
      <c r="I1530" t="s">
        <v>725</v>
      </c>
      <c r="J1530" t="s">
        <v>10</v>
      </c>
      <c r="K1530" t="s">
        <v>726</v>
      </c>
    </row>
    <row r="1531" spans="1:11" x14ac:dyDescent="0.25">
      <c r="A1531" t="s">
        <v>723</v>
      </c>
      <c r="B1531" t="s">
        <v>27</v>
      </c>
      <c r="C1531" t="s">
        <v>397</v>
      </c>
      <c r="D1531">
        <v>93.48</v>
      </c>
      <c r="E1531">
        <v>25.423999999999999</v>
      </c>
      <c r="F1531">
        <v>3228788</v>
      </c>
      <c r="G1531" t="s">
        <v>724</v>
      </c>
      <c r="H1531">
        <v>16.545999999999999</v>
      </c>
      <c r="I1531" t="s">
        <v>725</v>
      </c>
      <c r="J1531" t="s">
        <v>10</v>
      </c>
      <c r="K1531" t="s">
        <v>726</v>
      </c>
    </row>
    <row r="1532" spans="1:11" x14ac:dyDescent="0.25">
      <c r="A1532" t="s">
        <v>723</v>
      </c>
      <c r="B1532" t="s">
        <v>27</v>
      </c>
      <c r="C1532" t="s">
        <v>397</v>
      </c>
      <c r="D1532">
        <v>779.52499999999998</v>
      </c>
      <c r="E1532">
        <v>212.01</v>
      </c>
      <c r="F1532">
        <v>3228788</v>
      </c>
      <c r="G1532" t="s">
        <v>724</v>
      </c>
      <c r="H1532">
        <v>137.976</v>
      </c>
      <c r="I1532" t="s">
        <v>725</v>
      </c>
      <c r="J1532" t="s">
        <v>10</v>
      </c>
      <c r="K1532" t="s">
        <v>726</v>
      </c>
    </row>
    <row r="1533" spans="1:11" x14ac:dyDescent="0.25">
      <c r="A1533" t="s">
        <v>723</v>
      </c>
      <c r="B1533" t="s">
        <v>27</v>
      </c>
      <c r="C1533" t="s">
        <v>397</v>
      </c>
      <c r="D1533">
        <v>2752.1019999999999</v>
      </c>
      <c r="E1533">
        <v>748.49699999999996</v>
      </c>
      <c r="F1533">
        <v>3228788</v>
      </c>
      <c r="G1533" t="s">
        <v>724</v>
      </c>
      <c r="H1533">
        <v>487.12200000000001</v>
      </c>
      <c r="I1533" t="s">
        <v>725</v>
      </c>
      <c r="J1533" t="s">
        <v>10</v>
      </c>
      <c r="K1533" t="s">
        <v>726</v>
      </c>
    </row>
    <row r="1534" spans="1:11" x14ac:dyDescent="0.25">
      <c r="A1534" t="s">
        <v>723</v>
      </c>
      <c r="B1534" t="s">
        <v>27</v>
      </c>
      <c r="C1534" t="s">
        <v>397</v>
      </c>
      <c r="D1534">
        <v>1049.7349999999999</v>
      </c>
      <c r="E1534">
        <v>285.5</v>
      </c>
      <c r="F1534">
        <v>3228788</v>
      </c>
      <c r="G1534" t="s">
        <v>724</v>
      </c>
      <c r="H1534">
        <v>185.803</v>
      </c>
      <c r="I1534" t="s">
        <v>725</v>
      </c>
      <c r="J1534" t="s">
        <v>10</v>
      </c>
      <c r="K1534" t="s">
        <v>726</v>
      </c>
    </row>
    <row r="1535" spans="1:11" x14ac:dyDescent="0.25">
      <c r="A1535" t="s">
        <v>723</v>
      </c>
      <c r="B1535" t="s">
        <v>27</v>
      </c>
      <c r="C1535" t="s">
        <v>397</v>
      </c>
      <c r="D1535">
        <v>99.917000000000002</v>
      </c>
      <c r="E1535">
        <v>84.63</v>
      </c>
      <c r="F1535">
        <v>3781664</v>
      </c>
      <c r="G1535" t="s">
        <v>895</v>
      </c>
      <c r="H1535">
        <v>194.26900000000001</v>
      </c>
      <c r="I1535" t="s">
        <v>896</v>
      </c>
      <c r="J1535" t="s">
        <v>10</v>
      </c>
      <c r="K1535" t="s">
        <v>897</v>
      </c>
    </row>
    <row r="1536" spans="1:11" x14ac:dyDescent="0.25">
      <c r="A1536" t="s">
        <v>723</v>
      </c>
      <c r="B1536" t="s">
        <v>27</v>
      </c>
      <c r="C1536" t="s">
        <v>397</v>
      </c>
      <c r="D1536">
        <v>453.88799999999998</v>
      </c>
      <c r="E1536">
        <v>384.44499999999999</v>
      </c>
      <c r="F1536">
        <v>3781664</v>
      </c>
      <c r="G1536" t="s">
        <v>895</v>
      </c>
      <c r="H1536">
        <v>882.49400000000003</v>
      </c>
      <c r="I1536" t="s">
        <v>896</v>
      </c>
      <c r="J1536" t="s">
        <v>10</v>
      </c>
      <c r="K1536" t="s">
        <v>897</v>
      </c>
    </row>
    <row r="1537" spans="1:11" x14ac:dyDescent="0.25">
      <c r="A1537" t="s">
        <v>723</v>
      </c>
      <c r="B1537" t="s">
        <v>27</v>
      </c>
      <c r="C1537" t="s">
        <v>397</v>
      </c>
      <c r="D1537">
        <v>553.19500000000005</v>
      </c>
      <c r="E1537">
        <v>468.55900000000003</v>
      </c>
      <c r="F1537">
        <v>3781664</v>
      </c>
      <c r="G1537" t="s">
        <v>895</v>
      </c>
      <c r="H1537">
        <v>1075.577</v>
      </c>
      <c r="I1537" t="s">
        <v>896</v>
      </c>
      <c r="J1537" t="s">
        <v>10</v>
      </c>
      <c r="K1537" t="s">
        <v>897</v>
      </c>
    </row>
    <row r="1538" spans="1:11" x14ac:dyDescent="0.25">
      <c r="A1538" t="s">
        <v>723</v>
      </c>
      <c r="B1538" t="s">
        <v>27</v>
      </c>
      <c r="C1538" t="s">
        <v>397</v>
      </c>
      <c r="D1538">
        <v>555</v>
      </c>
      <c r="E1538">
        <v>129.874</v>
      </c>
      <c r="F1538">
        <v>3746291</v>
      </c>
      <c r="G1538" t="s">
        <v>872</v>
      </c>
      <c r="H1538">
        <v>744.47699999999998</v>
      </c>
      <c r="I1538" t="s">
        <v>880</v>
      </c>
      <c r="J1538" t="s">
        <v>10</v>
      </c>
      <c r="K1538" t="s">
        <v>881</v>
      </c>
    </row>
    <row r="1539" spans="1:11" x14ac:dyDescent="0.25">
      <c r="A1539" t="s">
        <v>723</v>
      </c>
      <c r="B1539" t="s">
        <v>27</v>
      </c>
      <c r="C1539" t="s">
        <v>397</v>
      </c>
      <c r="D1539">
        <v>35</v>
      </c>
      <c r="E1539">
        <v>9.2050000000000001</v>
      </c>
      <c r="F1539">
        <v>4196298</v>
      </c>
      <c r="G1539" t="s">
        <v>872</v>
      </c>
      <c r="H1539">
        <v>52.765999999999998</v>
      </c>
      <c r="I1539" t="s">
        <v>882</v>
      </c>
      <c r="J1539" t="s">
        <v>10</v>
      </c>
      <c r="K1539" t="s">
        <v>883</v>
      </c>
    </row>
    <row r="1540" spans="1:11" x14ac:dyDescent="0.25">
      <c r="A1540" t="s">
        <v>437</v>
      </c>
      <c r="B1540" t="s">
        <v>18</v>
      </c>
      <c r="C1540" t="s">
        <v>397</v>
      </c>
      <c r="D1540">
        <v>1347</v>
      </c>
      <c r="E1540">
        <v>478.32100000000003</v>
      </c>
      <c r="F1540">
        <v>1940588</v>
      </c>
      <c r="G1540" t="s">
        <v>737</v>
      </c>
      <c r="H1540">
        <v>552.27</v>
      </c>
      <c r="I1540" t="s">
        <v>797</v>
      </c>
      <c r="J1540" t="s">
        <v>10</v>
      </c>
      <c r="K1540" t="s">
        <v>798</v>
      </c>
    </row>
    <row r="1541" spans="1:11" x14ac:dyDescent="0.25">
      <c r="A1541" t="s">
        <v>437</v>
      </c>
      <c r="B1541" t="s">
        <v>18</v>
      </c>
      <c r="C1541" t="s">
        <v>397</v>
      </c>
      <c r="D1541">
        <v>613.15099999999995</v>
      </c>
      <c r="E1541">
        <v>217.73099999999999</v>
      </c>
      <c r="F1541">
        <v>1940588</v>
      </c>
      <c r="G1541" t="s">
        <v>737</v>
      </c>
      <c r="H1541">
        <v>251.392</v>
      </c>
      <c r="I1541" t="s">
        <v>797</v>
      </c>
      <c r="J1541" t="s">
        <v>10</v>
      </c>
      <c r="K1541" t="s">
        <v>798</v>
      </c>
    </row>
    <row r="1542" spans="1:11" x14ac:dyDescent="0.25">
      <c r="A1542" t="s">
        <v>437</v>
      </c>
      <c r="B1542" t="s">
        <v>18</v>
      </c>
      <c r="C1542" t="s">
        <v>397</v>
      </c>
      <c r="D1542">
        <v>3039.8490000000002</v>
      </c>
      <c r="E1542">
        <v>1079.454</v>
      </c>
      <c r="F1542">
        <v>1940588</v>
      </c>
      <c r="G1542" t="s">
        <v>737</v>
      </c>
      <c r="H1542">
        <v>1246.338</v>
      </c>
      <c r="I1542" t="s">
        <v>797</v>
      </c>
      <c r="J1542" t="s">
        <v>10</v>
      </c>
      <c r="K1542" t="s">
        <v>798</v>
      </c>
    </row>
    <row r="1543" spans="1:11" x14ac:dyDescent="0.25">
      <c r="A1543" t="s">
        <v>437</v>
      </c>
      <c r="B1543" t="s">
        <v>18</v>
      </c>
      <c r="C1543" t="s">
        <v>397</v>
      </c>
      <c r="D1543">
        <v>560</v>
      </c>
      <c r="E1543">
        <v>231.887</v>
      </c>
      <c r="F1543">
        <v>3598957</v>
      </c>
      <c r="G1543" t="s">
        <v>664</v>
      </c>
      <c r="H1543">
        <v>246.96</v>
      </c>
      <c r="I1543" t="s">
        <v>665</v>
      </c>
      <c r="J1543" t="s">
        <v>10</v>
      </c>
      <c r="K1543" t="s">
        <v>666</v>
      </c>
    </row>
    <row r="1544" spans="1:11" x14ac:dyDescent="0.25">
      <c r="A1544" t="s">
        <v>581</v>
      </c>
      <c r="B1544" t="s">
        <v>18</v>
      </c>
      <c r="C1544" t="s">
        <v>397</v>
      </c>
      <c r="D1544">
        <v>207.828</v>
      </c>
      <c r="E1544">
        <v>98.718000000000004</v>
      </c>
      <c r="F1544">
        <v>1940626</v>
      </c>
      <c r="G1544" t="s">
        <v>582</v>
      </c>
      <c r="H1544">
        <v>126.468</v>
      </c>
      <c r="I1544" t="s">
        <v>583</v>
      </c>
      <c r="J1544" t="s">
        <v>10</v>
      </c>
      <c r="K1544" t="s">
        <v>584</v>
      </c>
    </row>
    <row r="1545" spans="1:11" x14ac:dyDescent="0.25">
      <c r="A1545" t="s">
        <v>581</v>
      </c>
      <c r="B1545" t="s">
        <v>18</v>
      </c>
      <c r="C1545" t="s">
        <v>397</v>
      </c>
      <c r="D1545">
        <v>659.99900000000002</v>
      </c>
      <c r="E1545">
        <v>313.49900000000002</v>
      </c>
      <c r="F1545">
        <v>1940626</v>
      </c>
      <c r="G1545" t="s">
        <v>582</v>
      </c>
      <c r="H1545">
        <v>401.62400000000002</v>
      </c>
      <c r="I1545" t="s">
        <v>583</v>
      </c>
      <c r="J1545" t="s">
        <v>10</v>
      </c>
      <c r="K1545" t="s">
        <v>584</v>
      </c>
    </row>
    <row r="1546" spans="1:11" x14ac:dyDescent="0.25">
      <c r="A1546" t="s">
        <v>581</v>
      </c>
      <c r="B1546" t="s">
        <v>18</v>
      </c>
      <c r="C1546" t="s">
        <v>397</v>
      </c>
      <c r="D1546">
        <v>1143.296</v>
      </c>
      <c r="E1546">
        <v>543.06500000000005</v>
      </c>
      <c r="F1546">
        <v>1940626</v>
      </c>
      <c r="G1546" t="s">
        <v>582</v>
      </c>
      <c r="H1546">
        <v>695.721</v>
      </c>
      <c r="I1546" t="s">
        <v>583</v>
      </c>
      <c r="J1546" t="s">
        <v>10</v>
      </c>
      <c r="K1546" t="s">
        <v>584</v>
      </c>
    </row>
    <row r="1547" spans="1:11" x14ac:dyDescent="0.25">
      <c r="A1547" t="s">
        <v>581</v>
      </c>
      <c r="B1547" t="s">
        <v>18</v>
      </c>
      <c r="C1547" t="s">
        <v>397</v>
      </c>
      <c r="D1547">
        <v>988.87699999999995</v>
      </c>
      <c r="E1547">
        <v>469.71600000000001</v>
      </c>
      <c r="F1547">
        <v>1940626</v>
      </c>
      <c r="G1547" t="s">
        <v>582</v>
      </c>
      <c r="H1547">
        <v>601.75400000000002</v>
      </c>
      <c r="I1547" t="s">
        <v>583</v>
      </c>
      <c r="J1547" t="s">
        <v>10</v>
      </c>
      <c r="K1547" t="s">
        <v>584</v>
      </c>
    </row>
    <row r="1548" spans="1:11" x14ac:dyDescent="0.25">
      <c r="A1548" t="s">
        <v>581</v>
      </c>
      <c r="B1548" t="s">
        <v>18</v>
      </c>
      <c r="C1548" t="s">
        <v>397</v>
      </c>
      <c r="D1548">
        <v>3000</v>
      </c>
      <c r="E1548">
        <v>908.99099999999999</v>
      </c>
      <c r="F1548">
        <v>1940313</v>
      </c>
      <c r="G1548" t="s">
        <v>407</v>
      </c>
      <c r="H1548">
        <v>831</v>
      </c>
      <c r="I1548" t="s">
        <v>707</v>
      </c>
      <c r="J1548" t="s">
        <v>10</v>
      </c>
      <c r="K1548" t="s">
        <v>708</v>
      </c>
    </row>
    <row r="1549" spans="1:11" x14ac:dyDescent="0.25">
      <c r="A1549" t="s">
        <v>401</v>
      </c>
      <c r="B1549" t="s">
        <v>17</v>
      </c>
      <c r="C1549" t="s">
        <v>397</v>
      </c>
      <c r="D1549">
        <v>112.199</v>
      </c>
      <c r="E1549">
        <v>37.475000000000001</v>
      </c>
      <c r="F1549">
        <v>3911992</v>
      </c>
      <c r="G1549" t="s">
        <v>849</v>
      </c>
      <c r="H1549">
        <v>66.548000000000002</v>
      </c>
      <c r="I1549" t="s">
        <v>1629</v>
      </c>
      <c r="J1549" t="s">
        <v>10</v>
      </c>
      <c r="K1549" t="s">
        <v>2367</v>
      </c>
    </row>
    <row r="1550" spans="1:11" x14ac:dyDescent="0.25">
      <c r="A1550" t="s">
        <v>401</v>
      </c>
      <c r="B1550" t="s">
        <v>17</v>
      </c>
      <c r="C1550" t="s">
        <v>397</v>
      </c>
      <c r="D1550">
        <v>757.80100000000004</v>
      </c>
      <c r="E1550">
        <v>253.108</v>
      </c>
      <c r="F1550">
        <v>3911992</v>
      </c>
      <c r="G1550" t="s">
        <v>849</v>
      </c>
      <c r="H1550">
        <v>449.46899999999999</v>
      </c>
      <c r="I1550" t="s">
        <v>1629</v>
      </c>
      <c r="J1550" t="s">
        <v>10</v>
      </c>
      <c r="K1550" t="s">
        <v>2367</v>
      </c>
    </row>
    <row r="1551" spans="1:11" x14ac:dyDescent="0.25">
      <c r="A1551" t="s">
        <v>636</v>
      </c>
      <c r="B1551" t="s">
        <v>151</v>
      </c>
      <c r="C1551" t="s">
        <v>397</v>
      </c>
      <c r="D1551">
        <v>875</v>
      </c>
      <c r="E1551">
        <v>206.49700000000001</v>
      </c>
      <c r="F1551">
        <v>3784473</v>
      </c>
      <c r="G1551" t="s">
        <v>872</v>
      </c>
      <c r="H1551">
        <v>1183.7</v>
      </c>
      <c r="I1551" t="s">
        <v>873</v>
      </c>
      <c r="J1551" t="s">
        <v>10</v>
      </c>
      <c r="K1551" t="s">
        <v>874</v>
      </c>
    </row>
    <row r="1552" spans="1:11" x14ac:dyDescent="0.25">
      <c r="A1552" t="s">
        <v>401</v>
      </c>
      <c r="B1552" t="s">
        <v>17</v>
      </c>
      <c r="C1552" t="s">
        <v>397</v>
      </c>
      <c r="D1552">
        <v>281.63900000000001</v>
      </c>
      <c r="E1552">
        <v>104.202</v>
      </c>
      <c r="F1552">
        <v>3926424</v>
      </c>
      <c r="G1552" t="s">
        <v>645</v>
      </c>
      <c r="H1552">
        <v>117.8</v>
      </c>
      <c r="I1552" t="s">
        <v>783</v>
      </c>
      <c r="J1552" t="s">
        <v>10</v>
      </c>
      <c r="K1552" t="s">
        <v>784</v>
      </c>
    </row>
    <row r="1553" spans="1:11" x14ac:dyDescent="0.25">
      <c r="A1553" t="s">
        <v>401</v>
      </c>
      <c r="B1553" t="s">
        <v>17</v>
      </c>
      <c r="C1553" t="s">
        <v>397</v>
      </c>
      <c r="D1553">
        <v>318.36099999999999</v>
      </c>
      <c r="E1553">
        <v>117.788</v>
      </c>
      <c r="F1553">
        <v>3926424</v>
      </c>
      <c r="G1553" t="s">
        <v>645</v>
      </c>
      <c r="H1553">
        <v>133.16</v>
      </c>
      <c r="I1553" t="s">
        <v>783</v>
      </c>
      <c r="J1553" t="s">
        <v>10</v>
      </c>
      <c r="K1553" t="s">
        <v>784</v>
      </c>
    </row>
    <row r="1554" spans="1:11" x14ac:dyDescent="0.25">
      <c r="A1554" t="s">
        <v>401</v>
      </c>
      <c r="B1554" t="s">
        <v>17</v>
      </c>
      <c r="C1554" t="s">
        <v>397</v>
      </c>
      <c r="D1554">
        <v>389.99900000000002</v>
      </c>
      <c r="E1554">
        <v>155.99799999999999</v>
      </c>
      <c r="F1554">
        <v>1938119</v>
      </c>
      <c r="G1554" t="s">
        <v>978</v>
      </c>
      <c r="H1554">
        <v>96.671999999999997</v>
      </c>
      <c r="I1554" t="s">
        <v>1235</v>
      </c>
      <c r="J1554" t="s">
        <v>10</v>
      </c>
      <c r="K1554" t="s">
        <v>2227</v>
      </c>
    </row>
    <row r="1555" spans="1:11" x14ac:dyDescent="0.25">
      <c r="A1555" t="s">
        <v>401</v>
      </c>
      <c r="B1555" t="s">
        <v>17</v>
      </c>
      <c r="C1555" t="s">
        <v>397</v>
      </c>
      <c r="D1555">
        <v>146.29</v>
      </c>
      <c r="E1555">
        <v>58.515000000000001</v>
      </c>
      <c r="F1555">
        <v>1938119</v>
      </c>
      <c r="G1555" t="s">
        <v>978</v>
      </c>
      <c r="H1555">
        <v>36.262</v>
      </c>
      <c r="I1555" t="s">
        <v>1235</v>
      </c>
      <c r="J1555" t="s">
        <v>10</v>
      </c>
      <c r="K1555" t="s">
        <v>2227</v>
      </c>
    </row>
    <row r="1556" spans="1:11" x14ac:dyDescent="0.25">
      <c r="A1556" t="s">
        <v>401</v>
      </c>
      <c r="B1556" t="s">
        <v>17</v>
      </c>
      <c r="C1556" t="s">
        <v>397</v>
      </c>
      <c r="D1556">
        <v>463.71100000000001</v>
      </c>
      <c r="E1556">
        <v>185.483</v>
      </c>
      <c r="F1556">
        <v>1938119</v>
      </c>
      <c r="G1556" t="s">
        <v>978</v>
      </c>
      <c r="H1556">
        <v>114.944</v>
      </c>
      <c r="I1556" t="s">
        <v>1235</v>
      </c>
      <c r="J1556" t="s">
        <v>10</v>
      </c>
      <c r="K1556" t="s">
        <v>2227</v>
      </c>
    </row>
    <row r="1557" spans="1:11" x14ac:dyDescent="0.25">
      <c r="A1557" t="s">
        <v>585</v>
      </c>
      <c r="B1557" t="s">
        <v>48</v>
      </c>
      <c r="C1557" t="s">
        <v>397</v>
      </c>
      <c r="D1557">
        <v>2842</v>
      </c>
      <c r="E1557">
        <v>2373.038</v>
      </c>
      <c r="F1557">
        <v>3712521</v>
      </c>
      <c r="G1557" t="s">
        <v>586</v>
      </c>
      <c r="H1557">
        <v>4013.7570000000001</v>
      </c>
      <c r="I1557" t="s">
        <v>631</v>
      </c>
      <c r="J1557" t="s">
        <v>10</v>
      </c>
      <c r="K1557" t="s">
        <v>632</v>
      </c>
    </row>
    <row r="1558" spans="1:11" x14ac:dyDescent="0.25">
      <c r="A1558" t="s">
        <v>585</v>
      </c>
      <c r="B1558" t="s">
        <v>48</v>
      </c>
      <c r="C1558" t="s">
        <v>397</v>
      </c>
      <c r="D1558">
        <v>158</v>
      </c>
      <c r="E1558">
        <v>131.928</v>
      </c>
      <c r="F1558">
        <v>3712521</v>
      </c>
      <c r="G1558" t="s">
        <v>586</v>
      </c>
      <c r="H1558">
        <v>223.143</v>
      </c>
      <c r="I1558" t="s">
        <v>631</v>
      </c>
      <c r="J1558" t="s">
        <v>10</v>
      </c>
      <c r="K1558" t="s">
        <v>632</v>
      </c>
    </row>
    <row r="1559" spans="1:11" x14ac:dyDescent="0.25">
      <c r="A1559" t="s">
        <v>821</v>
      </c>
      <c r="B1559" t="s">
        <v>177</v>
      </c>
      <c r="C1559" t="s">
        <v>397</v>
      </c>
      <c r="D1559">
        <v>1501.836</v>
      </c>
      <c r="E1559">
        <v>536.15300000000002</v>
      </c>
      <c r="F1559">
        <v>3909903</v>
      </c>
      <c r="G1559" t="s">
        <v>393</v>
      </c>
      <c r="H1559">
        <v>1613.1220000000001</v>
      </c>
      <c r="I1559" t="s">
        <v>822</v>
      </c>
      <c r="J1559" t="s">
        <v>10</v>
      </c>
      <c r="K1559" t="s">
        <v>823</v>
      </c>
    </row>
    <row r="1560" spans="1:11" x14ac:dyDescent="0.25">
      <c r="A1560" t="s">
        <v>821</v>
      </c>
      <c r="B1560" t="s">
        <v>177</v>
      </c>
      <c r="C1560" t="s">
        <v>397</v>
      </c>
      <c r="D1560">
        <v>1498.164</v>
      </c>
      <c r="E1560">
        <v>534.84199999999998</v>
      </c>
      <c r="F1560">
        <v>3909903</v>
      </c>
      <c r="G1560" t="s">
        <v>393</v>
      </c>
      <c r="H1560">
        <v>1609.1780000000001</v>
      </c>
      <c r="I1560" t="s">
        <v>822</v>
      </c>
      <c r="J1560" t="s">
        <v>10</v>
      </c>
      <c r="K1560" t="s">
        <v>823</v>
      </c>
    </row>
    <row r="1561" spans="1:11" x14ac:dyDescent="0.25">
      <c r="A1561" t="s">
        <v>422</v>
      </c>
      <c r="B1561" t="s">
        <v>30</v>
      </c>
      <c r="C1561" t="s">
        <v>397</v>
      </c>
      <c r="D1561">
        <v>2365.62</v>
      </c>
      <c r="E1561">
        <v>1147.2560000000001</v>
      </c>
      <c r="F1561">
        <v>2359755</v>
      </c>
      <c r="G1561" t="s">
        <v>827</v>
      </c>
      <c r="H1561">
        <v>1767.1179999999999</v>
      </c>
      <c r="I1561" t="s">
        <v>828</v>
      </c>
      <c r="J1561" t="s">
        <v>10</v>
      </c>
      <c r="K1561" t="s">
        <v>829</v>
      </c>
    </row>
    <row r="1562" spans="1:11" x14ac:dyDescent="0.25">
      <c r="A1562" t="s">
        <v>422</v>
      </c>
      <c r="B1562" t="s">
        <v>30</v>
      </c>
      <c r="C1562" t="s">
        <v>397</v>
      </c>
      <c r="D1562">
        <v>634.38</v>
      </c>
      <c r="E1562">
        <v>307.65600000000001</v>
      </c>
      <c r="F1562">
        <v>2359755</v>
      </c>
      <c r="G1562" t="s">
        <v>827</v>
      </c>
      <c r="H1562">
        <v>473.88200000000001</v>
      </c>
      <c r="I1562" t="s">
        <v>828</v>
      </c>
      <c r="J1562" t="s">
        <v>10</v>
      </c>
      <c r="K1562" t="s">
        <v>829</v>
      </c>
    </row>
    <row r="1563" spans="1:11" x14ac:dyDescent="0.25">
      <c r="A1563" t="s">
        <v>636</v>
      </c>
      <c r="B1563" t="s">
        <v>151</v>
      </c>
      <c r="C1563" t="s">
        <v>397</v>
      </c>
      <c r="D1563">
        <v>1000</v>
      </c>
      <c r="E1563">
        <v>235.99600000000001</v>
      </c>
      <c r="F1563">
        <v>3784473</v>
      </c>
      <c r="G1563" t="s">
        <v>872</v>
      </c>
      <c r="H1563">
        <v>1352.8</v>
      </c>
      <c r="I1563" t="s">
        <v>873</v>
      </c>
      <c r="J1563" t="s">
        <v>10</v>
      </c>
      <c r="K1563" t="s">
        <v>874</v>
      </c>
    </row>
    <row r="1564" spans="1:11" x14ac:dyDescent="0.25">
      <c r="A1564" t="s">
        <v>556</v>
      </c>
      <c r="B1564" t="s">
        <v>151</v>
      </c>
      <c r="C1564" t="s">
        <v>397</v>
      </c>
      <c r="D1564">
        <v>801</v>
      </c>
      <c r="E1564">
        <v>1093.3720000000001</v>
      </c>
      <c r="F1564">
        <v>3781680</v>
      </c>
      <c r="G1564" t="s">
        <v>904</v>
      </c>
      <c r="H1564">
        <v>3259.6689999999999</v>
      </c>
      <c r="I1564" t="s">
        <v>905</v>
      </c>
      <c r="J1564" t="s">
        <v>10</v>
      </c>
      <c r="K1564" t="s">
        <v>906</v>
      </c>
    </row>
    <row r="1565" spans="1:11" x14ac:dyDescent="0.25">
      <c r="A1565" t="s">
        <v>401</v>
      </c>
      <c r="B1565" t="s">
        <v>17</v>
      </c>
      <c r="C1565" t="s">
        <v>397</v>
      </c>
      <c r="D1565">
        <v>1615</v>
      </c>
      <c r="E1565">
        <v>481.27</v>
      </c>
      <c r="F1565">
        <v>3910451</v>
      </c>
      <c r="G1565" t="s">
        <v>849</v>
      </c>
      <c r="H1565">
        <v>854.64</v>
      </c>
      <c r="I1565" t="s">
        <v>850</v>
      </c>
      <c r="J1565" t="s">
        <v>10</v>
      </c>
      <c r="K1565" t="s">
        <v>851</v>
      </c>
    </row>
    <row r="1566" spans="1:11" x14ac:dyDescent="0.25">
      <c r="A1566" t="s">
        <v>556</v>
      </c>
      <c r="B1566" t="s">
        <v>151</v>
      </c>
      <c r="C1566" t="s">
        <v>397</v>
      </c>
      <c r="D1566">
        <v>1016</v>
      </c>
      <c r="E1566">
        <v>1386.8489999999999</v>
      </c>
      <c r="F1566">
        <v>3781680</v>
      </c>
      <c r="G1566" t="s">
        <v>904</v>
      </c>
      <c r="H1566">
        <v>4134.6120000000001</v>
      </c>
      <c r="I1566" t="s">
        <v>905</v>
      </c>
      <c r="J1566" t="s">
        <v>10</v>
      </c>
      <c r="K1566" t="s">
        <v>906</v>
      </c>
    </row>
    <row r="1567" spans="1:11" x14ac:dyDescent="0.25">
      <c r="A1567" t="s">
        <v>581</v>
      </c>
      <c r="B1567" t="s">
        <v>18</v>
      </c>
      <c r="C1567" t="s">
        <v>397</v>
      </c>
      <c r="D1567">
        <v>1513.9659999999999</v>
      </c>
      <c r="E1567">
        <v>504.15600000000001</v>
      </c>
      <c r="F1567">
        <v>3729146</v>
      </c>
      <c r="G1567" t="s">
        <v>849</v>
      </c>
      <c r="H1567">
        <v>933.44399999999996</v>
      </c>
      <c r="I1567" t="s">
        <v>852</v>
      </c>
      <c r="J1567" t="s">
        <v>10</v>
      </c>
      <c r="K1567" t="s">
        <v>853</v>
      </c>
    </row>
    <row r="1568" spans="1:11" x14ac:dyDescent="0.25">
      <c r="A1568" t="s">
        <v>581</v>
      </c>
      <c r="B1568" t="s">
        <v>18</v>
      </c>
      <c r="C1568" t="s">
        <v>397</v>
      </c>
      <c r="D1568">
        <v>1251.0340000000001</v>
      </c>
      <c r="E1568">
        <v>416.59800000000001</v>
      </c>
      <c r="F1568">
        <v>3729146</v>
      </c>
      <c r="G1568" t="s">
        <v>849</v>
      </c>
      <c r="H1568">
        <v>771.33199999999999</v>
      </c>
      <c r="I1568" t="s">
        <v>852</v>
      </c>
      <c r="J1568" t="s">
        <v>10</v>
      </c>
      <c r="K1568" t="s">
        <v>853</v>
      </c>
    </row>
    <row r="1569" spans="1:11" x14ac:dyDescent="0.25">
      <c r="A1569" t="s">
        <v>854</v>
      </c>
      <c r="B1569" t="s">
        <v>18</v>
      </c>
      <c r="C1569" t="s">
        <v>397</v>
      </c>
      <c r="D1569">
        <v>1260</v>
      </c>
      <c r="E1569">
        <v>1891.277</v>
      </c>
      <c r="F1569">
        <v>3911993</v>
      </c>
      <c r="G1569" t="s">
        <v>849</v>
      </c>
      <c r="H1569">
        <v>3358.53</v>
      </c>
      <c r="I1569" t="s">
        <v>855</v>
      </c>
      <c r="J1569" t="s">
        <v>10</v>
      </c>
      <c r="K1569" t="s">
        <v>856</v>
      </c>
    </row>
    <row r="1570" spans="1:11" x14ac:dyDescent="0.25">
      <c r="A1570" t="s">
        <v>556</v>
      </c>
      <c r="B1570" t="s">
        <v>151</v>
      </c>
      <c r="C1570" t="s">
        <v>397</v>
      </c>
      <c r="D1570">
        <v>6950</v>
      </c>
      <c r="E1570">
        <v>5622.55</v>
      </c>
      <c r="F1570">
        <v>1940466</v>
      </c>
      <c r="G1570" t="s">
        <v>633</v>
      </c>
      <c r="H1570">
        <v>5475.3639999999996</v>
      </c>
      <c r="I1570" t="s">
        <v>764</v>
      </c>
      <c r="J1570" t="s">
        <v>10</v>
      </c>
      <c r="K1570" t="s">
        <v>765</v>
      </c>
    </row>
    <row r="1571" spans="1:11" x14ac:dyDescent="0.25">
      <c r="A1571" t="s">
        <v>556</v>
      </c>
      <c r="B1571" t="s">
        <v>151</v>
      </c>
      <c r="C1571" t="s">
        <v>397</v>
      </c>
      <c r="D1571">
        <v>3000</v>
      </c>
      <c r="E1571">
        <v>446.916</v>
      </c>
      <c r="F1571">
        <v>1938195</v>
      </c>
      <c r="G1571" t="s">
        <v>557</v>
      </c>
      <c r="H1571">
        <v>213</v>
      </c>
      <c r="I1571" t="s">
        <v>558</v>
      </c>
      <c r="J1571" t="s">
        <v>10</v>
      </c>
      <c r="K1571" t="s">
        <v>559</v>
      </c>
    </row>
    <row r="1572" spans="1:11" x14ac:dyDescent="0.25">
      <c r="A1572" t="s">
        <v>556</v>
      </c>
      <c r="B1572" t="s">
        <v>151</v>
      </c>
      <c r="C1572" t="s">
        <v>397</v>
      </c>
      <c r="D1572">
        <v>5000</v>
      </c>
      <c r="E1572">
        <v>1970.0150000000001</v>
      </c>
      <c r="F1572">
        <v>1940437</v>
      </c>
      <c r="G1572" t="s">
        <v>633</v>
      </c>
      <c r="H1572">
        <v>1918.444</v>
      </c>
      <c r="I1572" t="s">
        <v>637</v>
      </c>
      <c r="J1572" t="s">
        <v>10</v>
      </c>
      <c r="K1572" t="s">
        <v>638</v>
      </c>
    </row>
    <row r="1573" spans="1:11" x14ac:dyDescent="0.25">
      <c r="A1573" t="s">
        <v>636</v>
      </c>
      <c r="B1573" t="s">
        <v>151</v>
      </c>
      <c r="C1573" t="s">
        <v>397</v>
      </c>
      <c r="D1573">
        <v>2500</v>
      </c>
      <c r="E1573">
        <v>1825.318</v>
      </c>
      <c r="F1573">
        <v>1940881</v>
      </c>
      <c r="G1573" t="s">
        <v>841</v>
      </c>
      <c r="H1573">
        <v>4395</v>
      </c>
      <c r="I1573" t="s">
        <v>842</v>
      </c>
      <c r="J1573" t="s">
        <v>10</v>
      </c>
      <c r="K1573" t="s">
        <v>843</v>
      </c>
    </row>
    <row r="1574" spans="1:11" x14ac:dyDescent="0.25">
      <c r="A1574" t="s">
        <v>401</v>
      </c>
      <c r="B1574" t="s">
        <v>17</v>
      </c>
      <c r="C1574" t="s">
        <v>397</v>
      </c>
      <c r="D1574">
        <v>700</v>
      </c>
      <c r="E1574">
        <v>202.999</v>
      </c>
      <c r="F1574">
        <v>3781701</v>
      </c>
      <c r="G1574" t="s">
        <v>891</v>
      </c>
      <c r="H1574">
        <v>774.97</v>
      </c>
      <c r="I1574" t="s">
        <v>907</v>
      </c>
      <c r="J1574" t="s">
        <v>10</v>
      </c>
      <c r="K1574" t="s">
        <v>908</v>
      </c>
    </row>
    <row r="1575" spans="1:11" x14ac:dyDescent="0.25">
      <c r="A1575" t="s">
        <v>401</v>
      </c>
      <c r="B1575" t="s">
        <v>17</v>
      </c>
      <c r="C1575" t="s">
        <v>397</v>
      </c>
      <c r="D1575">
        <v>2500</v>
      </c>
      <c r="E1575">
        <v>724.99699999999996</v>
      </c>
      <c r="F1575">
        <v>3781701</v>
      </c>
      <c r="G1575" t="s">
        <v>891</v>
      </c>
      <c r="H1575">
        <v>2767.75</v>
      </c>
      <c r="I1575" t="s">
        <v>907</v>
      </c>
      <c r="J1575" t="s">
        <v>10</v>
      </c>
      <c r="K1575" t="s">
        <v>908</v>
      </c>
    </row>
    <row r="1576" spans="1:11" x14ac:dyDescent="0.25">
      <c r="A1576" t="s">
        <v>401</v>
      </c>
      <c r="B1576" t="s">
        <v>17</v>
      </c>
      <c r="C1576" t="s">
        <v>397</v>
      </c>
      <c r="D1576">
        <v>8000</v>
      </c>
      <c r="E1576">
        <v>2959.87</v>
      </c>
      <c r="F1576">
        <v>3926424</v>
      </c>
      <c r="G1576" t="s">
        <v>645</v>
      </c>
      <c r="H1576">
        <v>3346.1329999999998</v>
      </c>
      <c r="I1576" t="s">
        <v>783</v>
      </c>
      <c r="J1576" t="s">
        <v>10</v>
      </c>
      <c r="K1576" t="s">
        <v>784</v>
      </c>
    </row>
    <row r="1577" spans="1:11" x14ac:dyDescent="0.25">
      <c r="A1577" t="s">
        <v>401</v>
      </c>
      <c r="B1577" t="s">
        <v>17</v>
      </c>
      <c r="C1577" t="s">
        <v>397</v>
      </c>
      <c r="D1577">
        <v>2000</v>
      </c>
      <c r="E1577">
        <v>449.995</v>
      </c>
      <c r="F1577">
        <v>3484652</v>
      </c>
      <c r="G1577" t="s">
        <v>748</v>
      </c>
      <c r="H1577">
        <v>499.04399999999998</v>
      </c>
      <c r="I1577" t="s">
        <v>749</v>
      </c>
      <c r="J1577" t="s">
        <v>10</v>
      </c>
      <c r="K1577" t="s">
        <v>750</v>
      </c>
    </row>
    <row r="1578" spans="1:11" x14ac:dyDescent="0.25">
      <c r="A1578" t="s">
        <v>585</v>
      </c>
      <c r="B1578" t="s">
        <v>48</v>
      </c>
      <c r="C1578" t="s">
        <v>397</v>
      </c>
      <c r="D1578">
        <v>834.48500000000001</v>
      </c>
      <c r="E1578">
        <v>341.29399999999998</v>
      </c>
      <c r="F1578">
        <v>4020857</v>
      </c>
      <c r="G1578" t="s">
        <v>909</v>
      </c>
      <c r="H1578">
        <v>906</v>
      </c>
      <c r="I1578" t="s">
        <v>910</v>
      </c>
      <c r="J1578" t="s">
        <v>10</v>
      </c>
      <c r="K1578" t="s">
        <v>911</v>
      </c>
    </row>
    <row r="1579" spans="1:11" x14ac:dyDescent="0.25">
      <c r="A1579" t="s">
        <v>585</v>
      </c>
      <c r="B1579" t="s">
        <v>48</v>
      </c>
      <c r="C1579" t="s">
        <v>397</v>
      </c>
      <c r="D1579">
        <v>180.51499999999999</v>
      </c>
      <c r="E1579">
        <v>73.828000000000003</v>
      </c>
      <c r="F1579">
        <v>4020857</v>
      </c>
      <c r="G1579" t="s">
        <v>909</v>
      </c>
      <c r="H1579">
        <v>195.98500000000001</v>
      </c>
      <c r="I1579" t="s">
        <v>910</v>
      </c>
      <c r="J1579" t="s">
        <v>10</v>
      </c>
      <c r="K1579" t="s">
        <v>911</v>
      </c>
    </row>
    <row r="1580" spans="1:11" x14ac:dyDescent="0.25">
      <c r="A1580" t="s">
        <v>636</v>
      </c>
      <c r="B1580" t="s">
        <v>151</v>
      </c>
      <c r="C1580" t="s">
        <v>397</v>
      </c>
      <c r="D1580">
        <v>5000</v>
      </c>
      <c r="E1580">
        <v>3650.6350000000002</v>
      </c>
      <c r="F1580">
        <v>1940881</v>
      </c>
      <c r="G1580" t="s">
        <v>841</v>
      </c>
      <c r="H1580">
        <v>8790</v>
      </c>
      <c r="I1580" t="s">
        <v>842</v>
      </c>
      <c r="J1580" t="s">
        <v>10</v>
      </c>
      <c r="K1580" t="s">
        <v>843</v>
      </c>
    </row>
    <row r="1581" spans="1:11" x14ac:dyDescent="0.25">
      <c r="A1581" t="s">
        <v>517</v>
      </c>
      <c r="B1581" t="s">
        <v>19</v>
      </c>
      <c r="C1581" t="s">
        <v>397</v>
      </c>
      <c r="D1581">
        <v>1250</v>
      </c>
      <c r="E1581">
        <v>891.23599999999999</v>
      </c>
      <c r="F1581">
        <v>3783938</v>
      </c>
      <c r="G1581" t="s">
        <v>909</v>
      </c>
      <c r="H1581">
        <v>2365.875</v>
      </c>
      <c r="I1581" t="s">
        <v>912</v>
      </c>
      <c r="J1581" t="s">
        <v>10</v>
      </c>
      <c r="K1581" t="s">
        <v>913</v>
      </c>
    </row>
    <row r="1582" spans="1:11" x14ac:dyDescent="0.25">
      <c r="A1582" t="s">
        <v>517</v>
      </c>
      <c r="B1582" t="s">
        <v>19</v>
      </c>
      <c r="C1582" t="s">
        <v>397</v>
      </c>
      <c r="D1582">
        <v>2938</v>
      </c>
      <c r="E1582">
        <v>567.04300000000001</v>
      </c>
      <c r="F1582">
        <v>3509016</v>
      </c>
      <c r="G1582" t="s">
        <v>799</v>
      </c>
      <c r="H1582">
        <v>1004.176</v>
      </c>
      <c r="I1582" t="s">
        <v>800</v>
      </c>
      <c r="J1582" t="s">
        <v>10</v>
      </c>
      <c r="K1582" t="s">
        <v>801</v>
      </c>
    </row>
    <row r="1583" spans="1:11" x14ac:dyDescent="0.25">
      <c r="A1583" t="s">
        <v>636</v>
      </c>
      <c r="B1583" t="s">
        <v>151</v>
      </c>
      <c r="C1583" t="s">
        <v>397</v>
      </c>
      <c r="D1583">
        <v>460.00200000000001</v>
      </c>
      <c r="E1583">
        <v>96.6</v>
      </c>
      <c r="F1583">
        <v>3690546</v>
      </c>
      <c r="G1583" t="s">
        <v>875</v>
      </c>
      <c r="H1583">
        <v>326.85700000000003</v>
      </c>
      <c r="I1583" t="s">
        <v>901</v>
      </c>
      <c r="J1583" t="s">
        <v>10</v>
      </c>
      <c r="K1583" t="s">
        <v>877</v>
      </c>
    </row>
    <row r="1584" spans="1:11" x14ac:dyDescent="0.25">
      <c r="A1584" t="s">
        <v>636</v>
      </c>
      <c r="B1584" t="s">
        <v>151</v>
      </c>
      <c r="C1584" t="s">
        <v>397</v>
      </c>
      <c r="D1584">
        <v>539.99800000000005</v>
      </c>
      <c r="E1584">
        <v>113.4</v>
      </c>
      <c r="F1584">
        <v>3690546</v>
      </c>
      <c r="G1584" t="s">
        <v>875</v>
      </c>
      <c r="H1584">
        <v>383.69900000000001</v>
      </c>
      <c r="I1584" t="s">
        <v>901</v>
      </c>
      <c r="J1584" t="s">
        <v>10</v>
      </c>
      <c r="K1584" t="s">
        <v>877</v>
      </c>
    </row>
    <row r="1585" spans="1:11" x14ac:dyDescent="0.25">
      <c r="A1585" t="s">
        <v>636</v>
      </c>
      <c r="B1585" t="s">
        <v>151</v>
      </c>
      <c r="C1585" t="s">
        <v>397</v>
      </c>
      <c r="D1585">
        <v>999</v>
      </c>
      <c r="E1585">
        <v>209.79</v>
      </c>
      <c r="F1585">
        <v>3690546</v>
      </c>
      <c r="G1585" t="s">
        <v>875</v>
      </c>
      <c r="H1585">
        <v>709.84500000000003</v>
      </c>
      <c r="I1585" t="s">
        <v>901</v>
      </c>
      <c r="J1585" t="s">
        <v>10</v>
      </c>
      <c r="K1585" t="s">
        <v>877</v>
      </c>
    </row>
    <row r="1586" spans="1:11" x14ac:dyDescent="0.25">
      <c r="A1586" t="s">
        <v>401</v>
      </c>
      <c r="B1586" t="s">
        <v>17</v>
      </c>
      <c r="C1586" t="s">
        <v>397</v>
      </c>
      <c r="D1586">
        <v>4000</v>
      </c>
      <c r="E1586">
        <v>1479.9349999999999</v>
      </c>
      <c r="F1586">
        <v>3926424</v>
      </c>
      <c r="G1586" t="s">
        <v>645</v>
      </c>
      <c r="H1586">
        <v>1673.067</v>
      </c>
      <c r="I1586" t="s">
        <v>783</v>
      </c>
      <c r="J1586" t="s">
        <v>10</v>
      </c>
      <c r="K1586" t="s">
        <v>784</v>
      </c>
    </row>
    <row r="1587" spans="1:11" x14ac:dyDescent="0.25">
      <c r="A1587" t="s">
        <v>401</v>
      </c>
      <c r="B1587" t="s">
        <v>17</v>
      </c>
      <c r="C1587" t="s">
        <v>397</v>
      </c>
      <c r="D1587">
        <v>1999</v>
      </c>
      <c r="E1587">
        <v>449.77</v>
      </c>
      <c r="F1587">
        <v>3484652</v>
      </c>
      <c r="G1587" t="s">
        <v>748</v>
      </c>
      <c r="H1587">
        <v>498.79500000000002</v>
      </c>
      <c r="I1587" t="s">
        <v>749</v>
      </c>
      <c r="J1587" t="s">
        <v>10</v>
      </c>
      <c r="K1587" t="s">
        <v>750</v>
      </c>
    </row>
    <row r="1588" spans="1:11" x14ac:dyDescent="0.25">
      <c r="A1588" t="s">
        <v>401</v>
      </c>
      <c r="B1588" t="s">
        <v>17</v>
      </c>
      <c r="C1588" t="s">
        <v>397</v>
      </c>
      <c r="D1588">
        <v>500</v>
      </c>
      <c r="E1588">
        <v>184.99199999999999</v>
      </c>
      <c r="F1588">
        <v>3926424</v>
      </c>
      <c r="G1588" t="s">
        <v>645</v>
      </c>
      <c r="H1588">
        <v>209.13300000000001</v>
      </c>
      <c r="I1588" t="s">
        <v>783</v>
      </c>
      <c r="J1588" t="s">
        <v>10</v>
      </c>
      <c r="K1588" t="s">
        <v>784</v>
      </c>
    </row>
    <row r="1589" spans="1:11" x14ac:dyDescent="0.25">
      <c r="A1589" t="s">
        <v>401</v>
      </c>
      <c r="B1589" t="s">
        <v>17</v>
      </c>
      <c r="C1589" t="s">
        <v>397</v>
      </c>
      <c r="D1589">
        <v>2000</v>
      </c>
      <c r="E1589">
        <v>449.995</v>
      </c>
      <c r="F1589">
        <v>3484652</v>
      </c>
      <c r="G1589" t="s">
        <v>748</v>
      </c>
      <c r="H1589">
        <v>499.04399999999998</v>
      </c>
      <c r="I1589" t="s">
        <v>749</v>
      </c>
      <c r="J1589" t="s">
        <v>10</v>
      </c>
      <c r="K1589" t="s">
        <v>750</v>
      </c>
    </row>
    <row r="1590" spans="1:11" x14ac:dyDescent="0.25">
      <c r="A1590" t="s">
        <v>636</v>
      </c>
      <c r="B1590" t="s">
        <v>151</v>
      </c>
      <c r="C1590" t="s">
        <v>397</v>
      </c>
      <c r="D1590">
        <v>3000</v>
      </c>
      <c r="E1590">
        <v>2445.0050000000001</v>
      </c>
      <c r="F1590">
        <v>3781605</v>
      </c>
      <c r="G1590" t="s">
        <v>633</v>
      </c>
      <c r="H1590">
        <v>2381</v>
      </c>
      <c r="I1590" t="s">
        <v>747</v>
      </c>
      <c r="J1590" t="s">
        <v>10</v>
      </c>
      <c r="K1590" t="s">
        <v>635</v>
      </c>
    </row>
    <row r="1591" spans="1:11" x14ac:dyDescent="0.25">
      <c r="A1591" t="s">
        <v>636</v>
      </c>
      <c r="B1591" t="s">
        <v>151</v>
      </c>
      <c r="C1591" t="s">
        <v>397</v>
      </c>
      <c r="D1591">
        <v>2000</v>
      </c>
      <c r="E1591">
        <v>420</v>
      </c>
      <c r="F1591">
        <v>3690546</v>
      </c>
      <c r="G1591" t="s">
        <v>875</v>
      </c>
      <c r="H1591">
        <v>1421.1110000000001</v>
      </c>
      <c r="I1591" t="s">
        <v>901</v>
      </c>
      <c r="J1591" t="s">
        <v>10</v>
      </c>
      <c r="K1591" t="s">
        <v>877</v>
      </c>
    </row>
    <row r="1592" spans="1:11" x14ac:dyDescent="0.25">
      <c r="A1592" t="s">
        <v>636</v>
      </c>
      <c r="B1592" t="s">
        <v>151</v>
      </c>
      <c r="C1592" t="s">
        <v>397</v>
      </c>
      <c r="D1592">
        <v>660</v>
      </c>
      <c r="E1592">
        <v>323.399</v>
      </c>
      <c r="F1592">
        <v>3781610</v>
      </c>
      <c r="G1592" t="s">
        <v>914</v>
      </c>
      <c r="H1592">
        <v>1654.0260000000001</v>
      </c>
      <c r="I1592" t="s">
        <v>915</v>
      </c>
      <c r="J1592" t="s">
        <v>10</v>
      </c>
      <c r="K1592" t="s">
        <v>916</v>
      </c>
    </row>
    <row r="1593" spans="1:11" x14ac:dyDescent="0.25">
      <c r="A1593" t="s">
        <v>641</v>
      </c>
      <c r="B1593" t="s">
        <v>180</v>
      </c>
      <c r="C1593" t="s">
        <v>397</v>
      </c>
      <c r="D1593">
        <v>2000</v>
      </c>
      <c r="E1593">
        <v>2769.2620000000002</v>
      </c>
      <c r="F1593">
        <v>1940489</v>
      </c>
      <c r="G1593" t="s">
        <v>642</v>
      </c>
      <c r="H1593">
        <v>2764</v>
      </c>
      <c r="I1593" t="s">
        <v>777</v>
      </c>
      <c r="J1593" t="s">
        <v>10</v>
      </c>
      <c r="K1593" t="s">
        <v>778</v>
      </c>
    </row>
    <row r="1594" spans="1:11" x14ac:dyDescent="0.25">
      <c r="A1594" t="s">
        <v>573</v>
      </c>
      <c r="B1594" t="s">
        <v>52</v>
      </c>
      <c r="C1594" t="s">
        <v>397</v>
      </c>
      <c r="D1594">
        <v>4567</v>
      </c>
      <c r="E1594">
        <v>3722.1120000000001</v>
      </c>
      <c r="F1594">
        <v>3781605</v>
      </c>
      <c r="G1594" t="s">
        <v>633</v>
      </c>
      <c r="H1594">
        <v>3624.6759999999999</v>
      </c>
      <c r="I1594" t="s">
        <v>747</v>
      </c>
      <c r="J1594" t="s">
        <v>10</v>
      </c>
      <c r="K1594" t="s">
        <v>635</v>
      </c>
    </row>
    <row r="1595" spans="1:11" x14ac:dyDescent="0.25">
      <c r="A1595" t="s">
        <v>573</v>
      </c>
      <c r="B1595" t="s">
        <v>52</v>
      </c>
      <c r="C1595" t="s">
        <v>397</v>
      </c>
      <c r="D1595">
        <v>1000</v>
      </c>
      <c r="E1595">
        <v>208.001</v>
      </c>
      <c r="F1595">
        <v>3722021</v>
      </c>
      <c r="G1595" t="s">
        <v>875</v>
      </c>
      <c r="H1595">
        <v>704.02200000000005</v>
      </c>
      <c r="I1595" t="s">
        <v>884</v>
      </c>
      <c r="J1595" t="s">
        <v>10</v>
      </c>
      <c r="K1595" t="s">
        <v>885</v>
      </c>
    </row>
    <row r="1596" spans="1:11" x14ac:dyDescent="0.25">
      <c r="A1596" t="s">
        <v>437</v>
      </c>
      <c r="B1596" t="s">
        <v>18</v>
      </c>
      <c r="C1596" t="s">
        <v>444</v>
      </c>
      <c r="D1596">
        <v>187</v>
      </c>
      <c r="E1596">
        <v>839.37400000000002</v>
      </c>
      <c r="F1596">
        <v>2410388</v>
      </c>
      <c r="G1596" t="s">
        <v>816</v>
      </c>
      <c r="H1596">
        <v>1423.998</v>
      </c>
      <c r="I1596" t="s">
        <v>819</v>
      </c>
      <c r="J1596" t="s">
        <v>10</v>
      </c>
      <c r="K1596" t="s">
        <v>820</v>
      </c>
    </row>
    <row r="1597" spans="1:11" x14ac:dyDescent="0.25">
      <c r="A1597" t="s">
        <v>437</v>
      </c>
      <c r="B1597" t="s">
        <v>18</v>
      </c>
      <c r="C1597" t="s">
        <v>444</v>
      </c>
      <c r="D1597">
        <v>208</v>
      </c>
      <c r="E1597">
        <v>934.27499999999998</v>
      </c>
      <c r="F1597">
        <v>2410388</v>
      </c>
      <c r="G1597" t="s">
        <v>816</v>
      </c>
      <c r="H1597">
        <v>1584.998</v>
      </c>
      <c r="I1597" t="s">
        <v>819</v>
      </c>
      <c r="J1597" t="s">
        <v>10</v>
      </c>
      <c r="K1597" t="s">
        <v>820</v>
      </c>
    </row>
    <row r="1598" spans="1:11" x14ac:dyDescent="0.25">
      <c r="A1598" t="s">
        <v>437</v>
      </c>
      <c r="B1598" t="s">
        <v>18</v>
      </c>
      <c r="C1598" t="s">
        <v>444</v>
      </c>
      <c r="D1598">
        <v>233</v>
      </c>
      <c r="E1598">
        <v>1047.45</v>
      </c>
      <c r="F1598">
        <v>2410388</v>
      </c>
      <c r="G1598" t="s">
        <v>816</v>
      </c>
      <c r="H1598">
        <v>1776.999</v>
      </c>
      <c r="I1598" t="s">
        <v>819</v>
      </c>
      <c r="J1598" t="s">
        <v>10</v>
      </c>
      <c r="K1598" t="s">
        <v>820</v>
      </c>
    </row>
    <row r="1599" spans="1:11" x14ac:dyDescent="0.25">
      <c r="A1599" t="s">
        <v>437</v>
      </c>
      <c r="B1599" t="s">
        <v>18</v>
      </c>
      <c r="C1599" t="s">
        <v>444</v>
      </c>
      <c r="D1599">
        <v>226</v>
      </c>
      <c r="E1599">
        <v>1016.798</v>
      </c>
      <c r="F1599">
        <v>2410388</v>
      </c>
      <c r="G1599" t="s">
        <v>816</v>
      </c>
      <c r="H1599">
        <v>1724.998</v>
      </c>
      <c r="I1599" t="s">
        <v>819</v>
      </c>
      <c r="J1599" t="s">
        <v>10</v>
      </c>
      <c r="K1599" t="s">
        <v>820</v>
      </c>
    </row>
    <row r="1600" spans="1:11" x14ac:dyDescent="0.25">
      <c r="A1600" t="s">
        <v>437</v>
      </c>
      <c r="B1600" t="s">
        <v>18</v>
      </c>
      <c r="C1600" t="s">
        <v>444</v>
      </c>
      <c r="D1600">
        <v>223</v>
      </c>
      <c r="E1600">
        <v>1003.83</v>
      </c>
      <c r="F1600">
        <v>2410388</v>
      </c>
      <c r="G1600" t="s">
        <v>816</v>
      </c>
      <c r="H1600">
        <v>1702.998</v>
      </c>
      <c r="I1600" t="s">
        <v>819</v>
      </c>
      <c r="J1600" t="s">
        <v>10</v>
      </c>
      <c r="K1600" t="s">
        <v>820</v>
      </c>
    </row>
    <row r="1601" spans="1:11" x14ac:dyDescent="0.25">
      <c r="A1601" t="s">
        <v>437</v>
      </c>
      <c r="B1601" t="s">
        <v>18</v>
      </c>
      <c r="C1601" t="s">
        <v>444</v>
      </c>
      <c r="D1601">
        <v>179</v>
      </c>
      <c r="E1601">
        <v>806.95399999999995</v>
      </c>
      <c r="F1601">
        <v>2410388</v>
      </c>
      <c r="G1601" t="s">
        <v>816</v>
      </c>
      <c r="H1601">
        <v>1368.9970000000001</v>
      </c>
      <c r="I1601" t="s">
        <v>819</v>
      </c>
      <c r="J1601" t="s">
        <v>10</v>
      </c>
      <c r="K1601" t="s">
        <v>820</v>
      </c>
    </row>
    <row r="1602" spans="1:11" x14ac:dyDescent="0.25">
      <c r="A1602" t="s">
        <v>437</v>
      </c>
      <c r="B1602" t="s">
        <v>18</v>
      </c>
      <c r="C1602" t="s">
        <v>444</v>
      </c>
      <c r="D1602">
        <v>205</v>
      </c>
      <c r="E1602">
        <v>924.255</v>
      </c>
      <c r="F1602">
        <v>2410388</v>
      </c>
      <c r="G1602" t="s">
        <v>816</v>
      </c>
      <c r="H1602">
        <v>1567.999</v>
      </c>
      <c r="I1602" t="s">
        <v>819</v>
      </c>
      <c r="J1602" t="s">
        <v>10</v>
      </c>
      <c r="K1602" t="s">
        <v>820</v>
      </c>
    </row>
    <row r="1603" spans="1:11" x14ac:dyDescent="0.25">
      <c r="A1603" t="s">
        <v>437</v>
      </c>
      <c r="B1603" t="s">
        <v>18</v>
      </c>
      <c r="C1603" t="s">
        <v>444</v>
      </c>
      <c r="D1603">
        <v>180</v>
      </c>
      <c r="E1603">
        <v>811.67</v>
      </c>
      <c r="F1603">
        <v>2410388</v>
      </c>
      <c r="G1603" t="s">
        <v>816</v>
      </c>
      <c r="H1603">
        <v>1376.998</v>
      </c>
      <c r="I1603" t="s">
        <v>819</v>
      </c>
      <c r="J1603" t="s">
        <v>10</v>
      </c>
      <c r="K1603" t="s">
        <v>820</v>
      </c>
    </row>
    <row r="1604" spans="1:11" x14ac:dyDescent="0.25">
      <c r="A1604" t="s">
        <v>437</v>
      </c>
      <c r="B1604" t="s">
        <v>18</v>
      </c>
      <c r="C1604" t="s">
        <v>444</v>
      </c>
      <c r="D1604">
        <v>58</v>
      </c>
      <c r="E1604">
        <v>261.392</v>
      </c>
      <c r="F1604">
        <v>2410388</v>
      </c>
      <c r="G1604" t="s">
        <v>816</v>
      </c>
      <c r="H1604">
        <v>443.452</v>
      </c>
      <c r="I1604" t="s">
        <v>819</v>
      </c>
      <c r="J1604" t="s">
        <v>10</v>
      </c>
      <c r="K1604" t="s">
        <v>820</v>
      </c>
    </row>
    <row r="1605" spans="1:11" x14ac:dyDescent="0.25">
      <c r="A1605" t="s">
        <v>437</v>
      </c>
      <c r="B1605" t="s">
        <v>18</v>
      </c>
      <c r="C1605" t="s">
        <v>444</v>
      </c>
      <c r="D1605">
        <v>169</v>
      </c>
      <c r="E1605">
        <v>760.21100000000001</v>
      </c>
      <c r="F1605">
        <v>2410960</v>
      </c>
      <c r="G1605" t="s">
        <v>846</v>
      </c>
      <c r="H1605">
        <v>1795.998</v>
      </c>
      <c r="I1605" t="s">
        <v>847</v>
      </c>
      <c r="J1605" t="s">
        <v>10</v>
      </c>
      <c r="K1605" t="s">
        <v>848</v>
      </c>
    </row>
    <row r="1606" spans="1:11" x14ac:dyDescent="0.25">
      <c r="A1606" t="s">
        <v>437</v>
      </c>
      <c r="B1606" t="s">
        <v>18</v>
      </c>
      <c r="C1606" t="s">
        <v>444</v>
      </c>
      <c r="D1606">
        <v>167</v>
      </c>
      <c r="E1606">
        <v>751.322</v>
      </c>
      <c r="F1606">
        <v>2410960</v>
      </c>
      <c r="G1606" t="s">
        <v>846</v>
      </c>
      <c r="H1606">
        <v>1774.998</v>
      </c>
      <c r="I1606" t="s">
        <v>847</v>
      </c>
      <c r="J1606" t="s">
        <v>10</v>
      </c>
      <c r="K1606" t="s">
        <v>848</v>
      </c>
    </row>
    <row r="1607" spans="1:11" x14ac:dyDescent="0.25">
      <c r="A1607" t="s">
        <v>437</v>
      </c>
      <c r="B1607" t="s">
        <v>18</v>
      </c>
      <c r="C1607" t="s">
        <v>444</v>
      </c>
      <c r="D1607">
        <v>163</v>
      </c>
      <c r="E1607">
        <v>734.39099999999996</v>
      </c>
      <c r="F1607">
        <v>2410960</v>
      </c>
      <c r="G1607" t="s">
        <v>846</v>
      </c>
      <c r="H1607">
        <v>1734.999</v>
      </c>
      <c r="I1607" t="s">
        <v>847</v>
      </c>
      <c r="J1607" t="s">
        <v>10</v>
      </c>
      <c r="K1607" t="s">
        <v>848</v>
      </c>
    </row>
    <row r="1608" spans="1:11" x14ac:dyDescent="0.25">
      <c r="A1608" t="s">
        <v>437</v>
      </c>
      <c r="B1608" t="s">
        <v>18</v>
      </c>
      <c r="C1608" t="s">
        <v>444</v>
      </c>
      <c r="D1608">
        <v>150</v>
      </c>
      <c r="E1608">
        <v>673.86099999999999</v>
      </c>
      <c r="F1608">
        <v>2410960</v>
      </c>
      <c r="G1608" t="s">
        <v>846</v>
      </c>
      <c r="H1608">
        <v>1591.9970000000001</v>
      </c>
      <c r="I1608" t="s">
        <v>847</v>
      </c>
      <c r="J1608" t="s">
        <v>10</v>
      </c>
      <c r="K1608" t="s">
        <v>848</v>
      </c>
    </row>
    <row r="1609" spans="1:11" x14ac:dyDescent="0.25">
      <c r="A1609" t="s">
        <v>437</v>
      </c>
      <c r="B1609" t="s">
        <v>18</v>
      </c>
      <c r="C1609" t="s">
        <v>444</v>
      </c>
      <c r="D1609">
        <v>156</v>
      </c>
      <c r="E1609">
        <v>701.41</v>
      </c>
      <c r="F1609">
        <v>2410960</v>
      </c>
      <c r="G1609" t="s">
        <v>846</v>
      </c>
      <c r="H1609">
        <v>1657.0809999999999</v>
      </c>
      <c r="I1609" t="s">
        <v>847</v>
      </c>
      <c r="J1609" t="s">
        <v>10</v>
      </c>
      <c r="K1609" t="s">
        <v>848</v>
      </c>
    </row>
    <row r="1610" spans="1:11" x14ac:dyDescent="0.25">
      <c r="A1610" t="s">
        <v>636</v>
      </c>
      <c r="B1610" t="s">
        <v>151</v>
      </c>
      <c r="C1610" t="s">
        <v>397</v>
      </c>
      <c r="D1610">
        <v>2615</v>
      </c>
      <c r="E1610">
        <v>549.15</v>
      </c>
      <c r="F1610">
        <v>3690546</v>
      </c>
      <c r="G1610" t="s">
        <v>875</v>
      </c>
      <c r="H1610">
        <v>1858.1030000000001</v>
      </c>
      <c r="I1610" t="s">
        <v>901</v>
      </c>
      <c r="J1610" t="s">
        <v>10</v>
      </c>
      <c r="K1610" t="s">
        <v>877</v>
      </c>
    </row>
    <row r="1611" spans="1:11" x14ac:dyDescent="0.25">
      <c r="A1611" t="s">
        <v>636</v>
      </c>
      <c r="B1611" t="s">
        <v>151</v>
      </c>
      <c r="C1611" t="s">
        <v>397</v>
      </c>
      <c r="D1611">
        <v>2711.6039999999998</v>
      </c>
      <c r="E1611">
        <v>1979.816</v>
      </c>
      <c r="F1611">
        <v>1940881</v>
      </c>
      <c r="G1611" t="s">
        <v>841</v>
      </c>
      <c r="H1611">
        <v>4767</v>
      </c>
      <c r="I1611" t="s">
        <v>842</v>
      </c>
      <c r="J1611" t="s">
        <v>10</v>
      </c>
      <c r="K1611" t="s">
        <v>843</v>
      </c>
    </row>
    <row r="1612" spans="1:11" x14ac:dyDescent="0.25">
      <c r="A1612" t="s">
        <v>636</v>
      </c>
      <c r="B1612" t="s">
        <v>151</v>
      </c>
      <c r="C1612" t="s">
        <v>397</v>
      </c>
      <c r="D1612">
        <v>402.39600000000002</v>
      </c>
      <c r="E1612">
        <v>293.8</v>
      </c>
      <c r="F1612">
        <v>1940881</v>
      </c>
      <c r="G1612" t="s">
        <v>841</v>
      </c>
      <c r="H1612">
        <v>707.41200000000003</v>
      </c>
      <c r="I1612" t="s">
        <v>842</v>
      </c>
      <c r="J1612" t="s">
        <v>10</v>
      </c>
      <c r="K1612" t="s">
        <v>843</v>
      </c>
    </row>
    <row r="1613" spans="1:11" x14ac:dyDescent="0.25">
      <c r="A1613" t="s">
        <v>732</v>
      </c>
      <c r="B1613" t="s">
        <v>25</v>
      </c>
      <c r="C1613" t="s">
        <v>397</v>
      </c>
      <c r="D1613">
        <v>2595</v>
      </c>
      <c r="E1613">
        <v>3171.0830000000001</v>
      </c>
      <c r="F1613">
        <v>3533249</v>
      </c>
      <c r="G1613" t="s">
        <v>412</v>
      </c>
      <c r="H1613">
        <v>2488.1729999999998</v>
      </c>
      <c r="I1613" t="s">
        <v>733</v>
      </c>
      <c r="J1613" t="s">
        <v>10</v>
      </c>
      <c r="K1613" t="s">
        <v>734</v>
      </c>
    </row>
    <row r="1614" spans="1:11" x14ac:dyDescent="0.25">
      <c r="A1614" t="s">
        <v>732</v>
      </c>
      <c r="B1614" t="s">
        <v>25</v>
      </c>
      <c r="C1614" t="s">
        <v>397</v>
      </c>
      <c r="D1614">
        <v>2170</v>
      </c>
      <c r="E1614">
        <v>2799.3240000000001</v>
      </c>
      <c r="F1614">
        <v>3533248</v>
      </c>
      <c r="G1614" t="s">
        <v>412</v>
      </c>
      <c r="H1614">
        <v>2196.4740000000002</v>
      </c>
      <c r="I1614" t="s">
        <v>735</v>
      </c>
      <c r="J1614" t="s">
        <v>10</v>
      </c>
      <c r="K1614" t="s">
        <v>736</v>
      </c>
    </row>
    <row r="1615" spans="1:11" x14ac:dyDescent="0.25">
      <c r="A1615" t="s">
        <v>437</v>
      </c>
      <c r="B1615" t="s">
        <v>18</v>
      </c>
      <c r="C1615" t="s">
        <v>397</v>
      </c>
      <c r="D1615">
        <v>584.76300000000003</v>
      </c>
      <c r="E1615">
        <v>122.364</v>
      </c>
      <c r="F1615">
        <v>3617058</v>
      </c>
      <c r="G1615" t="s">
        <v>816</v>
      </c>
      <c r="H1615">
        <v>207.59100000000001</v>
      </c>
      <c r="I1615" t="s">
        <v>817</v>
      </c>
      <c r="J1615" t="s">
        <v>10</v>
      </c>
      <c r="K1615" t="s">
        <v>818</v>
      </c>
    </row>
    <row r="1616" spans="1:11" x14ac:dyDescent="0.25">
      <c r="A1616" t="s">
        <v>437</v>
      </c>
      <c r="B1616" t="s">
        <v>18</v>
      </c>
      <c r="C1616" t="s">
        <v>397</v>
      </c>
      <c r="D1616">
        <v>1415.2370000000001</v>
      </c>
      <c r="E1616">
        <v>296.14400000000001</v>
      </c>
      <c r="F1616">
        <v>3617058</v>
      </c>
      <c r="G1616" t="s">
        <v>816</v>
      </c>
      <c r="H1616">
        <v>502.40899999999999</v>
      </c>
      <c r="I1616" t="s">
        <v>817</v>
      </c>
      <c r="J1616" t="s">
        <v>10</v>
      </c>
      <c r="K1616" t="s">
        <v>818</v>
      </c>
    </row>
    <row r="1617" spans="1:11" x14ac:dyDescent="0.25">
      <c r="A1617" t="s">
        <v>573</v>
      </c>
      <c r="B1617" t="s">
        <v>52</v>
      </c>
      <c r="C1617" t="s">
        <v>397</v>
      </c>
      <c r="D1617">
        <v>2000</v>
      </c>
      <c r="E1617">
        <v>1072.6600000000001</v>
      </c>
      <c r="F1617">
        <v>1940822</v>
      </c>
      <c r="G1617" t="s">
        <v>428</v>
      </c>
      <c r="H1617">
        <v>1680</v>
      </c>
      <c r="I1617" t="s">
        <v>574</v>
      </c>
      <c r="J1617" t="s">
        <v>10</v>
      </c>
      <c r="K1617" t="s">
        <v>575</v>
      </c>
    </row>
    <row r="1618" spans="1:11" x14ac:dyDescent="0.25">
      <c r="A1618" t="s">
        <v>573</v>
      </c>
      <c r="B1618" t="s">
        <v>52</v>
      </c>
      <c r="C1618" t="s">
        <v>397</v>
      </c>
      <c r="D1618">
        <v>2000</v>
      </c>
      <c r="E1618">
        <v>416.00299999999999</v>
      </c>
      <c r="F1618">
        <v>3722021</v>
      </c>
      <c r="G1618" t="s">
        <v>875</v>
      </c>
      <c r="H1618">
        <v>1408.0440000000001</v>
      </c>
      <c r="I1618" t="s">
        <v>884</v>
      </c>
      <c r="J1618" t="s">
        <v>10</v>
      </c>
      <c r="K1618" t="s">
        <v>885</v>
      </c>
    </row>
    <row r="1619" spans="1:11" x14ac:dyDescent="0.25">
      <c r="A1619" t="s">
        <v>573</v>
      </c>
      <c r="B1619" t="s">
        <v>52</v>
      </c>
      <c r="C1619" t="s">
        <v>397</v>
      </c>
      <c r="D1619">
        <v>2000</v>
      </c>
      <c r="E1619">
        <v>1025.412</v>
      </c>
      <c r="F1619">
        <v>1940821</v>
      </c>
      <c r="G1619" t="s">
        <v>428</v>
      </c>
      <c r="H1619">
        <v>1606</v>
      </c>
      <c r="I1619" t="s">
        <v>571</v>
      </c>
      <c r="J1619" t="s">
        <v>10</v>
      </c>
      <c r="K1619" t="s">
        <v>572</v>
      </c>
    </row>
    <row r="1620" spans="1:11" x14ac:dyDescent="0.25">
      <c r="A1620" t="s">
        <v>573</v>
      </c>
      <c r="B1620" t="s">
        <v>52</v>
      </c>
      <c r="C1620" t="s">
        <v>397</v>
      </c>
      <c r="D1620">
        <v>1240</v>
      </c>
      <c r="E1620">
        <v>635.755</v>
      </c>
      <c r="F1620">
        <v>1940821</v>
      </c>
      <c r="G1620" t="s">
        <v>428</v>
      </c>
      <c r="H1620">
        <v>995.72</v>
      </c>
      <c r="I1620" t="s">
        <v>571</v>
      </c>
      <c r="J1620" t="s">
        <v>10</v>
      </c>
      <c r="K1620" t="s">
        <v>572</v>
      </c>
    </row>
    <row r="1621" spans="1:11" x14ac:dyDescent="0.25">
      <c r="A1621" t="s">
        <v>573</v>
      </c>
      <c r="B1621" t="s">
        <v>52</v>
      </c>
      <c r="C1621" t="s">
        <v>397</v>
      </c>
      <c r="D1621">
        <v>1867</v>
      </c>
      <c r="E1621">
        <v>957.22199999999998</v>
      </c>
      <c r="F1621">
        <v>1940821</v>
      </c>
      <c r="G1621" t="s">
        <v>428</v>
      </c>
      <c r="H1621">
        <v>1499.201</v>
      </c>
      <c r="I1621" t="s">
        <v>571</v>
      </c>
      <c r="J1621" t="s">
        <v>10</v>
      </c>
      <c r="K1621" t="s">
        <v>572</v>
      </c>
    </row>
    <row r="1622" spans="1:11" x14ac:dyDescent="0.25">
      <c r="A1622" t="s">
        <v>573</v>
      </c>
      <c r="B1622" t="s">
        <v>52</v>
      </c>
      <c r="C1622" t="s">
        <v>397</v>
      </c>
      <c r="D1622">
        <v>1097.6189999999999</v>
      </c>
      <c r="E1622">
        <v>588.68600000000004</v>
      </c>
      <c r="F1622">
        <v>1940822</v>
      </c>
      <c r="G1622" t="s">
        <v>428</v>
      </c>
      <c r="H1622">
        <v>922</v>
      </c>
      <c r="I1622" t="s">
        <v>574</v>
      </c>
      <c r="J1622" t="s">
        <v>10</v>
      </c>
      <c r="K1622" t="s">
        <v>575</v>
      </c>
    </row>
    <row r="1623" spans="1:11" x14ac:dyDescent="0.25">
      <c r="A1623" t="s">
        <v>573</v>
      </c>
      <c r="B1623" t="s">
        <v>52</v>
      </c>
      <c r="C1623" t="s">
        <v>397</v>
      </c>
      <c r="D1623">
        <v>2352.3809999999999</v>
      </c>
      <c r="E1623">
        <v>1261.652</v>
      </c>
      <c r="F1623">
        <v>1940822</v>
      </c>
      <c r="G1623" t="s">
        <v>428</v>
      </c>
      <c r="H1623">
        <v>1976</v>
      </c>
      <c r="I1623" t="s">
        <v>574</v>
      </c>
      <c r="J1623" t="s">
        <v>10</v>
      </c>
      <c r="K1623" t="s">
        <v>575</v>
      </c>
    </row>
    <row r="1624" spans="1:11" x14ac:dyDescent="0.25">
      <c r="A1624" t="s">
        <v>401</v>
      </c>
      <c r="B1624" t="s">
        <v>17</v>
      </c>
      <c r="C1624" t="s">
        <v>397</v>
      </c>
      <c r="D1624">
        <v>4660</v>
      </c>
      <c r="E1624">
        <v>2595.5610000000001</v>
      </c>
      <c r="F1624">
        <v>4079374</v>
      </c>
      <c r="G1624" t="s">
        <v>917</v>
      </c>
      <c r="H1624">
        <v>11158.835999999999</v>
      </c>
      <c r="I1624" t="s">
        <v>918</v>
      </c>
      <c r="J1624" t="s">
        <v>10</v>
      </c>
      <c r="K1624" t="s">
        <v>919</v>
      </c>
    </row>
    <row r="1625" spans="1:11" x14ac:dyDescent="0.25">
      <c r="A1625" t="s">
        <v>723</v>
      </c>
      <c r="B1625" t="s">
        <v>27</v>
      </c>
      <c r="C1625" t="s">
        <v>397</v>
      </c>
      <c r="D1625">
        <v>2500</v>
      </c>
      <c r="E1625">
        <v>2849.384</v>
      </c>
      <c r="F1625">
        <v>2396464</v>
      </c>
      <c r="G1625" t="s">
        <v>920</v>
      </c>
      <c r="H1625">
        <v>10755</v>
      </c>
      <c r="I1625" t="s">
        <v>921</v>
      </c>
      <c r="J1625" t="s">
        <v>10</v>
      </c>
      <c r="K1625" t="s">
        <v>922</v>
      </c>
    </row>
    <row r="1626" spans="1:11" x14ac:dyDescent="0.25">
      <c r="A1626" t="s">
        <v>723</v>
      </c>
      <c r="B1626" t="s">
        <v>27</v>
      </c>
      <c r="C1626" t="s">
        <v>397</v>
      </c>
      <c r="D1626">
        <v>250</v>
      </c>
      <c r="E1626">
        <v>128.00200000000001</v>
      </c>
      <c r="F1626">
        <v>3801263</v>
      </c>
      <c r="G1626" t="s">
        <v>914</v>
      </c>
      <c r="H1626">
        <v>674.77499999999998</v>
      </c>
      <c r="I1626" t="s">
        <v>923</v>
      </c>
      <c r="J1626" t="s">
        <v>10</v>
      </c>
      <c r="K1626" t="s">
        <v>924</v>
      </c>
    </row>
    <row r="1627" spans="1:11" x14ac:dyDescent="0.25">
      <c r="A1627" t="s">
        <v>437</v>
      </c>
      <c r="B1627" t="s">
        <v>18</v>
      </c>
      <c r="C1627" t="s">
        <v>397</v>
      </c>
      <c r="D1627">
        <v>3000</v>
      </c>
      <c r="E1627">
        <v>627.76300000000003</v>
      </c>
      <c r="F1627">
        <v>3617058</v>
      </c>
      <c r="G1627" t="s">
        <v>816</v>
      </c>
      <c r="H1627">
        <v>1065</v>
      </c>
      <c r="I1627" t="s">
        <v>817</v>
      </c>
      <c r="J1627" t="s">
        <v>10</v>
      </c>
      <c r="K1627" t="s">
        <v>818</v>
      </c>
    </row>
    <row r="1628" spans="1:11" x14ac:dyDescent="0.25">
      <c r="A1628" t="s">
        <v>636</v>
      </c>
      <c r="B1628" t="s">
        <v>151</v>
      </c>
      <c r="C1628" t="s">
        <v>397</v>
      </c>
      <c r="D1628">
        <v>1480</v>
      </c>
      <c r="E1628">
        <v>310.8</v>
      </c>
      <c r="F1628">
        <v>3690546</v>
      </c>
      <c r="G1628" t="s">
        <v>875</v>
      </c>
      <c r="H1628">
        <v>1051.6220000000001</v>
      </c>
      <c r="I1628" t="s">
        <v>901</v>
      </c>
      <c r="J1628" t="s">
        <v>10</v>
      </c>
      <c r="K1628" t="s">
        <v>877</v>
      </c>
    </row>
    <row r="1629" spans="1:11" x14ac:dyDescent="0.25">
      <c r="A1629" t="s">
        <v>636</v>
      </c>
      <c r="B1629" t="s">
        <v>151</v>
      </c>
      <c r="C1629" t="s">
        <v>397</v>
      </c>
      <c r="D1629">
        <v>2000</v>
      </c>
      <c r="E1629">
        <v>2280.0219999999999</v>
      </c>
      <c r="F1629">
        <v>3711330</v>
      </c>
      <c r="G1629" t="s">
        <v>920</v>
      </c>
      <c r="H1629">
        <v>8468</v>
      </c>
      <c r="I1629" t="s">
        <v>925</v>
      </c>
      <c r="J1629" t="s">
        <v>10</v>
      </c>
      <c r="K1629" t="s">
        <v>922</v>
      </c>
    </row>
    <row r="1630" spans="1:11" x14ac:dyDescent="0.25">
      <c r="A1630" t="s">
        <v>636</v>
      </c>
      <c r="B1630" t="s">
        <v>151</v>
      </c>
      <c r="C1630" t="s">
        <v>397</v>
      </c>
      <c r="D1630">
        <v>725</v>
      </c>
      <c r="E1630">
        <v>586.52499999999998</v>
      </c>
      <c r="F1630">
        <v>1940466</v>
      </c>
      <c r="G1630" t="s">
        <v>633</v>
      </c>
      <c r="H1630">
        <v>571.17100000000005</v>
      </c>
      <c r="I1630" t="s">
        <v>764</v>
      </c>
      <c r="J1630" t="s">
        <v>10</v>
      </c>
      <c r="K1630" t="s">
        <v>765</v>
      </c>
    </row>
    <row r="1631" spans="1:11" x14ac:dyDescent="0.25">
      <c r="A1631" t="s">
        <v>636</v>
      </c>
      <c r="B1631" t="s">
        <v>151</v>
      </c>
      <c r="C1631" t="s">
        <v>397</v>
      </c>
      <c r="D1631">
        <v>4000</v>
      </c>
      <c r="E1631">
        <v>3247.2489999999998</v>
      </c>
      <c r="F1631">
        <v>1940743</v>
      </c>
      <c r="G1631" t="s">
        <v>860</v>
      </c>
      <c r="H1631">
        <v>5784</v>
      </c>
      <c r="I1631" t="s">
        <v>867</v>
      </c>
      <c r="J1631" t="s">
        <v>10</v>
      </c>
      <c r="K1631" t="s">
        <v>868</v>
      </c>
    </row>
    <row r="1632" spans="1:11" x14ac:dyDescent="0.25">
      <c r="A1632" t="s">
        <v>419</v>
      </c>
      <c r="B1632" t="s">
        <v>46</v>
      </c>
      <c r="C1632" t="s">
        <v>397</v>
      </c>
      <c r="D1632">
        <v>600</v>
      </c>
      <c r="E1632">
        <v>463.20600000000002</v>
      </c>
      <c r="F1632">
        <v>3784472</v>
      </c>
      <c r="G1632" t="s">
        <v>926</v>
      </c>
      <c r="H1632">
        <v>1501.02</v>
      </c>
      <c r="I1632" t="s">
        <v>927</v>
      </c>
      <c r="J1632" t="s">
        <v>10</v>
      </c>
      <c r="K1632" t="s">
        <v>928</v>
      </c>
    </row>
    <row r="1633" spans="1:11" x14ac:dyDescent="0.25">
      <c r="A1633" t="s">
        <v>396</v>
      </c>
      <c r="B1633" t="s">
        <v>61</v>
      </c>
      <c r="C1633" t="s">
        <v>397</v>
      </c>
      <c r="D1633">
        <v>7000</v>
      </c>
      <c r="E1633">
        <v>2988.9720000000002</v>
      </c>
      <c r="F1633">
        <v>3629057</v>
      </c>
      <c r="G1633" t="s">
        <v>748</v>
      </c>
      <c r="H1633">
        <v>3243.3330000000001</v>
      </c>
      <c r="I1633" t="s">
        <v>753</v>
      </c>
      <c r="J1633" t="s">
        <v>10</v>
      </c>
      <c r="K1633" t="s">
        <v>754</v>
      </c>
    </row>
    <row r="1634" spans="1:11" x14ac:dyDescent="0.25">
      <c r="A1634" t="s">
        <v>723</v>
      </c>
      <c r="B1634" t="s">
        <v>27</v>
      </c>
      <c r="C1634" t="s">
        <v>397</v>
      </c>
      <c r="D1634">
        <v>630</v>
      </c>
      <c r="E1634">
        <v>718.04499999999996</v>
      </c>
      <c r="F1634">
        <v>2396464</v>
      </c>
      <c r="G1634" t="s">
        <v>920</v>
      </c>
      <c r="H1634">
        <v>2710.26</v>
      </c>
      <c r="I1634" t="s">
        <v>921</v>
      </c>
      <c r="J1634" t="s">
        <v>10</v>
      </c>
      <c r="K1634" t="s">
        <v>922</v>
      </c>
    </row>
    <row r="1635" spans="1:11" x14ac:dyDescent="0.25">
      <c r="A1635" t="s">
        <v>723</v>
      </c>
      <c r="B1635" t="s">
        <v>27</v>
      </c>
      <c r="C1635" t="s">
        <v>397</v>
      </c>
      <c r="D1635">
        <v>500</v>
      </c>
      <c r="E1635">
        <v>256.00400000000002</v>
      </c>
      <c r="F1635">
        <v>3801263</v>
      </c>
      <c r="G1635" t="s">
        <v>914</v>
      </c>
      <c r="H1635">
        <v>1349.55</v>
      </c>
      <c r="I1635" t="s">
        <v>923</v>
      </c>
      <c r="J1635" t="s">
        <v>10</v>
      </c>
      <c r="K1635" t="s">
        <v>924</v>
      </c>
    </row>
    <row r="1636" spans="1:11" x14ac:dyDescent="0.25">
      <c r="A1636" t="s">
        <v>757</v>
      </c>
      <c r="B1636" t="s">
        <v>53</v>
      </c>
      <c r="C1636" t="s">
        <v>397</v>
      </c>
      <c r="D1636">
        <v>1441.2809999999999</v>
      </c>
      <c r="E1636">
        <v>994.59699999999998</v>
      </c>
      <c r="F1636">
        <v>3714733</v>
      </c>
      <c r="G1636" t="s">
        <v>412</v>
      </c>
      <c r="H1636">
        <v>810</v>
      </c>
      <c r="I1636" t="s">
        <v>758</v>
      </c>
      <c r="J1636" t="s">
        <v>10</v>
      </c>
      <c r="K1636" t="s">
        <v>759</v>
      </c>
    </row>
    <row r="1637" spans="1:11" x14ac:dyDescent="0.25">
      <c r="A1637" t="s">
        <v>757</v>
      </c>
      <c r="B1637" t="s">
        <v>53</v>
      </c>
      <c r="C1637" t="s">
        <v>397</v>
      </c>
      <c r="D1637">
        <v>3558.7190000000001</v>
      </c>
      <c r="E1637">
        <v>2455.7959999999998</v>
      </c>
      <c r="F1637">
        <v>3714733</v>
      </c>
      <c r="G1637" t="s">
        <v>412</v>
      </c>
      <c r="H1637">
        <v>2000</v>
      </c>
      <c r="I1637" t="s">
        <v>758</v>
      </c>
      <c r="J1637" t="s">
        <v>10</v>
      </c>
      <c r="K1637" t="s">
        <v>759</v>
      </c>
    </row>
    <row r="1638" spans="1:11" x14ac:dyDescent="0.25">
      <c r="A1638" t="s">
        <v>396</v>
      </c>
      <c r="B1638" t="s">
        <v>61</v>
      </c>
      <c r="C1638" t="s">
        <v>397</v>
      </c>
      <c r="D1638">
        <v>35617</v>
      </c>
      <c r="E1638">
        <v>10008.312</v>
      </c>
      <c r="F1638">
        <v>3508156</v>
      </c>
      <c r="G1638" t="s">
        <v>748</v>
      </c>
      <c r="H1638">
        <v>10860.019</v>
      </c>
      <c r="I1638" t="s">
        <v>751</v>
      </c>
      <c r="J1638" t="s">
        <v>10</v>
      </c>
      <c r="K1638" t="s">
        <v>752</v>
      </c>
    </row>
    <row r="1639" spans="1:11" x14ac:dyDescent="0.25">
      <c r="A1639" t="s">
        <v>636</v>
      </c>
      <c r="B1639" t="s">
        <v>151</v>
      </c>
      <c r="C1639" t="s">
        <v>397</v>
      </c>
      <c r="D1639">
        <v>500</v>
      </c>
      <c r="E1639">
        <v>245</v>
      </c>
      <c r="F1639">
        <v>3781610</v>
      </c>
      <c r="G1639" t="s">
        <v>914</v>
      </c>
      <c r="H1639">
        <v>1253.05</v>
      </c>
      <c r="I1639" t="s">
        <v>915</v>
      </c>
      <c r="J1639" t="s">
        <v>10</v>
      </c>
      <c r="K1639" t="s">
        <v>916</v>
      </c>
    </row>
    <row r="1640" spans="1:11" x14ac:dyDescent="0.25">
      <c r="A1640" t="s">
        <v>636</v>
      </c>
      <c r="B1640" t="s">
        <v>151</v>
      </c>
      <c r="C1640" t="s">
        <v>397</v>
      </c>
      <c r="D1640">
        <v>540.33900000000006</v>
      </c>
      <c r="E1640">
        <v>438.654</v>
      </c>
      <c r="F1640">
        <v>1940743</v>
      </c>
      <c r="G1640" t="s">
        <v>860</v>
      </c>
      <c r="H1640">
        <v>781.33</v>
      </c>
      <c r="I1640" t="s">
        <v>867</v>
      </c>
      <c r="J1640" t="s">
        <v>10</v>
      </c>
      <c r="K1640" t="s">
        <v>868</v>
      </c>
    </row>
    <row r="1641" spans="1:11" x14ac:dyDescent="0.25">
      <c r="A1641" t="s">
        <v>636</v>
      </c>
      <c r="B1641" t="s">
        <v>151</v>
      </c>
      <c r="C1641" t="s">
        <v>397</v>
      </c>
      <c r="D1641">
        <v>417.661</v>
      </c>
      <c r="E1641">
        <v>339.06200000000001</v>
      </c>
      <c r="F1641">
        <v>1940743</v>
      </c>
      <c r="G1641" t="s">
        <v>860</v>
      </c>
      <c r="H1641">
        <v>603.93799999999999</v>
      </c>
      <c r="I1641" t="s">
        <v>867</v>
      </c>
      <c r="J1641" t="s">
        <v>10</v>
      </c>
      <c r="K1641" t="s">
        <v>868</v>
      </c>
    </row>
    <row r="1642" spans="1:11" x14ac:dyDescent="0.25">
      <c r="A1642" t="s">
        <v>419</v>
      </c>
      <c r="B1642" t="s">
        <v>46</v>
      </c>
      <c r="C1642" t="s">
        <v>397</v>
      </c>
      <c r="D1642">
        <v>1030.9280000000001</v>
      </c>
      <c r="E1642">
        <v>261.85599999999999</v>
      </c>
      <c r="F1642">
        <v>1938358</v>
      </c>
      <c r="G1642" t="s">
        <v>891</v>
      </c>
      <c r="H1642">
        <v>1000</v>
      </c>
      <c r="I1642" t="s">
        <v>892</v>
      </c>
      <c r="J1642" t="s">
        <v>10</v>
      </c>
      <c r="K1642" t="s">
        <v>893</v>
      </c>
    </row>
    <row r="1643" spans="1:11" x14ac:dyDescent="0.25">
      <c r="A1643" t="s">
        <v>419</v>
      </c>
      <c r="B1643" t="s">
        <v>46</v>
      </c>
      <c r="C1643" t="s">
        <v>397</v>
      </c>
      <c r="D1643">
        <v>824.072</v>
      </c>
      <c r="E1643">
        <v>209.31399999999999</v>
      </c>
      <c r="F1643">
        <v>1938358</v>
      </c>
      <c r="G1643" t="s">
        <v>891</v>
      </c>
      <c r="H1643">
        <v>799.35</v>
      </c>
      <c r="I1643" t="s">
        <v>892</v>
      </c>
      <c r="J1643" t="s">
        <v>10</v>
      </c>
      <c r="K1643" t="s">
        <v>893</v>
      </c>
    </row>
    <row r="1644" spans="1:11" x14ac:dyDescent="0.25">
      <c r="A1644" t="s">
        <v>419</v>
      </c>
      <c r="B1644" t="s">
        <v>46</v>
      </c>
      <c r="C1644" t="s">
        <v>397</v>
      </c>
      <c r="D1644">
        <v>799</v>
      </c>
      <c r="E1644">
        <v>616.83600000000001</v>
      </c>
      <c r="F1644">
        <v>3784472</v>
      </c>
      <c r="G1644" t="s">
        <v>926</v>
      </c>
      <c r="H1644">
        <v>1998.8579999999999</v>
      </c>
      <c r="I1644" t="s">
        <v>927</v>
      </c>
      <c r="J1644" t="s">
        <v>10</v>
      </c>
      <c r="K1644" t="s">
        <v>928</v>
      </c>
    </row>
    <row r="1645" spans="1:11" x14ac:dyDescent="0.25">
      <c r="A1645" t="s">
        <v>419</v>
      </c>
      <c r="B1645" t="s">
        <v>46</v>
      </c>
      <c r="C1645" t="s">
        <v>397</v>
      </c>
      <c r="D1645">
        <v>215</v>
      </c>
      <c r="E1645">
        <v>165.982</v>
      </c>
      <c r="F1645">
        <v>3784472</v>
      </c>
      <c r="G1645" t="s">
        <v>926</v>
      </c>
      <c r="H1645">
        <v>537.86599999999999</v>
      </c>
      <c r="I1645" t="s">
        <v>927</v>
      </c>
      <c r="J1645" t="s">
        <v>10</v>
      </c>
      <c r="K1645" t="s">
        <v>928</v>
      </c>
    </row>
    <row r="1646" spans="1:11" x14ac:dyDescent="0.25">
      <c r="A1646" t="s">
        <v>419</v>
      </c>
      <c r="B1646" t="s">
        <v>46</v>
      </c>
      <c r="C1646" t="s">
        <v>397</v>
      </c>
      <c r="D1646">
        <v>185</v>
      </c>
      <c r="E1646">
        <v>142.822</v>
      </c>
      <c r="F1646">
        <v>3784472</v>
      </c>
      <c r="G1646" t="s">
        <v>926</v>
      </c>
      <c r="H1646">
        <v>462.815</v>
      </c>
      <c r="I1646" t="s">
        <v>927</v>
      </c>
      <c r="J1646" t="s">
        <v>10</v>
      </c>
      <c r="K1646" t="s">
        <v>928</v>
      </c>
    </row>
    <row r="1647" spans="1:11" x14ac:dyDescent="0.25">
      <c r="A1647" t="s">
        <v>589</v>
      </c>
      <c r="B1647" t="s">
        <v>45</v>
      </c>
      <c r="C1647" t="s">
        <v>397</v>
      </c>
      <c r="D1647">
        <v>2077</v>
      </c>
      <c r="E1647">
        <v>2440.471</v>
      </c>
      <c r="F1647">
        <v>3781609</v>
      </c>
      <c r="G1647" t="s">
        <v>412</v>
      </c>
      <c r="H1647">
        <v>1914.902</v>
      </c>
      <c r="I1647" t="s">
        <v>730</v>
      </c>
      <c r="J1647" t="s">
        <v>10</v>
      </c>
      <c r="K1647" t="s">
        <v>731</v>
      </c>
    </row>
    <row r="1648" spans="1:11" x14ac:dyDescent="0.25">
      <c r="A1648" t="s">
        <v>396</v>
      </c>
      <c r="B1648" t="s">
        <v>61</v>
      </c>
      <c r="C1648" t="s">
        <v>397</v>
      </c>
      <c r="D1648">
        <v>1000</v>
      </c>
      <c r="E1648">
        <v>426.99599999999998</v>
      </c>
      <c r="F1648">
        <v>3629057</v>
      </c>
      <c r="G1648" t="s">
        <v>748</v>
      </c>
      <c r="H1648">
        <v>463.33300000000003</v>
      </c>
      <c r="I1648" t="s">
        <v>753</v>
      </c>
      <c r="J1648" t="s">
        <v>10</v>
      </c>
      <c r="K1648" t="s">
        <v>754</v>
      </c>
    </row>
    <row r="1649" spans="1:11" x14ac:dyDescent="0.25">
      <c r="A1649" t="s">
        <v>732</v>
      </c>
      <c r="B1649" t="s">
        <v>25</v>
      </c>
      <c r="C1649" t="s">
        <v>397</v>
      </c>
      <c r="D1649">
        <v>323.67700000000002</v>
      </c>
      <c r="E1649">
        <v>395.53199999999998</v>
      </c>
      <c r="F1649">
        <v>3533249</v>
      </c>
      <c r="G1649" t="s">
        <v>412</v>
      </c>
      <c r="H1649">
        <v>310.35199999999998</v>
      </c>
      <c r="I1649" t="s">
        <v>733</v>
      </c>
      <c r="J1649" t="s">
        <v>10</v>
      </c>
      <c r="K1649" t="s">
        <v>734</v>
      </c>
    </row>
    <row r="1650" spans="1:11" x14ac:dyDescent="0.25">
      <c r="A1650" t="s">
        <v>732</v>
      </c>
      <c r="B1650" t="s">
        <v>25</v>
      </c>
      <c r="C1650" t="s">
        <v>397</v>
      </c>
      <c r="D1650">
        <v>922.32299999999998</v>
      </c>
      <c r="E1650">
        <v>1127.076</v>
      </c>
      <c r="F1650">
        <v>3533249</v>
      </c>
      <c r="G1650" t="s">
        <v>412</v>
      </c>
      <c r="H1650">
        <v>884.35400000000004</v>
      </c>
      <c r="I1650" t="s">
        <v>733</v>
      </c>
      <c r="J1650" t="s">
        <v>10</v>
      </c>
      <c r="K1650" t="s">
        <v>734</v>
      </c>
    </row>
    <row r="1651" spans="1:11" x14ac:dyDescent="0.25">
      <c r="A1651" t="s">
        <v>732</v>
      </c>
      <c r="B1651" t="s">
        <v>25</v>
      </c>
      <c r="C1651" t="s">
        <v>397</v>
      </c>
      <c r="D1651">
        <v>1223</v>
      </c>
      <c r="E1651">
        <v>1577.684</v>
      </c>
      <c r="F1651">
        <v>3533248</v>
      </c>
      <c r="G1651" t="s">
        <v>412</v>
      </c>
      <c r="H1651">
        <v>1237.921</v>
      </c>
      <c r="I1651" t="s">
        <v>735</v>
      </c>
      <c r="J1651" t="s">
        <v>10</v>
      </c>
      <c r="K1651" t="s">
        <v>736</v>
      </c>
    </row>
    <row r="1652" spans="1:11" x14ac:dyDescent="0.25">
      <c r="A1652" t="s">
        <v>437</v>
      </c>
      <c r="B1652" t="s">
        <v>18</v>
      </c>
      <c r="C1652" t="s">
        <v>397</v>
      </c>
      <c r="D1652">
        <v>170.679</v>
      </c>
      <c r="E1652">
        <v>35.715000000000003</v>
      </c>
      <c r="F1652">
        <v>3617058</v>
      </c>
      <c r="G1652" t="s">
        <v>816</v>
      </c>
      <c r="H1652">
        <v>60.591000000000001</v>
      </c>
      <c r="I1652" t="s">
        <v>817</v>
      </c>
      <c r="J1652" t="s">
        <v>10</v>
      </c>
      <c r="K1652" t="s">
        <v>818</v>
      </c>
    </row>
    <row r="1653" spans="1:11" x14ac:dyDescent="0.25">
      <c r="A1653" t="s">
        <v>437</v>
      </c>
      <c r="B1653" t="s">
        <v>18</v>
      </c>
      <c r="C1653" t="s">
        <v>397</v>
      </c>
      <c r="D1653">
        <v>4017.3209999999999</v>
      </c>
      <c r="E1653">
        <v>840.64200000000005</v>
      </c>
      <c r="F1653">
        <v>3617058</v>
      </c>
      <c r="G1653" t="s">
        <v>816</v>
      </c>
      <c r="H1653">
        <v>1426.1489999999999</v>
      </c>
      <c r="I1653" t="s">
        <v>817</v>
      </c>
      <c r="J1653" t="s">
        <v>10</v>
      </c>
      <c r="K1653" t="s">
        <v>818</v>
      </c>
    </row>
    <row r="1654" spans="1:11" x14ac:dyDescent="0.25">
      <c r="A1654" t="s">
        <v>556</v>
      </c>
      <c r="B1654" t="s">
        <v>151</v>
      </c>
      <c r="C1654" t="s">
        <v>397</v>
      </c>
      <c r="D1654">
        <v>630.03</v>
      </c>
      <c r="E1654">
        <v>859.99599999999998</v>
      </c>
      <c r="F1654">
        <v>3781680</v>
      </c>
      <c r="G1654" t="s">
        <v>904</v>
      </c>
      <c r="H1654">
        <v>2563.9070000000002</v>
      </c>
      <c r="I1654" t="s">
        <v>905</v>
      </c>
      <c r="J1654" t="s">
        <v>10</v>
      </c>
      <c r="K1654" t="s">
        <v>906</v>
      </c>
    </row>
    <row r="1655" spans="1:11" x14ac:dyDescent="0.25">
      <c r="A1655" t="s">
        <v>556</v>
      </c>
      <c r="B1655" t="s">
        <v>151</v>
      </c>
      <c r="C1655" t="s">
        <v>397</v>
      </c>
      <c r="D1655">
        <v>1120.97</v>
      </c>
      <c r="E1655">
        <v>1530.134</v>
      </c>
      <c r="F1655">
        <v>3781680</v>
      </c>
      <c r="G1655" t="s">
        <v>904</v>
      </c>
      <c r="H1655">
        <v>4561.7870000000003</v>
      </c>
      <c r="I1655" t="s">
        <v>905</v>
      </c>
      <c r="J1655" t="s">
        <v>10</v>
      </c>
      <c r="K1655" t="s">
        <v>906</v>
      </c>
    </row>
    <row r="1656" spans="1:11" x14ac:dyDescent="0.25">
      <c r="A1656" t="s">
        <v>556</v>
      </c>
      <c r="B1656" t="s">
        <v>151</v>
      </c>
      <c r="C1656" t="s">
        <v>397</v>
      </c>
      <c r="D1656">
        <v>5000</v>
      </c>
      <c r="E1656">
        <v>744.85900000000004</v>
      </c>
      <c r="F1656">
        <v>1938195</v>
      </c>
      <c r="G1656" t="s">
        <v>557</v>
      </c>
      <c r="H1656">
        <v>355</v>
      </c>
      <c r="I1656" t="s">
        <v>558</v>
      </c>
      <c r="J1656" t="s">
        <v>10</v>
      </c>
      <c r="K1656" t="s">
        <v>559</v>
      </c>
    </row>
    <row r="1657" spans="1:11" x14ac:dyDescent="0.25">
      <c r="A1657" t="s">
        <v>757</v>
      </c>
      <c r="B1657" t="s">
        <v>53</v>
      </c>
      <c r="C1657" t="s">
        <v>397</v>
      </c>
      <c r="D1657">
        <v>2064</v>
      </c>
      <c r="E1657">
        <v>847.06</v>
      </c>
      <c r="F1657">
        <v>3508742</v>
      </c>
      <c r="G1657" t="s">
        <v>860</v>
      </c>
      <c r="H1657">
        <v>1508.7840000000001</v>
      </c>
      <c r="I1657" t="s">
        <v>861</v>
      </c>
      <c r="J1657" t="s">
        <v>10</v>
      </c>
      <c r="K1657" t="s">
        <v>862</v>
      </c>
    </row>
    <row r="1658" spans="1:11" x14ac:dyDescent="0.25">
      <c r="A1658" t="s">
        <v>757</v>
      </c>
      <c r="B1658" t="s">
        <v>53</v>
      </c>
      <c r="C1658" t="s">
        <v>397</v>
      </c>
      <c r="D1658">
        <v>4898</v>
      </c>
      <c r="E1658">
        <v>3835.1019999999999</v>
      </c>
      <c r="F1658">
        <v>3775636</v>
      </c>
      <c r="G1658" t="s">
        <v>810</v>
      </c>
      <c r="H1658">
        <v>5416.6980000000003</v>
      </c>
      <c r="I1658" t="s">
        <v>811</v>
      </c>
      <c r="J1658" t="s">
        <v>10</v>
      </c>
      <c r="K1658" t="s">
        <v>812</v>
      </c>
    </row>
    <row r="1659" spans="1:11" x14ac:dyDescent="0.25">
      <c r="A1659" t="s">
        <v>757</v>
      </c>
      <c r="B1659" t="s">
        <v>53</v>
      </c>
      <c r="C1659" t="s">
        <v>397</v>
      </c>
      <c r="D1659">
        <v>2375.297</v>
      </c>
      <c r="E1659">
        <v>1441.8130000000001</v>
      </c>
      <c r="F1659">
        <v>3775637</v>
      </c>
      <c r="G1659" t="s">
        <v>474</v>
      </c>
      <c r="H1659">
        <v>2800</v>
      </c>
      <c r="I1659" t="s">
        <v>929</v>
      </c>
      <c r="J1659" t="s">
        <v>10</v>
      </c>
      <c r="K1659" t="s">
        <v>930</v>
      </c>
    </row>
    <row r="1660" spans="1:11" x14ac:dyDescent="0.25">
      <c r="A1660" t="s">
        <v>757</v>
      </c>
      <c r="B1660" t="s">
        <v>53</v>
      </c>
      <c r="C1660" t="s">
        <v>397</v>
      </c>
      <c r="D1660">
        <v>1224.703</v>
      </c>
      <c r="E1660">
        <v>743.399</v>
      </c>
      <c r="F1660">
        <v>3775637</v>
      </c>
      <c r="G1660" t="s">
        <v>474</v>
      </c>
      <c r="H1660">
        <v>1443.68</v>
      </c>
      <c r="I1660" t="s">
        <v>929</v>
      </c>
      <c r="J1660" t="s">
        <v>10</v>
      </c>
      <c r="K1660" t="s">
        <v>930</v>
      </c>
    </row>
    <row r="1661" spans="1:11" x14ac:dyDescent="0.25">
      <c r="A1661" t="s">
        <v>757</v>
      </c>
      <c r="B1661" t="s">
        <v>53</v>
      </c>
      <c r="C1661" t="s">
        <v>397</v>
      </c>
      <c r="D1661">
        <v>5741.6469999999999</v>
      </c>
      <c r="E1661">
        <v>1234.4449999999999</v>
      </c>
      <c r="F1661">
        <v>3901714</v>
      </c>
      <c r="G1661" t="s">
        <v>891</v>
      </c>
      <c r="H1661">
        <v>4712.616</v>
      </c>
      <c r="I1661" t="s">
        <v>902</v>
      </c>
      <c r="J1661" t="s">
        <v>10</v>
      </c>
      <c r="K1661" t="s">
        <v>903</v>
      </c>
    </row>
    <row r="1662" spans="1:11" x14ac:dyDescent="0.25">
      <c r="A1662" t="s">
        <v>757</v>
      </c>
      <c r="B1662" t="s">
        <v>53</v>
      </c>
      <c r="C1662" t="s">
        <v>397</v>
      </c>
      <c r="D1662">
        <v>4258.3530000000001</v>
      </c>
      <c r="E1662">
        <v>915.53899999999999</v>
      </c>
      <c r="F1662">
        <v>3901714</v>
      </c>
      <c r="G1662" t="s">
        <v>891</v>
      </c>
      <c r="H1662">
        <v>3495.1619999999998</v>
      </c>
      <c r="I1662" t="s">
        <v>902</v>
      </c>
      <c r="J1662" t="s">
        <v>10</v>
      </c>
      <c r="K1662" t="s">
        <v>903</v>
      </c>
    </row>
    <row r="1663" spans="1:11" x14ac:dyDescent="0.25">
      <c r="A1663" t="s">
        <v>723</v>
      </c>
      <c r="B1663" t="s">
        <v>27</v>
      </c>
      <c r="C1663" t="s">
        <v>397</v>
      </c>
      <c r="D1663">
        <v>441.98</v>
      </c>
      <c r="E1663">
        <v>226.297</v>
      </c>
      <c r="F1663">
        <v>3801263</v>
      </c>
      <c r="G1663" t="s">
        <v>914</v>
      </c>
      <c r="H1663">
        <v>1192.9480000000001</v>
      </c>
      <c r="I1663" t="s">
        <v>923</v>
      </c>
      <c r="J1663" t="s">
        <v>10</v>
      </c>
      <c r="K1663" t="s">
        <v>924</v>
      </c>
    </row>
    <row r="1664" spans="1:11" x14ac:dyDescent="0.25">
      <c r="A1664" t="s">
        <v>723</v>
      </c>
      <c r="B1664" t="s">
        <v>27</v>
      </c>
      <c r="C1664" t="s">
        <v>397</v>
      </c>
      <c r="D1664">
        <v>58.02</v>
      </c>
      <c r="E1664">
        <v>29.707000000000001</v>
      </c>
      <c r="F1664">
        <v>3801263</v>
      </c>
      <c r="G1664" t="s">
        <v>914</v>
      </c>
      <c r="H1664">
        <v>156.602</v>
      </c>
      <c r="I1664" t="s">
        <v>923</v>
      </c>
      <c r="J1664" t="s">
        <v>10</v>
      </c>
      <c r="K1664" t="s">
        <v>924</v>
      </c>
    </row>
    <row r="1665" spans="1:11" x14ac:dyDescent="0.25">
      <c r="A1665" t="s">
        <v>573</v>
      </c>
      <c r="B1665" t="s">
        <v>52</v>
      </c>
      <c r="C1665" t="s">
        <v>397</v>
      </c>
      <c r="D1665">
        <v>3650</v>
      </c>
      <c r="E1665">
        <v>2481.7579999999998</v>
      </c>
      <c r="F1665">
        <v>3819143</v>
      </c>
      <c r="G1665" t="s">
        <v>832</v>
      </c>
      <c r="H1665">
        <v>2244.75</v>
      </c>
      <c r="I1665" t="s">
        <v>839</v>
      </c>
      <c r="J1665" t="s">
        <v>10</v>
      </c>
      <c r="K1665" t="s">
        <v>840</v>
      </c>
    </row>
    <row r="1666" spans="1:11" x14ac:dyDescent="0.25">
      <c r="A1666" t="s">
        <v>573</v>
      </c>
      <c r="B1666" t="s">
        <v>52</v>
      </c>
      <c r="C1666" t="s">
        <v>397</v>
      </c>
      <c r="D1666">
        <v>2900</v>
      </c>
      <c r="E1666">
        <v>2354.2559999999999</v>
      </c>
      <c r="F1666">
        <v>1940743</v>
      </c>
      <c r="G1666" t="s">
        <v>860</v>
      </c>
      <c r="H1666">
        <v>4193.3999999999996</v>
      </c>
      <c r="I1666" t="s">
        <v>867</v>
      </c>
      <c r="J1666" t="s">
        <v>10</v>
      </c>
      <c r="K1666" t="s">
        <v>868</v>
      </c>
    </row>
    <row r="1667" spans="1:11" x14ac:dyDescent="0.25">
      <c r="A1667" t="s">
        <v>396</v>
      </c>
      <c r="B1667" t="s">
        <v>61</v>
      </c>
      <c r="C1667" t="s">
        <v>397</v>
      </c>
      <c r="D1667">
        <v>3000</v>
      </c>
      <c r="E1667">
        <v>883.83799999999997</v>
      </c>
      <c r="F1667">
        <v>1940312</v>
      </c>
      <c r="G1667" t="s">
        <v>407</v>
      </c>
      <c r="H1667">
        <v>840</v>
      </c>
      <c r="I1667" t="s">
        <v>410</v>
      </c>
      <c r="J1667" t="s">
        <v>10</v>
      </c>
      <c r="K1667" t="s">
        <v>411</v>
      </c>
    </row>
    <row r="1668" spans="1:11" x14ac:dyDescent="0.25">
      <c r="A1668" t="s">
        <v>396</v>
      </c>
      <c r="B1668" t="s">
        <v>61</v>
      </c>
      <c r="C1668" t="s">
        <v>397</v>
      </c>
      <c r="D1668">
        <v>3000</v>
      </c>
      <c r="E1668">
        <v>1709.9829999999999</v>
      </c>
      <c r="F1668">
        <v>3507077</v>
      </c>
      <c r="G1668" t="s">
        <v>407</v>
      </c>
      <c r="H1668">
        <v>1563.2670000000001</v>
      </c>
      <c r="I1668" t="s">
        <v>717</v>
      </c>
      <c r="J1668" t="s">
        <v>10</v>
      </c>
      <c r="K1668" t="s">
        <v>716</v>
      </c>
    </row>
    <row r="1669" spans="1:11" x14ac:dyDescent="0.25">
      <c r="A1669" t="s">
        <v>556</v>
      </c>
      <c r="B1669" t="s">
        <v>151</v>
      </c>
      <c r="C1669" t="s">
        <v>397</v>
      </c>
      <c r="D1669">
        <v>2400</v>
      </c>
      <c r="E1669">
        <v>3276.0210000000002</v>
      </c>
      <c r="F1669">
        <v>3781680</v>
      </c>
      <c r="G1669" t="s">
        <v>904</v>
      </c>
      <c r="H1669">
        <v>9766.7999999999993</v>
      </c>
      <c r="I1669" t="s">
        <v>905</v>
      </c>
      <c r="J1669" t="s">
        <v>10</v>
      </c>
      <c r="K1669" t="s">
        <v>906</v>
      </c>
    </row>
    <row r="1670" spans="1:11" x14ac:dyDescent="0.25">
      <c r="A1670" t="s">
        <v>556</v>
      </c>
      <c r="B1670" t="s">
        <v>151</v>
      </c>
      <c r="C1670" t="s">
        <v>397</v>
      </c>
      <c r="D1670">
        <v>2000</v>
      </c>
      <c r="E1670">
        <v>823.99800000000005</v>
      </c>
      <c r="F1670">
        <v>3863819</v>
      </c>
      <c r="G1670" t="s">
        <v>737</v>
      </c>
      <c r="H1670">
        <v>929.22199999999998</v>
      </c>
      <c r="I1670" t="s">
        <v>802</v>
      </c>
      <c r="J1670" t="s">
        <v>10</v>
      </c>
      <c r="K1670" t="s">
        <v>803</v>
      </c>
    </row>
    <row r="1671" spans="1:11" x14ac:dyDescent="0.25">
      <c r="A1671" t="s">
        <v>585</v>
      </c>
      <c r="B1671" t="s">
        <v>48</v>
      </c>
      <c r="C1671" t="s">
        <v>397</v>
      </c>
      <c r="D1671">
        <v>3218</v>
      </c>
      <c r="E1671">
        <v>1316.124</v>
      </c>
      <c r="F1671">
        <v>4020857</v>
      </c>
      <c r="G1671" t="s">
        <v>909</v>
      </c>
      <c r="H1671">
        <v>3493.7829999999999</v>
      </c>
      <c r="I1671" t="s">
        <v>910</v>
      </c>
      <c r="J1671" t="s">
        <v>10</v>
      </c>
      <c r="K1671" t="s">
        <v>911</v>
      </c>
    </row>
    <row r="1672" spans="1:11" x14ac:dyDescent="0.25">
      <c r="A1672" t="s">
        <v>597</v>
      </c>
      <c r="B1672" t="s">
        <v>78</v>
      </c>
      <c r="C1672" t="s">
        <v>397</v>
      </c>
      <c r="D1672">
        <v>4835</v>
      </c>
      <c r="E1672">
        <v>2755.9229999999998</v>
      </c>
      <c r="F1672">
        <v>3781672</v>
      </c>
      <c r="G1672" t="s">
        <v>407</v>
      </c>
      <c r="H1672">
        <v>2519.4650000000001</v>
      </c>
      <c r="I1672" t="s">
        <v>718</v>
      </c>
      <c r="J1672" t="s">
        <v>10</v>
      </c>
      <c r="K1672" t="s">
        <v>716</v>
      </c>
    </row>
    <row r="1673" spans="1:11" x14ac:dyDescent="0.25">
      <c r="A1673" t="s">
        <v>597</v>
      </c>
      <c r="B1673" t="s">
        <v>78</v>
      </c>
      <c r="C1673" t="s">
        <v>397</v>
      </c>
      <c r="D1673">
        <v>5784.692</v>
      </c>
      <c r="E1673">
        <v>3384.1419999999998</v>
      </c>
      <c r="F1673">
        <v>1940327</v>
      </c>
      <c r="G1673" t="s">
        <v>407</v>
      </c>
      <c r="H1673">
        <v>3216.2890000000002</v>
      </c>
      <c r="I1673" t="s">
        <v>719</v>
      </c>
      <c r="J1673" t="s">
        <v>10</v>
      </c>
      <c r="K1673" t="s">
        <v>720</v>
      </c>
    </row>
    <row r="1674" spans="1:11" x14ac:dyDescent="0.25">
      <c r="A1674" t="s">
        <v>597</v>
      </c>
      <c r="B1674" t="s">
        <v>78</v>
      </c>
      <c r="C1674" t="s">
        <v>397</v>
      </c>
      <c r="D1674">
        <v>1215.308</v>
      </c>
      <c r="E1674">
        <v>710.976</v>
      </c>
      <c r="F1674">
        <v>1940327</v>
      </c>
      <c r="G1674" t="s">
        <v>407</v>
      </c>
      <c r="H1674">
        <v>675.71100000000001</v>
      </c>
      <c r="I1674" t="s">
        <v>719</v>
      </c>
      <c r="J1674" t="s">
        <v>10</v>
      </c>
      <c r="K1674" t="s">
        <v>720</v>
      </c>
    </row>
    <row r="1675" spans="1:11" x14ac:dyDescent="0.25">
      <c r="A1675" t="s">
        <v>835</v>
      </c>
      <c r="B1675" t="s">
        <v>44</v>
      </c>
      <c r="C1675" t="s">
        <v>397</v>
      </c>
      <c r="D1675">
        <v>1723</v>
      </c>
      <c r="E1675">
        <v>1030.5619999999999</v>
      </c>
      <c r="F1675">
        <v>4082199</v>
      </c>
      <c r="G1675" t="s">
        <v>836</v>
      </c>
      <c r="H1675">
        <v>932.14300000000003</v>
      </c>
      <c r="I1675" t="s">
        <v>837</v>
      </c>
      <c r="J1675" t="s">
        <v>10</v>
      </c>
      <c r="K1675" t="s">
        <v>838</v>
      </c>
    </row>
    <row r="1676" spans="1:11" x14ac:dyDescent="0.25">
      <c r="A1676" t="s">
        <v>636</v>
      </c>
      <c r="B1676" t="s">
        <v>151</v>
      </c>
      <c r="C1676" t="s">
        <v>397</v>
      </c>
      <c r="D1676">
        <v>100</v>
      </c>
      <c r="E1676">
        <v>23.6</v>
      </c>
      <c r="F1676">
        <v>3784473</v>
      </c>
      <c r="G1676" t="s">
        <v>872</v>
      </c>
      <c r="H1676">
        <v>135.28</v>
      </c>
      <c r="I1676" t="s">
        <v>873</v>
      </c>
      <c r="J1676" t="s">
        <v>10</v>
      </c>
      <c r="K1676" t="s">
        <v>874</v>
      </c>
    </row>
    <row r="1677" spans="1:11" x14ac:dyDescent="0.25">
      <c r="A1677" t="s">
        <v>757</v>
      </c>
      <c r="B1677" t="s">
        <v>53</v>
      </c>
      <c r="C1677" t="s">
        <v>397</v>
      </c>
      <c r="D1677">
        <v>220.005</v>
      </c>
      <c r="E1677">
        <v>172.262</v>
      </c>
      <c r="F1677">
        <v>3775636</v>
      </c>
      <c r="G1677" t="s">
        <v>810</v>
      </c>
      <c r="H1677">
        <v>243.304</v>
      </c>
      <c r="I1677" t="s">
        <v>811</v>
      </c>
      <c r="J1677" t="s">
        <v>10</v>
      </c>
      <c r="K1677" t="s">
        <v>812</v>
      </c>
    </row>
    <row r="1678" spans="1:11" x14ac:dyDescent="0.25">
      <c r="A1678" t="s">
        <v>757</v>
      </c>
      <c r="B1678" t="s">
        <v>53</v>
      </c>
      <c r="C1678" t="s">
        <v>397</v>
      </c>
      <c r="D1678">
        <v>6279.9949999999999</v>
      </c>
      <c r="E1678">
        <v>4917.1949999999997</v>
      </c>
      <c r="F1678">
        <v>3775636</v>
      </c>
      <c r="G1678" t="s">
        <v>810</v>
      </c>
      <c r="H1678">
        <v>6945.0460000000003</v>
      </c>
      <c r="I1678" t="s">
        <v>811</v>
      </c>
      <c r="J1678" t="s">
        <v>10</v>
      </c>
      <c r="K1678" t="s">
        <v>812</v>
      </c>
    </row>
    <row r="1679" spans="1:11" x14ac:dyDescent="0.25">
      <c r="A1679" t="s">
        <v>757</v>
      </c>
      <c r="B1679" t="s">
        <v>53</v>
      </c>
      <c r="C1679" t="s">
        <v>397</v>
      </c>
      <c r="D1679">
        <v>500</v>
      </c>
      <c r="E1679">
        <v>107.499</v>
      </c>
      <c r="F1679">
        <v>3901714</v>
      </c>
      <c r="G1679" t="s">
        <v>891</v>
      </c>
      <c r="H1679">
        <v>410.38900000000001</v>
      </c>
      <c r="I1679" t="s">
        <v>902</v>
      </c>
      <c r="J1679" t="s">
        <v>10</v>
      </c>
      <c r="K1679" t="s">
        <v>903</v>
      </c>
    </row>
    <row r="1680" spans="1:11" x14ac:dyDescent="0.25">
      <c r="A1680" t="s">
        <v>757</v>
      </c>
      <c r="B1680" t="s">
        <v>53</v>
      </c>
      <c r="C1680" t="s">
        <v>397</v>
      </c>
      <c r="D1680">
        <v>4000</v>
      </c>
      <c r="E1680">
        <v>1671.9970000000001</v>
      </c>
      <c r="F1680">
        <v>3926270</v>
      </c>
      <c r="G1680" t="s">
        <v>737</v>
      </c>
      <c r="H1680">
        <v>1885.511</v>
      </c>
      <c r="I1680" t="s">
        <v>804</v>
      </c>
      <c r="J1680" t="s">
        <v>10</v>
      </c>
      <c r="K1680" t="s">
        <v>805</v>
      </c>
    </row>
    <row r="1681" spans="1:11" x14ac:dyDescent="0.25">
      <c r="A1681" t="s">
        <v>517</v>
      </c>
      <c r="B1681" t="s">
        <v>19</v>
      </c>
      <c r="C1681" t="s">
        <v>397</v>
      </c>
      <c r="D1681">
        <v>800</v>
      </c>
      <c r="E1681">
        <v>570.39099999999996</v>
      </c>
      <c r="F1681">
        <v>3783938</v>
      </c>
      <c r="G1681" t="s">
        <v>909</v>
      </c>
      <c r="H1681">
        <v>1514.16</v>
      </c>
      <c r="I1681" t="s">
        <v>912</v>
      </c>
      <c r="J1681" t="s">
        <v>10</v>
      </c>
      <c r="K1681" t="s">
        <v>913</v>
      </c>
    </row>
    <row r="1682" spans="1:11" x14ac:dyDescent="0.25">
      <c r="A1682" t="s">
        <v>517</v>
      </c>
      <c r="B1682" t="s">
        <v>19</v>
      </c>
      <c r="C1682" t="s">
        <v>397</v>
      </c>
      <c r="D1682">
        <v>292.57799999999997</v>
      </c>
      <c r="E1682">
        <v>56.468000000000004</v>
      </c>
      <c r="F1682">
        <v>3509016</v>
      </c>
      <c r="G1682" t="s">
        <v>799</v>
      </c>
      <c r="H1682">
        <v>100</v>
      </c>
      <c r="I1682" t="s">
        <v>800</v>
      </c>
      <c r="J1682" t="s">
        <v>10</v>
      </c>
      <c r="K1682" t="s">
        <v>801</v>
      </c>
    </row>
    <row r="1683" spans="1:11" x14ac:dyDescent="0.25">
      <c r="A1683" t="s">
        <v>517</v>
      </c>
      <c r="B1683" t="s">
        <v>19</v>
      </c>
      <c r="C1683" t="s">
        <v>397</v>
      </c>
      <c r="D1683">
        <v>707.42200000000003</v>
      </c>
      <c r="E1683">
        <v>136.535</v>
      </c>
      <c r="F1683">
        <v>3509016</v>
      </c>
      <c r="G1683" t="s">
        <v>799</v>
      </c>
      <c r="H1683">
        <v>241.78899999999999</v>
      </c>
      <c r="I1683" t="s">
        <v>800</v>
      </c>
      <c r="J1683" t="s">
        <v>10</v>
      </c>
      <c r="K1683" t="s">
        <v>801</v>
      </c>
    </row>
    <row r="1684" spans="1:11" x14ac:dyDescent="0.25">
      <c r="A1684" t="s">
        <v>757</v>
      </c>
      <c r="B1684" t="s">
        <v>53</v>
      </c>
      <c r="C1684" t="s">
        <v>397</v>
      </c>
      <c r="D1684">
        <v>772</v>
      </c>
      <c r="E1684">
        <v>604.471</v>
      </c>
      <c r="F1684">
        <v>3775636</v>
      </c>
      <c r="G1684" t="s">
        <v>810</v>
      </c>
      <c r="H1684">
        <v>853.755</v>
      </c>
      <c r="I1684" t="s">
        <v>811</v>
      </c>
      <c r="J1684" t="s">
        <v>10</v>
      </c>
      <c r="K1684" t="s">
        <v>812</v>
      </c>
    </row>
    <row r="1685" spans="1:11" x14ac:dyDescent="0.25">
      <c r="A1685" t="s">
        <v>757</v>
      </c>
      <c r="B1685" t="s">
        <v>53</v>
      </c>
      <c r="C1685" t="s">
        <v>397</v>
      </c>
      <c r="D1685">
        <v>1500</v>
      </c>
      <c r="E1685">
        <v>841.79300000000001</v>
      </c>
      <c r="F1685">
        <v>3801265</v>
      </c>
      <c r="G1685" t="s">
        <v>428</v>
      </c>
      <c r="H1685">
        <v>1318.5</v>
      </c>
      <c r="I1685" t="s">
        <v>889</v>
      </c>
      <c r="J1685" t="s">
        <v>10</v>
      </c>
      <c r="K1685" t="s">
        <v>890</v>
      </c>
    </row>
    <row r="1686" spans="1:11" x14ac:dyDescent="0.25">
      <c r="A1686" t="s">
        <v>757</v>
      </c>
      <c r="B1686" t="s">
        <v>53</v>
      </c>
      <c r="C1686" t="s">
        <v>397</v>
      </c>
      <c r="D1686">
        <v>685.02</v>
      </c>
      <c r="E1686">
        <v>147.27799999999999</v>
      </c>
      <c r="F1686">
        <v>3901714</v>
      </c>
      <c r="G1686" t="s">
        <v>891</v>
      </c>
      <c r="H1686">
        <v>562.24900000000002</v>
      </c>
      <c r="I1686" t="s">
        <v>902</v>
      </c>
      <c r="J1686" t="s">
        <v>10</v>
      </c>
      <c r="K1686" t="s">
        <v>903</v>
      </c>
    </row>
    <row r="1687" spans="1:11" x14ac:dyDescent="0.25">
      <c r="A1687" t="s">
        <v>757</v>
      </c>
      <c r="B1687" t="s">
        <v>53</v>
      </c>
      <c r="C1687" t="s">
        <v>397</v>
      </c>
      <c r="D1687">
        <v>814.98</v>
      </c>
      <c r="E1687">
        <v>175.21899999999999</v>
      </c>
      <c r="F1687">
        <v>3901714</v>
      </c>
      <c r="G1687" t="s">
        <v>891</v>
      </c>
      <c r="H1687">
        <v>668.91700000000003</v>
      </c>
      <c r="I1687" t="s">
        <v>902</v>
      </c>
      <c r="J1687" t="s">
        <v>10</v>
      </c>
      <c r="K1687" t="s">
        <v>903</v>
      </c>
    </row>
    <row r="1688" spans="1:11" x14ac:dyDescent="0.25">
      <c r="A1688" t="s">
        <v>757</v>
      </c>
      <c r="B1688" t="s">
        <v>53</v>
      </c>
      <c r="C1688" t="s">
        <v>397</v>
      </c>
      <c r="D1688">
        <v>3499</v>
      </c>
      <c r="E1688">
        <v>1462.579</v>
      </c>
      <c r="F1688">
        <v>3926270</v>
      </c>
      <c r="G1688" t="s">
        <v>737</v>
      </c>
      <c r="H1688">
        <v>1649.3510000000001</v>
      </c>
      <c r="I1688" t="s">
        <v>804</v>
      </c>
      <c r="J1688" t="s">
        <v>10</v>
      </c>
      <c r="K1688" t="s">
        <v>805</v>
      </c>
    </row>
    <row r="1689" spans="1:11" x14ac:dyDescent="0.25">
      <c r="A1689" t="s">
        <v>636</v>
      </c>
      <c r="B1689" t="s">
        <v>151</v>
      </c>
      <c r="C1689" t="s">
        <v>397</v>
      </c>
      <c r="D1689">
        <v>500</v>
      </c>
      <c r="E1689">
        <v>117.998</v>
      </c>
      <c r="F1689">
        <v>3784473</v>
      </c>
      <c r="G1689" t="s">
        <v>872</v>
      </c>
      <c r="H1689">
        <v>676.4</v>
      </c>
      <c r="I1689" t="s">
        <v>873</v>
      </c>
      <c r="J1689" t="s">
        <v>10</v>
      </c>
      <c r="K1689" t="s">
        <v>874</v>
      </c>
    </row>
    <row r="1690" spans="1:11" x14ac:dyDescent="0.25">
      <c r="A1690" t="s">
        <v>585</v>
      </c>
      <c r="B1690" t="s">
        <v>48</v>
      </c>
      <c r="C1690" t="s">
        <v>397</v>
      </c>
      <c r="D1690">
        <v>1819.7270000000001</v>
      </c>
      <c r="E1690">
        <v>1519.452</v>
      </c>
      <c r="F1690">
        <v>3712521</v>
      </c>
      <c r="G1690" t="s">
        <v>586</v>
      </c>
      <c r="H1690">
        <v>2570</v>
      </c>
      <c r="I1690" t="s">
        <v>631</v>
      </c>
      <c r="J1690" t="s">
        <v>10</v>
      </c>
      <c r="K1690" t="s">
        <v>632</v>
      </c>
    </row>
    <row r="1691" spans="1:11" x14ac:dyDescent="0.25">
      <c r="A1691" t="s">
        <v>585</v>
      </c>
      <c r="B1691" t="s">
        <v>48</v>
      </c>
      <c r="C1691" t="s">
        <v>397</v>
      </c>
      <c r="D1691">
        <v>3180.2730000000001</v>
      </c>
      <c r="E1691">
        <v>2655.4920000000002</v>
      </c>
      <c r="F1691">
        <v>3712521</v>
      </c>
      <c r="G1691" t="s">
        <v>586</v>
      </c>
      <c r="H1691">
        <v>4491.5</v>
      </c>
      <c r="I1691" t="s">
        <v>631</v>
      </c>
      <c r="J1691" t="s">
        <v>10</v>
      </c>
      <c r="K1691" t="s">
        <v>632</v>
      </c>
    </row>
    <row r="1692" spans="1:11" x14ac:dyDescent="0.25">
      <c r="A1692" t="s">
        <v>636</v>
      </c>
      <c r="B1692" t="s">
        <v>151</v>
      </c>
      <c r="C1692" t="s">
        <v>397</v>
      </c>
      <c r="D1692">
        <v>400</v>
      </c>
      <c r="E1692">
        <v>94.397999999999996</v>
      </c>
      <c r="F1692">
        <v>3784473</v>
      </c>
      <c r="G1692" t="s">
        <v>872</v>
      </c>
      <c r="H1692">
        <v>541.12</v>
      </c>
      <c r="I1692" t="s">
        <v>873</v>
      </c>
      <c r="J1692" t="s">
        <v>10</v>
      </c>
      <c r="K1692" t="s">
        <v>874</v>
      </c>
    </row>
    <row r="1693" spans="1:11" x14ac:dyDescent="0.25">
      <c r="A1693" t="s">
        <v>585</v>
      </c>
      <c r="B1693" t="s">
        <v>48</v>
      </c>
      <c r="C1693" t="s">
        <v>397</v>
      </c>
      <c r="D1693">
        <v>1329</v>
      </c>
      <c r="E1693">
        <v>1109.7</v>
      </c>
      <c r="F1693">
        <v>3712521</v>
      </c>
      <c r="G1693" t="s">
        <v>586</v>
      </c>
      <c r="H1693">
        <v>1876.9469999999999</v>
      </c>
      <c r="I1693" t="s">
        <v>631</v>
      </c>
      <c r="J1693" t="s">
        <v>10</v>
      </c>
      <c r="K1693" t="s">
        <v>632</v>
      </c>
    </row>
    <row r="1694" spans="1:11" x14ac:dyDescent="0.25">
      <c r="A1694" t="s">
        <v>396</v>
      </c>
      <c r="B1694" t="s">
        <v>61</v>
      </c>
      <c r="C1694" t="s">
        <v>397</v>
      </c>
      <c r="D1694">
        <v>5000</v>
      </c>
      <c r="E1694">
        <v>2849.9720000000002</v>
      </c>
      <c r="F1694">
        <v>3507077</v>
      </c>
      <c r="G1694" t="s">
        <v>407</v>
      </c>
      <c r="H1694">
        <v>2605.444</v>
      </c>
      <c r="I1694" t="s">
        <v>717</v>
      </c>
      <c r="J1694" t="s">
        <v>10</v>
      </c>
      <c r="K1694" t="s">
        <v>716</v>
      </c>
    </row>
    <row r="1695" spans="1:11" x14ac:dyDescent="0.25">
      <c r="A1695" t="s">
        <v>636</v>
      </c>
      <c r="B1695" t="s">
        <v>151</v>
      </c>
      <c r="C1695" t="s">
        <v>397</v>
      </c>
      <c r="D1695">
        <v>1500</v>
      </c>
      <c r="E1695">
        <v>1710.0160000000001</v>
      </c>
      <c r="F1695">
        <v>3711330</v>
      </c>
      <c r="G1695" t="s">
        <v>920</v>
      </c>
      <c r="H1695">
        <v>6351</v>
      </c>
      <c r="I1695" t="s">
        <v>925</v>
      </c>
      <c r="J1695" t="s">
        <v>10</v>
      </c>
      <c r="K1695" t="s">
        <v>922</v>
      </c>
    </row>
    <row r="1696" spans="1:11" x14ac:dyDescent="0.25">
      <c r="A1696" t="s">
        <v>636</v>
      </c>
      <c r="B1696" t="s">
        <v>151</v>
      </c>
      <c r="C1696" t="s">
        <v>397</v>
      </c>
      <c r="D1696">
        <v>516.13199999999995</v>
      </c>
      <c r="E1696">
        <v>419.00200000000001</v>
      </c>
      <c r="F1696">
        <v>1940743</v>
      </c>
      <c r="G1696" t="s">
        <v>860</v>
      </c>
      <c r="H1696">
        <v>746.327</v>
      </c>
      <c r="I1696" t="s">
        <v>867</v>
      </c>
      <c r="J1696" t="s">
        <v>10</v>
      </c>
      <c r="K1696" t="s">
        <v>868</v>
      </c>
    </row>
    <row r="1697" spans="1:11" x14ac:dyDescent="0.25">
      <c r="A1697" t="s">
        <v>636</v>
      </c>
      <c r="B1697" t="s">
        <v>151</v>
      </c>
      <c r="C1697" t="s">
        <v>397</v>
      </c>
      <c r="D1697">
        <v>1513.4469999999999</v>
      </c>
      <c r="E1697">
        <v>1228.635</v>
      </c>
      <c r="F1697">
        <v>1940743</v>
      </c>
      <c r="G1697" t="s">
        <v>860</v>
      </c>
      <c r="H1697">
        <v>2188.444</v>
      </c>
      <c r="I1697" t="s">
        <v>867</v>
      </c>
      <c r="J1697" t="s">
        <v>10</v>
      </c>
      <c r="K1697" t="s">
        <v>868</v>
      </c>
    </row>
    <row r="1698" spans="1:11" x14ac:dyDescent="0.25">
      <c r="A1698" t="s">
        <v>636</v>
      </c>
      <c r="B1698" t="s">
        <v>151</v>
      </c>
      <c r="C1698" t="s">
        <v>397</v>
      </c>
      <c r="D1698">
        <v>3970.4209999999998</v>
      </c>
      <c r="E1698">
        <v>3223.2359999999999</v>
      </c>
      <c r="F1698">
        <v>1940743</v>
      </c>
      <c r="G1698" t="s">
        <v>860</v>
      </c>
      <c r="H1698">
        <v>5741.2290000000003</v>
      </c>
      <c r="I1698" t="s">
        <v>867</v>
      </c>
      <c r="J1698" t="s">
        <v>10</v>
      </c>
      <c r="K1698" t="s">
        <v>868</v>
      </c>
    </row>
    <row r="1699" spans="1:11" x14ac:dyDescent="0.25">
      <c r="A1699" t="s">
        <v>636</v>
      </c>
      <c r="B1699" t="s">
        <v>151</v>
      </c>
      <c r="C1699" t="s">
        <v>397</v>
      </c>
      <c r="D1699">
        <v>10000</v>
      </c>
      <c r="E1699">
        <v>3935.1849999999999</v>
      </c>
      <c r="F1699">
        <v>1940318</v>
      </c>
      <c r="G1699" t="s">
        <v>407</v>
      </c>
      <c r="H1699">
        <v>3740</v>
      </c>
      <c r="I1699" t="s">
        <v>710</v>
      </c>
      <c r="J1699" t="s">
        <v>10</v>
      </c>
      <c r="K1699" t="s">
        <v>711</v>
      </c>
    </row>
    <row r="1700" spans="1:11" x14ac:dyDescent="0.25">
      <c r="A1700" t="s">
        <v>723</v>
      </c>
      <c r="B1700" t="s">
        <v>27</v>
      </c>
      <c r="C1700" t="s">
        <v>397</v>
      </c>
      <c r="D1700">
        <v>175.67099999999999</v>
      </c>
      <c r="E1700">
        <v>200.22200000000001</v>
      </c>
      <c r="F1700">
        <v>2396464</v>
      </c>
      <c r="G1700" t="s">
        <v>920</v>
      </c>
      <c r="H1700">
        <v>755.73699999999997</v>
      </c>
      <c r="I1700" t="s">
        <v>921</v>
      </c>
      <c r="J1700" t="s">
        <v>10</v>
      </c>
      <c r="K1700" t="s">
        <v>922</v>
      </c>
    </row>
    <row r="1701" spans="1:11" x14ac:dyDescent="0.25">
      <c r="A1701" t="s">
        <v>723</v>
      </c>
      <c r="B1701" t="s">
        <v>27</v>
      </c>
      <c r="C1701" t="s">
        <v>397</v>
      </c>
      <c r="D1701">
        <v>1824.329</v>
      </c>
      <c r="E1701">
        <v>2079.2860000000001</v>
      </c>
      <c r="F1701">
        <v>2396464</v>
      </c>
      <c r="G1701" t="s">
        <v>920</v>
      </c>
      <c r="H1701">
        <v>7848.2629999999999</v>
      </c>
      <c r="I1701" t="s">
        <v>921</v>
      </c>
      <c r="J1701" t="s">
        <v>10</v>
      </c>
      <c r="K1701" t="s">
        <v>922</v>
      </c>
    </row>
    <row r="1702" spans="1:11" x14ac:dyDescent="0.25">
      <c r="A1702" t="s">
        <v>723</v>
      </c>
      <c r="B1702" t="s">
        <v>27</v>
      </c>
      <c r="C1702" t="s">
        <v>397</v>
      </c>
      <c r="D1702">
        <v>259.34500000000003</v>
      </c>
      <c r="E1702">
        <v>132.78700000000001</v>
      </c>
      <c r="F1702">
        <v>3801263</v>
      </c>
      <c r="G1702" t="s">
        <v>914</v>
      </c>
      <c r="H1702">
        <v>699.99800000000005</v>
      </c>
      <c r="I1702" t="s">
        <v>923</v>
      </c>
      <c r="J1702" t="s">
        <v>10</v>
      </c>
      <c r="K1702" t="s">
        <v>924</v>
      </c>
    </row>
    <row r="1703" spans="1:11" x14ac:dyDescent="0.25">
      <c r="A1703" t="s">
        <v>723</v>
      </c>
      <c r="B1703" t="s">
        <v>27</v>
      </c>
      <c r="C1703" t="s">
        <v>397</v>
      </c>
      <c r="D1703">
        <v>340.65499999999997</v>
      </c>
      <c r="E1703">
        <v>174.41800000000001</v>
      </c>
      <c r="F1703">
        <v>3801263</v>
      </c>
      <c r="G1703" t="s">
        <v>914</v>
      </c>
      <c r="H1703">
        <v>919.46199999999999</v>
      </c>
      <c r="I1703" t="s">
        <v>923</v>
      </c>
      <c r="J1703" t="s">
        <v>10</v>
      </c>
      <c r="K1703" t="s">
        <v>924</v>
      </c>
    </row>
    <row r="1704" spans="1:11" x14ac:dyDescent="0.25">
      <c r="A1704" t="s">
        <v>854</v>
      </c>
      <c r="B1704" t="s">
        <v>18</v>
      </c>
      <c r="C1704" t="s">
        <v>397</v>
      </c>
      <c r="D1704">
        <v>1043</v>
      </c>
      <c r="E1704">
        <v>1565.557</v>
      </c>
      <c r="F1704">
        <v>3911993</v>
      </c>
      <c r="G1704" t="s">
        <v>849</v>
      </c>
      <c r="H1704">
        <v>2780.1170000000002</v>
      </c>
      <c r="I1704" t="s">
        <v>855</v>
      </c>
      <c r="J1704" t="s">
        <v>10</v>
      </c>
      <c r="K1704" t="s">
        <v>856</v>
      </c>
    </row>
    <row r="1705" spans="1:11" x14ac:dyDescent="0.25">
      <c r="A1705" t="s">
        <v>636</v>
      </c>
      <c r="B1705" t="s">
        <v>151</v>
      </c>
      <c r="C1705" t="s">
        <v>397</v>
      </c>
      <c r="D1705">
        <v>1800</v>
      </c>
      <c r="E1705">
        <v>1314.229</v>
      </c>
      <c r="F1705">
        <v>1940881</v>
      </c>
      <c r="G1705" t="s">
        <v>841</v>
      </c>
      <c r="H1705">
        <v>3164.4</v>
      </c>
      <c r="I1705" t="s">
        <v>842</v>
      </c>
      <c r="J1705" t="s">
        <v>10</v>
      </c>
      <c r="K1705" t="s">
        <v>843</v>
      </c>
    </row>
    <row r="1706" spans="1:11" x14ac:dyDescent="0.25">
      <c r="A1706" t="s">
        <v>422</v>
      </c>
      <c r="B1706" t="s">
        <v>30</v>
      </c>
      <c r="C1706" t="s">
        <v>397</v>
      </c>
      <c r="D1706">
        <v>610</v>
      </c>
      <c r="E1706">
        <v>1574.296</v>
      </c>
      <c r="F1706">
        <v>3605861</v>
      </c>
      <c r="G1706" t="s">
        <v>468</v>
      </c>
      <c r="H1706">
        <v>1504.87</v>
      </c>
      <c r="I1706" t="s">
        <v>792</v>
      </c>
      <c r="J1706" t="s">
        <v>10</v>
      </c>
      <c r="K1706" t="s">
        <v>793</v>
      </c>
    </row>
    <row r="1707" spans="1:11" x14ac:dyDescent="0.25">
      <c r="A1707" t="s">
        <v>422</v>
      </c>
      <c r="B1707" t="s">
        <v>30</v>
      </c>
      <c r="C1707" t="s">
        <v>397</v>
      </c>
      <c r="D1707">
        <v>3389</v>
      </c>
      <c r="E1707">
        <v>8746.3780000000006</v>
      </c>
      <c r="F1707">
        <v>3605861</v>
      </c>
      <c r="G1707" t="s">
        <v>468</v>
      </c>
      <c r="H1707">
        <v>8360.6630000000005</v>
      </c>
      <c r="I1707" t="s">
        <v>792</v>
      </c>
      <c r="J1707" t="s">
        <v>10</v>
      </c>
      <c r="K1707" t="s">
        <v>793</v>
      </c>
    </row>
    <row r="1708" spans="1:11" x14ac:dyDescent="0.25">
      <c r="A1708" t="s">
        <v>396</v>
      </c>
      <c r="B1708" t="s">
        <v>61</v>
      </c>
      <c r="C1708" t="s">
        <v>397</v>
      </c>
      <c r="D1708">
        <v>181.458</v>
      </c>
      <c r="E1708">
        <v>103.43</v>
      </c>
      <c r="F1708">
        <v>3507077</v>
      </c>
      <c r="G1708" t="s">
        <v>407</v>
      </c>
      <c r="H1708">
        <v>94.555999999999997</v>
      </c>
      <c r="I1708" t="s">
        <v>717</v>
      </c>
      <c r="J1708" t="s">
        <v>10</v>
      </c>
      <c r="K1708" t="s">
        <v>716</v>
      </c>
    </row>
    <row r="1709" spans="1:11" x14ac:dyDescent="0.25">
      <c r="A1709" t="s">
        <v>396</v>
      </c>
      <c r="B1709" t="s">
        <v>61</v>
      </c>
      <c r="C1709" t="s">
        <v>397</v>
      </c>
      <c r="D1709">
        <v>4818.5420000000004</v>
      </c>
      <c r="E1709">
        <v>2746.5419999999999</v>
      </c>
      <c r="F1709">
        <v>3507077</v>
      </c>
      <c r="G1709" t="s">
        <v>407</v>
      </c>
      <c r="H1709">
        <v>2510.8890000000001</v>
      </c>
      <c r="I1709" t="s">
        <v>717</v>
      </c>
      <c r="J1709" t="s">
        <v>10</v>
      </c>
      <c r="K1709" t="s">
        <v>716</v>
      </c>
    </row>
    <row r="1710" spans="1:11" x14ac:dyDescent="0.25">
      <c r="A1710" t="s">
        <v>636</v>
      </c>
      <c r="B1710" t="s">
        <v>151</v>
      </c>
      <c r="C1710" t="s">
        <v>397</v>
      </c>
      <c r="D1710">
        <v>300</v>
      </c>
      <c r="E1710">
        <v>70.799000000000007</v>
      </c>
      <c r="F1710">
        <v>3784473</v>
      </c>
      <c r="G1710" t="s">
        <v>872</v>
      </c>
      <c r="H1710">
        <v>405.84</v>
      </c>
      <c r="I1710" t="s">
        <v>873</v>
      </c>
      <c r="J1710" t="s">
        <v>10</v>
      </c>
      <c r="K1710" t="s">
        <v>874</v>
      </c>
    </row>
    <row r="1711" spans="1:11" x14ac:dyDescent="0.25">
      <c r="A1711" t="s">
        <v>636</v>
      </c>
      <c r="B1711" t="s">
        <v>151</v>
      </c>
      <c r="C1711" t="s">
        <v>397</v>
      </c>
      <c r="D1711">
        <v>300</v>
      </c>
      <c r="E1711">
        <v>70.799000000000007</v>
      </c>
      <c r="F1711">
        <v>3784473</v>
      </c>
      <c r="G1711" t="s">
        <v>872</v>
      </c>
      <c r="H1711">
        <v>405.84</v>
      </c>
      <c r="I1711" t="s">
        <v>873</v>
      </c>
      <c r="J1711" t="s">
        <v>10</v>
      </c>
      <c r="K1711" t="s">
        <v>874</v>
      </c>
    </row>
    <row r="1712" spans="1:11" x14ac:dyDescent="0.25">
      <c r="A1712" t="s">
        <v>573</v>
      </c>
      <c r="B1712" t="s">
        <v>52</v>
      </c>
      <c r="C1712" t="s">
        <v>397</v>
      </c>
      <c r="D1712">
        <v>3000</v>
      </c>
      <c r="E1712">
        <v>2445.0050000000001</v>
      </c>
      <c r="F1712">
        <v>3781605</v>
      </c>
      <c r="G1712" t="s">
        <v>633</v>
      </c>
      <c r="H1712">
        <v>2381</v>
      </c>
      <c r="I1712" t="s">
        <v>747</v>
      </c>
      <c r="J1712" t="s">
        <v>10</v>
      </c>
      <c r="K1712" t="s">
        <v>635</v>
      </c>
    </row>
    <row r="1713" spans="1:11" x14ac:dyDescent="0.25">
      <c r="A1713" t="s">
        <v>573</v>
      </c>
      <c r="B1713" t="s">
        <v>52</v>
      </c>
      <c r="C1713" t="s">
        <v>397</v>
      </c>
      <c r="D1713">
        <v>1000</v>
      </c>
      <c r="E1713">
        <v>431.99799999999999</v>
      </c>
      <c r="F1713">
        <v>1903849</v>
      </c>
      <c r="G1713" t="s">
        <v>860</v>
      </c>
      <c r="H1713">
        <v>732.75599999999997</v>
      </c>
      <c r="I1713" t="s">
        <v>865</v>
      </c>
      <c r="J1713" t="s">
        <v>10</v>
      </c>
      <c r="K1713" t="s">
        <v>866</v>
      </c>
    </row>
    <row r="1714" spans="1:11" x14ac:dyDescent="0.25">
      <c r="A1714" t="s">
        <v>573</v>
      </c>
      <c r="B1714" t="s">
        <v>52</v>
      </c>
      <c r="C1714" t="s">
        <v>397</v>
      </c>
      <c r="D1714">
        <v>2950</v>
      </c>
      <c r="E1714">
        <v>619.49800000000005</v>
      </c>
      <c r="F1714">
        <v>3508456</v>
      </c>
      <c r="G1714" t="s">
        <v>832</v>
      </c>
      <c r="H1714">
        <v>537.62099999999998</v>
      </c>
      <c r="I1714" t="s">
        <v>833</v>
      </c>
      <c r="J1714" t="s">
        <v>10</v>
      </c>
      <c r="K1714" t="s">
        <v>834</v>
      </c>
    </row>
    <row r="1715" spans="1:11" x14ac:dyDescent="0.25">
      <c r="A1715" t="s">
        <v>573</v>
      </c>
      <c r="B1715" t="s">
        <v>52</v>
      </c>
      <c r="C1715" t="s">
        <v>397</v>
      </c>
      <c r="D1715">
        <v>1020.649</v>
      </c>
      <c r="E1715">
        <v>828.57500000000005</v>
      </c>
      <c r="F1715">
        <v>1940743</v>
      </c>
      <c r="G1715" t="s">
        <v>860</v>
      </c>
      <c r="H1715">
        <v>1475.8579999999999</v>
      </c>
      <c r="I1715" t="s">
        <v>867</v>
      </c>
      <c r="J1715" t="s">
        <v>10</v>
      </c>
      <c r="K1715" t="s">
        <v>868</v>
      </c>
    </row>
    <row r="1716" spans="1:11" x14ac:dyDescent="0.25">
      <c r="A1716" t="s">
        <v>573</v>
      </c>
      <c r="B1716" t="s">
        <v>52</v>
      </c>
      <c r="C1716" t="s">
        <v>397</v>
      </c>
      <c r="D1716">
        <v>979.351</v>
      </c>
      <c r="E1716">
        <v>795.04899999999998</v>
      </c>
      <c r="F1716">
        <v>1940743</v>
      </c>
      <c r="G1716" t="s">
        <v>860</v>
      </c>
      <c r="H1716">
        <v>1416.1420000000001</v>
      </c>
      <c r="I1716" t="s">
        <v>867</v>
      </c>
      <c r="J1716" t="s">
        <v>10</v>
      </c>
      <c r="K1716" t="s">
        <v>868</v>
      </c>
    </row>
    <row r="1717" spans="1:11" x14ac:dyDescent="0.25">
      <c r="A1717" t="s">
        <v>585</v>
      </c>
      <c r="B1717" t="s">
        <v>48</v>
      </c>
      <c r="C1717" t="s">
        <v>397</v>
      </c>
      <c r="D1717">
        <v>5000</v>
      </c>
      <c r="E1717">
        <v>1150.0119999999999</v>
      </c>
      <c r="F1717">
        <v>4010435</v>
      </c>
      <c r="G1717" t="s">
        <v>654</v>
      </c>
      <c r="H1717">
        <v>3457.1669999999999</v>
      </c>
      <c r="I1717" t="s">
        <v>878</v>
      </c>
      <c r="J1717" t="s">
        <v>10</v>
      </c>
      <c r="K1717" t="s">
        <v>879</v>
      </c>
    </row>
    <row r="1718" spans="1:11" x14ac:dyDescent="0.25">
      <c r="A1718" t="s">
        <v>556</v>
      </c>
      <c r="B1718" t="s">
        <v>151</v>
      </c>
      <c r="C1718" t="s">
        <v>397</v>
      </c>
      <c r="D1718">
        <v>563.29700000000003</v>
      </c>
      <c r="E1718">
        <v>768.90499999999997</v>
      </c>
      <c r="F1718">
        <v>3781680</v>
      </c>
      <c r="G1718" t="s">
        <v>904</v>
      </c>
      <c r="H1718">
        <v>2292.337</v>
      </c>
      <c r="I1718" t="s">
        <v>905</v>
      </c>
      <c r="J1718" t="s">
        <v>10</v>
      </c>
      <c r="K1718" t="s">
        <v>906</v>
      </c>
    </row>
    <row r="1719" spans="1:11" x14ac:dyDescent="0.25">
      <c r="A1719" t="s">
        <v>556</v>
      </c>
      <c r="B1719" t="s">
        <v>151</v>
      </c>
      <c r="C1719" t="s">
        <v>397</v>
      </c>
      <c r="D1719">
        <v>646.625</v>
      </c>
      <c r="E1719">
        <v>882.649</v>
      </c>
      <c r="F1719">
        <v>3781680</v>
      </c>
      <c r="G1719" t="s">
        <v>904</v>
      </c>
      <c r="H1719">
        <v>2631.44</v>
      </c>
      <c r="I1719" t="s">
        <v>905</v>
      </c>
      <c r="J1719" t="s">
        <v>10</v>
      </c>
      <c r="K1719" t="s">
        <v>906</v>
      </c>
    </row>
    <row r="1720" spans="1:11" x14ac:dyDescent="0.25">
      <c r="A1720" t="s">
        <v>556</v>
      </c>
      <c r="B1720" t="s">
        <v>151</v>
      </c>
      <c r="C1720" t="s">
        <v>397</v>
      </c>
      <c r="D1720">
        <v>1190.078</v>
      </c>
      <c r="E1720">
        <v>1624.4670000000001</v>
      </c>
      <c r="F1720">
        <v>3781680</v>
      </c>
      <c r="G1720" t="s">
        <v>904</v>
      </c>
      <c r="H1720">
        <v>4843.0219999999999</v>
      </c>
      <c r="I1720" t="s">
        <v>905</v>
      </c>
      <c r="J1720" t="s">
        <v>10</v>
      </c>
      <c r="K1720" t="s">
        <v>906</v>
      </c>
    </row>
    <row r="1721" spans="1:11" x14ac:dyDescent="0.25">
      <c r="A1721" t="s">
        <v>723</v>
      </c>
      <c r="B1721" t="s">
        <v>27</v>
      </c>
      <c r="C1721" t="s">
        <v>397</v>
      </c>
      <c r="D1721">
        <v>159.51400000000001</v>
      </c>
      <c r="E1721">
        <v>81.671999999999997</v>
      </c>
      <c r="F1721">
        <v>3801263</v>
      </c>
      <c r="G1721" t="s">
        <v>914</v>
      </c>
      <c r="H1721">
        <v>430.54399999999998</v>
      </c>
      <c r="I1721" t="s">
        <v>923</v>
      </c>
      <c r="J1721" t="s">
        <v>10</v>
      </c>
      <c r="K1721" t="s">
        <v>924</v>
      </c>
    </row>
    <row r="1722" spans="1:11" x14ac:dyDescent="0.25">
      <c r="A1722" t="s">
        <v>723</v>
      </c>
      <c r="B1722" t="s">
        <v>27</v>
      </c>
      <c r="C1722" t="s">
        <v>397</v>
      </c>
      <c r="D1722">
        <v>740.48599999999999</v>
      </c>
      <c r="E1722">
        <v>379.13499999999999</v>
      </c>
      <c r="F1722">
        <v>3801263</v>
      </c>
      <c r="G1722" t="s">
        <v>914</v>
      </c>
      <c r="H1722">
        <v>1998.646</v>
      </c>
      <c r="I1722" t="s">
        <v>923</v>
      </c>
      <c r="J1722" t="s">
        <v>10</v>
      </c>
      <c r="K1722" t="s">
        <v>924</v>
      </c>
    </row>
    <row r="1723" spans="1:11" x14ac:dyDescent="0.25">
      <c r="A1723" t="s">
        <v>396</v>
      </c>
      <c r="B1723" t="s">
        <v>61</v>
      </c>
      <c r="C1723" t="s">
        <v>397</v>
      </c>
      <c r="D1723">
        <v>1000</v>
      </c>
      <c r="E1723">
        <v>588.375</v>
      </c>
      <c r="F1723">
        <v>1938191</v>
      </c>
      <c r="G1723" t="s">
        <v>590</v>
      </c>
      <c r="H1723">
        <v>743</v>
      </c>
      <c r="I1723" t="s">
        <v>591</v>
      </c>
      <c r="J1723" t="s">
        <v>10</v>
      </c>
      <c r="K1723" t="s">
        <v>592</v>
      </c>
    </row>
    <row r="1724" spans="1:11" x14ac:dyDescent="0.25">
      <c r="A1724" t="s">
        <v>396</v>
      </c>
      <c r="B1724" t="s">
        <v>61</v>
      </c>
      <c r="C1724" t="s">
        <v>397</v>
      </c>
      <c r="D1724">
        <v>6000</v>
      </c>
      <c r="E1724">
        <v>3659.9580000000001</v>
      </c>
      <c r="F1724">
        <v>3508521</v>
      </c>
      <c r="G1724" t="s">
        <v>407</v>
      </c>
      <c r="H1724">
        <v>3345.933</v>
      </c>
      <c r="I1724" t="s">
        <v>721</v>
      </c>
      <c r="J1724" t="s">
        <v>10</v>
      </c>
      <c r="K1724" t="s">
        <v>722</v>
      </c>
    </row>
    <row r="1725" spans="1:11" x14ac:dyDescent="0.25">
      <c r="A1725" t="s">
        <v>757</v>
      </c>
      <c r="B1725" t="s">
        <v>53</v>
      </c>
      <c r="C1725" t="s">
        <v>397</v>
      </c>
      <c r="D1725">
        <v>145.76300000000001</v>
      </c>
      <c r="E1725">
        <v>114.131</v>
      </c>
      <c r="F1725">
        <v>3775636</v>
      </c>
      <c r="G1725" t="s">
        <v>810</v>
      </c>
      <c r="H1725">
        <v>161.19900000000001</v>
      </c>
      <c r="I1725" t="s">
        <v>811</v>
      </c>
      <c r="J1725" t="s">
        <v>10</v>
      </c>
      <c r="K1725" t="s">
        <v>812</v>
      </c>
    </row>
    <row r="1726" spans="1:11" x14ac:dyDescent="0.25">
      <c r="A1726" t="s">
        <v>757</v>
      </c>
      <c r="B1726" t="s">
        <v>53</v>
      </c>
      <c r="C1726" t="s">
        <v>397</v>
      </c>
      <c r="D1726">
        <v>4754.2370000000001</v>
      </c>
      <c r="E1726">
        <v>3722.5369999999998</v>
      </c>
      <c r="F1726">
        <v>3775636</v>
      </c>
      <c r="G1726" t="s">
        <v>810</v>
      </c>
      <c r="H1726">
        <v>5257.7110000000002</v>
      </c>
      <c r="I1726" t="s">
        <v>811</v>
      </c>
      <c r="J1726" t="s">
        <v>10</v>
      </c>
      <c r="K1726" t="s">
        <v>812</v>
      </c>
    </row>
    <row r="1727" spans="1:11" x14ac:dyDescent="0.25">
      <c r="A1727" t="s">
        <v>636</v>
      </c>
      <c r="B1727" t="s">
        <v>151</v>
      </c>
      <c r="C1727" t="s">
        <v>397</v>
      </c>
      <c r="D1727">
        <v>666</v>
      </c>
      <c r="E1727">
        <v>486.26499999999999</v>
      </c>
      <c r="F1727">
        <v>1940881</v>
      </c>
      <c r="G1727" t="s">
        <v>841</v>
      </c>
      <c r="H1727">
        <v>1170.828</v>
      </c>
      <c r="I1727" t="s">
        <v>842</v>
      </c>
      <c r="J1727" t="s">
        <v>10</v>
      </c>
      <c r="K1727" t="s">
        <v>843</v>
      </c>
    </row>
    <row r="1728" spans="1:11" x14ac:dyDescent="0.25">
      <c r="A1728" t="s">
        <v>585</v>
      </c>
      <c r="B1728" t="s">
        <v>48</v>
      </c>
      <c r="C1728" t="s">
        <v>397</v>
      </c>
      <c r="D1728">
        <v>3176</v>
      </c>
      <c r="E1728">
        <v>730.48800000000006</v>
      </c>
      <c r="F1728">
        <v>4010435</v>
      </c>
      <c r="G1728" t="s">
        <v>654</v>
      </c>
      <c r="H1728">
        <v>2195.9920000000002</v>
      </c>
      <c r="I1728" t="s">
        <v>878</v>
      </c>
      <c r="J1728" t="s">
        <v>10</v>
      </c>
      <c r="K1728" t="s">
        <v>879</v>
      </c>
    </row>
    <row r="1729" spans="1:11" x14ac:dyDescent="0.25">
      <c r="A1729" t="s">
        <v>636</v>
      </c>
      <c r="B1729" t="s">
        <v>151</v>
      </c>
      <c r="C1729" t="s">
        <v>397</v>
      </c>
      <c r="D1729">
        <v>1400</v>
      </c>
      <c r="E1729">
        <v>330.39400000000001</v>
      </c>
      <c r="F1729">
        <v>3784473</v>
      </c>
      <c r="G1729" t="s">
        <v>872</v>
      </c>
      <c r="H1729">
        <v>1893.92</v>
      </c>
      <c r="I1729" t="s">
        <v>873</v>
      </c>
      <c r="J1729" t="s">
        <v>10</v>
      </c>
      <c r="K1729" t="s">
        <v>874</v>
      </c>
    </row>
    <row r="1730" spans="1:11" x14ac:dyDescent="0.25">
      <c r="A1730" t="s">
        <v>732</v>
      </c>
      <c r="B1730" t="s">
        <v>25</v>
      </c>
      <c r="C1730" t="s">
        <v>397</v>
      </c>
      <c r="D1730">
        <v>500</v>
      </c>
      <c r="E1730">
        <v>405.77100000000002</v>
      </c>
      <c r="F1730">
        <v>1940467</v>
      </c>
      <c r="G1730" t="s">
        <v>642</v>
      </c>
      <c r="H1730">
        <v>405</v>
      </c>
      <c r="I1730" t="s">
        <v>766</v>
      </c>
      <c r="J1730" t="s">
        <v>10</v>
      </c>
      <c r="K1730" t="s">
        <v>767</v>
      </c>
    </row>
    <row r="1731" spans="1:11" x14ac:dyDescent="0.25">
      <c r="A1731" t="s">
        <v>732</v>
      </c>
      <c r="B1731" t="s">
        <v>25</v>
      </c>
      <c r="C1731" t="s">
        <v>397</v>
      </c>
      <c r="D1731">
        <v>1000</v>
      </c>
      <c r="E1731">
        <v>1290.011</v>
      </c>
      <c r="F1731">
        <v>3533248</v>
      </c>
      <c r="G1731" t="s">
        <v>412</v>
      </c>
      <c r="H1731">
        <v>1012.2</v>
      </c>
      <c r="I1731" t="s">
        <v>735</v>
      </c>
      <c r="J1731" t="s">
        <v>10</v>
      </c>
      <c r="K1731" t="s">
        <v>736</v>
      </c>
    </row>
    <row r="1732" spans="1:11" x14ac:dyDescent="0.25">
      <c r="A1732" t="s">
        <v>585</v>
      </c>
      <c r="B1732" t="s">
        <v>48</v>
      </c>
      <c r="C1732" t="s">
        <v>397</v>
      </c>
      <c r="D1732">
        <v>1038</v>
      </c>
      <c r="E1732">
        <v>424.53</v>
      </c>
      <c r="F1732">
        <v>4020857</v>
      </c>
      <c r="G1732" t="s">
        <v>909</v>
      </c>
      <c r="H1732">
        <v>1126.9570000000001</v>
      </c>
      <c r="I1732" t="s">
        <v>910</v>
      </c>
      <c r="J1732" t="s">
        <v>10</v>
      </c>
      <c r="K1732" t="s">
        <v>911</v>
      </c>
    </row>
    <row r="1733" spans="1:11" x14ac:dyDescent="0.25">
      <c r="A1733" t="s">
        <v>636</v>
      </c>
      <c r="B1733" t="s">
        <v>151</v>
      </c>
      <c r="C1733" t="s">
        <v>397</v>
      </c>
      <c r="D1733">
        <v>500</v>
      </c>
      <c r="E1733">
        <v>117.998</v>
      </c>
      <c r="F1733">
        <v>3784473</v>
      </c>
      <c r="G1733" t="s">
        <v>872</v>
      </c>
      <c r="H1733">
        <v>676.4</v>
      </c>
      <c r="I1733" t="s">
        <v>873</v>
      </c>
      <c r="J1733" t="s">
        <v>10</v>
      </c>
      <c r="K1733" t="s">
        <v>874</v>
      </c>
    </row>
    <row r="1734" spans="1:11" x14ac:dyDescent="0.25">
      <c r="A1734" t="s">
        <v>556</v>
      </c>
      <c r="B1734" t="s">
        <v>151</v>
      </c>
      <c r="C1734" t="s">
        <v>397</v>
      </c>
      <c r="D1734">
        <v>931</v>
      </c>
      <c r="E1734">
        <v>753.17899999999997</v>
      </c>
      <c r="F1734">
        <v>1940466</v>
      </c>
      <c r="G1734" t="s">
        <v>633</v>
      </c>
      <c r="H1734">
        <v>733.46199999999999</v>
      </c>
      <c r="I1734" t="s">
        <v>764</v>
      </c>
      <c r="J1734" t="s">
        <v>10</v>
      </c>
      <c r="K1734" t="s">
        <v>765</v>
      </c>
    </row>
    <row r="1735" spans="1:11" x14ac:dyDescent="0.25">
      <c r="A1735" t="s">
        <v>556</v>
      </c>
      <c r="B1735" t="s">
        <v>151</v>
      </c>
      <c r="C1735" t="s">
        <v>397</v>
      </c>
      <c r="D1735">
        <v>2500</v>
      </c>
      <c r="E1735">
        <v>985.00800000000004</v>
      </c>
      <c r="F1735">
        <v>1940437</v>
      </c>
      <c r="G1735" t="s">
        <v>633</v>
      </c>
      <c r="H1735">
        <v>959.22199999999998</v>
      </c>
      <c r="I1735" t="s">
        <v>637</v>
      </c>
      <c r="J1735" t="s">
        <v>10</v>
      </c>
      <c r="K1735" t="s">
        <v>638</v>
      </c>
    </row>
    <row r="1736" spans="1:11" x14ac:dyDescent="0.25">
      <c r="A1736" t="s">
        <v>573</v>
      </c>
      <c r="B1736" t="s">
        <v>52</v>
      </c>
      <c r="C1736" t="s">
        <v>397</v>
      </c>
      <c r="D1736">
        <v>1220</v>
      </c>
      <c r="E1736">
        <v>990.41099999999994</v>
      </c>
      <c r="F1736">
        <v>1940743</v>
      </c>
      <c r="G1736" t="s">
        <v>860</v>
      </c>
      <c r="H1736">
        <v>1764.12</v>
      </c>
      <c r="I1736" t="s">
        <v>867</v>
      </c>
      <c r="J1736" t="s">
        <v>10</v>
      </c>
      <c r="K1736" t="s">
        <v>868</v>
      </c>
    </row>
    <row r="1737" spans="1:11" x14ac:dyDescent="0.25">
      <c r="A1737" t="s">
        <v>573</v>
      </c>
      <c r="B1737" t="s">
        <v>52</v>
      </c>
      <c r="C1737" t="s">
        <v>397</v>
      </c>
      <c r="D1737">
        <v>244</v>
      </c>
      <c r="E1737">
        <v>105.408</v>
      </c>
      <c r="F1737">
        <v>1903849</v>
      </c>
      <c r="G1737" t="s">
        <v>860</v>
      </c>
      <c r="H1737">
        <v>178.792</v>
      </c>
      <c r="I1737" t="s">
        <v>865</v>
      </c>
      <c r="J1737" t="s">
        <v>10</v>
      </c>
      <c r="K1737" t="s">
        <v>866</v>
      </c>
    </row>
    <row r="1738" spans="1:11" x14ac:dyDescent="0.25">
      <c r="A1738" t="s">
        <v>573</v>
      </c>
      <c r="B1738" t="s">
        <v>52</v>
      </c>
      <c r="C1738" t="s">
        <v>397</v>
      </c>
      <c r="D1738">
        <v>4500</v>
      </c>
      <c r="E1738">
        <v>936.00599999999997</v>
      </c>
      <c r="F1738">
        <v>3722021</v>
      </c>
      <c r="G1738" t="s">
        <v>875</v>
      </c>
      <c r="H1738">
        <v>3168.1</v>
      </c>
      <c r="I1738" t="s">
        <v>884</v>
      </c>
      <c r="J1738" t="s">
        <v>10</v>
      </c>
      <c r="K1738" t="s">
        <v>885</v>
      </c>
    </row>
    <row r="1739" spans="1:11" x14ac:dyDescent="0.25">
      <c r="A1739" t="s">
        <v>573</v>
      </c>
      <c r="B1739" t="s">
        <v>52</v>
      </c>
      <c r="C1739" t="s">
        <v>397</v>
      </c>
      <c r="D1739">
        <v>546</v>
      </c>
      <c r="E1739">
        <v>113.569</v>
      </c>
      <c r="F1739">
        <v>3722021</v>
      </c>
      <c r="G1739" t="s">
        <v>875</v>
      </c>
      <c r="H1739">
        <v>384.39600000000002</v>
      </c>
      <c r="I1739" t="s">
        <v>884</v>
      </c>
      <c r="J1739" t="s">
        <v>10</v>
      </c>
      <c r="K1739" t="s">
        <v>885</v>
      </c>
    </row>
    <row r="1740" spans="1:11" x14ac:dyDescent="0.25">
      <c r="A1740" t="s">
        <v>573</v>
      </c>
      <c r="B1740" t="s">
        <v>52</v>
      </c>
      <c r="C1740" t="s">
        <v>397</v>
      </c>
      <c r="D1740">
        <v>2000</v>
      </c>
      <c r="E1740">
        <v>1609.99</v>
      </c>
      <c r="F1740">
        <v>3694069</v>
      </c>
      <c r="G1740" t="s">
        <v>633</v>
      </c>
      <c r="H1740">
        <v>1603.711</v>
      </c>
      <c r="I1740" t="s">
        <v>745</v>
      </c>
      <c r="J1740" t="s">
        <v>10</v>
      </c>
      <c r="K1740" t="s">
        <v>746</v>
      </c>
    </row>
    <row r="1741" spans="1:11" x14ac:dyDescent="0.25">
      <c r="A1741" t="s">
        <v>573</v>
      </c>
      <c r="B1741" t="s">
        <v>52</v>
      </c>
      <c r="C1741" t="s">
        <v>397</v>
      </c>
      <c r="D1741">
        <v>153</v>
      </c>
      <c r="E1741">
        <v>123.164</v>
      </c>
      <c r="F1741">
        <v>3694069</v>
      </c>
      <c r="G1741" t="s">
        <v>633</v>
      </c>
      <c r="H1741">
        <v>122.684</v>
      </c>
      <c r="I1741" t="s">
        <v>745</v>
      </c>
      <c r="J1741" t="s">
        <v>10</v>
      </c>
      <c r="K1741" t="s">
        <v>746</v>
      </c>
    </row>
    <row r="1742" spans="1:11" x14ac:dyDescent="0.25">
      <c r="A1742" t="s">
        <v>517</v>
      </c>
      <c r="B1742" t="s">
        <v>19</v>
      </c>
      <c r="C1742" t="s">
        <v>397</v>
      </c>
      <c r="D1742">
        <v>289</v>
      </c>
      <c r="E1742">
        <v>206.054</v>
      </c>
      <c r="F1742">
        <v>3783938</v>
      </c>
      <c r="G1742" t="s">
        <v>909</v>
      </c>
      <c r="H1742">
        <v>546.99</v>
      </c>
      <c r="I1742" t="s">
        <v>912</v>
      </c>
      <c r="J1742" t="s">
        <v>10</v>
      </c>
      <c r="K1742" t="s">
        <v>913</v>
      </c>
    </row>
    <row r="1743" spans="1:11" x14ac:dyDescent="0.25">
      <c r="A1743" t="s">
        <v>517</v>
      </c>
      <c r="B1743" t="s">
        <v>19</v>
      </c>
      <c r="C1743" t="s">
        <v>397</v>
      </c>
      <c r="D1743">
        <v>49.375999999999998</v>
      </c>
      <c r="E1743">
        <v>9.5299999999999994</v>
      </c>
      <c r="F1743">
        <v>3509016</v>
      </c>
      <c r="G1743" t="s">
        <v>799</v>
      </c>
      <c r="H1743">
        <v>16.876000000000001</v>
      </c>
      <c r="I1743" t="s">
        <v>800</v>
      </c>
      <c r="J1743" t="s">
        <v>10</v>
      </c>
      <c r="K1743" t="s">
        <v>801</v>
      </c>
    </row>
    <row r="1744" spans="1:11" x14ac:dyDescent="0.25">
      <c r="A1744" t="s">
        <v>517</v>
      </c>
      <c r="B1744" t="s">
        <v>19</v>
      </c>
      <c r="C1744" t="s">
        <v>397</v>
      </c>
      <c r="D1744">
        <v>900.62400000000002</v>
      </c>
      <c r="E1744">
        <v>173.82300000000001</v>
      </c>
      <c r="F1744">
        <v>3509016</v>
      </c>
      <c r="G1744" t="s">
        <v>799</v>
      </c>
      <c r="H1744">
        <v>307.82299999999998</v>
      </c>
      <c r="I1744" t="s">
        <v>800</v>
      </c>
      <c r="J1744" t="s">
        <v>10</v>
      </c>
      <c r="K1744" t="s">
        <v>801</v>
      </c>
    </row>
    <row r="1745" spans="1:11" x14ac:dyDescent="0.25">
      <c r="A1745" t="s">
        <v>396</v>
      </c>
      <c r="B1745" t="s">
        <v>61</v>
      </c>
      <c r="C1745" t="s">
        <v>397</v>
      </c>
      <c r="D1745">
        <v>1148.048</v>
      </c>
      <c r="E1745">
        <v>675.48299999999995</v>
      </c>
      <c r="F1745">
        <v>1938191</v>
      </c>
      <c r="G1745" t="s">
        <v>590</v>
      </c>
      <c r="H1745">
        <v>853</v>
      </c>
      <c r="I1745" t="s">
        <v>591</v>
      </c>
      <c r="J1745" t="s">
        <v>10</v>
      </c>
      <c r="K1745" t="s">
        <v>592</v>
      </c>
    </row>
    <row r="1746" spans="1:11" x14ac:dyDescent="0.25">
      <c r="A1746" t="s">
        <v>396</v>
      </c>
      <c r="B1746" t="s">
        <v>61</v>
      </c>
      <c r="C1746" t="s">
        <v>397</v>
      </c>
      <c r="D1746">
        <v>5212.6509999999998</v>
      </c>
      <c r="E1746">
        <v>3066.9940000000001</v>
      </c>
      <c r="F1746">
        <v>1938191</v>
      </c>
      <c r="G1746" t="s">
        <v>590</v>
      </c>
      <c r="H1746">
        <v>3873</v>
      </c>
      <c r="I1746" t="s">
        <v>591</v>
      </c>
      <c r="J1746" t="s">
        <v>10</v>
      </c>
      <c r="K1746" t="s">
        <v>592</v>
      </c>
    </row>
    <row r="1747" spans="1:11" x14ac:dyDescent="0.25">
      <c r="A1747" t="s">
        <v>396</v>
      </c>
      <c r="B1747" t="s">
        <v>61</v>
      </c>
      <c r="C1747" t="s">
        <v>397</v>
      </c>
      <c r="D1747">
        <v>2639.3009999999999</v>
      </c>
      <c r="E1747">
        <v>1552.8989999999999</v>
      </c>
      <c r="F1747">
        <v>1938191</v>
      </c>
      <c r="G1747" t="s">
        <v>590</v>
      </c>
      <c r="H1747">
        <v>1961.001</v>
      </c>
      <c r="I1747" t="s">
        <v>591</v>
      </c>
      <c r="J1747" t="s">
        <v>10</v>
      </c>
      <c r="K1747" t="s">
        <v>592</v>
      </c>
    </row>
    <row r="1748" spans="1:11" x14ac:dyDescent="0.25">
      <c r="A1748" t="s">
        <v>396</v>
      </c>
      <c r="B1748" t="s">
        <v>61</v>
      </c>
      <c r="C1748" t="s">
        <v>397</v>
      </c>
      <c r="D1748">
        <v>3000</v>
      </c>
      <c r="E1748">
        <v>1829.979</v>
      </c>
      <c r="F1748">
        <v>3508521</v>
      </c>
      <c r="G1748" t="s">
        <v>407</v>
      </c>
      <c r="H1748">
        <v>1672.9670000000001</v>
      </c>
      <c r="I1748" t="s">
        <v>721</v>
      </c>
      <c r="J1748" t="s">
        <v>10</v>
      </c>
      <c r="K1748" t="s">
        <v>722</v>
      </c>
    </row>
    <row r="1749" spans="1:11" x14ac:dyDescent="0.25">
      <c r="A1749" t="s">
        <v>396</v>
      </c>
      <c r="B1749" t="s">
        <v>61</v>
      </c>
      <c r="C1749" t="s">
        <v>397</v>
      </c>
      <c r="D1749">
        <v>450</v>
      </c>
      <c r="E1749">
        <v>274.49700000000001</v>
      </c>
      <c r="F1749">
        <v>3508521</v>
      </c>
      <c r="G1749" t="s">
        <v>407</v>
      </c>
      <c r="H1749">
        <v>250.94499999999999</v>
      </c>
      <c r="I1749" t="s">
        <v>721</v>
      </c>
      <c r="J1749" t="s">
        <v>10</v>
      </c>
      <c r="K1749" t="s">
        <v>722</v>
      </c>
    </row>
    <row r="1750" spans="1:11" x14ac:dyDescent="0.25">
      <c r="A1750" t="s">
        <v>757</v>
      </c>
      <c r="B1750" t="s">
        <v>53</v>
      </c>
      <c r="C1750" t="s">
        <v>397</v>
      </c>
      <c r="D1750">
        <v>1321.3879999999999</v>
      </c>
      <c r="E1750">
        <v>741.55700000000002</v>
      </c>
      <c r="F1750">
        <v>3801265</v>
      </c>
      <c r="G1750" t="s">
        <v>428</v>
      </c>
      <c r="H1750">
        <v>1161.5</v>
      </c>
      <c r="I1750" t="s">
        <v>889</v>
      </c>
      <c r="J1750" t="s">
        <v>10</v>
      </c>
      <c r="K1750" t="s">
        <v>890</v>
      </c>
    </row>
    <row r="1751" spans="1:11" x14ac:dyDescent="0.25">
      <c r="A1751" t="s">
        <v>757</v>
      </c>
      <c r="B1751" t="s">
        <v>53</v>
      </c>
      <c r="C1751" t="s">
        <v>397</v>
      </c>
      <c r="D1751">
        <v>58.612000000000002</v>
      </c>
      <c r="E1751">
        <v>32.893000000000001</v>
      </c>
      <c r="F1751">
        <v>3801265</v>
      </c>
      <c r="G1751" t="s">
        <v>428</v>
      </c>
      <c r="H1751">
        <v>51.52</v>
      </c>
      <c r="I1751" t="s">
        <v>889</v>
      </c>
      <c r="J1751" t="s">
        <v>10</v>
      </c>
      <c r="K1751" t="s">
        <v>890</v>
      </c>
    </row>
    <row r="1752" spans="1:11" x14ac:dyDescent="0.25">
      <c r="A1752" t="s">
        <v>757</v>
      </c>
      <c r="B1752" t="s">
        <v>53</v>
      </c>
      <c r="C1752" t="s">
        <v>397</v>
      </c>
      <c r="D1752">
        <v>1725</v>
      </c>
      <c r="E1752">
        <v>370.87200000000001</v>
      </c>
      <c r="F1752">
        <v>3901714</v>
      </c>
      <c r="G1752" t="s">
        <v>891</v>
      </c>
      <c r="H1752">
        <v>1415.8420000000001</v>
      </c>
      <c r="I1752" t="s">
        <v>902</v>
      </c>
      <c r="J1752" t="s">
        <v>10</v>
      </c>
      <c r="K1752" t="s">
        <v>903</v>
      </c>
    </row>
    <row r="1753" spans="1:11" x14ac:dyDescent="0.25">
      <c r="A1753" t="s">
        <v>757</v>
      </c>
      <c r="B1753" t="s">
        <v>53</v>
      </c>
      <c r="C1753" t="s">
        <v>397</v>
      </c>
      <c r="D1753">
        <v>2610</v>
      </c>
      <c r="E1753">
        <v>2253.877</v>
      </c>
      <c r="F1753">
        <v>3910649</v>
      </c>
      <c r="G1753" t="s">
        <v>770</v>
      </c>
      <c r="H1753">
        <v>2249.8200000000002</v>
      </c>
      <c r="I1753" t="s">
        <v>773</v>
      </c>
      <c r="J1753" t="s">
        <v>10</v>
      </c>
      <c r="K1753" t="s">
        <v>774</v>
      </c>
    </row>
    <row r="1754" spans="1:11" x14ac:dyDescent="0.25">
      <c r="A1754" t="s">
        <v>757</v>
      </c>
      <c r="B1754" t="s">
        <v>53</v>
      </c>
      <c r="C1754" t="s">
        <v>397</v>
      </c>
      <c r="D1754">
        <v>2497</v>
      </c>
      <c r="E1754">
        <v>2136.2829999999999</v>
      </c>
      <c r="F1754">
        <v>3910650</v>
      </c>
      <c r="G1754" t="s">
        <v>770</v>
      </c>
      <c r="H1754">
        <v>2132.4380000000001</v>
      </c>
      <c r="I1754" t="s">
        <v>771</v>
      </c>
      <c r="J1754" t="s">
        <v>10</v>
      </c>
      <c r="K1754" t="s">
        <v>772</v>
      </c>
    </row>
    <row r="1755" spans="1:11" x14ac:dyDescent="0.25">
      <c r="A1755" t="s">
        <v>757</v>
      </c>
      <c r="B1755" t="s">
        <v>53</v>
      </c>
      <c r="C1755" t="s">
        <v>397</v>
      </c>
      <c r="D1755">
        <v>2000</v>
      </c>
      <c r="E1755">
        <v>1699.944</v>
      </c>
      <c r="F1755">
        <v>3910648</v>
      </c>
      <c r="G1755" t="s">
        <v>886</v>
      </c>
      <c r="H1755">
        <v>4216.2</v>
      </c>
      <c r="I1755" t="s">
        <v>887</v>
      </c>
      <c r="J1755" t="s">
        <v>10</v>
      </c>
      <c r="K1755" t="s">
        <v>888</v>
      </c>
    </row>
    <row r="1756" spans="1:11" x14ac:dyDescent="0.25">
      <c r="A1756" t="s">
        <v>401</v>
      </c>
      <c r="B1756" t="s">
        <v>17</v>
      </c>
      <c r="C1756" t="s">
        <v>397</v>
      </c>
      <c r="D1756">
        <v>1000</v>
      </c>
      <c r="E1756">
        <v>302.99700000000001</v>
      </c>
      <c r="F1756">
        <v>3781671</v>
      </c>
      <c r="G1756" t="s">
        <v>407</v>
      </c>
      <c r="H1756">
        <v>277</v>
      </c>
      <c r="I1756" t="s">
        <v>709</v>
      </c>
      <c r="J1756" t="s">
        <v>10</v>
      </c>
      <c r="K1756" t="s">
        <v>708</v>
      </c>
    </row>
    <row r="1757" spans="1:11" x14ac:dyDescent="0.25">
      <c r="A1757" t="s">
        <v>401</v>
      </c>
      <c r="B1757" t="s">
        <v>17</v>
      </c>
      <c r="C1757" t="s">
        <v>397</v>
      </c>
      <c r="D1757">
        <v>1000</v>
      </c>
      <c r="E1757">
        <v>254.994</v>
      </c>
      <c r="F1757">
        <v>3508993</v>
      </c>
      <c r="G1757" t="s">
        <v>407</v>
      </c>
      <c r="H1757">
        <v>242.267</v>
      </c>
      <c r="I1757" t="s">
        <v>702</v>
      </c>
      <c r="J1757" t="s">
        <v>10</v>
      </c>
      <c r="K1757" t="s">
        <v>701</v>
      </c>
    </row>
    <row r="1758" spans="1:11" x14ac:dyDescent="0.25">
      <c r="A1758" t="s">
        <v>401</v>
      </c>
      <c r="B1758" t="s">
        <v>17</v>
      </c>
      <c r="C1758" t="s">
        <v>397</v>
      </c>
      <c r="D1758">
        <v>1000</v>
      </c>
      <c r="E1758">
        <v>285.00400000000002</v>
      </c>
      <c r="F1758">
        <v>2427711</v>
      </c>
      <c r="G1758" t="s">
        <v>407</v>
      </c>
      <c r="H1758">
        <v>265.767</v>
      </c>
      <c r="I1758" t="s">
        <v>705</v>
      </c>
      <c r="J1758" t="s">
        <v>10</v>
      </c>
      <c r="K1758" t="s">
        <v>706</v>
      </c>
    </row>
    <row r="1759" spans="1:11" x14ac:dyDescent="0.25">
      <c r="A1759" t="s">
        <v>396</v>
      </c>
      <c r="B1759" t="s">
        <v>61</v>
      </c>
      <c r="C1759" t="s">
        <v>397</v>
      </c>
      <c r="D1759">
        <v>1600</v>
      </c>
      <c r="E1759">
        <v>941.4</v>
      </c>
      <c r="F1759">
        <v>1938191</v>
      </c>
      <c r="G1759" t="s">
        <v>590</v>
      </c>
      <c r="H1759">
        <v>1188.8</v>
      </c>
      <c r="I1759" t="s">
        <v>591</v>
      </c>
      <c r="J1759" t="s">
        <v>10</v>
      </c>
      <c r="K1759" t="s">
        <v>592</v>
      </c>
    </row>
    <row r="1760" spans="1:11" x14ac:dyDescent="0.25">
      <c r="A1760" t="s">
        <v>636</v>
      </c>
      <c r="B1760" t="s">
        <v>151</v>
      </c>
      <c r="C1760" t="s">
        <v>397</v>
      </c>
      <c r="D1760">
        <v>480</v>
      </c>
      <c r="E1760">
        <v>113.27800000000001</v>
      </c>
      <c r="F1760">
        <v>3784473</v>
      </c>
      <c r="G1760" t="s">
        <v>872</v>
      </c>
      <c r="H1760">
        <v>649.34400000000005</v>
      </c>
      <c r="I1760" t="s">
        <v>873</v>
      </c>
      <c r="J1760" t="s">
        <v>10</v>
      </c>
      <c r="K1760" t="s">
        <v>874</v>
      </c>
    </row>
    <row r="1761" spans="1:11" x14ac:dyDescent="0.25">
      <c r="A1761" t="s">
        <v>636</v>
      </c>
      <c r="B1761" t="s">
        <v>151</v>
      </c>
      <c r="C1761" t="s">
        <v>397</v>
      </c>
      <c r="D1761">
        <v>2441.5079999999998</v>
      </c>
      <c r="E1761">
        <v>1782.6110000000001</v>
      </c>
      <c r="F1761">
        <v>1940881</v>
      </c>
      <c r="G1761" t="s">
        <v>841</v>
      </c>
      <c r="H1761">
        <v>4292.1710000000003</v>
      </c>
      <c r="I1761" t="s">
        <v>842</v>
      </c>
      <c r="J1761" t="s">
        <v>10</v>
      </c>
      <c r="K1761" t="s">
        <v>843</v>
      </c>
    </row>
    <row r="1762" spans="1:11" x14ac:dyDescent="0.25">
      <c r="A1762" t="s">
        <v>636</v>
      </c>
      <c r="B1762" t="s">
        <v>151</v>
      </c>
      <c r="C1762" t="s">
        <v>397</v>
      </c>
      <c r="D1762">
        <v>9.4440000000000008</v>
      </c>
      <c r="E1762">
        <v>6.8949999999999996</v>
      </c>
      <c r="F1762">
        <v>1940881</v>
      </c>
      <c r="G1762" t="s">
        <v>841</v>
      </c>
      <c r="H1762">
        <v>16.603000000000002</v>
      </c>
      <c r="I1762" t="s">
        <v>842</v>
      </c>
      <c r="J1762" t="s">
        <v>10</v>
      </c>
      <c r="K1762" t="s">
        <v>843</v>
      </c>
    </row>
    <row r="1763" spans="1:11" x14ac:dyDescent="0.25">
      <c r="A1763" t="s">
        <v>636</v>
      </c>
      <c r="B1763" t="s">
        <v>151</v>
      </c>
      <c r="C1763" t="s">
        <v>397</v>
      </c>
      <c r="D1763">
        <v>239.048</v>
      </c>
      <c r="E1763">
        <v>174.535</v>
      </c>
      <c r="F1763">
        <v>1940881</v>
      </c>
      <c r="G1763" t="s">
        <v>841</v>
      </c>
      <c r="H1763">
        <v>420.24599999999998</v>
      </c>
      <c r="I1763" t="s">
        <v>842</v>
      </c>
      <c r="J1763" t="s">
        <v>10</v>
      </c>
      <c r="K1763" t="s">
        <v>843</v>
      </c>
    </row>
    <row r="1764" spans="1:11" x14ac:dyDescent="0.25">
      <c r="A1764" t="s">
        <v>556</v>
      </c>
      <c r="B1764" t="s">
        <v>151</v>
      </c>
      <c r="C1764" t="s">
        <v>397</v>
      </c>
      <c r="D1764">
        <v>97.706000000000003</v>
      </c>
      <c r="E1764">
        <v>133.37</v>
      </c>
      <c r="F1764">
        <v>3781680</v>
      </c>
      <c r="G1764" t="s">
        <v>904</v>
      </c>
      <c r="H1764">
        <v>397.61500000000001</v>
      </c>
      <c r="I1764" t="s">
        <v>905</v>
      </c>
      <c r="J1764" t="s">
        <v>10</v>
      </c>
      <c r="K1764" t="s">
        <v>906</v>
      </c>
    </row>
    <row r="1765" spans="1:11" x14ac:dyDescent="0.25">
      <c r="A1765" t="s">
        <v>556</v>
      </c>
      <c r="B1765" t="s">
        <v>151</v>
      </c>
      <c r="C1765" t="s">
        <v>397</v>
      </c>
      <c r="D1765">
        <v>646.62400000000002</v>
      </c>
      <c r="E1765">
        <v>882.64700000000005</v>
      </c>
      <c r="F1765">
        <v>3781680</v>
      </c>
      <c r="G1765" t="s">
        <v>904</v>
      </c>
      <c r="H1765">
        <v>2631.4360000000001</v>
      </c>
      <c r="I1765" t="s">
        <v>905</v>
      </c>
      <c r="J1765" t="s">
        <v>10</v>
      </c>
      <c r="K1765" t="s">
        <v>906</v>
      </c>
    </row>
    <row r="1766" spans="1:11" x14ac:dyDescent="0.25">
      <c r="A1766" t="s">
        <v>556</v>
      </c>
      <c r="B1766" t="s">
        <v>151</v>
      </c>
      <c r="C1766" t="s">
        <v>397</v>
      </c>
      <c r="D1766">
        <v>1055.67</v>
      </c>
      <c r="E1766">
        <v>1440.999</v>
      </c>
      <c r="F1766">
        <v>3781680</v>
      </c>
      <c r="G1766" t="s">
        <v>904</v>
      </c>
      <c r="H1766">
        <v>4296.049</v>
      </c>
      <c r="I1766" t="s">
        <v>905</v>
      </c>
      <c r="J1766" t="s">
        <v>10</v>
      </c>
      <c r="K1766" t="s">
        <v>906</v>
      </c>
    </row>
    <row r="1767" spans="1:11" x14ac:dyDescent="0.25">
      <c r="A1767" t="s">
        <v>556</v>
      </c>
      <c r="B1767" t="s">
        <v>151</v>
      </c>
      <c r="C1767" t="s">
        <v>397</v>
      </c>
      <c r="D1767">
        <v>2063</v>
      </c>
      <c r="E1767">
        <v>422.91899999999998</v>
      </c>
      <c r="F1767">
        <v>4114991</v>
      </c>
      <c r="G1767" t="s">
        <v>875</v>
      </c>
      <c r="H1767">
        <v>1430.9880000000001</v>
      </c>
      <c r="I1767" t="s">
        <v>898</v>
      </c>
      <c r="J1767" t="s">
        <v>10</v>
      </c>
      <c r="K1767" t="s">
        <v>899</v>
      </c>
    </row>
    <row r="1768" spans="1:11" x14ac:dyDescent="0.25">
      <c r="A1768" t="s">
        <v>401</v>
      </c>
      <c r="B1768" t="s">
        <v>17</v>
      </c>
      <c r="C1768" t="s">
        <v>397</v>
      </c>
      <c r="D1768">
        <v>583.46400000000006</v>
      </c>
      <c r="E1768">
        <v>324.98200000000003</v>
      </c>
      <c r="F1768">
        <v>4079374</v>
      </c>
      <c r="G1768" t="s">
        <v>917</v>
      </c>
      <c r="H1768">
        <v>1397.163</v>
      </c>
      <c r="I1768" t="s">
        <v>918</v>
      </c>
      <c r="J1768" t="s">
        <v>10</v>
      </c>
      <c r="K1768" t="s">
        <v>919</v>
      </c>
    </row>
    <row r="1769" spans="1:11" x14ac:dyDescent="0.25">
      <c r="A1769" t="s">
        <v>401</v>
      </c>
      <c r="B1769" t="s">
        <v>17</v>
      </c>
      <c r="C1769" t="s">
        <v>397</v>
      </c>
      <c r="D1769">
        <v>686.53599999999994</v>
      </c>
      <c r="E1769">
        <v>382.392</v>
      </c>
      <c r="F1769">
        <v>4079374</v>
      </c>
      <c r="G1769" t="s">
        <v>917</v>
      </c>
      <c r="H1769">
        <v>1643.979</v>
      </c>
      <c r="I1769" t="s">
        <v>918</v>
      </c>
      <c r="J1769" t="s">
        <v>10</v>
      </c>
      <c r="K1769" t="s">
        <v>919</v>
      </c>
    </row>
    <row r="1770" spans="1:11" x14ac:dyDescent="0.25">
      <c r="A1770" t="s">
        <v>732</v>
      </c>
      <c r="B1770" t="s">
        <v>25</v>
      </c>
      <c r="C1770" t="s">
        <v>397</v>
      </c>
      <c r="D1770">
        <v>467.05</v>
      </c>
      <c r="E1770">
        <v>570.73400000000004</v>
      </c>
      <c r="F1770">
        <v>3533249</v>
      </c>
      <c r="G1770" t="s">
        <v>412</v>
      </c>
      <c r="H1770">
        <v>447.82299999999998</v>
      </c>
      <c r="I1770" t="s">
        <v>733</v>
      </c>
      <c r="J1770" t="s">
        <v>10</v>
      </c>
      <c r="K1770" t="s">
        <v>734</v>
      </c>
    </row>
    <row r="1771" spans="1:11" x14ac:dyDescent="0.25">
      <c r="A1771" t="s">
        <v>732</v>
      </c>
      <c r="B1771" t="s">
        <v>25</v>
      </c>
      <c r="C1771" t="s">
        <v>397</v>
      </c>
      <c r="D1771">
        <v>585.95000000000005</v>
      </c>
      <c r="E1771">
        <v>716.029</v>
      </c>
      <c r="F1771">
        <v>3533249</v>
      </c>
      <c r="G1771" t="s">
        <v>412</v>
      </c>
      <c r="H1771">
        <v>561.82799999999997</v>
      </c>
      <c r="I1771" t="s">
        <v>733</v>
      </c>
      <c r="J1771" t="s">
        <v>10</v>
      </c>
      <c r="K1771" t="s">
        <v>734</v>
      </c>
    </row>
    <row r="1772" spans="1:11" x14ac:dyDescent="0.25">
      <c r="A1772" t="s">
        <v>636</v>
      </c>
      <c r="B1772" t="s">
        <v>151</v>
      </c>
      <c r="C1772" t="s">
        <v>397</v>
      </c>
      <c r="D1772">
        <v>1700</v>
      </c>
      <c r="E1772">
        <v>357</v>
      </c>
      <c r="F1772">
        <v>3690546</v>
      </c>
      <c r="G1772" t="s">
        <v>875</v>
      </c>
      <c r="H1772">
        <v>1207.944</v>
      </c>
      <c r="I1772" t="s">
        <v>901</v>
      </c>
      <c r="J1772" t="s">
        <v>10</v>
      </c>
      <c r="K1772" t="s">
        <v>877</v>
      </c>
    </row>
    <row r="1773" spans="1:11" x14ac:dyDescent="0.25">
      <c r="A1773" t="s">
        <v>636</v>
      </c>
      <c r="B1773" t="s">
        <v>151</v>
      </c>
      <c r="C1773" t="s">
        <v>397</v>
      </c>
      <c r="D1773">
        <v>6590</v>
      </c>
      <c r="E1773">
        <v>2593.2869999999998</v>
      </c>
      <c r="F1773">
        <v>1940318</v>
      </c>
      <c r="G1773" t="s">
        <v>407</v>
      </c>
      <c r="H1773">
        <v>2464.66</v>
      </c>
      <c r="I1773" t="s">
        <v>710</v>
      </c>
      <c r="J1773" t="s">
        <v>10</v>
      </c>
      <c r="K1773" t="s">
        <v>711</v>
      </c>
    </row>
    <row r="1774" spans="1:11" x14ac:dyDescent="0.25">
      <c r="A1774" t="s">
        <v>821</v>
      </c>
      <c r="B1774" t="s">
        <v>177</v>
      </c>
      <c r="C1774" t="s">
        <v>397</v>
      </c>
      <c r="D1774">
        <v>1108</v>
      </c>
      <c r="E1774">
        <v>416.74299999999999</v>
      </c>
      <c r="F1774">
        <v>2359912</v>
      </c>
      <c r="G1774" t="s">
        <v>824</v>
      </c>
      <c r="H1774">
        <v>1151.212</v>
      </c>
      <c r="I1774" t="s">
        <v>825</v>
      </c>
      <c r="J1774" t="s">
        <v>10</v>
      </c>
      <c r="K1774" t="s">
        <v>826</v>
      </c>
    </row>
    <row r="1775" spans="1:11" x14ac:dyDescent="0.25">
      <c r="A1775" t="s">
        <v>415</v>
      </c>
      <c r="B1775" t="s">
        <v>9</v>
      </c>
      <c r="C1775" t="s">
        <v>397</v>
      </c>
      <c r="D1775">
        <v>935.95</v>
      </c>
      <c r="E1775">
        <v>2424.8029999999999</v>
      </c>
      <c r="F1775">
        <v>2409618</v>
      </c>
      <c r="G1775" t="s">
        <v>468</v>
      </c>
      <c r="H1775">
        <v>2278.1019999999999</v>
      </c>
      <c r="I1775" t="s">
        <v>469</v>
      </c>
      <c r="J1775" t="s">
        <v>10</v>
      </c>
      <c r="K1775" t="s">
        <v>470</v>
      </c>
    </row>
    <row r="1776" spans="1:11" x14ac:dyDescent="0.25">
      <c r="A1776" t="s">
        <v>415</v>
      </c>
      <c r="B1776" t="s">
        <v>9</v>
      </c>
      <c r="C1776" t="s">
        <v>397</v>
      </c>
      <c r="D1776">
        <v>1064.05</v>
      </c>
      <c r="E1776">
        <v>2756.6770000000001</v>
      </c>
      <c r="F1776">
        <v>2409618</v>
      </c>
      <c r="G1776" t="s">
        <v>468</v>
      </c>
      <c r="H1776">
        <v>2589.8980000000001</v>
      </c>
      <c r="I1776" t="s">
        <v>469</v>
      </c>
      <c r="J1776" t="s">
        <v>10</v>
      </c>
      <c r="K1776" t="s">
        <v>470</v>
      </c>
    </row>
    <row r="1777" spans="1:11" x14ac:dyDescent="0.25">
      <c r="A1777" t="s">
        <v>396</v>
      </c>
      <c r="B1777" t="s">
        <v>61</v>
      </c>
      <c r="C1777" t="s">
        <v>397</v>
      </c>
      <c r="D1777">
        <v>9606</v>
      </c>
      <c r="E1777">
        <v>2545.6329999999998</v>
      </c>
      <c r="F1777">
        <v>3507718</v>
      </c>
      <c r="G1777" t="s">
        <v>407</v>
      </c>
      <c r="H1777">
        <v>2418.5770000000002</v>
      </c>
      <c r="I1777" t="s">
        <v>931</v>
      </c>
      <c r="J1777" t="s">
        <v>10</v>
      </c>
      <c r="K1777" t="s">
        <v>704</v>
      </c>
    </row>
    <row r="1778" spans="1:11" x14ac:dyDescent="0.25">
      <c r="A1778" t="s">
        <v>573</v>
      </c>
      <c r="B1778" t="s">
        <v>52</v>
      </c>
      <c r="C1778" t="s">
        <v>397</v>
      </c>
      <c r="D1778">
        <v>2000</v>
      </c>
      <c r="E1778">
        <v>1623.625</v>
      </c>
      <c r="F1778">
        <v>1940743</v>
      </c>
      <c r="G1778" t="s">
        <v>860</v>
      </c>
      <c r="H1778">
        <v>2892</v>
      </c>
      <c r="I1778" t="s">
        <v>867</v>
      </c>
      <c r="J1778" t="s">
        <v>10</v>
      </c>
      <c r="K1778" t="s">
        <v>868</v>
      </c>
    </row>
    <row r="1779" spans="1:11" x14ac:dyDescent="0.25">
      <c r="A1779" t="s">
        <v>573</v>
      </c>
      <c r="B1779" t="s">
        <v>52</v>
      </c>
      <c r="C1779" t="s">
        <v>397</v>
      </c>
      <c r="D1779">
        <v>497</v>
      </c>
      <c r="E1779">
        <v>214.703</v>
      </c>
      <c r="F1779">
        <v>1903849</v>
      </c>
      <c r="G1779" t="s">
        <v>860</v>
      </c>
      <c r="H1779">
        <v>364.18</v>
      </c>
      <c r="I1779" t="s">
        <v>865</v>
      </c>
      <c r="J1779" t="s">
        <v>10</v>
      </c>
      <c r="K1779" t="s">
        <v>866</v>
      </c>
    </row>
    <row r="1780" spans="1:11" x14ac:dyDescent="0.25">
      <c r="A1780" t="s">
        <v>573</v>
      </c>
      <c r="B1780" t="s">
        <v>52</v>
      </c>
      <c r="C1780" t="s">
        <v>397</v>
      </c>
      <c r="D1780">
        <v>1343</v>
      </c>
      <c r="E1780">
        <v>279.346</v>
      </c>
      <c r="F1780">
        <v>3722021</v>
      </c>
      <c r="G1780" t="s">
        <v>875</v>
      </c>
      <c r="H1780">
        <v>945.50199999999995</v>
      </c>
      <c r="I1780" t="s">
        <v>884</v>
      </c>
      <c r="J1780" t="s">
        <v>10</v>
      </c>
      <c r="K1780" t="s">
        <v>885</v>
      </c>
    </row>
    <row r="1781" spans="1:11" x14ac:dyDescent="0.25">
      <c r="A1781" t="s">
        <v>732</v>
      </c>
      <c r="B1781" t="s">
        <v>25</v>
      </c>
      <c r="C1781" t="s">
        <v>397</v>
      </c>
      <c r="D1781">
        <v>31.288</v>
      </c>
      <c r="E1781">
        <v>38.234000000000002</v>
      </c>
      <c r="F1781">
        <v>3533249</v>
      </c>
      <c r="G1781" t="s">
        <v>412</v>
      </c>
      <c r="H1781">
        <v>30</v>
      </c>
      <c r="I1781" t="s">
        <v>733</v>
      </c>
      <c r="J1781" t="s">
        <v>10</v>
      </c>
      <c r="K1781" t="s">
        <v>734</v>
      </c>
    </row>
    <row r="1782" spans="1:11" x14ac:dyDescent="0.25">
      <c r="A1782" t="s">
        <v>732</v>
      </c>
      <c r="B1782" t="s">
        <v>25</v>
      </c>
      <c r="C1782" t="s">
        <v>397</v>
      </c>
      <c r="D1782">
        <v>1928.712</v>
      </c>
      <c r="E1782">
        <v>2356.8809999999999</v>
      </c>
      <c r="F1782">
        <v>3533249</v>
      </c>
      <c r="G1782" t="s">
        <v>412</v>
      </c>
      <c r="H1782">
        <v>1849.3130000000001</v>
      </c>
      <c r="I1782" t="s">
        <v>733</v>
      </c>
      <c r="J1782" t="s">
        <v>10</v>
      </c>
      <c r="K1782" t="s">
        <v>734</v>
      </c>
    </row>
    <row r="1783" spans="1:11" x14ac:dyDescent="0.25">
      <c r="A1783" t="s">
        <v>732</v>
      </c>
      <c r="B1783" t="s">
        <v>25</v>
      </c>
      <c r="C1783" t="s">
        <v>397</v>
      </c>
      <c r="D1783">
        <v>1620</v>
      </c>
      <c r="E1783">
        <v>2089.8180000000002</v>
      </c>
      <c r="F1783">
        <v>3533248</v>
      </c>
      <c r="G1783" t="s">
        <v>412</v>
      </c>
      <c r="H1783">
        <v>1639.7639999999999</v>
      </c>
      <c r="I1783" t="s">
        <v>735</v>
      </c>
      <c r="J1783" t="s">
        <v>10</v>
      </c>
      <c r="K1783" t="s">
        <v>736</v>
      </c>
    </row>
    <row r="1784" spans="1:11" x14ac:dyDescent="0.25">
      <c r="A1784" t="s">
        <v>415</v>
      </c>
      <c r="B1784" t="s">
        <v>9</v>
      </c>
      <c r="C1784" t="s">
        <v>397</v>
      </c>
      <c r="D1784">
        <v>687.29100000000005</v>
      </c>
      <c r="E1784">
        <v>1780.5920000000001</v>
      </c>
      <c r="F1784">
        <v>2409618</v>
      </c>
      <c r="G1784" t="s">
        <v>468</v>
      </c>
      <c r="H1784">
        <v>1672.866</v>
      </c>
      <c r="I1784" t="s">
        <v>469</v>
      </c>
      <c r="J1784" t="s">
        <v>10</v>
      </c>
      <c r="K1784" t="s">
        <v>470</v>
      </c>
    </row>
    <row r="1785" spans="1:11" x14ac:dyDescent="0.25">
      <c r="A1785" t="s">
        <v>415</v>
      </c>
      <c r="B1785" t="s">
        <v>9</v>
      </c>
      <c r="C1785" t="s">
        <v>397</v>
      </c>
      <c r="D1785">
        <v>266.709</v>
      </c>
      <c r="E1785">
        <v>690.97400000000005</v>
      </c>
      <c r="F1785">
        <v>2409618</v>
      </c>
      <c r="G1785" t="s">
        <v>468</v>
      </c>
      <c r="H1785">
        <v>649.16999999999996</v>
      </c>
      <c r="I1785" t="s">
        <v>469</v>
      </c>
      <c r="J1785" t="s">
        <v>10</v>
      </c>
      <c r="K1785" t="s">
        <v>470</v>
      </c>
    </row>
    <row r="1786" spans="1:11" x14ac:dyDescent="0.25">
      <c r="A1786" t="s">
        <v>636</v>
      </c>
      <c r="B1786" t="s">
        <v>151</v>
      </c>
      <c r="C1786" t="s">
        <v>397</v>
      </c>
      <c r="D1786">
        <v>3710.4740000000002</v>
      </c>
      <c r="E1786">
        <v>779.19899999999996</v>
      </c>
      <c r="F1786">
        <v>3690546</v>
      </c>
      <c r="G1786" t="s">
        <v>875</v>
      </c>
      <c r="H1786">
        <v>2636.498</v>
      </c>
      <c r="I1786" t="s">
        <v>901</v>
      </c>
      <c r="J1786" t="s">
        <v>10</v>
      </c>
      <c r="K1786" t="s">
        <v>877</v>
      </c>
    </row>
    <row r="1787" spans="1:11" x14ac:dyDescent="0.25">
      <c r="A1787" t="s">
        <v>636</v>
      </c>
      <c r="B1787" t="s">
        <v>151</v>
      </c>
      <c r="C1787" t="s">
        <v>397</v>
      </c>
      <c r="D1787">
        <v>765.52599999999995</v>
      </c>
      <c r="E1787">
        <v>160.76</v>
      </c>
      <c r="F1787">
        <v>3690546</v>
      </c>
      <c r="G1787" t="s">
        <v>875</v>
      </c>
      <c r="H1787">
        <v>543.94899999999996</v>
      </c>
      <c r="I1787" t="s">
        <v>901</v>
      </c>
      <c r="J1787" t="s">
        <v>10</v>
      </c>
      <c r="K1787" t="s">
        <v>877</v>
      </c>
    </row>
    <row r="1788" spans="1:11" x14ac:dyDescent="0.25">
      <c r="A1788" t="s">
        <v>636</v>
      </c>
      <c r="B1788" t="s">
        <v>151</v>
      </c>
      <c r="C1788" t="s">
        <v>397</v>
      </c>
      <c r="D1788">
        <v>1100</v>
      </c>
      <c r="E1788">
        <v>1254.0119999999999</v>
      </c>
      <c r="F1788">
        <v>3711330</v>
      </c>
      <c r="G1788" t="s">
        <v>920</v>
      </c>
      <c r="H1788">
        <v>4657.3999999999996</v>
      </c>
      <c r="I1788" t="s">
        <v>925</v>
      </c>
      <c r="J1788" t="s">
        <v>10</v>
      </c>
      <c r="K1788" t="s">
        <v>922</v>
      </c>
    </row>
    <row r="1789" spans="1:11" x14ac:dyDescent="0.25">
      <c r="A1789" t="s">
        <v>636</v>
      </c>
      <c r="B1789" t="s">
        <v>151</v>
      </c>
      <c r="C1789" t="s">
        <v>397</v>
      </c>
      <c r="D1789">
        <v>300</v>
      </c>
      <c r="E1789">
        <v>147</v>
      </c>
      <c r="F1789">
        <v>3781610</v>
      </c>
      <c r="G1789" t="s">
        <v>914</v>
      </c>
      <c r="H1789">
        <v>751.83</v>
      </c>
      <c r="I1789" t="s">
        <v>915</v>
      </c>
      <c r="J1789" t="s">
        <v>10</v>
      </c>
      <c r="K1789" t="s">
        <v>916</v>
      </c>
    </row>
    <row r="1790" spans="1:11" x14ac:dyDescent="0.25">
      <c r="A1790" t="s">
        <v>636</v>
      </c>
      <c r="B1790" t="s">
        <v>151</v>
      </c>
      <c r="C1790" t="s">
        <v>397</v>
      </c>
      <c r="D1790">
        <v>2500</v>
      </c>
      <c r="E1790">
        <v>2029.5309999999999</v>
      </c>
      <c r="F1790">
        <v>1940743</v>
      </c>
      <c r="G1790" t="s">
        <v>860</v>
      </c>
      <c r="H1790">
        <v>3615</v>
      </c>
      <c r="I1790" t="s">
        <v>867</v>
      </c>
      <c r="J1790" t="s">
        <v>10</v>
      </c>
      <c r="K1790" t="s">
        <v>868</v>
      </c>
    </row>
    <row r="1791" spans="1:11" x14ac:dyDescent="0.25">
      <c r="A1791" t="s">
        <v>854</v>
      </c>
      <c r="B1791" t="s">
        <v>18</v>
      </c>
      <c r="C1791" t="s">
        <v>397</v>
      </c>
      <c r="D1791">
        <v>1936</v>
      </c>
      <c r="E1791">
        <v>2249.643</v>
      </c>
      <c r="F1791">
        <v>3781676</v>
      </c>
      <c r="G1791" t="s">
        <v>607</v>
      </c>
      <c r="H1791">
        <v>1354.06</v>
      </c>
      <c r="I1791" t="s">
        <v>932</v>
      </c>
      <c r="J1791" t="s">
        <v>10</v>
      </c>
      <c r="K1791" t="s">
        <v>933</v>
      </c>
    </row>
    <row r="1792" spans="1:11" x14ac:dyDescent="0.25">
      <c r="A1792" t="s">
        <v>401</v>
      </c>
      <c r="B1792" t="s">
        <v>17</v>
      </c>
      <c r="C1792" t="s">
        <v>397</v>
      </c>
      <c r="D1792">
        <v>1000</v>
      </c>
      <c r="E1792">
        <v>302.99700000000001</v>
      </c>
      <c r="F1792">
        <v>3781671</v>
      </c>
      <c r="G1792" t="s">
        <v>407</v>
      </c>
      <c r="H1792">
        <v>277</v>
      </c>
      <c r="I1792" t="s">
        <v>709</v>
      </c>
      <c r="J1792" t="s">
        <v>10</v>
      </c>
      <c r="K1792" t="s">
        <v>708</v>
      </c>
    </row>
    <row r="1793" spans="1:11" x14ac:dyDescent="0.25">
      <c r="A1793" t="s">
        <v>401</v>
      </c>
      <c r="B1793" t="s">
        <v>17</v>
      </c>
      <c r="C1793" t="s">
        <v>397</v>
      </c>
      <c r="D1793">
        <v>1000</v>
      </c>
      <c r="E1793">
        <v>285.00400000000002</v>
      </c>
      <c r="F1793">
        <v>2427711</v>
      </c>
      <c r="G1793" t="s">
        <v>407</v>
      </c>
      <c r="H1793">
        <v>265.767</v>
      </c>
      <c r="I1793" t="s">
        <v>705</v>
      </c>
      <c r="J1793" t="s">
        <v>10</v>
      </c>
      <c r="K1793" t="s">
        <v>706</v>
      </c>
    </row>
    <row r="1794" spans="1:11" x14ac:dyDescent="0.25">
      <c r="A1794" t="s">
        <v>732</v>
      </c>
      <c r="B1794" t="s">
        <v>25</v>
      </c>
      <c r="C1794" t="s">
        <v>397</v>
      </c>
      <c r="D1794">
        <v>526</v>
      </c>
      <c r="E1794">
        <v>642.77099999999996</v>
      </c>
      <c r="F1794">
        <v>3533249</v>
      </c>
      <c r="G1794" t="s">
        <v>412</v>
      </c>
      <c r="H1794">
        <v>504.346</v>
      </c>
      <c r="I1794" t="s">
        <v>733</v>
      </c>
      <c r="J1794" t="s">
        <v>10</v>
      </c>
      <c r="K1794" t="s">
        <v>734</v>
      </c>
    </row>
    <row r="1795" spans="1:11" x14ac:dyDescent="0.25">
      <c r="A1795" t="s">
        <v>556</v>
      </c>
      <c r="B1795" t="s">
        <v>151</v>
      </c>
      <c r="C1795" t="s">
        <v>397</v>
      </c>
      <c r="D1795">
        <v>1800</v>
      </c>
      <c r="E1795">
        <v>2457.0149999999999</v>
      </c>
      <c r="F1795">
        <v>3781680</v>
      </c>
      <c r="G1795" t="s">
        <v>904</v>
      </c>
      <c r="H1795">
        <v>7325.1</v>
      </c>
      <c r="I1795" t="s">
        <v>905</v>
      </c>
      <c r="J1795" t="s">
        <v>10</v>
      </c>
      <c r="K1795" t="s">
        <v>906</v>
      </c>
    </row>
    <row r="1796" spans="1:11" x14ac:dyDescent="0.25">
      <c r="A1796" t="s">
        <v>573</v>
      </c>
      <c r="B1796" t="s">
        <v>52</v>
      </c>
      <c r="C1796" t="s">
        <v>397</v>
      </c>
      <c r="D1796">
        <v>1147.6690000000001</v>
      </c>
      <c r="E1796">
        <v>931.69200000000001</v>
      </c>
      <c r="F1796">
        <v>1940743</v>
      </c>
      <c r="G1796" t="s">
        <v>860</v>
      </c>
      <c r="H1796">
        <v>1659.529</v>
      </c>
      <c r="I1796" t="s">
        <v>867</v>
      </c>
      <c r="J1796" t="s">
        <v>10</v>
      </c>
      <c r="K1796" t="s">
        <v>868</v>
      </c>
    </row>
    <row r="1797" spans="1:11" x14ac:dyDescent="0.25">
      <c r="A1797" t="s">
        <v>573</v>
      </c>
      <c r="B1797" t="s">
        <v>52</v>
      </c>
      <c r="C1797" t="s">
        <v>397</v>
      </c>
      <c r="D1797">
        <v>2852.3310000000001</v>
      </c>
      <c r="E1797">
        <v>2315.5569999999998</v>
      </c>
      <c r="F1797">
        <v>1940743</v>
      </c>
      <c r="G1797" t="s">
        <v>860</v>
      </c>
      <c r="H1797">
        <v>4124.4709999999995</v>
      </c>
      <c r="I1797" t="s">
        <v>867</v>
      </c>
      <c r="J1797" t="s">
        <v>10</v>
      </c>
      <c r="K1797" t="s">
        <v>868</v>
      </c>
    </row>
    <row r="1798" spans="1:11" x14ac:dyDescent="0.25">
      <c r="A1798" t="s">
        <v>573</v>
      </c>
      <c r="B1798" t="s">
        <v>52</v>
      </c>
      <c r="C1798" t="s">
        <v>397</v>
      </c>
      <c r="D1798">
        <v>2000</v>
      </c>
      <c r="E1798">
        <v>710.20299999999997</v>
      </c>
      <c r="F1798">
        <v>1940588</v>
      </c>
      <c r="G1798" t="s">
        <v>737</v>
      </c>
      <c r="H1798">
        <v>820</v>
      </c>
      <c r="I1798" t="s">
        <v>797</v>
      </c>
      <c r="J1798" t="s">
        <v>10</v>
      </c>
      <c r="K1798" t="s">
        <v>798</v>
      </c>
    </row>
    <row r="1799" spans="1:11" x14ac:dyDescent="0.25">
      <c r="A1799" t="s">
        <v>573</v>
      </c>
      <c r="B1799" t="s">
        <v>52</v>
      </c>
      <c r="C1799" t="s">
        <v>397</v>
      </c>
      <c r="D1799">
        <v>783.99800000000005</v>
      </c>
      <c r="E1799">
        <v>338.68599999999998</v>
      </c>
      <c r="F1799">
        <v>1903849</v>
      </c>
      <c r="G1799" t="s">
        <v>860</v>
      </c>
      <c r="H1799">
        <v>574.47900000000004</v>
      </c>
      <c r="I1799" t="s">
        <v>865</v>
      </c>
      <c r="J1799" t="s">
        <v>10</v>
      </c>
      <c r="K1799" t="s">
        <v>866</v>
      </c>
    </row>
    <row r="1800" spans="1:11" x14ac:dyDescent="0.25">
      <c r="A1800" t="s">
        <v>573</v>
      </c>
      <c r="B1800" t="s">
        <v>52</v>
      </c>
      <c r="C1800" t="s">
        <v>397</v>
      </c>
      <c r="D1800">
        <v>1216.002</v>
      </c>
      <c r="E1800">
        <v>525.31100000000004</v>
      </c>
      <c r="F1800">
        <v>1903849</v>
      </c>
      <c r="G1800" t="s">
        <v>860</v>
      </c>
      <c r="H1800">
        <v>891.03200000000004</v>
      </c>
      <c r="I1800" t="s">
        <v>865</v>
      </c>
      <c r="J1800" t="s">
        <v>10</v>
      </c>
      <c r="K1800" t="s">
        <v>866</v>
      </c>
    </row>
    <row r="1801" spans="1:11" x14ac:dyDescent="0.25">
      <c r="A1801" t="s">
        <v>396</v>
      </c>
      <c r="B1801" t="s">
        <v>61</v>
      </c>
      <c r="C1801" t="s">
        <v>397</v>
      </c>
      <c r="D1801">
        <v>4000</v>
      </c>
      <c r="E1801">
        <v>1178.451</v>
      </c>
      <c r="F1801">
        <v>1940312</v>
      </c>
      <c r="G1801" t="s">
        <v>407</v>
      </c>
      <c r="H1801">
        <v>1120</v>
      </c>
      <c r="I1801" t="s">
        <v>410</v>
      </c>
      <c r="J1801" t="s">
        <v>10</v>
      </c>
      <c r="K1801" t="s">
        <v>411</v>
      </c>
    </row>
    <row r="1802" spans="1:11" x14ac:dyDescent="0.25">
      <c r="A1802" t="s">
        <v>396</v>
      </c>
      <c r="B1802" t="s">
        <v>61</v>
      </c>
      <c r="C1802" t="s">
        <v>397</v>
      </c>
      <c r="D1802">
        <v>2780</v>
      </c>
      <c r="E1802">
        <v>1635.683</v>
      </c>
      <c r="F1802">
        <v>1938191</v>
      </c>
      <c r="G1802" t="s">
        <v>590</v>
      </c>
      <c r="H1802">
        <v>2065.54</v>
      </c>
      <c r="I1802" t="s">
        <v>591</v>
      </c>
      <c r="J1802" t="s">
        <v>10</v>
      </c>
      <c r="K1802" t="s">
        <v>592</v>
      </c>
    </row>
    <row r="1803" spans="1:11" x14ac:dyDescent="0.25">
      <c r="A1803" t="s">
        <v>636</v>
      </c>
      <c r="B1803" t="s">
        <v>151</v>
      </c>
      <c r="C1803" t="s">
        <v>397</v>
      </c>
      <c r="D1803">
        <v>4990</v>
      </c>
      <c r="E1803">
        <v>2121.145</v>
      </c>
      <c r="F1803">
        <v>1940738</v>
      </c>
      <c r="G1803" t="s">
        <v>860</v>
      </c>
      <c r="H1803">
        <v>3687.61</v>
      </c>
      <c r="I1803" t="s">
        <v>863</v>
      </c>
      <c r="J1803" t="s">
        <v>10</v>
      </c>
      <c r="K1803" t="s">
        <v>864</v>
      </c>
    </row>
    <row r="1804" spans="1:11" x14ac:dyDescent="0.25">
      <c r="A1804" t="s">
        <v>636</v>
      </c>
      <c r="B1804" t="s">
        <v>151</v>
      </c>
      <c r="C1804" t="s">
        <v>397</v>
      </c>
      <c r="D1804">
        <v>10</v>
      </c>
      <c r="E1804">
        <v>4.2510000000000003</v>
      </c>
      <c r="F1804">
        <v>1940738</v>
      </c>
      <c r="G1804" t="s">
        <v>860</v>
      </c>
      <c r="H1804">
        <v>7.39</v>
      </c>
      <c r="I1804" t="s">
        <v>863</v>
      </c>
      <c r="J1804" t="s">
        <v>10</v>
      </c>
      <c r="K1804" t="s">
        <v>864</v>
      </c>
    </row>
    <row r="1805" spans="1:11" x14ac:dyDescent="0.25">
      <c r="A1805" t="s">
        <v>573</v>
      </c>
      <c r="B1805" t="s">
        <v>52</v>
      </c>
      <c r="C1805" t="s">
        <v>397</v>
      </c>
      <c r="D1805">
        <v>3999.5590000000002</v>
      </c>
      <c r="E1805">
        <v>1727.8030000000001</v>
      </c>
      <c r="F1805">
        <v>1903849</v>
      </c>
      <c r="G1805" t="s">
        <v>860</v>
      </c>
      <c r="H1805">
        <v>2930.6990000000001</v>
      </c>
      <c r="I1805" t="s">
        <v>865</v>
      </c>
      <c r="J1805" t="s">
        <v>10</v>
      </c>
      <c r="K1805" t="s">
        <v>866</v>
      </c>
    </row>
    <row r="1806" spans="1:11" x14ac:dyDescent="0.25">
      <c r="A1806" t="s">
        <v>573</v>
      </c>
      <c r="B1806" t="s">
        <v>52</v>
      </c>
      <c r="C1806" t="s">
        <v>397</v>
      </c>
      <c r="D1806">
        <v>1000.441</v>
      </c>
      <c r="E1806">
        <v>432.18900000000002</v>
      </c>
      <c r="F1806">
        <v>1903849</v>
      </c>
      <c r="G1806" t="s">
        <v>860</v>
      </c>
      <c r="H1806">
        <v>733.07899999999995</v>
      </c>
      <c r="I1806" t="s">
        <v>865</v>
      </c>
      <c r="J1806" t="s">
        <v>10</v>
      </c>
      <c r="K1806" t="s">
        <v>866</v>
      </c>
    </row>
    <row r="1807" spans="1:11" x14ac:dyDescent="0.25">
      <c r="A1807" t="s">
        <v>573</v>
      </c>
      <c r="B1807" t="s">
        <v>52</v>
      </c>
      <c r="C1807" t="s">
        <v>397</v>
      </c>
      <c r="D1807">
        <v>3000</v>
      </c>
      <c r="E1807">
        <v>1065.3040000000001</v>
      </c>
      <c r="F1807">
        <v>1940588</v>
      </c>
      <c r="G1807" t="s">
        <v>737</v>
      </c>
      <c r="H1807">
        <v>1230</v>
      </c>
      <c r="I1807" t="s">
        <v>797</v>
      </c>
      <c r="J1807" t="s">
        <v>10</v>
      </c>
      <c r="K1807" t="s">
        <v>798</v>
      </c>
    </row>
    <row r="1808" spans="1:11" x14ac:dyDescent="0.25">
      <c r="A1808" t="s">
        <v>636</v>
      </c>
      <c r="B1808" t="s">
        <v>151</v>
      </c>
      <c r="C1808" t="s">
        <v>397</v>
      </c>
      <c r="D1808">
        <v>460</v>
      </c>
      <c r="E1808">
        <v>225.4</v>
      </c>
      <c r="F1808">
        <v>3781610</v>
      </c>
      <c r="G1808" t="s">
        <v>914</v>
      </c>
      <c r="H1808">
        <v>1152.806</v>
      </c>
      <c r="I1808" t="s">
        <v>915</v>
      </c>
      <c r="J1808" t="s">
        <v>10</v>
      </c>
      <c r="K1808" t="s">
        <v>916</v>
      </c>
    </row>
    <row r="1809" spans="1:11" x14ac:dyDescent="0.25">
      <c r="A1809" t="s">
        <v>636</v>
      </c>
      <c r="B1809" t="s">
        <v>151</v>
      </c>
      <c r="C1809" t="s">
        <v>397</v>
      </c>
      <c r="D1809">
        <v>3000</v>
      </c>
      <c r="E1809">
        <v>2435.4369999999999</v>
      </c>
      <c r="F1809">
        <v>1940743</v>
      </c>
      <c r="G1809" t="s">
        <v>860</v>
      </c>
      <c r="H1809">
        <v>4338</v>
      </c>
      <c r="I1809" t="s">
        <v>867</v>
      </c>
      <c r="J1809" t="s">
        <v>10</v>
      </c>
      <c r="K1809" t="s">
        <v>868</v>
      </c>
    </row>
    <row r="1810" spans="1:11" x14ac:dyDescent="0.25">
      <c r="A1810" t="s">
        <v>757</v>
      </c>
      <c r="B1810" t="s">
        <v>53</v>
      </c>
      <c r="C1810" t="s">
        <v>397</v>
      </c>
      <c r="D1810">
        <v>2000</v>
      </c>
      <c r="E1810">
        <v>429.99700000000001</v>
      </c>
      <c r="F1810">
        <v>3901714</v>
      </c>
      <c r="G1810" t="s">
        <v>891</v>
      </c>
      <c r="H1810">
        <v>1641.556</v>
      </c>
      <c r="I1810" t="s">
        <v>902</v>
      </c>
      <c r="J1810" t="s">
        <v>10</v>
      </c>
      <c r="K1810" t="s">
        <v>903</v>
      </c>
    </row>
    <row r="1811" spans="1:11" x14ac:dyDescent="0.25">
      <c r="A1811" t="s">
        <v>757</v>
      </c>
      <c r="B1811" t="s">
        <v>53</v>
      </c>
      <c r="C1811" t="s">
        <v>397</v>
      </c>
      <c r="D1811">
        <v>1500</v>
      </c>
      <c r="E1811">
        <v>1274.9580000000001</v>
      </c>
      <c r="F1811">
        <v>3910648</v>
      </c>
      <c r="G1811" t="s">
        <v>886</v>
      </c>
      <c r="H1811">
        <v>3162.15</v>
      </c>
      <c r="I1811" t="s">
        <v>887</v>
      </c>
      <c r="J1811" t="s">
        <v>10</v>
      </c>
      <c r="K1811" t="s">
        <v>888</v>
      </c>
    </row>
    <row r="1812" spans="1:11" x14ac:dyDescent="0.25">
      <c r="A1812" t="s">
        <v>757</v>
      </c>
      <c r="B1812" t="s">
        <v>53</v>
      </c>
      <c r="C1812" t="s">
        <v>397</v>
      </c>
      <c r="D1812">
        <v>1000</v>
      </c>
      <c r="E1812">
        <v>863.55399999999997</v>
      </c>
      <c r="F1812">
        <v>3910649</v>
      </c>
      <c r="G1812" t="s">
        <v>770</v>
      </c>
      <c r="H1812">
        <v>862</v>
      </c>
      <c r="I1812" t="s">
        <v>773</v>
      </c>
      <c r="J1812" t="s">
        <v>10</v>
      </c>
      <c r="K1812" t="s">
        <v>774</v>
      </c>
    </row>
    <row r="1813" spans="1:11" x14ac:dyDescent="0.25">
      <c r="A1813" t="s">
        <v>757</v>
      </c>
      <c r="B1813" t="s">
        <v>53</v>
      </c>
      <c r="C1813" t="s">
        <v>397</v>
      </c>
      <c r="D1813">
        <v>2000</v>
      </c>
      <c r="E1813">
        <v>1711.08</v>
      </c>
      <c r="F1813">
        <v>3910650</v>
      </c>
      <c r="G1813" t="s">
        <v>770</v>
      </c>
      <c r="H1813">
        <v>1708</v>
      </c>
      <c r="I1813" t="s">
        <v>771</v>
      </c>
      <c r="J1813" t="s">
        <v>10</v>
      </c>
      <c r="K1813" t="s">
        <v>772</v>
      </c>
    </row>
    <row r="1814" spans="1:11" x14ac:dyDescent="0.25">
      <c r="A1814" t="s">
        <v>757</v>
      </c>
      <c r="B1814" t="s">
        <v>53</v>
      </c>
      <c r="C1814" t="s">
        <v>397</v>
      </c>
      <c r="D1814">
        <v>3000</v>
      </c>
      <c r="E1814">
        <v>1253.998</v>
      </c>
      <c r="F1814">
        <v>3926270</v>
      </c>
      <c r="G1814" t="s">
        <v>737</v>
      </c>
      <c r="H1814">
        <v>1414.133</v>
      </c>
      <c r="I1814" t="s">
        <v>804</v>
      </c>
      <c r="J1814" t="s">
        <v>10</v>
      </c>
      <c r="K1814" t="s">
        <v>805</v>
      </c>
    </row>
    <row r="1815" spans="1:11" x14ac:dyDescent="0.25">
      <c r="A1815" t="s">
        <v>517</v>
      </c>
      <c r="B1815" t="s">
        <v>19</v>
      </c>
      <c r="C1815" t="s">
        <v>397</v>
      </c>
      <c r="D1815">
        <v>975</v>
      </c>
      <c r="E1815">
        <v>695.16399999999999</v>
      </c>
      <c r="F1815">
        <v>3783938</v>
      </c>
      <c r="G1815" t="s">
        <v>909</v>
      </c>
      <c r="H1815">
        <v>1845.3820000000001</v>
      </c>
      <c r="I1815" t="s">
        <v>912</v>
      </c>
      <c r="J1815" t="s">
        <v>10</v>
      </c>
      <c r="K1815" t="s">
        <v>913</v>
      </c>
    </row>
    <row r="1816" spans="1:11" x14ac:dyDescent="0.25">
      <c r="A1816" t="s">
        <v>732</v>
      </c>
      <c r="B1816" t="s">
        <v>25</v>
      </c>
      <c r="C1816" t="s">
        <v>397</v>
      </c>
      <c r="D1816">
        <v>1000</v>
      </c>
      <c r="E1816">
        <v>739.00400000000002</v>
      </c>
      <c r="F1816">
        <v>3984123</v>
      </c>
      <c r="G1816" t="s">
        <v>407</v>
      </c>
      <c r="H1816">
        <v>702.11099999999999</v>
      </c>
      <c r="I1816" t="s">
        <v>6603</v>
      </c>
      <c r="J1816" t="s">
        <v>10</v>
      </c>
      <c r="K1816" t="s">
        <v>3743</v>
      </c>
    </row>
    <row r="1817" spans="1:11" x14ac:dyDescent="0.25">
      <c r="A1817" t="s">
        <v>732</v>
      </c>
      <c r="B1817" t="s">
        <v>25</v>
      </c>
      <c r="C1817" t="s">
        <v>397</v>
      </c>
      <c r="D1817">
        <v>1000</v>
      </c>
      <c r="E1817">
        <v>887.00300000000004</v>
      </c>
      <c r="F1817">
        <v>3984124</v>
      </c>
      <c r="G1817" t="s">
        <v>407</v>
      </c>
      <c r="H1817">
        <v>842.72199999999998</v>
      </c>
      <c r="I1817" t="s">
        <v>6604</v>
      </c>
      <c r="J1817" t="s">
        <v>10</v>
      </c>
      <c r="K1817" t="s">
        <v>3746</v>
      </c>
    </row>
    <row r="1818" spans="1:11" x14ac:dyDescent="0.25">
      <c r="A1818" t="s">
        <v>636</v>
      </c>
      <c r="B1818" t="s">
        <v>151</v>
      </c>
      <c r="C1818" t="s">
        <v>397</v>
      </c>
      <c r="D1818">
        <v>500</v>
      </c>
      <c r="E1818">
        <v>117.998</v>
      </c>
      <c r="F1818">
        <v>3784473</v>
      </c>
      <c r="G1818" t="s">
        <v>872</v>
      </c>
      <c r="H1818">
        <v>676.4</v>
      </c>
      <c r="I1818" t="s">
        <v>873</v>
      </c>
      <c r="J1818" t="s">
        <v>10</v>
      </c>
      <c r="K1818" t="s">
        <v>874</v>
      </c>
    </row>
    <row r="1819" spans="1:11" x14ac:dyDescent="0.25">
      <c r="A1819" t="s">
        <v>396</v>
      </c>
      <c r="B1819" t="s">
        <v>61</v>
      </c>
      <c r="C1819" t="s">
        <v>397</v>
      </c>
      <c r="D1819">
        <v>5183</v>
      </c>
      <c r="E1819">
        <v>1526.9780000000001</v>
      </c>
      <c r="F1819">
        <v>1940312</v>
      </c>
      <c r="G1819" t="s">
        <v>407</v>
      </c>
      <c r="H1819">
        <v>1451.24</v>
      </c>
      <c r="I1819" t="s">
        <v>410</v>
      </c>
      <c r="J1819" t="s">
        <v>10</v>
      </c>
      <c r="K1819" t="s">
        <v>411</v>
      </c>
    </row>
    <row r="1820" spans="1:11" x14ac:dyDescent="0.25">
      <c r="A1820" t="s">
        <v>396</v>
      </c>
      <c r="B1820" t="s">
        <v>61</v>
      </c>
      <c r="C1820" t="s">
        <v>397</v>
      </c>
      <c r="D1820">
        <v>643.75900000000001</v>
      </c>
      <c r="E1820">
        <v>180.899</v>
      </c>
      <c r="F1820">
        <v>1940584</v>
      </c>
      <c r="G1820" t="s">
        <v>737</v>
      </c>
      <c r="H1820">
        <v>204</v>
      </c>
      <c r="I1820" t="s">
        <v>779</v>
      </c>
      <c r="J1820" t="s">
        <v>10</v>
      </c>
      <c r="K1820" t="s">
        <v>780</v>
      </c>
    </row>
    <row r="1821" spans="1:11" x14ac:dyDescent="0.25">
      <c r="A1821" t="s">
        <v>396</v>
      </c>
      <c r="B1821" t="s">
        <v>61</v>
      </c>
      <c r="C1821" t="s">
        <v>397</v>
      </c>
      <c r="D1821">
        <v>1356.241</v>
      </c>
      <c r="E1821">
        <v>381.11</v>
      </c>
      <c r="F1821">
        <v>1940584</v>
      </c>
      <c r="G1821" t="s">
        <v>737</v>
      </c>
      <c r="H1821">
        <v>429.77800000000002</v>
      </c>
      <c r="I1821" t="s">
        <v>779</v>
      </c>
      <c r="J1821" t="s">
        <v>10</v>
      </c>
      <c r="K1821" t="s">
        <v>780</v>
      </c>
    </row>
    <row r="1822" spans="1:11" x14ac:dyDescent="0.25">
      <c r="A1822" t="s">
        <v>573</v>
      </c>
      <c r="B1822" t="s">
        <v>52</v>
      </c>
      <c r="C1822" t="s">
        <v>397</v>
      </c>
      <c r="D1822">
        <v>2000</v>
      </c>
      <c r="E1822">
        <v>1623.625</v>
      </c>
      <c r="F1822">
        <v>1940743</v>
      </c>
      <c r="G1822" t="s">
        <v>860</v>
      </c>
      <c r="H1822">
        <v>2892</v>
      </c>
      <c r="I1822" t="s">
        <v>867</v>
      </c>
      <c r="J1822" t="s">
        <v>10</v>
      </c>
      <c r="K1822" t="s">
        <v>868</v>
      </c>
    </row>
    <row r="1823" spans="1:11" x14ac:dyDescent="0.25">
      <c r="A1823" t="s">
        <v>573</v>
      </c>
      <c r="B1823" t="s">
        <v>52</v>
      </c>
      <c r="C1823" t="s">
        <v>397</v>
      </c>
      <c r="D1823">
        <v>2004</v>
      </c>
      <c r="E1823">
        <v>711.62300000000005</v>
      </c>
      <c r="F1823">
        <v>1940588</v>
      </c>
      <c r="G1823" t="s">
        <v>737</v>
      </c>
      <c r="H1823">
        <v>821.64</v>
      </c>
      <c r="I1823" t="s">
        <v>797</v>
      </c>
      <c r="J1823" t="s">
        <v>10</v>
      </c>
      <c r="K1823" t="s">
        <v>798</v>
      </c>
    </row>
    <row r="1824" spans="1:11" x14ac:dyDescent="0.25">
      <c r="A1824" t="s">
        <v>573</v>
      </c>
      <c r="B1824" t="s">
        <v>52</v>
      </c>
      <c r="C1824" t="s">
        <v>397</v>
      </c>
      <c r="D1824">
        <v>1925</v>
      </c>
      <c r="E1824">
        <v>1549.615</v>
      </c>
      <c r="F1824">
        <v>3694069</v>
      </c>
      <c r="G1824" t="s">
        <v>633</v>
      </c>
      <c r="H1824">
        <v>1543.5719999999999</v>
      </c>
      <c r="I1824" t="s">
        <v>745</v>
      </c>
      <c r="J1824" t="s">
        <v>10</v>
      </c>
      <c r="K1824" t="s">
        <v>746</v>
      </c>
    </row>
    <row r="1825" spans="1:11" x14ac:dyDescent="0.25">
      <c r="A1825" t="s">
        <v>396</v>
      </c>
      <c r="B1825" t="s">
        <v>61</v>
      </c>
      <c r="C1825" t="s">
        <v>397</v>
      </c>
      <c r="D1825">
        <v>3500</v>
      </c>
      <c r="E1825">
        <v>1031.145</v>
      </c>
      <c r="F1825">
        <v>1940312</v>
      </c>
      <c r="G1825" t="s">
        <v>407</v>
      </c>
      <c r="H1825">
        <v>980</v>
      </c>
      <c r="I1825" t="s">
        <v>410</v>
      </c>
      <c r="J1825" t="s">
        <v>10</v>
      </c>
      <c r="K1825" t="s">
        <v>411</v>
      </c>
    </row>
    <row r="1826" spans="1:11" x14ac:dyDescent="0.25">
      <c r="A1826" t="s">
        <v>396</v>
      </c>
      <c r="B1826" t="s">
        <v>61</v>
      </c>
      <c r="C1826" t="s">
        <v>397</v>
      </c>
      <c r="D1826">
        <v>2862.9029999999998</v>
      </c>
      <c r="E1826">
        <v>804.48900000000003</v>
      </c>
      <c r="F1826">
        <v>1940584</v>
      </c>
      <c r="G1826" t="s">
        <v>737</v>
      </c>
      <c r="H1826">
        <v>907.22199999999998</v>
      </c>
      <c r="I1826" t="s">
        <v>779</v>
      </c>
      <c r="J1826" t="s">
        <v>10</v>
      </c>
      <c r="K1826" t="s">
        <v>780</v>
      </c>
    </row>
    <row r="1827" spans="1:11" x14ac:dyDescent="0.25">
      <c r="A1827" t="s">
        <v>396</v>
      </c>
      <c r="B1827" t="s">
        <v>61</v>
      </c>
      <c r="C1827" t="s">
        <v>397</v>
      </c>
      <c r="D1827">
        <v>380.09699999999998</v>
      </c>
      <c r="E1827">
        <v>106.809</v>
      </c>
      <c r="F1827">
        <v>1940584</v>
      </c>
      <c r="G1827" t="s">
        <v>737</v>
      </c>
      <c r="H1827">
        <v>120.449</v>
      </c>
      <c r="I1827" t="s">
        <v>779</v>
      </c>
      <c r="J1827" t="s">
        <v>10</v>
      </c>
      <c r="K1827" t="s">
        <v>780</v>
      </c>
    </row>
  </sheetData>
  <phoneticPr fontId="13"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038-9394-4296-A4F8-04C117F9C832}">
  <sheetPr codeName="Sheet18"/>
  <dimension ref="A3:A32"/>
  <sheetViews>
    <sheetView workbookViewId="0">
      <selection activeCell="D14" sqref="D14"/>
    </sheetView>
  </sheetViews>
  <sheetFormatPr defaultRowHeight="15" x14ac:dyDescent="0.25"/>
  <cols>
    <col min="1" max="1" width="31.140625" bestFit="1" customWidth="1"/>
    <col min="2" max="2" width="16.7109375" bestFit="1" customWidth="1"/>
  </cols>
  <sheetData>
    <row r="3" spans="1:1" x14ac:dyDescent="0.25">
      <c r="A3" s="42" t="s">
        <v>934</v>
      </c>
    </row>
    <row r="4" spans="1:1" x14ac:dyDescent="0.25">
      <c r="A4" s="90" t="s">
        <v>283</v>
      </c>
    </row>
    <row r="5" spans="1:1" x14ac:dyDescent="0.25">
      <c r="A5" s="90" t="s">
        <v>284</v>
      </c>
    </row>
    <row r="6" spans="1:1" x14ac:dyDescent="0.25">
      <c r="A6" s="90" t="s">
        <v>287</v>
      </c>
    </row>
    <row r="7" spans="1:1" x14ac:dyDescent="0.25">
      <c r="A7" s="90" t="s">
        <v>288</v>
      </c>
    </row>
    <row r="8" spans="1:1" x14ac:dyDescent="0.25">
      <c r="A8" s="90" t="s">
        <v>25</v>
      </c>
    </row>
    <row r="9" spans="1:1" x14ac:dyDescent="0.25">
      <c r="A9" s="90" t="s">
        <v>289</v>
      </c>
    </row>
    <row r="10" spans="1:1" x14ac:dyDescent="0.25">
      <c r="A10" s="90" t="s">
        <v>290</v>
      </c>
    </row>
    <row r="11" spans="1:1" x14ac:dyDescent="0.25">
      <c r="A11" s="90" t="s">
        <v>71</v>
      </c>
    </row>
    <row r="12" spans="1:1" x14ac:dyDescent="0.25">
      <c r="A12" s="90" t="s">
        <v>291</v>
      </c>
    </row>
    <row r="13" spans="1:1" x14ac:dyDescent="0.25">
      <c r="A13" s="90" t="s">
        <v>293</v>
      </c>
    </row>
    <row r="14" spans="1:1" x14ac:dyDescent="0.25">
      <c r="A14" s="90" t="s">
        <v>295</v>
      </c>
    </row>
    <row r="15" spans="1:1" x14ac:dyDescent="0.25">
      <c r="A15" s="90" t="s">
        <v>296</v>
      </c>
    </row>
    <row r="16" spans="1:1" x14ac:dyDescent="0.25">
      <c r="A16" s="90" t="s">
        <v>297</v>
      </c>
    </row>
    <row r="17" spans="1:1" x14ac:dyDescent="0.25">
      <c r="A17" s="90" t="s">
        <v>298</v>
      </c>
    </row>
    <row r="18" spans="1:1" x14ac:dyDescent="0.25">
      <c r="A18" s="90" t="s">
        <v>299</v>
      </c>
    </row>
    <row r="19" spans="1:1" x14ac:dyDescent="0.25">
      <c r="A19" s="90" t="s">
        <v>116</v>
      </c>
    </row>
    <row r="20" spans="1:1" x14ac:dyDescent="0.25">
      <c r="A20" s="90" t="s">
        <v>91</v>
      </c>
    </row>
    <row r="21" spans="1:1" x14ac:dyDescent="0.25">
      <c r="A21" s="90" t="s">
        <v>300</v>
      </c>
    </row>
    <row r="22" spans="1:1" x14ac:dyDescent="0.25">
      <c r="A22" s="90" t="s">
        <v>95</v>
      </c>
    </row>
    <row r="23" spans="1:1" x14ac:dyDescent="0.25">
      <c r="A23" s="90" t="s">
        <v>301</v>
      </c>
    </row>
    <row r="24" spans="1:1" x14ac:dyDescent="0.25">
      <c r="A24" s="90" t="s">
        <v>302</v>
      </c>
    </row>
    <row r="25" spans="1:1" x14ac:dyDescent="0.25">
      <c r="A25" s="90" t="s">
        <v>150</v>
      </c>
    </row>
    <row r="26" spans="1:1" x14ac:dyDescent="0.25">
      <c r="A26" s="90" t="s">
        <v>303</v>
      </c>
    </row>
    <row r="27" spans="1:1" x14ac:dyDescent="0.25">
      <c r="A27" s="90" t="s">
        <v>304</v>
      </c>
    </row>
    <row r="28" spans="1:1" x14ac:dyDescent="0.25">
      <c r="A28" s="90" t="s">
        <v>305</v>
      </c>
    </row>
    <row r="29" spans="1:1" x14ac:dyDescent="0.25">
      <c r="A29" s="90" t="s">
        <v>306</v>
      </c>
    </row>
    <row r="30" spans="1:1" x14ac:dyDescent="0.25">
      <c r="A30" s="90" t="s">
        <v>307</v>
      </c>
    </row>
    <row r="31" spans="1:1" x14ac:dyDescent="0.25">
      <c r="A31" s="90" t="s">
        <v>310</v>
      </c>
    </row>
    <row r="32" spans="1:1" x14ac:dyDescent="0.25">
      <c r="A32" s="90" t="s">
        <v>935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D27F1-BD0A-468C-B973-34C2581C2301}">
  <sheetPr codeName="Sheet15">
    <tabColor rgb="FFFFC000"/>
    <pageSetUpPr fitToPage="1"/>
  </sheetPr>
  <dimension ref="A1:R55"/>
  <sheetViews>
    <sheetView view="pageBreakPreview" zoomScale="60" zoomScaleNormal="100" workbookViewId="0">
      <selection activeCell="A4" sqref="A4"/>
    </sheetView>
  </sheetViews>
  <sheetFormatPr defaultRowHeight="15" x14ac:dyDescent="0.25"/>
  <cols>
    <col min="1" max="1" width="22.28515625" bestFit="1" customWidth="1"/>
    <col min="2" max="2" width="14.42578125" customWidth="1"/>
    <col min="9" max="9" width="15.5703125" bestFit="1" customWidth="1"/>
    <col min="10" max="10" width="17" bestFit="1" customWidth="1"/>
    <col min="11" max="11" width="14.7109375" bestFit="1" customWidth="1"/>
    <col min="12" max="12" width="11.5703125" bestFit="1" customWidth="1"/>
    <col min="13" max="13" width="9.5703125" bestFit="1" customWidth="1"/>
    <col min="17" max="17" width="32" bestFit="1" customWidth="1"/>
  </cols>
  <sheetData>
    <row r="1" spans="1:18" x14ac:dyDescent="0.25">
      <c r="A1" t="s">
        <v>281</v>
      </c>
      <c r="B1" t="s">
        <v>936</v>
      </c>
    </row>
    <row r="3" spans="1:18" ht="30" x14ac:dyDescent="0.25">
      <c r="A3" s="202" t="s">
        <v>281</v>
      </c>
      <c r="B3" s="101" t="s">
        <v>937</v>
      </c>
      <c r="C3" s="101" t="s">
        <v>316</v>
      </c>
      <c r="D3" s="101" t="s">
        <v>317</v>
      </c>
      <c r="E3" s="101" t="s">
        <v>938</v>
      </c>
      <c r="F3" s="101" t="s">
        <v>319</v>
      </c>
      <c r="G3" s="101" t="s">
        <v>939</v>
      </c>
      <c r="H3" s="102" t="s">
        <v>278</v>
      </c>
      <c r="I3" s="203" t="s">
        <v>940</v>
      </c>
      <c r="J3" s="191" t="s">
        <v>941</v>
      </c>
      <c r="K3" s="204" t="s">
        <v>942</v>
      </c>
      <c r="L3" s="204" t="s">
        <v>943</v>
      </c>
      <c r="M3" s="204" t="s">
        <v>944</v>
      </c>
      <c r="N3" s="204" t="s">
        <v>945</v>
      </c>
      <c r="O3" s="204" t="s">
        <v>946</v>
      </c>
      <c r="Q3" t="s">
        <v>283</v>
      </c>
      <c r="R3" t="s">
        <v>947</v>
      </c>
    </row>
    <row r="4" spans="1:18" x14ac:dyDescent="0.25">
      <c r="A4" s="15" t="e" cm="1">
        <f t="array" ref="A4">_xlfn.CHOOSECOLS(scheduleapr[],_xlfn.XMATCH(A3:M3,scheduleapr[#Headers]))</f>
        <v>#N/A</v>
      </c>
      <c r="B4" s="15"/>
      <c r="C4" s="15"/>
      <c r="D4" s="15"/>
      <c r="E4" s="15"/>
      <c r="F4" s="15"/>
      <c r="G4" s="15"/>
      <c r="H4" s="15"/>
      <c r="I4" s="15"/>
      <c r="J4" s="15"/>
      <c r="K4" s="62"/>
      <c r="L4" s="62"/>
      <c r="M4" s="62"/>
      <c r="N4" s="62"/>
      <c r="O4" s="62"/>
      <c r="Q4" t="s">
        <v>284</v>
      </c>
      <c r="R4" t="s">
        <v>948</v>
      </c>
    </row>
    <row r="5" spans="1:18" x14ac:dyDescent="0.25">
      <c r="A5" s="15"/>
      <c r="B5" s="15"/>
      <c r="C5" s="15"/>
      <c r="D5" s="15"/>
      <c r="E5" s="15"/>
      <c r="F5" s="15"/>
      <c r="G5" s="15"/>
      <c r="H5" s="15"/>
      <c r="I5" s="15"/>
      <c r="J5" s="15"/>
      <c r="K5" s="62"/>
      <c r="L5" s="62"/>
      <c r="M5" s="62"/>
      <c r="N5" s="62"/>
      <c r="O5" s="62"/>
      <c r="Q5" t="s">
        <v>164</v>
      </c>
      <c r="R5" t="s">
        <v>948</v>
      </c>
    </row>
    <row r="6" spans="1:18" x14ac:dyDescent="0.25">
      <c r="A6" s="15"/>
      <c r="B6" s="15"/>
      <c r="C6" s="15"/>
      <c r="D6" s="15"/>
      <c r="E6" s="15"/>
      <c r="F6" s="15"/>
      <c r="G6" s="15"/>
      <c r="H6" s="15"/>
      <c r="I6" s="15"/>
      <c r="J6" s="15"/>
      <c r="K6" s="62"/>
      <c r="L6" s="62"/>
      <c r="M6" s="62"/>
      <c r="N6" s="62"/>
      <c r="O6" s="62"/>
      <c r="Q6" t="s">
        <v>287</v>
      </c>
      <c r="R6" t="s">
        <v>948</v>
      </c>
    </row>
    <row r="7" spans="1:18" x14ac:dyDescent="0.25">
      <c r="A7" s="15"/>
      <c r="B7" s="15"/>
      <c r="C7" s="15"/>
      <c r="D7" s="15"/>
      <c r="E7" s="15"/>
      <c r="F7" s="15"/>
      <c r="G7" s="15"/>
      <c r="H7" s="15"/>
      <c r="I7" s="15"/>
      <c r="J7" s="15"/>
      <c r="K7" s="62"/>
      <c r="L7" s="62"/>
      <c r="M7" s="62"/>
      <c r="N7" s="62"/>
      <c r="O7" s="62"/>
      <c r="Q7" t="s">
        <v>288</v>
      </c>
      <c r="R7" t="s">
        <v>949</v>
      </c>
    </row>
    <row r="8" spans="1:18" x14ac:dyDescent="0.25">
      <c r="A8" s="15"/>
      <c r="B8" s="15"/>
      <c r="C8" s="15"/>
      <c r="D8" s="15"/>
      <c r="E8" s="15"/>
      <c r="F8" s="15"/>
      <c r="G8" s="15"/>
      <c r="H8" s="15"/>
      <c r="I8" s="15"/>
      <c r="J8" s="15"/>
      <c r="K8" s="62"/>
      <c r="L8" s="62"/>
      <c r="M8" s="62"/>
      <c r="N8" s="62"/>
      <c r="O8" s="62"/>
      <c r="Q8" t="s">
        <v>25</v>
      </c>
      <c r="R8" t="s">
        <v>950</v>
      </c>
    </row>
    <row r="9" spans="1:18" x14ac:dyDescent="0.25">
      <c r="A9" s="15"/>
      <c r="B9" s="15"/>
      <c r="C9" s="15"/>
      <c r="D9" s="15"/>
      <c r="E9" s="15"/>
      <c r="F9" s="15"/>
      <c r="G9" s="15"/>
      <c r="H9" s="15"/>
      <c r="I9" s="15"/>
      <c r="J9" s="15"/>
      <c r="K9" s="62"/>
      <c r="L9" s="62"/>
      <c r="M9" s="62"/>
      <c r="N9" s="62"/>
      <c r="O9" s="62"/>
      <c r="Q9" t="s">
        <v>289</v>
      </c>
      <c r="R9" t="s">
        <v>289</v>
      </c>
    </row>
    <row r="10" spans="1:18" x14ac:dyDescent="0.25">
      <c r="A10" s="15"/>
      <c r="B10" s="15"/>
      <c r="C10" s="15"/>
      <c r="D10" s="15"/>
      <c r="E10" s="15"/>
      <c r="F10" s="15"/>
      <c r="G10" s="15"/>
      <c r="H10" s="15"/>
      <c r="I10" s="15"/>
      <c r="J10" s="15"/>
      <c r="K10" s="62"/>
      <c r="L10" s="62"/>
      <c r="M10" s="62"/>
      <c r="N10" s="62"/>
      <c r="O10" s="62"/>
      <c r="Q10" t="s">
        <v>290</v>
      </c>
      <c r="R10" t="s">
        <v>290</v>
      </c>
    </row>
    <row r="11" spans="1:18" x14ac:dyDescent="0.25">
      <c r="A11" s="15"/>
      <c r="B11" s="15"/>
      <c r="C11" s="15"/>
      <c r="D11" s="15"/>
      <c r="E11" s="15"/>
      <c r="F11" s="15"/>
      <c r="G11" s="15"/>
      <c r="H11" s="15"/>
      <c r="I11" s="15"/>
      <c r="J11" s="15"/>
      <c r="K11" s="62"/>
      <c r="L11" s="62"/>
      <c r="M11" s="62"/>
      <c r="N11" s="62"/>
      <c r="O11" s="62"/>
      <c r="Q11" t="s">
        <v>71</v>
      </c>
      <c r="R11" t="s">
        <v>951</v>
      </c>
    </row>
    <row r="12" spans="1:18" x14ac:dyDescent="0.25">
      <c r="A12" s="15"/>
      <c r="B12" s="15"/>
      <c r="C12" s="15"/>
      <c r="D12" s="15"/>
      <c r="E12" s="15"/>
      <c r="F12" s="15"/>
      <c r="G12" s="15"/>
      <c r="H12" s="15"/>
      <c r="I12" s="15"/>
      <c r="J12" s="15"/>
      <c r="K12" s="62"/>
      <c r="L12" s="62"/>
      <c r="M12" s="62"/>
      <c r="N12" s="62"/>
      <c r="O12" s="62"/>
      <c r="Q12" t="s">
        <v>42</v>
      </c>
      <c r="R12" t="s">
        <v>952</v>
      </c>
    </row>
    <row r="13" spans="1:18" x14ac:dyDescent="0.25">
      <c r="A13" s="15"/>
      <c r="B13" s="15"/>
      <c r="C13" s="15"/>
      <c r="D13" s="15"/>
      <c r="E13" s="15"/>
      <c r="F13" s="15"/>
      <c r="G13" s="15"/>
      <c r="H13" s="15"/>
      <c r="I13" s="15"/>
      <c r="J13" s="15"/>
      <c r="K13" s="62"/>
      <c r="L13" s="62"/>
      <c r="M13" s="62"/>
      <c r="N13" s="62"/>
      <c r="O13" s="62"/>
      <c r="Q13" t="s">
        <v>953</v>
      </c>
      <c r="R13" t="s">
        <v>310</v>
      </c>
    </row>
    <row r="14" spans="1:18" x14ac:dyDescent="0.25">
      <c r="A14" s="15"/>
      <c r="B14" s="15"/>
      <c r="C14" s="15"/>
      <c r="D14" s="15"/>
      <c r="E14" s="15"/>
      <c r="F14" s="15"/>
      <c r="G14" s="15"/>
      <c r="H14" s="15"/>
      <c r="I14" s="15"/>
      <c r="J14" s="15"/>
      <c r="K14" s="62"/>
      <c r="L14" s="62"/>
      <c r="M14" s="62"/>
      <c r="N14" s="62"/>
      <c r="O14" s="62"/>
      <c r="Q14" t="s">
        <v>954</v>
      </c>
      <c r="R14" t="s">
        <v>954</v>
      </c>
    </row>
    <row r="15" spans="1:18" x14ac:dyDescent="0.25">
      <c r="A15" s="15"/>
      <c r="B15" s="15"/>
      <c r="C15" s="15"/>
      <c r="D15" s="15"/>
      <c r="E15" s="15"/>
      <c r="F15" s="15"/>
      <c r="G15" s="15"/>
      <c r="H15" s="15"/>
      <c r="I15" s="15"/>
      <c r="J15" s="15"/>
      <c r="K15" s="62"/>
      <c r="L15" s="62"/>
      <c r="M15" s="62"/>
      <c r="N15" s="62"/>
      <c r="O15" s="62"/>
      <c r="Q15" t="s">
        <v>291</v>
      </c>
      <c r="R15" t="s">
        <v>955</v>
      </c>
    </row>
    <row r="16" spans="1:18" x14ac:dyDescent="0.25">
      <c r="A16" s="15"/>
      <c r="B16" s="15"/>
      <c r="C16" s="15"/>
      <c r="D16" s="15"/>
      <c r="E16" s="15"/>
      <c r="F16" s="15"/>
      <c r="G16" s="15"/>
      <c r="H16" s="15"/>
      <c r="I16" s="15"/>
      <c r="J16" s="15"/>
      <c r="K16" s="62"/>
      <c r="L16" s="62"/>
      <c r="M16" s="62"/>
      <c r="N16" s="62"/>
      <c r="O16" s="62"/>
      <c r="Q16" t="s">
        <v>296</v>
      </c>
      <c r="R16" t="s">
        <v>955</v>
      </c>
    </row>
    <row r="17" spans="1:18" x14ac:dyDescent="0.25">
      <c r="A17" s="15"/>
      <c r="B17" s="15"/>
      <c r="C17" s="15"/>
      <c r="D17" s="15"/>
      <c r="E17" s="15"/>
      <c r="F17" s="15"/>
      <c r="G17" s="15"/>
      <c r="H17" s="15"/>
      <c r="I17" s="15"/>
      <c r="J17" s="15"/>
      <c r="K17" s="62"/>
      <c r="L17" s="62"/>
      <c r="M17" s="62"/>
      <c r="N17" s="62"/>
      <c r="O17" s="62"/>
      <c r="Q17" t="s">
        <v>293</v>
      </c>
      <c r="R17" t="s">
        <v>955</v>
      </c>
    </row>
    <row r="18" spans="1:18" x14ac:dyDescent="0.25">
      <c r="A18" s="15"/>
      <c r="B18" s="15"/>
      <c r="C18" s="15"/>
      <c r="D18" s="15"/>
      <c r="E18" s="15"/>
      <c r="F18" s="15"/>
      <c r="G18" s="15"/>
      <c r="H18" s="15"/>
      <c r="I18" s="15"/>
      <c r="J18" s="15"/>
      <c r="K18" s="62"/>
      <c r="L18" s="62"/>
      <c r="M18" s="62"/>
      <c r="N18" s="62"/>
      <c r="O18" s="62"/>
      <c r="Q18" t="s">
        <v>295</v>
      </c>
      <c r="R18" t="s">
        <v>955</v>
      </c>
    </row>
    <row r="19" spans="1:18" x14ac:dyDescent="0.25">
      <c r="A19" s="15"/>
      <c r="B19" s="15"/>
      <c r="C19" s="15"/>
      <c r="D19" s="15"/>
      <c r="E19" s="15"/>
      <c r="F19" s="15"/>
      <c r="G19" s="15"/>
      <c r="H19" s="15"/>
      <c r="I19" s="15"/>
      <c r="J19" s="15"/>
      <c r="K19" s="62"/>
      <c r="L19" s="62"/>
      <c r="M19" s="62"/>
      <c r="N19" s="62"/>
      <c r="O19" s="62"/>
      <c r="Q19" t="s">
        <v>297</v>
      </c>
      <c r="R19" t="s">
        <v>955</v>
      </c>
    </row>
    <row r="20" spans="1:18" x14ac:dyDescent="0.25">
      <c r="A20" s="15"/>
      <c r="B20" s="15"/>
      <c r="C20" s="15"/>
      <c r="D20" s="15"/>
      <c r="E20" s="15"/>
      <c r="F20" s="15"/>
      <c r="G20" s="15"/>
      <c r="H20" s="15"/>
      <c r="I20" s="15"/>
      <c r="J20" s="15"/>
      <c r="K20" s="62"/>
      <c r="L20" s="62"/>
      <c r="M20" s="62"/>
      <c r="N20" s="62"/>
      <c r="O20" s="62"/>
      <c r="Q20" t="s">
        <v>298</v>
      </c>
      <c r="R20" t="s">
        <v>955</v>
      </c>
    </row>
    <row r="21" spans="1:18" x14ac:dyDescent="0.25">
      <c r="A21" s="15"/>
      <c r="B21" s="15"/>
      <c r="C21" s="15"/>
      <c r="D21" s="15"/>
      <c r="E21" s="15"/>
      <c r="F21" s="15"/>
      <c r="G21" s="15"/>
      <c r="H21" s="15"/>
      <c r="I21" s="15"/>
      <c r="J21" s="15"/>
      <c r="K21" s="62"/>
      <c r="L21" s="62"/>
      <c r="M21" s="62"/>
      <c r="N21" s="62"/>
      <c r="O21" s="62"/>
      <c r="Q21" t="s">
        <v>299</v>
      </c>
      <c r="R21" t="s">
        <v>955</v>
      </c>
    </row>
    <row r="22" spans="1:18" x14ac:dyDescent="0.25">
      <c r="A22" s="15"/>
      <c r="B22" s="15"/>
      <c r="C22" s="15"/>
      <c r="D22" s="15"/>
      <c r="E22" s="15"/>
      <c r="F22" s="15"/>
      <c r="G22" s="15"/>
      <c r="H22" s="15"/>
      <c r="I22" s="15"/>
      <c r="J22" s="15"/>
      <c r="K22" s="62"/>
      <c r="L22" s="62"/>
      <c r="M22" s="62"/>
      <c r="N22" s="62"/>
      <c r="O22" s="62"/>
      <c r="Q22" t="s">
        <v>116</v>
      </c>
      <c r="R22" t="s">
        <v>343</v>
      </c>
    </row>
    <row r="23" spans="1:18" x14ac:dyDescent="0.25">
      <c r="A23" s="15"/>
      <c r="B23" s="15"/>
      <c r="C23" s="15"/>
      <c r="D23" s="15"/>
      <c r="E23" s="15"/>
      <c r="F23" s="15"/>
      <c r="G23" s="15"/>
      <c r="H23" s="15"/>
      <c r="I23" s="15"/>
      <c r="J23" s="15"/>
      <c r="K23" s="62"/>
      <c r="L23" s="62"/>
      <c r="M23" s="62"/>
      <c r="N23" s="62"/>
      <c r="O23" s="62"/>
      <c r="Q23" t="s">
        <v>91</v>
      </c>
      <c r="R23" t="s">
        <v>956</v>
      </c>
    </row>
    <row r="24" spans="1:18" x14ac:dyDescent="0.25">
      <c r="A24" s="15"/>
      <c r="B24" s="15"/>
      <c r="C24" s="15"/>
      <c r="D24" s="15"/>
      <c r="E24" s="15"/>
      <c r="F24" s="15"/>
      <c r="G24" s="15"/>
      <c r="H24" s="15"/>
      <c r="I24" s="15"/>
      <c r="J24" s="15"/>
      <c r="K24" s="62"/>
      <c r="L24" s="62"/>
      <c r="M24" s="62"/>
      <c r="N24" s="62"/>
      <c r="O24" s="62"/>
      <c r="Q24" t="s">
        <v>300</v>
      </c>
      <c r="R24" t="s">
        <v>936</v>
      </c>
    </row>
    <row r="25" spans="1:18" x14ac:dyDescent="0.25">
      <c r="A25" s="15"/>
      <c r="B25" s="15"/>
      <c r="C25" s="15"/>
      <c r="D25" s="15"/>
      <c r="E25" s="15"/>
      <c r="F25" s="15"/>
      <c r="G25" s="15"/>
      <c r="H25" s="15"/>
      <c r="I25" s="15"/>
      <c r="J25" s="15"/>
      <c r="K25" s="62"/>
      <c r="L25" s="62"/>
      <c r="M25" s="62"/>
      <c r="N25" s="62"/>
      <c r="O25" s="62"/>
      <c r="Q25" t="s">
        <v>95</v>
      </c>
      <c r="R25" t="s">
        <v>957</v>
      </c>
    </row>
    <row r="26" spans="1:18" x14ac:dyDescent="0.25">
      <c r="A26" s="15"/>
      <c r="B26" s="15"/>
      <c r="C26" s="15"/>
      <c r="D26" s="15"/>
      <c r="E26" s="15"/>
      <c r="F26" s="15"/>
      <c r="G26" s="15"/>
      <c r="H26" s="15"/>
      <c r="I26" s="15"/>
      <c r="J26" s="15"/>
      <c r="K26" s="62"/>
      <c r="L26" s="62"/>
      <c r="M26" s="62"/>
      <c r="N26" s="62"/>
      <c r="O26" s="62"/>
      <c r="Q26" t="s">
        <v>958</v>
      </c>
      <c r="R26" t="s">
        <v>959</v>
      </c>
    </row>
    <row r="27" spans="1:18" x14ac:dyDescent="0.25">
      <c r="A27" s="15"/>
      <c r="B27" s="15"/>
      <c r="C27" s="15"/>
      <c r="D27" s="15"/>
      <c r="E27" s="15"/>
      <c r="F27" s="15"/>
      <c r="G27" s="15"/>
      <c r="H27" s="15"/>
      <c r="I27" s="15"/>
      <c r="J27" s="15"/>
      <c r="K27" s="62"/>
      <c r="L27" s="62"/>
      <c r="M27" s="62"/>
      <c r="N27" s="62"/>
      <c r="O27" s="62"/>
      <c r="Q27" t="s">
        <v>301</v>
      </c>
      <c r="R27" t="s">
        <v>959</v>
      </c>
    </row>
    <row r="28" spans="1:18" x14ac:dyDescent="0.25">
      <c r="A28" s="15"/>
      <c r="B28" s="15"/>
      <c r="C28" s="15"/>
      <c r="D28" s="15"/>
      <c r="E28" s="15"/>
      <c r="F28" s="15"/>
      <c r="G28" s="15"/>
      <c r="H28" s="15"/>
      <c r="I28" s="15"/>
      <c r="J28" s="15"/>
      <c r="K28" s="62"/>
      <c r="L28" s="62"/>
      <c r="M28" s="62"/>
      <c r="N28" s="62"/>
      <c r="O28" s="62"/>
      <c r="Q28" t="s">
        <v>302</v>
      </c>
      <c r="R28" t="s">
        <v>960</v>
      </c>
    </row>
    <row r="29" spans="1:18" x14ac:dyDescent="0.25">
      <c r="A29" s="15"/>
      <c r="B29" s="15"/>
      <c r="C29" s="15"/>
      <c r="D29" s="15"/>
      <c r="E29" s="15"/>
      <c r="F29" s="15"/>
      <c r="G29" s="15"/>
      <c r="H29" s="15"/>
      <c r="I29" s="15"/>
      <c r="J29" s="15"/>
      <c r="K29" s="62"/>
      <c r="L29" s="62"/>
      <c r="M29" s="62"/>
      <c r="N29" s="62"/>
      <c r="O29" s="62"/>
      <c r="Q29" t="s">
        <v>150</v>
      </c>
      <c r="R29" t="s">
        <v>961</v>
      </c>
    </row>
    <row r="30" spans="1:18" x14ac:dyDescent="0.25">
      <c r="A30" s="15"/>
      <c r="B30" s="15"/>
      <c r="C30" s="15"/>
      <c r="D30" s="15"/>
      <c r="E30" s="15"/>
      <c r="F30" s="15"/>
      <c r="G30" s="15"/>
      <c r="H30" s="15"/>
      <c r="I30" s="15"/>
      <c r="J30" s="15"/>
      <c r="K30" s="62"/>
      <c r="L30" s="62"/>
      <c r="M30" s="62"/>
      <c r="N30" s="62"/>
      <c r="O30" s="62"/>
      <c r="Q30">
        <v>0</v>
      </c>
      <c r="R30">
        <v>0</v>
      </c>
    </row>
    <row r="31" spans="1:18" x14ac:dyDescent="0.25">
      <c r="A31" s="15"/>
      <c r="B31" s="15"/>
      <c r="C31" s="15"/>
      <c r="D31" s="15"/>
      <c r="E31" s="15"/>
      <c r="F31" s="15"/>
      <c r="G31" s="15"/>
      <c r="H31" s="15"/>
      <c r="I31" s="15"/>
      <c r="J31" s="15"/>
      <c r="K31" s="62"/>
      <c r="L31" s="62"/>
      <c r="M31" s="62"/>
      <c r="N31" s="62"/>
      <c r="O31" s="62"/>
    </row>
    <row r="32" spans="1:18" x14ac:dyDescent="0.25">
      <c r="A32" s="15"/>
      <c r="B32" s="15"/>
      <c r="C32" s="15"/>
      <c r="D32" s="15"/>
      <c r="E32" s="15"/>
      <c r="F32" s="15"/>
      <c r="G32" s="15"/>
      <c r="H32" s="15"/>
      <c r="I32" s="15"/>
      <c r="J32" s="15"/>
      <c r="K32" s="62"/>
      <c r="L32" s="62"/>
      <c r="M32" s="62"/>
      <c r="N32" s="62"/>
      <c r="O32" s="62"/>
    </row>
    <row r="33" spans="1:15" x14ac:dyDescent="0.25">
      <c r="A33" s="15"/>
      <c r="B33" s="15"/>
      <c r="C33" s="15"/>
      <c r="D33" s="15"/>
      <c r="E33" s="15"/>
      <c r="F33" s="15"/>
      <c r="G33" s="15"/>
      <c r="H33" s="15"/>
      <c r="I33" s="15"/>
      <c r="J33" s="15"/>
      <c r="K33" s="62"/>
      <c r="L33" s="62"/>
      <c r="M33" s="62"/>
      <c r="N33" s="62"/>
      <c r="O33" s="62"/>
    </row>
    <row r="34" spans="1:15" x14ac:dyDescent="0.25">
      <c r="A34" s="15"/>
      <c r="B34" s="15"/>
      <c r="C34" s="15"/>
      <c r="D34" s="15"/>
      <c r="E34" s="15"/>
      <c r="F34" s="15"/>
      <c r="G34" s="15"/>
      <c r="H34" s="15"/>
      <c r="I34" s="15"/>
      <c r="J34" s="15"/>
      <c r="K34" s="62"/>
      <c r="L34" s="62"/>
      <c r="M34" s="62"/>
      <c r="N34" s="62"/>
      <c r="O34" s="62"/>
    </row>
    <row r="35" spans="1:15" x14ac:dyDescent="0.25">
      <c r="A35" s="15"/>
      <c r="B35" s="15"/>
      <c r="C35" s="15"/>
      <c r="D35" s="15"/>
      <c r="E35" s="15"/>
      <c r="F35" s="15"/>
      <c r="G35" s="15"/>
      <c r="H35" s="15"/>
      <c r="I35" s="15"/>
      <c r="J35" s="15"/>
      <c r="K35" s="62"/>
      <c r="L35" s="62"/>
      <c r="M35" s="62"/>
      <c r="N35" s="62"/>
      <c r="O35" s="62"/>
    </row>
    <row r="36" spans="1:15" x14ac:dyDescent="0.25">
      <c r="A36" s="15"/>
      <c r="B36" s="15"/>
      <c r="C36" s="15"/>
      <c r="D36" s="15"/>
      <c r="E36" s="15"/>
      <c r="F36" s="15"/>
      <c r="G36" s="15"/>
      <c r="H36" s="15"/>
      <c r="I36" s="15"/>
      <c r="J36" s="15"/>
      <c r="K36" s="62"/>
      <c r="L36" s="62"/>
      <c r="M36" s="62"/>
      <c r="N36" s="62"/>
      <c r="O36" s="62"/>
    </row>
    <row r="37" spans="1:15" x14ac:dyDescent="0.25">
      <c r="A37" s="15"/>
      <c r="B37" s="15"/>
      <c r="C37" s="15"/>
      <c r="D37" s="15"/>
      <c r="E37" s="15"/>
      <c r="F37" s="15"/>
      <c r="G37" s="15"/>
      <c r="H37" s="15"/>
      <c r="I37" s="15"/>
      <c r="J37" s="15"/>
      <c r="K37" s="62"/>
      <c r="L37" s="62"/>
      <c r="M37" s="62"/>
      <c r="N37" s="62"/>
      <c r="O37" s="62"/>
    </row>
    <row r="38" spans="1:15" x14ac:dyDescent="0.25">
      <c r="A38" s="15"/>
      <c r="B38" s="15"/>
      <c r="C38" s="15"/>
      <c r="D38" s="15"/>
      <c r="E38" s="15"/>
      <c r="F38" s="15"/>
      <c r="G38" s="15"/>
      <c r="H38" s="15"/>
      <c r="I38" s="15"/>
      <c r="J38" s="15"/>
      <c r="K38" s="62"/>
      <c r="L38" s="62"/>
      <c r="M38" s="62"/>
      <c r="N38" s="62"/>
      <c r="O38" s="62"/>
    </row>
    <row r="39" spans="1:15" x14ac:dyDescent="0.25">
      <c r="A39" s="15"/>
      <c r="B39" s="15"/>
      <c r="C39" s="15"/>
      <c r="D39" s="15"/>
      <c r="E39" s="15"/>
      <c r="F39" s="15"/>
      <c r="G39" s="15"/>
      <c r="H39" s="15"/>
      <c r="I39" s="15"/>
      <c r="J39" s="15"/>
      <c r="K39" s="62"/>
      <c r="L39" s="62"/>
      <c r="M39" s="62"/>
      <c r="N39" s="62"/>
      <c r="O39" s="62"/>
    </row>
    <row r="40" spans="1:15" x14ac:dyDescent="0.25">
      <c r="A40" s="15"/>
      <c r="B40" s="15"/>
      <c r="C40" s="15"/>
      <c r="D40" s="15"/>
      <c r="E40" s="15"/>
      <c r="F40" s="15"/>
      <c r="G40" s="15"/>
      <c r="H40" s="15"/>
      <c r="I40" s="15"/>
      <c r="J40" s="15"/>
      <c r="K40" s="62"/>
      <c r="L40" s="62"/>
      <c r="M40" s="62"/>
      <c r="N40" s="62"/>
      <c r="O40" s="62"/>
    </row>
    <row r="41" spans="1:15" x14ac:dyDescent="0.25">
      <c r="A41" s="15"/>
      <c r="B41" s="15"/>
      <c r="C41" s="15"/>
      <c r="D41" s="15"/>
      <c r="E41" s="15"/>
      <c r="F41" s="15"/>
      <c r="G41" s="15"/>
      <c r="H41" s="15"/>
      <c r="I41" s="15"/>
      <c r="J41" s="15"/>
      <c r="K41" s="62"/>
      <c r="L41" s="62"/>
      <c r="M41" s="62"/>
      <c r="N41" s="62"/>
      <c r="O41" s="62"/>
    </row>
    <row r="42" spans="1:15" x14ac:dyDescent="0.25">
      <c r="A42" s="15"/>
      <c r="B42" s="15"/>
      <c r="C42" s="15"/>
      <c r="D42" s="15"/>
      <c r="E42" s="15"/>
      <c r="F42" s="15"/>
      <c r="G42" s="15"/>
      <c r="H42" s="15"/>
      <c r="I42" s="15"/>
      <c r="J42" s="15"/>
      <c r="K42" s="62"/>
      <c r="L42" s="62"/>
      <c r="M42" s="62"/>
      <c r="N42" s="62"/>
      <c r="O42" s="62"/>
    </row>
    <row r="43" spans="1:15" x14ac:dyDescent="0.25">
      <c r="A43" s="15"/>
      <c r="B43" s="15"/>
      <c r="C43" s="15"/>
      <c r="D43" s="15"/>
      <c r="E43" s="15"/>
      <c r="F43" s="15"/>
      <c r="G43" s="15"/>
      <c r="H43" s="15"/>
      <c r="I43" s="15"/>
      <c r="J43" s="15"/>
      <c r="K43" s="62"/>
      <c r="L43" s="62"/>
      <c r="M43" s="62"/>
      <c r="N43" s="62"/>
      <c r="O43" s="62"/>
    </row>
    <row r="44" spans="1:15" x14ac:dyDescent="0.25">
      <c r="A44" s="15"/>
      <c r="B44" s="15"/>
      <c r="C44" s="15"/>
      <c r="D44" s="15"/>
      <c r="E44" s="15"/>
      <c r="F44" s="15"/>
      <c r="G44" s="15"/>
      <c r="H44" s="15"/>
      <c r="I44" s="15"/>
      <c r="J44" s="15"/>
      <c r="K44" s="62"/>
      <c r="L44" s="62"/>
      <c r="M44" s="62"/>
      <c r="N44" s="62"/>
      <c r="O44" s="62"/>
    </row>
    <row r="45" spans="1:15" x14ac:dyDescent="0.25">
      <c r="A45" s="15"/>
      <c r="B45" s="15"/>
      <c r="C45" s="15"/>
      <c r="D45" s="15"/>
      <c r="E45" s="15"/>
      <c r="F45" s="15"/>
      <c r="G45" s="15"/>
      <c r="H45" s="15"/>
      <c r="I45" s="15"/>
      <c r="J45" s="15"/>
      <c r="K45" s="62"/>
      <c r="L45" s="62"/>
      <c r="M45" s="62"/>
      <c r="N45" s="62"/>
      <c r="O45" s="62"/>
    </row>
    <row r="46" spans="1:15" x14ac:dyDescent="0.25">
      <c r="A46" s="15"/>
      <c r="B46" s="15"/>
      <c r="C46" s="15"/>
      <c r="D46" s="15"/>
      <c r="E46" s="15"/>
      <c r="F46" s="15"/>
      <c r="G46" s="15"/>
      <c r="H46" s="15"/>
      <c r="I46" s="15"/>
      <c r="J46" s="15"/>
      <c r="K46" s="62"/>
      <c r="L46" s="62"/>
      <c r="M46" s="62"/>
      <c r="N46" s="62"/>
      <c r="O46" s="62"/>
    </row>
    <row r="47" spans="1:15" x14ac:dyDescent="0.25">
      <c r="A47" s="15"/>
      <c r="B47" s="15"/>
      <c r="C47" s="15"/>
      <c r="D47" s="15"/>
      <c r="E47" s="15"/>
      <c r="F47" s="15"/>
      <c r="G47" s="15"/>
      <c r="H47" s="15"/>
      <c r="I47" s="15"/>
      <c r="J47" s="15"/>
      <c r="K47" s="62"/>
      <c r="L47" s="62"/>
      <c r="M47" s="62"/>
      <c r="N47" s="62"/>
      <c r="O47" s="62"/>
    </row>
    <row r="48" spans="1:15" x14ac:dyDescent="0.25">
      <c r="A48" s="15"/>
      <c r="B48" s="15"/>
      <c r="C48" s="15"/>
      <c r="D48" s="15"/>
      <c r="E48" s="15"/>
      <c r="F48" s="15"/>
      <c r="G48" s="15"/>
      <c r="H48" s="15"/>
      <c r="I48" s="15"/>
      <c r="J48" s="15"/>
      <c r="K48" s="62"/>
      <c r="L48" s="62"/>
      <c r="M48" s="62"/>
      <c r="N48" s="62"/>
      <c r="O48" s="62"/>
    </row>
    <row r="49" spans="1:15" x14ac:dyDescent="0.25">
      <c r="A49" s="15"/>
      <c r="B49" s="15"/>
      <c r="C49" s="15"/>
      <c r="D49" s="15"/>
      <c r="E49" s="15"/>
      <c r="F49" s="15"/>
      <c r="G49" s="15"/>
      <c r="H49" s="15"/>
      <c r="I49" s="15"/>
      <c r="J49" s="15"/>
      <c r="K49" s="62"/>
      <c r="L49" s="62"/>
      <c r="M49" s="62"/>
      <c r="N49" s="62"/>
      <c r="O49" s="62"/>
    </row>
    <row r="50" spans="1:15" x14ac:dyDescent="0.25">
      <c r="A50" s="15"/>
      <c r="B50" s="15"/>
      <c r="C50" s="15"/>
      <c r="D50" s="15"/>
      <c r="E50" s="15"/>
      <c r="F50" s="15"/>
      <c r="G50" s="15"/>
      <c r="H50" s="15"/>
      <c r="I50" s="15"/>
      <c r="J50" s="15"/>
      <c r="K50" s="62"/>
      <c r="L50" s="62"/>
      <c r="M50" s="62"/>
      <c r="N50" s="62"/>
      <c r="O50" s="62"/>
    </row>
    <row r="51" spans="1:15" x14ac:dyDescent="0.25">
      <c r="A51" s="15"/>
      <c r="B51" s="15"/>
      <c r="C51" s="15"/>
      <c r="D51" s="15"/>
      <c r="E51" s="15"/>
      <c r="F51" s="15"/>
      <c r="G51" s="15"/>
      <c r="H51" s="15"/>
      <c r="I51" s="15"/>
      <c r="J51" s="15"/>
      <c r="K51" s="62"/>
      <c r="L51" s="62"/>
      <c r="M51" s="62"/>
      <c r="N51" s="62"/>
      <c r="O51" s="62"/>
    </row>
    <row r="52" spans="1:15" x14ac:dyDescent="0.25">
      <c r="A52" s="15"/>
      <c r="B52" s="15"/>
      <c r="C52" s="15"/>
      <c r="D52" s="15"/>
      <c r="E52" s="15"/>
      <c r="F52" s="15"/>
      <c r="G52" s="15"/>
      <c r="H52" s="15"/>
      <c r="I52" s="15"/>
      <c r="J52" s="15"/>
      <c r="K52" s="62"/>
      <c r="L52" s="62"/>
      <c r="M52" s="62"/>
      <c r="N52" s="62"/>
      <c r="O52" s="62"/>
    </row>
    <row r="53" spans="1:15" x14ac:dyDescent="0.25">
      <c r="A53" s="15"/>
      <c r="B53" s="15"/>
      <c r="C53" s="15"/>
      <c r="D53" s="15"/>
      <c r="E53" s="15"/>
      <c r="F53" s="15"/>
      <c r="G53" s="15"/>
      <c r="H53" s="15"/>
      <c r="I53" s="15"/>
      <c r="J53" s="15"/>
      <c r="K53" s="15"/>
      <c r="L53" s="15"/>
      <c r="M53" s="15"/>
      <c r="N53" s="15"/>
      <c r="O53" s="15"/>
    </row>
    <row r="54" spans="1:15" x14ac:dyDescent="0.25">
      <c r="A54" s="15"/>
      <c r="B54" s="15"/>
      <c r="C54" s="15"/>
      <c r="D54" s="15"/>
      <c r="E54" s="15"/>
      <c r="F54" s="15"/>
      <c r="G54" s="15"/>
      <c r="H54" s="15"/>
      <c r="I54" s="15"/>
      <c r="J54" s="15"/>
      <c r="K54" s="15"/>
      <c r="L54" s="15"/>
      <c r="M54" s="15"/>
      <c r="N54" s="15"/>
      <c r="O54" s="15"/>
    </row>
    <row r="55" spans="1:15" x14ac:dyDescent="0.25">
      <c r="A55" s="15"/>
      <c r="B55" s="15"/>
      <c r="C55" s="15"/>
      <c r="D55" s="15"/>
      <c r="E55" s="15"/>
      <c r="F55" s="15"/>
      <c r="G55" s="15"/>
      <c r="H55" s="15"/>
      <c r="I55" s="15"/>
      <c r="J55" s="15"/>
      <c r="K55" s="15"/>
      <c r="L55" s="15"/>
      <c r="M55" s="15"/>
      <c r="N55" s="15"/>
      <c r="O55" s="15"/>
    </row>
  </sheetData>
  <pageMargins left="0.25" right="0.25" top="0.75" bottom="0.75" header="0.3" footer="0.3"/>
  <pageSetup scale="75" fitToHeight="0" orientation="landscape" r:id="rId1"/>
  <colBreaks count="1" manualBreakCount="1">
    <brk id="1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filterMode="1"/>
  <dimension ref="A3:AJ196"/>
  <sheetViews>
    <sheetView workbookViewId="0">
      <pane xSplit="7" ySplit="4" topLeftCell="H73" activePane="bottomRight" state="frozen"/>
      <selection pane="topRight" activeCell="H1" sqref="H1"/>
      <selection pane="bottomLeft" activeCell="A5" sqref="A5"/>
      <selection pane="bottomRight" activeCell="E95" sqref="E95"/>
    </sheetView>
  </sheetViews>
  <sheetFormatPr defaultColWidth="4.140625" defaultRowHeight="15" x14ac:dyDescent="0.25"/>
  <cols>
    <col min="1" max="1" width="12.42578125" customWidth="1"/>
    <col min="2" max="2" width="8" customWidth="1"/>
    <col min="3" max="3" width="6.5703125" customWidth="1"/>
    <col min="4" max="4" width="9" customWidth="1"/>
    <col min="5" max="5" width="14" bestFit="1" customWidth="1"/>
    <col min="6" max="6" width="9.85546875" bestFit="1" customWidth="1"/>
    <col min="7" max="7" width="32.140625" bestFit="1" customWidth="1"/>
    <col min="8" max="35" width="33.5703125" bestFit="1" customWidth="1"/>
    <col min="36" max="36" width="13.5703125" bestFit="1" customWidth="1"/>
    <col min="37" max="37" width="33.5703125" bestFit="1" customWidth="1"/>
    <col min="38" max="38" width="13.5703125" bestFit="1" customWidth="1"/>
  </cols>
  <sheetData>
    <row r="3" spans="1:36" x14ac:dyDescent="0.25">
      <c r="A3" s="42" t="s">
        <v>280</v>
      </c>
      <c r="H3" s="42" t="s">
        <v>281</v>
      </c>
    </row>
    <row r="4" spans="1:36" x14ac:dyDescent="0.25">
      <c r="A4" s="42" t="s">
        <v>937</v>
      </c>
      <c r="B4" s="42" t="s">
        <v>316</v>
      </c>
      <c r="C4" s="42" t="s">
        <v>317</v>
      </c>
      <c r="D4" s="42" t="s">
        <v>938</v>
      </c>
      <c r="E4" s="42" t="s">
        <v>199</v>
      </c>
      <c r="F4" s="42" t="s">
        <v>376</v>
      </c>
      <c r="G4" s="42" t="s">
        <v>261</v>
      </c>
      <c r="H4" t="s">
        <v>283</v>
      </c>
      <c r="I4" t="s">
        <v>284</v>
      </c>
      <c r="J4" t="s">
        <v>287</v>
      </c>
      <c r="K4" t="s">
        <v>288</v>
      </c>
      <c r="L4" t="s">
        <v>25</v>
      </c>
      <c r="M4" t="s">
        <v>289</v>
      </c>
      <c r="N4" t="s">
        <v>290</v>
      </c>
      <c r="O4" t="s">
        <v>71</v>
      </c>
      <c r="P4" t="s">
        <v>291</v>
      </c>
      <c r="Q4" t="s">
        <v>293</v>
      </c>
      <c r="R4" t="s">
        <v>295</v>
      </c>
      <c r="S4" t="s">
        <v>296</v>
      </c>
      <c r="T4" t="s">
        <v>297</v>
      </c>
      <c r="U4" t="s">
        <v>298</v>
      </c>
      <c r="V4" t="s">
        <v>299</v>
      </c>
      <c r="W4" t="s">
        <v>116</v>
      </c>
      <c r="X4" t="s">
        <v>91</v>
      </c>
      <c r="Y4" t="s">
        <v>300</v>
      </c>
      <c r="Z4" t="s">
        <v>95</v>
      </c>
      <c r="AA4" t="s">
        <v>302</v>
      </c>
      <c r="AB4" t="s">
        <v>150</v>
      </c>
      <c r="AC4" t="s">
        <v>301</v>
      </c>
      <c r="AD4" t="s">
        <v>303</v>
      </c>
      <c r="AE4" t="s">
        <v>304</v>
      </c>
      <c r="AF4" t="s">
        <v>305</v>
      </c>
      <c r="AG4" t="s">
        <v>306</v>
      </c>
      <c r="AH4" t="s">
        <v>307</v>
      </c>
      <c r="AI4" t="s">
        <v>310</v>
      </c>
      <c r="AJ4" t="s">
        <v>935</v>
      </c>
    </row>
    <row r="5" spans="1:36" x14ac:dyDescent="0.25">
      <c r="A5" s="43">
        <v>12.7</v>
      </c>
      <c r="B5" s="43">
        <v>12.7</v>
      </c>
      <c r="C5">
        <v>0</v>
      </c>
      <c r="D5" s="43">
        <v>1.2</v>
      </c>
      <c r="E5" t="s">
        <v>962</v>
      </c>
      <c r="F5" t="s">
        <v>963</v>
      </c>
      <c r="G5" t="s">
        <v>398</v>
      </c>
      <c r="H5" s="190"/>
      <c r="I5" s="190">
        <v>4.0097612856000007</v>
      </c>
      <c r="J5" s="190"/>
      <c r="K5" s="190"/>
      <c r="L5" s="190"/>
      <c r="M5" s="190"/>
      <c r="N5" s="190"/>
      <c r="O5" s="190"/>
      <c r="P5" s="190"/>
      <c r="Q5" s="190"/>
      <c r="R5" s="190"/>
      <c r="S5" s="190"/>
      <c r="T5" s="190"/>
      <c r="U5" s="190"/>
      <c r="V5" s="190"/>
      <c r="W5" s="190"/>
      <c r="X5" s="190">
        <v>0</v>
      </c>
      <c r="Y5" s="190"/>
      <c r="Z5" s="190"/>
      <c r="AA5" s="190">
        <v>2.8369027079999998</v>
      </c>
      <c r="AB5" s="190"/>
      <c r="AC5" s="190"/>
      <c r="AD5" s="190"/>
      <c r="AE5" s="190"/>
      <c r="AF5" s="190"/>
      <c r="AG5" s="190"/>
      <c r="AH5" s="190"/>
      <c r="AI5" s="190"/>
      <c r="AJ5" s="190">
        <v>6.8466639936</v>
      </c>
    </row>
    <row r="6" spans="1:36" x14ac:dyDescent="0.25">
      <c r="A6" s="43">
        <v>12.7</v>
      </c>
      <c r="B6" s="43">
        <v>12.7</v>
      </c>
      <c r="C6">
        <v>0</v>
      </c>
      <c r="D6" s="43">
        <v>1.6</v>
      </c>
      <c r="E6" t="s">
        <v>962</v>
      </c>
      <c r="F6" t="s">
        <v>963</v>
      </c>
      <c r="G6" t="s">
        <v>416</v>
      </c>
      <c r="H6" s="190">
        <v>2.8958236776000001</v>
      </c>
      <c r="I6" s="190">
        <v>7.3490007539999995</v>
      </c>
      <c r="J6" s="190"/>
      <c r="K6" s="190"/>
      <c r="L6" s="190"/>
      <c r="M6" s="190"/>
      <c r="N6" s="190"/>
      <c r="O6" s="190"/>
      <c r="P6" s="190">
        <v>0</v>
      </c>
      <c r="Q6" s="190">
        <v>4.771652016</v>
      </c>
      <c r="R6" s="190"/>
      <c r="S6" s="190">
        <v>0.86021066160000015</v>
      </c>
      <c r="T6" s="190"/>
      <c r="U6" s="190">
        <v>5.5815195599999994</v>
      </c>
      <c r="V6" s="190"/>
      <c r="W6" s="190"/>
      <c r="X6" s="190"/>
      <c r="Y6" s="190"/>
      <c r="Z6" s="190"/>
      <c r="AA6" s="190">
        <v>13.29145857888</v>
      </c>
      <c r="AB6" s="190"/>
      <c r="AC6" s="190"/>
      <c r="AD6" s="190"/>
      <c r="AE6" s="190"/>
      <c r="AF6" s="190"/>
      <c r="AG6" s="190"/>
      <c r="AH6" s="190">
        <v>0.95214157200000005</v>
      </c>
      <c r="AI6" s="190"/>
      <c r="AJ6" s="190">
        <v>35.701806820080002</v>
      </c>
    </row>
    <row r="7" spans="1:36" x14ac:dyDescent="0.25">
      <c r="A7" s="43">
        <v>12.7</v>
      </c>
      <c r="B7" s="43">
        <v>12.7</v>
      </c>
      <c r="C7">
        <v>0</v>
      </c>
      <c r="D7" s="43">
        <v>2</v>
      </c>
      <c r="E7" t="s">
        <v>962</v>
      </c>
      <c r="F7" t="s">
        <v>963</v>
      </c>
      <c r="G7" t="s">
        <v>964</v>
      </c>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v>0</v>
      </c>
      <c r="AJ7" s="190">
        <v>0</v>
      </c>
    </row>
    <row r="8" spans="1:36" hidden="1" x14ac:dyDescent="0.25">
      <c r="A8" s="43">
        <v>14</v>
      </c>
      <c r="B8" s="43">
        <v>14</v>
      </c>
      <c r="C8">
        <v>0</v>
      </c>
      <c r="D8" s="43">
        <v>1.6</v>
      </c>
      <c r="E8" t="s">
        <v>357</v>
      </c>
      <c r="F8" t="s">
        <v>357</v>
      </c>
      <c r="G8" t="s">
        <v>965</v>
      </c>
      <c r="H8" s="190"/>
      <c r="I8" s="190">
        <v>0</v>
      </c>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v>0</v>
      </c>
    </row>
    <row r="9" spans="1:36" x14ac:dyDescent="0.25">
      <c r="A9" s="43">
        <v>14</v>
      </c>
      <c r="B9" s="43">
        <v>14</v>
      </c>
      <c r="C9">
        <v>0</v>
      </c>
      <c r="D9" s="43">
        <v>2.4500000000000002</v>
      </c>
      <c r="E9" t="s">
        <v>357</v>
      </c>
      <c r="F9" t="s">
        <v>357</v>
      </c>
      <c r="G9" t="s">
        <v>966</v>
      </c>
      <c r="H9" s="190"/>
      <c r="I9" s="190"/>
      <c r="J9" s="190"/>
      <c r="K9" s="190"/>
      <c r="L9" s="190"/>
      <c r="M9" s="190"/>
      <c r="N9" s="190"/>
      <c r="O9" s="190"/>
      <c r="P9" s="190"/>
      <c r="Q9" s="190"/>
      <c r="R9" s="190"/>
      <c r="S9" s="190"/>
      <c r="T9" s="190"/>
      <c r="U9" s="190"/>
      <c r="V9" s="190"/>
      <c r="W9" s="190"/>
      <c r="X9" s="190"/>
      <c r="Y9" s="190">
        <v>0</v>
      </c>
      <c r="Z9" s="190"/>
      <c r="AA9" s="190"/>
      <c r="AB9" s="190"/>
      <c r="AC9" s="190"/>
      <c r="AD9" s="190"/>
      <c r="AE9" s="190"/>
      <c r="AF9" s="190"/>
      <c r="AG9" s="190"/>
      <c r="AH9" s="190">
        <v>4.1850304650000005</v>
      </c>
      <c r="AI9" s="190"/>
      <c r="AJ9" s="190">
        <v>4.1850304650000005</v>
      </c>
    </row>
    <row r="10" spans="1:36" hidden="1" x14ac:dyDescent="0.25">
      <c r="A10" s="43">
        <v>14</v>
      </c>
      <c r="B10" s="43">
        <v>14</v>
      </c>
      <c r="C10">
        <v>0</v>
      </c>
      <c r="D10" s="43">
        <v>2.4500000000000002</v>
      </c>
      <c r="E10" t="s">
        <v>357</v>
      </c>
      <c r="F10" t="s">
        <v>967</v>
      </c>
      <c r="G10" t="s">
        <v>968</v>
      </c>
      <c r="H10" s="190"/>
      <c r="I10" s="190"/>
      <c r="J10" s="190"/>
      <c r="K10" s="190"/>
      <c r="L10" s="190"/>
      <c r="M10" s="190"/>
      <c r="N10" s="190"/>
      <c r="O10" s="190"/>
      <c r="P10" s="190"/>
      <c r="Q10" s="190">
        <v>0</v>
      </c>
      <c r="R10" s="190"/>
      <c r="S10" s="190"/>
      <c r="T10" s="190"/>
      <c r="U10" s="190"/>
      <c r="V10" s="190"/>
      <c r="W10" s="190"/>
      <c r="X10" s="190"/>
      <c r="Y10" s="190"/>
      <c r="Z10" s="190"/>
      <c r="AA10" s="190"/>
      <c r="AB10" s="190"/>
      <c r="AC10" s="190"/>
      <c r="AD10" s="190"/>
      <c r="AE10" s="190"/>
      <c r="AF10" s="190"/>
      <c r="AG10" s="190"/>
      <c r="AH10" s="190"/>
      <c r="AI10" s="190"/>
      <c r="AJ10" s="190">
        <v>0</v>
      </c>
    </row>
    <row r="11" spans="1:36" hidden="1" x14ac:dyDescent="0.25">
      <c r="A11" s="43">
        <v>14</v>
      </c>
      <c r="B11" s="43">
        <v>14</v>
      </c>
      <c r="C11">
        <v>9.1</v>
      </c>
      <c r="D11" s="43">
        <v>2.4500000000000002</v>
      </c>
      <c r="E11" t="s">
        <v>357</v>
      </c>
      <c r="F11" t="s">
        <v>967</v>
      </c>
      <c r="G11" t="s">
        <v>969</v>
      </c>
      <c r="H11" s="190"/>
      <c r="I11" s="190"/>
      <c r="J11" s="190"/>
      <c r="K11" s="190"/>
      <c r="L11" s="190"/>
      <c r="M11" s="190"/>
      <c r="N11" s="190">
        <v>0</v>
      </c>
      <c r="O11" s="190"/>
      <c r="P11" s="190"/>
      <c r="Q11" s="190"/>
      <c r="R11" s="190"/>
      <c r="S11" s="190"/>
      <c r="T11" s="190"/>
      <c r="U11" s="190"/>
      <c r="V11" s="190"/>
      <c r="W11" s="190"/>
      <c r="X11" s="190"/>
      <c r="Y11" s="190"/>
      <c r="Z11" s="190"/>
      <c r="AA11" s="190"/>
      <c r="AB11" s="190"/>
      <c r="AC11" s="190"/>
      <c r="AD11" s="190"/>
      <c r="AE11" s="190"/>
      <c r="AF11" s="190"/>
      <c r="AG11" s="190"/>
      <c r="AH11" s="190"/>
      <c r="AI11" s="190"/>
      <c r="AJ11" s="190">
        <v>0</v>
      </c>
    </row>
    <row r="12" spans="1:36" hidden="1" x14ac:dyDescent="0.25">
      <c r="A12" s="43">
        <v>14</v>
      </c>
      <c r="B12" s="43">
        <v>14</v>
      </c>
      <c r="C12">
        <v>10.1</v>
      </c>
      <c r="D12" s="43">
        <v>1.95</v>
      </c>
      <c r="E12" t="s">
        <v>357</v>
      </c>
      <c r="F12" t="s">
        <v>357</v>
      </c>
      <c r="G12" t="s">
        <v>970</v>
      </c>
      <c r="H12" s="190"/>
      <c r="I12" s="190"/>
      <c r="J12" s="190"/>
      <c r="K12" s="190"/>
      <c r="L12" s="190"/>
      <c r="M12" s="190"/>
      <c r="N12" s="190"/>
      <c r="O12" s="190"/>
      <c r="P12" s="190"/>
      <c r="Q12" s="190"/>
      <c r="R12" s="190"/>
      <c r="S12" s="190"/>
      <c r="T12" s="190"/>
      <c r="U12" s="190"/>
      <c r="V12" s="190"/>
      <c r="W12" s="190"/>
      <c r="X12" s="190"/>
      <c r="Y12" s="190"/>
      <c r="Z12" s="190"/>
      <c r="AA12" s="190">
        <v>0</v>
      </c>
      <c r="AB12" s="190"/>
      <c r="AC12" s="190"/>
      <c r="AD12" s="190"/>
      <c r="AE12" s="190"/>
      <c r="AF12" s="190"/>
      <c r="AG12" s="190"/>
      <c r="AH12" s="190"/>
      <c r="AI12" s="190"/>
      <c r="AJ12" s="190">
        <v>0</v>
      </c>
    </row>
    <row r="13" spans="1:36" x14ac:dyDescent="0.25">
      <c r="A13" s="43">
        <v>15.88</v>
      </c>
      <c r="B13" s="43">
        <v>15.88</v>
      </c>
      <c r="C13">
        <v>0</v>
      </c>
      <c r="D13" s="43">
        <v>1</v>
      </c>
      <c r="E13" t="s">
        <v>962</v>
      </c>
      <c r="F13" t="s">
        <v>963</v>
      </c>
      <c r="G13" t="s">
        <v>423</v>
      </c>
      <c r="H13" s="190"/>
      <c r="I13" s="190"/>
      <c r="J13" s="190"/>
      <c r="K13" s="190"/>
      <c r="L13" s="190"/>
      <c r="M13" s="190">
        <v>20.5826150316</v>
      </c>
      <c r="N13" s="190"/>
      <c r="O13" s="190"/>
      <c r="P13" s="190"/>
      <c r="Q13" s="190"/>
      <c r="R13" s="190"/>
      <c r="S13" s="190"/>
      <c r="T13" s="190"/>
      <c r="U13" s="190"/>
      <c r="V13" s="190"/>
      <c r="W13" s="190"/>
      <c r="X13" s="190"/>
      <c r="Y13" s="190"/>
      <c r="Z13" s="190"/>
      <c r="AA13" s="190"/>
      <c r="AB13" s="190"/>
      <c r="AC13" s="190"/>
      <c r="AD13" s="190"/>
      <c r="AE13" s="190"/>
      <c r="AF13" s="190"/>
      <c r="AG13" s="190"/>
      <c r="AH13" s="190">
        <v>13.720765282080002</v>
      </c>
      <c r="AI13" s="190">
        <v>0.30809278080000002</v>
      </c>
      <c r="AJ13" s="190">
        <v>34.611473094480004</v>
      </c>
    </row>
    <row r="14" spans="1:36" x14ac:dyDescent="0.25">
      <c r="A14" s="43">
        <v>15.88</v>
      </c>
      <c r="B14" s="43">
        <v>15.88</v>
      </c>
      <c r="C14">
        <v>0</v>
      </c>
      <c r="D14" s="43">
        <v>1</v>
      </c>
      <c r="E14" t="s">
        <v>962</v>
      </c>
      <c r="F14" t="s">
        <v>967</v>
      </c>
      <c r="G14" t="s">
        <v>967</v>
      </c>
      <c r="H14" s="190">
        <v>6.6680080416000012</v>
      </c>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v>6.6680080416000012</v>
      </c>
    </row>
    <row r="15" spans="1:36" x14ac:dyDescent="0.25">
      <c r="A15" s="43">
        <v>15.88</v>
      </c>
      <c r="B15" s="43">
        <v>15.88</v>
      </c>
      <c r="C15">
        <v>0</v>
      </c>
      <c r="D15" s="43">
        <v>1.2</v>
      </c>
      <c r="E15" t="s">
        <v>962</v>
      </c>
      <c r="F15" t="s">
        <v>963</v>
      </c>
      <c r="G15" t="s">
        <v>463</v>
      </c>
      <c r="H15" s="190">
        <v>5.5145531568000008</v>
      </c>
      <c r="I15" s="190"/>
      <c r="J15" s="190"/>
      <c r="K15" s="190"/>
      <c r="L15" s="190"/>
      <c r="M15" s="190"/>
      <c r="N15" s="190"/>
      <c r="O15" s="190"/>
      <c r="P15" s="190"/>
      <c r="Q15" s="190"/>
      <c r="R15" s="190"/>
      <c r="S15" s="190"/>
      <c r="T15" s="190"/>
      <c r="U15" s="190"/>
      <c r="V15" s="190"/>
      <c r="W15" s="190">
        <v>0</v>
      </c>
      <c r="X15" s="190"/>
      <c r="Y15" s="190"/>
      <c r="Z15" s="190"/>
      <c r="AA15" s="190">
        <v>11.567535125760001</v>
      </c>
      <c r="AB15" s="190"/>
      <c r="AC15" s="190">
        <v>6.5132517599999995E-2</v>
      </c>
      <c r="AD15" s="190"/>
      <c r="AE15" s="190">
        <v>0.78159021119999994</v>
      </c>
      <c r="AF15" s="190"/>
      <c r="AG15" s="190">
        <v>6.5132517599999995E-2</v>
      </c>
      <c r="AH15" s="190"/>
      <c r="AI15" s="190"/>
      <c r="AJ15" s="190">
        <v>17.993943528959999</v>
      </c>
    </row>
    <row r="16" spans="1:36" x14ac:dyDescent="0.25">
      <c r="A16" s="43">
        <v>15.88</v>
      </c>
      <c r="B16" s="43">
        <v>15.88</v>
      </c>
      <c r="C16">
        <v>0</v>
      </c>
      <c r="D16" s="43">
        <v>1.6</v>
      </c>
      <c r="E16" t="s">
        <v>962</v>
      </c>
      <c r="F16" t="s">
        <v>963</v>
      </c>
      <c r="G16" t="s">
        <v>506</v>
      </c>
      <c r="H16" s="190"/>
      <c r="I16" s="190">
        <v>5.1362048102400006</v>
      </c>
      <c r="J16" s="190">
        <v>2.3935164959999997</v>
      </c>
      <c r="K16" s="190"/>
      <c r="L16" s="190"/>
      <c r="M16" s="190">
        <v>0</v>
      </c>
      <c r="N16" s="190"/>
      <c r="O16" s="190"/>
      <c r="P16" s="190">
        <v>0</v>
      </c>
      <c r="Q16" s="190"/>
      <c r="R16" s="190"/>
      <c r="S16" s="190">
        <v>1.2446285779199999</v>
      </c>
      <c r="T16" s="190"/>
      <c r="U16" s="190">
        <v>1.4079508799999998</v>
      </c>
      <c r="V16" s="190"/>
      <c r="W16" s="190"/>
      <c r="X16" s="190"/>
      <c r="Y16" s="190"/>
      <c r="Z16" s="190"/>
      <c r="AA16" s="190">
        <v>4.8996690624000001</v>
      </c>
      <c r="AB16" s="190"/>
      <c r="AC16" s="190"/>
      <c r="AD16" s="190"/>
      <c r="AE16" s="190"/>
      <c r="AF16" s="190"/>
      <c r="AG16" s="190"/>
      <c r="AH16" s="190"/>
      <c r="AI16" s="190"/>
      <c r="AJ16" s="190">
        <v>15.081969826560002</v>
      </c>
    </row>
    <row r="17" spans="1:36" x14ac:dyDescent="0.25">
      <c r="A17" s="43">
        <v>15.88</v>
      </c>
      <c r="B17" s="43">
        <v>15.88</v>
      </c>
      <c r="C17">
        <v>0</v>
      </c>
      <c r="D17" s="43">
        <v>2</v>
      </c>
      <c r="E17" t="s">
        <v>962</v>
      </c>
      <c r="F17" t="s">
        <v>963</v>
      </c>
      <c r="G17" t="s">
        <v>537</v>
      </c>
      <c r="H17" s="190"/>
      <c r="I17" s="190">
        <v>0</v>
      </c>
      <c r="J17" s="190">
        <v>2.4690702164160001</v>
      </c>
      <c r="K17" s="190"/>
      <c r="L17" s="190"/>
      <c r="M17" s="190"/>
      <c r="N17" s="190"/>
      <c r="O17" s="190"/>
      <c r="P17" s="190"/>
      <c r="Q17" s="190">
        <v>3.9823713168000006</v>
      </c>
      <c r="R17" s="190">
        <v>0</v>
      </c>
      <c r="S17" s="190"/>
      <c r="T17" s="190"/>
      <c r="U17" s="190"/>
      <c r="V17" s="190">
        <v>0.99559282920000014</v>
      </c>
      <c r="W17" s="190">
        <v>0</v>
      </c>
      <c r="X17" s="190"/>
      <c r="Y17" s="190"/>
      <c r="Z17" s="190"/>
      <c r="AA17" s="190">
        <v>5.3885178900000001</v>
      </c>
      <c r="AB17" s="190"/>
      <c r="AC17" s="190"/>
      <c r="AD17" s="190"/>
      <c r="AE17" s="190"/>
      <c r="AF17" s="190"/>
      <c r="AG17" s="190"/>
      <c r="AH17" s="190"/>
      <c r="AI17" s="190"/>
      <c r="AJ17" s="190">
        <v>12.835552252416001</v>
      </c>
    </row>
    <row r="18" spans="1:36" hidden="1" x14ac:dyDescent="0.25">
      <c r="A18" s="43">
        <v>16.100000000000001</v>
      </c>
      <c r="B18" s="43">
        <v>16.100000000000001</v>
      </c>
      <c r="C18">
        <v>0</v>
      </c>
      <c r="D18" s="43">
        <v>2</v>
      </c>
      <c r="E18" t="s">
        <v>357</v>
      </c>
      <c r="F18" t="s">
        <v>357</v>
      </c>
      <c r="G18" t="s">
        <v>971</v>
      </c>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v>0</v>
      </c>
      <c r="AJ18" s="190">
        <v>0</v>
      </c>
    </row>
    <row r="19" spans="1:36" x14ac:dyDescent="0.25">
      <c r="A19" s="43">
        <v>16.100000000000001</v>
      </c>
      <c r="B19" s="43">
        <v>16.100000000000001</v>
      </c>
      <c r="C19">
        <v>0</v>
      </c>
      <c r="D19" s="43">
        <v>2.8</v>
      </c>
      <c r="E19" t="s">
        <v>357</v>
      </c>
      <c r="F19" t="s">
        <v>357</v>
      </c>
      <c r="G19" t="s">
        <v>546</v>
      </c>
      <c r="H19" s="190"/>
      <c r="I19" s="190">
        <v>0</v>
      </c>
      <c r="J19" s="190"/>
      <c r="K19" s="190"/>
      <c r="L19" s="190"/>
      <c r="M19" s="190"/>
      <c r="N19" s="190"/>
      <c r="O19" s="190"/>
      <c r="P19" s="190">
        <v>0</v>
      </c>
      <c r="Q19" s="190"/>
      <c r="R19" s="190"/>
      <c r="S19" s="190"/>
      <c r="T19" s="190"/>
      <c r="U19" s="190"/>
      <c r="V19" s="190"/>
      <c r="W19" s="190"/>
      <c r="X19" s="190"/>
      <c r="Y19" s="190"/>
      <c r="Z19" s="190"/>
      <c r="AA19" s="190"/>
      <c r="AB19" s="190"/>
      <c r="AC19" s="190"/>
      <c r="AD19" s="190"/>
      <c r="AE19" s="190"/>
      <c r="AF19" s="190"/>
      <c r="AG19" s="190"/>
      <c r="AH19" s="190"/>
      <c r="AI19" s="190"/>
      <c r="AJ19" s="190">
        <v>0</v>
      </c>
    </row>
    <row r="20" spans="1:36" hidden="1" x14ac:dyDescent="0.25">
      <c r="A20" s="43">
        <v>16.100000000000001</v>
      </c>
      <c r="B20" s="43">
        <v>16.100000000000001</v>
      </c>
      <c r="C20">
        <v>0</v>
      </c>
      <c r="D20" s="43">
        <v>2.8</v>
      </c>
      <c r="E20" t="s">
        <v>357</v>
      </c>
      <c r="F20" t="s">
        <v>967</v>
      </c>
      <c r="G20" t="s">
        <v>967</v>
      </c>
      <c r="H20" s="190"/>
      <c r="I20" s="190"/>
      <c r="J20" s="190">
        <v>6.8844656999999989</v>
      </c>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v>6.8844656999999989</v>
      </c>
    </row>
    <row r="21" spans="1:36" hidden="1" x14ac:dyDescent="0.25">
      <c r="A21" s="43">
        <v>16.100000000000001</v>
      </c>
      <c r="B21" s="43">
        <v>16.100000000000001</v>
      </c>
      <c r="C21">
        <v>10.4</v>
      </c>
      <c r="D21" s="43">
        <v>2.7</v>
      </c>
      <c r="E21" t="s">
        <v>357</v>
      </c>
      <c r="F21" t="s">
        <v>357</v>
      </c>
      <c r="G21" t="s">
        <v>972</v>
      </c>
      <c r="H21" s="190"/>
      <c r="I21" s="190"/>
      <c r="J21" s="190"/>
      <c r="K21" s="190"/>
      <c r="L21" s="190"/>
      <c r="M21" s="190"/>
      <c r="N21" s="190"/>
      <c r="O21" s="190"/>
      <c r="P21" s="190"/>
      <c r="Q21" s="190">
        <v>2.6754024600000008</v>
      </c>
      <c r="R21" s="190"/>
      <c r="S21" s="190"/>
      <c r="T21" s="190"/>
      <c r="U21" s="190">
        <v>0</v>
      </c>
      <c r="V21" s="190"/>
      <c r="W21" s="190"/>
      <c r="X21" s="190"/>
      <c r="Y21" s="190"/>
      <c r="Z21" s="190"/>
      <c r="AA21" s="190"/>
      <c r="AB21" s="190"/>
      <c r="AC21" s="190"/>
      <c r="AD21" s="190"/>
      <c r="AE21" s="190"/>
      <c r="AF21" s="190"/>
      <c r="AG21" s="190"/>
      <c r="AH21" s="190"/>
      <c r="AI21" s="190"/>
      <c r="AJ21" s="190">
        <v>2.6754024600000008</v>
      </c>
    </row>
    <row r="22" spans="1:36" hidden="1" x14ac:dyDescent="0.25">
      <c r="A22" s="43">
        <v>16.100000000000001</v>
      </c>
      <c r="B22" s="43">
        <v>16.100000000000001</v>
      </c>
      <c r="C22">
        <v>10.7</v>
      </c>
      <c r="D22" s="43">
        <v>2.95</v>
      </c>
      <c r="E22" t="s">
        <v>357</v>
      </c>
      <c r="F22" t="s">
        <v>357</v>
      </c>
      <c r="G22" t="s">
        <v>973</v>
      </c>
      <c r="H22" s="190"/>
      <c r="I22" s="190">
        <v>0</v>
      </c>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v>0</v>
      </c>
    </row>
    <row r="23" spans="1:36" x14ac:dyDescent="0.25">
      <c r="A23" s="43">
        <v>17.3</v>
      </c>
      <c r="B23" s="43">
        <v>17.3</v>
      </c>
      <c r="C23">
        <v>0</v>
      </c>
      <c r="D23" s="43">
        <v>1.2</v>
      </c>
      <c r="E23" t="s">
        <v>357</v>
      </c>
      <c r="F23" t="s">
        <v>357</v>
      </c>
      <c r="G23" t="s">
        <v>974</v>
      </c>
      <c r="H23" s="190"/>
      <c r="I23" s="190"/>
      <c r="J23" s="190"/>
      <c r="K23" s="190"/>
      <c r="L23" s="190"/>
      <c r="M23" s="190"/>
      <c r="N23" s="190"/>
      <c r="O23" s="190"/>
      <c r="P23" s="190">
        <v>0</v>
      </c>
      <c r="Q23" s="190"/>
      <c r="R23" s="190"/>
      <c r="S23" s="190"/>
      <c r="T23" s="190"/>
      <c r="U23" s="190"/>
      <c r="V23" s="190"/>
      <c r="W23" s="190"/>
      <c r="X23" s="190"/>
      <c r="Y23" s="190"/>
      <c r="Z23" s="190"/>
      <c r="AA23" s="190"/>
      <c r="AB23" s="190"/>
      <c r="AC23" s="190"/>
      <c r="AD23" s="190"/>
      <c r="AE23" s="190"/>
      <c r="AF23" s="190"/>
      <c r="AG23" s="190"/>
      <c r="AH23" s="190"/>
      <c r="AI23" s="190"/>
      <c r="AJ23" s="190">
        <v>0</v>
      </c>
    </row>
    <row r="24" spans="1:36" hidden="1" x14ac:dyDescent="0.25">
      <c r="A24" s="43">
        <v>17.3</v>
      </c>
      <c r="B24" s="43">
        <v>17.3</v>
      </c>
      <c r="C24">
        <v>0</v>
      </c>
      <c r="D24" s="43">
        <v>1.2</v>
      </c>
      <c r="E24" t="s">
        <v>357</v>
      </c>
      <c r="F24" t="s">
        <v>967</v>
      </c>
      <c r="G24" t="s">
        <v>975</v>
      </c>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v>0</v>
      </c>
      <c r="AI24" s="190"/>
      <c r="AJ24" s="190">
        <v>0</v>
      </c>
    </row>
    <row r="25" spans="1:36" hidden="1" x14ac:dyDescent="0.25">
      <c r="A25" s="43">
        <v>17.3</v>
      </c>
      <c r="B25" s="43">
        <v>17.3</v>
      </c>
      <c r="C25">
        <v>0</v>
      </c>
      <c r="D25" s="43">
        <v>1.2</v>
      </c>
      <c r="E25" t="s">
        <v>962</v>
      </c>
      <c r="F25" t="s">
        <v>963</v>
      </c>
      <c r="G25" t="s">
        <v>557</v>
      </c>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v>0.35716401000000009</v>
      </c>
      <c r="AI25" s="190">
        <v>1.0857785904000001</v>
      </c>
      <c r="AJ25" s="190">
        <v>1.4429426004000003</v>
      </c>
    </row>
    <row r="26" spans="1:36" x14ac:dyDescent="0.25">
      <c r="A26" s="43">
        <v>17.3</v>
      </c>
      <c r="B26" s="43">
        <v>17.3</v>
      </c>
      <c r="C26">
        <v>0</v>
      </c>
      <c r="D26" s="43">
        <v>1.2</v>
      </c>
      <c r="E26" t="s">
        <v>962</v>
      </c>
      <c r="F26" t="s">
        <v>967</v>
      </c>
      <c r="G26" t="s">
        <v>976</v>
      </c>
      <c r="H26" s="190"/>
      <c r="I26" s="190"/>
      <c r="J26" s="190"/>
      <c r="K26" s="190"/>
      <c r="L26" s="190"/>
      <c r="M26" s="190"/>
      <c r="N26" s="190"/>
      <c r="O26" s="190"/>
      <c r="P26" s="190"/>
      <c r="Q26" s="190">
        <v>0</v>
      </c>
      <c r="R26" s="190"/>
      <c r="S26" s="190"/>
      <c r="T26" s="190"/>
      <c r="U26" s="190"/>
      <c r="V26" s="190"/>
      <c r="W26" s="190"/>
      <c r="X26" s="190"/>
      <c r="Y26" s="190"/>
      <c r="Z26" s="190"/>
      <c r="AA26" s="190"/>
      <c r="AB26" s="190"/>
      <c r="AC26" s="190"/>
      <c r="AD26" s="190"/>
      <c r="AE26" s="190"/>
      <c r="AF26" s="190"/>
      <c r="AG26" s="190"/>
      <c r="AH26" s="190"/>
      <c r="AI26" s="190"/>
      <c r="AJ26" s="190">
        <v>0</v>
      </c>
    </row>
    <row r="27" spans="1:36" hidden="1" x14ac:dyDescent="0.25">
      <c r="A27" s="43">
        <v>17.3</v>
      </c>
      <c r="B27" s="43">
        <v>17.3</v>
      </c>
      <c r="C27">
        <v>0</v>
      </c>
      <c r="D27" s="43">
        <v>1.6</v>
      </c>
      <c r="E27" t="s">
        <v>357</v>
      </c>
      <c r="F27" t="s">
        <v>967</v>
      </c>
      <c r="G27" t="s">
        <v>977</v>
      </c>
      <c r="H27" s="190"/>
      <c r="I27" s="190">
        <v>0</v>
      </c>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v>0</v>
      </c>
    </row>
    <row r="28" spans="1:36" x14ac:dyDescent="0.25">
      <c r="A28" s="43">
        <v>17.3</v>
      </c>
      <c r="B28" s="43">
        <v>17.3</v>
      </c>
      <c r="C28">
        <v>0</v>
      </c>
      <c r="D28" s="43">
        <v>1.6</v>
      </c>
      <c r="E28" t="s">
        <v>962</v>
      </c>
      <c r="F28" t="s">
        <v>963</v>
      </c>
      <c r="G28" t="s">
        <v>978</v>
      </c>
      <c r="H28" s="190"/>
      <c r="I28" s="190">
        <v>9.3496614880000006</v>
      </c>
      <c r="J28" s="190"/>
      <c r="K28" s="190"/>
      <c r="L28" s="190"/>
      <c r="M28" s="190">
        <v>0</v>
      </c>
      <c r="N28" s="190"/>
      <c r="O28" s="190"/>
      <c r="P28" s="190"/>
      <c r="Q28" s="190"/>
      <c r="R28" s="190"/>
      <c r="S28" s="190"/>
      <c r="T28" s="190"/>
      <c r="U28" s="190"/>
      <c r="V28" s="190"/>
      <c r="W28" s="190"/>
      <c r="X28" s="190"/>
      <c r="Y28" s="190"/>
      <c r="Z28" s="190">
        <v>4.3961984479999998</v>
      </c>
      <c r="AA28" s="190">
        <v>1.9813852160000001</v>
      </c>
      <c r="AB28" s="190"/>
      <c r="AC28" s="190"/>
      <c r="AD28" s="190"/>
      <c r="AE28" s="190"/>
      <c r="AF28" s="190"/>
      <c r="AG28" s="190"/>
      <c r="AH28" s="190"/>
      <c r="AI28" s="190"/>
      <c r="AJ28" s="190">
        <v>15.727245152</v>
      </c>
    </row>
    <row r="29" spans="1:36" x14ac:dyDescent="0.25">
      <c r="A29" s="43">
        <v>18</v>
      </c>
      <c r="B29" s="43">
        <v>26</v>
      </c>
      <c r="C29">
        <v>18</v>
      </c>
      <c r="D29" s="43">
        <v>4</v>
      </c>
      <c r="E29" t="s">
        <v>357</v>
      </c>
      <c r="F29" t="s">
        <v>967</v>
      </c>
      <c r="G29" t="s">
        <v>979</v>
      </c>
      <c r="H29" s="190"/>
      <c r="I29" s="190"/>
      <c r="J29" s="190"/>
      <c r="K29" s="190"/>
      <c r="L29" s="190"/>
      <c r="M29" s="190"/>
      <c r="N29" s="190"/>
      <c r="O29" s="190">
        <v>0</v>
      </c>
      <c r="P29" s="190"/>
      <c r="Q29" s="190"/>
      <c r="R29" s="190"/>
      <c r="S29" s="190"/>
      <c r="T29" s="190"/>
      <c r="U29" s="190"/>
      <c r="V29" s="190"/>
      <c r="W29" s="190"/>
      <c r="X29" s="190"/>
      <c r="Y29" s="190"/>
      <c r="Z29" s="190"/>
      <c r="AA29" s="190"/>
      <c r="AB29" s="190"/>
      <c r="AC29" s="190"/>
      <c r="AD29" s="190"/>
      <c r="AE29" s="190"/>
      <c r="AF29" s="190"/>
      <c r="AG29" s="190"/>
      <c r="AH29" s="190"/>
      <c r="AI29" s="190"/>
      <c r="AJ29" s="190">
        <v>0</v>
      </c>
    </row>
    <row r="30" spans="1:36" x14ac:dyDescent="0.25">
      <c r="A30" s="43">
        <v>18.2</v>
      </c>
      <c r="B30" s="43">
        <v>18.2</v>
      </c>
      <c r="C30">
        <v>0</v>
      </c>
      <c r="D30" s="43">
        <v>1</v>
      </c>
      <c r="E30" t="s">
        <v>962</v>
      </c>
      <c r="F30" t="s">
        <v>963</v>
      </c>
      <c r="G30" t="s">
        <v>980</v>
      </c>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v>0.54055257000000001</v>
      </c>
      <c r="AI30" s="190">
        <v>3.3408268639999998</v>
      </c>
      <c r="AJ30" s="190">
        <v>3.8813794339999999</v>
      </c>
    </row>
    <row r="31" spans="1:36" hidden="1" x14ac:dyDescent="0.25">
      <c r="A31" s="43">
        <v>18.2</v>
      </c>
      <c r="B31" s="43">
        <v>18.2</v>
      </c>
      <c r="C31">
        <v>12.3</v>
      </c>
      <c r="D31" s="43">
        <v>2.95</v>
      </c>
      <c r="E31" t="s">
        <v>357</v>
      </c>
      <c r="F31" t="s">
        <v>357</v>
      </c>
      <c r="G31" t="s">
        <v>981</v>
      </c>
      <c r="H31" s="190"/>
      <c r="I31" s="190"/>
      <c r="J31" s="190"/>
      <c r="K31" s="190"/>
      <c r="L31" s="190"/>
      <c r="M31" s="190"/>
      <c r="N31" s="190"/>
      <c r="O31" s="190"/>
      <c r="P31" s="190"/>
      <c r="Q31" s="190">
        <v>0</v>
      </c>
      <c r="R31" s="190"/>
      <c r="S31" s="190"/>
      <c r="T31" s="190"/>
      <c r="U31" s="190">
        <v>2.7722422187500007</v>
      </c>
      <c r="V31" s="190"/>
      <c r="W31" s="190"/>
      <c r="X31" s="190"/>
      <c r="Y31" s="190"/>
      <c r="Z31" s="190"/>
      <c r="AA31" s="190"/>
      <c r="AB31" s="190"/>
      <c r="AC31" s="190"/>
      <c r="AD31" s="190"/>
      <c r="AE31" s="190"/>
      <c r="AF31" s="190"/>
      <c r="AG31" s="190"/>
      <c r="AH31" s="190"/>
      <c r="AI31" s="190"/>
      <c r="AJ31" s="190">
        <v>2.7722422187500007</v>
      </c>
    </row>
    <row r="32" spans="1:36" hidden="1" x14ac:dyDescent="0.25">
      <c r="A32" s="43">
        <v>19</v>
      </c>
      <c r="B32" s="43">
        <v>19</v>
      </c>
      <c r="C32">
        <v>12.5</v>
      </c>
      <c r="D32" s="43">
        <v>3.25</v>
      </c>
      <c r="E32" t="s">
        <v>357</v>
      </c>
      <c r="F32" t="s">
        <v>357</v>
      </c>
      <c r="G32" t="s">
        <v>590</v>
      </c>
      <c r="H32" s="190"/>
      <c r="I32" s="190"/>
      <c r="J32" s="190"/>
      <c r="K32" s="190"/>
      <c r="L32" s="190"/>
      <c r="M32" s="190"/>
      <c r="N32" s="190">
        <v>1.3626583424999998</v>
      </c>
      <c r="O32" s="190"/>
      <c r="P32" s="190">
        <v>0</v>
      </c>
      <c r="Q32" s="190"/>
      <c r="R32" s="190">
        <v>0</v>
      </c>
      <c r="S32" s="190"/>
      <c r="T32" s="190"/>
      <c r="U32" s="190"/>
      <c r="V32" s="190">
        <v>9.841421362500002</v>
      </c>
      <c r="W32" s="190"/>
      <c r="X32" s="190"/>
      <c r="Y32" s="190"/>
      <c r="Z32" s="190"/>
      <c r="AA32" s="190">
        <v>14.837835285000001</v>
      </c>
      <c r="AB32" s="190"/>
      <c r="AC32" s="190"/>
      <c r="AD32" s="190"/>
      <c r="AE32" s="190"/>
      <c r="AF32" s="190"/>
      <c r="AG32" s="190"/>
      <c r="AH32" s="190"/>
      <c r="AI32" s="190"/>
      <c r="AJ32" s="190">
        <v>26.041914990000002</v>
      </c>
    </row>
    <row r="33" spans="1:36" x14ac:dyDescent="0.25">
      <c r="A33" s="43">
        <v>19</v>
      </c>
      <c r="B33" s="43">
        <v>19</v>
      </c>
      <c r="C33">
        <v>12.5</v>
      </c>
      <c r="D33" s="43">
        <v>3.25</v>
      </c>
      <c r="E33" t="s">
        <v>357</v>
      </c>
      <c r="F33" t="s">
        <v>967</v>
      </c>
      <c r="G33" t="s">
        <v>982</v>
      </c>
      <c r="H33" s="190"/>
      <c r="I33" s="190"/>
      <c r="J33" s="190"/>
      <c r="K33" s="190"/>
      <c r="L33" s="190"/>
      <c r="M33" s="190"/>
      <c r="N33" s="190"/>
      <c r="O33" s="190"/>
      <c r="P33" s="190"/>
      <c r="Q33" s="190"/>
      <c r="R33" s="190"/>
      <c r="S33" s="190"/>
      <c r="T33" s="190"/>
      <c r="U33" s="190"/>
      <c r="V33" s="190"/>
      <c r="W33" s="190"/>
      <c r="X33" s="190"/>
      <c r="Y33" s="190"/>
      <c r="Z33" s="190"/>
      <c r="AA33" s="190">
        <v>0</v>
      </c>
      <c r="AB33" s="190"/>
      <c r="AC33" s="190"/>
      <c r="AD33" s="190"/>
      <c r="AE33" s="190"/>
      <c r="AF33" s="190"/>
      <c r="AG33" s="190"/>
      <c r="AH33" s="190"/>
      <c r="AI33" s="190"/>
      <c r="AJ33" s="190">
        <v>0</v>
      </c>
    </row>
    <row r="34" spans="1:36" x14ac:dyDescent="0.25">
      <c r="A34" s="43">
        <v>19.05</v>
      </c>
      <c r="B34" s="43">
        <v>19</v>
      </c>
      <c r="C34">
        <v>12.5</v>
      </c>
      <c r="D34" s="43">
        <v>3.25</v>
      </c>
      <c r="E34" t="s">
        <v>357</v>
      </c>
      <c r="F34" t="s">
        <v>357</v>
      </c>
      <c r="G34" t="s">
        <v>590</v>
      </c>
      <c r="H34" s="190"/>
      <c r="I34" s="190"/>
      <c r="J34" s="190"/>
      <c r="K34" s="190"/>
      <c r="L34" s="190"/>
      <c r="M34" s="190"/>
      <c r="N34" s="190"/>
      <c r="O34" s="190"/>
      <c r="P34" s="190">
        <v>0</v>
      </c>
      <c r="Q34" s="190"/>
      <c r="R34" s="190"/>
      <c r="S34" s="190"/>
      <c r="T34" s="190"/>
      <c r="U34" s="190"/>
      <c r="V34" s="190"/>
      <c r="W34" s="190"/>
      <c r="X34" s="190"/>
      <c r="Y34" s="190"/>
      <c r="Z34" s="190"/>
      <c r="AA34" s="190"/>
      <c r="AB34" s="190"/>
      <c r="AC34" s="190"/>
      <c r="AD34" s="190"/>
      <c r="AE34" s="190"/>
      <c r="AF34" s="190"/>
      <c r="AG34" s="190"/>
      <c r="AH34" s="190"/>
      <c r="AI34" s="190"/>
      <c r="AJ34" s="190">
        <v>0</v>
      </c>
    </row>
    <row r="35" spans="1:36" x14ac:dyDescent="0.25">
      <c r="A35" s="43">
        <v>19.05</v>
      </c>
      <c r="B35" s="43">
        <v>19.05</v>
      </c>
      <c r="C35">
        <v>0</v>
      </c>
      <c r="D35" s="43">
        <v>1</v>
      </c>
      <c r="E35" t="s">
        <v>962</v>
      </c>
      <c r="F35" t="s">
        <v>963</v>
      </c>
      <c r="G35" t="s">
        <v>648</v>
      </c>
      <c r="H35" s="190">
        <v>8.5423574400000017</v>
      </c>
      <c r="I35" s="190"/>
      <c r="J35" s="190"/>
      <c r="K35" s="190"/>
      <c r="L35" s="190"/>
      <c r="M35" s="190">
        <v>5.3389734000000004</v>
      </c>
      <c r="N35" s="190"/>
      <c r="O35" s="190"/>
      <c r="P35" s="190"/>
      <c r="Q35" s="190"/>
      <c r="R35" s="190"/>
      <c r="S35" s="190"/>
      <c r="T35" s="190"/>
      <c r="U35" s="190"/>
      <c r="V35" s="190"/>
      <c r="W35" s="190"/>
      <c r="X35" s="190"/>
      <c r="Y35" s="190"/>
      <c r="Z35" s="190"/>
      <c r="AA35" s="190"/>
      <c r="AB35" s="190"/>
      <c r="AC35" s="190"/>
      <c r="AD35" s="190"/>
      <c r="AE35" s="190"/>
      <c r="AF35" s="190"/>
      <c r="AG35" s="190"/>
      <c r="AH35" s="190">
        <v>1.9487252910000001</v>
      </c>
      <c r="AI35" s="190"/>
      <c r="AJ35" s="190">
        <v>15.830056131000003</v>
      </c>
    </row>
    <row r="36" spans="1:36" x14ac:dyDescent="0.25">
      <c r="A36" s="43">
        <v>19.05</v>
      </c>
      <c r="B36" s="43">
        <v>19.05</v>
      </c>
      <c r="C36">
        <v>0</v>
      </c>
      <c r="D36" s="43">
        <v>1.2</v>
      </c>
      <c r="E36" t="s">
        <v>229</v>
      </c>
      <c r="F36" t="s">
        <v>963</v>
      </c>
      <c r="G36" t="s">
        <v>532</v>
      </c>
      <c r="H36" s="190"/>
      <c r="I36" s="190"/>
      <c r="J36" s="190"/>
      <c r="K36" s="190"/>
      <c r="L36" s="190"/>
      <c r="M36" s="190"/>
      <c r="N36" s="190"/>
      <c r="O36" s="190"/>
      <c r="P36" s="190"/>
      <c r="Q36" s="190"/>
      <c r="R36" s="190"/>
      <c r="S36" s="190"/>
      <c r="T36" s="190"/>
      <c r="U36" s="190"/>
      <c r="V36" s="190"/>
      <c r="W36" s="190"/>
      <c r="X36" s="190"/>
      <c r="Y36" s="190"/>
      <c r="Z36" s="190"/>
      <c r="AA36" s="190"/>
      <c r="AB36" s="190"/>
      <c r="AC36" s="190">
        <v>0.89413680573000009</v>
      </c>
      <c r="AD36" s="190"/>
      <c r="AE36" s="190">
        <v>8.743374964800001</v>
      </c>
      <c r="AF36" s="190">
        <v>9.9355573724400017</v>
      </c>
      <c r="AG36" s="190"/>
      <c r="AH36" s="190"/>
      <c r="AI36" s="190"/>
      <c r="AJ36" s="190">
        <v>19.573069142970002</v>
      </c>
    </row>
    <row r="37" spans="1:36" hidden="1" x14ac:dyDescent="0.25">
      <c r="A37" s="43">
        <v>19.05</v>
      </c>
      <c r="B37" s="43">
        <v>19.05</v>
      </c>
      <c r="C37">
        <v>0</v>
      </c>
      <c r="D37" s="43">
        <v>1.2</v>
      </c>
      <c r="E37" t="s">
        <v>962</v>
      </c>
      <c r="F37" t="s">
        <v>963</v>
      </c>
      <c r="G37" t="s">
        <v>471</v>
      </c>
      <c r="H37" s="190">
        <v>24.300880201080002</v>
      </c>
      <c r="I37" s="190"/>
      <c r="J37" s="190"/>
      <c r="K37" s="190"/>
      <c r="L37" s="190"/>
      <c r="M37" s="190">
        <v>0</v>
      </c>
      <c r="N37" s="190"/>
      <c r="O37" s="190"/>
      <c r="P37" s="190"/>
      <c r="Q37" s="190"/>
      <c r="R37" s="190"/>
      <c r="S37" s="190"/>
      <c r="T37" s="190"/>
      <c r="U37" s="190"/>
      <c r="V37" s="190"/>
      <c r="W37" s="190"/>
      <c r="X37" s="190"/>
      <c r="Y37" s="190"/>
      <c r="Z37" s="190">
        <v>8.5797006750000016</v>
      </c>
      <c r="AA37" s="190"/>
      <c r="AB37" s="190"/>
      <c r="AC37" s="190"/>
      <c r="AD37" s="190"/>
      <c r="AE37" s="190"/>
      <c r="AF37" s="190"/>
      <c r="AG37" s="190">
        <v>0.98310170196000013</v>
      </c>
      <c r="AH37" s="190">
        <v>6.9189346151100004</v>
      </c>
      <c r="AI37" s="190"/>
      <c r="AJ37" s="190">
        <v>40.782617193150003</v>
      </c>
    </row>
    <row r="38" spans="1:36" hidden="1" x14ac:dyDescent="0.25">
      <c r="A38" s="43">
        <v>19.05</v>
      </c>
      <c r="B38" s="43">
        <v>19.05</v>
      </c>
      <c r="C38">
        <v>0</v>
      </c>
      <c r="D38" s="43">
        <v>1.2</v>
      </c>
      <c r="E38" t="s">
        <v>962</v>
      </c>
      <c r="F38" t="s">
        <v>967</v>
      </c>
      <c r="G38" t="s">
        <v>967</v>
      </c>
      <c r="H38" s="190">
        <v>4.1948136531000006</v>
      </c>
      <c r="I38" s="190"/>
      <c r="J38" s="190"/>
      <c r="K38" s="190"/>
      <c r="L38" s="190"/>
      <c r="M38" s="190"/>
      <c r="N38" s="190"/>
      <c r="O38" s="190"/>
      <c r="P38" s="190"/>
      <c r="Q38" s="190"/>
      <c r="R38" s="190"/>
      <c r="S38" s="190"/>
      <c r="T38" s="190"/>
      <c r="U38" s="190"/>
      <c r="V38" s="190"/>
      <c r="W38" s="190"/>
      <c r="X38" s="190"/>
      <c r="Y38" s="190"/>
      <c r="Z38" s="190"/>
      <c r="AA38" s="190"/>
      <c r="AB38" s="190"/>
      <c r="AC38" s="190"/>
      <c r="AD38" s="190"/>
      <c r="AE38" s="190"/>
      <c r="AF38" s="190"/>
      <c r="AG38" s="190"/>
      <c r="AH38" s="190"/>
      <c r="AI38" s="190"/>
      <c r="AJ38" s="190">
        <v>4.1948136531000006</v>
      </c>
    </row>
    <row r="39" spans="1:36" hidden="1" x14ac:dyDescent="0.25">
      <c r="A39" s="43">
        <v>19.05</v>
      </c>
      <c r="B39" s="43">
        <v>19.05</v>
      </c>
      <c r="C39">
        <v>0</v>
      </c>
      <c r="D39" s="43">
        <v>1.6</v>
      </c>
      <c r="E39" t="s">
        <v>962</v>
      </c>
      <c r="F39" t="s">
        <v>963</v>
      </c>
      <c r="G39" t="s">
        <v>983</v>
      </c>
      <c r="H39" s="190"/>
      <c r="I39" s="190"/>
      <c r="J39" s="190"/>
      <c r="K39" s="190"/>
      <c r="L39" s="190"/>
      <c r="M39" s="190"/>
      <c r="N39" s="190">
        <v>0</v>
      </c>
      <c r="O39" s="190"/>
      <c r="P39" s="190"/>
      <c r="Q39" s="190"/>
      <c r="R39" s="190"/>
      <c r="S39" s="190"/>
      <c r="T39" s="190"/>
      <c r="U39" s="190"/>
      <c r="V39" s="190"/>
      <c r="W39" s="190"/>
      <c r="X39" s="190"/>
      <c r="Y39" s="190"/>
      <c r="Z39" s="190">
        <v>3.2758323807999998</v>
      </c>
      <c r="AA39" s="190">
        <v>0</v>
      </c>
      <c r="AB39" s="190"/>
      <c r="AC39" s="190"/>
      <c r="AD39" s="190"/>
      <c r="AE39" s="190"/>
      <c r="AF39" s="190"/>
      <c r="AG39" s="190"/>
      <c r="AH39" s="190">
        <v>0.83960409759999988</v>
      </c>
      <c r="AI39" s="190"/>
      <c r="AJ39" s="190">
        <v>4.1154364783999995</v>
      </c>
    </row>
    <row r="40" spans="1:36" hidden="1" x14ac:dyDescent="0.25">
      <c r="A40" s="43">
        <v>19.05</v>
      </c>
      <c r="B40" s="43">
        <v>19.05</v>
      </c>
      <c r="C40">
        <v>0</v>
      </c>
      <c r="D40" s="43">
        <v>1.6</v>
      </c>
      <c r="E40" t="s">
        <v>962</v>
      </c>
      <c r="F40" t="s">
        <v>967</v>
      </c>
      <c r="G40" t="s">
        <v>984</v>
      </c>
      <c r="H40" s="190"/>
      <c r="I40" s="190"/>
      <c r="J40" s="190"/>
      <c r="K40" s="190"/>
      <c r="L40" s="190"/>
      <c r="M40" s="190"/>
      <c r="N40" s="190"/>
      <c r="O40" s="190"/>
      <c r="P40" s="190">
        <v>0</v>
      </c>
      <c r="Q40" s="190"/>
      <c r="R40" s="190"/>
      <c r="S40" s="190"/>
      <c r="T40" s="190"/>
      <c r="U40" s="190"/>
      <c r="V40" s="190"/>
      <c r="W40" s="190"/>
      <c r="X40" s="190"/>
      <c r="Y40" s="190"/>
      <c r="Z40" s="190"/>
      <c r="AA40" s="190"/>
      <c r="AB40" s="190"/>
      <c r="AC40" s="190"/>
      <c r="AD40" s="190"/>
      <c r="AE40" s="190"/>
      <c r="AF40" s="190"/>
      <c r="AG40" s="190"/>
      <c r="AH40" s="190">
        <v>0</v>
      </c>
      <c r="AI40" s="190"/>
      <c r="AJ40" s="190">
        <v>0</v>
      </c>
    </row>
    <row r="41" spans="1:36" x14ac:dyDescent="0.25">
      <c r="A41" s="43">
        <v>19.05</v>
      </c>
      <c r="B41" s="43">
        <v>19.05</v>
      </c>
      <c r="C41">
        <v>0</v>
      </c>
      <c r="D41" s="43">
        <v>1.6</v>
      </c>
      <c r="E41" t="s">
        <v>985</v>
      </c>
      <c r="F41" t="s">
        <v>963</v>
      </c>
      <c r="G41" t="s">
        <v>986</v>
      </c>
      <c r="H41" s="190"/>
      <c r="I41" s="190"/>
      <c r="J41" s="190"/>
      <c r="K41" s="190"/>
      <c r="L41" s="190"/>
      <c r="M41" s="190"/>
      <c r="N41" s="190"/>
      <c r="O41" s="190"/>
      <c r="P41" s="190"/>
      <c r="Q41" s="190"/>
      <c r="R41" s="190"/>
      <c r="S41" s="190"/>
      <c r="T41" s="190"/>
      <c r="U41" s="190"/>
      <c r="V41" s="190">
        <v>0</v>
      </c>
      <c r="W41" s="190"/>
      <c r="X41" s="190"/>
      <c r="Y41" s="190"/>
      <c r="Z41" s="190"/>
      <c r="AA41" s="190"/>
      <c r="AB41" s="190"/>
      <c r="AC41" s="190"/>
      <c r="AD41" s="190"/>
      <c r="AE41" s="190"/>
      <c r="AF41" s="190"/>
      <c r="AG41" s="190"/>
      <c r="AH41" s="190"/>
      <c r="AI41" s="190"/>
      <c r="AJ41" s="190">
        <v>0</v>
      </c>
    </row>
    <row r="42" spans="1:36" x14ac:dyDescent="0.25">
      <c r="A42" s="43">
        <v>19.05</v>
      </c>
      <c r="B42" s="43">
        <v>19.05</v>
      </c>
      <c r="C42">
        <v>0</v>
      </c>
      <c r="D42" s="43">
        <v>1.6</v>
      </c>
      <c r="E42" t="s">
        <v>967</v>
      </c>
      <c r="F42" t="s">
        <v>967</v>
      </c>
      <c r="G42" t="s">
        <v>987</v>
      </c>
      <c r="H42" s="190"/>
      <c r="I42" s="190">
        <v>0</v>
      </c>
      <c r="J42" s="190"/>
      <c r="K42" s="190"/>
      <c r="L42" s="190"/>
      <c r="M42" s="190"/>
      <c r="N42" s="190"/>
      <c r="O42" s="190"/>
      <c r="P42" s="190"/>
      <c r="Q42" s="190"/>
      <c r="R42" s="190"/>
      <c r="S42" s="190"/>
      <c r="T42" s="190"/>
      <c r="U42" s="190"/>
      <c r="V42" s="190"/>
      <c r="W42" s="190">
        <v>0</v>
      </c>
      <c r="X42" s="190"/>
      <c r="Y42" s="190"/>
      <c r="Z42" s="190"/>
      <c r="AA42" s="190"/>
      <c r="AB42" s="190"/>
      <c r="AC42" s="190"/>
      <c r="AD42" s="190"/>
      <c r="AE42" s="190"/>
      <c r="AF42" s="190"/>
      <c r="AG42" s="190"/>
      <c r="AH42" s="190"/>
      <c r="AI42" s="190"/>
      <c r="AJ42" s="190">
        <v>0</v>
      </c>
    </row>
    <row r="43" spans="1:36" hidden="1" x14ac:dyDescent="0.25">
      <c r="A43" s="43">
        <v>19.05</v>
      </c>
      <c r="B43" s="43">
        <v>19.05</v>
      </c>
      <c r="C43">
        <v>0</v>
      </c>
      <c r="D43" s="43">
        <v>1.63</v>
      </c>
      <c r="E43" t="s">
        <v>967</v>
      </c>
      <c r="F43" t="s">
        <v>967</v>
      </c>
      <c r="G43" t="s">
        <v>988</v>
      </c>
      <c r="H43" s="190"/>
      <c r="I43" s="190">
        <v>0</v>
      </c>
      <c r="J43" s="190"/>
      <c r="K43" s="190"/>
      <c r="L43" s="190"/>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v>0</v>
      </c>
    </row>
    <row r="44" spans="1:36" hidden="1" x14ac:dyDescent="0.25">
      <c r="A44" s="43">
        <v>19.05</v>
      </c>
      <c r="B44" s="43">
        <v>19.05</v>
      </c>
      <c r="C44">
        <v>0</v>
      </c>
      <c r="D44" s="43">
        <v>2</v>
      </c>
      <c r="E44" t="s">
        <v>962</v>
      </c>
      <c r="F44" t="s">
        <v>963</v>
      </c>
      <c r="G44" t="s">
        <v>604</v>
      </c>
      <c r="H44" s="190"/>
      <c r="I44" s="190">
        <v>1.3574574035000002</v>
      </c>
      <c r="J44" s="190"/>
      <c r="K44" s="190"/>
      <c r="L44" s="190">
        <v>3.3621235999999999</v>
      </c>
      <c r="M44" s="190"/>
      <c r="N44" s="190"/>
      <c r="O44" s="190"/>
      <c r="P44" s="190"/>
      <c r="Q44" s="190">
        <v>10.994144172</v>
      </c>
      <c r="R44" s="190">
        <v>4.4548137699999995</v>
      </c>
      <c r="S44" s="190">
        <v>4.7876640064</v>
      </c>
      <c r="T44" s="190"/>
      <c r="U44" s="190">
        <v>10.994144172</v>
      </c>
      <c r="V44" s="190">
        <v>3.2570572375000002</v>
      </c>
      <c r="W44" s="190">
        <v>0</v>
      </c>
      <c r="X44" s="190"/>
      <c r="Y44" s="190"/>
      <c r="Z44" s="190"/>
      <c r="AA44" s="190">
        <v>34.251634175</v>
      </c>
      <c r="AB44" s="190"/>
      <c r="AC44" s="190"/>
      <c r="AD44" s="190"/>
      <c r="AE44" s="190"/>
      <c r="AF44" s="190"/>
      <c r="AG44" s="190"/>
      <c r="AH44" s="190"/>
      <c r="AI44" s="190"/>
      <c r="AJ44" s="190">
        <v>73.459038536400001</v>
      </c>
    </row>
    <row r="45" spans="1:36" hidden="1" x14ac:dyDescent="0.25">
      <c r="A45" s="43">
        <v>19.05</v>
      </c>
      <c r="B45" s="43">
        <v>19.05</v>
      </c>
      <c r="C45">
        <v>0</v>
      </c>
      <c r="D45" s="43">
        <v>2</v>
      </c>
      <c r="E45" t="s">
        <v>962</v>
      </c>
      <c r="F45" t="s">
        <v>963</v>
      </c>
      <c r="G45" t="s">
        <v>967</v>
      </c>
      <c r="H45" s="190"/>
      <c r="I45" s="190"/>
      <c r="J45" s="190"/>
      <c r="K45" s="190"/>
      <c r="L45" s="190"/>
      <c r="M45" s="190"/>
      <c r="N45" s="190"/>
      <c r="O45" s="190"/>
      <c r="P45" s="190"/>
      <c r="Q45" s="190"/>
      <c r="R45" s="190"/>
      <c r="S45" s="190"/>
      <c r="T45" s="190"/>
      <c r="U45" s="190"/>
      <c r="V45" s="190"/>
      <c r="W45" s="190"/>
      <c r="X45" s="190"/>
      <c r="Y45" s="190"/>
      <c r="Z45" s="190"/>
      <c r="AA45" s="190">
        <v>3.5092165075000001</v>
      </c>
      <c r="AB45" s="190"/>
      <c r="AC45" s="190"/>
      <c r="AD45" s="190"/>
      <c r="AE45" s="190"/>
      <c r="AF45" s="190"/>
      <c r="AG45" s="190"/>
      <c r="AH45" s="190"/>
      <c r="AI45" s="190"/>
      <c r="AJ45" s="190">
        <v>3.5092165075000001</v>
      </c>
    </row>
    <row r="46" spans="1:36" x14ac:dyDescent="0.25">
      <c r="A46" s="43">
        <v>19.05</v>
      </c>
      <c r="B46" s="43">
        <v>19.05</v>
      </c>
      <c r="C46">
        <v>0</v>
      </c>
      <c r="D46" s="43">
        <v>2</v>
      </c>
      <c r="E46" t="s">
        <v>962</v>
      </c>
      <c r="F46" t="s">
        <v>967</v>
      </c>
      <c r="G46" t="s">
        <v>989</v>
      </c>
      <c r="H46" s="190"/>
      <c r="I46" s="190"/>
      <c r="J46" s="190"/>
      <c r="K46" s="190"/>
      <c r="L46" s="190"/>
      <c r="M46" s="190"/>
      <c r="N46" s="190"/>
      <c r="O46" s="190"/>
      <c r="P46" s="190">
        <v>0</v>
      </c>
      <c r="Q46" s="190">
        <v>0</v>
      </c>
      <c r="R46" s="190"/>
      <c r="S46" s="190"/>
      <c r="T46" s="190"/>
      <c r="U46" s="190"/>
      <c r="V46" s="190"/>
      <c r="W46" s="190"/>
      <c r="X46" s="190"/>
      <c r="Y46" s="190"/>
      <c r="Z46" s="190"/>
      <c r="AA46" s="190"/>
      <c r="AB46" s="190"/>
      <c r="AC46" s="190"/>
      <c r="AD46" s="190"/>
      <c r="AE46" s="190"/>
      <c r="AF46" s="190"/>
      <c r="AG46" s="190"/>
      <c r="AH46" s="190"/>
      <c r="AI46" s="190"/>
      <c r="AJ46" s="190">
        <v>0</v>
      </c>
    </row>
    <row r="47" spans="1:36" hidden="1" x14ac:dyDescent="0.25">
      <c r="A47" s="43">
        <v>19.05</v>
      </c>
      <c r="B47" s="43">
        <v>19.05</v>
      </c>
      <c r="C47">
        <v>0</v>
      </c>
      <c r="D47" s="43">
        <v>2</v>
      </c>
      <c r="E47" t="s">
        <v>962</v>
      </c>
      <c r="F47" t="s">
        <v>967</v>
      </c>
      <c r="G47" t="s">
        <v>967</v>
      </c>
      <c r="H47" s="190"/>
      <c r="I47" s="190"/>
      <c r="J47" s="190"/>
      <c r="K47" s="190"/>
      <c r="L47" s="190"/>
      <c r="M47" s="190"/>
      <c r="N47" s="190"/>
      <c r="O47" s="190"/>
      <c r="P47" s="190"/>
      <c r="Q47" s="190">
        <v>6.5141144750000004</v>
      </c>
      <c r="R47" s="190"/>
      <c r="S47" s="190"/>
      <c r="T47" s="190"/>
      <c r="U47" s="190"/>
      <c r="V47" s="190"/>
      <c r="W47" s="190"/>
      <c r="X47" s="190"/>
      <c r="Y47" s="190"/>
      <c r="Z47" s="190"/>
      <c r="AA47" s="190"/>
      <c r="AB47" s="190"/>
      <c r="AC47" s="190"/>
      <c r="AD47" s="190"/>
      <c r="AE47" s="190"/>
      <c r="AF47" s="190"/>
      <c r="AG47" s="190"/>
      <c r="AH47" s="190"/>
      <c r="AI47" s="190"/>
      <c r="AJ47" s="190">
        <v>6.5141144750000004</v>
      </c>
    </row>
    <row r="48" spans="1:36" hidden="1" x14ac:dyDescent="0.25">
      <c r="A48" s="43">
        <v>19.05</v>
      </c>
      <c r="B48" s="43">
        <v>19.05</v>
      </c>
      <c r="C48">
        <v>0</v>
      </c>
      <c r="D48" s="43">
        <v>2</v>
      </c>
      <c r="E48" t="s">
        <v>967</v>
      </c>
      <c r="F48" t="s">
        <v>967</v>
      </c>
      <c r="G48" t="s">
        <v>990</v>
      </c>
      <c r="H48" s="190"/>
      <c r="I48" s="190"/>
      <c r="J48" s="190"/>
      <c r="K48" s="190"/>
      <c r="L48" s="190"/>
      <c r="M48" s="190"/>
      <c r="N48" s="190"/>
      <c r="O48" s="190"/>
      <c r="P48" s="190"/>
      <c r="Q48" s="190"/>
      <c r="R48" s="190"/>
      <c r="S48" s="190"/>
      <c r="T48" s="190"/>
      <c r="U48" s="190"/>
      <c r="V48" s="190"/>
      <c r="W48" s="190"/>
      <c r="X48" s="190"/>
      <c r="Y48" s="190"/>
      <c r="Z48" s="190"/>
      <c r="AA48" s="190">
        <v>0</v>
      </c>
      <c r="AB48" s="190"/>
      <c r="AC48" s="190"/>
      <c r="AD48" s="190"/>
      <c r="AE48" s="190"/>
      <c r="AF48" s="190"/>
      <c r="AG48" s="190"/>
      <c r="AH48" s="190"/>
      <c r="AI48" s="190"/>
      <c r="AJ48" s="190">
        <v>0</v>
      </c>
    </row>
    <row r="49" spans="1:36" hidden="1" x14ac:dyDescent="0.25">
      <c r="A49" s="43">
        <v>19.05</v>
      </c>
      <c r="B49" s="43">
        <v>19.05</v>
      </c>
      <c r="C49">
        <v>0</v>
      </c>
      <c r="D49" s="43">
        <v>2.2999999999999998</v>
      </c>
      <c r="E49" t="s">
        <v>962</v>
      </c>
      <c r="F49" t="s">
        <v>963</v>
      </c>
      <c r="G49" t="s">
        <v>407</v>
      </c>
      <c r="H49" s="190"/>
      <c r="I49" s="190">
        <v>6.5764736719874994</v>
      </c>
      <c r="J49" s="190"/>
      <c r="K49" s="190"/>
      <c r="L49" s="190"/>
      <c r="M49" s="190"/>
      <c r="N49" s="190"/>
      <c r="O49" s="190"/>
      <c r="P49" s="190">
        <v>0</v>
      </c>
      <c r="Q49" s="190"/>
      <c r="R49" s="190">
        <v>3.4185698099999993</v>
      </c>
      <c r="S49" s="190">
        <v>7.7535062496250013</v>
      </c>
      <c r="T49" s="190"/>
      <c r="U49" s="190">
        <v>6.5104762825999991</v>
      </c>
      <c r="V49" s="190"/>
      <c r="W49" s="190">
        <v>0</v>
      </c>
      <c r="X49" s="190"/>
      <c r="Y49" s="190"/>
      <c r="Z49" s="190">
        <v>3.7984108999999995</v>
      </c>
      <c r="AA49" s="190">
        <v>67.953571001</v>
      </c>
      <c r="AB49" s="190"/>
      <c r="AC49" s="190"/>
      <c r="AD49" s="190"/>
      <c r="AE49" s="190"/>
      <c r="AF49" s="190"/>
      <c r="AG49" s="190"/>
      <c r="AH49" s="190">
        <v>3.7414347365</v>
      </c>
      <c r="AI49" s="190"/>
      <c r="AJ49" s="190">
        <v>99.752442651712499</v>
      </c>
    </row>
    <row r="50" spans="1:36" hidden="1" x14ac:dyDescent="0.25">
      <c r="A50" s="43">
        <v>19.05</v>
      </c>
      <c r="B50" s="43">
        <v>19.05</v>
      </c>
      <c r="C50">
        <v>0</v>
      </c>
      <c r="D50" s="43">
        <v>2.2999999999999998</v>
      </c>
      <c r="E50" t="s">
        <v>962</v>
      </c>
      <c r="F50" t="s">
        <v>967</v>
      </c>
      <c r="G50" t="s">
        <v>991</v>
      </c>
      <c r="H50" s="190"/>
      <c r="I50" s="190"/>
      <c r="J50" s="190"/>
      <c r="K50" s="190"/>
      <c r="L50" s="190"/>
      <c r="M50" s="190"/>
      <c r="N50" s="190"/>
      <c r="O50" s="190"/>
      <c r="P50" s="190">
        <v>0</v>
      </c>
      <c r="Q50" s="190"/>
      <c r="R50" s="190"/>
      <c r="S50" s="190"/>
      <c r="T50" s="190"/>
      <c r="U50" s="190"/>
      <c r="V50" s="190"/>
      <c r="W50" s="190">
        <v>0</v>
      </c>
      <c r="X50" s="190"/>
      <c r="Y50" s="190"/>
      <c r="Z50" s="190">
        <v>0</v>
      </c>
      <c r="AA50" s="190"/>
      <c r="AB50" s="190"/>
      <c r="AC50" s="190"/>
      <c r="AD50" s="190"/>
      <c r="AE50" s="190"/>
      <c r="AF50" s="190"/>
      <c r="AG50" s="190"/>
      <c r="AH50" s="190"/>
      <c r="AI50" s="190"/>
      <c r="AJ50" s="190">
        <v>0</v>
      </c>
    </row>
    <row r="51" spans="1:36" x14ac:dyDescent="0.25">
      <c r="A51" s="43">
        <v>19.05</v>
      </c>
      <c r="B51" s="43">
        <v>19.05</v>
      </c>
      <c r="C51">
        <v>0</v>
      </c>
      <c r="D51" s="43">
        <v>2.34</v>
      </c>
      <c r="E51" t="s">
        <v>962</v>
      </c>
      <c r="F51" t="s">
        <v>967</v>
      </c>
      <c r="G51" t="s">
        <v>992</v>
      </c>
      <c r="H51" s="190"/>
      <c r="I51" s="190"/>
      <c r="J51" s="190"/>
      <c r="K51" s="190"/>
      <c r="L51" s="190"/>
      <c r="M51" s="190"/>
      <c r="N51" s="190"/>
      <c r="O51" s="190"/>
      <c r="P51" s="190">
        <v>0</v>
      </c>
      <c r="Q51" s="190"/>
      <c r="R51" s="190"/>
      <c r="S51" s="190"/>
      <c r="T51" s="190"/>
      <c r="U51" s="190"/>
      <c r="V51" s="190"/>
      <c r="W51" s="190"/>
      <c r="X51" s="190"/>
      <c r="Y51" s="190"/>
      <c r="Z51" s="190"/>
      <c r="AA51" s="190">
        <v>0</v>
      </c>
      <c r="AB51" s="190"/>
      <c r="AC51" s="190"/>
      <c r="AD51" s="190"/>
      <c r="AE51" s="190"/>
      <c r="AF51" s="190"/>
      <c r="AG51" s="190"/>
      <c r="AH51" s="190"/>
      <c r="AI51" s="190"/>
      <c r="AJ51" s="190">
        <v>0</v>
      </c>
    </row>
    <row r="52" spans="1:36" x14ac:dyDescent="0.25">
      <c r="A52" s="43">
        <v>19.05</v>
      </c>
      <c r="B52" s="43">
        <v>19.05</v>
      </c>
      <c r="C52">
        <v>0</v>
      </c>
      <c r="D52" s="43">
        <v>2.5</v>
      </c>
      <c r="E52" t="s">
        <v>993</v>
      </c>
      <c r="F52" t="s">
        <v>967</v>
      </c>
      <c r="G52" t="s">
        <v>994</v>
      </c>
      <c r="H52" s="190"/>
      <c r="I52" s="190"/>
      <c r="J52" s="190"/>
      <c r="K52" s="190"/>
      <c r="L52" s="190"/>
      <c r="M52" s="190"/>
      <c r="N52" s="190"/>
      <c r="O52" s="190"/>
      <c r="P52" s="190">
        <v>0</v>
      </c>
      <c r="Q52" s="190"/>
      <c r="R52" s="190"/>
      <c r="S52" s="190"/>
      <c r="T52" s="190"/>
      <c r="U52" s="190"/>
      <c r="V52" s="190"/>
      <c r="W52" s="190"/>
      <c r="X52" s="190"/>
      <c r="Y52" s="190"/>
      <c r="Z52" s="190"/>
      <c r="AA52" s="190"/>
      <c r="AB52" s="190"/>
      <c r="AC52" s="190"/>
      <c r="AD52" s="190"/>
      <c r="AE52" s="190"/>
      <c r="AF52" s="190"/>
      <c r="AG52" s="190"/>
      <c r="AH52" s="190"/>
      <c r="AI52" s="190"/>
      <c r="AJ52" s="190">
        <v>0</v>
      </c>
    </row>
    <row r="53" spans="1:36" x14ac:dyDescent="0.25">
      <c r="A53" s="43">
        <v>20</v>
      </c>
      <c r="B53" s="43">
        <v>20</v>
      </c>
      <c r="C53">
        <v>12.4</v>
      </c>
      <c r="D53" s="43">
        <v>3.8</v>
      </c>
      <c r="E53" t="s">
        <v>357</v>
      </c>
      <c r="F53" t="s">
        <v>357</v>
      </c>
      <c r="G53" t="s">
        <v>995</v>
      </c>
      <c r="H53" s="190"/>
      <c r="I53" s="190"/>
      <c r="J53" s="190"/>
      <c r="K53" s="190"/>
      <c r="L53" s="190"/>
      <c r="M53" s="190"/>
      <c r="N53" s="190"/>
      <c r="O53" s="190"/>
      <c r="P53" s="190"/>
      <c r="Q53" s="190"/>
      <c r="R53" s="190"/>
      <c r="S53" s="190"/>
      <c r="T53" s="190"/>
      <c r="U53" s="190"/>
      <c r="V53" s="190"/>
      <c r="W53" s="190"/>
      <c r="X53" s="190"/>
      <c r="Y53" s="190">
        <v>0</v>
      </c>
      <c r="Z53" s="190"/>
      <c r="AA53" s="190"/>
      <c r="AB53" s="190"/>
      <c r="AC53" s="190"/>
      <c r="AD53" s="190"/>
      <c r="AE53" s="190"/>
      <c r="AF53" s="190"/>
      <c r="AG53" s="190"/>
      <c r="AH53" s="190"/>
      <c r="AI53" s="190"/>
      <c r="AJ53" s="190">
        <v>0</v>
      </c>
    </row>
    <row r="54" spans="1:36" hidden="1" x14ac:dyDescent="0.25">
      <c r="A54" s="43">
        <v>20</v>
      </c>
      <c r="B54" s="43">
        <v>20</v>
      </c>
      <c r="C54">
        <v>12.4</v>
      </c>
      <c r="D54" s="43">
        <v>4.5</v>
      </c>
      <c r="E54" t="s">
        <v>357</v>
      </c>
      <c r="F54" t="s">
        <v>357</v>
      </c>
      <c r="G54" t="s">
        <v>996</v>
      </c>
      <c r="H54" s="190"/>
      <c r="I54" s="190"/>
      <c r="J54" s="190"/>
      <c r="K54" s="190"/>
      <c r="L54" s="190"/>
      <c r="M54" s="190"/>
      <c r="N54" s="190"/>
      <c r="O54" s="190"/>
      <c r="P54" s="190"/>
      <c r="Q54" s="190"/>
      <c r="R54" s="190"/>
      <c r="S54" s="190"/>
      <c r="T54" s="190"/>
      <c r="U54" s="190"/>
      <c r="V54" s="190"/>
      <c r="W54" s="190"/>
      <c r="X54" s="190"/>
      <c r="Y54" s="190">
        <v>0</v>
      </c>
      <c r="Z54" s="190"/>
      <c r="AA54" s="190"/>
      <c r="AB54" s="190"/>
      <c r="AC54" s="190"/>
      <c r="AD54" s="190"/>
      <c r="AE54" s="190"/>
      <c r="AF54" s="190"/>
      <c r="AG54" s="190"/>
      <c r="AH54" s="190"/>
      <c r="AI54" s="190">
        <v>3.4385355000000004</v>
      </c>
      <c r="AJ54" s="190">
        <v>3.4385355000000004</v>
      </c>
    </row>
    <row r="55" spans="1:36" hidden="1" x14ac:dyDescent="0.25">
      <c r="A55" s="43">
        <v>20</v>
      </c>
      <c r="B55" s="43">
        <v>20</v>
      </c>
      <c r="C55">
        <v>17.16</v>
      </c>
      <c r="D55" s="43">
        <v>1.42</v>
      </c>
      <c r="E55" t="s">
        <v>357</v>
      </c>
      <c r="F55" t="s">
        <v>357</v>
      </c>
      <c r="G55" t="s">
        <v>724</v>
      </c>
      <c r="H55" s="190"/>
      <c r="I55" s="190"/>
      <c r="J55" s="190"/>
      <c r="K55" s="190"/>
      <c r="L55" s="190"/>
      <c r="M55" s="190"/>
      <c r="N55" s="190"/>
      <c r="O55" s="190"/>
      <c r="P55" s="190"/>
      <c r="Q55" s="190"/>
      <c r="R55" s="190"/>
      <c r="S55" s="190"/>
      <c r="T55" s="190"/>
      <c r="U55" s="190"/>
      <c r="V55" s="190"/>
      <c r="W55" s="190"/>
      <c r="X55" s="190"/>
      <c r="Y55" s="190"/>
      <c r="Z55" s="190"/>
      <c r="AA55" s="190"/>
      <c r="AB55" s="190"/>
      <c r="AC55" s="190"/>
      <c r="AD55" s="190">
        <v>2.4855588001607996</v>
      </c>
      <c r="AE55" s="190"/>
      <c r="AF55" s="190"/>
      <c r="AG55" s="190"/>
      <c r="AH55" s="190">
        <v>3.550798285943999</v>
      </c>
      <c r="AI55" s="190"/>
      <c r="AJ55" s="190">
        <v>6.0363570861047986</v>
      </c>
    </row>
    <row r="56" spans="1:36" hidden="1" x14ac:dyDescent="0.25">
      <c r="A56" s="43">
        <v>21.7</v>
      </c>
      <c r="B56" s="43">
        <v>21.7</v>
      </c>
      <c r="C56">
        <v>16.2</v>
      </c>
      <c r="D56" s="43">
        <v>2.75</v>
      </c>
      <c r="E56" t="s">
        <v>357</v>
      </c>
      <c r="F56" t="s">
        <v>357</v>
      </c>
      <c r="G56" t="s">
        <v>727</v>
      </c>
      <c r="H56" s="190"/>
      <c r="I56" s="190"/>
      <c r="J56" s="190"/>
      <c r="K56" s="190"/>
      <c r="L56" s="190"/>
      <c r="M56" s="190"/>
      <c r="N56" s="190"/>
      <c r="O56" s="190"/>
      <c r="P56" s="190"/>
      <c r="Q56" s="190"/>
      <c r="R56" s="190"/>
      <c r="S56" s="190"/>
      <c r="T56" s="190"/>
      <c r="U56" s="190">
        <v>1.9267815187499999</v>
      </c>
      <c r="V56" s="190"/>
      <c r="W56" s="190"/>
      <c r="X56" s="190"/>
      <c r="Y56" s="190"/>
      <c r="Z56" s="190"/>
      <c r="AA56" s="190">
        <v>0</v>
      </c>
      <c r="AB56" s="190"/>
      <c r="AC56" s="190"/>
      <c r="AD56" s="190"/>
      <c r="AE56" s="190"/>
      <c r="AF56" s="190"/>
      <c r="AG56" s="190"/>
      <c r="AH56" s="190">
        <v>0</v>
      </c>
      <c r="AI56" s="190"/>
      <c r="AJ56" s="190">
        <v>1.9267815187499999</v>
      </c>
    </row>
    <row r="57" spans="1:36" x14ac:dyDescent="0.25">
      <c r="A57" s="43">
        <v>21.75</v>
      </c>
      <c r="B57" s="43">
        <v>21.75</v>
      </c>
      <c r="C57">
        <v>0</v>
      </c>
      <c r="D57" s="43">
        <v>3.5</v>
      </c>
      <c r="E57" t="s">
        <v>357</v>
      </c>
      <c r="F57" t="s">
        <v>357</v>
      </c>
      <c r="G57" t="s">
        <v>997</v>
      </c>
      <c r="H57" s="190"/>
      <c r="I57" s="190"/>
      <c r="J57" s="190"/>
      <c r="K57" s="190"/>
      <c r="L57" s="190"/>
      <c r="M57" s="190"/>
      <c r="N57" s="190"/>
      <c r="O57" s="190"/>
      <c r="P57" s="190"/>
      <c r="Q57" s="190"/>
      <c r="R57" s="190"/>
      <c r="S57" s="190"/>
      <c r="T57" s="190"/>
      <c r="U57" s="190"/>
      <c r="V57" s="190"/>
      <c r="W57" s="190"/>
      <c r="X57" s="190"/>
      <c r="Y57" s="190">
        <v>0</v>
      </c>
      <c r="Z57" s="190"/>
      <c r="AA57" s="190"/>
      <c r="AB57" s="190"/>
      <c r="AC57" s="190"/>
      <c r="AD57" s="190"/>
      <c r="AE57" s="190"/>
      <c r="AF57" s="190"/>
      <c r="AG57" s="190"/>
      <c r="AH57" s="190">
        <v>0</v>
      </c>
      <c r="AI57" s="190"/>
      <c r="AJ57" s="190">
        <v>0</v>
      </c>
    </row>
    <row r="58" spans="1:36" hidden="1" x14ac:dyDescent="0.25">
      <c r="A58" s="43">
        <v>21.75</v>
      </c>
      <c r="B58" s="43">
        <v>21.75</v>
      </c>
      <c r="C58">
        <v>0</v>
      </c>
      <c r="D58" s="43">
        <v>3.5</v>
      </c>
      <c r="E58" t="s">
        <v>357</v>
      </c>
      <c r="F58" t="s">
        <v>967</v>
      </c>
      <c r="G58" t="s">
        <v>998</v>
      </c>
      <c r="H58" s="190"/>
      <c r="I58" s="190"/>
      <c r="J58" s="190"/>
      <c r="K58" s="190"/>
      <c r="L58" s="190"/>
      <c r="M58" s="190"/>
      <c r="N58" s="190">
        <v>0</v>
      </c>
      <c r="O58" s="190"/>
      <c r="P58" s="190"/>
      <c r="Q58" s="190">
        <v>0</v>
      </c>
      <c r="R58" s="190"/>
      <c r="S58" s="190"/>
      <c r="T58" s="190"/>
      <c r="U58" s="190"/>
      <c r="V58" s="190"/>
      <c r="W58" s="190"/>
      <c r="X58" s="190"/>
      <c r="Y58" s="190"/>
      <c r="Z58" s="190"/>
      <c r="AA58" s="190"/>
      <c r="AB58" s="190"/>
      <c r="AC58" s="190"/>
      <c r="AD58" s="190"/>
      <c r="AE58" s="190"/>
      <c r="AF58" s="190"/>
      <c r="AG58" s="190"/>
      <c r="AH58" s="190"/>
      <c r="AI58" s="190"/>
      <c r="AJ58" s="190">
        <v>0</v>
      </c>
    </row>
    <row r="59" spans="1:36" hidden="1" x14ac:dyDescent="0.25">
      <c r="A59" s="43">
        <v>22.23</v>
      </c>
      <c r="B59" s="43">
        <v>22.2</v>
      </c>
      <c r="C59">
        <v>0</v>
      </c>
      <c r="D59" s="43">
        <v>1.2</v>
      </c>
      <c r="E59" t="s">
        <v>967</v>
      </c>
      <c r="F59" t="s">
        <v>967</v>
      </c>
      <c r="G59" t="s">
        <v>999</v>
      </c>
      <c r="H59" s="190"/>
      <c r="I59" s="190"/>
      <c r="J59" s="190"/>
      <c r="K59" s="190"/>
      <c r="L59" s="190"/>
      <c r="M59" s="190"/>
      <c r="N59" s="190"/>
      <c r="O59" s="190"/>
      <c r="P59" s="190">
        <v>0</v>
      </c>
      <c r="Q59" s="190"/>
      <c r="R59" s="190"/>
      <c r="S59" s="190"/>
      <c r="T59" s="190"/>
      <c r="U59" s="190"/>
      <c r="V59" s="190"/>
      <c r="W59" s="190"/>
      <c r="X59" s="190"/>
      <c r="Y59" s="190"/>
      <c r="Z59" s="190"/>
      <c r="AA59" s="190"/>
      <c r="AB59" s="190"/>
      <c r="AC59" s="190"/>
      <c r="AD59" s="190"/>
      <c r="AE59" s="190"/>
      <c r="AF59" s="190"/>
      <c r="AG59" s="190"/>
      <c r="AH59" s="190"/>
      <c r="AI59" s="190"/>
      <c r="AJ59" s="190">
        <v>0</v>
      </c>
    </row>
    <row r="60" spans="1:36" x14ac:dyDescent="0.25">
      <c r="A60" s="43">
        <v>22.23</v>
      </c>
      <c r="B60" s="43">
        <v>22.23</v>
      </c>
      <c r="C60">
        <v>0</v>
      </c>
      <c r="D60" s="43">
        <v>1.2</v>
      </c>
      <c r="E60" t="s">
        <v>962</v>
      </c>
      <c r="F60" t="s">
        <v>963</v>
      </c>
      <c r="G60" t="s">
        <v>607</v>
      </c>
      <c r="H60" s="190"/>
      <c r="I60" s="190">
        <v>6.5053169511120004</v>
      </c>
      <c r="J60" s="190"/>
      <c r="K60" s="190"/>
      <c r="L60" s="190"/>
      <c r="M60" s="190"/>
      <c r="N60" s="190"/>
      <c r="O60" s="190"/>
      <c r="P60" s="190"/>
      <c r="Q60" s="190"/>
      <c r="R60" s="190"/>
      <c r="S60" s="190">
        <v>0</v>
      </c>
      <c r="T60" s="190">
        <v>3.5960257500840007</v>
      </c>
      <c r="U60" s="190"/>
      <c r="V60" s="190"/>
      <c r="W60" s="190"/>
      <c r="X60" s="190">
        <v>2.4782159813760005</v>
      </c>
      <c r="Y60" s="190"/>
      <c r="Z60" s="190">
        <v>0</v>
      </c>
      <c r="AA60" s="190">
        <v>8.1363115051200019</v>
      </c>
      <c r="AB60" s="190"/>
      <c r="AC60" s="190"/>
      <c r="AD60" s="190"/>
      <c r="AE60" s="190"/>
      <c r="AF60" s="190"/>
      <c r="AG60" s="190"/>
      <c r="AH60" s="190"/>
      <c r="AI60" s="190">
        <v>0.52251541775999999</v>
      </c>
      <c r="AJ60" s="190">
        <v>21.238385605452006</v>
      </c>
    </row>
    <row r="61" spans="1:36" hidden="1" x14ac:dyDescent="0.25">
      <c r="A61" s="43">
        <v>22.23</v>
      </c>
      <c r="B61" s="43">
        <v>22.23</v>
      </c>
      <c r="C61">
        <v>0</v>
      </c>
      <c r="D61" s="43">
        <v>1.2</v>
      </c>
      <c r="E61" t="s">
        <v>962</v>
      </c>
      <c r="F61" t="s">
        <v>967</v>
      </c>
      <c r="G61" t="s">
        <v>1000</v>
      </c>
      <c r="H61" s="190"/>
      <c r="I61" s="190"/>
      <c r="J61" s="190"/>
      <c r="K61" s="190"/>
      <c r="L61" s="190"/>
      <c r="M61" s="190"/>
      <c r="N61" s="190"/>
      <c r="O61" s="190"/>
      <c r="P61" s="190"/>
      <c r="Q61" s="190"/>
      <c r="R61" s="190"/>
      <c r="S61" s="190"/>
      <c r="T61" s="190"/>
      <c r="U61" s="190"/>
      <c r="V61" s="190"/>
      <c r="W61" s="190"/>
      <c r="X61" s="190"/>
      <c r="Y61" s="190"/>
      <c r="Z61" s="190"/>
      <c r="AA61" s="190">
        <v>0</v>
      </c>
      <c r="AB61" s="190"/>
      <c r="AC61" s="190"/>
      <c r="AD61" s="190"/>
      <c r="AE61" s="190"/>
      <c r="AF61" s="190"/>
      <c r="AG61" s="190"/>
      <c r="AH61" s="190"/>
      <c r="AI61" s="190"/>
      <c r="AJ61" s="190">
        <v>0</v>
      </c>
    </row>
    <row r="62" spans="1:36" x14ac:dyDescent="0.25">
      <c r="A62" s="43">
        <v>22.23</v>
      </c>
      <c r="B62" s="43">
        <v>22.23</v>
      </c>
      <c r="C62">
        <v>0</v>
      </c>
      <c r="D62" s="43">
        <v>1.2</v>
      </c>
      <c r="E62" t="s">
        <v>967</v>
      </c>
      <c r="F62" t="s">
        <v>967</v>
      </c>
      <c r="G62" t="s">
        <v>1001</v>
      </c>
      <c r="H62" s="190"/>
      <c r="I62" s="190"/>
      <c r="J62" s="190"/>
      <c r="K62" s="190"/>
      <c r="L62" s="190"/>
      <c r="M62" s="190"/>
      <c r="N62" s="190"/>
      <c r="O62" s="190"/>
      <c r="P62" s="190"/>
      <c r="Q62" s="190"/>
      <c r="R62" s="190"/>
      <c r="S62" s="190"/>
      <c r="T62" s="190"/>
      <c r="U62" s="190"/>
      <c r="V62" s="190"/>
      <c r="W62" s="190"/>
      <c r="X62" s="190"/>
      <c r="Y62" s="190"/>
      <c r="Z62" s="190"/>
      <c r="AA62" s="190">
        <v>0</v>
      </c>
      <c r="AB62" s="190"/>
      <c r="AC62" s="190"/>
      <c r="AD62" s="190"/>
      <c r="AE62" s="190"/>
      <c r="AF62" s="190"/>
      <c r="AG62" s="190"/>
      <c r="AH62" s="190"/>
      <c r="AI62" s="190"/>
      <c r="AJ62" s="190">
        <v>0</v>
      </c>
    </row>
    <row r="63" spans="1:36" x14ac:dyDescent="0.25">
      <c r="A63" s="43">
        <v>22.23</v>
      </c>
      <c r="B63" s="43">
        <v>22.23</v>
      </c>
      <c r="C63">
        <v>0</v>
      </c>
      <c r="D63" s="43">
        <v>1.6</v>
      </c>
      <c r="E63" t="s">
        <v>962</v>
      </c>
      <c r="F63" t="s">
        <v>963</v>
      </c>
      <c r="G63" t="s">
        <v>412</v>
      </c>
      <c r="H63" s="190"/>
      <c r="I63" s="190">
        <v>0</v>
      </c>
      <c r="J63" s="190"/>
      <c r="K63" s="190"/>
      <c r="L63" s="190">
        <v>10.495623076800001</v>
      </c>
      <c r="M63" s="190">
        <v>0</v>
      </c>
      <c r="N63" s="190">
        <v>3.9541649731200001</v>
      </c>
      <c r="O63" s="190"/>
      <c r="P63" s="190"/>
      <c r="Q63" s="190"/>
      <c r="R63" s="190"/>
      <c r="S63" s="190">
        <v>14.112951774431998</v>
      </c>
      <c r="T63" s="190"/>
      <c r="U63" s="190">
        <v>14.339950134</v>
      </c>
      <c r="V63" s="190"/>
      <c r="W63" s="190"/>
      <c r="X63" s="190"/>
      <c r="Y63" s="190">
        <v>22.455751699200004</v>
      </c>
      <c r="Z63" s="190">
        <v>2.2293028860800002</v>
      </c>
      <c r="AA63" s="190">
        <v>22.858490724239999</v>
      </c>
      <c r="AB63" s="190"/>
      <c r="AC63" s="190"/>
      <c r="AD63" s="190"/>
      <c r="AE63" s="190"/>
      <c r="AF63" s="190"/>
      <c r="AG63" s="190"/>
      <c r="AH63" s="190">
        <v>9.2174351811680015</v>
      </c>
      <c r="AI63" s="190">
        <v>34.198482609497603</v>
      </c>
      <c r="AJ63" s="190">
        <v>133.86215305853761</v>
      </c>
    </row>
    <row r="64" spans="1:36" x14ac:dyDescent="0.25">
      <c r="A64" s="43">
        <v>22.23</v>
      </c>
      <c r="B64" s="43">
        <v>22.23</v>
      </c>
      <c r="C64">
        <v>0</v>
      </c>
      <c r="D64" s="43">
        <v>1.6</v>
      </c>
      <c r="E64" t="s">
        <v>962</v>
      </c>
      <c r="F64" t="s">
        <v>967</v>
      </c>
      <c r="G64" t="s">
        <v>1002</v>
      </c>
      <c r="H64" s="190"/>
      <c r="I64" s="190"/>
      <c r="J64" s="190"/>
      <c r="K64" s="190"/>
      <c r="L64" s="190"/>
      <c r="M64" s="190"/>
      <c r="N64" s="190"/>
      <c r="O64" s="190"/>
      <c r="P64" s="190">
        <v>0</v>
      </c>
      <c r="Q64" s="190">
        <v>0</v>
      </c>
      <c r="R64" s="190"/>
      <c r="S64" s="190"/>
      <c r="T64" s="190"/>
      <c r="U64" s="190"/>
      <c r="V64" s="190"/>
      <c r="W64" s="190"/>
      <c r="X64" s="190"/>
      <c r="Y64" s="190"/>
      <c r="Z64" s="190"/>
      <c r="AA64" s="190"/>
      <c r="AB64" s="190"/>
      <c r="AC64" s="190"/>
      <c r="AD64" s="190"/>
      <c r="AE64" s="190"/>
      <c r="AF64" s="190"/>
      <c r="AG64" s="190"/>
      <c r="AH64" s="190"/>
      <c r="AI64" s="190"/>
      <c r="AJ64" s="190">
        <v>0</v>
      </c>
    </row>
    <row r="65" spans="1:36" hidden="1" x14ac:dyDescent="0.25">
      <c r="A65" s="43">
        <v>22.23</v>
      </c>
      <c r="B65" s="43">
        <v>22.23</v>
      </c>
      <c r="C65">
        <v>0</v>
      </c>
      <c r="D65" s="43">
        <v>1.6</v>
      </c>
      <c r="E65" t="s">
        <v>985</v>
      </c>
      <c r="F65" t="s">
        <v>963</v>
      </c>
      <c r="G65" t="s">
        <v>695</v>
      </c>
      <c r="H65" s="190"/>
      <c r="I65" s="190"/>
      <c r="J65" s="190"/>
      <c r="K65" s="190"/>
      <c r="L65" s="190"/>
      <c r="M65" s="190"/>
      <c r="N65" s="190"/>
      <c r="O65" s="190"/>
      <c r="P65" s="190"/>
      <c r="Q65" s="190"/>
      <c r="R65" s="190"/>
      <c r="S65" s="190"/>
      <c r="T65" s="190"/>
      <c r="U65" s="190"/>
      <c r="V65" s="190"/>
      <c r="W65" s="190"/>
      <c r="X65" s="190">
        <v>22.821878085599998</v>
      </c>
      <c r="Y65" s="190"/>
      <c r="Z65" s="190"/>
      <c r="AA65" s="190"/>
      <c r="AB65" s="190"/>
      <c r="AC65" s="190"/>
      <c r="AD65" s="190"/>
      <c r="AE65" s="190"/>
      <c r="AF65" s="190"/>
      <c r="AG65" s="190"/>
      <c r="AH65" s="190"/>
      <c r="AI65" s="190"/>
      <c r="AJ65" s="190">
        <v>22.821878085599998</v>
      </c>
    </row>
    <row r="66" spans="1:36" x14ac:dyDescent="0.25">
      <c r="A66" s="43">
        <v>22.23</v>
      </c>
      <c r="B66" s="43">
        <v>22.23</v>
      </c>
      <c r="C66">
        <v>0</v>
      </c>
      <c r="D66" s="43">
        <v>2</v>
      </c>
      <c r="E66" t="s">
        <v>962</v>
      </c>
      <c r="F66" t="s">
        <v>1003</v>
      </c>
      <c r="G66" t="s">
        <v>562</v>
      </c>
      <c r="H66" s="190"/>
      <c r="I66" s="190">
        <v>0</v>
      </c>
      <c r="J66" s="190">
        <v>17.54148402006</v>
      </c>
      <c r="K66" s="190"/>
      <c r="L66" s="190"/>
      <c r="M66" s="190"/>
      <c r="N66" s="190"/>
      <c r="O66" s="190"/>
      <c r="P66" s="190"/>
      <c r="Q66" s="190"/>
      <c r="R66" s="190"/>
      <c r="S66" s="190"/>
      <c r="T66" s="190"/>
      <c r="U66" s="190"/>
      <c r="V66" s="190"/>
      <c r="W66" s="190"/>
      <c r="X66" s="190"/>
      <c r="Y66" s="190">
        <v>64.274954439670935</v>
      </c>
      <c r="Z66" s="190"/>
      <c r="AA66" s="190"/>
      <c r="AB66" s="190"/>
      <c r="AC66" s="190"/>
      <c r="AD66" s="190"/>
      <c r="AE66" s="190"/>
      <c r="AF66" s="190"/>
      <c r="AG66" s="190"/>
      <c r="AH66" s="190"/>
      <c r="AI66" s="190"/>
      <c r="AJ66" s="190">
        <v>81.816438459730932</v>
      </c>
    </row>
    <row r="67" spans="1:36" x14ac:dyDescent="0.25">
      <c r="A67" s="43">
        <v>22.23</v>
      </c>
      <c r="B67" s="43">
        <v>22.23</v>
      </c>
      <c r="C67">
        <v>0</v>
      </c>
      <c r="D67" s="43">
        <v>2</v>
      </c>
      <c r="E67" t="s">
        <v>962</v>
      </c>
      <c r="F67" t="s">
        <v>963</v>
      </c>
      <c r="G67" t="s">
        <v>633</v>
      </c>
      <c r="H67" s="190"/>
      <c r="I67" s="190"/>
      <c r="J67" s="190">
        <v>13.662989998</v>
      </c>
      <c r="K67" s="190"/>
      <c r="L67" s="190"/>
      <c r="M67" s="190"/>
      <c r="N67" s="190"/>
      <c r="O67" s="190"/>
      <c r="P67" s="190"/>
      <c r="Q67" s="190"/>
      <c r="R67" s="190"/>
      <c r="S67" s="190">
        <v>6.1583184845000005</v>
      </c>
      <c r="T67" s="190"/>
      <c r="U67" s="190">
        <v>1.8828996435200001</v>
      </c>
      <c r="V67" s="190"/>
      <c r="W67" s="190"/>
      <c r="X67" s="190">
        <v>0</v>
      </c>
      <c r="Y67" s="190"/>
      <c r="Z67" s="190">
        <v>28.078940393700002</v>
      </c>
      <c r="AA67" s="190">
        <v>4.3881135760000003</v>
      </c>
      <c r="AB67" s="190"/>
      <c r="AC67" s="190"/>
      <c r="AD67" s="190"/>
      <c r="AE67" s="190"/>
      <c r="AF67" s="190"/>
      <c r="AG67" s="190"/>
      <c r="AH67" s="190">
        <v>11.331306011480001</v>
      </c>
      <c r="AI67" s="190">
        <v>8.0681451886000008</v>
      </c>
      <c r="AJ67" s="190">
        <v>73.570713295800005</v>
      </c>
    </row>
    <row r="68" spans="1:36" x14ac:dyDescent="0.25">
      <c r="A68" s="43">
        <v>22.23</v>
      </c>
      <c r="B68" s="43">
        <v>22.23</v>
      </c>
      <c r="C68">
        <v>0</v>
      </c>
      <c r="D68" s="43">
        <v>2</v>
      </c>
      <c r="E68" t="s">
        <v>962</v>
      </c>
      <c r="F68" t="s">
        <v>967</v>
      </c>
      <c r="G68" t="s">
        <v>1004</v>
      </c>
      <c r="H68" s="190"/>
      <c r="I68" s="190">
        <v>0</v>
      </c>
      <c r="J68" s="190"/>
      <c r="K68" s="190"/>
      <c r="L68" s="190"/>
      <c r="M68" s="190"/>
      <c r="N68" s="190"/>
      <c r="O68" s="190"/>
      <c r="P68" s="190">
        <v>0</v>
      </c>
      <c r="Q68" s="190">
        <v>0</v>
      </c>
      <c r="R68" s="190"/>
      <c r="S68" s="190"/>
      <c r="T68" s="190"/>
      <c r="U68" s="190"/>
      <c r="V68" s="190"/>
      <c r="W68" s="190"/>
      <c r="X68" s="190"/>
      <c r="Y68" s="190"/>
      <c r="Z68" s="190"/>
      <c r="AA68" s="190">
        <v>0</v>
      </c>
      <c r="AB68" s="190"/>
      <c r="AC68" s="190"/>
      <c r="AD68" s="190"/>
      <c r="AE68" s="190"/>
      <c r="AF68" s="190"/>
      <c r="AG68" s="190"/>
      <c r="AH68" s="190"/>
      <c r="AI68" s="190"/>
      <c r="AJ68" s="190">
        <v>0</v>
      </c>
    </row>
    <row r="69" spans="1:36" hidden="1" x14ac:dyDescent="0.25">
      <c r="A69" s="43">
        <v>22.23</v>
      </c>
      <c r="B69" s="43">
        <v>22.23</v>
      </c>
      <c r="C69">
        <v>0</v>
      </c>
      <c r="D69" s="43">
        <v>2</v>
      </c>
      <c r="E69" t="s">
        <v>993</v>
      </c>
      <c r="F69" t="s">
        <v>1003</v>
      </c>
      <c r="G69" t="s">
        <v>770</v>
      </c>
      <c r="H69" s="190"/>
      <c r="I69" s="190"/>
      <c r="J69" s="190"/>
      <c r="K69" s="190"/>
      <c r="L69" s="190"/>
      <c r="M69" s="190"/>
      <c r="N69" s="190"/>
      <c r="O69" s="190"/>
      <c r="P69" s="190"/>
      <c r="Q69" s="190"/>
      <c r="R69" s="190"/>
      <c r="S69" s="190"/>
      <c r="T69" s="190"/>
      <c r="U69" s="190"/>
      <c r="V69" s="190"/>
      <c r="W69" s="190"/>
      <c r="X69" s="190"/>
      <c r="Y69" s="190"/>
      <c r="Z69" s="190">
        <v>0</v>
      </c>
      <c r="AA69" s="190"/>
      <c r="AB69" s="190"/>
      <c r="AC69" s="190"/>
      <c r="AD69" s="190"/>
      <c r="AE69" s="190"/>
      <c r="AF69" s="190"/>
      <c r="AG69" s="190"/>
      <c r="AH69" s="190"/>
      <c r="AI69" s="190">
        <v>5.9726214963519997</v>
      </c>
      <c r="AJ69" s="190">
        <v>5.9726214963519997</v>
      </c>
    </row>
    <row r="70" spans="1:36" x14ac:dyDescent="0.25">
      <c r="A70" s="43">
        <v>22.23</v>
      </c>
      <c r="B70" s="43">
        <v>22.23</v>
      </c>
      <c r="C70">
        <v>0</v>
      </c>
      <c r="D70" s="43">
        <v>2</v>
      </c>
      <c r="E70" t="s">
        <v>993</v>
      </c>
      <c r="F70" t="s">
        <v>967</v>
      </c>
      <c r="G70" t="s">
        <v>967</v>
      </c>
      <c r="H70" s="190"/>
      <c r="I70" s="190"/>
      <c r="J70" s="190"/>
      <c r="K70" s="190"/>
      <c r="L70" s="190"/>
      <c r="M70" s="190"/>
      <c r="N70" s="190"/>
      <c r="O70" s="190"/>
      <c r="P70" s="190"/>
      <c r="Q70" s="190"/>
      <c r="R70" s="190"/>
      <c r="S70" s="190"/>
      <c r="T70" s="190"/>
      <c r="U70" s="190">
        <v>8.6266323709999995</v>
      </c>
      <c r="V70" s="190"/>
      <c r="W70" s="190"/>
      <c r="X70" s="190"/>
      <c r="Y70" s="190"/>
      <c r="Z70" s="190"/>
      <c r="AA70" s="190"/>
      <c r="AB70" s="190"/>
      <c r="AC70" s="190"/>
      <c r="AD70" s="190"/>
      <c r="AE70" s="190"/>
      <c r="AF70" s="190"/>
      <c r="AG70" s="190"/>
      <c r="AH70" s="190"/>
      <c r="AI70" s="190"/>
      <c r="AJ70" s="190">
        <v>8.6266323709999995</v>
      </c>
    </row>
    <row r="71" spans="1:36" x14ac:dyDescent="0.25">
      <c r="A71" s="43">
        <v>22.23</v>
      </c>
      <c r="B71" s="43">
        <v>22.23</v>
      </c>
      <c r="C71">
        <v>0</v>
      </c>
      <c r="D71" s="43">
        <v>2</v>
      </c>
      <c r="E71" t="s">
        <v>985</v>
      </c>
      <c r="F71" t="s">
        <v>1003</v>
      </c>
      <c r="G71" t="s">
        <v>679</v>
      </c>
      <c r="H71" s="190"/>
      <c r="I71" s="190"/>
      <c r="J71" s="190"/>
      <c r="K71" s="190"/>
      <c r="L71" s="190"/>
      <c r="M71" s="190"/>
      <c r="N71" s="190"/>
      <c r="O71" s="190"/>
      <c r="P71" s="190"/>
      <c r="Q71" s="190"/>
      <c r="R71" s="190"/>
      <c r="S71" s="190"/>
      <c r="T71" s="190"/>
      <c r="U71" s="190"/>
      <c r="V71" s="190"/>
      <c r="W71" s="190"/>
      <c r="X71" s="190">
        <v>41.597322103399996</v>
      </c>
      <c r="Y71" s="190"/>
      <c r="Z71" s="190"/>
      <c r="AA71" s="190"/>
      <c r="AB71" s="190"/>
      <c r="AC71" s="190"/>
      <c r="AD71" s="190"/>
      <c r="AE71" s="190"/>
      <c r="AF71" s="190"/>
      <c r="AG71" s="190"/>
      <c r="AH71" s="190"/>
      <c r="AI71" s="190"/>
      <c r="AJ71" s="190">
        <v>41.597322103399996</v>
      </c>
    </row>
    <row r="72" spans="1:36" hidden="1" x14ac:dyDescent="0.25">
      <c r="A72" s="43">
        <v>22.23</v>
      </c>
      <c r="B72" s="43">
        <v>22.23</v>
      </c>
      <c r="C72">
        <v>0</v>
      </c>
      <c r="D72" s="43">
        <v>2</v>
      </c>
      <c r="E72" t="s">
        <v>985</v>
      </c>
      <c r="F72" t="s">
        <v>963</v>
      </c>
      <c r="G72" t="s">
        <v>642</v>
      </c>
      <c r="H72" s="190"/>
      <c r="I72" s="190"/>
      <c r="J72" s="190"/>
      <c r="K72" s="190"/>
      <c r="L72" s="190">
        <v>0.80980641448000001</v>
      </c>
      <c r="M72" s="190"/>
      <c r="N72" s="190"/>
      <c r="O72" s="190"/>
      <c r="P72" s="190"/>
      <c r="Q72" s="190"/>
      <c r="R72" s="190"/>
      <c r="S72" s="190"/>
      <c r="T72" s="190"/>
      <c r="U72" s="190"/>
      <c r="V72" s="190"/>
      <c r="W72" s="190"/>
      <c r="X72" s="190">
        <v>63.178862508999998</v>
      </c>
      <c r="Y72" s="190"/>
      <c r="Z72" s="190"/>
      <c r="AA72" s="190">
        <v>0</v>
      </c>
      <c r="AB72" s="190"/>
      <c r="AC72" s="190"/>
      <c r="AD72" s="190"/>
      <c r="AE72" s="190"/>
      <c r="AF72" s="190"/>
      <c r="AG72" s="190"/>
      <c r="AH72" s="190"/>
      <c r="AI72" s="190"/>
      <c r="AJ72" s="190">
        <v>63.988668923479999</v>
      </c>
    </row>
    <row r="73" spans="1:36" x14ac:dyDescent="0.25">
      <c r="A73" s="43">
        <v>22.23</v>
      </c>
      <c r="B73" s="43">
        <v>22.23</v>
      </c>
      <c r="C73">
        <v>0</v>
      </c>
      <c r="D73" s="43">
        <v>2</v>
      </c>
      <c r="E73" t="s">
        <v>985</v>
      </c>
      <c r="F73" t="s">
        <v>967</v>
      </c>
      <c r="G73" t="s">
        <v>967</v>
      </c>
      <c r="H73" s="190"/>
      <c r="I73" s="190"/>
      <c r="J73" s="190"/>
      <c r="K73" s="190"/>
      <c r="L73" s="190"/>
      <c r="M73" s="190"/>
      <c r="N73" s="190"/>
      <c r="O73" s="190"/>
      <c r="P73" s="190"/>
      <c r="Q73" s="190"/>
      <c r="R73" s="190"/>
      <c r="S73" s="190"/>
      <c r="T73" s="190"/>
      <c r="U73" s="190"/>
      <c r="V73" s="190"/>
      <c r="W73" s="190"/>
      <c r="X73" s="190">
        <v>13.912314633000001</v>
      </c>
      <c r="Y73" s="190"/>
      <c r="Z73" s="190"/>
      <c r="AA73" s="190"/>
      <c r="AB73" s="190"/>
      <c r="AC73" s="190"/>
      <c r="AD73" s="190"/>
      <c r="AE73" s="190"/>
      <c r="AF73" s="190"/>
      <c r="AG73" s="190"/>
      <c r="AH73" s="190"/>
      <c r="AI73" s="190"/>
      <c r="AJ73" s="190">
        <v>13.912314633000001</v>
      </c>
    </row>
    <row r="74" spans="1:36" x14ac:dyDescent="0.25">
      <c r="A74" s="43">
        <v>22.23</v>
      </c>
      <c r="B74" s="43">
        <v>22.23</v>
      </c>
      <c r="C74">
        <v>0</v>
      </c>
      <c r="D74" s="43">
        <v>2</v>
      </c>
      <c r="E74" t="s">
        <v>967</v>
      </c>
      <c r="F74" t="s">
        <v>967</v>
      </c>
      <c r="G74" t="s">
        <v>1005</v>
      </c>
      <c r="H74" s="190"/>
      <c r="I74" s="190"/>
      <c r="J74" s="190"/>
      <c r="K74" s="190"/>
      <c r="L74" s="190">
        <v>0</v>
      </c>
      <c r="M74" s="190"/>
      <c r="N74" s="190"/>
      <c r="O74" s="190"/>
      <c r="P74" s="190"/>
      <c r="Q74" s="190"/>
      <c r="R74" s="190"/>
      <c r="S74" s="190"/>
      <c r="T74" s="190"/>
      <c r="U74" s="190"/>
      <c r="V74" s="190"/>
      <c r="W74" s="190"/>
      <c r="X74" s="190"/>
      <c r="Y74" s="190"/>
      <c r="Z74" s="190"/>
      <c r="AA74" s="190"/>
      <c r="AB74" s="190"/>
      <c r="AC74" s="190"/>
      <c r="AD74" s="190"/>
      <c r="AE74" s="190"/>
      <c r="AF74" s="190"/>
      <c r="AG74" s="190"/>
      <c r="AH74" s="190"/>
      <c r="AI74" s="190"/>
      <c r="AJ74" s="190">
        <v>0</v>
      </c>
    </row>
    <row r="75" spans="1:36" hidden="1" x14ac:dyDescent="0.25">
      <c r="A75" s="43">
        <v>22.23</v>
      </c>
      <c r="B75" s="43">
        <v>22.23</v>
      </c>
      <c r="C75">
        <v>0</v>
      </c>
      <c r="D75" s="43">
        <v>2.2999999999999998</v>
      </c>
      <c r="E75" t="s">
        <v>962</v>
      </c>
      <c r="F75" t="s">
        <v>963</v>
      </c>
      <c r="G75" t="s">
        <v>748</v>
      </c>
      <c r="H75" s="190"/>
      <c r="I75" s="190">
        <v>0</v>
      </c>
      <c r="J75" s="190"/>
      <c r="K75" s="190"/>
      <c r="L75" s="190"/>
      <c r="M75" s="190">
        <v>0</v>
      </c>
      <c r="N75" s="190"/>
      <c r="O75" s="190"/>
      <c r="P75" s="190">
        <v>0</v>
      </c>
      <c r="Q75" s="190">
        <v>10.451440976749998</v>
      </c>
      <c r="R75" s="190"/>
      <c r="S75" s="190">
        <v>0</v>
      </c>
      <c r="T75" s="190"/>
      <c r="U75" s="190">
        <v>6.7793130659999994</v>
      </c>
      <c r="V75" s="190"/>
      <c r="W75" s="190"/>
      <c r="X75" s="190"/>
      <c r="Y75" s="190"/>
      <c r="Z75" s="190"/>
      <c r="AA75" s="190">
        <v>24.637153567355</v>
      </c>
      <c r="AB75" s="190"/>
      <c r="AC75" s="190"/>
      <c r="AD75" s="190"/>
      <c r="AE75" s="190"/>
      <c r="AF75" s="190"/>
      <c r="AG75" s="190"/>
      <c r="AH75" s="190">
        <v>0</v>
      </c>
      <c r="AI75" s="190"/>
      <c r="AJ75" s="190">
        <v>41.867907610104993</v>
      </c>
    </row>
    <row r="76" spans="1:36" x14ac:dyDescent="0.25">
      <c r="A76" s="43">
        <v>22.23</v>
      </c>
      <c r="B76" s="43">
        <v>22.23</v>
      </c>
      <c r="C76">
        <v>0</v>
      </c>
      <c r="D76" s="43">
        <v>2.2999999999999998</v>
      </c>
      <c r="E76" t="s">
        <v>962</v>
      </c>
      <c r="F76" t="s">
        <v>963</v>
      </c>
      <c r="G76" t="s">
        <v>967</v>
      </c>
      <c r="H76" s="190"/>
      <c r="I76" s="190"/>
      <c r="J76" s="190"/>
      <c r="K76" s="190"/>
      <c r="L76" s="190"/>
      <c r="M76" s="190"/>
      <c r="N76" s="190"/>
      <c r="O76" s="190"/>
      <c r="P76" s="190"/>
      <c r="Q76" s="190"/>
      <c r="R76" s="190"/>
      <c r="S76" s="190"/>
      <c r="T76" s="190"/>
      <c r="U76" s="190"/>
      <c r="V76" s="190"/>
      <c r="W76" s="190"/>
      <c r="X76" s="190"/>
      <c r="Y76" s="190"/>
      <c r="Z76" s="190"/>
      <c r="AA76" s="190">
        <v>0</v>
      </c>
      <c r="AB76" s="190"/>
      <c r="AC76" s="190"/>
      <c r="AD76" s="190"/>
      <c r="AE76" s="190"/>
      <c r="AF76" s="190"/>
      <c r="AG76" s="190"/>
      <c r="AH76" s="190"/>
      <c r="AI76" s="190"/>
      <c r="AJ76" s="190">
        <v>0</v>
      </c>
    </row>
    <row r="77" spans="1:36" x14ac:dyDescent="0.25">
      <c r="A77" s="43">
        <v>22.23</v>
      </c>
      <c r="B77" s="43">
        <v>22.23</v>
      </c>
      <c r="C77">
        <v>0</v>
      </c>
      <c r="D77" s="43">
        <v>2.2999999999999998</v>
      </c>
      <c r="E77" t="s">
        <v>967</v>
      </c>
      <c r="F77" t="s">
        <v>963</v>
      </c>
      <c r="G77" t="s">
        <v>1006</v>
      </c>
      <c r="H77" s="190"/>
      <c r="I77" s="190"/>
      <c r="J77" s="190"/>
      <c r="K77" s="190"/>
      <c r="L77" s="190"/>
      <c r="M77" s="190"/>
      <c r="N77" s="190"/>
      <c r="O77" s="190"/>
      <c r="P77" s="190"/>
      <c r="Q77" s="190"/>
      <c r="R77" s="190"/>
      <c r="S77" s="190"/>
      <c r="T77" s="190"/>
      <c r="U77" s="190"/>
      <c r="V77" s="190"/>
      <c r="W77" s="190"/>
      <c r="X77" s="190"/>
      <c r="Y77" s="190"/>
      <c r="Z77" s="190"/>
      <c r="AA77" s="190">
        <v>0</v>
      </c>
      <c r="AB77" s="190"/>
      <c r="AC77" s="190"/>
      <c r="AD77" s="190"/>
      <c r="AE77" s="190"/>
      <c r="AF77" s="190"/>
      <c r="AG77" s="190"/>
      <c r="AH77" s="190"/>
      <c r="AI77" s="190"/>
      <c r="AJ77" s="190">
        <v>0</v>
      </c>
    </row>
    <row r="78" spans="1:36" x14ac:dyDescent="0.25">
      <c r="A78" s="43">
        <v>23.42</v>
      </c>
      <c r="B78" s="43">
        <v>19</v>
      </c>
      <c r="C78">
        <v>19</v>
      </c>
      <c r="D78" s="43">
        <v>1</v>
      </c>
      <c r="E78" t="s">
        <v>229</v>
      </c>
      <c r="F78" t="s">
        <v>963</v>
      </c>
      <c r="G78" t="s">
        <v>450</v>
      </c>
      <c r="H78" s="190"/>
      <c r="I78" s="190"/>
      <c r="J78" s="190"/>
      <c r="K78" s="190"/>
      <c r="L78" s="190"/>
      <c r="M78" s="190">
        <v>0</v>
      </c>
      <c r="N78" s="190"/>
      <c r="O78" s="190"/>
      <c r="P78" s="190"/>
      <c r="Q78" s="190"/>
      <c r="R78" s="190"/>
      <c r="S78" s="190"/>
      <c r="T78" s="190"/>
      <c r="U78" s="190"/>
      <c r="V78" s="190"/>
      <c r="W78" s="190"/>
      <c r="X78" s="190"/>
      <c r="Y78" s="190"/>
      <c r="Z78" s="190"/>
      <c r="AA78" s="190"/>
      <c r="AB78" s="190"/>
      <c r="AC78" s="190">
        <v>3.9869533194100004</v>
      </c>
      <c r="AD78" s="190"/>
      <c r="AE78" s="190">
        <v>61.656993810600014</v>
      </c>
      <c r="AF78" s="190">
        <v>58.200289532700005</v>
      </c>
      <c r="AG78" s="190">
        <v>4.2140844877899992</v>
      </c>
      <c r="AH78" s="190"/>
      <c r="AI78" s="190"/>
      <c r="AJ78" s="190">
        <v>128.05832115050001</v>
      </c>
    </row>
    <row r="79" spans="1:36" x14ac:dyDescent="0.25">
      <c r="A79" s="43">
        <v>25.4</v>
      </c>
      <c r="B79" s="43">
        <v>25.4</v>
      </c>
      <c r="C79">
        <v>0</v>
      </c>
      <c r="D79" s="43">
        <v>1.2</v>
      </c>
      <c r="E79" t="s">
        <v>962</v>
      </c>
      <c r="F79" t="s">
        <v>963</v>
      </c>
      <c r="G79" t="s">
        <v>785</v>
      </c>
      <c r="H79" s="190"/>
      <c r="I79" s="190"/>
      <c r="J79" s="190"/>
      <c r="K79" s="190"/>
      <c r="L79" s="190"/>
      <c r="M79" s="190">
        <v>9.1766452271999999</v>
      </c>
      <c r="N79" s="190"/>
      <c r="O79" s="190"/>
      <c r="P79" s="190"/>
      <c r="Q79" s="190"/>
      <c r="R79" s="190"/>
      <c r="S79" s="190"/>
      <c r="T79" s="190"/>
      <c r="U79" s="190"/>
      <c r="V79" s="190"/>
      <c r="W79" s="190"/>
      <c r="X79" s="190"/>
      <c r="Y79" s="190"/>
      <c r="Z79" s="190"/>
      <c r="AA79" s="190"/>
      <c r="AB79" s="190"/>
      <c r="AC79" s="190"/>
      <c r="AD79" s="190"/>
      <c r="AE79" s="190"/>
      <c r="AF79" s="190"/>
      <c r="AG79" s="190"/>
      <c r="AH79" s="190">
        <v>2.4194275247999992</v>
      </c>
      <c r="AI79" s="190">
        <v>0</v>
      </c>
      <c r="AJ79" s="190">
        <v>11.596072752</v>
      </c>
    </row>
    <row r="80" spans="1:36" hidden="1" x14ac:dyDescent="0.25">
      <c r="A80" s="43">
        <v>25.4</v>
      </c>
      <c r="B80" s="43">
        <v>25.4</v>
      </c>
      <c r="C80">
        <v>0</v>
      </c>
      <c r="D80" s="43">
        <v>1.6</v>
      </c>
      <c r="E80" t="s">
        <v>962</v>
      </c>
      <c r="F80" t="s">
        <v>1003</v>
      </c>
      <c r="G80" t="s">
        <v>1007</v>
      </c>
      <c r="H80" s="190"/>
      <c r="I80" s="190"/>
      <c r="J80" s="190"/>
      <c r="K80" s="190"/>
      <c r="L80" s="190"/>
      <c r="M80" s="190"/>
      <c r="N80" s="190">
        <v>0</v>
      </c>
      <c r="O80" s="190"/>
      <c r="P80" s="190"/>
      <c r="Q80" s="190">
        <v>0</v>
      </c>
      <c r="R80" s="190"/>
      <c r="S80" s="190"/>
      <c r="T80" s="190"/>
      <c r="U80" s="190"/>
      <c r="V80" s="190"/>
      <c r="W80" s="190">
        <v>0</v>
      </c>
      <c r="X80" s="190"/>
      <c r="Y80" s="190"/>
      <c r="Z80" s="190"/>
      <c r="AA80" s="190"/>
      <c r="AB80" s="190"/>
      <c r="AC80" s="190"/>
      <c r="AD80" s="190"/>
      <c r="AE80" s="190"/>
      <c r="AF80" s="190"/>
      <c r="AG80" s="190"/>
      <c r="AH80" s="190"/>
      <c r="AI80" s="190"/>
      <c r="AJ80" s="190">
        <v>0</v>
      </c>
    </row>
    <row r="81" spans="1:36" hidden="1" x14ac:dyDescent="0.25">
      <c r="A81" s="43">
        <v>25.4</v>
      </c>
      <c r="B81" s="43">
        <v>25.4</v>
      </c>
      <c r="C81">
        <v>0</v>
      </c>
      <c r="D81" s="43">
        <v>1.6</v>
      </c>
      <c r="E81" t="s">
        <v>962</v>
      </c>
      <c r="F81" t="s">
        <v>963</v>
      </c>
      <c r="G81" t="s">
        <v>468</v>
      </c>
      <c r="H81" s="190">
        <v>19.448494822400001</v>
      </c>
      <c r="I81" s="190"/>
      <c r="J81" s="190"/>
      <c r="K81" s="190"/>
      <c r="L81" s="190"/>
      <c r="M81" s="190">
        <v>4.8433510271999998</v>
      </c>
      <c r="N81" s="190"/>
      <c r="O81" s="190"/>
      <c r="P81" s="190">
        <v>0</v>
      </c>
      <c r="Q81" s="190"/>
      <c r="R81" s="190"/>
      <c r="S81" s="190"/>
      <c r="T81" s="190"/>
      <c r="U81" s="190"/>
      <c r="V81" s="190"/>
      <c r="W81" s="190"/>
      <c r="X81" s="190"/>
      <c r="Y81" s="190"/>
      <c r="Z81" s="190"/>
      <c r="AA81" s="190"/>
      <c r="AB81" s="190"/>
      <c r="AC81" s="190"/>
      <c r="AD81" s="190"/>
      <c r="AE81" s="190"/>
      <c r="AF81" s="190"/>
      <c r="AG81" s="190"/>
      <c r="AH81" s="190">
        <v>0</v>
      </c>
      <c r="AI81" s="190"/>
      <c r="AJ81" s="190">
        <v>24.291845849600001</v>
      </c>
    </row>
    <row r="82" spans="1:36" x14ac:dyDescent="0.25">
      <c r="A82" s="43">
        <v>25.4</v>
      </c>
      <c r="B82" s="43">
        <v>25.4</v>
      </c>
      <c r="C82">
        <v>0</v>
      </c>
      <c r="D82" s="43">
        <v>2</v>
      </c>
      <c r="E82" t="s">
        <v>962</v>
      </c>
      <c r="F82" t="s">
        <v>1003</v>
      </c>
      <c r="G82" t="s">
        <v>737</v>
      </c>
      <c r="H82" s="190"/>
      <c r="I82" s="190">
        <v>0</v>
      </c>
      <c r="J82" s="190">
        <v>4.1990064479999996</v>
      </c>
      <c r="K82" s="190"/>
      <c r="L82" s="190"/>
      <c r="M82" s="190">
        <v>6.6907245599999996</v>
      </c>
      <c r="N82" s="190"/>
      <c r="O82" s="190"/>
      <c r="P82" s="190">
        <v>0</v>
      </c>
      <c r="Q82" s="190"/>
      <c r="R82" s="190"/>
      <c r="S82" s="190"/>
      <c r="T82" s="190"/>
      <c r="U82" s="190"/>
      <c r="V82" s="190">
        <v>7.821226295999999</v>
      </c>
      <c r="W82" s="190"/>
      <c r="X82" s="190"/>
      <c r="Y82" s="190">
        <v>10.207074073996798</v>
      </c>
      <c r="Z82" s="190">
        <v>0</v>
      </c>
      <c r="AA82" s="190">
        <v>6.4830813840000001</v>
      </c>
      <c r="AB82" s="190"/>
      <c r="AC82" s="190"/>
      <c r="AD82" s="190"/>
      <c r="AE82" s="190"/>
      <c r="AF82" s="190"/>
      <c r="AG82" s="190"/>
      <c r="AH82" s="190"/>
      <c r="AI82" s="190"/>
      <c r="AJ82" s="190">
        <v>35.401112761996799</v>
      </c>
    </row>
    <row r="83" spans="1:36" x14ac:dyDescent="0.25">
      <c r="A83" s="43">
        <v>25.4</v>
      </c>
      <c r="B83" s="43">
        <v>25.4</v>
      </c>
      <c r="C83">
        <v>0</v>
      </c>
      <c r="D83" s="43">
        <v>2</v>
      </c>
      <c r="E83" t="s">
        <v>962</v>
      </c>
      <c r="F83" t="s">
        <v>1003</v>
      </c>
      <c r="G83" t="s">
        <v>967</v>
      </c>
      <c r="H83" s="190"/>
      <c r="I83" s="190"/>
      <c r="J83" s="190"/>
      <c r="K83" s="190"/>
      <c r="L83" s="190"/>
      <c r="M83" s="190"/>
      <c r="N83" s="190"/>
      <c r="O83" s="190"/>
      <c r="P83" s="190"/>
      <c r="Q83" s="190"/>
      <c r="R83" s="190"/>
      <c r="S83" s="190"/>
      <c r="T83" s="190"/>
      <c r="U83" s="190"/>
      <c r="V83" s="190">
        <v>1.8099563507999998</v>
      </c>
      <c r="W83" s="190"/>
      <c r="X83" s="190"/>
      <c r="Y83" s="190"/>
      <c r="Z83" s="190"/>
      <c r="AA83" s="190"/>
      <c r="AB83" s="190"/>
      <c r="AC83" s="190"/>
      <c r="AD83" s="190"/>
      <c r="AE83" s="190"/>
      <c r="AF83" s="190"/>
      <c r="AG83" s="190"/>
      <c r="AH83" s="190"/>
      <c r="AI83" s="190"/>
      <c r="AJ83" s="190">
        <v>1.8099563507999998</v>
      </c>
    </row>
    <row r="84" spans="1:36" hidden="1" x14ac:dyDescent="0.25">
      <c r="A84" s="43">
        <v>25.4</v>
      </c>
      <c r="B84" s="43">
        <v>25.4</v>
      </c>
      <c r="C84">
        <v>0</v>
      </c>
      <c r="D84" s="43">
        <v>2</v>
      </c>
      <c r="E84" t="s">
        <v>962</v>
      </c>
      <c r="F84" t="s">
        <v>963</v>
      </c>
      <c r="G84" t="s">
        <v>1008</v>
      </c>
      <c r="H84" s="190"/>
      <c r="I84" s="190"/>
      <c r="J84" s="190"/>
      <c r="K84" s="190"/>
      <c r="L84" s="190"/>
      <c r="M84" s="190"/>
      <c r="N84" s="190"/>
      <c r="O84" s="190"/>
      <c r="P84" s="190"/>
      <c r="Q84" s="190"/>
      <c r="R84" s="190"/>
      <c r="S84" s="190">
        <v>6.5407600440000007</v>
      </c>
      <c r="T84" s="190"/>
      <c r="U84" s="190"/>
      <c r="V84" s="190"/>
      <c r="W84" s="190"/>
      <c r="X84" s="190"/>
      <c r="Y84" s="190">
        <v>0</v>
      </c>
      <c r="Z84" s="190"/>
      <c r="AA84" s="190"/>
      <c r="AB84" s="190"/>
      <c r="AC84" s="190"/>
      <c r="AD84" s="190"/>
      <c r="AE84" s="190"/>
      <c r="AF84" s="190"/>
      <c r="AG84" s="190"/>
      <c r="AH84" s="190"/>
      <c r="AI84" s="190">
        <v>10.4559874848</v>
      </c>
      <c r="AJ84" s="190">
        <v>16.9967475288</v>
      </c>
    </row>
    <row r="85" spans="1:36" hidden="1" x14ac:dyDescent="0.25">
      <c r="A85" s="43">
        <v>25.4</v>
      </c>
      <c r="B85" s="43">
        <v>25.4</v>
      </c>
      <c r="C85">
        <v>0</v>
      </c>
      <c r="D85" s="43">
        <v>2</v>
      </c>
      <c r="E85" t="s">
        <v>962</v>
      </c>
      <c r="F85" t="s">
        <v>967</v>
      </c>
      <c r="G85" t="s">
        <v>1009</v>
      </c>
      <c r="H85" s="190"/>
      <c r="I85" s="190"/>
      <c r="J85" s="190"/>
      <c r="K85" s="190"/>
      <c r="L85" s="190"/>
      <c r="M85" s="190"/>
      <c r="N85" s="190"/>
      <c r="O85" s="190"/>
      <c r="P85" s="190"/>
      <c r="Q85" s="190"/>
      <c r="R85" s="190"/>
      <c r="S85" s="190"/>
      <c r="T85" s="190"/>
      <c r="U85" s="190"/>
      <c r="V85" s="190"/>
      <c r="W85" s="190">
        <v>0</v>
      </c>
      <c r="X85" s="190"/>
      <c r="Y85" s="190"/>
      <c r="Z85" s="190"/>
      <c r="AA85" s="190"/>
      <c r="AB85" s="190"/>
      <c r="AC85" s="190"/>
      <c r="AD85" s="190"/>
      <c r="AE85" s="190"/>
      <c r="AF85" s="190"/>
      <c r="AG85" s="190"/>
      <c r="AH85" s="190"/>
      <c r="AI85" s="190"/>
      <c r="AJ85" s="190">
        <v>0</v>
      </c>
    </row>
    <row r="86" spans="1:36" x14ac:dyDescent="0.25">
      <c r="A86" s="43">
        <v>25.4</v>
      </c>
      <c r="B86" s="43">
        <v>25.4</v>
      </c>
      <c r="C86">
        <v>0</v>
      </c>
      <c r="D86" s="43">
        <v>2</v>
      </c>
      <c r="E86" t="s">
        <v>967</v>
      </c>
      <c r="F86" t="s">
        <v>967</v>
      </c>
      <c r="G86" t="s">
        <v>1010</v>
      </c>
      <c r="H86" s="190"/>
      <c r="I86" s="190">
        <v>0</v>
      </c>
      <c r="J86" s="190"/>
      <c r="K86" s="190"/>
      <c r="L86" s="190">
        <v>0</v>
      </c>
      <c r="M86" s="190"/>
      <c r="N86" s="190"/>
      <c r="O86" s="190"/>
      <c r="P86" s="190">
        <v>0</v>
      </c>
      <c r="Q86" s="190"/>
      <c r="R86" s="190"/>
      <c r="S86" s="190"/>
      <c r="T86" s="190"/>
      <c r="U86" s="190"/>
      <c r="V86" s="190"/>
      <c r="W86" s="190"/>
      <c r="X86" s="190"/>
      <c r="Y86" s="190"/>
      <c r="Z86" s="190"/>
      <c r="AA86" s="190"/>
      <c r="AB86" s="190"/>
      <c r="AC86" s="190"/>
      <c r="AD86" s="190"/>
      <c r="AE86" s="190"/>
      <c r="AF86" s="190"/>
      <c r="AG86" s="190"/>
      <c r="AH86" s="190"/>
      <c r="AI86" s="190"/>
      <c r="AJ86" s="190">
        <v>0</v>
      </c>
    </row>
    <row r="87" spans="1:36" hidden="1" x14ac:dyDescent="0.25">
      <c r="A87" s="43">
        <v>25.4</v>
      </c>
      <c r="B87" s="43">
        <v>25.4</v>
      </c>
      <c r="C87">
        <v>0</v>
      </c>
      <c r="D87" s="43">
        <v>2.5</v>
      </c>
      <c r="E87" t="s">
        <v>357</v>
      </c>
      <c r="F87" t="s">
        <v>357</v>
      </c>
      <c r="G87" t="s">
        <v>806</v>
      </c>
      <c r="H87" s="190"/>
      <c r="I87" s="190"/>
      <c r="J87" s="190"/>
      <c r="K87" s="190"/>
      <c r="L87" s="190"/>
      <c r="M87" s="190">
        <v>9.1866206774999988</v>
      </c>
      <c r="N87" s="190"/>
      <c r="O87" s="190"/>
      <c r="P87" s="190"/>
      <c r="Q87" s="190"/>
      <c r="R87" s="190">
        <v>6.1244137849999989</v>
      </c>
      <c r="S87" s="190"/>
      <c r="T87" s="190"/>
      <c r="U87" s="190"/>
      <c r="V87" s="190"/>
      <c r="W87" s="190"/>
      <c r="X87" s="190"/>
      <c r="Y87" s="190"/>
      <c r="Z87" s="190"/>
      <c r="AA87" s="190"/>
      <c r="AB87" s="190"/>
      <c r="AC87" s="190"/>
      <c r="AD87" s="190"/>
      <c r="AE87" s="190"/>
      <c r="AF87" s="190"/>
      <c r="AG87" s="190"/>
      <c r="AH87" s="190"/>
      <c r="AI87" s="190"/>
      <c r="AJ87" s="190">
        <v>15.311034462499997</v>
      </c>
    </row>
    <row r="88" spans="1:36" x14ac:dyDescent="0.25">
      <c r="A88" s="43">
        <v>25.4</v>
      </c>
      <c r="B88" s="43">
        <v>25.4</v>
      </c>
      <c r="C88">
        <v>0</v>
      </c>
      <c r="D88" s="43">
        <v>2.5</v>
      </c>
      <c r="E88" t="s">
        <v>962</v>
      </c>
      <c r="F88" t="s">
        <v>1003</v>
      </c>
      <c r="G88" t="s">
        <v>810</v>
      </c>
      <c r="H88" s="190"/>
      <c r="I88" s="190"/>
      <c r="J88" s="190"/>
      <c r="K88" s="190"/>
      <c r="L88" s="190"/>
      <c r="M88" s="190"/>
      <c r="N88" s="190"/>
      <c r="O88" s="190"/>
      <c r="P88" s="190"/>
      <c r="Q88" s="190"/>
      <c r="R88" s="190"/>
      <c r="S88" s="190"/>
      <c r="T88" s="190"/>
      <c r="U88" s="190"/>
      <c r="V88" s="190"/>
      <c r="W88" s="190"/>
      <c r="X88" s="190"/>
      <c r="Y88" s="190">
        <v>32.453032983788248</v>
      </c>
      <c r="Z88" s="190"/>
      <c r="AA88" s="190"/>
      <c r="AB88" s="190"/>
      <c r="AC88" s="190"/>
      <c r="AD88" s="190"/>
      <c r="AE88" s="190"/>
      <c r="AF88" s="190"/>
      <c r="AG88" s="190"/>
      <c r="AH88" s="190"/>
      <c r="AI88" s="190"/>
      <c r="AJ88" s="190">
        <v>32.453032983788248</v>
      </c>
    </row>
    <row r="89" spans="1:36" hidden="1" x14ac:dyDescent="0.25">
      <c r="A89" s="43">
        <v>25.4</v>
      </c>
      <c r="B89" s="43">
        <v>25.4</v>
      </c>
      <c r="C89">
        <v>0</v>
      </c>
      <c r="D89" s="43">
        <v>2.5</v>
      </c>
      <c r="E89" t="s">
        <v>962</v>
      </c>
      <c r="F89" t="s">
        <v>967</v>
      </c>
      <c r="G89" t="s">
        <v>1011</v>
      </c>
      <c r="H89" s="190"/>
      <c r="I89" s="190"/>
      <c r="J89" s="190"/>
      <c r="K89" s="190"/>
      <c r="L89" s="190"/>
      <c r="M89" s="190"/>
      <c r="N89" s="190">
        <v>0</v>
      </c>
      <c r="O89" s="190"/>
      <c r="P89" s="190"/>
      <c r="Q89" s="190"/>
      <c r="R89" s="190"/>
      <c r="S89" s="190"/>
      <c r="T89" s="190"/>
      <c r="U89" s="190"/>
      <c r="V89" s="190"/>
      <c r="W89" s="190"/>
      <c r="X89" s="190"/>
      <c r="Y89" s="190"/>
      <c r="Z89" s="190"/>
      <c r="AA89" s="190"/>
      <c r="AB89" s="190"/>
      <c r="AC89" s="190"/>
      <c r="AD89" s="190"/>
      <c r="AE89" s="190"/>
      <c r="AF89" s="190"/>
      <c r="AG89" s="190"/>
      <c r="AH89" s="190"/>
      <c r="AI89" s="190"/>
      <c r="AJ89" s="190">
        <v>0</v>
      </c>
    </row>
    <row r="90" spans="1:36" hidden="1" x14ac:dyDescent="0.25">
      <c r="A90" s="43">
        <v>25.4</v>
      </c>
      <c r="B90" s="43">
        <v>25.4</v>
      </c>
      <c r="C90">
        <v>0</v>
      </c>
      <c r="D90" s="43">
        <v>2.6</v>
      </c>
      <c r="E90" t="s">
        <v>962</v>
      </c>
      <c r="F90" t="s">
        <v>967</v>
      </c>
      <c r="G90" t="s">
        <v>1012</v>
      </c>
      <c r="H90" s="190"/>
      <c r="I90" s="190"/>
      <c r="J90" s="190"/>
      <c r="K90" s="190"/>
      <c r="L90" s="190"/>
      <c r="M90" s="190"/>
      <c r="N90" s="190"/>
      <c r="O90" s="190"/>
      <c r="P90" s="190">
        <v>0</v>
      </c>
      <c r="Q90" s="190">
        <v>0</v>
      </c>
      <c r="R90" s="190"/>
      <c r="S90" s="190"/>
      <c r="T90" s="190"/>
      <c r="U90" s="190"/>
      <c r="V90" s="190"/>
      <c r="W90" s="190"/>
      <c r="X90" s="190"/>
      <c r="Y90" s="190"/>
      <c r="Z90" s="190"/>
      <c r="AA90" s="190"/>
      <c r="AB90" s="190"/>
      <c r="AC90" s="190"/>
      <c r="AD90" s="190"/>
      <c r="AE90" s="190"/>
      <c r="AF90" s="190"/>
      <c r="AG90" s="190"/>
      <c r="AH90" s="190"/>
      <c r="AI90" s="190"/>
      <c r="AJ90" s="190">
        <v>0</v>
      </c>
    </row>
    <row r="91" spans="1:36" hidden="1" x14ac:dyDescent="0.25">
      <c r="A91" s="43">
        <v>25.4</v>
      </c>
      <c r="B91" s="43">
        <v>25.4</v>
      </c>
      <c r="C91">
        <v>18.399999999999999</v>
      </c>
      <c r="D91" s="43">
        <v>3.5</v>
      </c>
      <c r="E91" t="s">
        <v>357</v>
      </c>
      <c r="F91" t="s">
        <v>357</v>
      </c>
      <c r="G91" t="s">
        <v>404</v>
      </c>
      <c r="H91" s="190"/>
      <c r="I91" s="190"/>
      <c r="J91" s="190"/>
      <c r="K91" s="190"/>
      <c r="L91" s="190"/>
      <c r="M91" s="190"/>
      <c r="N91" s="190"/>
      <c r="O91" s="190">
        <v>35.319431319899998</v>
      </c>
      <c r="P91" s="190"/>
      <c r="Q91" s="190"/>
      <c r="R91" s="190"/>
      <c r="S91" s="190"/>
      <c r="T91" s="190"/>
      <c r="U91" s="190"/>
      <c r="V91" s="190"/>
      <c r="W91" s="190"/>
      <c r="X91" s="190"/>
      <c r="Y91" s="190"/>
      <c r="Z91" s="190"/>
      <c r="AA91" s="190"/>
      <c r="AB91" s="190"/>
      <c r="AC91" s="190"/>
      <c r="AD91" s="190"/>
      <c r="AE91" s="190"/>
      <c r="AF91" s="190"/>
      <c r="AG91" s="190"/>
      <c r="AH91" s="190"/>
      <c r="AI91" s="190"/>
      <c r="AJ91" s="190">
        <v>35.319431319899998</v>
      </c>
    </row>
    <row r="92" spans="1:36" hidden="1" x14ac:dyDescent="0.25">
      <c r="A92" s="43">
        <v>25.4</v>
      </c>
      <c r="B92" s="43">
        <v>25.4</v>
      </c>
      <c r="C92">
        <v>18.399999999999999</v>
      </c>
      <c r="D92" s="43">
        <v>3.5</v>
      </c>
      <c r="E92" t="s">
        <v>357</v>
      </c>
      <c r="F92" t="s">
        <v>967</v>
      </c>
      <c r="G92" t="s">
        <v>1013</v>
      </c>
      <c r="H92" s="190"/>
      <c r="I92" s="190"/>
      <c r="J92" s="190"/>
      <c r="K92" s="190"/>
      <c r="L92" s="190"/>
      <c r="M92" s="190"/>
      <c r="N92" s="190"/>
      <c r="O92" s="190">
        <v>0</v>
      </c>
      <c r="P92" s="190"/>
      <c r="Q92" s="190"/>
      <c r="R92" s="190"/>
      <c r="S92" s="190"/>
      <c r="T92" s="190"/>
      <c r="U92" s="190"/>
      <c r="V92" s="190"/>
      <c r="W92" s="190"/>
      <c r="X92" s="190"/>
      <c r="Y92" s="190"/>
      <c r="Z92" s="190"/>
      <c r="AA92" s="190"/>
      <c r="AB92" s="190"/>
      <c r="AC92" s="190"/>
      <c r="AD92" s="190"/>
      <c r="AE92" s="190"/>
      <c r="AF92" s="190"/>
      <c r="AG92" s="190"/>
      <c r="AH92" s="190"/>
      <c r="AI92" s="190"/>
      <c r="AJ92" s="190">
        <v>0</v>
      </c>
    </row>
    <row r="93" spans="1:36" hidden="1" x14ac:dyDescent="0.25">
      <c r="A93" s="43">
        <v>25.4</v>
      </c>
      <c r="B93" s="43">
        <v>25.4</v>
      </c>
      <c r="C93">
        <v>19</v>
      </c>
      <c r="D93" s="43">
        <v>3.2</v>
      </c>
      <c r="E93" t="s">
        <v>357</v>
      </c>
      <c r="F93" t="s">
        <v>357</v>
      </c>
      <c r="G93" t="s">
        <v>813</v>
      </c>
      <c r="H93" s="190"/>
      <c r="I93" s="190"/>
      <c r="J93" s="190"/>
      <c r="K93" s="190"/>
      <c r="L93" s="190"/>
      <c r="M93" s="190"/>
      <c r="N93" s="190"/>
      <c r="O93" s="190"/>
      <c r="P93" s="190"/>
      <c r="Q93" s="190"/>
      <c r="R93" s="190"/>
      <c r="S93" s="190"/>
      <c r="T93" s="190"/>
      <c r="U93" s="190"/>
      <c r="V93" s="190"/>
      <c r="W93" s="190"/>
      <c r="X93" s="190"/>
      <c r="Y93" s="190">
        <v>0</v>
      </c>
      <c r="Z93" s="190"/>
      <c r="AA93" s="190"/>
      <c r="AB93" s="190"/>
      <c r="AC93" s="190"/>
      <c r="AD93" s="190"/>
      <c r="AE93" s="190"/>
      <c r="AF93" s="190"/>
      <c r="AG93" s="190"/>
      <c r="AH93" s="190">
        <v>0</v>
      </c>
      <c r="AI93" s="190">
        <v>3.5021299199999998</v>
      </c>
      <c r="AJ93" s="190">
        <v>3.5021299199999998</v>
      </c>
    </row>
    <row r="94" spans="1:36" x14ac:dyDescent="0.25">
      <c r="A94" s="43">
        <v>25.4</v>
      </c>
      <c r="B94" s="43">
        <v>25.4</v>
      </c>
      <c r="C94">
        <v>19</v>
      </c>
      <c r="D94" s="43">
        <v>3.2</v>
      </c>
      <c r="E94" t="s">
        <v>357</v>
      </c>
      <c r="F94" t="s">
        <v>967</v>
      </c>
      <c r="G94" t="s">
        <v>1014</v>
      </c>
      <c r="H94" s="190"/>
      <c r="I94" s="190"/>
      <c r="J94" s="190"/>
      <c r="K94" s="190"/>
      <c r="L94" s="190"/>
      <c r="M94" s="190"/>
      <c r="N94" s="190"/>
      <c r="O94" s="190"/>
      <c r="P94" s="190"/>
      <c r="Q94" s="190">
        <v>0</v>
      </c>
      <c r="R94" s="190"/>
      <c r="S94" s="190"/>
      <c r="T94" s="190"/>
      <c r="U94" s="190"/>
      <c r="V94" s="190"/>
      <c r="W94" s="190"/>
      <c r="X94" s="190"/>
      <c r="Y94" s="190"/>
      <c r="Z94" s="190"/>
      <c r="AA94" s="190"/>
      <c r="AB94" s="190"/>
      <c r="AC94" s="190"/>
      <c r="AD94" s="190"/>
      <c r="AE94" s="190"/>
      <c r="AF94" s="190"/>
      <c r="AG94" s="190"/>
      <c r="AH94" s="190"/>
      <c r="AI94" s="190"/>
      <c r="AJ94" s="190">
        <v>0</v>
      </c>
    </row>
    <row r="95" spans="1:36" x14ac:dyDescent="0.25">
      <c r="A95" s="43">
        <v>25.4</v>
      </c>
      <c r="B95" s="43">
        <v>25.4</v>
      </c>
      <c r="C95">
        <v>20.399999999999999</v>
      </c>
      <c r="D95" s="43">
        <v>2.5</v>
      </c>
      <c r="E95" t="s">
        <v>357</v>
      </c>
      <c r="F95" t="s">
        <v>357</v>
      </c>
      <c r="G95" t="s">
        <v>1015</v>
      </c>
      <c r="H95" s="190"/>
      <c r="I95" s="190"/>
      <c r="J95" s="190"/>
      <c r="K95" s="190"/>
      <c r="L95" s="190"/>
      <c r="M95" s="190"/>
      <c r="N95" s="190"/>
      <c r="O95" s="190"/>
      <c r="P95" s="190">
        <v>0</v>
      </c>
      <c r="Q95" s="190"/>
      <c r="R95" s="190"/>
      <c r="S95" s="190"/>
      <c r="T95" s="190"/>
      <c r="U95" s="190"/>
      <c r="V95" s="190"/>
      <c r="W95" s="190"/>
      <c r="X95" s="190"/>
      <c r="Y95" s="190"/>
      <c r="Z95" s="190"/>
      <c r="AA95" s="190"/>
      <c r="AB95" s="190"/>
      <c r="AC95" s="190"/>
      <c r="AD95" s="190"/>
      <c r="AE95" s="190"/>
      <c r="AF95" s="190"/>
      <c r="AG95" s="190"/>
      <c r="AH95" s="190"/>
      <c r="AI95" s="190"/>
      <c r="AJ95" s="190">
        <v>0</v>
      </c>
    </row>
    <row r="96" spans="1:36" hidden="1" x14ac:dyDescent="0.25">
      <c r="A96" s="43">
        <v>25.4</v>
      </c>
      <c r="B96" s="43">
        <v>25.4</v>
      </c>
      <c r="C96">
        <v>20.399999999999999</v>
      </c>
      <c r="D96" s="43">
        <v>2.5</v>
      </c>
      <c r="E96" t="s">
        <v>357</v>
      </c>
      <c r="F96" t="s">
        <v>967</v>
      </c>
      <c r="G96" t="s">
        <v>1016</v>
      </c>
      <c r="H96" s="190"/>
      <c r="I96" s="190"/>
      <c r="J96" s="190"/>
      <c r="K96" s="190"/>
      <c r="L96" s="190"/>
      <c r="M96" s="190">
        <v>0</v>
      </c>
      <c r="N96" s="190"/>
      <c r="O96" s="190"/>
      <c r="P96" s="190"/>
      <c r="Q96" s="190"/>
      <c r="R96" s="190"/>
      <c r="S96" s="190"/>
      <c r="T96" s="190"/>
      <c r="U96" s="190"/>
      <c r="V96" s="190"/>
      <c r="W96" s="190"/>
      <c r="X96" s="190"/>
      <c r="Y96" s="190"/>
      <c r="Z96" s="190"/>
      <c r="AA96" s="190"/>
      <c r="AB96" s="190"/>
      <c r="AC96" s="190"/>
      <c r="AD96" s="190"/>
      <c r="AE96" s="190"/>
      <c r="AF96" s="190"/>
      <c r="AG96" s="190"/>
      <c r="AH96" s="190"/>
      <c r="AI96" s="190"/>
      <c r="AJ96" s="190">
        <v>0</v>
      </c>
    </row>
    <row r="97" spans="1:36" hidden="1" x14ac:dyDescent="0.25">
      <c r="A97" s="43">
        <v>25.5</v>
      </c>
      <c r="B97" s="43">
        <v>30.15</v>
      </c>
      <c r="C97">
        <v>25.5</v>
      </c>
      <c r="D97" s="43">
        <v>2.3199999999999998</v>
      </c>
      <c r="E97" t="s">
        <v>357</v>
      </c>
      <c r="F97" t="s">
        <v>357</v>
      </c>
      <c r="G97" t="s">
        <v>1017</v>
      </c>
      <c r="H97" s="190"/>
      <c r="I97" s="190"/>
      <c r="J97" s="190"/>
      <c r="K97" s="190"/>
      <c r="L97" s="190"/>
      <c r="M97" s="190"/>
      <c r="N97" s="190"/>
      <c r="O97" s="190"/>
      <c r="P97" s="190">
        <v>0</v>
      </c>
      <c r="Q97" s="190"/>
      <c r="R97" s="190"/>
      <c r="S97" s="190"/>
      <c r="T97" s="190"/>
      <c r="U97" s="190"/>
      <c r="V97" s="190"/>
      <c r="W97" s="190"/>
      <c r="X97" s="190"/>
      <c r="Y97" s="190"/>
      <c r="Z97" s="190"/>
      <c r="AA97" s="190"/>
      <c r="AB97" s="190"/>
      <c r="AC97" s="190"/>
      <c r="AD97" s="190"/>
      <c r="AE97" s="190"/>
      <c r="AF97" s="190"/>
      <c r="AG97" s="190"/>
      <c r="AH97" s="190"/>
      <c r="AI97" s="190"/>
      <c r="AJ97" s="190">
        <v>0</v>
      </c>
    </row>
    <row r="98" spans="1:36" hidden="1" x14ac:dyDescent="0.25">
      <c r="A98" s="43">
        <v>25.6</v>
      </c>
      <c r="B98" s="43">
        <v>25.6</v>
      </c>
      <c r="C98">
        <v>16.600000000000001</v>
      </c>
      <c r="D98" s="43">
        <v>4.5</v>
      </c>
      <c r="E98" t="s">
        <v>357</v>
      </c>
      <c r="F98" t="s">
        <v>967</v>
      </c>
      <c r="G98" t="s">
        <v>1018</v>
      </c>
      <c r="H98" s="190"/>
      <c r="I98" s="190"/>
      <c r="J98" s="190"/>
      <c r="K98" s="190"/>
      <c r="L98" s="190"/>
      <c r="M98" s="190"/>
      <c r="N98" s="190"/>
      <c r="O98" s="190">
        <v>0</v>
      </c>
      <c r="P98" s="190"/>
      <c r="Q98" s="190"/>
      <c r="R98" s="190"/>
      <c r="S98" s="190"/>
      <c r="T98" s="190"/>
      <c r="U98" s="190"/>
      <c r="V98" s="190"/>
      <c r="W98" s="190"/>
      <c r="X98" s="190"/>
      <c r="Y98" s="190"/>
      <c r="Z98" s="190"/>
      <c r="AA98" s="190"/>
      <c r="AB98" s="190"/>
      <c r="AC98" s="190"/>
      <c r="AD98" s="190"/>
      <c r="AE98" s="190"/>
      <c r="AF98" s="190"/>
      <c r="AG98" s="190"/>
      <c r="AH98" s="190"/>
      <c r="AI98" s="190"/>
      <c r="AJ98" s="190">
        <v>0</v>
      </c>
    </row>
    <row r="99" spans="1:36" x14ac:dyDescent="0.25">
      <c r="A99" s="43">
        <v>28.58</v>
      </c>
      <c r="B99" s="43">
        <v>28.58</v>
      </c>
      <c r="C99">
        <v>0</v>
      </c>
      <c r="D99" s="43">
        <v>1.2</v>
      </c>
      <c r="E99" t="s">
        <v>962</v>
      </c>
      <c r="F99" t="s">
        <v>963</v>
      </c>
      <c r="G99" t="s">
        <v>692</v>
      </c>
      <c r="H99" s="190"/>
      <c r="I99" s="190"/>
      <c r="J99" s="190"/>
      <c r="K99" s="190"/>
      <c r="L99" s="190"/>
      <c r="M99" s="190"/>
      <c r="N99" s="190"/>
      <c r="O99" s="190"/>
      <c r="P99" s="190"/>
      <c r="Q99" s="190"/>
      <c r="R99" s="190"/>
      <c r="S99" s="190"/>
      <c r="T99" s="190"/>
      <c r="U99" s="190"/>
      <c r="V99" s="190"/>
      <c r="W99" s="190"/>
      <c r="X99" s="190"/>
      <c r="Y99" s="190"/>
      <c r="Z99" s="190">
        <v>3.8549695094399996</v>
      </c>
      <c r="AA99" s="190"/>
      <c r="AB99" s="190"/>
      <c r="AC99" s="190"/>
      <c r="AD99" s="190"/>
      <c r="AE99" s="190"/>
      <c r="AF99" s="190"/>
      <c r="AG99" s="190"/>
      <c r="AH99" s="190">
        <v>0.98803840367999995</v>
      </c>
      <c r="AI99" s="190"/>
      <c r="AJ99" s="190">
        <v>4.8430079131199992</v>
      </c>
    </row>
    <row r="100" spans="1:36" hidden="1" x14ac:dyDescent="0.25">
      <c r="A100" s="43">
        <v>28.58</v>
      </c>
      <c r="B100" s="43">
        <v>28.58</v>
      </c>
      <c r="C100">
        <v>0</v>
      </c>
      <c r="D100" s="43">
        <v>1.6</v>
      </c>
      <c r="E100" t="s">
        <v>962</v>
      </c>
      <c r="F100" t="s">
        <v>1003</v>
      </c>
      <c r="G100" t="s">
        <v>664</v>
      </c>
      <c r="H100" s="190"/>
      <c r="I100" s="190">
        <v>5.5490104868799985</v>
      </c>
      <c r="J100" s="190"/>
      <c r="K100" s="190"/>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v>5.5490104868799985</v>
      </c>
    </row>
    <row r="101" spans="1:36" x14ac:dyDescent="0.25">
      <c r="A101" s="43">
        <v>28.58</v>
      </c>
      <c r="B101" s="43">
        <v>28.58</v>
      </c>
      <c r="C101">
        <v>0</v>
      </c>
      <c r="D101" s="43">
        <v>1.6</v>
      </c>
      <c r="E101" t="s">
        <v>962</v>
      </c>
      <c r="F101" t="s">
        <v>963</v>
      </c>
      <c r="G101" t="s">
        <v>1019</v>
      </c>
      <c r="H101" s="190"/>
      <c r="I101" s="190"/>
      <c r="J101" s="190"/>
      <c r="K101" s="190"/>
      <c r="L101" s="190"/>
      <c r="M101" s="190"/>
      <c r="N101" s="190"/>
      <c r="O101" s="190"/>
      <c r="P101" s="190"/>
      <c r="Q101" s="190"/>
      <c r="R101" s="190"/>
      <c r="S101" s="190"/>
      <c r="T101" s="190"/>
      <c r="U101" s="190"/>
      <c r="V101" s="190"/>
      <c r="W101" s="190"/>
      <c r="X101" s="190"/>
      <c r="Y101" s="190"/>
      <c r="Z101" s="190"/>
      <c r="AA101" s="190">
        <v>0</v>
      </c>
      <c r="AB101" s="190"/>
      <c r="AC101" s="190"/>
      <c r="AD101" s="190"/>
      <c r="AE101" s="190"/>
      <c r="AF101" s="190"/>
      <c r="AG101" s="190"/>
      <c r="AH101" s="190"/>
      <c r="AI101" s="190"/>
      <c r="AJ101" s="190">
        <v>0</v>
      </c>
    </row>
    <row r="102" spans="1:36" hidden="1" x14ac:dyDescent="0.25">
      <c r="A102" s="43">
        <v>28.58</v>
      </c>
      <c r="B102" s="43">
        <v>28.58</v>
      </c>
      <c r="C102">
        <v>0</v>
      </c>
      <c r="D102" s="43">
        <v>1.6</v>
      </c>
      <c r="E102" t="s">
        <v>962</v>
      </c>
      <c r="F102" t="s">
        <v>967</v>
      </c>
      <c r="G102" t="s">
        <v>1020</v>
      </c>
      <c r="H102" s="190"/>
      <c r="I102" s="190"/>
      <c r="J102" s="190"/>
      <c r="K102" s="190"/>
      <c r="L102" s="190"/>
      <c r="M102" s="190"/>
      <c r="N102" s="190">
        <v>0</v>
      </c>
      <c r="O102" s="190"/>
      <c r="P102" s="190"/>
      <c r="Q102" s="190"/>
      <c r="R102" s="190"/>
      <c r="S102" s="190"/>
      <c r="T102" s="190"/>
      <c r="U102" s="190"/>
      <c r="V102" s="190"/>
      <c r="W102" s="190"/>
      <c r="X102" s="190"/>
      <c r="Y102" s="190"/>
      <c r="Z102" s="190"/>
      <c r="AA102" s="190"/>
      <c r="AB102" s="190"/>
      <c r="AC102" s="190"/>
      <c r="AD102" s="190"/>
      <c r="AE102" s="190"/>
      <c r="AF102" s="190"/>
      <c r="AG102" s="190"/>
      <c r="AH102" s="190"/>
      <c r="AI102" s="190"/>
      <c r="AJ102" s="190">
        <v>0</v>
      </c>
    </row>
    <row r="103" spans="1:36" x14ac:dyDescent="0.25">
      <c r="A103" s="43">
        <v>28.58</v>
      </c>
      <c r="B103" s="43">
        <v>28.58</v>
      </c>
      <c r="C103">
        <v>0</v>
      </c>
      <c r="D103" s="43">
        <v>1.6</v>
      </c>
      <c r="E103" t="s">
        <v>993</v>
      </c>
      <c r="F103" t="s">
        <v>963</v>
      </c>
      <c r="G103" t="s">
        <v>1021</v>
      </c>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v>0</v>
      </c>
      <c r="AJ103" s="190">
        <v>0</v>
      </c>
    </row>
    <row r="104" spans="1:36" x14ac:dyDescent="0.25">
      <c r="A104" s="43">
        <v>28.58</v>
      </c>
      <c r="B104" s="43">
        <v>28.58</v>
      </c>
      <c r="C104">
        <v>0</v>
      </c>
      <c r="D104" s="43">
        <v>2</v>
      </c>
      <c r="E104" t="s">
        <v>962</v>
      </c>
      <c r="F104" t="s">
        <v>1003</v>
      </c>
      <c r="G104" t="s">
        <v>582</v>
      </c>
      <c r="H104" s="190"/>
      <c r="I104" s="190">
        <v>6.8465308889999976</v>
      </c>
      <c r="J104" s="190"/>
      <c r="K104" s="190"/>
      <c r="L104" s="190"/>
      <c r="M104" s="190"/>
      <c r="N104" s="190"/>
      <c r="O104" s="190"/>
      <c r="P104" s="190"/>
      <c r="Q104" s="190"/>
      <c r="R104" s="190"/>
      <c r="S104" s="190"/>
      <c r="T104" s="190"/>
      <c r="U104" s="190"/>
      <c r="V104" s="190"/>
      <c r="W104" s="190"/>
      <c r="X104" s="190"/>
      <c r="Y104" s="190"/>
      <c r="Z104" s="190"/>
      <c r="AA104" s="190"/>
      <c r="AB104" s="190"/>
      <c r="AC104" s="190"/>
      <c r="AD104" s="190"/>
      <c r="AE104" s="190"/>
      <c r="AF104" s="190"/>
      <c r="AG104" s="190"/>
      <c r="AH104" s="190"/>
      <c r="AI104" s="190"/>
      <c r="AJ104" s="190">
        <v>6.8465308889999976</v>
      </c>
    </row>
    <row r="105" spans="1:36" x14ac:dyDescent="0.25">
      <c r="A105" s="43">
        <v>28.6</v>
      </c>
      <c r="B105" s="43">
        <v>28.6</v>
      </c>
      <c r="C105">
        <v>0</v>
      </c>
      <c r="D105" s="43">
        <v>2.6</v>
      </c>
      <c r="E105" t="s">
        <v>357</v>
      </c>
      <c r="F105" t="s">
        <v>357</v>
      </c>
      <c r="G105" t="s">
        <v>1022</v>
      </c>
      <c r="H105" s="190"/>
      <c r="I105" s="190"/>
      <c r="J105" s="190">
        <v>0</v>
      </c>
      <c r="K105" s="190"/>
      <c r="L105" s="190"/>
      <c r="M105" s="190"/>
      <c r="N105" s="190"/>
      <c r="O105" s="190"/>
      <c r="P105" s="190"/>
      <c r="Q105" s="190"/>
      <c r="R105" s="190"/>
      <c r="S105" s="190"/>
      <c r="T105" s="190"/>
      <c r="U105" s="190"/>
      <c r="V105" s="190"/>
      <c r="W105" s="190"/>
      <c r="X105" s="190"/>
      <c r="Y105" s="190"/>
      <c r="Z105" s="190"/>
      <c r="AA105" s="190"/>
      <c r="AB105" s="190"/>
      <c r="AC105" s="190"/>
      <c r="AD105" s="190"/>
      <c r="AE105" s="190"/>
      <c r="AF105" s="190"/>
      <c r="AG105" s="190"/>
      <c r="AH105" s="190"/>
      <c r="AI105" s="190"/>
      <c r="AJ105" s="190">
        <v>0</v>
      </c>
    </row>
    <row r="106" spans="1:36" hidden="1" x14ac:dyDescent="0.25">
      <c r="A106" s="43">
        <v>28.6</v>
      </c>
      <c r="B106" s="43">
        <v>28.6</v>
      </c>
      <c r="C106">
        <v>0</v>
      </c>
      <c r="D106" s="43">
        <v>2.65</v>
      </c>
      <c r="E106" t="s">
        <v>357</v>
      </c>
      <c r="F106" t="s">
        <v>357</v>
      </c>
      <c r="G106" t="s">
        <v>816</v>
      </c>
      <c r="H106" s="190"/>
      <c r="I106" s="190">
        <v>22.340760416850003</v>
      </c>
      <c r="J106" s="190"/>
      <c r="K106" s="190"/>
      <c r="L106" s="190"/>
      <c r="M106" s="190">
        <v>0</v>
      </c>
      <c r="N106" s="190"/>
      <c r="O106" s="190"/>
      <c r="P106" s="190"/>
      <c r="Q106" s="190"/>
      <c r="R106" s="190"/>
      <c r="S106" s="190"/>
      <c r="T106" s="190"/>
      <c r="U106" s="190"/>
      <c r="V106" s="190"/>
      <c r="W106" s="190"/>
      <c r="X106" s="190"/>
      <c r="Y106" s="190"/>
      <c r="Z106" s="190"/>
      <c r="AA106" s="190"/>
      <c r="AB106" s="190"/>
      <c r="AC106" s="190"/>
      <c r="AD106" s="190"/>
      <c r="AE106" s="190"/>
      <c r="AF106" s="190"/>
      <c r="AG106" s="190"/>
      <c r="AH106" s="190"/>
      <c r="AI106" s="190"/>
      <c r="AJ106" s="190">
        <v>22.340760416850003</v>
      </c>
    </row>
    <row r="107" spans="1:36" x14ac:dyDescent="0.25">
      <c r="A107" s="43">
        <v>29.4</v>
      </c>
      <c r="B107" s="43">
        <v>29.4</v>
      </c>
      <c r="C107">
        <v>20.399999999999999</v>
      </c>
      <c r="D107" s="43">
        <v>4.5</v>
      </c>
      <c r="E107" t="s">
        <v>357</v>
      </c>
      <c r="F107" t="s">
        <v>357</v>
      </c>
      <c r="G107" t="s">
        <v>393</v>
      </c>
      <c r="H107" s="190"/>
      <c r="I107" s="190"/>
      <c r="J107" s="190"/>
      <c r="K107" s="190">
        <v>0</v>
      </c>
      <c r="L107" s="190"/>
      <c r="M107" s="190"/>
      <c r="N107" s="190"/>
      <c r="O107" s="190"/>
      <c r="P107" s="190"/>
      <c r="Q107" s="190"/>
      <c r="R107" s="190"/>
      <c r="S107" s="190"/>
      <c r="T107" s="190"/>
      <c r="U107" s="190"/>
      <c r="V107" s="190"/>
      <c r="W107" s="190"/>
      <c r="X107" s="190"/>
      <c r="Y107" s="190"/>
      <c r="Z107" s="190"/>
      <c r="AA107" s="190"/>
      <c r="AB107" s="190"/>
      <c r="AC107" s="190"/>
      <c r="AD107" s="190"/>
      <c r="AE107" s="190"/>
      <c r="AF107" s="190"/>
      <c r="AG107" s="190"/>
      <c r="AH107" s="190"/>
      <c r="AI107" s="190"/>
      <c r="AJ107" s="190">
        <v>0</v>
      </c>
    </row>
    <row r="108" spans="1:36" hidden="1" x14ac:dyDescent="0.25">
      <c r="A108" s="43">
        <v>29.4</v>
      </c>
      <c r="B108" s="43">
        <v>29.4</v>
      </c>
      <c r="C108">
        <v>20.399999999999999</v>
      </c>
      <c r="D108" s="43">
        <v>4.5</v>
      </c>
      <c r="E108" t="s">
        <v>1023</v>
      </c>
      <c r="F108" t="s">
        <v>357</v>
      </c>
      <c r="G108" t="s">
        <v>824</v>
      </c>
      <c r="H108" s="190"/>
      <c r="I108" s="190"/>
      <c r="J108" s="190"/>
      <c r="K108" s="190">
        <v>57.254610928499993</v>
      </c>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v>57.254610928499993</v>
      </c>
    </row>
    <row r="109" spans="1:36" x14ac:dyDescent="0.25">
      <c r="A109" s="43">
        <v>29.4</v>
      </c>
      <c r="B109" s="43">
        <v>29.4</v>
      </c>
      <c r="C109">
        <v>20.399999999999999</v>
      </c>
      <c r="D109" s="43">
        <v>4.5</v>
      </c>
      <c r="E109" t="s">
        <v>1024</v>
      </c>
      <c r="F109" t="s">
        <v>357</v>
      </c>
      <c r="G109" t="s">
        <v>393</v>
      </c>
      <c r="H109" s="190"/>
      <c r="I109" s="190"/>
      <c r="J109" s="190"/>
      <c r="K109" s="190">
        <v>44.370252029249997</v>
      </c>
      <c r="L109" s="190"/>
      <c r="M109" s="190"/>
      <c r="N109" s="190"/>
      <c r="O109" s="190"/>
      <c r="P109" s="190"/>
      <c r="Q109" s="190"/>
      <c r="R109" s="190"/>
      <c r="S109" s="190"/>
      <c r="T109" s="190"/>
      <c r="U109" s="190"/>
      <c r="V109" s="190"/>
      <c r="W109" s="190"/>
      <c r="X109" s="190"/>
      <c r="Y109" s="190"/>
      <c r="Z109" s="190"/>
      <c r="AA109" s="190"/>
      <c r="AB109" s="190"/>
      <c r="AC109" s="190"/>
      <c r="AD109" s="190"/>
      <c r="AE109" s="190"/>
      <c r="AF109" s="190"/>
      <c r="AG109" s="190"/>
      <c r="AH109" s="190"/>
      <c r="AI109" s="190"/>
      <c r="AJ109" s="190">
        <v>44.370252029249997</v>
      </c>
    </row>
    <row r="110" spans="1:36" hidden="1" x14ac:dyDescent="0.25">
      <c r="A110" s="43">
        <v>29.4</v>
      </c>
      <c r="B110" s="43">
        <v>29.4</v>
      </c>
      <c r="C110">
        <v>20.399999999999999</v>
      </c>
      <c r="D110" s="43">
        <v>4.5</v>
      </c>
      <c r="E110" t="s">
        <v>1024</v>
      </c>
      <c r="F110" t="s">
        <v>1024</v>
      </c>
      <c r="G110" t="s">
        <v>393</v>
      </c>
      <c r="H110" s="190"/>
      <c r="I110" s="190"/>
      <c r="J110" s="190"/>
      <c r="K110" s="190"/>
      <c r="L110" s="190"/>
      <c r="M110" s="190"/>
      <c r="N110" s="190"/>
      <c r="O110" s="190">
        <v>29.275804385909996</v>
      </c>
      <c r="P110" s="190"/>
      <c r="Q110" s="190"/>
      <c r="R110" s="190"/>
      <c r="S110" s="190"/>
      <c r="T110" s="190"/>
      <c r="U110" s="190"/>
      <c r="V110" s="190"/>
      <c r="W110" s="190"/>
      <c r="X110" s="190"/>
      <c r="Y110" s="190"/>
      <c r="Z110" s="190"/>
      <c r="AA110" s="190"/>
      <c r="AB110" s="190"/>
      <c r="AC110" s="190"/>
      <c r="AD110" s="190"/>
      <c r="AE110" s="190"/>
      <c r="AF110" s="190"/>
      <c r="AG110" s="190"/>
      <c r="AH110" s="190"/>
      <c r="AI110" s="190"/>
      <c r="AJ110" s="190">
        <v>29.275804385909996</v>
      </c>
    </row>
    <row r="111" spans="1:36" x14ac:dyDescent="0.25">
      <c r="A111" s="43">
        <v>30</v>
      </c>
      <c r="B111" s="43">
        <v>30</v>
      </c>
      <c r="C111">
        <v>25.5</v>
      </c>
      <c r="D111" s="43">
        <v>2.25</v>
      </c>
      <c r="E111" t="s">
        <v>357</v>
      </c>
      <c r="F111" t="s">
        <v>967</v>
      </c>
      <c r="G111" t="s">
        <v>1025</v>
      </c>
      <c r="H111" s="190"/>
      <c r="I111" s="190"/>
      <c r="J111" s="190"/>
      <c r="K111" s="190"/>
      <c r="L111" s="190"/>
      <c r="M111" s="190">
        <v>0</v>
      </c>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v>0</v>
      </c>
    </row>
    <row r="112" spans="1:36" x14ac:dyDescent="0.25">
      <c r="A112" s="43">
        <v>30.15</v>
      </c>
      <c r="B112" s="43">
        <v>30</v>
      </c>
      <c r="C112">
        <v>25.5</v>
      </c>
      <c r="D112" s="43">
        <v>2.25</v>
      </c>
      <c r="E112" t="s">
        <v>357</v>
      </c>
      <c r="F112" t="s">
        <v>357</v>
      </c>
      <c r="G112" t="s">
        <v>827</v>
      </c>
      <c r="H112" s="190"/>
      <c r="I112" s="190"/>
      <c r="J112" s="190"/>
      <c r="K112" s="190"/>
      <c r="L112" s="190"/>
      <c r="M112" s="190">
        <v>45.027622372500005</v>
      </c>
      <c r="N112" s="190"/>
      <c r="O112" s="190"/>
      <c r="P112" s="190"/>
      <c r="Q112" s="190"/>
      <c r="R112" s="190">
        <v>25.956644855625001</v>
      </c>
      <c r="S112" s="190"/>
      <c r="T112" s="190"/>
      <c r="U112" s="190"/>
      <c r="V112" s="190"/>
      <c r="W112" s="190"/>
      <c r="X112" s="190"/>
      <c r="Y112" s="190"/>
      <c r="Z112" s="190"/>
      <c r="AA112" s="190"/>
      <c r="AB112" s="190"/>
      <c r="AC112" s="190"/>
      <c r="AD112" s="190"/>
      <c r="AE112" s="190"/>
      <c r="AF112" s="190"/>
      <c r="AG112" s="190"/>
      <c r="AH112" s="190"/>
      <c r="AI112" s="190"/>
      <c r="AJ112" s="190">
        <v>70.984267228125006</v>
      </c>
    </row>
    <row r="113" spans="1:36" hidden="1" x14ac:dyDescent="0.25">
      <c r="A113" s="43">
        <v>31.2</v>
      </c>
      <c r="B113" s="43">
        <v>37.6</v>
      </c>
      <c r="C113">
        <v>31.2</v>
      </c>
      <c r="D113" s="43">
        <v>3.2</v>
      </c>
      <c r="E113" t="s">
        <v>967</v>
      </c>
      <c r="F113" t="s">
        <v>967</v>
      </c>
      <c r="G113" t="s">
        <v>1026</v>
      </c>
      <c r="H113" s="190"/>
      <c r="I113" s="190">
        <v>0</v>
      </c>
      <c r="J113" s="190"/>
      <c r="K113" s="190"/>
      <c r="L113" s="190"/>
      <c r="M113" s="190"/>
      <c r="N113" s="190"/>
      <c r="O113" s="190"/>
      <c r="P113" s="190"/>
      <c r="Q113" s="190"/>
      <c r="R113" s="190"/>
      <c r="S113" s="190"/>
      <c r="T113" s="190"/>
      <c r="U113" s="190"/>
      <c r="V113" s="190"/>
      <c r="W113" s="190"/>
      <c r="X113" s="190"/>
      <c r="Y113" s="190"/>
      <c r="Z113" s="190"/>
      <c r="AA113" s="190"/>
      <c r="AB113" s="190"/>
      <c r="AC113" s="190"/>
      <c r="AD113" s="190"/>
      <c r="AE113" s="190"/>
      <c r="AF113" s="190"/>
      <c r="AG113" s="190"/>
      <c r="AH113" s="190"/>
      <c r="AI113" s="190"/>
      <c r="AJ113" s="190">
        <v>0</v>
      </c>
    </row>
    <row r="114" spans="1:36" hidden="1" x14ac:dyDescent="0.25">
      <c r="A114" s="43">
        <v>31.75</v>
      </c>
      <c r="B114" s="43">
        <v>25</v>
      </c>
      <c r="C114">
        <v>25</v>
      </c>
      <c r="D114" s="43">
        <v>1.2</v>
      </c>
      <c r="E114" t="s">
        <v>229</v>
      </c>
      <c r="F114" t="s">
        <v>963</v>
      </c>
      <c r="G114" t="s">
        <v>529</v>
      </c>
      <c r="H114" s="190"/>
      <c r="I114" s="190"/>
      <c r="J114" s="190"/>
      <c r="K114" s="190"/>
      <c r="L114" s="190"/>
      <c r="M114" s="190"/>
      <c r="N114" s="190"/>
      <c r="O114" s="190"/>
      <c r="P114" s="190"/>
      <c r="Q114" s="190"/>
      <c r="R114" s="190"/>
      <c r="S114" s="190"/>
      <c r="T114" s="190"/>
      <c r="U114" s="190"/>
      <c r="V114" s="190"/>
      <c r="W114" s="190"/>
      <c r="X114" s="190"/>
      <c r="Y114" s="190"/>
      <c r="Z114" s="190"/>
      <c r="AA114" s="190"/>
      <c r="AB114" s="190"/>
      <c r="AC114" s="190">
        <v>0.58013196228000008</v>
      </c>
      <c r="AD114" s="190"/>
      <c r="AE114" s="190">
        <v>6.9398963711999997</v>
      </c>
      <c r="AF114" s="190">
        <v>18.166624563359999</v>
      </c>
      <c r="AG114" s="190">
        <v>1.2976160402399999</v>
      </c>
      <c r="AH114" s="190"/>
      <c r="AI114" s="190"/>
      <c r="AJ114" s="190">
        <v>26.98426893708</v>
      </c>
    </row>
    <row r="115" spans="1:36" hidden="1" x14ac:dyDescent="0.25">
      <c r="A115" s="43">
        <v>31.75</v>
      </c>
      <c r="B115" s="43">
        <v>25</v>
      </c>
      <c r="C115">
        <v>25</v>
      </c>
      <c r="D115" s="43">
        <v>2</v>
      </c>
      <c r="E115" t="s">
        <v>962</v>
      </c>
      <c r="F115" t="s">
        <v>967</v>
      </c>
      <c r="G115" t="s">
        <v>1027</v>
      </c>
      <c r="H115" s="190"/>
      <c r="I115" s="190">
        <v>0</v>
      </c>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c r="AH115" s="190"/>
      <c r="AI115" s="190"/>
      <c r="AJ115" s="190">
        <v>0</v>
      </c>
    </row>
    <row r="116" spans="1:36" hidden="1" x14ac:dyDescent="0.25">
      <c r="A116" s="43">
        <v>31.75</v>
      </c>
      <c r="B116" s="43">
        <v>31.75</v>
      </c>
      <c r="C116">
        <v>0</v>
      </c>
      <c r="D116" s="43">
        <v>1.2</v>
      </c>
      <c r="E116" t="s">
        <v>962</v>
      </c>
      <c r="F116" t="s">
        <v>1003</v>
      </c>
      <c r="G116" t="s">
        <v>836</v>
      </c>
      <c r="H116" s="190"/>
      <c r="I116" s="190"/>
      <c r="J116" s="190"/>
      <c r="K116" s="190"/>
      <c r="L116" s="190"/>
      <c r="M116" s="190"/>
      <c r="N116" s="190"/>
      <c r="O116" s="190"/>
      <c r="P116" s="190">
        <v>0</v>
      </c>
      <c r="Q116" s="190"/>
      <c r="R116" s="190"/>
      <c r="S116" s="190">
        <v>2.71089702</v>
      </c>
      <c r="T116" s="190">
        <v>2.7018606966000003</v>
      </c>
      <c r="U116" s="190"/>
      <c r="V116" s="190"/>
      <c r="W116" s="190"/>
      <c r="X116" s="190"/>
      <c r="Y116" s="190"/>
      <c r="Z116" s="190">
        <v>10.735152199199998</v>
      </c>
      <c r="AA116" s="190"/>
      <c r="AB116" s="190"/>
      <c r="AC116" s="190"/>
      <c r="AD116" s="190"/>
      <c r="AE116" s="190"/>
      <c r="AF116" s="190"/>
      <c r="AG116" s="190"/>
      <c r="AH116" s="190">
        <v>7.2652040136000009</v>
      </c>
      <c r="AI116" s="190"/>
      <c r="AJ116" s="190">
        <v>23.413113929400001</v>
      </c>
    </row>
    <row r="117" spans="1:36" x14ac:dyDescent="0.25">
      <c r="A117" s="43">
        <v>31.75</v>
      </c>
      <c r="B117" s="43">
        <v>31.75</v>
      </c>
      <c r="C117">
        <v>0</v>
      </c>
      <c r="D117" s="43">
        <v>1.6</v>
      </c>
      <c r="E117" t="s">
        <v>962</v>
      </c>
      <c r="F117" t="s">
        <v>1003</v>
      </c>
      <c r="G117" t="s">
        <v>1028</v>
      </c>
      <c r="H117" s="190"/>
      <c r="I117" s="190"/>
      <c r="J117" s="190"/>
      <c r="K117" s="190"/>
      <c r="L117" s="190"/>
      <c r="M117" s="190"/>
      <c r="N117" s="190"/>
      <c r="O117" s="190"/>
      <c r="P117" s="190"/>
      <c r="Q117" s="190"/>
      <c r="R117" s="190"/>
      <c r="S117" s="190"/>
      <c r="T117" s="190"/>
      <c r="U117" s="190"/>
      <c r="V117" s="190"/>
      <c r="W117" s="190"/>
      <c r="X117" s="190"/>
      <c r="Y117" s="190"/>
      <c r="Z117" s="190">
        <v>0</v>
      </c>
      <c r="AA117" s="190"/>
      <c r="AB117" s="190"/>
      <c r="AC117" s="190"/>
      <c r="AD117" s="190"/>
      <c r="AE117" s="190"/>
      <c r="AF117" s="190"/>
      <c r="AG117" s="190"/>
      <c r="AH117" s="190"/>
      <c r="AI117" s="190"/>
      <c r="AJ117" s="190">
        <v>0</v>
      </c>
    </row>
    <row r="118" spans="1:36" x14ac:dyDescent="0.25">
      <c r="A118" s="43">
        <v>31.75</v>
      </c>
      <c r="B118" s="43">
        <v>31.75</v>
      </c>
      <c r="C118">
        <v>0</v>
      </c>
      <c r="D118" s="43">
        <v>2.2999999999999998</v>
      </c>
      <c r="E118" t="s">
        <v>962</v>
      </c>
      <c r="F118" t="s">
        <v>1003</v>
      </c>
      <c r="G118" t="s">
        <v>1029</v>
      </c>
      <c r="H118" s="190"/>
      <c r="I118" s="190"/>
      <c r="J118" s="190"/>
      <c r="K118" s="190"/>
      <c r="L118" s="190"/>
      <c r="M118" s="190"/>
      <c r="N118" s="190"/>
      <c r="O118" s="190"/>
      <c r="P118" s="190"/>
      <c r="Q118" s="190"/>
      <c r="R118" s="190"/>
      <c r="S118" s="190"/>
      <c r="T118" s="190"/>
      <c r="U118" s="190"/>
      <c r="V118" s="190"/>
      <c r="W118" s="190">
        <v>0</v>
      </c>
      <c r="X118" s="190"/>
      <c r="Y118" s="190"/>
      <c r="Z118" s="190"/>
      <c r="AA118" s="190"/>
      <c r="AB118" s="190"/>
      <c r="AC118" s="190"/>
      <c r="AD118" s="190"/>
      <c r="AE118" s="190"/>
      <c r="AF118" s="190"/>
      <c r="AG118" s="190"/>
      <c r="AH118" s="190"/>
      <c r="AI118" s="190"/>
      <c r="AJ118" s="190">
        <v>0</v>
      </c>
    </row>
    <row r="119" spans="1:36" x14ac:dyDescent="0.25">
      <c r="A119" s="43">
        <v>31.75</v>
      </c>
      <c r="B119" s="43">
        <v>31.75</v>
      </c>
      <c r="C119">
        <v>0</v>
      </c>
      <c r="D119" s="43">
        <v>2.5</v>
      </c>
      <c r="E119" t="s">
        <v>962</v>
      </c>
      <c r="F119" t="s">
        <v>1003</v>
      </c>
      <c r="G119" t="s">
        <v>799</v>
      </c>
      <c r="H119" s="190"/>
      <c r="I119" s="190"/>
      <c r="J119" s="190"/>
      <c r="K119" s="190"/>
      <c r="L119" s="190"/>
      <c r="M119" s="190"/>
      <c r="N119" s="190"/>
      <c r="O119" s="190"/>
      <c r="P119" s="190"/>
      <c r="Q119" s="190">
        <v>5.4073743750000007</v>
      </c>
      <c r="R119" s="190"/>
      <c r="S119" s="190"/>
      <c r="T119" s="190"/>
      <c r="U119" s="190">
        <v>27.036871874999999</v>
      </c>
      <c r="V119" s="190"/>
      <c r="W119" s="190"/>
      <c r="X119" s="190"/>
      <c r="Y119" s="190"/>
      <c r="Z119" s="190"/>
      <c r="AA119" s="190"/>
      <c r="AB119" s="190"/>
      <c r="AC119" s="190"/>
      <c r="AD119" s="190"/>
      <c r="AE119" s="190"/>
      <c r="AF119" s="190"/>
      <c r="AG119" s="190"/>
      <c r="AH119" s="190"/>
      <c r="AI119" s="190"/>
      <c r="AJ119" s="190">
        <v>32.444246249999999</v>
      </c>
    </row>
    <row r="120" spans="1:36" hidden="1" x14ac:dyDescent="0.25">
      <c r="A120" s="43">
        <v>31.75</v>
      </c>
      <c r="B120" s="43">
        <v>31.75</v>
      </c>
      <c r="C120">
        <v>0</v>
      </c>
      <c r="D120" s="43">
        <v>2.5</v>
      </c>
      <c r="E120" t="s">
        <v>962</v>
      </c>
      <c r="F120" t="s">
        <v>1003</v>
      </c>
      <c r="G120" t="s">
        <v>967</v>
      </c>
      <c r="H120" s="190"/>
      <c r="I120" s="190"/>
      <c r="J120" s="190">
        <v>8.5055295231562482</v>
      </c>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c r="AH120" s="190"/>
      <c r="AI120" s="190"/>
      <c r="AJ120" s="190">
        <v>8.5055295231562482</v>
      </c>
    </row>
    <row r="121" spans="1:36" hidden="1" x14ac:dyDescent="0.25">
      <c r="A121" s="43">
        <v>31.75</v>
      </c>
      <c r="B121" s="43">
        <v>31.75</v>
      </c>
      <c r="C121">
        <v>25</v>
      </c>
      <c r="D121" s="43">
        <v>3.37</v>
      </c>
      <c r="E121" t="s">
        <v>357</v>
      </c>
      <c r="F121" t="s">
        <v>357</v>
      </c>
      <c r="G121" t="s">
        <v>846</v>
      </c>
      <c r="H121" s="190"/>
      <c r="I121" s="190">
        <v>5.8936128735000004</v>
      </c>
      <c r="J121" s="190"/>
      <c r="K121" s="190"/>
      <c r="L121" s="190"/>
      <c r="M121" s="190"/>
      <c r="N121" s="190"/>
      <c r="O121" s="190"/>
      <c r="P121" s="190"/>
      <c r="Q121" s="190"/>
      <c r="R121" s="190"/>
      <c r="S121" s="190"/>
      <c r="T121" s="190"/>
      <c r="U121" s="190"/>
      <c r="V121" s="190"/>
      <c r="W121" s="190"/>
      <c r="X121" s="190"/>
      <c r="Y121" s="190">
        <v>0</v>
      </c>
      <c r="Z121" s="190"/>
      <c r="AA121" s="190"/>
      <c r="AB121" s="190"/>
      <c r="AC121" s="190"/>
      <c r="AD121" s="190"/>
      <c r="AE121" s="190"/>
      <c r="AF121" s="190"/>
      <c r="AG121" s="190"/>
      <c r="AH121" s="190"/>
      <c r="AI121" s="190"/>
      <c r="AJ121" s="190">
        <v>5.8936128735000004</v>
      </c>
    </row>
    <row r="122" spans="1:36" hidden="1" x14ac:dyDescent="0.25">
      <c r="A122" s="43">
        <v>32</v>
      </c>
      <c r="B122" s="43">
        <v>32</v>
      </c>
      <c r="C122">
        <v>0</v>
      </c>
      <c r="D122" s="43">
        <v>4.5</v>
      </c>
      <c r="E122" t="s">
        <v>357</v>
      </c>
      <c r="F122" t="s">
        <v>967</v>
      </c>
      <c r="G122" t="s">
        <v>1030</v>
      </c>
      <c r="H122" s="190"/>
      <c r="I122" s="190"/>
      <c r="J122" s="190"/>
      <c r="K122" s="190"/>
      <c r="L122" s="190"/>
      <c r="M122" s="190"/>
      <c r="N122" s="190"/>
      <c r="O122" s="190">
        <v>0</v>
      </c>
      <c r="P122" s="190"/>
      <c r="Q122" s="190"/>
      <c r="R122" s="190"/>
      <c r="S122" s="190"/>
      <c r="T122" s="190"/>
      <c r="U122" s="190"/>
      <c r="V122" s="190"/>
      <c r="W122" s="190"/>
      <c r="X122" s="190"/>
      <c r="Y122" s="190"/>
      <c r="Z122" s="190"/>
      <c r="AA122" s="190"/>
      <c r="AB122" s="190"/>
      <c r="AC122" s="190"/>
      <c r="AD122" s="190"/>
      <c r="AE122" s="190"/>
      <c r="AF122" s="190"/>
      <c r="AG122" s="190"/>
      <c r="AH122" s="190"/>
      <c r="AI122" s="190"/>
      <c r="AJ122" s="190">
        <v>0</v>
      </c>
    </row>
    <row r="123" spans="1:36" hidden="1" x14ac:dyDescent="0.25">
      <c r="A123" s="43">
        <v>33.299999999999997</v>
      </c>
      <c r="B123" s="43">
        <v>9.601098752945636E-2</v>
      </c>
      <c r="C123">
        <v>0</v>
      </c>
      <c r="D123" s="43">
        <v>2</v>
      </c>
      <c r="E123" t="s">
        <v>357</v>
      </c>
      <c r="F123" t="s">
        <v>967</v>
      </c>
      <c r="G123" t="s">
        <v>1031</v>
      </c>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v>0</v>
      </c>
      <c r="AI123" s="190"/>
      <c r="AJ123" s="190">
        <v>0</v>
      </c>
    </row>
    <row r="124" spans="1:36" hidden="1" x14ac:dyDescent="0.25">
      <c r="A124" s="43">
        <v>33.299999999999997</v>
      </c>
      <c r="B124" s="43">
        <v>33.299999999999997</v>
      </c>
      <c r="C124">
        <v>29.3</v>
      </c>
      <c r="D124" s="43">
        <v>2</v>
      </c>
      <c r="E124" t="s">
        <v>357</v>
      </c>
      <c r="F124" t="s">
        <v>357</v>
      </c>
      <c r="G124" t="s">
        <v>1032</v>
      </c>
      <c r="H124" s="190"/>
      <c r="I124" s="190"/>
      <c r="J124" s="190"/>
      <c r="K124" s="190"/>
      <c r="L124" s="190"/>
      <c r="M124" s="190"/>
      <c r="N124" s="190"/>
      <c r="O124" s="190"/>
      <c r="P124" s="190"/>
      <c r="Q124" s="190"/>
      <c r="R124" s="190"/>
      <c r="S124" s="190"/>
      <c r="T124" s="190"/>
      <c r="U124" s="190"/>
      <c r="V124" s="190"/>
      <c r="W124" s="190"/>
      <c r="X124" s="190"/>
      <c r="Y124" s="190"/>
      <c r="Z124" s="190">
        <v>1.5430273999999999</v>
      </c>
      <c r="AA124" s="190"/>
      <c r="AB124" s="190"/>
      <c r="AC124" s="190"/>
      <c r="AD124" s="190"/>
      <c r="AE124" s="190"/>
      <c r="AF124" s="190"/>
      <c r="AG124" s="190"/>
      <c r="AH124" s="190"/>
      <c r="AI124" s="190"/>
      <c r="AJ124" s="190">
        <v>1.5430273999999999</v>
      </c>
    </row>
    <row r="125" spans="1:36" hidden="1" x14ac:dyDescent="0.25">
      <c r="A125" s="43">
        <v>33.299999999999997</v>
      </c>
      <c r="B125" s="43">
        <v>2.2999995526450192</v>
      </c>
      <c r="C125">
        <v>29.3</v>
      </c>
      <c r="D125" s="43">
        <v>2</v>
      </c>
      <c r="E125" t="s">
        <v>357</v>
      </c>
      <c r="F125" t="s">
        <v>967</v>
      </c>
      <c r="G125" t="s">
        <v>1033</v>
      </c>
      <c r="H125" s="190"/>
      <c r="I125" s="190"/>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90"/>
      <c r="AH125" s="190"/>
      <c r="AI125" s="190">
        <v>0</v>
      </c>
      <c r="AJ125" s="190">
        <v>0</v>
      </c>
    </row>
    <row r="126" spans="1:36" x14ac:dyDescent="0.25">
      <c r="A126" s="43">
        <v>34.93</v>
      </c>
      <c r="B126" s="43">
        <v>34.93</v>
      </c>
      <c r="C126">
        <v>0</v>
      </c>
      <c r="D126" s="43">
        <v>1.2</v>
      </c>
      <c r="E126" t="s">
        <v>962</v>
      </c>
      <c r="F126" t="s">
        <v>1003</v>
      </c>
      <c r="G126" t="s">
        <v>1034</v>
      </c>
      <c r="H126" s="190"/>
      <c r="I126" s="190"/>
      <c r="J126" s="190"/>
      <c r="K126" s="190"/>
      <c r="L126" s="190">
        <v>0</v>
      </c>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c r="AH126" s="190"/>
      <c r="AI126" s="190">
        <v>0</v>
      </c>
      <c r="AJ126" s="190">
        <v>0</v>
      </c>
    </row>
    <row r="127" spans="1:36" x14ac:dyDescent="0.25">
      <c r="A127" s="43">
        <v>34.93</v>
      </c>
      <c r="B127" s="43">
        <v>34.93</v>
      </c>
      <c r="C127">
        <v>0</v>
      </c>
      <c r="D127" s="43">
        <v>1.2</v>
      </c>
      <c r="E127" t="s">
        <v>962</v>
      </c>
      <c r="F127" t="s">
        <v>967</v>
      </c>
      <c r="G127" t="s">
        <v>1035</v>
      </c>
      <c r="H127" s="190"/>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v>0</v>
      </c>
      <c r="AI127" s="190"/>
      <c r="AJ127" s="190">
        <v>0</v>
      </c>
    </row>
    <row r="128" spans="1:36" hidden="1" x14ac:dyDescent="0.25">
      <c r="A128" s="43">
        <v>34.93</v>
      </c>
      <c r="B128" s="43">
        <v>34.93</v>
      </c>
      <c r="C128">
        <v>0</v>
      </c>
      <c r="D128" s="43">
        <v>1.6</v>
      </c>
      <c r="E128" t="s">
        <v>962</v>
      </c>
      <c r="F128" t="s">
        <v>1003</v>
      </c>
      <c r="G128" t="s">
        <v>565</v>
      </c>
      <c r="H128" s="190"/>
      <c r="I128" s="190">
        <v>0</v>
      </c>
      <c r="J128" s="190">
        <v>6.352627991001599</v>
      </c>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0"/>
      <c r="AI128" s="190"/>
      <c r="AJ128" s="190">
        <v>6.352627991001599</v>
      </c>
    </row>
    <row r="129" spans="1:36" hidden="1" x14ac:dyDescent="0.25">
      <c r="A129" s="43">
        <v>34.93</v>
      </c>
      <c r="B129" s="43">
        <v>34.93</v>
      </c>
      <c r="C129">
        <v>0</v>
      </c>
      <c r="D129" s="43">
        <v>2</v>
      </c>
      <c r="E129" t="s">
        <v>962</v>
      </c>
      <c r="F129" t="s">
        <v>1003</v>
      </c>
      <c r="G129" t="s">
        <v>1036</v>
      </c>
      <c r="H129" s="190"/>
      <c r="I129" s="190">
        <v>0</v>
      </c>
      <c r="J129" s="190"/>
      <c r="K129" s="190"/>
      <c r="L129" s="190"/>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c r="AH129" s="190"/>
      <c r="AI129" s="190"/>
      <c r="AJ129" s="190">
        <v>0</v>
      </c>
    </row>
    <row r="130" spans="1:36" x14ac:dyDescent="0.25">
      <c r="A130" s="43">
        <v>34.93</v>
      </c>
      <c r="B130" s="43">
        <v>34.93</v>
      </c>
      <c r="C130">
        <v>0</v>
      </c>
      <c r="D130" s="43">
        <v>2</v>
      </c>
      <c r="E130" t="s">
        <v>967</v>
      </c>
      <c r="F130" t="s">
        <v>967</v>
      </c>
      <c r="G130" t="s">
        <v>1037</v>
      </c>
      <c r="H130" s="190"/>
      <c r="I130" s="190">
        <v>0</v>
      </c>
      <c r="J130" s="190"/>
      <c r="K130" s="190"/>
      <c r="L130" s="190">
        <v>0</v>
      </c>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c r="AH130" s="190"/>
      <c r="AI130" s="190"/>
      <c r="AJ130" s="190">
        <v>0</v>
      </c>
    </row>
    <row r="131" spans="1:36" hidden="1" x14ac:dyDescent="0.25">
      <c r="A131" s="43">
        <v>34.93</v>
      </c>
      <c r="B131" s="43">
        <v>34.93</v>
      </c>
      <c r="C131">
        <v>0</v>
      </c>
      <c r="D131" s="43">
        <v>2.5</v>
      </c>
      <c r="E131" t="s">
        <v>962</v>
      </c>
      <c r="F131" t="s">
        <v>1003</v>
      </c>
      <c r="G131" t="s">
        <v>1038</v>
      </c>
      <c r="H131" s="190"/>
      <c r="I131" s="190">
        <v>0</v>
      </c>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v>0</v>
      </c>
    </row>
    <row r="132" spans="1:36" hidden="1" x14ac:dyDescent="0.25">
      <c r="A132" s="43">
        <v>34.93</v>
      </c>
      <c r="B132" s="43">
        <v>34.93</v>
      </c>
      <c r="C132">
        <v>0</v>
      </c>
      <c r="D132" s="43">
        <v>2.6</v>
      </c>
      <c r="E132" t="s">
        <v>962</v>
      </c>
      <c r="F132" t="s">
        <v>1003</v>
      </c>
      <c r="G132" t="s">
        <v>673</v>
      </c>
      <c r="H132" s="190"/>
      <c r="I132" s="190"/>
      <c r="J132" s="190">
        <v>10.697455349645999</v>
      </c>
      <c r="K132" s="190"/>
      <c r="L132" s="190"/>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c r="AH132" s="190"/>
      <c r="AI132" s="190"/>
      <c r="AJ132" s="190">
        <v>10.697455349645999</v>
      </c>
    </row>
    <row r="133" spans="1:36" x14ac:dyDescent="0.25">
      <c r="A133" s="43">
        <v>36</v>
      </c>
      <c r="B133" s="43">
        <v>36</v>
      </c>
      <c r="C133">
        <v>34</v>
      </c>
      <c r="D133" s="43">
        <v>0.91</v>
      </c>
      <c r="E133" t="s">
        <v>357</v>
      </c>
      <c r="F133" t="s">
        <v>357</v>
      </c>
      <c r="G133" t="s">
        <v>1039</v>
      </c>
      <c r="H133" s="190"/>
      <c r="I133" s="190"/>
      <c r="J133" s="190"/>
      <c r="K133" s="190"/>
      <c r="L133" s="190"/>
      <c r="M133" s="190"/>
      <c r="N133" s="190"/>
      <c r="O133" s="190"/>
      <c r="P133" s="190">
        <v>0</v>
      </c>
      <c r="Q133" s="190"/>
      <c r="R133" s="190"/>
      <c r="S133" s="190"/>
      <c r="T133" s="190"/>
      <c r="U133" s="190"/>
      <c r="V133" s="190"/>
      <c r="W133" s="190"/>
      <c r="X133" s="190"/>
      <c r="Y133" s="190"/>
      <c r="Z133" s="190"/>
      <c r="AA133" s="190"/>
      <c r="AB133" s="190"/>
      <c r="AC133" s="190"/>
      <c r="AD133" s="190"/>
      <c r="AE133" s="190"/>
      <c r="AF133" s="190"/>
      <c r="AG133" s="190"/>
      <c r="AH133" s="190"/>
      <c r="AI133" s="190"/>
      <c r="AJ133" s="190">
        <v>0</v>
      </c>
    </row>
    <row r="134" spans="1:36" x14ac:dyDescent="0.25">
      <c r="A134" s="43">
        <v>36</v>
      </c>
      <c r="B134" s="43">
        <v>36</v>
      </c>
      <c r="C134">
        <v>34</v>
      </c>
      <c r="D134" s="43">
        <v>0.91</v>
      </c>
      <c r="E134" t="s">
        <v>357</v>
      </c>
      <c r="F134" t="s">
        <v>967</v>
      </c>
      <c r="G134" t="s">
        <v>1040</v>
      </c>
      <c r="H134" s="190"/>
      <c r="I134" s="190"/>
      <c r="J134" s="190"/>
      <c r="K134" s="190"/>
      <c r="L134" s="190"/>
      <c r="M134" s="190"/>
      <c r="N134" s="190"/>
      <c r="O134" s="190"/>
      <c r="P134" s="190"/>
      <c r="Q134" s="190"/>
      <c r="R134" s="190">
        <v>0</v>
      </c>
      <c r="S134" s="190"/>
      <c r="T134" s="190"/>
      <c r="U134" s="190"/>
      <c r="V134" s="190"/>
      <c r="W134" s="190"/>
      <c r="X134" s="190"/>
      <c r="Y134" s="190"/>
      <c r="Z134" s="190"/>
      <c r="AA134" s="190"/>
      <c r="AB134" s="190"/>
      <c r="AC134" s="190"/>
      <c r="AD134" s="190"/>
      <c r="AE134" s="190"/>
      <c r="AF134" s="190"/>
      <c r="AG134" s="190"/>
      <c r="AH134" s="190"/>
      <c r="AI134" s="190"/>
      <c r="AJ134" s="190">
        <v>0</v>
      </c>
    </row>
    <row r="135" spans="1:36" x14ac:dyDescent="0.25">
      <c r="A135" s="43">
        <v>37.6</v>
      </c>
      <c r="B135" s="43">
        <v>37.6</v>
      </c>
      <c r="C135">
        <v>31.2</v>
      </c>
      <c r="D135" s="43">
        <v>3.2</v>
      </c>
      <c r="E135" t="s">
        <v>357</v>
      </c>
      <c r="F135" t="s">
        <v>357</v>
      </c>
      <c r="G135" t="s">
        <v>1041</v>
      </c>
      <c r="H135" s="190"/>
      <c r="I135" s="190"/>
      <c r="J135" s="190">
        <v>4.5224959801599995</v>
      </c>
      <c r="K135" s="190"/>
      <c r="L135" s="190"/>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c r="AH135" s="190"/>
      <c r="AI135" s="190"/>
      <c r="AJ135" s="190">
        <v>4.5224959801599995</v>
      </c>
    </row>
    <row r="136" spans="1:36" x14ac:dyDescent="0.25">
      <c r="A136" s="43">
        <v>37.950000000000003</v>
      </c>
      <c r="B136" s="43">
        <v>37.950000000000003</v>
      </c>
      <c r="C136">
        <v>32</v>
      </c>
      <c r="D136" s="43">
        <v>2.95</v>
      </c>
      <c r="E136" t="s">
        <v>357</v>
      </c>
      <c r="F136" t="s">
        <v>357</v>
      </c>
      <c r="G136" t="s">
        <v>1042</v>
      </c>
      <c r="H136" s="190"/>
      <c r="I136" s="190"/>
      <c r="J136" s="190"/>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0">
        <v>0</v>
      </c>
      <c r="AI136" s="190">
        <v>7.6350277500000017</v>
      </c>
      <c r="AJ136" s="190">
        <v>7.6350277500000017</v>
      </c>
    </row>
    <row r="137" spans="1:36" hidden="1" x14ac:dyDescent="0.25">
      <c r="A137" s="43">
        <v>38.1</v>
      </c>
      <c r="B137" s="43">
        <v>30</v>
      </c>
      <c r="C137">
        <v>30</v>
      </c>
      <c r="D137" s="43">
        <v>1.2</v>
      </c>
      <c r="E137" t="s">
        <v>229</v>
      </c>
      <c r="F137" t="s">
        <v>963</v>
      </c>
      <c r="G137" t="s">
        <v>549</v>
      </c>
      <c r="H137" s="190"/>
      <c r="I137" s="190"/>
      <c r="J137" s="190"/>
      <c r="K137" s="190"/>
      <c r="L137" s="190"/>
      <c r="M137" s="190"/>
      <c r="N137" s="190"/>
      <c r="O137" s="190"/>
      <c r="P137" s="190"/>
      <c r="Q137" s="190"/>
      <c r="R137" s="190"/>
      <c r="S137" s="190"/>
      <c r="T137" s="190"/>
      <c r="U137" s="190"/>
      <c r="V137" s="190"/>
      <c r="W137" s="190"/>
      <c r="X137" s="190"/>
      <c r="Y137" s="190"/>
      <c r="Z137" s="190"/>
      <c r="AA137" s="190"/>
      <c r="AB137" s="190"/>
      <c r="AC137" s="190">
        <v>0.15280408079999996</v>
      </c>
      <c r="AD137" s="190"/>
      <c r="AE137" s="190">
        <v>2.4885236015999999</v>
      </c>
      <c r="AF137" s="190">
        <v>3.3616897776000001</v>
      </c>
      <c r="AG137" s="190">
        <v>0.2401206984</v>
      </c>
      <c r="AH137" s="190"/>
      <c r="AI137" s="190"/>
      <c r="AJ137" s="190">
        <v>6.2431381584000007</v>
      </c>
    </row>
    <row r="138" spans="1:36" x14ac:dyDescent="0.25">
      <c r="A138" s="43">
        <v>38.1</v>
      </c>
      <c r="B138" s="43">
        <v>38.1</v>
      </c>
      <c r="C138">
        <v>0</v>
      </c>
      <c r="D138" s="43">
        <v>1.6</v>
      </c>
      <c r="E138" t="s">
        <v>962</v>
      </c>
      <c r="F138" t="s">
        <v>1003</v>
      </c>
      <c r="G138" t="s">
        <v>1043</v>
      </c>
      <c r="H138" s="190"/>
      <c r="I138" s="190"/>
      <c r="J138" s="190"/>
      <c r="K138" s="190"/>
      <c r="L138" s="190"/>
      <c r="M138" s="190"/>
      <c r="N138" s="190">
        <v>4.1364078475999992</v>
      </c>
      <c r="O138" s="190"/>
      <c r="P138" s="190"/>
      <c r="Q138" s="190"/>
      <c r="R138" s="190"/>
      <c r="S138" s="190"/>
      <c r="T138" s="190"/>
      <c r="U138" s="190"/>
      <c r="V138" s="190"/>
      <c r="W138" s="190"/>
      <c r="X138" s="190"/>
      <c r="Y138" s="190"/>
      <c r="Z138" s="190"/>
      <c r="AA138" s="190"/>
      <c r="AB138" s="190"/>
      <c r="AC138" s="190"/>
      <c r="AD138" s="190"/>
      <c r="AE138" s="190"/>
      <c r="AF138" s="190"/>
      <c r="AG138" s="190"/>
      <c r="AH138" s="190">
        <v>0.70247678079999998</v>
      </c>
      <c r="AI138" s="190">
        <v>7.0132517951999995</v>
      </c>
      <c r="AJ138" s="190">
        <v>11.852136423599998</v>
      </c>
    </row>
    <row r="139" spans="1:36" x14ac:dyDescent="0.25">
      <c r="A139" s="43">
        <v>38.1</v>
      </c>
      <c r="B139" s="43">
        <v>38.1</v>
      </c>
      <c r="C139">
        <v>0</v>
      </c>
      <c r="D139" s="43">
        <v>1.6</v>
      </c>
      <c r="E139" t="s">
        <v>962</v>
      </c>
      <c r="F139" t="s">
        <v>967</v>
      </c>
      <c r="G139" t="s">
        <v>1044</v>
      </c>
      <c r="H139" s="190"/>
      <c r="I139" s="190"/>
      <c r="J139" s="190"/>
      <c r="K139" s="190"/>
      <c r="L139" s="190"/>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c r="AH139" s="190">
        <v>0</v>
      </c>
      <c r="AI139" s="190"/>
      <c r="AJ139" s="190">
        <v>0</v>
      </c>
    </row>
    <row r="140" spans="1:36" hidden="1" x14ac:dyDescent="0.25">
      <c r="A140" s="43">
        <v>38.1</v>
      </c>
      <c r="B140" s="43">
        <v>38.1</v>
      </c>
      <c r="C140">
        <v>0</v>
      </c>
      <c r="D140" s="43">
        <v>1.6</v>
      </c>
      <c r="E140" t="s">
        <v>985</v>
      </c>
      <c r="F140" t="s">
        <v>1003</v>
      </c>
      <c r="G140" t="s">
        <v>1045</v>
      </c>
      <c r="H140" s="190"/>
      <c r="I140" s="190"/>
      <c r="J140" s="190"/>
      <c r="K140" s="190"/>
      <c r="L140" s="190"/>
      <c r="M140" s="190"/>
      <c r="N140" s="190">
        <v>10.076511199999999</v>
      </c>
      <c r="O140" s="190"/>
      <c r="P140" s="190"/>
      <c r="Q140" s="190"/>
      <c r="R140" s="190"/>
      <c r="S140" s="190"/>
      <c r="T140" s="190"/>
      <c r="U140" s="190"/>
      <c r="V140" s="190"/>
      <c r="W140" s="190">
        <v>0</v>
      </c>
      <c r="X140" s="190"/>
      <c r="Y140" s="190"/>
      <c r="Z140" s="190"/>
      <c r="AA140" s="190"/>
      <c r="AB140" s="190"/>
      <c r="AC140" s="190"/>
      <c r="AD140" s="190"/>
      <c r="AE140" s="190"/>
      <c r="AF140" s="190"/>
      <c r="AG140" s="190"/>
      <c r="AH140" s="190"/>
      <c r="AI140" s="190"/>
      <c r="AJ140" s="190">
        <v>10.076511199999999</v>
      </c>
    </row>
    <row r="141" spans="1:36" hidden="1" x14ac:dyDescent="0.25">
      <c r="A141" s="43">
        <v>38.1</v>
      </c>
      <c r="B141" s="43">
        <v>38.1</v>
      </c>
      <c r="C141">
        <v>0</v>
      </c>
      <c r="D141" s="43">
        <v>2</v>
      </c>
      <c r="E141" t="s">
        <v>962</v>
      </c>
      <c r="F141" t="s">
        <v>1003</v>
      </c>
      <c r="G141" t="s">
        <v>860</v>
      </c>
      <c r="H141" s="190"/>
      <c r="I141" s="190"/>
      <c r="J141" s="190"/>
      <c r="K141" s="190"/>
      <c r="L141" s="190"/>
      <c r="M141" s="190"/>
      <c r="N141" s="190"/>
      <c r="O141" s="190"/>
      <c r="P141" s="190"/>
      <c r="Q141" s="190"/>
      <c r="R141" s="190"/>
      <c r="S141" s="190"/>
      <c r="T141" s="190"/>
      <c r="U141" s="190"/>
      <c r="V141" s="190"/>
      <c r="W141" s="190">
        <v>0</v>
      </c>
      <c r="X141" s="190"/>
      <c r="Y141" s="190">
        <v>6.1780286629660006</v>
      </c>
      <c r="Z141" s="190">
        <v>33.208414548</v>
      </c>
      <c r="AA141" s="190"/>
      <c r="AB141" s="190"/>
      <c r="AC141" s="190"/>
      <c r="AD141" s="190"/>
      <c r="AE141" s="190"/>
      <c r="AF141" s="190"/>
      <c r="AG141" s="190"/>
      <c r="AH141" s="190">
        <v>38.029507528200007</v>
      </c>
      <c r="AI141" s="190">
        <v>21.654876110400004</v>
      </c>
      <c r="AJ141" s="190">
        <v>99.070826849566004</v>
      </c>
    </row>
    <row r="142" spans="1:36" x14ac:dyDescent="0.25">
      <c r="A142" s="43">
        <v>38.1</v>
      </c>
      <c r="B142" s="43">
        <v>38.1</v>
      </c>
      <c r="C142">
        <v>0</v>
      </c>
      <c r="D142" s="43">
        <v>2</v>
      </c>
      <c r="E142" t="s">
        <v>962</v>
      </c>
      <c r="F142" t="s">
        <v>967</v>
      </c>
      <c r="G142" t="s">
        <v>1046</v>
      </c>
      <c r="H142" s="190"/>
      <c r="I142" s="190"/>
      <c r="J142" s="190"/>
      <c r="K142" s="190"/>
      <c r="L142" s="190"/>
      <c r="M142" s="190"/>
      <c r="N142" s="190">
        <v>0</v>
      </c>
      <c r="O142" s="190"/>
      <c r="P142" s="190">
        <v>0</v>
      </c>
      <c r="Q142" s="190"/>
      <c r="R142" s="190"/>
      <c r="S142" s="190"/>
      <c r="T142" s="190"/>
      <c r="U142" s="190"/>
      <c r="V142" s="190"/>
      <c r="W142" s="190"/>
      <c r="X142" s="190"/>
      <c r="Y142" s="190"/>
      <c r="Z142" s="190"/>
      <c r="AA142" s="190"/>
      <c r="AB142" s="190"/>
      <c r="AC142" s="190"/>
      <c r="AD142" s="190"/>
      <c r="AE142" s="190"/>
      <c r="AF142" s="190"/>
      <c r="AG142" s="190"/>
      <c r="AH142" s="190"/>
      <c r="AI142" s="190"/>
      <c r="AJ142" s="190">
        <v>0</v>
      </c>
    </row>
    <row r="143" spans="1:36" hidden="1" x14ac:dyDescent="0.25">
      <c r="A143" s="43">
        <v>38.1</v>
      </c>
      <c r="B143" s="43">
        <v>38.1</v>
      </c>
      <c r="C143">
        <v>0</v>
      </c>
      <c r="D143" s="43">
        <v>2</v>
      </c>
      <c r="E143" t="s">
        <v>985</v>
      </c>
      <c r="F143" t="s">
        <v>967</v>
      </c>
      <c r="G143" t="s">
        <v>1047</v>
      </c>
      <c r="H143" s="190"/>
      <c r="I143" s="190"/>
      <c r="J143" s="190"/>
      <c r="K143" s="190"/>
      <c r="L143" s="190"/>
      <c r="M143" s="190"/>
      <c r="N143" s="190">
        <v>0</v>
      </c>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c r="AJ143" s="190">
        <v>0</v>
      </c>
    </row>
    <row r="144" spans="1:36" x14ac:dyDescent="0.25">
      <c r="A144" s="43">
        <v>38.1</v>
      </c>
      <c r="B144" s="43">
        <v>38.1</v>
      </c>
      <c r="C144">
        <v>0</v>
      </c>
      <c r="D144" s="43">
        <v>2.5</v>
      </c>
      <c r="E144" t="s">
        <v>985</v>
      </c>
      <c r="F144" t="s">
        <v>1003</v>
      </c>
      <c r="G144" t="s">
        <v>1048</v>
      </c>
      <c r="H144" s="190"/>
      <c r="I144" s="190"/>
      <c r="J144" s="190"/>
      <c r="K144" s="190"/>
      <c r="L144" s="190"/>
      <c r="M144" s="190"/>
      <c r="N144" s="190">
        <v>15.356327000000004</v>
      </c>
      <c r="O144" s="190"/>
      <c r="P144" s="190"/>
      <c r="Q144" s="190"/>
      <c r="R144" s="190"/>
      <c r="S144" s="190"/>
      <c r="T144" s="190"/>
      <c r="U144" s="190"/>
      <c r="V144" s="190"/>
      <c r="W144" s="190">
        <v>0</v>
      </c>
      <c r="X144" s="190"/>
      <c r="Y144" s="190"/>
      <c r="Z144" s="190"/>
      <c r="AA144" s="190"/>
      <c r="AB144" s="190"/>
      <c r="AC144" s="190"/>
      <c r="AD144" s="190"/>
      <c r="AE144" s="190"/>
      <c r="AF144" s="190"/>
      <c r="AG144" s="190"/>
      <c r="AH144" s="190"/>
      <c r="AI144" s="190"/>
      <c r="AJ144" s="190">
        <v>15.356327000000004</v>
      </c>
    </row>
    <row r="145" spans="1:36" x14ac:dyDescent="0.25">
      <c r="A145" s="43">
        <v>38.1</v>
      </c>
      <c r="B145" s="43">
        <v>38.1</v>
      </c>
      <c r="C145">
        <v>0</v>
      </c>
      <c r="D145" s="43">
        <v>3.66</v>
      </c>
      <c r="E145" t="s">
        <v>962</v>
      </c>
      <c r="F145" t="s">
        <v>1003</v>
      </c>
      <c r="G145" t="s">
        <v>1049</v>
      </c>
      <c r="H145" s="190"/>
      <c r="I145" s="190"/>
      <c r="J145" s="190"/>
      <c r="K145" s="190"/>
      <c r="L145" s="190"/>
      <c r="M145" s="190">
        <v>0</v>
      </c>
      <c r="N145" s="190"/>
      <c r="O145" s="190"/>
      <c r="P145" s="190"/>
      <c r="Q145" s="190"/>
      <c r="R145" s="190"/>
      <c r="S145" s="190"/>
      <c r="T145" s="190"/>
      <c r="U145" s="190"/>
      <c r="V145" s="190"/>
      <c r="W145" s="190"/>
      <c r="X145" s="190"/>
      <c r="Y145" s="190"/>
      <c r="Z145" s="190"/>
      <c r="AA145" s="190"/>
      <c r="AB145" s="190"/>
      <c r="AC145" s="190"/>
      <c r="AD145" s="190"/>
      <c r="AE145" s="190"/>
      <c r="AF145" s="190"/>
      <c r="AG145" s="190"/>
      <c r="AH145" s="190"/>
      <c r="AI145" s="190"/>
      <c r="AJ145" s="190">
        <v>0</v>
      </c>
    </row>
    <row r="146" spans="1:36" x14ac:dyDescent="0.25">
      <c r="A146" s="43">
        <v>38.1</v>
      </c>
      <c r="B146" s="43">
        <v>40</v>
      </c>
      <c r="C146">
        <v>20</v>
      </c>
      <c r="D146" s="43">
        <v>1.2</v>
      </c>
      <c r="E146" t="s">
        <v>229</v>
      </c>
      <c r="F146" t="s">
        <v>963</v>
      </c>
      <c r="G146" t="s">
        <v>456</v>
      </c>
      <c r="H146" s="190"/>
      <c r="I146" s="190"/>
      <c r="J146" s="190"/>
      <c r="K146" s="190"/>
      <c r="L146" s="190"/>
      <c r="M146" s="190">
        <v>0</v>
      </c>
      <c r="N146" s="190"/>
      <c r="O146" s="190"/>
      <c r="P146" s="190"/>
      <c r="Q146" s="190"/>
      <c r="R146" s="190"/>
      <c r="S146" s="190"/>
      <c r="T146" s="190"/>
      <c r="U146" s="190"/>
      <c r="V146" s="190"/>
      <c r="W146" s="190"/>
      <c r="X146" s="190"/>
      <c r="Y146" s="190"/>
      <c r="Z146" s="190"/>
      <c r="AA146" s="190"/>
      <c r="AB146" s="190"/>
      <c r="AC146" s="190">
        <v>8.4293279715599994</v>
      </c>
      <c r="AD146" s="190"/>
      <c r="AE146" s="190">
        <v>98.663412057119984</v>
      </c>
      <c r="AF146" s="190">
        <v>112.28043857183999</v>
      </c>
      <c r="AG146" s="190">
        <v>8.2928957565600001</v>
      </c>
      <c r="AH146" s="190"/>
      <c r="AI146" s="190"/>
      <c r="AJ146" s="190">
        <v>227.66607435707996</v>
      </c>
    </row>
    <row r="147" spans="1:36" hidden="1" x14ac:dyDescent="0.25">
      <c r="A147" s="43">
        <v>38.1</v>
      </c>
      <c r="B147" s="43">
        <v>40</v>
      </c>
      <c r="C147">
        <v>20</v>
      </c>
      <c r="D147" s="43">
        <v>1.6</v>
      </c>
      <c r="E147" t="s">
        <v>962</v>
      </c>
      <c r="F147" t="s">
        <v>1003</v>
      </c>
      <c r="G147" t="s">
        <v>661</v>
      </c>
      <c r="H147" s="190"/>
      <c r="I147" s="190">
        <v>6.9096076799999988</v>
      </c>
      <c r="J147" s="190"/>
      <c r="K147" s="190"/>
      <c r="L147" s="190"/>
      <c r="M147" s="190">
        <v>9.224326252800001</v>
      </c>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c r="AJ147" s="190">
        <v>16.133933932799998</v>
      </c>
    </row>
    <row r="148" spans="1:36" x14ac:dyDescent="0.25">
      <c r="A148" s="43">
        <v>39</v>
      </c>
      <c r="B148" s="43">
        <v>39</v>
      </c>
      <c r="C148">
        <v>34</v>
      </c>
      <c r="D148" s="43">
        <v>2.5</v>
      </c>
      <c r="E148" t="s">
        <v>357</v>
      </c>
      <c r="F148" t="s">
        <v>357</v>
      </c>
      <c r="G148" t="s">
        <v>869</v>
      </c>
      <c r="H148" s="190"/>
      <c r="I148" s="190"/>
      <c r="J148" s="190"/>
      <c r="K148" s="190"/>
      <c r="L148" s="190"/>
      <c r="M148" s="190">
        <v>36.707290799999996</v>
      </c>
      <c r="N148" s="190"/>
      <c r="O148" s="190"/>
      <c r="P148" s="190"/>
      <c r="Q148" s="190"/>
      <c r="R148" s="190">
        <v>15.294704499999998</v>
      </c>
      <c r="S148" s="190"/>
      <c r="T148" s="190"/>
      <c r="U148" s="190"/>
      <c r="V148" s="190"/>
      <c r="W148" s="190"/>
      <c r="X148" s="190"/>
      <c r="Y148" s="190"/>
      <c r="Z148" s="190"/>
      <c r="AA148" s="190"/>
      <c r="AB148" s="190"/>
      <c r="AC148" s="190"/>
      <c r="AD148" s="190"/>
      <c r="AE148" s="190"/>
      <c r="AF148" s="190"/>
      <c r="AG148" s="190"/>
      <c r="AH148" s="190"/>
      <c r="AI148" s="190"/>
      <c r="AJ148" s="190">
        <v>52.00199529999999</v>
      </c>
    </row>
    <row r="149" spans="1:36" x14ac:dyDescent="0.25">
      <c r="A149" s="43">
        <v>39</v>
      </c>
      <c r="B149" s="43">
        <v>39</v>
      </c>
      <c r="C149">
        <v>34</v>
      </c>
      <c r="D149" s="43">
        <v>2.5</v>
      </c>
      <c r="E149" t="s">
        <v>357</v>
      </c>
      <c r="F149" t="s">
        <v>967</v>
      </c>
      <c r="G149" t="s">
        <v>1050</v>
      </c>
      <c r="H149" s="190"/>
      <c r="I149" s="190"/>
      <c r="J149" s="190"/>
      <c r="K149" s="190"/>
      <c r="L149" s="190"/>
      <c r="M149" s="190">
        <v>0</v>
      </c>
      <c r="N149" s="190"/>
      <c r="O149" s="190"/>
      <c r="P149" s="190"/>
      <c r="Q149" s="190"/>
      <c r="R149" s="190"/>
      <c r="S149" s="190"/>
      <c r="T149" s="190"/>
      <c r="U149" s="190"/>
      <c r="V149" s="190"/>
      <c r="W149" s="190"/>
      <c r="X149" s="190"/>
      <c r="Y149" s="190"/>
      <c r="Z149" s="190"/>
      <c r="AA149" s="190"/>
      <c r="AB149" s="190"/>
      <c r="AC149" s="190"/>
      <c r="AD149" s="190"/>
      <c r="AE149" s="190"/>
      <c r="AF149" s="190"/>
      <c r="AG149" s="190"/>
      <c r="AH149" s="190"/>
      <c r="AI149" s="190"/>
      <c r="AJ149" s="190">
        <v>0</v>
      </c>
    </row>
    <row r="150" spans="1:36" x14ac:dyDescent="0.25">
      <c r="A150" s="43">
        <v>40</v>
      </c>
      <c r="B150" s="43">
        <v>40</v>
      </c>
      <c r="C150">
        <v>40</v>
      </c>
      <c r="D150" s="43">
        <v>1.2</v>
      </c>
      <c r="E150" t="s">
        <v>962</v>
      </c>
      <c r="F150" t="s">
        <v>963</v>
      </c>
      <c r="G150" t="s">
        <v>1051</v>
      </c>
      <c r="H150" s="190"/>
      <c r="I150" s="190"/>
      <c r="J150" s="190"/>
      <c r="K150" s="190"/>
      <c r="L150" s="190"/>
      <c r="M150" s="190"/>
      <c r="N150" s="190"/>
      <c r="O150" s="190"/>
      <c r="P150" s="190"/>
      <c r="Q150" s="190"/>
      <c r="R150" s="190"/>
      <c r="S150" s="190"/>
      <c r="T150" s="190"/>
      <c r="U150" s="190"/>
      <c r="V150" s="190"/>
      <c r="W150" s="190"/>
      <c r="X150" s="190"/>
      <c r="Y150" s="190"/>
      <c r="Z150" s="190">
        <v>0</v>
      </c>
      <c r="AA150" s="190"/>
      <c r="AB150" s="190"/>
      <c r="AC150" s="190"/>
      <c r="AD150" s="190"/>
      <c r="AE150" s="190"/>
      <c r="AF150" s="190"/>
      <c r="AG150" s="190"/>
      <c r="AH150" s="190"/>
      <c r="AI150" s="190"/>
      <c r="AJ150" s="190">
        <v>0</v>
      </c>
    </row>
    <row r="151" spans="1:36" hidden="1" x14ac:dyDescent="0.25">
      <c r="A151" s="43">
        <v>41.28</v>
      </c>
      <c r="B151" s="43">
        <v>40</v>
      </c>
      <c r="C151">
        <v>25</v>
      </c>
      <c r="D151" s="43">
        <v>1.6</v>
      </c>
      <c r="E151" t="s">
        <v>962</v>
      </c>
      <c r="F151" t="s">
        <v>1003</v>
      </c>
      <c r="G151" t="s">
        <v>428</v>
      </c>
      <c r="H151" s="190"/>
      <c r="I151" s="190">
        <v>73.382810024960008</v>
      </c>
      <c r="J151" s="190"/>
      <c r="K151" s="190"/>
      <c r="L151" s="190"/>
      <c r="M151" s="190">
        <v>22.278140076032003</v>
      </c>
      <c r="N151" s="190">
        <v>0</v>
      </c>
      <c r="O151" s="190"/>
      <c r="P151" s="190"/>
      <c r="Q151" s="190"/>
      <c r="R151" s="190"/>
      <c r="S151" s="190"/>
      <c r="T151" s="190"/>
      <c r="U151" s="190"/>
      <c r="V151" s="190"/>
      <c r="W151" s="190">
        <v>0</v>
      </c>
      <c r="X151" s="190"/>
      <c r="Y151" s="190">
        <v>31.636642757271556</v>
      </c>
      <c r="Z151" s="190">
        <v>24.623948728320002</v>
      </c>
      <c r="AA151" s="190"/>
      <c r="AB151" s="190"/>
      <c r="AC151" s="190"/>
      <c r="AD151" s="190"/>
      <c r="AE151" s="190"/>
      <c r="AF151" s="190"/>
      <c r="AG151" s="190"/>
      <c r="AH151" s="190"/>
      <c r="AI151" s="190"/>
      <c r="AJ151" s="190">
        <v>151.92154158658357</v>
      </c>
    </row>
    <row r="152" spans="1:36" x14ac:dyDescent="0.25">
      <c r="A152" s="43">
        <v>41.28</v>
      </c>
      <c r="B152" s="43">
        <v>40</v>
      </c>
      <c r="C152">
        <v>25</v>
      </c>
      <c r="D152" s="43">
        <v>1.6</v>
      </c>
      <c r="E152" t="s">
        <v>962</v>
      </c>
      <c r="F152" t="s">
        <v>1003</v>
      </c>
      <c r="G152" t="s">
        <v>967</v>
      </c>
      <c r="H152" s="190"/>
      <c r="I152" s="190"/>
      <c r="J152" s="190"/>
      <c r="K152" s="190"/>
      <c r="L152" s="190"/>
      <c r="M152" s="190"/>
      <c r="N152" s="190"/>
      <c r="O152" s="190"/>
      <c r="P152" s="190"/>
      <c r="Q152" s="190"/>
      <c r="R152" s="190"/>
      <c r="S152" s="190"/>
      <c r="T152" s="190"/>
      <c r="U152" s="190"/>
      <c r="V152" s="190">
        <v>8.1000037253119999</v>
      </c>
      <c r="W152" s="190"/>
      <c r="X152" s="190"/>
      <c r="Y152" s="190"/>
      <c r="Z152" s="190"/>
      <c r="AA152" s="190"/>
      <c r="AB152" s="190"/>
      <c r="AC152" s="190"/>
      <c r="AD152" s="190"/>
      <c r="AE152" s="190"/>
      <c r="AF152" s="190"/>
      <c r="AG152" s="190"/>
      <c r="AH152" s="190"/>
      <c r="AI152" s="190"/>
      <c r="AJ152" s="190">
        <v>8.1000037253119999</v>
      </c>
    </row>
    <row r="153" spans="1:36" hidden="1" x14ac:dyDescent="0.25">
      <c r="A153" s="43">
        <v>41.28</v>
      </c>
      <c r="B153" s="43">
        <v>40</v>
      </c>
      <c r="C153">
        <v>25</v>
      </c>
      <c r="D153" s="43">
        <v>2</v>
      </c>
      <c r="E153" t="s">
        <v>962</v>
      </c>
      <c r="F153" t="s">
        <v>1003</v>
      </c>
      <c r="G153" t="s">
        <v>1052</v>
      </c>
      <c r="H153" s="190"/>
      <c r="I153" s="190">
        <v>0</v>
      </c>
      <c r="J153" s="190"/>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c r="AH153" s="190"/>
      <c r="AI153" s="190"/>
      <c r="AJ153" s="190">
        <v>0</v>
      </c>
    </row>
    <row r="154" spans="1:36" x14ac:dyDescent="0.25">
      <c r="A154" s="43">
        <v>41.28</v>
      </c>
      <c r="B154" s="43">
        <v>41.28</v>
      </c>
      <c r="C154">
        <v>0</v>
      </c>
      <c r="D154" s="43">
        <v>2.6</v>
      </c>
      <c r="E154" t="s">
        <v>962</v>
      </c>
      <c r="F154" t="s">
        <v>1003</v>
      </c>
      <c r="G154" t="s">
        <v>886</v>
      </c>
      <c r="H154" s="190"/>
      <c r="I154" s="190"/>
      <c r="J154" s="190"/>
      <c r="K154" s="190"/>
      <c r="L154" s="190"/>
      <c r="M154" s="190"/>
      <c r="N154" s="190"/>
      <c r="O154" s="190"/>
      <c r="P154" s="190">
        <v>0</v>
      </c>
      <c r="Q154" s="190">
        <v>0</v>
      </c>
      <c r="R154" s="190"/>
      <c r="S154" s="190"/>
      <c r="T154" s="190"/>
      <c r="U154" s="190"/>
      <c r="V154" s="190"/>
      <c r="W154" s="190"/>
      <c r="X154" s="190"/>
      <c r="Y154" s="190">
        <v>66.705480776677604</v>
      </c>
      <c r="Z154" s="190"/>
      <c r="AA154" s="190"/>
      <c r="AB154" s="190"/>
      <c r="AC154" s="190"/>
      <c r="AD154" s="190"/>
      <c r="AE154" s="190"/>
      <c r="AF154" s="190"/>
      <c r="AG154" s="190"/>
      <c r="AH154" s="190"/>
      <c r="AI154" s="190"/>
      <c r="AJ154" s="190">
        <v>66.705480776677604</v>
      </c>
    </row>
    <row r="155" spans="1:36" hidden="1" x14ac:dyDescent="0.25">
      <c r="A155" s="43">
        <v>41.28</v>
      </c>
      <c r="B155" s="43">
        <v>41.28</v>
      </c>
      <c r="C155">
        <v>0</v>
      </c>
      <c r="D155" s="43">
        <v>2.9</v>
      </c>
      <c r="E155" t="s">
        <v>967</v>
      </c>
      <c r="F155" t="s">
        <v>967</v>
      </c>
      <c r="G155" t="s">
        <v>1053</v>
      </c>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v>0</v>
      </c>
      <c r="AI155" s="190"/>
      <c r="AJ155" s="190">
        <v>0</v>
      </c>
    </row>
    <row r="156" spans="1:36" hidden="1" x14ac:dyDescent="0.25">
      <c r="A156" s="43">
        <v>41.28</v>
      </c>
      <c r="B156" s="43">
        <v>41.28</v>
      </c>
      <c r="C156">
        <v>0</v>
      </c>
      <c r="D156" s="43">
        <v>3.2</v>
      </c>
      <c r="E156" t="s">
        <v>962</v>
      </c>
      <c r="F156" t="s">
        <v>1003</v>
      </c>
      <c r="G156" t="s">
        <v>654</v>
      </c>
      <c r="H156" s="190"/>
      <c r="I156" s="190"/>
      <c r="J156" s="190"/>
      <c r="K156" s="190"/>
      <c r="L156" s="190"/>
      <c r="M156" s="190"/>
      <c r="N156" s="190">
        <v>5.9111409745920005</v>
      </c>
      <c r="O156" s="190"/>
      <c r="P156" s="190"/>
      <c r="Q156" s="190"/>
      <c r="R156" s="190"/>
      <c r="S156" s="190"/>
      <c r="T156" s="190"/>
      <c r="U156" s="190"/>
      <c r="V156" s="190">
        <v>6.9083456512000012</v>
      </c>
      <c r="W156" s="190"/>
      <c r="X156" s="190"/>
      <c r="Y156" s="190"/>
      <c r="Z156" s="190"/>
      <c r="AA156" s="190"/>
      <c r="AB156" s="190"/>
      <c r="AC156" s="190"/>
      <c r="AD156" s="190"/>
      <c r="AE156" s="190"/>
      <c r="AF156" s="190"/>
      <c r="AG156" s="190"/>
      <c r="AH156" s="190"/>
      <c r="AI156" s="190"/>
      <c r="AJ156" s="190">
        <v>12.819486625792003</v>
      </c>
    </row>
    <row r="157" spans="1:36" hidden="1" x14ac:dyDescent="0.25">
      <c r="A157" s="43">
        <v>41.28</v>
      </c>
      <c r="B157" s="43">
        <v>41.28</v>
      </c>
      <c r="C157">
        <v>0</v>
      </c>
      <c r="D157" s="43">
        <v>3.2</v>
      </c>
      <c r="E157" t="s">
        <v>962</v>
      </c>
      <c r="F157" t="s">
        <v>967</v>
      </c>
      <c r="G157" t="s">
        <v>1054</v>
      </c>
      <c r="H157" s="190"/>
      <c r="I157" s="190"/>
      <c r="J157" s="190"/>
      <c r="K157" s="190"/>
      <c r="L157" s="190"/>
      <c r="M157" s="190"/>
      <c r="N157" s="190"/>
      <c r="O157" s="190"/>
      <c r="P157" s="190">
        <v>0</v>
      </c>
      <c r="Q157" s="190"/>
      <c r="R157" s="190"/>
      <c r="S157" s="190"/>
      <c r="T157" s="190"/>
      <c r="U157" s="190"/>
      <c r="V157" s="190"/>
      <c r="W157" s="190"/>
      <c r="X157" s="190"/>
      <c r="Y157" s="190"/>
      <c r="Z157" s="190"/>
      <c r="AA157" s="190"/>
      <c r="AB157" s="190"/>
      <c r="AC157" s="190"/>
      <c r="AD157" s="190"/>
      <c r="AE157" s="190"/>
      <c r="AF157" s="190"/>
      <c r="AG157" s="190"/>
      <c r="AH157" s="190"/>
      <c r="AI157" s="190"/>
      <c r="AJ157" s="190">
        <v>0</v>
      </c>
    </row>
    <row r="158" spans="1:36" x14ac:dyDescent="0.25">
      <c r="A158" s="43">
        <v>42.7</v>
      </c>
      <c r="B158" s="43">
        <v>0</v>
      </c>
      <c r="C158">
        <v>0</v>
      </c>
      <c r="D158" s="43">
        <v>4</v>
      </c>
      <c r="E158" t="s">
        <v>962</v>
      </c>
      <c r="F158" t="s">
        <v>967</v>
      </c>
      <c r="G158" t="s">
        <v>1055</v>
      </c>
      <c r="H158" s="190"/>
      <c r="I158" s="190"/>
      <c r="J158" s="190"/>
      <c r="K158" s="190"/>
      <c r="L158" s="190"/>
      <c r="M158" s="190"/>
      <c r="N158" s="190">
        <v>0</v>
      </c>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c r="AJ158" s="190">
        <v>0</v>
      </c>
    </row>
    <row r="159" spans="1:36" hidden="1" x14ac:dyDescent="0.25">
      <c r="A159" s="43">
        <v>42.7</v>
      </c>
      <c r="B159" s="43">
        <v>42.7</v>
      </c>
      <c r="C159">
        <v>0</v>
      </c>
      <c r="D159" s="43">
        <v>3.5</v>
      </c>
      <c r="E159" t="s">
        <v>357</v>
      </c>
      <c r="F159" t="s">
        <v>967</v>
      </c>
      <c r="G159" t="s">
        <v>1056</v>
      </c>
      <c r="H159" s="190"/>
      <c r="I159" s="190"/>
      <c r="J159" s="190"/>
      <c r="K159" s="190"/>
      <c r="L159" s="190"/>
      <c r="M159" s="190"/>
      <c r="N159" s="190">
        <v>0</v>
      </c>
      <c r="O159" s="190"/>
      <c r="P159" s="190"/>
      <c r="Q159" s="190"/>
      <c r="R159" s="190"/>
      <c r="S159" s="190"/>
      <c r="T159" s="190"/>
      <c r="U159" s="190"/>
      <c r="V159" s="190"/>
      <c r="W159" s="190"/>
      <c r="X159" s="190"/>
      <c r="Y159" s="190"/>
      <c r="Z159" s="190"/>
      <c r="AA159" s="190"/>
      <c r="AB159" s="190"/>
      <c r="AC159" s="190"/>
      <c r="AD159" s="190"/>
      <c r="AE159" s="190"/>
      <c r="AF159" s="190"/>
      <c r="AG159" s="190"/>
      <c r="AH159" s="190"/>
      <c r="AI159" s="190"/>
      <c r="AJ159" s="190">
        <v>0</v>
      </c>
    </row>
    <row r="160" spans="1:36" hidden="1" x14ac:dyDescent="0.25">
      <c r="A160" s="43">
        <v>42.7</v>
      </c>
      <c r="B160" s="43">
        <v>42.7</v>
      </c>
      <c r="C160">
        <v>0</v>
      </c>
      <c r="D160" s="43">
        <v>3.5</v>
      </c>
      <c r="E160" t="s">
        <v>962</v>
      </c>
      <c r="F160" t="s">
        <v>1003</v>
      </c>
      <c r="G160" t="s">
        <v>875</v>
      </c>
      <c r="H160" s="190"/>
      <c r="I160" s="190"/>
      <c r="J160" s="190"/>
      <c r="K160" s="190"/>
      <c r="L160" s="190"/>
      <c r="M160" s="190"/>
      <c r="N160" s="190">
        <v>2.1305609640000003</v>
      </c>
      <c r="O160" s="190"/>
      <c r="P160" s="190"/>
      <c r="Q160" s="190"/>
      <c r="R160" s="190"/>
      <c r="S160" s="190"/>
      <c r="T160" s="190"/>
      <c r="U160" s="190"/>
      <c r="V160" s="190"/>
      <c r="W160" s="190">
        <v>0</v>
      </c>
      <c r="X160" s="190"/>
      <c r="Y160" s="190"/>
      <c r="Z160" s="190">
        <v>24.619815584000005</v>
      </c>
      <c r="AA160" s="190"/>
      <c r="AB160" s="190"/>
      <c r="AC160" s="190"/>
      <c r="AD160" s="190"/>
      <c r="AE160" s="190"/>
      <c r="AF160" s="190"/>
      <c r="AG160" s="190"/>
      <c r="AH160" s="190">
        <v>34.088975424000004</v>
      </c>
      <c r="AI160" s="190">
        <v>13.831737051999999</v>
      </c>
      <c r="AJ160" s="190">
        <v>74.671089024000011</v>
      </c>
    </row>
    <row r="161" spans="1:36" x14ac:dyDescent="0.25">
      <c r="A161" s="43">
        <v>42.7</v>
      </c>
      <c r="B161" s="43">
        <v>42.7</v>
      </c>
      <c r="C161">
        <v>0</v>
      </c>
      <c r="D161" s="43">
        <v>4</v>
      </c>
      <c r="E161" t="s">
        <v>357</v>
      </c>
      <c r="F161" t="s">
        <v>357</v>
      </c>
      <c r="G161" t="s">
        <v>1057</v>
      </c>
      <c r="H161" s="190"/>
      <c r="I161" s="190"/>
      <c r="J161" s="190"/>
      <c r="K161" s="190"/>
      <c r="L161" s="190"/>
      <c r="M161" s="190"/>
      <c r="N161" s="190"/>
      <c r="O161" s="190"/>
      <c r="P161" s="190">
        <v>0</v>
      </c>
      <c r="Q161" s="190"/>
      <c r="R161" s="190"/>
      <c r="S161" s="190"/>
      <c r="T161" s="190"/>
      <c r="U161" s="190"/>
      <c r="V161" s="190"/>
      <c r="W161" s="190"/>
      <c r="X161" s="190"/>
      <c r="Y161" s="190"/>
      <c r="Z161" s="190"/>
      <c r="AA161" s="190"/>
      <c r="AB161" s="190"/>
      <c r="AC161" s="190"/>
      <c r="AD161" s="190"/>
      <c r="AE161" s="190"/>
      <c r="AF161" s="190"/>
      <c r="AG161" s="190"/>
      <c r="AH161" s="190"/>
      <c r="AI161" s="190"/>
      <c r="AJ161" s="190">
        <v>0</v>
      </c>
    </row>
    <row r="162" spans="1:36" hidden="1" x14ac:dyDescent="0.25">
      <c r="A162" s="43">
        <v>42.7</v>
      </c>
      <c r="B162" s="43">
        <v>42.7</v>
      </c>
      <c r="C162">
        <v>0</v>
      </c>
      <c r="D162" s="43">
        <v>4</v>
      </c>
      <c r="E162" t="s">
        <v>357</v>
      </c>
      <c r="F162" t="s">
        <v>967</v>
      </c>
      <c r="G162" t="s">
        <v>1058</v>
      </c>
      <c r="H162" s="190"/>
      <c r="I162" s="190"/>
      <c r="J162" s="190"/>
      <c r="K162" s="190"/>
      <c r="L162" s="190"/>
      <c r="M162" s="190"/>
      <c r="N162" s="190">
        <v>0</v>
      </c>
      <c r="O162" s="190"/>
      <c r="P162" s="190"/>
      <c r="Q162" s="190">
        <v>0</v>
      </c>
      <c r="R162" s="190"/>
      <c r="S162" s="190"/>
      <c r="T162" s="190"/>
      <c r="U162" s="190"/>
      <c r="V162" s="190"/>
      <c r="W162" s="190"/>
      <c r="X162" s="190"/>
      <c r="Y162" s="190"/>
      <c r="Z162" s="190"/>
      <c r="AA162" s="190"/>
      <c r="AB162" s="190"/>
      <c r="AC162" s="190"/>
      <c r="AD162" s="190"/>
      <c r="AE162" s="190"/>
      <c r="AF162" s="190"/>
      <c r="AG162" s="190"/>
      <c r="AH162" s="190"/>
      <c r="AI162" s="190"/>
      <c r="AJ162" s="190">
        <v>0</v>
      </c>
    </row>
    <row r="163" spans="1:36" x14ac:dyDescent="0.25">
      <c r="A163" s="43">
        <v>42.7</v>
      </c>
      <c r="B163" s="43">
        <v>42.7</v>
      </c>
      <c r="C163">
        <v>0</v>
      </c>
      <c r="D163" s="43">
        <v>4</v>
      </c>
      <c r="E163" t="s">
        <v>962</v>
      </c>
      <c r="F163" t="s">
        <v>1003</v>
      </c>
      <c r="G163" t="s">
        <v>891</v>
      </c>
      <c r="H163" s="190"/>
      <c r="I163" s="190">
        <v>0</v>
      </c>
      <c r="J163" s="190"/>
      <c r="K163" s="190"/>
      <c r="L163" s="190"/>
      <c r="M163" s="190"/>
      <c r="N163" s="190">
        <v>6.2767692540000004</v>
      </c>
      <c r="O163" s="190"/>
      <c r="P163" s="190"/>
      <c r="Q163" s="190">
        <v>9.6917896080000006</v>
      </c>
      <c r="R163" s="190"/>
      <c r="S163" s="190"/>
      <c r="T163" s="190"/>
      <c r="U163" s="190"/>
      <c r="V163" s="190">
        <v>6.7842527256</v>
      </c>
      <c r="W163" s="190"/>
      <c r="X163" s="190"/>
      <c r="Y163" s="190">
        <v>51.941601059669999</v>
      </c>
      <c r="Z163" s="190"/>
      <c r="AA163" s="190"/>
      <c r="AB163" s="190"/>
      <c r="AC163" s="190"/>
      <c r="AD163" s="190"/>
      <c r="AE163" s="190"/>
      <c r="AF163" s="190"/>
      <c r="AG163" s="190"/>
      <c r="AH163" s="190"/>
      <c r="AI163" s="190"/>
      <c r="AJ163" s="190">
        <v>74.694412647269999</v>
      </c>
    </row>
    <row r="164" spans="1:36" x14ac:dyDescent="0.25">
      <c r="A164" s="43">
        <v>42.7</v>
      </c>
      <c r="B164" s="43">
        <v>42.7</v>
      </c>
      <c r="C164">
        <v>0</v>
      </c>
      <c r="D164" s="43">
        <v>4</v>
      </c>
      <c r="E164" t="s">
        <v>962</v>
      </c>
      <c r="F164" t="s">
        <v>967</v>
      </c>
      <c r="G164" t="s">
        <v>1059</v>
      </c>
      <c r="H164" s="190"/>
      <c r="I164" s="190"/>
      <c r="J164" s="190"/>
      <c r="K164" s="190"/>
      <c r="L164" s="190">
        <v>0</v>
      </c>
      <c r="M164" s="190"/>
      <c r="N164" s="190"/>
      <c r="O164" s="190"/>
      <c r="P164" s="190">
        <v>0</v>
      </c>
      <c r="Q164" s="190"/>
      <c r="R164" s="190"/>
      <c r="S164" s="190"/>
      <c r="T164" s="190"/>
      <c r="U164" s="190"/>
      <c r="V164" s="190"/>
      <c r="W164" s="190"/>
      <c r="X164" s="190"/>
      <c r="Y164" s="190"/>
      <c r="Z164" s="190"/>
      <c r="AA164" s="190"/>
      <c r="AB164" s="190"/>
      <c r="AC164" s="190"/>
      <c r="AD164" s="190"/>
      <c r="AE164" s="190"/>
      <c r="AF164" s="190"/>
      <c r="AG164" s="190"/>
      <c r="AH164" s="190"/>
      <c r="AI164" s="190"/>
      <c r="AJ164" s="190">
        <v>0</v>
      </c>
    </row>
    <row r="165" spans="1:36" hidden="1" x14ac:dyDescent="0.25">
      <c r="A165" s="43">
        <v>44.45</v>
      </c>
      <c r="B165" s="43">
        <v>40</v>
      </c>
      <c r="C165">
        <v>30</v>
      </c>
      <c r="D165" s="43">
        <v>1.6</v>
      </c>
      <c r="E165" t="s">
        <v>962</v>
      </c>
      <c r="F165" t="s">
        <v>1003</v>
      </c>
      <c r="G165" t="s">
        <v>586</v>
      </c>
      <c r="H165" s="190"/>
      <c r="I165" s="190">
        <v>0</v>
      </c>
      <c r="J165" s="190"/>
      <c r="K165" s="190"/>
      <c r="L165" s="190"/>
      <c r="M165" s="190"/>
      <c r="N165" s="190">
        <v>24.216774855200001</v>
      </c>
      <c r="O165" s="190"/>
      <c r="P165" s="190"/>
      <c r="Q165" s="190">
        <v>11.6267558272</v>
      </c>
      <c r="R165" s="190"/>
      <c r="S165" s="190"/>
      <c r="T165" s="190"/>
      <c r="U165" s="190"/>
      <c r="V165" s="190">
        <v>63.710566088000007</v>
      </c>
      <c r="W165" s="190"/>
      <c r="X165" s="190"/>
      <c r="Y165" s="190"/>
      <c r="Z165" s="190"/>
      <c r="AA165" s="190"/>
      <c r="AB165" s="190">
        <v>0</v>
      </c>
      <c r="AC165" s="190"/>
      <c r="AD165" s="190"/>
      <c r="AE165" s="190"/>
      <c r="AF165" s="190"/>
      <c r="AG165" s="190"/>
      <c r="AH165" s="190"/>
      <c r="AI165" s="190"/>
      <c r="AJ165" s="190">
        <v>99.554096770400008</v>
      </c>
    </row>
    <row r="166" spans="1:36" x14ac:dyDescent="0.25">
      <c r="A166" s="43">
        <v>44.45</v>
      </c>
      <c r="B166" s="43">
        <v>40</v>
      </c>
      <c r="C166">
        <v>30</v>
      </c>
      <c r="D166" s="43">
        <v>1.6</v>
      </c>
      <c r="E166" t="s">
        <v>962</v>
      </c>
      <c r="F166" t="s">
        <v>1003</v>
      </c>
      <c r="G166" t="s">
        <v>967</v>
      </c>
      <c r="H166" s="190"/>
      <c r="I166" s="190"/>
      <c r="J166" s="190">
        <v>0</v>
      </c>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c r="AH166" s="190"/>
      <c r="AI166" s="190"/>
      <c r="AJ166" s="190">
        <v>0</v>
      </c>
    </row>
    <row r="167" spans="1:36" x14ac:dyDescent="0.25">
      <c r="A167" s="43">
        <v>44.45</v>
      </c>
      <c r="B167" s="43">
        <v>40</v>
      </c>
      <c r="C167">
        <v>30</v>
      </c>
      <c r="D167" s="43">
        <v>1.6</v>
      </c>
      <c r="E167" t="s">
        <v>962</v>
      </c>
      <c r="F167" t="s">
        <v>967</v>
      </c>
      <c r="G167" t="s">
        <v>1060</v>
      </c>
      <c r="H167" s="190"/>
      <c r="I167" s="190"/>
      <c r="J167" s="190"/>
      <c r="K167" s="190"/>
      <c r="L167" s="190"/>
      <c r="M167" s="190"/>
      <c r="N167" s="190">
        <v>0</v>
      </c>
      <c r="O167" s="190"/>
      <c r="P167" s="190">
        <v>0</v>
      </c>
      <c r="Q167" s="190"/>
      <c r="R167" s="190"/>
      <c r="S167" s="190"/>
      <c r="T167" s="190"/>
      <c r="U167" s="190"/>
      <c r="V167" s="190"/>
      <c r="W167" s="190"/>
      <c r="X167" s="190"/>
      <c r="Y167" s="190"/>
      <c r="Z167" s="190"/>
      <c r="AA167" s="190"/>
      <c r="AB167" s="190"/>
      <c r="AC167" s="190"/>
      <c r="AD167" s="190"/>
      <c r="AE167" s="190"/>
      <c r="AF167" s="190"/>
      <c r="AG167" s="190"/>
      <c r="AH167" s="190"/>
      <c r="AI167" s="190"/>
      <c r="AJ167" s="190">
        <v>0</v>
      </c>
    </row>
    <row r="168" spans="1:36" x14ac:dyDescent="0.25">
      <c r="A168" s="43">
        <v>44.45</v>
      </c>
      <c r="B168" s="43">
        <v>40</v>
      </c>
      <c r="C168">
        <v>30</v>
      </c>
      <c r="D168" s="43">
        <v>2</v>
      </c>
      <c r="E168" t="s">
        <v>962</v>
      </c>
      <c r="F168" t="s">
        <v>1003</v>
      </c>
      <c r="G168" t="s">
        <v>578</v>
      </c>
      <c r="H168" s="190"/>
      <c r="I168" s="190">
        <v>15.862666758</v>
      </c>
      <c r="J168" s="190">
        <v>8.0291671086750007</v>
      </c>
      <c r="K168" s="190"/>
      <c r="L168" s="190"/>
      <c r="M168" s="190">
        <v>0</v>
      </c>
      <c r="N168" s="190">
        <v>0</v>
      </c>
      <c r="O168" s="190"/>
      <c r="P168" s="190"/>
      <c r="Q168" s="190">
        <v>14.565192696</v>
      </c>
      <c r="R168" s="190"/>
      <c r="S168" s="190"/>
      <c r="T168" s="190"/>
      <c r="U168" s="190"/>
      <c r="V168" s="190">
        <v>7.2825963480000002</v>
      </c>
      <c r="W168" s="190"/>
      <c r="X168" s="190"/>
      <c r="Y168" s="190"/>
      <c r="Z168" s="190"/>
      <c r="AA168" s="190"/>
      <c r="AB168" s="190"/>
      <c r="AC168" s="190"/>
      <c r="AD168" s="190"/>
      <c r="AE168" s="190"/>
      <c r="AF168" s="190"/>
      <c r="AG168" s="190"/>
      <c r="AH168" s="190"/>
      <c r="AI168" s="190"/>
      <c r="AJ168" s="190">
        <v>45.739622910674996</v>
      </c>
    </row>
    <row r="169" spans="1:36" hidden="1" x14ac:dyDescent="0.25">
      <c r="A169" s="43">
        <v>44.45</v>
      </c>
      <c r="B169" s="43">
        <v>40</v>
      </c>
      <c r="C169">
        <v>30</v>
      </c>
      <c r="D169" s="43">
        <v>2</v>
      </c>
      <c r="E169" t="s">
        <v>962</v>
      </c>
      <c r="F169" t="s">
        <v>1003</v>
      </c>
      <c r="G169" t="s">
        <v>967</v>
      </c>
      <c r="H169" s="190"/>
      <c r="I169" s="190"/>
      <c r="J169" s="190">
        <v>1.05095399022</v>
      </c>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190"/>
      <c r="AH169" s="190"/>
      <c r="AI169" s="190"/>
      <c r="AJ169" s="190">
        <v>1.05095399022</v>
      </c>
    </row>
    <row r="170" spans="1:36" x14ac:dyDescent="0.25">
      <c r="A170" s="43">
        <v>48.6</v>
      </c>
      <c r="B170" s="43">
        <v>48.6</v>
      </c>
      <c r="C170">
        <v>0</v>
      </c>
      <c r="D170" s="43">
        <v>1.2</v>
      </c>
      <c r="E170" t="s">
        <v>962</v>
      </c>
      <c r="F170" t="s">
        <v>1003</v>
      </c>
      <c r="G170" t="s">
        <v>794</v>
      </c>
      <c r="H170" s="190"/>
      <c r="I170" s="190"/>
      <c r="J170" s="190"/>
      <c r="K170" s="190"/>
      <c r="L170" s="190"/>
      <c r="M170" s="190"/>
      <c r="N170" s="190">
        <v>7.0662570048000006</v>
      </c>
      <c r="O170" s="190"/>
      <c r="P170" s="190"/>
      <c r="Q170" s="190"/>
      <c r="R170" s="190"/>
      <c r="S170" s="190"/>
      <c r="T170" s="190"/>
      <c r="U170" s="190"/>
      <c r="V170" s="190"/>
      <c r="W170" s="190"/>
      <c r="X170" s="190"/>
      <c r="Y170" s="190"/>
      <c r="Z170" s="190">
        <v>5.6530056038400005</v>
      </c>
      <c r="AA170" s="190"/>
      <c r="AB170" s="190"/>
      <c r="AC170" s="190"/>
      <c r="AD170" s="190"/>
      <c r="AE170" s="190"/>
      <c r="AF170" s="190"/>
      <c r="AG170" s="190"/>
      <c r="AH170" s="190"/>
      <c r="AI170" s="190"/>
      <c r="AJ170" s="190">
        <v>12.719262608640001</v>
      </c>
    </row>
    <row r="171" spans="1:36" hidden="1" x14ac:dyDescent="0.25">
      <c r="A171" s="43">
        <v>48.6</v>
      </c>
      <c r="B171" s="43">
        <v>48.6</v>
      </c>
      <c r="C171">
        <v>0</v>
      </c>
      <c r="D171" s="43">
        <v>2</v>
      </c>
      <c r="E171" t="s">
        <v>962</v>
      </c>
      <c r="F171" t="s">
        <v>967</v>
      </c>
      <c r="G171" t="s">
        <v>1061</v>
      </c>
      <c r="H171" s="190"/>
      <c r="I171" s="190">
        <v>0</v>
      </c>
      <c r="J171" s="190"/>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190"/>
      <c r="AH171" s="190"/>
      <c r="AI171" s="190"/>
      <c r="AJ171" s="190">
        <v>0</v>
      </c>
    </row>
    <row r="172" spans="1:36" hidden="1" x14ac:dyDescent="0.25">
      <c r="A172" s="43">
        <v>48.6</v>
      </c>
      <c r="B172" s="43">
        <v>48.6</v>
      </c>
      <c r="C172">
        <v>0</v>
      </c>
      <c r="D172" s="43">
        <v>3.5</v>
      </c>
      <c r="E172" t="s">
        <v>962</v>
      </c>
      <c r="F172" t="s">
        <v>1003</v>
      </c>
      <c r="G172" t="s">
        <v>712</v>
      </c>
      <c r="H172" s="190"/>
      <c r="I172" s="190"/>
      <c r="J172" s="190"/>
      <c r="K172" s="190"/>
      <c r="L172" s="190"/>
      <c r="M172" s="190"/>
      <c r="N172" s="190"/>
      <c r="O172" s="190"/>
      <c r="P172" s="190"/>
      <c r="Q172" s="190"/>
      <c r="R172" s="190"/>
      <c r="S172" s="190"/>
      <c r="T172" s="190"/>
      <c r="U172" s="190"/>
      <c r="V172" s="190"/>
      <c r="W172" s="190"/>
      <c r="X172" s="190"/>
      <c r="Y172" s="190">
        <v>0</v>
      </c>
      <c r="Z172" s="190"/>
      <c r="AA172" s="190"/>
      <c r="AB172" s="190"/>
      <c r="AC172" s="190"/>
      <c r="AD172" s="190"/>
      <c r="AE172" s="190"/>
      <c r="AF172" s="190"/>
      <c r="AG172" s="190"/>
      <c r="AH172" s="190"/>
      <c r="AI172" s="190">
        <v>15.252111028</v>
      </c>
      <c r="AJ172" s="190">
        <v>15.252111028</v>
      </c>
    </row>
    <row r="173" spans="1:36" x14ac:dyDescent="0.25">
      <c r="A173" s="43">
        <v>48.6</v>
      </c>
      <c r="B173" s="43">
        <v>48.6</v>
      </c>
      <c r="C173">
        <v>0</v>
      </c>
      <c r="D173" s="43">
        <v>3.5</v>
      </c>
      <c r="E173" t="s">
        <v>967</v>
      </c>
      <c r="F173" t="s">
        <v>967</v>
      </c>
      <c r="G173" t="s">
        <v>1062</v>
      </c>
      <c r="H173" s="190"/>
      <c r="I173" s="190"/>
      <c r="J173" s="190"/>
      <c r="K173" s="190"/>
      <c r="L173" s="190">
        <v>0</v>
      </c>
      <c r="M173" s="190"/>
      <c r="N173" s="190"/>
      <c r="O173" s="190"/>
      <c r="P173" s="190"/>
      <c r="Q173" s="190"/>
      <c r="R173" s="190"/>
      <c r="S173" s="190"/>
      <c r="T173" s="190"/>
      <c r="U173" s="190"/>
      <c r="V173" s="190"/>
      <c r="W173" s="190"/>
      <c r="X173" s="190"/>
      <c r="Y173" s="190"/>
      <c r="Z173" s="190"/>
      <c r="AA173" s="190"/>
      <c r="AB173" s="190"/>
      <c r="AC173" s="190"/>
      <c r="AD173" s="190"/>
      <c r="AE173" s="190"/>
      <c r="AF173" s="190"/>
      <c r="AG173" s="190"/>
      <c r="AH173" s="190"/>
      <c r="AI173" s="190"/>
      <c r="AJ173" s="190">
        <v>0</v>
      </c>
    </row>
    <row r="174" spans="1:36" x14ac:dyDescent="0.25">
      <c r="A174" s="43">
        <v>48.6</v>
      </c>
      <c r="B174" s="43">
        <v>48.6</v>
      </c>
      <c r="C174">
        <v>0</v>
      </c>
      <c r="D174" s="43">
        <v>4</v>
      </c>
      <c r="E174" t="s">
        <v>962</v>
      </c>
      <c r="F174" t="s">
        <v>967</v>
      </c>
      <c r="G174" t="s">
        <v>1063</v>
      </c>
      <c r="H174" s="190"/>
      <c r="I174" s="190">
        <v>0</v>
      </c>
      <c r="J174" s="190"/>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c r="AH174" s="190"/>
      <c r="AI174" s="190"/>
      <c r="AJ174" s="190">
        <v>0</v>
      </c>
    </row>
    <row r="175" spans="1:36" x14ac:dyDescent="0.25">
      <c r="A175" s="43">
        <v>48.6</v>
      </c>
      <c r="B175" s="43">
        <v>59</v>
      </c>
      <c r="C175">
        <v>30</v>
      </c>
      <c r="D175" s="43">
        <v>1.6</v>
      </c>
      <c r="E175" t="s">
        <v>962</v>
      </c>
      <c r="F175" t="s">
        <v>348</v>
      </c>
      <c r="G175" t="s">
        <v>568</v>
      </c>
      <c r="H175" s="190"/>
      <c r="I175" s="190">
        <v>0</v>
      </c>
      <c r="J175" s="190">
        <v>16.277801272160001</v>
      </c>
      <c r="K175" s="190"/>
      <c r="L175" s="190"/>
      <c r="M175" s="190"/>
      <c r="N175" s="190"/>
      <c r="O175" s="190"/>
      <c r="P175" s="190"/>
      <c r="Q175" s="190"/>
      <c r="R175" s="190"/>
      <c r="S175" s="190"/>
      <c r="T175" s="190"/>
      <c r="U175" s="190"/>
      <c r="V175" s="190"/>
      <c r="W175" s="190"/>
      <c r="X175" s="190"/>
      <c r="Y175" s="190"/>
      <c r="Z175" s="190"/>
      <c r="AA175" s="190"/>
      <c r="AB175" s="190"/>
      <c r="AC175" s="190"/>
      <c r="AD175" s="190">
        <v>0</v>
      </c>
      <c r="AE175" s="190"/>
      <c r="AF175" s="190"/>
      <c r="AG175" s="190"/>
      <c r="AH175" s="190"/>
      <c r="AI175" s="190"/>
      <c r="AJ175" s="190">
        <v>16.277801272160001</v>
      </c>
    </row>
    <row r="176" spans="1:36" x14ac:dyDescent="0.25">
      <c r="A176" s="43">
        <v>50.8</v>
      </c>
      <c r="B176" s="43">
        <v>40</v>
      </c>
      <c r="C176">
        <v>40</v>
      </c>
      <c r="D176" s="43">
        <v>1.2</v>
      </c>
      <c r="E176" t="s">
        <v>229</v>
      </c>
      <c r="F176" t="s">
        <v>963</v>
      </c>
      <c r="G176" t="s">
        <v>445</v>
      </c>
      <c r="H176" s="190"/>
      <c r="I176" s="190"/>
      <c r="J176" s="190"/>
      <c r="K176" s="190"/>
      <c r="L176" s="190"/>
      <c r="M176" s="190">
        <v>0</v>
      </c>
      <c r="N176" s="190"/>
      <c r="O176" s="190"/>
      <c r="P176" s="190"/>
      <c r="Q176" s="190"/>
      <c r="R176" s="190"/>
      <c r="S176" s="190"/>
      <c r="T176" s="190"/>
      <c r="U176" s="190"/>
      <c r="V176" s="190"/>
      <c r="W176" s="190"/>
      <c r="X176" s="190"/>
      <c r="Y176" s="190"/>
      <c r="Z176" s="190"/>
      <c r="AA176" s="190"/>
      <c r="AB176" s="190"/>
      <c r="AC176" s="190">
        <v>0.58831050048</v>
      </c>
      <c r="AD176" s="190"/>
      <c r="AE176" s="190">
        <v>7.5878850585599995</v>
      </c>
      <c r="AF176" s="190"/>
      <c r="AG176" s="190">
        <v>0</v>
      </c>
      <c r="AH176" s="190"/>
      <c r="AI176" s="190"/>
      <c r="AJ176" s="190">
        <v>8.1761955590399999</v>
      </c>
    </row>
    <row r="177" spans="1:36" x14ac:dyDescent="0.25">
      <c r="A177" s="43">
        <v>50.8</v>
      </c>
      <c r="B177" s="43">
        <v>50</v>
      </c>
      <c r="C177">
        <v>30</v>
      </c>
      <c r="D177" s="43">
        <v>1.6</v>
      </c>
      <c r="E177" t="s">
        <v>962</v>
      </c>
      <c r="F177" t="s">
        <v>1003</v>
      </c>
      <c r="G177" t="s">
        <v>474</v>
      </c>
      <c r="H177" s="190">
        <v>10.67203104</v>
      </c>
      <c r="I177" s="190">
        <v>37.503457443839999</v>
      </c>
      <c r="J177" s="190">
        <v>28.692240543360001</v>
      </c>
      <c r="K177" s="190"/>
      <c r="L177" s="190"/>
      <c r="M177" s="190"/>
      <c r="N177" s="190"/>
      <c r="O177" s="190"/>
      <c r="P177" s="190"/>
      <c r="Q177" s="190"/>
      <c r="R177" s="190"/>
      <c r="S177" s="190"/>
      <c r="T177" s="190"/>
      <c r="U177" s="190"/>
      <c r="V177" s="190"/>
      <c r="W177" s="190"/>
      <c r="X177" s="190"/>
      <c r="Y177" s="190">
        <v>26.672215223677441</v>
      </c>
      <c r="Z177" s="190"/>
      <c r="AA177" s="190"/>
      <c r="AB177" s="190"/>
      <c r="AC177" s="190"/>
      <c r="AD177" s="190"/>
      <c r="AE177" s="190"/>
      <c r="AF177" s="190"/>
      <c r="AG177" s="190"/>
      <c r="AH177" s="190"/>
      <c r="AI177" s="190"/>
      <c r="AJ177" s="190">
        <v>103.53994425087744</v>
      </c>
    </row>
    <row r="178" spans="1:36" x14ac:dyDescent="0.25">
      <c r="A178" s="43">
        <v>50.8</v>
      </c>
      <c r="B178" s="43">
        <v>50</v>
      </c>
      <c r="C178">
        <v>30</v>
      </c>
      <c r="D178" s="43">
        <v>2</v>
      </c>
      <c r="E178" t="s">
        <v>962</v>
      </c>
      <c r="F178" t="s">
        <v>1003</v>
      </c>
      <c r="G178" t="s">
        <v>841</v>
      </c>
      <c r="H178" s="190"/>
      <c r="I178" s="190"/>
      <c r="J178" s="190"/>
      <c r="K178" s="190"/>
      <c r="L178" s="190"/>
      <c r="M178" s="190"/>
      <c r="N178" s="190"/>
      <c r="O178" s="190"/>
      <c r="P178" s="190"/>
      <c r="Q178" s="190"/>
      <c r="R178" s="190"/>
      <c r="S178" s="190"/>
      <c r="T178" s="190"/>
      <c r="U178" s="190"/>
      <c r="V178" s="190"/>
      <c r="W178" s="190"/>
      <c r="X178" s="190"/>
      <c r="Y178" s="190"/>
      <c r="Z178" s="190"/>
      <c r="AA178" s="190"/>
      <c r="AB178" s="190"/>
      <c r="AC178" s="190"/>
      <c r="AD178" s="190"/>
      <c r="AE178" s="190"/>
      <c r="AF178" s="190"/>
      <c r="AG178" s="190"/>
      <c r="AH178" s="190">
        <v>21.411107359999995</v>
      </c>
      <c r="AI178" s="190"/>
      <c r="AJ178" s="190">
        <v>21.411107359999995</v>
      </c>
    </row>
    <row r="179" spans="1:36" x14ac:dyDescent="0.25">
      <c r="A179" s="43">
        <v>50.8</v>
      </c>
      <c r="B179" s="43">
        <v>50</v>
      </c>
      <c r="C179">
        <v>30</v>
      </c>
      <c r="D179" s="43">
        <v>2</v>
      </c>
      <c r="E179" t="s">
        <v>962</v>
      </c>
      <c r="F179" t="s">
        <v>967</v>
      </c>
      <c r="G179" t="s">
        <v>967</v>
      </c>
      <c r="H179" s="190"/>
      <c r="I179" s="190"/>
      <c r="J179" s="190"/>
      <c r="K179" s="190"/>
      <c r="L179" s="190"/>
      <c r="M179" s="190"/>
      <c r="N179" s="190"/>
      <c r="O179" s="190"/>
      <c r="P179" s="190"/>
      <c r="Q179" s="190"/>
      <c r="R179" s="190"/>
      <c r="S179" s="190"/>
      <c r="T179" s="190"/>
      <c r="U179" s="190"/>
      <c r="V179" s="190">
        <v>9.2621082399999999</v>
      </c>
      <c r="W179" s="190"/>
      <c r="X179" s="190"/>
      <c r="Y179" s="190"/>
      <c r="Z179" s="190"/>
      <c r="AA179" s="190"/>
      <c r="AB179" s="190"/>
      <c r="AC179" s="190"/>
      <c r="AD179" s="190"/>
      <c r="AE179" s="190"/>
      <c r="AF179" s="190"/>
      <c r="AG179" s="190"/>
      <c r="AH179" s="190"/>
      <c r="AI179" s="190"/>
      <c r="AJ179" s="190">
        <v>9.2621082399999999</v>
      </c>
    </row>
    <row r="180" spans="1:36" x14ac:dyDescent="0.25">
      <c r="A180" s="43">
        <v>50.8</v>
      </c>
      <c r="B180" s="43">
        <v>50</v>
      </c>
      <c r="C180">
        <v>30</v>
      </c>
      <c r="D180" s="43">
        <v>2.5</v>
      </c>
      <c r="E180" t="s">
        <v>962</v>
      </c>
      <c r="F180" t="s">
        <v>1003</v>
      </c>
      <c r="G180" t="s">
        <v>1064</v>
      </c>
      <c r="H180" s="190"/>
      <c r="I180" s="190"/>
      <c r="J180" s="190"/>
      <c r="K180" s="190"/>
      <c r="L180" s="190"/>
      <c r="M180" s="190"/>
      <c r="N180" s="190">
        <v>6.8307616912500002</v>
      </c>
      <c r="O180" s="190"/>
      <c r="P180" s="190"/>
      <c r="Q180" s="190"/>
      <c r="R180" s="190"/>
      <c r="S180" s="190"/>
      <c r="T180" s="190"/>
      <c r="U180" s="190"/>
      <c r="V180" s="190"/>
      <c r="W180" s="190"/>
      <c r="X180" s="190"/>
      <c r="Y180" s="190"/>
      <c r="Z180" s="190"/>
      <c r="AA180" s="190"/>
      <c r="AB180" s="190"/>
      <c r="AC180" s="190"/>
      <c r="AD180" s="190"/>
      <c r="AE180" s="190"/>
      <c r="AF180" s="190"/>
      <c r="AG180" s="190"/>
      <c r="AH180" s="190"/>
      <c r="AI180" s="190"/>
      <c r="AJ180" s="190">
        <v>6.8307616912500002</v>
      </c>
    </row>
    <row r="181" spans="1:36" hidden="1" x14ac:dyDescent="0.25">
      <c r="A181" s="43">
        <v>50.8</v>
      </c>
      <c r="B181" s="43">
        <v>50.8</v>
      </c>
      <c r="C181">
        <v>0</v>
      </c>
      <c r="D181" s="43">
        <v>1.6</v>
      </c>
      <c r="E181" t="s">
        <v>962</v>
      </c>
      <c r="F181" t="s">
        <v>1003</v>
      </c>
      <c r="G181" t="s">
        <v>1065</v>
      </c>
      <c r="H181" s="190"/>
      <c r="I181" s="190"/>
      <c r="J181" s="190"/>
      <c r="K181" s="190"/>
      <c r="L181" s="190"/>
      <c r="M181" s="190"/>
      <c r="N181" s="190"/>
      <c r="O181" s="190"/>
      <c r="P181" s="190"/>
      <c r="Q181" s="190"/>
      <c r="R181" s="190"/>
      <c r="S181" s="190"/>
      <c r="T181" s="190"/>
      <c r="U181" s="190"/>
      <c r="V181" s="190"/>
      <c r="W181" s="190"/>
      <c r="X181" s="190"/>
      <c r="Y181" s="190">
        <v>0</v>
      </c>
      <c r="Z181" s="190"/>
      <c r="AA181" s="190"/>
      <c r="AB181" s="190"/>
      <c r="AC181" s="190"/>
      <c r="AD181" s="190"/>
      <c r="AE181" s="190"/>
      <c r="AF181" s="190"/>
      <c r="AG181" s="190"/>
      <c r="AH181" s="190"/>
      <c r="AI181" s="190">
        <v>11.205632592000002</v>
      </c>
      <c r="AJ181" s="190">
        <v>11.205632592000002</v>
      </c>
    </row>
    <row r="182" spans="1:36" x14ac:dyDescent="0.25">
      <c r="A182" s="43">
        <v>54</v>
      </c>
      <c r="B182" s="43">
        <v>54</v>
      </c>
      <c r="C182">
        <v>0</v>
      </c>
      <c r="D182" s="43">
        <v>3</v>
      </c>
      <c r="E182" t="s">
        <v>993</v>
      </c>
      <c r="F182" t="s">
        <v>1003</v>
      </c>
      <c r="G182" t="s">
        <v>920</v>
      </c>
      <c r="H182" s="190"/>
      <c r="I182" s="190"/>
      <c r="J182" s="190"/>
      <c r="K182" s="190"/>
      <c r="L182" s="190"/>
      <c r="M182" s="190"/>
      <c r="N182" s="190"/>
      <c r="O182" s="190"/>
      <c r="P182" s="190"/>
      <c r="Q182" s="190"/>
      <c r="R182" s="190"/>
      <c r="S182" s="190"/>
      <c r="T182" s="190"/>
      <c r="U182" s="190"/>
      <c r="V182" s="190"/>
      <c r="W182" s="190"/>
      <c r="X182" s="190"/>
      <c r="Y182" s="190"/>
      <c r="Z182" s="190"/>
      <c r="AA182" s="190"/>
      <c r="AB182" s="190"/>
      <c r="AC182" s="190"/>
      <c r="AD182" s="190">
        <v>12.89783574</v>
      </c>
      <c r="AE182" s="190"/>
      <c r="AF182" s="190"/>
      <c r="AG182" s="190"/>
      <c r="AH182" s="190">
        <v>25.795671479999999</v>
      </c>
      <c r="AI182" s="190"/>
      <c r="AJ182" s="190">
        <v>38.693507220000001</v>
      </c>
    </row>
    <row r="183" spans="1:36" hidden="1" x14ac:dyDescent="0.25">
      <c r="A183" s="43">
        <v>57.15</v>
      </c>
      <c r="B183" s="43">
        <v>57.15</v>
      </c>
      <c r="C183">
        <v>0</v>
      </c>
      <c r="D183" s="43">
        <v>2</v>
      </c>
      <c r="E183" t="s">
        <v>962</v>
      </c>
      <c r="F183" t="s">
        <v>1003</v>
      </c>
      <c r="G183" t="s">
        <v>909</v>
      </c>
      <c r="H183" s="190"/>
      <c r="I183" s="190"/>
      <c r="J183" s="190">
        <v>13.860228461364999</v>
      </c>
      <c r="K183" s="190"/>
      <c r="L183" s="190"/>
      <c r="M183" s="190"/>
      <c r="N183" s="190"/>
      <c r="O183" s="190"/>
      <c r="P183" s="190"/>
      <c r="Q183" s="190"/>
      <c r="R183" s="190"/>
      <c r="S183" s="190"/>
      <c r="T183" s="190"/>
      <c r="U183" s="190"/>
      <c r="V183" s="190">
        <v>16.679744134500002</v>
      </c>
      <c r="W183" s="190"/>
      <c r="X183" s="190"/>
      <c r="Y183" s="190"/>
      <c r="Z183" s="190"/>
      <c r="AA183" s="190"/>
      <c r="AB183" s="190"/>
      <c r="AC183" s="190"/>
      <c r="AD183" s="190"/>
      <c r="AE183" s="190"/>
      <c r="AF183" s="190"/>
      <c r="AG183" s="190"/>
      <c r="AH183" s="190"/>
      <c r="AI183" s="190"/>
      <c r="AJ183" s="190">
        <v>30.539972595865002</v>
      </c>
    </row>
    <row r="184" spans="1:36" hidden="1" x14ac:dyDescent="0.25">
      <c r="A184" s="43">
        <v>57.15</v>
      </c>
      <c r="B184" s="43">
        <v>57.15</v>
      </c>
      <c r="C184">
        <v>0</v>
      </c>
      <c r="D184" s="43">
        <v>2</v>
      </c>
      <c r="E184" t="s">
        <v>962</v>
      </c>
      <c r="F184" t="s">
        <v>967</v>
      </c>
      <c r="G184" t="s">
        <v>1066</v>
      </c>
      <c r="H184" s="190"/>
      <c r="I184" s="190">
        <v>0</v>
      </c>
      <c r="J184" s="190"/>
      <c r="K184" s="190"/>
      <c r="L184" s="190"/>
      <c r="M184" s="190"/>
      <c r="N184" s="190"/>
      <c r="O184" s="190"/>
      <c r="P184" s="190">
        <v>0</v>
      </c>
      <c r="Q184" s="190"/>
      <c r="R184" s="190"/>
      <c r="S184" s="190"/>
      <c r="T184" s="190"/>
      <c r="U184" s="190"/>
      <c r="V184" s="190"/>
      <c r="W184" s="190"/>
      <c r="X184" s="190"/>
      <c r="Y184" s="190"/>
      <c r="Z184" s="190"/>
      <c r="AA184" s="190"/>
      <c r="AB184" s="190"/>
      <c r="AC184" s="190"/>
      <c r="AD184" s="190"/>
      <c r="AE184" s="190"/>
      <c r="AF184" s="190"/>
      <c r="AG184" s="190"/>
      <c r="AH184" s="190"/>
      <c r="AI184" s="190"/>
      <c r="AJ184" s="190">
        <v>0</v>
      </c>
    </row>
    <row r="185" spans="1:36" hidden="1" x14ac:dyDescent="0.25">
      <c r="A185" s="43">
        <v>57.15</v>
      </c>
      <c r="B185" s="43">
        <v>57.15</v>
      </c>
      <c r="C185">
        <v>0</v>
      </c>
      <c r="D185" s="43">
        <v>2.2999999999999998</v>
      </c>
      <c r="E185" t="s">
        <v>993</v>
      </c>
      <c r="F185" t="s">
        <v>1003</v>
      </c>
      <c r="G185" t="s">
        <v>904</v>
      </c>
      <c r="H185" s="190"/>
      <c r="I185" s="190"/>
      <c r="J185" s="190"/>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c r="AH185" s="190"/>
      <c r="AI185" s="190">
        <v>50.935159466099996</v>
      </c>
      <c r="AJ185" s="190">
        <v>50.935159466099996</v>
      </c>
    </row>
    <row r="186" spans="1:36" hidden="1" x14ac:dyDescent="0.25">
      <c r="A186" s="43">
        <v>57.15</v>
      </c>
      <c r="B186" s="43">
        <v>57.15</v>
      </c>
      <c r="C186">
        <v>0</v>
      </c>
      <c r="D186" s="43">
        <v>2.5</v>
      </c>
      <c r="E186" t="s">
        <v>962</v>
      </c>
      <c r="F186" t="s">
        <v>1003</v>
      </c>
      <c r="G186" t="s">
        <v>926</v>
      </c>
      <c r="H186" s="190"/>
      <c r="I186" s="190"/>
      <c r="J186" s="190"/>
      <c r="K186" s="190"/>
      <c r="L186" s="190"/>
      <c r="M186" s="190"/>
      <c r="N186" s="190">
        <v>0</v>
      </c>
      <c r="O186" s="190"/>
      <c r="P186" s="190"/>
      <c r="Q186" s="190">
        <v>0</v>
      </c>
      <c r="R186" s="190"/>
      <c r="S186" s="190"/>
      <c r="T186" s="190"/>
      <c r="U186" s="190"/>
      <c r="V186" s="190">
        <v>12.999204752499999</v>
      </c>
      <c r="W186" s="190">
        <v>0</v>
      </c>
      <c r="X186" s="190"/>
      <c r="Y186" s="190"/>
      <c r="Z186" s="190"/>
      <c r="AA186" s="190"/>
      <c r="AB186" s="190"/>
      <c r="AC186" s="190"/>
      <c r="AD186" s="190"/>
      <c r="AE186" s="190"/>
      <c r="AF186" s="190"/>
      <c r="AG186" s="190"/>
      <c r="AH186" s="190"/>
      <c r="AI186" s="190"/>
      <c r="AJ186" s="190">
        <v>12.999204752499999</v>
      </c>
    </row>
    <row r="187" spans="1:36" hidden="1" x14ac:dyDescent="0.25">
      <c r="A187" s="43">
        <v>57.15</v>
      </c>
      <c r="B187" s="43">
        <v>57.15</v>
      </c>
      <c r="C187">
        <v>0</v>
      </c>
      <c r="D187" s="43">
        <v>2.5</v>
      </c>
      <c r="E187" t="s">
        <v>962</v>
      </c>
      <c r="F187" t="s">
        <v>967</v>
      </c>
      <c r="G187" t="s">
        <v>1067</v>
      </c>
      <c r="H187" s="190"/>
      <c r="I187" s="190"/>
      <c r="J187" s="190"/>
      <c r="K187" s="190"/>
      <c r="L187" s="190"/>
      <c r="M187" s="190"/>
      <c r="N187" s="190">
        <v>0</v>
      </c>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c r="AJ187" s="190">
        <v>0</v>
      </c>
    </row>
    <row r="188" spans="1:36" x14ac:dyDescent="0.25">
      <c r="A188" s="43">
        <v>57.15</v>
      </c>
      <c r="B188" s="43">
        <v>57.15</v>
      </c>
      <c r="C188">
        <v>0</v>
      </c>
      <c r="D188" s="43">
        <v>2.5</v>
      </c>
      <c r="E188" t="s">
        <v>967</v>
      </c>
      <c r="F188" t="s">
        <v>967</v>
      </c>
      <c r="G188" t="s">
        <v>1068</v>
      </c>
      <c r="H188" s="190"/>
      <c r="I188" s="190"/>
      <c r="J188" s="190"/>
      <c r="K188" s="190"/>
      <c r="L188" s="190"/>
      <c r="M188" s="190"/>
      <c r="N188" s="190"/>
      <c r="O188" s="190"/>
      <c r="P188" s="190">
        <v>0</v>
      </c>
      <c r="Q188" s="190"/>
      <c r="R188" s="190"/>
      <c r="S188" s="190"/>
      <c r="T188" s="190"/>
      <c r="U188" s="190"/>
      <c r="V188" s="190"/>
      <c r="W188" s="190">
        <v>0</v>
      </c>
      <c r="X188" s="190"/>
      <c r="Y188" s="190"/>
      <c r="Z188" s="190"/>
      <c r="AA188" s="190"/>
      <c r="AB188" s="190"/>
      <c r="AC188" s="190"/>
      <c r="AD188" s="190"/>
      <c r="AE188" s="190"/>
      <c r="AF188" s="190"/>
      <c r="AG188" s="190"/>
      <c r="AH188" s="190"/>
      <c r="AI188" s="190"/>
      <c r="AJ188" s="190">
        <v>0</v>
      </c>
    </row>
    <row r="189" spans="1:36" hidden="1" x14ac:dyDescent="0.25">
      <c r="A189" s="43">
        <v>60.3</v>
      </c>
      <c r="B189" s="43">
        <v>60.3</v>
      </c>
      <c r="C189">
        <v>0</v>
      </c>
      <c r="D189" s="43">
        <v>2</v>
      </c>
      <c r="E189" t="s">
        <v>357</v>
      </c>
      <c r="F189" t="s">
        <v>357</v>
      </c>
      <c r="G189" t="s">
        <v>1069</v>
      </c>
      <c r="H189" s="190"/>
      <c r="I189" s="190"/>
      <c r="J189" s="190"/>
      <c r="K189" s="190"/>
      <c r="L189" s="190"/>
      <c r="M189" s="190"/>
      <c r="N189" s="190"/>
      <c r="O189" s="190"/>
      <c r="P189" s="190">
        <v>0</v>
      </c>
      <c r="Q189" s="190"/>
      <c r="R189" s="190"/>
      <c r="S189" s="190"/>
      <c r="T189" s="190"/>
      <c r="U189" s="190"/>
      <c r="V189" s="190"/>
      <c r="W189" s="190"/>
      <c r="X189" s="190"/>
      <c r="Y189" s="190"/>
      <c r="Z189" s="190"/>
      <c r="AA189" s="190"/>
      <c r="AB189" s="190"/>
      <c r="AC189" s="190"/>
      <c r="AD189" s="190"/>
      <c r="AE189" s="190"/>
      <c r="AF189" s="190"/>
      <c r="AG189" s="190"/>
      <c r="AH189" s="190"/>
      <c r="AI189" s="190"/>
      <c r="AJ189" s="190">
        <v>0</v>
      </c>
    </row>
    <row r="190" spans="1:36" x14ac:dyDescent="0.25">
      <c r="A190" s="43">
        <v>60.3</v>
      </c>
      <c r="B190" s="43">
        <v>60.3</v>
      </c>
      <c r="C190">
        <v>0</v>
      </c>
      <c r="D190" s="43">
        <v>2</v>
      </c>
      <c r="E190" t="s">
        <v>962</v>
      </c>
      <c r="F190" t="s">
        <v>1003</v>
      </c>
      <c r="G190" t="s">
        <v>1070</v>
      </c>
      <c r="H190" s="190"/>
      <c r="I190" s="190"/>
      <c r="J190" s="190"/>
      <c r="K190" s="190"/>
      <c r="L190" s="190"/>
      <c r="M190" s="190"/>
      <c r="N190" s="190">
        <v>7.5444426749999991</v>
      </c>
      <c r="O190" s="190"/>
      <c r="P190" s="190"/>
      <c r="Q190" s="190"/>
      <c r="R190" s="190"/>
      <c r="S190" s="190"/>
      <c r="T190" s="190"/>
      <c r="U190" s="190"/>
      <c r="V190" s="190">
        <v>0</v>
      </c>
      <c r="W190" s="190"/>
      <c r="X190" s="190"/>
      <c r="Y190" s="190"/>
      <c r="Z190" s="190"/>
      <c r="AA190" s="190"/>
      <c r="AB190" s="190"/>
      <c r="AC190" s="190"/>
      <c r="AD190" s="190"/>
      <c r="AE190" s="190"/>
      <c r="AF190" s="190"/>
      <c r="AG190" s="190"/>
      <c r="AH190" s="190"/>
      <c r="AI190" s="190"/>
      <c r="AJ190" s="190">
        <v>7.5444426749999991</v>
      </c>
    </row>
    <row r="191" spans="1:36" x14ac:dyDescent="0.25">
      <c r="A191" s="43">
        <v>60.3</v>
      </c>
      <c r="B191" s="43">
        <v>60.3</v>
      </c>
      <c r="C191">
        <v>0</v>
      </c>
      <c r="D191" s="43">
        <v>2</v>
      </c>
      <c r="E191" t="s">
        <v>967</v>
      </c>
      <c r="F191" t="s">
        <v>967</v>
      </c>
      <c r="G191" t="s">
        <v>1071</v>
      </c>
      <c r="H191" s="190"/>
      <c r="I191" s="190"/>
      <c r="J191" s="190"/>
      <c r="K191" s="190"/>
      <c r="L191" s="190"/>
      <c r="M191" s="190"/>
      <c r="N191" s="190"/>
      <c r="O191" s="190"/>
      <c r="P191" s="190">
        <v>0</v>
      </c>
      <c r="Q191" s="190"/>
      <c r="R191" s="190"/>
      <c r="S191" s="190"/>
      <c r="T191" s="190"/>
      <c r="U191" s="190"/>
      <c r="V191" s="190"/>
      <c r="W191" s="190"/>
      <c r="X191" s="190"/>
      <c r="Y191" s="190"/>
      <c r="Z191" s="190"/>
      <c r="AA191" s="190"/>
      <c r="AB191" s="190"/>
      <c r="AC191" s="190"/>
      <c r="AD191" s="190"/>
      <c r="AE191" s="190"/>
      <c r="AF191" s="190"/>
      <c r="AG191" s="190"/>
      <c r="AH191" s="190"/>
      <c r="AI191" s="190"/>
      <c r="AJ191" s="190">
        <v>0</v>
      </c>
    </row>
    <row r="192" spans="1:36" x14ac:dyDescent="0.25">
      <c r="A192" s="43">
        <v>63.5</v>
      </c>
      <c r="B192" s="43">
        <v>50</v>
      </c>
      <c r="C192">
        <v>50</v>
      </c>
      <c r="D192" s="43">
        <v>1.6</v>
      </c>
      <c r="E192" t="s">
        <v>993</v>
      </c>
      <c r="F192" t="s">
        <v>963</v>
      </c>
      <c r="G192" t="s">
        <v>895</v>
      </c>
      <c r="H192" s="190"/>
      <c r="I192" s="190"/>
      <c r="J192" s="190"/>
      <c r="K192" s="190"/>
      <c r="L192" s="190"/>
      <c r="M192" s="190"/>
      <c r="N192" s="190"/>
      <c r="O192" s="190"/>
      <c r="P192" s="190"/>
      <c r="Q192" s="190"/>
      <c r="R192" s="190"/>
      <c r="S192" s="190"/>
      <c r="T192" s="190"/>
      <c r="U192" s="190"/>
      <c r="V192" s="190"/>
      <c r="W192" s="190"/>
      <c r="X192" s="190"/>
      <c r="Y192" s="190"/>
      <c r="Z192" s="190"/>
      <c r="AA192" s="190"/>
      <c r="AB192" s="190"/>
      <c r="AC192" s="190"/>
      <c r="AD192" s="190">
        <v>4.3422281807520005</v>
      </c>
      <c r="AE192" s="190"/>
      <c r="AF192" s="190"/>
      <c r="AG192" s="190"/>
      <c r="AH192" s="190">
        <v>12.406366230720002</v>
      </c>
      <c r="AI192" s="190"/>
      <c r="AJ192" s="190">
        <v>16.748594411472002</v>
      </c>
    </row>
    <row r="193" spans="1:36" hidden="1" x14ac:dyDescent="0.25">
      <c r="A193" s="43">
        <v>63.5</v>
      </c>
      <c r="B193" s="43">
        <v>63.5</v>
      </c>
      <c r="C193">
        <v>0</v>
      </c>
      <c r="D193" s="43">
        <v>4</v>
      </c>
      <c r="E193" t="s">
        <v>962</v>
      </c>
      <c r="F193" t="s">
        <v>1003</v>
      </c>
      <c r="G193" t="s">
        <v>872</v>
      </c>
      <c r="H193" s="190"/>
      <c r="I193" s="190"/>
      <c r="J193" s="190"/>
      <c r="K193" s="190"/>
      <c r="L193" s="190"/>
      <c r="M193" s="190"/>
      <c r="N193" s="190"/>
      <c r="O193" s="190"/>
      <c r="P193" s="190"/>
      <c r="Q193" s="190"/>
      <c r="R193" s="190"/>
      <c r="S193" s="190"/>
      <c r="T193" s="190"/>
      <c r="U193" s="190"/>
      <c r="V193" s="190"/>
      <c r="W193" s="190"/>
      <c r="X193" s="190"/>
      <c r="Y193" s="190"/>
      <c r="Z193" s="190"/>
      <c r="AA193" s="190"/>
      <c r="AB193" s="190"/>
      <c r="AC193" s="190"/>
      <c r="AD193" s="190">
        <v>16.041840339</v>
      </c>
      <c r="AE193" s="190"/>
      <c r="AF193" s="190"/>
      <c r="AG193" s="190"/>
      <c r="AH193" s="190">
        <v>22.151760512000003</v>
      </c>
      <c r="AI193" s="190"/>
      <c r="AJ193" s="190">
        <v>38.193600850999999</v>
      </c>
    </row>
    <row r="194" spans="1:36" x14ac:dyDescent="0.25">
      <c r="A194" s="43">
        <v>70</v>
      </c>
      <c r="B194" s="43">
        <v>70</v>
      </c>
      <c r="C194">
        <v>0</v>
      </c>
      <c r="D194" s="43">
        <v>3.2</v>
      </c>
      <c r="E194" t="s">
        <v>993</v>
      </c>
      <c r="F194" t="s">
        <v>1003</v>
      </c>
      <c r="G194" t="s">
        <v>914</v>
      </c>
      <c r="H194" s="190"/>
      <c r="I194" s="190"/>
      <c r="J194" s="190"/>
      <c r="K194" s="190"/>
      <c r="L194" s="190"/>
      <c r="M194" s="190"/>
      <c r="N194" s="190"/>
      <c r="O194" s="190"/>
      <c r="P194" s="190"/>
      <c r="Q194" s="190"/>
      <c r="R194" s="190"/>
      <c r="S194" s="190"/>
      <c r="T194" s="190"/>
      <c r="U194" s="190"/>
      <c r="V194" s="190"/>
      <c r="W194" s="190"/>
      <c r="X194" s="190"/>
      <c r="Y194" s="190"/>
      <c r="Z194" s="190"/>
      <c r="AA194" s="190"/>
      <c r="AB194" s="190"/>
      <c r="AC194" s="190"/>
      <c r="AD194" s="190">
        <v>8.0931382886399987</v>
      </c>
      <c r="AE194" s="190"/>
      <c r="AF194" s="190"/>
      <c r="AG194" s="190"/>
      <c r="AH194" s="190">
        <v>15.490772505600001</v>
      </c>
      <c r="AI194" s="190"/>
      <c r="AJ194" s="190">
        <v>23.583910794239998</v>
      </c>
    </row>
    <row r="195" spans="1:36" x14ac:dyDescent="0.25">
      <c r="A195" s="43">
        <v>29.35</v>
      </c>
      <c r="B195" s="43">
        <v>29.35</v>
      </c>
      <c r="C195">
        <v>20.399999999999999</v>
      </c>
      <c r="D195" s="43">
        <v>4.4000000000000004</v>
      </c>
      <c r="E195" t="s">
        <v>1023</v>
      </c>
      <c r="F195" t="s">
        <v>357</v>
      </c>
      <c r="G195" t="s">
        <v>1072</v>
      </c>
      <c r="H195" s="190"/>
      <c r="I195" s="190"/>
      <c r="J195" s="190"/>
      <c r="K195" s="190">
        <v>0</v>
      </c>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0"/>
      <c r="AH195" s="190"/>
      <c r="AI195" s="190"/>
      <c r="AJ195" s="190">
        <v>0</v>
      </c>
    </row>
    <row r="196" spans="1:36" x14ac:dyDescent="0.25">
      <c r="A196" s="43">
        <v>29.28</v>
      </c>
      <c r="B196" s="43">
        <v>29.28</v>
      </c>
      <c r="C196">
        <v>0</v>
      </c>
      <c r="D196" s="43">
        <v>3.4</v>
      </c>
      <c r="E196" t="s">
        <v>357</v>
      </c>
      <c r="F196" t="s">
        <v>357</v>
      </c>
      <c r="G196" t="s">
        <v>1073</v>
      </c>
      <c r="H196" s="190"/>
      <c r="I196" s="190">
        <v>0</v>
      </c>
      <c r="J196" s="190"/>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c r="AG196" s="190"/>
      <c r="AH196" s="190"/>
      <c r="AI196" s="190"/>
      <c r="AJ196" s="190">
        <v>0</v>
      </c>
    </row>
  </sheetData>
  <autoFilter ref="A4:AL196" xr:uid="{00000000-0001-0000-0500-000000000000}">
    <filterColumn colId="37">
      <filters blank="1">
        <filter val="1.3"/>
        <filter val="1.4"/>
        <filter val="1.5"/>
        <filter val="1.6"/>
        <filter val="1.8"/>
        <filter val="1.9"/>
        <filter val="10.0"/>
        <filter val="10.1"/>
        <filter val="10.3"/>
        <filter val="100.0"/>
        <filter val="108.2"/>
        <filter val="11.2"/>
        <filter val="11.5"/>
        <filter val="11.6"/>
        <filter val="11.8"/>
        <filter val="110.1"/>
        <filter val="115.8"/>
        <filter val="12.4"/>
        <filter val="12.5"/>
        <filter val="13.4"/>
        <filter val="13.7"/>
        <filter val="131.7"/>
        <filter val="14.9"/>
        <filter val="147.7"/>
        <filter val="15.1"/>
        <filter val="15.3"/>
        <filter val="16.8"/>
        <filter val="17.6"/>
        <filter val="19.5"/>
        <filter val="19.7"/>
        <filter val="2.1"/>
        <filter val="2.2"/>
        <filter val="2.7"/>
        <filter val="2.8"/>
        <filter val="20.7"/>
        <filter val="20.9"/>
        <filter val="21.0"/>
        <filter val="21.1"/>
        <filter val="21.6"/>
        <filter val="22.9"/>
        <filter val="23.2"/>
        <filter val="23.5"/>
        <filter val="24.2"/>
        <filter val="253.5"/>
        <filter val="26.6"/>
        <filter val="27.1"/>
        <filter val="27.4"/>
        <filter val="29.1"/>
        <filter val="29.6"/>
        <filter val="3.0"/>
        <filter val="3.4"/>
        <filter val="3.5"/>
        <filter val="30.0"/>
        <filter val="31.5"/>
        <filter val="32.4"/>
        <filter val="35.3"/>
        <filter val="37.6"/>
        <filter val="38.0"/>
        <filter val="4.6"/>
        <filter val="41.1"/>
        <filter val="41.6"/>
        <filter val="42.4"/>
        <filter val="44.7"/>
        <filter val="45.1"/>
        <filter val="45.9"/>
        <filter val="46.0"/>
        <filter val="47.7"/>
        <filter val="49.4"/>
        <filter val="49.8"/>
        <filter val="5.0"/>
        <filter val="5.1"/>
        <filter val="5.5"/>
        <filter val="5.6"/>
        <filter val="5.8"/>
        <filter val="50.2"/>
        <filter val="56.0"/>
        <filter val="58.0"/>
        <filter val="6.0"/>
        <filter val="6.4"/>
        <filter val="6.8"/>
        <filter val="62.8"/>
        <filter val="63.9"/>
        <filter val="7.6"/>
        <filter val="73.4"/>
        <filter val="8.1"/>
        <filter val="8.6"/>
        <filter val="82.5"/>
        <filter val="9.0"/>
        <filter val="90.3"/>
        <filter val="99.7"/>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2ED4-B822-4CFD-9EE0-C2EF0B16EE04}">
  <dimension ref="A1:X96"/>
  <sheetViews>
    <sheetView workbookViewId="0">
      <selection activeCell="K8" sqref="K8"/>
    </sheetView>
  </sheetViews>
  <sheetFormatPr defaultColWidth="8.42578125" defaultRowHeight="15" x14ac:dyDescent="0.25"/>
  <cols>
    <col min="5" max="5" width="7.28515625" customWidth="1"/>
    <col min="7" max="7" width="5" customWidth="1"/>
    <col min="8" max="8" width="5.85546875" customWidth="1"/>
    <col min="10" max="10" width="5.42578125" customWidth="1"/>
    <col min="11" max="12" width="8.42578125" customWidth="1"/>
    <col min="13" max="13" width="8.42578125" style="199" customWidth="1"/>
    <col min="14" max="18" width="8.42578125" customWidth="1"/>
    <col min="21" max="21" width="8.42578125" style="162"/>
    <col min="22" max="22" width="8.42578125" style="174"/>
  </cols>
  <sheetData>
    <row r="1" spans="1:24" ht="75" x14ac:dyDescent="0.25">
      <c r="A1" s="138"/>
      <c r="B1" s="138" t="s">
        <v>258</v>
      </c>
      <c r="C1" s="524" t="s">
        <v>313</v>
      </c>
      <c r="D1" s="140" t="s">
        <v>314</v>
      </c>
      <c r="E1" s="138" t="s">
        <v>315</v>
      </c>
      <c r="F1" s="141" t="s">
        <v>316</v>
      </c>
      <c r="G1" s="141" t="s">
        <v>317</v>
      </c>
      <c r="H1" s="141" t="s">
        <v>318</v>
      </c>
      <c r="I1" s="138" t="s">
        <v>319</v>
      </c>
      <c r="J1" s="140" t="s">
        <v>320</v>
      </c>
      <c r="K1" s="138" t="s">
        <v>202</v>
      </c>
      <c r="L1" s="138" t="s">
        <v>322</v>
      </c>
      <c r="M1" s="195" t="s">
        <v>323</v>
      </c>
      <c r="N1" s="525" t="s">
        <v>1074</v>
      </c>
      <c r="O1" s="140" t="s">
        <v>325</v>
      </c>
      <c r="P1" s="144" t="s">
        <v>1075</v>
      </c>
      <c r="Q1" s="140" t="s">
        <v>327</v>
      </c>
      <c r="R1" s="140" t="s">
        <v>1076</v>
      </c>
      <c r="S1" s="140" t="s">
        <v>329</v>
      </c>
      <c r="T1" s="140" t="s">
        <v>330</v>
      </c>
      <c r="U1" s="145" t="s">
        <v>1077</v>
      </c>
      <c r="V1" s="145" t="s">
        <v>1078</v>
      </c>
      <c r="W1" s="146" t="s">
        <v>333</v>
      </c>
      <c r="X1" s="146" t="s">
        <v>334</v>
      </c>
    </row>
    <row r="2" spans="1:24" x14ac:dyDescent="0.25">
      <c r="A2" s="147" t="s">
        <v>10</v>
      </c>
      <c r="B2" s="147" t="s">
        <v>116</v>
      </c>
      <c r="C2" s="147" t="s">
        <v>1079</v>
      </c>
      <c r="D2" s="147" t="s">
        <v>339</v>
      </c>
      <c r="E2" s="147" t="s">
        <v>1024</v>
      </c>
      <c r="F2" s="148">
        <v>11</v>
      </c>
      <c r="G2" s="148"/>
      <c r="H2" s="148">
        <v>1.5</v>
      </c>
      <c r="I2" s="147">
        <v>6000</v>
      </c>
      <c r="J2" s="147">
        <v>6</v>
      </c>
      <c r="K2" s="147" t="s">
        <v>1080</v>
      </c>
      <c r="L2" s="149">
        <v>789</v>
      </c>
      <c r="M2" s="150">
        <v>2442390</v>
      </c>
      <c r="N2" s="19">
        <v>0</v>
      </c>
      <c r="O2" s="147">
        <v>0</v>
      </c>
      <c r="P2" s="147">
        <v>0</v>
      </c>
      <c r="Q2" s="147">
        <v>0</v>
      </c>
      <c r="R2" s="147">
        <f>P2-O2</f>
        <v>0</v>
      </c>
      <c r="S2" s="147">
        <v>0</v>
      </c>
      <c r="T2" s="147">
        <f t="shared" ref="T2:T70" si="0">R2+S2</f>
        <v>0</v>
      </c>
      <c r="U2" s="19">
        <f>N2-T2</f>
        <v>0</v>
      </c>
      <c r="V2" s="167">
        <f>IF(U2&gt;0,U2,0)*150%</f>
        <v>0</v>
      </c>
      <c r="W2" s="19"/>
      <c r="X2" s="19"/>
    </row>
    <row r="3" spans="1:24" x14ac:dyDescent="0.25">
      <c r="A3" s="147" t="s">
        <v>10</v>
      </c>
      <c r="B3" s="147" t="s">
        <v>116</v>
      </c>
      <c r="C3" s="147" t="s">
        <v>338</v>
      </c>
      <c r="D3" s="147" t="s">
        <v>339</v>
      </c>
      <c r="E3" s="147" t="s">
        <v>340</v>
      </c>
      <c r="F3" s="148">
        <v>12.7</v>
      </c>
      <c r="G3" s="148"/>
      <c r="H3" s="148">
        <v>1.2</v>
      </c>
      <c r="I3" s="147">
        <v>6000</v>
      </c>
      <c r="J3" s="147">
        <v>6</v>
      </c>
      <c r="K3" s="147" t="s">
        <v>1081</v>
      </c>
      <c r="L3" s="151" t="s">
        <v>345</v>
      </c>
      <c r="M3" s="150">
        <v>1939985</v>
      </c>
      <c r="N3" s="19">
        <v>10</v>
      </c>
      <c r="O3" s="147">
        <v>3</v>
      </c>
      <c r="P3" s="147">
        <v>7</v>
      </c>
      <c r="Q3" s="147">
        <v>0</v>
      </c>
      <c r="R3" s="147">
        <f t="shared" ref="R3:R68" si="1">P3-O3</f>
        <v>4</v>
      </c>
      <c r="S3" s="147">
        <v>0</v>
      </c>
      <c r="T3" s="147">
        <f t="shared" si="0"/>
        <v>4</v>
      </c>
      <c r="U3" s="19">
        <f>N3-T3</f>
        <v>6</v>
      </c>
      <c r="V3" s="167">
        <f t="shared" ref="V3:V66" si="2">IF(U3&gt;0,U3,0)*150%</f>
        <v>9</v>
      </c>
      <c r="W3" s="19"/>
      <c r="X3" s="19"/>
    </row>
    <row r="4" spans="1:24" x14ac:dyDescent="0.25">
      <c r="A4" s="147" t="s">
        <v>341</v>
      </c>
      <c r="B4" s="147" t="s">
        <v>342</v>
      </c>
      <c r="C4" s="147" t="s">
        <v>338</v>
      </c>
      <c r="D4" s="147" t="s">
        <v>339</v>
      </c>
      <c r="E4" s="147" t="s">
        <v>340</v>
      </c>
      <c r="F4" s="148">
        <v>12.7</v>
      </c>
      <c r="G4" s="148"/>
      <c r="H4" s="148">
        <v>1.4</v>
      </c>
      <c r="I4" s="147">
        <v>6000</v>
      </c>
      <c r="J4" s="147">
        <v>6</v>
      </c>
      <c r="K4" s="147" t="s">
        <v>1082</v>
      </c>
      <c r="L4" s="151" t="s">
        <v>345</v>
      </c>
      <c r="M4" s="150">
        <v>1931117</v>
      </c>
      <c r="N4" s="19">
        <v>0</v>
      </c>
      <c r="O4" s="147">
        <v>0</v>
      </c>
      <c r="P4" s="147">
        <v>4.5</v>
      </c>
      <c r="Q4" s="147">
        <v>0</v>
      </c>
      <c r="R4" s="147">
        <f t="shared" si="1"/>
        <v>4.5</v>
      </c>
      <c r="S4" s="147">
        <v>0</v>
      </c>
      <c r="T4" s="147">
        <f t="shared" si="0"/>
        <v>4.5</v>
      </c>
      <c r="U4" s="19">
        <f t="shared" ref="U4:U70" si="3">N4-T4</f>
        <v>-4.5</v>
      </c>
      <c r="V4" s="167">
        <f t="shared" si="2"/>
        <v>0</v>
      </c>
      <c r="W4" s="19"/>
      <c r="X4" s="19"/>
    </row>
    <row r="5" spans="1:24" x14ac:dyDescent="0.25">
      <c r="A5" s="147" t="s">
        <v>341</v>
      </c>
      <c r="B5" s="147" t="s">
        <v>342</v>
      </c>
      <c r="C5" s="147" t="s">
        <v>338</v>
      </c>
      <c r="D5" s="147" t="s">
        <v>339</v>
      </c>
      <c r="E5" s="147" t="s">
        <v>340</v>
      </c>
      <c r="F5" s="148">
        <v>12.7</v>
      </c>
      <c r="G5" s="148"/>
      <c r="H5" s="148">
        <v>1.6</v>
      </c>
      <c r="I5" s="147">
        <v>6000</v>
      </c>
      <c r="J5" s="147">
        <v>6</v>
      </c>
      <c r="K5" s="147" t="s">
        <v>1083</v>
      </c>
      <c r="L5" s="151" t="s">
        <v>345</v>
      </c>
      <c r="M5" s="150">
        <v>1931154</v>
      </c>
      <c r="N5" s="19">
        <v>0</v>
      </c>
      <c r="O5" s="147">
        <v>0</v>
      </c>
      <c r="P5" s="147">
        <v>3</v>
      </c>
      <c r="Q5" s="147">
        <v>0</v>
      </c>
      <c r="R5" s="147">
        <f t="shared" si="1"/>
        <v>3</v>
      </c>
      <c r="S5" s="147">
        <v>0</v>
      </c>
      <c r="T5" s="147">
        <f t="shared" si="0"/>
        <v>3</v>
      </c>
      <c r="U5" s="19">
        <f t="shared" si="3"/>
        <v>-3</v>
      </c>
      <c r="V5" s="167">
        <f t="shared" si="2"/>
        <v>0</v>
      </c>
      <c r="W5" s="19"/>
      <c r="X5" s="19"/>
    </row>
    <row r="6" spans="1:24" x14ac:dyDescent="0.25">
      <c r="A6" s="147" t="s">
        <v>10</v>
      </c>
      <c r="B6" s="147" t="s">
        <v>116</v>
      </c>
      <c r="C6" s="147" t="s">
        <v>338</v>
      </c>
      <c r="D6" s="147" t="s">
        <v>339</v>
      </c>
      <c r="E6" s="147" t="s">
        <v>340</v>
      </c>
      <c r="F6" s="148">
        <v>12</v>
      </c>
      <c r="G6" s="148"/>
      <c r="H6" s="148">
        <v>2</v>
      </c>
      <c r="I6" s="147">
        <v>6000</v>
      </c>
      <c r="J6" s="147">
        <v>6</v>
      </c>
      <c r="K6" s="147" t="s">
        <v>1084</v>
      </c>
      <c r="L6" s="151" t="s">
        <v>345</v>
      </c>
      <c r="M6" s="149">
        <v>236166</v>
      </c>
      <c r="N6" s="19">
        <v>0</v>
      </c>
      <c r="O6" s="147">
        <v>0</v>
      </c>
      <c r="P6" s="147">
        <v>0</v>
      </c>
      <c r="Q6" s="147">
        <v>0</v>
      </c>
      <c r="R6" s="147">
        <f t="shared" si="1"/>
        <v>0</v>
      </c>
      <c r="S6" s="147">
        <v>0</v>
      </c>
      <c r="T6" s="147">
        <f t="shared" si="0"/>
        <v>0</v>
      </c>
      <c r="U6" s="19">
        <f t="shared" si="3"/>
        <v>0</v>
      </c>
      <c r="V6" s="167">
        <f t="shared" si="2"/>
        <v>0</v>
      </c>
      <c r="W6" s="19"/>
      <c r="X6" s="19"/>
    </row>
    <row r="7" spans="1:24" x14ac:dyDescent="0.25">
      <c r="A7" s="147" t="s">
        <v>341</v>
      </c>
      <c r="B7" s="147" t="s">
        <v>342</v>
      </c>
      <c r="C7" s="147" t="s">
        <v>338</v>
      </c>
      <c r="D7" s="147" t="s">
        <v>339</v>
      </c>
      <c r="E7" s="147" t="s">
        <v>340</v>
      </c>
      <c r="F7" s="148">
        <v>15.88</v>
      </c>
      <c r="G7" s="148"/>
      <c r="H7" s="148">
        <v>1</v>
      </c>
      <c r="I7" s="147">
        <v>6000</v>
      </c>
      <c r="J7" s="147">
        <v>6</v>
      </c>
      <c r="K7" s="147" t="s">
        <v>1085</v>
      </c>
      <c r="L7" s="151" t="s">
        <v>345</v>
      </c>
      <c r="M7" s="150">
        <v>1940054</v>
      </c>
      <c r="N7" s="19">
        <v>0</v>
      </c>
      <c r="O7" s="147">
        <v>0</v>
      </c>
      <c r="P7" s="147">
        <v>1.4</v>
      </c>
      <c r="Q7" s="147">
        <v>0</v>
      </c>
      <c r="R7" s="147">
        <f t="shared" si="1"/>
        <v>1.4</v>
      </c>
      <c r="S7" s="147">
        <v>0</v>
      </c>
      <c r="T7" s="147">
        <f t="shared" si="0"/>
        <v>1.4</v>
      </c>
      <c r="U7" s="19">
        <f t="shared" si="3"/>
        <v>-1.4</v>
      </c>
      <c r="V7" s="167">
        <f t="shared" si="2"/>
        <v>0</v>
      </c>
      <c r="W7" s="19"/>
      <c r="X7" s="19"/>
    </row>
    <row r="8" spans="1:24" x14ac:dyDescent="0.25">
      <c r="A8" s="147" t="s">
        <v>10</v>
      </c>
      <c r="B8" s="147" t="s">
        <v>116</v>
      </c>
      <c r="C8" s="147" t="s">
        <v>338</v>
      </c>
      <c r="D8" s="147" t="s">
        <v>339</v>
      </c>
      <c r="E8" s="147" t="s">
        <v>340</v>
      </c>
      <c r="F8" s="148">
        <v>15.88</v>
      </c>
      <c r="G8" s="148"/>
      <c r="H8" s="148">
        <v>1.2</v>
      </c>
      <c r="I8" s="147">
        <v>6000</v>
      </c>
      <c r="J8" s="147">
        <v>6</v>
      </c>
      <c r="K8" s="147" t="s">
        <v>1086</v>
      </c>
      <c r="L8" s="151" t="s">
        <v>345</v>
      </c>
      <c r="M8" s="150">
        <v>1940054</v>
      </c>
      <c r="N8" s="19">
        <v>8</v>
      </c>
      <c r="O8" s="147">
        <v>3</v>
      </c>
      <c r="P8" s="147">
        <v>19.8</v>
      </c>
      <c r="Q8" s="147">
        <v>0</v>
      </c>
      <c r="R8" s="147">
        <f t="shared" si="1"/>
        <v>16.8</v>
      </c>
      <c r="S8" s="147">
        <v>0</v>
      </c>
      <c r="T8" s="147">
        <f t="shared" si="0"/>
        <v>16.8</v>
      </c>
      <c r="U8" s="19">
        <f t="shared" si="3"/>
        <v>-8.8000000000000007</v>
      </c>
      <c r="V8" s="167">
        <f t="shared" si="2"/>
        <v>0</v>
      </c>
      <c r="W8" s="19"/>
      <c r="X8" s="19"/>
    </row>
    <row r="9" spans="1:24" x14ac:dyDescent="0.25">
      <c r="A9" s="147" t="s">
        <v>341</v>
      </c>
      <c r="B9" s="147" t="s">
        <v>342</v>
      </c>
      <c r="C9" s="147" t="s">
        <v>338</v>
      </c>
      <c r="D9" s="147" t="s">
        <v>339</v>
      </c>
      <c r="E9" s="147" t="s">
        <v>340</v>
      </c>
      <c r="F9" s="148">
        <v>15.88</v>
      </c>
      <c r="G9" s="148"/>
      <c r="H9" s="148">
        <v>1.6</v>
      </c>
      <c r="I9" s="147">
        <v>6000</v>
      </c>
      <c r="J9" s="147">
        <v>6</v>
      </c>
      <c r="K9" s="147" t="s">
        <v>1087</v>
      </c>
      <c r="L9" s="151" t="s">
        <v>345</v>
      </c>
      <c r="M9" s="150">
        <v>1900224</v>
      </c>
      <c r="N9" s="19">
        <v>0</v>
      </c>
      <c r="O9" s="147">
        <v>1</v>
      </c>
      <c r="P9" s="147">
        <v>3.1</v>
      </c>
      <c r="Q9" s="147">
        <v>0</v>
      </c>
      <c r="R9" s="147">
        <f t="shared" si="1"/>
        <v>2.1</v>
      </c>
      <c r="S9" s="147">
        <v>0</v>
      </c>
      <c r="T9" s="147">
        <f t="shared" si="0"/>
        <v>2.1</v>
      </c>
      <c r="U9" s="19">
        <f t="shared" si="3"/>
        <v>-2.1</v>
      </c>
      <c r="V9" s="167">
        <f t="shared" si="2"/>
        <v>0</v>
      </c>
      <c r="W9" s="19"/>
      <c r="X9" s="19"/>
    </row>
    <row r="10" spans="1:24" x14ac:dyDescent="0.25">
      <c r="A10" s="147" t="s">
        <v>341</v>
      </c>
      <c r="B10" s="147" t="s">
        <v>342</v>
      </c>
      <c r="C10" s="147" t="s">
        <v>338</v>
      </c>
      <c r="D10" s="147" t="s">
        <v>339</v>
      </c>
      <c r="E10" s="147" t="s">
        <v>340</v>
      </c>
      <c r="F10" s="148">
        <v>15.88</v>
      </c>
      <c r="G10" s="148"/>
      <c r="H10" s="148">
        <v>2</v>
      </c>
      <c r="I10" s="147">
        <v>6000</v>
      </c>
      <c r="J10" s="147">
        <v>6</v>
      </c>
      <c r="K10" s="147" t="s">
        <v>1088</v>
      </c>
      <c r="L10" s="151" t="s">
        <v>345</v>
      </c>
      <c r="M10" s="150">
        <v>1940120</v>
      </c>
      <c r="N10" s="19">
        <v>0</v>
      </c>
      <c r="O10" s="147">
        <v>0</v>
      </c>
      <c r="P10" s="147">
        <v>9</v>
      </c>
      <c r="Q10" s="147">
        <v>0</v>
      </c>
      <c r="R10" s="147">
        <f t="shared" si="1"/>
        <v>9</v>
      </c>
      <c r="S10" s="147">
        <v>0</v>
      </c>
      <c r="T10" s="147">
        <f t="shared" si="0"/>
        <v>9</v>
      </c>
      <c r="U10" s="19">
        <f t="shared" si="3"/>
        <v>-9</v>
      </c>
      <c r="V10" s="167">
        <f t="shared" si="2"/>
        <v>0</v>
      </c>
      <c r="W10" s="19"/>
      <c r="X10" s="19"/>
    </row>
    <row r="11" spans="1:24" x14ac:dyDescent="0.25">
      <c r="A11" s="147" t="s">
        <v>10</v>
      </c>
      <c r="B11" s="147" t="s">
        <v>343</v>
      </c>
      <c r="C11" s="147" t="s">
        <v>338</v>
      </c>
      <c r="D11" s="147" t="s">
        <v>339</v>
      </c>
      <c r="E11" s="147" t="s">
        <v>340</v>
      </c>
      <c r="F11" s="148">
        <v>18.3</v>
      </c>
      <c r="G11" s="148"/>
      <c r="H11" s="148">
        <v>1</v>
      </c>
      <c r="I11" s="147">
        <v>6000</v>
      </c>
      <c r="J11" s="147">
        <v>6</v>
      </c>
      <c r="K11" s="147" t="s">
        <v>1089</v>
      </c>
      <c r="L11" s="151" t="s">
        <v>345</v>
      </c>
      <c r="M11" s="150">
        <v>2288945</v>
      </c>
      <c r="N11" s="19">
        <v>5</v>
      </c>
      <c r="O11" s="147">
        <v>2</v>
      </c>
      <c r="P11" s="147">
        <v>6.5</v>
      </c>
      <c r="Q11" s="147">
        <v>0</v>
      </c>
      <c r="R11" s="147">
        <f t="shared" si="1"/>
        <v>4.5</v>
      </c>
      <c r="S11" s="147">
        <v>0</v>
      </c>
      <c r="T11" s="147">
        <f t="shared" si="0"/>
        <v>4.5</v>
      </c>
      <c r="U11" s="19">
        <f t="shared" si="3"/>
        <v>0.5</v>
      </c>
      <c r="V11" s="167">
        <f t="shared" si="2"/>
        <v>0.75</v>
      </c>
      <c r="W11" s="19"/>
      <c r="X11" s="19"/>
    </row>
    <row r="12" spans="1:24" x14ac:dyDescent="0.25">
      <c r="A12" s="147" t="s">
        <v>341</v>
      </c>
      <c r="B12" s="147" t="s">
        <v>342</v>
      </c>
      <c r="C12" s="153" t="s">
        <v>338</v>
      </c>
      <c r="D12" s="147" t="s">
        <v>339</v>
      </c>
      <c r="E12" s="147" t="s">
        <v>340</v>
      </c>
      <c r="F12" s="148">
        <v>19.05</v>
      </c>
      <c r="G12" s="148"/>
      <c r="H12" s="148">
        <v>1.6</v>
      </c>
      <c r="I12" s="147">
        <v>6000</v>
      </c>
      <c r="J12" s="147">
        <v>6</v>
      </c>
      <c r="K12" s="147" t="s">
        <v>1090</v>
      </c>
      <c r="L12" s="149">
        <v>56</v>
      </c>
      <c r="M12" s="150">
        <v>3498997</v>
      </c>
      <c r="N12" s="19">
        <v>5</v>
      </c>
      <c r="O12" s="147">
        <v>3</v>
      </c>
      <c r="P12" s="147">
        <v>12.5</v>
      </c>
      <c r="Q12" s="147">
        <v>0</v>
      </c>
      <c r="R12" s="147">
        <f t="shared" si="1"/>
        <v>9.5</v>
      </c>
      <c r="S12" s="147">
        <v>0</v>
      </c>
      <c r="T12" s="147">
        <f t="shared" si="0"/>
        <v>9.5</v>
      </c>
      <c r="U12" s="19">
        <f t="shared" si="3"/>
        <v>-4.5</v>
      </c>
      <c r="V12" s="167">
        <f t="shared" si="2"/>
        <v>0</v>
      </c>
      <c r="W12" s="19"/>
      <c r="X12" s="19"/>
    </row>
    <row r="13" spans="1:24" x14ac:dyDescent="0.25">
      <c r="A13" s="147" t="s">
        <v>341</v>
      </c>
      <c r="B13" s="147" t="s">
        <v>342</v>
      </c>
      <c r="C13" s="147" t="s">
        <v>344</v>
      </c>
      <c r="D13" s="147" t="s">
        <v>339</v>
      </c>
      <c r="E13" s="147" t="s">
        <v>344</v>
      </c>
      <c r="F13" s="148">
        <v>19.05</v>
      </c>
      <c r="G13" s="148"/>
      <c r="H13" s="148">
        <v>1.4</v>
      </c>
      <c r="I13" s="147">
        <v>6000</v>
      </c>
      <c r="J13" s="147">
        <v>6</v>
      </c>
      <c r="K13" s="147" t="s">
        <v>1091</v>
      </c>
      <c r="L13" s="151" t="s">
        <v>367</v>
      </c>
      <c r="M13" s="149">
        <v>3891285</v>
      </c>
      <c r="N13" s="19">
        <v>5</v>
      </c>
      <c r="O13" s="147">
        <v>0</v>
      </c>
      <c r="P13" s="147">
        <v>0</v>
      </c>
      <c r="Q13" s="147">
        <v>0</v>
      </c>
      <c r="R13" s="147">
        <f t="shared" si="1"/>
        <v>0</v>
      </c>
      <c r="S13" s="147">
        <v>25</v>
      </c>
      <c r="T13" s="147">
        <f t="shared" si="0"/>
        <v>25</v>
      </c>
      <c r="U13" s="19">
        <f t="shared" si="3"/>
        <v>-20</v>
      </c>
      <c r="V13" s="167">
        <f t="shared" si="2"/>
        <v>0</v>
      </c>
      <c r="W13" s="19"/>
      <c r="X13" s="19"/>
    </row>
    <row r="14" spans="1:24" x14ac:dyDescent="0.25">
      <c r="A14" s="147" t="s">
        <v>10</v>
      </c>
      <c r="B14" s="147" t="s">
        <v>116</v>
      </c>
      <c r="C14" s="153" t="s">
        <v>338</v>
      </c>
      <c r="D14" s="147" t="s">
        <v>339</v>
      </c>
      <c r="E14" s="147" t="s">
        <v>340</v>
      </c>
      <c r="F14" s="154">
        <v>19.05</v>
      </c>
      <c r="G14" s="154"/>
      <c r="H14" s="154">
        <v>2</v>
      </c>
      <c r="I14" s="155">
        <v>5800</v>
      </c>
      <c r="J14" s="147"/>
      <c r="K14" s="147"/>
      <c r="L14" s="151"/>
      <c r="M14" s="150"/>
      <c r="N14" s="19">
        <v>35</v>
      </c>
      <c r="O14" s="147">
        <v>0</v>
      </c>
      <c r="P14" s="147">
        <v>0</v>
      </c>
      <c r="Q14" s="147">
        <v>0</v>
      </c>
      <c r="R14" s="147">
        <v>0</v>
      </c>
      <c r="S14" s="147">
        <v>0</v>
      </c>
      <c r="T14" s="147">
        <f t="shared" si="0"/>
        <v>0</v>
      </c>
      <c r="U14" s="19">
        <f t="shared" si="3"/>
        <v>35</v>
      </c>
      <c r="V14" s="167">
        <f t="shared" si="2"/>
        <v>52.5</v>
      </c>
      <c r="W14" s="15"/>
      <c r="X14" s="15"/>
    </row>
    <row r="15" spans="1:24" x14ac:dyDescent="0.25">
      <c r="A15" s="147" t="s">
        <v>10</v>
      </c>
      <c r="B15" s="147" t="s">
        <v>346</v>
      </c>
      <c r="C15" s="153" t="s">
        <v>338</v>
      </c>
      <c r="D15" s="147" t="s">
        <v>339</v>
      </c>
      <c r="E15" s="147" t="s">
        <v>340</v>
      </c>
      <c r="F15" s="148">
        <v>19.05</v>
      </c>
      <c r="G15" s="148"/>
      <c r="H15" s="148">
        <v>2.2999999999999998</v>
      </c>
      <c r="I15" s="147">
        <v>7000</v>
      </c>
      <c r="J15" s="147">
        <v>7</v>
      </c>
      <c r="K15" s="147" t="s">
        <v>1092</v>
      </c>
      <c r="L15" s="151" t="s">
        <v>367</v>
      </c>
      <c r="M15" s="150">
        <v>3500582</v>
      </c>
      <c r="N15" s="19">
        <v>20</v>
      </c>
      <c r="O15" s="147">
        <v>6</v>
      </c>
      <c r="P15" s="147">
        <v>8</v>
      </c>
      <c r="Q15" s="147">
        <v>0</v>
      </c>
      <c r="R15" s="147">
        <f t="shared" si="1"/>
        <v>2</v>
      </c>
      <c r="S15" s="147">
        <v>0</v>
      </c>
      <c r="T15" s="147">
        <f t="shared" si="0"/>
        <v>2</v>
      </c>
      <c r="U15" s="19">
        <f t="shared" si="3"/>
        <v>18</v>
      </c>
      <c r="V15" s="167">
        <f t="shared" si="2"/>
        <v>27</v>
      </c>
      <c r="W15" s="15"/>
      <c r="X15" s="15"/>
    </row>
    <row r="16" spans="1:24" x14ac:dyDescent="0.25">
      <c r="A16" s="147" t="s">
        <v>10</v>
      </c>
      <c r="B16" s="147" t="s">
        <v>116</v>
      </c>
      <c r="C16" s="147" t="s">
        <v>338</v>
      </c>
      <c r="D16" s="147" t="s">
        <v>339</v>
      </c>
      <c r="E16" s="147" t="s">
        <v>340</v>
      </c>
      <c r="F16" s="148">
        <v>21.4</v>
      </c>
      <c r="G16" s="148"/>
      <c r="H16" s="148">
        <v>1.6</v>
      </c>
      <c r="I16" s="147">
        <v>6000</v>
      </c>
      <c r="J16" s="147">
        <v>6</v>
      </c>
      <c r="K16" s="147" t="s">
        <v>1093</v>
      </c>
      <c r="L16" s="149"/>
      <c r="M16" s="150">
        <v>3219710</v>
      </c>
      <c r="N16" s="19">
        <v>10</v>
      </c>
      <c r="O16" s="147">
        <v>2</v>
      </c>
      <c r="P16" s="147">
        <v>12.9</v>
      </c>
      <c r="Q16" s="147">
        <v>0</v>
      </c>
      <c r="R16" s="147">
        <f t="shared" si="1"/>
        <v>10.9</v>
      </c>
      <c r="S16" s="147">
        <v>0</v>
      </c>
      <c r="T16" s="147">
        <f t="shared" si="0"/>
        <v>10.9</v>
      </c>
      <c r="U16" s="19">
        <f t="shared" si="3"/>
        <v>-0.90000000000000036</v>
      </c>
      <c r="V16" s="167">
        <f t="shared" si="2"/>
        <v>0</v>
      </c>
      <c r="W16" s="15"/>
      <c r="X16" s="15"/>
    </row>
    <row r="17" spans="1:24" x14ac:dyDescent="0.25">
      <c r="A17" s="147" t="s">
        <v>10</v>
      </c>
      <c r="B17" s="147" t="s">
        <v>116</v>
      </c>
      <c r="C17" s="153" t="s">
        <v>338</v>
      </c>
      <c r="D17" s="147" t="s">
        <v>339</v>
      </c>
      <c r="E17" s="147" t="s">
        <v>340</v>
      </c>
      <c r="F17" s="148">
        <v>22.2</v>
      </c>
      <c r="G17" s="148"/>
      <c r="H17" s="148">
        <v>1.2</v>
      </c>
      <c r="I17" s="147">
        <v>5870</v>
      </c>
      <c r="J17" s="147">
        <v>5.87</v>
      </c>
      <c r="K17" s="147" t="s">
        <v>1094</v>
      </c>
      <c r="L17" s="151" t="s">
        <v>367</v>
      </c>
      <c r="M17" s="385">
        <v>3882110</v>
      </c>
      <c r="N17" s="19">
        <v>30</v>
      </c>
      <c r="O17" s="147">
        <v>10</v>
      </c>
      <c r="P17" s="147">
        <v>11</v>
      </c>
      <c r="Q17" s="147">
        <v>0</v>
      </c>
      <c r="R17" s="147">
        <f t="shared" si="1"/>
        <v>1</v>
      </c>
      <c r="S17" s="147">
        <v>45</v>
      </c>
      <c r="T17" s="147">
        <f t="shared" si="0"/>
        <v>46</v>
      </c>
      <c r="U17" s="19">
        <f t="shared" si="3"/>
        <v>-16</v>
      </c>
      <c r="V17" s="167">
        <f t="shared" si="2"/>
        <v>0</v>
      </c>
      <c r="W17" s="15"/>
      <c r="X17" s="15"/>
    </row>
    <row r="18" spans="1:24" x14ac:dyDescent="0.25">
      <c r="A18" s="147" t="s">
        <v>341</v>
      </c>
      <c r="B18" s="147" t="s">
        <v>342</v>
      </c>
      <c r="C18" s="153" t="s">
        <v>344</v>
      </c>
      <c r="D18" s="147" t="s">
        <v>339</v>
      </c>
      <c r="E18" s="147" t="s">
        <v>347</v>
      </c>
      <c r="F18" s="148">
        <v>22.2</v>
      </c>
      <c r="G18" s="148"/>
      <c r="H18" s="148">
        <v>1.4</v>
      </c>
      <c r="I18" s="147">
        <v>6000</v>
      </c>
      <c r="J18" s="147">
        <v>6</v>
      </c>
      <c r="K18" s="147" t="s">
        <v>1095</v>
      </c>
      <c r="L18" s="151" t="s">
        <v>367</v>
      </c>
      <c r="M18" s="150">
        <v>3829175</v>
      </c>
      <c r="N18" s="19">
        <v>10</v>
      </c>
      <c r="O18" s="147">
        <v>2</v>
      </c>
      <c r="P18" s="147">
        <v>19.7</v>
      </c>
      <c r="Q18" s="147">
        <v>0</v>
      </c>
      <c r="R18" s="147">
        <f t="shared" si="1"/>
        <v>17.7</v>
      </c>
      <c r="S18" s="147">
        <v>0</v>
      </c>
      <c r="T18" s="147">
        <f t="shared" si="0"/>
        <v>17.7</v>
      </c>
      <c r="U18" s="19">
        <f t="shared" si="3"/>
        <v>-7.6999999999999993</v>
      </c>
      <c r="V18" s="167">
        <f t="shared" si="2"/>
        <v>0</v>
      </c>
      <c r="W18" s="15"/>
      <c r="X18" s="15"/>
    </row>
    <row r="19" spans="1:24" x14ac:dyDescent="0.25">
      <c r="A19" s="147" t="s">
        <v>10</v>
      </c>
      <c r="B19" s="147" t="s">
        <v>116</v>
      </c>
      <c r="C19" s="153" t="s">
        <v>338</v>
      </c>
      <c r="D19" s="147" t="s">
        <v>339</v>
      </c>
      <c r="E19" s="147" t="s">
        <v>340</v>
      </c>
      <c r="F19" s="148">
        <v>22.2</v>
      </c>
      <c r="G19" s="148"/>
      <c r="H19" s="148">
        <v>1.6</v>
      </c>
      <c r="I19" s="147">
        <v>5270</v>
      </c>
      <c r="J19" s="147"/>
      <c r="K19" s="147"/>
      <c r="L19" s="151"/>
      <c r="M19" s="150"/>
      <c r="N19" s="19">
        <v>35</v>
      </c>
      <c r="O19" s="147">
        <v>10</v>
      </c>
      <c r="P19" s="147">
        <v>20</v>
      </c>
      <c r="Q19" s="147">
        <v>0</v>
      </c>
      <c r="R19" s="147">
        <f t="shared" si="1"/>
        <v>10</v>
      </c>
      <c r="S19" s="147">
        <v>0</v>
      </c>
      <c r="T19" s="147">
        <f t="shared" si="0"/>
        <v>10</v>
      </c>
      <c r="U19" s="19">
        <f t="shared" si="3"/>
        <v>25</v>
      </c>
      <c r="V19" s="167">
        <f t="shared" si="2"/>
        <v>37.5</v>
      </c>
      <c r="W19" s="15"/>
      <c r="X19" s="15"/>
    </row>
    <row r="20" spans="1:24" x14ac:dyDescent="0.25">
      <c r="A20" s="147" t="s">
        <v>10</v>
      </c>
      <c r="B20" s="147" t="s">
        <v>116</v>
      </c>
      <c r="C20" s="153" t="s">
        <v>338</v>
      </c>
      <c r="D20" s="147" t="s">
        <v>339</v>
      </c>
      <c r="E20" s="147" t="s">
        <v>340</v>
      </c>
      <c r="F20" s="148">
        <v>22.2</v>
      </c>
      <c r="G20" s="148"/>
      <c r="H20" s="148">
        <v>1.6</v>
      </c>
      <c r="I20" s="147">
        <v>5670</v>
      </c>
      <c r="J20" s="147"/>
      <c r="K20" s="147"/>
      <c r="L20" s="151"/>
      <c r="M20" s="150"/>
      <c r="N20" s="19">
        <v>30</v>
      </c>
      <c r="O20" s="147">
        <v>10</v>
      </c>
      <c r="P20" s="147">
        <v>0</v>
      </c>
      <c r="Q20" s="147">
        <v>0</v>
      </c>
      <c r="R20" s="147">
        <f t="shared" si="1"/>
        <v>-10</v>
      </c>
      <c r="S20" s="147">
        <v>0</v>
      </c>
      <c r="T20" s="147">
        <f t="shared" si="0"/>
        <v>-10</v>
      </c>
      <c r="U20" s="19">
        <f t="shared" si="3"/>
        <v>40</v>
      </c>
      <c r="V20" s="167">
        <f t="shared" si="2"/>
        <v>60</v>
      </c>
      <c r="W20" s="15"/>
      <c r="X20" s="15"/>
    </row>
    <row r="21" spans="1:24" x14ac:dyDescent="0.25">
      <c r="A21" s="147" t="s">
        <v>10</v>
      </c>
      <c r="B21" s="147" t="s">
        <v>116</v>
      </c>
      <c r="C21" s="155" t="s">
        <v>1096</v>
      </c>
      <c r="D21" s="147" t="s">
        <v>339</v>
      </c>
      <c r="E21" s="147" t="s">
        <v>340</v>
      </c>
      <c r="F21" s="154">
        <v>22.2</v>
      </c>
      <c r="G21" s="154"/>
      <c r="H21" s="154">
        <v>2</v>
      </c>
      <c r="I21" s="155">
        <v>5950</v>
      </c>
      <c r="J21" s="147">
        <v>5.95</v>
      </c>
      <c r="K21" s="147"/>
      <c r="L21" s="151" t="s">
        <v>367</v>
      </c>
      <c r="M21" s="385">
        <v>3905466</v>
      </c>
      <c r="N21" s="19">
        <v>90</v>
      </c>
      <c r="O21" s="147">
        <v>30</v>
      </c>
      <c r="P21" s="147">
        <v>20</v>
      </c>
      <c r="Q21" s="147">
        <v>0</v>
      </c>
      <c r="R21" s="147">
        <f t="shared" si="1"/>
        <v>-10</v>
      </c>
      <c r="S21" s="147">
        <v>90</v>
      </c>
      <c r="T21" s="147">
        <f t="shared" si="0"/>
        <v>80</v>
      </c>
      <c r="U21" s="19">
        <f t="shared" si="3"/>
        <v>10</v>
      </c>
      <c r="V21" s="167">
        <f t="shared" si="2"/>
        <v>15</v>
      </c>
      <c r="W21" s="15"/>
      <c r="X21" s="15"/>
    </row>
    <row r="22" spans="1:24" x14ac:dyDescent="0.25">
      <c r="A22" s="147" t="s">
        <v>10</v>
      </c>
      <c r="B22" s="147" t="s">
        <v>116</v>
      </c>
      <c r="C22" s="155" t="s">
        <v>338</v>
      </c>
      <c r="D22" s="147" t="s">
        <v>339</v>
      </c>
      <c r="E22" s="147" t="s">
        <v>340</v>
      </c>
      <c r="F22" s="154">
        <v>22.2</v>
      </c>
      <c r="G22" s="154"/>
      <c r="H22" s="154">
        <v>2</v>
      </c>
      <c r="I22" s="155">
        <v>5100</v>
      </c>
      <c r="J22" s="147">
        <v>5.95</v>
      </c>
      <c r="K22" s="147"/>
      <c r="L22" s="151" t="s">
        <v>367</v>
      </c>
      <c r="M22" s="150">
        <v>3500554</v>
      </c>
      <c r="N22" s="19">
        <v>20</v>
      </c>
      <c r="O22" s="147">
        <v>5</v>
      </c>
      <c r="P22" s="147">
        <v>5</v>
      </c>
      <c r="Q22" s="147">
        <v>0</v>
      </c>
      <c r="R22" s="147">
        <f t="shared" si="1"/>
        <v>0</v>
      </c>
      <c r="S22" s="147">
        <v>4.0999999999999996</v>
      </c>
      <c r="T22" s="147">
        <f t="shared" si="0"/>
        <v>4.0999999999999996</v>
      </c>
      <c r="U22" s="19">
        <f t="shared" si="3"/>
        <v>15.9</v>
      </c>
      <c r="V22" s="167">
        <f t="shared" si="2"/>
        <v>23.85</v>
      </c>
      <c r="W22" s="15"/>
      <c r="X22" s="15"/>
    </row>
    <row r="23" spans="1:24" x14ac:dyDescent="0.25">
      <c r="A23" s="147" t="s">
        <v>10</v>
      </c>
      <c r="B23" s="147" t="s">
        <v>116</v>
      </c>
      <c r="C23" s="147" t="s">
        <v>344</v>
      </c>
      <c r="D23" s="147" t="s">
        <v>348</v>
      </c>
      <c r="E23" s="147" t="s">
        <v>349</v>
      </c>
      <c r="F23" s="148">
        <v>22.2</v>
      </c>
      <c r="G23" s="148"/>
      <c r="H23" s="148">
        <v>2</v>
      </c>
      <c r="I23" s="147">
        <v>6000</v>
      </c>
      <c r="J23" s="147">
        <v>6000</v>
      </c>
      <c r="K23" s="147" t="s">
        <v>1097</v>
      </c>
      <c r="L23" s="151" t="s">
        <v>367</v>
      </c>
      <c r="M23" s="150"/>
      <c r="N23" s="19">
        <v>40</v>
      </c>
      <c r="O23" s="147">
        <v>5</v>
      </c>
      <c r="P23" s="147">
        <v>14.6</v>
      </c>
      <c r="Q23" s="147">
        <v>0</v>
      </c>
      <c r="R23" s="147">
        <f t="shared" si="1"/>
        <v>9.6</v>
      </c>
      <c r="S23" s="147">
        <v>2.6</v>
      </c>
      <c r="T23" s="147">
        <f t="shared" si="0"/>
        <v>12.2</v>
      </c>
      <c r="U23" s="19">
        <f t="shared" si="3"/>
        <v>27.8</v>
      </c>
      <c r="V23" s="167">
        <f t="shared" si="2"/>
        <v>41.7</v>
      </c>
      <c r="W23" s="15"/>
      <c r="X23" s="15"/>
    </row>
    <row r="24" spans="1:24" x14ac:dyDescent="0.25">
      <c r="A24" s="147" t="s">
        <v>341</v>
      </c>
      <c r="B24" s="147" t="s">
        <v>342</v>
      </c>
      <c r="C24" s="147" t="s">
        <v>350</v>
      </c>
      <c r="D24" s="147" t="s">
        <v>348</v>
      </c>
      <c r="E24" s="147" t="s">
        <v>351</v>
      </c>
      <c r="F24" s="148">
        <v>22.2</v>
      </c>
      <c r="G24" s="148"/>
      <c r="H24" s="148">
        <v>2</v>
      </c>
      <c r="I24" s="147">
        <v>5400</v>
      </c>
      <c r="J24" s="147">
        <v>5.39</v>
      </c>
      <c r="K24" s="147" t="s">
        <v>1098</v>
      </c>
      <c r="L24" s="151" t="s">
        <v>367</v>
      </c>
      <c r="M24" s="149">
        <v>3568328</v>
      </c>
      <c r="N24" s="19">
        <v>10</v>
      </c>
      <c r="O24" s="147">
        <v>2</v>
      </c>
      <c r="P24" s="147">
        <v>23.5</v>
      </c>
      <c r="Q24" s="147">
        <v>0</v>
      </c>
      <c r="R24" s="147">
        <f t="shared" si="1"/>
        <v>21.5</v>
      </c>
      <c r="S24" s="147">
        <v>0</v>
      </c>
      <c r="T24" s="147">
        <f t="shared" si="0"/>
        <v>21.5</v>
      </c>
      <c r="U24" s="19">
        <f t="shared" si="3"/>
        <v>-11.5</v>
      </c>
      <c r="V24" s="167">
        <f t="shared" si="2"/>
        <v>0</v>
      </c>
      <c r="W24" s="15"/>
      <c r="X24" s="15"/>
    </row>
    <row r="25" spans="1:24" x14ac:dyDescent="0.25">
      <c r="A25" s="147" t="s">
        <v>341</v>
      </c>
      <c r="B25" s="147" t="s">
        <v>342</v>
      </c>
      <c r="C25" s="153" t="s">
        <v>344</v>
      </c>
      <c r="D25" s="147" t="s">
        <v>348</v>
      </c>
      <c r="E25" s="147" t="s">
        <v>349</v>
      </c>
      <c r="F25" s="148">
        <v>25.4</v>
      </c>
      <c r="G25" s="148"/>
      <c r="H25" s="148">
        <v>1.4</v>
      </c>
      <c r="I25" s="147">
        <v>5531</v>
      </c>
      <c r="J25" s="147">
        <v>5.5309999999999997</v>
      </c>
      <c r="K25" s="147" t="s">
        <v>1099</v>
      </c>
      <c r="L25" s="151" t="s">
        <v>367</v>
      </c>
      <c r="M25" s="150">
        <v>3501900</v>
      </c>
      <c r="N25" s="19">
        <v>15</v>
      </c>
      <c r="O25" s="147">
        <v>0</v>
      </c>
      <c r="P25" s="147">
        <v>0</v>
      </c>
      <c r="Q25" s="147">
        <v>0</v>
      </c>
      <c r="R25" s="147">
        <f t="shared" si="1"/>
        <v>0</v>
      </c>
      <c r="S25" s="147">
        <v>5.9</v>
      </c>
      <c r="T25" s="147">
        <f t="shared" si="0"/>
        <v>5.9</v>
      </c>
      <c r="U25" s="19">
        <f t="shared" si="3"/>
        <v>9.1</v>
      </c>
      <c r="V25" s="167">
        <f t="shared" si="2"/>
        <v>13.649999999999999</v>
      </c>
      <c r="W25" s="15"/>
      <c r="X25" s="15"/>
    </row>
    <row r="26" spans="1:24" x14ac:dyDescent="0.25">
      <c r="A26" s="147" t="s">
        <v>341</v>
      </c>
      <c r="B26" s="147" t="s">
        <v>342</v>
      </c>
      <c r="C26" s="153" t="s">
        <v>338</v>
      </c>
      <c r="D26" s="147" t="s">
        <v>348</v>
      </c>
      <c r="E26" s="147" t="s">
        <v>340</v>
      </c>
      <c r="F26" s="148">
        <v>25.4</v>
      </c>
      <c r="G26" s="148"/>
      <c r="H26" s="148">
        <v>1.4</v>
      </c>
      <c r="I26" s="147">
        <v>6060</v>
      </c>
      <c r="J26" s="147">
        <v>6.06</v>
      </c>
      <c r="K26" s="147" t="s">
        <v>1100</v>
      </c>
      <c r="L26" s="151"/>
      <c r="M26" s="149">
        <v>3557792</v>
      </c>
      <c r="N26" s="19">
        <v>15</v>
      </c>
      <c r="O26" s="147">
        <v>0</v>
      </c>
      <c r="P26" s="147">
        <v>0</v>
      </c>
      <c r="Q26" s="147">
        <v>0</v>
      </c>
      <c r="R26" s="147">
        <f t="shared" si="1"/>
        <v>0</v>
      </c>
      <c r="S26" s="147">
        <v>0</v>
      </c>
      <c r="T26" s="147">
        <f t="shared" si="0"/>
        <v>0</v>
      </c>
      <c r="U26" s="19">
        <f t="shared" si="3"/>
        <v>15</v>
      </c>
      <c r="V26" s="167">
        <f t="shared" si="2"/>
        <v>22.5</v>
      </c>
      <c r="W26" s="15"/>
      <c r="X26" s="15"/>
    </row>
    <row r="27" spans="1:24" x14ac:dyDescent="0.25">
      <c r="A27" s="147" t="s">
        <v>10</v>
      </c>
      <c r="B27" s="147" t="s">
        <v>116</v>
      </c>
      <c r="C27" s="153" t="s">
        <v>338</v>
      </c>
      <c r="D27" s="147" t="s">
        <v>339</v>
      </c>
      <c r="E27" s="147" t="s">
        <v>340</v>
      </c>
      <c r="F27" s="148">
        <v>25.4</v>
      </c>
      <c r="G27" s="148"/>
      <c r="H27" s="148">
        <v>1.6</v>
      </c>
      <c r="I27" s="147">
        <v>6000</v>
      </c>
      <c r="J27" s="147">
        <v>6</v>
      </c>
      <c r="K27" s="147" t="s">
        <v>1101</v>
      </c>
      <c r="L27" s="151" t="s">
        <v>367</v>
      </c>
      <c r="M27" s="150">
        <v>3500097</v>
      </c>
      <c r="N27" s="19">
        <v>25</v>
      </c>
      <c r="O27" s="147">
        <v>5</v>
      </c>
      <c r="P27" s="147">
        <v>52.8</v>
      </c>
      <c r="Q27" s="147">
        <v>0</v>
      </c>
      <c r="R27" s="147">
        <f t="shared" si="1"/>
        <v>47.8</v>
      </c>
      <c r="S27" s="147">
        <v>15</v>
      </c>
      <c r="T27" s="147">
        <f t="shared" si="0"/>
        <v>62.8</v>
      </c>
      <c r="U27" s="19">
        <f t="shared" si="3"/>
        <v>-37.799999999999997</v>
      </c>
      <c r="V27" s="167">
        <f t="shared" si="2"/>
        <v>0</v>
      </c>
      <c r="W27" s="15"/>
      <c r="X27" s="15"/>
    </row>
    <row r="28" spans="1:24" x14ac:dyDescent="0.25">
      <c r="A28" s="147" t="s">
        <v>5</v>
      </c>
      <c r="B28" s="147" t="s">
        <v>352</v>
      </c>
      <c r="C28" s="153" t="s">
        <v>353</v>
      </c>
      <c r="D28" s="147" t="s">
        <v>339</v>
      </c>
      <c r="E28" s="153" t="s">
        <v>353</v>
      </c>
      <c r="F28" s="148">
        <v>25.4</v>
      </c>
      <c r="G28" s="148"/>
      <c r="H28" s="148">
        <v>1.6</v>
      </c>
      <c r="I28" s="147">
        <v>5840</v>
      </c>
      <c r="J28" s="147">
        <v>5.82</v>
      </c>
      <c r="K28" s="147"/>
      <c r="L28" s="151"/>
      <c r="M28" s="149"/>
      <c r="N28" s="19">
        <v>25</v>
      </c>
      <c r="O28" s="147">
        <v>0</v>
      </c>
      <c r="P28" s="147">
        <v>22.7</v>
      </c>
      <c r="Q28" s="147">
        <v>0</v>
      </c>
      <c r="R28" s="147">
        <f t="shared" si="1"/>
        <v>22.7</v>
      </c>
      <c r="S28" s="147">
        <v>0</v>
      </c>
      <c r="T28" s="147">
        <f t="shared" si="0"/>
        <v>22.7</v>
      </c>
      <c r="U28" s="19">
        <f t="shared" si="3"/>
        <v>2.3000000000000007</v>
      </c>
      <c r="V28" s="167">
        <f t="shared" si="2"/>
        <v>3.4500000000000011</v>
      </c>
      <c r="W28" s="15"/>
      <c r="X28" s="15"/>
    </row>
    <row r="29" spans="1:24" x14ac:dyDescent="0.25">
      <c r="A29" s="147" t="s">
        <v>10</v>
      </c>
      <c r="B29" s="147" t="s">
        <v>116</v>
      </c>
      <c r="C29" s="153" t="s">
        <v>338</v>
      </c>
      <c r="D29" s="147" t="s">
        <v>339</v>
      </c>
      <c r="E29" s="147" t="s">
        <v>340</v>
      </c>
      <c r="F29" s="148">
        <v>25.4</v>
      </c>
      <c r="G29" s="148"/>
      <c r="H29" s="148">
        <v>2</v>
      </c>
      <c r="I29" s="147">
        <v>6050</v>
      </c>
      <c r="J29" s="147"/>
      <c r="K29" s="147"/>
      <c r="L29" s="151"/>
      <c r="M29" s="149"/>
      <c r="N29" s="19">
        <v>0</v>
      </c>
      <c r="O29" s="147">
        <v>0</v>
      </c>
      <c r="P29" s="147">
        <v>13.4</v>
      </c>
      <c r="Q29" s="147">
        <v>0</v>
      </c>
      <c r="R29" s="147">
        <f t="shared" si="1"/>
        <v>13.4</v>
      </c>
      <c r="S29" s="147">
        <v>20</v>
      </c>
      <c r="T29" s="147">
        <f t="shared" si="0"/>
        <v>33.4</v>
      </c>
      <c r="U29" s="19">
        <f t="shared" si="3"/>
        <v>-33.4</v>
      </c>
      <c r="V29" s="167">
        <f t="shared" si="2"/>
        <v>0</v>
      </c>
      <c r="W29" s="15"/>
      <c r="X29" s="15"/>
    </row>
    <row r="30" spans="1:24" x14ac:dyDescent="0.25">
      <c r="A30" s="147" t="s">
        <v>10</v>
      </c>
      <c r="B30" s="147" t="s">
        <v>116</v>
      </c>
      <c r="C30" s="153" t="s">
        <v>338</v>
      </c>
      <c r="D30" s="147" t="s">
        <v>339</v>
      </c>
      <c r="E30" s="147" t="s">
        <v>340</v>
      </c>
      <c r="F30" s="148">
        <v>25.4</v>
      </c>
      <c r="G30" s="148"/>
      <c r="H30" s="148">
        <v>2.5</v>
      </c>
      <c r="I30" s="147">
        <v>5530</v>
      </c>
      <c r="J30" s="147">
        <v>5.53</v>
      </c>
      <c r="K30" s="147" t="s">
        <v>1102</v>
      </c>
      <c r="L30" s="151" t="s">
        <v>367</v>
      </c>
      <c r="M30" s="150">
        <v>3502256</v>
      </c>
      <c r="N30" s="19">
        <v>0</v>
      </c>
      <c r="O30" s="147">
        <v>10</v>
      </c>
      <c r="P30" s="147">
        <v>43</v>
      </c>
      <c r="Q30" s="147">
        <v>0</v>
      </c>
      <c r="R30" s="147">
        <f t="shared" si="1"/>
        <v>33</v>
      </c>
      <c r="S30" s="147">
        <v>2.8</v>
      </c>
      <c r="T30" s="147">
        <f t="shared" si="0"/>
        <v>35.799999999999997</v>
      </c>
      <c r="U30" s="19">
        <f t="shared" si="3"/>
        <v>-35.799999999999997</v>
      </c>
      <c r="V30" s="167">
        <f t="shared" si="2"/>
        <v>0</v>
      </c>
      <c r="W30" s="15"/>
      <c r="X30" s="15"/>
    </row>
    <row r="31" spans="1:24" x14ac:dyDescent="0.25">
      <c r="A31" s="147" t="s">
        <v>10</v>
      </c>
      <c r="B31" s="147" t="s">
        <v>346</v>
      </c>
      <c r="C31" s="153" t="s">
        <v>338</v>
      </c>
      <c r="D31" s="147" t="s">
        <v>348</v>
      </c>
      <c r="E31" s="147" t="s">
        <v>340</v>
      </c>
      <c r="F31" s="148">
        <v>28.6</v>
      </c>
      <c r="G31" s="148"/>
      <c r="H31" s="148">
        <v>1.2</v>
      </c>
      <c r="I31" s="147">
        <v>6000</v>
      </c>
      <c r="J31" s="147">
        <v>6</v>
      </c>
      <c r="K31" s="147" t="s">
        <v>1103</v>
      </c>
      <c r="L31" s="149"/>
      <c r="M31" s="150">
        <v>3702101</v>
      </c>
      <c r="N31" s="19">
        <v>0</v>
      </c>
      <c r="O31" s="147">
        <v>0</v>
      </c>
      <c r="P31" s="147">
        <v>2.2999999999999998</v>
      </c>
      <c r="Q31" s="147">
        <v>0</v>
      </c>
      <c r="R31" s="147">
        <f t="shared" si="1"/>
        <v>2.2999999999999998</v>
      </c>
      <c r="S31" s="147">
        <v>0</v>
      </c>
      <c r="T31" s="147">
        <f t="shared" si="0"/>
        <v>2.2999999999999998</v>
      </c>
      <c r="U31" s="19">
        <f t="shared" si="3"/>
        <v>-2.2999999999999998</v>
      </c>
      <c r="V31" s="167">
        <f t="shared" si="2"/>
        <v>0</v>
      </c>
      <c r="W31" s="15"/>
      <c r="X31" s="15"/>
    </row>
    <row r="32" spans="1:24" x14ac:dyDescent="0.25">
      <c r="A32" s="147" t="s">
        <v>10</v>
      </c>
      <c r="B32" s="147" t="s">
        <v>116</v>
      </c>
      <c r="C32" s="159" t="s">
        <v>356</v>
      </c>
      <c r="D32" s="147" t="s">
        <v>348</v>
      </c>
      <c r="E32" s="147" t="s">
        <v>357</v>
      </c>
      <c r="F32" s="168">
        <v>28.6</v>
      </c>
      <c r="G32" s="168"/>
      <c r="H32" s="168">
        <v>2.65</v>
      </c>
      <c r="I32" s="169">
        <v>6000</v>
      </c>
      <c r="J32" s="147">
        <v>6</v>
      </c>
      <c r="K32" s="147" t="s">
        <v>1104</v>
      </c>
      <c r="L32" s="151" t="s">
        <v>362</v>
      </c>
      <c r="M32" s="150">
        <v>2410388</v>
      </c>
      <c r="N32" s="19">
        <v>10</v>
      </c>
      <c r="O32" s="147">
        <v>0</v>
      </c>
      <c r="P32" s="147">
        <v>9.8000000000000007</v>
      </c>
      <c r="Q32" s="147">
        <v>0</v>
      </c>
      <c r="R32" s="147">
        <f t="shared" si="1"/>
        <v>9.8000000000000007</v>
      </c>
      <c r="S32" s="147">
        <v>0</v>
      </c>
      <c r="T32" s="147">
        <f t="shared" si="0"/>
        <v>9.8000000000000007</v>
      </c>
      <c r="U32" s="19">
        <f t="shared" si="3"/>
        <v>0.19999999999999929</v>
      </c>
      <c r="V32" s="167">
        <f t="shared" si="2"/>
        <v>0.29999999999999893</v>
      </c>
      <c r="W32" s="15"/>
      <c r="X32" s="15"/>
    </row>
    <row r="33" spans="1:24" x14ac:dyDescent="0.25">
      <c r="A33" s="147" t="s">
        <v>10</v>
      </c>
      <c r="B33" s="147" t="s">
        <v>346</v>
      </c>
      <c r="C33" s="153" t="s">
        <v>338</v>
      </c>
      <c r="D33" s="147" t="s">
        <v>348</v>
      </c>
      <c r="E33" s="147" t="s">
        <v>340</v>
      </c>
      <c r="F33" s="148">
        <v>31.75</v>
      </c>
      <c r="G33" s="148"/>
      <c r="H33" s="148">
        <v>1.2</v>
      </c>
      <c r="I33" s="147">
        <v>6000</v>
      </c>
      <c r="J33" s="147">
        <v>6</v>
      </c>
      <c r="K33" s="147" t="s">
        <v>1105</v>
      </c>
      <c r="L33" s="151" t="s">
        <v>367</v>
      </c>
      <c r="M33" s="150">
        <v>3884381</v>
      </c>
      <c r="N33" s="19">
        <v>0</v>
      </c>
      <c r="O33" s="147">
        <v>0</v>
      </c>
      <c r="P33" s="147">
        <v>29.1</v>
      </c>
      <c r="Q33" s="147">
        <v>2</v>
      </c>
      <c r="R33" s="147">
        <f t="shared" si="1"/>
        <v>29.1</v>
      </c>
      <c r="S33" s="147">
        <v>1.2</v>
      </c>
      <c r="T33" s="147">
        <f t="shared" si="0"/>
        <v>30.3</v>
      </c>
      <c r="U33" s="19">
        <f t="shared" si="3"/>
        <v>-30.3</v>
      </c>
      <c r="V33" s="167">
        <f t="shared" si="2"/>
        <v>0</v>
      </c>
      <c r="W33" s="15"/>
      <c r="X33" s="15"/>
    </row>
    <row r="34" spans="1:24" x14ac:dyDescent="0.25">
      <c r="A34" s="147" t="s">
        <v>10</v>
      </c>
      <c r="B34" s="147" t="s">
        <v>346</v>
      </c>
      <c r="C34" s="153" t="s">
        <v>338</v>
      </c>
      <c r="D34" s="147" t="s">
        <v>348</v>
      </c>
      <c r="E34" s="147" t="s">
        <v>340</v>
      </c>
      <c r="F34" s="148">
        <v>31.75</v>
      </c>
      <c r="G34" s="148"/>
      <c r="H34" s="148">
        <v>2</v>
      </c>
      <c r="I34" s="147">
        <v>6000</v>
      </c>
      <c r="J34" s="147">
        <v>6</v>
      </c>
      <c r="K34" s="147"/>
      <c r="L34" s="151"/>
      <c r="M34" s="150"/>
      <c r="N34" s="19">
        <v>0</v>
      </c>
      <c r="O34" s="147">
        <v>1</v>
      </c>
      <c r="P34" s="147">
        <v>10.4</v>
      </c>
      <c r="Q34" s="147">
        <v>1.5</v>
      </c>
      <c r="R34" s="147">
        <f t="shared" si="1"/>
        <v>9.4</v>
      </c>
      <c r="S34" s="147">
        <v>0</v>
      </c>
      <c r="T34" s="147">
        <f t="shared" si="0"/>
        <v>9.4</v>
      </c>
      <c r="U34" s="19">
        <f t="shared" si="3"/>
        <v>-9.4</v>
      </c>
      <c r="V34" s="167">
        <f t="shared" si="2"/>
        <v>0</v>
      </c>
      <c r="W34" s="15"/>
      <c r="X34" s="15"/>
    </row>
    <row r="35" spans="1:24" x14ac:dyDescent="0.25">
      <c r="A35" s="147" t="s">
        <v>5</v>
      </c>
      <c r="B35" s="147" t="s">
        <v>358</v>
      </c>
      <c r="C35" s="153" t="s">
        <v>338</v>
      </c>
      <c r="D35" s="147" t="s">
        <v>348</v>
      </c>
      <c r="E35" s="147" t="s">
        <v>340</v>
      </c>
      <c r="F35" s="148">
        <v>31.75</v>
      </c>
      <c r="G35" s="148"/>
      <c r="H35" s="148">
        <v>2.2999999999999998</v>
      </c>
      <c r="I35" s="147">
        <v>5920</v>
      </c>
      <c r="J35" s="147"/>
      <c r="K35" s="147"/>
      <c r="L35" s="149"/>
      <c r="M35" s="150"/>
      <c r="N35" s="19">
        <v>15</v>
      </c>
      <c r="O35" s="147">
        <v>2</v>
      </c>
      <c r="P35" s="147">
        <v>7</v>
      </c>
      <c r="Q35" s="147">
        <v>0</v>
      </c>
      <c r="R35" s="147">
        <f t="shared" si="1"/>
        <v>5</v>
      </c>
      <c r="S35" s="147">
        <v>0</v>
      </c>
      <c r="T35" s="147">
        <f t="shared" si="0"/>
        <v>5</v>
      </c>
      <c r="U35" s="19">
        <f t="shared" si="3"/>
        <v>10</v>
      </c>
      <c r="V35" s="167">
        <f t="shared" si="2"/>
        <v>15</v>
      </c>
      <c r="W35" s="15"/>
      <c r="X35" s="15"/>
    </row>
    <row r="36" spans="1:24" x14ac:dyDescent="0.25">
      <c r="A36" s="147">
        <v>0</v>
      </c>
      <c r="B36" s="147" t="s">
        <v>346</v>
      </c>
      <c r="C36" s="153" t="s">
        <v>338</v>
      </c>
      <c r="D36" s="147" t="s">
        <v>348</v>
      </c>
      <c r="E36" s="147" t="s">
        <v>340</v>
      </c>
      <c r="F36" s="148">
        <v>34.93</v>
      </c>
      <c r="G36" s="148"/>
      <c r="H36" s="148">
        <v>1.2</v>
      </c>
      <c r="I36" s="147">
        <v>6000</v>
      </c>
      <c r="J36" s="147">
        <v>6</v>
      </c>
      <c r="K36" s="147" t="s">
        <v>1106</v>
      </c>
      <c r="L36" s="149"/>
      <c r="M36" s="150">
        <v>1940701</v>
      </c>
      <c r="N36" s="19">
        <v>0</v>
      </c>
      <c r="O36" s="147">
        <v>3</v>
      </c>
      <c r="P36" s="147">
        <v>60</v>
      </c>
      <c r="Q36" s="147">
        <v>30</v>
      </c>
      <c r="R36" s="147">
        <f t="shared" si="1"/>
        <v>57</v>
      </c>
      <c r="S36" s="147">
        <v>47</v>
      </c>
      <c r="T36" s="147">
        <f t="shared" si="0"/>
        <v>104</v>
      </c>
      <c r="U36" s="19">
        <f t="shared" si="3"/>
        <v>-104</v>
      </c>
      <c r="V36" s="167">
        <f t="shared" si="2"/>
        <v>0</v>
      </c>
      <c r="W36" s="15"/>
      <c r="X36" s="15"/>
    </row>
    <row r="37" spans="1:24" x14ac:dyDescent="0.25">
      <c r="A37" s="147" t="s">
        <v>5</v>
      </c>
      <c r="B37" s="147" t="s">
        <v>358</v>
      </c>
      <c r="C37" s="153" t="s">
        <v>338</v>
      </c>
      <c r="D37" s="147" t="s">
        <v>348</v>
      </c>
      <c r="E37" s="147" t="s">
        <v>340</v>
      </c>
      <c r="F37" s="148">
        <v>34.93</v>
      </c>
      <c r="G37" s="148"/>
      <c r="H37" s="148">
        <v>1.2</v>
      </c>
      <c r="I37" s="147">
        <v>780</v>
      </c>
      <c r="J37" s="147">
        <v>0.62</v>
      </c>
      <c r="K37" s="147"/>
      <c r="L37" s="151" t="s">
        <v>345</v>
      </c>
      <c r="M37" s="150">
        <v>2397073</v>
      </c>
      <c r="N37" s="19">
        <v>10</v>
      </c>
      <c r="O37" s="147">
        <v>0</v>
      </c>
      <c r="P37" s="147">
        <v>0</v>
      </c>
      <c r="Q37" s="147">
        <v>0</v>
      </c>
      <c r="R37" s="147">
        <f t="shared" si="1"/>
        <v>0</v>
      </c>
      <c r="S37" s="147">
        <v>0</v>
      </c>
      <c r="T37" s="147">
        <f t="shared" si="0"/>
        <v>0</v>
      </c>
      <c r="U37" s="19">
        <f t="shared" si="3"/>
        <v>10</v>
      </c>
      <c r="V37" s="167">
        <f t="shared" si="2"/>
        <v>15</v>
      </c>
      <c r="W37" s="15"/>
      <c r="X37" s="15"/>
    </row>
    <row r="38" spans="1:24" x14ac:dyDescent="0.25">
      <c r="A38" s="147" t="s">
        <v>5</v>
      </c>
      <c r="B38" s="147" t="s">
        <v>359</v>
      </c>
      <c r="C38" s="153" t="s">
        <v>338</v>
      </c>
      <c r="D38" s="147" t="s">
        <v>348</v>
      </c>
      <c r="E38" s="147" t="s">
        <v>340</v>
      </c>
      <c r="F38" s="148">
        <v>34.93</v>
      </c>
      <c r="G38" s="148"/>
      <c r="H38" s="148">
        <v>1.2</v>
      </c>
      <c r="I38" s="147">
        <v>650</v>
      </c>
      <c r="J38" s="147">
        <v>0.7</v>
      </c>
      <c r="K38" s="147"/>
      <c r="L38" s="151" t="s">
        <v>345</v>
      </c>
      <c r="M38" s="150">
        <v>3649699</v>
      </c>
      <c r="N38" s="19">
        <v>10</v>
      </c>
      <c r="O38" s="147">
        <v>0</v>
      </c>
      <c r="P38" s="147">
        <v>0</v>
      </c>
      <c r="Q38" s="147">
        <v>0</v>
      </c>
      <c r="R38" s="147">
        <f t="shared" si="1"/>
        <v>0</v>
      </c>
      <c r="S38" s="147">
        <v>0</v>
      </c>
      <c r="T38" s="147">
        <f t="shared" si="0"/>
        <v>0</v>
      </c>
      <c r="U38" s="19">
        <f t="shared" si="3"/>
        <v>10</v>
      </c>
      <c r="V38" s="167">
        <f t="shared" si="2"/>
        <v>15</v>
      </c>
      <c r="W38" s="15"/>
      <c r="X38" s="15"/>
    </row>
    <row r="39" spans="1:24" x14ac:dyDescent="0.25">
      <c r="A39" s="147" t="s">
        <v>341</v>
      </c>
      <c r="B39" s="147" t="s">
        <v>342</v>
      </c>
      <c r="C39" s="155" t="s">
        <v>344</v>
      </c>
      <c r="D39" s="147" t="s">
        <v>348</v>
      </c>
      <c r="E39" s="147" t="s">
        <v>340</v>
      </c>
      <c r="F39" s="154">
        <v>34</v>
      </c>
      <c r="G39" s="154"/>
      <c r="H39" s="154">
        <v>1.4</v>
      </c>
      <c r="I39" s="155">
        <v>5660</v>
      </c>
      <c r="J39" s="147">
        <v>5.66</v>
      </c>
      <c r="K39" s="147" t="s">
        <v>1107</v>
      </c>
      <c r="L39" s="151" t="s">
        <v>362</v>
      </c>
      <c r="M39" s="150">
        <v>3702855</v>
      </c>
      <c r="N39" s="19">
        <v>5</v>
      </c>
      <c r="O39" s="147">
        <v>0</v>
      </c>
      <c r="P39" s="147">
        <v>0</v>
      </c>
      <c r="Q39" s="147">
        <v>0</v>
      </c>
      <c r="R39" s="147">
        <f t="shared" si="1"/>
        <v>0</v>
      </c>
      <c r="S39" s="147">
        <v>7.5</v>
      </c>
      <c r="T39" s="147">
        <f t="shared" si="0"/>
        <v>7.5</v>
      </c>
      <c r="U39" s="19">
        <f t="shared" si="3"/>
        <v>-2.5</v>
      </c>
      <c r="V39" s="167">
        <f t="shared" si="2"/>
        <v>0</v>
      </c>
      <c r="W39" s="15"/>
      <c r="X39" s="15"/>
    </row>
    <row r="40" spans="1:24" x14ac:dyDescent="0.25">
      <c r="A40" s="147" t="s">
        <v>10</v>
      </c>
      <c r="B40" s="147" t="s">
        <v>346</v>
      </c>
      <c r="C40" s="153" t="s">
        <v>360</v>
      </c>
      <c r="D40" s="147" t="s">
        <v>348</v>
      </c>
      <c r="E40" s="147" t="s">
        <v>349</v>
      </c>
      <c r="F40" s="148">
        <v>38.1</v>
      </c>
      <c r="G40" s="148"/>
      <c r="H40" s="148">
        <v>1.6</v>
      </c>
      <c r="I40" s="147">
        <v>6190</v>
      </c>
      <c r="J40" s="147">
        <v>6.19</v>
      </c>
      <c r="K40" s="147" t="s">
        <v>1108</v>
      </c>
      <c r="L40" s="151" t="s">
        <v>367</v>
      </c>
      <c r="M40" s="150">
        <v>3502254</v>
      </c>
      <c r="N40" s="19">
        <v>30</v>
      </c>
      <c r="O40" s="147">
        <v>10</v>
      </c>
      <c r="P40" s="147">
        <v>59</v>
      </c>
      <c r="Q40" s="147">
        <v>0</v>
      </c>
      <c r="R40" s="147">
        <f t="shared" si="1"/>
        <v>49</v>
      </c>
      <c r="S40" s="147">
        <v>0</v>
      </c>
      <c r="T40" s="147">
        <f t="shared" si="0"/>
        <v>49</v>
      </c>
      <c r="U40" s="19">
        <f t="shared" si="3"/>
        <v>-19</v>
      </c>
      <c r="V40" s="167">
        <f t="shared" si="2"/>
        <v>0</v>
      </c>
      <c r="W40" s="15"/>
      <c r="X40" s="15"/>
    </row>
    <row r="41" spans="1:24" x14ac:dyDescent="0.25">
      <c r="A41" s="147" t="s">
        <v>10</v>
      </c>
      <c r="B41" s="147" t="s">
        <v>346</v>
      </c>
      <c r="C41" s="153" t="s">
        <v>338</v>
      </c>
      <c r="D41" s="147" t="s">
        <v>348</v>
      </c>
      <c r="E41" s="147" t="s">
        <v>340</v>
      </c>
      <c r="F41" s="148">
        <v>38.1</v>
      </c>
      <c r="G41" s="148"/>
      <c r="H41" s="148">
        <v>2</v>
      </c>
      <c r="I41" s="147">
        <v>5650</v>
      </c>
      <c r="J41" s="147">
        <v>5.65</v>
      </c>
      <c r="K41" s="147" t="s">
        <v>1109</v>
      </c>
      <c r="L41" s="151" t="s">
        <v>367</v>
      </c>
      <c r="M41" s="150">
        <v>3500959</v>
      </c>
      <c r="N41" s="19">
        <v>20</v>
      </c>
      <c r="O41" s="147">
        <v>5</v>
      </c>
      <c r="P41" s="147">
        <v>35</v>
      </c>
      <c r="Q41" s="147">
        <v>0</v>
      </c>
      <c r="R41" s="147">
        <f t="shared" si="1"/>
        <v>30</v>
      </c>
      <c r="S41" s="147">
        <v>0</v>
      </c>
      <c r="T41" s="147">
        <f t="shared" si="0"/>
        <v>30</v>
      </c>
      <c r="U41" s="19">
        <f t="shared" si="3"/>
        <v>-10</v>
      </c>
      <c r="V41" s="167">
        <f t="shared" si="2"/>
        <v>0</v>
      </c>
      <c r="W41" s="15"/>
      <c r="X41" s="15"/>
    </row>
    <row r="42" spans="1:24" x14ac:dyDescent="0.25">
      <c r="A42" s="147" t="s">
        <v>10</v>
      </c>
      <c r="B42" s="147" t="s">
        <v>346</v>
      </c>
      <c r="C42" s="153" t="s">
        <v>344</v>
      </c>
      <c r="D42" s="147" t="s">
        <v>348</v>
      </c>
      <c r="E42" s="147" t="s">
        <v>349</v>
      </c>
      <c r="F42" s="148">
        <v>38.1</v>
      </c>
      <c r="G42" s="148"/>
      <c r="H42" s="148">
        <v>2.5</v>
      </c>
      <c r="I42" s="147">
        <v>6190</v>
      </c>
      <c r="J42" s="147">
        <v>6.19</v>
      </c>
      <c r="K42" s="147" t="s">
        <v>1110</v>
      </c>
      <c r="L42" s="151" t="s">
        <v>367</v>
      </c>
      <c r="M42" s="150">
        <v>3502007</v>
      </c>
      <c r="N42" s="19">
        <v>35</v>
      </c>
      <c r="O42" s="147">
        <v>10</v>
      </c>
      <c r="P42" s="147">
        <v>64</v>
      </c>
      <c r="Q42" s="147">
        <v>0</v>
      </c>
      <c r="R42" s="147">
        <f t="shared" si="1"/>
        <v>54</v>
      </c>
      <c r="S42" s="147">
        <v>16</v>
      </c>
      <c r="T42" s="147">
        <f t="shared" si="0"/>
        <v>70</v>
      </c>
      <c r="U42" s="19">
        <f t="shared" si="3"/>
        <v>-35</v>
      </c>
      <c r="V42" s="167">
        <f t="shared" si="2"/>
        <v>0</v>
      </c>
      <c r="W42" s="15"/>
      <c r="X42" s="15"/>
    </row>
    <row r="43" spans="1:24" s="45" customFormat="1" x14ac:dyDescent="0.25">
      <c r="A43" s="156" t="s">
        <v>5</v>
      </c>
      <c r="B43" s="156" t="s">
        <v>358</v>
      </c>
      <c r="C43" s="157" t="s">
        <v>344</v>
      </c>
      <c r="D43" s="156" t="s">
        <v>348</v>
      </c>
      <c r="E43" s="156" t="s">
        <v>361</v>
      </c>
      <c r="F43" s="248">
        <v>38.1</v>
      </c>
      <c r="G43" s="248"/>
      <c r="H43" s="248">
        <v>3.2</v>
      </c>
      <c r="I43" s="156">
        <v>6000</v>
      </c>
      <c r="J43" s="156">
        <v>6</v>
      </c>
      <c r="K43" s="156"/>
      <c r="L43" s="201"/>
      <c r="M43" s="245"/>
      <c r="N43" s="246">
        <v>10</v>
      </c>
      <c r="O43" s="147">
        <v>0</v>
      </c>
      <c r="P43" s="147">
        <v>1.9</v>
      </c>
      <c r="Q43" s="147">
        <v>0</v>
      </c>
      <c r="R43" s="156">
        <f t="shared" si="1"/>
        <v>1.9</v>
      </c>
      <c r="S43" s="147">
        <v>15</v>
      </c>
      <c r="T43" s="147">
        <f t="shared" si="0"/>
        <v>16.899999999999999</v>
      </c>
      <c r="U43" s="246">
        <f t="shared" si="3"/>
        <v>-6.8999999999999986</v>
      </c>
      <c r="V43" s="167">
        <f t="shared" si="2"/>
        <v>0</v>
      </c>
      <c r="W43" s="80" t="s">
        <v>1111</v>
      </c>
      <c r="X43" s="80"/>
    </row>
    <row r="44" spans="1:24" s="386" customFormat="1" x14ac:dyDescent="0.25">
      <c r="A44" s="147" t="s">
        <v>10</v>
      </c>
      <c r="B44" s="147" t="s">
        <v>116</v>
      </c>
      <c r="C44" s="147" t="s">
        <v>338</v>
      </c>
      <c r="D44" s="147" t="s">
        <v>348</v>
      </c>
      <c r="E44" s="147" t="s">
        <v>340</v>
      </c>
      <c r="F44" s="148">
        <v>41.28</v>
      </c>
      <c r="G44" s="148"/>
      <c r="H44" s="148">
        <v>2.6</v>
      </c>
      <c r="I44" s="147">
        <v>6000</v>
      </c>
      <c r="J44" s="147">
        <v>6</v>
      </c>
      <c r="K44" s="147" t="s">
        <v>1112</v>
      </c>
      <c r="L44" s="151" t="s">
        <v>345</v>
      </c>
      <c r="M44" s="150">
        <v>3994149</v>
      </c>
      <c r="N44" s="19">
        <v>35</v>
      </c>
      <c r="O44" s="147">
        <v>0</v>
      </c>
      <c r="P44" s="147">
        <v>0</v>
      </c>
      <c r="Q44" s="147">
        <v>18</v>
      </c>
      <c r="R44" s="147">
        <f t="shared" si="1"/>
        <v>0</v>
      </c>
      <c r="S44" s="147">
        <v>13</v>
      </c>
      <c r="T44" s="147">
        <f t="shared" si="0"/>
        <v>13</v>
      </c>
      <c r="U44" s="19">
        <f t="shared" si="3"/>
        <v>22</v>
      </c>
      <c r="V44" s="167">
        <f t="shared" si="2"/>
        <v>33</v>
      </c>
      <c r="W44" s="526"/>
      <c r="X44" s="526"/>
    </row>
    <row r="45" spans="1:24" x14ac:dyDescent="0.25">
      <c r="A45" s="147" t="s">
        <v>10</v>
      </c>
      <c r="B45" s="147" t="s">
        <v>116</v>
      </c>
      <c r="C45" s="159" t="s">
        <v>338</v>
      </c>
      <c r="D45" s="147" t="s">
        <v>348</v>
      </c>
      <c r="E45" s="147" t="s">
        <v>340</v>
      </c>
      <c r="F45" s="168" t="s">
        <v>363</v>
      </c>
      <c r="G45" s="168"/>
      <c r="H45" s="168">
        <v>1.6</v>
      </c>
      <c r="I45" s="169">
        <v>5900</v>
      </c>
      <c r="J45" s="147">
        <v>6.13</v>
      </c>
      <c r="K45" s="147"/>
      <c r="L45" s="151" t="s">
        <v>345</v>
      </c>
      <c r="M45" s="150"/>
      <c r="N45" s="19">
        <v>0</v>
      </c>
      <c r="O45" s="147">
        <v>0</v>
      </c>
      <c r="P45" s="147">
        <v>7.8</v>
      </c>
      <c r="Q45" s="147">
        <v>0</v>
      </c>
      <c r="R45" s="147">
        <f t="shared" si="1"/>
        <v>7.8</v>
      </c>
      <c r="S45" s="147">
        <v>0</v>
      </c>
      <c r="T45" s="147">
        <f t="shared" si="0"/>
        <v>7.8</v>
      </c>
      <c r="U45" s="19">
        <f t="shared" si="3"/>
        <v>-7.8</v>
      </c>
      <c r="V45" s="167">
        <f t="shared" si="2"/>
        <v>0</v>
      </c>
      <c r="W45" s="15"/>
      <c r="X45" s="15"/>
    </row>
    <row r="46" spans="1:24" x14ac:dyDescent="0.25">
      <c r="A46" s="147" t="s">
        <v>341</v>
      </c>
      <c r="B46" s="147" t="s">
        <v>342</v>
      </c>
      <c r="C46" s="153" t="s">
        <v>338</v>
      </c>
      <c r="D46" s="147" t="s">
        <v>348</v>
      </c>
      <c r="E46" s="147" t="s">
        <v>340</v>
      </c>
      <c r="F46" s="148">
        <v>41.28</v>
      </c>
      <c r="G46" s="148"/>
      <c r="H46" s="148">
        <v>3.15</v>
      </c>
      <c r="I46" s="147">
        <v>5860</v>
      </c>
      <c r="J46" s="147">
        <v>5.86</v>
      </c>
      <c r="K46" s="147" t="s">
        <v>1113</v>
      </c>
      <c r="L46" s="149"/>
      <c r="M46" s="150">
        <v>3673889</v>
      </c>
      <c r="N46" s="19">
        <v>30</v>
      </c>
      <c r="O46" s="147">
        <v>8</v>
      </c>
      <c r="P46" s="147">
        <v>58</v>
      </c>
      <c r="Q46" s="147">
        <v>0</v>
      </c>
      <c r="R46" s="147">
        <f t="shared" si="1"/>
        <v>50</v>
      </c>
      <c r="S46" s="147">
        <v>18.5</v>
      </c>
      <c r="T46" s="147">
        <f t="shared" si="0"/>
        <v>68.5</v>
      </c>
      <c r="U46" s="19">
        <f t="shared" si="3"/>
        <v>-38.5</v>
      </c>
      <c r="V46" s="167">
        <f t="shared" si="2"/>
        <v>0</v>
      </c>
      <c r="W46" s="15"/>
      <c r="X46" s="15"/>
    </row>
    <row r="47" spans="1:24" x14ac:dyDescent="0.25">
      <c r="A47" s="147" t="s">
        <v>10</v>
      </c>
      <c r="B47" s="147" t="s">
        <v>346</v>
      </c>
      <c r="C47" s="153" t="s">
        <v>364</v>
      </c>
      <c r="D47" s="147" t="s">
        <v>348</v>
      </c>
      <c r="E47" s="147" t="s">
        <v>340</v>
      </c>
      <c r="F47" s="148">
        <v>42.7</v>
      </c>
      <c r="G47" s="148"/>
      <c r="H47" s="148">
        <v>3.5</v>
      </c>
      <c r="I47" s="147">
        <v>6000</v>
      </c>
      <c r="J47" s="147">
        <v>6</v>
      </c>
      <c r="K47" s="147" t="s">
        <v>1114</v>
      </c>
      <c r="L47" s="151" t="s">
        <v>362</v>
      </c>
      <c r="M47" s="150">
        <v>2396465</v>
      </c>
      <c r="N47" s="19">
        <v>0</v>
      </c>
      <c r="O47" s="147">
        <v>0</v>
      </c>
      <c r="P47" s="147">
        <v>17</v>
      </c>
      <c r="Q47" s="147">
        <v>0</v>
      </c>
      <c r="R47" s="147">
        <f t="shared" si="1"/>
        <v>17</v>
      </c>
      <c r="S47" s="147">
        <v>0</v>
      </c>
      <c r="T47" s="147">
        <f t="shared" si="0"/>
        <v>17</v>
      </c>
      <c r="U47" s="19">
        <f t="shared" si="3"/>
        <v>-17</v>
      </c>
      <c r="V47" s="167">
        <f t="shared" si="2"/>
        <v>0</v>
      </c>
      <c r="W47" s="15"/>
      <c r="X47" s="15"/>
    </row>
    <row r="48" spans="1:24" x14ac:dyDescent="0.25">
      <c r="A48" s="147" t="s">
        <v>10</v>
      </c>
      <c r="B48" s="147" t="s">
        <v>346</v>
      </c>
      <c r="C48" s="153" t="s">
        <v>364</v>
      </c>
      <c r="D48" s="147" t="s">
        <v>348</v>
      </c>
      <c r="E48" s="147" t="s">
        <v>340</v>
      </c>
      <c r="F48" s="148">
        <v>42.7</v>
      </c>
      <c r="G48" s="148"/>
      <c r="H48" s="148">
        <v>4</v>
      </c>
      <c r="I48" s="147">
        <v>6000</v>
      </c>
      <c r="J48" s="147">
        <v>6</v>
      </c>
      <c r="K48" s="147" t="s">
        <v>1115</v>
      </c>
      <c r="L48" s="149"/>
      <c r="M48" s="150">
        <v>3501985</v>
      </c>
      <c r="N48" s="19">
        <v>30</v>
      </c>
      <c r="O48" s="147">
        <v>0</v>
      </c>
      <c r="P48" s="147">
        <v>0</v>
      </c>
      <c r="Q48" s="147">
        <v>0</v>
      </c>
      <c r="R48" s="147">
        <f t="shared" si="1"/>
        <v>0</v>
      </c>
      <c r="S48" s="147">
        <v>0</v>
      </c>
      <c r="T48" s="147">
        <f t="shared" si="0"/>
        <v>0</v>
      </c>
      <c r="U48" s="19">
        <f t="shared" si="3"/>
        <v>30</v>
      </c>
      <c r="V48" s="167">
        <f t="shared" si="2"/>
        <v>45</v>
      </c>
      <c r="W48" s="15"/>
      <c r="X48" s="15"/>
    </row>
    <row r="49" spans="1:24" x14ac:dyDescent="0.25">
      <c r="A49" s="147" t="s">
        <v>10</v>
      </c>
      <c r="B49" s="147" t="s">
        <v>346</v>
      </c>
      <c r="C49" s="155" t="s">
        <v>338</v>
      </c>
      <c r="D49" s="147" t="s">
        <v>348</v>
      </c>
      <c r="E49" s="147" t="s">
        <v>340</v>
      </c>
      <c r="F49" s="154" t="s">
        <v>365</v>
      </c>
      <c r="G49" s="154"/>
      <c r="H49" s="154">
        <v>1.6</v>
      </c>
      <c r="I49" s="155">
        <v>5900</v>
      </c>
      <c r="J49" s="147">
        <v>5.9</v>
      </c>
      <c r="K49" s="147"/>
      <c r="L49" s="151" t="s">
        <v>362</v>
      </c>
      <c r="M49" s="150">
        <v>3836440</v>
      </c>
      <c r="N49" s="19">
        <v>10</v>
      </c>
      <c r="O49" s="147">
        <v>2</v>
      </c>
      <c r="P49" s="147">
        <v>3</v>
      </c>
      <c r="Q49" s="147">
        <v>0</v>
      </c>
      <c r="R49" s="147">
        <f t="shared" si="1"/>
        <v>1</v>
      </c>
      <c r="S49" s="147">
        <v>0</v>
      </c>
      <c r="T49" s="147">
        <f t="shared" si="0"/>
        <v>1</v>
      </c>
      <c r="U49" s="19">
        <f t="shared" si="3"/>
        <v>9</v>
      </c>
      <c r="V49" s="167">
        <f t="shared" si="2"/>
        <v>13.5</v>
      </c>
      <c r="W49" s="15"/>
      <c r="X49" s="15"/>
    </row>
    <row r="50" spans="1:24" x14ac:dyDescent="0.25">
      <c r="A50" s="147" t="s">
        <v>341</v>
      </c>
      <c r="B50" s="147" t="s">
        <v>342</v>
      </c>
      <c r="C50" s="153" t="s">
        <v>344</v>
      </c>
      <c r="D50" s="147" t="s">
        <v>348</v>
      </c>
      <c r="E50" s="147" t="s">
        <v>349</v>
      </c>
      <c r="F50" s="148">
        <v>45</v>
      </c>
      <c r="G50" s="148"/>
      <c r="H50" s="148">
        <v>1.4</v>
      </c>
      <c r="I50" s="147">
        <v>6400</v>
      </c>
      <c r="J50" s="147">
        <v>6.42</v>
      </c>
      <c r="K50" s="147" t="s">
        <v>1116</v>
      </c>
      <c r="L50" s="149"/>
      <c r="M50" s="150">
        <v>3502343</v>
      </c>
      <c r="N50" s="19">
        <v>0</v>
      </c>
      <c r="O50" s="147">
        <v>0</v>
      </c>
      <c r="P50" s="147">
        <v>46</v>
      </c>
      <c r="Q50" s="147">
        <v>0</v>
      </c>
      <c r="R50" s="147">
        <f t="shared" si="1"/>
        <v>46</v>
      </c>
      <c r="S50" s="147">
        <v>0</v>
      </c>
      <c r="T50" s="147">
        <f t="shared" si="0"/>
        <v>46</v>
      </c>
      <c r="U50" s="19">
        <f t="shared" si="3"/>
        <v>-46</v>
      </c>
      <c r="V50" s="167">
        <f t="shared" si="2"/>
        <v>0</v>
      </c>
      <c r="W50" s="15"/>
      <c r="X50" s="15"/>
    </row>
    <row r="51" spans="1:24" x14ac:dyDescent="0.25">
      <c r="A51" s="147" t="s">
        <v>341</v>
      </c>
      <c r="B51" s="147" t="s">
        <v>342</v>
      </c>
      <c r="C51" s="153" t="s">
        <v>338</v>
      </c>
      <c r="D51" s="147" t="s">
        <v>348</v>
      </c>
      <c r="E51" s="147" t="s">
        <v>340</v>
      </c>
      <c r="F51" s="148">
        <v>45</v>
      </c>
      <c r="G51" s="148"/>
      <c r="H51" s="148">
        <v>1.4</v>
      </c>
      <c r="I51" s="147">
        <v>5700</v>
      </c>
      <c r="J51" s="147">
        <v>5.7</v>
      </c>
      <c r="K51" s="147" t="s">
        <v>1117</v>
      </c>
      <c r="L51" s="151" t="s">
        <v>367</v>
      </c>
      <c r="M51" s="150">
        <v>3545558</v>
      </c>
      <c r="N51" s="19">
        <v>0</v>
      </c>
      <c r="O51" s="147">
        <v>0</v>
      </c>
      <c r="P51" s="147">
        <v>8</v>
      </c>
      <c r="Q51" s="147">
        <v>0</v>
      </c>
      <c r="R51" s="147">
        <f t="shared" si="1"/>
        <v>8</v>
      </c>
      <c r="S51" s="147">
        <v>0</v>
      </c>
      <c r="T51" s="147">
        <f t="shared" si="0"/>
        <v>8</v>
      </c>
      <c r="U51" s="19">
        <f t="shared" si="3"/>
        <v>-8</v>
      </c>
      <c r="V51" s="167">
        <f t="shared" si="2"/>
        <v>0</v>
      </c>
      <c r="W51" s="15"/>
      <c r="X51" s="15"/>
    </row>
    <row r="52" spans="1:24" x14ac:dyDescent="0.25">
      <c r="A52" s="147" t="s">
        <v>341</v>
      </c>
      <c r="B52" s="147" t="s">
        <v>342</v>
      </c>
      <c r="C52" s="153" t="s">
        <v>344</v>
      </c>
      <c r="D52" s="147" t="s">
        <v>348</v>
      </c>
      <c r="E52" s="147" t="s">
        <v>349</v>
      </c>
      <c r="F52" s="148">
        <v>45</v>
      </c>
      <c r="G52" s="148"/>
      <c r="H52" s="148">
        <v>1.6</v>
      </c>
      <c r="I52" s="147">
        <v>6400</v>
      </c>
      <c r="J52" s="147">
        <v>6.42</v>
      </c>
      <c r="K52" s="147" t="s">
        <v>1118</v>
      </c>
      <c r="L52" s="149"/>
      <c r="M52" s="150">
        <v>3502388</v>
      </c>
      <c r="N52" s="19">
        <v>0</v>
      </c>
      <c r="O52" s="147">
        <v>0</v>
      </c>
      <c r="P52" s="147">
        <v>15</v>
      </c>
      <c r="Q52" s="147">
        <v>0</v>
      </c>
      <c r="R52" s="147">
        <f t="shared" si="1"/>
        <v>15</v>
      </c>
      <c r="S52" s="147">
        <v>0</v>
      </c>
      <c r="T52" s="147">
        <f t="shared" si="0"/>
        <v>15</v>
      </c>
      <c r="U52" s="19">
        <f t="shared" si="3"/>
        <v>-15</v>
      </c>
      <c r="V52" s="167">
        <f t="shared" si="2"/>
        <v>0</v>
      </c>
      <c r="W52" s="15"/>
      <c r="X52" s="15"/>
    </row>
    <row r="53" spans="1:24" x14ac:dyDescent="0.25">
      <c r="A53" s="147" t="s">
        <v>341</v>
      </c>
      <c r="B53" s="147" t="s">
        <v>342</v>
      </c>
      <c r="C53" s="153" t="s">
        <v>366</v>
      </c>
      <c r="D53" s="147" t="s">
        <v>348</v>
      </c>
      <c r="E53" s="147" t="s">
        <v>366</v>
      </c>
      <c r="F53" s="148">
        <v>45</v>
      </c>
      <c r="G53" s="148"/>
      <c r="H53" s="148">
        <v>3.5</v>
      </c>
      <c r="I53" s="147">
        <v>6100</v>
      </c>
      <c r="J53" s="147"/>
      <c r="K53" s="147"/>
      <c r="L53" s="149"/>
      <c r="M53" s="15">
        <v>3500263</v>
      </c>
      <c r="N53" s="19">
        <v>10</v>
      </c>
      <c r="O53" s="147">
        <v>0</v>
      </c>
      <c r="P53" s="147">
        <v>6</v>
      </c>
      <c r="Q53" s="147">
        <v>0</v>
      </c>
      <c r="R53" s="147">
        <f t="shared" si="1"/>
        <v>6</v>
      </c>
      <c r="S53" s="147">
        <v>18</v>
      </c>
      <c r="T53" s="147">
        <f t="shared" si="0"/>
        <v>24</v>
      </c>
      <c r="U53" s="19">
        <f t="shared" si="3"/>
        <v>-14</v>
      </c>
      <c r="V53" s="167">
        <f t="shared" si="2"/>
        <v>0</v>
      </c>
      <c r="W53" s="15"/>
      <c r="X53" s="15"/>
    </row>
    <row r="54" spans="1:24" x14ac:dyDescent="0.25">
      <c r="A54" s="147" t="s">
        <v>5</v>
      </c>
      <c r="B54" s="147" t="s">
        <v>358</v>
      </c>
      <c r="C54" s="153" t="s">
        <v>366</v>
      </c>
      <c r="D54" s="147" t="s">
        <v>348</v>
      </c>
      <c r="E54" s="147" t="s">
        <v>357</v>
      </c>
      <c r="F54" s="148">
        <v>47.63</v>
      </c>
      <c r="G54" s="148"/>
      <c r="H54" s="148">
        <v>4</v>
      </c>
      <c r="I54" s="147">
        <v>6040</v>
      </c>
      <c r="J54" s="147">
        <v>6.04</v>
      </c>
      <c r="K54" s="147"/>
      <c r="L54" s="149"/>
      <c r="M54" s="150"/>
      <c r="N54" s="19">
        <v>0</v>
      </c>
      <c r="O54" s="147">
        <v>0</v>
      </c>
      <c r="P54" s="147">
        <v>1.4</v>
      </c>
      <c r="Q54" s="147">
        <v>0</v>
      </c>
      <c r="R54" s="147">
        <f t="shared" si="1"/>
        <v>1.4</v>
      </c>
      <c r="S54" s="147">
        <v>13.5</v>
      </c>
      <c r="T54" s="147">
        <f t="shared" si="0"/>
        <v>14.9</v>
      </c>
      <c r="U54" s="19">
        <f t="shared" si="3"/>
        <v>-14.9</v>
      </c>
      <c r="V54" s="167">
        <f t="shared" si="2"/>
        <v>0</v>
      </c>
      <c r="W54" s="15"/>
      <c r="X54" s="15"/>
    </row>
    <row r="55" spans="1:24" x14ac:dyDescent="0.25">
      <c r="A55" s="147" t="s">
        <v>5</v>
      </c>
      <c r="B55" s="147" t="s">
        <v>358</v>
      </c>
      <c r="C55" s="153" t="s">
        <v>338</v>
      </c>
      <c r="D55" s="147" t="s">
        <v>348</v>
      </c>
      <c r="E55" s="147" t="s">
        <v>340</v>
      </c>
      <c r="F55" s="148">
        <v>48</v>
      </c>
      <c r="G55" s="148"/>
      <c r="H55" s="148">
        <v>1.2</v>
      </c>
      <c r="I55" s="147">
        <v>780</v>
      </c>
      <c r="J55" s="147">
        <v>0.62</v>
      </c>
      <c r="K55" s="147"/>
      <c r="L55" s="151" t="s">
        <v>345</v>
      </c>
      <c r="M55" s="150">
        <v>2397072</v>
      </c>
      <c r="N55" s="19">
        <v>15</v>
      </c>
      <c r="O55" s="147">
        <v>0</v>
      </c>
      <c r="P55" s="147">
        <v>0</v>
      </c>
      <c r="Q55" s="147">
        <v>0</v>
      </c>
      <c r="R55" s="147">
        <f t="shared" si="1"/>
        <v>0</v>
      </c>
      <c r="S55" s="147">
        <v>0</v>
      </c>
      <c r="T55" s="147">
        <f t="shared" si="0"/>
        <v>0</v>
      </c>
      <c r="U55" s="19">
        <f t="shared" si="3"/>
        <v>15</v>
      </c>
      <c r="V55" s="167">
        <f t="shared" si="2"/>
        <v>22.5</v>
      </c>
      <c r="W55" s="15"/>
      <c r="X55" s="15"/>
    </row>
    <row r="56" spans="1:24" x14ac:dyDescent="0.25">
      <c r="A56" s="147" t="s">
        <v>5</v>
      </c>
      <c r="B56" s="147" t="s">
        <v>359</v>
      </c>
      <c r="C56" s="153" t="s">
        <v>338</v>
      </c>
      <c r="D56" s="147" t="s">
        <v>348</v>
      </c>
      <c r="E56" s="147" t="s">
        <v>340</v>
      </c>
      <c r="F56" s="148">
        <v>48</v>
      </c>
      <c r="G56" s="148"/>
      <c r="H56" s="148">
        <v>1.2</v>
      </c>
      <c r="I56" s="147">
        <v>650</v>
      </c>
      <c r="J56" s="147">
        <v>0.7</v>
      </c>
      <c r="K56" s="147"/>
      <c r="L56" s="151" t="s">
        <v>345</v>
      </c>
      <c r="M56" s="150">
        <v>3649700</v>
      </c>
      <c r="N56" s="19">
        <v>14</v>
      </c>
      <c r="O56" s="147">
        <v>0</v>
      </c>
      <c r="P56" s="147">
        <v>0</v>
      </c>
      <c r="Q56" s="147">
        <v>0</v>
      </c>
      <c r="R56" s="147">
        <f t="shared" si="1"/>
        <v>0</v>
      </c>
      <c r="S56" s="147">
        <v>0</v>
      </c>
      <c r="T56" s="147">
        <f t="shared" si="0"/>
        <v>0</v>
      </c>
      <c r="U56" s="19">
        <f t="shared" si="3"/>
        <v>14</v>
      </c>
      <c r="V56" s="167">
        <f t="shared" si="2"/>
        <v>21</v>
      </c>
      <c r="W56" s="15"/>
      <c r="X56" s="15"/>
    </row>
    <row r="57" spans="1:24" x14ac:dyDescent="0.25">
      <c r="A57" s="147" t="s">
        <v>341</v>
      </c>
      <c r="B57" s="147" t="s">
        <v>342</v>
      </c>
      <c r="C57" s="153" t="s">
        <v>344</v>
      </c>
      <c r="D57" s="147" t="s">
        <v>348</v>
      </c>
      <c r="E57" s="147" t="s">
        <v>349</v>
      </c>
      <c r="F57" s="148">
        <v>48.6</v>
      </c>
      <c r="G57" s="148"/>
      <c r="H57" s="148">
        <v>2</v>
      </c>
      <c r="I57" s="147">
        <v>6270</v>
      </c>
      <c r="J57" s="147">
        <v>6.27</v>
      </c>
      <c r="K57" s="147" t="s">
        <v>1119</v>
      </c>
      <c r="L57" s="149"/>
      <c r="M57" s="150">
        <v>3502301</v>
      </c>
      <c r="N57" s="19">
        <v>0</v>
      </c>
      <c r="O57" s="147">
        <v>0</v>
      </c>
      <c r="P57" s="147">
        <v>24</v>
      </c>
      <c r="Q57" s="147">
        <v>0</v>
      </c>
      <c r="R57" s="147">
        <f t="shared" si="1"/>
        <v>24</v>
      </c>
      <c r="S57" s="147">
        <v>0</v>
      </c>
      <c r="T57" s="147">
        <f t="shared" si="0"/>
        <v>24</v>
      </c>
      <c r="U57" s="19">
        <f t="shared" si="3"/>
        <v>-24</v>
      </c>
      <c r="V57" s="167">
        <f t="shared" si="2"/>
        <v>0</v>
      </c>
      <c r="W57" s="15"/>
      <c r="X57" s="15"/>
    </row>
    <row r="58" spans="1:24" x14ac:dyDescent="0.25">
      <c r="A58" s="147" t="s">
        <v>341</v>
      </c>
      <c r="B58" s="147" t="s">
        <v>342</v>
      </c>
      <c r="C58" s="153" t="s">
        <v>344</v>
      </c>
      <c r="D58" s="147" t="s">
        <v>348</v>
      </c>
      <c r="E58" s="147" t="s">
        <v>349</v>
      </c>
      <c r="F58" s="148">
        <v>48.6</v>
      </c>
      <c r="G58" s="148"/>
      <c r="H58" s="148">
        <v>2.2999999999999998</v>
      </c>
      <c r="I58" s="147">
        <v>6270</v>
      </c>
      <c r="J58" s="147">
        <v>6.27</v>
      </c>
      <c r="K58" s="147" t="s">
        <v>1120</v>
      </c>
      <c r="L58" s="149"/>
      <c r="M58" s="150">
        <v>3549720</v>
      </c>
      <c r="N58" s="19">
        <v>0</v>
      </c>
      <c r="O58" s="147">
        <v>0</v>
      </c>
      <c r="P58" s="147">
        <v>23</v>
      </c>
      <c r="Q58" s="147">
        <v>0</v>
      </c>
      <c r="R58" s="147">
        <f t="shared" si="1"/>
        <v>23</v>
      </c>
      <c r="S58" s="147">
        <v>0</v>
      </c>
      <c r="T58" s="147">
        <f t="shared" si="0"/>
        <v>23</v>
      </c>
      <c r="U58" s="19">
        <f t="shared" si="3"/>
        <v>-23</v>
      </c>
      <c r="V58" s="167">
        <f t="shared" si="2"/>
        <v>0</v>
      </c>
      <c r="W58" s="15"/>
      <c r="X58" s="15"/>
    </row>
    <row r="59" spans="1:24" x14ac:dyDescent="0.25">
      <c r="A59" s="147" t="s">
        <v>341</v>
      </c>
      <c r="B59" s="147" t="s">
        <v>342</v>
      </c>
      <c r="C59" s="153" t="s">
        <v>338</v>
      </c>
      <c r="D59" s="147" t="s">
        <v>348</v>
      </c>
      <c r="E59" s="147" t="s">
        <v>340</v>
      </c>
      <c r="F59" s="148">
        <v>48.6</v>
      </c>
      <c r="G59" s="148"/>
      <c r="H59" s="148">
        <v>3.5</v>
      </c>
      <c r="I59" s="147">
        <v>6000</v>
      </c>
      <c r="J59" s="147">
        <v>6</v>
      </c>
      <c r="K59" s="147" t="s">
        <v>1121</v>
      </c>
      <c r="L59" s="149"/>
      <c r="M59" s="150">
        <v>3502422</v>
      </c>
      <c r="N59" s="19">
        <v>20</v>
      </c>
      <c r="O59" s="147">
        <v>0</v>
      </c>
      <c r="P59" s="147">
        <v>0</v>
      </c>
      <c r="Q59" s="147">
        <v>0</v>
      </c>
      <c r="R59" s="147">
        <f t="shared" si="1"/>
        <v>0</v>
      </c>
      <c r="S59" s="147">
        <v>0</v>
      </c>
      <c r="T59" s="147">
        <f t="shared" si="0"/>
        <v>0</v>
      </c>
      <c r="U59" s="19">
        <f t="shared" si="3"/>
        <v>20</v>
      </c>
      <c r="V59" s="167">
        <f t="shared" si="2"/>
        <v>30</v>
      </c>
      <c r="W59" s="15"/>
      <c r="X59" s="15"/>
    </row>
    <row r="60" spans="1:24" x14ac:dyDescent="0.25">
      <c r="A60" s="147" t="s">
        <v>10</v>
      </c>
      <c r="B60" s="147" t="s">
        <v>116</v>
      </c>
      <c r="C60" s="153" t="s">
        <v>338</v>
      </c>
      <c r="D60" s="147" t="s">
        <v>348</v>
      </c>
      <c r="E60" s="147" t="s">
        <v>340</v>
      </c>
      <c r="F60" s="168" t="s">
        <v>368</v>
      </c>
      <c r="G60" s="168"/>
      <c r="H60" s="168">
        <v>1.6</v>
      </c>
      <c r="I60" s="147">
        <v>6000</v>
      </c>
      <c r="J60" s="147">
        <v>6</v>
      </c>
      <c r="K60" s="147"/>
      <c r="L60" s="151" t="s">
        <v>345</v>
      </c>
      <c r="M60" s="150"/>
      <c r="N60" s="19">
        <v>5</v>
      </c>
      <c r="O60" s="147">
        <v>0</v>
      </c>
      <c r="P60" s="147">
        <v>0</v>
      </c>
      <c r="Q60" s="147">
        <v>0</v>
      </c>
      <c r="R60" s="147">
        <f t="shared" si="1"/>
        <v>0</v>
      </c>
      <c r="S60" s="147">
        <v>0</v>
      </c>
      <c r="T60" s="147">
        <f t="shared" si="0"/>
        <v>0</v>
      </c>
      <c r="U60" s="19">
        <f t="shared" si="3"/>
        <v>5</v>
      </c>
      <c r="V60" s="167">
        <f t="shared" si="2"/>
        <v>7.5</v>
      </c>
      <c r="W60" s="15"/>
      <c r="X60" s="15"/>
    </row>
    <row r="61" spans="1:24" x14ac:dyDescent="0.25">
      <c r="A61" s="147" t="s">
        <v>5</v>
      </c>
      <c r="B61" s="147" t="s">
        <v>369</v>
      </c>
      <c r="C61" s="153" t="s">
        <v>338</v>
      </c>
      <c r="D61" s="147" t="s">
        <v>348</v>
      </c>
      <c r="E61" s="147" t="s">
        <v>340</v>
      </c>
      <c r="F61" s="168" t="s">
        <v>368</v>
      </c>
      <c r="G61" s="168"/>
      <c r="H61" s="168">
        <v>1.6</v>
      </c>
      <c r="I61" s="169">
        <v>572.5</v>
      </c>
      <c r="J61" s="147">
        <v>0.57250000000000001</v>
      </c>
      <c r="K61" s="147" t="s">
        <v>1122</v>
      </c>
      <c r="L61" s="151" t="s">
        <v>345</v>
      </c>
      <c r="M61" s="150">
        <v>2420716</v>
      </c>
      <c r="N61" s="19">
        <v>20</v>
      </c>
      <c r="O61" s="147">
        <v>0</v>
      </c>
      <c r="P61" s="147">
        <v>0</v>
      </c>
      <c r="Q61" s="147">
        <v>0</v>
      </c>
      <c r="R61" s="147">
        <f t="shared" si="1"/>
        <v>0</v>
      </c>
      <c r="S61" s="147">
        <v>0</v>
      </c>
      <c r="T61" s="147">
        <f t="shared" si="0"/>
        <v>0</v>
      </c>
      <c r="U61" s="19">
        <f t="shared" si="3"/>
        <v>20</v>
      </c>
      <c r="V61" s="167">
        <f t="shared" si="2"/>
        <v>30</v>
      </c>
      <c r="W61" s="15"/>
      <c r="X61" s="15"/>
    </row>
    <row r="62" spans="1:24" x14ac:dyDescent="0.25">
      <c r="A62" s="147" t="s">
        <v>5</v>
      </c>
      <c r="B62" s="147" t="s">
        <v>358</v>
      </c>
      <c r="C62" s="153" t="s">
        <v>338</v>
      </c>
      <c r="D62" s="147" t="s">
        <v>348</v>
      </c>
      <c r="E62" s="147" t="s">
        <v>340</v>
      </c>
      <c r="F62" s="168" t="s">
        <v>370</v>
      </c>
      <c r="G62" s="168"/>
      <c r="H62" s="168">
        <v>1.6</v>
      </c>
      <c r="I62" s="169">
        <v>6040</v>
      </c>
      <c r="J62" s="147">
        <v>6.04</v>
      </c>
      <c r="K62" s="147"/>
      <c r="L62" s="151"/>
      <c r="M62" s="150"/>
      <c r="N62" s="19">
        <v>10</v>
      </c>
      <c r="O62" s="147">
        <v>2</v>
      </c>
      <c r="P62" s="147">
        <v>3</v>
      </c>
      <c r="Q62" s="147">
        <v>0</v>
      </c>
      <c r="R62" s="147">
        <f t="shared" si="1"/>
        <v>1</v>
      </c>
      <c r="S62" s="147">
        <v>0</v>
      </c>
      <c r="T62" s="147">
        <f t="shared" si="0"/>
        <v>1</v>
      </c>
      <c r="U62" s="19">
        <f t="shared" si="3"/>
        <v>9</v>
      </c>
      <c r="V62" s="167">
        <f t="shared" si="2"/>
        <v>13.5</v>
      </c>
      <c r="W62" s="15"/>
      <c r="X62" s="15"/>
    </row>
    <row r="63" spans="1:24" x14ac:dyDescent="0.25">
      <c r="A63" s="147" t="s">
        <v>5</v>
      </c>
      <c r="B63" s="147" t="s">
        <v>358</v>
      </c>
      <c r="C63" s="153" t="s">
        <v>338</v>
      </c>
      <c r="D63" s="147" t="s">
        <v>348</v>
      </c>
      <c r="E63" s="147" t="s">
        <v>340</v>
      </c>
      <c r="F63" s="168">
        <v>50.8</v>
      </c>
      <c r="G63" s="168"/>
      <c r="H63" s="168">
        <v>2.6</v>
      </c>
      <c r="I63" s="169">
        <v>6000</v>
      </c>
      <c r="J63" s="147">
        <v>6</v>
      </c>
      <c r="K63" s="147">
        <v>0</v>
      </c>
      <c r="L63" s="151" t="s">
        <v>1123</v>
      </c>
      <c r="M63" s="150"/>
      <c r="N63" s="19">
        <v>0</v>
      </c>
      <c r="O63" s="147">
        <v>0</v>
      </c>
      <c r="P63" s="147">
        <v>27</v>
      </c>
      <c r="Q63" s="147">
        <v>9</v>
      </c>
      <c r="R63" s="147">
        <f t="shared" si="1"/>
        <v>27</v>
      </c>
      <c r="S63" s="147">
        <v>20</v>
      </c>
      <c r="T63" s="147">
        <f t="shared" si="0"/>
        <v>47</v>
      </c>
      <c r="U63" s="19">
        <v>5</v>
      </c>
      <c r="V63" s="167">
        <f t="shared" si="2"/>
        <v>7.5</v>
      </c>
      <c r="W63" s="15"/>
      <c r="X63" s="15"/>
    </row>
    <row r="64" spans="1:24" s="45" customFormat="1" x14ac:dyDescent="0.25">
      <c r="A64" s="156" t="s">
        <v>5</v>
      </c>
      <c r="B64" s="156" t="s">
        <v>358</v>
      </c>
      <c r="C64" s="157" t="s">
        <v>366</v>
      </c>
      <c r="D64" s="156" t="s">
        <v>348</v>
      </c>
      <c r="E64" s="156" t="s">
        <v>357</v>
      </c>
      <c r="F64" s="398">
        <v>50.8</v>
      </c>
      <c r="G64" s="398">
        <v>45.6</v>
      </c>
      <c r="H64" s="398">
        <v>2.6</v>
      </c>
      <c r="I64" s="399">
        <v>6000</v>
      </c>
      <c r="J64" s="156">
        <v>6</v>
      </c>
      <c r="K64" s="156">
        <v>0</v>
      </c>
      <c r="L64" s="201"/>
      <c r="M64" s="245"/>
      <c r="N64" s="246">
        <v>0</v>
      </c>
      <c r="O64" s="156">
        <v>0</v>
      </c>
      <c r="P64" s="156">
        <v>1.2</v>
      </c>
      <c r="Q64" s="156">
        <v>0</v>
      </c>
      <c r="R64" s="156">
        <f t="shared" si="1"/>
        <v>1.2</v>
      </c>
      <c r="S64" s="156">
        <v>32</v>
      </c>
      <c r="T64" s="156">
        <f t="shared" si="0"/>
        <v>33.200000000000003</v>
      </c>
      <c r="U64" s="246">
        <v>5</v>
      </c>
      <c r="V64" s="247">
        <f t="shared" si="2"/>
        <v>7.5</v>
      </c>
      <c r="W64" s="80"/>
      <c r="X64" s="80"/>
    </row>
    <row r="65" spans="1:24" x14ac:dyDescent="0.25">
      <c r="A65" s="147" t="s">
        <v>10</v>
      </c>
      <c r="B65" s="147" t="s">
        <v>112</v>
      </c>
      <c r="C65" s="153" t="s">
        <v>338</v>
      </c>
      <c r="D65" s="147" t="s">
        <v>348</v>
      </c>
      <c r="E65" s="147" t="s">
        <v>340</v>
      </c>
      <c r="F65" s="168">
        <v>54</v>
      </c>
      <c r="G65" s="168"/>
      <c r="H65" s="168">
        <v>3</v>
      </c>
      <c r="I65" s="169">
        <v>59100</v>
      </c>
      <c r="J65" s="147"/>
      <c r="K65" s="147"/>
      <c r="L65" s="151"/>
      <c r="M65" s="150"/>
      <c r="N65" s="19">
        <v>15</v>
      </c>
      <c r="O65" s="147">
        <v>0</v>
      </c>
      <c r="P65" s="147">
        <v>0</v>
      </c>
      <c r="Q65" s="147">
        <v>0</v>
      </c>
      <c r="R65" s="147">
        <f t="shared" si="1"/>
        <v>0</v>
      </c>
      <c r="S65" s="147">
        <v>15</v>
      </c>
      <c r="T65" s="147">
        <f t="shared" si="0"/>
        <v>15</v>
      </c>
      <c r="U65" s="19">
        <v>10</v>
      </c>
      <c r="V65" s="167">
        <f t="shared" si="2"/>
        <v>15</v>
      </c>
      <c r="W65" s="15"/>
      <c r="X65" s="15"/>
    </row>
    <row r="66" spans="1:24" x14ac:dyDescent="0.25">
      <c r="A66" s="147" t="s">
        <v>10</v>
      </c>
      <c r="B66" s="147" t="s">
        <v>346</v>
      </c>
      <c r="C66" s="153" t="s">
        <v>338</v>
      </c>
      <c r="D66" s="147" t="s">
        <v>348</v>
      </c>
      <c r="E66" s="147" t="s">
        <v>340</v>
      </c>
      <c r="F66" s="148">
        <v>57.15</v>
      </c>
      <c r="G66" s="148"/>
      <c r="H66" s="148">
        <v>2.5</v>
      </c>
      <c r="I66" s="147">
        <v>5710</v>
      </c>
      <c r="J66" s="147">
        <v>5.71</v>
      </c>
      <c r="K66" s="147"/>
      <c r="L66" s="151" t="s">
        <v>367</v>
      </c>
      <c r="M66" s="150">
        <v>3907863</v>
      </c>
      <c r="N66" s="19">
        <v>60</v>
      </c>
      <c r="O66" s="147">
        <v>10</v>
      </c>
      <c r="P66" s="147">
        <v>69.5</v>
      </c>
      <c r="Q66" s="147">
        <v>0</v>
      </c>
      <c r="R66" s="147">
        <f t="shared" si="1"/>
        <v>59.5</v>
      </c>
      <c r="S66" s="147">
        <v>59</v>
      </c>
      <c r="T66" s="147">
        <f t="shared" si="0"/>
        <v>118.5</v>
      </c>
      <c r="U66" s="19">
        <f t="shared" si="3"/>
        <v>-58.5</v>
      </c>
      <c r="V66" s="167">
        <f t="shared" si="2"/>
        <v>0</v>
      </c>
      <c r="W66" s="15"/>
      <c r="X66" s="15"/>
    </row>
    <row r="67" spans="1:24" x14ac:dyDescent="0.25">
      <c r="A67" s="147" t="s">
        <v>10</v>
      </c>
      <c r="B67" s="147" t="s">
        <v>346</v>
      </c>
      <c r="C67" s="153" t="s">
        <v>338</v>
      </c>
      <c r="D67" s="147" t="s">
        <v>348</v>
      </c>
      <c r="E67" s="147" t="s">
        <v>340</v>
      </c>
      <c r="F67" s="148">
        <v>57.15</v>
      </c>
      <c r="G67" s="148"/>
      <c r="H67" s="148">
        <v>2.5</v>
      </c>
      <c r="I67" s="147">
        <v>5750</v>
      </c>
      <c r="J67" s="147"/>
      <c r="K67" s="147"/>
      <c r="L67" s="151" t="s">
        <v>367</v>
      </c>
      <c r="M67" s="150"/>
      <c r="N67" s="19">
        <v>15</v>
      </c>
      <c r="O67" s="147">
        <v>2</v>
      </c>
      <c r="P67" s="147">
        <v>60.8</v>
      </c>
      <c r="Q67" s="147">
        <v>0</v>
      </c>
      <c r="R67" s="147">
        <f t="shared" si="1"/>
        <v>58.8</v>
      </c>
      <c r="S67" s="147">
        <v>0</v>
      </c>
      <c r="T67" s="147">
        <f t="shared" si="0"/>
        <v>58.8</v>
      </c>
      <c r="U67" s="19">
        <f t="shared" si="3"/>
        <v>-43.8</v>
      </c>
      <c r="V67" s="167">
        <f t="shared" ref="V67:V70" si="4">IF(U67&gt;0,U67,0)*150%</f>
        <v>0</v>
      </c>
      <c r="W67" s="15"/>
      <c r="X67" s="15"/>
    </row>
    <row r="68" spans="1:24" x14ac:dyDescent="0.25">
      <c r="A68" s="147" t="s">
        <v>10</v>
      </c>
      <c r="B68" s="147" t="s">
        <v>346</v>
      </c>
      <c r="C68" s="153" t="s">
        <v>338</v>
      </c>
      <c r="D68" s="147" t="s">
        <v>348</v>
      </c>
      <c r="E68" s="147" t="s">
        <v>340</v>
      </c>
      <c r="F68" s="148">
        <v>57.15</v>
      </c>
      <c r="G68" s="148"/>
      <c r="H68" s="148">
        <v>2.5</v>
      </c>
      <c r="I68" s="147">
        <v>6100</v>
      </c>
      <c r="J68" s="147">
        <v>6.75</v>
      </c>
      <c r="K68" s="147"/>
      <c r="L68" s="151" t="s">
        <v>367</v>
      </c>
      <c r="M68" s="150">
        <v>3910001</v>
      </c>
      <c r="N68" s="19">
        <v>60</v>
      </c>
      <c r="O68" s="147">
        <v>10</v>
      </c>
      <c r="P68" s="147">
        <v>60</v>
      </c>
      <c r="Q68" s="147">
        <v>0</v>
      </c>
      <c r="R68" s="147">
        <f t="shared" si="1"/>
        <v>50</v>
      </c>
      <c r="S68" s="147">
        <v>16.7</v>
      </c>
      <c r="T68" s="147">
        <f t="shared" si="0"/>
        <v>66.7</v>
      </c>
      <c r="U68" s="19">
        <f t="shared" si="3"/>
        <v>-6.7000000000000028</v>
      </c>
      <c r="V68" s="167">
        <f t="shared" si="4"/>
        <v>0</v>
      </c>
      <c r="W68" s="15"/>
      <c r="X68" s="15"/>
    </row>
    <row r="69" spans="1:24" x14ac:dyDescent="0.25">
      <c r="A69" s="147" t="s">
        <v>341</v>
      </c>
      <c r="B69" s="147" t="s">
        <v>342</v>
      </c>
      <c r="C69" s="153" t="s">
        <v>338</v>
      </c>
      <c r="D69" s="147" t="s">
        <v>348</v>
      </c>
      <c r="E69" s="147" t="s">
        <v>340</v>
      </c>
      <c r="F69" s="148">
        <v>57.15</v>
      </c>
      <c r="G69" s="148"/>
      <c r="H69" s="148">
        <v>3</v>
      </c>
      <c r="I69" s="147">
        <v>5650</v>
      </c>
      <c r="J69" s="147">
        <v>5.65</v>
      </c>
      <c r="K69" s="147" t="s">
        <v>1124</v>
      </c>
      <c r="L69" s="151" t="s">
        <v>367</v>
      </c>
      <c r="M69" s="150">
        <v>3501105</v>
      </c>
      <c r="N69" s="19">
        <v>10</v>
      </c>
      <c r="O69" s="147">
        <v>0</v>
      </c>
      <c r="P69" s="147">
        <v>15.5</v>
      </c>
      <c r="Q69" s="147">
        <v>0</v>
      </c>
      <c r="R69" s="147">
        <f t="shared" ref="R69:R70" si="5">P69-O69</f>
        <v>15.5</v>
      </c>
      <c r="S69" s="147">
        <v>1.7</v>
      </c>
      <c r="T69" s="147">
        <f t="shared" si="0"/>
        <v>17.2</v>
      </c>
      <c r="U69" s="19">
        <f t="shared" si="3"/>
        <v>-7.1999999999999993</v>
      </c>
      <c r="V69" s="167">
        <f t="shared" si="4"/>
        <v>0</v>
      </c>
      <c r="W69" s="15"/>
      <c r="X69" s="15"/>
    </row>
    <row r="70" spans="1:24" x14ac:dyDescent="0.25">
      <c r="A70" s="147" t="s">
        <v>10</v>
      </c>
      <c r="B70" s="147" t="s">
        <v>112</v>
      </c>
      <c r="C70" s="153" t="s">
        <v>338</v>
      </c>
      <c r="D70" s="147" t="s">
        <v>348</v>
      </c>
      <c r="E70" s="147" t="s">
        <v>340</v>
      </c>
      <c r="F70" s="148">
        <v>60.3</v>
      </c>
      <c r="G70" s="148"/>
      <c r="H70" s="148">
        <v>2</v>
      </c>
      <c r="I70" s="147">
        <v>5900</v>
      </c>
      <c r="J70" s="147">
        <v>5.9</v>
      </c>
      <c r="K70" s="147"/>
      <c r="L70" s="151" t="s">
        <v>362</v>
      </c>
      <c r="M70" s="150"/>
      <c r="N70" s="19">
        <v>20</v>
      </c>
      <c r="O70" s="147">
        <v>5</v>
      </c>
      <c r="P70" s="147">
        <v>22</v>
      </c>
      <c r="Q70" s="147">
        <v>0</v>
      </c>
      <c r="R70" s="147">
        <f t="shared" si="5"/>
        <v>17</v>
      </c>
      <c r="S70" s="147">
        <v>0</v>
      </c>
      <c r="T70" s="147">
        <f t="shared" si="0"/>
        <v>17</v>
      </c>
      <c r="U70" s="19">
        <f t="shared" si="3"/>
        <v>3</v>
      </c>
      <c r="V70" s="167">
        <f t="shared" si="4"/>
        <v>4.5</v>
      </c>
      <c r="W70" s="15"/>
      <c r="X70" s="19"/>
    </row>
    <row r="71" spans="1:24" x14ac:dyDescent="0.25">
      <c r="I71" s="152" t="s">
        <v>372</v>
      </c>
      <c r="J71" s="152"/>
      <c r="K71" s="152"/>
      <c r="L71" s="152"/>
      <c r="M71" s="197"/>
      <c r="N71" s="152">
        <f t="shared" ref="N71:X71" si="6">SUM(N2:N70)</f>
        <v>967</v>
      </c>
      <c r="O71" s="152">
        <f t="shared" si="6"/>
        <v>179</v>
      </c>
      <c r="P71" s="152">
        <f>SUM(P2:P70)</f>
        <v>1080.0999999999999</v>
      </c>
      <c r="Q71" s="152">
        <f t="shared" si="6"/>
        <v>60.5</v>
      </c>
      <c r="R71" s="152">
        <f t="shared" si="6"/>
        <v>901.1</v>
      </c>
      <c r="S71" s="152">
        <f t="shared" si="6"/>
        <v>504.5</v>
      </c>
      <c r="T71" s="152">
        <f t="shared" si="6"/>
        <v>1405.6</v>
      </c>
      <c r="U71" s="152">
        <f t="shared" si="6"/>
        <v>-338.40000000000003</v>
      </c>
      <c r="V71" s="172">
        <f t="shared" si="6"/>
        <v>602.70000000000005</v>
      </c>
      <c r="W71" s="15">
        <f t="shared" si="6"/>
        <v>0</v>
      </c>
      <c r="X71" s="15">
        <f t="shared" si="6"/>
        <v>0</v>
      </c>
    </row>
    <row r="72" spans="1:24" x14ac:dyDescent="0.25">
      <c r="M72" s="198"/>
      <c r="U72"/>
      <c r="V72" s="173"/>
    </row>
    <row r="73" spans="1:24" x14ac:dyDescent="0.25">
      <c r="M73" s="198"/>
      <c r="U73"/>
      <c r="V73" s="173"/>
    </row>
    <row r="74" spans="1:24" x14ac:dyDescent="0.25">
      <c r="M74" s="198"/>
      <c r="U74"/>
      <c r="V74" s="173"/>
    </row>
    <row r="75" spans="1:24" x14ac:dyDescent="0.25">
      <c r="M75" s="198"/>
      <c r="U75"/>
      <c r="V75" s="173"/>
    </row>
    <row r="76" spans="1:24" x14ac:dyDescent="0.25">
      <c r="M76" s="198"/>
      <c r="U76"/>
      <c r="V76" s="173"/>
    </row>
    <row r="77" spans="1:24" x14ac:dyDescent="0.25">
      <c r="M77" s="198"/>
      <c r="U77"/>
      <c r="V77" s="173"/>
    </row>
    <row r="78" spans="1:24" x14ac:dyDescent="0.25">
      <c r="M78" s="198"/>
      <c r="U78"/>
      <c r="V78" s="173"/>
    </row>
    <row r="79" spans="1:24" x14ac:dyDescent="0.25">
      <c r="M79" s="198"/>
      <c r="U79"/>
      <c r="V79" s="173"/>
    </row>
    <row r="80" spans="1:24" x14ac:dyDescent="0.25">
      <c r="M80" s="198"/>
      <c r="U80"/>
      <c r="V80" s="173"/>
    </row>
    <row r="81" spans="13:22" x14ac:dyDescent="0.25">
      <c r="M81" s="198"/>
      <c r="U81"/>
      <c r="V81" s="173"/>
    </row>
    <row r="82" spans="13:22" x14ac:dyDescent="0.25">
      <c r="M82" s="198"/>
      <c r="U82"/>
      <c r="V82" s="173"/>
    </row>
    <row r="83" spans="13:22" x14ac:dyDescent="0.25">
      <c r="M83" s="198"/>
      <c r="U83"/>
      <c r="V83" s="173"/>
    </row>
    <row r="84" spans="13:22" x14ac:dyDescent="0.25">
      <c r="M84" s="198"/>
      <c r="U84"/>
      <c r="V84" s="173"/>
    </row>
    <row r="85" spans="13:22" x14ac:dyDescent="0.25">
      <c r="M85" s="198"/>
      <c r="U85"/>
      <c r="V85" s="173"/>
    </row>
    <row r="86" spans="13:22" x14ac:dyDescent="0.25">
      <c r="M86" s="198"/>
      <c r="U86"/>
      <c r="V86" s="173"/>
    </row>
    <row r="87" spans="13:22" x14ac:dyDescent="0.25">
      <c r="M87" s="198"/>
      <c r="U87"/>
      <c r="V87" s="173"/>
    </row>
    <row r="88" spans="13:22" x14ac:dyDescent="0.25">
      <c r="M88" s="198"/>
      <c r="U88"/>
      <c r="V88" s="173"/>
    </row>
    <row r="89" spans="13:22" x14ac:dyDescent="0.25">
      <c r="M89" s="198"/>
      <c r="U89"/>
      <c r="V89" s="173"/>
    </row>
    <row r="90" spans="13:22" x14ac:dyDescent="0.25">
      <c r="M90" s="198"/>
      <c r="U90"/>
      <c r="V90" s="173"/>
    </row>
    <row r="91" spans="13:22" x14ac:dyDescent="0.25">
      <c r="M91" s="198"/>
      <c r="U91"/>
      <c r="V91" s="173"/>
    </row>
    <row r="92" spans="13:22" x14ac:dyDescent="0.25">
      <c r="M92" s="198"/>
      <c r="U92"/>
      <c r="V92" s="173"/>
    </row>
    <row r="93" spans="13:22" x14ac:dyDescent="0.25">
      <c r="M93" s="198"/>
      <c r="U93"/>
      <c r="V93" s="173"/>
    </row>
    <row r="94" spans="13:22" x14ac:dyDescent="0.25">
      <c r="M94" s="198"/>
      <c r="U94"/>
      <c r="V94" s="173"/>
    </row>
    <row r="95" spans="13:22" x14ac:dyDescent="0.25">
      <c r="M95" s="198"/>
      <c r="U95"/>
      <c r="V95" s="173"/>
    </row>
    <row r="96" spans="13:22" x14ac:dyDescent="0.25">
      <c r="M96" s="198"/>
      <c r="U96"/>
      <c r="V96" s="173"/>
    </row>
  </sheetData>
  <autoFilter ref="A1:X71" xr:uid="{00000000-0001-0000-0000-000000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F576"/>
  <sheetViews>
    <sheetView workbookViewId="0">
      <selection activeCell="E11" sqref="E11"/>
    </sheetView>
  </sheetViews>
  <sheetFormatPr defaultRowHeight="15" x14ac:dyDescent="0.25"/>
  <cols>
    <col min="4" max="4" width="20.5703125" bestFit="1" customWidth="1"/>
    <col min="5" max="5" width="42.7109375" bestFit="1" customWidth="1"/>
  </cols>
  <sheetData>
    <row r="1" spans="1:6" x14ac:dyDescent="0.25">
      <c r="A1" t="s">
        <v>1125</v>
      </c>
      <c r="B1" t="s">
        <v>1126</v>
      </c>
      <c r="C1" t="s">
        <v>1127</v>
      </c>
      <c r="D1" t="s">
        <v>385</v>
      </c>
      <c r="E1" t="s">
        <v>388</v>
      </c>
      <c r="F1" t="s">
        <v>1128</v>
      </c>
    </row>
    <row r="2" spans="1:6" hidden="1" x14ac:dyDescent="0.25">
      <c r="A2">
        <v>12.7</v>
      </c>
      <c r="B2">
        <v>1.2</v>
      </c>
      <c r="C2">
        <v>0.27800000000000002</v>
      </c>
      <c r="D2" t="s">
        <v>1129</v>
      </c>
      <c r="E2" t="s">
        <v>399</v>
      </c>
      <c r="F2" t="s">
        <v>1130</v>
      </c>
    </row>
    <row r="3" spans="1:6" hidden="1" x14ac:dyDescent="0.25">
      <c r="A3">
        <v>12.7</v>
      </c>
      <c r="B3">
        <v>1.2</v>
      </c>
      <c r="C3">
        <v>0.40799999999999997</v>
      </c>
      <c r="D3" t="s">
        <v>1131</v>
      </c>
      <c r="E3" t="s">
        <v>402</v>
      </c>
      <c r="F3" t="s">
        <v>1130</v>
      </c>
    </row>
    <row r="4" spans="1:6" hidden="1" x14ac:dyDescent="0.25">
      <c r="A4">
        <v>12.7</v>
      </c>
      <c r="B4">
        <v>1.2</v>
      </c>
      <c r="C4">
        <v>0.77200000000000002</v>
      </c>
      <c r="D4" t="s">
        <v>1132</v>
      </c>
      <c r="E4" t="s">
        <v>1133</v>
      </c>
      <c r="F4" t="s">
        <v>1130</v>
      </c>
    </row>
    <row r="5" spans="1:6" hidden="1" x14ac:dyDescent="0.25">
      <c r="A5">
        <v>12.7</v>
      </c>
      <c r="B5">
        <v>1.2</v>
      </c>
      <c r="C5">
        <v>6</v>
      </c>
      <c r="D5" t="s">
        <v>1134</v>
      </c>
      <c r="E5" t="s">
        <v>1135</v>
      </c>
      <c r="F5" t="s">
        <v>1130</v>
      </c>
    </row>
    <row r="6" spans="1:6" hidden="1" x14ac:dyDescent="0.25">
      <c r="A6">
        <v>12.7</v>
      </c>
      <c r="B6">
        <v>1.2</v>
      </c>
      <c r="C6">
        <v>6</v>
      </c>
      <c r="D6" t="s">
        <v>1136</v>
      </c>
      <c r="E6" t="s">
        <v>1137</v>
      </c>
      <c r="F6" t="s">
        <v>1130</v>
      </c>
    </row>
    <row r="7" spans="1:6" hidden="1" x14ac:dyDescent="0.25">
      <c r="A7">
        <v>12.7</v>
      </c>
      <c r="B7">
        <v>1.5</v>
      </c>
      <c r="C7">
        <v>0.16400000000000001</v>
      </c>
      <c r="D7" t="s">
        <v>1138</v>
      </c>
      <c r="E7" t="s">
        <v>1139</v>
      </c>
      <c r="F7" t="s">
        <v>1130</v>
      </c>
    </row>
    <row r="8" spans="1:6" hidden="1" x14ac:dyDescent="0.25">
      <c r="A8">
        <v>12.7</v>
      </c>
      <c r="B8">
        <v>1.5</v>
      </c>
      <c r="C8">
        <v>0.17</v>
      </c>
      <c r="D8" t="s">
        <v>1140</v>
      </c>
      <c r="E8" t="s">
        <v>1141</v>
      </c>
      <c r="F8" t="s">
        <v>1130</v>
      </c>
    </row>
    <row r="9" spans="1:6" hidden="1" x14ac:dyDescent="0.25">
      <c r="A9">
        <v>12.7</v>
      </c>
      <c r="B9">
        <v>1.5</v>
      </c>
      <c r="C9">
        <v>0.17399999999999999</v>
      </c>
      <c r="D9" t="s">
        <v>1142</v>
      </c>
      <c r="E9" t="s">
        <v>1143</v>
      </c>
      <c r="F9" t="s">
        <v>1130</v>
      </c>
    </row>
    <row r="10" spans="1:6" hidden="1" x14ac:dyDescent="0.25">
      <c r="A10">
        <v>12.7</v>
      </c>
      <c r="B10">
        <v>1.5</v>
      </c>
      <c r="C10">
        <v>0.184</v>
      </c>
      <c r="D10" t="s">
        <v>1144</v>
      </c>
      <c r="E10" t="s">
        <v>1145</v>
      </c>
      <c r="F10" t="s">
        <v>1130</v>
      </c>
    </row>
    <row r="11" spans="1:6" hidden="1" x14ac:dyDescent="0.25">
      <c r="A11">
        <v>12.7</v>
      </c>
      <c r="B11">
        <v>1.6</v>
      </c>
      <c r="C11">
        <v>0.14499999999999999</v>
      </c>
      <c r="D11" t="s">
        <v>1146</v>
      </c>
      <c r="E11" t="s">
        <v>1147</v>
      </c>
      <c r="F11" t="s">
        <v>1130</v>
      </c>
    </row>
    <row r="12" spans="1:6" hidden="1" x14ac:dyDescent="0.25">
      <c r="A12">
        <v>12.7</v>
      </c>
      <c r="B12">
        <v>1.6</v>
      </c>
      <c r="C12">
        <v>0.189</v>
      </c>
      <c r="D12" t="s">
        <v>1148</v>
      </c>
      <c r="E12" t="s">
        <v>417</v>
      </c>
      <c r="F12" t="s">
        <v>1130</v>
      </c>
    </row>
    <row r="13" spans="1:6" hidden="1" x14ac:dyDescent="0.25">
      <c r="A13">
        <v>12.7</v>
      </c>
      <c r="B13">
        <v>1.6</v>
      </c>
      <c r="C13">
        <v>0.255</v>
      </c>
      <c r="D13" t="s">
        <v>1149</v>
      </c>
      <c r="E13" t="s">
        <v>1150</v>
      </c>
      <c r="F13" t="s">
        <v>1130</v>
      </c>
    </row>
    <row r="14" spans="1:6" hidden="1" x14ac:dyDescent="0.25">
      <c r="A14">
        <v>12.7</v>
      </c>
      <c r="B14">
        <v>1.6</v>
      </c>
      <c r="C14">
        <v>0.25700000000000001</v>
      </c>
      <c r="D14" t="s">
        <v>1151</v>
      </c>
      <c r="E14" t="s">
        <v>1152</v>
      </c>
      <c r="F14" t="s">
        <v>1130</v>
      </c>
    </row>
    <row r="15" spans="1:6" hidden="1" x14ac:dyDescent="0.25">
      <c r="A15">
        <v>12.7</v>
      </c>
      <c r="B15">
        <v>1.6</v>
      </c>
      <c r="C15">
        <v>0.26</v>
      </c>
      <c r="D15" t="s">
        <v>1153</v>
      </c>
      <c r="E15" t="s">
        <v>426</v>
      </c>
      <c r="F15" t="s">
        <v>1130</v>
      </c>
    </row>
    <row r="16" spans="1:6" hidden="1" x14ac:dyDescent="0.25">
      <c r="A16">
        <v>12.7</v>
      </c>
      <c r="B16">
        <v>1.6</v>
      </c>
      <c r="C16">
        <v>0.28000000000000003</v>
      </c>
      <c r="D16" t="s">
        <v>1154</v>
      </c>
      <c r="E16" t="s">
        <v>431</v>
      </c>
      <c r="F16" t="s">
        <v>1130</v>
      </c>
    </row>
    <row r="17" spans="1:6" hidden="1" x14ac:dyDescent="0.25">
      <c r="A17">
        <v>12.7</v>
      </c>
      <c r="B17">
        <v>1.6</v>
      </c>
      <c r="C17">
        <v>0.32</v>
      </c>
      <c r="D17" t="s">
        <v>1155</v>
      </c>
      <c r="E17" t="s">
        <v>1156</v>
      </c>
      <c r="F17" t="s">
        <v>1130</v>
      </c>
    </row>
    <row r="18" spans="1:6" hidden="1" x14ac:dyDescent="0.25">
      <c r="A18">
        <v>12.7</v>
      </c>
      <c r="B18">
        <v>1.6</v>
      </c>
      <c r="C18">
        <v>0.33800000000000002</v>
      </c>
      <c r="D18" t="s">
        <v>1157</v>
      </c>
      <c r="E18" t="s">
        <v>1158</v>
      </c>
      <c r="F18" t="s">
        <v>1130</v>
      </c>
    </row>
    <row r="19" spans="1:6" hidden="1" x14ac:dyDescent="0.25">
      <c r="A19">
        <v>12.7</v>
      </c>
      <c r="B19">
        <v>1.6</v>
      </c>
      <c r="C19">
        <v>0.7</v>
      </c>
      <c r="D19" t="s">
        <v>1159</v>
      </c>
      <c r="E19" t="s">
        <v>1160</v>
      </c>
      <c r="F19" t="s">
        <v>1130</v>
      </c>
    </row>
    <row r="20" spans="1:6" hidden="1" x14ac:dyDescent="0.25">
      <c r="A20">
        <v>12.7</v>
      </c>
      <c r="B20">
        <v>1.6</v>
      </c>
      <c r="C20">
        <v>0.95</v>
      </c>
      <c r="D20" t="s">
        <v>1161</v>
      </c>
      <c r="E20" t="s">
        <v>438</v>
      </c>
      <c r="F20" t="s">
        <v>1130</v>
      </c>
    </row>
    <row r="21" spans="1:6" hidden="1" x14ac:dyDescent="0.25">
      <c r="A21">
        <v>12.7</v>
      </c>
      <c r="B21">
        <v>1.6</v>
      </c>
      <c r="C21">
        <v>0.95</v>
      </c>
      <c r="D21" t="s">
        <v>1162</v>
      </c>
      <c r="E21" t="s">
        <v>438</v>
      </c>
      <c r="F21" t="s">
        <v>1130</v>
      </c>
    </row>
    <row r="22" spans="1:6" hidden="1" x14ac:dyDescent="0.25">
      <c r="A22">
        <v>12.7</v>
      </c>
      <c r="B22">
        <v>1.6</v>
      </c>
      <c r="C22">
        <v>6</v>
      </c>
      <c r="D22" t="s">
        <v>1163</v>
      </c>
      <c r="E22" t="s">
        <v>448</v>
      </c>
      <c r="F22" t="s">
        <v>1130</v>
      </c>
    </row>
    <row r="23" spans="1:6" hidden="1" x14ac:dyDescent="0.25">
      <c r="A23">
        <v>14</v>
      </c>
      <c r="B23">
        <v>1.6</v>
      </c>
      <c r="C23">
        <v>0</v>
      </c>
      <c r="D23" t="s">
        <v>1164</v>
      </c>
      <c r="E23" t="s">
        <v>1165</v>
      </c>
      <c r="F23" t="s">
        <v>1130</v>
      </c>
    </row>
    <row r="24" spans="1:6" hidden="1" x14ac:dyDescent="0.25">
      <c r="A24">
        <v>15</v>
      </c>
      <c r="B24">
        <v>2.2999999999999998</v>
      </c>
      <c r="C24">
        <v>0</v>
      </c>
      <c r="D24" t="s">
        <v>1166</v>
      </c>
      <c r="E24" t="s">
        <v>1167</v>
      </c>
      <c r="F24" t="s">
        <v>1130</v>
      </c>
    </row>
    <row r="25" spans="1:6" hidden="1" x14ac:dyDescent="0.25">
      <c r="A25">
        <v>15.88</v>
      </c>
      <c r="B25">
        <v>1</v>
      </c>
      <c r="C25">
        <v>0.59399999999999997</v>
      </c>
      <c r="D25" t="s">
        <v>1168</v>
      </c>
      <c r="E25" t="s">
        <v>1169</v>
      </c>
      <c r="F25" t="s">
        <v>1130</v>
      </c>
    </row>
    <row r="26" spans="1:6" hidden="1" x14ac:dyDescent="0.25">
      <c r="A26">
        <v>15.88</v>
      </c>
      <c r="B26">
        <v>1</v>
      </c>
      <c r="C26">
        <v>0.76500000000000001</v>
      </c>
      <c r="D26" t="s">
        <v>1170</v>
      </c>
      <c r="E26" t="s">
        <v>1171</v>
      </c>
      <c r="F26" t="s">
        <v>1130</v>
      </c>
    </row>
    <row r="27" spans="1:6" hidden="1" x14ac:dyDescent="0.25">
      <c r="A27">
        <v>15.88</v>
      </c>
      <c r="B27">
        <v>1</v>
      </c>
      <c r="C27">
        <v>1.234</v>
      </c>
      <c r="D27" t="s">
        <v>1172</v>
      </c>
      <c r="E27" t="s">
        <v>1173</v>
      </c>
      <c r="F27" t="s">
        <v>1130</v>
      </c>
    </row>
    <row r="28" spans="1:6" hidden="1" x14ac:dyDescent="0.25">
      <c r="A28">
        <v>15.88</v>
      </c>
      <c r="B28">
        <v>1</v>
      </c>
      <c r="C28">
        <v>2.1850000000000001</v>
      </c>
      <c r="D28" t="s">
        <v>1174</v>
      </c>
      <c r="E28" t="s">
        <v>442</v>
      </c>
      <c r="F28" t="s">
        <v>1130</v>
      </c>
    </row>
    <row r="29" spans="1:6" hidden="1" x14ac:dyDescent="0.25">
      <c r="A29">
        <v>15.88</v>
      </c>
      <c r="B29">
        <v>1</v>
      </c>
      <c r="C29">
        <v>2.9049999999999998</v>
      </c>
      <c r="D29" t="s">
        <v>1175</v>
      </c>
      <c r="E29" t="s">
        <v>1176</v>
      </c>
      <c r="F29" t="s">
        <v>1130</v>
      </c>
    </row>
    <row r="30" spans="1:6" hidden="1" x14ac:dyDescent="0.25">
      <c r="A30">
        <v>15.88</v>
      </c>
      <c r="B30">
        <v>1</v>
      </c>
      <c r="C30">
        <v>6</v>
      </c>
      <c r="D30" t="s">
        <v>1177</v>
      </c>
      <c r="E30" t="s">
        <v>1178</v>
      </c>
      <c r="F30" t="s">
        <v>1130</v>
      </c>
    </row>
    <row r="31" spans="1:6" hidden="1" x14ac:dyDescent="0.25">
      <c r="A31">
        <v>15.88</v>
      </c>
      <c r="B31">
        <v>1.2</v>
      </c>
      <c r="C31">
        <v>0.48399999999999999</v>
      </c>
      <c r="D31" t="s">
        <v>1179</v>
      </c>
      <c r="E31" t="s">
        <v>1180</v>
      </c>
      <c r="F31" t="s">
        <v>1130</v>
      </c>
    </row>
    <row r="32" spans="1:6" hidden="1" x14ac:dyDescent="0.25">
      <c r="A32">
        <v>15.88</v>
      </c>
      <c r="B32">
        <v>1.2</v>
      </c>
      <c r="C32">
        <v>0.505</v>
      </c>
      <c r="D32" t="s">
        <v>1181</v>
      </c>
      <c r="E32" t="s">
        <v>1182</v>
      </c>
      <c r="F32" t="s">
        <v>1130</v>
      </c>
    </row>
    <row r="33" spans="1:6" hidden="1" x14ac:dyDescent="0.25">
      <c r="A33">
        <v>15.88</v>
      </c>
      <c r="B33">
        <v>1.2</v>
      </c>
      <c r="C33">
        <v>0.54</v>
      </c>
      <c r="D33" t="s">
        <v>1183</v>
      </c>
      <c r="E33" t="s">
        <v>464</v>
      </c>
      <c r="F33" t="s">
        <v>1130</v>
      </c>
    </row>
    <row r="34" spans="1:6" hidden="1" x14ac:dyDescent="0.25">
      <c r="A34">
        <v>15.88</v>
      </c>
      <c r="B34">
        <v>1.2</v>
      </c>
      <c r="C34">
        <v>0.68</v>
      </c>
      <c r="D34" t="s">
        <v>1184</v>
      </c>
      <c r="E34" t="s">
        <v>1185</v>
      </c>
      <c r="F34" t="s">
        <v>1130</v>
      </c>
    </row>
    <row r="35" spans="1:6" hidden="1" x14ac:dyDescent="0.25">
      <c r="A35">
        <v>15.88</v>
      </c>
      <c r="B35">
        <v>1.2</v>
      </c>
      <c r="C35">
        <v>0.755</v>
      </c>
      <c r="D35" t="s">
        <v>1186</v>
      </c>
      <c r="E35" t="s">
        <v>1187</v>
      </c>
      <c r="F35" t="s">
        <v>1130</v>
      </c>
    </row>
    <row r="36" spans="1:6" hidden="1" x14ac:dyDescent="0.25">
      <c r="A36">
        <v>15.88</v>
      </c>
      <c r="B36">
        <v>1.2</v>
      </c>
      <c r="C36">
        <v>0.88800000000000001</v>
      </c>
      <c r="D36" t="s">
        <v>1188</v>
      </c>
      <c r="E36" t="s">
        <v>486</v>
      </c>
      <c r="F36" t="s">
        <v>1130</v>
      </c>
    </row>
    <row r="37" spans="1:6" hidden="1" x14ac:dyDescent="0.25">
      <c r="A37">
        <v>15.88</v>
      </c>
      <c r="B37">
        <v>1.2</v>
      </c>
      <c r="C37">
        <v>1.1299999999999999</v>
      </c>
      <c r="D37" t="s">
        <v>1189</v>
      </c>
      <c r="E37" t="s">
        <v>1190</v>
      </c>
      <c r="F37" t="s">
        <v>1130</v>
      </c>
    </row>
    <row r="38" spans="1:6" hidden="1" x14ac:dyDescent="0.25">
      <c r="A38">
        <v>15.88</v>
      </c>
      <c r="B38">
        <v>1.2</v>
      </c>
      <c r="C38">
        <v>1.254</v>
      </c>
      <c r="D38" t="s">
        <v>1191</v>
      </c>
      <c r="E38" t="s">
        <v>1192</v>
      </c>
      <c r="F38" t="s">
        <v>1130</v>
      </c>
    </row>
    <row r="39" spans="1:6" hidden="1" x14ac:dyDescent="0.25">
      <c r="A39">
        <v>15.88</v>
      </c>
      <c r="B39">
        <v>1.2</v>
      </c>
      <c r="C39">
        <v>1.294</v>
      </c>
      <c r="D39" t="s">
        <v>1193</v>
      </c>
      <c r="E39" t="s">
        <v>1194</v>
      </c>
      <c r="F39" t="s">
        <v>1130</v>
      </c>
    </row>
    <row r="40" spans="1:6" hidden="1" x14ac:dyDescent="0.25">
      <c r="A40">
        <v>15.88</v>
      </c>
      <c r="B40">
        <v>1.2</v>
      </c>
      <c r="C40">
        <v>1.31</v>
      </c>
      <c r="D40" t="s">
        <v>1195</v>
      </c>
      <c r="E40" t="s">
        <v>466</v>
      </c>
      <c r="F40" t="s">
        <v>1130</v>
      </c>
    </row>
    <row r="41" spans="1:6" hidden="1" x14ac:dyDescent="0.25">
      <c r="A41">
        <v>15.88</v>
      </c>
      <c r="B41">
        <v>1.6</v>
      </c>
      <c r="C41">
        <v>0.435</v>
      </c>
      <c r="D41" t="s">
        <v>1196</v>
      </c>
      <c r="E41" t="s">
        <v>507</v>
      </c>
      <c r="F41" t="s">
        <v>1130</v>
      </c>
    </row>
    <row r="42" spans="1:6" hidden="1" x14ac:dyDescent="0.25">
      <c r="A42">
        <v>15.88</v>
      </c>
      <c r="B42">
        <v>1.6</v>
      </c>
      <c r="C42">
        <v>6</v>
      </c>
      <c r="D42" t="s">
        <v>1197</v>
      </c>
      <c r="E42" t="s">
        <v>518</v>
      </c>
      <c r="F42" t="s">
        <v>1130</v>
      </c>
    </row>
    <row r="43" spans="1:6" hidden="1" x14ac:dyDescent="0.25">
      <c r="A43">
        <v>15.88</v>
      </c>
      <c r="B43">
        <v>1.6</v>
      </c>
      <c r="C43">
        <v>6</v>
      </c>
      <c r="D43" t="s">
        <v>1198</v>
      </c>
      <c r="E43" t="s">
        <v>1199</v>
      </c>
      <c r="F43" t="s">
        <v>1130</v>
      </c>
    </row>
    <row r="44" spans="1:6" hidden="1" x14ac:dyDescent="0.25">
      <c r="A44">
        <v>15.88</v>
      </c>
      <c r="B44">
        <v>1.6</v>
      </c>
      <c r="C44">
        <v>6</v>
      </c>
      <c r="D44" t="s">
        <v>1200</v>
      </c>
      <c r="E44" t="s">
        <v>513</v>
      </c>
      <c r="F44" t="s">
        <v>1130</v>
      </c>
    </row>
    <row r="45" spans="1:6" hidden="1" x14ac:dyDescent="0.25">
      <c r="A45">
        <v>15.88</v>
      </c>
      <c r="B45">
        <v>1.6</v>
      </c>
      <c r="C45">
        <v>6</v>
      </c>
      <c r="D45" t="s">
        <v>1201</v>
      </c>
      <c r="E45" t="s">
        <v>1202</v>
      </c>
      <c r="F45" t="s">
        <v>1130</v>
      </c>
    </row>
    <row r="46" spans="1:6" hidden="1" x14ac:dyDescent="0.25">
      <c r="A46">
        <v>15.88</v>
      </c>
      <c r="B46">
        <v>2</v>
      </c>
      <c r="C46">
        <v>0.29099999999999998</v>
      </c>
      <c r="D46" t="s">
        <v>1203</v>
      </c>
      <c r="E46" t="s">
        <v>538</v>
      </c>
      <c r="F46" t="s">
        <v>1130</v>
      </c>
    </row>
    <row r="47" spans="1:6" hidden="1" x14ac:dyDescent="0.25">
      <c r="A47">
        <v>15.88</v>
      </c>
      <c r="B47">
        <v>2</v>
      </c>
      <c r="C47">
        <v>0.38</v>
      </c>
      <c r="D47" t="s">
        <v>1204</v>
      </c>
      <c r="E47" t="s">
        <v>1205</v>
      </c>
      <c r="F47" t="s">
        <v>1130</v>
      </c>
    </row>
    <row r="48" spans="1:6" hidden="1" x14ac:dyDescent="0.25">
      <c r="A48">
        <v>15.88</v>
      </c>
      <c r="B48">
        <v>2</v>
      </c>
      <c r="C48">
        <v>0.442</v>
      </c>
      <c r="D48" t="s">
        <v>1206</v>
      </c>
      <c r="E48" t="s">
        <v>1207</v>
      </c>
      <c r="F48" t="s">
        <v>1130</v>
      </c>
    </row>
    <row r="49" spans="1:6" hidden="1" x14ac:dyDescent="0.25">
      <c r="A49">
        <v>15.88</v>
      </c>
      <c r="B49">
        <v>2</v>
      </c>
      <c r="C49">
        <v>0.46</v>
      </c>
      <c r="D49" t="s">
        <v>1208</v>
      </c>
      <c r="E49" t="s">
        <v>1209</v>
      </c>
      <c r="F49" t="s">
        <v>1130</v>
      </c>
    </row>
    <row r="50" spans="1:6" hidden="1" x14ac:dyDescent="0.25">
      <c r="A50">
        <v>15.88</v>
      </c>
      <c r="B50">
        <v>2</v>
      </c>
      <c r="C50">
        <v>0.49299999999999999</v>
      </c>
      <c r="D50" t="s">
        <v>1210</v>
      </c>
      <c r="E50" t="s">
        <v>1211</v>
      </c>
      <c r="F50" t="s">
        <v>1130</v>
      </c>
    </row>
    <row r="51" spans="1:6" hidden="1" x14ac:dyDescent="0.25">
      <c r="A51">
        <v>15.88</v>
      </c>
      <c r="B51">
        <v>2</v>
      </c>
      <c r="C51">
        <v>0.5</v>
      </c>
      <c r="D51" t="s">
        <v>1212</v>
      </c>
      <c r="E51" t="s">
        <v>1213</v>
      </c>
      <c r="F51" t="s">
        <v>1130</v>
      </c>
    </row>
    <row r="52" spans="1:6" hidden="1" x14ac:dyDescent="0.25">
      <c r="A52">
        <v>15.88</v>
      </c>
      <c r="B52">
        <v>2</v>
      </c>
      <c r="C52">
        <v>0.50700000000000001</v>
      </c>
      <c r="D52" t="s">
        <v>1214</v>
      </c>
      <c r="E52" t="s">
        <v>1215</v>
      </c>
      <c r="F52" t="s">
        <v>1130</v>
      </c>
    </row>
    <row r="53" spans="1:6" hidden="1" x14ac:dyDescent="0.25">
      <c r="A53">
        <v>15.88</v>
      </c>
      <c r="B53">
        <v>2</v>
      </c>
      <c r="C53">
        <v>0.51</v>
      </c>
      <c r="D53" t="s">
        <v>1216</v>
      </c>
      <c r="E53" t="s">
        <v>1217</v>
      </c>
      <c r="F53" t="s">
        <v>1130</v>
      </c>
    </row>
    <row r="54" spans="1:6" hidden="1" x14ac:dyDescent="0.25">
      <c r="A54">
        <v>15.88</v>
      </c>
      <c r="B54">
        <v>2</v>
      </c>
      <c r="C54">
        <v>0.51500000000000001</v>
      </c>
      <c r="D54" t="s">
        <v>1218</v>
      </c>
      <c r="E54" t="s">
        <v>1219</v>
      </c>
      <c r="F54" t="s">
        <v>1130</v>
      </c>
    </row>
    <row r="55" spans="1:6" hidden="1" x14ac:dyDescent="0.25">
      <c r="A55">
        <v>15.88</v>
      </c>
      <c r="B55">
        <v>2</v>
      </c>
      <c r="C55">
        <v>0.58499999999999996</v>
      </c>
      <c r="D55" t="s">
        <v>1220</v>
      </c>
      <c r="E55" t="s">
        <v>1221</v>
      </c>
      <c r="F55" t="s">
        <v>1130</v>
      </c>
    </row>
    <row r="56" spans="1:6" hidden="1" x14ac:dyDescent="0.25">
      <c r="A56">
        <v>15.88</v>
      </c>
      <c r="B56">
        <v>2</v>
      </c>
      <c r="C56">
        <v>0.61</v>
      </c>
      <c r="D56" t="s">
        <v>1222</v>
      </c>
      <c r="E56" t="s">
        <v>1223</v>
      </c>
      <c r="F56" t="s">
        <v>1130</v>
      </c>
    </row>
    <row r="57" spans="1:6" hidden="1" x14ac:dyDescent="0.25">
      <c r="A57">
        <v>15.88</v>
      </c>
      <c r="B57">
        <v>2</v>
      </c>
      <c r="C57">
        <v>0.66800000000000004</v>
      </c>
      <c r="D57" t="s">
        <v>1224</v>
      </c>
      <c r="E57" t="s">
        <v>1225</v>
      </c>
      <c r="F57" t="s">
        <v>1130</v>
      </c>
    </row>
    <row r="58" spans="1:6" hidden="1" x14ac:dyDescent="0.25">
      <c r="A58">
        <v>15.88</v>
      </c>
      <c r="B58">
        <v>2</v>
      </c>
      <c r="C58">
        <v>0.745</v>
      </c>
      <c r="D58" t="s">
        <v>1226</v>
      </c>
      <c r="E58" t="s">
        <v>1227</v>
      </c>
      <c r="F58" t="s">
        <v>1130</v>
      </c>
    </row>
    <row r="59" spans="1:6" hidden="1" x14ac:dyDescent="0.25">
      <c r="A59">
        <v>15.88</v>
      </c>
      <c r="B59">
        <v>2</v>
      </c>
      <c r="C59">
        <v>6</v>
      </c>
      <c r="D59" t="s">
        <v>1228</v>
      </c>
      <c r="E59" t="s">
        <v>540</v>
      </c>
      <c r="F59" t="s">
        <v>1130</v>
      </c>
    </row>
    <row r="60" spans="1:6" hidden="1" x14ac:dyDescent="0.25">
      <c r="A60">
        <v>16.100000000000001</v>
      </c>
      <c r="B60">
        <v>2.7</v>
      </c>
      <c r="C60">
        <v>0</v>
      </c>
      <c r="D60" t="s">
        <v>1229</v>
      </c>
      <c r="E60" t="s">
        <v>1230</v>
      </c>
      <c r="F60" t="s">
        <v>1130</v>
      </c>
    </row>
    <row r="61" spans="1:6" hidden="1" x14ac:dyDescent="0.25">
      <c r="A61">
        <v>17.3</v>
      </c>
      <c r="B61">
        <v>1.2</v>
      </c>
      <c r="C61">
        <v>0.15</v>
      </c>
      <c r="D61" t="s">
        <v>1231</v>
      </c>
      <c r="E61" t="s">
        <v>558</v>
      </c>
      <c r="F61" t="s">
        <v>1130</v>
      </c>
    </row>
    <row r="62" spans="1:6" hidden="1" x14ac:dyDescent="0.25">
      <c r="A62">
        <v>17.3</v>
      </c>
      <c r="B62">
        <v>1.6</v>
      </c>
      <c r="C62">
        <v>0.35499999999999998</v>
      </c>
      <c r="D62" t="s">
        <v>1232</v>
      </c>
      <c r="E62" t="s">
        <v>1233</v>
      </c>
      <c r="F62" t="s">
        <v>1130</v>
      </c>
    </row>
    <row r="63" spans="1:6" hidden="1" x14ac:dyDescent="0.25">
      <c r="A63">
        <v>17.3</v>
      </c>
      <c r="B63">
        <v>1.6</v>
      </c>
      <c r="C63">
        <v>0.4</v>
      </c>
      <c r="D63" t="s">
        <v>1234</v>
      </c>
      <c r="E63" t="s">
        <v>1235</v>
      </c>
      <c r="F63" t="s">
        <v>1130</v>
      </c>
    </row>
    <row r="64" spans="1:6" hidden="1" x14ac:dyDescent="0.25">
      <c r="A64">
        <v>18.2</v>
      </c>
      <c r="B64">
        <v>1</v>
      </c>
      <c r="C64">
        <v>0.11</v>
      </c>
      <c r="D64" t="s">
        <v>1236</v>
      </c>
      <c r="E64" t="s">
        <v>1237</v>
      </c>
      <c r="F64" t="s">
        <v>1130</v>
      </c>
    </row>
    <row r="65" spans="1:6" hidden="1" x14ac:dyDescent="0.25">
      <c r="A65">
        <v>18.2</v>
      </c>
      <c r="B65">
        <v>1</v>
      </c>
      <c r="C65">
        <v>0.14499999999999999</v>
      </c>
      <c r="D65" t="s">
        <v>1238</v>
      </c>
      <c r="E65" t="s">
        <v>1239</v>
      </c>
      <c r="F65" t="s">
        <v>1130</v>
      </c>
    </row>
    <row r="66" spans="1:6" hidden="1" x14ac:dyDescent="0.25">
      <c r="A66">
        <v>18.2</v>
      </c>
      <c r="B66">
        <v>1</v>
      </c>
      <c r="C66">
        <v>6.1449999999999996</v>
      </c>
      <c r="D66" t="s">
        <v>1240</v>
      </c>
      <c r="E66" t="s">
        <v>1241</v>
      </c>
      <c r="F66" t="s">
        <v>1130</v>
      </c>
    </row>
    <row r="67" spans="1:6" hidden="1" x14ac:dyDescent="0.25">
      <c r="A67">
        <v>19</v>
      </c>
      <c r="B67">
        <v>0.81</v>
      </c>
      <c r="C67">
        <v>6</v>
      </c>
      <c r="D67" t="s">
        <v>1242</v>
      </c>
      <c r="E67" t="s">
        <v>1243</v>
      </c>
      <c r="F67" t="s">
        <v>1130</v>
      </c>
    </row>
    <row r="68" spans="1:6" hidden="1" x14ac:dyDescent="0.25">
      <c r="A68">
        <v>19</v>
      </c>
      <c r="B68">
        <v>1</v>
      </c>
      <c r="C68">
        <v>0.15</v>
      </c>
      <c r="D68" t="s">
        <v>1244</v>
      </c>
      <c r="E68" t="s">
        <v>602</v>
      </c>
      <c r="F68" t="s">
        <v>1130</v>
      </c>
    </row>
    <row r="69" spans="1:6" hidden="1" x14ac:dyDescent="0.25">
      <c r="A69">
        <v>19</v>
      </c>
      <c r="B69">
        <v>1</v>
      </c>
      <c r="C69">
        <v>0.16400000000000001</v>
      </c>
      <c r="D69" t="s">
        <v>1245</v>
      </c>
      <c r="E69" t="s">
        <v>1246</v>
      </c>
      <c r="F69" t="s">
        <v>1130</v>
      </c>
    </row>
    <row r="70" spans="1:6" hidden="1" x14ac:dyDescent="0.25">
      <c r="A70">
        <v>19</v>
      </c>
      <c r="B70">
        <v>1</v>
      </c>
      <c r="C70">
        <v>0.2</v>
      </c>
      <c r="D70" t="s">
        <v>1247</v>
      </c>
      <c r="E70" t="s">
        <v>1248</v>
      </c>
      <c r="F70" t="s">
        <v>1130</v>
      </c>
    </row>
    <row r="71" spans="1:6" hidden="1" x14ac:dyDescent="0.25">
      <c r="A71">
        <v>19</v>
      </c>
      <c r="B71">
        <v>1</v>
      </c>
      <c r="C71">
        <v>0.22</v>
      </c>
      <c r="D71" t="s">
        <v>1249</v>
      </c>
      <c r="E71" t="s">
        <v>1250</v>
      </c>
      <c r="F71" t="s">
        <v>1130</v>
      </c>
    </row>
    <row r="72" spans="1:6" hidden="1" x14ac:dyDescent="0.25">
      <c r="A72">
        <v>19</v>
      </c>
      <c r="B72">
        <v>1</v>
      </c>
      <c r="C72">
        <v>0.28999999999999998</v>
      </c>
      <c r="D72" t="s">
        <v>1251</v>
      </c>
      <c r="E72" t="s">
        <v>1252</v>
      </c>
      <c r="F72" t="s">
        <v>1130</v>
      </c>
    </row>
    <row r="73" spans="1:6" hidden="1" x14ac:dyDescent="0.25">
      <c r="A73">
        <v>19</v>
      </c>
      <c r="B73">
        <v>1</v>
      </c>
      <c r="C73">
        <v>0.32</v>
      </c>
      <c r="D73" t="s">
        <v>1253</v>
      </c>
      <c r="E73" t="s">
        <v>1254</v>
      </c>
      <c r="F73" t="s">
        <v>1130</v>
      </c>
    </row>
    <row r="74" spans="1:6" hidden="1" x14ac:dyDescent="0.25">
      <c r="A74">
        <v>19</v>
      </c>
      <c r="B74">
        <v>1</v>
      </c>
      <c r="C74">
        <v>0.33</v>
      </c>
      <c r="D74" t="s">
        <v>1255</v>
      </c>
      <c r="E74" t="s">
        <v>1256</v>
      </c>
      <c r="F74" t="s">
        <v>1130</v>
      </c>
    </row>
    <row r="75" spans="1:6" hidden="1" x14ac:dyDescent="0.25">
      <c r="A75">
        <v>19</v>
      </c>
      <c r="B75">
        <v>1</v>
      </c>
      <c r="C75">
        <v>0.35499999999999998</v>
      </c>
      <c r="D75" t="s">
        <v>1257</v>
      </c>
      <c r="E75" t="s">
        <v>515</v>
      </c>
      <c r="F75" t="s">
        <v>1130</v>
      </c>
    </row>
    <row r="76" spans="1:6" hidden="1" x14ac:dyDescent="0.25">
      <c r="A76">
        <v>19</v>
      </c>
      <c r="B76">
        <v>1</v>
      </c>
      <c r="C76">
        <v>0.377</v>
      </c>
      <c r="D76" t="s">
        <v>1258</v>
      </c>
      <c r="E76" t="s">
        <v>1259</v>
      </c>
      <c r="F76" t="s">
        <v>1130</v>
      </c>
    </row>
    <row r="77" spans="1:6" hidden="1" x14ac:dyDescent="0.25">
      <c r="A77">
        <v>19</v>
      </c>
      <c r="B77">
        <v>1</v>
      </c>
      <c r="C77">
        <v>0.39200000000000002</v>
      </c>
      <c r="D77" t="s">
        <v>1260</v>
      </c>
      <c r="E77" t="s">
        <v>1261</v>
      </c>
      <c r="F77" t="s">
        <v>1130</v>
      </c>
    </row>
    <row r="78" spans="1:6" hidden="1" x14ac:dyDescent="0.25">
      <c r="A78">
        <v>19</v>
      </c>
      <c r="B78">
        <v>1</v>
      </c>
      <c r="C78">
        <v>0.4</v>
      </c>
      <c r="D78" t="s">
        <v>1262</v>
      </c>
      <c r="E78" t="s">
        <v>498</v>
      </c>
      <c r="F78" t="s">
        <v>1130</v>
      </c>
    </row>
    <row r="79" spans="1:6" hidden="1" x14ac:dyDescent="0.25">
      <c r="A79">
        <v>19</v>
      </c>
      <c r="B79">
        <v>1</v>
      </c>
      <c r="C79">
        <v>0.46200000000000002</v>
      </c>
      <c r="D79" t="s">
        <v>1263</v>
      </c>
      <c r="E79" t="s">
        <v>1264</v>
      </c>
      <c r="F79" t="s">
        <v>1130</v>
      </c>
    </row>
    <row r="80" spans="1:6" hidden="1" x14ac:dyDescent="0.25">
      <c r="A80">
        <v>19</v>
      </c>
      <c r="B80">
        <v>1</v>
      </c>
      <c r="C80">
        <v>0.47</v>
      </c>
      <c r="D80" t="s">
        <v>1265</v>
      </c>
      <c r="E80" t="s">
        <v>496</v>
      </c>
      <c r="F80" t="s">
        <v>1130</v>
      </c>
    </row>
    <row r="81" spans="1:6" hidden="1" x14ac:dyDescent="0.25">
      <c r="A81">
        <v>19</v>
      </c>
      <c r="B81">
        <v>1</v>
      </c>
      <c r="C81">
        <v>0.48599999999999999</v>
      </c>
      <c r="D81" t="s">
        <v>1266</v>
      </c>
      <c r="E81" t="s">
        <v>1267</v>
      </c>
      <c r="F81" t="s">
        <v>1130</v>
      </c>
    </row>
    <row r="82" spans="1:6" hidden="1" x14ac:dyDescent="0.25">
      <c r="A82">
        <v>19</v>
      </c>
      <c r="B82">
        <v>1</v>
      </c>
      <c r="C82">
        <v>0.54</v>
      </c>
      <c r="D82" t="s">
        <v>1268</v>
      </c>
      <c r="E82" t="s">
        <v>525</v>
      </c>
      <c r="F82" t="s">
        <v>1130</v>
      </c>
    </row>
    <row r="83" spans="1:6" hidden="1" x14ac:dyDescent="0.25">
      <c r="A83">
        <v>19</v>
      </c>
      <c r="B83">
        <v>1</v>
      </c>
      <c r="C83">
        <v>0.68200000000000005</v>
      </c>
      <c r="D83" t="s">
        <v>1269</v>
      </c>
      <c r="E83" t="s">
        <v>1270</v>
      </c>
      <c r="F83" t="s">
        <v>1130</v>
      </c>
    </row>
    <row r="84" spans="1:6" hidden="1" x14ac:dyDescent="0.25">
      <c r="A84">
        <v>19</v>
      </c>
      <c r="B84">
        <v>1</v>
      </c>
      <c r="C84">
        <v>0.71</v>
      </c>
      <c r="D84" t="s">
        <v>1271</v>
      </c>
      <c r="E84" t="s">
        <v>1272</v>
      </c>
      <c r="F84" t="s">
        <v>1130</v>
      </c>
    </row>
    <row r="85" spans="1:6" hidden="1" x14ac:dyDescent="0.25">
      <c r="A85">
        <v>19</v>
      </c>
      <c r="B85">
        <v>1</v>
      </c>
      <c r="C85">
        <v>0.75</v>
      </c>
      <c r="D85" t="s">
        <v>1273</v>
      </c>
      <c r="E85" t="s">
        <v>1274</v>
      </c>
      <c r="F85" t="s">
        <v>1130</v>
      </c>
    </row>
    <row r="86" spans="1:6" hidden="1" x14ac:dyDescent="0.25">
      <c r="A86">
        <v>19</v>
      </c>
      <c r="B86">
        <v>1</v>
      </c>
      <c r="C86">
        <v>0.79</v>
      </c>
      <c r="D86" t="s">
        <v>1275</v>
      </c>
      <c r="E86" t="s">
        <v>1276</v>
      </c>
      <c r="F86" t="s">
        <v>1130</v>
      </c>
    </row>
    <row r="87" spans="1:6" hidden="1" x14ac:dyDescent="0.25">
      <c r="A87">
        <v>19</v>
      </c>
      <c r="B87">
        <v>1</v>
      </c>
      <c r="C87">
        <v>0.84</v>
      </c>
      <c r="D87" t="s">
        <v>1277</v>
      </c>
      <c r="E87" t="s">
        <v>616</v>
      </c>
      <c r="F87" t="s">
        <v>1130</v>
      </c>
    </row>
    <row r="88" spans="1:6" hidden="1" x14ac:dyDescent="0.25">
      <c r="A88">
        <v>19</v>
      </c>
      <c r="B88">
        <v>1</v>
      </c>
      <c r="C88">
        <v>0.875</v>
      </c>
      <c r="D88" t="s">
        <v>1278</v>
      </c>
      <c r="E88" t="s">
        <v>618</v>
      </c>
      <c r="F88" t="s">
        <v>1130</v>
      </c>
    </row>
    <row r="89" spans="1:6" hidden="1" x14ac:dyDescent="0.25">
      <c r="A89">
        <v>19</v>
      </c>
      <c r="B89">
        <v>1</v>
      </c>
      <c r="C89">
        <v>0.88</v>
      </c>
      <c r="D89" t="s">
        <v>1279</v>
      </c>
      <c r="E89" t="s">
        <v>614</v>
      </c>
      <c r="F89" t="s">
        <v>1130</v>
      </c>
    </row>
    <row r="90" spans="1:6" hidden="1" x14ac:dyDescent="0.25">
      <c r="A90">
        <v>19</v>
      </c>
      <c r="B90">
        <v>1</v>
      </c>
      <c r="C90">
        <v>0.88800000000000001</v>
      </c>
      <c r="D90" t="s">
        <v>1280</v>
      </c>
      <c r="E90" t="s">
        <v>1281</v>
      </c>
      <c r="F90" t="s">
        <v>1130</v>
      </c>
    </row>
    <row r="91" spans="1:6" hidden="1" x14ac:dyDescent="0.25">
      <c r="A91">
        <v>19</v>
      </c>
      <c r="B91">
        <v>1</v>
      </c>
      <c r="C91">
        <v>0.89</v>
      </c>
      <c r="D91" t="s">
        <v>1282</v>
      </c>
      <c r="E91" t="s">
        <v>1283</v>
      </c>
      <c r="F91" t="s">
        <v>1130</v>
      </c>
    </row>
    <row r="92" spans="1:6" hidden="1" x14ac:dyDescent="0.25">
      <c r="A92">
        <v>19</v>
      </c>
      <c r="B92">
        <v>1</v>
      </c>
      <c r="C92">
        <v>0.96</v>
      </c>
      <c r="D92" t="s">
        <v>1284</v>
      </c>
      <c r="E92" t="s">
        <v>1285</v>
      </c>
      <c r="F92" t="s">
        <v>1130</v>
      </c>
    </row>
    <row r="93" spans="1:6" hidden="1" x14ac:dyDescent="0.25">
      <c r="A93">
        <v>19</v>
      </c>
      <c r="B93">
        <v>1</v>
      </c>
      <c r="C93">
        <v>1.1000000000000001</v>
      </c>
      <c r="D93" t="s">
        <v>1286</v>
      </c>
      <c r="E93" t="s">
        <v>1287</v>
      </c>
      <c r="F93" t="s">
        <v>1130</v>
      </c>
    </row>
    <row r="94" spans="1:6" hidden="1" x14ac:dyDescent="0.25">
      <c r="A94">
        <v>19</v>
      </c>
      <c r="B94">
        <v>1</v>
      </c>
      <c r="C94">
        <v>1.246</v>
      </c>
      <c r="D94" t="s">
        <v>1288</v>
      </c>
      <c r="E94" t="s">
        <v>521</v>
      </c>
      <c r="F94" t="s">
        <v>1130</v>
      </c>
    </row>
    <row r="95" spans="1:6" hidden="1" x14ac:dyDescent="0.25">
      <c r="A95">
        <v>19</v>
      </c>
      <c r="B95">
        <v>1</v>
      </c>
      <c r="C95">
        <v>1.3</v>
      </c>
      <c r="D95" t="s">
        <v>1289</v>
      </c>
      <c r="E95" t="s">
        <v>1290</v>
      </c>
      <c r="F95" t="s">
        <v>1130</v>
      </c>
    </row>
    <row r="96" spans="1:6" hidden="1" x14ac:dyDescent="0.25">
      <c r="A96">
        <v>19</v>
      </c>
      <c r="B96">
        <v>1</v>
      </c>
      <c r="C96">
        <v>1.304</v>
      </c>
      <c r="D96" t="s">
        <v>1291</v>
      </c>
      <c r="E96" t="s">
        <v>519</v>
      </c>
      <c r="F96" t="s">
        <v>1130</v>
      </c>
    </row>
    <row r="97" spans="1:6" hidden="1" x14ac:dyDescent="0.25">
      <c r="A97">
        <v>19</v>
      </c>
      <c r="B97">
        <v>1</v>
      </c>
      <c r="C97">
        <v>1.31</v>
      </c>
      <c r="D97" t="s">
        <v>1292</v>
      </c>
      <c r="E97" t="s">
        <v>1293</v>
      </c>
      <c r="F97" t="s">
        <v>1130</v>
      </c>
    </row>
    <row r="98" spans="1:6" hidden="1" x14ac:dyDescent="0.25">
      <c r="A98">
        <v>19</v>
      </c>
      <c r="B98">
        <v>1</v>
      </c>
      <c r="C98">
        <v>6</v>
      </c>
      <c r="D98" t="s">
        <v>1294</v>
      </c>
      <c r="E98" t="s">
        <v>451</v>
      </c>
      <c r="F98" t="s">
        <v>1130</v>
      </c>
    </row>
    <row r="99" spans="1:6" hidden="1" x14ac:dyDescent="0.25">
      <c r="A99">
        <v>19</v>
      </c>
      <c r="B99">
        <v>1.01</v>
      </c>
      <c r="C99">
        <v>0.67500000000000004</v>
      </c>
      <c r="D99" t="s">
        <v>1295</v>
      </c>
      <c r="E99" t="s">
        <v>1296</v>
      </c>
      <c r="F99" t="s">
        <v>1130</v>
      </c>
    </row>
    <row r="100" spans="1:6" hidden="1" x14ac:dyDescent="0.25">
      <c r="A100">
        <v>19</v>
      </c>
      <c r="B100">
        <v>1.01</v>
      </c>
      <c r="C100">
        <v>0.871</v>
      </c>
      <c r="D100" t="s">
        <v>1297</v>
      </c>
      <c r="E100" t="s">
        <v>620</v>
      </c>
      <c r="F100" t="s">
        <v>1130</v>
      </c>
    </row>
    <row r="101" spans="1:6" hidden="1" x14ac:dyDescent="0.25">
      <c r="A101">
        <v>19</v>
      </c>
      <c r="B101">
        <v>1.01</v>
      </c>
      <c r="C101">
        <v>6</v>
      </c>
      <c r="D101" t="s">
        <v>1298</v>
      </c>
      <c r="E101" t="s">
        <v>1299</v>
      </c>
      <c r="F101" t="s">
        <v>1130</v>
      </c>
    </row>
    <row r="102" spans="1:6" hidden="1" x14ac:dyDescent="0.25">
      <c r="A102">
        <v>19</v>
      </c>
      <c r="B102">
        <v>1.2</v>
      </c>
      <c r="C102">
        <v>0.129</v>
      </c>
      <c r="D102" t="s">
        <v>1300</v>
      </c>
      <c r="E102" t="s">
        <v>1301</v>
      </c>
      <c r="F102" t="s">
        <v>1130</v>
      </c>
    </row>
    <row r="103" spans="1:6" hidden="1" x14ac:dyDescent="0.25">
      <c r="A103">
        <v>19</v>
      </c>
      <c r="B103">
        <v>1.2</v>
      </c>
      <c r="C103">
        <v>6</v>
      </c>
      <c r="D103" t="s">
        <v>1302</v>
      </c>
      <c r="E103" t="s">
        <v>1303</v>
      </c>
      <c r="F103" t="s">
        <v>1130</v>
      </c>
    </row>
    <row r="104" spans="1:6" hidden="1" x14ac:dyDescent="0.25">
      <c r="A104">
        <v>19</v>
      </c>
      <c r="B104">
        <v>1.21</v>
      </c>
      <c r="C104">
        <v>0.33</v>
      </c>
      <c r="D104" t="s">
        <v>1304</v>
      </c>
      <c r="E104" t="s">
        <v>1305</v>
      </c>
      <c r="F104" t="s">
        <v>1130</v>
      </c>
    </row>
    <row r="105" spans="1:6" hidden="1" x14ac:dyDescent="0.25">
      <c r="A105">
        <v>19</v>
      </c>
      <c r="B105">
        <v>3.25</v>
      </c>
      <c r="C105">
        <v>0.58799999999999997</v>
      </c>
      <c r="D105" t="s">
        <v>1306</v>
      </c>
      <c r="E105" t="s">
        <v>591</v>
      </c>
      <c r="F105" t="s">
        <v>1130</v>
      </c>
    </row>
    <row r="106" spans="1:6" hidden="1" x14ac:dyDescent="0.25">
      <c r="A106">
        <v>19.05</v>
      </c>
      <c r="B106">
        <v>0.8</v>
      </c>
      <c r="C106">
        <v>6</v>
      </c>
      <c r="D106" t="s">
        <v>1307</v>
      </c>
      <c r="E106" t="s">
        <v>1308</v>
      </c>
      <c r="F106" t="s">
        <v>1130</v>
      </c>
    </row>
    <row r="107" spans="1:6" hidden="1" x14ac:dyDescent="0.25">
      <c r="A107">
        <v>19.05</v>
      </c>
      <c r="B107">
        <v>1</v>
      </c>
      <c r="C107">
        <v>1.2</v>
      </c>
      <c r="D107" t="s">
        <v>1309</v>
      </c>
      <c r="E107" t="s">
        <v>649</v>
      </c>
      <c r="F107" t="s">
        <v>1130</v>
      </c>
    </row>
    <row r="108" spans="1:6" hidden="1" x14ac:dyDescent="0.25">
      <c r="A108">
        <v>19.05</v>
      </c>
      <c r="B108">
        <v>1.02</v>
      </c>
      <c r="C108">
        <v>1.095</v>
      </c>
      <c r="D108" t="s">
        <v>1310</v>
      </c>
      <c r="E108" t="s">
        <v>1311</v>
      </c>
      <c r="F108" t="s">
        <v>1130</v>
      </c>
    </row>
    <row r="109" spans="1:6" hidden="1" x14ac:dyDescent="0.25">
      <c r="A109">
        <v>19.05</v>
      </c>
      <c r="B109">
        <v>1.2</v>
      </c>
      <c r="C109">
        <v>0.109</v>
      </c>
      <c r="D109" t="s">
        <v>1312</v>
      </c>
      <c r="E109" t="s">
        <v>1313</v>
      </c>
      <c r="F109" t="s">
        <v>1130</v>
      </c>
    </row>
    <row r="110" spans="1:6" hidden="1" x14ac:dyDescent="0.25">
      <c r="A110">
        <v>19.05</v>
      </c>
      <c r="B110">
        <v>1.2</v>
      </c>
      <c r="C110">
        <v>0.33</v>
      </c>
      <c r="D110" t="s">
        <v>1314</v>
      </c>
      <c r="E110" t="s">
        <v>1315</v>
      </c>
      <c r="F110" t="s">
        <v>1130</v>
      </c>
    </row>
    <row r="111" spans="1:6" hidden="1" x14ac:dyDescent="0.25">
      <c r="A111">
        <v>19.05</v>
      </c>
      <c r="B111">
        <v>1.2</v>
      </c>
      <c r="C111">
        <v>0.51300000000000001</v>
      </c>
      <c r="D111" t="s">
        <v>1316</v>
      </c>
      <c r="E111" t="s">
        <v>1317</v>
      </c>
      <c r="F111" t="s">
        <v>1130</v>
      </c>
    </row>
    <row r="112" spans="1:6" hidden="1" x14ac:dyDescent="0.25">
      <c r="A112">
        <v>19.05</v>
      </c>
      <c r="B112">
        <v>1.2</v>
      </c>
      <c r="C112">
        <v>0.63100000000000001</v>
      </c>
      <c r="D112" t="s">
        <v>1318</v>
      </c>
      <c r="E112" t="s">
        <v>1319</v>
      </c>
      <c r="F112" t="s">
        <v>1130</v>
      </c>
    </row>
    <row r="113" spans="1:6" hidden="1" x14ac:dyDescent="0.25">
      <c r="A113">
        <v>19.05</v>
      </c>
      <c r="B113">
        <v>1.2</v>
      </c>
      <c r="C113">
        <v>0.65</v>
      </c>
      <c r="D113" t="s">
        <v>1320</v>
      </c>
      <c r="E113" t="s">
        <v>1321</v>
      </c>
      <c r="F113" t="s">
        <v>1130</v>
      </c>
    </row>
    <row r="114" spans="1:6" hidden="1" x14ac:dyDescent="0.25">
      <c r="A114">
        <v>19.05</v>
      </c>
      <c r="B114">
        <v>1.2</v>
      </c>
      <c r="C114">
        <v>1.075</v>
      </c>
      <c r="D114" t="s">
        <v>1322</v>
      </c>
      <c r="E114" t="s">
        <v>472</v>
      </c>
      <c r="F114" t="s">
        <v>1130</v>
      </c>
    </row>
    <row r="115" spans="1:6" hidden="1" x14ac:dyDescent="0.25">
      <c r="A115">
        <v>19.05</v>
      </c>
      <c r="B115">
        <v>1.2</v>
      </c>
      <c r="C115">
        <v>1.1299999999999999</v>
      </c>
      <c r="D115" t="s">
        <v>1323</v>
      </c>
      <c r="E115" t="s">
        <v>1324</v>
      </c>
      <c r="F115" t="s">
        <v>1130</v>
      </c>
    </row>
    <row r="116" spans="1:6" hidden="1" x14ac:dyDescent="0.25">
      <c r="A116">
        <v>19.05</v>
      </c>
      <c r="B116">
        <v>1.2</v>
      </c>
      <c r="C116">
        <v>1.2749999999999999</v>
      </c>
      <c r="D116" t="s">
        <v>1325</v>
      </c>
      <c r="E116" t="s">
        <v>667</v>
      </c>
      <c r="F116" t="s">
        <v>1130</v>
      </c>
    </row>
    <row r="117" spans="1:6" hidden="1" x14ac:dyDescent="0.25">
      <c r="A117">
        <v>19.05</v>
      </c>
      <c r="B117">
        <v>1.4</v>
      </c>
      <c r="C117">
        <v>0.27300000000000002</v>
      </c>
      <c r="D117" t="s">
        <v>1326</v>
      </c>
      <c r="E117" t="s">
        <v>1327</v>
      </c>
      <c r="F117" t="s">
        <v>1130</v>
      </c>
    </row>
    <row r="118" spans="1:6" hidden="1" x14ac:dyDescent="0.25">
      <c r="A118">
        <v>19.05</v>
      </c>
      <c r="B118">
        <v>1.4</v>
      </c>
      <c r="C118">
        <v>6</v>
      </c>
      <c r="D118" t="s">
        <v>1328</v>
      </c>
      <c r="E118" t="s">
        <v>1329</v>
      </c>
      <c r="F118" t="s">
        <v>1130</v>
      </c>
    </row>
    <row r="119" spans="1:6" hidden="1" x14ac:dyDescent="0.25">
      <c r="A119">
        <v>19.05</v>
      </c>
      <c r="B119">
        <v>1.6</v>
      </c>
      <c r="C119">
        <v>0.23</v>
      </c>
      <c r="D119" t="s">
        <v>1330</v>
      </c>
      <c r="E119" t="s">
        <v>1331</v>
      </c>
      <c r="F119" t="s">
        <v>1130</v>
      </c>
    </row>
    <row r="120" spans="1:6" hidden="1" x14ac:dyDescent="0.25">
      <c r="A120">
        <v>19.05</v>
      </c>
      <c r="B120">
        <v>1.6</v>
      </c>
      <c r="C120">
        <v>0.25</v>
      </c>
      <c r="D120" t="s">
        <v>1332</v>
      </c>
      <c r="E120" t="s">
        <v>1333</v>
      </c>
      <c r="F120" t="s">
        <v>1130</v>
      </c>
    </row>
    <row r="121" spans="1:6" hidden="1" x14ac:dyDescent="0.25">
      <c r="A121">
        <v>19.05</v>
      </c>
      <c r="B121">
        <v>1.6</v>
      </c>
      <c r="C121">
        <v>0.25800000000000001</v>
      </c>
      <c r="D121" t="s">
        <v>1334</v>
      </c>
      <c r="E121" t="s">
        <v>1335</v>
      </c>
      <c r="F121" t="s">
        <v>1130</v>
      </c>
    </row>
    <row r="122" spans="1:6" hidden="1" x14ac:dyDescent="0.25">
      <c r="A122">
        <v>19.05</v>
      </c>
      <c r="B122">
        <v>1.6</v>
      </c>
      <c r="C122">
        <v>0.26500000000000001</v>
      </c>
      <c r="D122" t="s">
        <v>1336</v>
      </c>
      <c r="E122" t="s">
        <v>1337</v>
      </c>
      <c r="F122" t="s">
        <v>1130</v>
      </c>
    </row>
    <row r="123" spans="1:6" hidden="1" x14ac:dyDescent="0.25">
      <c r="A123">
        <v>19.05</v>
      </c>
      <c r="B123">
        <v>1.6</v>
      </c>
      <c r="C123">
        <v>0.26800000000000002</v>
      </c>
      <c r="D123" t="s">
        <v>1338</v>
      </c>
      <c r="E123" t="s">
        <v>1339</v>
      </c>
      <c r="F123" t="s">
        <v>1130</v>
      </c>
    </row>
    <row r="124" spans="1:6" hidden="1" x14ac:dyDescent="0.25">
      <c r="A124">
        <v>19.05</v>
      </c>
      <c r="B124">
        <v>1.6</v>
      </c>
      <c r="C124">
        <v>0.27500000000000002</v>
      </c>
      <c r="D124" t="s">
        <v>1340</v>
      </c>
      <c r="E124" t="s">
        <v>1341</v>
      </c>
      <c r="F124" t="s">
        <v>1130</v>
      </c>
    </row>
    <row r="125" spans="1:6" hidden="1" x14ac:dyDescent="0.25">
      <c r="A125">
        <v>19.05</v>
      </c>
      <c r="B125">
        <v>1.6</v>
      </c>
      <c r="C125">
        <v>0.35499999999999998</v>
      </c>
      <c r="D125" t="s">
        <v>1342</v>
      </c>
      <c r="E125" t="s">
        <v>1343</v>
      </c>
      <c r="F125" t="s">
        <v>1130</v>
      </c>
    </row>
    <row r="126" spans="1:6" hidden="1" x14ac:dyDescent="0.25">
      <c r="A126">
        <v>19.05</v>
      </c>
      <c r="B126">
        <v>1.6</v>
      </c>
      <c r="C126">
        <v>0.38500000000000001</v>
      </c>
      <c r="D126" t="s">
        <v>1344</v>
      </c>
      <c r="E126" t="s">
        <v>1345</v>
      </c>
      <c r="F126" t="s">
        <v>1130</v>
      </c>
    </row>
    <row r="127" spans="1:6" hidden="1" x14ac:dyDescent="0.25">
      <c r="A127">
        <v>19.05</v>
      </c>
      <c r="B127">
        <v>1.6</v>
      </c>
      <c r="C127">
        <v>0.39400000000000002</v>
      </c>
      <c r="D127" t="s">
        <v>1346</v>
      </c>
      <c r="E127" t="s">
        <v>1347</v>
      </c>
      <c r="F127" t="s">
        <v>1130</v>
      </c>
    </row>
    <row r="128" spans="1:6" hidden="1" x14ac:dyDescent="0.25">
      <c r="A128">
        <v>19.05</v>
      </c>
      <c r="B128">
        <v>1.6</v>
      </c>
      <c r="C128">
        <v>0.59499999999999997</v>
      </c>
      <c r="D128" t="s">
        <v>1348</v>
      </c>
      <c r="E128" t="s">
        <v>1349</v>
      </c>
      <c r="F128" t="s">
        <v>1130</v>
      </c>
    </row>
    <row r="129" spans="1:6" hidden="1" x14ac:dyDescent="0.25">
      <c r="A129">
        <v>19.05</v>
      </c>
      <c r="B129">
        <v>1.6</v>
      </c>
      <c r="C129">
        <v>0.77500000000000002</v>
      </c>
      <c r="D129" t="s">
        <v>1350</v>
      </c>
      <c r="E129" t="s">
        <v>1351</v>
      </c>
      <c r="F129" t="s">
        <v>1130</v>
      </c>
    </row>
    <row r="130" spans="1:6" hidden="1" x14ac:dyDescent="0.25">
      <c r="A130">
        <v>19.05</v>
      </c>
      <c r="B130">
        <v>1.6</v>
      </c>
      <c r="C130">
        <v>1.405</v>
      </c>
      <c r="D130" t="s">
        <v>1352</v>
      </c>
      <c r="E130" t="s">
        <v>1353</v>
      </c>
      <c r="F130" t="s">
        <v>1130</v>
      </c>
    </row>
    <row r="131" spans="1:6" hidden="1" x14ac:dyDescent="0.25">
      <c r="A131">
        <v>19.05</v>
      </c>
      <c r="B131">
        <v>1.6</v>
      </c>
      <c r="C131">
        <v>6</v>
      </c>
      <c r="D131" t="s">
        <v>1354</v>
      </c>
      <c r="E131" t="s">
        <v>1355</v>
      </c>
      <c r="F131" t="s">
        <v>1130</v>
      </c>
    </row>
    <row r="132" spans="1:6" hidden="1" x14ac:dyDescent="0.25">
      <c r="A132">
        <v>19.05</v>
      </c>
      <c r="B132">
        <v>2</v>
      </c>
      <c r="C132">
        <v>0.104</v>
      </c>
      <c r="D132" t="s">
        <v>1356</v>
      </c>
      <c r="E132" t="s">
        <v>1357</v>
      </c>
      <c r="F132" t="s">
        <v>1130</v>
      </c>
    </row>
    <row r="133" spans="1:6" hidden="1" x14ac:dyDescent="0.25">
      <c r="A133">
        <v>19.05</v>
      </c>
      <c r="B133">
        <v>2</v>
      </c>
      <c r="C133">
        <v>0.104</v>
      </c>
      <c r="D133" t="s">
        <v>1358</v>
      </c>
      <c r="E133" t="s">
        <v>1359</v>
      </c>
      <c r="F133" t="s">
        <v>1130</v>
      </c>
    </row>
    <row r="134" spans="1:6" hidden="1" x14ac:dyDescent="0.25">
      <c r="A134">
        <v>19.05</v>
      </c>
      <c r="B134">
        <v>2</v>
      </c>
      <c r="C134">
        <v>0.21299999999999999</v>
      </c>
      <c r="D134" t="s">
        <v>1360</v>
      </c>
      <c r="E134" t="s">
        <v>1361</v>
      </c>
      <c r="F134" t="s">
        <v>1130</v>
      </c>
    </row>
    <row r="135" spans="1:6" hidden="1" x14ac:dyDescent="0.25">
      <c r="A135">
        <v>19.05</v>
      </c>
      <c r="B135">
        <v>2</v>
      </c>
      <c r="C135">
        <v>0.25800000000000001</v>
      </c>
      <c r="D135" t="s">
        <v>1362</v>
      </c>
      <c r="E135" t="s">
        <v>1363</v>
      </c>
      <c r="F135" t="s">
        <v>1130</v>
      </c>
    </row>
    <row r="136" spans="1:6" hidden="1" x14ac:dyDescent="0.25">
      <c r="A136">
        <v>19.05</v>
      </c>
      <c r="B136">
        <v>2</v>
      </c>
      <c r="C136">
        <v>0.44900000000000001</v>
      </c>
      <c r="D136" t="s">
        <v>1364</v>
      </c>
      <c r="E136" t="s">
        <v>1365</v>
      </c>
      <c r="F136" t="s">
        <v>1130</v>
      </c>
    </row>
    <row r="137" spans="1:6" hidden="1" x14ac:dyDescent="0.25">
      <c r="A137">
        <v>19.05</v>
      </c>
      <c r="B137">
        <v>2</v>
      </c>
      <c r="C137">
        <v>0.54700000000000004</v>
      </c>
      <c r="D137" t="s">
        <v>1366</v>
      </c>
      <c r="E137" t="s">
        <v>1367</v>
      </c>
      <c r="F137" t="s">
        <v>1130</v>
      </c>
    </row>
    <row r="138" spans="1:6" hidden="1" x14ac:dyDescent="0.25">
      <c r="A138">
        <v>19.05</v>
      </c>
      <c r="B138">
        <v>2</v>
      </c>
      <c r="C138">
        <v>0.78500000000000003</v>
      </c>
      <c r="D138" t="s">
        <v>1368</v>
      </c>
      <c r="E138" t="s">
        <v>1369</v>
      </c>
      <c r="F138" t="s">
        <v>1130</v>
      </c>
    </row>
    <row r="139" spans="1:6" hidden="1" x14ac:dyDescent="0.25">
      <c r="A139">
        <v>19.05</v>
      </c>
      <c r="B139">
        <v>2</v>
      </c>
      <c r="C139">
        <v>0.78500000000000003</v>
      </c>
      <c r="D139" t="s">
        <v>1370</v>
      </c>
      <c r="E139" t="s">
        <v>1371</v>
      </c>
      <c r="F139" t="s">
        <v>1130</v>
      </c>
    </row>
    <row r="140" spans="1:6" hidden="1" x14ac:dyDescent="0.25">
      <c r="A140">
        <v>19.05</v>
      </c>
      <c r="B140">
        <v>2</v>
      </c>
      <c r="C140">
        <v>0.78500000000000003</v>
      </c>
      <c r="D140" t="s">
        <v>1372</v>
      </c>
      <c r="E140" t="s">
        <v>1373</v>
      </c>
      <c r="F140" t="s">
        <v>1130</v>
      </c>
    </row>
    <row r="141" spans="1:6" hidden="1" x14ac:dyDescent="0.25">
      <c r="A141">
        <v>19.05</v>
      </c>
      <c r="B141">
        <v>2</v>
      </c>
      <c r="C141">
        <v>0.81499999999999995</v>
      </c>
      <c r="D141" t="s">
        <v>1374</v>
      </c>
      <c r="E141" t="s">
        <v>1375</v>
      </c>
      <c r="F141" t="s">
        <v>1130</v>
      </c>
    </row>
    <row r="142" spans="1:6" hidden="1" x14ac:dyDescent="0.25">
      <c r="A142">
        <v>19.05</v>
      </c>
      <c r="B142">
        <v>2</v>
      </c>
      <c r="C142">
        <v>0.81499999999999995</v>
      </c>
      <c r="D142" t="s">
        <v>1376</v>
      </c>
      <c r="E142" t="s">
        <v>605</v>
      </c>
      <c r="F142" t="s">
        <v>1130</v>
      </c>
    </row>
    <row r="143" spans="1:6" hidden="1" x14ac:dyDescent="0.25">
      <c r="A143">
        <v>19.05</v>
      </c>
      <c r="B143">
        <v>2</v>
      </c>
      <c r="C143">
        <v>0.82</v>
      </c>
      <c r="D143" t="s">
        <v>1377</v>
      </c>
      <c r="E143" t="s">
        <v>1378</v>
      </c>
      <c r="F143" t="s">
        <v>1130</v>
      </c>
    </row>
    <row r="144" spans="1:6" hidden="1" x14ac:dyDescent="0.25">
      <c r="A144">
        <v>19.05</v>
      </c>
      <c r="B144">
        <v>2</v>
      </c>
      <c r="C144">
        <v>0.83</v>
      </c>
      <c r="D144" t="s">
        <v>1379</v>
      </c>
      <c r="E144" t="s">
        <v>1380</v>
      </c>
      <c r="F144" t="s">
        <v>1130</v>
      </c>
    </row>
    <row r="145" spans="1:6" hidden="1" x14ac:dyDescent="0.25">
      <c r="A145">
        <v>19.05</v>
      </c>
      <c r="B145">
        <v>2</v>
      </c>
      <c r="C145">
        <v>5.8410000000000002</v>
      </c>
      <c r="D145" t="s">
        <v>1381</v>
      </c>
      <c r="E145" t="s">
        <v>1382</v>
      </c>
      <c r="F145" t="s">
        <v>1130</v>
      </c>
    </row>
    <row r="146" spans="1:6" hidden="1" x14ac:dyDescent="0.25">
      <c r="A146">
        <v>19.05</v>
      </c>
      <c r="B146">
        <v>2</v>
      </c>
      <c r="C146">
        <v>6</v>
      </c>
      <c r="D146" t="s">
        <v>1383</v>
      </c>
      <c r="E146" t="s">
        <v>1384</v>
      </c>
      <c r="F146" t="s">
        <v>1130</v>
      </c>
    </row>
    <row r="147" spans="1:6" hidden="1" x14ac:dyDescent="0.25">
      <c r="A147">
        <v>19.05</v>
      </c>
      <c r="B147">
        <v>2.0299999999999998</v>
      </c>
      <c r="C147">
        <v>0.83</v>
      </c>
      <c r="D147" t="s">
        <v>1385</v>
      </c>
      <c r="E147" t="s">
        <v>1386</v>
      </c>
      <c r="F147" t="s">
        <v>1130</v>
      </c>
    </row>
    <row r="148" spans="1:6" hidden="1" x14ac:dyDescent="0.25">
      <c r="A148">
        <v>19.05</v>
      </c>
      <c r="B148">
        <v>2.2999999999999998</v>
      </c>
      <c r="C148">
        <v>0.19500000000000001</v>
      </c>
      <c r="D148" t="s">
        <v>1387</v>
      </c>
      <c r="E148" t="s">
        <v>1388</v>
      </c>
      <c r="F148" t="s">
        <v>1130</v>
      </c>
    </row>
    <row r="149" spans="1:6" hidden="1" x14ac:dyDescent="0.25">
      <c r="A149">
        <v>19.05</v>
      </c>
      <c r="B149">
        <v>2.2999999999999998</v>
      </c>
      <c r="C149">
        <v>0.19500000000000001</v>
      </c>
      <c r="D149" t="s">
        <v>1389</v>
      </c>
      <c r="E149" t="s">
        <v>1390</v>
      </c>
      <c r="F149" t="s">
        <v>1130</v>
      </c>
    </row>
    <row r="150" spans="1:6" hidden="1" x14ac:dyDescent="0.25">
      <c r="A150">
        <v>19.05</v>
      </c>
      <c r="B150">
        <v>2.2999999999999998</v>
      </c>
      <c r="C150">
        <v>0.23599999999999999</v>
      </c>
      <c r="D150" t="s">
        <v>1391</v>
      </c>
      <c r="E150" t="s">
        <v>1392</v>
      </c>
      <c r="F150" t="s">
        <v>1130</v>
      </c>
    </row>
    <row r="151" spans="1:6" hidden="1" x14ac:dyDescent="0.25">
      <c r="A151">
        <v>19.05</v>
      </c>
      <c r="B151">
        <v>2.2999999999999998</v>
      </c>
      <c r="C151">
        <v>0.23599999999999999</v>
      </c>
      <c r="D151" t="s">
        <v>1393</v>
      </c>
      <c r="E151" t="s">
        <v>454</v>
      </c>
      <c r="F151" t="s">
        <v>1130</v>
      </c>
    </row>
    <row r="152" spans="1:6" hidden="1" x14ac:dyDescent="0.25">
      <c r="A152">
        <v>19.05</v>
      </c>
      <c r="B152">
        <v>2.2999999999999998</v>
      </c>
      <c r="C152">
        <v>0.252</v>
      </c>
      <c r="D152" t="s">
        <v>1394</v>
      </c>
      <c r="E152" t="s">
        <v>1395</v>
      </c>
      <c r="F152" t="s">
        <v>1130</v>
      </c>
    </row>
    <row r="153" spans="1:6" hidden="1" x14ac:dyDescent="0.25">
      <c r="A153">
        <v>19.05</v>
      </c>
      <c r="B153">
        <v>2.2999999999999998</v>
      </c>
      <c r="C153">
        <v>0.252</v>
      </c>
      <c r="D153" t="s">
        <v>1396</v>
      </c>
      <c r="E153" t="s">
        <v>408</v>
      </c>
      <c r="F153" t="s">
        <v>1130</v>
      </c>
    </row>
    <row r="154" spans="1:6" hidden="1" x14ac:dyDescent="0.25">
      <c r="A154">
        <v>19.05</v>
      </c>
      <c r="B154">
        <v>2.2999999999999998</v>
      </c>
      <c r="C154">
        <v>0.255</v>
      </c>
      <c r="D154" t="s">
        <v>1397</v>
      </c>
      <c r="E154" t="s">
        <v>700</v>
      </c>
      <c r="F154" t="s">
        <v>1130</v>
      </c>
    </row>
    <row r="155" spans="1:6" hidden="1" x14ac:dyDescent="0.25">
      <c r="A155">
        <v>19.05</v>
      </c>
      <c r="B155">
        <v>2.2999999999999998</v>
      </c>
      <c r="C155">
        <v>0.255</v>
      </c>
      <c r="D155" t="s">
        <v>1398</v>
      </c>
      <c r="E155" t="s">
        <v>700</v>
      </c>
      <c r="F155" t="s">
        <v>1130</v>
      </c>
    </row>
    <row r="156" spans="1:6" hidden="1" x14ac:dyDescent="0.25">
      <c r="A156">
        <v>19.05</v>
      </c>
      <c r="B156">
        <v>2.2999999999999998</v>
      </c>
      <c r="C156">
        <v>0.26500000000000001</v>
      </c>
      <c r="D156" t="s">
        <v>1399</v>
      </c>
      <c r="E156" t="s">
        <v>1400</v>
      </c>
      <c r="F156" t="s">
        <v>1130</v>
      </c>
    </row>
    <row r="157" spans="1:6" hidden="1" x14ac:dyDescent="0.25">
      <c r="A157">
        <v>19.05</v>
      </c>
      <c r="B157">
        <v>2.2999999999999998</v>
      </c>
      <c r="C157">
        <v>0.26500000000000001</v>
      </c>
      <c r="D157" t="s">
        <v>1401</v>
      </c>
      <c r="E157" t="s">
        <v>703</v>
      </c>
      <c r="F157" t="s">
        <v>1130</v>
      </c>
    </row>
    <row r="158" spans="1:6" hidden="1" x14ac:dyDescent="0.25">
      <c r="A158">
        <v>19.05</v>
      </c>
      <c r="B158">
        <v>2.2999999999999998</v>
      </c>
      <c r="C158">
        <v>0.27900000000000003</v>
      </c>
      <c r="D158" t="s">
        <v>1402</v>
      </c>
      <c r="E158" t="s">
        <v>1403</v>
      </c>
      <c r="F158" t="s">
        <v>1130</v>
      </c>
    </row>
    <row r="159" spans="1:6" hidden="1" x14ac:dyDescent="0.25">
      <c r="A159">
        <v>19.05</v>
      </c>
      <c r="B159">
        <v>2.2999999999999998</v>
      </c>
      <c r="C159">
        <v>0.28499999999999998</v>
      </c>
      <c r="D159" t="s">
        <v>1404</v>
      </c>
      <c r="E159" t="s">
        <v>705</v>
      </c>
      <c r="F159" t="s">
        <v>1130</v>
      </c>
    </row>
    <row r="160" spans="1:6" hidden="1" x14ac:dyDescent="0.25">
      <c r="A160">
        <v>19.05</v>
      </c>
      <c r="B160">
        <v>2.2999999999999998</v>
      </c>
      <c r="C160">
        <v>0.29499999999999998</v>
      </c>
      <c r="D160" t="s">
        <v>1405</v>
      </c>
      <c r="E160" t="s">
        <v>1406</v>
      </c>
      <c r="F160" t="s">
        <v>1130</v>
      </c>
    </row>
    <row r="161" spans="1:6" hidden="1" x14ac:dyDescent="0.25">
      <c r="A161">
        <v>19.05</v>
      </c>
      <c r="B161">
        <v>2.2999999999999998</v>
      </c>
      <c r="C161">
        <v>0.29499999999999998</v>
      </c>
      <c r="D161" t="s">
        <v>1407</v>
      </c>
      <c r="E161" t="s">
        <v>410</v>
      </c>
      <c r="F161" t="s">
        <v>1130</v>
      </c>
    </row>
    <row r="162" spans="1:6" hidden="1" x14ac:dyDescent="0.25">
      <c r="A162">
        <v>19.05</v>
      </c>
      <c r="B162">
        <v>2.2999999999999998</v>
      </c>
      <c r="C162">
        <v>0.30299999999999999</v>
      </c>
      <c r="D162" t="s">
        <v>1408</v>
      </c>
      <c r="E162" t="s">
        <v>1409</v>
      </c>
      <c r="F162" t="s">
        <v>1130</v>
      </c>
    </row>
    <row r="163" spans="1:6" hidden="1" x14ac:dyDescent="0.25">
      <c r="A163">
        <v>19.05</v>
      </c>
      <c r="B163">
        <v>2.2999999999999998</v>
      </c>
      <c r="C163">
        <v>0.39400000000000002</v>
      </c>
      <c r="D163" t="s">
        <v>1410</v>
      </c>
      <c r="E163" t="s">
        <v>1411</v>
      </c>
      <c r="F163" t="s">
        <v>1130</v>
      </c>
    </row>
    <row r="164" spans="1:6" hidden="1" x14ac:dyDescent="0.25">
      <c r="A164">
        <v>19.05</v>
      </c>
      <c r="B164">
        <v>2.2999999999999998</v>
      </c>
      <c r="C164">
        <v>0.39400000000000002</v>
      </c>
      <c r="D164" t="s">
        <v>1412</v>
      </c>
      <c r="E164" t="s">
        <v>710</v>
      </c>
      <c r="F164" t="s">
        <v>1130</v>
      </c>
    </row>
    <row r="165" spans="1:6" hidden="1" x14ac:dyDescent="0.25">
      <c r="A165">
        <v>19.05</v>
      </c>
      <c r="B165">
        <v>2.2999999999999998</v>
      </c>
      <c r="C165">
        <v>0.4</v>
      </c>
      <c r="D165" t="s">
        <v>1413</v>
      </c>
      <c r="E165" t="s">
        <v>1414</v>
      </c>
      <c r="F165" t="s">
        <v>1130</v>
      </c>
    </row>
    <row r="166" spans="1:6" hidden="1" x14ac:dyDescent="0.25">
      <c r="A166">
        <v>19.05</v>
      </c>
      <c r="B166">
        <v>2.2999999999999998</v>
      </c>
      <c r="C166">
        <v>0.56999999999999995</v>
      </c>
      <c r="D166" t="s">
        <v>1415</v>
      </c>
      <c r="E166" t="s">
        <v>717</v>
      </c>
      <c r="F166" t="s">
        <v>1130</v>
      </c>
    </row>
    <row r="167" spans="1:6" hidden="1" x14ac:dyDescent="0.25">
      <c r="A167">
        <v>19.05</v>
      </c>
      <c r="B167">
        <v>2.2999999999999998</v>
      </c>
      <c r="C167">
        <v>0.56999999999999995</v>
      </c>
      <c r="D167" t="s">
        <v>1416</v>
      </c>
      <c r="E167" t="s">
        <v>715</v>
      </c>
      <c r="F167" t="s">
        <v>1130</v>
      </c>
    </row>
    <row r="168" spans="1:6" hidden="1" x14ac:dyDescent="0.25">
      <c r="A168">
        <v>19.05</v>
      </c>
      <c r="B168">
        <v>2.2999999999999998</v>
      </c>
      <c r="C168">
        <v>0.61</v>
      </c>
      <c r="D168" t="s">
        <v>1417</v>
      </c>
      <c r="E168" t="s">
        <v>721</v>
      </c>
      <c r="F168" t="s">
        <v>1130</v>
      </c>
    </row>
    <row r="169" spans="1:6" hidden="1" x14ac:dyDescent="0.25">
      <c r="A169">
        <v>19.05</v>
      </c>
      <c r="B169">
        <v>2.2999999999999998</v>
      </c>
      <c r="C169">
        <v>0.61</v>
      </c>
      <c r="D169" t="s">
        <v>1418</v>
      </c>
      <c r="E169" t="s">
        <v>1419</v>
      </c>
      <c r="F169" t="s">
        <v>1130</v>
      </c>
    </row>
    <row r="170" spans="1:6" hidden="1" x14ac:dyDescent="0.25">
      <c r="A170">
        <v>19.05</v>
      </c>
      <c r="B170">
        <v>2.2999999999999998</v>
      </c>
      <c r="C170">
        <v>6.9989999999999997</v>
      </c>
      <c r="D170" t="s">
        <v>1420</v>
      </c>
      <c r="E170" t="s">
        <v>1421</v>
      </c>
      <c r="F170" t="s">
        <v>1130</v>
      </c>
    </row>
    <row r="171" spans="1:6" hidden="1" x14ac:dyDescent="0.25">
      <c r="A171">
        <v>19.05</v>
      </c>
      <c r="B171">
        <v>2.2999999999999998</v>
      </c>
      <c r="C171">
        <v>7</v>
      </c>
      <c r="D171" t="s">
        <v>1422</v>
      </c>
      <c r="E171" t="s">
        <v>1423</v>
      </c>
      <c r="F171" t="s">
        <v>1130</v>
      </c>
    </row>
    <row r="172" spans="1:6" hidden="1" x14ac:dyDescent="0.25">
      <c r="A172">
        <v>19.05</v>
      </c>
      <c r="B172">
        <v>2.34</v>
      </c>
      <c r="C172">
        <v>0.25</v>
      </c>
      <c r="D172" t="s">
        <v>1424</v>
      </c>
      <c r="E172" t="s">
        <v>1425</v>
      </c>
      <c r="F172" t="s">
        <v>1130</v>
      </c>
    </row>
    <row r="173" spans="1:6" hidden="1" x14ac:dyDescent="0.25">
      <c r="A173">
        <v>20</v>
      </c>
      <c r="B173">
        <v>1.42</v>
      </c>
      <c r="C173">
        <v>0.27300000000000002</v>
      </c>
      <c r="D173" t="s">
        <v>1426</v>
      </c>
      <c r="E173" t="s">
        <v>725</v>
      </c>
      <c r="F173" t="s">
        <v>1130</v>
      </c>
    </row>
    <row r="174" spans="1:6" hidden="1" x14ac:dyDescent="0.25">
      <c r="A174">
        <v>20</v>
      </c>
      <c r="B174">
        <v>3.8</v>
      </c>
      <c r="C174">
        <v>0</v>
      </c>
      <c r="D174" t="s">
        <v>1427</v>
      </c>
      <c r="E174" t="s">
        <v>1428</v>
      </c>
      <c r="F174" t="s">
        <v>1130</v>
      </c>
    </row>
    <row r="175" spans="1:6" hidden="1" x14ac:dyDescent="0.25">
      <c r="A175">
        <v>20</v>
      </c>
      <c r="B175">
        <v>4.5</v>
      </c>
      <c r="C175">
        <v>0</v>
      </c>
      <c r="D175" t="s">
        <v>1429</v>
      </c>
      <c r="E175" t="s">
        <v>1430</v>
      </c>
      <c r="F175" t="s">
        <v>1130</v>
      </c>
    </row>
    <row r="176" spans="1:6" hidden="1" x14ac:dyDescent="0.25">
      <c r="A176">
        <v>21.2</v>
      </c>
      <c r="B176">
        <v>2.75</v>
      </c>
      <c r="C176">
        <v>0</v>
      </c>
      <c r="D176" t="s">
        <v>1431</v>
      </c>
      <c r="E176" t="s">
        <v>1432</v>
      </c>
      <c r="F176" t="s">
        <v>1130</v>
      </c>
    </row>
    <row r="177" spans="1:6" hidden="1" x14ac:dyDescent="0.25">
      <c r="A177">
        <v>21.4</v>
      </c>
      <c r="B177">
        <v>1.6</v>
      </c>
      <c r="C177">
        <v>6</v>
      </c>
      <c r="D177" t="s">
        <v>1433</v>
      </c>
      <c r="E177" t="s">
        <v>1434</v>
      </c>
      <c r="F177" t="s">
        <v>1130</v>
      </c>
    </row>
    <row r="178" spans="1:6" hidden="1" x14ac:dyDescent="0.25">
      <c r="A178">
        <v>21.4</v>
      </c>
      <c r="B178">
        <v>2</v>
      </c>
      <c r="C178">
        <v>0.42599999999999999</v>
      </c>
      <c r="D178" t="s">
        <v>1435</v>
      </c>
      <c r="E178" t="s">
        <v>1436</v>
      </c>
      <c r="F178" t="s">
        <v>1130</v>
      </c>
    </row>
    <row r="179" spans="1:6" hidden="1" x14ac:dyDescent="0.25">
      <c r="A179">
        <v>21.4</v>
      </c>
      <c r="B179">
        <v>2</v>
      </c>
      <c r="C179">
        <v>0.45100000000000001</v>
      </c>
      <c r="D179" t="s">
        <v>1437</v>
      </c>
      <c r="E179" t="s">
        <v>1438</v>
      </c>
      <c r="F179" t="s">
        <v>1130</v>
      </c>
    </row>
    <row r="180" spans="1:6" hidden="1" x14ac:dyDescent="0.25">
      <c r="A180">
        <v>21.4</v>
      </c>
      <c r="B180">
        <v>2</v>
      </c>
      <c r="C180">
        <v>0.45400000000000001</v>
      </c>
      <c r="D180" t="s">
        <v>1439</v>
      </c>
      <c r="E180" t="s">
        <v>1440</v>
      </c>
      <c r="F180" t="s">
        <v>1130</v>
      </c>
    </row>
    <row r="181" spans="1:6" hidden="1" x14ac:dyDescent="0.25">
      <c r="A181">
        <v>21.7</v>
      </c>
      <c r="B181">
        <v>2.4500000000000002</v>
      </c>
      <c r="C181">
        <v>4.4000000000000004</v>
      </c>
      <c r="D181" t="s">
        <v>1441</v>
      </c>
      <c r="E181" t="s">
        <v>1442</v>
      </c>
      <c r="F181" t="s">
        <v>1130</v>
      </c>
    </row>
    <row r="182" spans="1:6" hidden="1" x14ac:dyDescent="0.25">
      <c r="A182">
        <v>21.7</v>
      </c>
      <c r="B182">
        <v>2.75</v>
      </c>
      <c r="C182">
        <v>0</v>
      </c>
      <c r="D182" t="s">
        <v>1443</v>
      </c>
      <c r="E182" t="s">
        <v>728</v>
      </c>
      <c r="F182" t="s">
        <v>1130</v>
      </c>
    </row>
    <row r="183" spans="1:6" hidden="1" x14ac:dyDescent="0.25">
      <c r="A183">
        <v>22.2</v>
      </c>
      <c r="B183">
        <v>1.2</v>
      </c>
      <c r="C183">
        <v>0.3</v>
      </c>
      <c r="D183" t="s">
        <v>1444</v>
      </c>
      <c r="E183" t="s">
        <v>1445</v>
      </c>
      <c r="F183" t="s">
        <v>1130</v>
      </c>
    </row>
    <row r="184" spans="1:6" hidden="1" x14ac:dyDescent="0.25">
      <c r="A184">
        <v>22.2</v>
      </c>
      <c r="B184">
        <v>1.2</v>
      </c>
      <c r="C184">
        <v>0.67300000000000004</v>
      </c>
      <c r="D184" t="s">
        <v>1446</v>
      </c>
      <c r="E184" t="s">
        <v>639</v>
      </c>
      <c r="F184" t="s">
        <v>1130</v>
      </c>
    </row>
    <row r="185" spans="1:6" hidden="1" x14ac:dyDescent="0.25">
      <c r="A185">
        <v>22.2</v>
      </c>
      <c r="B185">
        <v>1.2</v>
      </c>
      <c r="C185">
        <v>0.68100000000000005</v>
      </c>
      <c r="D185" t="s">
        <v>1447</v>
      </c>
      <c r="E185" t="s">
        <v>1448</v>
      </c>
      <c r="F185" t="s">
        <v>1130</v>
      </c>
    </row>
    <row r="186" spans="1:6" hidden="1" x14ac:dyDescent="0.25">
      <c r="A186">
        <v>22.2</v>
      </c>
      <c r="B186">
        <v>1.2</v>
      </c>
      <c r="C186">
        <v>1.1619999999999999</v>
      </c>
      <c r="D186" t="s">
        <v>1449</v>
      </c>
      <c r="E186" t="s">
        <v>1450</v>
      </c>
      <c r="F186" t="s">
        <v>1130</v>
      </c>
    </row>
    <row r="187" spans="1:6" hidden="1" x14ac:dyDescent="0.25">
      <c r="A187">
        <v>22.2</v>
      </c>
      <c r="B187">
        <v>1.2</v>
      </c>
      <c r="C187">
        <v>1.3</v>
      </c>
      <c r="D187" t="s">
        <v>1451</v>
      </c>
      <c r="E187" t="s">
        <v>1452</v>
      </c>
      <c r="F187" t="s">
        <v>1130</v>
      </c>
    </row>
    <row r="188" spans="1:6" hidden="1" x14ac:dyDescent="0.25">
      <c r="A188">
        <v>22.2</v>
      </c>
      <c r="B188">
        <v>1.2</v>
      </c>
      <c r="C188">
        <v>5.87</v>
      </c>
      <c r="D188" t="s">
        <v>1453</v>
      </c>
      <c r="E188" t="s">
        <v>1454</v>
      </c>
      <c r="F188" t="s">
        <v>1130</v>
      </c>
    </row>
    <row r="189" spans="1:6" hidden="1" x14ac:dyDescent="0.25">
      <c r="A189">
        <v>22.2</v>
      </c>
      <c r="B189">
        <v>1.4</v>
      </c>
      <c r="C189">
        <v>6</v>
      </c>
      <c r="D189" t="s">
        <v>1455</v>
      </c>
      <c r="E189" t="s">
        <v>1456</v>
      </c>
      <c r="F189" t="s">
        <v>1130</v>
      </c>
    </row>
    <row r="190" spans="1:6" hidden="1" x14ac:dyDescent="0.25">
      <c r="A190">
        <v>22.2</v>
      </c>
      <c r="B190">
        <v>1.6</v>
      </c>
      <c r="C190">
        <v>0.28499999999999998</v>
      </c>
      <c r="D190" t="s">
        <v>1457</v>
      </c>
      <c r="E190" t="s">
        <v>1458</v>
      </c>
      <c r="F190" t="s">
        <v>1130</v>
      </c>
    </row>
    <row r="191" spans="1:6" hidden="1" x14ac:dyDescent="0.25">
      <c r="A191">
        <v>22.2</v>
      </c>
      <c r="B191">
        <v>1.6</v>
      </c>
      <c r="C191">
        <v>0.39400000000000002</v>
      </c>
      <c r="D191" t="s">
        <v>1459</v>
      </c>
      <c r="E191" t="s">
        <v>1460</v>
      </c>
      <c r="F191" t="s">
        <v>1130</v>
      </c>
    </row>
    <row r="192" spans="1:6" hidden="1" x14ac:dyDescent="0.25">
      <c r="A192">
        <v>22.2</v>
      </c>
      <c r="B192">
        <v>1.6</v>
      </c>
      <c r="C192">
        <v>0.40100000000000002</v>
      </c>
      <c r="D192" t="s">
        <v>1461</v>
      </c>
      <c r="E192" t="s">
        <v>1462</v>
      </c>
      <c r="F192" t="s">
        <v>1130</v>
      </c>
    </row>
    <row r="193" spans="1:6" hidden="1" x14ac:dyDescent="0.25">
      <c r="A193">
        <v>22.2</v>
      </c>
      <c r="B193">
        <v>1.6</v>
      </c>
      <c r="C193">
        <v>0.64</v>
      </c>
      <c r="D193" t="s">
        <v>1463</v>
      </c>
      <c r="E193" t="s">
        <v>600</v>
      </c>
      <c r="F193" t="s">
        <v>1130</v>
      </c>
    </row>
    <row r="194" spans="1:6" hidden="1" x14ac:dyDescent="0.25">
      <c r="A194">
        <v>22.2</v>
      </c>
      <c r="B194">
        <v>1.6</v>
      </c>
      <c r="C194">
        <v>0.80900000000000005</v>
      </c>
      <c r="D194" t="s">
        <v>1464</v>
      </c>
      <c r="E194" t="s">
        <v>1465</v>
      </c>
      <c r="F194" t="s">
        <v>1130</v>
      </c>
    </row>
    <row r="195" spans="1:6" hidden="1" x14ac:dyDescent="0.25">
      <c r="A195">
        <v>22.2</v>
      </c>
      <c r="B195">
        <v>1.6</v>
      </c>
      <c r="C195">
        <v>0.96699999999999997</v>
      </c>
      <c r="D195" t="s">
        <v>1466</v>
      </c>
      <c r="E195" t="s">
        <v>1467</v>
      </c>
      <c r="F195" t="s">
        <v>1130</v>
      </c>
    </row>
    <row r="196" spans="1:6" hidden="1" x14ac:dyDescent="0.25">
      <c r="A196">
        <v>22.2</v>
      </c>
      <c r="B196">
        <v>1.6</v>
      </c>
      <c r="C196">
        <v>1.222</v>
      </c>
      <c r="D196" t="s">
        <v>1468</v>
      </c>
      <c r="E196" t="s">
        <v>733</v>
      </c>
      <c r="F196" t="s">
        <v>1130</v>
      </c>
    </row>
    <row r="197" spans="1:6" hidden="1" x14ac:dyDescent="0.25">
      <c r="A197">
        <v>22.2</v>
      </c>
      <c r="B197">
        <v>1.6</v>
      </c>
      <c r="C197">
        <v>1.29</v>
      </c>
      <c r="D197" t="s">
        <v>1469</v>
      </c>
      <c r="E197" t="s">
        <v>735</v>
      </c>
      <c r="F197" t="s">
        <v>1130</v>
      </c>
    </row>
    <row r="198" spans="1:6" hidden="1" x14ac:dyDescent="0.25">
      <c r="A198">
        <v>22.2</v>
      </c>
      <c r="B198">
        <v>1.6</v>
      </c>
      <c r="C198">
        <v>1.3</v>
      </c>
      <c r="D198" t="s">
        <v>1470</v>
      </c>
      <c r="E198" t="s">
        <v>1471</v>
      </c>
      <c r="F198" t="s">
        <v>1130</v>
      </c>
    </row>
    <row r="199" spans="1:6" hidden="1" x14ac:dyDescent="0.25">
      <c r="A199">
        <v>22.2</v>
      </c>
      <c r="B199">
        <v>1.6</v>
      </c>
      <c r="C199">
        <v>6</v>
      </c>
      <c r="D199" t="s">
        <v>1472</v>
      </c>
      <c r="E199" t="s">
        <v>1473</v>
      </c>
      <c r="F199" t="s">
        <v>1130</v>
      </c>
    </row>
    <row r="200" spans="1:6" hidden="1" x14ac:dyDescent="0.25">
      <c r="A200">
        <v>22.2</v>
      </c>
      <c r="B200">
        <v>1.63</v>
      </c>
      <c r="C200">
        <v>0.7</v>
      </c>
      <c r="D200" t="s">
        <v>1474</v>
      </c>
      <c r="E200" t="s">
        <v>1475</v>
      </c>
      <c r="F200" t="s">
        <v>1130</v>
      </c>
    </row>
    <row r="201" spans="1:6" hidden="1" x14ac:dyDescent="0.25">
      <c r="A201">
        <v>22.2</v>
      </c>
      <c r="B201">
        <v>2</v>
      </c>
      <c r="C201">
        <v>0.22</v>
      </c>
      <c r="D201" t="s">
        <v>1476</v>
      </c>
      <c r="E201" t="s">
        <v>1477</v>
      </c>
      <c r="F201" t="s">
        <v>1130</v>
      </c>
    </row>
    <row r="202" spans="1:6" hidden="1" x14ac:dyDescent="0.25">
      <c r="A202">
        <v>22.2</v>
      </c>
      <c r="B202">
        <v>2</v>
      </c>
      <c r="C202">
        <v>0.39400000000000002</v>
      </c>
      <c r="D202" t="s">
        <v>1478</v>
      </c>
      <c r="E202" t="s">
        <v>1479</v>
      </c>
      <c r="F202" t="s">
        <v>1130</v>
      </c>
    </row>
    <row r="203" spans="1:6" hidden="1" x14ac:dyDescent="0.25">
      <c r="A203">
        <v>22.2</v>
      </c>
      <c r="B203">
        <v>2</v>
      </c>
      <c r="C203">
        <v>0.71499999999999997</v>
      </c>
      <c r="D203" t="s">
        <v>1480</v>
      </c>
      <c r="E203" t="s">
        <v>1481</v>
      </c>
      <c r="F203" t="s">
        <v>1130</v>
      </c>
    </row>
    <row r="204" spans="1:6" hidden="1" x14ac:dyDescent="0.25">
      <c r="A204">
        <v>22.2</v>
      </c>
      <c r="B204">
        <v>2</v>
      </c>
      <c r="C204">
        <v>0.81499999999999995</v>
      </c>
      <c r="D204" t="s">
        <v>1482</v>
      </c>
      <c r="E204" t="s">
        <v>1483</v>
      </c>
      <c r="F204" t="s">
        <v>1130</v>
      </c>
    </row>
    <row r="205" spans="1:6" hidden="1" x14ac:dyDescent="0.25">
      <c r="A205">
        <v>22.2</v>
      </c>
      <c r="B205">
        <v>2</v>
      </c>
      <c r="C205">
        <v>5.0999999999999996</v>
      </c>
      <c r="D205" t="s">
        <v>1484</v>
      </c>
      <c r="E205" t="s">
        <v>1485</v>
      </c>
      <c r="F205" t="s">
        <v>1130</v>
      </c>
    </row>
    <row r="206" spans="1:6" hidden="1" x14ac:dyDescent="0.25">
      <c r="A206">
        <v>22.2</v>
      </c>
      <c r="B206">
        <v>2</v>
      </c>
      <c r="C206">
        <v>5.9509999999999996</v>
      </c>
      <c r="D206" t="s">
        <v>1486</v>
      </c>
      <c r="E206" t="s">
        <v>1487</v>
      </c>
      <c r="F206" t="s">
        <v>1130</v>
      </c>
    </row>
    <row r="207" spans="1:6" hidden="1" x14ac:dyDescent="0.25">
      <c r="A207">
        <v>22.2</v>
      </c>
      <c r="B207">
        <v>2.2999999999999998</v>
      </c>
      <c r="C207">
        <v>0.22500000000000001</v>
      </c>
      <c r="D207" t="s">
        <v>1488</v>
      </c>
      <c r="E207" t="s">
        <v>749</v>
      </c>
      <c r="F207" t="s">
        <v>1130</v>
      </c>
    </row>
    <row r="208" spans="1:6" hidden="1" x14ac:dyDescent="0.25">
      <c r="A208">
        <v>22.2</v>
      </c>
      <c r="B208">
        <v>2.2999999999999998</v>
      </c>
      <c r="C208">
        <v>0.37</v>
      </c>
      <c r="D208" t="s">
        <v>1489</v>
      </c>
      <c r="E208" t="s">
        <v>1490</v>
      </c>
      <c r="F208" t="s">
        <v>1130</v>
      </c>
    </row>
    <row r="209" spans="1:6" hidden="1" x14ac:dyDescent="0.25">
      <c r="A209">
        <v>22.2</v>
      </c>
      <c r="B209">
        <v>2.2999999999999998</v>
      </c>
      <c r="C209">
        <v>0.42499999999999999</v>
      </c>
      <c r="D209" t="s">
        <v>1491</v>
      </c>
      <c r="E209" t="s">
        <v>1492</v>
      </c>
      <c r="F209" t="s">
        <v>1130</v>
      </c>
    </row>
    <row r="210" spans="1:6" hidden="1" x14ac:dyDescent="0.25">
      <c r="A210">
        <v>22.2</v>
      </c>
      <c r="B210">
        <v>2.2999999999999998</v>
      </c>
      <c r="C210">
        <v>6</v>
      </c>
      <c r="D210" t="s">
        <v>1493</v>
      </c>
      <c r="E210" t="s">
        <v>1494</v>
      </c>
      <c r="F210" t="s">
        <v>1130</v>
      </c>
    </row>
    <row r="211" spans="1:6" hidden="1" x14ac:dyDescent="0.25">
      <c r="A211">
        <v>22.2</v>
      </c>
      <c r="B211">
        <v>2.6</v>
      </c>
      <c r="C211">
        <v>1.0820000000000001</v>
      </c>
      <c r="D211" t="s">
        <v>1495</v>
      </c>
      <c r="E211" t="s">
        <v>1496</v>
      </c>
      <c r="F211" t="s">
        <v>1130</v>
      </c>
    </row>
    <row r="212" spans="1:6" hidden="1" x14ac:dyDescent="0.25">
      <c r="A212">
        <v>22.23</v>
      </c>
      <c r="B212">
        <v>0.8</v>
      </c>
      <c r="C212">
        <v>6</v>
      </c>
      <c r="D212" t="s">
        <v>1497</v>
      </c>
      <c r="E212" t="s">
        <v>1498</v>
      </c>
      <c r="F212" t="s">
        <v>1130</v>
      </c>
    </row>
    <row r="213" spans="1:6" hidden="1" x14ac:dyDescent="0.25">
      <c r="A213">
        <v>22.23</v>
      </c>
      <c r="B213">
        <v>1.2</v>
      </c>
      <c r="C213">
        <v>1.1619999999999999</v>
      </c>
      <c r="D213" t="s">
        <v>1499</v>
      </c>
      <c r="E213" t="s">
        <v>1500</v>
      </c>
      <c r="F213" t="s">
        <v>1130</v>
      </c>
    </row>
    <row r="214" spans="1:6" hidden="1" x14ac:dyDescent="0.25">
      <c r="A214">
        <v>22.23</v>
      </c>
      <c r="B214">
        <v>1.2</v>
      </c>
      <c r="C214">
        <v>1.3080000000000001</v>
      </c>
      <c r="D214" t="s">
        <v>1501</v>
      </c>
      <c r="E214" t="s">
        <v>608</v>
      </c>
      <c r="F214" t="s">
        <v>1130</v>
      </c>
    </row>
    <row r="215" spans="1:6" hidden="1" x14ac:dyDescent="0.25">
      <c r="A215">
        <v>22.23</v>
      </c>
      <c r="B215">
        <v>1.5</v>
      </c>
      <c r="C215">
        <v>6</v>
      </c>
      <c r="D215" t="s">
        <v>1502</v>
      </c>
      <c r="E215" t="s">
        <v>1503</v>
      </c>
      <c r="F215" t="s">
        <v>1130</v>
      </c>
    </row>
    <row r="216" spans="1:6" hidden="1" x14ac:dyDescent="0.25">
      <c r="A216">
        <v>22.23</v>
      </c>
      <c r="B216">
        <v>1.6</v>
      </c>
      <c r="C216">
        <v>0.27400000000000002</v>
      </c>
      <c r="D216" t="s">
        <v>1504</v>
      </c>
      <c r="E216" t="s">
        <v>1505</v>
      </c>
      <c r="F216" t="s">
        <v>1130</v>
      </c>
    </row>
    <row r="217" spans="1:6" hidden="1" x14ac:dyDescent="0.25">
      <c r="A217">
        <v>22.23</v>
      </c>
      <c r="B217">
        <v>1.6</v>
      </c>
      <c r="C217">
        <v>0.28299999999999997</v>
      </c>
      <c r="D217" t="s">
        <v>1506</v>
      </c>
      <c r="E217" t="s">
        <v>1507</v>
      </c>
      <c r="F217" t="s">
        <v>1130</v>
      </c>
    </row>
    <row r="218" spans="1:6" hidden="1" x14ac:dyDescent="0.25">
      <c r="A218">
        <v>22.23</v>
      </c>
      <c r="B218">
        <v>1.6</v>
      </c>
      <c r="C218">
        <v>0.32100000000000001</v>
      </c>
      <c r="D218" t="s">
        <v>1508</v>
      </c>
      <c r="E218" t="s">
        <v>1509</v>
      </c>
      <c r="F218" t="s">
        <v>1130</v>
      </c>
    </row>
    <row r="219" spans="1:6" hidden="1" x14ac:dyDescent="0.25">
      <c r="A219">
        <v>22.23</v>
      </c>
      <c r="B219">
        <v>1.6</v>
      </c>
      <c r="C219">
        <v>0.39400000000000002</v>
      </c>
      <c r="D219" t="s">
        <v>1510</v>
      </c>
      <c r="E219" t="s">
        <v>1511</v>
      </c>
      <c r="F219" t="s">
        <v>1130</v>
      </c>
    </row>
    <row r="220" spans="1:6" hidden="1" x14ac:dyDescent="0.25">
      <c r="A220">
        <v>22.23</v>
      </c>
      <c r="B220">
        <v>1.6</v>
      </c>
      <c r="C220" s="50">
        <v>0.67500000000000004</v>
      </c>
      <c r="D220">
        <v>2427939</v>
      </c>
      <c r="E220" t="s">
        <v>1512</v>
      </c>
      <c r="F220" t="s">
        <v>1513</v>
      </c>
    </row>
    <row r="221" spans="1:6" hidden="1" x14ac:dyDescent="0.25">
      <c r="A221">
        <v>22.23</v>
      </c>
      <c r="B221">
        <v>1.6</v>
      </c>
      <c r="C221">
        <v>0.69</v>
      </c>
      <c r="D221">
        <v>3714733</v>
      </c>
      <c r="E221" t="s">
        <v>758</v>
      </c>
      <c r="F221" t="s">
        <v>1130</v>
      </c>
    </row>
    <row r="222" spans="1:6" hidden="1" x14ac:dyDescent="0.25">
      <c r="A222">
        <v>22.23</v>
      </c>
      <c r="B222">
        <v>1.6</v>
      </c>
      <c r="C222">
        <v>0.7</v>
      </c>
      <c r="D222">
        <v>2270133</v>
      </c>
      <c r="E222" t="s">
        <v>413</v>
      </c>
      <c r="F222" t="s">
        <v>1130</v>
      </c>
    </row>
    <row r="223" spans="1:6" hidden="1" x14ac:dyDescent="0.25">
      <c r="A223">
        <v>22.23</v>
      </c>
      <c r="B223">
        <v>1.6</v>
      </c>
      <c r="C223">
        <v>0.74</v>
      </c>
      <c r="D223">
        <v>1940407</v>
      </c>
      <c r="E223" t="s">
        <v>1514</v>
      </c>
      <c r="F223" t="s">
        <v>1130</v>
      </c>
    </row>
    <row r="224" spans="1:6" hidden="1" x14ac:dyDescent="0.25">
      <c r="A224">
        <v>22.23</v>
      </c>
      <c r="B224">
        <v>1.6</v>
      </c>
      <c r="C224">
        <v>0.88</v>
      </c>
      <c r="D224">
        <v>2418687</v>
      </c>
      <c r="E224" t="s">
        <v>1515</v>
      </c>
      <c r="F224" t="s">
        <v>1130</v>
      </c>
    </row>
    <row r="225" spans="1:6" hidden="1" x14ac:dyDescent="0.25">
      <c r="A225">
        <v>22.23</v>
      </c>
      <c r="B225">
        <v>1.6</v>
      </c>
      <c r="C225">
        <v>0.93500000000000005</v>
      </c>
      <c r="D225">
        <v>1940416</v>
      </c>
      <c r="E225" t="s">
        <v>696</v>
      </c>
      <c r="F225" t="s">
        <v>1516</v>
      </c>
    </row>
    <row r="226" spans="1:6" hidden="1" x14ac:dyDescent="0.25">
      <c r="A226">
        <v>22.23</v>
      </c>
      <c r="B226">
        <v>1.6</v>
      </c>
      <c r="C226">
        <v>0.94499999999999995</v>
      </c>
      <c r="D226">
        <v>3599863</v>
      </c>
      <c r="E226" t="s">
        <v>1517</v>
      </c>
      <c r="F226" t="s">
        <v>1130</v>
      </c>
    </row>
    <row r="227" spans="1:6" hidden="1" x14ac:dyDescent="0.25">
      <c r="A227">
        <v>22.23</v>
      </c>
      <c r="B227">
        <v>1.6</v>
      </c>
      <c r="C227">
        <v>0.94899999999999995</v>
      </c>
      <c r="D227">
        <v>3673012</v>
      </c>
      <c r="E227" t="s">
        <v>1518</v>
      </c>
      <c r="F227" t="s">
        <v>1130</v>
      </c>
    </row>
    <row r="228" spans="1:6" hidden="1" x14ac:dyDescent="0.25">
      <c r="A228">
        <v>22.23</v>
      </c>
      <c r="B228">
        <v>1.6</v>
      </c>
      <c r="C228">
        <v>1.175</v>
      </c>
      <c r="D228">
        <v>1940420</v>
      </c>
      <c r="E228" t="s">
        <v>1519</v>
      </c>
      <c r="F228" t="s">
        <v>1130</v>
      </c>
    </row>
    <row r="229" spans="1:6" hidden="1" x14ac:dyDescent="0.25">
      <c r="A229">
        <v>22.23</v>
      </c>
      <c r="B229">
        <v>1.6</v>
      </c>
      <c r="C229">
        <v>1.304</v>
      </c>
      <c r="D229">
        <v>3673011</v>
      </c>
      <c r="E229" t="s">
        <v>651</v>
      </c>
      <c r="F229" t="s">
        <v>1130</v>
      </c>
    </row>
    <row r="230" spans="1:6" hidden="1" x14ac:dyDescent="0.25">
      <c r="A230">
        <v>22.23</v>
      </c>
      <c r="B230">
        <v>2</v>
      </c>
      <c r="C230">
        <v>0.124</v>
      </c>
      <c r="D230">
        <v>3181172</v>
      </c>
      <c r="E230" t="s">
        <v>1520</v>
      </c>
      <c r="F230" t="s">
        <v>1130</v>
      </c>
    </row>
    <row r="231" spans="1:6" hidden="1" x14ac:dyDescent="0.25">
      <c r="A231">
        <v>22.23</v>
      </c>
      <c r="B231">
        <v>2</v>
      </c>
      <c r="C231">
        <v>0.17799999999999999</v>
      </c>
      <c r="D231">
        <v>3181173</v>
      </c>
      <c r="E231" t="s">
        <v>1521</v>
      </c>
      <c r="F231" t="s">
        <v>1130</v>
      </c>
    </row>
    <row r="232" spans="1:6" hidden="1" x14ac:dyDescent="0.25">
      <c r="A232">
        <v>22.23</v>
      </c>
      <c r="B232">
        <v>2</v>
      </c>
      <c r="C232">
        <v>0.22</v>
      </c>
      <c r="D232">
        <v>1940430</v>
      </c>
      <c r="E232" t="s">
        <v>762</v>
      </c>
      <c r="F232" t="s">
        <v>1130</v>
      </c>
    </row>
    <row r="233" spans="1:6" hidden="1" x14ac:dyDescent="0.25">
      <c r="A233">
        <v>22.23</v>
      </c>
      <c r="B233">
        <v>2</v>
      </c>
      <c r="C233">
        <v>0.24199999999999999</v>
      </c>
      <c r="D233">
        <v>3181180</v>
      </c>
      <c r="E233" t="s">
        <v>1522</v>
      </c>
      <c r="F233" t="s">
        <v>1130</v>
      </c>
    </row>
    <row r="234" spans="1:6" hidden="1" x14ac:dyDescent="0.25">
      <c r="A234">
        <v>22.23</v>
      </c>
      <c r="B234">
        <v>2</v>
      </c>
      <c r="C234">
        <v>0.39400000000000002</v>
      </c>
      <c r="D234">
        <v>1940437</v>
      </c>
      <c r="E234" t="s">
        <v>637</v>
      </c>
      <c r="F234" t="s">
        <v>1130</v>
      </c>
    </row>
    <row r="235" spans="1:6" hidden="1" x14ac:dyDescent="0.25">
      <c r="A235">
        <v>22.23</v>
      </c>
      <c r="B235">
        <v>2</v>
      </c>
      <c r="C235">
        <v>0.46800000000000003</v>
      </c>
      <c r="D235">
        <v>2398619</v>
      </c>
      <c r="E235" t="s">
        <v>1523</v>
      </c>
      <c r="F235" t="s">
        <v>1130</v>
      </c>
    </row>
    <row r="236" spans="1:6" hidden="1" x14ac:dyDescent="0.25">
      <c r="A236">
        <v>22.23</v>
      </c>
      <c r="B236">
        <v>2</v>
      </c>
      <c r="C236">
        <v>0.71499999999999997</v>
      </c>
      <c r="D236">
        <v>3910020</v>
      </c>
      <c r="E236" t="s">
        <v>563</v>
      </c>
      <c r="F236" t="s">
        <v>1130</v>
      </c>
    </row>
    <row r="237" spans="1:6" hidden="1" x14ac:dyDescent="0.25">
      <c r="A237">
        <v>22.23</v>
      </c>
      <c r="B237">
        <v>2</v>
      </c>
      <c r="C237">
        <v>0.76</v>
      </c>
      <c r="D237">
        <v>2244444</v>
      </c>
      <c r="E237" t="s">
        <v>1524</v>
      </c>
      <c r="F237" t="s">
        <v>1130</v>
      </c>
    </row>
    <row r="238" spans="1:6" hidden="1" x14ac:dyDescent="0.25">
      <c r="A238">
        <v>22.23</v>
      </c>
      <c r="B238">
        <v>2</v>
      </c>
      <c r="C238">
        <v>0.77500000000000002</v>
      </c>
      <c r="D238">
        <v>3765171</v>
      </c>
      <c r="E238" t="s">
        <v>1525</v>
      </c>
      <c r="F238" t="s">
        <v>1130</v>
      </c>
    </row>
    <row r="239" spans="1:6" hidden="1" x14ac:dyDescent="0.25">
      <c r="A239">
        <v>22.23</v>
      </c>
      <c r="B239">
        <v>2</v>
      </c>
      <c r="C239">
        <v>0.78600000000000003</v>
      </c>
      <c r="D239">
        <v>3915668</v>
      </c>
      <c r="E239" t="s">
        <v>1526</v>
      </c>
      <c r="F239" t="s">
        <v>1130</v>
      </c>
    </row>
    <row r="240" spans="1:6" hidden="1" x14ac:dyDescent="0.25">
      <c r="A240">
        <v>22.23</v>
      </c>
      <c r="B240">
        <v>2</v>
      </c>
      <c r="C240">
        <v>0.80900000000000005</v>
      </c>
      <c r="D240">
        <v>1940466</v>
      </c>
      <c r="E240" t="s">
        <v>764</v>
      </c>
      <c r="F240" t="s">
        <v>1130</v>
      </c>
    </row>
    <row r="241" spans="1:6" hidden="1" x14ac:dyDescent="0.25">
      <c r="A241">
        <v>22.23</v>
      </c>
      <c r="B241">
        <v>2</v>
      </c>
      <c r="C241">
        <v>0.81200000000000006</v>
      </c>
      <c r="D241">
        <v>1940467</v>
      </c>
      <c r="E241" t="s">
        <v>766</v>
      </c>
      <c r="F241" t="s">
        <v>1516</v>
      </c>
    </row>
    <row r="242" spans="1:6" hidden="1" x14ac:dyDescent="0.25">
      <c r="A242">
        <v>22.23</v>
      </c>
      <c r="B242">
        <v>2</v>
      </c>
      <c r="C242">
        <v>0.81499999999999995</v>
      </c>
      <c r="D242">
        <v>2413708</v>
      </c>
      <c r="E242" t="s">
        <v>634</v>
      </c>
      <c r="F242" t="s">
        <v>1130</v>
      </c>
    </row>
    <row r="243" spans="1:6" hidden="1" x14ac:dyDescent="0.25">
      <c r="A243">
        <v>22.23</v>
      </c>
      <c r="B243">
        <v>2</v>
      </c>
      <c r="C243">
        <v>0.81599999999999995</v>
      </c>
      <c r="D243">
        <v>2332780</v>
      </c>
      <c r="E243" t="s">
        <v>1527</v>
      </c>
      <c r="F243" t="s">
        <v>1516</v>
      </c>
    </row>
    <row r="244" spans="1:6" hidden="1" x14ac:dyDescent="0.25">
      <c r="A244">
        <v>22.23</v>
      </c>
      <c r="B244">
        <v>2</v>
      </c>
      <c r="C244">
        <v>0.82499999999999996</v>
      </c>
      <c r="D244">
        <v>3897780</v>
      </c>
      <c r="E244" t="s">
        <v>1528</v>
      </c>
      <c r="F244" t="s">
        <v>1516</v>
      </c>
    </row>
    <row r="245" spans="1:6" hidden="1" x14ac:dyDescent="0.25">
      <c r="A245">
        <v>22.23</v>
      </c>
      <c r="B245">
        <v>2</v>
      </c>
      <c r="C245">
        <v>0.82699999999999996</v>
      </c>
      <c r="D245">
        <v>3915667</v>
      </c>
      <c r="E245" t="s">
        <v>1529</v>
      </c>
      <c r="F245" t="s">
        <v>1516</v>
      </c>
    </row>
    <row r="246" spans="1:6" hidden="1" x14ac:dyDescent="0.25">
      <c r="A246">
        <v>22.23</v>
      </c>
      <c r="B246">
        <v>2</v>
      </c>
      <c r="C246">
        <v>0.84499999999999997</v>
      </c>
      <c r="D246">
        <v>2409619</v>
      </c>
      <c r="E246" t="s">
        <v>1530</v>
      </c>
      <c r="F246" t="s">
        <v>1130</v>
      </c>
    </row>
    <row r="247" spans="1:6" hidden="1" x14ac:dyDescent="0.25">
      <c r="A247">
        <v>22.23</v>
      </c>
      <c r="B247">
        <v>2</v>
      </c>
      <c r="C247">
        <v>0.85499999999999998</v>
      </c>
      <c r="D247">
        <v>3910650</v>
      </c>
      <c r="E247" t="s">
        <v>771</v>
      </c>
      <c r="F247" t="s">
        <v>1130</v>
      </c>
    </row>
    <row r="248" spans="1:6" hidden="1" x14ac:dyDescent="0.25">
      <c r="A248">
        <v>22.23</v>
      </c>
      <c r="B248">
        <v>2</v>
      </c>
      <c r="C248">
        <v>0.86299999999999999</v>
      </c>
      <c r="D248">
        <v>3910649</v>
      </c>
      <c r="E248" t="s">
        <v>773</v>
      </c>
      <c r="F248" t="s">
        <v>1516</v>
      </c>
    </row>
    <row r="249" spans="1:6" hidden="1" x14ac:dyDescent="0.25">
      <c r="A249">
        <v>22.23</v>
      </c>
      <c r="B249">
        <v>2</v>
      </c>
      <c r="C249">
        <v>0.872</v>
      </c>
      <c r="D249">
        <v>2435111</v>
      </c>
      <c r="E249" t="s">
        <v>1531</v>
      </c>
      <c r="F249" t="s">
        <v>1516</v>
      </c>
    </row>
    <row r="250" spans="1:6" hidden="1" x14ac:dyDescent="0.25">
      <c r="A250">
        <v>22.23</v>
      </c>
      <c r="B250">
        <v>2</v>
      </c>
      <c r="C250">
        <v>0.88400000000000001</v>
      </c>
      <c r="D250">
        <v>1942696</v>
      </c>
      <c r="E250" t="s">
        <v>1532</v>
      </c>
      <c r="F250" t="s">
        <v>1516</v>
      </c>
    </row>
    <row r="251" spans="1:6" hidden="1" x14ac:dyDescent="0.25">
      <c r="A251">
        <v>22.23</v>
      </c>
      <c r="B251">
        <v>2</v>
      </c>
      <c r="C251">
        <v>0.88800000000000001</v>
      </c>
      <c r="D251">
        <v>2320962</v>
      </c>
      <c r="E251" t="s">
        <v>1533</v>
      </c>
      <c r="F251" t="s">
        <v>1516</v>
      </c>
    </row>
    <row r="252" spans="1:6" hidden="1" x14ac:dyDescent="0.25">
      <c r="A252">
        <v>22.23</v>
      </c>
      <c r="B252">
        <v>2</v>
      </c>
      <c r="C252">
        <v>0.90500000000000003</v>
      </c>
      <c r="D252">
        <v>1940478</v>
      </c>
      <c r="E252" t="s">
        <v>643</v>
      </c>
      <c r="F252" t="s">
        <v>1516</v>
      </c>
    </row>
    <row r="253" spans="1:6" hidden="1" x14ac:dyDescent="0.25">
      <c r="A253">
        <v>22.23</v>
      </c>
      <c r="B253">
        <v>2</v>
      </c>
      <c r="C253">
        <v>0.93</v>
      </c>
      <c r="D253">
        <v>1940479</v>
      </c>
      <c r="E253" t="s">
        <v>698</v>
      </c>
      <c r="F253" t="s">
        <v>1516</v>
      </c>
    </row>
    <row r="254" spans="1:6" hidden="1" x14ac:dyDescent="0.25">
      <c r="A254">
        <v>22.23</v>
      </c>
      <c r="B254">
        <v>2.0299999999999998</v>
      </c>
      <c r="C254">
        <v>0.85899999999999999</v>
      </c>
      <c r="D254">
        <v>3471015</v>
      </c>
      <c r="E254" t="s">
        <v>1534</v>
      </c>
      <c r="F254" t="s">
        <v>1516</v>
      </c>
    </row>
    <row r="255" spans="1:6" hidden="1" x14ac:dyDescent="0.25">
      <c r="A255">
        <v>22.23</v>
      </c>
      <c r="B255">
        <v>2.2999999999999998</v>
      </c>
      <c r="C255">
        <v>0.28100000000000003</v>
      </c>
      <c r="D255">
        <v>1940498</v>
      </c>
      <c r="E255" t="s">
        <v>1535</v>
      </c>
      <c r="F255" t="s">
        <v>1130</v>
      </c>
    </row>
    <row r="256" spans="1:6" hidden="1" x14ac:dyDescent="0.25">
      <c r="A256">
        <v>22.23</v>
      </c>
      <c r="B256">
        <v>2.2999999999999998</v>
      </c>
      <c r="C256">
        <v>6</v>
      </c>
      <c r="D256">
        <v>1940510</v>
      </c>
      <c r="E256" t="s">
        <v>1536</v>
      </c>
      <c r="F256" t="s">
        <v>1130</v>
      </c>
    </row>
    <row r="257" spans="1:6" hidden="1" x14ac:dyDescent="0.25">
      <c r="A257">
        <v>22.23</v>
      </c>
      <c r="B257">
        <v>2.6</v>
      </c>
      <c r="C257">
        <v>0.27</v>
      </c>
      <c r="D257">
        <v>3515987</v>
      </c>
      <c r="E257" t="s">
        <v>1537</v>
      </c>
      <c r="F257" t="s">
        <v>1130</v>
      </c>
    </row>
    <row r="258" spans="1:6" hidden="1" x14ac:dyDescent="0.25">
      <c r="A258">
        <v>22.23</v>
      </c>
      <c r="B258">
        <v>2.6</v>
      </c>
      <c r="C258">
        <v>0.89600000000000002</v>
      </c>
      <c r="D258">
        <v>3765472</v>
      </c>
      <c r="E258" t="s">
        <v>1538</v>
      </c>
      <c r="F258" t="s">
        <v>1130</v>
      </c>
    </row>
    <row r="259" spans="1:6" hidden="1" x14ac:dyDescent="0.25">
      <c r="A259">
        <v>22.23</v>
      </c>
      <c r="B259">
        <v>2.6</v>
      </c>
      <c r="C259">
        <v>0.90700000000000003</v>
      </c>
      <c r="D259">
        <v>3765473</v>
      </c>
      <c r="E259" t="s">
        <v>1539</v>
      </c>
      <c r="F259" t="s">
        <v>1130</v>
      </c>
    </row>
    <row r="260" spans="1:6" hidden="1" x14ac:dyDescent="0.25">
      <c r="A260">
        <v>25</v>
      </c>
      <c r="B260">
        <v>1</v>
      </c>
      <c r="C260">
        <v>6</v>
      </c>
      <c r="D260">
        <v>3507704</v>
      </c>
      <c r="E260" t="s">
        <v>1540</v>
      </c>
      <c r="F260" t="s">
        <v>1130</v>
      </c>
    </row>
    <row r="261" spans="1:6" hidden="1" x14ac:dyDescent="0.25">
      <c r="A261">
        <v>25</v>
      </c>
      <c r="B261">
        <v>1.1499999999999999</v>
      </c>
      <c r="C261">
        <v>6</v>
      </c>
      <c r="D261">
        <v>1931405</v>
      </c>
      <c r="E261" t="s">
        <v>1541</v>
      </c>
      <c r="F261" t="s">
        <v>1130</v>
      </c>
    </row>
    <row r="262" spans="1:6" hidden="1" x14ac:dyDescent="0.25">
      <c r="A262">
        <v>25</v>
      </c>
      <c r="B262">
        <v>1.1599999999999999</v>
      </c>
      <c r="C262">
        <v>6</v>
      </c>
      <c r="D262">
        <v>1931988</v>
      </c>
      <c r="E262" t="s">
        <v>1542</v>
      </c>
      <c r="F262" t="s">
        <v>1130</v>
      </c>
    </row>
    <row r="263" spans="1:6" hidden="1" x14ac:dyDescent="0.25">
      <c r="A263">
        <v>25</v>
      </c>
      <c r="B263">
        <v>1.2</v>
      </c>
      <c r="C263">
        <v>0.33</v>
      </c>
      <c r="D263">
        <v>3230483</v>
      </c>
      <c r="E263" t="s">
        <v>1543</v>
      </c>
      <c r="F263" t="s">
        <v>1130</v>
      </c>
    </row>
    <row r="264" spans="1:6" hidden="1" x14ac:dyDescent="0.25">
      <c r="A264">
        <v>25</v>
      </c>
      <c r="B264">
        <v>1.2</v>
      </c>
      <c r="C264">
        <v>0.64200000000000002</v>
      </c>
      <c r="D264">
        <v>3572043</v>
      </c>
      <c r="E264" t="s">
        <v>1544</v>
      </c>
      <c r="F264" t="s">
        <v>1130</v>
      </c>
    </row>
    <row r="265" spans="1:6" hidden="1" x14ac:dyDescent="0.25">
      <c r="A265">
        <v>25</v>
      </c>
      <c r="B265">
        <v>1.2</v>
      </c>
      <c r="C265">
        <v>0.78700000000000003</v>
      </c>
      <c r="D265">
        <v>3230482</v>
      </c>
      <c r="E265" t="s">
        <v>624</v>
      </c>
      <c r="F265" t="s">
        <v>1130</v>
      </c>
    </row>
    <row r="266" spans="1:6" hidden="1" x14ac:dyDescent="0.25">
      <c r="A266">
        <v>25</v>
      </c>
      <c r="B266">
        <v>1.2</v>
      </c>
      <c r="C266">
        <v>1.246</v>
      </c>
      <c r="D266">
        <v>3230484</v>
      </c>
      <c r="E266" t="s">
        <v>1545</v>
      </c>
      <c r="F266" t="s">
        <v>1130</v>
      </c>
    </row>
    <row r="267" spans="1:6" hidden="1" x14ac:dyDescent="0.25">
      <c r="A267">
        <v>25</v>
      </c>
      <c r="B267">
        <v>1.2</v>
      </c>
      <c r="C267">
        <v>6</v>
      </c>
      <c r="D267">
        <v>3572044</v>
      </c>
      <c r="E267" t="s">
        <v>1546</v>
      </c>
      <c r="F267" t="s">
        <v>1130</v>
      </c>
    </row>
    <row r="268" spans="1:6" hidden="1" x14ac:dyDescent="0.25">
      <c r="A268">
        <v>25</v>
      </c>
      <c r="B268">
        <v>1.51</v>
      </c>
      <c r="C268">
        <v>6</v>
      </c>
      <c r="D268">
        <v>3702226</v>
      </c>
      <c r="E268" t="s">
        <v>1547</v>
      </c>
      <c r="F268" t="s">
        <v>1130</v>
      </c>
    </row>
    <row r="269" spans="1:6" hidden="1" x14ac:dyDescent="0.25">
      <c r="A269">
        <v>25</v>
      </c>
      <c r="B269">
        <v>1.51</v>
      </c>
      <c r="C269">
        <v>6</v>
      </c>
      <c r="D269">
        <v>1931892</v>
      </c>
      <c r="E269" t="s">
        <v>1547</v>
      </c>
      <c r="F269" t="s">
        <v>1130</v>
      </c>
    </row>
    <row r="270" spans="1:6" hidden="1" x14ac:dyDescent="0.25">
      <c r="A270">
        <v>25.4</v>
      </c>
      <c r="B270">
        <v>0.8</v>
      </c>
      <c r="C270">
        <v>6</v>
      </c>
      <c r="D270">
        <v>3702254</v>
      </c>
      <c r="E270" t="s">
        <v>1548</v>
      </c>
      <c r="F270" t="s">
        <v>1130</v>
      </c>
    </row>
    <row r="271" spans="1:6" hidden="1" x14ac:dyDescent="0.25">
      <c r="A271">
        <v>25.4</v>
      </c>
      <c r="B271">
        <v>1</v>
      </c>
      <c r="C271">
        <v>6</v>
      </c>
      <c r="D271">
        <v>3701553</v>
      </c>
      <c r="E271" t="s">
        <v>1549</v>
      </c>
      <c r="F271" t="s">
        <v>1130</v>
      </c>
    </row>
    <row r="272" spans="1:6" hidden="1" x14ac:dyDescent="0.25">
      <c r="A272">
        <v>25.4</v>
      </c>
      <c r="B272">
        <v>1</v>
      </c>
      <c r="C272">
        <v>6</v>
      </c>
      <c r="D272">
        <v>1950645</v>
      </c>
      <c r="E272" t="s">
        <v>1550</v>
      </c>
      <c r="F272" t="s">
        <v>1130</v>
      </c>
    </row>
    <row r="273" spans="1:6" hidden="1" x14ac:dyDescent="0.25">
      <c r="A273">
        <v>25.4</v>
      </c>
      <c r="B273">
        <v>1</v>
      </c>
      <c r="C273">
        <v>6</v>
      </c>
      <c r="D273">
        <v>1931083</v>
      </c>
      <c r="E273" t="s">
        <v>1551</v>
      </c>
      <c r="F273" t="s">
        <v>1130</v>
      </c>
    </row>
    <row r="274" spans="1:6" hidden="1" x14ac:dyDescent="0.25">
      <c r="A274">
        <v>25.4</v>
      </c>
      <c r="B274">
        <v>1.02</v>
      </c>
      <c r="C274">
        <v>0.87</v>
      </c>
      <c r="D274">
        <v>3518157</v>
      </c>
      <c r="E274" t="s">
        <v>1552</v>
      </c>
      <c r="F274" t="s">
        <v>1130</v>
      </c>
    </row>
    <row r="275" spans="1:6" x14ac:dyDescent="0.25">
      <c r="A275">
        <v>25.4</v>
      </c>
      <c r="B275">
        <v>1.2</v>
      </c>
      <c r="C275" s="50">
        <v>0.84499999999999997</v>
      </c>
      <c r="D275">
        <v>1940538</v>
      </c>
      <c r="E275" t="s">
        <v>1553</v>
      </c>
      <c r="F275" t="s">
        <v>1554</v>
      </c>
    </row>
    <row r="276" spans="1:6" hidden="1" x14ac:dyDescent="0.25">
      <c r="A276">
        <v>25.4</v>
      </c>
      <c r="B276">
        <v>1.2</v>
      </c>
      <c r="C276">
        <v>6</v>
      </c>
      <c r="D276">
        <v>3701615</v>
      </c>
      <c r="E276" t="s">
        <v>1555</v>
      </c>
      <c r="F276" t="s">
        <v>1130</v>
      </c>
    </row>
    <row r="277" spans="1:6" hidden="1" x14ac:dyDescent="0.25">
      <c r="A277">
        <v>25.4</v>
      </c>
      <c r="B277">
        <v>1.2</v>
      </c>
      <c r="C277">
        <v>6.2</v>
      </c>
      <c r="D277">
        <v>3702426</v>
      </c>
      <c r="E277" t="s">
        <v>1556</v>
      </c>
      <c r="F277" t="s">
        <v>1130</v>
      </c>
    </row>
    <row r="278" spans="1:6" hidden="1" x14ac:dyDescent="0.25">
      <c r="A278">
        <v>25.4</v>
      </c>
      <c r="B278">
        <v>1.4</v>
      </c>
      <c r="C278">
        <v>0.40799999999999997</v>
      </c>
      <c r="D278">
        <v>3723531</v>
      </c>
      <c r="E278" t="s">
        <v>1557</v>
      </c>
      <c r="F278" t="s">
        <v>1130</v>
      </c>
    </row>
    <row r="279" spans="1:6" hidden="1" x14ac:dyDescent="0.25">
      <c r="A279">
        <v>25.4</v>
      </c>
      <c r="B279">
        <v>1.4</v>
      </c>
      <c r="C279">
        <v>0.45700000000000002</v>
      </c>
      <c r="D279">
        <v>2332782</v>
      </c>
      <c r="E279" t="s">
        <v>1558</v>
      </c>
      <c r="F279" t="s">
        <v>1130</v>
      </c>
    </row>
    <row r="280" spans="1:6" hidden="1" x14ac:dyDescent="0.25">
      <c r="A280">
        <v>25.4</v>
      </c>
      <c r="B280">
        <v>1.4</v>
      </c>
      <c r="C280">
        <v>0.46</v>
      </c>
      <c r="D280">
        <v>3509536</v>
      </c>
      <c r="E280" t="s">
        <v>1559</v>
      </c>
      <c r="F280" t="s">
        <v>1130</v>
      </c>
    </row>
    <row r="281" spans="1:6" hidden="1" x14ac:dyDescent="0.25">
      <c r="A281">
        <v>25.4</v>
      </c>
      <c r="B281">
        <v>1.4</v>
      </c>
      <c r="C281">
        <v>0.77800000000000002</v>
      </c>
      <c r="D281">
        <v>3509537</v>
      </c>
      <c r="E281" t="s">
        <v>1560</v>
      </c>
      <c r="F281" t="s">
        <v>1130</v>
      </c>
    </row>
    <row r="282" spans="1:6" hidden="1" x14ac:dyDescent="0.25">
      <c r="A282">
        <v>25.4</v>
      </c>
      <c r="B282">
        <v>1.4</v>
      </c>
      <c r="C282">
        <v>0.78300000000000003</v>
      </c>
      <c r="D282">
        <v>2371410</v>
      </c>
      <c r="E282" t="s">
        <v>1561</v>
      </c>
      <c r="F282" t="s">
        <v>1130</v>
      </c>
    </row>
    <row r="283" spans="1:6" hidden="1" x14ac:dyDescent="0.25">
      <c r="A283">
        <v>25.4</v>
      </c>
      <c r="B283">
        <v>1.4</v>
      </c>
      <c r="C283">
        <v>0.90200000000000002</v>
      </c>
      <c r="D283">
        <v>2422181</v>
      </c>
      <c r="E283" t="s">
        <v>1562</v>
      </c>
      <c r="F283" t="s">
        <v>1130</v>
      </c>
    </row>
    <row r="284" spans="1:6" hidden="1" x14ac:dyDescent="0.25">
      <c r="A284">
        <v>25.4</v>
      </c>
      <c r="B284">
        <v>1.4</v>
      </c>
      <c r="C284">
        <v>5.5309999999999997</v>
      </c>
      <c r="D284">
        <v>3501900</v>
      </c>
      <c r="E284" t="s">
        <v>1563</v>
      </c>
      <c r="F284" t="s">
        <v>1130</v>
      </c>
    </row>
    <row r="285" spans="1:6" hidden="1" x14ac:dyDescent="0.25">
      <c r="A285">
        <v>25.4</v>
      </c>
      <c r="B285">
        <v>1.4</v>
      </c>
      <c r="C285">
        <v>6.06</v>
      </c>
      <c r="D285">
        <v>3557792</v>
      </c>
      <c r="E285" t="s">
        <v>1564</v>
      </c>
      <c r="F285" t="s">
        <v>1130</v>
      </c>
    </row>
    <row r="286" spans="1:6" hidden="1" x14ac:dyDescent="0.25">
      <c r="A286">
        <v>25.4</v>
      </c>
      <c r="B286">
        <v>1.5</v>
      </c>
      <c r="C286">
        <v>6</v>
      </c>
      <c r="D286">
        <v>3701606</v>
      </c>
      <c r="E286" t="s">
        <v>1565</v>
      </c>
      <c r="F286" t="s">
        <v>1130</v>
      </c>
    </row>
    <row r="287" spans="1:6" hidden="1" x14ac:dyDescent="0.25">
      <c r="A287">
        <v>25.4</v>
      </c>
      <c r="B287">
        <v>1.6</v>
      </c>
      <c r="C287">
        <v>0.20799999999999999</v>
      </c>
      <c r="D287">
        <v>3732180</v>
      </c>
      <c r="E287" t="s">
        <v>1566</v>
      </c>
      <c r="F287" t="s">
        <v>1130</v>
      </c>
    </row>
    <row r="288" spans="1:6" hidden="1" x14ac:dyDescent="0.25">
      <c r="A288">
        <v>25.4</v>
      </c>
      <c r="B288">
        <v>1.6</v>
      </c>
      <c r="C288">
        <v>0.23</v>
      </c>
      <c r="D288">
        <v>2398620</v>
      </c>
      <c r="E288" t="s">
        <v>1567</v>
      </c>
      <c r="F288" t="s">
        <v>1130</v>
      </c>
    </row>
    <row r="289" spans="1:6" hidden="1" x14ac:dyDescent="0.25">
      <c r="A289">
        <v>25.4</v>
      </c>
      <c r="B289">
        <v>1.6</v>
      </c>
      <c r="C289">
        <v>0.41199999999999998</v>
      </c>
      <c r="D289">
        <v>3677047</v>
      </c>
      <c r="E289" t="s">
        <v>1568</v>
      </c>
      <c r="F289" t="s">
        <v>1130</v>
      </c>
    </row>
    <row r="290" spans="1:6" hidden="1" x14ac:dyDescent="0.25">
      <c r="A290">
        <v>25.4</v>
      </c>
      <c r="B290">
        <v>1.6</v>
      </c>
      <c r="C290">
        <v>0.41499999999999998</v>
      </c>
      <c r="D290">
        <v>3551623</v>
      </c>
      <c r="E290" t="s">
        <v>1569</v>
      </c>
      <c r="F290" t="s">
        <v>1130</v>
      </c>
    </row>
    <row r="291" spans="1:6" hidden="1" x14ac:dyDescent="0.25">
      <c r="A291">
        <v>25.4</v>
      </c>
      <c r="B291">
        <v>1.6</v>
      </c>
      <c r="C291">
        <v>2.59</v>
      </c>
      <c r="D291">
        <v>2409618</v>
      </c>
      <c r="E291" t="s">
        <v>469</v>
      </c>
      <c r="F291" t="s">
        <v>1130</v>
      </c>
    </row>
    <row r="292" spans="1:6" hidden="1" x14ac:dyDescent="0.25">
      <c r="A292">
        <v>25.4</v>
      </c>
      <c r="B292">
        <v>2</v>
      </c>
      <c r="C292">
        <v>0.18099999999999999</v>
      </c>
      <c r="D292">
        <v>3181175</v>
      </c>
      <c r="E292" t="s">
        <v>1570</v>
      </c>
      <c r="F292" t="s">
        <v>1130</v>
      </c>
    </row>
    <row r="293" spans="1:6" hidden="1" x14ac:dyDescent="0.25">
      <c r="A293">
        <v>25.4</v>
      </c>
      <c r="B293">
        <v>2</v>
      </c>
      <c r="C293">
        <v>0.221</v>
      </c>
      <c r="D293">
        <v>3181174</v>
      </c>
      <c r="E293" t="s">
        <v>1571</v>
      </c>
      <c r="F293" t="s">
        <v>1130</v>
      </c>
    </row>
    <row r="294" spans="1:6" hidden="1" x14ac:dyDescent="0.25">
      <c r="A294">
        <v>25.4</v>
      </c>
      <c r="B294">
        <v>2</v>
      </c>
      <c r="C294">
        <v>0.28100000000000003</v>
      </c>
      <c r="D294">
        <v>3506206</v>
      </c>
      <c r="E294" t="s">
        <v>1572</v>
      </c>
      <c r="F294" t="s">
        <v>1130</v>
      </c>
    </row>
    <row r="295" spans="1:6" hidden="1" x14ac:dyDescent="0.25">
      <c r="A295">
        <v>25.4</v>
      </c>
      <c r="B295">
        <v>2</v>
      </c>
      <c r="C295">
        <v>0.28100000000000003</v>
      </c>
      <c r="D295">
        <v>1940584</v>
      </c>
      <c r="E295" t="s">
        <v>779</v>
      </c>
      <c r="F295" t="s">
        <v>1130</v>
      </c>
    </row>
    <row r="296" spans="1:6" hidden="1" x14ac:dyDescent="0.25">
      <c r="A296">
        <v>25.4</v>
      </c>
      <c r="B296">
        <v>2</v>
      </c>
      <c r="C296">
        <v>0.35499999999999998</v>
      </c>
      <c r="D296">
        <v>1940588</v>
      </c>
      <c r="E296" t="s">
        <v>797</v>
      </c>
      <c r="F296" t="s">
        <v>1130</v>
      </c>
    </row>
    <row r="297" spans="1:6" hidden="1" x14ac:dyDescent="0.25">
      <c r="A297">
        <v>25.4</v>
      </c>
      <c r="B297">
        <v>2</v>
      </c>
      <c r="C297">
        <v>0.41199999999999998</v>
      </c>
      <c r="D297">
        <v>3863819</v>
      </c>
      <c r="E297" t="s">
        <v>802</v>
      </c>
      <c r="F297" t="s">
        <v>1130</v>
      </c>
    </row>
    <row r="298" spans="1:6" hidden="1" x14ac:dyDescent="0.25">
      <c r="A298">
        <v>25.4</v>
      </c>
      <c r="B298">
        <v>2</v>
      </c>
      <c r="C298">
        <v>0.41799999999999998</v>
      </c>
      <c r="D298">
        <v>3926270</v>
      </c>
      <c r="E298" t="s">
        <v>804</v>
      </c>
      <c r="F298" t="s">
        <v>1130</v>
      </c>
    </row>
    <row r="299" spans="1:6" hidden="1" x14ac:dyDescent="0.25">
      <c r="A299">
        <v>25.4</v>
      </c>
      <c r="B299">
        <v>2</v>
      </c>
      <c r="C299">
        <v>0.45</v>
      </c>
      <c r="D299">
        <v>3868654</v>
      </c>
      <c r="E299" t="s">
        <v>1573</v>
      </c>
      <c r="F299" t="s">
        <v>1130</v>
      </c>
    </row>
    <row r="300" spans="1:6" hidden="1" x14ac:dyDescent="0.25">
      <c r="A300">
        <v>25.4</v>
      </c>
      <c r="B300">
        <v>2</v>
      </c>
      <c r="C300">
        <v>0.45800000000000002</v>
      </c>
      <c r="D300">
        <v>2432731</v>
      </c>
      <c r="E300" t="s">
        <v>1574</v>
      </c>
      <c r="F300" t="s">
        <v>1130</v>
      </c>
    </row>
    <row r="301" spans="1:6" hidden="1" x14ac:dyDescent="0.25">
      <c r="A301">
        <v>25.4</v>
      </c>
      <c r="B301">
        <v>2</v>
      </c>
      <c r="C301">
        <v>0.47</v>
      </c>
      <c r="D301">
        <v>3924502</v>
      </c>
      <c r="E301" t="s">
        <v>1575</v>
      </c>
      <c r="F301" t="s">
        <v>1130</v>
      </c>
    </row>
    <row r="302" spans="1:6" hidden="1" x14ac:dyDescent="0.25">
      <c r="A302">
        <v>25.4</v>
      </c>
      <c r="B302">
        <v>2</v>
      </c>
      <c r="C302">
        <v>0.47299999999999998</v>
      </c>
      <c r="D302">
        <v>2432732</v>
      </c>
      <c r="E302" t="s">
        <v>1576</v>
      </c>
      <c r="F302" t="s">
        <v>1130</v>
      </c>
    </row>
    <row r="303" spans="1:6" hidden="1" x14ac:dyDescent="0.25">
      <c r="A303">
        <v>25.4</v>
      </c>
      <c r="B303">
        <v>2</v>
      </c>
      <c r="C303">
        <v>0.73</v>
      </c>
      <c r="D303">
        <v>3522310</v>
      </c>
      <c r="E303" t="s">
        <v>1577</v>
      </c>
      <c r="F303" t="s">
        <v>1130</v>
      </c>
    </row>
    <row r="304" spans="1:6" hidden="1" x14ac:dyDescent="0.25">
      <c r="A304">
        <v>25.4</v>
      </c>
      <c r="B304">
        <v>2</v>
      </c>
      <c r="C304">
        <v>0.82499999999999996</v>
      </c>
      <c r="D304">
        <v>2420715</v>
      </c>
      <c r="E304" t="s">
        <v>1578</v>
      </c>
      <c r="F304" t="s">
        <v>1130</v>
      </c>
    </row>
    <row r="305" spans="1:6" hidden="1" x14ac:dyDescent="0.25">
      <c r="A305">
        <v>25.4</v>
      </c>
      <c r="B305">
        <v>2.5</v>
      </c>
      <c r="C305">
        <v>0.18</v>
      </c>
      <c r="D305">
        <v>1902039</v>
      </c>
      <c r="E305" t="s">
        <v>1579</v>
      </c>
      <c r="F305" t="s">
        <v>1130</v>
      </c>
    </row>
    <row r="306" spans="1:6" hidden="1" x14ac:dyDescent="0.25">
      <c r="A306">
        <v>25.4</v>
      </c>
      <c r="B306">
        <v>2.5</v>
      </c>
      <c r="C306">
        <v>0.217</v>
      </c>
      <c r="D306">
        <v>1939544</v>
      </c>
      <c r="E306" t="s">
        <v>807</v>
      </c>
      <c r="F306" t="s">
        <v>1130</v>
      </c>
    </row>
    <row r="307" spans="1:6" hidden="1" x14ac:dyDescent="0.25">
      <c r="A307">
        <v>25.4</v>
      </c>
      <c r="B307">
        <v>2.5</v>
      </c>
      <c r="C307">
        <v>0.78300000000000003</v>
      </c>
      <c r="D307">
        <v>3775636</v>
      </c>
      <c r="E307" t="s">
        <v>811</v>
      </c>
      <c r="F307" t="s">
        <v>1130</v>
      </c>
    </row>
    <row r="308" spans="1:6" hidden="1" x14ac:dyDescent="0.25">
      <c r="A308">
        <v>25.4</v>
      </c>
      <c r="B308">
        <v>2.5</v>
      </c>
      <c r="C308">
        <v>5.53</v>
      </c>
      <c r="D308">
        <v>3502256</v>
      </c>
      <c r="E308" t="s">
        <v>1580</v>
      </c>
      <c r="F308" t="s">
        <v>1130</v>
      </c>
    </row>
    <row r="309" spans="1:6" hidden="1" x14ac:dyDescent="0.25">
      <c r="A309">
        <v>25.4</v>
      </c>
      <c r="B309">
        <v>2.5</v>
      </c>
      <c r="C309">
        <v>5.56</v>
      </c>
      <c r="D309">
        <v>3929585</v>
      </c>
      <c r="E309" t="s">
        <v>1581</v>
      </c>
      <c r="F309" t="s">
        <v>1130</v>
      </c>
    </row>
    <row r="310" spans="1:6" hidden="1" x14ac:dyDescent="0.25">
      <c r="A310">
        <v>25.4</v>
      </c>
      <c r="B310">
        <v>2.5</v>
      </c>
      <c r="C310">
        <v>5.9</v>
      </c>
      <c r="D310">
        <v>3586645</v>
      </c>
      <c r="E310" t="s">
        <v>1582</v>
      </c>
      <c r="F310" t="s">
        <v>1130</v>
      </c>
    </row>
    <row r="311" spans="1:6" hidden="1" x14ac:dyDescent="0.25">
      <c r="A311">
        <v>25.4</v>
      </c>
      <c r="B311">
        <v>2.5</v>
      </c>
      <c r="C311">
        <v>5.97</v>
      </c>
      <c r="D311">
        <v>3929604</v>
      </c>
      <c r="E311" t="s">
        <v>1583</v>
      </c>
      <c r="F311" t="s">
        <v>1130</v>
      </c>
    </row>
    <row r="312" spans="1:6" hidden="1" x14ac:dyDescent="0.25">
      <c r="A312">
        <v>25.4</v>
      </c>
      <c r="B312">
        <v>2.6</v>
      </c>
      <c r="C312">
        <v>8.5000000000000006E-2</v>
      </c>
      <c r="D312">
        <v>1940601</v>
      </c>
      <c r="E312" t="s">
        <v>1584</v>
      </c>
      <c r="F312" t="s">
        <v>1130</v>
      </c>
    </row>
    <row r="313" spans="1:6" hidden="1" x14ac:dyDescent="0.25">
      <c r="A313">
        <v>25.4</v>
      </c>
      <c r="B313">
        <v>3.5</v>
      </c>
      <c r="C313">
        <v>0.247</v>
      </c>
      <c r="D313">
        <v>1939284</v>
      </c>
      <c r="E313" t="s">
        <v>1585</v>
      </c>
      <c r="F313" t="s">
        <v>1130</v>
      </c>
    </row>
    <row r="314" spans="1:6" hidden="1" x14ac:dyDescent="0.25">
      <c r="A314">
        <v>25.4</v>
      </c>
      <c r="B314">
        <v>3.5</v>
      </c>
      <c r="C314">
        <v>0.26300000000000001</v>
      </c>
      <c r="D314">
        <v>1939283</v>
      </c>
      <c r="E314" t="s">
        <v>1586</v>
      </c>
      <c r="F314" t="s">
        <v>1130</v>
      </c>
    </row>
    <row r="315" spans="1:6" hidden="1" x14ac:dyDescent="0.25">
      <c r="A315">
        <v>28.58</v>
      </c>
      <c r="B315">
        <v>1.2</v>
      </c>
      <c r="C315">
        <v>0.59499999999999997</v>
      </c>
      <c r="D315">
        <v>1940614</v>
      </c>
      <c r="E315" t="s">
        <v>693</v>
      </c>
      <c r="F315" t="s">
        <v>1130</v>
      </c>
    </row>
    <row r="316" spans="1:6" hidden="1" x14ac:dyDescent="0.25">
      <c r="A316">
        <v>28.58</v>
      </c>
      <c r="B316">
        <v>1.6</v>
      </c>
      <c r="C316">
        <v>0.215</v>
      </c>
      <c r="D316">
        <v>3727212</v>
      </c>
      <c r="E316" t="s">
        <v>669</v>
      </c>
      <c r="F316" t="s">
        <v>1130</v>
      </c>
    </row>
    <row r="317" spans="1:6" hidden="1" x14ac:dyDescent="0.25">
      <c r="A317">
        <v>28.58</v>
      </c>
      <c r="B317">
        <v>1.6</v>
      </c>
      <c r="C317">
        <v>0.41399999999999998</v>
      </c>
      <c r="D317">
        <v>3598957</v>
      </c>
      <c r="E317" t="s">
        <v>665</v>
      </c>
      <c r="F317" t="s">
        <v>1130</v>
      </c>
    </row>
    <row r="318" spans="1:6" hidden="1" x14ac:dyDescent="0.25">
      <c r="A318">
        <v>28.58</v>
      </c>
      <c r="B318">
        <v>2</v>
      </c>
      <c r="C318">
        <v>0.47499999999999998</v>
      </c>
      <c r="D318">
        <v>1940626</v>
      </c>
      <c r="E318" t="s">
        <v>583</v>
      </c>
      <c r="F318" t="s">
        <v>1130</v>
      </c>
    </row>
    <row r="319" spans="1:6" hidden="1" x14ac:dyDescent="0.25">
      <c r="A319">
        <v>28.58</v>
      </c>
      <c r="B319">
        <v>3.2</v>
      </c>
      <c r="C319">
        <v>6</v>
      </c>
      <c r="D319">
        <v>1940627</v>
      </c>
      <c r="E319" t="s">
        <v>1587</v>
      </c>
      <c r="F319" t="s">
        <v>1130</v>
      </c>
    </row>
    <row r="320" spans="1:6" hidden="1" x14ac:dyDescent="0.25">
      <c r="A320">
        <v>28.6</v>
      </c>
      <c r="B320">
        <v>2.65</v>
      </c>
      <c r="C320">
        <v>0</v>
      </c>
      <c r="D320">
        <v>2410388</v>
      </c>
      <c r="E320" t="s">
        <v>819</v>
      </c>
      <c r="F320" t="s">
        <v>1130</v>
      </c>
    </row>
    <row r="321" spans="1:6" hidden="1" x14ac:dyDescent="0.25">
      <c r="A321">
        <v>28.6</v>
      </c>
      <c r="B321">
        <v>2.65</v>
      </c>
      <c r="C321">
        <v>0.20899999999999999</v>
      </c>
      <c r="D321">
        <v>3617058</v>
      </c>
      <c r="E321" t="s">
        <v>817</v>
      </c>
      <c r="F321" t="s">
        <v>1130</v>
      </c>
    </row>
    <row r="322" spans="1:6" hidden="1" x14ac:dyDescent="0.25">
      <c r="A322">
        <v>29.4</v>
      </c>
      <c r="B322">
        <v>4.5</v>
      </c>
      <c r="C322">
        <v>0.35699999999999998</v>
      </c>
      <c r="D322">
        <v>3190072</v>
      </c>
      <c r="E322" t="s">
        <v>1588</v>
      </c>
      <c r="F322" t="s">
        <v>1516</v>
      </c>
    </row>
    <row r="323" spans="1:6" hidden="1" x14ac:dyDescent="0.25">
      <c r="A323">
        <v>29.4</v>
      </c>
      <c r="B323">
        <v>4.5</v>
      </c>
      <c r="C323">
        <v>0.36099999999999999</v>
      </c>
      <c r="D323">
        <v>1939285</v>
      </c>
      <c r="E323" t="s">
        <v>1589</v>
      </c>
      <c r="F323" t="s">
        <v>1516</v>
      </c>
    </row>
    <row r="324" spans="1:6" hidden="1" x14ac:dyDescent="0.25">
      <c r="A324">
        <v>29.4</v>
      </c>
      <c r="B324">
        <v>4.5</v>
      </c>
      <c r="C324">
        <v>0.36099999999999999</v>
      </c>
      <c r="D324">
        <v>1941303</v>
      </c>
      <c r="E324" t="s">
        <v>1590</v>
      </c>
      <c r="F324" t="s">
        <v>1516</v>
      </c>
    </row>
    <row r="325" spans="1:6" hidden="1" x14ac:dyDescent="0.25">
      <c r="A325">
        <v>29.4</v>
      </c>
      <c r="B325">
        <v>4.5</v>
      </c>
      <c r="C325">
        <v>0.376</v>
      </c>
      <c r="D325">
        <v>2359912</v>
      </c>
      <c r="E325" t="s">
        <v>825</v>
      </c>
      <c r="F325" t="s">
        <v>1516</v>
      </c>
    </row>
    <row r="326" spans="1:6" hidden="1" x14ac:dyDescent="0.25">
      <c r="A326">
        <v>30</v>
      </c>
      <c r="B326">
        <v>1.1599999999999999</v>
      </c>
      <c r="C326">
        <v>6</v>
      </c>
      <c r="D326">
        <v>1931938</v>
      </c>
      <c r="E326" t="s">
        <v>1591</v>
      </c>
      <c r="F326" t="s">
        <v>1130</v>
      </c>
    </row>
    <row r="327" spans="1:6" hidden="1" x14ac:dyDescent="0.25">
      <c r="A327">
        <v>30</v>
      </c>
      <c r="B327">
        <v>1.1599999999999999</v>
      </c>
      <c r="C327">
        <v>6</v>
      </c>
      <c r="D327">
        <v>3702246</v>
      </c>
      <c r="E327" t="s">
        <v>1591</v>
      </c>
      <c r="F327" t="s">
        <v>1130</v>
      </c>
    </row>
    <row r="328" spans="1:6" hidden="1" x14ac:dyDescent="0.25">
      <c r="A328">
        <v>30</v>
      </c>
      <c r="B328">
        <v>1.2</v>
      </c>
      <c r="C328">
        <v>0.14000000000000001</v>
      </c>
      <c r="D328">
        <v>3572045</v>
      </c>
      <c r="E328" t="s">
        <v>1592</v>
      </c>
      <c r="F328" t="s">
        <v>1130</v>
      </c>
    </row>
    <row r="329" spans="1:6" hidden="1" x14ac:dyDescent="0.25">
      <c r="A329">
        <v>30</v>
      </c>
      <c r="B329">
        <v>1.2</v>
      </c>
      <c r="C329">
        <v>0.22</v>
      </c>
      <c r="D329">
        <v>3230495</v>
      </c>
      <c r="E329" t="s">
        <v>629</v>
      </c>
      <c r="F329" t="s">
        <v>1130</v>
      </c>
    </row>
    <row r="330" spans="1:6" hidden="1" x14ac:dyDescent="0.25">
      <c r="A330">
        <v>30</v>
      </c>
      <c r="B330">
        <v>1.51</v>
      </c>
      <c r="C330">
        <v>6</v>
      </c>
      <c r="D330">
        <v>1932015</v>
      </c>
      <c r="E330" t="s">
        <v>1593</v>
      </c>
      <c r="F330" t="s">
        <v>1130</v>
      </c>
    </row>
    <row r="331" spans="1:6" hidden="1" x14ac:dyDescent="0.25">
      <c r="A331">
        <v>30</v>
      </c>
      <c r="B331">
        <v>1.51</v>
      </c>
      <c r="C331">
        <v>6</v>
      </c>
      <c r="D331">
        <v>3702266</v>
      </c>
      <c r="E331" t="s">
        <v>1593</v>
      </c>
      <c r="F331" t="s">
        <v>1130</v>
      </c>
    </row>
    <row r="332" spans="1:6" hidden="1" x14ac:dyDescent="0.25">
      <c r="A332">
        <v>30</v>
      </c>
      <c r="B332">
        <v>2.25</v>
      </c>
      <c r="C332">
        <v>0.48499999999999999</v>
      </c>
      <c r="D332">
        <v>1938121</v>
      </c>
      <c r="E332" t="s">
        <v>1594</v>
      </c>
      <c r="F332" t="s">
        <v>1516</v>
      </c>
    </row>
    <row r="333" spans="1:6" hidden="1" x14ac:dyDescent="0.25">
      <c r="A333">
        <v>30</v>
      </c>
      <c r="B333">
        <v>2.25</v>
      </c>
      <c r="C333">
        <v>0.48499999999999999</v>
      </c>
      <c r="D333">
        <v>2359755</v>
      </c>
      <c r="E333" t="s">
        <v>828</v>
      </c>
      <c r="F333" t="s">
        <v>1516</v>
      </c>
    </row>
    <row r="334" spans="1:6" hidden="1" x14ac:dyDescent="0.25">
      <c r="A334">
        <v>30</v>
      </c>
      <c r="B334">
        <v>3.0249999999999999</v>
      </c>
      <c r="C334">
        <v>0</v>
      </c>
      <c r="D334">
        <v>2410989</v>
      </c>
      <c r="E334" t="s">
        <v>1595</v>
      </c>
      <c r="F334" t="s">
        <v>1130</v>
      </c>
    </row>
    <row r="335" spans="1:6" hidden="1" x14ac:dyDescent="0.25">
      <c r="A335">
        <v>30</v>
      </c>
      <c r="B335">
        <v>3.03</v>
      </c>
      <c r="C335">
        <v>0</v>
      </c>
      <c r="D335">
        <v>3411883</v>
      </c>
      <c r="E335" t="s">
        <v>1596</v>
      </c>
      <c r="F335" t="s">
        <v>1130</v>
      </c>
    </row>
    <row r="336" spans="1:6" hidden="1" x14ac:dyDescent="0.25">
      <c r="A336">
        <v>30.15</v>
      </c>
      <c r="B336">
        <v>2.3199999999999998</v>
      </c>
      <c r="C336">
        <v>0.46500000000000002</v>
      </c>
      <c r="D336">
        <v>403040</v>
      </c>
      <c r="E336" t="s">
        <v>1597</v>
      </c>
      <c r="F336" t="s">
        <v>1516</v>
      </c>
    </row>
    <row r="337" spans="1:6" hidden="1" x14ac:dyDescent="0.25">
      <c r="A337">
        <v>31.75</v>
      </c>
      <c r="B337">
        <v>1.2</v>
      </c>
      <c r="C337">
        <v>0.21</v>
      </c>
      <c r="D337">
        <v>3508456</v>
      </c>
      <c r="E337" t="s">
        <v>833</v>
      </c>
      <c r="F337" t="s">
        <v>1130</v>
      </c>
    </row>
    <row r="338" spans="1:6" hidden="1" x14ac:dyDescent="0.25">
      <c r="A338">
        <v>31.75</v>
      </c>
      <c r="B338">
        <v>1.2</v>
      </c>
      <c r="C338">
        <v>0.21</v>
      </c>
      <c r="D338">
        <v>2256593</v>
      </c>
      <c r="E338" t="s">
        <v>1598</v>
      </c>
      <c r="F338" t="s">
        <v>1130</v>
      </c>
    </row>
    <row r="339" spans="1:6" hidden="1" x14ac:dyDescent="0.25">
      <c r="A339">
        <v>31.75</v>
      </c>
      <c r="B339">
        <v>1.2</v>
      </c>
      <c r="C339">
        <v>0.67</v>
      </c>
      <c r="D339">
        <v>373013</v>
      </c>
      <c r="E339" t="s">
        <v>1599</v>
      </c>
      <c r="F339" t="s">
        <v>1130</v>
      </c>
    </row>
    <row r="340" spans="1:6" hidden="1" x14ac:dyDescent="0.25">
      <c r="A340">
        <v>31.75</v>
      </c>
      <c r="B340">
        <v>1.2</v>
      </c>
      <c r="C340">
        <v>0.67</v>
      </c>
      <c r="D340">
        <v>3506437</v>
      </c>
      <c r="E340" t="s">
        <v>1600</v>
      </c>
      <c r="F340" t="s">
        <v>1130</v>
      </c>
    </row>
    <row r="341" spans="1:6" hidden="1" x14ac:dyDescent="0.25">
      <c r="A341">
        <v>31.75</v>
      </c>
      <c r="B341">
        <v>1.2</v>
      </c>
      <c r="C341">
        <v>0.67</v>
      </c>
      <c r="D341">
        <v>1940653</v>
      </c>
      <c r="E341" t="s">
        <v>1601</v>
      </c>
      <c r="F341" t="s">
        <v>1130</v>
      </c>
    </row>
    <row r="342" spans="1:6" hidden="1" x14ac:dyDescent="0.25">
      <c r="A342">
        <v>31.75</v>
      </c>
      <c r="B342">
        <v>1.2</v>
      </c>
      <c r="C342">
        <v>0.68</v>
      </c>
      <c r="D342">
        <v>3819143</v>
      </c>
      <c r="E342" t="s">
        <v>839</v>
      </c>
      <c r="F342" t="s">
        <v>1130</v>
      </c>
    </row>
    <row r="343" spans="1:6" hidden="1" x14ac:dyDescent="0.25">
      <c r="A343">
        <v>31.75</v>
      </c>
      <c r="B343">
        <v>1.2</v>
      </c>
      <c r="C343">
        <v>0.68600000000000005</v>
      </c>
      <c r="D343">
        <v>1904406</v>
      </c>
      <c r="E343" t="s">
        <v>1602</v>
      </c>
      <c r="F343" t="s">
        <v>1130</v>
      </c>
    </row>
    <row r="344" spans="1:6" hidden="1" x14ac:dyDescent="0.25">
      <c r="A344">
        <v>31.75</v>
      </c>
      <c r="B344">
        <v>1.2</v>
      </c>
      <c r="C344">
        <v>5.45</v>
      </c>
      <c r="D344">
        <v>3586648</v>
      </c>
      <c r="E344" t="s">
        <v>1603</v>
      </c>
      <c r="F344" t="s">
        <v>1130</v>
      </c>
    </row>
    <row r="345" spans="1:6" hidden="1" x14ac:dyDescent="0.25">
      <c r="A345">
        <v>31.75</v>
      </c>
      <c r="B345">
        <v>1.2</v>
      </c>
      <c r="C345">
        <v>6.0010000000000003</v>
      </c>
      <c r="D345">
        <v>3884381</v>
      </c>
      <c r="E345" t="s">
        <v>1604</v>
      </c>
      <c r="F345" t="s">
        <v>1130</v>
      </c>
    </row>
    <row r="346" spans="1:6" hidden="1" x14ac:dyDescent="0.25">
      <c r="A346">
        <v>31.75</v>
      </c>
      <c r="B346">
        <v>1.6</v>
      </c>
      <c r="C346">
        <v>0.78</v>
      </c>
      <c r="D346">
        <v>3447257</v>
      </c>
      <c r="E346" t="s">
        <v>1605</v>
      </c>
      <c r="F346" t="s">
        <v>1130</v>
      </c>
    </row>
    <row r="347" spans="1:6" hidden="1" x14ac:dyDescent="0.25">
      <c r="A347">
        <v>31.75</v>
      </c>
      <c r="B347">
        <v>2</v>
      </c>
      <c r="C347">
        <v>0.48299999999999998</v>
      </c>
      <c r="D347">
        <v>3181171</v>
      </c>
      <c r="E347" t="s">
        <v>1606</v>
      </c>
      <c r="F347" t="s">
        <v>1130</v>
      </c>
    </row>
    <row r="348" spans="1:6" hidden="1" x14ac:dyDescent="0.25">
      <c r="A348">
        <v>31.75</v>
      </c>
      <c r="B348">
        <v>2</v>
      </c>
      <c r="C348">
        <v>0.48499999999999999</v>
      </c>
      <c r="D348">
        <v>2385283</v>
      </c>
      <c r="E348" t="s">
        <v>1607</v>
      </c>
      <c r="F348" t="s">
        <v>1130</v>
      </c>
    </row>
    <row r="349" spans="1:6" hidden="1" x14ac:dyDescent="0.25">
      <c r="A349">
        <v>31.75</v>
      </c>
      <c r="B349">
        <v>2</v>
      </c>
      <c r="C349">
        <v>0.79200000000000004</v>
      </c>
      <c r="D349">
        <v>3447256</v>
      </c>
      <c r="E349" t="s">
        <v>1608</v>
      </c>
      <c r="F349" t="s">
        <v>1130</v>
      </c>
    </row>
    <row r="350" spans="1:6" hidden="1" x14ac:dyDescent="0.25">
      <c r="A350">
        <v>31.75</v>
      </c>
      <c r="B350">
        <v>2</v>
      </c>
      <c r="C350">
        <v>0.96799999999999997</v>
      </c>
      <c r="D350">
        <v>3776929</v>
      </c>
      <c r="E350" t="s">
        <v>1609</v>
      </c>
      <c r="F350" t="s">
        <v>1130</v>
      </c>
    </row>
    <row r="351" spans="1:6" hidden="1" x14ac:dyDescent="0.25">
      <c r="A351">
        <v>31.75</v>
      </c>
      <c r="B351">
        <v>2.2999999999999998</v>
      </c>
      <c r="C351">
        <v>6</v>
      </c>
      <c r="D351">
        <v>3500081</v>
      </c>
      <c r="E351" t="s">
        <v>1610</v>
      </c>
      <c r="F351" t="s">
        <v>1130</v>
      </c>
    </row>
    <row r="352" spans="1:6" hidden="1" x14ac:dyDescent="0.25">
      <c r="A352">
        <v>31.75</v>
      </c>
      <c r="B352">
        <v>2.5</v>
      </c>
      <c r="C352">
        <v>6</v>
      </c>
      <c r="D352">
        <v>3500352</v>
      </c>
      <c r="E352" t="s">
        <v>1611</v>
      </c>
      <c r="F352" t="s">
        <v>1130</v>
      </c>
    </row>
    <row r="353" spans="1:6" hidden="1" x14ac:dyDescent="0.25">
      <c r="A353">
        <v>31.75</v>
      </c>
      <c r="B353">
        <v>2.9</v>
      </c>
      <c r="C353">
        <v>5.7</v>
      </c>
      <c r="D353">
        <v>3915536</v>
      </c>
      <c r="E353" t="s">
        <v>1612</v>
      </c>
      <c r="F353" t="s">
        <v>1130</v>
      </c>
    </row>
    <row r="354" spans="1:6" hidden="1" x14ac:dyDescent="0.25">
      <c r="A354">
        <v>31.75</v>
      </c>
      <c r="B354">
        <v>2.9</v>
      </c>
      <c r="C354">
        <v>5.9</v>
      </c>
      <c r="D354">
        <v>3915537</v>
      </c>
      <c r="E354" t="s">
        <v>1613</v>
      </c>
      <c r="F354" t="s">
        <v>1130</v>
      </c>
    </row>
    <row r="355" spans="1:6" hidden="1" x14ac:dyDescent="0.25">
      <c r="A355">
        <v>31.75</v>
      </c>
      <c r="B355">
        <v>3.25</v>
      </c>
      <c r="C355">
        <v>6.1</v>
      </c>
      <c r="D355">
        <v>3499137</v>
      </c>
      <c r="E355" t="s">
        <v>1614</v>
      </c>
      <c r="F355" t="s">
        <v>1130</v>
      </c>
    </row>
    <row r="356" spans="1:6" hidden="1" x14ac:dyDescent="0.25">
      <c r="A356">
        <v>31.75</v>
      </c>
      <c r="B356">
        <v>3.375</v>
      </c>
      <c r="C356">
        <v>0</v>
      </c>
      <c r="D356">
        <v>2410960</v>
      </c>
      <c r="E356" t="s">
        <v>847</v>
      </c>
      <c r="F356" t="s">
        <v>1130</v>
      </c>
    </row>
    <row r="357" spans="1:6" hidden="1" x14ac:dyDescent="0.25">
      <c r="A357">
        <v>32</v>
      </c>
      <c r="B357">
        <v>4.5</v>
      </c>
      <c r="C357">
        <v>6.4</v>
      </c>
      <c r="D357">
        <v>3694074</v>
      </c>
      <c r="E357" t="s">
        <v>1615</v>
      </c>
      <c r="F357" t="s">
        <v>1130</v>
      </c>
    </row>
    <row r="358" spans="1:6" hidden="1" x14ac:dyDescent="0.25">
      <c r="A358">
        <v>34</v>
      </c>
      <c r="B358">
        <v>1</v>
      </c>
      <c r="C358">
        <v>6</v>
      </c>
      <c r="D358">
        <v>3434787</v>
      </c>
      <c r="E358" t="s">
        <v>1616</v>
      </c>
      <c r="F358" t="s">
        <v>1130</v>
      </c>
    </row>
    <row r="359" spans="1:6" hidden="1" x14ac:dyDescent="0.25">
      <c r="A359">
        <v>34.93</v>
      </c>
      <c r="B359">
        <v>1.2</v>
      </c>
      <c r="C359">
        <v>0.62</v>
      </c>
      <c r="D359">
        <v>2397073</v>
      </c>
      <c r="E359" t="s">
        <v>1617</v>
      </c>
      <c r="F359" t="s">
        <v>1130</v>
      </c>
    </row>
    <row r="360" spans="1:6" hidden="1" x14ac:dyDescent="0.25">
      <c r="A360">
        <v>34.93</v>
      </c>
      <c r="B360">
        <v>1.2</v>
      </c>
      <c r="C360">
        <v>0.66</v>
      </c>
      <c r="D360">
        <v>2437215</v>
      </c>
      <c r="E360" t="s">
        <v>1618</v>
      </c>
      <c r="F360" t="s">
        <v>1130</v>
      </c>
    </row>
    <row r="361" spans="1:6" hidden="1" x14ac:dyDescent="0.25">
      <c r="A361">
        <v>34.93</v>
      </c>
      <c r="B361">
        <v>1.2</v>
      </c>
      <c r="C361">
        <v>0.67</v>
      </c>
      <c r="D361">
        <v>3538480</v>
      </c>
      <c r="E361" t="s">
        <v>1619</v>
      </c>
      <c r="F361" t="s">
        <v>1130</v>
      </c>
    </row>
    <row r="362" spans="1:6" hidden="1" x14ac:dyDescent="0.25">
      <c r="A362">
        <v>34.93</v>
      </c>
      <c r="B362">
        <v>1.2</v>
      </c>
      <c r="C362">
        <v>6</v>
      </c>
      <c r="D362">
        <v>3499611</v>
      </c>
      <c r="E362" t="s">
        <v>1620</v>
      </c>
      <c r="F362" t="s">
        <v>1130</v>
      </c>
    </row>
    <row r="363" spans="1:6" hidden="1" x14ac:dyDescent="0.25">
      <c r="A363">
        <v>34.93</v>
      </c>
      <c r="B363">
        <v>1.6</v>
      </c>
      <c r="C363">
        <v>0.4</v>
      </c>
      <c r="D363">
        <v>3863799</v>
      </c>
      <c r="E363" t="s">
        <v>1621</v>
      </c>
      <c r="F363" t="s">
        <v>1130</v>
      </c>
    </row>
    <row r="364" spans="1:6" hidden="1" x14ac:dyDescent="0.25">
      <c r="A364">
        <v>34.93</v>
      </c>
      <c r="B364">
        <v>1.6</v>
      </c>
      <c r="C364">
        <v>0.40500000000000003</v>
      </c>
      <c r="D364">
        <v>2397067</v>
      </c>
      <c r="E364" t="s">
        <v>1622</v>
      </c>
      <c r="F364" t="s">
        <v>1130</v>
      </c>
    </row>
    <row r="365" spans="1:6" hidden="1" x14ac:dyDescent="0.25">
      <c r="A365">
        <v>34.93</v>
      </c>
      <c r="B365">
        <v>1.6</v>
      </c>
      <c r="C365">
        <v>0.45500000000000002</v>
      </c>
      <c r="D365">
        <v>2397066</v>
      </c>
      <c r="E365" t="s">
        <v>1623</v>
      </c>
      <c r="F365" t="s">
        <v>1130</v>
      </c>
    </row>
    <row r="366" spans="1:6" hidden="1" x14ac:dyDescent="0.25">
      <c r="A366">
        <v>34.93</v>
      </c>
      <c r="B366">
        <v>1.6</v>
      </c>
      <c r="C366">
        <v>0.57999999999999996</v>
      </c>
      <c r="D366">
        <v>3863797</v>
      </c>
      <c r="E366" t="s">
        <v>1624</v>
      </c>
      <c r="F366" t="s">
        <v>1130</v>
      </c>
    </row>
    <row r="367" spans="1:6" hidden="1" x14ac:dyDescent="0.25">
      <c r="A367">
        <v>34.93</v>
      </c>
      <c r="B367">
        <v>1.6</v>
      </c>
      <c r="C367">
        <v>0.59</v>
      </c>
      <c r="D367">
        <v>2397065</v>
      </c>
      <c r="E367" t="s">
        <v>1625</v>
      </c>
      <c r="F367" t="s">
        <v>1130</v>
      </c>
    </row>
    <row r="368" spans="1:6" hidden="1" x14ac:dyDescent="0.25">
      <c r="A368">
        <v>34.93</v>
      </c>
      <c r="B368">
        <v>1.6</v>
      </c>
      <c r="C368">
        <v>0.64</v>
      </c>
      <c r="D368">
        <v>2397064</v>
      </c>
      <c r="E368" t="s">
        <v>1626</v>
      </c>
      <c r="F368" t="s">
        <v>1130</v>
      </c>
    </row>
    <row r="369" spans="1:6" hidden="1" x14ac:dyDescent="0.25">
      <c r="A369">
        <v>34.93</v>
      </c>
      <c r="B369">
        <v>1.6</v>
      </c>
      <c r="C369">
        <v>1.726</v>
      </c>
      <c r="D369">
        <v>1940710</v>
      </c>
      <c r="E369" t="s">
        <v>566</v>
      </c>
      <c r="F369" t="s">
        <v>1130</v>
      </c>
    </row>
    <row r="370" spans="1:6" hidden="1" x14ac:dyDescent="0.25">
      <c r="A370">
        <v>34.93</v>
      </c>
      <c r="B370">
        <v>1.6</v>
      </c>
      <c r="C370">
        <v>1.726</v>
      </c>
      <c r="D370">
        <v>1155165</v>
      </c>
      <c r="E370" t="s">
        <v>1627</v>
      </c>
      <c r="F370" t="s">
        <v>1130</v>
      </c>
    </row>
    <row r="371" spans="1:6" hidden="1" x14ac:dyDescent="0.25">
      <c r="A371">
        <v>34.93</v>
      </c>
      <c r="B371">
        <v>2</v>
      </c>
      <c r="C371">
        <v>6</v>
      </c>
      <c r="D371">
        <v>3500083</v>
      </c>
      <c r="E371" t="s">
        <v>1628</v>
      </c>
      <c r="F371" t="s">
        <v>1130</v>
      </c>
    </row>
    <row r="372" spans="1:6" hidden="1" x14ac:dyDescent="0.25">
      <c r="A372">
        <v>34.93</v>
      </c>
      <c r="B372">
        <v>2.2999999999999998</v>
      </c>
      <c r="C372">
        <v>0.29799999999999999</v>
      </c>
      <c r="D372">
        <v>3910451</v>
      </c>
      <c r="E372" t="s">
        <v>850</v>
      </c>
      <c r="F372" t="s">
        <v>1130</v>
      </c>
    </row>
    <row r="373" spans="1:6" hidden="1" x14ac:dyDescent="0.25">
      <c r="A373">
        <v>34.93</v>
      </c>
      <c r="B373">
        <v>2.2999999999999998</v>
      </c>
      <c r="C373">
        <v>0.33300000000000002</v>
      </c>
      <c r="D373">
        <v>3729146</v>
      </c>
      <c r="E373" t="s">
        <v>852</v>
      </c>
      <c r="F373" t="s">
        <v>1130</v>
      </c>
    </row>
    <row r="374" spans="1:6" hidden="1" x14ac:dyDescent="0.25">
      <c r="A374">
        <v>34.93</v>
      </c>
      <c r="B374">
        <v>2.2999999999999998</v>
      </c>
      <c r="C374">
        <v>0.33400000000000002</v>
      </c>
      <c r="D374">
        <v>3911992</v>
      </c>
      <c r="E374" t="s">
        <v>1629</v>
      </c>
      <c r="F374" t="s">
        <v>1130</v>
      </c>
    </row>
    <row r="375" spans="1:6" hidden="1" x14ac:dyDescent="0.25">
      <c r="A375">
        <v>34.93</v>
      </c>
      <c r="B375">
        <v>2.2999999999999998</v>
      </c>
      <c r="C375">
        <v>1.5009999999999999</v>
      </c>
      <c r="D375">
        <v>3911993</v>
      </c>
      <c r="E375" t="s">
        <v>855</v>
      </c>
      <c r="F375" t="s">
        <v>1130</v>
      </c>
    </row>
    <row r="376" spans="1:6" hidden="1" x14ac:dyDescent="0.25">
      <c r="A376">
        <v>34.93</v>
      </c>
      <c r="B376">
        <v>2.5</v>
      </c>
      <c r="C376">
        <v>1.7210000000000001</v>
      </c>
      <c r="D376">
        <v>1940715</v>
      </c>
      <c r="E376" t="s">
        <v>674</v>
      </c>
      <c r="F376" t="s">
        <v>1130</v>
      </c>
    </row>
    <row r="377" spans="1:6" hidden="1" x14ac:dyDescent="0.25">
      <c r="A377">
        <v>34.93</v>
      </c>
      <c r="B377">
        <v>2.5</v>
      </c>
      <c r="C377">
        <v>1.7230000000000001</v>
      </c>
      <c r="D377">
        <v>1155164</v>
      </c>
      <c r="E377" t="s">
        <v>1630</v>
      </c>
      <c r="F377" t="s">
        <v>1130</v>
      </c>
    </row>
    <row r="378" spans="1:6" hidden="1" x14ac:dyDescent="0.25">
      <c r="A378">
        <v>34.93</v>
      </c>
      <c r="B378">
        <v>2.6</v>
      </c>
      <c r="C378">
        <v>1.7210000000000001</v>
      </c>
      <c r="D378">
        <v>1940718</v>
      </c>
      <c r="E378" t="s">
        <v>1631</v>
      </c>
      <c r="F378" t="s">
        <v>1130</v>
      </c>
    </row>
    <row r="379" spans="1:6" hidden="1" x14ac:dyDescent="0.25">
      <c r="A379">
        <v>36</v>
      </c>
      <c r="B379">
        <v>4</v>
      </c>
      <c r="C379">
        <v>1.41</v>
      </c>
      <c r="D379">
        <v>3547256</v>
      </c>
      <c r="E379" t="s">
        <v>1632</v>
      </c>
      <c r="F379" t="s">
        <v>1130</v>
      </c>
    </row>
    <row r="380" spans="1:6" hidden="1" x14ac:dyDescent="0.25">
      <c r="A380">
        <v>36</v>
      </c>
      <c r="B380">
        <v>4</v>
      </c>
      <c r="C380">
        <v>5.7</v>
      </c>
      <c r="D380">
        <v>3578410</v>
      </c>
      <c r="E380" t="s">
        <v>1633</v>
      </c>
      <c r="F380" t="s">
        <v>1130</v>
      </c>
    </row>
    <row r="381" spans="1:6" hidden="1" x14ac:dyDescent="0.25">
      <c r="A381">
        <v>37</v>
      </c>
      <c r="B381">
        <v>1</v>
      </c>
      <c r="C381">
        <v>6</v>
      </c>
      <c r="D381">
        <v>2386079</v>
      </c>
      <c r="E381" t="s">
        <v>1634</v>
      </c>
      <c r="F381" t="s">
        <v>1130</v>
      </c>
    </row>
    <row r="382" spans="1:6" hidden="1" x14ac:dyDescent="0.25">
      <c r="A382">
        <v>37.6</v>
      </c>
      <c r="B382">
        <v>3.2</v>
      </c>
      <c r="C382">
        <v>0.29499999999999998</v>
      </c>
      <c r="D382">
        <v>403039</v>
      </c>
      <c r="E382" t="s">
        <v>1635</v>
      </c>
      <c r="F382" t="s">
        <v>1130</v>
      </c>
    </row>
    <row r="383" spans="1:6" hidden="1" x14ac:dyDescent="0.25">
      <c r="A383">
        <v>37.9</v>
      </c>
      <c r="B383">
        <v>2.95</v>
      </c>
      <c r="C383">
        <v>0.94</v>
      </c>
      <c r="D383">
        <v>3731917</v>
      </c>
      <c r="E383" t="s">
        <v>1636</v>
      </c>
      <c r="F383" t="s">
        <v>1130</v>
      </c>
    </row>
    <row r="384" spans="1:6" hidden="1" x14ac:dyDescent="0.25">
      <c r="A384">
        <v>38</v>
      </c>
      <c r="B384">
        <v>3</v>
      </c>
      <c r="C384">
        <v>0.35799999999999998</v>
      </c>
      <c r="D384">
        <v>3557582</v>
      </c>
      <c r="E384" t="s">
        <v>1637</v>
      </c>
      <c r="F384" t="s">
        <v>1130</v>
      </c>
    </row>
    <row r="385" spans="1:6" hidden="1" x14ac:dyDescent="0.25">
      <c r="A385">
        <v>38.1</v>
      </c>
      <c r="B385">
        <v>1</v>
      </c>
      <c r="C385">
        <v>6</v>
      </c>
      <c r="D385">
        <v>3701607</v>
      </c>
      <c r="E385" t="s">
        <v>1638</v>
      </c>
      <c r="F385" t="s">
        <v>1130</v>
      </c>
    </row>
    <row r="386" spans="1:6" hidden="1" x14ac:dyDescent="0.25">
      <c r="A386">
        <v>38.1</v>
      </c>
      <c r="B386">
        <v>1.5</v>
      </c>
      <c r="C386">
        <v>6</v>
      </c>
      <c r="D386">
        <v>1931757</v>
      </c>
      <c r="E386" t="s">
        <v>1639</v>
      </c>
      <c r="F386" t="s">
        <v>1130</v>
      </c>
    </row>
    <row r="387" spans="1:6" hidden="1" x14ac:dyDescent="0.25">
      <c r="A387">
        <v>38.1</v>
      </c>
      <c r="B387">
        <v>1.6</v>
      </c>
      <c r="C387">
        <v>0.48799999999999999</v>
      </c>
      <c r="D387">
        <v>1940730</v>
      </c>
      <c r="E387" t="s">
        <v>1640</v>
      </c>
      <c r="F387" t="s">
        <v>1130</v>
      </c>
    </row>
    <row r="388" spans="1:6" hidden="1" x14ac:dyDescent="0.25">
      <c r="A388">
        <v>38.1</v>
      </c>
      <c r="B388">
        <v>1.6</v>
      </c>
      <c r="C388">
        <v>0.81200000000000006</v>
      </c>
      <c r="D388">
        <v>302897</v>
      </c>
      <c r="E388" t="s">
        <v>1641</v>
      </c>
      <c r="F388" t="s">
        <v>1130</v>
      </c>
    </row>
    <row r="389" spans="1:6" hidden="1" x14ac:dyDescent="0.25">
      <c r="A389">
        <v>38.1</v>
      </c>
      <c r="B389">
        <v>1.6</v>
      </c>
      <c r="C389">
        <v>0.81200000000000006</v>
      </c>
      <c r="D389">
        <v>1940731</v>
      </c>
      <c r="E389" t="s">
        <v>1642</v>
      </c>
      <c r="F389" t="s">
        <v>1130</v>
      </c>
    </row>
    <row r="390" spans="1:6" hidden="1" x14ac:dyDescent="0.25">
      <c r="A390">
        <v>38.1</v>
      </c>
      <c r="B390">
        <v>1.6</v>
      </c>
      <c r="C390">
        <v>0.875</v>
      </c>
      <c r="D390">
        <v>2436343</v>
      </c>
      <c r="E390" t="s">
        <v>1643</v>
      </c>
      <c r="F390" t="s">
        <v>1130</v>
      </c>
    </row>
    <row r="391" spans="1:6" hidden="1" x14ac:dyDescent="0.25">
      <c r="A391">
        <v>38.1</v>
      </c>
      <c r="B391">
        <v>1.6</v>
      </c>
      <c r="C391">
        <v>0.875</v>
      </c>
      <c r="D391">
        <v>3841884</v>
      </c>
      <c r="E391" t="s">
        <v>1643</v>
      </c>
      <c r="F391" t="s">
        <v>1130</v>
      </c>
    </row>
    <row r="392" spans="1:6" hidden="1" x14ac:dyDescent="0.25">
      <c r="A392">
        <v>38.1</v>
      </c>
      <c r="B392">
        <v>1.6</v>
      </c>
      <c r="C392">
        <v>0.878</v>
      </c>
      <c r="D392">
        <v>3768904</v>
      </c>
      <c r="E392" t="s">
        <v>1644</v>
      </c>
      <c r="F392" t="s">
        <v>1130</v>
      </c>
    </row>
    <row r="393" spans="1:6" hidden="1" x14ac:dyDescent="0.25">
      <c r="A393">
        <v>38.1</v>
      </c>
      <c r="B393">
        <v>1.6</v>
      </c>
      <c r="C393">
        <v>5.63</v>
      </c>
      <c r="D393">
        <v>3514376</v>
      </c>
      <c r="E393" t="s">
        <v>1645</v>
      </c>
      <c r="F393" t="s">
        <v>1130</v>
      </c>
    </row>
    <row r="394" spans="1:6" hidden="1" x14ac:dyDescent="0.25">
      <c r="A394">
        <v>38.1</v>
      </c>
      <c r="B394">
        <v>1.6</v>
      </c>
      <c r="C394">
        <v>6.19</v>
      </c>
      <c r="D394">
        <v>3502254</v>
      </c>
      <c r="E394" t="s">
        <v>858</v>
      </c>
      <c r="F394" t="s">
        <v>1130</v>
      </c>
    </row>
    <row r="395" spans="1:6" hidden="1" x14ac:dyDescent="0.25">
      <c r="A395">
        <v>38.1</v>
      </c>
      <c r="B395">
        <v>2</v>
      </c>
      <c r="C395">
        <v>0.27700000000000002</v>
      </c>
      <c r="D395">
        <v>3768902</v>
      </c>
      <c r="E395" t="s">
        <v>1646</v>
      </c>
      <c r="F395" t="s">
        <v>1130</v>
      </c>
    </row>
    <row r="396" spans="1:6" hidden="1" x14ac:dyDescent="0.25">
      <c r="A396">
        <v>38.1</v>
      </c>
      <c r="B396">
        <v>2</v>
      </c>
      <c r="C396">
        <v>0.41</v>
      </c>
      <c r="D396">
        <v>3508742</v>
      </c>
      <c r="E396" t="s">
        <v>861</v>
      </c>
      <c r="F396" t="s">
        <v>1130</v>
      </c>
    </row>
    <row r="397" spans="1:6" hidden="1" x14ac:dyDescent="0.25">
      <c r="A397">
        <v>38.1</v>
      </c>
      <c r="B397">
        <v>2</v>
      </c>
      <c r="C397">
        <v>0.42499999999999999</v>
      </c>
      <c r="D397">
        <v>444029</v>
      </c>
      <c r="E397" t="s">
        <v>1647</v>
      </c>
      <c r="F397" t="s">
        <v>1130</v>
      </c>
    </row>
    <row r="398" spans="1:6" hidden="1" x14ac:dyDescent="0.25">
      <c r="A398">
        <v>38.1</v>
      </c>
      <c r="B398">
        <v>2</v>
      </c>
      <c r="C398">
        <v>0.432</v>
      </c>
      <c r="D398">
        <v>1903849</v>
      </c>
      <c r="E398" t="s">
        <v>865</v>
      </c>
      <c r="F398" t="s">
        <v>1130</v>
      </c>
    </row>
    <row r="399" spans="1:6" hidden="1" x14ac:dyDescent="0.25">
      <c r="A399">
        <v>38.1</v>
      </c>
      <c r="B399">
        <v>2</v>
      </c>
      <c r="C399">
        <v>0.48799999999999999</v>
      </c>
      <c r="D399">
        <v>437159</v>
      </c>
      <c r="E399" t="s">
        <v>1648</v>
      </c>
      <c r="F399" t="s">
        <v>1130</v>
      </c>
    </row>
    <row r="400" spans="1:6" hidden="1" x14ac:dyDescent="0.25">
      <c r="A400">
        <v>38.1</v>
      </c>
      <c r="B400">
        <v>2</v>
      </c>
      <c r="C400">
        <v>0.48799999999999999</v>
      </c>
      <c r="D400">
        <v>1940739</v>
      </c>
      <c r="E400" t="s">
        <v>1649</v>
      </c>
      <c r="F400" t="s">
        <v>1130</v>
      </c>
    </row>
    <row r="401" spans="1:6" hidden="1" x14ac:dyDescent="0.25">
      <c r="A401">
        <v>38.1</v>
      </c>
      <c r="B401">
        <v>2</v>
      </c>
      <c r="C401">
        <v>0.49399999999999999</v>
      </c>
      <c r="D401">
        <v>3516769</v>
      </c>
      <c r="E401" t="s">
        <v>1650</v>
      </c>
      <c r="F401" t="s">
        <v>1130</v>
      </c>
    </row>
    <row r="402" spans="1:6" hidden="1" x14ac:dyDescent="0.25">
      <c r="A402">
        <v>38.1</v>
      </c>
      <c r="B402">
        <v>2</v>
      </c>
      <c r="C402">
        <v>0.81200000000000006</v>
      </c>
      <c r="D402">
        <v>1940743</v>
      </c>
      <c r="E402" t="s">
        <v>867</v>
      </c>
      <c r="F402" t="s">
        <v>1130</v>
      </c>
    </row>
    <row r="403" spans="1:6" hidden="1" x14ac:dyDescent="0.25">
      <c r="A403">
        <v>38.1</v>
      </c>
      <c r="B403">
        <v>2</v>
      </c>
      <c r="C403">
        <v>5.65</v>
      </c>
      <c r="D403">
        <v>3500959</v>
      </c>
      <c r="E403" t="s">
        <v>1651</v>
      </c>
      <c r="F403" t="s">
        <v>1130</v>
      </c>
    </row>
    <row r="404" spans="1:6" hidden="1" x14ac:dyDescent="0.25">
      <c r="A404">
        <v>38.1</v>
      </c>
      <c r="B404">
        <v>2</v>
      </c>
      <c r="C404">
        <v>5.85</v>
      </c>
      <c r="D404">
        <v>3533164</v>
      </c>
      <c r="E404" t="s">
        <v>1652</v>
      </c>
      <c r="F404" t="s">
        <v>1130</v>
      </c>
    </row>
    <row r="405" spans="1:6" hidden="1" x14ac:dyDescent="0.25">
      <c r="A405">
        <v>38.1</v>
      </c>
      <c r="B405">
        <v>2.0299999999999998</v>
      </c>
      <c r="C405">
        <v>0.81200000000000006</v>
      </c>
      <c r="D405">
        <v>257093</v>
      </c>
      <c r="E405" t="s">
        <v>1653</v>
      </c>
      <c r="F405" t="s">
        <v>1130</v>
      </c>
    </row>
    <row r="406" spans="1:6" hidden="1" x14ac:dyDescent="0.25">
      <c r="A406">
        <v>38.1</v>
      </c>
      <c r="B406">
        <v>2.5</v>
      </c>
      <c r="C406">
        <v>0.875</v>
      </c>
      <c r="D406">
        <v>3509424</v>
      </c>
      <c r="E406" t="s">
        <v>1654</v>
      </c>
      <c r="F406" t="s">
        <v>1130</v>
      </c>
    </row>
    <row r="407" spans="1:6" hidden="1" x14ac:dyDescent="0.25">
      <c r="A407">
        <v>38.1</v>
      </c>
      <c r="B407">
        <v>2.5</v>
      </c>
      <c r="C407">
        <v>0.878</v>
      </c>
      <c r="D407">
        <v>3788034</v>
      </c>
      <c r="E407" t="s">
        <v>1655</v>
      </c>
      <c r="F407" t="s">
        <v>1130</v>
      </c>
    </row>
    <row r="408" spans="1:6" hidden="1" x14ac:dyDescent="0.25">
      <c r="A408">
        <v>38.1</v>
      </c>
      <c r="B408">
        <v>3.2</v>
      </c>
      <c r="C408">
        <v>0.31900000000000001</v>
      </c>
      <c r="D408">
        <v>1939479</v>
      </c>
      <c r="E408" t="s">
        <v>1656</v>
      </c>
      <c r="F408" t="s">
        <v>1130</v>
      </c>
    </row>
    <row r="409" spans="1:6" hidden="1" x14ac:dyDescent="0.25">
      <c r="A409">
        <v>38.1</v>
      </c>
      <c r="B409">
        <v>3.66</v>
      </c>
      <c r="C409">
        <v>4.7350000000000003</v>
      </c>
      <c r="D409">
        <v>3500718</v>
      </c>
      <c r="E409" t="s">
        <v>1657</v>
      </c>
      <c r="F409" t="s">
        <v>1130</v>
      </c>
    </row>
    <row r="410" spans="1:6" hidden="1" x14ac:dyDescent="0.25">
      <c r="A410">
        <v>38.1</v>
      </c>
      <c r="B410">
        <v>3.66</v>
      </c>
      <c r="C410">
        <v>6.1</v>
      </c>
      <c r="D410">
        <v>3499236</v>
      </c>
      <c r="E410" t="s">
        <v>1658</v>
      </c>
      <c r="F410" t="s">
        <v>1130</v>
      </c>
    </row>
    <row r="411" spans="1:6" hidden="1" x14ac:dyDescent="0.25">
      <c r="A411">
        <v>39</v>
      </c>
      <c r="B411">
        <v>2.5</v>
      </c>
      <c r="C411">
        <v>0.27200000000000002</v>
      </c>
      <c r="D411">
        <v>1938125</v>
      </c>
      <c r="E411" t="s">
        <v>870</v>
      </c>
      <c r="F411" t="s">
        <v>1516</v>
      </c>
    </row>
    <row r="412" spans="1:6" hidden="1" x14ac:dyDescent="0.25">
      <c r="A412">
        <v>39.799999999999997</v>
      </c>
      <c r="B412">
        <v>5.8</v>
      </c>
      <c r="C412">
        <v>6.6</v>
      </c>
      <c r="D412">
        <v>3501038</v>
      </c>
      <c r="E412" t="s">
        <v>1659</v>
      </c>
      <c r="F412" t="s">
        <v>1130</v>
      </c>
    </row>
    <row r="413" spans="1:6" hidden="1" x14ac:dyDescent="0.25">
      <c r="A413">
        <v>40</v>
      </c>
      <c r="B413">
        <v>0.81</v>
      </c>
      <c r="C413">
        <v>6</v>
      </c>
      <c r="D413">
        <v>3702461</v>
      </c>
      <c r="E413" t="s">
        <v>1660</v>
      </c>
      <c r="F413" t="s">
        <v>1130</v>
      </c>
    </row>
    <row r="414" spans="1:6" hidden="1" x14ac:dyDescent="0.25">
      <c r="A414">
        <v>40</v>
      </c>
      <c r="B414">
        <v>1.1599999999999999</v>
      </c>
      <c r="C414">
        <v>6</v>
      </c>
      <c r="D414">
        <v>1932148</v>
      </c>
      <c r="E414" t="s">
        <v>1661</v>
      </c>
      <c r="F414" t="s">
        <v>1130</v>
      </c>
    </row>
    <row r="415" spans="1:6" hidden="1" x14ac:dyDescent="0.25">
      <c r="A415">
        <v>40</v>
      </c>
      <c r="B415">
        <v>1.2</v>
      </c>
      <c r="C415">
        <v>0.105</v>
      </c>
      <c r="D415">
        <v>3572046</v>
      </c>
      <c r="E415" t="s">
        <v>1662</v>
      </c>
      <c r="F415" t="s">
        <v>1130</v>
      </c>
    </row>
    <row r="416" spans="1:6" hidden="1" x14ac:dyDescent="0.25">
      <c r="A416">
        <v>40</v>
      </c>
      <c r="B416">
        <v>1.2</v>
      </c>
      <c r="C416">
        <v>0.11</v>
      </c>
      <c r="D416">
        <v>3572047</v>
      </c>
      <c r="E416" t="s">
        <v>492</v>
      </c>
      <c r="F416" t="s">
        <v>1130</v>
      </c>
    </row>
    <row r="417" spans="1:6" hidden="1" x14ac:dyDescent="0.25">
      <c r="A417">
        <v>40</v>
      </c>
      <c r="B417">
        <v>1.2</v>
      </c>
      <c r="C417">
        <v>0.113</v>
      </c>
      <c r="D417">
        <v>3584174</v>
      </c>
      <c r="E417" t="s">
        <v>1663</v>
      </c>
      <c r="F417" t="s">
        <v>1130</v>
      </c>
    </row>
    <row r="418" spans="1:6" hidden="1" x14ac:dyDescent="0.25">
      <c r="A418">
        <v>40</v>
      </c>
      <c r="B418">
        <v>1.2</v>
      </c>
      <c r="C418">
        <v>0.125</v>
      </c>
      <c r="D418">
        <v>1940849</v>
      </c>
      <c r="E418" t="s">
        <v>690</v>
      </c>
      <c r="F418" t="s">
        <v>1130</v>
      </c>
    </row>
    <row r="419" spans="1:6" hidden="1" x14ac:dyDescent="0.25">
      <c r="A419">
        <v>40</v>
      </c>
      <c r="B419">
        <v>1.2</v>
      </c>
      <c r="C419">
        <v>0.13</v>
      </c>
      <c r="D419">
        <v>3584171</v>
      </c>
      <c r="E419" t="s">
        <v>686</v>
      </c>
      <c r="F419" t="s">
        <v>1130</v>
      </c>
    </row>
    <row r="420" spans="1:6" hidden="1" x14ac:dyDescent="0.25">
      <c r="A420">
        <v>40</v>
      </c>
      <c r="B420">
        <v>1.2</v>
      </c>
      <c r="C420">
        <v>0.14000000000000001</v>
      </c>
      <c r="D420">
        <v>1940850</v>
      </c>
      <c r="E420" t="s">
        <v>688</v>
      </c>
      <c r="F420" t="s">
        <v>1130</v>
      </c>
    </row>
    <row r="421" spans="1:6" hidden="1" x14ac:dyDescent="0.25">
      <c r="A421">
        <v>40</v>
      </c>
      <c r="B421">
        <v>1.2</v>
      </c>
      <c r="C421">
        <v>0.14000000000000001</v>
      </c>
      <c r="D421">
        <v>3572048</v>
      </c>
      <c r="E421" t="s">
        <v>1664</v>
      </c>
      <c r="F421" t="s">
        <v>1130</v>
      </c>
    </row>
    <row r="422" spans="1:6" hidden="1" x14ac:dyDescent="0.25">
      <c r="A422">
        <v>40</v>
      </c>
      <c r="B422">
        <v>1.2</v>
      </c>
      <c r="C422">
        <v>0.158</v>
      </c>
      <c r="D422">
        <v>3572055</v>
      </c>
      <c r="E422" t="s">
        <v>542</v>
      </c>
      <c r="F422" t="s">
        <v>1130</v>
      </c>
    </row>
    <row r="423" spans="1:6" hidden="1" x14ac:dyDescent="0.25">
      <c r="A423">
        <v>40</v>
      </c>
      <c r="B423">
        <v>1.2</v>
      </c>
      <c r="C423">
        <v>0.65</v>
      </c>
      <c r="D423">
        <v>3572049</v>
      </c>
      <c r="E423" t="s">
        <v>1665</v>
      </c>
      <c r="F423" t="s">
        <v>1130</v>
      </c>
    </row>
    <row r="424" spans="1:6" hidden="1" x14ac:dyDescent="0.25">
      <c r="A424">
        <v>40</v>
      </c>
      <c r="B424">
        <v>1.2</v>
      </c>
      <c r="C424">
        <v>0.71</v>
      </c>
      <c r="D424">
        <v>3572050</v>
      </c>
      <c r="E424" t="s">
        <v>1666</v>
      </c>
      <c r="F424" t="s">
        <v>1130</v>
      </c>
    </row>
    <row r="425" spans="1:6" hidden="1" x14ac:dyDescent="0.25">
      <c r="A425">
        <v>40</v>
      </c>
      <c r="B425">
        <v>1.2</v>
      </c>
      <c r="C425">
        <v>0.86</v>
      </c>
      <c r="D425">
        <v>3572051</v>
      </c>
      <c r="E425" t="s">
        <v>484</v>
      </c>
      <c r="F425" t="s">
        <v>1130</v>
      </c>
    </row>
    <row r="426" spans="1:6" hidden="1" x14ac:dyDescent="0.25">
      <c r="A426">
        <v>40</v>
      </c>
      <c r="B426">
        <v>1.2</v>
      </c>
      <c r="C426">
        <v>0.89</v>
      </c>
      <c r="D426">
        <v>3572052</v>
      </c>
      <c r="E426" t="s">
        <v>1667</v>
      </c>
      <c r="F426" t="s">
        <v>1130</v>
      </c>
    </row>
    <row r="427" spans="1:6" hidden="1" x14ac:dyDescent="0.25">
      <c r="A427">
        <v>40</v>
      </c>
      <c r="B427">
        <v>1.2</v>
      </c>
      <c r="C427">
        <v>0.93</v>
      </c>
      <c r="D427">
        <v>3572053</v>
      </c>
      <c r="E427" t="s">
        <v>1668</v>
      </c>
      <c r="F427" t="s">
        <v>1130</v>
      </c>
    </row>
    <row r="428" spans="1:6" hidden="1" x14ac:dyDescent="0.25">
      <c r="A428">
        <v>40</v>
      </c>
      <c r="B428">
        <v>1.2</v>
      </c>
      <c r="C428">
        <v>1.06</v>
      </c>
      <c r="D428">
        <v>3572054</v>
      </c>
      <c r="E428" t="s">
        <v>1669</v>
      </c>
      <c r="F428" t="s">
        <v>1130</v>
      </c>
    </row>
    <row r="429" spans="1:6" hidden="1" x14ac:dyDescent="0.25">
      <c r="A429">
        <v>40</v>
      </c>
      <c r="B429">
        <v>1.2</v>
      </c>
      <c r="C429">
        <v>1.1200000000000001</v>
      </c>
      <c r="D429">
        <v>3230465</v>
      </c>
      <c r="E429" t="s">
        <v>1670</v>
      </c>
      <c r="F429" t="s">
        <v>1130</v>
      </c>
    </row>
    <row r="430" spans="1:6" hidden="1" x14ac:dyDescent="0.25">
      <c r="A430">
        <v>40</v>
      </c>
      <c r="B430">
        <v>1.2</v>
      </c>
      <c r="C430">
        <v>1.246</v>
      </c>
      <c r="D430">
        <v>3230470</v>
      </c>
      <c r="E430" t="s">
        <v>1671</v>
      </c>
      <c r="F430" t="s">
        <v>1130</v>
      </c>
    </row>
    <row r="431" spans="1:6" hidden="1" x14ac:dyDescent="0.25">
      <c r="A431">
        <v>40</v>
      </c>
      <c r="B431">
        <v>1.2</v>
      </c>
      <c r="C431">
        <v>6</v>
      </c>
      <c r="D431">
        <v>1940852</v>
      </c>
      <c r="E431" t="s">
        <v>446</v>
      </c>
      <c r="F431" t="s">
        <v>1130</v>
      </c>
    </row>
    <row r="432" spans="1:6" hidden="1" x14ac:dyDescent="0.25">
      <c r="A432">
        <v>40</v>
      </c>
      <c r="B432">
        <v>1.21</v>
      </c>
      <c r="C432">
        <v>0.12</v>
      </c>
      <c r="D432">
        <v>3233559</v>
      </c>
      <c r="E432" t="s">
        <v>490</v>
      </c>
      <c r="F432" t="s">
        <v>1130</v>
      </c>
    </row>
    <row r="433" spans="1:6" hidden="1" x14ac:dyDescent="0.25">
      <c r="A433">
        <v>40</v>
      </c>
      <c r="B433">
        <v>1.21</v>
      </c>
      <c r="C433">
        <v>0.8</v>
      </c>
      <c r="D433">
        <v>3233557</v>
      </c>
      <c r="E433" t="s">
        <v>610</v>
      </c>
      <c r="F433" t="s">
        <v>1130</v>
      </c>
    </row>
    <row r="434" spans="1:6" hidden="1" x14ac:dyDescent="0.25">
      <c r="A434">
        <v>40</v>
      </c>
      <c r="B434">
        <v>1.21</v>
      </c>
      <c r="C434">
        <v>0.94</v>
      </c>
      <c r="D434">
        <v>3233556</v>
      </c>
      <c r="E434" t="s">
        <v>1672</v>
      </c>
      <c r="F434" t="s">
        <v>1130</v>
      </c>
    </row>
    <row r="435" spans="1:6" hidden="1" x14ac:dyDescent="0.25">
      <c r="A435">
        <v>40</v>
      </c>
      <c r="B435">
        <v>1.21</v>
      </c>
      <c r="C435">
        <v>1.1200000000000001</v>
      </c>
      <c r="D435">
        <v>3233555</v>
      </c>
      <c r="E435" t="s">
        <v>482</v>
      </c>
      <c r="F435" t="s">
        <v>1130</v>
      </c>
    </row>
    <row r="436" spans="1:6" hidden="1" x14ac:dyDescent="0.25">
      <c r="A436">
        <v>40</v>
      </c>
      <c r="B436">
        <v>1.21</v>
      </c>
      <c r="C436">
        <v>1.246</v>
      </c>
      <c r="D436">
        <v>3233554</v>
      </c>
      <c r="E436" t="s">
        <v>480</v>
      </c>
      <c r="F436" t="s">
        <v>1130</v>
      </c>
    </row>
    <row r="437" spans="1:6" hidden="1" x14ac:dyDescent="0.25">
      <c r="A437">
        <v>40</v>
      </c>
      <c r="B437">
        <v>1.21</v>
      </c>
      <c r="C437">
        <v>1.298</v>
      </c>
      <c r="D437">
        <v>3233553</v>
      </c>
      <c r="E437" t="s">
        <v>1673</v>
      </c>
      <c r="F437" t="s">
        <v>1130</v>
      </c>
    </row>
    <row r="438" spans="1:6" hidden="1" x14ac:dyDescent="0.25">
      <c r="A438">
        <v>40</v>
      </c>
      <c r="B438">
        <v>1.21</v>
      </c>
      <c r="C438">
        <v>1.31</v>
      </c>
      <c r="D438">
        <v>1940801</v>
      </c>
      <c r="E438" t="s">
        <v>478</v>
      </c>
      <c r="F438" t="s">
        <v>1130</v>
      </c>
    </row>
    <row r="439" spans="1:6" hidden="1" x14ac:dyDescent="0.25">
      <c r="A439">
        <v>40</v>
      </c>
      <c r="B439">
        <v>1.21</v>
      </c>
      <c r="C439">
        <v>6</v>
      </c>
      <c r="D439">
        <v>1940807</v>
      </c>
      <c r="E439" t="s">
        <v>1674</v>
      </c>
      <c r="F439" t="s">
        <v>1130</v>
      </c>
    </row>
    <row r="440" spans="1:6" hidden="1" x14ac:dyDescent="0.25">
      <c r="A440">
        <v>40</v>
      </c>
      <c r="B440">
        <v>1.51</v>
      </c>
      <c r="C440">
        <v>6</v>
      </c>
      <c r="D440">
        <v>1931893</v>
      </c>
      <c r="E440" t="s">
        <v>1675</v>
      </c>
      <c r="F440" t="s">
        <v>1130</v>
      </c>
    </row>
    <row r="441" spans="1:6" hidden="1" x14ac:dyDescent="0.25">
      <c r="A441">
        <v>40</v>
      </c>
      <c r="B441">
        <v>1.6</v>
      </c>
      <c r="C441">
        <v>0.318</v>
      </c>
      <c r="D441">
        <v>2440971</v>
      </c>
      <c r="E441" t="s">
        <v>1676</v>
      </c>
      <c r="F441" t="s">
        <v>1130</v>
      </c>
    </row>
    <row r="442" spans="1:6" hidden="1" x14ac:dyDescent="0.25">
      <c r="A442">
        <v>40</v>
      </c>
      <c r="B442">
        <v>1.6</v>
      </c>
      <c r="C442">
        <v>0.32200000000000001</v>
      </c>
      <c r="D442">
        <v>3768905</v>
      </c>
      <c r="E442" t="s">
        <v>1677</v>
      </c>
      <c r="F442" t="s">
        <v>1130</v>
      </c>
    </row>
    <row r="443" spans="1:6" hidden="1" x14ac:dyDescent="0.25">
      <c r="A443">
        <v>40</v>
      </c>
      <c r="B443">
        <v>1.6</v>
      </c>
      <c r="C443">
        <v>0.4</v>
      </c>
      <c r="D443">
        <v>1941860</v>
      </c>
      <c r="E443" t="s">
        <v>1678</v>
      </c>
      <c r="F443" t="s">
        <v>1130</v>
      </c>
    </row>
    <row r="444" spans="1:6" hidden="1" x14ac:dyDescent="0.25">
      <c r="A444">
        <v>40</v>
      </c>
      <c r="B444">
        <v>1.6</v>
      </c>
      <c r="C444">
        <v>0.48</v>
      </c>
      <c r="D444">
        <v>1940815</v>
      </c>
      <c r="E444" t="s">
        <v>790</v>
      </c>
      <c r="F444" t="s">
        <v>1130</v>
      </c>
    </row>
    <row r="445" spans="1:6" hidden="1" x14ac:dyDescent="0.25">
      <c r="A445">
        <v>40</v>
      </c>
      <c r="B445">
        <v>1.6</v>
      </c>
      <c r="C445">
        <v>0.51300000000000001</v>
      </c>
      <c r="D445">
        <v>1940821</v>
      </c>
      <c r="E445" t="s">
        <v>571</v>
      </c>
      <c r="F445" t="s">
        <v>1130</v>
      </c>
    </row>
    <row r="446" spans="1:6" hidden="1" x14ac:dyDescent="0.25">
      <c r="A446">
        <v>40</v>
      </c>
      <c r="B446">
        <v>1.6</v>
      </c>
      <c r="C446">
        <v>0.53600000000000003</v>
      </c>
      <c r="D446">
        <v>1940822</v>
      </c>
      <c r="E446" t="s">
        <v>574</v>
      </c>
      <c r="F446" t="s">
        <v>1130</v>
      </c>
    </row>
    <row r="447" spans="1:6" hidden="1" x14ac:dyDescent="0.25">
      <c r="A447">
        <v>40</v>
      </c>
      <c r="B447">
        <v>1.6</v>
      </c>
      <c r="C447">
        <v>0.54600000000000004</v>
      </c>
      <c r="D447">
        <v>1940817</v>
      </c>
      <c r="E447" t="s">
        <v>1679</v>
      </c>
      <c r="F447" t="s">
        <v>1130</v>
      </c>
    </row>
    <row r="448" spans="1:6" hidden="1" x14ac:dyDescent="0.25">
      <c r="A448">
        <v>40</v>
      </c>
      <c r="B448">
        <v>1.6</v>
      </c>
      <c r="C448">
        <v>0.56000000000000005</v>
      </c>
      <c r="D448">
        <v>1940823</v>
      </c>
      <c r="E448" t="s">
        <v>576</v>
      </c>
      <c r="F448" t="s">
        <v>1130</v>
      </c>
    </row>
    <row r="449" spans="1:6" hidden="1" x14ac:dyDescent="0.25">
      <c r="A449">
        <v>40</v>
      </c>
      <c r="B449">
        <v>1.6</v>
      </c>
      <c r="C449">
        <v>0.56100000000000005</v>
      </c>
      <c r="D449">
        <v>3801265</v>
      </c>
      <c r="E449" t="s">
        <v>889</v>
      </c>
      <c r="F449" t="s">
        <v>1130</v>
      </c>
    </row>
    <row r="450" spans="1:6" hidden="1" x14ac:dyDescent="0.25">
      <c r="A450">
        <v>40</v>
      </c>
      <c r="B450">
        <v>1.6</v>
      </c>
      <c r="C450">
        <v>0.58499999999999996</v>
      </c>
      <c r="D450">
        <v>1940825</v>
      </c>
      <c r="E450" t="s">
        <v>788</v>
      </c>
      <c r="F450" t="s">
        <v>1130</v>
      </c>
    </row>
    <row r="451" spans="1:6" hidden="1" x14ac:dyDescent="0.25">
      <c r="A451">
        <v>40</v>
      </c>
      <c r="B451">
        <v>1.6</v>
      </c>
      <c r="C451">
        <v>0.58699999999999997</v>
      </c>
      <c r="D451">
        <v>3786202</v>
      </c>
      <c r="E451" t="s">
        <v>435</v>
      </c>
      <c r="F451" t="s">
        <v>1130</v>
      </c>
    </row>
    <row r="452" spans="1:6" hidden="1" x14ac:dyDescent="0.25">
      <c r="A452">
        <v>40</v>
      </c>
      <c r="B452">
        <v>1.6</v>
      </c>
      <c r="C452">
        <v>0.83499999999999996</v>
      </c>
      <c r="D452">
        <v>3712521</v>
      </c>
      <c r="E452" t="s">
        <v>631</v>
      </c>
      <c r="F452" t="s">
        <v>1130</v>
      </c>
    </row>
    <row r="453" spans="1:6" hidden="1" x14ac:dyDescent="0.25">
      <c r="A453">
        <v>40</v>
      </c>
      <c r="B453">
        <v>1.6</v>
      </c>
      <c r="C453">
        <v>0.86</v>
      </c>
      <c r="D453">
        <v>1940830</v>
      </c>
      <c r="E453" t="s">
        <v>587</v>
      </c>
      <c r="F453" t="s">
        <v>1130</v>
      </c>
    </row>
    <row r="454" spans="1:6" hidden="1" x14ac:dyDescent="0.25">
      <c r="A454">
        <v>40</v>
      </c>
      <c r="B454">
        <v>1.6</v>
      </c>
      <c r="C454">
        <v>5.93</v>
      </c>
      <c r="D454">
        <v>3925391</v>
      </c>
      <c r="E454" t="s">
        <v>1680</v>
      </c>
      <c r="F454" t="s">
        <v>1130</v>
      </c>
    </row>
    <row r="455" spans="1:6" hidden="1" x14ac:dyDescent="0.25">
      <c r="A455">
        <v>40</v>
      </c>
      <c r="B455">
        <v>1.6</v>
      </c>
      <c r="C455">
        <v>6</v>
      </c>
      <c r="D455">
        <v>3441727</v>
      </c>
      <c r="E455" t="s">
        <v>1681</v>
      </c>
      <c r="F455" t="s">
        <v>1130</v>
      </c>
    </row>
    <row r="456" spans="1:6" hidden="1" x14ac:dyDescent="0.25">
      <c r="A456">
        <v>40</v>
      </c>
      <c r="B456">
        <v>1.6</v>
      </c>
      <c r="C456">
        <v>6.05</v>
      </c>
      <c r="D456">
        <v>3702497</v>
      </c>
      <c r="E456" t="s">
        <v>1682</v>
      </c>
      <c r="F456" t="s">
        <v>1130</v>
      </c>
    </row>
    <row r="457" spans="1:6" hidden="1" x14ac:dyDescent="0.25">
      <c r="A457">
        <v>40</v>
      </c>
      <c r="B457">
        <v>1.6</v>
      </c>
      <c r="C457">
        <v>6.1</v>
      </c>
      <c r="D457">
        <v>1940832</v>
      </c>
      <c r="E457" t="s">
        <v>1683</v>
      </c>
      <c r="F457" t="s">
        <v>1130</v>
      </c>
    </row>
    <row r="458" spans="1:6" hidden="1" x14ac:dyDescent="0.25">
      <c r="A458">
        <v>40</v>
      </c>
      <c r="B458">
        <v>2</v>
      </c>
      <c r="C458">
        <v>0.87</v>
      </c>
      <c r="D458">
        <v>1940837</v>
      </c>
      <c r="E458" t="s">
        <v>593</v>
      </c>
      <c r="F458" t="s">
        <v>1130</v>
      </c>
    </row>
    <row r="459" spans="1:6" hidden="1" x14ac:dyDescent="0.25">
      <c r="A459">
        <v>40</v>
      </c>
      <c r="B459">
        <v>2</v>
      </c>
      <c r="C459">
        <v>6</v>
      </c>
      <c r="D459">
        <v>1940840</v>
      </c>
      <c r="E459" t="s">
        <v>1684</v>
      </c>
      <c r="F459" t="s">
        <v>1130</v>
      </c>
    </row>
    <row r="460" spans="1:6" hidden="1" x14ac:dyDescent="0.25">
      <c r="A460">
        <v>40</v>
      </c>
      <c r="B460">
        <v>2</v>
      </c>
      <c r="C460">
        <v>6.1749999999999998</v>
      </c>
      <c r="D460">
        <v>3474555</v>
      </c>
      <c r="E460" t="s">
        <v>1685</v>
      </c>
      <c r="F460" t="s">
        <v>1130</v>
      </c>
    </row>
    <row r="461" spans="1:6" hidden="1" x14ac:dyDescent="0.25">
      <c r="A461">
        <v>41.28</v>
      </c>
      <c r="B461">
        <v>2.41</v>
      </c>
      <c r="C461">
        <v>0.20399999999999999</v>
      </c>
      <c r="D461">
        <v>3557583</v>
      </c>
      <c r="E461" t="s">
        <v>1686</v>
      </c>
      <c r="F461" t="s">
        <v>1516</v>
      </c>
    </row>
    <row r="462" spans="1:6" hidden="1" x14ac:dyDescent="0.25">
      <c r="A462">
        <v>41.28</v>
      </c>
      <c r="B462">
        <v>2.6</v>
      </c>
      <c r="C462">
        <v>0.84799999999999998</v>
      </c>
      <c r="D462">
        <v>3509641</v>
      </c>
      <c r="E462" t="s">
        <v>1687</v>
      </c>
      <c r="F462" t="s">
        <v>1130</v>
      </c>
    </row>
    <row r="463" spans="1:6" hidden="1" x14ac:dyDescent="0.25">
      <c r="A463">
        <v>41.28</v>
      </c>
      <c r="B463">
        <v>2.6</v>
      </c>
      <c r="C463">
        <v>0.85</v>
      </c>
      <c r="D463">
        <v>3910648</v>
      </c>
      <c r="E463" t="s">
        <v>887</v>
      </c>
      <c r="F463" t="s">
        <v>1130</v>
      </c>
    </row>
    <row r="464" spans="1:6" hidden="1" x14ac:dyDescent="0.25">
      <c r="A464">
        <v>41.28</v>
      </c>
      <c r="B464">
        <v>2.6</v>
      </c>
      <c r="C464">
        <v>6.08</v>
      </c>
      <c r="D464">
        <v>3502252</v>
      </c>
      <c r="E464" t="s">
        <v>1688</v>
      </c>
      <c r="F464" t="s">
        <v>1130</v>
      </c>
    </row>
    <row r="465" spans="1:6" hidden="1" x14ac:dyDescent="0.25">
      <c r="A465">
        <v>41.28</v>
      </c>
      <c r="B465">
        <v>3.15</v>
      </c>
      <c r="C465">
        <v>0.29099999999999998</v>
      </c>
      <c r="D465">
        <v>1940857</v>
      </c>
      <c r="E465" t="s">
        <v>1689</v>
      </c>
      <c r="F465" t="s">
        <v>1516</v>
      </c>
    </row>
    <row r="466" spans="1:6" hidden="1" x14ac:dyDescent="0.25">
      <c r="A466">
        <v>41.28</v>
      </c>
      <c r="B466">
        <v>3.2</v>
      </c>
      <c r="C466">
        <v>0.246</v>
      </c>
      <c r="D466">
        <v>3768907</v>
      </c>
      <c r="E466" t="s">
        <v>655</v>
      </c>
      <c r="F466" t="s">
        <v>1516</v>
      </c>
    </row>
    <row r="467" spans="1:6" hidden="1" x14ac:dyDescent="0.25">
      <c r="A467">
        <v>42.7</v>
      </c>
      <c r="B467">
        <v>1.6</v>
      </c>
      <c r="C467">
        <v>0.41599999999999998</v>
      </c>
      <c r="D467">
        <v>3731691</v>
      </c>
      <c r="E467" t="s">
        <v>1690</v>
      </c>
      <c r="F467" t="s">
        <v>1130</v>
      </c>
    </row>
    <row r="468" spans="1:6" hidden="1" x14ac:dyDescent="0.25">
      <c r="A468">
        <v>42.7</v>
      </c>
      <c r="B468">
        <v>1.6</v>
      </c>
      <c r="C468">
        <v>0.41699999999999998</v>
      </c>
      <c r="D468">
        <v>3531649</v>
      </c>
      <c r="E468" t="s">
        <v>1691</v>
      </c>
      <c r="F468" t="s">
        <v>1130</v>
      </c>
    </row>
    <row r="469" spans="1:6" hidden="1" x14ac:dyDescent="0.25">
      <c r="A469">
        <v>42.7</v>
      </c>
      <c r="B469">
        <v>3.5</v>
      </c>
      <c r="C469">
        <v>0.20799999999999999</v>
      </c>
      <c r="D469">
        <v>3722021</v>
      </c>
      <c r="E469" t="s">
        <v>884</v>
      </c>
      <c r="F469" t="s">
        <v>1516</v>
      </c>
    </row>
    <row r="470" spans="1:6" hidden="1" x14ac:dyDescent="0.25">
      <c r="A470">
        <v>42.7</v>
      </c>
      <c r="B470">
        <v>3.5</v>
      </c>
      <c r="C470">
        <v>0.21</v>
      </c>
      <c r="D470">
        <v>1310731</v>
      </c>
      <c r="E470" t="s">
        <v>1692</v>
      </c>
      <c r="F470" t="s">
        <v>1516</v>
      </c>
    </row>
    <row r="471" spans="1:6" hidden="1" x14ac:dyDescent="0.25">
      <c r="A471">
        <v>42.7</v>
      </c>
      <c r="B471">
        <v>3.5</v>
      </c>
      <c r="C471">
        <v>0.21</v>
      </c>
      <c r="D471">
        <v>2417648</v>
      </c>
      <c r="E471" t="s">
        <v>876</v>
      </c>
      <c r="F471" t="s">
        <v>1516</v>
      </c>
    </row>
    <row r="472" spans="1:6" hidden="1" x14ac:dyDescent="0.25">
      <c r="A472">
        <v>42.7</v>
      </c>
      <c r="B472">
        <v>3.5</v>
      </c>
      <c r="C472">
        <v>0.247</v>
      </c>
      <c r="D472">
        <v>3433148</v>
      </c>
      <c r="E472" t="s">
        <v>1693</v>
      </c>
      <c r="F472" t="s">
        <v>1516</v>
      </c>
    </row>
    <row r="473" spans="1:6" hidden="1" x14ac:dyDescent="0.25">
      <c r="A473">
        <v>42.7</v>
      </c>
      <c r="B473">
        <v>3.5</v>
      </c>
      <c r="C473">
        <v>6</v>
      </c>
      <c r="D473">
        <v>3500650</v>
      </c>
      <c r="E473" t="s">
        <v>1694</v>
      </c>
      <c r="F473" t="s">
        <v>1516</v>
      </c>
    </row>
    <row r="474" spans="1:6" hidden="1" x14ac:dyDescent="0.25">
      <c r="A474">
        <v>42.7</v>
      </c>
      <c r="B474">
        <v>4</v>
      </c>
      <c r="C474">
        <v>0.215</v>
      </c>
      <c r="D474">
        <v>3901714</v>
      </c>
      <c r="E474" t="s">
        <v>902</v>
      </c>
      <c r="F474" t="s">
        <v>1516</v>
      </c>
    </row>
    <row r="475" spans="1:6" hidden="1" x14ac:dyDescent="0.25">
      <c r="A475">
        <v>42.7</v>
      </c>
      <c r="B475">
        <v>4</v>
      </c>
      <c r="C475">
        <v>0.23499999999999999</v>
      </c>
      <c r="D475">
        <v>2428441</v>
      </c>
      <c r="E475" t="s">
        <v>1695</v>
      </c>
      <c r="F475" t="s">
        <v>1516</v>
      </c>
    </row>
    <row r="476" spans="1:6" hidden="1" x14ac:dyDescent="0.25">
      <c r="A476">
        <v>42.7</v>
      </c>
      <c r="B476">
        <v>4</v>
      </c>
      <c r="C476">
        <v>0.28999999999999998</v>
      </c>
      <c r="D476">
        <v>3499121</v>
      </c>
      <c r="E476" t="s">
        <v>1696</v>
      </c>
      <c r="F476" t="s">
        <v>1516</v>
      </c>
    </row>
    <row r="477" spans="1:6" hidden="1" x14ac:dyDescent="0.25">
      <c r="A477">
        <v>42.7</v>
      </c>
      <c r="B477">
        <v>4</v>
      </c>
      <c r="C477">
        <v>0.34399999999999997</v>
      </c>
      <c r="D477">
        <v>3690017</v>
      </c>
      <c r="E477" t="s">
        <v>1697</v>
      </c>
      <c r="F477" t="s">
        <v>1516</v>
      </c>
    </row>
    <row r="478" spans="1:6" hidden="1" x14ac:dyDescent="0.25">
      <c r="A478">
        <v>45</v>
      </c>
      <c r="B478">
        <v>1.4</v>
      </c>
      <c r="C478">
        <v>1.054</v>
      </c>
      <c r="D478">
        <v>3605736</v>
      </c>
      <c r="E478" t="s">
        <v>1698</v>
      </c>
      <c r="F478" t="s">
        <v>1130</v>
      </c>
    </row>
    <row r="479" spans="1:6" hidden="1" x14ac:dyDescent="0.25">
      <c r="A479">
        <v>45</v>
      </c>
      <c r="B479">
        <v>1.6</v>
      </c>
      <c r="C479">
        <v>1.054</v>
      </c>
      <c r="D479">
        <v>3605737</v>
      </c>
      <c r="E479" t="s">
        <v>1699</v>
      </c>
      <c r="F479" t="s">
        <v>1130</v>
      </c>
    </row>
    <row r="480" spans="1:6" hidden="1" x14ac:dyDescent="0.25">
      <c r="A480">
        <v>47.63</v>
      </c>
      <c r="B480">
        <v>4</v>
      </c>
      <c r="C480">
        <v>0.21199999999999999</v>
      </c>
      <c r="D480">
        <v>1938350</v>
      </c>
      <c r="E480" t="s">
        <v>1700</v>
      </c>
      <c r="F480" t="s">
        <v>1516</v>
      </c>
    </row>
    <row r="481" spans="1:6" hidden="1" x14ac:dyDescent="0.25">
      <c r="A481">
        <v>47.63</v>
      </c>
      <c r="B481">
        <v>4</v>
      </c>
      <c r="C481">
        <v>0.215</v>
      </c>
      <c r="D481">
        <v>3614493</v>
      </c>
      <c r="E481" t="s">
        <v>1701</v>
      </c>
      <c r="F481" t="s">
        <v>1516</v>
      </c>
    </row>
    <row r="482" spans="1:6" hidden="1" x14ac:dyDescent="0.25">
      <c r="A482">
        <v>48</v>
      </c>
      <c r="B482">
        <v>1.2</v>
      </c>
      <c r="C482">
        <v>0.18</v>
      </c>
      <c r="D482">
        <v>2437217</v>
      </c>
      <c r="E482" t="s">
        <v>1702</v>
      </c>
      <c r="F482" t="s">
        <v>1130</v>
      </c>
    </row>
    <row r="483" spans="1:6" hidden="1" x14ac:dyDescent="0.25">
      <c r="A483">
        <v>48</v>
      </c>
      <c r="B483">
        <v>1.2</v>
      </c>
      <c r="C483">
        <v>0.62</v>
      </c>
      <c r="D483">
        <v>2397072</v>
      </c>
      <c r="E483" t="s">
        <v>1703</v>
      </c>
      <c r="F483" t="s">
        <v>1130</v>
      </c>
    </row>
    <row r="484" spans="1:6" hidden="1" x14ac:dyDescent="0.25">
      <c r="A484">
        <v>48</v>
      </c>
      <c r="B484">
        <v>1.2</v>
      </c>
      <c r="C484">
        <v>0.65</v>
      </c>
      <c r="D484">
        <v>2397060</v>
      </c>
      <c r="E484" t="s">
        <v>1704</v>
      </c>
      <c r="F484" t="s">
        <v>1130</v>
      </c>
    </row>
    <row r="485" spans="1:6" hidden="1" x14ac:dyDescent="0.25">
      <c r="A485">
        <v>48</v>
      </c>
      <c r="B485">
        <v>1.2</v>
      </c>
      <c r="C485">
        <v>0.66</v>
      </c>
      <c r="D485">
        <v>3460498</v>
      </c>
      <c r="E485" t="s">
        <v>1705</v>
      </c>
      <c r="F485" t="s">
        <v>1130</v>
      </c>
    </row>
    <row r="486" spans="1:6" hidden="1" x14ac:dyDescent="0.25">
      <c r="A486">
        <v>48</v>
      </c>
      <c r="B486">
        <v>1.2</v>
      </c>
      <c r="C486">
        <v>5.01</v>
      </c>
      <c r="D486">
        <v>2397327</v>
      </c>
      <c r="E486" t="s">
        <v>1706</v>
      </c>
      <c r="F486" t="s">
        <v>1130</v>
      </c>
    </row>
    <row r="487" spans="1:6" hidden="1" x14ac:dyDescent="0.25">
      <c r="A487">
        <v>48</v>
      </c>
      <c r="B487">
        <v>1.6</v>
      </c>
      <c r="C487">
        <v>0.4</v>
      </c>
      <c r="D487">
        <v>3863798</v>
      </c>
      <c r="E487" t="s">
        <v>1707</v>
      </c>
      <c r="F487" t="s">
        <v>1130</v>
      </c>
    </row>
    <row r="488" spans="1:6" hidden="1" x14ac:dyDescent="0.25">
      <c r="A488">
        <v>48</v>
      </c>
      <c r="B488">
        <v>1.6</v>
      </c>
      <c r="C488">
        <v>0.41499999999999998</v>
      </c>
      <c r="D488">
        <v>2397071</v>
      </c>
      <c r="E488" t="s">
        <v>1708</v>
      </c>
      <c r="F488" t="s">
        <v>1130</v>
      </c>
    </row>
    <row r="489" spans="1:6" hidden="1" x14ac:dyDescent="0.25">
      <c r="A489">
        <v>48</v>
      </c>
      <c r="B489">
        <v>1.6</v>
      </c>
      <c r="C489">
        <v>0.46500000000000002</v>
      </c>
      <c r="D489">
        <v>2397070</v>
      </c>
      <c r="E489" t="s">
        <v>1709</v>
      </c>
      <c r="F489" t="s">
        <v>1130</v>
      </c>
    </row>
    <row r="490" spans="1:6" hidden="1" x14ac:dyDescent="0.25">
      <c r="A490">
        <v>48</v>
      </c>
      <c r="B490">
        <v>1.6</v>
      </c>
      <c r="C490">
        <v>0.57999999999999996</v>
      </c>
      <c r="D490">
        <v>3863796</v>
      </c>
      <c r="E490" t="s">
        <v>1710</v>
      </c>
      <c r="F490" t="s">
        <v>1130</v>
      </c>
    </row>
    <row r="491" spans="1:6" hidden="1" x14ac:dyDescent="0.25">
      <c r="A491">
        <v>48</v>
      </c>
      <c r="B491">
        <v>1.6</v>
      </c>
      <c r="C491">
        <v>0.6</v>
      </c>
      <c r="D491">
        <v>2397069</v>
      </c>
      <c r="E491" t="s">
        <v>1711</v>
      </c>
      <c r="F491" t="s">
        <v>1130</v>
      </c>
    </row>
    <row r="492" spans="1:6" hidden="1" x14ac:dyDescent="0.25">
      <c r="A492">
        <v>48</v>
      </c>
      <c r="B492">
        <v>1.6</v>
      </c>
      <c r="C492">
        <v>0.65</v>
      </c>
      <c r="D492">
        <v>2397068</v>
      </c>
      <c r="E492" t="s">
        <v>1712</v>
      </c>
      <c r="F492" t="s">
        <v>1130</v>
      </c>
    </row>
    <row r="493" spans="1:6" hidden="1" x14ac:dyDescent="0.25">
      <c r="A493">
        <v>48.6</v>
      </c>
      <c r="B493">
        <v>1.2</v>
      </c>
      <c r="C493">
        <v>0.33600000000000002</v>
      </c>
      <c r="D493">
        <v>2325421</v>
      </c>
      <c r="E493" t="s">
        <v>795</v>
      </c>
      <c r="F493" t="s">
        <v>1130</v>
      </c>
    </row>
    <row r="494" spans="1:6" hidden="1" x14ac:dyDescent="0.25">
      <c r="A494">
        <v>48.6</v>
      </c>
      <c r="B494">
        <v>2</v>
      </c>
      <c r="C494">
        <v>0.31</v>
      </c>
      <c r="D494">
        <v>2244440</v>
      </c>
      <c r="E494" t="s">
        <v>1713</v>
      </c>
      <c r="F494" t="s">
        <v>1130</v>
      </c>
    </row>
    <row r="495" spans="1:6" hidden="1" x14ac:dyDescent="0.25">
      <c r="A495">
        <v>48.6</v>
      </c>
      <c r="B495">
        <v>2.2999999999999998</v>
      </c>
      <c r="C495">
        <v>0.31</v>
      </c>
      <c r="D495">
        <v>2244441</v>
      </c>
      <c r="E495" t="s">
        <v>1714</v>
      </c>
      <c r="F495" t="s">
        <v>1130</v>
      </c>
    </row>
    <row r="496" spans="1:6" hidden="1" x14ac:dyDescent="0.25">
      <c r="A496">
        <v>48.6</v>
      </c>
      <c r="B496">
        <v>3.4</v>
      </c>
      <c r="C496">
        <v>0.184</v>
      </c>
      <c r="D496">
        <v>1940868</v>
      </c>
      <c r="E496" t="s">
        <v>1715</v>
      </c>
      <c r="F496" t="s">
        <v>1516</v>
      </c>
    </row>
    <row r="497" spans="1:6" hidden="1" x14ac:dyDescent="0.25">
      <c r="A497">
        <v>48.6</v>
      </c>
      <c r="B497">
        <v>3.4</v>
      </c>
      <c r="C497">
        <v>0.19700000000000001</v>
      </c>
      <c r="D497">
        <v>2422184</v>
      </c>
      <c r="E497" t="s">
        <v>1716</v>
      </c>
      <c r="F497" t="s">
        <v>1516</v>
      </c>
    </row>
    <row r="498" spans="1:6" hidden="1" x14ac:dyDescent="0.25">
      <c r="A498">
        <v>48.6</v>
      </c>
      <c r="B498">
        <v>3.5</v>
      </c>
      <c r="C498">
        <v>0.185</v>
      </c>
      <c r="D498">
        <v>3531650</v>
      </c>
      <c r="E498" t="s">
        <v>1717</v>
      </c>
      <c r="F498" t="s">
        <v>1516</v>
      </c>
    </row>
    <row r="499" spans="1:6" hidden="1" x14ac:dyDescent="0.25">
      <c r="A499">
        <v>48.6</v>
      </c>
      <c r="B499">
        <v>3.5</v>
      </c>
      <c r="C499">
        <v>0.19600000000000001</v>
      </c>
      <c r="D499">
        <v>1568170</v>
      </c>
      <c r="E499" t="s">
        <v>1718</v>
      </c>
      <c r="F499" t="s">
        <v>1516</v>
      </c>
    </row>
    <row r="500" spans="1:6" hidden="1" x14ac:dyDescent="0.25">
      <c r="A500">
        <v>48.6</v>
      </c>
      <c r="B500">
        <v>3.5</v>
      </c>
      <c r="C500">
        <v>0.19600000000000001</v>
      </c>
      <c r="D500">
        <v>281785</v>
      </c>
      <c r="E500" t="s">
        <v>1719</v>
      </c>
      <c r="F500" t="s">
        <v>1516</v>
      </c>
    </row>
    <row r="501" spans="1:6" hidden="1" x14ac:dyDescent="0.25">
      <c r="A501">
        <v>48.6</v>
      </c>
      <c r="B501">
        <v>4</v>
      </c>
      <c r="C501">
        <v>0.56499999999999995</v>
      </c>
      <c r="D501">
        <v>3472304</v>
      </c>
      <c r="E501" t="s">
        <v>1720</v>
      </c>
      <c r="F501" t="s">
        <v>1130</v>
      </c>
    </row>
    <row r="502" spans="1:6" hidden="1" x14ac:dyDescent="0.25">
      <c r="A502">
        <v>49</v>
      </c>
      <c r="B502">
        <v>2</v>
      </c>
      <c r="C502">
        <v>0.629</v>
      </c>
      <c r="D502">
        <v>1940871</v>
      </c>
      <c r="E502" t="s">
        <v>1721</v>
      </c>
      <c r="F502" t="s">
        <v>1130</v>
      </c>
    </row>
    <row r="503" spans="1:6" hidden="1" x14ac:dyDescent="0.25">
      <c r="A503">
        <v>49</v>
      </c>
      <c r="B503">
        <v>2</v>
      </c>
      <c r="C503">
        <v>0.63300000000000001</v>
      </c>
      <c r="D503">
        <v>1940873</v>
      </c>
      <c r="E503" t="s">
        <v>1722</v>
      </c>
      <c r="F503" t="s">
        <v>1130</v>
      </c>
    </row>
    <row r="504" spans="1:6" hidden="1" x14ac:dyDescent="0.25">
      <c r="A504">
        <v>50</v>
      </c>
      <c r="B504">
        <v>1.01</v>
      </c>
      <c r="C504">
        <v>6</v>
      </c>
      <c r="D504">
        <v>1931672</v>
      </c>
      <c r="E504" t="s">
        <v>1723</v>
      </c>
      <c r="F504" t="s">
        <v>1130</v>
      </c>
    </row>
    <row r="505" spans="1:6" hidden="1" x14ac:dyDescent="0.25">
      <c r="A505">
        <v>50</v>
      </c>
      <c r="B505">
        <v>1.1599999999999999</v>
      </c>
      <c r="C505">
        <v>6</v>
      </c>
      <c r="D505">
        <v>1932090</v>
      </c>
      <c r="E505" t="s">
        <v>1724</v>
      </c>
      <c r="F505" t="s">
        <v>1130</v>
      </c>
    </row>
    <row r="506" spans="1:6" hidden="1" x14ac:dyDescent="0.25">
      <c r="A506">
        <v>50</v>
      </c>
      <c r="B506">
        <v>1.1599999999999999</v>
      </c>
      <c r="C506">
        <v>6</v>
      </c>
      <c r="D506">
        <v>3702282</v>
      </c>
      <c r="E506" t="s">
        <v>1724</v>
      </c>
      <c r="F506" t="s">
        <v>1130</v>
      </c>
    </row>
    <row r="507" spans="1:6" hidden="1" x14ac:dyDescent="0.25">
      <c r="A507">
        <v>50</v>
      </c>
      <c r="B507">
        <v>1.5</v>
      </c>
      <c r="C507">
        <v>6</v>
      </c>
      <c r="D507">
        <v>3702331</v>
      </c>
      <c r="E507" t="s">
        <v>1725</v>
      </c>
      <c r="F507" t="s">
        <v>1130</v>
      </c>
    </row>
    <row r="508" spans="1:6" hidden="1" x14ac:dyDescent="0.25">
      <c r="A508">
        <v>50</v>
      </c>
      <c r="B508">
        <v>1.51</v>
      </c>
      <c r="C508">
        <v>6</v>
      </c>
      <c r="D508">
        <v>1931891</v>
      </c>
      <c r="E508" t="s">
        <v>1726</v>
      </c>
      <c r="F508" t="s">
        <v>1130</v>
      </c>
    </row>
    <row r="509" spans="1:6" hidden="1" x14ac:dyDescent="0.25">
      <c r="A509">
        <v>50</v>
      </c>
      <c r="B509">
        <v>1.6</v>
      </c>
      <c r="C509">
        <v>0.54200000000000004</v>
      </c>
      <c r="D509">
        <v>3191790</v>
      </c>
      <c r="E509" t="s">
        <v>1727</v>
      </c>
      <c r="F509" t="s">
        <v>1130</v>
      </c>
    </row>
    <row r="510" spans="1:6" hidden="1" x14ac:dyDescent="0.25">
      <c r="A510">
        <v>50</v>
      </c>
      <c r="B510">
        <v>1.6</v>
      </c>
      <c r="C510">
        <v>0.59699999999999998</v>
      </c>
      <c r="D510">
        <v>3676838</v>
      </c>
      <c r="E510" t="s">
        <v>1728</v>
      </c>
      <c r="F510" t="s">
        <v>1130</v>
      </c>
    </row>
    <row r="511" spans="1:6" hidden="1" x14ac:dyDescent="0.25">
      <c r="A511">
        <v>50</v>
      </c>
      <c r="B511">
        <v>1.6</v>
      </c>
      <c r="C511">
        <v>0.6</v>
      </c>
      <c r="D511">
        <v>3676839</v>
      </c>
      <c r="E511" t="s">
        <v>1729</v>
      </c>
      <c r="F511" t="s">
        <v>1130</v>
      </c>
    </row>
    <row r="512" spans="1:6" hidden="1" x14ac:dyDescent="0.25">
      <c r="A512">
        <v>50</v>
      </c>
      <c r="B512">
        <v>1.6</v>
      </c>
      <c r="C512">
        <v>0.60399999999999998</v>
      </c>
      <c r="D512">
        <v>2427158</v>
      </c>
      <c r="E512" t="s">
        <v>671</v>
      </c>
      <c r="F512" t="s">
        <v>1130</v>
      </c>
    </row>
    <row r="513" spans="1:6" hidden="1" x14ac:dyDescent="0.25">
      <c r="A513">
        <v>50</v>
      </c>
      <c r="B513">
        <v>1.6</v>
      </c>
      <c r="C513">
        <v>0.60699999999999998</v>
      </c>
      <c r="D513">
        <v>3780004</v>
      </c>
      <c r="E513" t="s">
        <v>1730</v>
      </c>
      <c r="F513" t="s">
        <v>1130</v>
      </c>
    </row>
    <row r="514" spans="1:6" hidden="1" x14ac:dyDescent="0.25">
      <c r="A514">
        <v>50</v>
      </c>
      <c r="B514">
        <v>1.6</v>
      </c>
      <c r="C514">
        <v>0.63600000000000001</v>
      </c>
      <c r="D514">
        <v>1940879</v>
      </c>
      <c r="E514" t="s">
        <v>676</v>
      </c>
      <c r="F514" t="s">
        <v>1130</v>
      </c>
    </row>
    <row r="515" spans="1:6" hidden="1" x14ac:dyDescent="0.25">
      <c r="A515">
        <v>50</v>
      </c>
      <c r="B515">
        <v>1.6</v>
      </c>
      <c r="C515">
        <v>0.63800000000000001</v>
      </c>
      <c r="D515">
        <v>3780005</v>
      </c>
      <c r="E515" t="s">
        <v>1731</v>
      </c>
      <c r="F515" t="s">
        <v>1130</v>
      </c>
    </row>
    <row r="516" spans="1:6" hidden="1" x14ac:dyDescent="0.25">
      <c r="A516">
        <v>50</v>
      </c>
      <c r="B516">
        <v>1.6</v>
      </c>
      <c r="C516">
        <v>0.84699999999999998</v>
      </c>
      <c r="D516">
        <v>468843</v>
      </c>
      <c r="E516" t="s">
        <v>1732</v>
      </c>
      <c r="F516" t="s">
        <v>1130</v>
      </c>
    </row>
    <row r="517" spans="1:6" hidden="1" x14ac:dyDescent="0.25">
      <c r="A517">
        <v>50</v>
      </c>
      <c r="B517">
        <v>1.6</v>
      </c>
      <c r="C517">
        <v>0.84699999999999998</v>
      </c>
      <c r="D517">
        <v>1938127</v>
      </c>
      <c r="E517" t="s">
        <v>1733</v>
      </c>
      <c r="F517" t="s">
        <v>1130</v>
      </c>
    </row>
    <row r="518" spans="1:6" hidden="1" x14ac:dyDescent="0.25">
      <c r="A518">
        <v>50</v>
      </c>
      <c r="B518">
        <v>1.6</v>
      </c>
      <c r="C518">
        <v>1.1000000000000001</v>
      </c>
      <c r="D518">
        <v>2430128</v>
      </c>
      <c r="E518" t="s">
        <v>475</v>
      </c>
      <c r="F518" t="s">
        <v>1130</v>
      </c>
    </row>
    <row r="519" spans="1:6" hidden="1" x14ac:dyDescent="0.25">
      <c r="A519">
        <v>50</v>
      </c>
      <c r="B519">
        <v>2</v>
      </c>
      <c r="C519">
        <v>0.56499999999999995</v>
      </c>
      <c r="D519">
        <v>3219709</v>
      </c>
      <c r="E519" t="s">
        <v>1734</v>
      </c>
      <c r="F519" t="s">
        <v>1130</v>
      </c>
    </row>
    <row r="520" spans="1:6" hidden="1" x14ac:dyDescent="0.25">
      <c r="A520">
        <v>50</v>
      </c>
      <c r="B520">
        <v>2</v>
      </c>
      <c r="C520">
        <v>6</v>
      </c>
      <c r="D520">
        <v>3702456</v>
      </c>
      <c r="E520" t="s">
        <v>1735</v>
      </c>
      <c r="F520" t="s">
        <v>1130</v>
      </c>
    </row>
    <row r="521" spans="1:6" hidden="1" x14ac:dyDescent="0.25">
      <c r="A521">
        <v>50</v>
      </c>
      <c r="B521">
        <v>6</v>
      </c>
      <c r="C521">
        <v>4.7750000000000004</v>
      </c>
      <c r="D521">
        <v>3502725</v>
      </c>
      <c r="E521" t="s">
        <v>1736</v>
      </c>
      <c r="F521" t="s">
        <v>1130</v>
      </c>
    </row>
    <row r="522" spans="1:6" hidden="1" x14ac:dyDescent="0.25">
      <c r="A522">
        <v>50.8</v>
      </c>
      <c r="B522">
        <v>1.4</v>
      </c>
      <c r="C522">
        <v>0.73899999999999999</v>
      </c>
      <c r="D522">
        <v>3531648</v>
      </c>
      <c r="E522" t="s">
        <v>1737</v>
      </c>
      <c r="F522" t="s">
        <v>1130</v>
      </c>
    </row>
    <row r="523" spans="1:6" hidden="1" x14ac:dyDescent="0.25">
      <c r="A523">
        <v>50.8</v>
      </c>
      <c r="B523">
        <v>1.42</v>
      </c>
      <c r="C523">
        <v>0.73699999999999999</v>
      </c>
      <c r="D523">
        <v>1932730</v>
      </c>
      <c r="E523" t="s">
        <v>1738</v>
      </c>
      <c r="F523" t="s">
        <v>1130</v>
      </c>
    </row>
    <row r="524" spans="1:6" hidden="1" x14ac:dyDescent="0.25">
      <c r="A524">
        <v>50.8</v>
      </c>
      <c r="B524">
        <v>2</v>
      </c>
      <c r="C524">
        <v>0.73299999999999998</v>
      </c>
      <c r="D524">
        <v>2422185</v>
      </c>
      <c r="E524" t="s">
        <v>1739</v>
      </c>
      <c r="F524" t="s">
        <v>1130</v>
      </c>
    </row>
    <row r="525" spans="1:6" hidden="1" x14ac:dyDescent="0.25">
      <c r="A525">
        <v>50.8</v>
      </c>
      <c r="B525">
        <v>2.6</v>
      </c>
      <c r="C525">
        <v>0.13</v>
      </c>
      <c r="D525">
        <v>3623581</v>
      </c>
      <c r="E525" t="s">
        <v>1740</v>
      </c>
      <c r="F525" t="s">
        <v>1130</v>
      </c>
    </row>
    <row r="526" spans="1:6" hidden="1" x14ac:dyDescent="0.25">
      <c r="A526">
        <v>50.8</v>
      </c>
      <c r="B526">
        <v>2.6</v>
      </c>
      <c r="C526">
        <v>0.14199999999999999</v>
      </c>
      <c r="D526">
        <v>3784470</v>
      </c>
      <c r="E526" t="s">
        <v>1741</v>
      </c>
      <c r="F526" t="s">
        <v>1130</v>
      </c>
    </row>
    <row r="527" spans="1:6" hidden="1" x14ac:dyDescent="0.25">
      <c r="A527">
        <v>50.8</v>
      </c>
      <c r="B527">
        <v>2.6</v>
      </c>
      <c r="C527">
        <v>0.14199999999999999</v>
      </c>
      <c r="D527">
        <v>1342575</v>
      </c>
      <c r="E527" t="s">
        <v>1742</v>
      </c>
      <c r="F527" t="s">
        <v>1130</v>
      </c>
    </row>
    <row r="528" spans="1:6" hidden="1" x14ac:dyDescent="0.25">
      <c r="A528">
        <v>54</v>
      </c>
      <c r="B528">
        <v>3</v>
      </c>
      <c r="C528">
        <v>1.1399999999999999</v>
      </c>
      <c r="D528">
        <v>3711330</v>
      </c>
      <c r="E528" t="s">
        <v>925</v>
      </c>
      <c r="F528" t="s">
        <v>1130</v>
      </c>
    </row>
    <row r="529" spans="1:6" hidden="1" x14ac:dyDescent="0.25">
      <c r="A529">
        <v>54</v>
      </c>
      <c r="B529">
        <v>3</v>
      </c>
      <c r="C529">
        <v>1.1399999999999999</v>
      </c>
      <c r="D529">
        <v>2396464</v>
      </c>
      <c r="E529" t="s">
        <v>921</v>
      </c>
      <c r="F529" t="s">
        <v>1130</v>
      </c>
    </row>
    <row r="530" spans="1:6" x14ac:dyDescent="0.25">
      <c r="A530">
        <v>57.15</v>
      </c>
      <c r="B530">
        <v>2</v>
      </c>
      <c r="C530" s="50">
        <v>0.71299999999999997</v>
      </c>
      <c r="D530" t="s">
        <v>1743</v>
      </c>
      <c r="E530" t="s">
        <v>1744</v>
      </c>
      <c r="F530" t="s">
        <v>1554</v>
      </c>
    </row>
    <row r="531" spans="1:6" x14ac:dyDescent="0.25">
      <c r="A531">
        <v>57.15</v>
      </c>
      <c r="B531">
        <v>2.2999999999999998</v>
      </c>
      <c r="C531" s="50">
        <v>1.365</v>
      </c>
      <c r="D531">
        <v>3182342</v>
      </c>
      <c r="E531" t="s">
        <v>1745</v>
      </c>
      <c r="F531" t="s">
        <v>1554</v>
      </c>
    </row>
    <row r="532" spans="1:6" x14ac:dyDescent="0.25">
      <c r="A532">
        <v>57.15</v>
      </c>
      <c r="B532">
        <v>2.5</v>
      </c>
      <c r="C532" s="50">
        <v>0.32600000000000001</v>
      </c>
      <c r="D532">
        <v>3732177</v>
      </c>
      <c r="E532" t="s">
        <v>1746</v>
      </c>
      <c r="F532" t="s">
        <v>1554</v>
      </c>
    </row>
    <row r="533" spans="1:6" hidden="1" x14ac:dyDescent="0.25">
      <c r="A533">
        <v>57.15</v>
      </c>
      <c r="B533">
        <v>2.5</v>
      </c>
      <c r="C533">
        <v>0.375</v>
      </c>
      <c r="D533">
        <v>2440972</v>
      </c>
      <c r="E533" t="s">
        <v>1747</v>
      </c>
      <c r="F533" t="s">
        <v>1130</v>
      </c>
    </row>
    <row r="534" spans="1:6" x14ac:dyDescent="0.25">
      <c r="A534">
        <v>57.15</v>
      </c>
      <c r="B534">
        <v>2.5</v>
      </c>
      <c r="C534" s="50">
        <v>0.52600000000000002</v>
      </c>
      <c r="D534">
        <v>3731697</v>
      </c>
      <c r="E534" t="s">
        <v>1748</v>
      </c>
      <c r="F534" t="s">
        <v>1554</v>
      </c>
    </row>
    <row r="535" spans="1:6" hidden="1" x14ac:dyDescent="0.25">
      <c r="A535">
        <v>57.15</v>
      </c>
      <c r="B535">
        <v>2.5</v>
      </c>
      <c r="C535">
        <v>5.7110000000000003</v>
      </c>
      <c r="D535">
        <v>3907863</v>
      </c>
      <c r="E535" t="s">
        <v>1749</v>
      </c>
      <c r="F535" t="s">
        <v>1130</v>
      </c>
    </row>
    <row r="536" spans="1:6" hidden="1" x14ac:dyDescent="0.25">
      <c r="A536">
        <v>57.15</v>
      </c>
      <c r="B536">
        <v>2.5</v>
      </c>
      <c r="C536">
        <v>6</v>
      </c>
      <c r="D536">
        <v>3515489</v>
      </c>
      <c r="E536" t="s">
        <v>1750</v>
      </c>
      <c r="F536" t="s">
        <v>1130</v>
      </c>
    </row>
    <row r="537" spans="1:6" hidden="1" x14ac:dyDescent="0.25">
      <c r="A537">
        <v>57.15</v>
      </c>
      <c r="B537">
        <v>2.5</v>
      </c>
      <c r="C537">
        <v>6.02</v>
      </c>
      <c r="D537">
        <v>3520439</v>
      </c>
      <c r="E537" t="s">
        <v>1751</v>
      </c>
      <c r="F537" t="s">
        <v>1130</v>
      </c>
    </row>
    <row r="538" spans="1:6" hidden="1" x14ac:dyDescent="0.25">
      <c r="A538">
        <v>57.15</v>
      </c>
      <c r="B538">
        <v>2.5</v>
      </c>
      <c r="C538">
        <v>6.1</v>
      </c>
      <c r="D538">
        <v>3910001</v>
      </c>
      <c r="E538" t="s">
        <v>1752</v>
      </c>
      <c r="F538" t="s">
        <v>1130</v>
      </c>
    </row>
    <row r="539" spans="1:6" hidden="1" x14ac:dyDescent="0.25">
      <c r="A539">
        <v>57.15</v>
      </c>
      <c r="B539">
        <v>3</v>
      </c>
      <c r="C539">
        <v>0.46</v>
      </c>
      <c r="D539">
        <v>3136139</v>
      </c>
      <c r="E539" t="s">
        <v>1753</v>
      </c>
      <c r="F539" t="s">
        <v>1130</v>
      </c>
    </row>
    <row r="540" spans="1:6" hidden="1" x14ac:dyDescent="0.25">
      <c r="A540">
        <v>57.15</v>
      </c>
      <c r="B540">
        <v>3</v>
      </c>
      <c r="C540">
        <v>5.65</v>
      </c>
      <c r="D540">
        <v>3501105</v>
      </c>
      <c r="E540" t="s">
        <v>1754</v>
      </c>
      <c r="F540" t="s">
        <v>1130</v>
      </c>
    </row>
    <row r="541" spans="1:6" hidden="1" x14ac:dyDescent="0.25">
      <c r="A541">
        <v>59</v>
      </c>
      <c r="B541">
        <v>1.6</v>
      </c>
      <c r="C541">
        <v>0.57099999999999995</v>
      </c>
      <c r="D541">
        <v>3781648</v>
      </c>
      <c r="E541" t="s">
        <v>1755</v>
      </c>
      <c r="F541" t="s">
        <v>1130</v>
      </c>
    </row>
    <row r="542" spans="1:6" hidden="1" x14ac:dyDescent="0.25">
      <c r="A542">
        <v>59</v>
      </c>
      <c r="B542">
        <v>1.6</v>
      </c>
      <c r="C542">
        <v>0.57299999999999995</v>
      </c>
      <c r="D542">
        <v>2420716</v>
      </c>
      <c r="E542" t="s">
        <v>1756</v>
      </c>
      <c r="F542" t="s">
        <v>1130</v>
      </c>
    </row>
    <row r="543" spans="1:6" hidden="1" x14ac:dyDescent="0.25">
      <c r="A543">
        <v>59</v>
      </c>
      <c r="B543">
        <v>1.6</v>
      </c>
      <c r="C543">
        <v>0.64100000000000001</v>
      </c>
      <c r="D543">
        <v>3781649</v>
      </c>
      <c r="E543" t="s">
        <v>569</v>
      </c>
      <c r="F543" t="s">
        <v>1130</v>
      </c>
    </row>
    <row r="544" spans="1:6" hidden="1" x14ac:dyDescent="0.25">
      <c r="A544">
        <v>59</v>
      </c>
      <c r="B544">
        <v>1.6</v>
      </c>
      <c r="C544">
        <v>0.64500000000000002</v>
      </c>
      <c r="D544">
        <v>2256692</v>
      </c>
      <c r="E544" t="s">
        <v>1757</v>
      </c>
      <c r="F544" t="s">
        <v>1130</v>
      </c>
    </row>
    <row r="545" spans="1:6" hidden="1" x14ac:dyDescent="0.25">
      <c r="A545">
        <v>60</v>
      </c>
      <c r="B545">
        <v>1.2</v>
      </c>
      <c r="C545">
        <v>6</v>
      </c>
      <c r="D545">
        <v>3702372</v>
      </c>
      <c r="E545" t="s">
        <v>1758</v>
      </c>
      <c r="F545" t="s">
        <v>1130</v>
      </c>
    </row>
    <row r="546" spans="1:6" hidden="1" x14ac:dyDescent="0.25">
      <c r="A546">
        <v>60.3</v>
      </c>
      <c r="B546">
        <v>2</v>
      </c>
      <c r="C546">
        <v>0.52500000000000002</v>
      </c>
      <c r="D546">
        <v>3768903</v>
      </c>
      <c r="E546" t="s">
        <v>1759</v>
      </c>
      <c r="F546" t="s">
        <v>1130</v>
      </c>
    </row>
    <row r="547" spans="1:6" hidden="1" x14ac:dyDescent="0.25">
      <c r="A547">
        <v>63.5</v>
      </c>
      <c r="B547">
        <v>3.66</v>
      </c>
      <c r="C547">
        <v>3.75</v>
      </c>
      <c r="D547">
        <v>3498966</v>
      </c>
      <c r="E547" t="s">
        <v>1760</v>
      </c>
      <c r="F547" t="s">
        <v>1130</v>
      </c>
    </row>
    <row r="548" spans="1:6" hidden="1" x14ac:dyDescent="0.25">
      <c r="A548">
        <v>63.5</v>
      </c>
      <c r="B548">
        <v>3.66</v>
      </c>
      <c r="C548">
        <v>4</v>
      </c>
      <c r="D548">
        <v>3499247</v>
      </c>
      <c r="E548" t="s">
        <v>1761</v>
      </c>
      <c r="F548" t="s">
        <v>1130</v>
      </c>
    </row>
    <row r="549" spans="1:6" hidden="1" x14ac:dyDescent="0.25">
      <c r="A549">
        <v>63.5</v>
      </c>
      <c r="B549">
        <v>3.66</v>
      </c>
      <c r="C549">
        <v>5</v>
      </c>
      <c r="D549">
        <v>3499180</v>
      </c>
      <c r="E549" t="s">
        <v>1762</v>
      </c>
      <c r="F549" t="s">
        <v>1130</v>
      </c>
    </row>
    <row r="550" spans="1:6" hidden="1" x14ac:dyDescent="0.25">
      <c r="A550">
        <v>63.5</v>
      </c>
      <c r="B550">
        <v>3.66</v>
      </c>
      <c r="C550">
        <v>6.1</v>
      </c>
      <c r="D550">
        <v>3498881</v>
      </c>
      <c r="E550" t="s">
        <v>1763</v>
      </c>
      <c r="F550" t="s">
        <v>1130</v>
      </c>
    </row>
    <row r="551" spans="1:6" hidden="1" x14ac:dyDescent="0.25">
      <c r="A551">
        <v>63.5</v>
      </c>
      <c r="B551">
        <v>4</v>
      </c>
      <c r="C551">
        <v>0.23400000000000001</v>
      </c>
      <c r="D551">
        <v>3746291</v>
      </c>
      <c r="E551" t="s">
        <v>880</v>
      </c>
      <c r="F551" t="s">
        <v>1130</v>
      </c>
    </row>
    <row r="552" spans="1:6" hidden="1" x14ac:dyDescent="0.25">
      <c r="A552">
        <v>63.5</v>
      </c>
      <c r="B552">
        <v>4</v>
      </c>
      <c r="C552">
        <v>0.23599999999999999</v>
      </c>
      <c r="D552">
        <v>1470103</v>
      </c>
      <c r="E552" t="s">
        <v>1764</v>
      </c>
      <c r="F552" t="s">
        <v>1130</v>
      </c>
    </row>
    <row r="553" spans="1:6" hidden="1" x14ac:dyDescent="0.25">
      <c r="A553">
        <v>63.5</v>
      </c>
      <c r="B553">
        <v>4</v>
      </c>
      <c r="C553">
        <v>0.26500000000000001</v>
      </c>
      <c r="D553">
        <v>3775122</v>
      </c>
      <c r="E553" t="s">
        <v>1765</v>
      </c>
      <c r="F553" t="s">
        <v>1130</v>
      </c>
    </row>
    <row r="554" spans="1:6" hidden="1" x14ac:dyDescent="0.25">
      <c r="A554">
        <v>65</v>
      </c>
      <c r="B554">
        <v>3.6</v>
      </c>
      <c r="C554">
        <v>6</v>
      </c>
      <c r="D554">
        <v>3504887</v>
      </c>
      <c r="E554" t="s">
        <v>1766</v>
      </c>
      <c r="F554" t="s">
        <v>1130</v>
      </c>
    </row>
    <row r="555" spans="1:6" hidden="1" x14ac:dyDescent="0.25">
      <c r="A555">
        <v>67</v>
      </c>
      <c r="B555">
        <v>1.2</v>
      </c>
      <c r="C555">
        <v>5.5</v>
      </c>
      <c r="D555">
        <v>3770405</v>
      </c>
      <c r="E555" t="s">
        <v>1767</v>
      </c>
      <c r="F555" t="s">
        <v>1130</v>
      </c>
    </row>
    <row r="556" spans="1:6" x14ac:dyDescent="0.25">
      <c r="A556">
        <v>70</v>
      </c>
      <c r="B556">
        <v>3.2</v>
      </c>
      <c r="C556" s="50">
        <v>0.49</v>
      </c>
      <c r="D556">
        <v>424601</v>
      </c>
      <c r="E556" t="s">
        <v>1768</v>
      </c>
      <c r="F556" t="s">
        <v>1554</v>
      </c>
    </row>
    <row r="557" spans="1:6" x14ac:dyDescent="0.25">
      <c r="A557">
        <v>70</v>
      </c>
      <c r="B557">
        <v>3.2</v>
      </c>
      <c r="C557">
        <v>0.51200000000000001</v>
      </c>
      <c r="D557" t="s">
        <v>1769</v>
      </c>
      <c r="E557" t="s">
        <v>923</v>
      </c>
      <c r="F557" t="s">
        <v>1554</v>
      </c>
    </row>
    <row r="558" spans="1:6" hidden="1" x14ac:dyDescent="0.25">
      <c r="A558">
        <v>88.9</v>
      </c>
      <c r="B558">
        <v>3.2</v>
      </c>
      <c r="C558">
        <v>6</v>
      </c>
      <c r="D558" t="s">
        <v>1770</v>
      </c>
      <c r="E558" t="s">
        <v>1771</v>
      </c>
      <c r="F558" t="s">
        <v>1130</v>
      </c>
    </row>
    <row r="559" spans="1:6" hidden="1" x14ac:dyDescent="0.25">
      <c r="A559">
        <v>88.9</v>
      </c>
      <c r="B559">
        <v>4.5</v>
      </c>
      <c r="C559">
        <v>6</v>
      </c>
      <c r="D559" t="s">
        <v>1772</v>
      </c>
      <c r="E559" t="s">
        <v>1773</v>
      </c>
      <c r="F559" t="s">
        <v>1130</v>
      </c>
    </row>
    <row r="560" spans="1:6" hidden="1" x14ac:dyDescent="0.25">
      <c r="A560">
        <v>96</v>
      </c>
      <c r="B560">
        <v>3.6</v>
      </c>
      <c r="C560">
        <v>6</v>
      </c>
      <c r="D560" t="s">
        <v>1774</v>
      </c>
      <c r="E560" t="s">
        <v>1775</v>
      </c>
      <c r="F560" t="s">
        <v>1130</v>
      </c>
    </row>
    <row r="561" spans="1:6" hidden="1" x14ac:dyDescent="0.25">
      <c r="A561">
        <v>96</v>
      </c>
      <c r="B561">
        <v>3.6</v>
      </c>
      <c r="C561">
        <v>6</v>
      </c>
      <c r="D561" t="s">
        <v>1776</v>
      </c>
      <c r="E561" t="s">
        <v>1777</v>
      </c>
      <c r="F561" t="s">
        <v>1130</v>
      </c>
    </row>
    <row r="562" spans="1:6" hidden="1" x14ac:dyDescent="0.25">
      <c r="A562">
        <v>100</v>
      </c>
      <c r="B562">
        <v>2.5</v>
      </c>
      <c r="C562">
        <v>6</v>
      </c>
      <c r="D562" t="s">
        <v>1778</v>
      </c>
      <c r="E562" t="s">
        <v>1779</v>
      </c>
      <c r="F562" t="s">
        <v>1130</v>
      </c>
    </row>
    <row r="563" spans="1:6" hidden="1" x14ac:dyDescent="0.25">
      <c r="A563">
        <v>101.6</v>
      </c>
      <c r="B563">
        <v>3.2</v>
      </c>
      <c r="C563">
        <v>6</v>
      </c>
      <c r="D563" t="s">
        <v>1780</v>
      </c>
      <c r="E563" t="s">
        <v>1781</v>
      </c>
      <c r="F563" t="s">
        <v>1130</v>
      </c>
    </row>
    <row r="564" spans="1:6" hidden="1" x14ac:dyDescent="0.25">
      <c r="A564">
        <v>113.5</v>
      </c>
      <c r="B564">
        <v>4.5</v>
      </c>
      <c r="C564">
        <v>6</v>
      </c>
      <c r="D564" t="s">
        <v>1782</v>
      </c>
      <c r="E564" t="s">
        <v>1783</v>
      </c>
      <c r="F564" t="s">
        <v>1130</v>
      </c>
    </row>
    <row r="565" spans="1:6" hidden="1" x14ac:dyDescent="0.25">
      <c r="A565">
        <v>114.3</v>
      </c>
      <c r="B565">
        <v>3.2</v>
      </c>
      <c r="C565">
        <v>6</v>
      </c>
      <c r="D565" t="s">
        <v>1784</v>
      </c>
      <c r="E565" t="s">
        <v>1785</v>
      </c>
      <c r="F565" t="s">
        <v>1130</v>
      </c>
    </row>
    <row r="566" spans="1:6" hidden="1" x14ac:dyDescent="0.25">
      <c r="A566">
        <v>122</v>
      </c>
      <c r="B566">
        <v>3.6</v>
      </c>
      <c r="C566">
        <v>6</v>
      </c>
      <c r="D566" t="s">
        <v>1786</v>
      </c>
      <c r="E566" t="s">
        <v>1787</v>
      </c>
      <c r="F566" t="s">
        <v>1130</v>
      </c>
    </row>
    <row r="567" spans="1:6" hidden="1" x14ac:dyDescent="0.25">
      <c r="A567">
        <v>132</v>
      </c>
      <c r="B567">
        <v>3.6</v>
      </c>
      <c r="C567">
        <v>6</v>
      </c>
      <c r="D567" t="s">
        <v>1788</v>
      </c>
      <c r="E567" t="s">
        <v>1789</v>
      </c>
      <c r="F567" t="s">
        <v>1130</v>
      </c>
    </row>
    <row r="568" spans="1:6" hidden="1" x14ac:dyDescent="0.25">
      <c r="A568">
        <v>145</v>
      </c>
      <c r="B568">
        <v>2.9</v>
      </c>
      <c r="C568">
        <v>6</v>
      </c>
      <c r="D568" t="s">
        <v>1790</v>
      </c>
      <c r="E568" t="s">
        <v>1791</v>
      </c>
      <c r="F568" t="s">
        <v>1130</v>
      </c>
    </row>
    <row r="569" spans="1:6" hidden="1" x14ac:dyDescent="0.25">
      <c r="A569">
        <v>145</v>
      </c>
      <c r="B569">
        <v>3.2</v>
      </c>
      <c r="C569">
        <v>6</v>
      </c>
      <c r="D569" t="s">
        <v>1792</v>
      </c>
      <c r="E569" t="s">
        <v>1793</v>
      </c>
      <c r="F569" t="s">
        <v>1130</v>
      </c>
    </row>
    <row r="570" spans="1:6" hidden="1" x14ac:dyDescent="0.25">
      <c r="A570">
        <v>150</v>
      </c>
      <c r="B570">
        <v>6</v>
      </c>
      <c r="C570">
        <v>6</v>
      </c>
      <c r="D570" t="s">
        <v>1794</v>
      </c>
      <c r="E570" t="s">
        <v>1795</v>
      </c>
      <c r="F570" t="s">
        <v>1130</v>
      </c>
    </row>
    <row r="571" spans="1:6" x14ac:dyDescent="0.25">
      <c r="A571">
        <v>50.8</v>
      </c>
      <c r="B571">
        <v>1.6</v>
      </c>
      <c r="C571" s="50">
        <v>0.38500000000000001</v>
      </c>
      <c r="D571">
        <v>2353927</v>
      </c>
      <c r="F571" t="s">
        <v>1554</v>
      </c>
    </row>
    <row r="572" spans="1:6" x14ac:dyDescent="0.25">
      <c r="A572">
        <v>57.15</v>
      </c>
      <c r="B572">
        <v>2.5</v>
      </c>
      <c r="C572" s="50">
        <v>0.77200000000000002</v>
      </c>
      <c r="D572" t="s">
        <v>1796</v>
      </c>
      <c r="F572" t="s">
        <v>1554</v>
      </c>
    </row>
    <row r="573" spans="1:6" x14ac:dyDescent="0.25">
      <c r="A573">
        <v>60.3</v>
      </c>
      <c r="B573">
        <v>2</v>
      </c>
      <c r="C573" s="50">
        <v>0.49299999999999999</v>
      </c>
      <c r="D573">
        <v>3662752</v>
      </c>
      <c r="F573" t="s">
        <v>1554</v>
      </c>
    </row>
    <row r="574" spans="1:6" x14ac:dyDescent="0.25">
      <c r="A574">
        <v>60.3</v>
      </c>
      <c r="B574">
        <v>2</v>
      </c>
      <c r="C574" s="50">
        <v>0.52500000000000002</v>
      </c>
      <c r="D574">
        <v>3768903</v>
      </c>
      <c r="F574" t="s">
        <v>1554</v>
      </c>
    </row>
    <row r="575" spans="1:6" x14ac:dyDescent="0.25">
      <c r="A575">
        <v>19.05</v>
      </c>
      <c r="B575">
        <v>1.6</v>
      </c>
      <c r="C575" s="50">
        <v>394</v>
      </c>
      <c r="D575">
        <v>3122347</v>
      </c>
      <c r="E575" t="s">
        <v>1797</v>
      </c>
      <c r="F575" t="s">
        <v>1554</v>
      </c>
    </row>
    <row r="576" spans="1:6" x14ac:dyDescent="0.25">
      <c r="A576">
        <v>19.05</v>
      </c>
      <c r="B576">
        <v>1.6</v>
      </c>
      <c r="C576" s="50">
        <v>775</v>
      </c>
      <c r="D576">
        <v>2425969</v>
      </c>
      <c r="E576" t="s">
        <v>1798</v>
      </c>
      <c r="F576" t="s">
        <v>1554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BE197"/>
  <sheetViews>
    <sheetView view="pageBreakPreview" topLeftCell="AH83" zoomScale="80" zoomScaleNormal="100" zoomScaleSheetLayoutView="80" workbookViewId="0">
      <selection activeCell="A4" sqref="A4"/>
    </sheetView>
  </sheetViews>
  <sheetFormatPr defaultRowHeight="15" outlineLevelCol="1" x14ac:dyDescent="0.25"/>
  <cols>
    <col min="1" max="1" width="54.42578125" bestFit="1" customWidth="1"/>
    <col min="7" max="7" width="9.5703125" bestFit="1" customWidth="1"/>
    <col min="8" max="9" width="9.5703125" customWidth="1"/>
    <col min="10" max="13" width="7.28515625" customWidth="1"/>
    <col min="14" max="14" width="14" bestFit="1" customWidth="1"/>
    <col min="15" max="15" width="14" customWidth="1"/>
    <col min="16" max="16" width="31.140625" bestFit="1" customWidth="1"/>
    <col min="17" max="17" width="12.42578125" customWidth="1"/>
    <col min="18" max="24" width="8.42578125" customWidth="1"/>
    <col min="25" max="25" width="42.85546875" customWidth="1"/>
    <col min="26" max="31" width="9.140625" hidden="1" customWidth="1" outlineLevel="1"/>
    <col min="32" max="32" width="32.7109375" bestFit="1" customWidth="1" collapsed="1"/>
    <col min="33" max="33" width="32.7109375" customWidth="1"/>
  </cols>
  <sheetData>
    <row r="1" spans="1:57" x14ac:dyDescent="0.25">
      <c r="A1" t="s">
        <v>1799</v>
      </c>
      <c r="C1" t="s">
        <v>1800</v>
      </c>
      <c r="J1" s="98" t="s">
        <v>937</v>
      </c>
      <c r="K1" s="99" t="s">
        <v>316</v>
      </c>
      <c r="L1" s="99" t="s">
        <v>317</v>
      </c>
      <c r="M1" s="99" t="s">
        <v>938</v>
      </c>
      <c r="N1" s="99" t="s">
        <v>315</v>
      </c>
      <c r="O1" s="99" t="s">
        <v>376</v>
      </c>
      <c r="P1" s="99" t="s">
        <v>261</v>
      </c>
      <c r="Q1" s="99" t="s">
        <v>1801</v>
      </c>
      <c r="R1" s="99" t="s">
        <v>1802</v>
      </c>
      <c r="S1" s="99" t="s">
        <v>269</v>
      </c>
      <c r="T1" s="99" t="s">
        <v>1803</v>
      </c>
      <c r="U1" s="99" t="s">
        <v>1804</v>
      </c>
      <c r="V1" s="99" t="s">
        <v>944</v>
      </c>
      <c r="W1" s="99" t="s">
        <v>1805</v>
      </c>
      <c r="X1" s="99" t="s">
        <v>1806</v>
      </c>
      <c r="Y1" s="99" t="s">
        <v>1807</v>
      </c>
      <c r="Z1" s="99" t="s">
        <v>1808</v>
      </c>
      <c r="AA1" s="99" t="s">
        <v>1809</v>
      </c>
      <c r="AB1" s="99" t="s">
        <v>1810</v>
      </c>
      <c r="AC1" s="99" t="s">
        <v>1811</v>
      </c>
      <c r="AD1" s="99" t="s">
        <v>1812</v>
      </c>
      <c r="AE1" s="99" t="s">
        <v>1813</v>
      </c>
      <c r="AF1" s="99" t="s">
        <v>1814</v>
      </c>
      <c r="AG1" s="99" t="s">
        <v>1815</v>
      </c>
      <c r="AH1" s="99" t="s">
        <v>283</v>
      </c>
      <c r="AI1" s="99" t="s">
        <v>284</v>
      </c>
      <c r="AJ1" s="99" t="s">
        <v>287</v>
      </c>
      <c r="AK1" s="99" t="s">
        <v>288</v>
      </c>
      <c r="AL1" s="99" t="s">
        <v>289</v>
      </c>
      <c r="AM1" s="99" t="s">
        <v>290</v>
      </c>
      <c r="AN1" s="99" t="s">
        <v>71</v>
      </c>
      <c r="AO1" s="99" t="s">
        <v>953</v>
      </c>
      <c r="AP1" s="99" t="s">
        <v>954</v>
      </c>
      <c r="AQ1" s="99" t="s">
        <v>293</v>
      </c>
      <c r="AR1" s="99" t="s">
        <v>295</v>
      </c>
      <c r="AS1" s="99" t="s">
        <v>296</v>
      </c>
      <c r="AT1" s="99" t="s">
        <v>297</v>
      </c>
      <c r="AU1" s="99" t="s">
        <v>298</v>
      </c>
      <c r="AV1" s="99" t="s">
        <v>299</v>
      </c>
      <c r="AW1" s="99" t="s">
        <v>91</v>
      </c>
      <c r="AX1" s="99" t="s">
        <v>300</v>
      </c>
      <c r="AY1" s="99" t="s">
        <v>95</v>
      </c>
      <c r="AZ1" s="99" t="s">
        <v>302</v>
      </c>
      <c r="BA1" s="99" t="s">
        <v>150</v>
      </c>
      <c r="BB1" s="99" t="s">
        <v>301</v>
      </c>
      <c r="BC1" s="99" t="s">
        <v>958</v>
      </c>
      <c r="BD1" s="99" t="s">
        <v>303</v>
      </c>
      <c r="BE1" s="99" t="s">
        <v>935</v>
      </c>
    </row>
    <row r="2" spans="1:57" x14ac:dyDescent="0.25">
      <c r="A2" s="136" t="str" cm="1">
        <f t="array" ref="A2:A52">_xlfn._xlws.FILTER('RM Tracker'!$G$5:$G$106,ISNA(_xlfn.XMATCH('RM Tracker'!$G$5:$G$106,Table11[Bucket])))</f>
        <v>12.7-0-2-ERW 1-PE</v>
      </c>
      <c r="B2" s="136"/>
      <c r="C2" t="str" cm="1">
        <f t="array" ref="C2:C52">_xlfn._xlws.FILTER(Table11[Bucket],ISNA(_xlfn.XMATCH(Table11[Bucket],'RM Tracker'!G5:G104)))</f>
        <v>28.6-0-2.65-CEW-CEW</v>
      </c>
      <c r="D2" s="136"/>
      <c r="G2" s="43"/>
      <c r="H2" s="43"/>
      <c r="I2" s="43"/>
      <c r="J2" s="91">
        <v>12.7</v>
      </c>
      <c r="K2" s="15">
        <v>12.7</v>
      </c>
      <c r="L2" s="15">
        <v>0</v>
      </c>
      <c r="M2" s="15">
        <v>1.2</v>
      </c>
      <c r="N2" s="15" t="s">
        <v>962</v>
      </c>
      <c r="O2" s="15" t="s">
        <v>963</v>
      </c>
      <c r="P2" s="15" t="s">
        <v>398</v>
      </c>
      <c r="Q2" s="92" t="s">
        <v>1816</v>
      </c>
      <c r="R2" s="215">
        <f>Table11[[#This Row],[Grand Total]]</f>
        <v>6.1826790912000007</v>
      </c>
      <c r="S2" s="93">
        <f>VLOOKUP(Table11[[#This Row],[Bucket]],salesforecast[[#All],[Bucket2]:[WIP]],3,0)</f>
        <v>5.1311</v>
      </c>
      <c r="T2" s="93">
        <f>VLOOKUP(Table11[[#This Row],[Bucket]],salesforecast[[#All],[Bucket2]:[WIP]],4,0)</f>
        <v>0.89390999999999998</v>
      </c>
      <c r="U2" s="93">
        <f>VLOOKUP(Table11[[#This Row],[Bucket]],salesforecast[[#All],[Bucket2]:[WIP]],5,0)</f>
        <v>20.176453000000002</v>
      </c>
      <c r="V2" s="93">
        <f>VLOOKUP(Table11[[#This Row],[Bucket]],salesforecast[[#All],[Bucket2]:[WIP]],7,0)</f>
        <v>0</v>
      </c>
      <c r="W2" s="93">
        <f>Table11[[#This Row],[Stock LL]]+Table11[[#This Row],[WIP]]+Table11[[#This Row],[Stock CTL]]</f>
        <v>21.070363</v>
      </c>
      <c r="X2" s="93">
        <f>IF((Table11[[#This Row],[Requirement]]-Table11[[#This Row],[Sales]]-Table11[[#This Row],[Total Stock]])&lt;0,0,Table11[[#This Row],[Requirement]]-Table11[[#This Row],[Sales]]-Table11[[#This Row],[Total Stock]])</f>
        <v>0</v>
      </c>
      <c r="Y2" s="96"/>
      <c r="Z2" s="93">
        <v>12.7</v>
      </c>
      <c r="AA2" s="93">
        <v>12.7</v>
      </c>
      <c r="AB2" s="93">
        <v>0</v>
      </c>
      <c r="AC2" s="93">
        <v>1.2</v>
      </c>
      <c r="AD2" s="93" t="s">
        <v>962</v>
      </c>
      <c r="AE2" s="93" t="s">
        <v>963</v>
      </c>
      <c r="AF2" s="93" t="s">
        <v>398</v>
      </c>
      <c r="AG2" s="93" t="b">
        <f>EXACT(Table11[[#This Row],[Bucket8]],Table11[[#This Row],[Bucket]])</f>
        <v>1</v>
      </c>
      <c r="AH2" s="93"/>
      <c r="AI2" s="93">
        <v>4.2914106192000006</v>
      </c>
      <c r="AJ2" s="93"/>
      <c r="AK2" s="93"/>
      <c r="AL2" s="93"/>
      <c r="AM2" s="93"/>
      <c r="AN2" s="93"/>
      <c r="AO2" s="93"/>
      <c r="AP2" s="93"/>
      <c r="AQ2" s="93"/>
      <c r="AR2" s="93"/>
      <c r="AS2" s="93"/>
      <c r="AT2" s="93"/>
      <c r="AU2" s="93"/>
      <c r="AV2" s="93"/>
      <c r="AW2" s="93"/>
      <c r="AX2" s="93"/>
      <c r="AY2" s="93"/>
      <c r="AZ2" s="93">
        <v>1.8912684719999997</v>
      </c>
      <c r="BA2" s="93"/>
      <c r="BB2" s="93"/>
      <c r="BC2" s="93"/>
      <c r="BD2" s="468"/>
      <c r="BE2" s="469">
        <v>6.1826790912000007</v>
      </c>
    </row>
    <row r="3" spans="1:57" x14ac:dyDescent="0.25">
      <c r="A3" s="137" t="str">
        <v>14-0-2.45-CEW-</v>
      </c>
      <c r="B3" s="136"/>
      <c r="C3" t="str">
        <v>29.4-20.4-4.5-CEW-CEW</v>
      </c>
      <c r="D3" s="136"/>
      <c r="G3" s="43"/>
      <c r="H3" s="43"/>
      <c r="I3" s="43"/>
      <c r="J3" s="91">
        <v>12.7</v>
      </c>
      <c r="K3" s="15">
        <v>12.7</v>
      </c>
      <c r="L3" s="15">
        <v>0</v>
      </c>
      <c r="M3" s="15">
        <v>1.6</v>
      </c>
      <c r="N3" s="15" t="s">
        <v>962</v>
      </c>
      <c r="O3" s="15" t="s">
        <v>963</v>
      </c>
      <c r="P3" s="15" t="s">
        <v>416</v>
      </c>
      <c r="Q3" s="92" t="s">
        <v>1816</v>
      </c>
      <c r="R3" s="215">
        <f>Table11[[#This Row],[Grand Total]]</f>
        <v>25.753787899199999</v>
      </c>
      <c r="S3" s="93">
        <f>VLOOKUP(Table11[[#This Row],[Bucket]],salesforecast[[#All],[Bucket2]:[WIP]],3,0)</f>
        <v>17.795043</v>
      </c>
      <c r="T3" s="93">
        <f>VLOOKUP(Table11[[#This Row],[Bucket]],salesforecast[[#All],[Bucket2]:[WIP]],4,0)</f>
        <v>5.401047000000001</v>
      </c>
      <c r="U3" s="93">
        <f>VLOOKUP(Table11[[#This Row],[Bucket]],salesforecast[[#All],[Bucket2]:[WIP]],5,0)</f>
        <v>6.5656999999999854E-2</v>
      </c>
      <c r="V3" s="93">
        <f>VLOOKUP(Table11[[#This Row],[Bucket]],salesforecast[[#All],[Bucket2]:[WIP]],7,0)</f>
        <v>8.9860000000000007</v>
      </c>
      <c r="W3" s="93">
        <f>Table11[[#This Row],[Stock LL]]+Table11[[#This Row],[WIP]]+Table11[[#This Row],[Stock CTL]]</f>
        <v>14.452704000000001</v>
      </c>
      <c r="X3" s="93">
        <f>IF((Table11[[#This Row],[Requirement]]-Table11[[#This Row],[Sales]]-Table11[[#This Row],[Total Stock]])&lt;0,0,Table11[[#This Row],[Requirement]]-Table11[[#This Row],[Sales]]-Table11[[#This Row],[Total Stock]])</f>
        <v>0</v>
      </c>
      <c r="Y3" s="217" t="str">
        <f>ROUND(Table11[[#This Row],[Total Stock]]/Table11[[#This Row],[Requirement]]*100,0) &amp; "% coverage. Further rolling by week 2"</f>
        <v>56% coverage. Further rolling by week 2</v>
      </c>
      <c r="Z3" s="93">
        <v>12.7</v>
      </c>
      <c r="AA3" s="93">
        <v>12.7</v>
      </c>
      <c r="AB3" s="93">
        <v>0</v>
      </c>
      <c r="AC3" s="93">
        <v>1.6</v>
      </c>
      <c r="AD3" s="93" t="s">
        <v>962</v>
      </c>
      <c r="AE3" s="93" t="s">
        <v>963</v>
      </c>
      <c r="AF3" s="93" t="s">
        <v>416</v>
      </c>
      <c r="AG3" s="93" t="b">
        <f>EXACT(Table11[[#This Row],[Bucket8]],Table11[[#This Row],[Bucket]])</f>
        <v>1</v>
      </c>
      <c r="AH3" s="93">
        <v>1.6547563872</v>
      </c>
      <c r="AI3" s="93">
        <v>5.6865834575999994</v>
      </c>
      <c r="AJ3" s="93"/>
      <c r="AK3" s="93"/>
      <c r="AL3" s="93"/>
      <c r="AM3" s="93"/>
      <c r="AN3" s="93"/>
      <c r="AO3" s="93"/>
      <c r="AP3" s="93">
        <v>0.63476104800000011</v>
      </c>
      <c r="AQ3" s="93">
        <v>4.771652016</v>
      </c>
      <c r="AR3" s="93"/>
      <c r="AS3" s="93">
        <v>0.50780883840000002</v>
      </c>
      <c r="AT3" s="93"/>
      <c r="AU3" s="93">
        <v>5.5815195599999994</v>
      </c>
      <c r="AV3" s="93"/>
      <c r="AW3" s="93"/>
      <c r="AX3" s="93"/>
      <c r="AY3" s="93"/>
      <c r="AZ3" s="93">
        <v>6.9167065920000006</v>
      </c>
      <c r="BA3" s="93"/>
      <c r="BB3" s="93"/>
      <c r="BC3" s="93"/>
      <c r="BD3" s="93"/>
      <c r="BE3" s="467">
        <v>25.753787899199999</v>
      </c>
    </row>
    <row r="4" spans="1:57" x14ac:dyDescent="0.25">
      <c r="A4" t="str">
        <v>14-9.1-2.45-CEW-</v>
      </c>
      <c r="C4" t="str">
        <v>29.4-20.4-4.5-CEW STKM 13C-CEW</v>
      </c>
      <c r="H4" s="43"/>
      <c r="I4" s="43"/>
      <c r="J4" s="91">
        <v>14</v>
      </c>
      <c r="K4" s="15">
        <v>14</v>
      </c>
      <c r="L4" s="15">
        <v>0</v>
      </c>
      <c r="M4" s="15">
        <v>1.6</v>
      </c>
      <c r="N4" s="15" t="s">
        <v>357</v>
      </c>
      <c r="O4" s="15" t="s">
        <v>357</v>
      </c>
      <c r="P4" s="15" t="s">
        <v>965</v>
      </c>
      <c r="Q4" s="92" t="s">
        <v>1817</v>
      </c>
      <c r="R4" s="215">
        <f>Table11[[#This Row],[Grand Total]]</f>
        <v>1.2225904000000001</v>
      </c>
      <c r="S4" s="93">
        <f>VLOOKUP(Table11[[#This Row],[Bucket]],salesforecast[[#All],[Bucket2]:[WIP]],3,0)</f>
        <v>0</v>
      </c>
      <c r="T4" s="93">
        <f>VLOOKUP(Table11[[#This Row],[Bucket]],salesforecast[[#All],[Bucket2]:[WIP]],4,0)</f>
        <v>0</v>
      </c>
      <c r="U4" s="93">
        <f>VLOOKUP(Table11[[#This Row],[Bucket]],salesforecast[[#All],[Bucket2]:[WIP]],5,0)</f>
        <v>0</v>
      </c>
      <c r="V4" s="93">
        <f>VLOOKUP(Table11[[#This Row],[Bucket]],salesforecast[[#All],[Bucket2]:[WIP]],7,0)</f>
        <v>0</v>
      </c>
      <c r="W4" s="93">
        <f>Table11[[#This Row],[Stock LL]]+Table11[[#This Row],[WIP]]+Table11[[#This Row],[Stock CTL]]</f>
        <v>0</v>
      </c>
      <c r="X4" s="93">
        <f>IF((Table11[[#This Row],[Requirement]]-Table11[[#This Row],[Sales]]-Table11[[#This Row],[Total Stock]])&lt;0,0,Table11[[#This Row],[Requirement]]-Table11[[#This Row],[Sales]]-Table11[[#This Row],[Total Stock]])</f>
        <v>1.2225904000000001</v>
      </c>
      <c r="Y4" s="94" t="s">
        <v>1818</v>
      </c>
      <c r="Z4" s="93">
        <v>14</v>
      </c>
      <c r="AA4" s="93">
        <v>14</v>
      </c>
      <c r="AB4" s="93">
        <v>0</v>
      </c>
      <c r="AC4" s="93">
        <v>1.6</v>
      </c>
      <c r="AD4" s="93" t="s">
        <v>357</v>
      </c>
      <c r="AE4" s="93" t="s">
        <v>357</v>
      </c>
      <c r="AF4" s="93" t="s">
        <v>965</v>
      </c>
      <c r="AG4" s="93" t="b">
        <f>EXACT(Table11[[#This Row],[Bucket8]],Table11[[#This Row],[Bucket]])</f>
        <v>1</v>
      </c>
      <c r="AH4" s="93"/>
      <c r="AI4" s="93">
        <v>1.2225904000000001</v>
      </c>
      <c r="AJ4" s="93"/>
      <c r="AK4" s="93"/>
      <c r="AL4" s="93"/>
      <c r="AM4" s="93"/>
      <c r="AN4" s="93"/>
      <c r="AO4" s="93"/>
      <c r="AP4" s="93"/>
      <c r="AQ4" s="93"/>
      <c r="AR4" s="93"/>
      <c r="AS4" s="93"/>
      <c r="AT4" s="93"/>
      <c r="AU4" s="93"/>
      <c r="AV4" s="93"/>
      <c r="AW4" s="93"/>
      <c r="AX4" s="93"/>
      <c r="AY4" s="93"/>
      <c r="AZ4" s="93"/>
      <c r="BA4" s="93"/>
      <c r="BB4" s="93"/>
      <c r="BC4" s="93"/>
      <c r="BD4" s="93"/>
      <c r="BE4" s="467">
        <v>1.2225904000000001</v>
      </c>
    </row>
    <row r="5" spans="1:57" x14ac:dyDescent="0.25">
      <c r="A5" s="136" t="str">
        <v>(blank)</v>
      </c>
      <c r="B5" s="136"/>
      <c r="C5" t="str">
        <v>30-25.5-2.25-CEW-CEW</v>
      </c>
      <c r="D5" s="136"/>
      <c r="G5" s="43"/>
      <c r="H5" s="43"/>
      <c r="I5" s="43"/>
      <c r="J5" s="91">
        <v>14</v>
      </c>
      <c r="K5" s="15">
        <v>14</v>
      </c>
      <c r="L5" s="15">
        <v>0</v>
      </c>
      <c r="M5" s="15">
        <v>2.4500000000000002</v>
      </c>
      <c r="N5" s="15" t="s">
        <v>357</v>
      </c>
      <c r="O5" s="15" t="s">
        <v>357</v>
      </c>
      <c r="P5" s="15" t="s">
        <v>966</v>
      </c>
      <c r="Q5" s="92" t="s">
        <v>1817</v>
      </c>
      <c r="R5" s="215">
        <f>Table11[[#This Row],[Grand Total]]</f>
        <v>3.1255202522775005</v>
      </c>
      <c r="S5" s="93">
        <f>VLOOKUP(Table11[[#This Row],[Bucket]],salesforecast[[#All],[Bucket2]:[WIP]],3,0)</f>
        <v>0</v>
      </c>
      <c r="T5" s="93">
        <f>VLOOKUP(Table11[[#This Row],[Bucket]],salesforecast[[#All],[Bucket2]:[WIP]],4,0)</f>
        <v>0</v>
      </c>
      <c r="U5" s="93">
        <f>VLOOKUP(Table11[[#This Row],[Bucket]],salesforecast[[#All],[Bucket2]:[WIP]],5,0)</f>
        <v>2.0270000000000001</v>
      </c>
      <c r="V5" s="93">
        <f>VLOOKUP(Table11[[#This Row],[Bucket]],salesforecast[[#All],[Bucket2]:[WIP]],7,0)</f>
        <v>0</v>
      </c>
      <c r="W5" s="93">
        <f>Table11[[#This Row],[Stock LL]]+Table11[[#This Row],[WIP]]+Table11[[#This Row],[Stock CTL]]</f>
        <v>2.0270000000000001</v>
      </c>
      <c r="X5" s="93">
        <f>IF((Table11[[#This Row],[Requirement]]-Table11[[#This Row],[Sales]]-Table11[[#This Row],[Total Stock]])&lt;0,0,Table11[[#This Row],[Requirement]]-Table11[[#This Row],[Sales]]-Table11[[#This Row],[Total Stock]])</f>
        <v>1.0985202522775004</v>
      </c>
      <c r="Y5" s="94" t="s">
        <v>1818</v>
      </c>
      <c r="Z5" s="93">
        <v>14</v>
      </c>
      <c r="AA5" s="93">
        <v>14</v>
      </c>
      <c r="AB5" s="93">
        <v>0</v>
      </c>
      <c r="AC5" s="93">
        <v>2.4500000000000002</v>
      </c>
      <c r="AD5" s="93" t="s">
        <v>357</v>
      </c>
      <c r="AE5" s="93" t="s">
        <v>357</v>
      </c>
      <c r="AF5" s="93" t="s">
        <v>966</v>
      </c>
      <c r="AG5" s="93" t="b">
        <f>EXACT(Table11[[#This Row],[Bucket8]],Table11[[#This Row],[Bucket]])</f>
        <v>1</v>
      </c>
      <c r="AH5" s="93"/>
      <c r="AI5" s="93"/>
      <c r="AJ5" s="93"/>
      <c r="AK5" s="93"/>
      <c r="AL5" s="93"/>
      <c r="AM5" s="93"/>
      <c r="AN5" s="93"/>
      <c r="AO5" s="93"/>
      <c r="AP5" s="93">
        <v>2.7900203100000005</v>
      </c>
      <c r="AQ5" s="93"/>
      <c r="AR5" s="93"/>
      <c r="AS5" s="93"/>
      <c r="AT5" s="93"/>
      <c r="AU5" s="93"/>
      <c r="AV5" s="93"/>
      <c r="AW5" s="93"/>
      <c r="AX5" s="93">
        <v>0.33549994227750007</v>
      </c>
      <c r="AY5" s="93"/>
      <c r="AZ5" s="93"/>
      <c r="BA5" s="93"/>
      <c r="BB5" s="93"/>
      <c r="BC5" s="93"/>
      <c r="BD5" s="93"/>
      <c r="BE5" s="467">
        <v>3.1255202522775005</v>
      </c>
    </row>
    <row r="6" spans="1:57" x14ac:dyDescent="0.25">
      <c r="A6" s="137" t="str">
        <v>16.1-0-2-CEW-CEW</v>
      </c>
      <c r="B6" s="136"/>
      <c r="C6" t="str">
        <v>25-25-1.2-CRFH-PE</v>
      </c>
      <c r="D6" s="136"/>
      <c r="G6" s="43"/>
      <c r="H6" s="43"/>
      <c r="I6" s="43"/>
      <c r="J6" s="91">
        <v>14</v>
      </c>
      <c r="K6" s="15">
        <v>14</v>
      </c>
      <c r="L6" s="15">
        <v>10.1</v>
      </c>
      <c r="M6" s="15">
        <v>1.95</v>
      </c>
      <c r="N6" s="15" t="s">
        <v>357</v>
      </c>
      <c r="O6" s="15" t="s">
        <v>357</v>
      </c>
      <c r="P6" s="15" t="s">
        <v>970</v>
      </c>
      <c r="Q6" s="92" t="s">
        <v>1817</v>
      </c>
      <c r="R6" s="215">
        <f>Table11[[#This Row],[Grand Total]]</f>
        <v>1.7375696324999998</v>
      </c>
      <c r="S6" s="93">
        <f>VLOOKUP(Table11[[#This Row],[Bucket]],salesforecast[[#All],[Bucket2]:[WIP]],3,0)</f>
        <v>0</v>
      </c>
      <c r="T6" s="93">
        <f>VLOOKUP(Table11[[#This Row],[Bucket]],salesforecast[[#All],[Bucket2]:[WIP]],4,0)</f>
        <v>0</v>
      </c>
      <c r="U6" s="93">
        <f>VLOOKUP(Table11[[#This Row],[Bucket]],salesforecast[[#All],[Bucket2]:[WIP]],5,0)</f>
        <v>0</v>
      </c>
      <c r="V6" s="93">
        <f>VLOOKUP(Table11[[#This Row],[Bucket]],salesforecast[[#All],[Bucket2]:[WIP]],7,0)</f>
        <v>0</v>
      </c>
      <c r="W6" s="93">
        <f>Table11[[#This Row],[Stock LL]]+Table11[[#This Row],[WIP]]+Table11[[#This Row],[Stock CTL]]</f>
        <v>0</v>
      </c>
      <c r="X6" s="93">
        <f>IF((Table11[[#This Row],[Requirement]]-Table11[[#This Row],[Sales]]-Table11[[#This Row],[Total Stock]])&lt;0,0,Table11[[#This Row],[Requirement]]-Table11[[#This Row],[Sales]]-Table11[[#This Row],[Total Stock]])</f>
        <v>1.7375696324999998</v>
      </c>
      <c r="Y6" s="95" t="s">
        <v>1819</v>
      </c>
      <c r="Z6" s="93">
        <v>14</v>
      </c>
      <c r="AA6" s="93">
        <v>14</v>
      </c>
      <c r="AB6" s="93">
        <v>10.1</v>
      </c>
      <c r="AC6" s="93">
        <v>1.95</v>
      </c>
      <c r="AD6" s="93" t="s">
        <v>357</v>
      </c>
      <c r="AE6" s="93" t="s">
        <v>357</v>
      </c>
      <c r="AF6" s="93" t="s">
        <v>970</v>
      </c>
      <c r="AG6" s="93" t="b">
        <f>EXACT(Table11[[#This Row],[Bucket8]],Table11[[#This Row],[Bucket]])</f>
        <v>1</v>
      </c>
      <c r="AH6" s="93"/>
      <c r="AI6" s="93"/>
      <c r="AJ6" s="93"/>
      <c r="AK6" s="93"/>
      <c r="AL6" s="93"/>
      <c r="AM6" s="93"/>
      <c r="AN6" s="93"/>
      <c r="AO6" s="93"/>
      <c r="AP6" s="93"/>
      <c r="AQ6" s="93"/>
      <c r="AR6" s="93"/>
      <c r="AS6" s="93"/>
      <c r="AT6" s="93"/>
      <c r="AU6" s="93"/>
      <c r="AV6" s="93"/>
      <c r="AW6" s="93"/>
      <c r="AX6" s="93"/>
      <c r="AY6" s="93"/>
      <c r="AZ6" s="93">
        <v>1.7375696324999998</v>
      </c>
      <c r="BA6" s="93"/>
      <c r="BB6" s="93"/>
      <c r="BC6" s="93"/>
      <c r="BD6" s="93"/>
      <c r="BE6" s="467">
        <v>1.7375696324999998</v>
      </c>
    </row>
    <row r="7" spans="1:57" x14ac:dyDescent="0.25">
      <c r="A7" t="str">
        <v>(blank)</v>
      </c>
      <c r="C7" t="str">
        <v>31.75-0-1.2-ERW 1-FC</v>
      </c>
      <c r="H7" s="43"/>
      <c r="I7" s="43"/>
      <c r="J7" s="91">
        <v>15.88</v>
      </c>
      <c r="K7" s="15">
        <v>15.88</v>
      </c>
      <c r="L7" s="15">
        <v>0</v>
      </c>
      <c r="M7" s="15">
        <v>1</v>
      </c>
      <c r="N7" s="15" t="s">
        <v>962</v>
      </c>
      <c r="O7" s="15" t="s">
        <v>963</v>
      </c>
      <c r="P7" s="15" t="s">
        <v>423</v>
      </c>
      <c r="Q7" s="92" t="s">
        <v>1816</v>
      </c>
      <c r="R7" s="215">
        <f>Table11[[#This Row],[Grand Total]]</f>
        <v>6.7743734064000005</v>
      </c>
      <c r="S7" s="93">
        <f>VLOOKUP(Table11[[#This Row],[Bucket]],salesforecast[[#All],[Bucket2]:[WIP]],3,0)</f>
        <v>16.544900000000002</v>
      </c>
      <c r="T7" s="93">
        <f>VLOOKUP(Table11[[#This Row],[Bucket]],salesforecast[[#All],[Bucket2]:[WIP]],4,0)</f>
        <v>7.565932000000001</v>
      </c>
      <c r="U7" s="93">
        <f>VLOOKUP(Table11[[#This Row],[Bucket]],salesforecast[[#All],[Bucket2]:[WIP]],5,0)</f>
        <v>0.17900000000000027</v>
      </c>
      <c r="V7" s="93">
        <f>VLOOKUP(Table11[[#This Row],[Bucket]],salesforecast[[#All],[Bucket2]:[WIP]],7,0)</f>
        <v>0</v>
      </c>
      <c r="W7" s="93">
        <f>Table11[[#This Row],[Stock LL]]+Table11[[#This Row],[WIP]]+Table11[[#This Row],[Stock CTL]]</f>
        <v>7.7449320000000013</v>
      </c>
      <c r="X7" s="93">
        <f>IF((Table11[[#This Row],[Requirement]]-Table11[[#This Row],[Sales]]-Table11[[#This Row],[Total Stock]])&lt;0,0,Table11[[#This Row],[Requirement]]-Table11[[#This Row],[Sales]]-Table11[[#This Row],[Total Stock]])</f>
        <v>0</v>
      </c>
      <c r="Y7" s="96"/>
      <c r="Z7" s="93">
        <v>15.88</v>
      </c>
      <c r="AA7" s="93">
        <v>15.88</v>
      </c>
      <c r="AB7" s="93">
        <v>0</v>
      </c>
      <c r="AC7" s="93">
        <v>1</v>
      </c>
      <c r="AD7" s="93" t="s">
        <v>962</v>
      </c>
      <c r="AE7" s="93" t="s">
        <v>963</v>
      </c>
      <c r="AF7" s="93" t="s">
        <v>423</v>
      </c>
      <c r="AG7" s="93" t="b">
        <f>EXACT(Table11[[#This Row],[Bucket8]],Table11[[#This Row],[Bucket]])</f>
        <v>1</v>
      </c>
      <c r="AH7" s="93"/>
      <c r="AI7" s="93"/>
      <c r="AJ7" s="93"/>
      <c r="AK7" s="93"/>
      <c r="AL7" s="93"/>
      <c r="AM7" s="93"/>
      <c r="AN7" s="93"/>
      <c r="AO7" s="93">
        <v>0.1026975936</v>
      </c>
      <c r="AP7" s="93">
        <v>6.6716758128000002</v>
      </c>
      <c r="AQ7" s="93"/>
      <c r="AR7" s="93"/>
      <c r="AS7" s="93"/>
      <c r="AT7" s="93"/>
      <c r="AU7" s="93"/>
      <c r="AV7" s="93"/>
      <c r="AW7" s="93"/>
      <c r="AX7" s="93"/>
      <c r="AY7" s="93"/>
      <c r="AZ7" s="93"/>
      <c r="BA7" s="93"/>
      <c r="BB7" s="93"/>
      <c r="BC7" s="93"/>
      <c r="BD7" s="93"/>
      <c r="BE7" s="467">
        <v>6.7743734064000005</v>
      </c>
    </row>
    <row r="8" spans="1:57" x14ac:dyDescent="0.25">
      <c r="A8" s="136" t="str">
        <v>16.1-10.7-2.95-CEW-CEW</v>
      </c>
      <c r="B8" s="136"/>
      <c r="C8" t="str">
        <v>31.75-0-1.2-ERW 1-PE</v>
      </c>
      <c r="D8" s="136"/>
      <c r="G8" s="43"/>
      <c r="H8" s="43"/>
      <c r="I8" s="43"/>
      <c r="J8" s="91">
        <v>15.88</v>
      </c>
      <c r="K8" s="15">
        <v>15.88</v>
      </c>
      <c r="L8" s="15">
        <v>0</v>
      </c>
      <c r="M8" s="15">
        <v>1.2</v>
      </c>
      <c r="N8" s="15" t="s">
        <v>962</v>
      </c>
      <c r="O8" s="15" t="s">
        <v>963</v>
      </c>
      <c r="P8" s="15" t="s">
        <v>463</v>
      </c>
      <c r="Q8" s="92" t="s">
        <v>1816</v>
      </c>
      <c r="R8" s="215">
        <f>Table11[[#This Row],[Grand Total]]</f>
        <v>14.75034415248</v>
      </c>
      <c r="S8" s="93">
        <f>VLOOKUP(Table11[[#This Row],[Bucket]],salesforecast[[#All],[Bucket2]:[WIP]],3,0)</f>
        <v>12.248701999999994</v>
      </c>
      <c r="T8" s="93">
        <f>VLOOKUP(Table11[[#This Row],[Bucket]],salesforecast[[#All],[Bucket2]:[WIP]],4,0)</f>
        <v>4.7158829999999998</v>
      </c>
      <c r="U8" s="93">
        <f>VLOOKUP(Table11[[#This Row],[Bucket]],salesforecast[[#All],[Bucket2]:[WIP]],5,0)</f>
        <v>6.0695910000000008</v>
      </c>
      <c r="V8" s="93">
        <f>VLOOKUP(Table11[[#This Row],[Bucket]],salesforecast[[#All],[Bucket2]:[WIP]],7,0)</f>
        <v>7.3860000000000001</v>
      </c>
      <c r="W8" s="93">
        <f>Table11[[#This Row],[Stock LL]]+Table11[[#This Row],[WIP]]+Table11[[#This Row],[Stock CTL]]</f>
        <v>18.171474000000003</v>
      </c>
      <c r="X8" s="93">
        <f>IF((Table11[[#This Row],[Requirement]]-Table11[[#This Row],[Sales]]-Table11[[#This Row],[Total Stock]])&lt;0,0,Table11[[#This Row],[Requirement]]-Table11[[#This Row],[Sales]]-Table11[[#This Row],[Total Stock]])</f>
        <v>0</v>
      </c>
      <c r="Y8" s="94" t="str">
        <f>_xlfn.CONCAT(ROUND(Table11[[#This Row],[Total Stock]]/Table11[[#This Row],[Requirement]]*100,0),"% Coverage. Rest by Week 3")</f>
        <v>123% Coverage. Rest by Week 3</v>
      </c>
      <c r="Z8" s="93">
        <v>15.88</v>
      </c>
      <c r="AA8" s="93">
        <v>15.88</v>
      </c>
      <c r="AB8" s="93">
        <v>0</v>
      </c>
      <c r="AC8" s="93">
        <v>1.2</v>
      </c>
      <c r="AD8" s="93" t="s">
        <v>962</v>
      </c>
      <c r="AE8" s="93" t="s">
        <v>963</v>
      </c>
      <c r="AF8" s="93" t="s">
        <v>463</v>
      </c>
      <c r="AG8" s="93" t="b">
        <f>EXACT(Table11[[#This Row],[Bucket8]],Table11[[#This Row],[Bucket]])</f>
        <v>1</v>
      </c>
      <c r="AH8" s="93">
        <v>3.9817679092800002</v>
      </c>
      <c r="AI8" s="93"/>
      <c r="AJ8" s="93"/>
      <c r="AK8" s="93"/>
      <c r="AL8" s="93"/>
      <c r="AM8" s="93"/>
      <c r="AN8" s="93"/>
      <c r="AO8" s="93"/>
      <c r="AP8" s="93"/>
      <c r="AQ8" s="93"/>
      <c r="AR8" s="93"/>
      <c r="AS8" s="93"/>
      <c r="AT8" s="93"/>
      <c r="AU8" s="93"/>
      <c r="AV8" s="93"/>
      <c r="AW8" s="93"/>
      <c r="AX8" s="93"/>
      <c r="AY8" s="93"/>
      <c r="AZ8" s="93">
        <v>9.6396126047999999</v>
      </c>
      <c r="BA8" s="93"/>
      <c r="BB8" s="93">
        <v>0.56448181920000007</v>
      </c>
      <c r="BC8" s="93">
        <v>0.56448181920000007</v>
      </c>
      <c r="BD8" s="93"/>
      <c r="BE8" s="467">
        <v>14.75034415248</v>
      </c>
    </row>
    <row r="9" spans="1:57" x14ac:dyDescent="0.25">
      <c r="A9" s="136" t="str">
        <v>17.3-0-1.2-CEW-CEW</v>
      </c>
      <c r="B9" s="136"/>
      <c r="C9" t="str">
        <v>31.75-0-1.6-ERW 1-FC</v>
      </c>
      <c r="D9" s="136"/>
      <c r="G9" s="43"/>
      <c r="H9" s="43"/>
      <c r="I9" s="43"/>
      <c r="J9" s="91">
        <v>15.88</v>
      </c>
      <c r="K9" s="15">
        <v>15.88</v>
      </c>
      <c r="L9" s="15">
        <v>0</v>
      </c>
      <c r="M9" s="15">
        <v>1.6</v>
      </c>
      <c r="N9" s="15" t="s">
        <v>962</v>
      </c>
      <c r="O9" s="15" t="s">
        <v>963</v>
      </c>
      <c r="P9" s="15" t="s">
        <v>506</v>
      </c>
      <c r="Q9" s="92" t="s">
        <v>1816</v>
      </c>
      <c r="R9" s="215">
        <f>Table11[[#This Row],[Grand Total]]</f>
        <v>14.140895458367998</v>
      </c>
      <c r="S9" s="93">
        <f>VLOOKUP(Table11[[#This Row],[Bucket]],salesforecast[[#All],[Bucket2]:[WIP]],3,0)</f>
        <v>11.105666999999999</v>
      </c>
      <c r="T9" s="93">
        <f>VLOOKUP(Table11[[#This Row],[Bucket]],salesforecast[[#All],[Bucket2]:[WIP]],4,0)</f>
        <v>2.3809990000000001</v>
      </c>
      <c r="U9" s="93">
        <f>VLOOKUP(Table11[[#This Row],[Bucket]],salesforecast[[#All],[Bucket2]:[WIP]],5,0)</f>
        <v>0</v>
      </c>
      <c r="V9" s="93">
        <f>VLOOKUP(Table11[[#This Row],[Bucket]],salesforecast[[#All],[Bucket2]:[WIP]],7,0)</f>
        <v>3.8879999999999999</v>
      </c>
      <c r="W9" s="93">
        <f>Table11[[#This Row],[Stock LL]]+Table11[[#This Row],[WIP]]+Table11[[#This Row],[Stock CTL]]</f>
        <v>6.268999</v>
      </c>
      <c r="X9" s="93">
        <f>IF((Table11[[#This Row],[Requirement]]-Table11[[#This Row],[Sales]]-Table11[[#This Row],[Total Stock]])&lt;0,0,Table11[[#This Row],[Requirement]]-Table11[[#This Row],[Sales]]-Table11[[#This Row],[Total Stock]])</f>
        <v>0</v>
      </c>
      <c r="Y9" s="96"/>
      <c r="Z9" s="93">
        <v>15.88</v>
      </c>
      <c r="AA9" s="93">
        <v>15.88</v>
      </c>
      <c r="AB9" s="93">
        <v>0</v>
      </c>
      <c r="AC9" s="93">
        <v>1.6</v>
      </c>
      <c r="AD9" s="93" t="s">
        <v>962</v>
      </c>
      <c r="AE9" s="93" t="s">
        <v>963</v>
      </c>
      <c r="AF9" s="93" t="s">
        <v>506</v>
      </c>
      <c r="AG9" s="93" t="b">
        <f>EXACT(Table11[[#This Row],[Bucket8]],Table11[[#This Row],[Bucket]])</f>
        <v>1</v>
      </c>
      <c r="AH9" s="93"/>
      <c r="AI9" s="93">
        <v>6.1977997737599999</v>
      </c>
      <c r="AJ9" s="93"/>
      <c r="AK9" s="93"/>
      <c r="AL9" s="93">
        <v>1.1263607039999999</v>
      </c>
      <c r="AM9" s="93"/>
      <c r="AN9" s="93"/>
      <c r="AO9" s="93"/>
      <c r="AP9" s="93"/>
      <c r="AQ9" s="93"/>
      <c r="AR9" s="93"/>
      <c r="AS9" s="93">
        <v>0.49785143116800001</v>
      </c>
      <c r="AT9" s="93"/>
      <c r="AU9" s="93"/>
      <c r="AV9" s="93"/>
      <c r="AW9" s="93"/>
      <c r="AX9" s="93"/>
      <c r="AY9" s="93"/>
      <c r="AZ9" s="93">
        <v>6.3188835494399989</v>
      </c>
      <c r="BA9" s="93"/>
      <c r="BB9" s="93"/>
      <c r="BC9" s="93"/>
      <c r="BD9" s="93"/>
      <c r="BE9" s="467">
        <v>14.140895458367998</v>
      </c>
    </row>
    <row r="10" spans="1:57" x14ac:dyDescent="0.25">
      <c r="A10" s="137" t="str">
        <v>17.3-0-1.2-CEW-</v>
      </c>
      <c r="B10" s="136"/>
      <c r="C10" t="str">
        <v>31.75-0-2.3-ERW 1-FC</v>
      </c>
      <c r="D10" s="136"/>
      <c r="G10" s="43"/>
      <c r="H10" s="43"/>
      <c r="I10" s="43"/>
      <c r="J10" s="91">
        <v>15.88</v>
      </c>
      <c r="K10" s="15">
        <v>15.88</v>
      </c>
      <c r="L10" s="15">
        <v>0</v>
      </c>
      <c r="M10" s="15">
        <v>2</v>
      </c>
      <c r="N10" s="15" t="s">
        <v>962</v>
      </c>
      <c r="O10" s="15" t="s">
        <v>963</v>
      </c>
      <c r="P10" s="15" t="s">
        <v>537</v>
      </c>
      <c r="Q10" s="92" t="s">
        <v>1816</v>
      </c>
      <c r="R10" s="215">
        <f>Table11[[#This Row],[Grand Total]]</f>
        <v>9.0921232146239994</v>
      </c>
      <c r="S10" s="93">
        <f>VLOOKUP(Table11[[#This Row],[Bucket]],salesforecast[[#All],[Bucket2]:[WIP]],3,0)</f>
        <v>8.190179999999998</v>
      </c>
      <c r="T10" s="93">
        <f>VLOOKUP(Table11[[#This Row],[Bucket]],salesforecast[[#All],[Bucket2]:[WIP]],4,0)</f>
        <v>0.30237799999999998</v>
      </c>
      <c r="U10" s="93">
        <f>VLOOKUP(Table11[[#This Row],[Bucket]],salesforecast[[#All],[Bucket2]:[WIP]],5,0)</f>
        <v>0</v>
      </c>
      <c r="V10" s="93">
        <f>VLOOKUP(Table11[[#This Row],[Bucket]],salesforecast[[#All],[Bucket2]:[WIP]],7,0)</f>
        <v>0.24399999999999999</v>
      </c>
      <c r="W10" s="93">
        <f>Table11[[#This Row],[Stock LL]]+Table11[[#This Row],[WIP]]+Table11[[#This Row],[Stock CTL]]</f>
        <v>0.54637800000000003</v>
      </c>
      <c r="X10" s="93">
        <f>IF((Table11[[#This Row],[Requirement]]-Table11[[#This Row],[Sales]]-Table11[[#This Row],[Total Stock]])&lt;0,0,Table11[[#This Row],[Requirement]]-Table11[[#This Row],[Sales]]-Table11[[#This Row],[Total Stock]])</f>
        <v>0.35556521462400137</v>
      </c>
      <c r="Y10" s="94" t="str">
        <f>_xlfn.CONCAT(ROUND(Table11[[#This Row],[Total Stock]]/Table11[[#This Row],[Requirement]]*100,0),"% Coverage. Rest by Week 3")</f>
        <v>6% Coverage. Rest by Week 3</v>
      </c>
      <c r="Z10" s="93">
        <v>15.88</v>
      </c>
      <c r="AA10" s="93">
        <v>15.88</v>
      </c>
      <c r="AB10" s="93">
        <v>0</v>
      </c>
      <c r="AC10" s="93">
        <v>2</v>
      </c>
      <c r="AD10" s="93" t="s">
        <v>962</v>
      </c>
      <c r="AE10" s="93" t="s">
        <v>963</v>
      </c>
      <c r="AF10" s="93" t="s">
        <v>537</v>
      </c>
      <c r="AG10" s="93" t="b">
        <f>EXACT(Table11[[#This Row],[Bucket8]],Table11[[#This Row],[Bucket]])</f>
        <v>1</v>
      </c>
      <c r="AH10" s="93"/>
      <c r="AI10" s="93"/>
      <c r="AJ10" s="93">
        <v>1.7124196662240001</v>
      </c>
      <c r="AK10" s="93"/>
      <c r="AL10" s="93"/>
      <c r="AM10" s="93"/>
      <c r="AN10" s="93"/>
      <c r="AO10" s="93"/>
      <c r="AP10" s="93"/>
      <c r="AQ10" s="93">
        <v>0.99559282920000014</v>
      </c>
      <c r="AR10" s="93"/>
      <c r="AS10" s="93"/>
      <c r="AT10" s="93"/>
      <c r="AU10" s="93"/>
      <c r="AV10" s="93">
        <v>0.99559282920000014</v>
      </c>
      <c r="AW10" s="93"/>
      <c r="AX10" s="93"/>
      <c r="AY10" s="93"/>
      <c r="AZ10" s="93">
        <v>5.3885178900000001</v>
      </c>
      <c r="BA10" s="93"/>
      <c r="BB10" s="93"/>
      <c r="BC10" s="93"/>
      <c r="BD10" s="93"/>
      <c r="BE10" s="467">
        <v>9.0921232146239994</v>
      </c>
    </row>
    <row r="11" spans="1:57" x14ac:dyDescent="0.25">
      <c r="A11" s="136" t="str">
        <v>17.3-0-1.2-ERW 1-</v>
      </c>
      <c r="B11" s="136"/>
      <c r="C11" t="str">
        <v>31.75-0-2.5-ERW 1-FC</v>
      </c>
      <c r="D11" s="136"/>
      <c r="G11" s="43"/>
      <c r="H11" s="43"/>
      <c r="I11" s="43"/>
      <c r="J11" s="91">
        <v>16.100000000000001</v>
      </c>
      <c r="K11" s="15">
        <v>16.100000000000001</v>
      </c>
      <c r="L11" s="15">
        <v>0</v>
      </c>
      <c r="M11" s="15">
        <v>2.8</v>
      </c>
      <c r="N11" s="15" t="s">
        <v>357</v>
      </c>
      <c r="O11" s="15" t="s">
        <v>357</v>
      </c>
      <c r="P11" s="15" t="s">
        <v>546</v>
      </c>
      <c r="Q11" s="92" t="s">
        <v>1817</v>
      </c>
      <c r="R11" s="215">
        <f>Table11[[#This Row],[Grand Total]]</f>
        <v>2.7537862799999999</v>
      </c>
      <c r="S11" s="93">
        <f>VLOOKUP(Table11[[#This Row],[Bucket]],salesforecast[[#All],[Bucket2]:[WIP]],3,0)</f>
        <v>6.8385009999999999</v>
      </c>
      <c r="T11" s="93">
        <f>VLOOKUP(Table11[[#This Row],[Bucket]],salesforecast[[#All],[Bucket2]:[WIP]],4,0)</f>
        <v>0</v>
      </c>
      <c r="U11" s="93">
        <f>VLOOKUP(Table11[[#This Row],[Bucket]],salesforecast[[#All],[Bucket2]:[WIP]],5,0)</f>
        <v>1.92143</v>
      </c>
      <c r="V11" s="93">
        <f>VLOOKUP(Table11[[#This Row],[Bucket]],salesforecast[[#All],[Bucket2]:[WIP]],7,0)</f>
        <v>0</v>
      </c>
      <c r="W11" s="93">
        <f>Table11[[#This Row],[Stock LL]]+Table11[[#This Row],[WIP]]+Table11[[#This Row],[Stock CTL]]</f>
        <v>1.92143</v>
      </c>
      <c r="X11" s="93">
        <f>IF((Table11[[#This Row],[Requirement]]-Table11[[#This Row],[Sales]]-Table11[[#This Row],[Total Stock]])&lt;0,0,Table11[[#This Row],[Requirement]]-Table11[[#This Row],[Sales]]-Table11[[#This Row],[Total Stock]])</f>
        <v>0</v>
      </c>
      <c r="Y11" s="94" t="s">
        <v>1818</v>
      </c>
      <c r="Z11" s="93">
        <v>16.100000000000001</v>
      </c>
      <c r="AA11" s="93">
        <v>16.100000000000001</v>
      </c>
      <c r="AB11" s="93">
        <v>0</v>
      </c>
      <c r="AC11" s="93">
        <v>2.8</v>
      </c>
      <c r="AD11" s="93" t="s">
        <v>357</v>
      </c>
      <c r="AE11" s="93" t="s">
        <v>357</v>
      </c>
      <c r="AF11" s="93" t="s">
        <v>546</v>
      </c>
      <c r="AG11" s="93" t="b">
        <f>EXACT(Table11[[#This Row],[Bucket8]],Table11[[#This Row],[Bucket]])</f>
        <v>1</v>
      </c>
      <c r="AH11" s="93"/>
      <c r="AI11" s="93">
        <v>2.7537862799999999</v>
      </c>
      <c r="AJ11" s="93"/>
      <c r="AK11" s="93"/>
      <c r="AL11" s="93"/>
      <c r="AM11" s="93"/>
      <c r="AN11" s="93"/>
      <c r="AO11" s="93"/>
      <c r="AP11" s="93"/>
      <c r="AQ11" s="93"/>
      <c r="AR11" s="93"/>
      <c r="AS11" s="93"/>
      <c r="AT11" s="93"/>
      <c r="AU11" s="93"/>
      <c r="AV11" s="93"/>
      <c r="AW11" s="93"/>
      <c r="AX11" s="93"/>
      <c r="AY11" s="93"/>
      <c r="AZ11" s="93"/>
      <c r="BA11" s="93"/>
      <c r="BB11" s="93"/>
      <c r="BC11" s="93"/>
      <c r="BD11" s="93"/>
      <c r="BE11" s="467">
        <v>2.7537862799999999</v>
      </c>
    </row>
    <row r="12" spans="1:57" ht="30" x14ac:dyDescent="0.25">
      <c r="A12" s="136" t="str">
        <v>17.3-0-1.6-CEW-</v>
      </c>
      <c r="B12" s="136"/>
      <c r="C12" t="str">
        <v>31.75-25-3.37-CEW-CEW</v>
      </c>
      <c r="D12" s="136"/>
      <c r="G12" s="43"/>
      <c r="H12" s="43"/>
      <c r="I12" s="43"/>
      <c r="J12" s="91">
        <v>16.100000000000001</v>
      </c>
      <c r="K12" s="15">
        <v>16.100000000000001</v>
      </c>
      <c r="L12" s="15">
        <v>10.4</v>
      </c>
      <c r="M12" s="15">
        <v>2.7</v>
      </c>
      <c r="N12" s="15" t="s">
        <v>357</v>
      </c>
      <c r="O12" s="15" t="s">
        <v>357</v>
      </c>
      <c r="P12" s="15" t="s">
        <v>972</v>
      </c>
      <c r="Q12" s="92" t="s">
        <v>1817</v>
      </c>
      <c r="R12" s="215">
        <f>Table11[[#This Row],[Grand Total]]</f>
        <v>2.6754024600000008</v>
      </c>
      <c r="S12" s="93">
        <f>VLOOKUP(Table11[[#This Row],[Bucket]],salesforecast[[#All],[Bucket2]:[WIP]],3,0)</f>
        <v>0</v>
      </c>
      <c r="T12" s="93">
        <f>VLOOKUP(Table11[[#This Row],[Bucket]],salesforecast[[#All],[Bucket2]:[WIP]],4,0)</f>
        <v>0</v>
      </c>
      <c r="U12" s="93">
        <f>VLOOKUP(Table11[[#This Row],[Bucket]],salesforecast[[#All],[Bucket2]:[WIP]],5,0)</f>
        <v>7.4622169999999999</v>
      </c>
      <c r="V12" s="93">
        <f>VLOOKUP(Table11[[#This Row],[Bucket]],salesforecast[[#All],[Bucket2]:[WIP]],7,0)</f>
        <v>0</v>
      </c>
      <c r="W12" s="93">
        <f>Table11[[#This Row],[Stock LL]]+Table11[[#This Row],[WIP]]+Table11[[#This Row],[Stock CTL]]</f>
        <v>7.4622169999999999</v>
      </c>
      <c r="X12" s="93">
        <f>IF((Table11[[#This Row],[Requirement]]-Table11[[#This Row],[Sales]]-Table11[[#This Row],[Total Stock]])&lt;0,0,Table11[[#This Row],[Requirement]]-Table11[[#This Row],[Sales]]-Table11[[#This Row],[Total Stock]])</f>
        <v>0</v>
      </c>
      <c r="Y12" s="216" t="s">
        <v>1820</v>
      </c>
      <c r="Z12" s="93">
        <v>16.100000000000001</v>
      </c>
      <c r="AA12" s="93">
        <v>16.100000000000001</v>
      </c>
      <c r="AB12" s="93">
        <v>10.4</v>
      </c>
      <c r="AC12" s="93">
        <v>2.7</v>
      </c>
      <c r="AD12" s="93" t="s">
        <v>357</v>
      </c>
      <c r="AE12" s="93" t="s">
        <v>357</v>
      </c>
      <c r="AF12" s="93" t="s">
        <v>972</v>
      </c>
      <c r="AG12" s="93" t="b">
        <f>EXACT(Table11[[#This Row],[Bucket8]],Table11[[#This Row],[Bucket]])</f>
        <v>1</v>
      </c>
      <c r="AH12" s="93"/>
      <c r="AI12" s="93"/>
      <c r="AJ12" s="93"/>
      <c r="AK12" s="93"/>
      <c r="AL12" s="93"/>
      <c r="AM12" s="93"/>
      <c r="AN12" s="93"/>
      <c r="AO12" s="93"/>
      <c r="AP12" s="93"/>
      <c r="AQ12" s="93">
        <v>2.6754024600000008</v>
      </c>
      <c r="AR12" s="93"/>
      <c r="AS12" s="93"/>
      <c r="AT12" s="93"/>
      <c r="AU12" s="93"/>
      <c r="AV12" s="93"/>
      <c r="AW12" s="93"/>
      <c r="AX12" s="93"/>
      <c r="AY12" s="93"/>
      <c r="AZ12" s="93"/>
      <c r="BA12" s="93"/>
      <c r="BB12" s="93"/>
      <c r="BC12" s="93"/>
      <c r="BD12" s="93"/>
      <c r="BE12" s="467">
        <v>2.6754024600000008</v>
      </c>
    </row>
    <row r="13" spans="1:57" x14ac:dyDescent="0.25">
      <c r="A13" s="137" t="str">
        <v>26-18-4-CEW-</v>
      </c>
      <c r="B13" s="136"/>
      <c r="C13" t="str">
        <v>33.3-29.3-2-CEW-CEW</v>
      </c>
      <c r="D13" s="136"/>
      <c r="G13" s="43"/>
      <c r="H13" s="43"/>
      <c r="I13" s="43"/>
      <c r="J13" s="91">
        <v>17.3</v>
      </c>
      <c r="K13" s="15">
        <v>17.3</v>
      </c>
      <c r="L13" s="15">
        <v>0</v>
      </c>
      <c r="M13" s="15">
        <v>1.2</v>
      </c>
      <c r="N13" s="15" t="s">
        <v>962</v>
      </c>
      <c r="O13" s="15" t="s">
        <v>963</v>
      </c>
      <c r="P13" s="15" t="s">
        <v>557</v>
      </c>
      <c r="Q13" s="92" t="s">
        <v>1816</v>
      </c>
      <c r="R13" s="215">
        <f>Table11[[#This Row],[Grand Total]]</f>
        <v>1.0714920300000004</v>
      </c>
      <c r="S13" s="93">
        <f>VLOOKUP(Table11[[#This Row],[Bucket]],salesforecast[[#All],[Bucket2]:[WIP]],3,0)</f>
        <v>0.56799999999999995</v>
      </c>
      <c r="T13" s="93">
        <f>VLOOKUP(Table11[[#This Row],[Bucket]],salesforecast[[#All],[Bucket2]:[WIP]],4,0)</f>
        <v>0</v>
      </c>
      <c r="U13" s="93">
        <f>VLOOKUP(Table11[[#This Row],[Bucket]],salesforecast[[#All],[Bucket2]:[WIP]],5,0)</f>
        <v>4.49552</v>
      </c>
      <c r="V13" s="93">
        <f>VLOOKUP(Table11[[#This Row],[Bucket]],salesforecast[[#All],[Bucket2]:[WIP]],7,0)</f>
        <v>0</v>
      </c>
      <c r="W13" s="93">
        <f>Table11[[#This Row],[Stock LL]]+Table11[[#This Row],[WIP]]+Table11[[#This Row],[Stock CTL]]</f>
        <v>4.49552</v>
      </c>
      <c r="X13" s="93">
        <f>IF((Table11[[#This Row],[Requirement]]-Table11[[#This Row],[Sales]]-Table11[[#This Row],[Total Stock]])&lt;0,0,Table11[[#This Row],[Requirement]]-Table11[[#This Row],[Sales]]-Table11[[#This Row],[Total Stock]])</f>
        <v>0</v>
      </c>
      <c r="Y13" s="95" t="s">
        <v>1819</v>
      </c>
      <c r="Z13" s="93">
        <v>17.3</v>
      </c>
      <c r="AA13" s="93">
        <v>17.3</v>
      </c>
      <c r="AB13" s="93">
        <v>0</v>
      </c>
      <c r="AC13" s="93">
        <v>1.2</v>
      </c>
      <c r="AD13" s="93" t="s">
        <v>962</v>
      </c>
      <c r="AE13" s="93" t="s">
        <v>963</v>
      </c>
      <c r="AF13" s="93" t="s">
        <v>557</v>
      </c>
      <c r="AG13" s="93" t="b">
        <f>EXACT(Table11[[#This Row],[Bucket8]],Table11[[#This Row],[Bucket]])</f>
        <v>1</v>
      </c>
      <c r="AH13" s="93"/>
      <c r="AI13" s="93"/>
      <c r="AJ13" s="93"/>
      <c r="AK13" s="93"/>
      <c r="AL13" s="93"/>
      <c r="AM13" s="93"/>
      <c r="AN13" s="93"/>
      <c r="AO13" s="93">
        <v>1.0714920300000004</v>
      </c>
      <c r="AP13" s="93"/>
      <c r="AQ13" s="93"/>
      <c r="AR13" s="93"/>
      <c r="AS13" s="93"/>
      <c r="AT13" s="93"/>
      <c r="AU13" s="93"/>
      <c r="AV13" s="93"/>
      <c r="AW13" s="93"/>
      <c r="AX13" s="93"/>
      <c r="AY13" s="93"/>
      <c r="AZ13" s="93"/>
      <c r="BA13" s="93"/>
      <c r="BB13" s="93"/>
      <c r="BC13" s="93"/>
      <c r="BD13" s="93"/>
      <c r="BE13" s="467">
        <v>1.0714920300000004</v>
      </c>
    </row>
    <row r="14" spans="1:57" x14ac:dyDescent="0.25">
      <c r="A14" s="136" t="str">
        <v>19-12.5-3.25-CEW-</v>
      </c>
      <c r="B14" s="136"/>
      <c r="C14" t="str">
        <v>34.93-0-1.2-ERW 1-FC</v>
      </c>
      <c r="D14" s="136"/>
      <c r="G14" s="43"/>
      <c r="H14" s="43"/>
      <c r="I14" s="43"/>
      <c r="J14" s="91">
        <v>17.3</v>
      </c>
      <c r="K14" s="15">
        <v>17.3</v>
      </c>
      <c r="L14" s="15">
        <v>0</v>
      </c>
      <c r="M14" s="15">
        <v>1.6</v>
      </c>
      <c r="N14" s="15" t="s">
        <v>962</v>
      </c>
      <c r="O14" s="15" t="s">
        <v>963</v>
      </c>
      <c r="P14" s="15" t="s">
        <v>978</v>
      </c>
      <c r="Q14" s="92" t="s">
        <v>1816</v>
      </c>
      <c r="R14" s="215">
        <f>Table11[[#This Row],[Grand Total]]</f>
        <v>20.005798852799998</v>
      </c>
      <c r="S14" s="93">
        <f>VLOOKUP(Table11[[#This Row],[Bucket]],salesforecast[[#All],[Bucket2]:[WIP]],3,0)</f>
        <v>0.24787799999999999</v>
      </c>
      <c r="T14" s="93">
        <f>VLOOKUP(Table11[[#This Row],[Bucket]],salesforecast[[#All],[Bucket2]:[WIP]],4,0)</f>
        <v>0.75500499999999993</v>
      </c>
      <c r="U14" s="93">
        <f>VLOOKUP(Table11[[#This Row],[Bucket]],salesforecast[[#All],[Bucket2]:[WIP]],5,0)</f>
        <v>9.3040000000000012E-2</v>
      </c>
      <c r="V14" s="93">
        <f>VLOOKUP(Table11[[#This Row],[Bucket]],salesforecast[[#All],[Bucket2]:[WIP]],7,0)</f>
        <v>0</v>
      </c>
      <c r="W14" s="93">
        <f>Table11[[#This Row],[Stock LL]]+Table11[[#This Row],[WIP]]+Table11[[#This Row],[Stock CTL]]</f>
        <v>0.84804499999999994</v>
      </c>
      <c r="X14" s="93">
        <f>IF((Table11[[#This Row],[Requirement]]-Table11[[#This Row],[Sales]]-Table11[[#This Row],[Total Stock]])&lt;0,0,Table11[[#This Row],[Requirement]]-Table11[[#This Row],[Sales]]-Table11[[#This Row],[Total Stock]])</f>
        <v>18.909875852799999</v>
      </c>
      <c r="Y14" s="96"/>
      <c r="Z14" s="93">
        <v>17.3</v>
      </c>
      <c r="AA14" s="93">
        <v>17.3</v>
      </c>
      <c r="AB14" s="93">
        <v>0</v>
      </c>
      <c r="AC14" s="93">
        <v>1.6</v>
      </c>
      <c r="AD14" s="93" t="s">
        <v>962</v>
      </c>
      <c r="AE14" s="93" t="s">
        <v>963</v>
      </c>
      <c r="AF14" s="93" t="s">
        <v>978</v>
      </c>
      <c r="AG14" s="93" t="b">
        <f>EXACT(Table11[[#This Row],[Bucket8]],Table11[[#This Row],[Bucket]])</f>
        <v>1</v>
      </c>
      <c r="AH14" s="93"/>
      <c r="AI14" s="93">
        <v>12.4982064328</v>
      </c>
      <c r="AJ14" s="93"/>
      <c r="AK14" s="93"/>
      <c r="AL14" s="93"/>
      <c r="AM14" s="93"/>
      <c r="AN14" s="93"/>
      <c r="AO14" s="93"/>
      <c r="AP14" s="93"/>
      <c r="AQ14" s="93"/>
      <c r="AR14" s="93"/>
      <c r="AS14" s="93"/>
      <c r="AT14" s="93"/>
      <c r="AU14" s="93"/>
      <c r="AV14" s="93"/>
      <c r="AW14" s="93"/>
      <c r="AX14" s="93"/>
      <c r="AY14" s="93">
        <v>5.5262072040000003</v>
      </c>
      <c r="AZ14" s="93">
        <v>1.9813852160000001</v>
      </c>
      <c r="BA14" s="93"/>
      <c r="BB14" s="93"/>
      <c r="BC14" s="93"/>
      <c r="BD14" s="93"/>
      <c r="BE14" s="467">
        <v>20.005798852799998</v>
      </c>
    </row>
    <row r="15" spans="1:57" x14ac:dyDescent="0.25">
      <c r="A15" s="137" t="str">
        <v>(blank)</v>
      </c>
      <c r="B15" s="136"/>
      <c r="C15" t="str">
        <v>34.93-0-1.6-ERW 1-FC</v>
      </c>
      <c r="D15" s="136"/>
      <c r="G15" s="43"/>
      <c r="H15" s="43"/>
      <c r="I15" s="43"/>
      <c r="J15" s="91">
        <v>18.2</v>
      </c>
      <c r="K15" s="15">
        <v>18.2</v>
      </c>
      <c r="L15" s="15">
        <v>0</v>
      </c>
      <c r="M15" s="15">
        <v>1</v>
      </c>
      <c r="N15" s="15" t="s">
        <v>962</v>
      </c>
      <c r="O15" s="15" t="s">
        <v>963</v>
      </c>
      <c r="P15" s="15" t="s">
        <v>980</v>
      </c>
      <c r="Q15" s="92" t="s">
        <v>1816</v>
      </c>
      <c r="R15" s="215">
        <f>Table11[[#This Row],[Grand Total]]</f>
        <v>2.675205268</v>
      </c>
      <c r="S15" s="93">
        <f>VLOOKUP(Table11[[#This Row],[Bucket]],salesforecast[[#All],[Bucket2]:[WIP]],3,0)</f>
        <v>0</v>
      </c>
      <c r="T15" s="93">
        <f>VLOOKUP(Table11[[#This Row],[Bucket]],salesforecast[[#All],[Bucket2]:[WIP]],4,0)</f>
        <v>0.19340000000000002</v>
      </c>
      <c r="U15" s="93">
        <f>VLOOKUP(Table11[[#This Row],[Bucket]],salesforecast[[#All],[Bucket2]:[WIP]],5,0)</f>
        <v>0.18590300000000004</v>
      </c>
      <c r="V15" s="93">
        <f>VLOOKUP(Table11[[#This Row],[Bucket]],salesforecast[[#All],[Bucket2]:[WIP]],7,0)</f>
        <v>0</v>
      </c>
      <c r="W15" s="93">
        <f>Table11[[#This Row],[Stock LL]]+Table11[[#This Row],[WIP]]+Table11[[#This Row],[Stock CTL]]</f>
        <v>0.37930300000000006</v>
      </c>
      <c r="X15" s="93">
        <f>IF((Table11[[#This Row],[Requirement]]-Table11[[#This Row],[Sales]]-Table11[[#This Row],[Total Stock]])&lt;0,0,Table11[[#This Row],[Requirement]]-Table11[[#This Row],[Sales]]-Table11[[#This Row],[Total Stock]])</f>
        <v>2.2959022679999999</v>
      </c>
      <c r="Y15" s="96"/>
      <c r="Z15" s="93">
        <v>18.2</v>
      </c>
      <c r="AA15" s="93">
        <v>18.2</v>
      </c>
      <c r="AB15" s="93">
        <v>0</v>
      </c>
      <c r="AC15" s="93">
        <v>1</v>
      </c>
      <c r="AD15" s="93" t="s">
        <v>962</v>
      </c>
      <c r="AE15" s="93" t="s">
        <v>963</v>
      </c>
      <c r="AF15" s="93" t="s">
        <v>980</v>
      </c>
      <c r="AG15" s="93" t="b">
        <f>EXACT(Table11[[#This Row],[Bucket8]],Table11[[#This Row],[Bucket]])</f>
        <v>1</v>
      </c>
      <c r="AH15" s="93"/>
      <c r="AI15" s="93"/>
      <c r="AJ15" s="93"/>
      <c r="AK15" s="93"/>
      <c r="AL15" s="93"/>
      <c r="AM15" s="93"/>
      <c r="AN15" s="93"/>
      <c r="AO15" s="93">
        <v>2.3953898200000001</v>
      </c>
      <c r="AP15" s="93">
        <v>0.27981544800000002</v>
      </c>
      <c r="AQ15" s="93"/>
      <c r="AR15" s="93"/>
      <c r="AS15" s="93"/>
      <c r="AT15" s="93"/>
      <c r="AU15" s="93"/>
      <c r="AV15" s="93"/>
      <c r="AW15" s="93"/>
      <c r="AX15" s="93"/>
      <c r="AY15" s="93"/>
      <c r="AZ15" s="93"/>
      <c r="BA15" s="93"/>
      <c r="BB15" s="93"/>
      <c r="BC15" s="93"/>
      <c r="BD15" s="93"/>
      <c r="BE15" s="467">
        <v>2.675205268</v>
      </c>
    </row>
    <row r="16" spans="1:57" x14ac:dyDescent="0.25">
      <c r="A16" s="137" t="str">
        <v>19.05-0-1.6-ERW 1-</v>
      </c>
      <c r="B16" s="136"/>
      <c r="C16" t="str">
        <v>34.93-0-2.6-ERW 1-FC</v>
      </c>
      <c r="D16" s="136"/>
      <c r="G16" s="43"/>
      <c r="H16" s="43"/>
      <c r="I16" s="43"/>
      <c r="J16" s="91">
        <v>18.2</v>
      </c>
      <c r="K16" s="15">
        <v>18.2</v>
      </c>
      <c r="L16" s="15">
        <v>12.3</v>
      </c>
      <c r="M16" s="15">
        <v>2.95</v>
      </c>
      <c r="N16" s="15" t="s">
        <v>962</v>
      </c>
      <c r="O16" s="15" t="s">
        <v>963</v>
      </c>
      <c r="P16" s="15" t="s">
        <v>981</v>
      </c>
      <c r="Q16" s="92" t="s">
        <v>1817</v>
      </c>
      <c r="R16" s="215">
        <f>Table11[[#This Row],[Grand Total]]</f>
        <v>2.2177937750000005</v>
      </c>
      <c r="S16" s="93">
        <f>VLOOKUP(Table11[[#This Row],[Bucket]],salesforecast[[#All],[Bucket2]:[WIP]],3,0)</f>
        <v>0</v>
      </c>
      <c r="T16" s="93">
        <f>VLOOKUP(Table11[[#This Row],[Bucket]],salesforecast[[#All],[Bucket2]:[WIP]],4,0)</f>
        <v>0</v>
      </c>
      <c r="U16" s="93">
        <f>VLOOKUP(Table11[[#This Row],[Bucket]],salesforecast[[#All],[Bucket2]:[WIP]],5,0)</f>
        <v>0</v>
      </c>
      <c r="V16" s="93">
        <f>VLOOKUP(Table11[[#This Row],[Bucket]],salesforecast[[#All],[Bucket2]:[WIP]],7,0)</f>
        <v>0</v>
      </c>
      <c r="W16" s="93">
        <f>Table11[[#This Row],[Stock LL]]+Table11[[#This Row],[WIP]]+Table11[[#This Row],[Stock CTL]]</f>
        <v>0</v>
      </c>
      <c r="X16" s="93">
        <f>IF((Table11[[#This Row],[Requirement]]-Table11[[#This Row],[Sales]]-Table11[[#This Row],[Total Stock]])&lt;0,0,Table11[[#This Row],[Requirement]]-Table11[[#This Row],[Sales]]-Table11[[#This Row],[Total Stock]])</f>
        <v>2.2177937750000005</v>
      </c>
      <c r="Y16" s="96"/>
      <c r="Z16" s="93">
        <v>18.2</v>
      </c>
      <c r="AA16" s="93">
        <v>18.2</v>
      </c>
      <c r="AB16" s="93">
        <v>12.3</v>
      </c>
      <c r="AC16" s="93">
        <v>2.95</v>
      </c>
      <c r="AD16" s="93" t="s">
        <v>357</v>
      </c>
      <c r="AE16" s="93" t="s">
        <v>357</v>
      </c>
      <c r="AF16" s="93" t="s">
        <v>981</v>
      </c>
      <c r="AG16" s="93" t="b">
        <f>EXACT(Table11[[#This Row],[Bucket8]],Table11[[#This Row],[Bucket]])</f>
        <v>1</v>
      </c>
      <c r="AH16" s="93"/>
      <c r="AI16" s="93"/>
      <c r="AJ16" s="93"/>
      <c r="AK16" s="93"/>
      <c r="AL16" s="93"/>
      <c r="AM16" s="93"/>
      <c r="AN16" s="93"/>
      <c r="AO16" s="93"/>
      <c r="AP16" s="93"/>
      <c r="AQ16" s="93"/>
      <c r="AR16" s="93"/>
      <c r="AS16" s="93"/>
      <c r="AT16" s="93"/>
      <c r="AU16" s="93">
        <v>2.2177937750000005</v>
      </c>
      <c r="AV16" s="93"/>
      <c r="AW16" s="93"/>
      <c r="AX16" s="93"/>
      <c r="AY16" s="93"/>
      <c r="AZ16" s="93"/>
      <c r="BA16" s="93"/>
      <c r="BB16" s="93"/>
      <c r="BC16" s="93"/>
      <c r="BD16" s="93"/>
      <c r="BE16" s="467">
        <v>2.2177937750000005</v>
      </c>
    </row>
    <row r="17" spans="1:57" x14ac:dyDescent="0.25">
      <c r="A17" s="137" t="str">
        <v>19.05-0-1.6--</v>
      </c>
      <c r="B17" s="136"/>
      <c r="C17" t="str">
        <v>37.6-31.2-3.2-CEW-CEW</v>
      </c>
      <c r="D17" s="136"/>
      <c r="G17" s="43"/>
      <c r="H17" s="43"/>
      <c r="I17" s="43"/>
      <c r="J17" s="91">
        <v>19</v>
      </c>
      <c r="K17" s="15">
        <v>19</v>
      </c>
      <c r="L17" s="15">
        <v>12.5</v>
      </c>
      <c r="M17" s="15">
        <v>3.25</v>
      </c>
      <c r="N17" s="15" t="s">
        <v>357</v>
      </c>
      <c r="O17" s="15" t="s">
        <v>357</v>
      </c>
      <c r="P17" s="15" t="s">
        <v>590</v>
      </c>
      <c r="Q17" s="92" t="s">
        <v>1817</v>
      </c>
      <c r="R17" s="215">
        <f>Table11[[#This Row],[Grand Total]]</f>
        <v>16.806119557500001</v>
      </c>
      <c r="S17" s="93">
        <f>VLOOKUP(Table11[[#This Row],[Bucket]],salesforecast[[#All],[Bucket2]:[WIP]],3,0)</f>
        <v>26.089235000000002</v>
      </c>
      <c r="T17" s="93">
        <f>VLOOKUP(Table11[[#This Row],[Bucket]],salesforecast[[#All],[Bucket2]:[WIP]],4,0)</f>
        <v>3.520054</v>
      </c>
      <c r="U17" s="93">
        <f>VLOOKUP(Table11[[#This Row],[Bucket]],salesforecast[[#All],[Bucket2]:[WIP]],5,0)</f>
        <v>9.9577899999999993</v>
      </c>
      <c r="V17" s="93">
        <f>VLOOKUP(Table11[[#This Row],[Bucket]],salesforecast[[#All],[Bucket2]:[WIP]],7,0)</f>
        <v>0</v>
      </c>
      <c r="W17" s="93">
        <f>Table11[[#This Row],[Stock LL]]+Table11[[#This Row],[WIP]]+Table11[[#This Row],[Stock CTL]]</f>
        <v>13.477843999999999</v>
      </c>
      <c r="X17" s="93">
        <f>IF((Table11[[#This Row],[Requirement]]-Table11[[#This Row],[Sales]]-Table11[[#This Row],[Total Stock]])&lt;0,0,Table11[[#This Row],[Requirement]]-Table11[[#This Row],[Sales]]-Table11[[#This Row],[Total Stock]])</f>
        <v>0</v>
      </c>
      <c r="Y17" s="96"/>
      <c r="Z17" s="93">
        <v>19</v>
      </c>
      <c r="AA17" s="93">
        <v>19</v>
      </c>
      <c r="AB17" s="93">
        <v>12.5</v>
      </c>
      <c r="AC17" s="93">
        <v>3.25</v>
      </c>
      <c r="AD17" s="93" t="s">
        <v>357</v>
      </c>
      <c r="AE17" s="93" t="s">
        <v>357</v>
      </c>
      <c r="AF17" s="93" t="s">
        <v>590</v>
      </c>
      <c r="AG17" s="93" t="b">
        <f>EXACT(Table11[[#This Row],[Bucket8]],Table11[[#This Row],[Bucket]])</f>
        <v>1</v>
      </c>
      <c r="AH17" s="93"/>
      <c r="AI17" s="93"/>
      <c r="AJ17" s="93"/>
      <c r="AK17" s="93"/>
      <c r="AL17" s="93"/>
      <c r="AM17" s="93"/>
      <c r="AN17" s="93"/>
      <c r="AO17" s="93"/>
      <c r="AP17" s="93"/>
      <c r="AQ17" s="93"/>
      <c r="AR17" s="93">
        <v>3.7094588212500001</v>
      </c>
      <c r="AS17" s="93"/>
      <c r="AT17" s="93"/>
      <c r="AU17" s="93"/>
      <c r="AV17" s="93">
        <v>1.9682842725000003</v>
      </c>
      <c r="AW17" s="93"/>
      <c r="AX17" s="93"/>
      <c r="AY17" s="93"/>
      <c r="AZ17" s="93">
        <v>11.128376463750001</v>
      </c>
      <c r="BA17" s="93"/>
      <c r="BB17" s="93"/>
      <c r="BC17" s="93"/>
      <c r="BD17" s="93"/>
      <c r="BE17" s="467">
        <v>16.806119557500001</v>
      </c>
    </row>
    <row r="18" spans="1:57" x14ac:dyDescent="0.25">
      <c r="A18" s="137" t="str">
        <v>19.05-0-1.63--</v>
      </c>
      <c r="B18" s="136"/>
      <c r="C18" t="str">
        <v>37.95-32-2.95-CEW-CEW</v>
      </c>
      <c r="D18" s="136"/>
      <c r="G18" s="43"/>
      <c r="H18" s="43"/>
      <c r="I18" s="43"/>
      <c r="J18" s="91">
        <v>19.05</v>
      </c>
      <c r="K18" s="15">
        <v>19.05</v>
      </c>
      <c r="L18" s="15">
        <v>0</v>
      </c>
      <c r="M18" s="15">
        <v>1</v>
      </c>
      <c r="N18" s="15" t="s">
        <v>962</v>
      </c>
      <c r="O18" s="15" t="s">
        <v>963</v>
      </c>
      <c r="P18" s="15" t="s">
        <v>648</v>
      </c>
      <c r="Q18" s="92" t="s">
        <v>1816</v>
      </c>
      <c r="R18" s="215">
        <f>Table11[[#This Row],[Grand Total]]</f>
        <v>9.1429919475000005</v>
      </c>
      <c r="S18" s="93">
        <f>VLOOKUP(Table11[[#This Row],[Bucket]],salesforecast[[#All],[Bucket2]:[WIP]],3,0)</f>
        <v>4.1328750000000003</v>
      </c>
      <c r="T18" s="93">
        <f>VLOOKUP(Table11[[#This Row],[Bucket]],salesforecast[[#All],[Bucket2]:[WIP]],4,0)</f>
        <v>1.8531</v>
      </c>
      <c r="U18" s="93">
        <f>VLOOKUP(Table11[[#This Row],[Bucket]],salesforecast[[#All],[Bucket2]:[WIP]],5,0)</f>
        <v>0</v>
      </c>
      <c r="V18" s="93">
        <f>VLOOKUP(Table11[[#This Row],[Bucket]],salesforecast[[#All],[Bucket2]:[WIP]],7,0)</f>
        <v>18.324000000000002</v>
      </c>
      <c r="W18" s="93">
        <f>Table11[[#This Row],[Stock LL]]+Table11[[#This Row],[WIP]]+Table11[[#This Row],[Stock CTL]]</f>
        <v>20.177100000000003</v>
      </c>
      <c r="X18" s="93">
        <f>IF((Table11[[#This Row],[Requirement]]-Table11[[#This Row],[Sales]]-Table11[[#This Row],[Total Stock]])&lt;0,0,Table11[[#This Row],[Requirement]]-Table11[[#This Row],[Sales]]-Table11[[#This Row],[Total Stock]])</f>
        <v>0</v>
      </c>
      <c r="Y18" s="94" t="s">
        <v>1821</v>
      </c>
      <c r="Z18" s="93">
        <v>19.05</v>
      </c>
      <c r="AA18" s="93">
        <v>19.05</v>
      </c>
      <c r="AB18" s="93">
        <v>0</v>
      </c>
      <c r="AC18" s="93">
        <v>1</v>
      </c>
      <c r="AD18" s="93" t="s">
        <v>962</v>
      </c>
      <c r="AE18" s="93" t="s">
        <v>963</v>
      </c>
      <c r="AF18" s="93" t="s">
        <v>648</v>
      </c>
      <c r="AG18" s="93" t="b">
        <f>EXACT(Table11[[#This Row],[Bucket8]],Table11[[#This Row],[Bucket]])</f>
        <v>1</v>
      </c>
      <c r="AH18" s="93">
        <v>4.2711787200000009</v>
      </c>
      <c r="AI18" s="93"/>
      <c r="AJ18" s="93"/>
      <c r="AK18" s="93"/>
      <c r="AL18" s="93"/>
      <c r="AM18" s="93"/>
      <c r="AN18" s="93"/>
      <c r="AO18" s="93"/>
      <c r="AP18" s="93">
        <v>4.8718132275000006</v>
      </c>
      <c r="AQ18" s="93"/>
      <c r="AR18" s="93"/>
      <c r="AS18" s="93"/>
      <c r="AT18" s="93"/>
      <c r="AU18" s="93"/>
      <c r="AV18" s="93"/>
      <c r="AW18" s="93"/>
      <c r="AX18" s="93"/>
      <c r="AY18" s="93"/>
      <c r="AZ18" s="93"/>
      <c r="BA18" s="93"/>
      <c r="BB18" s="93"/>
      <c r="BC18" s="93"/>
      <c r="BD18" s="93"/>
      <c r="BE18" s="467">
        <v>9.1429919475000005</v>
      </c>
    </row>
    <row r="19" spans="1:57" x14ac:dyDescent="0.25">
      <c r="A19" s="136" t="str">
        <v>(blank)</v>
      </c>
      <c r="B19" s="136"/>
      <c r="C19" t="str">
        <v>30-30-1.2-CRFH-PE</v>
      </c>
      <c r="D19" s="136"/>
      <c r="G19" s="43"/>
      <c r="H19" s="43"/>
      <c r="I19" s="43"/>
      <c r="J19" s="91">
        <v>19.05</v>
      </c>
      <c r="K19" s="15">
        <v>19.05</v>
      </c>
      <c r="L19" s="15">
        <v>0</v>
      </c>
      <c r="M19" s="15">
        <v>1.2</v>
      </c>
      <c r="N19" s="15" t="s">
        <v>229</v>
      </c>
      <c r="O19" s="15" t="s">
        <v>963</v>
      </c>
      <c r="P19" s="15" t="s">
        <v>532</v>
      </c>
      <c r="Q19" s="92" t="s">
        <v>1816</v>
      </c>
      <c r="R19" s="215">
        <f>Table11[[#This Row],[Grand Total]]</f>
        <v>17.243614412009997</v>
      </c>
      <c r="S19" s="93">
        <f>VLOOKUP(Table11[[#This Row],[Bucket]],salesforecast[[#All],[Bucket2]:[WIP]],3,0)</f>
        <v>12.382282000000014</v>
      </c>
      <c r="T19" s="93">
        <f>VLOOKUP(Table11[[#This Row],[Bucket]],salesforecast[[#All],[Bucket2]:[WIP]],4,0)</f>
        <v>2.2490960000000002</v>
      </c>
      <c r="U19" s="93">
        <f>VLOOKUP(Table11[[#This Row],[Bucket]],salesforecast[[#All],[Bucket2]:[WIP]],5,0)</f>
        <v>2.2490960000000002</v>
      </c>
      <c r="V19" s="93">
        <f>VLOOKUP(Table11[[#This Row],[Bucket]],salesforecast[[#All],[Bucket2]:[WIP]],7,0)</f>
        <v>16.085999999999999</v>
      </c>
      <c r="W19" s="93">
        <f>Table11[[#This Row],[Stock LL]]+Table11[[#This Row],[WIP]]+Table11[[#This Row],[Stock CTL]]</f>
        <v>20.584192000000002</v>
      </c>
      <c r="X19" s="93">
        <f>IF((Table11[[#This Row],[Requirement]]-Table11[[#This Row],[Sales]]-Table11[[#This Row],[Total Stock]])&lt;0,0,Table11[[#This Row],[Requirement]]-Table11[[#This Row],[Sales]]-Table11[[#This Row],[Total Stock]])</f>
        <v>0</v>
      </c>
      <c r="Y19" s="96"/>
      <c r="Z19" s="93">
        <v>19.05</v>
      </c>
      <c r="AA19" s="93">
        <v>19.05</v>
      </c>
      <c r="AB19" s="93">
        <v>0</v>
      </c>
      <c r="AC19" s="93">
        <v>1.2</v>
      </c>
      <c r="AD19" s="93" t="s">
        <v>229</v>
      </c>
      <c r="AE19" s="93" t="s">
        <v>963</v>
      </c>
      <c r="AF19" s="93" t="s">
        <v>532</v>
      </c>
      <c r="AG19" s="93" t="b">
        <f>EXACT(Table11[[#This Row],[Bucket8]],Table11[[#This Row],[Bucket]])</f>
        <v>1</v>
      </c>
      <c r="AH19" s="93"/>
      <c r="AI19" s="93"/>
      <c r="AJ19" s="93"/>
      <c r="AK19" s="93"/>
      <c r="AL19" s="93"/>
      <c r="AM19" s="93"/>
      <c r="AN19" s="93"/>
      <c r="AO19" s="93"/>
      <c r="AP19" s="93"/>
      <c r="AQ19" s="93"/>
      <c r="AR19" s="93"/>
      <c r="AS19" s="93"/>
      <c r="AT19" s="93"/>
      <c r="AU19" s="93"/>
      <c r="AV19" s="93"/>
      <c r="AW19" s="93"/>
      <c r="AX19" s="93"/>
      <c r="AY19" s="93"/>
      <c r="AZ19" s="93"/>
      <c r="BA19" s="93"/>
      <c r="BB19" s="93">
        <v>7.2087965025299994</v>
      </c>
      <c r="BC19" s="93">
        <v>10.034817909479997</v>
      </c>
      <c r="BD19" s="93"/>
      <c r="BE19" s="467">
        <v>17.243614412009997</v>
      </c>
    </row>
    <row r="20" spans="1:57" x14ac:dyDescent="0.25">
      <c r="A20" s="136" t="str">
        <v>19.05-0-2-ERW 1-</v>
      </c>
      <c r="B20" s="136"/>
      <c r="C20" t="str">
        <v>38.1-0-1.6-ERW 1-FC</v>
      </c>
      <c r="D20" s="136"/>
      <c r="G20" s="43"/>
      <c r="H20" s="43"/>
      <c r="I20" s="43"/>
      <c r="J20" s="91">
        <v>19.05</v>
      </c>
      <c r="K20" s="15">
        <v>19.05</v>
      </c>
      <c r="L20" s="15">
        <v>0</v>
      </c>
      <c r="M20" s="15">
        <v>1.2</v>
      </c>
      <c r="N20" s="15" t="s">
        <v>962</v>
      </c>
      <c r="O20" s="15" t="s">
        <v>963</v>
      </c>
      <c r="P20" s="15" t="s">
        <v>471</v>
      </c>
      <c r="Q20" s="92" t="s">
        <v>1816</v>
      </c>
      <c r="R20" s="215">
        <f>Table11[[#This Row],[Grand Total]]</f>
        <v>15.19108601976</v>
      </c>
      <c r="S20" s="93">
        <f>VLOOKUP(Table11[[#This Row],[Bucket]],salesforecast[[#All],[Bucket2]:[WIP]],3,0)</f>
        <v>7.5176540000000012</v>
      </c>
      <c r="T20" s="93">
        <f>VLOOKUP(Table11[[#This Row],[Bucket]],salesforecast[[#All],[Bucket2]:[WIP]],4,0)</f>
        <v>12.593024</v>
      </c>
      <c r="U20" s="93">
        <f>VLOOKUP(Table11[[#This Row],[Bucket]],salesforecast[[#All],[Bucket2]:[WIP]],5,0)</f>
        <v>0</v>
      </c>
      <c r="V20" s="93">
        <f>VLOOKUP(Table11[[#This Row],[Bucket]],salesforecast[[#All],[Bucket2]:[WIP]],7,0)</f>
        <v>20.588000000000001</v>
      </c>
      <c r="W20" s="93">
        <f>Table11[[#This Row],[Stock LL]]+Table11[[#This Row],[WIP]]+Table11[[#This Row],[Stock CTL]]</f>
        <v>33.181024000000001</v>
      </c>
      <c r="X20" s="93">
        <f>IF((Table11[[#This Row],[Requirement]]-Table11[[#This Row],[Sales]]-Table11[[#This Row],[Total Stock]])&lt;0,0,Table11[[#This Row],[Requirement]]-Table11[[#This Row],[Sales]]-Table11[[#This Row],[Total Stock]])</f>
        <v>0</v>
      </c>
      <c r="Y20" s="94" t="str">
        <f>_xlfn.CONCAT(ROUND(Table11[[#This Row],[Total Stock]]/Table11[[#This Row],[Requirement]]*100,0),"% Coverage. Rest by Week 3")</f>
        <v>218% Coverage. Rest by Week 3</v>
      </c>
      <c r="Z20" s="93">
        <v>19.05</v>
      </c>
      <c r="AA20" s="93">
        <v>19.05</v>
      </c>
      <c r="AB20" s="93">
        <v>0</v>
      </c>
      <c r="AC20" s="93">
        <v>1.2</v>
      </c>
      <c r="AD20" s="93" t="s">
        <v>962</v>
      </c>
      <c r="AE20" s="93" t="s">
        <v>963</v>
      </c>
      <c r="AF20" s="93" t="s">
        <v>471</v>
      </c>
      <c r="AG20" s="93" t="b">
        <f>EXACT(Table11[[#This Row],[Bucket8]],Table11[[#This Row],[Bucket]])</f>
        <v>1</v>
      </c>
      <c r="AH20" s="93">
        <v>7.9894172685600005</v>
      </c>
      <c r="AI20" s="93"/>
      <c r="AJ20" s="93"/>
      <c r="AK20" s="93"/>
      <c r="AL20" s="93"/>
      <c r="AM20" s="93"/>
      <c r="AN20" s="93"/>
      <c r="AO20" s="93"/>
      <c r="AP20" s="93">
        <v>5.4857286162000003</v>
      </c>
      <c r="AQ20" s="93"/>
      <c r="AR20" s="93"/>
      <c r="AS20" s="93"/>
      <c r="AT20" s="93"/>
      <c r="AU20" s="93"/>
      <c r="AV20" s="93"/>
      <c r="AW20" s="93"/>
      <c r="AX20" s="93"/>
      <c r="AY20" s="93">
        <v>1.7159401350000003</v>
      </c>
      <c r="AZ20" s="93"/>
      <c r="BA20" s="93"/>
      <c r="BB20" s="93"/>
      <c r="BC20" s="93"/>
      <c r="BD20" s="93"/>
      <c r="BE20" s="467">
        <v>15.19108601976</v>
      </c>
    </row>
    <row r="21" spans="1:57" x14ac:dyDescent="0.25">
      <c r="A21" s="136" t="str">
        <v>(blank)</v>
      </c>
      <c r="B21" s="136"/>
      <c r="C21" t="str">
        <v>38.1-0-1.6-ERW 2 MAHS-FC</v>
      </c>
      <c r="D21" s="136"/>
      <c r="G21" s="43"/>
      <c r="H21" s="43"/>
      <c r="I21" s="43"/>
      <c r="J21" s="91">
        <v>19.05</v>
      </c>
      <c r="K21" s="15">
        <v>19.05</v>
      </c>
      <c r="L21" s="15">
        <v>0</v>
      </c>
      <c r="M21" s="15">
        <v>1.6</v>
      </c>
      <c r="N21" s="15" t="s">
        <v>962</v>
      </c>
      <c r="O21" s="15" t="s">
        <v>963</v>
      </c>
      <c r="P21" s="15" t="s">
        <v>983</v>
      </c>
      <c r="Q21" s="92" t="s">
        <v>1816</v>
      </c>
      <c r="R21" s="215">
        <f>Table11[[#This Row],[Grand Total]]</f>
        <v>3.3068013843999999</v>
      </c>
      <c r="S21" s="93">
        <f>VLOOKUP(Table11[[#This Row],[Bucket]],salesforecast[[#All],[Bucket2]:[WIP]],3,0)</f>
        <v>1.7630000000000001</v>
      </c>
      <c r="T21" s="93">
        <f>VLOOKUP(Table11[[#This Row],[Bucket]],salesforecast[[#All],[Bucket2]:[WIP]],4,0)</f>
        <v>1.3187990000000001</v>
      </c>
      <c r="U21" s="93">
        <f>VLOOKUP(Table11[[#This Row],[Bucket]],salesforecast[[#All],[Bucket2]:[WIP]],5,0)</f>
        <v>0</v>
      </c>
      <c r="V21" s="93">
        <f>VLOOKUP(Table11[[#This Row],[Bucket]],salesforecast[[#All],[Bucket2]:[WIP]],7,0)</f>
        <v>2.8860000000000001</v>
      </c>
      <c r="W21" s="93">
        <f>Table11[[#This Row],[Stock LL]]+Table11[[#This Row],[WIP]]+Table11[[#This Row],[Stock CTL]]</f>
        <v>4.2047990000000004</v>
      </c>
      <c r="X21" s="93">
        <f>IF((Table11[[#This Row],[Requirement]]-Table11[[#This Row],[Sales]]-Table11[[#This Row],[Total Stock]])&lt;0,0,Table11[[#This Row],[Requirement]]-Table11[[#This Row],[Sales]]-Table11[[#This Row],[Total Stock]])</f>
        <v>0</v>
      </c>
      <c r="Y21" s="94" t="str">
        <f>_xlfn.CONCAT(ROUND(Table11[[#This Row],[Total Stock]]/Table11[[#This Row],[Requirement]]*100,0),"% Coverage. Rest by Week 3")</f>
        <v>127% Coverage. Rest by Week 3</v>
      </c>
      <c r="Z21" s="93">
        <v>19.05</v>
      </c>
      <c r="AA21" s="93">
        <v>19.05</v>
      </c>
      <c r="AB21" s="93">
        <v>0</v>
      </c>
      <c r="AC21" s="93">
        <v>1.6</v>
      </c>
      <c r="AD21" s="93" t="s">
        <v>962</v>
      </c>
      <c r="AE21" s="93" t="s">
        <v>963</v>
      </c>
      <c r="AF21" s="93" t="s">
        <v>983</v>
      </c>
      <c r="AG21" s="93" t="b">
        <f>EXACT(Table11[[#This Row],[Bucket8]],Table11[[#This Row],[Bucket]])</f>
        <v>1</v>
      </c>
      <c r="AH21" s="93"/>
      <c r="AI21" s="93"/>
      <c r="AJ21" s="93"/>
      <c r="AK21" s="93"/>
      <c r="AL21" s="93"/>
      <c r="AM21" s="93"/>
      <c r="AN21" s="93"/>
      <c r="AO21" s="93"/>
      <c r="AP21" s="93">
        <v>1.2594061463999999</v>
      </c>
      <c r="AQ21" s="93"/>
      <c r="AR21" s="93"/>
      <c r="AS21" s="93"/>
      <c r="AT21" s="93"/>
      <c r="AU21" s="93"/>
      <c r="AV21" s="93"/>
      <c r="AW21" s="93"/>
      <c r="AX21" s="93"/>
      <c r="AY21" s="93">
        <v>2.047395238</v>
      </c>
      <c r="AZ21" s="93"/>
      <c r="BA21" s="93"/>
      <c r="BB21" s="93"/>
      <c r="BC21" s="93"/>
      <c r="BD21" s="93"/>
      <c r="BE21" s="467">
        <v>3.3068013843999999</v>
      </c>
    </row>
    <row r="22" spans="1:57" x14ac:dyDescent="0.25">
      <c r="A22" t="str">
        <v>19.05-0-2--</v>
      </c>
      <c r="C22" t="str">
        <v>38.1-0-2-ERW 1-FC</v>
      </c>
      <c r="H22" s="43"/>
      <c r="I22" s="43"/>
      <c r="J22" s="91">
        <v>19.05</v>
      </c>
      <c r="K22" s="15">
        <v>19.05</v>
      </c>
      <c r="L22" s="15">
        <v>0</v>
      </c>
      <c r="M22" s="15">
        <v>1.6</v>
      </c>
      <c r="N22" s="15" t="s">
        <v>985</v>
      </c>
      <c r="O22" s="15" t="s">
        <v>963</v>
      </c>
      <c r="P22" s="15" t="s">
        <v>986</v>
      </c>
      <c r="Q22" s="92" t="s">
        <v>1816</v>
      </c>
      <c r="R22" s="215">
        <f>Table11[[#This Row],[Grand Total]]</f>
        <v>18.891092196000002</v>
      </c>
      <c r="S22" s="93">
        <f>VLOOKUP(Table11[[#This Row],[Bucket]],salesforecast[[#All],[Bucket2]:[WIP]],3,0)</f>
        <v>0</v>
      </c>
      <c r="T22" s="93">
        <f>VLOOKUP(Table11[[#This Row],[Bucket]],salesforecast[[#All],[Bucket2]:[WIP]],4,0)</f>
        <v>1.891597</v>
      </c>
      <c r="U22" s="93">
        <f>VLOOKUP(Table11[[#This Row],[Bucket]],salesforecast[[#All],[Bucket2]:[WIP]],5,0)</f>
        <v>0</v>
      </c>
      <c r="V22" s="93">
        <f>VLOOKUP(Table11[[#This Row],[Bucket]],salesforecast[[#All],[Bucket2]:[WIP]],7,0)</f>
        <v>2.9860000000000002</v>
      </c>
      <c r="W22" s="93">
        <f>Table11[[#This Row],[Stock LL]]+Table11[[#This Row],[WIP]]+Table11[[#This Row],[Stock CTL]]</f>
        <v>4.8775969999999997</v>
      </c>
      <c r="X22" s="93">
        <f>IF((Table11[[#This Row],[Requirement]]-Table11[[#This Row],[Sales]]-Table11[[#This Row],[Total Stock]])&lt;0,0,Table11[[#This Row],[Requirement]]-Table11[[#This Row],[Sales]]-Table11[[#This Row],[Total Stock]])</f>
        <v>14.013495196000003</v>
      </c>
      <c r="Y22" s="96"/>
      <c r="Z22" s="93">
        <v>19.05</v>
      </c>
      <c r="AA22" s="93">
        <v>19.05</v>
      </c>
      <c r="AB22" s="93">
        <v>0</v>
      </c>
      <c r="AC22" s="93">
        <v>1.6</v>
      </c>
      <c r="AD22" s="93" t="s">
        <v>985</v>
      </c>
      <c r="AE22" s="93" t="s">
        <v>963</v>
      </c>
      <c r="AF22" s="93" t="s">
        <v>986</v>
      </c>
      <c r="AG22" s="93" t="b">
        <f>EXACT(Table11[[#This Row],[Bucket8]],Table11[[#This Row],[Bucket]])</f>
        <v>1</v>
      </c>
      <c r="AH22" s="93"/>
      <c r="AI22" s="93"/>
      <c r="AJ22" s="93"/>
      <c r="AK22" s="93"/>
      <c r="AL22" s="93"/>
      <c r="AM22" s="93"/>
      <c r="AN22" s="93"/>
      <c r="AO22" s="93"/>
      <c r="AP22" s="93"/>
      <c r="AQ22" s="93">
        <v>13.557541576000002</v>
      </c>
      <c r="AR22" s="93"/>
      <c r="AS22" s="93"/>
      <c r="AT22" s="93"/>
      <c r="AU22" s="93"/>
      <c r="AV22" s="93">
        <v>5.3335506200000005</v>
      </c>
      <c r="AW22" s="93"/>
      <c r="AX22" s="93"/>
      <c r="AY22" s="93"/>
      <c r="AZ22" s="93"/>
      <c r="BA22" s="93"/>
      <c r="BB22" s="93"/>
      <c r="BC22" s="93"/>
      <c r="BD22" s="93"/>
      <c r="BE22" s="467">
        <v>18.891092196000002</v>
      </c>
    </row>
    <row r="23" spans="1:57" x14ac:dyDescent="0.25">
      <c r="A23" s="136" t="str">
        <v>19.05-0-2.3-ERW 1-</v>
      </c>
      <c r="B23" s="136"/>
      <c r="C23" t="str">
        <v>38.1-0-2.5-ERW 2 MAHS-FC</v>
      </c>
      <c r="D23" s="136"/>
      <c r="G23" s="43"/>
      <c r="H23" s="43"/>
      <c r="I23" s="43"/>
      <c r="J23" s="91">
        <v>19.05</v>
      </c>
      <c r="K23" s="15">
        <v>19.05</v>
      </c>
      <c r="L23" s="15">
        <v>0</v>
      </c>
      <c r="M23" s="15">
        <v>2</v>
      </c>
      <c r="N23" s="15" t="s">
        <v>962</v>
      </c>
      <c r="O23" s="15" t="s">
        <v>963</v>
      </c>
      <c r="P23" s="15" t="s">
        <v>604</v>
      </c>
      <c r="Q23" s="92" t="s">
        <v>1816</v>
      </c>
      <c r="R23" s="215">
        <f>Table11[[#This Row],[Grand Total]]</f>
        <v>38.756879799000004</v>
      </c>
      <c r="S23" s="93">
        <f>VLOOKUP(Table11[[#This Row],[Bucket]],salesforecast[[#All],[Bucket2]:[WIP]],3,0)</f>
        <v>16.170392</v>
      </c>
      <c r="T23" s="93">
        <f>VLOOKUP(Table11[[#This Row],[Bucket]],salesforecast[[#All],[Bucket2]:[WIP]],4,0)</f>
        <v>0.56252400000000002</v>
      </c>
      <c r="U23" s="93">
        <f>VLOOKUP(Table11[[#This Row],[Bucket]],salesforecast[[#All],[Bucket2]:[WIP]],5,0)</f>
        <v>0</v>
      </c>
      <c r="V23" s="93">
        <f>VLOOKUP(Table11[[#This Row],[Bucket]],salesforecast[[#All],[Bucket2]:[WIP]],7,0)</f>
        <v>11.189</v>
      </c>
      <c r="W23" s="93">
        <f>Table11[[#This Row],[Stock LL]]+Table11[[#This Row],[WIP]]+Table11[[#This Row],[Stock CTL]]</f>
        <v>11.751524</v>
      </c>
      <c r="X23" s="93">
        <f>IF((Table11[[#This Row],[Requirement]]-Table11[[#This Row],[Sales]]-Table11[[#This Row],[Total Stock]])&lt;0,0,Table11[[#This Row],[Requirement]]-Table11[[#This Row],[Sales]]-Table11[[#This Row],[Total Stock]])</f>
        <v>10.834963799000004</v>
      </c>
      <c r="Y23" s="94" t="str">
        <f>_xlfn.CONCAT(ROUND(Table11[[#This Row],[Total Stock]]/Table11[[#This Row],[Requirement]]*100,0),"% Coverage. Rest by Week 3")</f>
        <v>30% Coverage. Rest by Week 3</v>
      </c>
      <c r="Z23" s="93">
        <v>19.05</v>
      </c>
      <c r="AA23" s="93">
        <v>19.05</v>
      </c>
      <c r="AB23" s="93">
        <v>0</v>
      </c>
      <c r="AC23" s="93">
        <v>2</v>
      </c>
      <c r="AD23" s="93" t="s">
        <v>962</v>
      </c>
      <c r="AE23" s="93" t="s">
        <v>963</v>
      </c>
      <c r="AF23" s="93" t="s">
        <v>604</v>
      </c>
      <c r="AG23" s="93" t="b">
        <f>EXACT(Table11[[#This Row],[Bucket8]],Table11[[#This Row],[Bucket]])</f>
        <v>1</v>
      </c>
      <c r="AH23" s="93"/>
      <c r="AI23" s="93">
        <v>2.7149148070000004</v>
      </c>
      <c r="AJ23" s="93"/>
      <c r="AK23" s="93"/>
      <c r="AL23" s="93"/>
      <c r="AM23" s="93"/>
      <c r="AN23" s="93"/>
      <c r="AO23" s="93"/>
      <c r="AP23" s="93"/>
      <c r="AQ23" s="93">
        <v>1.9962608875000001</v>
      </c>
      <c r="AR23" s="93"/>
      <c r="AS23" s="93">
        <v>5.984580008</v>
      </c>
      <c r="AT23" s="93"/>
      <c r="AU23" s="93">
        <v>7.0016223970000002</v>
      </c>
      <c r="AV23" s="93"/>
      <c r="AW23" s="93"/>
      <c r="AX23" s="93"/>
      <c r="AY23" s="93"/>
      <c r="AZ23" s="93">
        <v>21.0595016995</v>
      </c>
      <c r="BA23" s="93"/>
      <c r="BB23" s="93"/>
      <c r="BC23" s="93"/>
      <c r="BD23" s="93"/>
      <c r="BE23" s="467">
        <v>38.756879799000004</v>
      </c>
    </row>
    <row r="24" spans="1:57" x14ac:dyDescent="0.25">
      <c r="A24" s="136" t="str">
        <v>19.05-0-2.34-ERW 1-</v>
      </c>
      <c r="B24" s="136"/>
      <c r="C24" t="str">
        <v>38.1-0-3.66-ERW 1-FC</v>
      </c>
      <c r="D24" s="136"/>
      <c r="G24" s="43"/>
      <c r="H24" s="43"/>
      <c r="I24" s="43"/>
      <c r="J24" s="91">
        <v>19.05</v>
      </c>
      <c r="K24" s="15">
        <v>19.05</v>
      </c>
      <c r="L24" s="15">
        <v>0</v>
      </c>
      <c r="M24" s="15">
        <v>2.2999999999999998</v>
      </c>
      <c r="N24" s="15" t="s">
        <v>962</v>
      </c>
      <c r="O24" s="15" t="s">
        <v>963</v>
      </c>
      <c r="P24" s="15" t="s">
        <v>407</v>
      </c>
      <c r="Q24" s="92" t="s">
        <v>1816</v>
      </c>
      <c r="R24" s="215">
        <f>Table11[[#This Row],[Grand Total]]</f>
        <v>82.31251380572499</v>
      </c>
      <c r="S24" s="93">
        <f>VLOOKUP(Table11[[#This Row],[Bucket]],salesforecast[[#All],[Bucket2]:[WIP]],3,0)</f>
        <v>65.309253999999996</v>
      </c>
      <c r="T24" s="93">
        <f>VLOOKUP(Table11[[#This Row],[Bucket]],salesforecast[[#All],[Bucket2]:[WIP]],4,0)</f>
        <v>19.279643</v>
      </c>
      <c r="U24" s="93">
        <f>VLOOKUP(Table11[[#This Row],[Bucket]],salesforecast[[#All],[Bucket2]:[WIP]],5,0)</f>
        <v>73.955846000000008</v>
      </c>
      <c r="V24" s="93">
        <f>VLOOKUP(Table11[[#This Row],[Bucket]],salesforecast[[#All],[Bucket2]:[WIP]],7,0)</f>
        <v>6.0149999999999997</v>
      </c>
      <c r="W24" s="93">
        <f>Table11[[#This Row],[Stock LL]]+Table11[[#This Row],[WIP]]+Table11[[#This Row],[Stock CTL]]</f>
        <v>99.250489000000016</v>
      </c>
      <c r="X24" s="93">
        <f>IF((Table11[[#This Row],[Requirement]]-Table11[[#This Row],[Sales]]-Table11[[#This Row],[Total Stock]])&lt;0,0,Table11[[#This Row],[Requirement]]-Table11[[#This Row],[Sales]]-Table11[[#This Row],[Total Stock]])</f>
        <v>0</v>
      </c>
      <c r="Y24" s="96"/>
      <c r="Z24" s="93">
        <v>19.05</v>
      </c>
      <c r="AA24" s="93">
        <v>19.05</v>
      </c>
      <c r="AB24" s="93">
        <v>0</v>
      </c>
      <c r="AC24" s="93">
        <v>2.2999999999999998</v>
      </c>
      <c r="AD24" s="93" t="s">
        <v>962</v>
      </c>
      <c r="AE24" s="93" t="s">
        <v>963</v>
      </c>
      <c r="AF24" s="93" t="s">
        <v>407</v>
      </c>
      <c r="AG24" s="93" t="b">
        <f>EXACT(Table11[[#This Row],[Bucket8]],Table11[[#This Row],[Bucket]])</f>
        <v>1</v>
      </c>
      <c r="AH24" s="93"/>
      <c r="AI24" s="93">
        <v>10.133210678474999</v>
      </c>
      <c r="AJ24" s="93"/>
      <c r="AK24" s="93"/>
      <c r="AL24" s="93">
        <v>2.6731316708749997</v>
      </c>
      <c r="AM24" s="93"/>
      <c r="AN24" s="93"/>
      <c r="AO24" s="93"/>
      <c r="AP24" s="93">
        <v>3.7414347365</v>
      </c>
      <c r="AQ24" s="93"/>
      <c r="AR24" s="93"/>
      <c r="AS24" s="93">
        <v>4.6293132843749998</v>
      </c>
      <c r="AT24" s="93"/>
      <c r="AU24" s="93"/>
      <c r="AV24" s="93"/>
      <c r="AW24" s="93"/>
      <c r="AX24" s="93"/>
      <c r="AY24" s="93"/>
      <c r="AZ24" s="93">
        <v>61.135423435500002</v>
      </c>
      <c r="BA24" s="93"/>
      <c r="BB24" s="93"/>
      <c r="BC24" s="93"/>
      <c r="BD24" s="93"/>
      <c r="BE24" s="467">
        <v>82.31251380572499</v>
      </c>
    </row>
    <row r="25" spans="1:57" x14ac:dyDescent="0.25">
      <c r="A25" s="137" t="str">
        <v>19.05-0-2.5-ERW 2-</v>
      </c>
      <c r="B25" s="136"/>
      <c r="C25" t="str">
        <v>40-20-1.2-CRFH-PE</v>
      </c>
      <c r="D25" s="136"/>
      <c r="G25" s="43"/>
      <c r="H25" s="43"/>
      <c r="I25" s="43"/>
      <c r="J25" s="91">
        <v>20</v>
      </c>
      <c r="K25" s="15">
        <v>20</v>
      </c>
      <c r="L25" s="15">
        <v>12.4</v>
      </c>
      <c r="M25" s="15">
        <v>3.8</v>
      </c>
      <c r="N25" s="15" t="s">
        <v>357</v>
      </c>
      <c r="O25" s="15" t="s">
        <v>357</v>
      </c>
      <c r="P25" s="15" t="s">
        <v>995</v>
      </c>
      <c r="Q25" s="92" t="s">
        <v>1817</v>
      </c>
      <c r="R25" s="215">
        <f>Table11[[#This Row],[Grand Total]]</f>
        <v>13.154275062359998</v>
      </c>
      <c r="S25" s="93">
        <f>VLOOKUP(Table11[[#This Row],[Bucket]],salesforecast[[#All],[Bucket2]:[WIP]],3,0)</f>
        <v>0</v>
      </c>
      <c r="T25" s="93">
        <f>VLOOKUP(Table11[[#This Row],[Bucket]],salesforecast[[#All],[Bucket2]:[WIP]],4,0)</f>
        <v>0</v>
      </c>
      <c r="U25" s="93">
        <f>VLOOKUP(Table11[[#This Row],[Bucket]],salesforecast[[#All],[Bucket2]:[WIP]],5,0)</f>
        <v>0</v>
      </c>
      <c r="V25" s="93">
        <f>VLOOKUP(Table11[[#This Row],[Bucket]],salesforecast[[#All],[Bucket2]:[WIP]],7,0)</f>
        <v>0</v>
      </c>
      <c r="W25" s="93">
        <f>Table11[[#This Row],[Stock LL]]+Table11[[#This Row],[WIP]]+Table11[[#This Row],[Stock CTL]]</f>
        <v>0</v>
      </c>
      <c r="X25" s="93">
        <f>IF((Table11[[#This Row],[Requirement]]-Table11[[#This Row],[Sales]]-Table11[[#This Row],[Total Stock]])&lt;0,0,Table11[[#This Row],[Requirement]]-Table11[[#This Row],[Sales]]-Table11[[#This Row],[Total Stock]])</f>
        <v>13.154275062359998</v>
      </c>
      <c r="Y25" s="94" t="str">
        <f>_xlfn.CONCAT(ROUND(Table11[[#This Row],[Total Stock]]/Table11[[#This Row],[Requirement]]*100,0),"% Coverage. Rest by Week 3")</f>
        <v>0% Coverage. Rest by Week 3</v>
      </c>
      <c r="Z25" s="93">
        <v>20</v>
      </c>
      <c r="AA25" s="93">
        <v>20</v>
      </c>
      <c r="AB25" s="93">
        <v>12.4</v>
      </c>
      <c r="AC25" s="93">
        <v>3.8</v>
      </c>
      <c r="AD25" s="93" t="s">
        <v>357</v>
      </c>
      <c r="AE25" s="93" t="s">
        <v>357</v>
      </c>
      <c r="AF25" s="93" t="s">
        <v>995</v>
      </c>
      <c r="AG25" s="93" t="b">
        <f>EXACT(Table11[[#This Row],[Bucket8]],Table11[[#This Row],[Bucket]])</f>
        <v>1</v>
      </c>
      <c r="AH25" s="93"/>
      <c r="AI25" s="93"/>
      <c r="AJ25" s="93"/>
      <c r="AK25" s="93"/>
      <c r="AL25" s="93"/>
      <c r="AM25" s="93"/>
      <c r="AN25" s="93"/>
      <c r="AO25" s="93"/>
      <c r="AP25" s="93">
        <v>12.139139519999999</v>
      </c>
      <c r="AQ25" s="93"/>
      <c r="AR25" s="93"/>
      <c r="AS25" s="93"/>
      <c r="AT25" s="93"/>
      <c r="AU25" s="93"/>
      <c r="AV25" s="93"/>
      <c r="AW25" s="93"/>
      <c r="AX25" s="93">
        <v>1.0151355423599999</v>
      </c>
      <c r="AY25" s="93"/>
      <c r="AZ25" s="93"/>
      <c r="BA25" s="93"/>
      <c r="BB25" s="93"/>
      <c r="BC25" s="93"/>
      <c r="BD25" s="93"/>
      <c r="BE25" s="467">
        <v>13.154275062359998</v>
      </c>
    </row>
    <row r="26" spans="1:57" x14ac:dyDescent="0.25">
      <c r="A26" s="136" t="str">
        <v>21.75-0-3.5-CEW-</v>
      </c>
      <c r="B26" s="136"/>
      <c r="C26" t="str">
        <v>40-20-1.6-ERW 1-FC</v>
      </c>
      <c r="D26" s="136"/>
      <c r="G26" s="43"/>
      <c r="H26" s="43"/>
      <c r="I26" s="43"/>
      <c r="J26" s="91">
        <v>20</v>
      </c>
      <c r="K26" s="15">
        <v>20</v>
      </c>
      <c r="L26" s="15">
        <v>12.4</v>
      </c>
      <c r="M26" s="15">
        <v>4.5</v>
      </c>
      <c r="N26" s="15" t="s">
        <v>357</v>
      </c>
      <c r="O26" s="15" t="s">
        <v>357</v>
      </c>
      <c r="P26" s="15" t="s">
        <v>996</v>
      </c>
      <c r="Q26" s="92" t="s">
        <v>1817</v>
      </c>
      <c r="R26" s="215">
        <f>Table11[[#This Row],[Grand Total]]</f>
        <v>4.2981693750000005</v>
      </c>
      <c r="S26" s="93">
        <f>VLOOKUP(Table11[[#This Row],[Bucket]],salesforecast[[#All],[Bucket2]:[WIP]],3,0)</f>
        <v>0</v>
      </c>
      <c r="T26" s="93">
        <f>VLOOKUP(Table11[[#This Row],[Bucket]],salesforecast[[#All],[Bucket2]:[WIP]],4,0)</f>
        <v>0</v>
      </c>
      <c r="U26" s="93">
        <f>VLOOKUP(Table11[[#This Row],[Bucket]],salesforecast[[#All],[Bucket2]:[WIP]],5,0)</f>
        <v>0</v>
      </c>
      <c r="V26" s="93">
        <f>VLOOKUP(Table11[[#This Row],[Bucket]],salesforecast[[#All],[Bucket2]:[WIP]],7,0)</f>
        <v>0</v>
      </c>
      <c r="W26" s="93">
        <f>Table11[[#This Row],[Stock LL]]+Table11[[#This Row],[WIP]]+Table11[[#This Row],[Stock CTL]]</f>
        <v>0</v>
      </c>
      <c r="X26" s="93">
        <f>IF((Table11[[#This Row],[Requirement]]-Table11[[#This Row],[Sales]]-Table11[[#This Row],[Total Stock]])&lt;0,0,Table11[[#This Row],[Requirement]]-Table11[[#This Row],[Sales]]-Table11[[#This Row],[Total Stock]])</f>
        <v>4.2981693750000005</v>
      </c>
      <c r="Y26" s="96"/>
      <c r="Z26" s="93">
        <v>20</v>
      </c>
      <c r="AA26" s="93">
        <v>20</v>
      </c>
      <c r="AB26" s="93">
        <v>12.4</v>
      </c>
      <c r="AC26" s="93">
        <v>4.5</v>
      </c>
      <c r="AD26" s="93" t="s">
        <v>357</v>
      </c>
      <c r="AE26" s="93" t="s">
        <v>357</v>
      </c>
      <c r="AF26" s="93" t="s">
        <v>996</v>
      </c>
      <c r="AG26" s="93" t="b">
        <f>EXACT(Table11[[#This Row],[Bucket8]],Table11[[#This Row],[Bucket]])</f>
        <v>1</v>
      </c>
      <c r="AH26" s="93"/>
      <c r="AI26" s="93"/>
      <c r="AJ26" s="93"/>
      <c r="AK26" s="93"/>
      <c r="AL26" s="93"/>
      <c r="AM26" s="93"/>
      <c r="AN26" s="93"/>
      <c r="AO26" s="93">
        <v>4.2981693750000005</v>
      </c>
      <c r="AP26" s="93"/>
      <c r="AQ26" s="93"/>
      <c r="AR26" s="93"/>
      <c r="AS26" s="93"/>
      <c r="AT26" s="93"/>
      <c r="AU26" s="93"/>
      <c r="AV26" s="93"/>
      <c r="AW26" s="93"/>
      <c r="AX26" s="93"/>
      <c r="AY26" s="93"/>
      <c r="AZ26" s="93"/>
      <c r="BA26" s="93"/>
      <c r="BB26" s="93"/>
      <c r="BC26" s="93"/>
      <c r="BD26" s="93"/>
      <c r="BE26" s="467">
        <v>4.2981693750000005</v>
      </c>
    </row>
    <row r="27" spans="1:57" x14ac:dyDescent="0.25">
      <c r="A27" s="137" t="str">
        <v>22.2-0-1.2--</v>
      </c>
      <c r="B27" s="136"/>
      <c r="C27" t="str">
        <v>39-34-2.5-CEW-CEW</v>
      </c>
      <c r="D27" s="136"/>
      <c r="G27" s="43"/>
      <c r="H27" s="43"/>
      <c r="I27" s="43"/>
      <c r="J27" s="91">
        <v>20</v>
      </c>
      <c r="K27" s="15">
        <v>20</v>
      </c>
      <c r="L27" s="15">
        <v>17.16</v>
      </c>
      <c r="M27" s="15">
        <v>1.42</v>
      </c>
      <c r="N27" s="15" t="s">
        <v>357</v>
      </c>
      <c r="O27" s="15" t="s">
        <v>357</v>
      </c>
      <c r="P27" s="15" t="s">
        <v>724</v>
      </c>
      <c r="Q27" s="92" t="s">
        <v>1817</v>
      </c>
      <c r="R27" s="215">
        <f>Table11[[#This Row],[Grand Total]]</f>
        <v>2.4855588001607996</v>
      </c>
      <c r="S27" s="93">
        <f>VLOOKUP(Table11[[#This Row],[Bucket]],salesforecast[[#All],[Bucket2]:[WIP]],3,0)</f>
        <v>1.593</v>
      </c>
      <c r="T27" s="93">
        <f>VLOOKUP(Table11[[#This Row],[Bucket]],salesforecast[[#All],[Bucket2]:[WIP]],4,0)</f>
        <v>0.71119699999999997</v>
      </c>
      <c r="U27" s="93">
        <f>VLOOKUP(Table11[[#This Row],[Bucket]],salesforecast[[#All],[Bucket2]:[WIP]],5,0)</f>
        <v>1.1720000000000002</v>
      </c>
      <c r="V27" s="93">
        <f>VLOOKUP(Table11[[#This Row],[Bucket]],salesforecast[[#All],[Bucket2]:[WIP]],7,0)</f>
        <v>0</v>
      </c>
      <c r="W27" s="93">
        <f>Table11[[#This Row],[Stock LL]]+Table11[[#This Row],[WIP]]+Table11[[#This Row],[Stock CTL]]</f>
        <v>1.883197</v>
      </c>
      <c r="X27" s="93">
        <f>IF((Table11[[#This Row],[Requirement]]-Table11[[#This Row],[Sales]]-Table11[[#This Row],[Total Stock]])&lt;0,0,Table11[[#This Row],[Requirement]]-Table11[[#This Row],[Sales]]-Table11[[#This Row],[Total Stock]])</f>
        <v>0</v>
      </c>
      <c r="Y27" s="96"/>
      <c r="Z27" s="93">
        <v>20</v>
      </c>
      <c r="AA27" s="93">
        <v>20</v>
      </c>
      <c r="AB27" s="93">
        <v>17.16</v>
      </c>
      <c r="AC27" s="93">
        <v>1.42</v>
      </c>
      <c r="AD27" s="93" t="s">
        <v>357</v>
      </c>
      <c r="AE27" s="93" t="s">
        <v>357</v>
      </c>
      <c r="AF27" s="93" t="s">
        <v>724</v>
      </c>
      <c r="AG27" s="93" t="b">
        <f>EXACT(Table11[[#This Row],[Bucket8]],Table11[[#This Row],[Bucket]])</f>
        <v>1</v>
      </c>
      <c r="AH27" s="93"/>
      <c r="AI27" s="93"/>
      <c r="AJ27" s="93"/>
      <c r="AK27" s="93"/>
      <c r="AL27" s="93"/>
      <c r="AM27" s="93"/>
      <c r="AN27" s="93"/>
      <c r="AO27" s="93"/>
      <c r="AP27" s="93">
        <v>1.0652394857831999</v>
      </c>
      <c r="AQ27" s="93"/>
      <c r="AR27" s="93"/>
      <c r="AS27" s="93"/>
      <c r="AT27" s="93"/>
      <c r="AU27" s="93"/>
      <c r="AV27" s="93"/>
      <c r="AW27" s="93"/>
      <c r="AX27" s="93"/>
      <c r="AY27" s="93"/>
      <c r="AZ27" s="93"/>
      <c r="BA27" s="93"/>
      <c r="BB27" s="93"/>
      <c r="BC27" s="93"/>
      <c r="BD27" s="93">
        <v>1.4203193143775996</v>
      </c>
      <c r="BE27" s="467">
        <v>2.4855588001607996</v>
      </c>
    </row>
    <row r="28" spans="1:57" x14ac:dyDescent="0.25">
      <c r="A28" s="137" t="str">
        <v>22.23-0-1.2-ERW 1-</v>
      </c>
      <c r="B28" s="136"/>
      <c r="C28" t="str">
        <v>40-25-1.6-ERW 1-FC</v>
      </c>
      <c r="D28" s="136"/>
      <c r="G28" s="43"/>
      <c r="H28" s="43"/>
      <c r="I28" s="43"/>
      <c r="J28" s="91">
        <v>21.7</v>
      </c>
      <c r="K28" s="15">
        <v>21.7</v>
      </c>
      <c r="L28" s="15">
        <v>16.2</v>
      </c>
      <c r="M28" s="15">
        <v>2.75</v>
      </c>
      <c r="N28" s="15" t="s">
        <v>357</v>
      </c>
      <c r="O28" s="15" t="s">
        <v>357</v>
      </c>
      <c r="P28" s="15" t="s">
        <v>727</v>
      </c>
      <c r="Q28" s="92" t="s">
        <v>1817</v>
      </c>
      <c r="R28" s="215">
        <f>Table11[[#This Row],[Grand Total]]</f>
        <v>7.0648655687499993</v>
      </c>
      <c r="S28" s="93">
        <f>VLOOKUP(Table11[[#This Row],[Bucket]],salesforecast[[#All],[Bucket2]:[WIP]],3,0)</f>
        <v>2.9208829999999999</v>
      </c>
      <c r="T28" s="93">
        <f>VLOOKUP(Table11[[#This Row],[Bucket]],salesforecast[[#All],[Bucket2]:[WIP]],4,0)</f>
        <v>0</v>
      </c>
      <c r="U28" s="93">
        <f>VLOOKUP(Table11[[#This Row],[Bucket]],salesforecast[[#All],[Bucket2]:[WIP]],5,0)</f>
        <v>1.8677429999999999</v>
      </c>
      <c r="V28" s="93">
        <f>VLOOKUP(Table11[[#This Row],[Bucket]],salesforecast[[#All],[Bucket2]:[WIP]],7,0)</f>
        <v>0</v>
      </c>
      <c r="W28" s="93">
        <f>Table11[[#This Row],[Stock LL]]+Table11[[#This Row],[WIP]]+Table11[[#This Row],[Stock CTL]]</f>
        <v>1.8677429999999999</v>
      </c>
      <c r="X28" s="93">
        <f>IF((Table11[[#This Row],[Requirement]]-Table11[[#This Row],[Sales]]-Table11[[#This Row],[Total Stock]])&lt;0,0,Table11[[#This Row],[Requirement]]-Table11[[#This Row],[Sales]]-Table11[[#This Row],[Total Stock]])</f>
        <v>2.2762395687499994</v>
      </c>
      <c r="Y28" s="96"/>
      <c r="Z28" s="93">
        <v>21.7</v>
      </c>
      <c r="AA28" s="93">
        <v>21.7</v>
      </c>
      <c r="AB28" s="93">
        <v>16.2</v>
      </c>
      <c r="AC28" s="93">
        <v>2.75</v>
      </c>
      <c r="AD28" s="93" t="s">
        <v>357</v>
      </c>
      <c r="AE28" s="93" t="s">
        <v>357</v>
      </c>
      <c r="AF28" s="93" t="s">
        <v>727</v>
      </c>
      <c r="AG28" s="93" t="b">
        <f>EXACT(Table11[[#This Row],[Bucket8]],Table11[[#This Row],[Bucket]])</f>
        <v>1</v>
      </c>
      <c r="AH28" s="93"/>
      <c r="AI28" s="93"/>
      <c r="AJ28" s="93"/>
      <c r="AK28" s="93"/>
      <c r="AL28" s="93"/>
      <c r="AM28" s="93"/>
      <c r="AN28" s="93"/>
      <c r="AO28" s="93"/>
      <c r="AP28" s="93"/>
      <c r="AQ28" s="93"/>
      <c r="AR28" s="93"/>
      <c r="AS28" s="93"/>
      <c r="AT28" s="93"/>
      <c r="AU28" s="93">
        <v>3.2113025312499999</v>
      </c>
      <c r="AV28" s="93"/>
      <c r="AW28" s="93"/>
      <c r="AX28" s="93"/>
      <c r="AY28" s="93"/>
      <c r="AZ28" s="93">
        <v>3.8535630374999998</v>
      </c>
      <c r="BA28" s="93"/>
      <c r="BB28" s="93"/>
      <c r="BC28" s="93"/>
      <c r="BD28" s="93"/>
      <c r="BE28" s="467">
        <v>7.0648655687499993</v>
      </c>
    </row>
    <row r="29" spans="1:57" x14ac:dyDescent="0.25">
      <c r="A29" s="137" t="str">
        <v>22.23-0-1.2--</v>
      </c>
      <c r="B29" s="136"/>
      <c r="C29" t="str">
        <v>40-25-1.6-ERW 2-FC</v>
      </c>
      <c r="D29" s="136"/>
      <c r="G29" s="43"/>
      <c r="H29" s="43"/>
      <c r="I29" s="43"/>
      <c r="J29" s="91">
        <v>21.75</v>
      </c>
      <c r="K29" s="15">
        <v>21.75</v>
      </c>
      <c r="L29" s="15">
        <v>0</v>
      </c>
      <c r="M29" s="15">
        <v>3.5</v>
      </c>
      <c r="N29" s="15" t="s">
        <v>357</v>
      </c>
      <c r="O29" s="15" t="s">
        <v>357</v>
      </c>
      <c r="P29" s="15" t="s">
        <v>997</v>
      </c>
      <c r="Q29" s="92" t="s">
        <v>1817</v>
      </c>
      <c r="R29" s="215">
        <f>Table11[[#This Row],[Grand Total]]</f>
        <v>3.5598424723749997</v>
      </c>
      <c r="S29" s="93">
        <f>VLOOKUP(Table11[[#This Row],[Bucket]],salesforecast[[#All],[Bucket2]:[WIP]],3,0)</f>
        <v>0</v>
      </c>
      <c r="T29" s="93">
        <f>VLOOKUP(Table11[[#This Row],[Bucket]],salesforecast[[#All],[Bucket2]:[WIP]],4,0)</f>
        <v>0</v>
      </c>
      <c r="U29" s="93">
        <f>VLOOKUP(Table11[[#This Row],[Bucket]],salesforecast[[#All],[Bucket2]:[WIP]],5,0)</f>
        <v>0</v>
      </c>
      <c r="V29" s="93">
        <f>VLOOKUP(Table11[[#This Row],[Bucket]],salesforecast[[#All],[Bucket2]:[WIP]],7,0)</f>
        <v>0</v>
      </c>
      <c r="W29" s="93">
        <f>Table11[[#This Row],[Stock LL]]+Table11[[#This Row],[WIP]]+Table11[[#This Row],[Stock CTL]]</f>
        <v>0</v>
      </c>
      <c r="X29" s="93">
        <f>IF((Table11[[#This Row],[Requirement]]-Table11[[#This Row],[Sales]]-Table11[[#This Row],[Total Stock]])&lt;0,0,Table11[[#This Row],[Requirement]]-Table11[[#This Row],[Sales]]-Table11[[#This Row],[Total Stock]])</f>
        <v>3.5598424723749997</v>
      </c>
      <c r="Y29" s="96"/>
      <c r="Z29" s="93">
        <v>21.75</v>
      </c>
      <c r="AA29" s="93">
        <v>21.75</v>
      </c>
      <c r="AB29" s="93">
        <v>0</v>
      </c>
      <c r="AC29" s="93">
        <v>3.5</v>
      </c>
      <c r="AD29" s="93" t="s">
        <v>357</v>
      </c>
      <c r="AE29" s="93" t="s">
        <v>357</v>
      </c>
      <c r="AF29" s="93" t="s">
        <v>997</v>
      </c>
      <c r="AG29" s="93" t="b">
        <f>EXACT(Table11[[#This Row],[Bucket8]],Table11[[#This Row],[Bucket]])</f>
        <v>1</v>
      </c>
      <c r="AH29" s="93"/>
      <c r="AI29" s="93"/>
      <c r="AJ29" s="93"/>
      <c r="AK29" s="93"/>
      <c r="AL29" s="93"/>
      <c r="AM29" s="93"/>
      <c r="AN29" s="93"/>
      <c r="AO29" s="93"/>
      <c r="AP29" s="93"/>
      <c r="AQ29" s="93"/>
      <c r="AR29" s="93"/>
      <c r="AS29" s="93"/>
      <c r="AT29" s="93"/>
      <c r="AU29" s="93"/>
      <c r="AV29" s="93"/>
      <c r="AW29" s="93"/>
      <c r="AX29" s="93">
        <v>3.5598424723749997</v>
      </c>
      <c r="AY29" s="93"/>
      <c r="AZ29" s="93"/>
      <c r="BA29" s="93"/>
      <c r="BB29" s="93"/>
      <c r="BC29" s="93"/>
      <c r="BD29" s="93"/>
      <c r="BE29" s="467">
        <v>3.5598424723749997</v>
      </c>
    </row>
    <row r="30" spans="1:57" x14ac:dyDescent="0.25">
      <c r="A30" s="136" t="str">
        <v>22.23-0-1.6-ERW 1-</v>
      </c>
      <c r="B30" s="136"/>
      <c r="C30" t="str">
        <v>41.28-0-2.6-ERW 1-FC</v>
      </c>
      <c r="D30" s="136"/>
      <c r="G30" s="43"/>
      <c r="H30" s="43"/>
      <c r="I30" s="43"/>
      <c r="J30" s="91">
        <v>22.23</v>
      </c>
      <c r="K30" s="15">
        <v>22.23</v>
      </c>
      <c r="L30" s="15">
        <v>0</v>
      </c>
      <c r="M30" s="15">
        <v>1.2</v>
      </c>
      <c r="N30" s="15" t="s">
        <v>962</v>
      </c>
      <c r="O30" s="15" t="s">
        <v>963</v>
      </c>
      <c r="P30" s="15" t="s">
        <v>607</v>
      </c>
      <c r="Q30" s="92" t="s">
        <v>1816</v>
      </c>
      <c r="R30" s="215">
        <f>Table11[[#This Row],[Grand Total]]</f>
        <v>20.246850396036002</v>
      </c>
      <c r="S30" s="93">
        <f>VLOOKUP(Table11[[#This Row],[Bucket]],salesforecast[[#All],[Bucket2]:[WIP]],3,0)</f>
        <v>4.2701100000000007</v>
      </c>
      <c r="T30" s="93">
        <f>VLOOKUP(Table11[[#This Row],[Bucket]],salesforecast[[#All],[Bucket2]:[WIP]],4,0)</f>
        <v>1.8640619999999999</v>
      </c>
      <c r="U30" s="93">
        <f>VLOOKUP(Table11[[#This Row],[Bucket]],salesforecast[[#All],[Bucket2]:[WIP]],5,0)</f>
        <v>8.4999999999999964E-2</v>
      </c>
      <c r="V30" s="93">
        <f>VLOOKUP(Table11[[#This Row],[Bucket]],salesforecast[[#All],[Bucket2]:[WIP]],7,0)</f>
        <v>3.1040000000000001</v>
      </c>
      <c r="W30" s="93">
        <f>Table11[[#This Row],[Stock LL]]+Table11[[#This Row],[WIP]]+Table11[[#This Row],[Stock CTL]]</f>
        <v>5.0530619999999997</v>
      </c>
      <c r="X30" s="93">
        <f>IF((Table11[[#This Row],[Requirement]]-Table11[[#This Row],[Sales]]-Table11[[#This Row],[Total Stock]])&lt;0,0,Table11[[#This Row],[Requirement]]-Table11[[#This Row],[Sales]]-Table11[[#This Row],[Total Stock]])</f>
        <v>10.923678396036003</v>
      </c>
      <c r="Y30" s="95" t="s">
        <v>1819</v>
      </c>
      <c r="Z30" s="93">
        <v>22.23</v>
      </c>
      <c r="AA30" s="93">
        <v>22.23</v>
      </c>
      <c r="AB30" s="93">
        <v>0</v>
      </c>
      <c r="AC30" s="93">
        <v>1.2</v>
      </c>
      <c r="AD30" s="93" t="s">
        <v>962</v>
      </c>
      <c r="AE30" s="93" t="s">
        <v>963</v>
      </c>
      <c r="AF30" s="93" t="s">
        <v>607</v>
      </c>
      <c r="AG30" s="93" t="b">
        <f>EXACT(Table11[[#This Row],[Bucket8]],Table11[[#This Row],[Bucket]])</f>
        <v>1</v>
      </c>
      <c r="AH30" s="93"/>
      <c r="AI30" s="93">
        <v>5.7825039565439997</v>
      </c>
      <c r="AJ30" s="93"/>
      <c r="AK30" s="93"/>
      <c r="AL30" s="93"/>
      <c r="AM30" s="93"/>
      <c r="AN30" s="93"/>
      <c r="AO30" s="93">
        <v>0.17417180592000001</v>
      </c>
      <c r="AP30" s="93"/>
      <c r="AQ30" s="93"/>
      <c r="AR30" s="93"/>
      <c r="AS30" s="93">
        <v>0.93306324600000012</v>
      </c>
      <c r="AT30" s="93">
        <v>2.1945647545920002</v>
      </c>
      <c r="AU30" s="93"/>
      <c r="AV30" s="93"/>
      <c r="AW30" s="93">
        <v>1.6521439875840003</v>
      </c>
      <c r="AX30" s="93"/>
      <c r="AY30" s="93">
        <v>5.4422468928360015</v>
      </c>
      <c r="AZ30" s="93">
        <v>4.0681557525600009</v>
      </c>
      <c r="BA30" s="93"/>
      <c r="BB30" s="93"/>
      <c r="BC30" s="93"/>
      <c r="BD30" s="93"/>
      <c r="BE30" s="467">
        <v>20.246850396036002</v>
      </c>
    </row>
    <row r="31" spans="1:57" x14ac:dyDescent="0.25">
      <c r="A31" s="136" t="str">
        <v>22.23-0-2-ERW 1-</v>
      </c>
      <c r="B31" s="136"/>
      <c r="C31" t="str">
        <v>41.28-0-3.2-ERW 1-FC</v>
      </c>
      <c r="D31" s="136"/>
      <c r="G31" s="43"/>
      <c r="H31" s="43"/>
      <c r="I31" s="43"/>
      <c r="J31" s="91">
        <v>22.23</v>
      </c>
      <c r="K31" s="15">
        <v>22.23</v>
      </c>
      <c r="L31" s="15">
        <v>0</v>
      </c>
      <c r="M31" s="15">
        <v>1.6</v>
      </c>
      <c r="N31" s="15" t="s">
        <v>962</v>
      </c>
      <c r="O31" s="15" t="s">
        <v>963</v>
      </c>
      <c r="P31" s="15" t="s">
        <v>412</v>
      </c>
      <c r="Q31" s="92" t="s">
        <v>1816</v>
      </c>
      <c r="R31" s="215">
        <f>Table11[[#This Row],[Grand Total]]</f>
        <v>122.830520952048</v>
      </c>
      <c r="S31" s="93">
        <f>VLOOKUP(Table11[[#This Row],[Bucket]],salesforecast[[#All],[Bucket2]:[WIP]],3,0)</f>
        <v>41.810950000000005</v>
      </c>
      <c r="T31" s="93">
        <f>VLOOKUP(Table11[[#This Row],[Bucket]],salesforecast[[#All],[Bucket2]:[WIP]],4,0)</f>
        <v>2.4718240000000002</v>
      </c>
      <c r="U31" s="93">
        <f>VLOOKUP(Table11[[#This Row],[Bucket]],salesforecast[[#All],[Bucket2]:[WIP]],5,0)</f>
        <v>62.742162000000008</v>
      </c>
      <c r="V31" s="93">
        <f>VLOOKUP(Table11[[#This Row],[Bucket]],salesforecast[[#All],[Bucket2]:[WIP]],7,0)</f>
        <v>0</v>
      </c>
      <c r="W31" s="93">
        <f>Table11[[#This Row],[Stock LL]]+Table11[[#This Row],[WIP]]+Table11[[#This Row],[Stock CTL]]</f>
        <v>65.213986000000006</v>
      </c>
      <c r="X31" s="93">
        <f>IF((Table11[[#This Row],[Requirement]]-Table11[[#This Row],[Sales]]-Table11[[#This Row],[Total Stock]])&lt;0,0,Table11[[#This Row],[Requirement]]-Table11[[#This Row],[Sales]]-Table11[[#This Row],[Total Stock]])</f>
        <v>15.805584952047994</v>
      </c>
      <c r="Y31" s="94" t="str">
        <f>_xlfn.CONCAT(ROUND(Table11[[#This Row],[Total Stock]]/Table11[[#This Row],[Requirement]]*100,0),"% Coverage. Rest by Week 3")</f>
        <v>53% Coverage. Rest by Week 3</v>
      </c>
      <c r="Z31" s="93">
        <v>22.23</v>
      </c>
      <c r="AA31" s="93">
        <v>22.23</v>
      </c>
      <c r="AB31" s="93">
        <v>0</v>
      </c>
      <c r="AC31" s="93">
        <v>1.6</v>
      </c>
      <c r="AD31" s="93" t="s">
        <v>962</v>
      </c>
      <c r="AE31" s="93" t="s">
        <v>963</v>
      </c>
      <c r="AF31" s="93" t="s">
        <v>412</v>
      </c>
      <c r="AG31" s="93" t="b">
        <f>EXACT(Table11[[#This Row],[Bucket8]],Table11[[#This Row],[Bucket]])</f>
        <v>1</v>
      </c>
      <c r="AH31" s="93"/>
      <c r="AI31" s="93"/>
      <c r="AJ31" s="93"/>
      <c r="AK31" s="93"/>
      <c r="AL31" s="93">
        <v>1.1594002236000001</v>
      </c>
      <c r="AM31" s="93">
        <v>3.9541649731200001</v>
      </c>
      <c r="AN31" s="93"/>
      <c r="AO31" s="93">
        <v>14.632037628928002</v>
      </c>
      <c r="AP31" s="93">
        <v>4.1364145521280005</v>
      </c>
      <c r="AQ31" s="93"/>
      <c r="AR31" s="93"/>
      <c r="AS31" s="93">
        <v>15.040471953311998</v>
      </c>
      <c r="AT31" s="93"/>
      <c r="AU31" s="93">
        <v>7.6479734048000001</v>
      </c>
      <c r="AV31" s="93"/>
      <c r="AW31" s="93"/>
      <c r="AX31" s="93">
        <v>19.648782736800005</v>
      </c>
      <c r="AY31" s="93">
        <v>1.7834423088640001</v>
      </c>
      <c r="AZ31" s="93">
        <v>54.827833170496</v>
      </c>
      <c r="BA31" s="93"/>
      <c r="BB31" s="93"/>
      <c r="BC31" s="93"/>
      <c r="BD31" s="93"/>
      <c r="BE31" s="467">
        <v>122.830520952048</v>
      </c>
    </row>
    <row r="32" spans="1:57" x14ac:dyDescent="0.25">
      <c r="A32" s="136" t="str">
        <v>(blank)</v>
      </c>
      <c r="B32" s="136"/>
      <c r="C32" t="str">
        <v>42.7-0-3.5-ERW 1-FC</v>
      </c>
      <c r="D32" s="136"/>
      <c r="G32" s="43"/>
      <c r="H32" s="43"/>
      <c r="I32" s="43"/>
      <c r="J32" s="91">
        <v>22.23</v>
      </c>
      <c r="K32" s="15">
        <v>22.23</v>
      </c>
      <c r="L32" s="15">
        <v>0</v>
      </c>
      <c r="M32" s="15">
        <v>1.6</v>
      </c>
      <c r="N32" s="15" t="s">
        <v>985</v>
      </c>
      <c r="O32" s="15" t="s">
        <v>963</v>
      </c>
      <c r="P32" s="15" t="s">
        <v>695</v>
      </c>
      <c r="Q32" s="92" t="s">
        <v>1816</v>
      </c>
      <c r="R32" s="215">
        <f>Table11[[#This Row],[Grand Total]]</f>
        <v>22.821878085599998</v>
      </c>
      <c r="S32" s="93">
        <f>VLOOKUP(Table11[[#This Row],[Bucket]],salesforecast[[#All],[Bucket2]:[WIP]],3,0)</f>
        <v>2.073725</v>
      </c>
      <c r="T32" s="93">
        <f>VLOOKUP(Table11[[#This Row],[Bucket]],salesforecast[[#All],[Bucket2]:[WIP]],4,0)</f>
        <v>0.63895899999999994</v>
      </c>
      <c r="U32" s="93">
        <f>VLOOKUP(Table11[[#This Row],[Bucket]],salesforecast[[#All],[Bucket2]:[WIP]],5,0)</f>
        <v>0</v>
      </c>
      <c r="V32" s="93">
        <f>VLOOKUP(Table11[[#This Row],[Bucket]],salesforecast[[#All],[Bucket2]:[WIP]],7,0)</f>
        <v>0</v>
      </c>
      <c r="W32" s="93">
        <f>Table11[[#This Row],[Stock LL]]+Table11[[#This Row],[WIP]]+Table11[[#This Row],[Stock CTL]]</f>
        <v>0.63895899999999994</v>
      </c>
      <c r="X32" s="93">
        <f>IF((Table11[[#This Row],[Requirement]]-Table11[[#This Row],[Sales]]-Table11[[#This Row],[Total Stock]])&lt;0,0,Table11[[#This Row],[Requirement]]-Table11[[#This Row],[Sales]]-Table11[[#This Row],[Total Stock]])</f>
        <v>20.109194085599999</v>
      </c>
      <c r="Y32" s="94" t="str">
        <f>_xlfn.CONCAT(ROUND(Table11[[#This Row],[Total Stock]]/Table11[[#This Row],[Requirement]]*100,0),"% Coverage. Rest by Week 3")</f>
        <v>3% Coverage. Rest by Week 3</v>
      </c>
      <c r="Z32" s="93">
        <v>22.23</v>
      </c>
      <c r="AA32" s="93">
        <v>22.23</v>
      </c>
      <c r="AB32" s="93">
        <v>0</v>
      </c>
      <c r="AC32" s="93">
        <v>1.6</v>
      </c>
      <c r="AD32" s="93" t="s">
        <v>985</v>
      </c>
      <c r="AE32" s="93" t="s">
        <v>963</v>
      </c>
      <c r="AF32" s="93" t="s">
        <v>695</v>
      </c>
      <c r="AG32" s="93" t="b">
        <f>EXACT(Table11[[#This Row],[Bucket8]],Table11[[#This Row],[Bucket]])</f>
        <v>1</v>
      </c>
      <c r="AH32" s="93"/>
      <c r="AI32" s="93"/>
      <c r="AJ32" s="93"/>
      <c r="AK32" s="93"/>
      <c r="AL32" s="93"/>
      <c r="AM32" s="93"/>
      <c r="AN32" s="93"/>
      <c r="AO32" s="93"/>
      <c r="AP32" s="93"/>
      <c r="AQ32" s="93"/>
      <c r="AR32" s="93"/>
      <c r="AS32" s="93"/>
      <c r="AT32" s="93"/>
      <c r="AU32" s="93"/>
      <c r="AV32" s="93"/>
      <c r="AW32" s="93">
        <v>22.821878085599998</v>
      </c>
      <c r="AX32" s="93"/>
      <c r="AY32" s="93"/>
      <c r="AZ32" s="93"/>
      <c r="BA32" s="93"/>
      <c r="BB32" s="93"/>
      <c r="BC32" s="93"/>
      <c r="BD32" s="93"/>
      <c r="BE32" s="467">
        <v>22.821878085599998</v>
      </c>
    </row>
    <row r="33" spans="1:57" x14ac:dyDescent="0.25">
      <c r="A33" t="str">
        <v>22.23-0-2-ERW 2 MAHS-FC</v>
      </c>
      <c r="C33" t="str">
        <v>42.7-0-4-ERW 1-FC</v>
      </c>
      <c r="G33" s="43"/>
      <c r="H33" s="43"/>
      <c r="I33" s="43"/>
      <c r="J33" s="91">
        <v>22.23</v>
      </c>
      <c r="K33" s="15">
        <v>22.23</v>
      </c>
      <c r="L33" s="15">
        <v>0</v>
      </c>
      <c r="M33" s="15">
        <v>2</v>
      </c>
      <c r="N33" s="15" t="s">
        <v>962</v>
      </c>
      <c r="O33" s="15" t="s">
        <v>1003</v>
      </c>
      <c r="P33" s="15" t="s">
        <v>562</v>
      </c>
      <c r="Q33" s="92" t="s">
        <v>1816</v>
      </c>
      <c r="R33" s="215">
        <f>Table11[[#This Row],[Grand Total]]</f>
        <v>11.967582480000001</v>
      </c>
      <c r="S33" s="93">
        <f>VLOOKUP(Table11[[#This Row],[Bucket]],salesforecast[[#All],[Bucket2]:[WIP]],3,0)</f>
        <v>3.5521499999999997</v>
      </c>
      <c r="T33" s="93">
        <f>VLOOKUP(Table11[[#This Row],[Bucket]],salesforecast[[#All],[Bucket2]:[WIP]],4,0)</f>
        <v>4.3236059999999998</v>
      </c>
      <c r="U33" s="93">
        <f>VLOOKUP(Table11[[#This Row],[Bucket]],salesforecast[[#All],[Bucket2]:[WIP]],5,0)</f>
        <v>7.6364609999999988</v>
      </c>
      <c r="V33" s="93">
        <f>VLOOKUP(Table11[[#This Row],[Bucket]],salesforecast[[#All],[Bucket2]:[WIP]],7,0)</f>
        <v>2.7130000000000001</v>
      </c>
      <c r="W33" s="93">
        <f>Table11[[#This Row],[Stock LL]]+Table11[[#This Row],[WIP]]+Table11[[#This Row],[Stock CTL]]</f>
        <v>14.673066999999998</v>
      </c>
      <c r="X33" s="93">
        <f>IF((Table11[[#This Row],[Requirement]]-Table11[[#This Row],[Sales]]-Table11[[#This Row],[Total Stock]])&lt;0,0,Table11[[#This Row],[Requirement]]-Table11[[#This Row],[Sales]]-Table11[[#This Row],[Total Stock]])</f>
        <v>0</v>
      </c>
      <c r="Y33" s="94" t="str">
        <f>_xlfn.CONCAT(ROUND(Table11[[#This Row],[Total Stock]]/Table11[[#This Row],[Requirement]]*100,0),"% Coverage. Rest by Week 3")</f>
        <v>123% Coverage. Rest by Week 3</v>
      </c>
      <c r="Z33" s="93">
        <v>22.23</v>
      </c>
      <c r="AA33" s="93">
        <v>22.23</v>
      </c>
      <c r="AB33" s="93">
        <v>0</v>
      </c>
      <c r="AC33" s="93">
        <v>2</v>
      </c>
      <c r="AD33" s="93" t="s">
        <v>962</v>
      </c>
      <c r="AE33" s="93" t="s">
        <v>1003</v>
      </c>
      <c r="AF33" s="93" t="s">
        <v>562</v>
      </c>
      <c r="AG33" s="93" t="b">
        <f>EXACT(Table11[[#This Row],[Bucket8]],Table11[[#This Row],[Bucket]])</f>
        <v>1</v>
      </c>
      <c r="AH33" s="93"/>
      <c r="AI33" s="93">
        <v>2.9918956200000002</v>
      </c>
      <c r="AJ33" s="93">
        <v>8.9756868599999997</v>
      </c>
      <c r="AK33" s="93"/>
      <c r="AL33" s="93"/>
      <c r="AM33" s="93"/>
      <c r="AN33" s="93"/>
      <c r="AO33" s="93"/>
      <c r="AP33" s="93"/>
      <c r="AQ33" s="93"/>
      <c r="AR33" s="93"/>
      <c r="AS33" s="93"/>
      <c r="AT33" s="93"/>
      <c r="AU33" s="93"/>
      <c r="AV33" s="93"/>
      <c r="AW33" s="93"/>
      <c r="AX33" s="93"/>
      <c r="AY33" s="93"/>
      <c r="AZ33" s="93"/>
      <c r="BA33" s="93"/>
      <c r="BB33" s="93"/>
      <c r="BC33" s="93"/>
      <c r="BD33" s="93"/>
      <c r="BE33" s="467">
        <v>11.967582480000001</v>
      </c>
    </row>
    <row r="34" spans="1:57" x14ac:dyDescent="0.25">
      <c r="A34" s="136" t="str">
        <v>(blank)</v>
      </c>
      <c r="B34" s="136"/>
      <c r="C34" t="str">
        <v>40-30-1.6-ERW 1-FC</v>
      </c>
      <c r="D34" s="136"/>
      <c r="H34" s="43"/>
      <c r="I34" s="43"/>
      <c r="J34" s="91">
        <v>22.23</v>
      </c>
      <c r="K34" s="15">
        <v>22.23</v>
      </c>
      <c r="L34" s="15">
        <v>0</v>
      </c>
      <c r="M34" s="15">
        <v>2</v>
      </c>
      <c r="N34" s="15" t="s">
        <v>962</v>
      </c>
      <c r="O34" s="15" t="s">
        <v>963</v>
      </c>
      <c r="P34" s="15" t="s">
        <v>633</v>
      </c>
      <c r="Q34" s="92" t="s">
        <v>1816</v>
      </c>
      <c r="R34" s="215">
        <f>Table11[[#This Row],[Grand Total]]</f>
        <v>46.696509538420003</v>
      </c>
      <c r="S34" s="93">
        <f>VLOOKUP(Table11[[#This Row],[Bucket]],salesforecast[[#All],[Bucket2]:[WIP]],3,0)</f>
        <v>57.691250000000011</v>
      </c>
      <c r="T34" s="93">
        <f>VLOOKUP(Table11[[#This Row],[Bucket]],salesforecast[[#All],[Bucket2]:[WIP]],4,0)</f>
        <v>2.5288830000000004</v>
      </c>
      <c r="U34" s="93">
        <f>VLOOKUP(Table11[[#This Row],[Bucket]],salesforecast[[#All],[Bucket2]:[WIP]],5,0)</f>
        <v>11.690146999999998</v>
      </c>
      <c r="V34" s="93">
        <f>VLOOKUP(Table11[[#This Row],[Bucket]],salesforecast[[#All],[Bucket2]:[WIP]],7,0)</f>
        <v>1.629</v>
      </c>
      <c r="W34" s="93">
        <f>Table11[[#This Row],[Stock LL]]+Table11[[#This Row],[WIP]]+Table11[[#This Row],[Stock CTL]]</f>
        <v>15.848029999999998</v>
      </c>
      <c r="X34" s="93">
        <f>IF((Table11[[#This Row],[Requirement]]-Table11[[#This Row],[Sales]]-Table11[[#This Row],[Total Stock]])&lt;0,0,Table11[[#This Row],[Requirement]]-Table11[[#This Row],[Sales]]-Table11[[#This Row],[Total Stock]])</f>
        <v>0</v>
      </c>
      <c r="Y34" s="94" t="str">
        <f>_xlfn.CONCAT(ROUND(Table11[[#This Row],[Total Stock]]/Table11[[#This Row],[Requirement]]*100,0),"% Coverage. Rest by Week 3")</f>
        <v>34% Coverage. Rest by Week 3</v>
      </c>
      <c r="Z34" s="93">
        <v>22.23</v>
      </c>
      <c r="AA34" s="93">
        <v>22.23</v>
      </c>
      <c r="AB34" s="93">
        <v>0</v>
      </c>
      <c r="AC34" s="93">
        <v>2</v>
      </c>
      <c r="AD34" s="93" t="s">
        <v>962</v>
      </c>
      <c r="AE34" s="93" t="s">
        <v>963</v>
      </c>
      <c r="AF34" s="93" t="s">
        <v>633</v>
      </c>
      <c r="AG34" s="93" t="b">
        <f>EXACT(Table11[[#This Row],[Bucket8]],Table11[[#This Row],[Bucket]])</f>
        <v>1</v>
      </c>
      <c r="AH34" s="93"/>
      <c r="AI34" s="93"/>
      <c r="AJ34" s="93"/>
      <c r="AK34" s="93"/>
      <c r="AL34" s="93"/>
      <c r="AM34" s="93"/>
      <c r="AN34" s="93"/>
      <c r="AO34" s="93">
        <v>7.612379755820001</v>
      </c>
      <c r="AP34" s="93">
        <v>12.944935049200001</v>
      </c>
      <c r="AQ34" s="93"/>
      <c r="AR34" s="93"/>
      <c r="AS34" s="93">
        <v>5.0612900905</v>
      </c>
      <c r="AT34" s="93"/>
      <c r="AU34" s="93"/>
      <c r="AV34" s="93"/>
      <c r="AW34" s="93">
        <v>2.7625169558000002</v>
      </c>
      <c r="AX34" s="93"/>
      <c r="AY34" s="93">
        <v>16.121330899100002</v>
      </c>
      <c r="AZ34" s="93">
        <v>2.1940567880000001</v>
      </c>
      <c r="BA34" s="93"/>
      <c r="BB34" s="93"/>
      <c r="BC34" s="93"/>
      <c r="BD34" s="93"/>
      <c r="BE34" s="467">
        <v>46.696509538420003</v>
      </c>
    </row>
    <row r="35" spans="1:57" x14ac:dyDescent="0.25">
      <c r="A35" s="136" t="str">
        <v>22.23-0-2--</v>
      </c>
      <c r="B35" s="136"/>
      <c r="C35" t="str">
        <v>40-30-2-ERW 1-FC</v>
      </c>
      <c r="D35" s="136"/>
      <c r="G35" s="43"/>
      <c r="H35" s="43"/>
      <c r="I35" s="43"/>
      <c r="J35" s="91">
        <v>22.23</v>
      </c>
      <c r="K35" s="15">
        <v>22.23</v>
      </c>
      <c r="L35" s="15">
        <v>0</v>
      </c>
      <c r="M35" s="15">
        <v>2</v>
      </c>
      <c r="N35" s="15" t="s">
        <v>993</v>
      </c>
      <c r="O35" s="15" t="s">
        <v>1003</v>
      </c>
      <c r="P35" s="15" t="s">
        <v>770</v>
      </c>
      <c r="Q35" s="92" t="s">
        <v>1816</v>
      </c>
      <c r="R35" s="215">
        <f>Table11[[#This Row],[Grand Total]]</f>
        <v>10.439049934802581</v>
      </c>
      <c r="S35" s="93">
        <f>VLOOKUP(Table11[[#This Row],[Bucket]],salesforecast[[#All],[Bucket2]:[WIP]],3,0)</f>
        <v>6.9522579999999996</v>
      </c>
      <c r="T35" s="93">
        <f>VLOOKUP(Table11[[#This Row],[Bucket]],salesforecast[[#All],[Bucket2]:[WIP]],4,0)</f>
        <v>1.0284789999999999</v>
      </c>
      <c r="U35" s="93">
        <f>VLOOKUP(Table11[[#This Row],[Bucket]],salesforecast[[#All],[Bucket2]:[WIP]],5,0)</f>
        <v>0</v>
      </c>
      <c r="V35" s="93">
        <f>VLOOKUP(Table11[[#This Row],[Bucket]],salesforecast[[#All],[Bucket2]:[WIP]],7,0)</f>
        <v>15.21</v>
      </c>
      <c r="W35" s="93">
        <f>Table11[[#This Row],[Stock LL]]+Table11[[#This Row],[WIP]]+Table11[[#This Row],[Stock CTL]]</f>
        <v>16.238479000000002</v>
      </c>
      <c r="X35" s="93">
        <f>IF((Table11[[#This Row],[Requirement]]-Table11[[#This Row],[Sales]]-Table11[[#This Row],[Total Stock]])&lt;0,0,Table11[[#This Row],[Requirement]]-Table11[[#This Row],[Sales]]-Table11[[#This Row],[Total Stock]])</f>
        <v>0</v>
      </c>
      <c r="Y35" s="96"/>
      <c r="Z35" s="93">
        <v>22.23</v>
      </c>
      <c r="AA35" s="93">
        <v>22.23</v>
      </c>
      <c r="AB35" s="93">
        <v>0</v>
      </c>
      <c r="AC35" s="93">
        <v>2</v>
      </c>
      <c r="AD35" s="93" t="s">
        <v>993</v>
      </c>
      <c r="AE35" s="93" t="s">
        <v>1003</v>
      </c>
      <c r="AF35" s="93" t="s">
        <v>770</v>
      </c>
      <c r="AG35" s="93" t="b">
        <f>EXACT(Table11[[#This Row],[Bucket8]],Table11[[#This Row],[Bucket]])</f>
        <v>1</v>
      </c>
      <c r="AH35" s="93"/>
      <c r="AI35" s="93"/>
      <c r="AJ35" s="93"/>
      <c r="AK35" s="93"/>
      <c r="AL35" s="93"/>
      <c r="AM35" s="93"/>
      <c r="AN35" s="93"/>
      <c r="AO35" s="93"/>
      <c r="AP35" s="93"/>
      <c r="AQ35" s="93"/>
      <c r="AR35" s="93"/>
      <c r="AS35" s="93"/>
      <c r="AT35" s="93"/>
      <c r="AU35" s="93"/>
      <c r="AV35" s="93"/>
      <c r="AW35" s="93"/>
      <c r="AX35" s="93">
        <v>10.439049934802581</v>
      </c>
      <c r="AY35" s="93"/>
      <c r="AZ35" s="93"/>
      <c r="BA35" s="93"/>
      <c r="BB35" s="93"/>
      <c r="BC35" s="93"/>
      <c r="BD35" s="93"/>
      <c r="BE35" s="467">
        <v>10.439049934802581</v>
      </c>
    </row>
    <row r="36" spans="1:57" x14ac:dyDescent="0.25">
      <c r="A36" s="136" t="str">
        <v>(blank)</v>
      </c>
      <c r="B36" s="136"/>
      <c r="C36" t="str">
        <v>48.6-0-1.2-ERW 1-FC</v>
      </c>
      <c r="D36" s="136"/>
      <c r="G36" s="43"/>
      <c r="H36" s="43"/>
      <c r="I36" s="43"/>
      <c r="J36" s="91">
        <v>22.23</v>
      </c>
      <c r="K36" s="15">
        <v>22.23</v>
      </c>
      <c r="L36" s="15">
        <v>0</v>
      </c>
      <c r="M36" s="15">
        <v>2</v>
      </c>
      <c r="N36" s="15" t="s">
        <v>985</v>
      </c>
      <c r="O36" s="15" t="s">
        <v>963</v>
      </c>
      <c r="P36" s="15" t="s">
        <v>642</v>
      </c>
      <c r="Q36" s="92" t="s">
        <v>1816</v>
      </c>
      <c r="R36" s="215">
        <f>Table11[[#This Row],[Grand Total]]</f>
        <v>54.153310722000001</v>
      </c>
      <c r="S36" s="93">
        <f>VLOOKUP(Table11[[#This Row],[Bucket]],salesforecast[[#All],[Bucket2]:[WIP]],3,0)</f>
        <v>33.500875000000001</v>
      </c>
      <c r="T36" s="93">
        <f>VLOOKUP(Table11[[#This Row],[Bucket]],salesforecast[[#All],[Bucket2]:[WIP]],4,0)</f>
        <v>0.58795400000000009</v>
      </c>
      <c r="U36" s="93">
        <f>VLOOKUP(Table11[[#This Row],[Bucket]],salesforecast[[#All],[Bucket2]:[WIP]],5,0)</f>
        <v>5.8279100000000001</v>
      </c>
      <c r="V36" s="93">
        <f>VLOOKUP(Table11[[#This Row],[Bucket]],salesforecast[[#All],[Bucket2]:[WIP]],7,0)</f>
        <v>0</v>
      </c>
      <c r="W36" s="93">
        <f>Table11[[#This Row],[Stock LL]]+Table11[[#This Row],[WIP]]+Table11[[#This Row],[Stock CTL]]</f>
        <v>6.415864</v>
      </c>
      <c r="X36" s="93">
        <f>IF((Table11[[#This Row],[Requirement]]-Table11[[#This Row],[Sales]]-Table11[[#This Row],[Total Stock]])&lt;0,0,Table11[[#This Row],[Requirement]]-Table11[[#This Row],[Sales]]-Table11[[#This Row],[Total Stock]])</f>
        <v>14.236571722000001</v>
      </c>
      <c r="Y36" s="94" t="str">
        <f>_xlfn.CONCAT(ROUND(Table11[[#This Row],[Total Stock]]/Table11[[#This Row],[Requirement]]*100,0),"% Coverage. Rest by Week 3")</f>
        <v>12% Coverage. Rest by Week 3</v>
      </c>
      <c r="Z36" s="93">
        <v>22.23</v>
      </c>
      <c r="AA36" s="93">
        <v>22.23</v>
      </c>
      <c r="AB36" s="93">
        <v>0</v>
      </c>
      <c r="AC36" s="93">
        <v>2</v>
      </c>
      <c r="AD36" s="93" t="s">
        <v>985</v>
      </c>
      <c r="AE36" s="93" t="s">
        <v>963</v>
      </c>
      <c r="AF36" s="93" t="s">
        <v>642</v>
      </c>
      <c r="AG36" s="93" t="b">
        <f>EXACT(Table11[[#This Row],[Bucket8]],Table11[[#This Row],[Bucket]])</f>
        <v>1</v>
      </c>
      <c r="AH36" s="93"/>
      <c r="AI36" s="93"/>
      <c r="AJ36" s="93"/>
      <c r="AK36" s="93"/>
      <c r="AL36" s="93"/>
      <c r="AM36" s="93"/>
      <c r="AN36" s="93"/>
      <c r="AO36" s="93"/>
      <c r="AP36" s="93"/>
      <c r="AQ36" s="93"/>
      <c r="AR36" s="93"/>
      <c r="AS36" s="93"/>
      <c r="AT36" s="93"/>
      <c r="AU36" s="93"/>
      <c r="AV36" s="93"/>
      <c r="AW36" s="93">
        <v>54.153310722000001</v>
      </c>
      <c r="AX36" s="93"/>
      <c r="AY36" s="93"/>
      <c r="AZ36" s="93"/>
      <c r="BA36" s="93"/>
      <c r="BB36" s="93"/>
      <c r="BC36" s="93"/>
      <c r="BD36" s="93"/>
      <c r="BE36" s="467">
        <v>54.153310722000001</v>
      </c>
    </row>
    <row r="37" spans="1:57" x14ac:dyDescent="0.25">
      <c r="A37" s="136" t="str">
        <v>22.23-0-2.3--PE</v>
      </c>
      <c r="B37" s="136"/>
      <c r="C37" t="str">
        <v>48.6-0-3.5-ERW 1-FC</v>
      </c>
      <c r="D37" s="136"/>
      <c r="G37" s="43"/>
      <c r="H37" s="43"/>
      <c r="I37" s="43"/>
      <c r="J37" s="91">
        <v>22.23</v>
      </c>
      <c r="K37" s="15">
        <v>22.23</v>
      </c>
      <c r="L37" s="15">
        <v>0</v>
      </c>
      <c r="M37" s="15">
        <v>2.2999999999999998</v>
      </c>
      <c r="N37" s="15" t="s">
        <v>962</v>
      </c>
      <c r="O37" s="15" t="s">
        <v>963</v>
      </c>
      <c r="P37" s="15" t="s">
        <v>748</v>
      </c>
      <c r="Q37" s="92" t="s">
        <v>1816</v>
      </c>
      <c r="R37" s="215">
        <f>Table11[[#This Row],[Grand Total]]</f>
        <v>29.789431497515</v>
      </c>
      <c r="S37" s="93">
        <f>VLOOKUP(Table11[[#This Row],[Bucket]],salesforecast[[#All],[Bucket2]:[WIP]],3,0)</f>
        <v>18.830572999999998</v>
      </c>
      <c r="T37" s="93">
        <f>VLOOKUP(Table11[[#This Row],[Bucket]],salesforecast[[#All],[Bucket2]:[WIP]],4,0)</f>
        <v>0.17203499999999999</v>
      </c>
      <c r="U37" s="93">
        <f>VLOOKUP(Table11[[#This Row],[Bucket]],salesforecast[[#All],[Bucket2]:[WIP]],5,0)</f>
        <v>6.8109740000000007</v>
      </c>
      <c r="V37" s="93">
        <f>VLOOKUP(Table11[[#This Row],[Bucket]],salesforecast[[#All],[Bucket2]:[WIP]],7,0)</f>
        <v>0</v>
      </c>
      <c r="W37" s="93">
        <f>Table11[[#This Row],[Stock LL]]+Table11[[#This Row],[WIP]]+Table11[[#This Row],[Stock CTL]]</f>
        <v>6.9830090000000009</v>
      </c>
      <c r="X37" s="93">
        <f>IF((Table11[[#This Row],[Requirement]]-Table11[[#This Row],[Sales]]-Table11[[#This Row],[Total Stock]])&lt;0,0,Table11[[#This Row],[Requirement]]-Table11[[#This Row],[Sales]]-Table11[[#This Row],[Total Stock]])</f>
        <v>3.9758494975150018</v>
      </c>
      <c r="Y37" s="96"/>
      <c r="Z37" s="93">
        <v>22.23</v>
      </c>
      <c r="AA37" s="93">
        <v>22.23</v>
      </c>
      <c r="AB37" s="93">
        <v>0</v>
      </c>
      <c r="AC37" s="93">
        <v>2.2999999999999998</v>
      </c>
      <c r="AD37" s="93" t="s">
        <v>962</v>
      </c>
      <c r="AE37" s="93" t="s">
        <v>963</v>
      </c>
      <c r="AF37" s="93" t="s">
        <v>748</v>
      </c>
      <c r="AG37" s="93" t="b">
        <f>EXACT(Table11[[#This Row],[Bucket8]],Table11[[#This Row],[Bucket]])</f>
        <v>1</v>
      </c>
      <c r="AH37" s="93"/>
      <c r="AI37" s="93">
        <v>2.9828977490400002</v>
      </c>
      <c r="AJ37" s="93"/>
      <c r="AK37" s="93"/>
      <c r="AL37" s="93">
        <v>2.7286735090649996</v>
      </c>
      <c r="AM37" s="93"/>
      <c r="AN37" s="93"/>
      <c r="AO37" s="93"/>
      <c r="AP37" s="93"/>
      <c r="AQ37" s="93">
        <v>2.4010067108749995</v>
      </c>
      <c r="AR37" s="93"/>
      <c r="AS37" s="93"/>
      <c r="AT37" s="93"/>
      <c r="AU37" s="93">
        <v>3.3896565329999997</v>
      </c>
      <c r="AV37" s="93"/>
      <c r="AW37" s="93"/>
      <c r="AX37" s="93"/>
      <c r="AY37" s="93"/>
      <c r="AZ37" s="93">
        <v>18.287196995535002</v>
      </c>
      <c r="BA37" s="93"/>
      <c r="BB37" s="93"/>
      <c r="BC37" s="93"/>
      <c r="BD37" s="93"/>
      <c r="BE37" s="467">
        <v>29.789431497515</v>
      </c>
    </row>
    <row r="38" spans="1:57" x14ac:dyDescent="0.25">
      <c r="A38" t="str">
        <v>(blank)</v>
      </c>
      <c r="C38" t="str">
        <v>59-30-1.6-ERW 1-FIN CUT</v>
      </c>
      <c r="H38" s="43"/>
      <c r="I38" s="43"/>
      <c r="J38" s="91">
        <v>23.42</v>
      </c>
      <c r="K38" s="15">
        <v>19</v>
      </c>
      <c r="L38" s="15">
        <v>19</v>
      </c>
      <c r="M38" s="15">
        <v>1</v>
      </c>
      <c r="N38" s="15" t="s">
        <v>229</v>
      </c>
      <c r="O38" s="15" t="s">
        <v>963</v>
      </c>
      <c r="P38" s="15" t="s">
        <v>450</v>
      </c>
      <c r="Q38" s="92" t="s">
        <v>1816</v>
      </c>
      <c r="R38" s="215">
        <f>Table11[[#This Row],[Grand Total]]</f>
        <v>110.47527398664002</v>
      </c>
      <c r="S38" s="93">
        <f>VLOOKUP(Table11[[#This Row],[Bucket]],salesforecast[[#All],[Bucket2]:[WIP]],3,0)</f>
        <v>89.344291000000112</v>
      </c>
      <c r="T38" s="93">
        <f>VLOOKUP(Table11[[#This Row],[Bucket]],salesforecast[[#All],[Bucket2]:[WIP]],4,0)</f>
        <v>18.460063000000002</v>
      </c>
      <c r="U38" s="93">
        <f>VLOOKUP(Table11[[#This Row],[Bucket]],salesforecast[[#All],[Bucket2]:[WIP]],5,0)</f>
        <v>15.867808</v>
      </c>
      <c r="V38" s="93">
        <f>VLOOKUP(Table11[[#This Row],[Bucket]],salesforecast[[#All],[Bucket2]:[WIP]],7,0)</f>
        <v>41.765000000000001</v>
      </c>
      <c r="W38" s="93">
        <f>Table11[[#This Row],[Stock LL]]+Table11[[#This Row],[WIP]]+Table11[[#This Row],[Stock CTL]]</f>
        <v>76.092871000000002</v>
      </c>
      <c r="X38" s="93">
        <f>IF((Table11[[#This Row],[Requirement]]-Table11[[#This Row],[Sales]]-Table11[[#This Row],[Total Stock]])&lt;0,0,Table11[[#This Row],[Requirement]]-Table11[[#This Row],[Sales]]-Table11[[#This Row],[Total Stock]])</f>
        <v>0</v>
      </c>
      <c r="Y38" s="96"/>
      <c r="Z38" s="93">
        <v>23.42</v>
      </c>
      <c r="AA38" s="93">
        <v>19</v>
      </c>
      <c r="AB38" s="93">
        <v>19</v>
      </c>
      <c r="AC38" s="93">
        <v>1</v>
      </c>
      <c r="AD38" s="93" t="s">
        <v>229</v>
      </c>
      <c r="AE38" s="93" t="s">
        <v>963</v>
      </c>
      <c r="AF38" s="93" t="s">
        <v>450</v>
      </c>
      <c r="AG38" s="93" t="b">
        <f>EXACT(Table11[[#This Row],[Bucket8]],Table11[[#This Row],[Bucket]])</f>
        <v>1</v>
      </c>
      <c r="AH38" s="93"/>
      <c r="AI38" s="93"/>
      <c r="AJ38" s="93"/>
      <c r="AK38" s="93"/>
      <c r="AL38" s="93">
        <v>44.824971604960005</v>
      </c>
      <c r="AM38" s="93"/>
      <c r="AN38" s="93"/>
      <c r="AO38" s="93"/>
      <c r="AP38" s="93"/>
      <c r="AQ38" s="93"/>
      <c r="AR38" s="93"/>
      <c r="AS38" s="93"/>
      <c r="AT38" s="93"/>
      <c r="AU38" s="93"/>
      <c r="AV38" s="93"/>
      <c r="AW38" s="93"/>
      <c r="AX38" s="93"/>
      <c r="AY38" s="93"/>
      <c r="AZ38" s="93"/>
      <c r="BA38" s="93"/>
      <c r="BB38" s="93">
        <v>16.388259849900006</v>
      </c>
      <c r="BC38" s="93">
        <v>49.262042531780004</v>
      </c>
      <c r="BD38" s="93"/>
      <c r="BE38" s="467">
        <v>110.47527398664002</v>
      </c>
    </row>
    <row r="39" spans="1:57" x14ac:dyDescent="0.25">
      <c r="A39" s="137" t="str">
        <v>25.4-0-2-ERW 1-</v>
      </c>
      <c r="B39" s="136"/>
      <c r="C39" t="str">
        <v>40-40-1.2-CRFH-PE</v>
      </c>
      <c r="D39" s="136"/>
      <c r="G39" s="43"/>
      <c r="H39" s="43"/>
      <c r="I39" s="43"/>
      <c r="J39" s="91">
        <v>25.4</v>
      </c>
      <c r="K39" s="15">
        <v>25.4</v>
      </c>
      <c r="L39" s="15">
        <v>0</v>
      </c>
      <c r="M39" s="15">
        <v>1.2</v>
      </c>
      <c r="N39" s="15" t="s">
        <v>962</v>
      </c>
      <c r="O39" s="15" t="s">
        <v>963</v>
      </c>
      <c r="P39" s="15" t="s">
        <v>785</v>
      </c>
      <c r="Q39" s="92" t="s">
        <v>1816</v>
      </c>
      <c r="R39" s="215">
        <f>Table11[[#This Row],[Grand Total]]</f>
        <v>1.2097137623999996</v>
      </c>
      <c r="S39" s="93">
        <f>VLOOKUP(Table11[[#This Row],[Bucket]],salesforecast[[#All],[Bucket2]:[WIP]],3,0)</f>
        <v>6.3579600000000003</v>
      </c>
      <c r="T39" s="93">
        <f>VLOOKUP(Table11[[#This Row],[Bucket]],salesforecast[[#All],[Bucket2]:[WIP]],4,0)</f>
        <v>7.5077829999999999</v>
      </c>
      <c r="U39" s="93">
        <f>VLOOKUP(Table11[[#This Row],[Bucket]],salesforecast[[#All],[Bucket2]:[WIP]],5,0)</f>
        <v>0</v>
      </c>
      <c r="V39" s="93">
        <f>VLOOKUP(Table11[[#This Row],[Bucket]],salesforecast[[#All],[Bucket2]:[WIP]],7,0)</f>
        <v>18.564</v>
      </c>
      <c r="W39" s="93">
        <f>Table11[[#This Row],[Stock LL]]+Table11[[#This Row],[WIP]]+Table11[[#This Row],[Stock CTL]]</f>
        <v>26.071783</v>
      </c>
      <c r="X39" s="93">
        <f>IF((Table11[[#This Row],[Requirement]]-Table11[[#This Row],[Sales]]-Table11[[#This Row],[Total Stock]])&lt;0,0,Table11[[#This Row],[Requirement]]-Table11[[#This Row],[Sales]]-Table11[[#This Row],[Total Stock]])</f>
        <v>0</v>
      </c>
      <c r="Y39" s="94" t="str">
        <f>_xlfn.CONCAT(ROUND(Table11[[#This Row],[Total Stock]]/Table11[[#This Row],[Requirement]]*100,0),"% Coverage. Rest by Week 3")</f>
        <v>2155% Coverage. Rest by Week 3</v>
      </c>
      <c r="Z39" s="93">
        <v>25.4</v>
      </c>
      <c r="AA39" s="93">
        <v>25.4</v>
      </c>
      <c r="AB39" s="93">
        <v>0</v>
      </c>
      <c r="AC39" s="93">
        <v>1.2</v>
      </c>
      <c r="AD39" s="93" t="s">
        <v>962</v>
      </c>
      <c r="AE39" s="93" t="s">
        <v>963</v>
      </c>
      <c r="AF39" s="93" t="s">
        <v>785</v>
      </c>
      <c r="AG39" s="93" t="b">
        <f>EXACT(Table11[[#This Row],[Bucket8]],Table11[[#This Row],[Bucket]])</f>
        <v>1</v>
      </c>
      <c r="AH39" s="93"/>
      <c r="AI39" s="93"/>
      <c r="AJ39" s="93"/>
      <c r="AK39" s="93"/>
      <c r="AL39" s="93"/>
      <c r="AM39" s="93"/>
      <c r="AN39" s="93"/>
      <c r="AO39" s="93"/>
      <c r="AP39" s="93">
        <v>1.2097137623999996</v>
      </c>
      <c r="AQ39" s="93"/>
      <c r="AR39" s="93"/>
      <c r="AS39" s="93"/>
      <c r="AT39" s="93"/>
      <c r="AU39" s="93"/>
      <c r="AV39" s="93"/>
      <c r="AW39" s="93"/>
      <c r="AX39" s="93"/>
      <c r="AY39" s="93"/>
      <c r="AZ39" s="93"/>
      <c r="BA39" s="93"/>
      <c r="BB39" s="93"/>
      <c r="BC39" s="93"/>
      <c r="BD39" s="93"/>
      <c r="BE39" s="467">
        <v>1.2097137623999996</v>
      </c>
    </row>
    <row r="40" spans="1:57" x14ac:dyDescent="0.25">
      <c r="A40" s="137" t="str">
        <v>25.4-0-2--</v>
      </c>
      <c r="B40" s="136"/>
      <c r="C40" t="str">
        <v>50-30-1.6-ERW 1-FC</v>
      </c>
      <c r="D40" s="136"/>
      <c r="H40" s="43"/>
      <c r="I40" s="43"/>
      <c r="J40" s="91">
        <v>25.4</v>
      </c>
      <c r="K40" s="15">
        <v>25.4</v>
      </c>
      <c r="L40" s="15">
        <v>0</v>
      </c>
      <c r="M40" s="15">
        <v>1.6</v>
      </c>
      <c r="N40" s="15" t="s">
        <v>962</v>
      </c>
      <c r="O40" s="15" t="s">
        <v>1003</v>
      </c>
      <c r="P40" s="15" t="s">
        <v>1007</v>
      </c>
      <c r="Q40" s="92" t="s">
        <v>1816</v>
      </c>
      <c r="R40" s="215">
        <f>Table11[[#This Row],[Grand Total]]</f>
        <v>1.5618868428799999</v>
      </c>
      <c r="S40" s="93">
        <f>VLOOKUP(Table11[[#This Row],[Bucket]],salesforecast[[#All],[Bucket2]:[WIP]],3,0)</f>
        <v>0</v>
      </c>
      <c r="T40" s="93">
        <f>VLOOKUP(Table11[[#This Row],[Bucket]],salesforecast[[#All],[Bucket2]:[WIP]],4,0)</f>
        <v>0.25649699999999998</v>
      </c>
      <c r="U40" s="93">
        <f>VLOOKUP(Table11[[#This Row],[Bucket]],salesforecast[[#All],[Bucket2]:[WIP]],5,0)</f>
        <v>0</v>
      </c>
      <c r="V40" s="93">
        <f>VLOOKUP(Table11[[#This Row],[Bucket]],salesforecast[[#All],[Bucket2]:[WIP]],7,0)</f>
        <v>0</v>
      </c>
      <c r="W40" s="93">
        <f>Table11[[#This Row],[Stock LL]]+Table11[[#This Row],[WIP]]+Table11[[#This Row],[Stock CTL]]</f>
        <v>0.25649699999999998</v>
      </c>
      <c r="X40" s="93">
        <f>IF((Table11[[#This Row],[Requirement]]-Table11[[#This Row],[Sales]]-Table11[[#This Row],[Total Stock]])&lt;0,0,Table11[[#This Row],[Requirement]]-Table11[[#This Row],[Sales]]-Table11[[#This Row],[Total Stock]])</f>
        <v>1.3053898428799999</v>
      </c>
      <c r="Y40" s="217" t="str">
        <f>ROUND(Table11[[#This Row],[Total Stock]]/Table11[[#This Row],[Requirement]]*100,0) &amp; "% coverage. Further rolling by 12th May'25"</f>
        <v>16% coverage. Further rolling by 12th May'25</v>
      </c>
      <c r="Z40" s="93">
        <v>25.4</v>
      </c>
      <c r="AA40" s="93">
        <v>25.4</v>
      </c>
      <c r="AB40" s="93">
        <v>0</v>
      </c>
      <c r="AC40" s="93">
        <v>1.6</v>
      </c>
      <c r="AD40" s="93" t="s">
        <v>962</v>
      </c>
      <c r="AE40" s="93" t="s">
        <v>1003</v>
      </c>
      <c r="AF40" s="93" t="s">
        <v>1007</v>
      </c>
      <c r="AG40" s="93" t="b">
        <f>EXACT(Table11[[#This Row],[Bucket8]],Table11[[#This Row],[Bucket]])</f>
        <v>1</v>
      </c>
      <c r="AH40" s="93"/>
      <c r="AI40" s="93"/>
      <c r="AJ40" s="93"/>
      <c r="AK40" s="93"/>
      <c r="AL40" s="93"/>
      <c r="AM40" s="93">
        <v>1.5618868428799999</v>
      </c>
      <c r="AN40" s="93"/>
      <c r="AO40" s="93"/>
      <c r="AP40" s="93"/>
      <c r="AQ40" s="93"/>
      <c r="AR40" s="93"/>
      <c r="AS40" s="93"/>
      <c r="AT40" s="93"/>
      <c r="AU40" s="93"/>
      <c r="AV40" s="93"/>
      <c r="AW40" s="93"/>
      <c r="AX40" s="93"/>
      <c r="AY40" s="93"/>
      <c r="AZ40" s="93"/>
      <c r="BA40" s="93"/>
      <c r="BB40" s="93"/>
      <c r="BC40" s="93"/>
      <c r="BD40" s="93"/>
      <c r="BE40" s="467">
        <v>1.5618868428799999</v>
      </c>
    </row>
    <row r="41" spans="1:57" x14ac:dyDescent="0.25">
      <c r="A41" s="136" t="str">
        <v>25.4-0-2.5-ERW 1-</v>
      </c>
      <c r="B41" s="136"/>
      <c r="C41" t="str">
        <v>50-30-1.6-ERW 2-FC</v>
      </c>
      <c r="D41" s="136"/>
      <c r="H41" s="43"/>
      <c r="I41" s="43"/>
      <c r="J41" s="91">
        <v>25.4</v>
      </c>
      <c r="K41" s="15">
        <v>25.4</v>
      </c>
      <c r="L41" s="15">
        <v>0</v>
      </c>
      <c r="M41" s="15">
        <v>1.6</v>
      </c>
      <c r="N41" s="15" t="s">
        <v>962</v>
      </c>
      <c r="O41" s="15" t="s">
        <v>963</v>
      </c>
      <c r="P41" s="15" t="s">
        <v>468</v>
      </c>
      <c r="Q41" s="92" t="s">
        <v>1816</v>
      </c>
      <c r="R41" s="215">
        <f>Table11[[#This Row],[Grand Total]]</f>
        <v>4.8621237056000002</v>
      </c>
      <c r="S41" s="93">
        <f>VLOOKUP(Table11[[#This Row],[Bucket]],salesforecast[[#All],[Bucket2]:[WIP]],3,0)</f>
        <v>20.244108999999998</v>
      </c>
      <c r="T41" s="93">
        <f>VLOOKUP(Table11[[#This Row],[Bucket]],salesforecast[[#All],[Bucket2]:[WIP]],4,0)</f>
        <v>8.7592549999999996</v>
      </c>
      <c r="U41" s="93">
        <f>VLOOKUP(Table11[[#This Row],[Bucket]],salesforecast[[#All],[Bucket2]:[WIP]],5,0)</f>
        <v>0</v>
      </c>
      <c r="V41" s="93">
        <f>VLOOKUP(Table11[[#This Row],[Bucket]],salesforecast[[#All],[Bucket2]:[WIP]],7,0)</f>
        <v>3.6459999999999999</v>
      </c>
      <c r="W41" s="93">
        <f>Table11[[#This Row],[Stock LL]]+Table11[[#This Row],[WIP]]+Table11[[#This Row],[Stock CTL]]</f>
        <v>12.405255</v>
      </c>
      <c r="X41" s="93">
        <f>IF((Table11[[#This Row],[Requirement]]-Table11[[#This Row],[Sales]]-Table11[[#This Row],[Total Stock]])&lt;0,0,Table11[[#This Row],[Requirement]]-Table11[[#This Row],[Sales]]-Table11[[#This Row],[Total Stock]])</f>
        <v>0</v>
      </c>
      <c r="Y41" s="217" t="str">
        <f>ROUND(Table11[[#This Row],[Total Stock]]/Table11[[#This Row],[Requirement]]*100,0) &amp; "% coverage. Further rolling by week 3"</f>
        <v>255% coverage. Further rolling by week 3</v>
      </c>
      <c r="Z41" s="93">
        <v>25.4</v>
      </c>
      <c r="AA41" s="93">
        <v>25.4</v>
      </c>
      <c r="AB41" s="93">
        <v>0</v>
      </c>
      <c r="AC41" s="93">
        <v>1.6</v>
      </c>
      <c r="AD41" s="93" t="s">
        <v>962</v>
      </c>
      <c r="AE41" s="93" t="s">
        <v>963</v>
      </c>
      <c r="AF41" s="93" t="s">
        <v>468</v>
      </c>
      <c r="AG41" s="93" t="b">
        <f>EXACT(Table11[[#This Row],[Bucket8]],Table11[[#This Row],[Bucket]])</f>
        <v>1</v>
      </c>
      <c r="AH41" s="93">
        <v>4.8621237056000002</v>
      </c>
      <c r="AI41" s="93"/>
      <c r="AJ41" s="93"/>
      <c r="AK41" s="93"/>
      <c r="AL41" s="93"/>
      <c r="AM41" s="93"/>
      <c r="AN41" s="93"/>
      <c r="AO41" s="93"/>
      <c r="AP41" s="93"/>
      <c r="AQ41" s="93"/>
      <c r="AR41" s="93"/>
      <c r="AS41" s="93"/>
      <c r="AT41" s="93"/>
      <c r="AU41" s="93"/>
      <c r="AV41" s="93"/>
      <c r="AW41" s="93"/>
      <c r="AX41" s="93"/>
      <c r="AY41" s="93"/>
      <c r="AZ41" s="93"/>
      <c r="BA41" s="93"/>
      <c r="BB41" s="93"/>
      <c r="BC41" s="93"/>
      <c r="BD41" s="93"/>
      <c r="BE41" s="467">
        <v>4.8621237056000002</v>
      </c>
    </row>
    <row r="42" spans="1:57" x14ac:dyDescent="0.25">
      <c r="A42" s="136" t="str">
        <v>25.4-0-2.6-ERW 1-</v>
      </c>
      <c r="B42" s="136"/>
      <c r="C42" t="str">
        <v>50-30-2-ERW 1-FC</v>
      </c>
      <c r="D42" s="136"/>
      <c r="G42" s="43"/>
      <c r="H42" s="43"/>
      <c r="I42" s="43"/>
      <c r="J42" s="91">
        <v>25.4</v>
      </c>
      <c r="K42" s="15">
        <v>25.4</v>
      </c>
      <c r="L42" s="15">
        <v>0</v>
      </c>
      <c r="M42" s="15">
        <v>2</v>
      </c>
      <c r="N42" s="15" t="s">
        <v>962</v>
      </c>
      <c r="O42" s="15" t="s">
        <v>1003</v>
      </c>
      <c r="P42" s="15" t="s">
        <v>737</v>
      </c>
      <c r="Q42" s="92" t="s">
        <v>1816</v>
      </c>
      <c r="R42" s="215">
        <f>Table11[[#This Row],[Grand Total]]</f>
        <v>19.420981608600002</v>
      </c>
      <c r="S42" s="93">
        <f>VLOOKUP(Table11[[#This Row],[Bucket]],salesforecast[[#All],[Bucket2]:[WIP]],3,0)</f>
        <v>27.137424000000003</v>
      </c>
      <c r="T42" s="93">
        <f>VLOOKUP(Table11[[#This Row],[Bucket]],salesforecast[[#All],[Bucket2]:[WIP]],4,0)</f>
        <v>14.849622</v>
      </c>
      <c r="U42" s="93">
        <f>VLOOKUP(Table11[[#This Row],[Bucket]],salesforecast[[#All],[Bucket2]:[WIP]],5,0)</f>
        <v>10.739000000000004</v>
      </c>
      <c r="V42" s="93">
        <f>VLOOKUP(Table11[[#This Row],[Bucket]],salesforecast[[#All],[Bucket2]:[WIP]],7,0)</f>
        <v>25.931000000000001</v>
      </c>
      <c r="W42" s="93">
        <f>Table11[[#This Row],[Stock LL]]+Table11[[#This Row],[WIP]]+Table11[[#This Row],[Stock CTL]]</f>
        <v>51.519621999999998</v>
      </c>
      <c r="X42" s="93">
        <f>IF((Table11[[#This Row],[Requirement]]-Table11[[#This Row],[Sales]]-Table11[[#This Row],[Total Stock]])&lt;0,0,Table11[[#This Row],[Requirement]]-Table11[[#This Row],[Sales]]-Table11[[#This Row],[Total Stock]])</f>
        <v>0</v>
      </c>
      <c r="Y42" s="94" t="str">
        <f>_xlfn.CONCAT(ROUND(Table11[[#This Row],[Total Stock]]/Table11[[#This Row],[Requirement]]*100,0),"% Coverage. Rest by Week 3")</f>
        <v>265% Coverage. Rest by Week 3</v>
      </c>
      <c r="Z42" s="93">
        <v>25.4</v>
      </c>
      <c r="AA42" s="93">
        <v>25.4</v>
      </c>
      <c r="AB42" s="93">
        <v>0</v>
      </c>
      <c r="AC42" s="93">
        <v>2</v>
      </c>
      <c r="AD42" s="93" t="s">
        <v>962</v>
      </c>
      <c r="AE42" s="93" t="s">
        <v>1003</v>
      </c>
      <c r="AF42" s="93" t="s">
        <v>737</v>
      </c>
      <c r="AG42" s="93" t="b">
        <f>EXACT(Table11[[#This Row],[Bucket8]],Table11[[#This Row],[Bucket]])</f>
        <v>1</v>
      </c>
      <c r="AH42" s="93"/>
      <c r="AI42" s="93">
        <v>3.0713886449999994</v>
      </c>
      <c r="AJ42" s="93"/>
      <c r="AK42" s="93"/>
      <c r="AL42" s="93">
        <v>1.6726811399999999</v>
      </c>
      <c r="AM42" s="93"/>
      <c r="AN42" s="93"/>
      <c r="AO42" s="93"/>
      <c r="AP42" s="93"/>
      <c r="AQ42" s="93"/>
      <c r="AR42" s="93"/>
      <c r="AS42" s="93"/>
      <c r="AT42" s="93"/>
      <c r="AU42" s="93"/>
      <c r="AV42" s="93"/>
      <c r="AW42" s="93"/>
      <c r="AX42" s="93">
        <v>4.0986455796000003</v>
      </c>
      <c r="AY42" s="93">
        <v>4.0951848599999998</v>
      </c>
      <c r="AZ42" s="93">
        <v>6.4830813840000001</v>
      </c>
      <c r="BA42" s="93"/>
      <c r="BB42" s="93"/>
      <c r="BC42" s="93"/>
      <c r="BD42" s="93"/>
      <c r="BE42" s="467">
        <v>19.420981608600002</v>
      </c>
    </row>
    <row r="43" spans="1:57" x14ac:dyDescent="0.25">
      <c r="A43" s="136" t="str">
        <v>25.4-18.4-3.5-CEW-</v>
      </c>
      <c r="B43" s="136"/>
      <c r="C43" t="str">
        <v>50.8-0-1.6-ERW 1-FC</v>
      </c>
      <c r="D43" s="136"/>
      <c r="H43" s="43"/>
      <c r="I43" s="43"/>
      <c r="J43" s="91">
        <v>25.4</v>
      </c>
      <c r="K43" s="15">
        <v>25.4</v>
      </c>
      <c r="L43" s="15">
        <v>0</v>
      </c>
      <c r="M43" s="15">
        <v>2</v>
      </c>
      <c r="N43" s="15" t="s">
        <v>962</v>
      </c>
      <c r="O43" s="15" t="s">
        <v>963</v>
      </c>
      <c r="P43" s="15" t="s">
        <v>1008</v>
      </c>
      <c r="Q43" s="92" t="s">
        <v>1816</v>
      </c>
      <c r="R43" s="215">
        <f>Table11[[#This Row],[Grand Total]]</f>
        <v>6.5972851308000005</v>
      </c>
      <c r="S43" s="93">
        <f>VLOOKUP(Table11[[#This Row],[Bucket]],salesforecast[[#All],[Bucket2]:[WIP]],3,0)</f>
        <v>0</v>
      </c>
      <c r="T43" s="93">
        <f>VLOOKUP(Table11[[#This Row],[Bucket]],salesforecast[[#All],[Bucket2]:[WIP]],4,0)</f>
        <v>1.7099999999999999E-3</v>
      </c>
      <c r="U43" s="93">
        <f>VLOOKUP(Table11[[#This Row],[Bucket]],salesforecast[[#All],[Bucket2]:[WIP]],5,0)</f>
        <v>1.1482299999999999</v>
      </c>
      <c r="V43" s="93">
        <f>VLOOKUP(Table11[[#This Row],[Bucket]],salesforecast[[#All],[Bucket2]:[WIP]],7,0)</f>
        <v>5.56</v>
      </c>
      <c r="W43" s="93">
        <f>Table11[[#This Row],[Stock LL]]+Table11[[#This Row],[WIP]]+Table11[[#This Row],[Stock CTL]]</f>
        <v>6.7099399999999996</v>
      </c>
      <c r="X43" s="93">
        <f>IF((Table11[[#This Row],[Requirement]]-Table11[[#This Row],[Sales]]-Table11[[#This Row],[Total Stock]])&lt;0,0,Table11[[#This Row],[Requirement]]-Table11[[#This Row],[Sales]]-Table11[[#This Row],[Total Stock]])</f>
        <v>0</v>
      </c>
      <c r="Y43" s="96"/>
      <c r="Z43" s="93">
        <v>25.4</v>
      </c>
      <c r="AA43" s="93">
        <v>25.4</v>
      </c>
      <c r="AB43" s="93">
        <v>0</v>
      </c>
      <c r="AC43" s="93">
        <v>2</v>
      </c>
      <c r="AD43" s="93" t="s">
        <v>962</v>
      </c>
      <c r="AE43" s="93" t="s">
        <v>963</v>
      </c>
      <c r="AF43" s="93" t="s">
        <v>1008</v>
      </c>
      <c r="AG43" s="93" t="b">
        <f>EXACT(Table11[[#This Row],[Bucket8]],Table11[[#This Row],[Bucket]])</f>
        <v>1</v>
      </c>
      <c r="AH43" s="93"/>
      <c r="AI43" s="93"/>
      <c r="AJ43" s="93"/>
      <c r="AK43" s="93"/>
      <c r="AL43" s="93"/>
      <c r="AM43" s="93"/>
      <c r="AN43" s="93"/>
      <c r="AO43" s="93">
        <v>3.3269051088000001</v>
      </c>
      <c r="AP43" s="93"/>
      <c r="AQ43" s="93"/>
      <c r="AR43" s="93"/>
      <c r="AS43" s="93">
        <v>3.2703800220000003</v>
      </c>
      <c r="AT43" s="93"/>
      <c r="AU43" s="93"/>
      <c r="AV43" s="93"/>
      <c r="AW43" s="93"/>
      <c r="AX43" s="93"/>
      <c r="AY43" s="93"/>
      <c r="AZ43" s="93"/>
      <c r="BA43" s="93"/>
      <c r="BB43" s="93"/>
      <c r="BC43" s="93"/>
      <c r="BD43" s="93"/>
      <c r="BE43" s="467">
        <v>6.5972851308000005</v>
      </c>
    </row>
    <row r="44" spans="1:57" x14ac:dyDescent="0.25">
      <c r="A44" s="136" t="str">
        <v>25.4-19-3.2-CEW-</v>
      </c>
      <c r="B44" s="136"/>
      <c r="C44" t="str">
        <v>54-0-3-ERW 2-FC</v>
      </c>
      <c r="D44" s="136"/>
      <c r="G44" s="43"/>
      <c r="H44" s="43"/>
      <c r="I44" s="43"/>
      <c r="J44" s="91">
        <v>25.4</v>
      </c>
      <c r="K44" s="15">
        <v>25.4</v>
      </c>
      <c r="L44" s="15">
        <v>0</v>
      </c>
      <c r="M44" s="15">
        <v>2.5</v>
      </c>
      <c r="N44" s="15" t="s">
        <v>357</v>
      </c>
      <c r="O44" s="15" t="s">
        <v>357</v>
      </c>
      <c r="P44" s="15" t="s">
        <v>806</v>
      </c>
      <c r="Q44" s="92" t="s">
        <v>1817</v>
      </c>
      <c r="R44" s="215">
        <f>Table11[[#This Row],[Grand Total]]</f>
        <v>6.2775241296249993</v>
      </c>
      <c r="S44" s="93">
        <f>VLOOKUP(Table11[[#This Row],[Bucket]],salesforecast[[#All],[Bucket2]:[WIP]],3,0)</f>
        <v>6.69834</v>
      </c>
      <c r="T44" s="93">
        <f>VLOOKUP(Table11[[#This Row],[Bucket]],salesforecast[[#All],[Bucket2]:[WIP]],4,0)</f>
        <v>2.1861579999999998</v>
      </c>
      <c r="U44" s="93">
        <f>VLOOKUP(Table11[[#This Row],[Bucket]],salesforecast[[#All],[Bucket2]:[WIP]],5,0)</f>
        <v>6.2467749999999986</v>
      </c>
      <c r="V44" s="93">
        <f>VLOOKUP(Table11[[#This Row],[Bucket]],salesforecast[[#All],[Bucket2]:[WIP]],7,0)</f>
        <v>0</v>
      </c>
      <c r="W44" s="93">
        <f>Table11[[#This Row],[Stock LL]]+Table11[[#This Row],[WIP]]+Table11[[#This Row],[Stock CTL]]</f>
        <v>8.4329329999999985</v>
      </c>
      <c r="X44" s="93">
        <f>IF((Table11[[#This Row],[Requirement]]-Table11[[#This Row],[Sales]]-Table11[[#This Row],[Total Stock]])&lt;0,0,Table11[[#This Row],[Requirement]]-Table11[[#This Row],[Sales]]-Table11[[#This Row],[Total Stock]])</f>
        <v>0</v>
      </c>
      <c r="Y44" s="217" t="str">
        <f>ROUND(Table11[[#This Row],[Total Stock]]/Table11[[#This Row],[Requirement]]*100,0) &amp; "% coverage. Further rolling by week 3"</f>
        <v>134% coverage. Further rolling by week 3</v>
      </c>
      <c r="Z44" s="93">
        <v>25.4</v>
      </c>
      <c r="AA44" s="93">
        <v>25.4</v>
      </c>
      <c r="AB44" s="93">
        <v>0</v>
      </c>
      <c r="AC44" s="93">
        <v>2.5</v>
      </c>
      <c r="AD44" s="93" t="s">
        <v>357</v>
      </c>
      <c r="AE44" s="93" t="s">
        <v>357</v>
      </c>
      <c r="AF44" s="93" t="s">
        <v>806</v>
      </c>
      <c r="AG44" s="93" t="b">
        <f>EXACT(Table11[[#This Row],[Bucket8]],Table11[[#This Row],[Bucket]])</f>
        <v>1</v>
      </c>
      <c r="AH44" s="93"/>
      <c r="AI44" s="93"/>
      <c r="AJ44" s="93"/>
      <c r="AK44" s="93"/>
      <c r="AL44" s="93">
        <v>4.7464206833749998</v>
      </c>
      <c r="AM44" s="93"/>
      <c r="AN44" s="93"/>
      <c r="AO44" s="93"/>
      <c r="AP44" s="93"/>
      <c r="AQ44" s="93"/>
      <c r="AR44" s="93">
        <v>1.5311034462499997</v>
      </c>
      <c r="AS44" s="93"/>
      <c r="AT44" s="93"/>
      <c r="AU44" s="93"/>
      <c r="AV44" s="93"/>
      <c r="AW44" s="93"/>
      <c r="AX44" s="93"/>
      <c r="AY44" s="93"/>
      <c r="AZ44" s="93"/>
      <c r="BA44" s="93"/>
      <c r="BB44" s="93"/>
      <c r="BC44" s="93"/>
      <c r="BD44" s="93"/>
      <c r="BE44" s="467">
        <v>6.2775241296249993</v>
      </c>
    </row>
    <row r="45" spans="1:57" x14ac:dyDescent="0.25">
      <c r="A45" s="136" t="str">
        <v>25.4-20.4-2.5-CEW-CEW</v>
      </c>
      <c r="B45" s="136"/>
      <c r="C45" t="str">
        <v>57.15-0-2-ERW 1-FC</v>
      </c>
      <c r="D45" s="136"/>
      <c r="G45" s="43"/>
      <c r="H45" s="43"/>
      <c r="I45" s="43"/>
      <c r="J45" s="91">
        <v>25.4</v>
      </c>
      <c r="K45" s="15">
        <v>25.4</v>
      </c>
      <c r="L45" s="15">
        <v>0</v>
      </c>
      <c r="M45" s="15">
        <v>2.5</v>
      </c>
      <c r="N45" s="15" t="s">
        <v>962</v>
      </c>
      <c r="O45" s="15" t="s">
        <v>1003</v>
      </c>
      <c r="P45" s="15" t="s">
        <v>810</v>
      </c>
      <c r="Q45" s="92" t="s">
        <v>1816</v>
      </c>
      <c r="R45" s="215">
        <f>Table11[[#This Row],[Grand Total]]</f>
        <v>19.768384226378245</v>
      </c>
      <c r="S45" s="93">
        <f>VLOOKUP(Table11[[#This Row],[Bucket]],salesforecast[[#All],[Bucket2]:[WIP]],3,0)</f>
        <v>24.407213000000002</v>
      </c>
      <c r="T45" s="93">
        <f>VLOOKUP(Table11[[#This Row],[Bucket]],salesforecast[[#All],[Bucket2]:[WIP]],4,0)</f>
        <v>9.32029</v>
      </c>
      <c r="U45" s="93">
        <f>VLOOKUP(Table11[[#This Row],[Bucket]],salesforecast[[#All],[Bucket2]:[WIP]],5,0)</f>
        <v>8.2275149999999968</v>
      </c>
      <c r="V45" s="93">
        <f>VLOOKUP(Table11[[#This Row],[Bucket]],salesforecast[[#All],[Bucket2]:[WIP]],7,0)</f>
        <v>11.911</v>
      </c>
      <c r="W45" s="93">
        <f>Table11[[#This Row],[Stock LL]]+Table11[[#This Row],[WIP]]+Table11[[#This Row],[Stock CTL]]</f>
        <v>29.458804999999998</v>
      </c>
      <c r="X45" s="93">
        <f>IF((Table11[[#This Row],[Requirement]]-Table11[[#This Row],[Sales]]-Table11[[#This Row],[Total Stock]])&lt;0,0,Table11[[#This Row],[Requirement]]-Table11[[#This Row],[Sales]]-Table11[[#This Row],[Total Stock]])</f>
        <v>0</v>
      </c>
      <c r="Y45" s="96"/>
      <c r="Z45" s="93">
        <v>25.4</v>
      </c>
      <c r="AA45" s="93">
        <v>25.4</v>
      </c>
      <c r="AB45" s="93">
        <v>0</v>
      </c>
      <c r="AC45" s="93">
        <v>2.5</v>
      </c>
      <c r="AD45" s="93" t="s">
        <v>962</v>
      </c>
      <c r="AE45" s="93" t="s">
        <v>1003</v>
      </c>
      <c r="AF45" s="93" t="s">
        <v>810</v>
      </c>
      <c r="AG45" s="93" t="b">
        <f>EXACT(Table11[[#This Row],[Bucket8]],Table11[[#This Row],[Bucket]])</f>
        <v>1</v>
      </c>
      <c r="AH45" s="93"/>
      <c r="AI45" s="93"/>
      <c r="AJ45" s="93"/>
      <c r="AK45" s="93"/>
      <c r="AL45" s="93"/>
      <c r="AM45" s="93"/>
      <c r="AN45" s="93"/>
      <c r="AO45" s="93"/>
      <c r="AP45" s="93"/>
      <c r="AQ45" s="93"/>
      <c r="AR45" s="93"/>
      <c r="AS45" s="93"/>
      <c r="AT45" s="93"/>
      <c r="AU45" s="93"/>
      <c r="AV45" s="93"/>
      <c r="AW45" s="93"/>
      <c r="AX45" s="93">
        <v>19.768384226378245</v>
      </c>
      <c r="AY45" s="93"/>
      <c r="AZ45" s="93"/>
      <c r="BA45" s="93"/>
      <c r="BB45" s="93"/>
      <c r="BC45" s="93"/>
      <c r="BD45" s="93"/>
      <c r="BE45" s="467">
        <v>19.768384226378245</v>
      </c>
    </row>
    <row r="46" spans="1:57" x14ac:dyDescent="0.25">
      <c r="A46" s="136" t="str">
        <v>25.4-20.4-2.5-CEW-</v>
      </c>
      <c r="B46" s="136"/>
      <c r="C46" t="str">
        <v>57.15-0-2.3-ERW 2-FC</v>
      </c>
      <c r="D46" s="136"/>
      <c r="G46" s="43"/>
      <c r="H46" s="43"/>
      <c r="I46" s="43"/>
      <c r="J46" s="91">
        <v>25.4</v>
      </c>
      <c r="K46" s="15">
        <v>25.4</v>
      </c>
      <c r="L46" s="15">
        <v>18.399999999999999</v>
      </c>
      <c r="M46" s="15">
        <v>3.5</v>
      </c>
      <c r="N46" s="15" t="s">
        <v>357</v>
      </c>
      <c r="O46" s="15" t="s">
        <v>357</v>
      </c>
      <c r="P46" s="15" t="s">
        <v>404</v>
      </c>
      <c r="Q46" s="92" t="s">
        <v>1817</v>
      </c>
      <c r="R46" s="215">
        <f>Table11[[#This Row],[Grand Total]]</f>
        <v>27.360561926774999</v>
      </c>
      <c r="S46" s="93">
        <f>VLOOKUP(Table11[[#This Row],[Bucket]],salesforecast[[#All],[Bucket2]:[WIP]],3,0)</f>
        <v>36.046999999999997</v>
      </c>
      <c r="T46" s="93">
        <f>VLOOKUP(Table11[[#This Row],[Bucket]],salesforecast[[#All],[Bucket2]:[WIP]],4,0)</f>
        <v>0</v>
      </c>
      <c r="U46" s="93">
        <f>VLOOKUP(Table11[[#This Row],[Bucket]],salesforecast[[#All],[Bucket2]:[WIP]],5,0)</f>
        <v>83.630596999999995</v>
      </c>
      <c r="V46" s="93">
        <f>VLOOKUP(Table11[[#This Row],[Bucket]],salesforecast[[#All],[Bucket2]:[WIP]],7,0)</f>
        <v>0</v>
      </c>
      <c r="W46" s="93">
        <f>Table11[[#This Row],[Stock LL]]+Table11[[#This Row],[WIP]]+Table11[[#This Row],[Stock CTL]]</f>
        <v>83.630596999999995</v>
      </c>
      <c r="X46" s="93">
        <f>IF((Table11[[#This Row],[Requirement]]-Table11[[#This Row],[Sales]]-Table11[[#This Row],[Total Stock]])&lt;0,0,Table11[[#This Row],[Requirement]]-Table11[[#This Row],[Sales]]-Table11[[#This Row],[Total Stock]])</f>
        <v>0</v>
      </c>
      <c r="Y46" s="217" t="str">
        <f>ROUND(Table11[[#This Row],[Total Stock]]/Table11[[#This Row],[Requirement]]*100,0) &amp; "% coverage. Further rolling by week 2"</f>
        <v>306% coverage. Further rolling by week 2</v>
      </c>
      <c r="Z46" s="93">
        <v>25.4</v>
      </c>
      <c r="AA46" s="93">
        <v>25.4</v>
      </c>
      <c r="AB46" s="93">
        <v>18.399999999999999</v>
      </c>
      <c r="AC46" s="93">
        <v>3.5</v>
      </c>
      <c r="AD46" s="93" t="s">
        <v>357</v>
      </c>
      <c r="AE46" s="93" t="s">
        <v>357</v>
      </c>
      <c r="AF46" s="93" t="s">
        <v>404</v>
      </c>
      <c r="AG46" s="93" t="b">
        <f>EXACT(Table11[[#This Row],[Bucket8]],Table11[[#This Row],[Bucket]])</f>
        <v>1</v>
      </c>
      <c r="AH46" s="93"/>
      <c r="AI46" s="93"/>
      <c r="AJ46" s="93"/>
      <c r="AK46" s="93"/>
      <c r="AL46" s="93"/>
      <c r="AM46" s="93"/>
      <c r="AN46" s="93">
        <v>27.360561926774999</v>
      </c>
      <c r="AO46" s="93"/>
      <c r="AP46" s="93"/>
      <c r="AQ46" s="93"/>
      <c r="AR46" s="93"/>
      <c r="AS46" s="93"/>
      <c r="AT46" s="93"/>
      <c r="AU46" s="93"/>
      <c r="AV46" s="93"/>
      <c r="AW46" s="93"/>
      <c r="AX46" s="93"/>
      <c r="AY46" s="93"/>
      <c r="AZ46" s="93"/>
      <c r="BA46" s="93"/>
      <c r="BB46" s="93"/>
      <c r="BC46" s="93"/>
      <c r="BD46" s="93"/>
      <c r="BE46" s="467">
        <v>27.360561926774999</v>
      </c>
    </row>
    <row r="47" spans="1:57" x14ac:dyDescent="0.25">
      <c r="A47" s="136" t="str">
        <v>30.15-25.5-2.32-CEW-CEW</v>
      </c>
      <c r="B47" s="136"/>
      <c r="C47" t="str">
        <v>57.15-0-2.5-ERW 1-FC</v>
      </c>
      <c r="D47" s="136"/>
      <c r="G47" s="43"/>
      <c r="H47" s="43"/>
      <c r="I47" s="43"/>
      <c r="J47" s="91">
        <v>25.4</v>
      </c>
      <c r="K47" s="15">
        <v>25.4</v>
      </c>
      <c r="L47" s="15">
        <v>19</v>
      </c>
      <c r="M47" s="15">
        <v>3.2</v>
      </c>
      <c r="N47" s="15" t="s">
        <v>357</v>
      </c>
      <c r="O47" s="15" t="s">
        <v>357</v>
      </c>
      <c r="P47" s="15" t="s">
        <v>813</v>
      </c>
      <c r="Q47" s="92" t="s">
        <v>1817</v>
      </c>
      <c r="R47" s="215">
        <f>Table11[[#This Row],[Grand Total]]</f>
        <v>9.9215340633599993</v>
      </c>
      <c r="S47" s="93">
        <f>VLOOKUP(Table11[[#This Row],[Bucket]],salesforecast[[#All],[Bucket2]:[WIP]],3,0)</f>
        <v>4.2062389999999992</v>
      </c>
      <c r="T47" s="93">
        <f>VLOOKUP(Table11[[#This Row],[Bucket]],salesforecast[[#All],[Bucket2]:[WIP]],4,0)</f>
        <v>0</v>
      </c>
      <c r="U47" s="93">
        <f>VLOOKUP(Table11[[#This Row],[Bucket]],salesforecast[[#All],[Bucket2]:[WIP]],5,0)</f>
        <v>0.19838500000000001</v>
      </c>
      <c r="V47" s="93">
        <f>VLOOKUP(Table11[[#This Row],[Bucket]],salesforecast[[#All],[Bucket2]:[WIP]],7,0)</f>
        <v>0</v>
      </c>
      <c r="W47" s="93">
        <f>Table11[[#This Row],[Stock LL]]+Table11[[#This Row],[WIP]]+Table11[[#This Row],[Stock CTL]]</f>
        <v>0.19838500000000001</v>
      </c>
      <c r="X47" s="93">
        <f>IF((Table11[[#This Row],[Requirement]]-Table11[[#This Row],[Sales]]-Table11[[#This Row],[Total Stock]])&lt;0,0,Table11[[#This Row],[Requirement]]-Table11[[#This Row],[Sales]]-Table11[[#This Row],[Total Stock]])</f>
        <v>5.5169100633600001</v>
      </c>
      <c r="Y47" s="94" t="s">
        <v>1821</v>
      </c>
      <c r="Z47" s="93">
        <v>25.4</v>
      </c>
      <c r="AA47" s="93">
        <v>25.4</v>
      </c>
      <c r="AB47" s="93">
        <v>19</v>
      </c>
      <c r="AC47" s="93">
        <v>3.2</v>
      </c>
      <c r="AD47" s="93" t="s">
        <v>357</v>
      </c>
      <c r="AE47" s="93" t="s">
        <v>357</v>
      </c>
      <c r="AF47" s="93" t="s">
        <v>813</v>
      </c>
      <c r="AG47" s="93" t="b">
        <f>EXACT(Table11[[#This Row],[Bucket8]],Table11[[#This Row],[Bucket]])</f>
        <v>1</v>
      </c>
      <c r="AH47" s="93"/>
      <c r="AI47" s="93"/>
      <c r="AJ47" s="93"/>
      <c r="AK47" s="93"/>
      <c r="AL47" s="93"/>
      <c r="AM47" s="93"/>
      <c r="AN47" s="93"/>
      <c r="AO47" s="93">
        <v>7.87979232</v>
      </c>
      <c r="AP47" s="93"/>
      <c r="AQ47" s="93"/>
      <c r="AR47" s="93"/>
      <c r="AS47" s="93"/>
      <c r="AT47" s="93"/>
      <c r="AU47" s="93"/>
      <c r="AV47" s="93"/>
      <c r="AW47" s="93"/>
      <c r="AX47" s="93">
        <v>2.0417417433599998</v>
      </c>
      <c r="AY47" s="93"/>
      <c r="AZ47" s="93"/>
      <c r="BA47" s="93"/>
      <c r="BB47" s="93"/>
      <c r="BC47" s="93"/>
      <c r="BD47" s="93"/>
      <c r="BE47" s="467">
        <v>9.9215340633599993</v>
      </c>
    </row>
    <row r="48" spans="1:57" x14ac:dyDescent="0.25">
      <c r="A48" s="136" t="str">
        <v>25.6-16.6-4.5-CEW-</v>
      </c>
      <c r="B48" s="136"/>
      <c r="C48" t="str">
        <v>60.3-0-2-ERW 1-FC</v>
      </c>
      <c r="D48" s="136"/>
      <c r="H48" s="43"/>
      <c r="I48" s="43"/>
      <c r="J48" s="91">
        <v>28.58</v>
      </c>
      <c r="K48" s="15">
        <v>28.58</v>
      </c>
      <c r="L48" s="15">
        <v>0</v>
      </c>
      <c r="M48" s="15">
        <v>1.2</v>
      </c>
      <c r="N48" s="15" t="s">
        <v>962</v>
      </c>
      <c r="O48" s="15" t="s">
        <v>963</v>
      </c>
      <c r="P48" s="15" t="s">
        <v>692</v>
      </c>
      <c r="Q48" s="92" t="s">
        <v>1816</v>
      </c>
      <c r="R48" s="215">
        <f>Table11[[#This Row],[Grand Total]]</f>
        <v>7.7585310715199993</v>
      </c>
      <c r="S48" s="93">
        <f>VLOOKUP(Table11[[#This Row],[Bucket]],salesforecast[[#All],[Bucket2]:[WIP]],3,0)</f>
        <v>2.5252500000000002</v>
      </c>
      <c r="T48" s="93">
        <f>VLOOKUP(Table11[[#This Row],[Bucket]],salesforecast[[#All],[Bucket2]:[WIP]],4,0)</f>
        <v>1.9774769999999999</v>
      </c>
      <c r="U48" s="93">
        <f>VLOOKUP(Table11[[#This Row],[Bucket]],salesforecast[[#All],[Bucket2]:[WIP]],5,0)</f>
        <v>0.10090000000000021</v>
      </c>
      <c r="V48" s="93">
        <f>VLOOKUP(Table11[[#This Row],[Bucket]],salesforecast[[#All],[Bucket2]:[WIP]],7,0)</f>
        <v>5.8879999999999999</v>
      </c>
      <c r="W48" s="93">
        <f>Table11[[#This Row],[Stock LL]]+Table11[[#This Row],[WIP]]+Table11[[#This Row],[Stock CTL]]</f>
        <v>7.9663769999999996</v>
      </c>
      <c r="X48" s="93">
        <f>IF((Table11[[#This Row],[Requirement]]-Table11[[#This Row],[Sales]]-Table11[[#This Row],[Total Stock]])&lt;0,0,Table11[[#This Row],[Requirement]]-Table11[[#This Row],[Sales]]-Table11[[#This Row],[Total Stock]])</f>
        <v>0</v>
      </c>
      <c r="Y48" s="96"/>
      <c r="Z48" s="93">
        <v>28.58</v>
      </c>
      <c r="AA48" s="93">
        <v>28.58</v>
      </c>
      <c r="AB48" s="93">
        <v>0</v>
      </c>
      <c r="AC48" s="93">
        <v>1.2</v>
      </c>
      <c r="AD48" s="93" t="s">
        <v>962</v>
      </c>
      <c r="AE48" s="93" t="s">
        <v>963</v>
      </c>
      <c r="AF48" s="93" t="s">
        <v>692</v>
      </c>
      <c r="AG48" s="93" t="b">
        <f>EXACT(Table11[[#This Row],[Bucket8]],Table11[[#This Row],[Bucket]])</f>
        <v>1</v>
      </c>
      <c r="AH48" s="93"/>
      <c r="AI48" s="93"/>
      <c r="AJ48" s="93"/>
      <c r="AK48" s="93"/>
      <c r="AL48" s="93"/>
      <c r="AM48" s="93"/>
      <c r="AN48" s="93"/>
      <c r="AO48" s="93"/>
      <c r="AP48" s="93">
        <v>1.9760768073599999</v>
      </c>
      <c r="AQ48" s="93"/>
      <c r="AR48" s="93"/>
      <c r="AS48" s="93"/>
      <c r="AT48" s="93"/>
      <c r="AU48" s="93"/>
      <c r="AV48" s="93"/>
      <c r="AW48" s="93"/>
      <c r="AX48" s="93"/>
      <c r="AY48" s="93">
        <v>5.7824542641599992</v>
      </c>
      <c r="AZ48" s="93"/>
      <c r="BA48" s="93"/>
      <c r="BB48" s="93"/>
      <c r="BC48" s="93"/>
      <c r="BD48" s="93"/>
      <c r="BE48" s="467">
        <v>7.7585310715199993</v>
      </c>
    </row>
    <row r="49" spans="1:57" x14ac:dyDescent="0.25">
      <c r="A49" s="137" t="str">
        <v>28.58-0-1.6-ERW 1-PE</v>
      </c>
      <c r="B49" s="136"/>
      <c r="C49" t="str">
        <v>50-50-1.6-ERW 2-PE</v>
      </c>
      <c r="D49" s="136"/>
      <c r="G49" s="43"/>
      <c r="H49" s="43"/>
      <c r="I49" s="43"/>
      <c r="J49" s="91">
        <v>28.58</v>
      </c>
      <c r="K49" s="15">
        <v>28.58</v>
      </c>
      <c r="L49" s="15">
        <v>0</v>
      </c>
      <c r="M49" s="15">
        <v>1.6</v>
      </c>
      <c r="N49" s="15" t="s">
        <v>962</v>
      </c>
      <c r="O49" s="15" t="s">
        <v>1003</v>
      </c>
      <c r="P49" s="15" t="s">
        <v>664</v>
      </c>
      <c r="Q49" s="92" t="s">
        <v>1816</v>
      </c>
      <c r="R49" s="215">
        <f>Table11[[#This Row],[Grand Total]]</f>
        <v>5.3202401599999991</v>
      </c>
      <c r="S49" s="93">
        <f>VLOOKUP(Table11[[#This Row],[Bucket]],salesforecast[[#All],[Bucket2]:[WIP]],3,0)</f>
        <v>9.8317060000000005</v>
      </c>
      <c r="T49" s="93">
        <f>VLOOKUP(Table11[[#This Row],[Bucket]],salesforecast[[#All],[Bucket2]:[WIP]],4,0)</f>
        <v>2.2965960000000001</v>
      </c>
      <c r="U49" s="93">
        <f>VLOOKUP(Table11[[#This Row],[Bucket]],salesforecast[[#All],[Bucket2]:[WIP]],5,0)</f>
        <v>0</v>
      </c>
      <c r="V49" s="93">
        <f>VLOOKUP(Table11[[#This Row],[Bucket]],salesforecast[[#All],[Bucket2]:[WIP]],7,0)</f>
        <v>11.99</v>
      </c>
      <c r="W49" s="93">
        <f>Table11[[#This Row],[Stock LL]]+Table11[[#This Row],[WIP]]+Table11[[#This Row],[Stock CTL]]</f>
        <v>14.286595999999999</v>
      </c>
      <c r="X49" s="93">
        <f>IF((Table11[[#This Row],[Requirement]]-Table11[[#This Row],[Sales]]-Table11[[#This Row],[Total Stock]])&lt;0,0,Table11[[#This Row],[Requirement]]-Table11[[#This Row],[Sales]]-Table11[[#This Row],[Total Stock]])</f>
        <v>0</v>
      </c>
      <c r="Y49" s="96"/>
      <c r="Z49" s="93">
        <v>28.58</v>
      </c>
      <c r="AA49" s="93">
        <v>28.58</v>
      </c>
      <c r="AB49" s="93">
        <v>0</v>
      </c>
      <c r="AC49" s="93">
        <v>1.6</v>
      </c>
      <c r="AD49" s="93" t="s">
        <v>962</v>
      </c>
      <c r="AE49" s="93" t="s">
        <v>1003</v>
      </c>
      <c r="AF49" s="93" t="s">
        <v>664</v>
      </c>
      <c r="AG49" s="93" t="b">
        <f>EXACT(Table11[[#This Row],[Bucket8]],Table11[[#This Row],[Bucket]])</f>
        <v>1</v>
      </c>
      <c r="AH49" s="93"/>
      <c r="AI49" s="93">
        <v>5.3202401599999991</v>
      </c>
      <c r="AJ49" s="93"/>
      <c r="AK49" s="93"/>
      <c r="AL49" s="93"/>
      <c r="AM49" s="93"/>
      <c r="AN49" s="93"/>
      <c r="AO49" s="93"/>
      <c r="AP49" s="93"/>
      <c r="AQ49" s="93"/>
      <c r="AR49" s="93"/>
      <c r="AS49" s="93"/>
      <c r="AT49" s="93"/>
      <c r="AU49" s="93"/>
      <c r="AV49" s="93"/>
      <c r="AW49" s="93"/>
      <c r="AX49" s="93"/>
      <c r="AY49" s="93"/>
      <c r="AZ49" s="93"/>
      <c r="BA49" s="93"/>
      <c r="BB49" s="93"/>
      <c r="BC49" s="93"/>
      <c r="BD49" s="93"/>
      <c r="BE49" s="467">
        <v>5.3202401599999991</v>
      </c>
    </row>
    <row r="50" spans="1:57" x14ac:dyDescent="0.25">
      <c r="A50" t="str">
        <v>28.58-0-1.6-ERW 1-</v>
      </c>
      <c r="C50" t="str">
        <v>63.5-0-4-ERW 1-FC</v>
      </c>
      <c r="H50" s="43"/>
      <c r="I50" s="43"/>
      <c r="J50" s="91">
        <v>28.58</v>
      </c>
      <c r="K50" s="15">
        <v>28.58</v>
      </c>
      <c r="L50" s="15">
        <v>0</v>
      </c>
      <c r="M50" s="15">
        <v>2</v>
      </c>
      <c r="N50" s="15" t="s">
        <v>962</v>
      </c>
      <c r="O50" s="15" t="s">
        <v>1003</v>
      </c>
      <c r="P50" s="15" t="s">
        <v>582</v>
      </c>
      <c r="Q50" s="92" t="s">
        <v>1816</v>
      </c>
      <c r="R50" s="215">
        <f>Table11[[#This Row],[Grand Total]]</f>
        <v>4.668089242499998</v>
      </c>
      <c r="S50" s="93">
        <f>VLOOKUP(Table11[[#This Row],[Bucket]],salesforecast[[#All],[Bucket2]:[WIP]],3,0)</f>
        <v>10.025404</v>
      </c>
      <c r="T50" s="93">
        <f>VLOOKUP(Table11[[#This Row],[Bucket]],salesforecast[[#All],[Bucket2]:[WIP]],4,0)</f>
        <v>5.8470280000000008</v>
      </c>
      <c r="U50" s="93">
        <f>VLOOKUP(Table11[[#This Row],[Bucket]],salesforecast[[#All],[Bucket2]:[WIP]],5,0)</f>
        <v>4.6774610000000001</v>
      </c>
      <c r="V50" s="93">
        <f>VLOOKUP(Table11[[#This Row],[Bucket]],salesforecast[[#All],[Bucket2]:[WIP]],7,0)</f>
        <v>7.87</v>
      </c>
      <c r="W50" s="93">
        <f>Table11[[#This Row],[Stock LL]]+Table11[[#This Row],[WIP]]+Table11[[#This Row],[Stock CTL]]</f>
        <v>18.394489</v>
      </c>
      <c r="X50" s="93">
        <f>IF((Table11[[#This Row],[Requirement]]-Table11[[#This Row],[Sales]]-Table11[[#This Row],[Total Stock]])&lt;0,0,Table11[[#This Row],[Requirement]]-Table11[[#This Row],[Sales]]-Table11[[#This Row],[Total Stock]])</f>
        <v>0</v>
      </c>
      <c r="Y50" s="218" t="str">
        <f>ROUND(Table11[[#This Row],[Total Stock]]/Table11[[#This Row],[Requirement]]*100,0) &amp; "% coverage. Further rolling by 10th May'25"</f>
        <v>394% coverage. Further rolling by 10th May'25</v>
      </c>
      <c r="Z50" s="93">
        <v>28.58</v>
      </c>
      <c r="AA50" s="93">
        <v>28.58</v>
      </c>
      <c r="AB50" s="93">
        <v>0</v>
      </c>
      <c r="AC50" s="93">
        <v>2</v>
      </c>
      <c r="AD50" s="93" t="s">
        <v>962</v>
      </c>
      <c r="AE50" s="93" t="s">
        <v>1003</v>
      </c>
      <c r="AF50" s="93" t="s">
        <v>582</v>
      </c>
      <c r="AG50" s="93" t="b">
        <f>EXACT(Table11[[#This Row],[Bucket8]],Table11[[#This Row],[Bucket]])</f>
        <v>1</v>
      </c>
      <c r="AH50" s="93"/>
      <c r="AI50" s="93">
        <v>4.668089242499998</v>
      </c>
      <c r="AJ50" s="93"/>
      <c r="AK50" s="93"/>
      <c r="AL50" s="93"/>
      <c r="AM50" s="93"/>
      <c r="AN50" s="93"/>
      <c r="AO50" s="93"/>
      <c r="AP50" s="93"/>
      <c r="AQ50" s="93"/>
      <c r="AR50" s="93"/>
      <c r="AS50" s="93"/>
      <c r="AT50" s="93"/>
      <c r="AU50" s="93"/>
      <c r="AV50" s="93"/>
      <c r="AW50" s="93"/>
      <c r="AX50" s="93"/>
      <c r="AY50" s="93"/>
      <c r="AZ50" s="93"/>
      <c r="BA50" s="93"/>
      <c r="BB50" s="93"/>
      <c r="BC50" s="93"/>
      <c r="BD50" s="93"/>
      <c r="BE50" s="467">
        <v>4.668089242499998</v>
      </c>
    </row>
    <row r="51" spans="1:57" x14ac:dyDescent="0.25">
      <c r="A51" s="136" t="str">
        <v>28.58-0-1.6-ERW 2-PE</v>
      </c>
      <c r="B51" s="136"/>
      <c r="C51" t="str">
        <v>70-0-3.2-ERW 2-FC</v>
      </c>
      <c r="D51" s="136"/>
      <c r="G51" s="43"/>
      <c r="H51" s="43"/>
      <c r="I51" s="43"/>
      <c r="J51" s="91">
        <v>28.6</v>
      </c>
      <c r="K51" s="15">
        <v>28.6</v>
      </c>
      <c r="L51" s="15">
        <v>0</v>
      </c>
      <c r="M51" s="15">
        <v>2.65</v>
      </c>
      <c r="N51" s="15" t="s">
        <v>357</v>
      </c>
      <c r="O51" s="15" t="s">
        <v>357</v>
      </c>
      <c r="P51" s="15" t="s">
        <v>816</v>
      </c>
      <c r="Q51" s="92" t="s">
        <v>1817</v>
      </c>
      <c r="R51" s="215">
        <f>Table11[[#This Row],[Grand Total]]</f>
        <v>20.076173473230003</v>
      </c>
      <c r="S51" s="93">
        <f>VLOOKUP(Table11[[#This Row],[Bucket]],salesforecast[[#All],[Bucket2]:[WIP]],3,0)</f>
        <v>18.584526</v>
      </c>
      <c r="T51" s="93">
        <f>VLOOKUP(Table11[[#This Row],[Bucket]],salesforecast[[#All],[Bucket2]:[WIP]],4,0)</f>
        <v>1.7283989999999998</v>
      </c>
      <c r="U51" s="93">
        <f>VLOOKUP(Table11[[#This Row],[Bucket]],salesforecast[[#All],[Bucket2]:[WIP]],5,0)</f>
        <v>0.95068200000000025</v>
      </c>
      <c r="V51" s="93">
        <f>VLOOKUP(Table11[[#This Row],[Bucket]],salesforecast[[#All],[Bucket2]:[WIP]],7,0)</f>
        <v>0</v>
      </c>
      <c r="W51" s="93">
        <f>Table11[[#This Row],[Stock LL]]+Table11[[#This Row],[WIP]]+Table11[[#This Row],[Stock CTL]]</f>
        <v>2.679081</v>
      </c>
      <c r="X51" s="93">
        <f>IF((Table11[[#This Row],[Requirement]]-Table11[[#This Row],[Sales]]-Table11[[#This Row],[Total Stock]])&lt;0,0,Table11[[#This Row],[Requirement]]-Table11[[#This Row],[Sales]]-Table11[[#This Row],[Total Stock]])</f>
        <v>0</v>
      </c>
      <c r="Y51" s="97"/>
      <c r="Z51" s="93">
        <v>28.6</v>
      </c>
      <c r="AA51" s="93">
        <v>28.6</v>
      </c>
      <c r="AB51" s="93">
        <v>0</v>
      </c>
      <c r="AC51" s="93">
        <v>2.65</v>
      </c>
      <c r="AD51" s="93" t="s">
        <v>357</v>
      </c>
      <c r="AE51" s="93" t="s">
        <v>357</v>
      </c>
      <c r="AF51" s="93" t="s">
        <v>816</v>
      </c>
      <c r="AG51" s="93" t="b">
        <f>EXACT(Table11[[#This Row],[Bucket8]],Table11[[#This Row],[Bucket]])</f>
        <v>1</v>
      </c>
      <c r="AH51" s="93"/>
      <c r="AI51" s="93">
        <v>19.228648419480002</v>
      </c>
      <c r="AJ51" s="93"/>
      <c r="AK51" s="93"/>
      <c r="AL51" s="93">
        <v>0.84752505375000009</v>
      </c>
      <c r="AM51" s="93"/>
      <c r="AN51" s="93"/>
      <c r="AO51" s="93"/>
      <c r="AP51" s="93"/>
      <c r="AQ51" s="93"/>
      <c r="AR51" s="93"/>
      <c r="AS51" s="93"/>
      <c r="AT51" s="93"/>
      <c r="AU51" s="93"/>
      <c r="AV51" s="93"/>
      <c r="AW51" s="93"/>
      <c r="AX51" s="93"/>
      <c r="AY51" s="93"/>
      <c r="AZ51" s="93"/>
      <c r="BA51" s="93"/>
      <c r="BB51" s="93"/>
      <c r="BC51" s="93"/>
      <c r="BD51" s="93"/>
      <c r="BE51" s="467">
        <v>20.076173473230003</v>
      </c>
    </row>
    <row r="52" spans="1:57" x14ac:dyDescent="0.25">
      <c r="A52" t="str">
        <v>28.6-0-2.6-CEW-CEW</v>
      </c>
      <c r="C52" t="str">
        <v>29.28-0-3.4-CEW-CEW</v>
      </c>
      <c r="H52" s="43"/>
      <c r="I52" s="43"/>
      <c r="J52" s="15">
        <v>29.4</v>
      </c>
      <c r="K52" s="15">
        <v>29.4</v>
      </c>
      <c r="L52" s="15">
        <v>20.399999999999999</v>
      </c>
      <c r="M52" s="15">
        <v>4.5</v>
      </c>
      <c r="N52" s="15" t="s">
        <v>357</v>
      </c>
      <c r="O52" s="15" t="s">
        <v>357</v>
      </c>
      <c r="P52" s="15" t="s">
        <v>393</v>
      </c>
      <c r="Q52" s="92" t="s">
        <v>1816</v>
      </c>
      <c r="R52" s="215">
        <f>Table11[[#This Row],[Grand Total]]</f>
        <v>26.245149076124996</v>
      </c>
      <c r="S52" s="93">
        <f>VLOOKUP(Table11[[#This Row],[Bucket]],salesforecast[[#All],[Bucket2]:[WIP]],3,0)</f>
        <v>31.889092000000009</v>
      </c>
      <c r="T52" s="93">
        <f>VLOOKUP(Table11[[#This Row],[Bucket]],salesforecast[[#All],[Bucket2]:[WIP]],4,0)</f>
        <v>4.986885</v>
      </c>
      <c r="U52" s="93">
        <f>VLOOKUP(Table11[[#This Row],[Bucket]],salesforecast[[#All],[Bucket2]:[WIP]],5,0)</f>
        <v>19.413661999999992</v>
      </c>
      <c r="V52" s="93">
        <f>VLOOKUP(Table11[[#This Row],[Bucket]],salesforecast[[#All],[Bucket2]:[WIP]],7,0)</f>
        <v>0</v>
      </c>
      <c r="W52" s="93">
        <f>Table11[[#This Row],[Stock LL]]+Table11[[#This Row],[WIP]]+Table11[[#This Row],[Stock CTL]]</f>
        <v>24.400546999999992</v>
      </c>
      <c r="X52" s="93">
        <f>IF((Table11[[#This Row],[Requirement]]-Table11[[#This Row],[Sales]]-Table11[[#This Row],[Total Stock]])&lt;0,0,Table11[[#This Row],[Requirement]]-Table11[[#This Row],[Sales]]-Table11[[#This Row],[Total Stock]])</f>
        <v>0</v>
      </c>
      <c r="Y52" s="94" t="str">
        <f>_xlfn.CONCAT(ROUND(Table11[[#This Row],[Total Stock]]/Table11[[#This Row],[Requirement]]*100,0),"% Coverage. Rest by Week 3")</f>
        <v>93% Coverage. Rest by Week 3</v>
      </c>
      <c r="Z52" s="93">
        <v>29.4</v>
      </c>
      <c r="AA52" s="93">
        <v>29.4</v>
      </c>
      <c r="AB52" s="93">
        <v>20.399999999999999</v>
      </c>
      <c r="AC52" s="93">
        <v>4.5</v>
      </c>
      <c r="AD52" s="93" t="s">
        <v>357</v>
      </c>
      <c r="AE52" s="93" t="s">
        <v>357</v>
      </c>
      <c r="AF52" s="93" t="s">
        <v>393</v>
      </c>
      <c r="AG52" s="93" t="b">
        <f>EXACT(Table11[[#This Row],[Bucket8]],Table11[[#This Row],[Bucket]])</f>
        <v>1</v>
      </c>
      <c r="AH52" s="93"/>
      <c r="AI52" s="93"/>
      <c r="AJ52" s="93"/>
      <c r="AK52" s="93">
        <v>13.920079068</v>
      </c>
      <c r="AL52" s="93"/>
      <c r="AM52" s="93"/>
      <c r="AN52" s="93">
        <v>12.325070008124998</v>
      </c>
      <c r="AO52" s="93"/>
      <c r="AP52" s="93"/>
      <c r="AQ52" s="93"/>
      <c r="AR52" s="93"/>
      <c r="AS52" s="93"/>
      <c r="AT52" s="93"/>
      <c r="AU52" s="93"/>
      <c r="AV52" s="93"/>
      <c r="AW52" s="93"/>
      <c r="AX52" s="93"/>
      <c r="AY52" s="93"/>
      <c r="AZ52" s="93"/>
      <c r="BA52" s="93"/>
      <c r="BB52" s="93"/>
      <c r="BC52" s="93"/>
      <c r="BD52" s="93"/>
      <c r="BE52" s="467">
        <v>26.245149076124996</v>
      </c>
    </row>
    <row r="53" spans="1:57" x14ac:dyDescent="0.25">
      <c r="A53" s="137"/>
      <c r="B53" s="136"/>
      <c r="D53" s="136"/>
      <c r="G53" s="43"/>
      <c r="H53" s="43"/>
      <c r="I53" s="43"/>
      <c r="J53" s="91">
        <v>29.4</v>
      </c>
      <c r="K53" s="15">
        <v>29.4</v>
      </c>
      <c r="L53" s="15">
        <v>20.399999999999999</v>
      </c>
      <c r="M53" s="15">
        <v>4.5</v>
      </c>
      <c r="N53" s="15" t="s">
        <v>1023</v>
      </c>
      <c r="O53" s="15" t="s">
        <v>357</v>
      </c>
      <c r="P53" s="15" t="s">
        <v>824</v>
      </c>
      <c r="Q53" s="92" t="s">
        <v>1817</v>
      </c>
      <c r="R53" s="215">
        <f>Table11[[#This Row],[Grand Total]]</f>
        <v>20.355353716499998</v>
      </c>
      <c r="S53" s="93">
        <f>VLOOKUP(Table11[[#This Row],[Bucket]],salesforecast[[#All],[Bucket2]:[WIP]],3,0)</f>
        <v>1.179265</v>
      </c>
      <c r="T53" s="93">
        <f>VLOOKUP(Table11[[#This Row],[Bucket]],salesforecast[[#All],[Bucket2]:[WIP]],4,0)</f>
        <v>0</v>
      </c>
      <c r="U53" s="93">
        <f>VLOOKUP(Table11[[#This Row],[Bucket]],salesforecast[[#All],[Bucket2]:[WIP]],5,0)</f>
        <v>102.42428000000004</v>
      </c>
      <c r="V53" s="93">
        <f>VLOOKUP(Table11[[#This Row],[Bucket]],salesforecast[[#All],[Bucket2]:[WIP]],7,0)</f>
        <v>0</v>
      </c>
      <c r="W53" s="93">
        <f>Table11[[#This Row],[Stock LL]]+Table11[[#This Row],[WIP]]+Table11[[#This Row],[Stock CTL]]</f>
        <v>102.42428000000004</v>
      </c>
      <c r="X53" s="93">
        <f>IF((Table11[[#This Row],[Requirement]]-Table11[[#This Row],[Sales]]-Table11[[#This Row],[Total Stock]])&lt;0,0,Table11[[#This Row],[Requirement]]-Table11[[#This Row],[Sales]]-Table11[[#This Row],[Total Stock]])</f>
        <v>0</v>
      </c>
      <c r="Y53" s="96"/>
      <c r="Z53" s="93">
        <v>29.4</v>
      </c>
      <c r="AA53" s="93">
        <v>29.4</v>
      </c>
      <c r="AB53" s="93">
        <v>20.399999999999999</v>
      </c>
      <c r="AC53" s="93">
        <v>4.5</v>
      </c>
      <c r="AD53" s="93" t="s">
        <v>1023</v>
      </c>
      <c r="AE53" s="93" t="s">
        <v>357</v>
      </c>
      <c r="AF53" s="93" t="s">
        <v>824</v>
      </c>
      <c r="AG53" s="93" t="b">
        <f>EXACT(Table11[[#This Row],[Bucket8]],Table11[[#This Row],[Bucket]])</f>
        <v>1</v>
      </c>
      <c r="AH53" s="93"/>
      <c r="AI53" s="93"/>
      <c r="AJ53" s="93"/>
      <c r="AK53" s="93">
        <v>20.355353716499998</v>
      </c>
      <c r="AL53" s="93"/>
      <c r="AM53" s="93"/>
      <c r="AN53" s="93"/>
      <c r="AO53" s="93"/>
      <c r="AP53" s="93"/>
      <c r="AQ53" s="93"/>
      <c r="AR53" s="93"/>
      <c r="AS53" s="93"/>
      <c r="AT53" s="93"/>
      <c r="AU53" s="93"/>
      <c r="AV53" s="93"/>
      <c r="AW53" s="93"/>
      <c r="AX53" s="93"/>
      <c r="AY53" s="93"/>
      <c r="AZ53" s="93"/>
      <c r="BA53" s="93"/>
      <c r="BB53" s="93"/>
      <c r="BC53" s="93"/>
      <c r="BD53" s="93"/>
      <c r="BE53" s="467">
        <v>20.355353716499998</v>
      </c>
    </row>
    <row r="54" spans="1:57" x14ac:dyDescent="0.25">
      <c r="A54" s="137"/>
      <c r="B54" s="136"/>
      <c r="D54" s="136"/>
      <c r="H54" s="43"/>
      <c r="I54" s="43"/>
      <c r="J54" s="91">
        <v>30.15</v>
      </c>
      <c r="K54" s="15">
        <v>30</v>
      </c>
      <c r="L54" s="15">
        <v>25.5</v>
      </c>
      <c r="M54" s="15">
        <v>2.25</v>
      </c>
      <c r="N54" s="15" t="s">
        <v>357</v>
      </c>
      <c r="O54" s="15" t="s">
        <v>357</v>
      </c>
      <c r="P54" s="15" t="s">
        <v>827</v>
      </c>
      <c r="Q54" s="92" t="s">
        <v>1817</v>
      </c>
      <c r="R54" s="215">
        <f>Table11[[#This Row],[Grand Total]]</f>
        <v>40.40107285725</v>
      </c>
      <c r="S54" s="93">
        <f>VLOOKUP(Table11[[#This Row],[Bucket]],salesforecast[[#All],[Bucket2]:[WIP]],3,0)</f>
        <v>27.335820999999999</v>
      </c>
      <c r="T54" s="93">
        <f>VLOOKUP(Table11[[#This Row],[Bucket]],salesforecast[[#All],[Bucket2]:[WIP]],4,0)</f>
        <v>1.4791730000000001</v>
      </c>
      <c r="U54" s="93">
        <f>VLOOKUP(Table11[[#This Row],[Bucket]],salesforecast[[#All],[Bucket2]:[WIP]],5,0)</f>
        <v>13.385093000000001</v>
      </c>
      <c r="V54" s="93">
        <f>VLOOKUP(Table11[[#This Row],[Bucket]],salesforecast[[#All],[Bucket2]:[WIP]],7,0)</f>
        <v>0</v>
      </c>
      <c r="W54" s="93">
        <f>Table11[[#This Row],[Stock LL]]+Table11[[#This Row],[WIP]]+Table11[[#This Row],[Stock CTL]]</f>
        <v>14.864266000000001</v>
      </c>
      <c r="X54" s="93">
        <f>IF((Table11[[#This Row],[Requirement]]-Table11[[#This Row],[Sales]]-Table11[[#This Row],[Total Stock]])&lt;0,0,Table11[[#This Row],[Requirement]]-Table11[[#This Row],[Sales]]-Table11[[#This Row],[Total Stock]])</f>
        <v>0</v>
      </c>
      <c r="Y54" s="96"/>
      <c r="Z54" s="93">
        <v>30.15</v>
      </c>
      <c r="AA54" s="93">
        <v>30</v>
      </c>
      <c r="AB54" s="93">
        <v>25.5</v>
      </c>
      <c r="AC54" s="93">
        <v>2.25</v>
      </c>
      <c r="AD54" s="93" t="s">
        <v>357</v>
      </c>
      <c r="AE54" s="93" t="s">
        <v>357</v>
      </c>
      <c r="AF54" s="93" t="s">
        <v>827</v>
      </c>
      <c r="AG54" s="93" t="b">
        <f>EXACT(Table11[[#This Row],[Bucket8]],Table11[[#This Row],[Bucket]])</f>
        <v>1</v>
      </c>
      <c r="AH54" s="93"/>
      <c r="AI54" s="93"/>
      <c r="AJ54" s="93"/>
      <c r="AK54" s="93"/>
      <c r="AL54" s="93">
        <v>30.018414915000001</v>
      </c>
      <c r="AM54" s="93"/>
      <c r="AN54" s="93"/>
      <c r="AO54" s="93"/>
      <c r="AP54" s="93"/>
      <c r="AQ54" s="93"/>
      <c r="AR54" s="93">
        <v>10.382657942249999</v>
      </c>
      <c r="AS54" s="93"/>
      <c r="AT54" s="93"/>
      <c r="AU54" s="93"/>
      <c r="AV54" s="93"/>
      <c r="AW54" s="93"/>
      <c r="AX54" s="93"/>
      <c r="AY54" s="93"/>
      <c r="AZ54" s="93"/>
      <c r="BA54" s="93"/>
      <c r="BB54" s="93"/>
      <c r="BC54" s="93"/>
      <c r="BD54" s="93"/>
      <c r="BE54" s="467">
        <v>40.40107285725</v>
      </c>
    </row>
    <row r="55" spans="1:57" x14ac:dyDescent="0.25">
      <c r="A55" s="136"/>
      <c r="B55" s="136"/>
      <c r="D55" s="136"/>
      <c r="H55" s="43"/>
      <c r="I55" s="43"/>
      <c r="J55" s="91">
        <v>31.75</v>
      </c>
      <c r="K55" s="15">
        <v>25</v>
      </c>
      <c r="L55" s="15">
        <v>25</v>
      </c>
      <c r="M55" s="15">
        <v>1.2</v>
      </c>
      <c r="N55" s="15" t="s">
        <v>229</v>
      </c>
      <c r="O55" s="15" t="s">
        <v>963</v>
      </c>
      <c r="P55" s="15" t="s">
        <v>529</v>
      </c>
      <c r="Q55" s="92" t="s">
        <v>1816</v>
      </c>
      <c r="R55" s="215">
        <f>Table11[[#This Row],[Grand Total]]</f>
        <v>28.916234880000001</v>
      </c>
      <c r="S55" s="93">
        <f>VLOOKUP(Table11[[#This Row],[Bucket]],salesforecast[[#All],[Bucket2]:[WIP]],3,0)</f>
        <v>15.293707999999999</v>
      </c>
      <c r="T55" s="93">
        <f>VLOOKUP(Table11[[#This Row],[Bucket]],salesforecast[[#All],[Bucket2]:[WIP]],4,0)</f>
        <v>1.99648</v>
      </c>
      <c r="U55" s="93">
        <f>VLOOKUP(Table11[[#This Row],[Bucket]],salesforecast[[#All],[Bucket2]:[WIP]],5,0)</f>
        <v>2.5459999999999994</v>
      </c>
      <c r="V55" s="93">
        <f>VLOOKUP(Table11[[#This Row],[Bucket]],salesforecast[[#All],[Bucket2]:[WIP]],7,0)</f>
        <v>25.728999999999999</v>
      </c>
      <c r="W55" s="93">
        <f>Table11[[#This Row],[Stock LL]]+Table11[[#This Row],[WIP]]+Table11[[#This Row],[Stock CTL]]</f>
        <v>30.271479999999997</v>
      </c>
      <c r="X55" s="93">
        <f>IF((Table11[[#This Row],[Requirement]]-Table11[[#This Row],[Sales]]-Table11[[#This Row],[Total Stock]])&lt;0,0,Table11[[#This Row],[Requirement]]-Table11[[#This Row],[Sales]]-Table11[[#This Row],[Total Stock]])</f>
        <v>0</v>
      </c>
      <c r="Y55" s="94" t="str">
        <f>_xlfn.CONCAT(ROUND(Table11[[#This Row],[Total Stock]]/Table11[[#This Row],[Requirement]]*100,0),"% Coverage. Rest by Week 4")</f>
        <v>105% Coverage. Rest by Week 4</v>
      </c>
      <c r="Z55" s="93">
        <v>31.75</v>
      </c>
      <c r="AA55" s="93">
        <v>25</v>
      </c>
      <c r="AB55" s="93">
        <v>25</v>
      </c>
      <c r="AC55" s="93">
        <v>1.2</v>
      </c>
      <c r="AD55" s="93" t="s">
        <v>229</v>
      </c>
      <c r="AE55" s="93" t="s">
        <v>963</v>
      </c>
      <c r="AF55" s="93" t="s">
        <v>529</v>
      </c>
      <c r="AG55" s="93" t="b">
        <f>EXACT(Table11[[#This Row],[Bucket8]],Table11[[#This Row],[Bucket]])</f>
        <v>1</v>
      </c>
      <c r="AH55" s="93"/>
      <c r="AI55" s="93"/>
      <c r="AJ55" s="93"/>
      <c r="AK55" s="93"/>
      <c r="AL55" s="93">
        <v>11.4670943946</v>
      </c>
      <c r="AM55" s="93"/>
      <c r="AN55" s="93"/>
      <c r="AO55" s="93"/>
      <c r="AP55" s="93"/>
      <c r="AQ55" s="93"/>
      <c r="AR55" s="93"/>
      <c r="AS55" s="93"/>
      <c r="AT55" s="93"/>
      <c r="AU55" s="93"/>
      <c r="AV55" s="93"/>
      <c r="AW55" s="93"/>
      <c r="AX55" s="93"/>
      <c r="AY55" s="93"/>
      <c r="AZ55" s="93"/>
      <c r="BA55" s="93"/>
      <c r="BB55" s="93">
        <v>0.58013196228000008</v>
      </c>
      <c r="BC55" s="93">
        <v>16.869008523120002</v>
      </c>
      <c r="BD55" s="93"/>
      <c r="BE55" s="467">
        <v>28.916234880000001</v>
      </c>
    </row>
    <row r="56" spans="1:57" x14ac:dyDescent="0.25">
      <c r="A56" s="136"/>
      <c r="B56" s="136"/>
      <c r="D56" s="136"/>
      <c r="G56" s="43"/>
      <c r="H56" s="43"/>
      <c r="I56" s="43"/>
      <c r="J56" s="91">
        <v>31.75</v>
      </c>
      <c r="K56" s="15">
        <v>31.75</v>
      </c>
      <c r="L56" s="15">
        <v>0</v>
      </c>
      <c r="M56" s="15">
        <v>1.2</v>
      </c>
      <c r="N56" s="15" t="s">
        <v>962</v>
      </c>
      <c r="O56" s="15" t="s">
        <v>1003</v>
      </c>
      <c r="P56" s="15" t="s">
        <v>836</v>
      </c>
      <c r="Q56" s="92" t="s">
        <v>1816</v>
      </c>
      <c r="R56" s="215">
        <f>Table11[[#This Row],[Grand Total]]</f>
        <v>2.6566790796000004</v>
      </c>
      <c r="S56" s="93">
        <f>VLOOKUP(Table11[[#This Row],[Bucket]],salesforecast[[#All],[Bucket2]:[WIP]],3,0)</f>
        <v>1.0556430000000001</v>
      </c>
      <c r="T56" s="93">
        <f>VLOOKUP(Table11[[#This Row],[Bucket]],salesforecast[[#All],[Bucket2]:[WIP]],4,0)</f>
        <v>0.89200600000000008</v>
      </c>
      <c r="U56" s="93">
        <f>VLOOKUP(Table11[[#This Row],[Bucket]],salesforecast[[#All],[Bucket2]:[WIP]],5,0)</f>
        <v>0</v>
      </c>
      <c r="V56" s="93">
        <f>VLOOKUP(Table11[[#This Row],[Bucket]],salesforecast[[#All],[Bucket2]:[WIP]],7,0)</f>
        <v>0</v>
      </c>
      <c r="W56" s="93">
        <f>Table11[[#This Row],[Stock LL]]+Table11[[#This Row],[WIP]]+Table11[[#This Row],[Stock CTL]]</f>
        <v>0.89200600000000008</v>
      </c>
      <c r="X56" s="93">
        <f>IF((Table11[[#This Row],[Requirement]]-Table11[[#This Row],[Sales]]-Table11[[#This Row],[Total Stock]])&lt;0,0,Table11[[#This Row],[Requirement]]-Table11[[#This Row],[Sales]]-Table11[[#This Row],[Total Stock]])</f>
        <v>0.7090300796000002</v>
      </c>
      <c r="Y56" s="94" t="s">
        <v>1821</v>
      </c>
      <c r="Z56" s="93">
        <v>31.75</v>
      </c>
      <c r="AA56" s="93">
        <v>31.75</v>
      </c>
      <c r="AB56" s="93">
        <v>0</v>
      </c>
      <c r="AC56" s="93">
        <v>1.2</v>
      </c>
      <c r="AD56" s="93" t="s">
        <v>962</v>
      </c>
      <c r="AE56" s="93" t="s">
        <v>1003</v>
      </c>
      <c r="AF56" s="93" t="s">
        <v>836</v>
      </c>
      <c r="AG56" s="93" t="b">
        <f>EXACT(Table11[[#This Row],[Bucket8]],Table11[[#This Row],[Bucket]])</f>
        <v>1</v>
      </c>
      <c r="AH56" s="93"/>
      <c r="AI56" s="93"/>
      <c r="AJ56" s="93"/>
      <c r="AK56" s="93"/>
      <c r="AL56" s="93"/>
      <c r="AM56" s="93"/>
      <c r="AN56" s="93"/>
      <c r="AO56" s="93"/>
      <c r="AP56" s="93"/>
      <c r="AQ56" s="93"/>
      <c r="AR56" s="93"/>
      <c r="AS56" s="93"/>
      <c r="AT56" s="93"/>
      <c r="AU56" s="93"/>
      <c r="AV56" s="93"/>
      <c r="AW56" s="93"/>
      <c r="AX56" s="93"/>
      <c r="AY56" s="93">
        <v>2.6566790796000004</v>
      </c>
      <c r="AZ56" s="93"/>
      <c r="BA56" s="93"/>
      <c r="BB56" s="93"/>
      <c r="BC56" s="93"/>
      <c r="BD56" s="93"/>
      <c r="BE56" s="467">
        <v>2.6566790796000004</v>
      </c>
    </row>
    <row r="57" spans="1:57" x14ac:dyDescent="0.25">
      <c r="A57" s="137"/>
      <c r="B57" s="136"/>
      <c r="D57" s="136"/>
      <c r="G57" s="43"/>
      <c r="H57" s="43"/>
      <c r="I57" s="43"/>
      <c r="J57" s="91">
        <v>31.75</v>
      </c>
      <c r="K57" s="15">
        <v>31.75</v>
      </c>
      <c r="L57" s="15">
        <v>0</v>
      </c>
      <c r="M57" s="15">
        <v>1.2</v>
      </c>
      <c r="N57" s="15" t="s">
        <v>962</v>
      </c>
      <c r="O57" s="15" t="s">
        <v>963</v>
      </c>
      <c r="P57" s="15" t="s">
        <v>832</v>
      </c>
      <c r="Q57" s="92" t="s">
        <v>1816</v>
      </c>
      <c r="R57" s="215">
        <f>Table11[[#This Row],[Grand Total]]</f>
        <v>17.284679399520002</v>
      </c>
      <c r="S57" s="93">
        <f>VLOOKUP(Table11[[#This Row],[Bucket]],salesforecast[[#All],[Bucket2]:[WIP]],3,0)</f>
        <v>2.7823709999999999</v>
      </c>
      <c r="T57" s="93">
        <f>VLOOKUP(Table11[[#This Row],[Bucket]],salesforecast[[#All],[Bucket2]:[WIP]],4,0)</f>
        <v>7.1497729999999997</v>
      </c>
      <c r="U57" s="93">
        <f>VLOOKUP(Table11[[#This Row],[Bucket]],salesforecast[[#All],[Bucket2]:[WIP]],5,0)</f>
        <v>16.845880000000001</v>
      </c>
      <c r="V57" s="93">
        <f>VLOOKUP(Table11[[#This Row],[Bucket]],salesforecast[[#All],[Bucket2]:[WIP]],7,0)</f>
        <v>0</v>
      </c>
      <c r="W57" s="93">
        <f>Table11[[#This Row],[Stock LL]]+Table11[[#This Row],[WIP]]+Table11[[#This Row],[Stock CTL]]</f>
        <v>23.995653000000001</v>
      </c>
      <c r="X57" s="93">
        <f>IF((Table11[[#This Row],[Requirement]]-Table11[[#This Row],[Sales]]-Table11[[#This Row],[Total Stock]])&lt;0,0,Table11[[#This Row],[Requirement]]-Table11[[#This Row],[Sales]]-Table11[[#This Row],[Total Stock]])</f>
        <v>0</v>
      </c>
      <c r="Y57" s="96"/>
      <c r="Z57" s="93">
        <v>31.75</v>
      </c>
      <c r="AA57" s="93">
        <v>31.75</v>
      </c>
      <c r="AB57" s="93">
        <v>0</v>
      </c>
      <c r="AC57" s="93">
        <v>1.2</v>
      </c>
      <c r="AD57" s="93" t="s">
        <v>962</v>
      </c>
      <c r="AE57" s="93" t="s">
        <v>963</v>
      </c>
      <c r="AF57" s="93" t="s">
        <v>832</v>
      </c>
      <c r="AG57" s="93" t="b">
        <f>EXACT(Table11[[#This Row],[Bucket8]],Table11[[#This Row],[Bucket]])</f>
        <v>1</v>
      </c>
      <c r="AH57" s="93"/>
      <c r="AI57" s="93"/>
      <c r="AJ57" s="93"/>
      <c r="AK57" s="93"/>
      <c r="AL57" s="93"/>
      <c r="AM57" s="93"/>
      <c r="AN57" s="93"/>
      <c r="AO57" s="93"/>
      <c r="AP57" s="93">
        <v>6.0543366780000003</v>
      </c>
      <c r="AQ57" s="93"/>
      <c r="AR57" s="93"/>
      <c r="AS57" s="93"/>
      <c r="AT57" s="93">
        <v>3.2422328359200003</v>
      </c>
      <c r="AU57" s="93"/>
      <c r="AV57" s="93"/>
      <c r="AW57" s="93"/>
      <c r="AX57" s="93"/>
      <c r="AY57" s="93">
        <v>7.9881098855999992</v>
      </c>
      <c r="AZ57" s="93"/>
      <c r="BA57" s="93"/>
      <c r="BB57" s="93"/>
      <c r="BC57" s="93"/>
      <c r="BD57" s="93"/>
      <c r="BE57" s="467">
        <v>17.284679399520002</v>
      </c>
    </row>
    <row r="58" spans="1:57" x14ac:dyDescent="0.25">
      <c r="A58" s="137"/>
      <c r="B58" s="136"/>
      <c r="D58" s="136"/>
      <c r="G58" s="43"/>
      <c r="H58" s="43"/>
      <c r="I58" s="43"/>
      <c r="J58" s="91">
        <v>31.75</v>
      </c>
      <c r="K58" s="15">
        <v>31.75</v>
      </c>
      <c r="L58" s="15">
        <v>0</v>
      </c>
      <c r="M58" s="15">
        <v>1.6</v>
      </c>
      <c r="N58" s="15" t="s">
        <v>962</v>
      </c>
      <c r="O58" s="15" t="s">
        <v>1003</v>
      </c>
      <c r="P58" s="15" t="s">
        <v>1028</v>
      </c>
      <c r="Q58" s="92" t="s">
        <v>1816</v>
      </c>
      <c r="R58" s="215">
        <f>Table11[[#This Row],[Grand Total]]</f>
        <v>10.171285619039999</v>
      </c>
      <c r="S58" s="93">
        <f>VLOOKUP(Table11[[#This Row],[Bucket]],salesforecast[[#All],[Bucket2]:[WIP]],3,0)</f>
        <v>0</v>
      </c>
      <c r="T58" s="93">
        <f>VLOOKUP(Table11[[#This Row],[Bucket]],salesforecast[[#All],[Bucket2]:[WIP]],4,0)</f>
        <v>1.3464E-2</v>
      </c>
      <c r="U58" s="93">
        <f>VLOOKUP(Table11[[#This Row],[Bucket]],salesforecast[[#All],[Bucket2]:[WIP]],5,0)</f>
        <v>0</v>
      </c>
      <c r="V58" s="93">
        <f>VLOOKUP(Table11[[#This Row],[Bucket]],salesforecast[[#All],[Bucket2]:[WIP]],7,0)</f>
        <v>1.9610000000000001</v>
      </c>
      <c r="W58" s="93">
        <f>Table11[[#This Row],[Stock LL]]+Table11[[#This Row],[WIP]]+Table11[[#This Row],[Stock CTL]]</f>
        <v>1.974464</v>
      </c>
      <c r="X58" s="93">
        <f>IF((Table11[[#This Row],[Requirement]]-Table11[[#This Row],[Sales]]-Table11[[#This Row],[Total Stock]])&lt;0,0,Table11[[#This Row],[Requirement]]-Table11[[#This Row],[Sales]]-Table11[[#This Row],[Total Stock]])</f>
        <v>8.1968216190399996</v>
      </c>
      <c r="Y58" s="94" t="str">
        <f>_xlfn.CONCAT(ROUND(Table11[[#This Row],[Total Stock]]/Table11[[#This Row],[Requirement]]*100,0),"% Coverage. Rest by Week 3")</f>
        <v>19% Coverage. Rest by Week 3</v>
      </c>
      <c r="Z58" s="93">
        <v>31.75</v>
      </c>
      <c r="AA58" s="93">
        <v>31.75</v>
      </c>
      <c r="AB58" s="93">
        <v>0</v>
      </c>
      <c r="AC58" s="93">
        <v>1.6</v>
      </c>
      <c r="AD58" s="93" t="s">
        <v>962</v>
      </c>
      <c r="AE58" s="93" t="s">
        <v>1003</v>
      </c>
      <c r="AF58" s="93" t="s">
        <v>1028</v>
      </c>
      <c r="AG58" s="93" t="b">
        <f>EXACT(Table11[[#This Row],[Bucket8]],Table11[[#This Row],[Bucket]])</f>
        <v>1</v>
      </c>
      <c r="AH58" s="93"/>
      <c r="AI58" s="93"/>
      <c r="AJ58" s="93"/>
      <c r="AK58" s="93"/>
      <c r="AL58" s="93"/>
      <c r="AM58" s="93"/>
      <c r="AN58" s="93"/>
      <c r="AO58" s="93"/>
      <c r="AP58" s="93"/>
      <c r="AQ58" s="93"/>
      <c r="AR58" s="93"/>
      <c r="AS58" s="93"/>
      <c r="AT58" s="93"/>
      <c r="AU58" s="93"/>
      <c r="AV58" s="93"/>
      <c r="AW58" s="93"/>
      <c r="AX58" s="93"/>
      <c r="AY58" s="93">
        <v>10.171285619039999</v>
      </c>
      <c r="AZ58" s="93"/>
      <c r="BA58" s="93"/>
      <c r="BB58" s="93"/>
      <c r="BC58" s="93"/>
      <c r="BD58" s="93"/>
      <c r="BE58" s="467">
        <v>10.171285619039999</v>
      </c>
    </row>
    <row r="59" spans="1:57" x14ac:dyDescent="0.25">
      <c r="A59" s="136"/>
      <c r="B59" s="136"/>
      <c r="D59" s="136"/>
      <c r="G59" s="43"/>
      <c r="H59" s="43"/>
      <c r="I59" s="43"/>
      <c r="J59" s="91">
        <v>31.75</v>
      </c>
      <c r="K59" s="15">
        <v>31.75</v>
      </c>
      <c r="L59" s="15">
        <v>0</v>
      </c>
      <c r="M59" s="15">
        <v>2.2999999999999998</v>
      </c>
      <c r="N59" s="15" t="s">
        <v>962</v>
      </c>
      <c r="O59" s="15" t="s">
        <v>1003</v>
      </c>
      <c r="P59" s="15" t="s">
        <v>1029</v>
      </c>
      <c r="Q59" s="92" t="s">
        <v>1816</v>
      </c>
      <c r="R59" s="215">
        <f>Table11[[#This Row],[Grand Total]]</f>
        <v>6.4446560578999987</v>
      </c>
      <c r="S59" s="93">
        <f>VLOOKUP(Table11[[#This Row],[Bucket]],salesforecast[[#All],[Bucket2]:[WIP]],3,0)</f>
        <v>0</v>
      </c>
      <c r="T59" s="93">
        <f>VLOOKUP(Table11[[#This Row],[Bucket]],salesforecast[[#All],[Bucket2]:[WIP]],4,0)</f>
        <v>0</v>
      </c>
      <c r="U59" s="93">
        <f>VLOOKUP(Table11[[#This Row],[Bucket]],salesforecast[[#All],[Bucket2]:[WIP]],5,0)</f>
        <v>1.83</v>
      </c>
      <c r="V59" s="93">
        <f>VLOOKUP(Table11[[#This Row],[Bucket]],salesforecast[[#All],[Bucket2]:[WIP]],7,0)</f>
        <v>0</v>
      </c>
      <c r="W59" s="93">
        <f>Table11[[#This Row],[Stock LL]]+Table11[[#This Row],[WIP]]+Table11[[#This Row],[Stock CTL]]</f>
        <v>1.83</v>
      </c>
      <c r="X59" s="93">
        <f>IF((Table11[[#This Row],[Requirement]]-Table11[[#This Row],[Sales]]-Table11[[#This Row],[Total Stock]])&lt;0,0,Table11[[#This Row],[Requirement]]-Table11[[#This Row],[Sales]]-Table11[[#This Row],[Total Stock]])</f>
        <v>4.6146560578999987</v>
      </c>
      <c r="Y59" s="94" t="str">
        <f>_xlfn.CONCAT(ROUND(Table11[[#This Row],[Total Stock]]/Table11[[#This Row],[Requirement]]*100,0),"% Coverage. Rest by Week 3")</f>
        <v>28% Coverage. Rest by Week 3</v>
      </c>
      <c r="Z59" s="93">
        <v>31.75</v>
      </c>
      <c r="AA59" s="93">
        <v>31.75</v>
      </c>
      <c r="AB59" s="93">
        <v>0</v>
      </c>
      <c r="AC59" s="93">
        <v>2.2999999999999998</v>
      </c>
      <c r="AD59" s="93" t="s">
        <v>962</v>
      </c>
      <c r="AE59" s="93" t="s">
        <v>1003</v>
      </c>
      <c r="AF59" s="93" t="s">
        <v>1029</v>
      </c>
      <c r="AG59" s="93" t="b">
        <f>EXACT(Table11[[#This Row],[Bucket8]],Table11[[#This Row],[Bucket]])</f>
        <v>1</v>
      </c>
      <c r="AH59" s="93"/>
      <c r="AI59" s="93"/>
      <c r="AJ59" s="93">
        <v>6.4446560578999987</v>
      </c>
      <c r="AK59" s="93"/>
      <c r="AL59" s="93"/>
      <c r="AM59" s="93"/>
      <c r="AN59" s="93"/>
      <c r="AO59" s="93"/>
      <c r="AP59" s="93"/>
      <c r="AQ59" s="93"/>
      <c r="AR59" s="93"/>
      <c r="AS59" s="93"/>
      <c r="AT59" s="93"/>
      <c r="AU59" s="93"/>
      <c r="AV59" s="93"/>
      <c r="AW59" s="93"/>
      <c r="AX59" s="93"/>
      <c r="AY59" s="93"/>
      <c r="AZ59" s="93"/>
      <c r="BA59" s="93"/>
      <c r="BB59" s="93"/>
      <c r="BC59" s="93"/>
      <c r="BD59" s="93"/>
      <c r="BE59" s="467">
        <v>6.4446560578999987</v>
      </c>
    </row>
    <row r="60" spans="1:57" x14ac:dyDescent="0.25">
      <c r="A60" s="136"/>
      <c r="B60" s="136"/>
      <c r="D60" s="136"/>
      <c r="G60" s="43"/>
      <c r="H60" s="43"/>
      <c r="I60" s="43"/>
      <c r="J60" s="91">
        <v>31.75</v>
      </c>
      <c r="K60" s="15">
        <v>31.75</v>
      </c>
      <c r="L60" s="15">
        <v>0</v>
      </c>
      <c r="M60" s="15">
        <v>2.5</v>
      </c>
      <c r="N60" s="15" t="s">
        <v>962</v>
      </c>
      <c r="O60" s="15" t="s">
        <v>1003</v>
      </c>
      <c r="P60" s="15" t="s">
        <v>799</v>
      </c>
      <c r="Q60" s="92" t="s">
        <v>1816</v>
      </c>
      <c r="R60" s="215">
        <f>Table11[[#This Row],[Grand Total]]</f>
        <v>23.431955624999997</v>
      </c>
      <c r="S60" s="93">
        <f>VLOOKUP(Table11[[#This Row],[Bucket]],salesforecast[[#All],[Bucket2]:[WIP]],3,0)</f>
        <v>6.5400470000000004</v>
      </c>
      <c r="T60" s="93">
        <f>VLOOKUP(Table11[[#This Row],[Bucket]],salesforecast[[#All],[Bucket2]:[WIP]],4,0)</f>
        <v>0.90248500000000009</v>
      </c>
      <c r="U60" s="93">
        <f>VLOOKUP(Table11[[#This Row],[Bucket]],salesforecast[[#All],[Bucket2]:[WIP]],5,0)</f>
        <v>5.0396819999999991</v>
      </c>
      <c r="V60" s="93">
        <f>VLOOKUP(Table11[[#This Row],[Bucket]],salesforecast[[#All],[Bucket2]:[WIP]],7,0)</f>
        <v>0</v>
      </c>
      <c r="W60" s="93">
        <f>Table11[[#This Row],[Stock LL]]+Table11[[#This Row],[WIP]]+Table11[[#This Row],[Stock CTL]]</f>
        <v>5.9421669999999995</v>
      </c>
      <c r="X60" s="93">
        <f>IF((Table11[[#This Row],[Requirement]]-Table11[[#This Row],[Sales]]-Table11[[#This Row],[Total Stock]])&lt;0,0,Table11[[#This Row],[Requirement]]-Table11[[#This Row],[Sales]]-Table11[[#This Row],[Total Stock]])</f>
        <v>10.949741624999996</v>
      </c>
      <c r="Y60" s="94"/>
      <c r="Z60" s="93">
        <v>31.75</v>
      </c>
      <c r="AA60" s="93">
        <v>31.75</v>
      </c>
      <c r="AB60" s="93">
        <v>0</v>
      </c>
      <c r="AC60" s="93">
        <v>2.5</v>
      </c>
      <c r="AD60" s="93" t="s">
        <v>962</v>
      </c>
      <c r="AE60" s="93" t="s">
        <v>1003</v>
      </c>
      <c r="AF60" s="93" t="s">
        <v>799</v>
      </c>
      <c r="AG60" s="93" t="b">
        <f>EXACT(Table11[[#This Row],[Bucket8]],Table11[[#This Row],[Bucket]])</f>
        <v>1</v>
      </c>
      <c r="AH60" s="93"/>
      <c r="AI60" s="93"/>
      <c r="AJ60" s="93"/>
      <c r="AK60" s="93"/>
      <c r="AL60" s="93"/>
      <c r="AM60" s="93"/>
      <c r="AN60" s="93"/>
      <c r="AO60" s="93"/>
      <c r="AP60" s="93"/>
      <c r="AQ60" s="93"/>
      <c r="AR60" s="93"/>
      <c r="AS60" s="93"/>
      <c r="AT60" s="93"/>
      <c r="AU60" s="93">
        <v>23.431955624999997</v>
      </c>
      <c r="AV60" s="93"/>
      <c r="AW60" s="93"/>
      <c r="AX60" s="93"/>
      <c r="AY60" s="93"/>
      <c r="AZ60" s="93"/>
      <c r="BA60" s="93"/>
      <c r="BB60" s="93"/>
      <c r="BC60" s="93"/>
      <c r="BD60" s="93"/>
      <c r="BE60" s="467">
        <v>23.431955624999997</v>
      </c>
    </row>
    <row r="61" spans="1:57" x14ac:dyDescent="0.25">
      <c r="A61" s="136"/>
      <c r="B61" s="136"/>
      <c r="D61" s="136"/>
      <c r="G61" s="43"/>
      <c r="H61" s="43"/>
      <c r="I61" s="43"/>
      <c r="J61" s="91">
        <v>31.75</v>
      </c>
      <c r="K61" s="15">
        <v>31.75</v>
      </c>
      <c r="L61" s="15">
        <v>25</v>
      </c>
      <c r="M61" s="15">
        <v>3.37</v>
      </c>
      <c r="N61" s="15" t="s">
        <v>357</v>
      </c>
      <c r="O61" s="15" t="s">
        <v>357</v>
      </c>
      <c r="P61" s="15" t="s">
        <v>846</v>
      </c>
      <c r="Q61" s="92" t="s">
        <v>1816</v>
      </c>
      <c r="R61" s="215">
        <f>Table11[[#This Row],[Grand Total]]</f>
        <v>7.6286925034584003</v>
      </c>
      <c r="S61" s="93">
        <f>VLOOKUP(Table11[[#This Row],[Bucket]],salesforecast[[#All],[Bucket2]:[WIP]],3,0)</f>
        <v>8.5550730000000001</v>
      </c>
      <c r="T61" s="93">
        <f>VLOOKUP(Table11[[#This Row],[Bucket]],salesforecast[[#All],[Bucket2]:[WIP]],4,0)</f>
        <v>0</v>
      </c>
      <c r="U61" s="93">
        <f>VLOOKUP(Table11[[#This Row],[Bucket]],salesforecast[[#All],[Bucket2]:[WIP]],5,0)</f>
        <v>5.3088999999999997E-2</v>
      </c>
      <c r="V61" s="93">
        <f>VLOOKUP(Table11[[#This Row],[Bucket]],salesforecast[[#All],[Bucket2]:[WIP]],7,0)</f>
        <v>0</v>
      </c>
      <c r="W61" s="93">
        <f>Table11[[#This Row],[Stock LL]]+Table11[[#This Row],[WIP]]+Table11[[#This Row],[Stock CTL]]</f>
        <v>5.3088999999999997E-2</v>
      </c>
      <c r="X61" s="93">
        <f>IF((Table11[[#This Row],[Requirement]]-Table11[[#This Row],[Sales]]-Table11[[#This Row],[Total Stock]])&lt;0,0,Table11[[#This Row],[Requirement]]-Table11[[#This Row],[Sales]]-Table11[[#This Row],[Total Stock]])</f>
        <v>0</v>
      </c>
      <c r="Y61" s="94" t="str">
        <f>_xlfn.CONCAT(ROUND(Table11[[#This Row],[Total Stock]]/Table11[[#This Row],[Requirement]]*100,0),"% Coverage. Rest by Week 3")</f>
        <v>1% Coverage. Rest by Week 3</v>
      </c>
      <c r="Z61" s="93">
        <v>31.75</v>
      </c>
      <c r="AA61" s="93">
        <v>31.75</v>
      </c>
      <c r="AB61" s="93">
        <v>25</v>
      </c>
      <c r="AC61" s="93">
        <v>3.37</v>
      </c>
      <c r="AD61" s="93" t="s">
        <v>357</v>
      </c>
      <c r="AE61" s="93" t="s">
        <v>357</v>
      </c>
      <c r="AF61" s="93" t="s">
        <v>846</v>
      </c>
      <c r="AG61" s="93" t="b">
        <f>EXACT(Table11[[#This Row],[Bucket8]],Table11[[#This Row],[Bucket]])</f>
        <v>1</v>
      </c>
      <c r="AH61" s="93"/>
      <c r="AI61" s="93">
        <v>5.8936128735000004</v>
      </c>
      <c r="AJ61" s="93"/>
      <c r="AK61" s="93"/>
      <c r="AL61" s="93"/>
      <c r="AM61" s="93"/>
      <c r="AN61" s="93"/>
      <c r="AO61" s="93"/>
      <c r="AP61" s="93"/>
      <c r="AQ61" s="93"/>
      <c r="AR61" s="93"/>
      <c r="AS61" s="93"/>
      <c r="AT61" s="93"/>
      <c r="AU61" s="93"/>
      <c r="AV61" s="93"/>
      <c r="AW61" s="93"/>
      <c r="AX61" s="93">
        <v>1.7350796299584001</v>
      </c>
      <c r="AY61" s="93"/>
      <c r="AZ61" s="93"/>
      <c r="BA61" s="93"/>
      <c r="BB61" s="93"/>
      <c r="BC61" s="93"/>
      <c r="BD61" s="93"/>
      <c r="BE61" s="467">
        <v>7.6286925034584003</v>
      </c>
    </row>
    <row r="62" spans="1:57" x14ac:dyDescent="0.25">
      <c r="A62" s="136"/>
      <c r="B62" s="136"/>
      <c r="D62" s="136"/>
      <c r="G62" s="43"/>
      <c r="H62" s="43"/>
      <c r="I62" s="43"/>
      <c r="J62" s="91">
        <v>33.299999999999997</v>
      </c>
      <c r="K62" s="15">
        <v>33.299999999999997</v>
      </c>
      <c r="L62" s="15">
        <v>29.3</v>
      </c>
      <c r="M62" s="15">
        <v>2</v>
      </c>
      <c r="N62" s="15" t="s">
        <v>357</v>
      </c>
      <c r="O62" s="15" t="s">
        <v>357</v>
      </c>
      <c r="P62" s="15" t="s">
        <v>1032</v>
      </c>
      <c r="Q62" s="92" t="s">
        <v>1817</v>
      </c>
      <c r="R62" s="215">
        <f>Table11[[#This Row],[Grand Total]]</f>
        <v>0.77151369999999997</v>
      </c>
      <c r="S62" s="93">
        <f>VLOOKUP(Table11[[#This Row],[Bucket]],salesforecast[[#All],[Bucket2]:[WIP]],3,0)</f>
        <v>0</v>
      </c>
      <c r="T62" s="93">
        <f>VLOOKUP(Table11[[#This Row],[Bucket]],salesforecast[[#All],[Bucket2]:[WIP]],4,0)</f>
        <v>0</v>
      </c>
      <c r="U62" s="93">
        <f>VLOOKUP(Table11[[#This Row],[Bucket]],salesforecast[[#All],[Bucket2]:[WIP]],5,0)</f>
        <v>0</v>
      </c>
      <c r="V62" s="93">
        <f>VLOOKUP(Table11[[#This Row],[Bucket]],salesforecast[[#All],[Bucket2]:[WIP]],7,0)</f>
        <v>0</v>
      </c>
      <c r="W62" s="93">
        <f>Table11[[#This Row],[Stock LL]]+Table11[[#This Row],[WIP]]+Table11[[#This Row],[Stock CTL]]</f>
        <v>0</v>
      </c>
      <c r="X62" s="93">
        <f>IF((Table11[[#This Row],[Requirement]]-Table11[[#This Row],[Sales]]-Table11[[#This Row],[Total Stock]])&lt;0,0,Table11[[#This Row],[Requirement]]-Table11[[#This Row],[Sales]]-Table11[[#This Row],[Total Stock]])</f>
        <v>0.77151369999999997</v>
      </c>
      <c r="Y62" s="217" t="str">
        <f>ROUND(Table11[[#This Row],[Total Stock]]/Table11[[#This Row],[Requirement]]*100,0) &amp; "% coverage. Further rolling by week 2"</f>
        <v>0% coverage. Further rolling by week 2</v>
      </c>
      <c r="Z62" s="93">
        <v>33.299999999999997</v>
      </c>
      <c r="AA62" s="93">
        <v>33.299999999999997</v>
      </c>
      <c r="AB62" s="93">
        <v>29.3</v>
      </c>
      <c r="AC62" s="93">
        <v>2</v>
      </c>
      <c r="AD62" s="93" t="s">
        <v>357</v>
      </c>
      <c r="AE62" s="93" t="s">
        <v>357</v>
      </c>
      <c r="AF62" s="93" t="s">
        <v>1032</v>
      </c>
      <c r="AG62" s="93" t="b">
        <f>EXACT(Table11[[#This Row],[Bucket8]],Table11[[#This Row],[Bucket]])</f>
        <v>1</v>
      </c>
      <c r="AH62" s="93"/>
      <c r="AI62" s="93"/>
      <c r="AJ62" s="93"/>
      <c r="AK62" s="93"/>
      <c r="AL62" s="93"/>
      <c r="AM62" s="93"/>
      <c r="AN62" s="93"/>
      <c r="AO62" s="93"/>
      <c r="AP62" s="93"/>
      <c r="AQ62" s="93"/>
      <c r="AR62" s="93"/>
      <c r="AS62" s="93"/>
      <c r="AT62" s="93"/>
      <c r="AU62" s="93"/>
      <c r="AV62" s="93"/>
      <c r="AW62" s="93"/>
      <c r="AX62" s="93"/>
      <c r="AY62" s="93">
        <v>0.77151369999999997</v>
      </c>
      <c r="AZ62" s="93"/>
      <c r="BA62" s="93"/>
      <c r="BB62" s="93"/>
      <c r="BC62" s="93"/>
      <c r="BD62" s="93"/>
      <c r="BE62" s="467">
        <v>0.77151369999999997</v>
      </c>
    </row>
    <row r="63" spans="1:57" x14ac:dyDescent="0.25">
      <c r="A63" s="136"/>
      <c r="B63" s="136"/>
      <c r="D63" s="136"/>
      <c r="G63" s="43"/>
      <c r="H63" s="43"/>
      <c r="I63" s="43"/>
      <c r="J63" s="91">
        <v>34.93</v>
      </c>
      <c r="K63" s="15">
        <v>34.93</v>
      </c>
      <c r="L63" s="15">
        <v>0</v>
      </c>
      <c r="M63" s="15">
        <v>1.6</v>
      </c>
      <c r="N63" s="15" t="s">
        <v>962</v>
      </c>
      <c r="O63" s="15" t="s">
        <v>1003</v>
      </c>
      <c r="P63" s="15" t="s">
        <v>1034</v>
      </c>
      <c r="Q63" s="92" t="s">
        <v>1816</v>
      </c>
      <c r="R63" s="215">
        <f>Table11[[#This Row],[Grand Total]]</f>
        <v>9.9769292400000001E-2</v>
      </c>
      <c r="S63" s="93">
        <f>VLOOKUP(Table11[[#This Row],[Bucket]],salesforecast[[#All],[Bucket2]:[WIP]],3,0)</f>
        <v>0</v>
      </c>
      <c r="T63" s="93">
        <f>VLOOKUP(Table11[[#This Row],[Bucket]],salesforecast[[#All],[Bucket2]:[WIP]],4,0)</f>
        <v>0</v>
      </c>
      <c r="U63" s="93">
        <f>VLOOKUP(Table11[[#This Row],[Bucket]],salesforecast[[#All],[Bucket2]:[WIP]],5,0)</f>
        <v>0</v>
      </c>
      <c r="V63" s="93">
        <f>VLOOKUP(Table11[[#This Row],[Bucket]],salesforecast[[#All],[Bucket2]:[WIP]],7,0)</f>
        <v>0</v>
      </c>
      <c r="W63" s="93">
        <f>Table11[[#This Row],[Stock LL]]+Table11[[#This Row],[WIP]]+Table11[[#This Row],[Stock CTL]]</f>
        <v>0</v>
      </c>
      <c r="X63" s="93">
        <f>IF((Table11[[#This Row],[Requirement]]-Table11[[#This Row],[Sales]]-Table11[[#This Row],[Total Stock]])&lt;0,0,Table11[[#This Row],[Requirement]]-Table11[[#This Row],[Sales]]-Table11[[#This Row],[Total Stock]])</f>
        <v>9.9769292400000001E-2</v>
      </c>
      <c r="Y63" s="94"/>
      <c r="Z63" s="93">
        <v>34.93</v>
      </c>
      <c r="AA63" s="93">
        <v>34.93</v>
      </c>
      <c r="AB63" s="93">
        <v>0</v>
      </c>
      <c r="AC63" s="93">
        <v>1.2</v>
      </c>
      <c r="AD63" s="93" t="s">
        <v>962</v>
      </c>
      <c r="AE63" s="93" t="s">
        <v>1003</v>
      </c>
      <c r="AF63" s="93" t="s">
        <v>1034</v>
      </c>
      <c r="AG63" s="93" t="b">
        <f>EXACT(Table11[[#This Row],[Bucket8]],Table11[[#This Row],[Bucket]])</f>
        <v>1</v>
      </c>
      <c r="AH63" s="93"/>
      <c r="AI63" s="93"/>
      <c r="AJ63" s="93"/>
      <c r="AK63" s="93"/>
      <c r="AL63" s="93"/>
      <c r="AM63" s="93"/>
      <c r="AN63" s="93"/>
      <c r="AO63" s="93">
        <v>9.9769292400000001E-2</v>
      </c>
      <c r="AP63" s="93"/>
      <c r="AQ63" s="93"/>
      <c r="AR63" s="93"/>
      <c r="AS63" s="93"/>
      <c r="AT63" s="93"/>
      <c r="AU63" s="93"/>
      <c r="AV63" s="93"/>
      <c r="AW63" s="93"/>
      <c r="AX63" s="93"/>
      <c r="AY63" s="93"/>
      <c r="AZ63" s="93"/>
      <c r="BA63" s="93"/>
      <c r="BB63" s="93"/>
      <c r="BC63" s="93"/>
      <c r="BD63" s="93"/>
      <c r="BE63" s="467">
        <v>9.9769292400000001E-2</v>
      </c>
    </row>
    <row r="64" spans="1:57" x14ac:dyDescent="0.25">
      <c r="A64" s="136"/>
      <c r="B64" s="136"/>
      <c r="D64" s="136"/>
      <c r="G64" s="43"/>
      <c r="H64" s="43"/>
      <c r="I64" s="43"/>
      <c r="J64" s="91">
        <v>34.93</v>
      </c>
      <c r="K64" s="15">
        <v>34.93</v>
      </c>
      <c r="L64" s="15">
        <v>0</v>
      </c>
      <c r="M64" s="15">
        <v>1.6</v>
      </c>
      <c r="N64" s="15" t="s">
        <v>962</v>
      </c>
      <c r="O64" s="15" t="s">
        <v>1003</v>
      </c>
      <c r="P64" s="15" t="s">
        <v>565</v>
      </c>
      <c r="Q64" s="92" t="s">
        <v>1816</v>
      </c>
      <c r="R64" s="215">
        <f>Table11[[#This Row],[Grand Total]]</f>
        <v>5.1047903499119993</v>
      </c>
      <c r="S64" s="93">
        <f>VLOOKUP(Table11[[#This Row],[Bucket]],salesforecast[[#All],[Bucket2]:[WIP]],3,0)</f>
        <v>3.6108900000000004</v>
      </c>
      <c r="T64" s="93">
        <f>VLOOKUP(Table11[[#This Row],[Bucket]],salesforecast[[#All],[Bucket2]:[WIP]],4,0)</f>
        <v>2.050608</v>
      </c>
      <c r="U64" s="93">
        <f>VLOOKUP(Table11[[#This Row],[Bucket]],salesforecast[[#All],[Bucket2]:[WIP]],5,0)</f>
        <v>0</v>
      </c>
      <c r="V64" s="93">
        <f>VLOOKUP(Table11[[#This Row],[Bucket]],salesforecast[[#All],[Bucket2]:[WIP]],7,0)</f>
        <v>0</v>
      </c>
      <c r="W64" s="93">
        <f>Table11[[#This Row],[Stock LL]]+Table11[[#This Row],[WIP]]+Table11[[#This Row],[Stock CTL]]</f>
        <v>2.050608</v>
      </c>
      <c r="X64" s="93">
        <f>IF((Table11[[#This Row],[Requirement]]-Table11[[#This Row],[Sales]]-Table11[[#This Row],[Total Stock]])&lt;0,0,Table11[[#This Row],[Requirement]]-Table11[[#This Row],[Sales]]-Table11[[#This Row],[Total Stock]])</f>
        <v>0</v>
      </c>
      <c r="Y64" s="217" t="str">
        <f>ROUND(Table11[[#This Row],[Total Stock]]/Table11[[#This Row],[Requirement]]*100,0) &amp; "% coverage. Further rolling by week 2"</f>
        <v>40% coverage. Further rolling by week 2</v>
      </c>
      <c r="Z64" s="93">
        <v>34.93</v>
      </c>
      <c r="AA64" s="93">
        <v>34.93</v>
      </c>
      <c r="AB64" s="93">
        <v>0</v>
      </c>
      <c r="AC64" s="93">
        <v>1.6</v>
      </c>
      <c r="AD64" s="93" t="s">
        <v>962</v>
      </c>
      <c r="AE64" s="93" t="s">
        <v>1003</v>
      </c>
      <c r="AF64" s="93" t="s">
        <v>565</v>
      </c>
      <c r="AG64" s="93" t="b">
        <f>EXACT(Table11[[#This Row],[Bucket8]],Table11[[#This Row],[Bucket]])</f>
        <v>1</v>
      </c>
      <c r="AH64" s="93"/>
      <c r="AI64" s="93"/>
      <c r="AJ64" s="93">
        <v>5.1047903499119993</v>
      </c>
      <c r="AK64" s="93"/>
      <c r="AL64" s="93"/>
      <c r="AM64" s="93"/>
      <c r="AN64" s="93"/>
      <c r="AO64" s="93"/>
      <c r="AP64" s="93"/>
      <c r="AQ64" s="93"/>
      <c r="AR64" s="93"/>
      <c r="AS64" s="93"/>
      <c r="AT64" s="93"/>
      <c r="AU64" s="93"/>
      <c r="AV64" s="93"/>
      <c r="AW64" s="93"/>
      <c r="AX64" s="93"/>
      <c r="AY64" s="93"/>
      <c r="AZ64" s="93"/>
      <c r="BA64" s="93"/>
      <c r="BB64" s="93"/>
      <c r="BC64" s="93"/>
      <c r="BD64" s="93"/>
      <c r="BE64" s="467">
        <v>5.1047903499119993</v>
      </c>
    </row>
    <row r="65" spans="1:57" x14ac:dyDescent="0.25">
      <c r="A65" s="136"/>
      <c r="B65" s="136"/>
      <c r="D65" s="136"/>
      <c r="G65" s="43"/>
      <c r="H65" s="43"/>
      <c r="I65" s="43"/>
      <c r="J65" s="91">
        <v>34.93</v>
      </c>
      <c r="K65" s="15">
        <v>34.93</v>
      </c>
      <c r="L65" s="15">
        <v>0</v>
      </c>
      <c r="M65" s="15">
        <v>2.6</v>
      </c>
      <c r="N65" s="15" t="s">
        <v>962</v>
      </c>
      <c r="O65" s="15" t="s">
        <v>1003</v>
      </c>
      <c r="P65" s="15" t="s">
        <v>673</v>
      </c>
      <c r="Q65" s="92" t="s">
        <v>1816</v>
      </c>
      <c r="R65" s="215">
        <f>Table11[[#This Row],[Grand Total]]</f>
        <v>9.6277098146813991</v>
      </c>
      <c r="S65" s="93">
        <f>VLOOKUP(Table11[[#This Row],[Bucket]],salesforecast[[#All],[Bucket2]:[WIP]],3,0)</f>
        <v>10.323</v>
      </c>
      <c r="T65" s="93">
        <f>VLOOKUP(Table11[[#This Row],[Bucket]],salesforecast[[#All],[Bucket2]:[WIP]],4,0)</f>
        <v>6.072712000000001</v>
      </c>
      <c r="U65" s="93">
        <f>VLOOKUP(Table11[[#This Row],[Bucket]],salesforecast[[#All],[Bucket2]:[WIP]],5,0)</f>
        <v>0.75900000000000034</v>
      </c>
      <c r="V65" s="93">
        <f>VLOOKUP(Table11[[#This Row],[Bucket]],salesforecast[[#All],[Bucket2]:[WIP]],7,0)</f>
        <v>0</v>
      </c>
      <c r="W65" s="93">
        <f>Table11[[#This Row],[Stock LL]]+Table11[[#This Row],[WIP]]+Table11[[#This Row],[Stock CTL]]</f>
        <v>6.8317120000000013</v>
      </c>
      <c r="X65" s="93">
        <f>IF((Table11[[#This Row],[Requirement]]-Table11[[#This Row],[Sales]]-Table11[[#This Row],[Total Stock]])&lt;0,0,Table11[[#This Row],[Requirement]]-Table11[[#This Row],[Sales]]-Table11[[#This Row],[Total Stock]])</f>
        <v>0</v>
      </c>
      <c r="Y65" s="94" t="str">
        <f>_xlfn.CONCAT(ROUND((Table11[[#This Row],[Total Stock]]+Table11[[#This Row],[Sales]])/Table11[[#This Row],[Requirement]]*100,0),"% Coverage. Rest by Week 3")</f>
        <v>178% Coverage. Rest by Week 3</v>
      </c>
      <c r="Z65" s="93">
        <v>34.93</v>
      </c>
      <c r="AA65" s="93">
        <v>34.93</v>
      </c>
      <c r="AB65" s="93">
        <v>0</v>
      </c>
      <c r="AC65" s="93">
        <v>2.6</v>
      </c>
      <c r="AD65" s="93" t="s">
        <v>962</v>
      </c>
      <c r="AE65" s="93" t="s">
        <v>1003</v>
      </c>
      <c r="AF65" s="93" t="s">
        <v>673</v>
      </c>
      <c r="AG65" s="93" t="b">
        <f>EXACT(Table11[[#This Row],[Bucket8]],Table11[[#This Row],[Bucket]])</f>
        <v>1</v>
      </c>
      <c r="AH65" s="93"/>
      <c r="AI65" s="93"/>
      <c r="AJ65" s="93">
        <v>9.6277098146813991</v>
      </c>
      <c r="AK65" s="93"/>
      <c r="AL65" s="93"/>
      <c r="AM65" s="93"/>
      <c r="AN65" s="93"/>
      <c r="AO65" s="93"/>
      <c r="AP65" s="93"/>
      <c r="AQ65" s="93"/>
      <c r="AR65" s="93"/>
      <c r="AS65" s="93"/>
      <c r="AT65" s="93"/>
      <c r="AU65" s="93"/>
      <c r="AV65" s="93"/>
      <c r="AW65" s="93"/>
      <c r="AX65" s="93"/>
      <c r="AY65" s="93"/>
      <c r="AZ65" s="93"/>
      <c r="BA65" s="93"/>
      <c r="BB65" s="93"/>
      <c r="BC65" s="93"/>
      <c r="BD65" s="93"/>
      <c r="BE65" s="467">
        <v>9.6277098146813991</v>
      </c>
    </row>
    <row r="66" spans="1:57" x14ac:dyDescent="0.25">
      <c r="A66" s="137"/>
      <c r="B66" s="136"/>
      <c r="D66" s="136"/>
      <c r="G66" s="43"/>
      <c r="H66" s="43"/>
      <c r="I66" s="43"/>
      <c r="J66" s="91">
        <v>37.6</v>
      </c>
      <c r="K66" s="15">
        <v>37.6</v>
      </c>
      <c r="L66" s="15">
        <v>31.2</v>
      </c>
      <c r="M66" s="15">
        <v>3.2</v>
      </c>
      <c r="N66" s="15" t="s">
        <v>357</v>
      </c>
      <c r="O66" s="15" t="s">
        <v>357</v>
      </c>
      <c r="P66" s="15" t="s">
        <v>1041</v>
      </c>
      <c r="Q66" s="92" t="s">
        <v>1817</v>
      </c>
      <c r="R66" s="215">
        <f>Table11[[#This Row],[Grand Total]]</f>
        <v>3.6420100371199999</v>
      </c>
      <c r="S66" s="93">
        <f>VLOOKUP(Table11[[#This Row],[Bucket]],salesforecast[[#All],[Bucket2]:[WIP]],3,0)</f>
        <v>0</v>
      </c>
      <c r="T66" s="93">
        <f>VLOOKUP(Table11[[#This Row],[Bucket]],salesforecast[[#All],[Bucket2]:[WIP]],4,0)</f>
        <v>0</v>
      </c>
      <c r="U66" s="93">
        <f>VLOOKUP(Table11[[#This Row],[Bucket]],salesforecast[[#All],[Bucket2]:[WIP]],5,0)</f>
        <v>0</v>
      </c>
      <c r="V66" s="93">
        <f>VLOOKUP(Table11[[#This Row],[Bucket]],salesforecast[[#All],[Bucket2]:[WIP]],7,0)</f>
        <v>0</v>
      </c>
      <c r="W66" s="93">
        <f>Table11[[#This Row],[Stock LL]]+Table11[[#This Row],[WIP]]+Table11[[#This Row],[Stock CTL]]</f>
        <v>0</v>
      </c>
      <c r="X66" s="93">
        <f>IF((Table11[[#This Row],[Requirement]]-Table11[[#This Row],[Sales]]-Table11[[#This Row],[Total Stock]])&lt;0,0,Table11[[#This Row],[Requirement]]-Table11[[#This Row],[Sales]]-Table11[[#This Row],[Total Stock]])</f>
        <v>3.6420100371199999</v>
      </c>
      <c r="Y66" s="96"/>
      <c r="Z66" s="93">
        <v>37.6</v>
      </c>
      <c r="AA66" s="93">
        <v>37.6</v>
      </c>
      <c r="AB66" s="93">
        <v>31.2</v>
      </c>
      <c r="AC66" s="93">
        <v>3.2</v>
      </c>
      <c r="AD66" s="93" t="s">
        <v>357</v>
      </c>
      <c r="AE66" s="93" t="s">
        <v>357</v>
      </c>
      <c r="AF66" s="93" t="s">
        <v>1041</v>
      </c>
      <c r="AG66" s="93" t="b">
        <f>EXACT(Table11[[#This Row],[Bucket8]],Table11[[#This Row],[Bucket]])</f>
        <v>1</v>
      </c>
      <c r="AH66" s="93"/>
      <c r="AI66" s="93"/>
      <c r="AJ66" s="93">
        <v>3.6420100371199999</v>
      </c>
      <c r="AK66" s="93"/>
      <c r="AL66" s="93"/>
      <c r="AM66" s="93"/>
      <c r="AN66" s="93"/>
      <c r="AO66" s="93"/>
      <c r="AP66" s="93"/>
      <c r="AQ66" s="93"/>
      <c r="AR66" s="93"/>
      <c r="AS66" s="93"/>
      <c r="AT66" s="93"/>
      <c r="AU66" s="93"/>
      <c r="AV66" s="93"/>
      <c r="AW66" s="93"/>
      <c r="AX66" s="93"/>
      <c r="AY66" s="93"/>
      <c r="AZ66" s="93"/>
      <c r="BA66" s="93"/>
      <c r="BB66" s="93"/>
      <c r="BC66" s="93"/>
      <c r="BD66" s="93"/>
      <c r="BE66" s="467">
        <v>3.6420100371199999</v>
      </c>
    </row>
    <row r="67" spans="1:57" x14ac:dyDescent="0.25">
      <c r="H67" s="43"/>
      <c r="I67" s="43"/>
      <c r="J67" s="93">
        <v>37.950000000000003</v>
      </c>
      <c r="K67" s="93">
        <v>37.950000000000003</v>
      </c>
      <c r="L67" s="93">
        <v>32</v>
      </c>
      <c r="M67" s="93">
        <v>2.95</v>
      </c>
      <c r="N67" s="93" t="s">
        <v>357</v>
      </c>
      <c r="O67" s="93" t="s">
        <v>357</v>
      </c>
      <c r="P67" s="15" t="s">
        <v>1042</v>
      </c>
      <c r="Q67" s="92" t="s">
        <v>1817</v>
      </c>
      <c r="R67" s="215">
        <f>Table11[[#This Row],[Grand Total]]</f>
        <v>4.7846173899999993</v>
      </c>
      <c r="S67" s="93">
        <f>VLOOKUP(Table11[[#This Row],[Bucket]],salesforecast[[#All],[Bucket2]:[WIP]],3,0)</f>
        <v>0</v>
      </c>
      <c r="T67" s="93">
        <f>VLOOKUP(Table11[[#This Row],[Bucket]],salesforecast[[#All],[Bucket2]:[WIP]],4,0)</f>
        <v>0</v>
      </c>
      <c r="U67" s="93">
        <f>VLOOKUP(Table11[[#This Row],[Bucket]],salesforecast[[#All],[Bucket2]:[WIP]],5,0)</f>
        <v>27.475126000000003</v>
      </c>
      <c r="V67" s="93">
        <f>VLOOKUP(Table11[[#This Row],[Bucket]],salesforecast[[#All],[Bucket2]:[WIP]],7,0)</f>
        <v>0</v>
      </c>
      <c r="W67" s="93">
        <f>Table11[[#This Row],[Stock LL]]+Table11[[#This Row],[WIP]]+Table11[[#This Row],[Stock CTL]]</f>
        <v>27.475126000000003</v>
      </c>
      <c r="X67" s="93">
        <f>IF((Table11[[#This Row],[Requirement]]-Table11[[#This Row],[Sales]]-Table11[[#This Row],[Total Stock]])&lt;0,0,Table11[[#This Row],[Requirement]]-Table11[[#This Row],[Sales]]-Table11[[#This Row],[Total Stock]])</f>
        <v>0</v>
      </c>
      <c r="Y67" s="94" t="str">
        <f>_xlfn.CONCAT(ROUND(Table11[[#This Row],[Total Stock]]/Table11[[#This Row],[Requirement]]*100,0),"% Coverage. Rest by Week 3")</f>
        <v>574% Coverage. Rest by Week 3</v>
      </c>
      <c r="Z67" s="93">
        <v>37.950000000000003</v>
      </c>
      <c r="AA67" s="93">
        <v>37.950000000000003</v>
      </c>
      <c r="AB67" s="93">
        <v>32</v>
      </c>
      <c r="AC67" s="93">
        <v>2.95</v>
      </c>
      <c r="AD67" s="93" t="s">
        <v>357</v>
      </c>
      <c r="AE67" s="93" t="s">
        <v>357</v>
      </c>
      <c r="AF67" s="93" t="s">
        <v>1042</v>
      </c>
      <c r="AG67" s="93" t="b">
        <f>EXACT(Table11[[#This Row],[Bucket8]],Table11[[#This Row],[Bucket]])</f>
        <v>1</v>
      </c>
      <c r="AH67" s="93"/>
      <c r="AI67" s="93"/>
      <c r="AJ67" s="93"/>
      <c r="AK67" s="93"/>
      <c r="AL67" s="93"/>
      <c r="AM67" s="93"/>
      <c r="AN67" s="93"/>
      <c r="AO67" s="93">
        <v>4.7846173899999993</v>
      </c>
      <c r="AP67" s="93"/>
      <c r="AQ67" s="93"/>
      <c r="AR67" s="93"/>
      <c r="AS67" s="93"/>
      <c r="AT67" s="93"/>
      <c r="AU67" s="93"/>
      <c r="AV67" s="93"/>
      <c r="AW67" s="93"/>
      <c r="AX67" s="93"/>
      <c r="AY67" s="93"/>
      <c r="AZ67" s="93"/>
      <c r="BA67" s="93"/>
      <c r="BB67" s="93"/>
      <c r="BC67" s="93"/>
      <c r="BD67" s="93"/>
      <c r="BE67" s="467">
        <v>4.7846173899999993</v>
      </c>
    </row>
    <row r="68" spans="1:57" x14ac:dyDescent="0.25">
      <c r="H68" s="43"/>
      <c r="I68" s="43"/>
      <c r="J68" s="91">
        <v>38.1</v>
      </c>
      <c r="K68" s="15">
        <v>30</v>
      </c>
      <c r="L68" s="15">
        <v>30</v>
      </c>
      <c r="M68" s="15">
        <v>1.2</v>
      </c>
      <c r="N68" s="15" t="s">
        <v>229</v>
      </c>
      <c r="O68" s="15" t="s">
        <v>963</v>
      </c>
      <c r="P68" s="15" t="s">
        <v>549</v>
      </c>
      <c r="Q68" s="92" t="s">
        <v>1816</v>
      </c>
      <c r="R68" s="215">
        <f>Table11[[#This Row],[Grand Total]]</f>
        <v>5.4354594455999994</v>
      </c>
      <c r="S68" s="93">
        <f>VLOOKUP(Table11[[#This Row],[Bucket]],salesforecast[[#All],[Bucket2]:[WIP]],3,0)</f>
        <v>3.970114999999999</v>
      </c>
      <c r="T68" s="93">
        <f>VLOOKUP(Table11[[#This Row],[Bucket]],salesforecast[[#All],[Bucket2]:[WIP]],4,0)</f>
        <v>1.003563</v>
      </c>
      <c r="U68" s="93">
        <f>VLOOKUP(Table11[[#This Row],[Bucket]],salesforecast[[#All],[Bucket2]:[WIP]],5,0)</f>
        <v>0</v>
      </c>
      <c r="V68" s="93">
        <f>VLOOKUP(Table11[[#This Row],[Bucket]],salesforecast[[#All],[Bucket2]:[WIP]],7,0)</f>
        <v>22.942</v>
      </c>
      <c r="W68" s="93">
        <f>Table11[[#This Row],[Stock LL]]+Table11[[#This Row],[WIP]]+Table11[[#This Row],[Stock CTL]]</f>
        <v>23.945563</v>
      </c>
      <c r="X68" s="93">
        <f>IF((Table11[[#This Row],[Requirement]]-Table11[[#This Row],[Sales]]-Table11[[#This Row],[Total Stock]])&lt;0,0,Table11[[#This Row],[Requirement]]-Table11[[#This Row],[Sales]]-Table11[[#This Row],[Total Stock]])</f>
        <v>0</v>
      </c>
      <c r="Y68" s="94" t="str">
        <f>_xlfn.CONCAT(ROUND(Table11[[#This Row],[Total Stock]]/Table11[[#This Row],[Requirement]]*100,0),"% Coverage. Rest by Week 3")</f>
        <v>441% Coverage. Rest by Week 3</v>
      </c>
      <c r="Z68" s="93">
        <v>38.1</v>
      </c>
      <c r="AA68" s="93">
        <v>30</v>
      </c>
      <c r="AB68" s="93">
        <v>30</v>
      </c>
      <c r="AC68" s="93">
        <v>1.2</v>
      </c>
      <c r="AD68" s="93" t="s">
        <v>229</v>
      </c>
      <c r="AE68" s="93" t="s">
        <v>963</v>
      </c>
      <c r="AF68" s="93" t="s">
        <v>549</v>
      </c>
      <c r="AG68" s="93" t="b">
        <f>EXACT(Table11[[#This Row],[Bucket8]],Table11[[#This Row],[Bucket]])</f>
        <v>1</v>
      </c>
      <c r="AH68" s="93"/>
      <c r="AI68" s="93"/>
      <c r="AJ68" s="93"/>
      <c r="AK68" s="93"/>
      <c r="AL68" s="93">
        <v>2.1610862855999997</v>
      </c>
      <c r="AM68" s="93"/>
      <c r="AN68" s="93"/>
      <c r="AO68" s="93"/>
      <c r="AP68" s="93"/>
      <c r="AQ68" s="93"/>
      <c r="AR68" s="93"/>
      <c r="AS68" s="93"/>
      <c r="AT68" s="93"/>
      <c r="AU68" s="93"/>
      <c r="AV68" s="93"/>
      <c r="AW68" s="93"/>
      <c r="AX68" s="93"/>
      <c r="AY68" s="93"/>
      <c r="AZ68" s="93"/>
      <c r="BA68" s="93"/>
      <c r="BB68" s="93">
        <v>0.15280408079999996</v>
      </c>
      <c r="BC68" s="93">
        <v>3.1215690791999999</v>
      </c>
      <c r="BD68" s="93"/>
      <c r="BE68" s="467">
        <v>5.4354594455999994</v>
      </c>
    </row>
    <row r="69" spans="1:57" x14ac:dyDescent="0.25">
      <c r="A69" s="136"/>
      <c r="B69" s="136"/>
      <c r="D69" s="136"/>
      <c r="G69" s="43"/>
      <c r="H69" s="43"/>
      <c r="I69" s="43"/>
      <c r="J69" s="91">
        <v>38.1</v>
      </c>
      <c r="K69" s="15">
        <v>38.1</v>
      </c>
      <c r="L69" s="15">
        <v>0</v>
      </c>
      <c r="M69" s="15">
        <v>1.6</v>
      </c>
      <c r="N69" s="15" t="s">
        <v>962</v>
      </c>
      <c r="O69" s="15" t="s">
        <v>1003</v>
      </c>
      <c r="P69" s="15" t="s">
        <v>1043</v>
      </c>
      <c r="Q69" s="92" t="s">
        <v>1816</v>
      </c>
      <c r="R69" s="215">
        <f>Table11[[#This Row],[Grand Total]]</f>
        <v>7.7545951191999993</v>
      </c>
      <c r="S69" s="93">
        <f>VLOOKUP(Table11[[#This Row],[Bucket]],salesforecast[[#All],[Bucket2]:[WIP]],3,0)</f>
        <v>0</v>
      </c>
      <c r="T69" s="93">
        <f>VLOOKUP(Table11[[#This Row],[Bucket]],salesforecast[[#All],[Bucket2]:[WIP]],4,0)</f>
        <v>4.6360320000000002</v>
      </c>
      <c r="U69" s="93">
        <f>VLOOKUP(Table11[[#This Row],[Bucket]],salesforecast[[#All],[Bucket2]:[WIP]],5,0)</f>
        <v>8.149357000000002</v>
      </c>
      <c r="V69" s="93">
        <f>VLOOKUP(Table11[[#This Row],[Bucket]],salesforecast[[#All],[Bucket2]:[WIP]],7,0)</f>
        <v>0</v>
      </c>
      <c r="W69" s="93">
        <f>Table11[[#This Row],[Stock LL]]+Table11[[#This Row],[WIP]]+Table11[[#This Row],[Stock CTL]]</f>
        <v>12.785389000000002</v>
      </c>
      <c r="X69" s="93">
        <f>IF((Table11[[#This Row],[Requirement]]-Table11[[#This Row],[Sales]]-Table11[[#This Row],[Total Stock]])&lt;0,0,Table11[[#This Row],[Requirement]]-Table11[[#This Row],[Sales]]-Table11[[#This Row],[Total Stock]])</f>
        <v>0</v>
      </c>
      <c r="Y69" s="94" t="str">
        <f>_xlfn.CONCAT(ROUND(Table11[[#This Row],[Total Stock]]/Table11[[#This Row],[Requirement]]*100,0),"% Coverage. Rest by Week 3")</f>
        <v>165% Coverage. Rest by Week 3</v>
      </c>
      <c r="Z69" s="93">
        <v>38.1</v>
      </c>
      <c r="AA69" s="93">
        <v>38.1</v>
      </c>
      <c r="AB69" s="93">
        <v>0</v>
      </c>
      <c r="AC69" s="93">
        <v>1.6</v>
      </c>
      <c r="AD69" s="93" t="s">
        <v>962</v>
      </c>
      <c r="AE69" s="93" t="s">
        <v>1003</v>
      </c>
      <c r="AF69" s="93" t="s">
        <v>1043</v>
      </c>
      <c r="AG69" s="93" t="b">
        <f>EXACT(Table11[[#This Row],[Bucket8]],Table11[[#This Row],[Bucket]])</f>
        <v>1</v>
      </c>
      <c r="AH69" s="93"/>
      <c r="AI69" s="93"/>
      <c r="AJ69" s="93"/>
      <c r="AK69" s="93"/>
      <c r="AL69" s="93"/>
      <c r="AM69" s="93">
        <v>3.5454924407999999</v>
      </c>
      <c r="AN69" s="93"/>
      <c r="AO69" s="93">
        <v>2.3377505984</v>
      </c>
      <c r="AP69" s="93">
        <v>1.8713520799999999</v>
      </c>
      <c r="AQ69" s="93"/>
      <c r="AR69" s="93"/>
      <c r="AS69" s="93"/>
      <c r="AT69" s="93"/>
      <c r="AU69" s="93"/>
      <c r="AV69" s="93"/>
      <c r="AW69" s="93"/>
      <c r="AX69" s="93"/>
      <c r="AY69" s="93"/>
      <c r="AZ69" s="93"/>
      <c r="BA69" s="93"/>
      <c r="BB69" s="93"/>
      <c r="BC69" s="93"/>
      <c r="BD69" s="93"/>
      <c r="BE69" s="467">
        <v>7.7545951191999993</v>
      </c>
    </row>
    <row r="70" spans="1:57" x14ac:dyDescent="0.25">
      <c r="A70" s="137"/>
      <c r="B70" s="136"/>
      <c r="D70" s="136"/>
      <c r="G70" s="43"/>
      <c r="H70" s="43"/>
      <c r="I70" s="43"/>
      <c r="J70" s="91">
        <v>38.1</v>
      </c>
      <c r="K70" s="15">
        <v>38.1</v>
      </c>
      <c r="L70" s="15">
        <v>0</v>
      </c>
      <c r="M70" s="15">
        <v>1.6</v>
      </c>
      <c r="N70" s="15" t="s">
        <v>985</v>
      </c>
      <c r="O70" s="15" t="s">
        <v>1003</v>
      </c>
      <c r="P70" s="15" t="s">
        <v>1045</v>
      </c>
      <c r="Q70" s="92" t="s">
        <v>1816</v>
      </c>
      <c r="R70" s="215">
        <f>Table11[[#This Row],[Grand Total]]</f>
        <v>5.0555296191999997</v>
      </c>
      <c r="S70" s="93">
        <f>VLOOKUP(Table11[[#This Row],[Bucket]],salesforecast[[#All],[Bucket2]:[WIP]],3,0)</f>
        <v>0</v>
      </c>
      <c r="T70" s="93">
        <f>VLOOKUP(Table11[[#This Row],[Bucket]],salesforecast[[#All],[Bucket2]:[WIP]],4,0)</f>
        <v>0</v>
      </c>
      <c r="U70" s="93">
        <f>VLOOKUP(Table11[[#This Row],[Bucket]],salesforecast[[#All],[Bucket2]:[WIP]],5,0)</f>
        <v>0.37121100000000001</v>
      </c>
      <c r="V70" s="93">
        <f>VLOOKUP(Table11[[#This Row],[Bucket]],salesforecast[[#All],[Bucket2]:[WIP]],7,0)</f>
        <v>3.1419999999999999</v>
      </c>
      <c r="W70" s="93">
        <f>Table11[[#This Row],[Stock LL]]+Table11[[#This Row],[WIP]]+Table11[[#This Row],[Stock CTL]]</f>
        <v>3.5132110000000001</v>
      </c>
      <c r="X70" s="93">
        <f>IF((Table11[[#This Row],[Requirement]]-Table11[[#This Row],[Sales]]-Table11[[#This Row],[Total Stock]])&lt;0,0,Table11[[#This Row],[Requirement]]-Table11[[#This Row],[Sales]]-Table11[[#This Row],[Total Stock]])</f>
        <v>1.5423186191999996</v>
      </c>
      <c r="Y70" s="94" t="s">
        <v>1818</v>
      </c>
      <c r="Z70" s="93">
        <v>38.1</v>
      </c>
      <c r="AA70" s="93">
        <v>38.1</v>
      </c>
      <c r="AB70" s="93">
        <v>0</v>
      </c>
      <c r="AC70" s="93">
        <v>1.6</v>
      </c>
      <c r="AD70" s="93" t="s">
        <v>985</v>
      </c>
      <c r="AE70" s="93" t="s">
        <v>1003</v>
      </c>
      <c r="AF70" s="93" t="s">
        <v>1045</v>
      </c>
      <c r="AG70" s="93" t="b">
        <f>EXACT(Table11[[#This Row],[Bucket8]],Table11[[#This Row],[Bucket]])</f>
        <v>1</v>
      </c>
      <c r="AH70" s="93"/>
      <c r="AI70" s="93"/>
      <c r="AJ70" s="93"/>
      <c r="AK70" s="93"/>
      <c r="AL70" s="93"/>
      <c r="AM70" s="93">
        <v>5.0555296191999997</v>
      </c>
      <c r="AN70" s="93"/>
      <c r="AO70" s="93"/>
      <c r="AP70" s="93"/>
      <c r="AQ70" s="93"/>
      <c r="AR70" s="93"/>
      <c r="AS70" s="93"/>
      <c r="AT70" s="93"/>
      <c r="AU70" s="93"/>
      <c r="AV70" s="93"/>
      <c r="AW70" s="93"/>
      <c r="AX70" s="93"/>
      <c r="AY70" s="93"/>
      <c r="AZ70" s="93"/>
      <c r="BA70" s="93"/>
      <c r="BB70" s="93"/>
      <c r="BC70" s="93"/>
      <c r="BD70" s="93"/>
      <c r="BE70" s="467">
        <v>5.0555296191999997</v>
      </c>
    </row>
    <row r="71" spans="1:57" x14ac:dyDescent="0.25">
      <c r="A71" s="137"/>
      <c r="B71" s="136"/>
      <c r="D71" s="136"/>
      <c r="G71" s="43"/>
      <c r="H71" s="43"/>
      <c r="I71" s="43"/>
      <c r="J71" s="91">
        <v>38.1</v>
      </c>
      <c r="K71" s="15">
        <v>38.1</v>
      </c>
      <c r="L71" s="15">
        <v>0</v>
      </c>
      <c r="M71" s="15">
        <v>2</v>
      </c>
      <c r="N71" s="15" t="s">
        <v>962</v>
      </c>
      <c r="O71" s="15" t="s">
        <v>1003</v>
      </c>
      <c r="P71" s="15" t="s">
        <v>860</v>
      </c>
      <c r="Q71" s="92" t="s">
        <v>1816</v>
      </c>
      <c r="R71" s="215">
        <f>Table11[[#This Row],[Grand Total]]</f>
        <v>66.080473771800001</v>
      </c>
      <c r="S71" s="93">
        <f>VLOOKUP(Table11[[#This Row],[Bucket]],salesforecast[[#All],[Bucket2]:[WIP]],3,0)</f>
        <v>68.227589000000009</v>
      </c>
      <c r="T71" s="93">
        <f>VLOOKUP(Table11[[#This Row],[Bucket]],salesforecast[[#All],[Bucket2]:[WIP]],4,0)</f>
        <v>14.774404000000001</v>
      </c>
      <c r="U71" s="93">
        <f>VLOOKUP(Table11[[#This Row],[Bucket]],salesforecast[[#All],[Bucket2]:[WIP]],5,0)</f>
        <v>85.281796000000014</v>
      </c>
      <c r="V71" s="93">
        <f>VLOOKUP(Table11[[#This Row],[Bucket]],salesforecast[[#All],[Bucket2]:[WIP]],7,0)</f>
        <v>1.9950000000000001</v>
      </c>
      <c r="W71" s="93">
        <f>Table11[[#This Row],[Stock LL]]+Table11[[#This Row],[WIP]]+Table11[[#This Row],[Stock CTL]]</f>
        <v>102.05120000000002</v>
      </c>
      <c r="X71" s="93">
        <f>IF((Table11[[#This Row],[Requirement]]-Table11[[#This Row],[Sales]]-Table11[[#This Row],[Total Stock]])&lt;0,0,Table11[[#This Row],[Requirement]]-Table11[[#This Row],[Sales]]-Table11[[#This Row],[Total Stock]])</f>
        <v>0</v>
      </c>
      <c r="Y71" s="94" t="s">
        <v>1822</v>
      </c>
      <c r="Z71" s="93">
        <v>38.1</v>
      </c>
      <c r="AA71" s="93">
        <v>38.1</v>
      </c>
      <c r="AB71" s="93">
        <v>0</v>
      </c>
      <c r="AC71" s="93">
        <v>2</v>
      </c>
      <c r="AD71" s="93" t="s">
        <v>962</v>
      </c>
      <c r="AE71" s="93" t="s">
        <v>1003</v>
      </c>
      <c r="AF71" s="93" t="s">
        <v>860</v>
      </c>
      <c r="AG71" s="93" t="b">
        <f>EXACT(Table11[[#This Row],[Bucket8]],Table11[[#This Row],[Bucket]])</f>
        <v>1</v>
      </c>
      <c r="AH71" s="93"/>
      <c r="AI71" s="93"/>
      <c r="AJ71" s="93"/>
      <c r="AK71" s="93"/>
      <c r="AL71" s="93"/>
      <c r="AM71" s="93"/>
      <c r="AN71" s="93"/>
      <c r="AO71" s="93">
        <v>11.895232735200002</v>
      </c>
      <c r="AP71" s="93">
        <v>29.688251419600004</v>
      </c>
      <c r="AQ71" s="93"/>
      <c r="AR71" s="93"/>
      <c r="AS71" s="93"/>
      <c r="AT71" s="93"/>
      <c r="AU71" s="93"/>
      <c r="AV71" s="93"/>
      <c r="AW71" s="93"/>
      <c r="AX71" s="93">
        <v>6.202107433000001</v>
      </c>
      <c r="AY71" s="93">
        <v>18.294882184000002</v>
      </c>
      <c r="AZ71" s="93"/>
      <c r="BA71" s="93"/>
      <c r="BB71" s="93"/>
      <c r="BC71" s="93"/>
      <c r="BD71" s="93"/>
      <c r="BE71" s="467">
        <v>66.080473771800001</v>
      </c>
    </row>
    <row r="72" spans="1:57" x14ac:dyDescent="0.25">
      <c r="A72" s="137"/>
      <c r="B72" s="136"/>
      <c r="D72" s="136"/>
      <c r="G72" s="43"/>
      <c r="H72" s="43"/>
      <c r="I72" s="43"/>
      <c r="J72" s="91">
        <v>38.1</v>
      </c>
      <c r="K72" s="15">
        <v>38.1</v>
      </c>
      <c r="L72" s="15">
        <v>0</v>
      </c>
      <c r="M72" s="15">
        <v>2.5</v>
      </c>
      <c r="N72" s="15" t="s">
        <v>985</v>
      </c>
      <c r="O72" s="15" t="s">
        <v>1003</v>
      </c>
      <c r="P72" s="15" t="s">
        <v>1048</v>
      </c>
      <c r="Q72" s="92" t="s">
        <v>1816</v>
      </c>
      <c r="R72" s="215">
        <f>Table11[[#This Row],[Grand Total]]</f>
        <v>7.7044886320000012</v>
      </c>
      <c r="S72" s="93">
        <f>VLOOKUP(Table11[[#This Row],[Bucket]],salesforecast[[#All],[Bucket2]:[WIP]],3,0)</f>
        <v>0</v>
      </c>
      <c r="T72" s="93">
        <f>VLOOKUP(Table11[[#This Row],[Bucket]],salesforecast[[#All],[Bucket2]:[WIP]],4,0)</f>
        <v>0</v>
      </c>
      <c r="U72" s="93">
        <f>VLOOKUP(Table11[[#This Row],[Bucket]],salesforecast[[#All],[Bucket2]:[WIP]],5,0)</f>
        <v>0.57999999999999996</v>
      </c>
      <c r="V72" s="93">
        <f>VLOOKUP(Table11[[#This Row],[Bucket]],salesforecast[[#All],[Bucket2]:[WIP]],7,0)</f>
        <v>0</v>
      </c>
      <c r="W72" s="93">
        <f>Table11[[#This Row],[Stock LL]]+Table11[[#This Row],[WIP]]+Table11[[#This Row],[Stock CTL]]</f>
        <v>0.57999999999999996</v>
      </c>
      <c r="X72" s="93">
        <f>IF((Table11[[#This Row],[Requirement]]-Table11[[#This Row],[Sales]]-Table11[[#This Row],[Total Stock]])&lt;0,0,Table11[[#This Row],[Requirement]]-Table11[[#This Row],[Sales]]-Table11[[#This Row],[Total Stock]])</f>
        <v>7.1244886320000012</v>
      </c>
      <c r="Y72" s="94" t="str">
        <f>_xlfn.CONCAT(ROUND(Table11[[#This Row],[Total Stock]]/Table11[[#This Row],[Requirement]]*100,0),"% Coverage. Rest by Week 3")</f>
        <v>8% Coverage. Rest by Week 3</v>
      </c>
      <c r="Z72" s="93">
        <v>38.1</v>
      </c>
      <c r="AA72" s="93">
        <v>38.1</v>
      </c>
      <c r="AB72" s="93">
        <v>0</v>
      </c>
      <c r="AC72" s="93">
        <v>2.5</v>
      </c>
      <c r="AD72" s="93" t="s">
        <v>985</v>
      </c>
      <c r="AE72" s="93" t="s">
        <v>1003</v>
      </c>
      <c r="AF72" s="93" t="s">
        <v>1048</v>
      </c>
      <c r="AG72" s="93" t="b">
        <f>EXACT(Table11[[#This Row],[Bucket8]],Table11[[#This Row],[Bucket]])</f>
        <v>1</v>
      </c>
      <c r="AH72" s="93"/>
      <c r="AI72" s="93"/>
      <c r="AJ72" s="93"/>
      <c r="AK72" s="93"/>
      <c r="AL72" s="93"/>
      <c r="AM72" s="93">
        <v>7.7044886320000012</v>
      </c>
      <c r="AN72" s="93"/>
      <c r="AO72" s="93"/>
      <c r="AP72" s="93"/>
      <c r="AQ72" s="93"/>
      <c r="AR72" s="93"/>
      <c r="AS72" s="93"/>
      <c r="AT72" s="93"/>
      <c r="AU72" s="93"/>
      <c r="AV72" s="93"/>
      <c r="AW72" s="93"/>
      <c r="AX72" s="93"/>
      <c r="AY72" s="93"/>
      <c r="AZ72" s="93"/>
      <c r="BA72" s="93"/>
      <c r="BB72" s="93"/>
      <c r="BC72" s="93"/>
      <c r="BD72" s="93"/>
      <c r="BE72" s="467">
        <v>7.7044886320000012</v>
      </c>
    </row>
    <row r="73" spans="1:57" x14ac:dyDescent="0.25">
      <c r="A73" s="136"/>
      <c r="B73" s="136"/>
      <c r="D73" s="136"/>
      <c r="G73" s="43"/>
      <c r="H73" s="43"/>
      <c r="I73" s="43"/>
      <c r="J73" s="91">
        <v>38.1</v>
      </c>
      <c r="K73" s="15">
        <v>38.1</v>
      </c>
      <c r="L73" s="15">
        <v>0</v>
      </c>
      <c r="M73" s="15">
        <v>3.66</v>
      </c>
      <c r="N73" s="15" t="s">
        <v>962</v>
      </c>
      <c r="O73" s="15" t="s">
        <v>1003</v>
      </c>
      <c r="P73" s="15" t="s">
        <v>1049</v>
      </c>
      <c r="Q73" s="92" t="s">
        <v>1816</v>
      </c>
      <c r="R73" s="215">
        <f>Table11[[#This Row],[Grand Total]]</f>
        <v>8.7431438952143985</v>
      </c>
      <c r="S73" s="93">
        <f>VLOOKUP(Table11[[#This Row],[Bucket]],salesforecast[[#All],[Bucket2]:[WIP]],3,0)</f>
        <v>0</v>
      </c>
      <c r="T73" s="93">
        <f>VLOOKUP(Table11[[#This Row],[Bucket]],salesforecast[[#All],[Bucket2]:[WIP]],4,0)</f>
        <v>0</v>
      </c>
      <c r="U73" s="93">
        <f>VLOOKUP(Table11[[#This Row],[Bucket]],salesforecast[[#All],[Bucket2]:[WIP]],5,0)</f>
        <v>0</v>
      </c>
      <c r="V73" s="93">
        <f>VLOOKUP(Table11[[#This Row],[Bucket]],salesforecast[[#All],[Bucket2]:[WIP]],7,0)</f>
        <v>0</v>
      </c>
      <c r="W73" s="93">
        <f>Table11[[#This Row],[Stock LL]]+Table11[[#This Row],[WIP]]+Table11[[#This Row],[Stock CTL]]</f>
        <v>0</v>
      </c>
      <c r="X73" s="93">
        <f>IF((Table11[[#This Row],[Requirement]]-Table11[[#This Row],[Sales]]-Table11[[#This Row],[Total Stock]])&lt;0,0,Table11[[#This Row],[Requirement]]-Table11[[#This Row],[Sales]]-Table11[[#This Row],[Total Stock]])</f>
        <v>8.7431438952143985</v>
      </c>
      <c r="Y73" s="94" t="str">
        <f>_xlfn.CONCAT(ROUND(Table11[[#This Row],[Total Stock]]/Table11[[#This Row],[Requirement]]*100,0),"% Coverage. Rest by Week 3")</f>
        <v>0% Coverage. Rest by Week 3</v>
      </c>
      <c r="Z73" s="93">
        <v>38.1</v>
      </c>
      <c r="AA73" s="93">
        <v>38.1</v>
      </c>
      <c r="AB73" s="93">
        <v>0</v>
      </c>
      <c r="AC73" s="93">
        <v>3.66</v>
      </c>
      <c r="AD73" s="93" t="s">
        <v>962</v>
      </c>
      <c r="AE73" s="93" t="s">
        <v>1003</v>
      </c>
      <c r="AF73" s="93" t="s">
        <v>1049</v>
      </c>
      <c r="AG73" s="93" t="b">
        <f>EXACT(Table11[[#This Row],[Bucket8]],Table11[[#This Row],[Bucket]])</f>
        <v>1</v>
      </c>
      <c r="AH73" s="93"/>
      <c r="AI73" s="93"/>
      <c r="AJ73" s="93"/>
      <c r="AK73" s="93"/>
      <c r="AL73" s="93">
        <v>8.7431438952143985</v>
      </c>
      <c r="AM73" s="93"/>
      <c r="AN73" s="93"/>
      <c r="AO73" s="93"/>
      <c r="AP73" s="93"/>
      <c r="AQ73" s="93"/>
      <c r="AR73" s="93"/>
      <c r="AS73" s="93"/>
      <c r="AT73" s="93"/>
      <c r="AU73" s="93"/>
      <c r="AV73" s="93"/>
      <c r="AW73" s="93"/>
      <c r="AX73" s="93"/>
      <c r="AY73" s="93"/>
      <c r="AZ73" s="93"/>
      <c r="BA73" s="93"/>
      <c r="BB73" s="93"/>
      <c r="BC73" s="93"/>
      <c r="BD73" s="93"/>
      <c r="BE73" s="467">
        <v>8.7431438952143985</v>
      </c>
    </row>
    <row r="74" spans="1:57" x14ac:dyDescent="0.25">
      <c r="A74" s="136"/>
      <c r="B74" s="136"/>
      <c r="D74" s="136"/>
      <c r="G74" s="43"/>
      <c r="H74" s="43"/>
      <c r="I74" s="43"/>
      <c r="J74" s="91">
        <v>38.1</v>
      </c>
      <c r="K74" s="15">
        <v>40</v>
      </c>
      <c r="L74" s="15">
        <v>20</v>
      </c>
      <c r="M74" s="15">
        <v>1.2</v>
      </c>
      <c r="N74" s="15" t="s">
        <v>229</v>
      </c>
      <c r="O74" s="15" t="s">
        <v>963</v>
      </c>
      <c r="P74" s="15" t="s">
        <v>456</v>
      </c>
      <c r="Q74" s="92" t="s">
        <v>1816</v>
      </c>
      <c r="R74" s="215">
        <f>Table11[[#This Row],[Grand Total]]</f>
        <v>279.15777521351998</v>
      </c>
      <c r="S74" s="93">
        <f>VLOOKUP(Table11[[#This Row],[Bucket]],salesforecast[[#All],[Bucket2]:[WIP]],3,0)</f>
        <v>140.4007079999999</v>
      </c>
      <c r="T74" s="93">
        <f>VLOOKUP(Table11[[#This Row],[Bucket]],salesforecast[[#All],[Bucket2]:[WIP]],4,0)</f>
        <v>17.362977999999995</v>
      </c>
      <c r="U74" s="93">
        <f>VLOOKUP(Table11[[#This Row],[Bucket]],salesforecast[[#All],[Bucket2]:[WIP]],5,0)</f>
        <v>31.079671000000008</v>
      </c>
      <c r="V74" s="93">
        <f>VLOOKUP(Table11[[#This Row],[Bucket]],salesforecast[[#All],[Bucket2]:[WIP]],7,0)</f>
        <v>129.15199999999999</v>
      </c>
      <c r="W74" s="93">
        <f>Table11[[#This Row],[Stock LL]]+Table11[[#This Row],[WIP]]+Table11[[#This Row],[Stock CTL]]</f>
        <v>177.594649</v>
      </c>
      <c r="X74" s="93">
        <f>IF((Table11[[#This Row],[Requirement]]-Table11[[#This Row],[Sales]]-Table11[[#This Row],[Total Stock]])&lt;0,0,Table11[[#This Row],[Requirement]]-Table11[[#This Row],[Sales]]-Table11[[#This Row],[Total Stock]])</f>
        <v>0</v>
      </c>
      <c r="Y74" s="96"/>
      <c r="Z74" s="93">
        <v>38.1</v>
      </c>
      <c r="AA74" s="93">
        <v>40</v>
      </c>
      <c r="AB74" s="93">
        <v>20</v>
      </c>
      <c r="AC74" s="93">
        <v>1.2</v>
      </c>
      <c r="AD74" s="93" t="s">
        <v>229</v>
      </c>
      <c r="AE74" s="93" t="s">
        <v>963</v>
      </c>
      <c r="AF74" s="93" t="s">
        <v>456</v>
      </c>
      <c r="AG74" s="93" t="b">
        <f>EXACT(Table11[[#This Row],[Bucket8]],Table11[[#This Row],[Bucket]])</f>
        <v>1</v>
      </c>
      <c r="AH74" s="93"/>
      <c r="AI74" s="93"/>
      <c r="AJ74" s="93"/>
      <c r="AK74" s="93"/>
      <c r="AL74" s="93">
        <v>95.844176766359979</v>
      </c>
      <c r="AM74" s="93"/>
      <c r="AN74" s="93"/>
      <c r="AO74" s="93"/>
      <c r="AP74" s="93"/>
      <c r="AQ74" s="93"/>
      <c r="AR74" s="93"/>
      <c r="AS74" s="93"/>
      <c r="AT74" s="93"/>
      <c r="AU74" s="93"/>
      <c r="AV74" s="93"/>
      <c r="AW74" s="93"/>
      <c r="AX74" s="93"/>
      <c r="AY74" s="93"/>
      <c r="AZ74" s="93"/>
      <c r="BA74" s="93"/>
      <c r="BB74" s="93">
        <v>73.235721554280005</v>
      </c>
      <c r="BC74" s="93">
        <v>110.07787689288001</v>
      </c>
      <c r="BD74" s="93"/>
      <c r="BE74" s="467">
        <v>279.15777521351998</v>
      </c>
    </row>
    <row r="75" spans="1:57" x14ac:dyDescent="0.25">
      <c r="A75" s="136"/>
      <c r="B75" s="136"/>
      <c r="D75" s="136"/>
      <c r="G75" s="43"/>
      <c r="H75" s="43"/>
      <c r="I75" s="43"/>
      <c r="J75" s="91">
        <v>38.1</v>
      </c>
      <c r="K75" s="15">
        <v>40</v>
      </c>
      <c r="L75" s="15">
        <v>20</v>
      </c>
      <c r="M75" s="15">
        <v>1.6</v>
      </c>
      <c r="N75" s="15" t="s">
        <v>962</v>
      </c>
      <c r="O75" s="15" t="s">
        <v>1003</v>
      </c>
      <c r="P75" s="15" t="s">
        <v>661</v>
      </c>
      <c r="Q75" s="92" t="s">
        <v>1816</v>
      </c>
      <c r="R75" s="215">
        <f>Table11[[#This Row],[Grand Total]]</f>
        <v>10.364411519999999</v>
      </c>
      <c r="S75" s="93">
        <f>VLOOKUP(Table11[[#This Row],[Bucket]],salesforecast[[#All],[Bucket2]:[WIP]],3,0)</f>
        <v>13.871107999999998</v>
      </c>
      <c r="T75" s="93">
        <f>VLOOKUP(Table11[[#This Row],[Bucket]],salesforecast[[#All],[Bucket2]:[WIP]],4,0)</f>
        <v>5.578595</v>
      </c>
      <c r="U75" s="93">
        <f>VLOOKUP(Table11[[#This Row],[Bucket]],salesforecast[[#All],[Bucket2]:[WIP]],5,0)</f>
        <v>0.27499499999999966</v>
      </c>
      <c r="V75" s="93">
        <f>VLOOKUP(Table11[[#This Row],[Bucket]],salesforecast[[#All],[Bucket2]:[WIP]],7,0)</f>
        <v>1.27</v>
      </c>
      <c r="W75" s="93">
        <f>Table11[[#This Row],[Stock LL]]+Table11[[#This Row],[WIP]]+Table11[[#This Row],[Stock CTL]]</f>
        <v>7.1235900000000001</v>
      </c>
      <c r="X75" s="93">
        <f>IF((Table11[[#This Row],[Requirement]]-Table11[[#This Row],[Sales]]-Table11[[#This Row],[Total Stock]])&lt;0,0,Table11[[#This Row],[Requirement]]-Table11[[#This Row],[Sales]]-Table11[[#This Row],[Total Stock]])</f>
        <v>0</v>
      </c>
      <c r="Y75" s="94" t="str">
        <f>_xlfn.CONCAT(ROUND(Table11[[#This Row],[Total Stock]]/Table11[[#This Row],[Requirement]]*100,0),"% Coverage. Rest by Week 3")</f>
        <v>69% Coverage. Rest by Week 3</v>
      </c>
      <c r="Z75" s="93">
        <v>38.1</v>
      </c>
      <c r="AA75" s="93">
        <v>40</v>
      </c>
      <c r="AB75" s="93">
        <v>20</v>
      </c>
      <c r="AC75" s="93">
        <v>1.6</v>
      </c>
      <c r="AD75" s="93" t="s">
        <v>962</v>
      </c>
      <c r="AE75" s="93" t="s">
        <v>1003</v>
      </c>
      <c r="AF75" s="93" t="s">
        <v>661</v>
      </c>
      <c r="AG75" s="93" t="b">
        <f>EXACT(Table11[[#This Row],[Bucket8]],Table11[[#This Row],[Bucket]])</f>
        <v>1</v>
      </c>
      <c r="AH75" s="93"/>
      <c r="AI75" s="93">
        <v>10.364411519999999</v>
      </c>
      <c r="AJ75" s="93"/>
      <c r="AK75" s="93"/>
      <c r="AL75" s="93"/>
      <c r="AM75" s="93"/>
      <c r="AN75" s="93"/>
      <c r="AO75" s="93"/>
      <c r="AP75" s="93"/>
      <c r="AQ75" s="93"/>
      <c r="AR75" s="93"/>
      <c r="AS75" s="93"/>
      <c r="AT75" s="93"/>
      <c r="AU75" s="93"/>
      <c r="AV75" s="93"/>
      <c r="AW75" s="93"/>
      <c r="AX75" s="93"/>
      <c r="AY75" s="93"/>
      <c r="AZ75" s="93"/>
      <c r="BA75" s="93"/>
      <c r="BB75" s="93"/>
      <c r="BC75" s="93"/>
      <c r="BD75" s="93"/>
      <c r="BE75" s="467">
        <v>10.364411519999999</v>
      </c>
    </row>
    <row r="76" spans="1:57" x14ac:dyDescent="0.25">
      <c r="A76" s="136"/>
      <c r="B76" s="136"/>
      <c r="D76" s="136"/>
      <c r="G76" s="43"/>
      <c r="H76" s="43"/>
      <c r="I76" s="43"/>
      <c r="J76" s="91">
        <v>39</v>
      </c>
      <c r="K76" s="15">
        <v>39</v>
      </c>
      <c r="L76" s="15">
        <v>34</v>
      </c>
      <c r="M76" s="15">
        <v>2.5</v>
      </c>
      <c r="N76" s="15" t="s">
        <v>357</v>
      </c>
      <c r="O76" s="15" t="s">
        <v>357</v>
      </c>
      <c r="P76" s="15" t="s">
        <v>869</v>
      </c>
      <c r="Q76" s="92" t="s">
        <v>1817</v>
      </c>
      <c r="R76" s="215">
        <f>Table11[[#This Row],[Grand Total]]</f>
        <v>19.577221759999997</v>
      </c>
      <c r="S76" s="93">
        <f>VLOOKUP(Table11[[#This Row],[Bucket]],salesforecast[[#All],[Bucket2]:[WIP]],3,0)</f>
        <v>18.929159999999996</v>
      </c>
      <c r="T76" s="93">
        <f>VLOOKUP(Table11[[#This Row],[Bucket]],salesforecast[[#All],[Bucket2]:[WIP]],4,0)</f>
        <v>1.098452</v>
      </c>
      <c r="U76" s="93">
        <f>VLOOKUP(Table11[[#This Row],[Bucket]],salesforecast[[#All],[Bucket2]:[WIP]],5,0)</f>
        <v>7.4211679999999998</v>
      </c>
      <c r="V76" s="93">
        <f>VLOOKUP(Table11[[#This Row],[Bucket]],salesforecast[[#All],[Bucket2]:[WIP]],7,0)</f>
        <v>0</v>
      </c>
      <c r="W76" s="93">
        <f>Table11[[#This Row],[Stock LL]]+Table11[[#This Row],[WIP]]+Table11[[#This Row],[Stock CTL]]</f>
        <v>8.5196199999999997</v>
      </c>
      <c r="X76" s="93">
        <f>IF((Table11[[#This Row],[Requirement]]-Table11[[#This Row],[Sales]]-Table11[[#This Row],[Total Stock]])&lt;0,0,Table11[[#This Row],[Requirement]]-Table11[[#This Row],[Sales]]-Table11[[#This Row],[Total Stock]])</f>
        <v>0</v>
      </c>
      <c r="Y76" s="96"/>
      <c r="Z76" s="93">
        <v>39</v>
      </c>
      <c r="AA76" s="93">
        <v>39</v>
      </c>
      <c r="AB76" s="93">
        <v>34</v>
      </c>
      <c r="AC76" s="93">
        <v>2.5</v>
      </c>
      <c r="AD76" s="93" t="s">
        <v>357</v>
      </c>
      <c r="AE76" s="93" t="s">
        <v>357</v>
      </c>
      <c r="AF76" s="93" t="s">
        <v>869</v>
      </c>
      <c r="AG76" s="93" t="b">
        <f>EXACT(Table11[[#This Row],[Bucket8]],Table11[[#This Row],[Bucket]])</f>
        <v>1</v>
      </c>
      <c r="AH76" s="93"/>
      <c r="AI76" s="93"/>
      <c r="AJ76" s="93"/>
      <c r="AK76" s="93"/>
      <c r="AL76" s="93">
        <v>13.459339959999998</v>
      </c>
      <c r="AM76" s="93"/>
      <c r="AN76" s="93"/>
      <c r="AO76" s="93"/>
      <c r="AP76" s="93"/>
      <c r="AQ76" s="93"/>
      <c r="AR76" s="93">
        <v>6.1178817999999993</v>
      </c>
      <c r="AS76" s="93"/>
      <c r="AT76" s="93"/>
      <c r="AU76" s="93"/>
      <c r="AV76" s="93"/>
      <c r="AW76" s="93"/>
      <c r="AX76" s="93"/>
      <c r="AY76" s="93"/>
      <c r="AZ76" s="93"/>
      <c r="BA76" s="93"/>
      <c r="BB76" s="93"/>
      <c r="BC76" s="93"/>
      <c r="BD76" s="93"/>
      <c r="BE76" s="467">
        <v>19.577221759999997</v>
      </c>
    </row>
    <row r="77" spans="1:57" x14ac:dyDescent="0.25">
      <c r="A77" s="136"/>
      <c r="B77" s="136"/>
      <c r="D77" s="136"/>
      <c r="G77" s="43"/>
      <c r="H77" s="43"/>
      <c r="I77" s="43"/>
      <c r="J77" s="93">
        <v>41.28</v>
      </c>
      <c r="K77" s="93">
        <v>40</v>
      </c>
      <c r="L77" s="93">
        <v>25</v>
      </c>
      <c r="M77" s="93">
        <v>1.6</v>
      </c>
      <c r="N77" s="93" t="s">
        <v>962</v>
      </c>
      <c r="O77" s="93" t="s">
        <v>1003</v>
      </c>
      <c r="P77" s="15" t="s">
        <v>428</v>
      </c>
      <c r="Q77" s="92" t="s">
        <v>1816</v>
      </c>
      <c r="R77" s="215">
        <f>Table11[[#This Row],[Grand Total]]</f>
        <v>111.73654675251203</v>
      </c>
      <c r="S77" s="93">
        <f>VLOOKUP(Table11[[#This Row],[Bucket]],salesforecast[[#All],[Bucket2]:[WIP]],3,0)</f>
        <v>78.584186000000017</v>
      </c>
      <c r="T77" s="93">
        <f>VLOOKUP(Table11[[#This Row],[Bucket]],salesforecast[[#All],[Bucket2]:[WIP]],4,0)</f>
        <v>0.822098</v>
      </c>
      <c r="U77" s="93">
        <f>VLOOKUP(Table11[[#This Row],[Bucket]],salesforecast[[#All],[Bucket2]:[WIP]],5,0)</f>
        <v>0.61827399999999999</v>
      </c>
      <c r="V77" s="93">
        <f>VLOOKUP(Table11[[#This Row],[Bucket]],salesforecast[[#All],[Bucket2]:[WIP]],7,0)</f>
        <v>0</v>
      </c>
      <c r="W77" s="93">
        <f>Table11[[#This Row],[Stock LL]]+Table11[[#This Row],[WIP]]+Table11[[#This Row],[Stock CTL]]</f>
        <v>1.440372</v>
      </c>
      <c r="X77" s="93">
        <f>IF((Table11[[#This Row],[Requirement]]-Table11[[#This Row],[Sales]]-Table11[[#This Row],[Total Stock]])&lt;0,0,Table11[[#This Row],[Requirement]]-Table11[[#This Row],[Sales]]-Table11[[#This Row],[Total Stock]])</f>
        <v>31.71198875251201</v>
      </c>
      <c r="Y77" s="96"/>
      <c r="Z77" s="93">
        <v>41.28</v>
      </c>
      <c r="AA77" s="93">
        <v>40</v>
      </c>
      <c r="AB77" s="93">
        <v>25</v>
      </c>
      <c r="AC77" s="93">
        <v>1.6</v>
      </c>
      <c r="AD77" s="93" t="s">
        <v>962</v>
      </c>
      <c r="AE77" s="93" t="s">
        <v>1003</v>
      </c>
      <c r="AF77" s="93" t="s">
        <v>428</v>
      </c>
      <c r="AG77" s="93" t="b">
        <f>EXACT(Table11[[#This Row],[Bucket8]],Table11[[#This Row],[Bucket]])</f>
        <v>1</v>
      </c>
      <c r="AH77" s="93"/>
      <c r="AI77" s="93">
        <v>70.843734282240007</v>
      </c>
      <c r="AJ77" s="93"/>
      <c r="AK77" s="93"/>
      <c r="AL77" s="93">
        <v>12.05767556096</v>
      </c>
      <c r="AM77" s="93">
        <v>4.0312228741120002</v>
      </c>
      <c r="AN77" s="93"/>
      <c r="AO77" s="93"/>
      <c r="AP77" s="93"/>
      <c r="AQ77" s="93"/>
      <c r="AR77" s="93"/>
      <c r="AS77" s="93"/>
      <c r="AT77" s="93"/>
      <c r="AU77" s="93"/>
      <c r="AV77" s="93"/>
      <c r="AW77" s="93"/>
      <c r="AX77" s="93"/>
      <c r="AY77" s="93">
        <v>24.803914035200005</v>
      </c>
      <c r="AZ77" s="93"/>
      <c r="BA77" s="93"/>
      <c r="BB77" s="93"/>
      <c r="BC77" s="93"/>
      <c r="BD77" s="93"/>
      <c r="BE77" s="467">
        <v>111.73654675251203</v>
      </c>
    </row>
    <row r="78" spans="1:57" x14ac:dyDescent="0.25">
      <c r="A78" s="136"/>
      <c r="B78" s="136"/>
      <c r="D78" s="136"/>
      <c r="H78" s="43"/>
      <c r="I78" s="43"/>
      <c r="J78" s="91">
        <v>41.28</v>
      </c>
      <c r="K78" s="15">
        <v>40</v>
      </c>
      <c r="L78" s="15">
        <v>25</v>
      </c>
      <c r="M78" s="15">
        <v>1.6</v>
      </c>
      <c r="N78" s="15" t="s">
        <v>993</v>
      </c>
      <c r="O78" s="15" t="s">
        <v>1003</v>
      </c>
      <c r="P78" s="15" t="s">
        <v>1823</v>
      </c>
      <c r="Q78" s="92" t="s">
        <v>1816</v>
      </c>
      <c r="R78" s="215">
        <f>Table11[[#This Row],[Grand Total]]</f>
        <v>13.168765716479999</v>
      </c>
      <c r="S78" s="93">
        <f>VLOOKUP(Table11[[#This Row],[Bucket]],salesforecast[[#All],[Bucket2]:[WIP]],3,0)</f>
        <v>0</v>
      </c>
      <c r="T78" s="93">
        <f>VLOOKUP(Table11[[#This Row],[Bucket]],salesforecast[[#All],[Bucket2]:[WIP]],4,0)</f>
        <v>0</v>
      </c>
      <c r="U78" s="93">
        <f>VLOOKUP(Table11[[#This Row],[Bucket]],salesforecast[[#All],[Bucket2]:[WIP]],5,0)</f>
        <v>0</v>
      </c>
      <c r="V78" s="93">
        <f>VLOOKUP(Table11[[#This Row],[Bucket]],salesforecast[[#All],[Bucket2]:[WIP]],7,0)</f>
        <v>0</v>
      </c>
      <c r="W78" s="93">
        <f>Table11[[#This Row],[Stock LL]]+Table11[[#This Row],[WIP]]+Table11[[#This Row],[Stock CTL]]</f>
        <v>0</v>
      </c>
      <c r="X78" s="93">
        <f>IF((Table11[[#This Row],[Requirement]]-Table11[[#This Row],[Sales]]-Table11[[#This Row],[Total Stock]])&lt;0,0,Table11[[#This Row],[Requirement]]-Table11[[#This Row],[Sales]]-Table11[[#This Row],[Total Stock]])</f>
        <v>13.168765716479999</v>
      </c>
      <c r="Y78" s="94" t="str">
        <f>_xlfn.CONCAT(ROUND(Table11[[#This Row],[Total Stock]]/Table11[[#This Row],[Requirement]]*100,0),"% Coverage. Rest by Week 3")</f>
        <v>0% Coverage. Rest by Week 3</v>
      </c>
      <c r="Z78" s="93">
        <v>41.28</v>
      </c>
      <c r="AA78" s="93">
        <v>40</v>
      </c>
      <c r="AB78" s="93">
        <v>25</v>
      </c>
      <c r="AC78" s="93">
        <v>1.6</v>
      </c>
      <c r="AD78" s="93" t="s">
        <v>993</v>
      </c>
      <c r="AE78" s="93" t="s">
        <v>1003</v>
      </c>
      <c r="AF78" s="93" t="s">
        <v>1823</v>
      </c>
      <c r="AG78" s="93" t="b">
        <f>EXACT(Table11[[#This Row],[Bucket8]],Table11[[#This Row],[Bucket]])</f>
        <v>1</v>
      </c>
      <c r="AH78" s="93"/>
      <c r="AI78" s="93"/>
      <c r="AJ78" s="93"/>
      <c r="AK78" s="93"/>
      <c r="AL78" s="93"/>
      <c r="AM78" s="93"/>
      <c r="AN78" s="93"/>
      <c r="AO78" s="93"/>
      <c r="AP78" s="93"/>
      <c r="AQ78" s="93"/>
      <c r="AR78" s="93"/>
      <c r="AS78" s="93"/>
      <c r="AT78" s="93"/>
      <c r="AU78" s="93"/>
      <c r="AV78" s="93"/>
      <c r="AW78" s="93"/>
      <c r="AX78" s="93">
        <v>13.168765716479999</v>
      </c>
      <c r="AY78" s="93"/>
      <c r="AZ78" s="93"/>
      <c r="BA78" s="93"/>
      <c r="BB78" s="93"/>
      <c r="BC78" s="93"/>
      <c r="BD78" s="93"/>
      <c r="BE78" s="467">
        <v>13.168765716479999</v>
      </c>
    </row>
    <row r="79" spans="1:57" x14ac:dyDescent="0.25">
      <c r="A79" s="136"/>
      <c r="B79" s="136"/>
      <c r="D79" s="136"/>
      <c r="H79" s="43"/>
      <c r="I79" s="43"/>
      <c r="J79" s="91">
        <v>41.28</v>
      </c>
      <c r="K79" s="15">
        <v>41.28</v>
      </c>
      <c r="L79" s="15">
        <v>0</v>
      </c>
      <c r="M79" s="15">
        <v>2.6</v>
      </c>
      <c r="N79" s="15" t="s">
        <v>962</v>
      </c>
      <c r="O79" s="15" t="s">
        <v>1003</v>
      </c>
      <c r="P79" s="15" t="s">
        <v>886</v>
      </c>
      <c r="Q79" s="92" t="s">
        <v>1816</v>
      </c>
      <c r="R79" s="215">
        <f>Table11[[#This Row],[Grand Total]]</f>
        <v>33.940611673217603</v>
      </c>
      <c r="S79" s="93">
        <f>VLOOKUP(Table11[[#This Row],[Bucket]],salesforecast[[#All],[Bucket2]:[WIP]],3,0)</f>
        <v>19.268034000000004</v>
      </c>
      <c r="T79" s="93">
        <f>VLOOKUP(Table11[[#This Row],[Bucket]],salesforecast[[#All],[Bucket2]:[WIP]],4,0)</f>
        <v>9.1056400000000011</v>
      </c>
      <c r="U79" s="93">
        <f>VLOOKUP(Table11[[#This Row],[Bucket]],salesforecast[[#All],[Bucket2]:[WIP]],5,0)</f>
        <v>0</v>
      </c>
      <c r="V79" s="93">
        <f>VLOOKUP(Table11[[#This Row],[Bucket]],salesforecast[[#All],[Bucket2]:[WIP]],7,0)</f>
        <v>0</v>
      </c>
      <c r="W79" s="93">
        <f>Table11[[#This Row],[Stock LL]]+Table11[[#This Row],[WIP]]+Table11[[#This Row],[Stock CTL]]</f>
        <v>9.1056400000000011</v>
      </c>
      <c r="X79" s="93">
        <f>IF((Table11[[#This Row],[Requirement]]-Table11[[#This Row],[Sales]]-Table11[[#This Row],[Total Stock]])&lt;0,0,Table11[[#This Row],[Requirement]]-Table11[[#This Row],[Sales]]-Table11[[#This Row],[Total Stock]])</f>
        <v>5.5669376732175984</v>
      </c>
      <c r="Y79" s="94" t="str">
        <f>_xlfn.CONCAT(ROUND(Table11[[#This Row],[Total Stock]]/Table11[[#This Row],[Requirement]]*100,0),"% Coverage. Rest by Week 3")</f>
        <v>27% Coverage. Rest by Week 3</v>
      </c>
      <c r="Z79" s="93">
        <v>41.28</v>
      </c>
      <c r="AA79" s="93">
        <v>41.28</v>
      </c>
      <c r="AB79" s="93">
        <v>0</v>
      </c>
      <c r="AC79" s="93">
        <v>2.6</v>
      </c>
      <c r="AD79" s="93" t="s">
        <v>962</v>
      </c>
      <c r="AE79" s="93" t="s">
        <v>1003</v>
      </c>
      <c r="AF79" s="93" t="s">
        <v>886</v>
      </c>
      <c r="AG79" s="93" t="b">
        <f>EXACT(Table11[[#This Row],[Bucket8]],Table11[[#This Row],[Bucket]])</f>
        <v>1</v>
      </c>
      <c r="AH79" s="93"/>
      <c r="AI79" s="93"/>
      <c r="AJ79" s="93"/>
      <c r="AK79" s="93"/>
      <c r="AL79" s="93"/>
      <c r="AM79" s="93"/>
      <c r="AN79" s="93"/>
      <c r="AO79" s="93"/>
      <c r="AP79" s="93"/>
      <c r="AQ79" s="93"/>
      <c r="AR79" s="93"/>
      <c r="AS79" s="93"/>
      <c r="AT79" s="93"/>
      <c r="AU79" s="93"/>
      <c r="AV79" s="93"/>
      <c r="AW79" s="93"/>
      <c r="AX79" s="93">
        <v>33.940611673217603</v>
      </c>
      <c r="AY79" s="93"/>
      <c r="AZ79" s="93"/>
      <c r="BA79" s="93"/>
      <c r="BB79" s="93"/>
      <c r="BC79" s="93"/>
      <c r="BD79" s="93"/>
      <c r="BE79" s="467">
        <v>33.940611673217603</v>
      </c>
    </row>
    <row r="80" spans="1:57" x14ac:dyDescent="0.25">
      <c r="A80" s="137"/>
      <c r="B80" s="136"/>
      <c r="D80" s="136"/>
      <c r="H80" s="43"/>
      <c r="I80" s="43"/>
      <c r="J80" s="91">
        <v>41.28</v>
      </c>
      <c r="K80" s="15">
        <v>41.28</v>
      </c>
      <c r="L80" s="15">
        <v>0</v>
      </c>
      <c r="M80" s="15">
        <v>3.2</v>
      </c>
      <c r="N80" s="15" t="s">
        <v>962</v>
      </c>
      <c r="O80" s="15" t="s">
        <v>1003</v>
      </c>
      <c r="P80" s="15" t="s">
        <v>654</v>
      </c>
      <c r="Q80" s="92" t="s">
        <v>1816</v>
      </c>
      <c r="R80" s="215">
        <f>Table11[[#This Row],[Grand Total]]</f>
        <v>14.795874207744003</v>
      </c>
      <c r="S80" s="93">
        <f>VLOOKUP(Table11[[#This Row],[Bucket]],salesforecast[[#All],[Bucket2]:[WIP]],3,0)</f>
        <v>8.4808210000000006</v>
      </c>
      <c r="T80" s="93">
        <f>VLOOKUP(Table11[[#This Row],[Bucket]],salesforecast[[#All],[Bucket2]:[WIP]],4,0)</f>
        <v>1.044524</v>
      </c>
      <c r="U80" s="93">
        <f>VLOOKUP(Table11[[#This Row],[Bucket]],salesforecast[[#All],[Bucket2]:[WIP]],5,0)</f>
        <v>0</v>
      </c>
      <c r="V80" s="93">
        <f>VLOOKUP(Table11[[#This Row],[Bucket]],salesforecast[[#All],[Bucket2]:[WIP]],7,0)</f>
        <v>7.141</v>
      </c>
      <c r="W80" s="93">
        <f>Table11[[#This Row],[Stock LL]]+Table11[[#This Row],[WIP]]+Table11[[#This Row],[Stock CTL]]</f>
        <v>8.1855240000000009</v>
      </c>
      <c r="X80" s="93">
        <f>IF((Table11[[#This Row],[Requirement]]-Table11[[#This Row],[Sales]]-Table11[[#This Row],[Total Stock]])&lt;0,0,Table11[[#This Row],[Requirement]]-Table11[[#This Row],[Sales]]-Table11[[#This Row],[Total Stock]])</f>
        <v>0</v>
      </c>
      <c r="Y80" s="96"/>
      <c r="Z80" s="93">
        <v>41.28</v>
      </c>
      <c r="AA80" s="93">
        <v>41.28</v>
      </c>
      <c r="AB80" s="93">
        <v>0</v>
      </c>
      <c r="AC80" s="93">
        <v>3.2</v>
      </c>
      <c r="AD80" s="93" t="s">
        <v>962</v>
      </c>
      <c r="AE80" s="93" t="s">
        <v>1003</v>
      </c>
      <c r="AF80" s="93" t="s">
        <v>654</v>
      </c>
      <c r="AG80" s="93" t="b">
        <f>EXACT(Table11[[#This Row],[Bucket8]],Table11[[#This Row],[Bucket]])</f>
        <v>1</v>
      </c>
      <c r="AH80" s="93"/>
      <c r="AI80" s="93"/>
      <c r="AJ80" s="93"/>
      <c r="AK80" s="93"/>
      <c r="AL80" s="93"/>
      <c r="AM80" s="93">
        <v>4.433355730944001</v>
      </c>
      <c r="AN80" s="93"/>
      <c r="AO80" s="93"/>
      <c r="AP80" s="93"/>
      <c r="AQ80" s="93"/>
      <c r="AR80" s="93"/>
      <c r="AS80" s="93"/>
      <c r="AT80" s="93"/>
      <c r="AU80" s="93"/>
      <c r="AV80" s="93">
        <v>10.362518476800002</v>
      </c>
      <c r="AW80" s="93"/>
      <c r="AX80" s="93"/>
      <c r="AY80" s="93"/>
      <c r="AZ80" s="93"/>
      <c r="BA80" s="93"/>
      <c r="BB80" s="93"/>
      <c r="BC80" s="93"/>
      <c r="BD80" s="93"/>
      <c r="BE80" s="467">
        <v>14.795874207744003</v>
      </c>
    </row>
    <row r="81" spans="1:57" x14ac:dyDescent="0.25">
      <c r="A81" s="136"/>
      <c r="B81" s="136"/>
      <c r="D81" s="136"/>
      <c r="G81" s="43"/>
      <c r="H81" s="43"/>
      <c r="I81" s="43"/>
      <c r="J81" s="91">
        <v>42.7</v>
      </c>
      <c r="K81" s="15">
        <v>42.7</v>
      </c>
      <c r="L81" s="15">
        <v>0</v>
      </c>
      <c r="M81" s="15">
        <v>3.5</v>
      </c>
      <c r="N81" s="15" t="s">
        <v>962</v>
      </c>
      <c r="O81" s="15" t="s">
        <v>1003</v>
      </c>
      <c r="P81" s="15" t="s">
        <v>875</v>
      </c>
      <c r="Q81" s="92" t="s">
        <v>1817</v>
      </c>
      <c r="R81" s="215">
        <f>Table11[[#This Row],[Grand Total]]</f>
        <v>53.8118826336</v>
      </c>
      <c r="S81" s="93">
        <f>VLOOKUP(Table11[[#This Row],[Bucket]],salesforecast[[#All],[Bucket2]:[WIP]],3,0)</f>
        <v>37.262987000000003</v>
      </c>
      <c r="T81" s="93">
        <f>VLOOKUP(Table11[[#This Row],[Bucket]],salesforecast[[#All],[Bucket2]:[WIP]],4,0)</f>
        <v>1.5386359999999999</v>
      </c>
      <c r="U81" s="93">
        <f>VLOOKUP(Table11[[#This Row],[Bucket]],salesforecast[[#All],[Bucket2]:[WIP]],5,0)</f>
        <v>9.465421000000001</v>
      </c>
      <c r="V81" s="93">
        <f>VLOOKUP(Table11[[#This Row],[Bucket]],salesforecast[[#All],[Bucket2]:[WIP]],7,0)</f>
        <v>0</v>
      </c>
      <c r="W81" s="93">
        <f>Table11[[#This Row],[Stock LL]]+Table11[[#This Row],[WIP]]+Table11[[#This Row],[Stock CTL]]</f>
        <v>11.004057000000001</v>
      </c>
      <c r="X81" s="93">
        <f>IF((Table11[[#This Row],[Requirement]]-Table11[[#This Row],[Sales]]-Table11[[#This Row],[Total Stock]])&lt;0,0,Table11[[#This Row],[Requirement]]-Table11[[#This Row],[Sales]]-Table11[[#This Row],[Total Stock]])</f>
        <v>5.544838633599996</v>
      </c>
      <c r="Y81" s="94" t="str">
        <f>_xlfn.CONCAT(ROUND(Table11[[#This Row],[Total Stock]]/Table11[[#This Row],[Requirement]]*100,0),"% Coverage. Rest by Week 3")</f>
        <v>20% Coverage. Rest by Week 3</v>
      </c>
      <c r="Z81" s="93">
        <v>42.7</v>
      </c>
      <c r="AA81" s="93">
        <v>42.7</v>
      </c>
      <c r="AB81" s="93">
        <v>0</v>
      </c>
      <c r="AC81" s="93">
        <v>3.5</v>
      </c>
      <c r="AD81" s="93" t="s">
        <v>962</v>
      </c>
      <c r="AE81" s="93" t="s">
        <v>1003</v>
      </c>
      <c r="AF81" s="93" t="s">
        <v>875</v>
      </c>
      <c r="AG81" s="93" t="b">
        <f>EXACT(Table11[[#This Row],[Bucket8]],Table11[[#This Row],[Bucket]])</f>
        <v>1</v>
      </c>
      <c r="AH81" s="93"/>
      <c r="AI81" s="93"/>
      <c r="AJ81" s="93"/>
      <c r="AK81" s="93"/>
      <c r="AL81" s="93"/>
      <c r="AM81" s="93">
        <v>1.420373976</v>
      </c>
      <c r="AN81" s="93"/>
      <c r="AO81" s="93"/>
      <c r="AP81" s="93">
        <v>35.509349399999998</v>
      </c>
      <c r="AQ81" s="93"/>
      <c r="AR81" s="93"/>
      <c r="AS81" s="93"/>
      <c r="AT81" s="93"/>
      <c r="AU81" s="93"/>
      <c r="AV81" s="93"/>
      <c r="AW81" s="93"/>
      <c r="AX81" s="93"/>
      <c r="AY81" s="93">
        <v>16.882159257600001</v>
      </c>
      <c r="AZ81" s="93"/>
      <c r="BA81" s="93"/>
      <c r="BB81" s="93"/>
      <c r="BC81" s="93"/>
      <c r="BD81" s="93"/>
      <c r="BE81" s="467">
        <v>53.8118826336</v>
      </c>
    </row>
    <row r="82" spans="1:57" x14ac:dyDescent="0.25">
      <c r="A82" s="136"/>
      <c r="B82" s="136"/>
      <c r="D82" s="136"/>
      <c r="G82" s="43"/>
      <c r="H82" s="43"/>
      <c r="I82" s="43"/>
      <c r="J82" s="91">
        <v>42.7</v>
      </c>
      <c r="K82" s="15">
        <v>42.7</v>
      </c>
      <c r="L82" s="15">
        <v>0</v>
      </c>
      <c r="M82" s="15">
        <v>4</v>
      </c>
      <c r="N82" s="15" t="s">
        <v>962</v>
      </c>
      <c r="O82" s="15" t="s">
        <v>1003</v>
      </c>
      <c r="P82" s="15" t="s">
        <v>891</v>
      </c>
      <c r="Q82" s="92" t="s">
        <v>1817</v>
      </c>
      <c r="R82" s="215">
        <f>Table11[[#This Row],[Grand Total]]</f>
        <v>33.079909451400006</v>
      </c>
      <c r="S82" s="93">
        <f>VLOOKUP(Table11[[#This Row],[Bucket]],salesforecast[[#All],[Bucket2]:[WIP]],3,0)</f>
        <v>18.986001000000002</v>
      </c>
      <c r="T82" s="93">
        <f>VLOOKUP(Table11[[#This Row],[Bucket]],salesforecast[[#All],[Bucket2]:[WIP]],4,0)</f>
        <v>3.9344999999999994</v>
      </c>
      <c r="U82" s="93">
        <f>VLOOKUP(Table11[[#This Row],[Bucket]],salesforecast[[#All],[Bucket2]:[WIP]],5,0)</f>
        <v>215.60048700000004</v>
      </c>
      <c r="V82" s="93">
        <f>VLOOKUP(Table11[[#This Row],[Bucket]],salesforecast[[#All],[Bucket2]:[WIP]],7,0)</f>
        <v>0</v>
      </c>
      <c r="W82" s="93">
        <f>Table11[[#This Row],[Stock LL]]+Table11[[#This Row],[WIP]]+Table11[[#This Row],[Stock CTL]]</f>
        <v>219.53498700000003</v>
      </c>
      <c r="X82" s="93">
        <f>IF((Table11[[#This Row],[Requirement]]-Table11[[#This Row],[Sales]]-Table11[[#This Row],[Total Stock]])&lt;0,0,Table11[[#This Row],[Requirement]]-Table11[[#This Row],[Sales]]-Table11[[#This Row],[Total Stock]])</f>
        <v>0</v>
      </c>
      <c r="Y82" s="94" t="str">
        <f>_xlfn.CONCAT(ROUND(Table11[[#This Row],[Total Stock]]/Table11[[#This Row],[Requirement]]*100,0),"% Coverage. Rest by Week 3")</f>
        <v>664% Coverage. Rest by Week 3</v>
      </c>
      <c r="Z82" s="93">
        <v>42.7</v>
      </c>
      <c r="AA82" s="93">
        <v>42.7</v>
      </c>
      <c r="AB82" s="93">
        <v>0</v>
      </c>
      <c r="AC82" s="93">
        <v>4</v>
      </c>
      <c r="AD82" s="93" t="s">
        <v>962</v>
      </c>
      <c r="AE82" s="93" t="s">
        <v>1003</v>
      </c>
      <c r="AF82" s="93" t="s">
        <v>891</v>
      </c>
      <c r="AG82" s="93" t="b">
        <f>EXACT(Table11[[#This Row],[Bucket8]],Table11[[#This Row],[Bucket]])</f>
        <v>1</v>
      </c>
      <c r="AH82" s="93"/>
      <c r="AI82" s="93"/>
      <c r="AJ82" s="93"/>
      <c r="AK82" s="93"/>
      <c r="AL82" s="93"/>
      <c r="AM82" s="93">
        <v>3.5867252880000002</v>
      </c>
      <c r="AN82" s="93"/>
      <c r="AO82" s="93"/>
      <c r="AP82" s="93"/>
      <c r="AQ82" s="93"/>
      <c r="AR82" s="93"/>
      <c r="AS82" s="93"/>
      <c r="AT82" s="93"/>
      <c r="AU82" s="93"/>
      <c r="AV82" s="93">
        <v>7.7534316864000008</v>
      </c>
      <c r="AW82" s="93"/>
      <c r="AX82" s="93">
        <v>21.739752477000003</v>
      </c>
      <c r="AY82" s="93"/>
      <c r="AZ82" s="93"/>
      <c r="BA82" s="93"/>
      <c r="BB82" s="93"/>
      <c r="BC82" s="93"/>
      <c r="BD82" s="93"/>
      <c r="BE82" s="467">
        <v>33.079909451400006</v>
      </c>
    </row>
    <row r="83" spans="1:57" x14ac:dyDescent="0.25">
      <c r="A83" s="136"/>
      <c r="B83" s="136"/>
      <c r="D83" s="136"/>
      <c r="G83" s="43"/>
      <c r="H83" s="43"/>
      <c r="I83" s="43"/>
      <c r="J83" s="91">
        <v>44.45</v>
      </c>
      <c r="K83" s="15">
        <v>40</v>
      </c>
      <c r="L83" s="15">
        <v>30</v>
      </c>
      <c r="M83" s="15">
        <v>1.6</v>
      </c>
      <c r="N83" s="15" t="s">
        <v>962</v>
      </c>
      <c r="O83" s="15" t="s">
        <v>1003</v>
      </c>
      <c r="P83" s="15" t="s">
        <v>586</v>
      </c>
      <c r="Q83" s="92" t="s">
        <v>1816</v>
      </c>
      <c r="R83" s="215">
        <f>Table11[[#This Row],[Grand Total]]</f>
        <v>83.601106216800005</v>
      </c>
      <c r="S83" s="93">
        <f>VLOOKUP(Table11[[#This Row],[Bucket]],salesforecast[[#All],[Bucket2]:[WIP]],3,0)</f>
        <v>45.846097999999998</v>
      </c>
      <c r="T83" s="93">
        <f>VLOOKUP(Table11[[#This Row],[Bucket]],salesforecast[[#All],[Bucket2]:[WIP]],4,0)</f>
        <v>1.0300119999999999</v>
      </c>
      <c r="U83" s="93">
        <f>VLOOKUP(Table11[[#This Row],[Bucket]],salesforecast[[#All],[Bucket2]:[WIP]],5,0)</f>
        <v>0.95786299999999991</v>
      </c>
      <c r="V83" s="93">
        <f>VLOOKUP(Table11[[#This Row],[Bucket]],salesforecast[[#All],[Bucket2]:[WIP]],7,0)</f>
        <v>0</v>
      </c>
      <c r="W83" s="93">
        <f>Table11[[#This Row],[Stock LL]]+Table11[[#This Row],[WIP]]+Table11[[#This Row],[Stock CTL]]</f>
        <v>1.9878749999999998</v>
      </c>
      <c r="X83" s="93">
        <f>IF((Table11[[#This Row],[Requirement]]-Table11[[#This Row],[Sales]]-Table11[[#This Row],[Total Stock]])&lt;0,0,Table11[[#This Row],[Requirement]]-Table11[[#This Row],[Sales]]-Table11[[#This Row],[Total Stock]])</f>
        <v>35.767133216800005</v>
      </c>
      <c r="Y83" s="96"/>
      <c r="Z83" s="93">
        <v>44.45</v>
      </c>
      <c r="AA83" s="93">
        <v>40</v>
      </c>
      <c r="AB83" s="93">
        <v>30</v>
      </c>
      <c r="AC83" s="93">
        <v>1.6</v>
      </c>
      <c r="AD83" s="93" t="s">
        <v>962</v>
      </c>
      <c r="AE83" s="93" t="s">
        <v>1003</v>
      </c>
      <c r="AF83" s="93" t="s">
        <v>586</v>
      </c>
      <c r="AG83" s="93" t="b">
        <f>EXACT(Table11[[#This Row],[Bucket8]],Table11[[#This Row],[Bucket]])</f>
        <v>1</v>
      </c>
      <c r="AH83" s="93"/>
      <c r="AI83" s="93"/>
      <c r="AJ83" s="93"/>
      <c r="AK83" s="93"/>
      <c r="AL83" s="93"/>
      <c r="AM83" s="93">
        <v>14.263055113600002</v>
      </c>
      <c r="AN83" s="93"/>
      <c r="AO83" s="93"/>
      <c r="AP83" s="93"/>
      <c r="AQ83" s="93">
        <v>4.3600334352000001</v>
      </c>
      <c r="AR83" s="93"/>
      <c r="AS83" s="93"/>
      <c r="AT83" s="93"/>
      <c r="AU83" s="93"/>
      <c r="AV83" s="93">
        <v>56.866327556000002</v>
      </c>
      <c r="AW83" s="93"/>
      <c r="AX83" s="93"/>
      <c r="AY83" s="93"/>
      <c r="AZ83" s="93"/>
      <c r="BA83" s="93">
        <v>8.1116901120000016</v>
      </c>
      <c r="BB83" s="93"/>
      <c r="BC83" s="93"/>
      <c r="BD83" s="93"/>
      <c r="BE83" s="467">
        <v>83.601106216800005</v>
      </c>
    </row>
    <row r="84" spans="1:57" x14ac:dyDescent="0.25">
      <c r="H84" s="43"/>
      <c r="I84" s="43"/>
      <c r="J84" s="91">
        <v>44.45</v>
      </c>
      <c r="K84" s="15">
        <v>40</v>
      </c>
      <c r="L84" s="15">
        <v>30</v>
      </c>
      <c r="M84" s="15">
        <v>2</v>
      </c>
      <c r="N84" s="15" t="s">
        <v>962</v>
      </c>
      <c r="O84" s="15" t="s">
        <v>1003</v>
      </c>
      <c r="P84" s="15" t="s">
        <v>578</v>
      </c>
      <c r="Q84" s="92" t="s">
        <v>1816</v>
      </c>
      <c r="R84" s="215">
        <f>Table11[[#This Row],[Grand Total]]</f>
        <v>38.064122118899995</v>
      </c>
      <c r="S84" s="93">
        <f>VLOOKUP(Table11[[#This Row],[Bucket]],salesforecast[[#All],[Bucket2]:[WIP]],3,0)</f>
        <v>30.663663999999997</v>
      </c>
      <c r="T84" s="93">
        <f>VLOOKUP(Table11[[#This Row],[Bucket]],salesforecast[[#All],[Bucket2]:[WIP]],4,0)</f>
        <v>18.702345999999999</v>
      </c>
      <c r="U84" s="93">
        <f>VLOOKUP(Table11[[#This Row],[Bucket]],salesforecast[[#All],[Bucket2]:[WIP]],5,0)</f>
        <v>0</v>
      </c>
      <c r="V84" s="93">
        <f>VLOOKUP(Table11[[#This Row],[Bucket]],salesforecast[[#All],[Bucket2]:[WIP]],7,0)</f>
        <v>26.635999999999999</v>
      </c>
      <c r="W84" s="93">
        <f>Table11[[#This Row],[Stock LL]]+Table11[[#This Row],[WIP]]+Table11[[#This Row],[Stock CTL]]</f>
        <v>45.338346000000001</v>
      </c>
      <c r="X84" s="93">
        <f>IF((Table11[[#This Row],[Requirement]]-Table11[[#This Row],[Sales]]-Table11[[#This Row],[Total Stock]])&lt;0,0,Table11[[#This Row],[Requirement]]-Table11[[#This Row],[Sales]]-Table11[[#This Row],[Total Stock]])</f>
        <v>0</v>
      </c>
      <c r="Y84" s="94" t="str">
        <f>_xlfn.CONCAT(ROUND(Table11[[#This Row],[Total Stock]]/Table11[[#This Row],[Requirement]]*100,0),"% Coverage. Rest by Week 3")</f>
        <v>119% Coverage. Rest by Week 3</v>
      </c>
      <c r="Z84" s="93">
        <v>44.45</v>
      </c>
      <c r="AA84" s="93">
        <v>40</v>
      </c>
      <c r="AB84" s="93">
        <v>30</v>
      </c>
      <c r="AC84" s="93">
        <v>2</v>
      </c>
      <c r="AD84" s="93" t="s">
        <v>962</v>
      </c>
      <c r="AE84" s="93" t="s">
        <v>1003</v>
      </c>
      <c r="AF84" s="93" t="s">
        <v>578</v>
      </c>
      <c r="AG84" s="93" t="b">
        <f>EXACT(Table11[[#This Row],[Bucket8]],Table11[[#This Row],[Bucket]])</f>
        <v>1</v>
      </c>
      <c r="AH84" s="93"/>
      <c r="AI84" s="93">
        <v>26.324074557899998</v>
      </c>
      <c r="AJ84" s="93"/>
      <c r="AK84" s="93"/>
      <c r="AL84" s="93">
        <v>6.2781003000000002</v>
      </c>
      <c r="AM84" s="93"/>
      <c r="AN84" s="93"/>
      <c r="AO84" s="93"/>
      <c r="AP84" s="93"/>
      <c r="AQ84" s="93"/>
      <c r="AR84" s="93"/>
      <c r="AS84" s="93"/>
      <c r="AT84" s="93"/>
      <c r="AU84" s="93"/>
      <c r="AV84" s="93">
        <v>5.4619472610000006</v>
      </c>
      <c r="AW84" s="93"/>
      <c r="AX84" s="93"/>
      <c r="AY84" s="93"/>
      <c r="AZ84" s="93"/>
      <c r="BA84" s="93"/>
      <c r="BB84" s="93"/>
      <c r="BC84" s="93"/>
      <c r="BD84" s="93"/>
      <c r="BE84" s="467">
        <v>38.064122118899995</v>
      </c>
    </row>
    <row r="85" spans="1:57" x14ac:dyDescent="0.25">
      <c r="A85" s="136"/>
      <c r="B85" s="136"/>
      <c r="D85" s="136"/>
      <c r="G85" s="43"/>
      <c r="H85" s="43"/>
      <c r="I85" s="43"/>
      <c r="J85" s="91">
        <v>48.6</v>
      </c>
      <c r="K85" s="15">
        <v>48.6</v>
      </c>
      <c r="L85" s="15">
        <v>0</v>
      </c>
      <c r="M85" s="15">
        <v>1.2</v>
      </c>
      <c r="N85" s="15" t="s">
        <v>962</v>
      </c>
      <c r="O85" s="15" t="s">
        <v>1003</v>
      </c>
      <c r="P85" s="15" t="s">
        <v>794</v>
      </c>
      <c r="Q85" s="92" t="s">
        <v>1816</v>
      </c>
      <c r="R85" s="215">
        <f>Table11[[#This Row],[Grand Total]]</f>
        <v>18.372268212480002</v>
      </c>
      <c r="S85" s="93">
        <f>VLOOKUP(Table11[[#This Row],[Bucket]],salesforecast[[#All],[Bucket2]:[WIP]],3,0)</f>
        <v>3.4068960000000001</v>
      </c>
      <c r="T85" s="93">
        <f>VLOOKUP(Table11[[#This Row],[Bucket]],salesforecast[[#All],[Bucket2]:[WIP]],4,0)</f>
        <v>4.3962729999999999</v>
      </c>
      <c r="U85" s="93">
        <f>VLOOKUP(Table11[[#This Row],[Bucket]],salesforecast[[#All],[Bucket2]:[WIP]],5,0)</f>
        <v>3.9467830000000008</v>
      </c>
      <c r="V85" s="93">
        <f>VLOOKUP(Table11[[#This Row],[Bucket]],salesforecast[[#All],[Bucket2]:[WIP]],7,0)</f>
        <v>17.024000000000001</v>
      </c>
      <c r="W85" s="93">
        <f>Table11[[#This Row],[Stock LL]]+Table11[[#This Row],[WIP]]+Table11[[#This Row],[Stock CTL]]</f>
        <v>25.367056000000002</v>
      </c>
      <c r="X85" s="93">
        <f>IF((Table11[[#This Row],[Requirement]]-Table11[[#This Row],[Sales]]-Table11[[#This Row],[Total Stock]])&lt;0,0,Table11[[#This Row],[Requirement]]-Table11[[#This Row],[Sales]]-Table11[[#This Row],[Total Stock]])</f>
        <v>0</v>
      </c>
      <c r="Y85" s="94" t="str">
        <f>_xlfn.CONCAT(ROUND(Table11[[#This Row],[Total Stock]]/Table11[[#This Row],[Requirement]]*100,0),"% Coverage. Rest by Week 3")</f>
        <v>138% Coverage. Rest by Week 3</v>
      </c>
      <c r="Z85" s="93">
        <v>48.6</v>
      </c>
      <c r="AA85" s="93">
        <v>48.6</v>
      </c>
      <c r="AB85" s="93">
        <v>0</v>
      </c>
      <c r="AC85" s="93">
        <v>1.2</v>
      </c>
      <c r="AD85" s="93" t="s">
        <v>962</v>
      </c>
      <c r="AE85" s="93" t="s">
        <v>1003</v>
      </c>
      <c r="AF85" s="93" t="s">
        <v>794</v>
      </c>
      <c r="AG85" s="93" t="b">
        <f>EXACT(Table11[[#This Row],[Bucket8]],Table11[[#This Row],[Bucket]])</f>
        <v>1</v>
      </c>
      <c r="AH85" s="93"/>
      <c r="AI85" s="93"/>
      <c r="AJ85" s="93"/>
      <c r="AK85" s="93"/>
      <c r="AL85" s="93"/>
      <c r="AM85" s="93">
        <v>11.306011207680001</v>
      </c>
      <c r="AN85" s="93"/>
      <c r="AO85" s="93"/>
      <c r="AP85" s="93"/>
      <c r="AQ85" s="93"/>
      <c r="AR85" s="93"/>
      <c r="AS85" s="93"/>
      <c r="AT85" s="93"/>
      <c r="AU85" s="93"/>
      <c r="AV85" s="93"/>
      <c r="AW85" s="93"/>
      <c r="AX85" s="93"/>
      <c r="AY85" s="93">
        <v>7.0662570048000006</v>
      </c>
      <c r="AZ85" s="93"/>
      <c r="BA85" s="93"/>
      <c r="BB85" s="93"/>
      <c r="BC85" s="93"/>
      <c r="BD85" s="93"/>
      <c r="BE85" s="467">
        <v>18.372268212480002</v>
      </c>
    </row>
    <row r="86" spans="1:57" x14ac:dyDescent="0.25">
      <c r="A86" s="137"/>
      <c r="B86" s="136"/>
      <c r="D86" s="136"/>
      <c r="G86" s="43"/>
      <c r="H86" s="43"/>
      <c r="I86" s="43"/>
      <c r="J86" s="91">
        <v>48.6</v>
      </c>
      <c r="K86" s="15">
        <v>48.6</v>
      </c>
      <c r="L86" s="15">
        <v>0</v>
      </c>
      <c r="M86" s="15">
        <v>3.5</v>
      </c>
      <c r="N86" s="15" t="s">
        <v>962</v>
      </c>
      <c r="O86" s="15" t="s">
        <v>1003</v>
      </c>
      <c r="P86" s="15" t="s">
        <v>712</v>
      </c>
      <c r="Q86" s="92" t="s">
        <v>1816</v>
      </c>
      <c r="R86" s="215">
        <f>Table11[[#This Row],[Grand Total]]</f>
        <v>11.439083270999999</v>
      </c>
      <c r="S86" s="93">
        <f>VLOOKUP(Table11[[#This Row],[Bucket]],salesforecast[[#All],[Bucket2]:[WIP]],3,0)</f>
        <v>4.4863749999999998</v>
      </c>
      <c r="T86" s="93">
        <f>VLOOKUP(Table11[[#This Row],[Bucket]],salesforecast[[#All],[Bucket2]:[WIP]],4,0)</f>
        <v>4.9598779999999998</v>
      </c>
      <c r="U86" s="93">
        <f>VLOOKUP(Table11[[#This Row],[Bucket]],salesforecast[[#All],[Bucket2]:[WIP]],5,0)</f>
        <v>8.7743119999999983</v>
      </c>
      <c r="V86" s="93">
        <f>VLOOKUP(Table11[[#This Row],[Bucket]],salesforecast[[#All],[Bucket2]:[WIP]],7,0)</f>
        <v>0</v>
      </c>
      <c r="W86" s="93">
        <f>Table11[[#This Row],[Stock LL]]+Table11[[#This Row],[WIP]]+Table11[[#This Row],[Stock CTL]]</f>
        <v>13.734189999999998</v>
      </c>
      <c r="X86" s="93">
        <f>IF((Table11[[#This Row],[Requirement]]-Table11[[#This Row],[Sales]]-Table11[[#This Row],[Total Stock]])&lt;0,0,Table11[[#This Row],[Requirement]]-Table11[[#This Row],[Sales]]-Table11[[#This Row],[Total Stock]])</f>
        <v>0</v>
      </c>
      <c r="Y86" s="96"/>
      <c r="Z86" s="93">
        <v>48.6</v>
      </c>
      <c r="AA86" s="93">
        <v>48.6</v>
      </c>
      <c r="AB86" s="93">
        <v>0</v>
      </c>
      <c r="AC86" s="93">
        <v>3.5</v>
      </c>
      <c r="AD86" s="93" t="s">
        <v>962</v>
      </c>
      <c r="AE86" s="93" t="s">
        <v>1003</v>
      </c>
      <c r="AF86" s="93" t="s">
        <v>712</v>
      </c>
      <c r="AG86" s="93" t="b">
        <f>EXACT(Table11[[#This Row],[Bucket8]],Table11[[#This Row],[Bucket]])</f>
        <v>1</v>
      </c>
      <c r="AH86" s="93"/>
      <c r="AI86" s="93"/>
      <c r="AJ86" s="93"/>
      <c r="AK86" s="93"/>
      <c r="AL86" s="93"/>
      <c r="AM86" s="93"/>
      <c r="AN86" s="93"/>
      <c r="AO86" s="93">
        <v>11.439083270999999</v>
      </c>
      <c r="AP86" s="93"/>
      <c r="AQ86" s="93"/>
      <c r="AR86" s="93"/>
      <c r="AS86" s="93"/>
      <c r="AT86" s="93"/>
      <c r="AU86" s="93"/>
      <c r="AV86" s="93"/>
      <c r="AW86" s="93"/>
      <c r="AX86" s="93"/>
      <c r="AY86" s="93"/>
      <c r="AZ86" s="93"/>
      <c r="BA86" s="93"/>
      <c r="BB86" s="93"/>
      <c r="BC86" s="93"/>
      <c r="BD86" s="93"/>
      <c r="BE86" s="467">
        <v>11.439083270999999</v>
      </c>
    </row>
    <row r="87" spans="1:57" x14ac:dyDescent="0.25">
      <c r="A87" s="136"/>
      <c r="B87" s="136"/>
      <c r="D87" s="136"/>
      <c r="G87" s="43"/>
      <c r="H87" s="43"/>
      <c r="I87" s="43"/>
      <c r="J87" s="91">
        <v>48.6</v>
      </c>
      <c r="K87" s="15">
        <v>59</v>
      </c>
      <c r="L87" s="15">
        <v>30</v>
      </c>
      <c r="M87" s="15">
        <v>1.6</v>
      </c>
      <c r="N87" s="15" t="s">
        <v>962</v>
      </c>
      <c r="O87" s="15" t="s">
        <v>348</v>
      </c>
      <c r="P87" s="15" t="s">
        <v>568</v>
      </c>
      <c r="Q87" s="92" t="s">
        <v>1816</v>
      </c>
      <c r="R87" s="215">
        <f>Table11[[#This Row],[Grand Total]]</f>
        <v>22.456236791520002</v>
      </c>
      <c r="S87" s="93">
        <f>VLOOKUP(Table11[[#This Row],[Bucket]],salesforecast[[#All],[Bucket2]:[WIP]],3,0)</f>
        <v>3.9508000000000001</v>
      </c>
      <c r="T87" s="93">
        <f>VLOOKUP(Table11[[#This Row],[Bucket]],salesforecast[[#All],[Bucket2]:[WIP]],4,0)</f>
        <v>17.977765000000002</v>
      </c>
      <c r="U87" s="93">
        <f>VLOOKUP(Table11[[#This Row],[Bucket]],salesforecast[[#All],[Bucket2]:[WIP]],5,0)</f>
        <v>0</v>
      </c>
      <c r="V87" s="93">
        <f>VLOOKUP(Table11[[#This Row],[Bucket]],salesforecast[[#All],[Bucket2]:[WIP]],7,0)</f>
        <v>0.95099999999999996</v>
      </c>
      <c r="W87" s="93">
        <f>Table11[[#This Row],[Stock LL]]+Table11[[#This Row],[WIP]]+Table11[[#This Row],[Stock CTL]]</f>
        <v>18.928765000000002</v>
      </c>
      <c r="X87" s="93">
        <f>IF((Table11[[#This Row],[Requirement]]-Table11[[#This Row],[Sales]]-Table11[[#This Row],[Total Stock]])&lt;0,0,Table11[[#This Row],[Requirement]]-Table11[[#This Row],[Sales]]-Table11[[#This Row],[Total Stock]])</f>
        <v>0</v>
      </c>
      <c r="Y87" s="96"/>
      <c r="Z87" s="93">
        <v>48.6</v>
      </c>
      <c r="AA87" s="93">
        <v>59</v>
      </c>
      <c r="AB87" s="93">
        <v>30</v>
      </c>
      <c r="AC87" s="93">
        <v>1.6</v>
      </c>
      <c r="AD87" s="93" t="s">
        <v>962</v>
      </c>
      <c r="AE87" s="93" t="s">
        <v>348</v>
      </c>
      <c r="AF87" s="93" t="s">
        <v>568</v>
      </c>
      <c r="AG87" s="93" t="b">
        <f>EXACT(Table11[[#This Row],[Bucket8]],Table11[[#This Row],[Bucket]])</f>
        <v>1</v>
      </c>
      <c r="AH87" s="93"/>
      <c r="AI87" s="93"/>
      <c r="AJ87" s="93">
        <v>22.456236791520002</v>
      </c>
      <c r="AK87" s="93"/>
      <c r="AL87" s="93"/>
      <c r="AM87" s="93"/>
      <c r="AN87" s="93"/>
      <c r="AO87" s="93"/>
      <c r="AP87" s="93"/>
      <c r="AQ87" s="93"/>
      <c r="AR87" s="93"/>
      <c r="AS87" s="93"/>
      <c r="AT87" s="93"/>
      <c r="AU87" s="93"/>
      <c r="AV87" s="93"/>
      <c r="AW87" s="93"/>
      <c r="AX87" s="93"/>
      <c r="AY87" s="93"/>
      <c r="AZ87" s="93"/>
      <c r="BA87" s="93"/>
      <c r="BB87" s="93"/>
      <c r="BC87" s="93"/>
      <c r="BD87" s="93"/>
      <c r="BE87" s="467">
        <v>22.456236791520002</v>
      </c>
    </row>
    <row r="88" spans="1:57" x14ac:dyDescent="0.25">
      <c r="A88" s="137"/>
      <c r="B88" s="136"/>
      <c r="D88" s="136"/>
      <c r="G88" s="43"/>
      <c r="H88" s="43"/>
      <c r="I88" s="43"/>
      <c r="J88" s="91">
        <v>50.8</v>
      </c>
      <c r="K88" s="15">
        <v>40</v>
      </c>
      <c r="L88" s="15">
        <v>40</v>
      </c>
      <c r="M88" s="15">
        <v>1.2</v>
      </c>
      <c r="N88" s="15" t="s">
        <v>229</v>
      </c>
      <c r="O88" s="15" t="s">
        <v>963</v>
      </c>
      <c r="P88" s="15" t="s">
        <v>445</v>
      </c>
      <c r="Q88" s="92" t="s">
        <v>1816</v>
      </c>
      <c r="R88" s="215">
        <f>Table11[[#This Row],[Grand Total]]</f>
        <v>10.777378894079998</v>
      </c>
      <c r="S88" s="93">
        <f>VLOOKUP(Table11[[#This Row],[Bucket]],salesforecast[[#All],[Bucket2]:[WIP]],3,0)</f>
        <v>13.346468</v>
      </c>
      <c r="T88" s="93">
        <f>VLOOKUP(Table11[[#This Row],[Bucket]],salesforecast[[#All],[Bucket2]:[WIP]],4,0)</f>
        <v>1.228672</v>
      </c>
      <c r="U88" s="93">
        <f>VLOOKUP(Table11[[#This Row],[Bucket]],salesforecast[[#All],[Bucket2]:[WIP]],5,0)</f>
        <v>1.4509489999999996</v>
      </c>
      <c r="V88" s="93">
        <f>VLOOKUP(Table11[[#This Row],[Bucket]],salesforecast[[#All],[Bucket2]:[WIP]],7,0)</f>
        <v>10.451000000000001</v>
      </c>
      <c r="W88" s="93">
        <f>Table11[[#This Row],[Stock LL]]+Table11[[#This Row],[WIP]]+Table11[[#This Row],[Stock CTL]]</f>
        <v>13.130621</v>
      </c>
      <c r="X88" s="93">
        <f>IF((Table11[[#This Row],[Requirement]]-Table11[[#This Row],[Sales]]-Table11[[#This Row],[Total Stock]])&lt;0,0,Table11[[#This Row],[Requirement]]-Table11[[#This Row],[Sales]]-Table11[[#This Row],[Total Stock]])</f>
        <v>0</v>
      </c>
      <c r="Y88" s="94" t="str">
        <f>_xlfn.CONCAT(ROUND(Table11[[#This Row],[Total Stock]]/Table11[[#This Row],[Requirement]]*100,0),"% Coverage. Rest by Week 3")</f>
        <v>122% Coverage. Rest by Week 3</v>
      </c>
      <c r="Z88" s="93">
        <v>50.8</v>
      </c>
      <c r="AA88" s="93">
        <v>40</v>
      </c>
      <c r="AB88" s="93">
        <v>40</v>
      </c>
      <c r="AC88" s="93">
        <v>1.2</v>
      </c>
      <c r="AD88" s="93" t="s">
        <v>229</v>
      </c>
      <c r="AE88" s="93" t="s">
        <v>963</v>
      </c>
      <c r="AF88" s="93" t="s">
        <v>445</v>
      </c>
      <c r="AG88" s="93" t="b">
        <f>EXACT(Table11[[#This Row],[Bucket8]],Table11[[#This Row],[Bucket]])</f>
        <v>1</v>
      </c>
      <c r="AH88" s="93"/>
      <c r="AI88" s="93"/>
      <c r="AJ88" s="93"/>
      <c r="AK88" s="93"/>
      <c r="AL88" s="93">
        <v>5.1348796799999992</v>
      </c>
      <c r="AM88" s="93"/>
      <c r="AN88" s="93"/>
      <c r="AO88" s="93"/>
      <c r="AP88" s="93"/>
      <c r="AQ88" s="93"/>
      <c r="AR88" s="93"/>
      <c r="AS88" s="93"/>
      <c r="AT88" s="93"/>
      <c r="AU88" s="93"/>
      <c r="AV88" s="93"/>
      <c r="AW88" s="93"/>
      <c r="AX88" s="93"/>
      <c r="AY88" s="93"/>
      <c r="AZ88" s="93"/>
      <c r="BA88" s="93"/>
      <c r="BB88" s="93">
        <v>0.58831050048</v>
      </c>
      <c r="BC88" s="93">
        <v>5.0541887135999994</v>
      </c>
      <c r="BD88" s="93"/>
      <c r="BE88" s="467">
        <v>10.777378894079998</v>
      </c>
    </row>
    <row r="89" spans="1:57" x14ac:dyDescent="0.25">
      <c r="A89" s="136"/>
      <c r="B89" s="136"/>
      <c r="D89" s="136"/>
      <c r="G89" s="43"/>
      <c r="H89" s="43"/>
      <c r="I89" s="43"/>
      <c r="J89" s="91">
        <v>50.8</v>
      </c>
      <c r="K89" s="15">
        <v>50</v>
      </c>
      <c r="L89" s="15">
        <v>30</v>
      </c>
      <c r="M89" s="15">
        <v>1.6</v>
      </c>
      <c r="N89" s="15" t="s">
        <v>962</v>
      </c>
      <c r="O89" s="15" t="s">
        <v>1003</v>
      </c>
      <c r="P89" s="15" t="s">
        <v>474</v>
      </c>
      <c r="Q89" s="92" t="s">
        <v>1816</v>
      </c>
      <c r="R89" s="215">
        <f>Table11[[#This Row],[Grand Total]]</f>
        <v>54.174334149888004</v>
      </c>
      <c r="S89" s="93">
        <f>VLOOKUP(Table11[[#This Row],[Bucket]],salesforecast[[#All],[Bucket2]:[WIP]],3,0)</f>
        <v>48.844667999999992</v>
      </c>
      <c r="T89" s="93">
        <f>VLOOKUP(Table11[[#This Row],[Bucket]],salesforecast[[#All],[Bucket2]:[WIP]],4,0)</f>
        <v>6.7228570000000003</v>
      </c>
      <c r="U89" s="93">
        <f>VLOOKUP(Table11[[#This Row],[Bucket]],salesforecast[[#All],[Bucket2]:[WIP]],5,0)</f>
        <v>0</v>
      </c>
      <c r="V89" s="93">
        <f>VLOOKUP(Table11[[#This Row],[Bucket]],salesforecast[[#All],[Bucket2]:[WIP]],7,0)</f>
        <v>24.911000000000001</v>
      </c>
      <c r="W89" s="93">
        <f>Table11[[#This Row],[Stock LL]]+Table11[[#This Row],[WIP]]+Table11[[#This Row],[Stock CTL]]</f>
        <v>31.633857000000003</v>
      </c>
      <c r="X89" s="93">
        <f>IF((Table11[[#This Row],[Requirement]]-Table11[[#This Row],[Sales]]-Table11[[#This Row],[Total Stock]])&lt;0,0,Table11[[#This Row],[Requirement]]-Table11[[#This Row],[Sales]]-Table11[[#This Row],[Total Stock]])</f>
        <v>0</v>
      </c>
      <c r="Y89" s="94" t="str">
        <f>_xlfn.CONCAT(ROUND(Table11[[#This Row],[Total Stock]]/Table11[[#This Row],[Requirement]]*100,0),"% Coverage. Rest by Week 3")</f>
        <v>58% Coverage. Rest by Week 3</v>
      </c>
      <c r="Z89" s="93">
        <v>50.8</v>
      </c>
      <c r="AA89" s="93">
        <v>50</v>
      </c>
      <c r="AB89" s="93">
        <v>30</v>
      </c>
      <c r="AC89" s="93">
        <v>1.6</v>
      </c>
      <c r="AD89" s="93" t="s">
        <v>962</v>
      </c>
      <c r="AE89" s="93" t="s">
        <v>1003</v>
      </c>
      <c r="AF89" s="93" t="s">
        <v>474</v>
      </c>
      <c r="AG89" s="93" t="b">
        <f>EXACT(Table11[[#This Row],[Bucket8]],Table11[[#This Row],[Bucket]])</f>
        <v>1</v>
      </c>
      <c r="AH89" s="93">
        <v>4.2688124160000003</v>
      </c>
      <c r="AI89" s="93">
        <v>38.67544048896</v>
      </c>
      <c r="AJ89" s="93">
        <v>11.230081244928</v>
      </c>
      <c r="AK89" s="93"/>
      <c r="AL89" s="93"/>
      <c r="AM89" s="93"/>
      <c r="AN89" s="93"/>
      <c r="AO89" s="93"/>
      <c r="AP89" s="93"/>
      <c r="AQ89" s="93"/>
      <c r="AR89" s="93"/>
      <c r="AS89" s="93"/>
      <c r="AT89" s="93"/>
      <c r="AU89" s="93"/>
      <c r="AV89" s="93"/>
      <c r="AW89" s="93"/>
      <c r="AX89" s="93"/>
      <c r="AY89" s="93"/>
      <c r="AZ89" s="93"/>
      <c r="BA89" s="93"/>
      <c r="BB89" s="93"/>
      <c r="BC89" s="93"/>
      <c r="BD89" s="93"/>
      <c r="BE89" s="467">
        <v>54.174334149888004</v>
      </c>
    </row>
    <row r="90" spans="1:57" x14ac:dyDescent="0.25">
      <c r="A90" s="137"/>
      <c r="B90" s="136"/>
      <c r="D90" s="136"/>
      <c r="G90" s="43"/>
      <c r="H90" s="43"/>
      <c r="I90" s="43"/>
      <c r="J90" s="91">
        <v>50.8</v>
      </c>
      <c r="K90" s="15">
        <v>50</v>
      </c>
      <c r="L90" s="15">
        <v>30</v>
      </c>
      <c r="M90" s="15">
        <v>1.6</v>
      </c>
      <c r="N90" s="15" t="s">
        <v>993</v>
      </c>
      <c r="O90" s="15" t="s">
        <v>1003</v>
      </c>
      <c r="P90" s="15" t="s">
        <v>1824</v>
      </c>
      <c r="Q90" s="92" t="s">
        <v>1816</v>
      </c>
      <c r="R90" s="215">
        <f>Table11[[#This Row],[Grand Total]]</f>
        <v>13.973468470717439</v>
      </c>
      <c r="S90" s="93">
        <f>VLOOKUP(Table11[[#This Row],[Bucket]],salesforecast[[#All],[Bucket2]:[WIP]],3,0)</f>
        <v>0</v>
      </c>
      <c r="T90" s="93">
        <f>VLOOKUP(Table11[[#This Row],[Bucket]],salesforecast[[#All],[Bucket2]:[WIP]],4,0)</f>
        <v>7.5760999999999995E-2</v>
      </c>
      <c r="U90" s="93">
        <f>VLOOKUP(Table11[[#This Row],[Bucket]],salesforecast[[#All],[Bucket2]:[WIP]],5,0)</f>
        <v>0</v>
      </c>
      <c r="V90" s="93">
        <f>VLOOKUP(Table11[[#This Row],[Bucket]],salesforecast[[#All],[Bucket2]:[WIP]],7,0)</f>
        <v>11.55</v>
      </c>
      <c r="W90" s="93">
        <f>Table11[[#This Row],[Stock LL]]+Table11[[#This Row],[WIP]]+Table11[[#This Row],[Stock CTL]]</f>
        <v>11.625761000000001</v>
      </c>
      <c r="X90" s="93">
        <f>IF((Table11[[#This Row],[Requirement]]-Table11[[#This Row],[Sales]]-Table11[[#This Row],[Total Stock]])&lt;0,0,Table11[[#This Row],[Requirement]]-Table11[[#This Row],[Sales]]-Table11[[#This Row],[Total Stock]])</f>
        <v>2.3477074707174381</v>
      </c>
      <c r="Y90" s="94" t="str">
        <f>_xlfn.CONCAT(ROUND(Table11[[#This Row],[Total Stock]]/Table11[[#This Row],[Requirement]]*100,0),"% Coverage. Rest by Week 3")</f>
        <v>83% Coverage. Rest by Week 3</v>
      </c>
      <c r="Z90" s="93">
        <v>50.8</v>
      </c>
      <c r="AA90" s="93">
        <v>50</v>
      </c>
      <c r="AB90" s="93">
        <v>30</v>
      </c>
      <c r="AC90" s="93">
        <v>1.6</v>
      </c>
      <c r="AD90" s="93" t="s">
        <v>993</v>
      </c>
      <c r="AE90" s="93" t="s">
        <v>1003</v>
      </c>
      <c r="AF90" s="93" t="s">
        <v>1824</v>
      </c>
      <c r="AG90" s="93" t="b">
        <f>EXACT(Table11[[#This Row],[Bucket8]],Table11[[#This Row],[Bucket]])</f>
        <v>1</v>
      </c>
      <c r="AH90" s="93"/>
      <c r="AI90" s="93"/>
      <c r="AJ90" s="93"/>
      <c r="AK90" s="93"/>
      <c r="AL90" s="93"/>
      <c r="AM90" s="93"/>
      <c r="AN90" s="93"/>
      <c r="AO90" s="93"/>
      <c r="AP90" s="93"/>
      <c r="AQ90" s="93"/>
      <c r="AR90" s="93"/>
      <c r="AS90" s="93"/>
      <c r="AT90" s="93"/>
      <c r="AU90" s="93"/>
      <c r="AV90" s="93"/>
      <c r="AW90" s="93"/>
      <c r="AX90" s="93">
        <v>13.973468470717439</v>
      </c>
      <c r="AY90" s="93"/>
      <c r="AZ90" s="93"/>
      <c r="BA90" s="93"/>
      <c r="BB90" s="93"/>
      <c r="BC90" s="93"/>
      <c r="BD90" s="93"/>
      <c r="BE90" s="467">
        <v>13.973468470717439</v>
      </c>
    </row>
    <row r="91" spans="1:57" x14ac:dyDescent="0.25">
      <c r="A91" s="136"/>
      <c r="B91" s="136"/>
      <c r="D91" s="136"/>
      <c r="G91" s="43"/>
      <c r="H91" s="43"/>
      <c r="I91" s="43"/>
      <c r="J91" s="91">
        <v>50.8</v>
      </c>
      <c r="K91" s="15">
        <v>50</v>
      </c>
      <c r="L91" s="15">
        <v>30</v>
      </c>
      <c r="M91" s="15">
        <v>2</v>
      </c>
      <c r="N91" s="15" t="s">
        <v>962</v>
      </c>
      <c r="O91" s="15" t="s">
        <v>1003</v>
      </c>
      <c r="P91" s="15" t="s">
        <v>841</v>
      </c>
      <c r="Q91" s="92" t="s">
        <v>1816</v>
      </c>
      <c r="R91" s="215">
        <f>Table11[[#This Row],[Grand Total]]</f>
        <v>11.042357615999999</v>
      </c>
      <c r="S91" s="93">
        <f>VLOOKUP(Table11[[#This Row],[Bucket]],salesforecast[[#All],[Bucket2]:[WIP]],3,0)</f>
        <v>40.550028000000005</v>
      </c>
      <c r="T91" s="93">
        <f>VLOOKUP(Table11[[#This Row],[Bucket]],salesforecast[[#All],[Bucket2]:[WIP]],4,0)</f>
        <v>1.9920889999999998</v>
      </c>
      <c r="U91" s="93">
        <f>VLOOKUP(Table11[[#This Row],[Bucket]],salesforecast[[#All],[Bucket2]:[WIP]],5,0)</f>
        <v>0</v>
      </c>
      <c r="V91" s="93">
        <f>VLOOKUP(Table11[[#This Row],[Bucket]],salesforecast[[#All],[Bucket2]:[WIP]],7,0)</f>
        <v>0</v>
      </c>
      <c r="W91" s="93">
        <f>Table11[[#This Row],[Stock LL]]+Table11[[#This Row],[WIP]]+Table11[[#This Row],[Stock CTL]]</f>
        <v>1.9920889999999998</v>
      </c>
      <c r="X91" s="93">
        <f>IF((Table11[[#This Row],[Requirement]]-Table11[[#This Row],[Sales]]-Table11[[#This Row],[Total Stock]])&lt;0,0,Table11[[#This Row],[Requirement]]-Table11[[#This Row],[Sales]]-Table11[[#This Row],[Total Stock]])</f>
        <v>0</v>
      </c>
      <c r="Y91" s="94" t="s">
        <v>1825</v>
      </c>
      <c r="Z91" s="93">
        <v>50.8</v>
      </c>
      <c r="AA91" s="93">
        <v>50</v>
      </c>
      <c r="AB91" s="93">
        <v>30</v>
      </c>
      <c r="AC91" s="93">
        <v>2</v>
      </c>
      <c r="AD91" s="93" t="s">
        <v>962</v>
      </c>
      <c r="AE91" s="93" t="s">
        <v>1003</v>
      </c>
      <c r="AF91" s="93" t="s">
        <v>841</v>
      </c>
      <c r="AG91" s="93" t="b">
        <f>EXACT(Table11[[#This Row],[Bucket8]],Table11[[#This Row],[Bucket]])</f>
        <v>1</v>
      </c>
      <c r="AH91" s="93"/>
      <c r="AI91" s="93"/>
      <c r="AJ91" s="93"/>
      <c r="AK91" s="93"/>
      <c r="AL91" s="93"/>
      <c r="AM91" s="93"/>
      <c r="AN91" s="93"/>
      <c r="AO91" s="93"/>
      <c r="AP91" s="93">
        <v>11.042357615999999</v>
      </c>
      <c r="AQ91" s="93"/>
      <c r="AR91" s="93"/>
      <c r="AS91" s="93"/>
      <c r="AT91" s="93"/>
      <c r="AU91" s="93"/>
      <c r="AV91" s="93"/>
      <c r="AW91" s="93"/>
      <c r="AX91" s="93"/>
      <c r="AY91" s="93"/>
      <c r="AZ91" s="93"/>
      <c r="BA91" s="93"/>
      <c r="BB91" s="93"/>
      <c r="BC91" s="93"/>
      <c r="BD91" s="93"/>
      <c r="BE91" s="467">
        <v>11.042357615999999</v>
      </c>
    </row>
    <row r="92" spans="1:57" x14ac:dyDescent="0.25">
      <c r="A92" s="136"/>
      <c r="B92" s="136"/>
      <c r="D92" s="136"/>
      <c r="G92" s="43"/>
      <c r="H92" s="43"/>
      <c r="I92" s="43"/>
      <c r="J92" s="91">
        <v>50.8</v>
      </c>
      <c r="K92" s="15">
        <v>50.8</v>
      </c>
      <c r="L92" s="15">
        <v>0</v>
      </c>
      <c r="M92" s="15">
        <v>1.6</v>
      </c>
      <c r="N92" s="15" t="s">
        <v>962</v>
      </c>
      <c r="O92" s="15" t="s">
        <v>1003</v>
      </c>
      <c r="P92" s="15" t="s">
        <v>1065</v>
      </c>
      <c r="Q92" s="92" t="s">
        <v>1816</v>
      </c>
      <c r="R92" s="215">
        <f>Table11[[#This Row],[Grand Total]]</f>
        <v>4.4822530368000004</v>
      </c>
      <c r="S92" s="93">
        <f>VLOOKUP(Table11[[#This Row],[Bucket]],salesforecast[[#All],[Bucket2]:[WIP]],3,0)</f>
        <v>0</v>
      </c>
      <c r="T92" s="93">
        <f>VLOOKUP(Table11[[#This Row],[Bucket]],salesforecast[[#All],[Bucket2]:[WIP]],4,0)</f>
        <v>3.5970400000000002</v>
      </c>
      <c r="U92" s="93">
        <f>VLOOKUP(Table11[[#This Row],[Bucket]],salesforecast[[#All],[Bucket2]:[WIP]],5,0)</f>
        <v>0</v>
      </c>
      <c r="V92" s="93">
        <f>VLOOKUP(Table11[[#This Row],[Bucket]],salesforecast[[#All],[Bucket2]:[WIP]],7,0)</f>
        <v>1.456</v>
      </c>
      <c r="W92" s="93">
        <f>Table11[[#This Row],[Stock LL]]+Table11[[#This Row],[WIP]]+Table11[[#This Row],[Stock CTL]]</f>
        <v>5.0530400000000002</v>
      </c>
      <c r="X92" s="93">
        <f>IF((Table11[[#This Row],[Requirement]]-Table11[[#This Row],[Sales]]-Table11[[#This Row],[Total Stock]])&lt;0,0,Table11[[#This Row],[Requirement]]-Table11[[#This Row],[Sales]]-Table11[[#This Row],[Total Stock]])</f>
        <v>0</v>
      </c>
      <c r="Y92" s="94" t="str">
        <f>_xlfn.CONCAT(ROUND(Table11[[#This Row],[Total Stock]]/Table11[[#This Row],[Requirement]]*100,0),"% Coverage. Rest by Week 3")</f>
        <v>113% Coverage. Rest by Week 3</v>
      </c>
      <c r="Z92" s="93">
        <v>50.8</v>
      </c>
      <c r="AA92" s="93">
        <v>50.8</v>
      </c>
      <c r="AB92" s="93">
        <v>0</v>
      </c>
      <c r="AC92" s="93">
        <v>1.6</v>
      </c>
      <c r="AD92" s="93" t="s">
        <v>962</v>
      </c>
      <c r="AE92" s="93" t="s">
        <v>1003</v>
      </c>
      <c r="AF92" s="93" t="s">
        <v>1065</v>
      </c>
      <c r="AG92" s="93" t="b">
        <f>EXACT(Table11[[#This Row],[Bucket8]],Table11[[#This Row],[Bucket]])</f>
        <v>1</v>
      </c>
      <c r="AH92" s="93"/>
      <c r="AI92" s="93"/>
      <c r="AJ92" s="93"/>
      <c r="AK92" s="93"/>
      <c r="AL92" s="93"/>
      <c r="AM92" s="93"/>
      <c r="AN92" s="93"/>
      <c r="AO92" s="93">
        <v>4.4822530368000004</v>
      </c>
      <c r="AP92" s="93"/>
      <c r="AQ92" s="93"/>
      <c r="AR92" s="93"/>
      <c r="AS92" s="93"/>
      <c r="AT92" s="93"/>
      <c r="AU92" s="93"/>
      <c r="AV92" s="93"/>
      <c r="AW92" s="93"/>
      <c r="AX92" s="93"/>
      <c r="AY92" s="93"/>
      <c r="AZ92" s="93"/>
      <c r="BA92" s="93"/>
      <c r="BB92" s="93"/>
      <c r="BC92" s="93"/>
      <c r="BD92" s="93"/>
      <c r="BE92" s="467">
        <v>4.4822530368000004</v>
      </c>
    </row>
    <row r="93" spans="1:57" x14ac:dyDescent="0.25">
      <c r="A93" s="137"/>
      <c r="B93" s="136"/>
      <c r="D93" s="136"/>
      <c r="G93" s="43"/>
      <c r="H93" s="43"/>
      <c r="I93" s="43"/>
      <c r="J93" s="91">
        <v>54</v>
      </c>
      <c r="K93" s="15">
        <v>54</v>
      </c>
      <c r="L93" s="15">
        <v>0</v>
      </c>
      <c r="M93" s="15">
        <v>3</v>
      </c>
      <c r="N93" s="15" t="s">
        <v>993</v>
      </c>
      <c r="O93" s="15" t="s">
        <v>1003</v>
      </c>
      <c r="P93" s="15" t="s">
        <v>920</v>
      </c>
      <c r="Q93" s="92" t="s">
        <v>1817</v>
      </c>
      <c r="R93" s="215">
        <f>Table11[[#This Row],[Grand Total]]</f>
        <v>31.556704777200004</v>
      </c>
      <c r="S93" s="93">
        <f>VLOOKUP(Table11[[#This Row],[Bucket]],salesforecast[[#All],[Bucket2]:[WIP]],3,0)</f>
        <v>41.545660000000005</v>
      </c>
      <c r="T93" s="93">
        <f>VLOOKUP(Table11[[#This Row],[Bucket]],salesforecast[[#All],[Bucket2]:[WIP]],4,0)</f>
        <v>5.13476</v>
      </c>
      <c r="U93" s="93">
        <f>VLOOKUP(Table11[[#This Row],[Bucket]],salesforecast[[#All],[Bucket2]:[WIP]],5,0)</f>
        <v>39.157000000000004</v>
      </c>
      <c r="V93" s="93">
        <f>VLOOKUP(Table11[[#This Row],[Bucket]],salesforecast[[#All],[Bucket2]:[WIP]],7,0)</f>
        <v>0</v>
      </c>
      <c r="W93" s="93">
        <f>Table11[[#This Row],[Stock LL]]+Table11[[#This Row],[WIP]]+Table11[[#This Row],[Stock CTL]]</f>
        <v>44.291760000000004</v>
      </c>
      <c r="X93" s="93">
        <f>IF((Table11[[#This Row],[Requirement]]-Table11[[#This Row],[Sales]]-Table11[[#This Row],[Total Stock]])&lt;0,0,Table11[[#This Row],[Requirement]]-Table11[[#This Row],[Sales]]-Table11[[#This Row],[Total Stock]])</f>
        <v>0</v>
      </c>
      <c r="Y93" s="94" t="str">
        <f>_xlfn.CONCAT(ROUND(Table11[[#This Row],[Total Stock]]/Table11[[#This Row],[Requirement]]*100,0),"% Coverage. Rest by Week 3")</f>
        <v>140% Coverage. Rest by Week 3</v>
      </c>
      <c r="Z93" s="93">
        <v>54</v>
      </c>
      <c r="AA93" s="93">
        <v>54</v>
      </c>
      <c r="AB93" s="93">
        <v>0</v>
      </c>
      <c r="AC93" s="93">
        <v>3</v>
      </c>
      <c r="AD93" s="93" t="s">
        <v>993</v>
      </c>
      <c r="AE93" s="93" t="s">
        <v>1003</v>
      </c>
      <c r="AF93" s="93" t="s">
        <v>920</v>
      </c>
      <c r="AG93" s="93" t="b">
        <f>EXACT(Table11[[#This Row],[Bucket8]],Table11[[#This Row],[Bucket]])</f>
        <v>1</v>
      </c>
      <c r="AH93" s="93"/>
      <c r="AI93" s="93"/>
      <c r="AJ93" s="93"/>
      <c r="AK93" s="93"/>
      <c r="AL93" s="93"/>
      <c r="AM93" s="93"/>
      <c r="AN93" s="93"/>
      <c r="AO93" s="93"/>
      <c r="AP93" s="93">
        <v>21.496392900000004</v>
      </c>
      <c r="AQ93" s="93"/>
      <c r="AR93" s="93"/>
      <c r="AS93" s="93"/>
      <c r="AT93" s="93"/>
      <c r="AU93" s="93"/>
      <c r="AV93" s="93"/>
      <c r="AW93" s="93"/>
      <c r="AX93" s="93"/>
      <c r="AY93" s="93"/>
      <c r="AZ93" s="93"/>
      <c r="BA93" s="93"/>
      <c r="BB93" s="93"/>
      <c r="BC93" s="93"/>
      <c r="BD93" s="93">
        <v>10.0603118772</v>
      </c>
      <c r="BE93" s="467">
        <v>31.556704777200004</v>
      </c>
    </row>
    <row r="94" spans="1:57" x14ac:dyDescent="0.25">
      <c r="A94" s="136"/>
      <c r="B94" s="136"/>
      <c r="D94" s="136"/>
      <c r="H94" s="43"/>
      <c r="I94" s="43"/>
      <c r="J94" s="91">
        <v>57.15</v>
      </c>
      <c r="K94" s="15">
        <v>57.15</v>
      </c>
      <c r="L94" s="15">
        <v>0</v>
      </c>
      <c r="M94" s="15">
        <v>2</v>
      </c>
      <c r="N94" s="15" t="s">
        <v>962</v>
      </c>
      <c r="O94" s="15" t="s">
        <v>1003</v>
      </c>
      <c r="P94" s="15" t="s">
        <v>909</v>
      </c>
      <c r="Q94" s="92" t="s">
        <v>1816</v>
      </c>
      <c r="R94" s="215">
        <f>Table11[[#This Row],[Grand Total]]</f>
        <v>16.997026308989998</v>
      </c>
      <c r="S94" s="93">
        <f>VLOOKUP(Table11[[#This Row],[Bucket]],salesforecast[[#All],[Bucket2]:[WIP]],3,0)</f>
        <v>11.995132</v>
      </c>
      <c r="T94" s="93">
        <f>VLOOKUP(Table11[[#This Row],[Bucket]],salesforecast[[#All],[Bucket2]:[WIP]],4,0)</f>
        <v>1.2734259999999999</v>
      </c>
      <c r="U94" s="93">
        <f>VLOOKUP(Table11[[#This Row],[Bucket]],salesforecast[[#All],[Bucket2]:[WIP]],5,0)</f>
        <v>2.4550979999999996</v>
      </c>
      <c r="V94" s="93">
        <f>VLOOKUP(Table11[[#This Row],[Bucket]],salesforecast[[#All],[Bucket2]:[WIP]],7,0)</f>
        <v>0</v>
      </c>
      <c r="W94" s="93">
        <f>Table11[[#This Row],[Stock LL]]+Table11[[#This Row],[WIP]]+Table11[[#This Row],[Stock CTL]]</f>
        <v>3.7285239999999993</v>
      </c>
      <c r="X94" s="93">
        <f>IF((Table11[[#This Row],[Requirement]]-Table11[[#This Row],[Sales]]-Table11[[#This Row],[Total Stock]])&lt;0,0,Table11[[#This Row],[Requirement]]-Table11[[#This Row],[Sales]]-Table11[[#This Row],[Total Stock]])</f>
        <v>1.2733703089899988</v>
      </c>
      <c r="Y94" s="94" t="str">
        <f>_xlfn.CONCAT(ROUND(Table11[[#This Row],[Total Stock]]/Table11[[#This Row],[Requirement]]*100,0),"% Coverage. Rest by Week 3")</f>
        <v>22% Coverage. Rest by Week 3</v>
      </c>
      <c r="Z94" s="93">
        <v>57.15</v>
      </c>
      <c r="AA94" s="93">
        <v>57.15</v>
      </c>
      <c r="AB94" s="93">
        <v>0</v>
      </c>
      <c r="AC94" s="93">
        <v>2</v>
      </c>
      <c r="AD94" s="93" t="s">
        <v>962</v>
      </c>
      <c r="AE94" s="93" t="s">
        <v>1003</v>
      </c>
      <c r="AF94" s="93" t="s">
        <v>909</v>
      </c>
      <c r="AG94" s="93" t="b">
        <f>EXACT(Table11[[#This Row],[Bucket8]],Table11[[#This Row],[Bucket]])</f>
        <v>1</v>
      </c>
      <c r="AH94" s="93"/>
      <c r="AI94" s="93"/>
      <c r="AJ94" s="93">
        <v>11.437111597489999</v>
      </c>
      <c r="AK94" s="93"/>
      <c r="AL94" s="93"/>
      <c r="AM94" s="93"/>
      <c r="AN94" s="93"/>
      <c r="AO94" s="93"/>
      <c r="AP94" s="93"/>
      <c r="AQ94" s="93"/>
      <c r="AR94" s="93"/>
      <c r="AS94" s="93"/>
      <c r="AT94" s="93"/>
      <c r="AU94" s="93"/>
      <c r="AV94" s="93">
        <v>5.5599147115000003</v>
      </c>
      <c r="AW94" s="93"/>
      <c r="AX94" s="93"/>
      <c r="AY94" s="93"/>
      <c r="AZ94" s="93"/>
      <c r="BA94" s="93"/>
      <c r="BB94" s="93"/>
      <c r="BC94" s="93"/>
      <c r="BD94" s="93"/>
      <c r="BE94" s="467">
        <v>16.997026308989998</v>
      </c>
    </row>
    <row r="95" spans="1:57" x14ac:dyDescent="0.25">
      <c r="A95" s="136"/>
      <c r="B95" s="136"/>
      <c r="D95" s="136"/>
      <c r="H95" s="43"/>
      <c r="I95" s="43"/>
      <c r="J95" s="91">
        <v>57.15</v>
      </c>
      <c r="K95" s="15">
        <v>57.15</v>
      </c>
      <c r="L95" s="15">
        <v>0</v>
      </c>
      <c r="M95" s="15">
        <v>2.2999999999999998</v>
      </c>
      <c r="N95" s="15" t="s">
        <v>993</v>
      </c>
      <c r="O95" s="15" t="s">
        <v>1003</v>
      </c>
      <c r="P95" s="15" t="s">
        <v>904</v>
      </c>
      <c r="Q95" s="92" t="s">
        <v>1826</v>
      </c>
      <c r="R95" s="215">
        <f>Table11[[#This Row],[Grand Total]]</f>
        <v>55.179756088274999</v>
      </c>
      <c r="S95" s="93">
        <f>VLOOKUP(Table11[[#This Row],[Bucket]],salesforecast[[#All],[Bucket2]:[WIP]],3,0)</f>
        <v>48.703773999999996</v>
      </c>
      <c r="T95" s="93">
        <f>VLOOKUP(Table11[[#This Row],[Bucket]],salesforecast[[#All],[Bucket2]:[WIP]],4,0)</f>
        <v>2.1322909999999999</v>
      </c>
      <c r="U95" s="93">
        <f>VLOOKUP(Table11[[#This Row],[Bucket]],salesforecast[[#All],[Bucket2]:[WIP]],5,0)</f>
        <v>19.938757000000003</v>
      </c>
      <c r="V95" s="93">
        <f>VLOOKUP(Table11[[#This Row],[Bucket]],salesforecast[[#All],[Bucket2]:[WIP]],7,0)</f>
        <v>0</v>
      </c>
      <c r="W95" s="93">
        <f>Table11[[#This Row],[Stock LL]]+Table11[[#This Row],[WIP]]+Table11[[#This Row],[Stock CTL]]</f>
        <v>22.071048000000001</v>
      </c>
      <c r="X95" s="93">
        <f>IF((Table11[[#This Row],[Requirement]]-Table11[[#This Row],[Sales]]-Table11[[#This Row],[Total Stock]])&lt;0,0,Table11[[#This Row],[Requirement]]-Table11[[#This Row],[Sales]]-Table11[[#This Row],[Total Stock]])</f>
        <v>0</v>
      </c>
      <c r="Y95" s="94" t="str">
        <f>_xlfn.CONCAT(ROUND(Table11[[#This Row],[Total Stock]]/Table11[[#This Row],[Requirement]]*100,0),"% Coverage. Rest by Week 3")</f>
        <v>40% Coverage. Rest by Week 3</v>
      </c>
      <c r="Z95" s="93">
        <v>57.15</v>
      </c>
      <c r="AA95" s="93">
        <v>57.15</v>
      </c>
      <c r="AB95" s="93">
        <v>0</v>
      </c>
      <c r="AC95" s="93">
        <v>2.2999999999999998</v>
      </c>
      <c r="AD95" s="93" t="s">
        <v>993</v>
      </c>
      <c r="AE95" s="93" t="s">
        <v>1003</v>
      </c>
      <c r="AF95" s="93" t="s">
        <v>904</v>
      </c>
      <c r="AG95" s="93" t="b">
        <f>EXACT(Table11[[#This Row],[Bucket8]],Table11[[#This Row],[Bucket]])</f>
        <v>1</v>
      </c>
      <c r="AH95" s="93"/>
      <c r="AI95" s="93"/>
      <c r="AJ95" s="93"/>
      <c r="AK95" s="93"/>
      <c r="AL95" s="93"/>
      <c r="AM95" s="93"/>
      <c r="AN95" s="93"/>
      <c r="AO95" s="93">
        <v>55.179756088274999</v>
      </c>
      <c r="AP95" s="93"/>
      <c r="AQ95" s="93"/>
      <c r="AR95" s="93"/>
      <c r="AS95" s="93"/>
      <c r="AT95" s="93"/>
      <c r="AU95" s="93"/>
      <c r="AV95" s="93"/>
      <c r="AW95" s="93"/>
      <c r="AX95" s="93"/>
      <c r="AY95" s="93"/>
      <c r="AZ95" s="93"/>
      <c r="BA95" s="93"/>
      <c r="BB95" s="93"/>
      <c r="BC95" s="93"/>
      <c r="BD95" s="93"/>
      <c r="BE95" s="467">
        <v>55.179756088274999</v>
      </c>
    </row>
    <row r="96" spans="1:57" x14ac:dyDescent="0.25">
      <c r="A96" s="136"/>
      <c r="B96" s="136"/>
      <c r="D96" s="136"/>
      <c r="H96" s="43"/>
      <c r="I96" s="43"/>
      <c r="J96" s="91">
        <v>57.15</v>
      </c>
      <c r="K96" s="15">
        <v>57.15</v>
      </c>
      <c r="L96" s="15">
        <v>0</v>
      </c>
      <c r="M96" s="15">
        <v>2.5</v>
      </c>
      <c r="N96" s="15" t="s">
        <v>962</v>
      </c>
      <c r="O96" s="15" t="s">
        <v>1003</v>
      </c>
      <c r="P96" s="15" t="s">
        <v>926</v>
      </c>
      <c r="Q96" s="92" t="s">
        <v>1816</v>
      </c>
      <c r="R96" s="215">
        <f>Table11[[#This Row],[Grand Total]]</f>
        <v>19.397777040000001</v>
      </c>
      <c r="S96" s="93">
        <f>VLOOKUP(Table11[[#This Row],[Bucket]],salesforecast[[#All],[Bucket2]:[WIP]],3,0)</f>
        <v>4.5005589999999991</v>
      </c>
      <c r="T96" s="93">
        <f>VLOOKUP(Table11[[#This Row],[Bucket]],salesforecast[[#All],[Bucket2]:[WIP]],4,0)</f>
        <v>1.5624000000000001E-2</v>
      </c>
      <c r="U96" s="93">
        <f>VLOOKUP(Table11[[#This Row],[Bucket]],salesforecast[[#All],[Bucket2]:[WIP]],5,0)</f>
        <v>18.554921999999998</v>
      </c>
      <c r="V96" s="93">
        <f>VLOOKUP(Table11[[#This Row],[Bucket]],salesforecast[[#All],[Bucket2]:[WIP]],7,0)</f>
        <v>0</v>
      </c>
      <c r="W96" s="93">
        <f>Table11[[#This Row],[Stock LL]]+Table11[[#This Row],[WIP]]+Table11[[#This Row],[Stock CTL]]</f>
        <v>18.570545999999997</v>
      </c>
      <c r="X96" s="93">
        <f>IF((Table11[[#This Row],[Requirement]]-Table11[[#This Row],[Sales]]-Table11[[#This Row],[Total Stock]])&lt;0,0,Table11[[#This Row],[Requirement]]-Table11[[#This Row],[Sales]]-Table11[[#This Row],[Total Stock]])</f>
        <v>0</v>
      </c>
      <c r="Y96" s="94" t="str">
        <f>_xlfn.CONCAT(ROUND(Table11[[#This Row],[Total Stock]]/Table11[[#This Row],[Requirement]]*100,0),"% Coverage. Rest by Week 3")</f>
        <v>96% Coverage. Rest by Week 3</v>
      </c>
      <c r="Z96" s="93">
        <v>57.15</v>
      </c>
      <c r="AA96" s="93">
        <v>57.15</v>
      </c>
      <c r="AB96" s="93">
        <v>0</v>
      </c>
      <c r="AC96" s="93">
        <v>2.5</v>
      </c>
      <c r="AD96" s="93" t="s">
        <v>962</v>
      </c>
      <c r="AE96" s="93" t="s">
        <v>1003</v>
      </c>
      <c r="AF96" s="93" t="s">
        <v>926</v>
      </c>
      <c r="AG96" s="93" t="b">
        <f>EXACT(Table11[[#This Row],[Bucket8]],Table11[[#This Row],[Bucket]])</f>
        <v>1</v>
      </c>
      <c r="AH96" s="93"/>
      <c r="AI96" s="93"/>
      <c r="AJ96" s="93"/>
      <c r="AK96" s="93"/>
      <c r="AL96" s="93"/>
      <c r="AM96" s="93"/>
      <c r="AN96" s="93"/>
      <c r="AO96" s="93"/>
      <c r="AP96" s="93"/>
      <c r="AQ96" s="93">
        <v>7.7995228514999999</v>
      </c>
      <c r="AR96" s="93"/>
      <c r="AS96" s="93"/>
      <c r="AT96" s="93"/>
      <c r="AU96" s="93"/>
      <c r="AV96" s="93">
        <v>11.5982541885</v>
      </c>
      <c r="AW96" s="93"/>
      <c r="AX96" s="93"/>
      <c r="AY96" s="93"/>
      <c r="AZ96" s="93"/>
      <c r="BA96" s="93"/>
      <c r="BB96" s="93"/>
      <c r="BC96" s="93"/>
      <c r="BD96" s="93"/>
      <c r="BE96" s="467">
        <v>19.397777040000001</v>
      </c>
    </row>
    <row r="97" spans="1:57" x14ac:dyDescent="0.25">
      <c r="A97" s="136"/>
      <c r="B97" s="136"/>
      <c r="D97" s="136"/>
      <c r="G97" s="43"/>
      <c r="H97" s="43"/>
      <c r="I97" s="43"/>
      <c r="J97" s="91">
        <v>60.3</v>
      </c>
      <c r="K97" s="15">
        <v>60.3</v>
      </c>
      <c r="L97" s="15">
        <v>0</v>
      </c>
      <c r="M97" s="15">
        <v>2</v>
      </c>
      <c r="N97" s="15" t="s">
        <v>962</v>
      </c>
      <c r="O97" s="15" t="s">
        <v>1003</v>
      </c>
      <c r="P97" s="15" t="s">
        <v>1070</v>
      </c>
      <c r="Q97" s="92" t="s">
        <v>1817</v>
      </c>
      <c r="R97" s="215">
        <f>Table11[[#This Row],[Grand Total]]</f>
        <v>10.2690642582</v>
      </c>
      <c r="S97" s="93">
        <f>VLOOKUP(Table11[[#This Row],[Bucket]],salesforecast[[#All],[Bucket2]:[WIP]],3,0)</f>
        <v>0</v>
      </c>
      <c r="T97" s="93">
        <f>VLOOKUP(Table11[[#This Row],[Bucket]],salesforecast[[#All],[Bucket2]:[WIP]],4,0)</f>
        <v>0</v>
      </c>
      <c r="U97" s="93">
        <f>VLOOKUP(Table11[[#This Row],[Bucket]],salesforecast[[#All],[Bucket2]:[WIP]],5,0)</f>
        <v>28.386056999999997</v>
      </c>
      <c r="V97" s="93">
        <f>VLOOKUP(Table11[[#This Row],[Bucket]],salesforecast[[#All],[Bucket2]:[WIP]],7,0)</f>
        <v>0</v>
      </c>
      <c r="W97" s="93">
        <f>Table11[[#This Row],[Stock LL]]+Table11[[#This Row],[WIP]]+Table11[[#This Row],[Stock CTL]]</f>
        <v>28.386056999999997</v>
      </c>
      <c r="X97" s="93">
        <f>IF((Table11[[#This Row],[Requirement]]-Table11[[#This Row],[Sales]]-Table11[[#This Row],[Total Stock]])&lt;0,0,Table11[[#This Row],[Requirement]]-Table11[[#This Row],[Sales]]-Table11[[#This Row],[Total Stock]])</f>
        <v>0</v>
      </c>
      <c r="Y97" s="96"/>
      <c r="Z97" s="93">
        <v>60.3</v>
      </c>
      <c r="AA97" s="93">
        <v>60.3</v>
      </c>
      <c r="AB97" s="93">
        <v>0</v>
      </c>
      <c r="AC97" s="93">
        <v>2</v>
      </c>
      <c r="AD97" s="93" t="s">
        <v>962</v>
      </c>
      <c r="AE97" s="93" t="s">
        <v>1003</v>
      </c>
      <c r="AF97" s="93" t="s">
        <v>1070</v>
      </c>
      <c r="AG97" s="93" t="b">
        <f>EXACT(Table11[[#This Row],[Bucket8]],Table11[[#This Row],[Bucket]])</f>
        <v>1</v>
      </c>
      <c r="AH97" s="93"/>
      <c r="AI97" s="93"/>
      <c r="AJ97" s="93"/>
      <c r="AK97" s="93"/>
      <c r="AL97" s="93"/>
      <c r="AM97" s="93">
        <v>6.0355541399999995</v>
      </c>
      <c r="AN97" s="93"/>
      <c r="AO97" s="93"/>
      <c r="AP97" s="93"/>
      <c r="AQ97" s="93"/>
      <c r="AR97" s="93"/>
      <c r="AS97" s="93"/>
      <c r="AT97" s="93"/>
      <c r="AU97" s="93"/>
      <c r="AV97" s="93">
        <v>4.2335101182000008</v>
      </c>
      <c r="AW97" s="93"/>
      <c r="AX97" s="93"/>
      <c r="AY97" s="93"/>
      <c r="AZ97" s="93"/>
      <c r="BA97" s="93"/>
      <c r="BB97" s="93"/>
      <c r="BC97" s="93"/>
      <c r="BD97" s="93"/>
      <c r="BE97" s="467">
        <v>10.2690642582</v>
      </c>
    </row>
    <row r="98" spans="1:57" x14ac:dyDescent="0.25">
      <c r="A98" s="137"/>
      <c r="B98" s="136"/>
      <c r="D98" s="136"/>
      <c r="G98" s="43"/>
      <c r="H98" s="43"/>
      <c r="I98" s="43"/>
      <c r="J98" s="91">
        <v>63.5</v>
      </c>
      <c r="K98" s="15">
        <v>50</v>
      </c>
      <c r="L98" s="15">
        <v>50</v>
      </c>
      <c r="M98" s="15">
        <v>1.6</v>
      </c>
      <c r="N98" s="15" t="s">
        <v>993</v>
      </c>
      <c r="O98" s="15" t="s">
        <v>963</v>
      </c>
      <c r="P98" s="15" t="s">
        <v>895</v>
      </c>
      <c r="Q98" s="92" t="s">
        <v>1826</v>
      </c>
      <c r="R98" s="215">
        <f>Table11[[#This Row],[Grand Total]]</f>
        <v>15.404571403144001</v>
      </c>
      <c r="S98" s="93">
        <f>VLOOKUP(Table11[[#This Row],[Bucket]],salesforecast[[#All],[Bucket2]:[WIP]],3,0)</f>
        <v>4.1121940000000006</v>
      </c>
      <c r="T98" s="93">
        <f>VLOOKUP(Table11[[#This Row],[Bucket]],salesforecast[[#All],[Bucket2]:[WIP]],4,0)</f>
        <v>3.2915710000000002</v>
      </c>
      <c r="U98" s="93">
        <f>VLOOKUP(Table11[[#This Row],[Bucket]],salesforecast[[#All],[Bucket2]:[WIP]],5,0)</f>
        <v>14.201103000000007</v>
      </c>
      <c r="V98" s="93">
        <f>VLOOKUP(Table11[[#This Row],[Bucket]],salesforecast[[#All],[Bucket2]:[WIP]],7,0)</f>
        <v>0</v>
      </c>
      <c r="W98" s="93">
        <f>Table11[[#This Row],[Stock LL]]+Table11[[#This Row],[WIP]]+Table11[[#This Row],[Stock CTL]]</f>
        <v>17.492674000000008</v>
      </c>
      <c r="X98" s="93">
        <f>IF((Table11[[#This Row],[Requirement]]-Table11[[#This Row],[Sales]]-Table11[[#This Row],[Total Stock]])&lt;0,0,Table11[[#This Row],[Requirement]]-Table11[[#This Row],[Sales]]-Table11[[#This Row],[Total Stock]])</f>
        <v>0</v>
      </c>
      <c r="Y98" s="96"/>
      <c r="Z98" s="93">
        <v>63.5</v>
      </c>
      <c r="AA98" s="93">
        <v>50</v>
      </c>
      <c r="AB98" s="93">
        <v>50</v>
      </c>
      <c r="AC98" s="93">
        <v>1.6</v>
      </c>
      <c r="AD98" s="93" t="s">
        <v>993</v>
      </c>
      <c r="AE98" s="93" t="s">
        <v>963</v>
      </c>
      <c r="AF98" s="93" t="s">
        <v>895</v>
      </c>
      <c r="AG98" s="93" t="b">
        <f>EXACT(Table11[[#This Row],[Bucket8]],Table11[[#This Row],[Bucket]])</f>
        <v>1</v>
      </c>
      <c r="AH98" s="93"/>
      <c r="AI98" s="93"/>
      <c r="AJ98" s="93"/>
      <c r="AK98" s="93"/>
      <c r="AL98" s="93"/>
      <c r="AM98" s="93"/>
      <c r="AN98" s="93"/>
      <c r="AO98" s="93"/>
      <c r="AP98" s="93">
        <v>10.3386385256</v>
      </c>
      <c r="AQ98" s="93"/>
      <c r="AR98" s="93"/>
      <c r="AS98" s="93"/>
      <c r="AT98" s="93"/>
      <c r="AU98" s="93"/>
      <c r="AV98" s="93"/>
      <c r="AW98" s="93"/>
      <c r="AX98" s="93"/>
      <c r="AY98" s="93"/>
      <c r="AZ98" s="93"/>
      <c r="BA98" s="93"/>
      <c r="BB98" s="93"/>
      <c r="BC98" s="93"/>
      <c r="BD98" s="93">
        <v>5.0659328775440011</v>
      </c>
      <c r="BE98" s="467">
        <v>15.404571403144001</v>
      </c>
    </row>
    <row r="99" spans="1:57" x14ac:dyDescent="0.25">
      <c r="A99" s="137"/>
      <c r="B99" s="136"/>
      <c r="D99" s="136"/>
      <c r="G99" s="43"/>
      <c r="H99" s="43"/>
      <c r="I99" s="43"/>
      <c r="J99" s="91">
        <v>63.5</v>
      </c>
      <c r="K99" s="15">
        <v>63.5</v>
      </c>
      <c r="L99" s="15">
        <v>0</v>
      </c>
      <c r="M99" s="15">
        <v>4</v>
      </c>
      <c r="N99" s="15" t="s">
        <v>962</v>
      </c>
      <c r="O99" s="15" t="s">
        <v>1003</v>
      </c>
      <c r="P99" s="15" t="s">
        <v>872</v>
      </c>
      <c r="Q99" s="92" t="s">
        <v>1817</v>
      </c>
      <c r="R99" s="215">
        <f>Table11[[#This Row],[Grand Total]]</f>
        <v>31.039450442000003</v>
      </c>
      <c r="S99" s="93">
        <f>VLOOKUP(Table11[[#This Row],[Bucket]],salesforecast[[#All],[Bucket2]:[WIP]],3,0)</f>
        <v>22.535115000000008</v>
      </c>
      <c r="T99" s="93">
        <f>VLOOKUP(Table11[[#This Row],[Bucket]],salesforecast[[#All],[Bucket2]:[WIP]],4,0)</f>
        <v>6.3467739999999999</v>
      </c>
      <c r="U99" s="93">
        <f>VLOOKUP(Table11[[#This Row],[Bucket]],salesforecast[[#All],[Bucket2]:[WIP]],5,0)</f>
        <v>70.552486000000002</v>
      </c>
      <c r="V99" s="93">
        <f>VLOOKUP(Table11[[#This Row],[Bucket]],salesforecast[[#All],[Bucket2]:[WIP]],7,0)</f>
        <v>0</v>
      </c>
      <c r="W99" s="93">
        <f>Table11[[#This Row],[Stock LL]]+Table11[[#This Row],[WIP]]+Table11[[#This Row],[Stock CTL]]</f>
        <v>76.899259999999998</v>
      </c>
      <c r="X99" s="93">
        <f>IF((Table11[[#This Row],[Requirement]]-Table11[[#This Row],[Sales]]-Table11[[#This Row],[Total Stock]])&lt;0,0,Table11[[#This Row],[Requirement]]-Table11[[#This Row],[Sales]]-Table11[[#This Row],[Total Stock]])</f>
        <v>0</v>
      </c>
      <c r="Y99" s="96"/>
      <c r="Z99" s="93">
        <v>63.5</v>
      </c>
      <c r="AA99" s="93">
        <v>63.5</v>
      </c>
      <c r="AB99" s="93">
        <v>0</v>
      </c>
      <c r="AC99" s="93">
        <v>4</v>
      </c>
      <c r="AD99" s="93" t="s">
        <v>962</v>
      </c>
      <c r="AE99" s="93" t="s">
        <v>1003</v>
      </c>
      <c r="AF99" s="93" t="s">
        <v>872</v>
      </c>
      <c r="AG99" s="93" t="b">
        <f>EXACT(Table11[[#This Row],[Bucket8]],Table11[[#This Row],[Bucket]])</f>
        <v>1</v>
      </c>
      <c r="AH99" s="93"/>
      <c r="AI99" s="93"/>
      <c r="AJ99" s="93"/>
      <c r="AK99" s="93"/>
      <c r="AL99" s="93"/>
      <c r="AM99" s="93"/>
      <c r="AN99" s="93"/>
      <c r="AO99" s="93"/>
      <c r="AP99" s="93">
        <v>17.998305416000004</v>
      </c>
      <c r="AQ99" s="93"/>
      <c r="AR99" s="93"/>
      <c r="AS99" s="93"/>
      <c r="AT99" s="93"/>
      <c r="AU99" s="93"/>
      <c r="AV99" s="93"/>
      <c r="AW99" s="93"/>
      <c r="AX99" s="93"/>
      <c r="AY99" s="93"/>
      <c r="AZ99" s="93"/>
      <c r="BA99" s="93"/>
      <c r="BB99" s="93"/>
      <c r="BC99" s="93"/>
      <c r="BD99" s="93">
        <v>13.041145026000001</v>
      </c>
      <c r="BE99" s="467">
        <v>31.039450442000003</v>
      </c>
    </row>
    <row r="100" spans="1:57" x14ac:dyDescent="0.25">
      <c r="A100" s="136"/>
      <c r="B100" s="136"/>
      <c r="D100" s="136"/>
      <c r="G100" s="43"/>
      <c r="H100" s="43"/>
      <c r="I100" s="43"/>
      <c r="J100" s="91">
        <v>70</v>
      </c>
      <c r="K100" s="15">
        <v>70</v>
      </c>
      <c r="L100" s="15">
        <v>0</v>
      </c>
      <c r="M100" s="15">
        <v>3.2</v>
      </c>
      <c r="N100" s="15" t="s">
        <v>993</v>
      </c>
      <c r="O100" s="15" t="s">
        <v>1003</v>
      </c>
      <c r="P100" s="15" t="s">
        <v>914</v>
      </c>
      <c r="Q100" s="92" t="s">
        <v>1817</v>
      </c>
      <c r="R100" s="215">
        <f>Table11[[#This Row],[Grand Total]]</f>
        <v>18.843945166335999</v>
      </c>
      <c r="S100" s="93">
        <f>VLOOKUP(Table11[[#This Row],[Bucket]],salesforecast[[#All],[Bucket2]:[WIP]],3,0)</f>
        <v>12.234237</v>
      </c>
      <c r="T100" s="93">
        <f>VLOOKUP(Table11[[#This Row],[Bucket]],salesforecast[[#All],[Bucket2]:[WIP]],4,0)</f>
        <v>1.880619</v>
      </c>
      <c r="U100" s="93">
        <f>VLOOKUP(Table11[[#This Row],[Bucket]],salesforecast[[#All],[Bucket2]:[WIP]],5,0)</f>
        <v>37.067985999999991</v>
      </c>
      <c r="V100" s="93">
        <f>VLOOKUP(Table11[[#This Row],[Bucket]],salesforecast[[#All],[Bucket2]:[WIP]],7,0)</f>
        <v>0</v>
      </c>
      <c r="W100" s="93">
        <f>Table11[[#This Row],[Stock LL]]+Table11[[#This Row],[WIP]]+Table11[[#This Row],[Stock CTL]]</f>
        <v>38.948604999999993</v>
      </c>
      <c r="X100" s="93">
        <f>IF((Table11[[#This Row],[Requirement]]-Table11[[#This Row],[Sales]]-Table11[[#This Row],[Total Stock]])&lt;0,0,Table11[[#This Row],[Requirement]]-Table11[[#This Row],[Sales]]-Table11[[#This Row],[Total Stock]])</f>
        <v>0</v>
      </c>
      <c r="Y100" s="94" t="s">
        <v>1827</v>
      </c>
      <c r="Z100" s="93">
        <v>70</v>
      </c>
      <c r="AA100" s="93">
        <v>70</v>
      </c>
      <c r="AB100" s="93">
        <v>0</v>
      </c>
      <c r="AC100" s="93">
        <v>3.2</v>
      </c>
      <c r="AD100" s="93" t="s">
        <v>993</v>
      </c>
      <c r="AE100" s="93" t="s">
        <v>1003</v>
      </c>
      <c r="AF100" s="93" t="s">
        <v>914</v>
      </c>
      <c r="AG100" s="93" t="b">
        <f>EXACT(Table11[[#This Row],[Bucket8]],Table11[[#This Row],[Bucket]])</f>
        <v>1</v>
      </c>
      <c r="AH100" s="93"/>
      <c r="AI100" s="93"/>
      <c r="AJ100" s="93"/>
      <c r="AK100" s="93"/>
      <c r="AL100" s="93"/>
      <c r="AM100" s="93"/>
      <c r="AN100" s="93"/>
      <c r="AO100" s="93"/>
      <c r="AP100" s="93">
        <v>12.908977088</v>
      </c>
      <c r="AQ100" s="93"/>
      <c r="AR100" s="93"/>
      <c r="AS100" s="93"/>
      <c r="AT100" s="93"/>
      <c r="AU100" s="93"/>
      <c r="AV100" s="93"/>
      <c r="AW100" s="93"/>
      <c r="AX100" s="93"/>
      <c r="AY100" s="93"/>
      <c r="AZ100" s="93"/>
      <c r="BA100" s="93"/>
      <c r="BB100" s="93"/>
      <c r="BC100" s="93"/>
      <c r="BD100" s="93">
        <v>5.9349680783359995</v>
      </c>
      <c r="BE100" s="467">
        <v>18.843945166335999</v>
      </c>
    </row>
    <row r="101" spans="1:57" x14ac:dyDescent="0.25">
      <c r="A101" s="136"/>
      <c r="B101" s="136"/>
      <c r="D101" s="136"/>
      <c r="G101" s="43"/>
      <c r="H101" s="43"/>
      <c r="I101" s="43"/>
      <c r="J101" s="91">
        <v>29.28</v>
      </c>
      <c r="K101" s="15">
        <v>29.28</v>
      </c>
      <c r="L101" s="15">
        <v>0</v>
      </c>
      <c r="M101" s="15">
        <v>3.4</v>
      </c>
      <c r="N101" s="15" t="s">
        <v>357</v>
      </c>
      <c r="O101" s="15" t="s">
        <v>357</v>
      </c>
      <c r="P101" s="15" t="s">
        <v>1073</v>
      </c>
      <c r="Q101" s="92" t="s">
        <v>1817</v>
      </c>
      <c r="R101" s="215">
        <f>Table11[[#This Row],[Grand Total]]</f>
        <v>2.3858062888000005</v>
      </c>
      <c r="S101" s="93">
        <f>VLOOKUP(Table11[[#This Row],[Bucket]],salesforecast[[#All],[Bucket2]:[WIP]],3,0)</f>
        <v>0</v>
      </c>
      <c r="T101" s="93">
        <f>VLOOKUP(Table11[[#This Row],[Bucket]],salesforecast[[#All],[Bucket2]:[WIP]],4,0)</f>
        <v>0</v>
      </c>
      <c r="U101" s="93">
        <f>VLOOKUP(Table11[[#This Row],[Bucket]],salesforecast[[#All],[Bucket2]:[WIP]],5,0)</f>
        <v>2.3382239999999999</v>
      </c>
      <c r="V101" s="93">
        <f>VLOOKUP(Table11[[#This Row],[Bucket]],salesforecast[[#All],[Bucket2]:[WIP]],7,0)</f>
        <v>0</v>
      </c>
      <c r="W101" s="93">
        <f>Table11[[#This Row],[Stock LL]]+Table11[[#This Row],[WIP]]+Table11[[#This Row],[Stock CTL]]</f>
        <v>2.3382239999999999</v>
      </c>
      <c r="X101" s="93">
        <f>IF((Table11[[#This Row],[Requirement]]-Table11[[#This Row],[Sales]]-Table11[[#This Row],[Total Stock]])&lt;0,0,Table11[[#This Row],[Requirement]]-Table11[[#This Row],[Sales]]-Table11[[#This Row],[Total Stock]])</f>
        <v>4.7582288800000594E-2</v>
      </c>
      <c r="Y101" s="94" t="str">
        <f>_xlfn.CONCAT(ROUND(Table11[[#This Row],[Total Stock]]/Table11[[#This Row],[Requirement]]*100,0),"% Coverage. Rest by Week 3")</f>
        <v>98% Coverage. Rest by Week 3</v>
      </c>
      <c r="Z101" s="93">
        <v>29.28</v>
      </c>
      <c r="AA101" s="93">
        <v>29.28</v>
      </c>
      <c r="AB101" s="93">
        <v>0</v>
      </c>
      <c r="AC101" s="93">
        <v>3.4</v>
      </c>
      <c r="AD101" s="93" t="s">
        <v>357</v>
      </c>
      <c r="AE101" s="93" t="s">
        <v>357</v>
      </c>
      <c r="AF101" s="93" t="s">
        <v>1073</v>
      </c>
      <c r="AG101" s="93" t="b">
        <f>EXACT(Table11[[#This Row],[Bucket8]],Table11[[#This Row],[Bucket]])</f>
        <v>1</v>
      </c>
      <c r="AH101" s="93"/>
      <c r="AI101" s="93">
        <v>2.3858062888000005</v>
      </c>
      <c r="AJ101" s="93"/>
      <c r="AK101" s="93"/>
      <c r="AL101" s="93"/>
      <c r="AM101" s="93"/>
      <c r="AN101" s="93"/>
      <c r="AO101" s="93"/>
      <c r="AP101" s="93"/>
      <c r="AQ101" s="93"/>
      <c r="AR101" s="93"/>
      <c r="AS101" s="93"/>
      <c r="AT101" s="93"/>
      <c r="AU101" s="93"/>
      <c r="AV101" s="93"/>
      <c r="AW101" s="93"/>
      <c r="AX101" s="93"/>
      <c r="AY101" s="93"/>
      <c r="AZ101" s="93"/>
      <c r="BA101" s="93"/>
      <c r="BB101" s="93"/>
      <c r="BC101" s="93"/>
      <c r="BD101" s="470"/>
      <c r="BE101" s="471">
        <v>2.3858062888000005</v>
      </c>
    </row>
    <row r="102" spans="1:57" x14ac:dyDescent="0.25">
      <c r="A102" s="137"/>
      <c r="B102" s="136"/>
      <c r="D102" s="136"/>
      <c r="G102" s="43"/>
      <c r="H102" s="43"/>
      <c r="I102" s="43"/>
    </row>
    <row r="105" spans="1:57" x14ac:dyDescent="0.25">
      <c r="A105" s="136"/>
      <c r="B105" s="136"/>
      <c r="D105" s="136"/>
      <c r="G105" s="43"/>
    </row>
    <row r="106" spans="1:57" x14ac:dyDescent="0.25">
      <c r="A106" s="136"/>
      <c r="B106" s="136"/>
      <c r="D106" s="136"/>
      <c r="G106" s="43"/>
      <c r="P106" t="str" cm="1">
        <f t="array" ref="P106:P160">_xlfn._xlws.FILTER(H107:H210,ISNA(_xlfn.XMATCH(H107:H210,'RM Tracker Pasted'!P2:P101)))</f>
        <v>12.7-0-2-ERW 1-PE</v>
      </c>
    </row>
    <row r="107" spans="1:57" x14ac:dyDescent="0.25">
      <c r="A107" s="137"/>
      <c r="B107" s="136"/>
      <c r="D107" s="136"/>
      <c r="G107" s="43"/>
      <c r="H107" t="str" cm="1">
        <f t="array" ref="H107:H197">_xlfn.UNIQUE('RM Tracker'!G5:G104)</f>
        <v>12.7-0-1.2-ERW 1-PE</v>
      </c>
      <c r="P107" t="str">
        <v>14-0-2.45-CEW-</v>
      </c>
    </row>
    <row r="108" spans="1:57" x14ac:dyDescent="0.25">
      <c r="A108" s="137"/>
      <c r="B108" s="136"/>
      <c r="D108" s="136"/>
      <c r="G108" s="43"/>
      <c r="H108" t="str">
        <v>12.7-0-1.6-ERW 1-PE</v>
      </c>
      <c r="P108" t="str">
        <v>14-9.1-2.45-CEW-</v>
      </c>
    </row>
    <row r="109" spans="1:57" x14ac:dyDescent="0.25">
      <c r="A109" s="136"/>
      <c r="B109" s="136"/>
      <c r="D109" s="136"/>
      <c r="G109" s="43"/>
      <c r="H109" t="str">
        <v>12.7-0-2-ERW 1-PE</v>
      </c>
      <c r="P109" t="str">
        <v>(blank)</v>
      </c>
    </row>
    <row r="110" spans="1:57" x14ac:dyDescent="0.25">
      <c r="A110" s="136"/>
      <c r="B110" s="136"/>
      <c r="D110" s="136"/>
      <c r="G110" s="43"/>
      <c r="H110" t="str">
        <v>14-0-1.6-CEW-CEW</v>
      </c>
      <c r="P110" t="str">
        <v>16.1-0-2-CEW-CEW</v>
      </c>
    </row>
    <row r="111" spans="1:57" x14ac:dyDescent="0.25">
      <c r="A111" s="137"/>
      <c r="B111" s="136"/>
      <c r="D111" s="136"/>
      <c r="G111" s="43"/>
      <c r="H111" t="str">
        <v>14-0-2.45-CEW-CEW</v>
      </c>
      <c r="P111" t="str">
        <v>16.1-10.7-2.95-CEW-CEW</v>
      </c>
    </row>
    <row r="112" spans="1:57" x14ac:dyDescent="0.25">
      <c r="A112" s="137"/>
      <c r="B112" s="136"/>
      <c r="D112" s="136"/>
      <c r="G112" s="43"/>
      <c r="H112" t="str">
        <v>14-0-2.45-CEW-</v>
      </c>
      <c r="P112" t="str">
        <v>17.3-0-1.2-CEW-CEW</v>
      </c>
    </row>
    <row r="113" spans="1:16" x14ac:dyDescent="0.25">
      <c r="A113" s="136"/>
      <c r="B113" s="136"/>
      <c r="D113" s="136"/>
      <c r="G113" s="43"/>
      <c r="H113" t="str">
        <v>14-9.1-2.45-CEW-</v>
      </c>
      <c r="P113" t="str">
        <v>17.3-0-1.2-CEW-</v>
      </c>
    </row>
    <row r="114" spans="1:16" x14ac:dyDescent="0.25">
      <c r="A114" s="137"/>
      <c r="B114" s="136"/>
      <c r="D114" s="136"/>
      <c r="G114" s="43"/>
      <c r="H114" t="str">
        <v>14-10.1-1.95-CEW-CEW</v>
      </c>
      <c r="P114" t="str">
        <v>17.3-0-1.2-ERW 1-</v>
      </c>
    </row>
    <row r="115" spans="1:16" x14ac:dyDescent="0.25">
      <c r="A115" s="137"/>
      <c r="B115" s="136"/>
      <c r="D115" s="136"/>
      <c r="G115" s="43"/>
      <c r="H115" t="str">
        <v>15.88-0-1-ERW 1-PE</v>
      </c>
      <c r="P115" t="str">
        <v>17.3-0-1.6-CEW-</v>
      </c>
    </row>
    <row r="116" spans="1:16" x14ac:dyDescent="0.25">
      <c r="H116" t="str">
        <v>(blank)</v>
      </c>
      <c r="P116" t="str">
        <v>26-18-4-CEW-</v>
      </c>
    </row>
    <row r="117" spans="1:16" x14ac:dyDescent="0.25">
      <c r="H117" t="str">
        <v>15.88-0-1.2-ERW 1-PE</v>
      </c>
      <c r="P117" t="str">
        <v>19-12.5-3.25-CEW-</v>
      </c>
    </row>
    <row r="118" spans="1:16" x14ac:dyDescent="0.25">
      <c r="H118" t="str">
        <v>15.88-0-1.6-ERW 1-PE</v>
      </c>
      <c r="P118" t="str">
        <v>19.05-0-1.6-ERW 1-</v>
      </c>
    </row>
    <row r="119" spans="1:16" x14ac:dyDescent="0.25">
      <c r="H119" t="str">
        <v>15.88-0-2-ERW 1-PE</v>
      </c>
      <c r="P119" t="str">
        <v>19.05-0-1.6--</v>
      </c>
    </row>
    <row r="120" spans="1:16" x14ac:dyDescent="0.25">
      <c r="H120" t="str">
        <v>16.1-0-2-CEW-CEW</v>
      </c>
      <c r="P120" t="str">
        <v>19.05-0-1.63--</v>
      </c>
    </row>
    <row r="121" spans="1:16" x14ac:dyDescent="0.25">
      <c r="H121" t="str">
        <v>16.1-0-2.8-CEW-CEW</v>
      </c>
      <c r="P121" t="str">
        <v>19.05-0-2-ERW 1-</v>
      </c>
    </row>
    <row r="122" spans="1:16" x14ac:dyDescent="0.25">
      <c r="H122" t="str">
        <v>16.1-10.4-2.7-CEW-CEW</v>
      </c>
      <c r="P122" t="str">
        <v>19.05-0-2--</v>
      </c>
    </row>
    <row r="123" spans="1:16" x14ac:dyDescent="0.25">
      <c r="H123" t="str">
        <v>16.1-10.7-2.95-CEW-CEW</v>
      </c>
      <c r="P123" t="str">
        <v>19.05-0-2.3-ERW 1-</v>
      </c>
    </row>
    <row r="124" spans="1:16" x14ac:dyDescent="0.25">
      <c r="H124" t="str">
        <v>17.3-0-1.2-CEW-CEW</v>
      </c>
      <c r="P124" t="str">
        <v>19.05-0-2.34-ERW 1-</v>
      </c>
    </row>
    <row r="125" spans="1:16" x14ac:dyDescent="0.25">
      <c r="H125" t="str">
        <v>17.3-0-1.2-CEW-</v>
      </c>
      <c r="P125" t="str">
        <v>19.05-0-2.5-ERW 2-</v>
      </c>
    </row>
    <row r="126" spans="1:16" x14ac:dyDescent="0.25">
      <c r="H126" t="str">
        <v>17.3-0-1.2-ERW 1-PE</v>
      </c>
      <c r="P126" t="str">
        <v>21.75-0-3.5-CEW-</v>
      </c>
    </row>
    <row r="127" spans="1:16" x14ac:dyDescent="0.25">
      <c r="H127" t="str">
        <v>17.3-0-1.2-ERW 1-</v>
      </c>
      <c r="P127" t="str">
        <v>22.2-0-1.2--</v>
      </c>
    </row>
    <row r="128" spans="1:16" x14ac:dyDescent="0.25">
      <c r="H128" t="str">
        <v>17.3-0-1.6-CEW-</v>
      </c>
      <c r="P128" t="str">
        <v>22.23-0-1.2-ERW 1-</v>
      </c>
    </row>
    <row r="129" spans="8:16" x14ac:dyDescent="0.25">
      <c r="H129" t="str">
        <v>17.3-0-1.6-ERW 1-PE</v>
      </c>
      <c r="P129" t="str">
        <v>22.23-0-1.2--</v>
      </c>
    </row>
    <row r="130" spans="8:16" x14ac:dyDescent="0.25">
      <c r="H130" t="str">
        <v>26-18-4-CEW-</v>
      </c>
      <c r="P130" t="str">
        <v>22.23-0-1.6-ERW 1-</v>
      </c>
    </row>
    <row r="131" spans="8:16" x14ac:dyDescent="0.25">
      <c r="H131" t="str">
        <v>18.2-0-1-ERW 1-PE</v>
      </c>
      <c r="P131" t="str">
        <v>22.23-0-2-ERW 1-</v>
      </c>
    </row>
    <row r="132" spans="8:16" x14ac:dyDescent="0.25">
      <c r="H132" t="str">
        <v>18.2-12.3-2.95-CEW-CEW</v>
      </c>
      <c r="P132" t="str">
        <v>22.23-0-2-ERW 2 MAHS-FC</v>
      </c>
    </row>
    <row r="133" spans="8:16" x14ac:dyDescent="0.25">
      <c r="H133" t="str">
        <v>19-12.5-3.25-CEW-CEW</v>
      </c>
      <c r="P133" t="str">
        <v>22.23-0-2--</v>
      </c>
    </row>
    <row r="134" spans="8:16" x14ac:dyDescent="0.25">
      <c r="H134" t="str">
        <v>19-12.5-3.25-CEW-</v>
      </c>
      <c r="P134" t="str">
        <v>22.23-0-2.3--PE</v>
      </c>
    </row>
    <row r="135" spans="8:16" x14ac:dyDescent="0.25">
      <c r="H135" t="str">
        <v>19.05-0-1-ERW 1-PE</v>
      </c>
      <c r="P135" t="str">
        <v>25.4-0-2-ERW 1-</v>
      </c>
    </row>
    <row r="136" spans="8:16" x14ac:dyDescent="0.25">
      <c r="H136" t="str">
        <v>19.05-0-1.2-CRFH-PE</v>
      </c>
      <c r="P136" t="str">
        <v>25.4-0-2--</v>
      </c>
    </row>
    <row r="137" spans="8:16" x14ac:dyDescent="0.25">
      <c r="H137" t="str">
        <v>19.05-0-1.2-ERW 1-PE</v>
      </c>
      <c r="P137" t="str">
        <v>25.4-0-2.5-ERW 1-</v>
      </c>
    </row>
    <row r="138" spans="8:16" x14ac:dyDescent="0.25">
      <c r="H138" t="str">
        <v>19.05-0-1.6-ERW 1-PE</v>
      </c>
      <c r="P138" t="str">
        <v>25.4-0-2.6-ERW 1-</v>
      </c>
    </row>
    <row r="139" spans="8:16" x14ac:dyDescent="0.25">
      <c r="H139" t="str">
        <v>19.05-0-1.6-ERW 1-</v>
      </c>
      <c r="P139" t="str">
        <v>25.4-18.4-3.5-CEW-</v>
      </c>
    </row>
    <row r="140" spans="8:16" x14ac:dyDescent="0.25">
      <c r="H140" t="str">
        <v>19.05-0-1.6-ERW 2 MAHS-PE</v>
      </c>
      <c r="P140" t="str">
        <v>25.4-19-3.2-CEW-</v>
      </c>
    </row>
    <row r="141" spans="8:16" x14ac:dyDescent="0.25">
      <c r="H141" t="str">
        <v>19.05-0-1.6--</v>
      </c>
      <c r="P141" t="str">
        <v>25.4-20.4-2.5-CEW-CEW</v>
      </c>
    </row>
    <row r="142" spans="8:16" x14ac:dyDescent="0.25">
      <c r="H142" t="str">
        <v>19.05-0-1.63--</v>
      </c>
      <c r="P142" t="str">
        <v>25.4-20.4-2.5-CEW-</v>
      </c>
    </row>
    <row r="143" spans="8:16" x14ac:dyDescent="0.25">
      <c r="H143" t="str">
        <v>19.05-0-2-ERW 1-PE</v>
      </c>
      <c r="P143" t="str">
        <v>30.15-25.5-2.32-CEW-CEW</v>
      </c>
    </row>
    <row r="144" spans="8:16" x14ac:dyDescent="0.25">
      <c r="H144" t="str">
        <v>19.05-0-2-ERW 1-</v>
      </c>
      <c r="P144" t="str">
        <v>25.6-16.6-4.5-CEW-</v>
      </c>
    </row>
    <row r="145" spans="8:16" x14ac:dyDescent="0.25">
      <c r="H145" t="str">
        <v>19.05-0-2--</v>
      </c>
      <c r="P145" t="str">
        <v>28.58-0-1.6-ERW 1-PE</v>
      </c>
    </row>
    <row r="146" spans="8:16" x14ac:dyDescent="0.25">
      <c r="H146" t="str">
        <v>19.05-0-2.3-ERW 1-PE</v>
      </c>
      <c r="P146" t="str">
        <v>28.58-0-1.6-ERW 1-</v>
      </c>
    </row>
    <row r="147" spans="8:16" x14ac:dyDescent="0.25">
      <c r="H147" t="str">
        <v>19.05-0-2.3-ERW 1-</v>
      </c>
      <c r="P147" t="str">
        <v>28.58-0-1.6-ERW 2-PE</v>
      </c>
    </row>
    <row r="148" spans="8:16" x14ac:dyDescent="0.25">
      <c r="H148" t="str">
        <v>19.05-0-2.34-ERW 1-</v>
      </c>
      <c r="P148">
        <v>0</v>
      </c>
    </row>
    <row r="149" spans="8:16" x14ac:dyDescent="0.25">
      <c r="H149" t="str">
        <v>19.05-0-2.5-ERW 2-</v>
      </c>
      <c r="P149">
        <v>0</v>
      </c>
    </row>
    <row r="150" spans="8:16" x14ac:dyDescent="0.25">
      <c r="H150" t="str">
        <v>20-12.4-3.8-CEW-CEW</v>
      </c>
      <c r="P150">
        <v>0</v>
      </c>
    </row>
    <row r="151" spans="8:16" x14ac:dyDescent="0.25">
      <c r="H151" t="str">
        <v>20-12.4-4.5-CEW-CEW</v>
      </c>
      <c r="P151">
        <v>0</v>
      </c>
    </row>
    <row r="152" spans="8:16" x14ac:dyDescent="0.25">
      <c r="H152" t="str">
        <v>20-17.16-1.42-CEW-CEW</v>
      </c>
      <c r="P152">
        <v>0</v>
      </c>
    </row>
    <row r="153" spans="8:16" x14ac:dyDescent="0.25">
      <c r="H153" t="str">
        <v>21.7-16.2-2.75-CEW-CEW</v>
      </c>
      <c r="P153">
        <v>0</v>
      </c>
    </row>
    <row r="154" spans="8:16" x14ac:dyDescent="0.25">
      <c r="H154" t="str">
        <v>21.75-0-3.5-CEW-CEW</v>
      </c>
      <c r="P154">
        <v>0</v>
      </c>
    </row>
    <row r="155" spans="8:16" x14ac:dyDescent="0.25">
      <c r="H155" t="str">
        <v>21.75-0-3.5-CEW-</v>
      </c>
      <c r="P155">
        <v>0</v>
      </c>
    </row>
    <row r="156" spans="8:16" x14ac:dyDescent="0.25">
      <c r="H156" t="str">
        <v>22.2-0-1.2--</v>
      </c>
      <c r="P156">
        <v>0</v>
      </c>
    </row>
    <row r="157" spans="8:16" x14ac:dyDescent="0.25">
      <c r="H157" t="str">
        <v>22.23-0-1.2-ERW 1-PE</v>
      </c>
      <c r="P157">
        <v>0</v>
      </c>
    </row>
    <row r="158" spans="8:16" x14ac:dyDescent="0.25">
      <c r="H158" t="str">
        <v>22.23-0-1.2-ERW 1-</v>
      </c>
      <c r="P158">
        <v>0</v>
      </c>
    </row>
    <row r="159" spans="8:16" x14ac:dyDescent="0.25">
      <c r="H159" t="str">
        <v>22.23-0-1.2--</v>
      </c>
      <c r="P159">
        <v>0</v>
      </c>
    </row>
    <row r="160" spans="8:16" x14ac:dyDescent="0.25">
      <c r="H160" t="str">
        <v>22.23-0-1.6-ERW 1-PE</v>
      </c>
      <c r="P160">
        <v>0</v>
      </c>
    </row>
    <row r="161" spans="8:8" x14ac:dyDescent="0.25">
      <c r="H161" t="str">
        <v>22.23-0-1.6-ERW 1-</v>
      </c>
    </row>
    <row r="162" spans="8:8" x14ac:dyDescent="0.25">
      <c r="H162" t="str">
        <v>22.23-0-1.6-ERW 2 MAHS-PE</v>
      </c>
    </row>
    <row r="163" spans="8:8" x14ac:dyDescent="0.25">
      <c r="H163" t="str">
        <v>22.23-0-2-ERW 1-FC</v>
      </c>
    </row>
    <row r="164" spans="8:8" x14ac:dyDescent="0.25">
      <c r="H164" t="str">
        <v>22.23-0-2-ERW 1-PE</v>
      </c>
    </row>
    <row r="165" spans="8:8" x14ac:dyDescent="0.25">
      <c r="H165" t="str">
        <v>22.23-0-2-ERW 1-</v>
      </c>
    </row>
    <row r="166" spans="8:8" x14ac:dyDescent="0.25">
      <c r="H166" t="str">
        <v>22.23-0-2-ERW 2-FC</v>
      </c>
    </row>
    <row r="167" spans="8:8" x14ac:dyDescent="0.25">
      <c r="H167" t="str">
        <v>22.23-0-2-ERW 2 MAHS-FC</v>
      </c>
    </row>
    <row r="168" spans="8:8" x14ac:dyDescent="0.25">
      <c r="H168" t="str">
        <v>22.23-0-2-ERW 2 MAHS-PE</v>
      </c>
    </row>
    <row r="169" spans="8:8" x14ac:dyDescent="0.25">
      <c r="H169" t="str">
        <v>22.23-0-2--</v>
      </c>
    </row>
    <row r="170" spans="8:8" x14ac:dyDescent="0.25">
      <c r="H170" t="str">
        <v>22.23-0-2.3-ERW 1-PE</v>
      </c>
    </row>
    <row r="171" spans="8:8" x14ac:dyDescent="0.25">
      <c r="H171" t="str">
        <v>22.23-0-2.3--PE</v>
      </c>
    </row>
    <row r="172" spans="8:8" x14ac:dyDescent="0.25">
      <c r="H172" t="str">
        <v>19-19-1-CRFH-PE</v>
      </c>
    </row>
    <row r="173" spans="8:8" x14ac:dyDescent="0.25">
      <c r="H173" t="str">
        <v>25.4-0-1.2-ERW 1-PE</v>
      </c>
    </row>
    <row r="174" spans="8:8" x14ac:dyDescent="0.25">
      <c r="H174" t="str">
        <v>25.4-0-1.6-ERW 1-FC</v>
      </c>
    </row>
    <row r="175" spans="8:8" x14ac:dyDescent="0.25">
      <c r="H175" t="str">
        <v>25.4-0-1.6-ERW 1-PE</v>
      </c>
    </row>
    <row r="176" spans="8:8" x14ac:dyDescent="0.25">
      <c r="H176" t="str">
        <v>25.4-0-2-ERW 1-FC</v>
      </c>
    </row>
    <row r="177" spans="8:8" x14ac:dyDescent="0.25">
      <c r="H177" t="str">
        <v>25.4-0-2-ERW 1-PE</v>
      </c>
    </row>
    <row r="178" spans="8:8" x14ac:dyDescent="0.25">
      <c r="H178" t="str">
        <v>25.4-0-2-ERW 1-</v>
      </c>
    </row>
    <row r="179" spans="8:8" x14ac:dyDescent="0.25">
      <c r="H179" t="str">
        <v>25.4-0-2--</v>
      </c>
    </row>
    <row r="180" spans="8:8" x14ac:dyDescent="0.25">
      <c r="H180" t="str">
        <v>25.4-0-2.5-CEW-CEW</v>
      </c>
    </row>
    <row r="181" spans="8:8" x14ac:dyDescent="0.25">
      <c r="H181" t="str">
        <v>25.4-0-2.5-ERW 1-FC</v>
      </c>
    </row>
    <row r="182" spans="8:8" x14ac:dyDescent="0.25">
      <c r="H182" t="str">
        <v>25.4-0-2.5-ERW 1-</v>
      </c>
    </row>
    <row r="183" spans="8:8" x14ac:dyDescent="0.25">
      <c r="H183" t="str">
        <v>25.4-0-2.6-ERW 1-</v>
      </c>
    </row>
    <row r="184" spans="8:8" x14ac:dyDescent="0.25">
      <c r="H184" t="str">
        <v>25.4-18.4-3.5-CEW-CEW</v>
      </c>
    </row>
    <row r="185" spans="8:8" x14ac:dyDescent="0.25">
      <c r="H185" t="str">
        <v>25.4-18.4-3.5-CEW-</v>
      </c>
    </row>
    <row r="186" spans="8:8" x14ac:dyDescent="0.25">
      <c r="H186" t="str">
        <v>25.4-19-3.2-CEW-CEW</v>
      </c>
    </row>
    <row r="187" spans="8:8" x14ac:dyDescent="0.25">
      <c r="H187" t="str">
        <v>25.4-19-3.2-CEW-</v>
      </c>
    </row>
    <row r="188" spans="8:8" x14ac:dyDescent="0.25">
      <c r="H188" t="str">
        <v>25.4-20.4-2.5-CEW-CEW</v>
      </c>
    </row>
    <row r="189" spans="8:8" x14ac:dyDescent="0.25">
      <c r="H189" t="str">
        <v>25.4-20.4-2.5-CEW-</v>
      </c>
    </row>
    <row r="190" spans="8:8" x14ac:dyDescent="0.25">
      <c r="H190" t="str">
        <v>30.15-25.5-2.32-CEW-CEW</v>
      </c>
    </row>
    <row r="191" spans="8:8" x14ac:dyDescent="0.25">
      <c r="H191" t="str">
        <v>25.6-16.6-4.5-CEW-</v>
      </c>
    </row>
    <row r="192" spans="8:8" x14ac:dyDescent="0.25">
      <c r="H192" t="str">
        <v>28.58-0-1.2-ERW 1-PE</v>
      </c>
    </row>
    <row r="193" spans="8:8" x14ac:dyDescent="0.25">
      <c r="H193" t="str">
        <v>28.58-0-1.6-ERW 1-FC</v>
      </c>
    </row>
    <row r="194" spans="8:8" x14ac:dyDescent="0.25">
      <c r="H194" t="str">
        <v>28.58-0-1.6-ERW 1-PE</v>
      </c>
    </row>
    <row r="195" spans="8:8" x14ac:dyDescent="0.25">
      <c r="H195" t="str">
        <v>28.58-0-1.6-ERW 1-</v>
      </c>
    </row>
    <row r="196" spans="8:8" x14ac:dyDescent="0.25">
      <c r="H196" t="str">
        <v>28.58-0-1.6-ERW 2-PE</v>
      </c>
    </row>
    <row r="197" spans="8:8" x14ac:dyDescent="0.25">
      <c r="H197" t="str">
        <v>28.58-0-2-ERW 1-FC</v>
      </c>
    </row>
  </sheetData>
  <phoneticPr fontId="13" type="noConversion"/>
  <conditionalFormatting sqref="P64:P65 P2:P61 P68:P101">
    <cfRule type="duplicateValues" dxfId="75" priority="362"/>
  </conditionalFormatting>
  <conditionalFormatting sqref="X2:X101">
    <cfRule type="dataBar" priority="392">
      <dataBar>
        <cfvo type="min"/>
        <cfvo type="max"/>
        <color rgb="FF638EC6"/>
      </dataBar>
      <extLst>
        <ext xmlns:x14="http://schemas.microsoft.com/office/spreadsheetml/2009/9/main" uri="{B025F937-C7B1-47D3-B67F-A62EFF666E3E}">
          <x14:id>{BDEECBC5-977D-47F7-9819-5EB673B5238E}</x14:id>
        </ext>
      </extLst>
    </cfRule>
  </conditionalFormatting>
  <pageMargins left="0.70866141732283461" right="0.70866141732283461" top="0.74803149606299213" bottom="0.74803149606299213" header="0.31496062992125984" footer="0.31496062992125984"/>
  <pageSetup paperSize="9" scale="43" orientation="portrait" r:id="rId1"/>
  <colBreaks count="2" manualBreakCount="2">
    <brk id="25" max="102" man="1"/>
    <brk id="31" max="1048575" man="1"/>
  </colBreak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DEECBC5-977D-47F7-9819-5EB673B5238E}">
            <x14:dataBar minLength="0" maxLength="100" border="1" negativeBarBorderColorSameAsPositive="0">
              <x14:cfvo type="autoMin"/>
              <x14:cfvo type="autoMax"/>
              <x14:borderColor rgb="FF638EC6"/>
              <x14:negativeFillColor rgb="FFFF0000"/>
              <x14:negativeBorderColor rgb="FFFF0000"/>
              <x14:axisColor rgb="FF000000"/>
            </x14:dataBar>
          </x14:cfRule>
          <xm:sqref>X2:X101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2015-0998-4ACA-807D-2B797A681D56}">
  <dimension ref="A1:C95"/>
  <sheetViews>
    <sheetView workbookViewId="0"/>
  </sheetViews>
  <sheetFormatPr defaultRowHeight="15" x14ac:dyDescent="0.25"/>
  <cols>
    <col min="1" max="1" width="13.85546875" bestFit="1" customWidth="1"/>
    <col min="2" max="2" width="28" bestFit="1" customWidth="1"/>
    <col min="3" max="3" width="7" bestFit="1" customWidth="1"/>
  </cols>
  <sheetData>
    <row r="1" spans="1:3" x14ac:dyDescent="0.25">
      <c r="A1" t="s">
        <v>1828</v>
      </c>
      <c r="B1" t="s">
        <v>261</v>
      </c>
      <c r="C1" t="s">
        <v>944</v>
      </c>
    </row>
    <row r="2" spans="1:3" x14ac:dyDescent="0.25">
      <c r="A2">
        <v>110102145</v>
      </c>
      <c r="B2" t="s">
        <v>398</v>
      </c>
      <c r="C2">
        <v>2.15</v>
      </c>
    </row>
    <row r="3" spans="1:3" x14ac:dyDescent="0.25">
      <c r="A3">
        <v>111120664</v>
      </c>
      <c r="B3" t="s">
        <v>463</v>
      </c>
      <c r="C3">
        <v>1.45</v>
      </c>
    </row>
    <row r="4" spans="1:3" x14ac:dyDescent="0.25">
      <c r="A4">
        <v>111116473</v>
      </c>
      <c r="B4" t="s">
        <v>416</v>
      </c>
      <c r="C4">
        <v>1.57</v>
      </c>
    </row>
    <row r="5" spans="1:3" x14ac:dyDescent="0.25">
      <c r="A5">
        <v>111106833</v>
      </c>
      <c r="B5" t="s">
        <v>416</v>
      </c>
      <c r="C5">
        <v>1.4100000000000001</v>
      </c>
    </row>
    <row r="6" spans="1:3" x14ac:dyDescent="0.25">
      <c r="A6">
        <v>111001733</v>
      </c>
      <c r="B6" t="s">
        <v>416</v>
      </c>
      <c r="C6">
        <v>1.1499999999999999</v>
      </c>
    </row>
    <row r="7" spans="1:3" x14ac:dyDescent="0.25">
      <c r="A7">
        <v>111116471</v>
      </c>
      <c r="B7" t="s">
        <v>416</v>
      </c>
      <c r="C7">
        <v>1.4900000000000002</v>
      </c>
    </row>
    <row r="8" spans="1:3" x14ac:dyDescent="0.25">
      <c r="A8">
        <v>111106834</v>
      </c>
      <c r="B8" t="s">
        <v>416</v>
      </c>
      <c r="C8">
        <v>0.44</v>
      </c>
    </row>
    <row r="9" spans="1:3" x14ac:dyDescent="0.25">
      <c r="A9">
        <v>111116475</v>
      </c>
      <c r="B9" t="s">
        <v>463</v>
      </c>
      <c r="C9">
        <v>1</v>
      </c>
    </row>
    <row r="10" spans="1:3" x14ac:dyDescent="0.25">
      <c r="A10">
        <v>111114034</v>
      </c>
      <c r="B10" t="s">
        <v>463</v>
      </c>
      <c r="C10">
        <v>2.31</v>
      </c>
    </row>
    <row r="11" spans="1:3" x14ac:dyDescent="0.25">
      <c r="A11">
        <v>111106839</v>
      </c>
      <c r="B11" t="s">
        <v>506</v>
      </c>
      <c r="C11">
        <v>3.9</v>
      </c>
    </row>
    <row r="12" spans="1:3" x14ac:dyDescent="0.25">
      <c r="A12">
        <v>110102205</v>
      </c>
      <c r="B12" t="s">
        <v>463</v>
      </c>
      <c r="C12">
        <v>2.5299999999999998</v>
      </c>
    </row>
    <row r="13" spans="1:3" x14ac:dyDescent="0.25">
      <c r="A13">
        <v>111116358</v>
      </c>
      <c r="B13" t="s">
        <v>450</v>
      </c>
      <c r="C13">
        <v>5.7799999999999994</v>
      </c>
    </row>
    <row r="14" spans="1:3" x14ac:dyDescent="0.25">
      <c r="A14">
        <v>111117608</v>
      </c>
      <c r="B14" t="s">
        <v>450</v>
      </c>
      <c r="C14">
        <v>6.13</v>
      </c>
    </row>
    <row r="15" spans="1:3" x14ac:dyDescent="0.25">
      <c r="A15">
        <v>110102297</v>
      </c>
      <c r="B15" t="s">
        <v>450</v>
      </c>
      <c r="C15">
        <v>4.82</v>
      </c>
    </row>
    <row r="16" spans="1:3" x14ac:dyDescent="0.25">
      <c r="A16">
        <v>111117591</v>
      </c>
      <c r="B16" t="s">
        <v>450</v>
      </c>
      <c r="C16">
        <v>13.290000000000001</v>
      </c>
    </row>
    <row r="17" spans="1:3" x14ac:dyDescent="0.25">
      <c r="A17">
        <v>111102399</v>
      </c>
      <c r="B17" t="s">
        <v>450</v>
      </c>
      <c r="C17">
        <v>0.21</v>
      </c>
    </row>
    <row r="18" spans="1:3" x14ac:dyDescent="0.25">
      <c r="A18">
        <v>111116486</v>
      </c>
      <c r="B18" t="s">
        <v>450</v>
      </c>
      <c r="C18">
        <v>1.32</v>
      </c>
    </row>
    <row r="19" spans="1:3" x14ac:dyDescent="0.25">
      <c r="A19">
        <v>111002371</v>
      </c>
      <c r="B19" t="s">
        <v>648</v>
      </c>
      <c r="C19">
        <v>7.0000000000000009</v>
      </c>
    </row>
    <row r="20" spans="1:3" x14ac:dyDescent="0.25">
      <c r="A20">
        <v>111116350</v>
      </c>
      <c r="B20" t="s">
        <v>648</v>
      </c>
      <c r="C20">
        <v>9.65</v>
      </c>
    </row>
    <row r="21" spans="1:3" x14ac:dyDescent="0.25">
      <c r="A21">
        <v>111116351</v>
      </c>
      <c r="B21" t="s">
        <v>471</v>
      </c>
      <c r="C21">
        <v>1.71</v>
      </c>
    </row>
    <row r="22" spans="1:3" x14ac:dyDescent="0.25">
      <c r="A22">
        <v>111002144</v>
      </c>
      <c r="B22" t="s">
        <v>471</v>
      </c>
      <c r="C22">
        <v>0.6</v>
      </c>
    </row>
    <row r="23" spans="1:3" x14ac:dyDescent="0.25">
      <c r="A23">
        <v>111121736</v>
      </c>
      <c r="B23" t="s">
        <v>532</v>
      </c>
      <c r="C23">
        <v>5.8599999999999994</v>
      </c>
    </row>
    <row r="24" spans="1:3" x14ac:dyDescent="0.25">
      <c r="A24">
        <v>111120702</v>
      </c>
      <c r="B24" t="s">
        <v>471</v>
      </c>
      <c r="C24">
        <v>4.26</v>
      </c>
    </row>
    <row r="25" spans="1:3" x14ac:dyDescent="0.25">
      <c r="A25">
        <v>111120703</v>
      </c>
      <c r="B25" t="s">
        <v>471</v>
      </c>
      <c r="C25">
        <v>2.59</v>
      </c>
    </row>
    <row r="26" spans="1:3" x14ac:dyDescent="0.25">
      <c r="A26">
        <v>111002146</v>
      </c>
      <c r="B26" t="s">
        <v>471</v>
      </c>
      <c r="C26">
        <v>1.97</v>
      </c>
    </row>
    <row r="27" spans="1:3" x14ac:dyDescent="0.25">
      <c r="A27">
        <v>111002143</v>
      </c>
      <c r="B27" t="s">
        <v>471</v>
      </c>
      <c r="C27">
        <v>0.52</v>
      </c>
    </row>
    <row r="28" spans="1:3" x14ac:dyDescent="0.25">
      <c r="A28">
        <v>110102339</v>
      </c>
      <c r="B28" t="s">
        <v>471</v>
      </c>
      <c r="C28">
        <v>4.12</v>
      </c>
    </row>
    <row r="29" spans="1:3" x14ac:dyDescent="0.25">
      <c r="A29">
        <v>111121701</v>
      </c>
      <c r="B29" t="s">
        <v>626</v>
      </c>
      <c r="C29">
        <v>13.45</v>
      </c>
    </row>
    <row r="30" spans="1:3" x14ac:dyDescent="0.25">
      <c r="A30">
        <v>111116483</v>
      </c>
      <c r="B30" t="s">
        <v>471</v>
      </c>
      <c r="C30">
        <v>3.6799999999999997</v>
      </c>
    </row>
    <row r="31" spans="1:3" x14ac:dyDescent="0.25">
      <c r="A31">
        <v>111120700</v>
      </c>
      <c r="B31" t="s">
        <v>983</v>
      </c>
      <c r="C31">
        <v>0.78</v>
      </c>
    </row>
    <row r="32" spans="1:3" x14ac:dyDescent="0.25">
      <c r="A32">
        <v>110102428</v>
      </c>
      <c r="B32" t="s">
        <v>604</v>
      </c>
      <c r="C32">
        <v>3.9299999999999997</v>
      </c>
    </row>
    <row r="33" spans="1:3" x14ac:dyDescent="0.25">
      <c r="A33">
        <v>111002199</v>
      </c>
      <c r="B33" t="s">
        <v>604</v>
      </c>
      <c r="C33">
        <v>1.1100000000000001</v>
      </c>
    </row>
    <row r="34" spans="1:3" x14ac:dyDescent="0.25">
      <c r="A34">
        <v>110102404</v>
      </c>
      <c r="B34" t="s">
        <v>604</v>
      </c>
      <c r="C34">
        <v>4.3100000000000005</v>
      </c>
    </row>
    <row r="35" spans="1:3" x14ac:dyDescent="0.25">
      <c r="A35">
        <v>110102443</v>
      </c>
      <c r="B35" t="s">
        <v>604</v>
      </c>
      <c r="C35">
        <v>3.36</v>
      </c>
    </row>
    <row r="36" spans="1:3" x14ac:dyDescent="0.25">
      <c r="A36">
        <v>111106948</v>
      </c>
      <c r="B36" t="s">
        <v>407</v>
      </c>
      <c r="C36">
        <v>4.67</v>
      </c>
    </row>
    <row r="37" spans="1:3" x14ac:dyDescent="0.25">
      <c r="A37">
        <v>111001373</v>
      </c>
      <c r="B37" t="s">
        <v>407</v>
      </c>
      <c r="C37">
        <v>5.6000000000000005</v>
      </c>
    </row>
    <row r="38" spans="1:3" x14ac:dyDescent="0.25">
      <c r="A38">
        <v>110102449</v>
      </c>
      <c r="B38" t="s">
        <v>407</v>
      </c>
      <c r="C38">
        <v>0</v>
      </c>
    </row>
    <row r="39" spans="1:3" x14ac:dyDescent="0.25">
      <c r="A39">
        <v>110102474</v>
      </c>
      <c r="B39" t="s">
        <v>407</v>
      </c>
      <c r="C39">
        <v>8.6</v>
      </c>
    </row>
    <row r="40" spans="1:3" x14ac:dyDescent="0.25">
      <c r="A40">
        <v>110102470</v>
      </c>
      <c r="B40" t="s">
        <v>407</v>
      </c>
      <c r="C40">
        <v>2.3199999999999998</v>
      </c>
    </row>
    <row r="41" spans="1:3" x14ac:dyDescent="0.25">
      <c r="A41">
        <v>110102477</v>
      </c>
      <c r="B41" t="s">
        <v>407</v>
      </c>
      <c r="C41">
        <v>0.01</v>
      </c>
    </row>
    <row r="42" spans="1:3" x14ac:dyDescent="0.25">
      <c r="A42">
        <v>111118011</v>
      </c>
      <c r="B42" t="s">
        <v>607</v>
      </c>
      <c r="C42">
        <v>0.46</v>
      </c>
    </row>
    <row r="43" spans="1:3" x14ac:dyDescent="0.25">
      <c r="A43">
        <v>110102502</v>
      </c>
      <c r="B43" t="s">
        <v>607</v>
      </c>
      <c r="C43">
        <v>1.45</v>
      </c>
    </row>
    <row r="44" spans="1:3" x14ac:dyDescent="0.25">
      <c r="A44">
        <v>110102509</v>
      </c>
      <c r="B44" t="s">
        <v>607</v>
      </c>
      <c r="C44">
        <v>3.05</v>
      </c>
    </row>
    <row r="45" spans="1:3" x14ac:dyDescent="0.25">
      <c r="A45">
        <v>111002410</v>
      </c>
      <c r="B45" t="s">
        <v>412</v>
      </c>
      <c r="C45">
        <v>2.12</v>
      </c>
    </row>
    <row r="46" spans="1:3" x14ac:dyDescent="0.25">
      <c r="A46">
        <v>110102553</v>
      </c>
      <c r="B46" t="s">
        <v>695</v>
      </c>
      <c r="C46">
        <v>56.739999999999995</v>
      </c>
    </row>
    <row r="47" spans="1:3" x14ac:dyDescent="0.25">
      <c r="A47">
        <v>110102614</v>
      </c>
      <c r="B47" t="s">
        <v>642</v>
      </c>
      <c r="C47">
        <v>53.230000000000011</v>
      </c>
    </row>
    <row r="48" spans="1:3" x14ac:dyDescent="0.25">
      <c r="A48">
        <v>110102615</v>
      </c>
      <c r="B48" t="s">
        <v>633</v>
      </c>
      <c r="C48">
        <v>1</v>
      </c>
    </row>
    <row r="49" spans="1:3" x14ac:dyDescent="0.25">
      <c r="A49">
        <v>110102570</v>
      </c>
      <c r="B49" t="s">
        <v>562</v>
      </c>
      <c r="C49">
        <v>3.8200000000000003</v>
      </c>
    </row>
    <row r="50" spans="1:3" x14ac:dyDescent="0.25">
      <c r="A50">
        <v>111002657</v>
      </c>
      <c r="B50" t="s">
        <v>679</v>
      </c>
      <c r="C50">
        <v>5.01</v>
      </c>
    </row>
    <row r="51" spans="1:3" x14ac:dyDescent="0.25">
      <c r="A51">
        <v>110102574</v>
      </c>
      <c r="B51" t="s">
        <v>633</v>
      </c>
      <c r="C51">
        <v>1.1599999999999999</v>
      </c>
    </row>
    <row r="52" spans="1:3" x14ac:dyDescent="0.25">
      <c r="A52">
        <v>111113835</v>
      </c>
      <c r="B52" t="s">
        <v>633</v>
      </c>
      <c r="C52">
        <v>8.0499999999999989</v>
      </c>
    </row>
    <row r="53" spans="1:3" x14ac:dyDescent="0.25">
      <c r="A53">
        <v>111121738</v>
      </c>
      <c r="B53" t="s">
        <v>529</v>
      </c>
      <c r="C53">
        <v>2.92</v>
      </c>
    </row>
    <row r="54" spans="1:3" x14ac:dyDescent="0.25">
      <c r="A54">
        <v>111116364</v>
      </c>
      <c r="B54" t="s">
        <v>529</v>
      </c>
      <c r="C54">
        <v>18.259999999999998</v>
      </c>
    </row>
    <row r="55" spans="1:3" x14ac:dyDescent="0.25">
      <c r="A55">
        <v>111116491</v>
      </c>
      <c r="B55" t="s">
        <v>529</v>
      </c>
      <c r="C55">
        <v>4.3499999999999996</v>
      </c>
    </row>
    <row r="56" spans="1:3" x14ac:dyDescent="0.25">
      <c r="A56">
        <v>111002373</v>
      </c>
      <c r="B56" t="s">
        <v>785</v>
      </c>
      <c r="C56">
        <v>7.36</v>
      </c>
    </row>
    <row r="57" spans="1:3" x14ac:dyDescent="0.25">
      <c r="A57">
        <v>111002372</v>
      </c>
      <c r="B57" t="s">
        <v>785</v>
      </c>
      <c r="C57">
        <v>3.63</v>
      </c>
    </row>
    <row r="58" spans="1:3" x14ac:dyDescent="0.25">
      <c r="A58">
        <v>111001994</v>
      </c>
      <c r="B58" t="s">
        <v>468</v>
      </c>
      <c r="C58">
        <v>2.91</v>
      </c>
    </row>
    <row r="59" spans="1:3" x14ac:dyDescent="0.25">
      <c r="A59">
        <v>111002135</v>
      </c>
      <c r="B59" t="s">
        <v>737</v>
      </c>
      <c r="C59">
        <v>4.8100000000000005</v>
      </c>
    </row>
    <row r="60" spans="1:3" x14ac:dyDescent="0.25">
      <c r="A60">
        <v>111001243</v>
      </c>
      <c r="B60" t="s">
        <v>737</v>
      </c>
      <c r="C60">
        <v>8.8800000000000008</v>
      </c>
    </row>
    <row r="61" spans="1:3" x14ac:dyDescent="0.25">
      <c r="A61">
        <v>111116361</v>
      </c>
      <c r="B61" t="s">
        <v>737</v>
      </c>
      <c r="C61">
        <v>10.510000000000002</v>
      </c>
    </row>
    <row r="62" spans="1:3" x14ac:dyDescent="0.25">
      <c r="A62">
        <v>111120564</v>
      </c>
      <c r="B62" t="s">
        <v>737</v>
      </c>
      <c r="C62">
        <v>6.1</v>
      </c>
    </row>
    <row r="63" spans="1:3" x14ac:dyDescent="0.25">
      <c r="A63">
        <v>111002141</v>
      </c>
      <c r="B63" t="s">
        <v>810</v>
      </c>
      <c r="C63">
        <v>10.039999999999999</v>
      </c>
    </row>
    <row r="64" spans="1:3" x14ac:dyDescent="0.25">
      <c r="A64">
        <v>110102749</v>
      </c>
      <c r="B64" t="s">
        <v>692</v>
      </c>
      <c r="C64">
        <v>5.27</v>
      </c>
    </row>
    <row r="65" spans="1:3" x14ac:dyDescent="0.25">
      <c r="A65">
        <v>111002097</v>
      </c>
      <c r="B65" t="s">
        <v>692</v>
      </c>
      <c r="C65">
        <v>0.62</v>
      </c>
    </row>
    <row r="66" spans="1:3" x14ac:dyDescent="0.25">
      <c r="A66">
        <v>111107137</v>
      </c>
      <c r="B66" t="s">
        <v>664</v>
      </c>
      <c r="C66">
        <v>7.01</v>
      </c>
    </row>
    <row r="67" spans="1:3" x14ac:dyDescent="0.25">
      <c r="A67">
        <v>111118633</v>
      </c>
      <c r="B67" t="s">
        <v>664</v>
      </c>
      <c r="C67">
        <v>3.75</v>
      </c>
    </row>
    <row r="68" spans="1:3" x14ac:dyDescent="0.25">
      <c r="A68">
        <v>110102758</v>
      </c>
      <c r="B68" t="s">
        <v>582</v>
      </c>
      <c r="C68">
        <v>2.0099999999999998</v>
      </c>
    </row>
    <row r="69" spans="1:3" x14ac:dyDescent="0.25">
      <c r="A69">
        <v>111116368</v>
      </c>
      <c r="B69" t="s">
        <v>549</v>
      </c>
      <c r="C69">
        <v>21.979999999999997</v>
      </c>
    </row>
    <row r="70" spans="1:3" x14ac:dyDescent="0.25">
      <c r="A70">
        <v>110102775</v>
      </c>
      <c r="B70" t="s">
        <v>836</v>
      </c>
      <c r="C70">
        <v>0.24</v>
      </c>
    </row>
    <row r="71" spans="1:3" x14ac:dyDescent="0.25">
      <c r="A71">
        <v>111121233</v>
      </c>
      <c r="B71" t="s">
        <v>849</v>
      </c>
      <c r="C71">
        <v>2</v>
      </c>
    </row>
    <row r="72" spans="1:3" x14ac:dyDescent="0.25">
      <c r="A72">
        <v>111117590</v>
      </c>
      <c r="B72" t="s">
        <v>456</v>
      </c>
      <c r="C72">
        <v>0.37</v>
      </c>
    </row>
    <row r="73" spans="1:3" x14ac:dyDescent="0.25">
      <c r="A73">
        <v>111106758</v>
      </c>
      <c r="B73" t="s">
        <v>456</v>
      </c>
      <c r="C73">
        <v>0.1</v>
      </c>
    </row>
    <row r="74" spans="1:3" x14ac:dyDescent="0.25">
      <c r="A74">
        <v>111116372</v>
      </c>
      <c r="B74" t="s">
        <v>456</v>
      </c>
      <c r="C74">
        <v>11.9</v>
      </c>
    </row>
    <row r="75" spans="1:3" x14ac:dyDescent="0.25">
      <c r="A75">
        <v>110102927</v>
      </c>
      <c r="B75" t="s">
        <v>456</v>
      </c>
      <c r="C75">
        <v>38.4</v>
      </c>
    </row>
    <row r="76" spans="1:3" x14ac:dyDescent="0.25">
      <c r="A76">
        <v>110102922</v>
      </c>
      <c r="B76" t="s">
        <v>456</v>
      </c>
      <c r="C76">
        <v>0.96</v>
      </c>
    </row>
    <row r="77" spans="1:3" x14ac:dyDescent="0.25">
      <c r="A77">
        <v>111001341</v>
      </c>
      <c r="B77" t="s">
        <v>456</v>
      </c>
      <c r="C77">
        <v>41.11</v>
      </c>
    </row>
    <row r="78" spans="1:3" x14ac:dyDescent="0.25">
      <c r="A78">
        <v>111116373</v>
      </c>
      <c r="B78" t="s">
        <v>661</v>
      </c>
      <c r="C78">
        <v>1.27</v>
      </c>
    </row>
    <row r="79" spans="1:3" x14ac:dyDescent="0.25">
      <c r="A79">
        <v>110102951</v>
      </c>
      <c r="B79" t="s">
        <v>428</v>
      </c>
      <c r="C79">
        <v>0.61</v>
      </c>
    </row>
    <row r="80" spans="1:3" x14ac:dyDescent="0.25">
      <c r="A80">
        <v>111120633</v>
      </c>
      <c r="B80" t="s">
        <v>428</v>
      </c>
      <c r="C80">
        <v>0.8</v>
      </c>
    </row>
    <row r="81" spans="1:3" x14ac:dyDescent="0.25">
      <c r="A81">
        <v>111118043</v>
      </c>
      <c r="B81" t="s">
        <v>586</v>
      </c>
      <c r="C81">
        <v>0.05</v>
      </c>
    </row>
    <row r="82" spans="1:3" x14ac:dyDescent="0.25">
      <c r="A82">
        <v>110102958</v>
      </c>
      <c r="B82" t="s">
        <v>586</v>
      </c>
      <c r="C82">
        <v>0</v>
      </c>
    </row>
    <row r="83" spans="1:3" x14ac:dyDescent="0.25">
      <c r="A83">
        <v>111001353</v>
      </c>
      <c r="B83" t="s">
        <v>578</v>
      </c>
      <c r="C83">
        <v>4.1099999999999994</v>
      </c>
    </row>
    <row r="84" spans="1:3" x14ac:dyDescent="0.25">
      <c r="A84">
        <v>111001352</v>
      </c>
      <c r="B84" t="s">
        <v>578</v>
      </c>
      <c r="C84">
        <v>3.37</v>
      </c>
    </row>
    <row r="85" spans="1:3" x14ac:dyDescent="0.25">
      <c r="A85">
        <v>110102963</v>
      </c>
      <c r="B85" t="s">
        <v>578</v>
      </c>
      <c r="C85">
        <v>16.909999999999997</v>
      </c>
    </row>
    <row r="86" spans="1:3" x14ac:dyDescent="0.25">
      <c r="A86">
        <v>111117555</v>
      </c>
      <c r="B86" t="s">
        <v>445</v>
      </c>
      <c r="C86">
        <v>6.4</v>
      </c>
    </row>
    <row r="87" spans="1:3" x14ac:dyDescent="0.25">
      <c r="A87">
        <v>110102977</v>
      </c>
      <c r="B87" t="s">
        <v>445</v>
      </c>
      <c r="C87">
        <v>1.66</v>
      </c>
    </row>
    <row r="88" spans="1:3" x14ac:dyDescent="0.25">
      <c r="A88">
        <v>111122744</v>
      </c>
      <c r="B88" t="s">
        <v>654</v>
      </c>
      <c r="C88">
        <v>5</v>
      </c>
    </row>
    <row r="89" spans="1:3" x14ac:dyDescent="0.25">
      <c r="A89">
        <v>111118634</v>
      </c>
      <c r="B89" t="s">
        <v>654</v>
      </c>
      <c r="C89">
        <v>4.1499999999999995</v>
      </c>
    </row>
    <row r="90" spans="1:3" x14ac:dyDescent="0.25">
      <c r="A90">
        <v>111106621</v>
      </c>
      <c r="B90" t="s">
        <v>794</v>
      </c>
      <c r="C90">
        <v>17.02</v>
      </c>
    </row>
    <row r="91" spans="1:3" x14ac:dyDescent="0.25">
      <c r="A91">
        <v>111002411</v>
      </c>
      <c r="B91" t="s">
        <v>474</v>
      </c>
      <c r="C91">
        <v>5.3</v>
      </c>
    </row>
    <row r="92" spans="1:3" x14ac:dyDescent="0.25">
      <c r="A92">
        <v>111002503</v>
      </c>
      <c r="B92" t="s">
        <v>474</v>
      </c>
      <c r="C92">
        <v>14.200000000000001</v>
      </c>
    </row>
    <row r="93" spans="1:3" x14ac:dyDescent="0.25">
      <c r="A93">
        <v>110103004</v>
      </c>
      <c r="B93" t="s">
        <v>474</v>
      </c>
      <c r="C93">
        <v>17.09</v>
      </c>
    </row>
    <row r="94" spans="1:3" x14ac:dyDescent="0.25">
      <c r="A94">
        <v>111117697</v>
      </c>
      <c r="B94" t="s">
        <v>1065</v>
      </c>
      <c r="C94">
        <v>1.45</v>
      </c>
    </row>
    <row r="95" spans="1:3" x14ac:dyDescent="0.25">
      <c r="A95">
        <v>111118812</v>
      </c>
      <c r="B95" t="s">
        <v>568</v>
      </c>
      <c r="C95">
        <v>0.95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2E20-0CB9-41D0-8770-DE9C7534BB9D}">
  <sheetPr>
    <tabColor rgb="FF00B0F0"/>
  </sheetPr>
  <dimension ref="A1:K48"/>
  <sheetViews>
    <sheetView workbookViewId="0">
      <selection sqref="A1:J47"/>
    </sheetView>
  </sheetViews>
  <sheetFormatPr defaultRowHeight="15" x14ac:dyDescent="0.25"/>
  <cols>
    <col min="1" max="1" width="22.42578125" bestFit="1" customWidth="1"/>
    <col min="2" max="2" width="11.42578125" bestFit="1" customWidth="1"/>
    <col min="3" max="3" width="10.85546875" bestFit="1" customWidth="1"/>
    <col min="4" max="4" width="10.140625" bestFit="1" customWidth="1"/>
    <col min="5" max="5" width="10.7109375" bestFit="1" customWidth="1"/>
    <col min="6" max="6" width="6.28515625" bestFit="1" customWidth="1"/>
    <col min="7" max="8" width="7.28515625" bestFit="1" customWidth="1"/>
    <col min="9" max="9" width="6.85546875" bestFit="1" customWidth="1"/>
    <col min="10" max="10" width="19.28515625" bestFit="1" customWidth="1"/>
    <col min="11" max="11" width="12.7109375" customWidth="1"/>
    <col min="12" max="12" width="16.5703125" customWidth="1"/>
  </cols>
  <sheetData>
    <row r="1" spans="1:11" x14ac:dyDescent="0.25">
      <c r="A1" t="s">
        <v>261</v>
      </c>
      <c r="B1" t="s">
        <v>1829</v>
      </c>
      <c r="C1" t="s">
        <v>1830</v>
      </c>
      <c r="D1" t="s">
        <v>1831</v>
      </c>
      <c r="E1" t="s">
        <v>1832</v>
      </c>
      <c r="F1" t="s">
        <v>1833</v>
      </c>
      <c r="G1" t="s">
        <v>1834</v>
      </c>
      <c r="H1" t="s">
        <v>1835</v>
      </c>
      <c r="I1" t="s">
        <v>944</v>
      </c>
      <c r="J1" t="s">
        <v>1836</v>
      </c>
      <c r="K1" t="s">
        <v>1837</v>
      </c>
    </row>
    <row r="2" spans="1:11" x14ac:dyDescent="0.25">
      <c r="A2" t="s">
        <v>416</v>
      </c>
      <c r="B2">
        <v>0.95</v>
      </c>
      <c r="C2">
        <v>0</v>
      </c>
      <c r="D2">
        <v>0.95</v>
      </c>
      <c r="E2" t="s">
        <v>1838</v>
      </c>
      <c r="F2">
        <v>7.0000000000000007E-2</v>
      </c>
      <c r="I2">
        <v>6.06</v>
      </c>
      <c r="J2">
        <f>IF((_4318_ll_req[[#This Row],[Balance]]-_4318_ll_req[[#This Row],[8406]])&lt;0,0,_4318_ll_req[[#This Row],[Balance]]-_4318_ll_req[[#This Row],[8406]])</f>
        <v>0.95</v>
      </c>
      <c r="K2" t="str" cm="1">
        <f t="array" ref="K2">_xlfn.TEXTJOIN("|",TRUE,_xlfn.UNIQUE(_xlfn._xlws.FILTER(stock[Material],(stock[Bucket]=_4318_ll_req[[#This Row],[Bucket]])*(stock[LL or CTL]="LL"))), IFERROR(_xlfn.TEXTJOIN("|",TRUE,_xlfn.UNIQUE(_xlfn._xlws.FILTER(wip_ystockn_newest_codes_bucket[Material No],wip_ystockn_newest_codes_bucket[Bucket]=_4318_ll_req[[#This Row],[Bucket]]))),""))</f>
        <v>1940014|111116473|111106833|111001733|111116471|111106834</v>
      </c>
    </row>
    <row r="3" spans="1:11" x14ac:dyDescent="0.25">
      <c r="A3" t="s">
        <v>407</v>
      </c>
      <c r="B3">
        <v>3.74</v>
      </c>
      <c r="C3">
        <v>7.18</v>
      </c>
      <c r="D3">
        <v>-3.44</v>
      </c>
      <c r="E3" t="s">
        <v>1838</v>
      </c>
      <c r="F3">
        <v>10.96</v>
      </c>
      <c r="G3">
        <v>24.64</v>
      </c>
      <c r="H3">
        <v>38.36</v>
      </c>
      <c r="I3">
        <v>21.2</v>
      </c>
      <c r="J3">
        <f>IF((_4318_ll_req[[#This Row],[Balance]]-_4318_ll_req[[#This Row],[8406]])&lt;0,0,_4318_ll_req[[#This Row],[Balance]]-_4318_ll_req[[#This Row],[8406]])</f>
        <v>0</v>
      </c>
      <c r="K3" t="str" cm="1">
        <f t="array" ref="K3">_xlfn.TEXTJOIN("|",TRUE,_xlfn.UNIQUE(_xlfn._xlws.FILTER(stock[Material],(stock[Bucket]=_4318_ll_req[[#This Row],[Bucket]])*(stock[LL or CTL]="LL"))), IFERROR(_xlfn.TEXTJOIN("|",TRUE,_xlfn.UNIQUE(_xlfn._xlws.FILTER(wip_ystockn_newest_codes_bucket[Material No],wip_ystockn_newest_codes_bucket[Bucket]=_4318_ll_req[[#This Row],[Bucket]]))),""))</f>
        <v>1940333|1940337|3500582|111106948|111001373|110102449|110102474|110102470|110102477</v>
      </c>
    </row>
    <row r="4" spans="1:11" x14ac:dyDescent="0.25">
      <c r="A4" t="s">
        <v>607</v>
      </c>
      <c r="B4">
        <v>0.52</v>
      </c>
      <c r="C4">
        <v>0</v>
      </c>
      <c r="D4">
        <v>0.52</v>
      </c>
      <c r="E4" t="s">
        <v>1838</v>
      </c>
      <c r="F4">
        <v>0.08</v>
      </c>
      <c r="I4">
        <v>4.96</v>
      </c>
      <c r="J4">
        <f>IF((_4318_ll_req[[#This Row],[Balance]]-_4318_ll_req[[#This Row],[8406]])&lt;0,0,_4318_ll_req[[#This Row],[Balance]]-_4318_ll_req[[#This Row],[8406]])</f>
        <v>0.52</v>
      </c>
      <c r="K4" t="str" cm="1">
        <f t="array" ref="K4">_xlfn.TEXTJOIN("|",TRUE,_xlfn.UNIQUE(_xlfn._xlws.FILTER(stock[Material],(stock[Bucket]=_4318_ll_req[[#This Row],[Bucket]])*(stock[LL or CTL]="LL"))), IFERROR(_xlfn.TEXTJOIN("|",TRUE,_xlfn.UNIQUE(_xlfn._xlws.FILTER(wip_ystockn_newest_codes_bucket[Material No],wip_ystockn_newest_codes_bucket[Bucket]=_4318_ll_req[[#This Row],[Bucket]]))),""))</f>
        <v>1940369|111118011|110102502|110102509</v>
      </c>
    </row>
    <row r="5" spans="1:11" x14ac:dyDescent="0.25">
      <c r="A5" t="s">
        <v>412</v>
      </c>
      <c r="B5">
        <v>43.42</v>
      </c>
      <c r="C5">
        <v>0</v>
      </c>
      <c r="D5">
        <v>43.42</v>
      </c>
      <c r="E5" t="s">
        <v>1838</v>
      </c>
      <c r="F5">
        <v>62.68</v>
      </c>
      <c r="G5">
        <v>0.06</v>
      </c>
      <c r="I5">
        <v>2.12</v>
      </c>
      <c r="J5">
        <f>IF((_4318_ll_req[[#This Row],[Balance]]-_4318_ll_req[[#This Row],[8406]])&lt;0,0,_4318_ll_req[[#This Row],[Balance]]-_4318_ll_req[[#This Row],[8406]])</f>
        <v>43.42</v>
      </c>
      <c r="K5" t="str" cm="1">
        <f t="array" ref="K5">_xlfn.TEXTJOIN("|",TRUE,_xlfn.UNIQUE(_xlfn._xlws.FILTER(stock[Material],(stock[Bucket]=_4318_ll_req[[#This Row],[Bucket]])*(stock[LL or CTL]="LL"))), IFERROR(_xlfn.TEXTJOIN("|",TRUE,_xlfn.UNIQUE(_xlfn._xlws.FILTER(wip_ystockn_newest_codes_bucket[Material No],wip_ystockn_newest_codes_bucket[Bucket]=_4318_ll_req[[#This Row],[Bucket]]))),""))</f>
        <v>3575894|4055022|3534935|111002410</v>
      </c>
    </row>
    <row r="6" spans="1:11" x14ac:dyDescent="0.25">
      <c r="A6" t="s">
        <v>633</v>
      </c>
      <c r="B6">
        <v>19.399999999999999</v>
      </c>
      <c r="C6">
        <v>17.510000000000002</v>
      </c>
      <c r="D6">
        <v>1.89</v>
      </c>
      <c r="E6" t="s">
        <v>1838</v>
      </c>
      <c r="F6">
        <v>5.14</v>
      </c>
      <c r="G6">
        <v>5.5</v>
      </c>
      <c r="H6">
        <v>1.05</v>
      </c>
      <c r="I6">
        <v>10.210000000000001</v>
      </c>
      <c r="J6">
        <f>IF((_4318_ll_req[[#This Row],[Balance]]-_4318_ll_req[[#This Row],[8406]])&lt;0,0,_4318_ll_req[[#This Row],[Balance]]-_4318_ll_req[[#This Row],[8406]])</f>
        <v>0.83999999999999986</v>
      </c>
      <c r="K6" t="str" cm="1">
        <f t="array" ref="K6">_xlfn.TEXTJOIN("|",TRUE,_xlfn.UNIQUE(_xlfn._xlws.FILTER(stock[Material],(stock[Bucket]=_4318_ll_req[[#This Row],[Bucket]])*(stock[LL or CTL]="LL"))), IFERROR(_xlfn.TEXTJOIN("|",TRUE,_xlfn.UNIQUE(_xlfn._xlws.FILTER(wip_ystockn_newest_codes_bucket[Material No],wip_ystockn_newest_codes_bucket[Bucket]=_4318_ll_req[[#This Row],[Bucket]]))),""))</f>
        <v>3586640|2431251|3500554|3905466|1931535|110102615|110102574|111113835</v>
      </c>
    </row>
    <row r="7" spans="1:11" x14ac:dyDescent="0.25">
      <c r="A7" t="s">
        <v>692</v>
      </c>
      <c r="B7">
        <v>0.99</v>
      </c>
      <c r="C7">
        <v>0</v>
      </c>
      <c r="D7">
        <v>0.99</v>
      </c>
      <c r="E7" t="s">
        <v>1838</v>
      </c>
      <c r="G7">
        <v>0.1</v>
      </c>
      <c r="I7">
        <v>5.89</v>
      </c>
      <c r="J7">
        <f>IF((_4318_ll_req[[#This Row],[Balance]]-_4318_ll_req[[#This Row],[8406]])&lt;0,0,_4318_ll_req[[#This Row],[Balance]]-_4318_ll_req[[#This Row],[8406]])</f>
        <v>0.99</v>
      </c>
      <c r="K7" t="str" cm="1">
        <f t="array" ref="K7">_xlfn.TEXTJOIN("|",TRUE,_xlfn.UNIQUE(_xlfn._xlws.FILTER(stock[Material],(stock[Bucket]=_4318_ll_req[[#This Row],[Bucket]])*(stock[LL or CTL]="LL"))), IFERROR(_xlfn.TEXTJOIN("|",TRUE,_xlfn.UNIQUE(_xlfn._xlws.FILTER(wip_ystockn_newest_codes_bucket[Material No],wip_ystockn_newest_codes_bucket[Bucket]=_4318_ll_req[[#This Row],[Bucket]]))),""))</f>
        <v>3702101|110102749|111002097</v>
      </c>
    </row>
    <row r="8" spans="1:11" x14ac:dyDescent="0.25">
      <c r="A8" t="s">
        <v>423</v>
      </c>
      <c r="B8">
        <v>14.03</v>
      </c>
      <c r="C8">
        <v>5.37</v>
      </c>
      <c r="D8">
        <v>8.66</v>
      </c>
      <c r="E8" t="s">
        <v>1838</v>
      </c>
      <c r="F8">
        <v>0.18</v>
      </c>
      <c r="J8">
        <f>IF((_4318_ll_req[[#This Row],[Balance]]-_4318_ll_req[[#This Row],[8406]])&lt;0,0,_4318_ll_req[[#This Row],[Balance]]-_4318_ll_req[[#This Row],[8406]])</f>
        <v>8.66</v>
      </c>
      <c r="K8" t="str" cm="1">
        <f t="array" ref="K8">_xlfn.TEXTJOIN("|",TRUE,_xlfn.UNIQUE(_xlfn._xlws.FILTER(stock[Material],(stock[Bucket]=_4318_ll_req[[#This Row],[Bucket]])*(stock[LL or CTL]="LL"))), IFERROR(_xlfn.TEXTJOIN("|",TRUE,_xlfn.UNIQUE(_xlfn._xlws.FILTER(wip_ystockn_newest_codes_bucket[Material No],wip_ystockn_newest_codes_bucket[Bucket]=_4318_ll_req[[#This Row],[Bucket]]))),""))</f>
        <v>1931385</v>
      </c>
    </row>
    <row r="9" spans="1:11" x14ac:dyDescent="0.25">
      <c r="A9" t="s">
        <v>557</v>
      </c>
      <c r="B9">
        <v>1.44</v>
      </c>
      <c r="C9">
        <v>1.1399999999999999</v>
      </c>
      <c r="D9">
        <v>0.3</v>
      </c>
      <c r="E9" t="s">
        <v>1838</v>
      </c>
      <c r="G9">
        <v>3.3</v>
      </c>
      <c r="H9">
        <v>1.2</v>
      </c>
      <c r="J9">
        <f>IF((_4318_ll_req[[#This Row],[Balance]]-_4318_ll_req[[#This Row],[8406]])&lt;0,0,_4318_ll_req[[#This Row],[Balance]]-_4318_ll_req[[#This Row],[8406]])</f>
        <v>0</v>
      </c>
      <c r="K9" t="str" cm="1">
        <f t="array" ref="K9">_xlfn.TEXTJOIN("|",TRUE,_xlfn.UNIQUE(_xlfn._xlws.FILTER(stock[Material],(stock[Bucket]=_4318_ll_req[[#This Row],[Bucket]])*(stock[LL or CTL]="LL"))), IFERROR(_xlfn.TEXTJOIN("|",TRUE,_xlfn.UNIQUE(_xlfn._xlws.FILTER(wip_ystockn_newest_codes_bucket[Material No],wip_ystockn_newest_codes_bucket[Bucket]=_4318_ll_req[[#This Row],[Bucket]]))),""))</f>
        <v>1931824</v>
      </c>
    </row>
    <row r="10" spans="1:11" x14ac:dyDescent="0.25">
      <c r="A10" t="s">
        <v>980</v>
      </c>
      <c r="B10">
        <v>3.88</v>
      </c>
      <c r="C10">
        <v>0</v>
      </c>
      <c r="D10">
        <v>3.88</v>
      </c>
      <c r="E10" t="s">
        <v>1838</v>
      </c>
      <c r="G10">
        <v>0.19</v>
      </c>
      <c r="J10">
        <f>IF((_4318_ll_req[[#This Row],[Balance]]-_4318_ll_req[[#This Row],[8406]])&lt;0,0,_4318_ll_req[[#This Row],[Balance]]-_4318_ll_req[[#This Row],[8406]])</f>
        <v>3.88</v>
      </c>
      <c r="K10" t="str" cm="1">
        <f t="array" ref="K10">_xlfn.TEXTJOIN("|",TRUE,_xlfn.UNIQUE(_xlfn._xlws.FILTER(stock[Material],(stock[Bucket]=_4318_ll_req[[#This Row],[Bucket]])*(stock[LL or CTL]="LL"))), IFERROR(_xlfn.TEXTJOIN("|",TRUE,_xlfn.UNIQUE(_xlfn._xlws.FILTER(wip_ystockn_newest_codes_bucket[Material No],wip_ystockn_newest_codes_bucket[Bucket]=_4318_ll_req[[#This Row],[Bucket]]))),""))</f>
        <v>2288945</v>
      </c>
    </row>
    <row r="11" spans="1:11" x14ac:dyDescent="0.25">
      <c r="A11" t="s">
        <v>1008</v>
      </c>
      <c r="B11">
        <v>10.46</v>
      </c>
      <c r="C11">
        <v>0</v>
      </c>
      <c r="D11">
        <v>10.46</v>
      </c>
      <c r="E11" t="s">
        <v>1838</v>
      </c>
      <c r="G11">
        <v>1.1499999999999999</v>
      </c>
      <c r="J11">
        <f>IF((_4318_ll_req[[#This Row],[Balance]]-_4318_ll_req[[#This Row],[8406]])&lt;0,0,_4318_ll_req[[#This Row],[Balance]]-_4318_ll_req[[#This Row],[8406]])</f>
        <v>10.46</v>
      </c>
      <c r="K11" t="str" cm="1">
        <f t="array" ref="K11">_xlfn.TEXTJOIN("|",TRUE,_xlfn.UNIQUE(_xlfn._xlws.FILTER(stock[Material],(stock[Bucket]=_4318_ll_req[[#This Row],[Bucket]])*(stock[LL or CTL]="LL"))), IFERROR(_xlfn.TEXTJOIN("|",TRUE,_xlfn.UNIQUE(_xlfn._xlws.FILTER(wip_ystockn_newest_codes_bucket[Material No],wip_ystockn_newest_codes_bucket[Bucket]=_4318_ll_req[[#This Row],[Bucket]]))),""))</f>
        <v>3702196</v>
      </c>
    </row>
    <row r="12" spans="1:11" x14ac:dyDescent="0.25">
      <c r="A12" t="s">
        <v>813</v>
      </c>
      <c r="B12">
        <v>3.5</v>
      </c>
      <c r="C12">
        <v>4.2</v>
      </c>
      <c r="D12">
        <v>-0.7</v>
      </c>
      <c r="E12" t="s">
        <v>1838</v>
      </c>
      <c r="G12">
        <v>0.2</v>
      </c>
      <c r="J12">
        <f>IF((_4318_ll_req[[#This Row],[Balance]]-_4318_ll_req[[#This Row],[8406]])&lt;0,0,_4318_ll_req[[#This Row],[Balance]]-_4318_ll_req[[#This Row],[8406]])</f>
        <v>0</v>
      </c>
      <c r="K12" t="str" cm="1">
        <f t="array" ref="K12">_xlfn.TEXTJOIN("|",TRUE,_xlfn.UNIQUE(_xlfn._xlws.FILTER(stock[Material],(stock[Bucket]=_4318_ll_req[[#This Row],[Bucket]])*(stock[LL or CTL]="LL"))), IFERROR(_xlfn.TEXTJOIN("|",TRUE,_xlfn.UNIQUE(_xlfn._xlws.FILTER(wip_ystockn_newest_codes_bucket[Material No],wip_ystockn_newest_codes_bucket[Bucket]=_4318_ll_req[[#This Row],[Bucket]]))),""))</f>
        <v>2410997</v>
      </c>
    </row>
    <row r="13" spans="1:11" x14ac:dyDescent="0.25">
      <c r="A13" t="s">
        <v>1042</v>
      </c>
      <c r="B13">
        <v>7.64</v>
      </c>
      <c r="C13">
        <v>0</v>
      </c>
      <c r="D13">
        <v>7.64</v>
      </c>
      <c r="E13" t="s">
        <v>1838</v>
      </c>
      <c r="G13">
        <v>14.74</v>
      </c>
      <c r="J13">
        <f>IF((_4318_ll_req[[#This Row],[Balance]]-_4318_ll_req[[#This Row],[8406]])&lt;0,0,_4318_ll_req[[#This Row],[Balance]]-_4318_ll_req[[#This Row],[8406]])</f>
        <v>7.64</v>
      </c>
      <c r="K13" t="str" cm="1">
        <f t="array" ref="K13">_xlfn.TEXTJOIN("|",TRUE,_xlfn.UNIQUE(_xlfn._xlws.FILTER(stock[Material],(stock[Bucket]=_4318_ll_req[[#This Row],[Bucket]])*(stock[LL or CTL]="LL"))), IFERROR(_xlfn.TEXTJOIN("|",TRUE,_xlfn.UNIQUE(_xlfn._xlws.FILTER(wip_ystockn_newest_codes_bucket[Material No],wip_ystockn_newest_codes_bucket[Bucket]=_4318_ll_req[[#This Row],[Bucket]]))),""))</f>
        <v>3502026</v>
      </c>
    </row>
    <row r="14" spans="1:11" x14ac:dyDescent="0.25">
      <c r="A14" t="s">
        <v>1043</v>
      </c>
      <c r="B14">
        <v>7.72</v>
      </c>
      <c r="C14">
        <v>0</v>
      </c>
      <c r="D14">
        <v>7.72</v>
      </c>
      <c r="E14" t="s">
        <v>1838</v>
      </c>
      <c r="G14">
        <v>5.18</v>
      </c>
      <c r="H14">
        <v>2.97</v>
      </c>
      <c r="J14">
        <f>IF((_4318_ll_req[[#This Row],[Balance]]-_4318_ll_req[[#This Row],[8406]])&lt;0,0,_4318_ll_req[[#This Row],[Balance]]-_4318_ll_req[[#This Row],[8406]])</f>
        <v>4.75</v>
      </c>
      <c r="K14" t="str" cm="1">
        <f t="array" ref="K14">_xlfn.TEXTJOIN("|",TRUE,_xlfn.UNIQUE(_xlfn._xlws.FILTER(stock[Material],(stock[Bucket]=_4318_ll_req[[#This Row],[Bucket]])*(stock[LL or CTL]="LL"))), IFERROR(_xlfn.TEXTJOIN("|",TRUE,_xlfn.UNIQUE(_xlfn._xlws.FILTER(wip_ystockn_newest_codes_bucket[Material No],wip_ystockn_newest_codes_bucket[Bucket]=_4318_ll_req[[#This Row],[Bucket]]))),""))</f>
        <v>3500233</v>
      </c>
    </row>
    <row r="15" spans="1:11" x14ac:dyDescent="0.25">
      <c r="A15" t="s">
        <v>860</v>
      </c>
      <c r="B15">
        <v>59.68</v>
      </c>
      <c r="C15">
        <v>40.08</v>
      </c>
      <c r="D15">
        <v>19.600000000000001</v>
      </c>
      <c r="E15" t="s">
        <v>1838</v>
      </c>
      <c r="F15">
        <v>5.44</v>
      </c>
      <c r="G15">
        <v>30.65</v>
      </c>
      <c r="H15">
        <v>49.19</v>
      </c>
      <c r="J15">
        <f>IF((_4318_ll_req[[#This Row],[Balance]]-_4318_ll_req[[#This Row],[8406]])&lt;0,0,_4318_ll_req[[#This Row],[Balance]]-_4318_ll_req[[#This Row],[8406]])</f>
        <v>0</v>
      </c>
      <c r="K15" t="str" cm="1">
        <f t="array" ref="K15">_xlfn.TEXTJOIN("|",TRUE,_xlfn.UNIQUE(_xlfn._xlws.FILTER(stock[Material],(stock[Bucket]=_4318_ll_req[[#This Row],[Bucket]])*(stock[LL or CTL]="LL"))), IFERROR(_xlfn.TEXTJOIN("|",TRUE,_xlfn.UNIQUE(_xlfn._xlws.FILTER(wip_ystockn_newest_codes_bucket[Material No],wip_ystockn_newest_codes_bucket[Bucket]=_4318_ll_req[[#This Row],[Bucket]]))),""))</f>
        <v>3863198|1900941|3500959|3682063</v>
      </c>
    </row>
    <row r="16" spans="1:11" x14ac:dyDescent="0.25">
      <c r="A16" t="s">
        <v>875</v>
      </c>
      <c r="B16">
        <v>47.92</v>
      </c>
      <c r="C16">
        <v>22.3</v>
      </c>
      <c r="D16">
        <v>25.62</v>
      </c>
      <c r="E16" t="s">
        <v>1838</v>
      </c>
      <c r="G16">
        <v>4.82</v>
      </c>
      <c r="H16">
        <v>4.6500000000000004</v>
      </c>
      <c r="J16">
        <f>IF((_4318_ll_req[[#This Row],[Balance]]-_4318_ll_req[[#This Row],[8406]])&lt;0,0,_4318_ll_req[[#This Row],[Balance]]-_4318_ll_req[[#This Row],[8406]])</f>
        <v>20.97</v>
      </c>
      <c r="K16" t="str" cm="1">
        <f t="array" ref="K16">_xlfn.TEXTJOIN("|",TRUE,_xlfn.UNIQUE(_xlfn._xlws.FILTER(stock[Material],(stock[Bucket]=_4318_ll_req[[#This Row],[Bucket]])*(stock[LL or CTL]="LL"))), IFERROR(_xlfn.TEXTJOIN("|",TRUE,_xlfn.UNIQUE(_xlfn._xlws.FILTER(wip_ystockn_newest_codes_bucket[Material No],wip_ystockn_newest_codes_bucket[Bucket]=_4318_ll_req[[#This Row],[Bucket]]))),""))</f>
        <v>3500650</v>
      </c>
    </row>
    <row r="17" spans="1:11" x14ac:dyDescent="0.25">
      <c r="A17" t="s">
        <v>712</v>
      </c>
      <c r="B17">
        <v>15.25</v>
      </c>
      <c r="C17">
        <v>4.4800000000000004</v>
      </c>
      <c r="D17">
        <v>10.77</v>
      </c>
      <c r="E17" t="s">
        <v>1838</v>
      </c>
      <c r="F17">
        <v>2.74</v>
      </c>
      <c r="G17">
        <v>6.03</v>
      </c>
      <c r="J17">
        <f>IF((_4318_ll_req[[#This Row],[Balance]]-_4318_ll_req[[#This Row],[8406]])&lt;0,0,_4318_ll_req[[#This Row],[Balance]]-_4318_ll_req[[#This Row],[8406]])</f>
        <v>10.77</v>
      </c>
      <c r="K17" t="str" cm="1">
        <f t="array" ref="K17">_xlfn.TEXTJOIN("|",TRUE,_xlfn.UNIQUE(_xlfn._xlws.FILTER(stock[Material],(stock[Bucket]=_4318_ll_req[[#This Row],[Bucket]])*(stock[LL or CTL]="LL"))), IFERROR(_xlfn.TEXTJOIN("|",TRUE,_xlfn.UNIQUE(_xlfn._xlws.FILTER(wip_ystockn_newest_codes_bucket[Material No],wip_ystockn_newest_codes_bucket[Bucket]=_4318_ll_req[[#This Row],[Bucket]]))),""))</f>
        <v>3909479|3502422</v>
      </c>
    </row>
    <row r="18" spans="1:11" x14ac:dyDescent="0.25">
      <c r="A18" t="s">
        <v>895</v>
      </c>
      <c r="B18">
        <v>12.41</v>
      </c>
      <c r="C18">
        <v>0</v>
      </c>
      <c r="D18">
        <v>12.41</v>
      </c>
      <c r="E18" t="s">
        <v>1838</v>
      </c>
      <c r="G18">
        <v>1.35</v>
      </c>
      <c r="H18">
        <v>12.85</v>
      </c>
      <c r="J18">
        <f>IF((_4318_ll_req[[#This Row],[Balance]]-_4318_ll_req[[#This Row],[8406]])&lt;0,0,_4318_ll_req[[#This Row],[Balance]]-_4318_ll_req[[#This Row],[8406]])</f>
        <v>0</v>
      </c>
      <c r="K18" t="str" cm="1">
        <f t="array" ref="K18">_xlfn.TEXTJOIN("|",TRUE,_xlfn.UNIQUE(_xlfn._xlws.FILTER(stock[Material],(stock[Bucket]=_4318_ll_req[[#This Row],[Bucket]])*(stock[LL or CTL]="LL"))), IFERROR(_xlfn.TEXTJOIN("|",TRUE,_xlfn.UNIQUE(_xlfn._xlws.FILTER(wip_ystockn_newest_codes_bucket[Material No],wip_ystockn_newest_codes_bucket[Bucket]=_4318_ll_req[[#This Row],[Bucket]]))),""))</f>
        <v>3500268</v>
      </c>
    </row>
    <row r="19" spans="1:11" x14ac:dyDescent="0.25">
      <c r="A19" t="s">
        <v>920</v>
      </c>
      <c r="B19">
        <v>25.8</v>
      </c>
      <c r="C19">
        <v>19.78</v>
      </c>
      <c r="D19">
        <v>6.02</v>
      </c>
      <c r="E19" t="s">
        <v>1838</v>
      </c>
      <c r="G19">
        <v>6.82</v>
      </c>
      <c r="H19">
        <v>18.77</v>
      </c>
      <c r="J19">
        <f>IF((_4318_ll_req[[#This Row],[Balance]]-_4318_ll_req[[#This Row],[8406]])&lt;0,0,_4318_ll_req[[#This Row],[Balance]]-_4318_ll_req[[#This Row],[8406]])</f>
        <v>0</v>
      </c>
      <c r="K19" t="str" cm="1">
        <f t="array" ref="K19">_xlfn.TEXTJOIN("|",TRUE,_xlfn.UNIQUE(_xlfn._xlws.FILTER(stock[Material],(stock[Bucket]=_4318_ll_req[[#This Row],[Bucket]])*(stock[LL or CTL]="LL"))), IFERROR(_xlfn.TEXTJOIN("|",TRUE,_xlfn.UNIQUE(_xlfn._xlws.FILTER(wip_ystockn_newest_codes_bucket[Material No],wip_ystockn_newest_codes_bucket[Bucket]=_4318_ll_req[[#This Row],[Bucket]]))),""))</f>
        <v>3777563</v>
      </c>
    </row>
    <row r="20" spans="1:11" x14ac:dyDescent="0.25">
      <c r="A20" t="s">
        <v>904</v>
      </c>
      <c r="B20">
        <v>50.94</v>
      </c>
      <c r="C20">
        <v>50.8</v>
      </c>
      <c r="D20">
        <v>0.14000000000000001</v>
      </c>
      <c r="E20" t="s">
        <v>1838</v>
      </c>
      <c r="G20">
        <v>0.08</v>
      </c>
      <c r="H20">
        <v>19.86</v>
      </c>
      <c r="J20">
        <f>IF((_4318_ll_req[[#This Row],[Balance]]-_4318_ll_req[[#This Row],[8406]])&lt;0,0,_4318_ll_req[[#This Row],[Balance]]-_4318_ll_req[[#This Row],[8406]])</f>
        <v>0</v>
      </c>
      <c r="K20" t="str" cm="1">
        <f t="array" ref="K20">_xlfn.TEXTJOIN("|",TRUE,_xlfn.UNIQUE(_xlfn._xlws.FILTER(stock[Material],(stock[Bucket]=_4318_ll_req[[#This Row],[Bucket]])*(stock[LL or CTL]="LL"))), IFERROR(_xlfn.TEXTJOIN("|",TRUE,_xlfn.UNIQUE(_xlfn._xlws.FILTER(wip_ystockn_newest_codes_bucket[Material No],wip_ystockn_newest_codes_bucket[Bucket]=_4318_ll_req[[#This Row],[Bucket]]))),""))</f>
        <v>3682118</v>
      </c>
    </row>
    <row r="21" spans="1:11" x14ac:dyDescent="0.25">
      <c r="A21" t="s">
        <v>872</v>
      </c>
      <c r="B21">
        <v>22.15</v>
      </c>
      <c r="C21">
        <v>16.420000000000002</v>
      </c>
      <c r="D21">
        <v>5.74</v>
      </c>
      <c r="E21" t="s">
        <v>1838</v>
      </c>
      <c r="G21">
        <v>20.65</v>
      </c>
      <c r="H21">
        <v>3.26</v>
      </c>
      <c r="J21">
        <f>IF((_4318_ll_req[[#This Row],[Balance]]-_4318_ll_req[[#This Row],[8406]])&lt;0,0,_4318_ll_req[[#This Row],[Balance]]-_4318_ll_req[[#This Row],[8406]])</f>
        <v>2.4800000000000004</v>
      </c>
      <c r="K21" t="str" cm="1">
        <f t="array" ref="K21">_xlfn.TEXTJOIN("|",TRUE,_xlfn.UNIQUE(_xlfn._xlws.FILTER(stock[Material],(stock[Bucket]=_4318_ll_req[[#This Row],[Bucket]])*(stock[LL or CTL]="LL"))), IFERROR(_xlfn.TEXTJOIN("|",TRUE,_xlfn.UNIQUE(_xlfn._xlws.FILTER(wip_ystockn_newest_codes_bucket[Material No],wip_ystockn_newest_codes_bucket[Bucket]=_4318_ll_req[[#This Row],[Bucket]]))),""))</f>
        <v>3500816</v>
      </c>
    </row>
    <row r="22" spans="1:11" x14ac:dyDescent="0.25">
      <c r="A22" t="s">
        <v>914</v>
      </c>
      <c r="B22">
        <v>15.49</v>
      </c>
      <c r="C22">
        <v>4.96</v>
      </c>
      <c r="D22">
        <v>10.53</v>
      </c>
      <c r="E22" t="s">
        <v>1838</v>
      </c>
      <c r="G22">
        <v>3.58</v>
      </c>
      <c r="H22">
        <v>7.22</v>
      </c>
      <c r="J22">
        <f>IF((_4318_ll_req[[#This Row],[Balance]]-_4318_ll_req[[#This Row],[8406]])&lt;0,0,_4318_ll_req[[#This Row],[Balance]]-_4318_ll_req[[#This Row],[8406]])</f>
        <v>3.3099999999999996</v>
      </c>
      <c r="K22" t="str" cm="1">
        <f t="array" ref="K22">_xlfn.TEXTJOIN("|",TRUE,_xlfn.UNIQUE(_xlfn._xlws.FILTER(stock[Material],(stock[Bucket]=_4318_ll_req[[#This Row],[Bucket]])*(stock[LL or CTL]="LL"))), IFERROR(_xlfn.TEXTJOIN("|",TRUE,_xlfn.UNIQUE(_xlfn._xlws.FILTER(wip_ystockn_newest_codes_bucket[Material No],wip_ystockn_newest_codes_bucket[Bucket]=_4318_ll_req[[#This Row],[Bucket]]))),""))</f>
        <v>3499608</v>
      </c>
    </row>
    <row r="23" spans="1:11" x14ac:dyDescent="0.25">
      <c r="K23" t="e" cm="1">
        <f t="array" ref="K23">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4" spans="1:11" x14ac:dyDescent="0.25">
      <c r="K24" t="e" cm="1">
        <f t="array" ref="K24">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5" spans="1:11" x14ac:dyDescent="0.25">
      <c r="K25" t="e" cm="1">
        <f t="array" ref="K25">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6" spans="1:11" x14ac:dyDescent="0.25">
      <c r="K26" t="e" cm="1">
        <f t="array" ref="K26">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7" spans="1:11" x14ac:dyDescent="0.25">
      <c r="K27" t="e" cm="1">
        <f t="array" ref="K27">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8" spans="1:11" x14ac:dyDescent="0.25">
      <c r="K28" t="e" cm="1">
        <f t="array" ref="K28">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9" spans="1:11" x14ac:dyDescent="0.25">
      <c r="K29" t="e" cm="1">
        <f t="array" ref="K29">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0" spans="1:11" x14ac:dyDescent="0.25">
      <c r="K30" t="e" cm="1">
        <f t="array" ref="K30">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1" spans="1:11" x14ac:dyDescent="0.25">
      <c r="K31" t="e" cm="1">
        <f t="array" ref="K31">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2" spans="1:11" x14ac:dyDescent="0.25">
      <c r="K32" t="e" cm="1">
        <f t="array" ref="K32">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3" spans="11:11" x14ac:dyDescent="0.25">
      <c r="K33" t="e" cm="1">
        <f t="array" ref="K33">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4" spans="11:11" x14ac:dyDescent="0.25">
      <c r="K34" t="e" cm="1">
        <f t="array" ref="K34">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5" spans="11:11" x14ac:dyDescent="0.25">
      <c r="K35" t="e" cm="1">
        <f t="array" ref="K35">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6" spans="11:11" x14ac:dyDescent="0.25">
      <c r="K36" t="e" cm="1">
        <f t="array" ref="K36">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7" spans="11:11" x14ac:dyDescent="0.25">
      <c r="K37" t="e" cm="1">
        <f t="array" ref="K37">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8" spans="11:11" x14ac:dyDescent="0.25">
      <c r="K38" t="e" cm="1">
        <f t="array" ref="K38">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9" spans="11:11" x14ac:dyDescent="0.25">
      <c r="K39" t="e" cm="1">
        <f t="array" ref="K39">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0" spans="11:11" x14ac:dyDescent="0.25">
      <c r="K40" t="e" cm="1">
        <f t="array" ref="K40">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1" spans="11:11" x14ac:dyDescent="0.25">
      <c r="K41" t="e" cm="1">
        <f t="array" ref="K41">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2" spans="11:11" x14ac:dyDescent="0.25">
      <c r="K42" t="e" cm="1">
        <f t="array" ref="K42">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3" spans="11:11" x14ac:dyDescent="0.25">
      <c r="K43" t="e" cm="1">
        <f t="array" ref="K43">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4" spans="11:11" x14ac:dyDescent="0.25">
      <c r="K44" t="e" cm="1">
        <f t="array" ref="K44">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5" spans="11:11" x14ac:dyDescent="0.25">
      <c r="K45" t="e" cm="1">
        <f t="array" ref="K45">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6" spans="11:11" x14ac:dyDescent="0.25">
      <c r="K46" t="e" cm="1">
        <f t="array" ref="K46">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7" spans="11:11" x14ac:dyDescent="0.25">
      <c r="K47" t="e" cm="1">
        <f t="array" ref="K47">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8" spans="11:11" x14ac:dyDescent="0.25">
      <c r="K48" t="e" cm="1">
        <f t="array" ref="K48">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sheetData>
  <phoneticPr fontId="13" type="noConversion"/>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4A9CB-2BE6-44A1-A2FF-BF81EC5D1CBD}">
  <sheetPr codeName="Sheet14">
    <tabColor rgb="FF00B0F0"/>
    <pageSetUpPr fitToPage="1"/>
  </sheetPr>
  <dimension ref="A1:AT825"/>
  <sheetViews>
    <sheetView topLeftCell="H15" zoomScale="85" zoomScaleNormal="85" workbookViewId="0">
      <selection activeCell="K570" sqref="K570"/>
    </sheetView>
  </sheetViews>
  <sheetFormatPr defaultColWidth="8.85546875" defaultRowHeight="15" outlineLevelCol="1" x14ac:dyDescent="0.25"/>
  <cols>
    <col min="1" max="1" width="9" bestFit="1" customWidth="1"/>
    <col min="2" max="2" width="13.85546875" customWidth="1"/>
    <col min="3" max="3" width="18.5703125" customWidth="1"/>
    <col min="4" max="4" width="26.7109375" bestFit="1" customWidth="1"/>
    <col min="5" max="5" width="20.42578125" customWidth="1"/>
    <col min="6" max="6" width="19.28515625" style="198" customWidth="1" outlineLevel="1"/>
    <col min="7" max="7" width="24.42578125" style="198" customWidth="1" outlineLevel="1"/>
    <col min="8" max="8" width="48.7109375" bestFit="1" customWidth="1"/>
    <col min="9" max="9" width="13" bestFit="1" customWidth="1"/>
    <col min="10" max="16" width="11.28515625" customWidth="1" outlineLevel="1"/>
    <col min="17" max="18" width="37.140625" customWidth="1" outlineLevel="1"/>
    <col min="19" max="19" width="8.140625" customWidth="1" outlineLevel="1"/>
    <col min="20" max="20" width="7.85546875" customWidth="1" outlineLevel="1"/>
    <col min="21" max="21" width="6.28515625" customWidth="1" outlineLevel="1"/>
    <col min="22" max="22" width="11.28515625" customWidth="1" outlineLevel="1"/>
    <col min="23" max="23" width="4.5703125" customWidth="1" outlineLevel="1"/>
    <col min="24" max="24" width="13.140625" style="198" customWidth="1"/>
    <col min="25" max="26" width="9" style="198" bestFit="1" customWidth="1"/>
    <col min="27" max="27" width="11.140625" style="198" customWidth="1"/>
    <col min="28" max="28" width="10" style="198" customWidth="1"/>
    <col min="29" max="29" width="12.7109375" style="198" customWidth="1"/>
    <col min="30" max="31" width="12.7109375" style="198" hidden="1" customWidth="1"/>
    <col min="32" max="32" width="23.28515625" style="90" bestFit="1" customWidth="1"/>
    <col min="33" max="33" width="8.42578125" style="90" customWidth="1"/>
    <col min="34" max="35" width="17.7109375" bestFit="1" customWidth="1"/>
    <col min="36" max="36" width="17.42578125" customWidth="1" outlineLevel="1"/>
    <col min="37" max="37" width="19.28515625" customWidth="1" outlineLevel="1"/>
    <col min="38" max="38" width="24.42578125" customWidth="1" outlineLevel="1"/>
    <col min="39" max="39" width="13" customWidth="1"/>
    <col min="40" max="40" width="15.7109375" hidden="1" customWidth="1" outlineLevel="1"/>
    <col min="41" max="41" width="25.7109375" hidden="1" customWidth="1" outlineLevel="1"/>
    <col min="42" max="42" width="15.7109375" customWidth="1" collapsed="1"/>
    <col min="43" max="43" width="15.7109375" customWidth="1"/>
    <col min="44" max="44" width="28.28515625" customWidth="1"/>
    <col min="45" max="45" width="12.7109375" customWidth="1"/>
    <col min="46" max="46" width="11" bestFit="1" customWidth="1"/>
  </cols>
  <sheetData>
    <row r="1" spans="1:46" ht="104.25" customHeight="1" x14ac:dyDescent="0.25">
      <c r="A1" s="15"/>
      <c r="B1" s="15"/>
      <c r="C1" s="15" t="s">
        <v>1839</v>
      </c>
      <c r="D1" s="15"/>
      <c r="E1" s="15"/>
      <c r="F1" s="10"/>
      <c r="G1" s="10"/>
      <c r="H1" s="15"/>
      <c r="I1" s="15"/>
      <c r="J1" s="15"/>
      <c r="K1" s="15"/>
      <c r="L1" s="15"/>
      <c r="M1" s="15"/>
      <c r="N1" s="15"/>
      <c r="O1" s="15"/>
      <c r="P1" s="15"/>
      <c r="Q1" s="15"/>
      <c r="R1" s="15"/>
      <c r="S1" s="15"/>
      <c r="T1" s="15"/>
      <c r="U1" s="15"/>
      <c r="V1" s="15"/>
      <c r="W1" s="15"/>
      <c r="X1" s="10"/>
      <c r="Y1" s="10"/>
      <c r="Z1" s="10"/>
      <c r="AA1" s="10"/>
      <c r="AB1" s="10"/>
      <c r="AC1" s="10"/>
      <c r="AD1" s="10"/>
      <c r="AE1" s="10"/>
      <c r="AF1" s="19"/>
      <c r="AG1" s="19"/>
      <c r="AH1" s="15"/>
      <c r="AI1" s="15"/>
      <c r="AJ1" s="15"/>
      <c r="AK1" s="15"/>
      <c r="AL1" s="15"/>
      <c r="AM1" s="15"/>
      <c r="AN1" s="15"/>
      <c r="AO1" s="15"/>
      <c r="AP1" s="15"/>
      <c r="AQ1" s="15"/>
      <c r="AR1" s="15"/>
      <c r="AS1" s="92"/>
    </row>
    <row r="2" spans="1:46" ht="18.75" x14ac:dyDescent="0.3">
      <c r="A2" s="11"/>
      <c r="B2" s="11"/>
      <c r="C2" s="11"/>
      <c r="D2" s="11"/>
      <c r="E2" s="11"/>
      <c r="F2" s="8"/>
      <c r="G2" s="8"/>
      <c r="H2" s="11"/>
      <c r="I2" s="11"/>
      <c r="J2" s="11"/>
      <c r="K2" s="11"/>
      <c r="L2" s="11"/>
      <c r="M2" s="11"/>
      <c r="N2" s="11"/>
      <c r="O2" s="11"/>
      <c r="P2" s="11"/>
      <c r="Q2" s="11"/>
      <c r="R2" s="11"/>
      <c r="S2" s="11"/>
      <c r="T2" s="11"/>
      <c r="U2" s="11"/>
      <c r="V2" s="11"/>
      <c r="W2" s="11"/>
      <c r="X2" s="8"/>
      <c r="Y2" s="12"/>
      <c r="Z2" s="12"/>
      <c r="AA2" s="12"/>
      <c r="AB2" s="13"/>
      <c r="AC2" s="522"/>
      <c r="AD2" s="522"/>
      <c r="AE2" s="522"/>
      <c r="AF2" s="545">
        <f t="shared" ref="AF2:AR2" si="0">SUBTOTAL(9,AF4:AF1048576)</f>
        <v>4986140</v>
      </c>
      <c r="AG2" s="545"/>
      <c r="AH2" s="545" t="e">
        <f t="shared" si="0"/>
        <v>#N/A</v>
      </c>
      <c r="AI2" s="545" t="e">
        <f t="shared" si="0"/>
        <v>#N/A</v>
      </c>
      <c r="AJ2" s="21">
        <f t="shared" si="0"/>
        <v>3053.5238390823774</v>
      </c>
      <c r="AK2" s="21" t="e">
        <f t="shared" si="0"/>
        <v>#N/A</v>
      </c>
      <c r="AL2" s="21" t="e">
        <f t="shared" si="0"/>
        <v>#N/A</v>
      </c>
      <c r="AM2" s="21" t="e">
        <f t="shared" si="0"/>
        <v>#DIV/0!</v>
      </c>
      <c r="AN2" s="21">
        <f t="shared" si="0"/>
        <v>948.04904999999974</v>
      </c>
      <c r="AO2" s="21">
        <f t="shared" si="0"/>
        <v>1669.2330000000002</v>
      </c>
      <c r="AP2" s="21">
        <f t="shared" si="0"/>
        <v>133188.34390035181</v>
      </c>
      <c r="AQ2" s="21">
        <f t="shared" si="0"/>
        <v>10866.936000000023</v>
      </c>
      <c r="AR2" s="14">
        <f t="shared" si="0"/>
        <v>2099.7858581077835</v>
      </c>
      <c r="AS2" s="527"/>
    </row>
    <row r="3" spans="1:46" ht="23.45" customHeight="1" x14ac:dyDescent="0.25">
      <c r="A3" s="31" t="s">
        <v>1840</v>
      </c>
      <c r="B3" s="32" t="s">
        <v>1841</v>
      </c>
      <c r="C3" s="33" t="s">
        <v>281</v>
      </c>
      <c r="D3" s="33" t="s">
        <v>1842</v>
      </c>
      <c r="E3" s="34" t="s">
        <v>282</v>
      </c>
      <c r="F3" s="35" t="s">
        <v>1843</v>
      </c>
      <c r="G3" s="35" t="s">
        <v>202</v>
      </c>
      <c r="H3" s="36" t="s">
        <v>1844</v>
      </c>
      <c r="I3" s="37" t="s">
        <v>199</v>
      </c>
      <c r="J3" s="37" t="s">
        <v>1845</v>
      </c>
      <c r="K3" s="37" t="s">
        <v>376</v>
      </c>
      <c r="L3" s="37" t="s">
        <v>1846</v>
      </c>
      <c r="M3" s="37" t="s">
        <v>1847</v>
      </c>
      <c r="N3" s="37" t="s">
        <v>1848</v>
      </c>
      <c r="O3" s="37" t="s">
        <v>1554</v>
      </c>
      <c r="P3" s="37" t="s">
        <v>1849</v>
      </c>
      <c r="Q3" s="37" t="s">
        <v>261</v>
      </c>
      <c r="R3" s="37" t="s">
        <v>1850</v>
      </c>
      <c r="S3" s="37" t="s">
        <v>1851</v>
      </c>
      <c r="T3" s="37" t="s">
        <v>1801</v>
      </c>
      <c r="U3" s="37" t="s">
        <v>1852</v>
      </c>
      <c r="V3" s="37" t="s">
        <v>1853</v>
      </c>
      <c r="W3" s="37" t="s">
        <v>946</v>
      </c>
      <c r="X3" s="38" t="s">
        <v>937</v>
      </c>
      <c r="Y3" s="38" t="s">
        <v>316</v>
      </c>
      <c r="Z3" s="38" t="s">
        <v>317</v>
      </c>
      <c r="AA3" s="38" t="s">
        <v>938</v>
      </c>
      <c r="AB3" s="38" t="s">
        <v>319</v>
      </c>
      <c r="AC3" s="38" t="s">
        <v>939</v>
      </c>
      <c r="AD3" s="38" t="s">
        <v>1854</v>
      </c>
      <c r="AE3" s="38" t="s">
        <v>1855</v>
      </c>
      <c r="AF3" s="102" t="s">
        <v>1856</v>
      </c>
      <c r="AG3" s="39" t="s">
        <v>1857</v>
      </c>
      <c r="AH3" s="40" t="s">
        <v>940</v>
      </c>
      <c r="AI3" s="41" t="s">
        <v>941</v>
      </c>
      <c r="AJ3" s="104" t="s">
        <v>1858</v>
      </c>
      <c r="AK3" s="104" t="s">
        <v>1859</v>
      </c>
      <c r="AL3" s="104" t="s">
        <v>1860</v>
      </c>
      <c r="AM3" s="104" t="s">
        <v>942</v>
      </c>
      <c r="AN3" s="104" t="s">
        <v>1861</v>
      </c>
      <c r="AO3" s="104" t="s">
        <v>1862</v>
      </c>
      <c r="AP3" s="104" t="s">
        <v>943</v>
      </c>
      <c r="AQ3" s="104" t="s">
        <v>944</v>
      </c>
      <c r="AR3" s="105" t="s">
        <v>1863</v>
      </c>
      <c r="AS3" s="117" t="s">
        <v>1864</v>
      </c>
      <c r="AT3" t="s">
        <v>1865</v>
      </c>
    </row>
    <row r="4" spans="1:46" x14ac:dyDescent="0.25">
      <c r="A4" s="30">
        <v>1</v>
      </c>
      <c r="B4" s="5" t="s">
        <v>1816</v>
      </c>
      <c r="C4" s="2" t="s">
        <v>283</v>
      </c>
      <c r="D4" s="15" t="s">
        <v>1866</v>
      </c>
      <c r="E4" s="2">
        <v>189287</v>
      </c>
      <c r="F4" s="2">
        <v>3432081</v>
      </c>
      <c r="G4" s="2" t="str">
        <f>_xlfn.CONCAT(scheduleapr[[#This Row],[CUSTOMER CODE]],"-",scheduleapr[[#This Row],[MATERIAL NO]])</f>
        <v>189287-3432081</v>
      </c>
      <c r="H4" s="2" t="s">
        <v>417</v>
      </c>
      <c r="I4" s="2" t="s">
        <v>962</v>
      </c>
      <c r="J4" s="2"/>
      <c r="K4" s="2" t="s">
        <v>963</v>
      </c>
      <c r="L4" s="2" t="s">
        <v>1867</v>
      </c>
      <c r="M4" s="44" t="s">
        <v>1868</v>
      </c>
      <c r="N4" s="2"/>
      <c r="O4" s="2"/>
      <c r="P4" s="2"/>
      <c r="Q4" s="557" t="str">
        <f>CONCATENATE(scheduleapr[[#This Row],[OD]],"-",scheduleapr[[#This Row],[ID]],"-",scheduleapr[[#This Row],[TICKNESS]],"-",scheduleapr[[#This Row],[Grade]],"-",scheduleapr[[#This Row],[FC/NFC]])</f>
        <v>12.7-0-1.6-ERW 1-PE</v>
      </c>
      <c r="R4" s="557" t="str">
        <f>_xlfn.CONCAT(scheduleapr[[#This Row],[Bucket]],"-",scheduleapr[[#This Row],[LENGTH]]/1000)</f>
        <v>12.7-0-1.6-ERW 1-PE-0.189</v>
      </c>
      <c r="S4" s="557">
        <f>COUNTIF(scheduleapr[CTL Bucket],scheduleapr[[#This Row],[CTL Bucket]])</f>
        <v>1</v>
      </c>
      <c r="T4" s="2" t="s">
        <v>1816</v>
      </c>
      <c r="U4" s="2">
        <f>_xlfn.IFNA(VLOOKUP(scheduleapr[[#This Row],[Bucket]],salesforecast[[#All],[Bucket2]:[8406 Stock]],19,0),0)</f>
        <v>0</v>
      </c>
      <c r="V4" s="562">
        <f>_xlfn.IFNA(VLOOKUP(scheduleapr[[#This Row],[Bucket]],salesforecast[[#All],[Bucket2]:[8406 Stock]],20,0),0)+_xlfn.IFNA(VLOOKUP(scheduleapr[[#This Row],[Bucket]],salesforecast[[#All],[Bucket2]:[8406 Stock]],17,0),0)</f>
        <v>0</v>
      </c>
      <c r="W4" s="557"/>
      <c r="X4" s="1">
        <v>12.7</v>
      </c>
      <c r="Y4" s="1">
        <v>12.7</v>
      </c>
      <c r="Z4" s="1">
        <v>0</v>
      </c>
      <c r="AA4" s="1">
        <v>1.6</v>
      </c>
      <c r="AB4" s="24">
        <v>189</v>
      </c>
      <c r="AC4" s="24" t="s">
        <v>397</v>
      </c>
      <c r="AD4" s="24" t="s">
        <v>1869</v>
      </c>
      <c r="AE4" s="24"/>
      <c r="AF4" s="2">
        <v>35000</v>
      </c>
      <c r="AG4" s="2"/>
      <c r="AH4" s="2" cm="1">
        <f t="array" ref="AH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11400</v>
      </c>
      <c r="AI4" s="4">
        <f>scheduleapr[[#This Row],[SCHEDULE in nos]]-scheduleapr[[#This Row],[DISPATCH]]</f>
        <v>23600</v>
      </c>
      <c r="AJ4" s="1">
        <f>(3.14*(scheduleapr[[#This Row],[ACTUAL OD]]-scheduleapr[[#This Row],[TICKNESS]])*scheduleapr[[#This Row],[TICKNESS]]*scheduleapr[[#This Row],[LENGTH]]*7.85)/1000000*scheduleapr[[#This Row],[SCHEDULE in nos]]/1000</f>
        <v>2.8958236776000001</v>
      </c>
      <c r="AK4" s="1">
        <f>(3.14*(scheduleapr[[#This Row],[ACTUAL OD]]-scheduleapr[[#This Row],[TICKNESS]])*scheduleapr[[#This Row],[TICKNESS]]*scheduleapr[[#This Row],[LENGTH]]*7.85)/1000000*scheduleapr[[#This Row],[DISPATCH]]/1000</f>
        <v>0.94321114070400003</v>
      </c>
      <c r="AL4" s="1">
        <f t="shared" ref="AL4:AL67" si="1">AJ4-AK4</f>
        <v>1.9526125368960001</v>
      </c>
      <c r="AM4" s="1">
        <f>scheduleapr[[#This Row],[SCHEDULE in nos]]/scheduleapr[[#This Row],[SCHEDULE IN MT]]*scheduleapr[[#This Row],[CTL Stock]]</f>
        <v>293.40874811279292</v>
      </c>
      <c r="AN4" s="1">
        <f>SUMIFS(stock[MT],stock[Bucket],scheduleapr[[#This Row],[Bucket]],stock[CTL Bucket],scheduleapr[[#This Row],[CTL Bucket]],stock[Plant],"0789")</f>
        <v>2.4276000000000002E-2</v>
      </c>
      <c r="AO4" s="1"/>
      <c r="AP4" s="1">
        <f>SUMIFS(stock[MT],stock[Bucket],scheduleapr[[#This Row],[Bucket]],stock[LL or CTL],"LL")</f>
        <v>6.5656999999999993E-2</v>
      </c>
      <c r="AQ4" s="208">
        <f>+SUMIFS(wip[Stock(Net Wt)],wip[Bucket],scheduleapr[[#This Row],[Bucket]])/1000</f>
        <v>8.9860000000000007</v>
      </c>
      <c r="AR4" s="1">
        <f t="shared" ref="AR4:AR67" si="2">AJ4-AN4</f>
        <v>2.8715476776000002</v>
      </c>
      <c r="AS4" s="118"/>
    </row>
    <row r="5" spans="1:46" x14ac:dyDescent="0.25">
      <c r="A5" s="556"/>
      <c r="B5" s="5" t="s">
        <v>1816</v>
      </c>
      <c r="C5" s="2" t="s">
        <v>283</v>
      </c>
      <c r="D5" s="15" t="s">
        <v>1866</v>
      </c>
      <c r="E5" s="2">
        <v>189287</v>
      </c>
      <c r="F5" s="557"/>
      <c r="G5" s="2" t="str">
        <f>_xlfn.CONCAT(scheduleapr[[#This Row],[CUSTOMER CODE]],"-",scheduleapr[[#This Row],[MATERIAL NO]])</f>
        <v>189287-</v>
      </c>
      <c r="H5" s="557"/>
      <c r="I5" s="2" t="s">
        <v>962</v>
      </c>
      <c r="J5" s="557"/>
      <c r="K5" s="557"/>
      <c r="L5" s="557"/>
      <c r="M5" s="558"/>
      <c r="N5" s="557"/>
      <c r="O5" s="557"/>
      <c r="P5" s="557"/>
      <c r="Q5" s="557"/>
      <c r="R5" s="557"/>
      <c r="S5" s="557"/>
      <c r="T5" s="2"/>
      <c r="U5" s="2"/>
      <c r="V5" s="3"/>
      <c r="W5" s="2"/>
      <c r="X5" s="559">
        <v>15.88</v>
      </c>
      <c r="Y5" s="559">
        <v>15.88</v>
      </c>
      <c r="Z5" s="559">
        <v>0</v>
      </c>
      <c r="AA5" s="559">
        <v>1</v>
      </c>
      <c r="AB5" s="24">
        <v>585</v>
      </c>
      <c r="AC5" s="24" t="s">
        <v>397</v>
      </c>
      <c r="AD5" s="24"/>
      <c r="AE5" s="24"/>
      <c r="AF5" s="557">
        <v>10000</v>
      </c>
      <c r="AG5" s="557"/>
      <c r="AH5" s="557" cm="1">
        <f t="array" ref="AH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 s="560">
        <f>scheduleapr[[#This Row],[SCHEDULE in nos]]-scheduleapr[[#This Row],[DISPATCH]]</f>
        <v>10000</v>
      </c>
      <c r="AJ5" s="559">
        <f>(3.14*(scheduleapr[[#This Row],[ACTUAL OD]]-scheduleapr[[#This Row],[TICKNESS]])*scheduleapr[[#This Row],[TICKNESS]]*scheduleapr[[#This Row],[LENGTH]]*7.85)/1000000*scheduleapr[[#This Row],[SCHEDULE in nos]]/1000</f>
        <v>2.1456461520000003</v>
      </c>
      <c r="AK5" s="1">
        <f>(3.14*(scheduleapr[[#This Row],[ACTUAL OD]]-scheduleapr[[#This Row],[TICKNESS]])*scheduleapr[[#This Row],[TICKNESS]]*scheduleapr[[#This Row],[LENGTH]]*7.85)/1000000*scheduleapr[[#This Row],[DISPATCH]]/1000</f>
        <v>0</v>
      </c>
      <c r="AL5" s="1">
        <f t="shared" si="1"/>
        <v>2.1456461520000003</v>
      </c>
      <c r="AM5" s="559">
        <f>scheduleapr[[#This Row],[SCHEDULE in nos]]/scheduleapr[[#This Row],[SCHEDULE IN MT]]*scheduleapr[[#This Row],[CTL Stock]]</f>
        <v>0</v>
      </c>
      <c r="AN5" s="1">
        <f>SUMIFS(stock[MT],stock[Bucket],scheduleapr[[#This Row],[Bucket]],stock[CTL Bucket],scheduleapr[[#This Row],[CTL Bucket]],stock[Plant],"0789")</f>
        <v>0</v>
      </c>
      <c r="AO5" s="1"/>
      <c r="AP5" s="1">
        <f>SUMIFS(stock[MT],stock[Bucket],scheduleapr[[#This Row],[Bucket]],stock[LL or CTL],"LL")</f>
        <v>0</v>
      </c>
      <c r="AQ5" s="1">
        <f>+SUMIFS(wip[Stock(Net Wt)],wip[Bucket],scheduleapr[[#This Row],[Bucket]])/1000</f>
        <v>0</v>
      </c>
      <c r="AR5" s="1">
        <f t="shared" si="2"/>
        <v>2.1456461520000003</v>
      </c>
      <c r="AS5" s="118"/>
    </row>
    <row r="6" spans="1:46" x14ac:dyDescent="0.25">
      <c r="A6" s="556"/>
      <c r="B6" s="5" t="s">
        <v>1816</v>
      </c>
      <c r="C6" s="2" t="s">
        <v>283</v>
      </c>
      <c r="D6" s="15" t="s">
        <v>1866</v>
      </c>
      <c r="E6" s="2">
        <v>189287</v>
      </c>
      <c r="F6" s="557"/>
      <c r="G6" s="2" t="str">
        <f>_xlfn.CONCAT(scheduleapr[[#This Row],[CUSTOMER CODE]],"-",scheduleapr[[#This Row],[MATERIAL NO]])</f>
        <v>189287-</v>
      </c>
      <c r="H6" s="557"/>
      <c r="I6" s="2" t="s">
        <v>962</v>
      </c>
      <c r="J6" s="557"/>
      <c r="K6" s="557"/>
      <c r="L6" s="557"/>
      <c r="M6" s="558"/>
      <c r="N6" s="557"/>
      <c r="O6" s="557"/>
      <c r="P6" s="557"/>
      <c r="Q6" s="557"/>
      <c r="R6" s="557"/>
      <c r="S6" s="557"/>
      <c r="T6" s="2"/>
      <c r="U6" s="2"/>
      <c r="V6" s="3"/>
      <c r="W6" s="2"/>
      <c r="X6" s="559">
        <v>15.88</v>
      </c>
      <c r="Y6" s="1">
        <v>15.88</v>
      </c>
      <c r="Z6" s="559">
        <v>0</v>
      </c>
      <c r="AA6" s="559">
        <v>1</v>
      </c>
      <c r="AB6" s="24">
        <v>1233</v>
      </c>
      <c r="AC6" s="24" t="s">
        <v>397</v>
      </c>
      <c r="AD6" s="24"/>
      <c r="AE6" s="24"/>
      <c r="AF6" s="557">
        <v>10000</v>
      </c>
      <c r="AG6" s="557"/>
      <c r="AH6" s="557" cm="1">
        <f t="array" ref="AH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 s="560">
        <f>scheduleapr[[#This Row],[SCHEDULE in nos]]-scheduleapr[[#This Row],[DISPATCH]]</f>
        <v>10000</v>
      </c>
      <c r="AJ6" s="559">
        <f>(3.14*(scheduleapr[[#This Row],[ACTUAL OD]]-scheduleapr[[#This Row],[TICKNESS]])*scheduleapr[[#This Row],[TICKNESS]]*scheduleapr[[#This Row],[LENGTH]]*7.85)/1000000*scheduleapr[[#This Row],[SCHEDULE in nos]]/1000</f>
        <v>4.5223618896000009</v>
      </c>
      <c r="AK6" s="1">
        <f>(3.14*(scheduleapr[[#This Row],[ACTUAL OD]]-scheduleapr[[#This Row],[TICKNESS]])*scheduleapr[[#This Row],[TICKNESS]]*scheduleapr[[#This Row],[LENGTH]]*7.85)/1000000*scheduleapr[[#This Row],[DISPATCH]]/1000</f>
        <v>0</v>
      </c>
      <c r="AL6" s="1">
        <f t="shared" si="1"/>
        <v>4.5223618896000009</v>
      </c>
      <c r="AM6" s="559">
        <f>scheduleapr[[#This Row],[SCHEDULE in nos]]/scheduleapr[[#This Row],[SCHEDULE IN MT]]*scheduleapr[[#This Row],[CTL Stock]]</f>
        <v>0</v>
      </c>
      <c r="AN6" s="1">
        <f>SUMIFS(stock[MT],stock[Bucket],scheduleapr[[#This Row],[Bucket]],stock[CTL Bucket],scheduleapr[[#This Row],[CTL Bucket]],stock[Plant],"0789")</f>
        <v>0</v>
      </c>
      <c r="AO6" s="1"/>
      <c r="AP6" s="1">
        <f>SUMIFS(stock[MT],stock[Bucket],scheduleapr[[#This Row],[Bucket]],stock[LL or CTL],"LL")</f>
        <v>0</v>
      </c>
      <c r="AQ6" s="1">
        <f>+SUMIFS(wip[Stock(Net Wt)],wip[Bucket],scheduleapr[[#This Row],[Bucket]])/1000</f>
        <v>0</v>
      </c>
      <c r="AR6" s="1">
        <f t="shared" si="2"/>
        <v>4.5223618896000009</v>
      </c>
      <c r="AS6" s="118"/>
    </row>
    <row r="7" spans="1:46" x14ac:dyDescent="0.25">
      <c r="A7" s="30">
        <v>2</v>
      </c>
      <c r="B7" s="5" t="s">
        <v>1816</v>
      </c>
      <c r="C7" s="2" t="s">
        <v>283</v>
      </c>
      <c r="D7" s="15" t="s">
        <v>1866</v>
      </c>
      <c r="E7" s="2">
        <v>189287</v>
      </c>
      <c r="F7" s="2">
        <v>1940034</v>
      </c>
      <c r="G7" s="2" t="str">
        <f>_xlfn.CONCAT(scheduleapr[[#This Row],[CUSTOMER CODE]],"-",scheduleapr[[#This Row],[MATERIAL NO]])</f>
        <v>189287-1940034</v>
      </c>
      <c r="H7" s="2" t="s">
        <v>464</v>
      </c>
      <c r="I7" s="2" t="s">
        <v>962</v>
      </c>
      <c r="J7" s="2"/>
      <c r="K7" s="2" t="s">
        <v>963</v>
      </c>
      <c r="L7" s="2" t="s">
        <v>239</v>
      </c>
      <c r="M7" s="2"/>
      <c r="N7" s="2"/>
      <c r="O7" s="2"/>
      <c r="P7" s="2"/>
      <c r="Q7" s="557" t="str">
        <f>CONCATENATE(scheduleapr[[#This Row],[OD]],"-",scheduleapr[[#This Row],[ID]],"-",scheduleapr[[#This Row],[TICKNESS]],"-",scheduleapr[[#This Row],[Grade]],"-",scheduleapr[[#This Row],[FC/NFC]])</f>
        <v>15.88-0-1.2-ERW 1-PE</v>
      </c>
      <c r="R7" s="557" t="str">
        <f>_xlfn.CONCAT(scheduleapr[[#This Row],[Bucket]],"-",scheduleapr[[#This Row],[LENGTH]]/1000)</f>
        <v>15.88-0-1.2-ERW 1-PE-0.54</v>
      </c>
      <c r="S7" s="557">
        <f>COUNTIF(scheduleapr[CTL Bucket],scheduleapr[[#This Row],[CTL Bucket]])</f>
        <v>1</v>
      </c>
      <c r="T7" s="2" t="s">
        <v>1816</v>
      </c>
      <c r="U7" s="2">
        <f>_xlfn.IFNA(VLOOKUP(scheduleapr[[#This Row],[Bucket]],salesforecast[[#All],[Bucket2]:[8406 Stock]],19,0),0)</f>
        <v>0.170849</v>
      </c>
      <c r="V7" s="562">
        <f>_xlfn.IFNA(VLOOKUP(scheduleapr[[#This Row],[Bucket]],salesforecast[[#All],[Bucket2]:[8406 Stock]],20,0),0)+_xlfn.IFNA(VLOOKUP(scheduleapr[[#This Row],[Bucket]],salesforecast[[#All],[Bucket2]:[8406 Stock]],17,0),0)</f>
        <v>0</v>
      </c>
      <c r="W7" s="557"/>
      <c r="X7" s="1">
        <v>15.88</v>
      </c>
      <c r="Y7" s="1">
        <v>15.88</v>
      </c>
      <c r="Z7" s="1">
        <v>0</v>
      </c>
      <c r="AA7" s="1">
        <v>1.2</v>
      </c>
      <c r="AB7" s="81">
        <v>540</v>
      </c>
      <c r="AC7" s="24" t="s">
        <v>397</v>
      </c>
      <c r="AD7" s="24" t="s">
        <v>1869</v>
      </c>
      <c r="AE7" s="24">
        <v>2000</v>
      </c>
      <c r="AF7" s="2">
        <v>3000</v>
      </c>
      <c r="AG7" s="2"/>
      <c r="AH7" s="2" cm="1">
        <f t="array" ref="AH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3000</v>
      </c>
      <c r="AI7" s="4">
        <f>scheduleapr[[#This Row],[SCHEDULE in nos]]-scheduleapr[[#This Row],[DISPATCH]]</f>
        <v>0</v>
      </c>
      <c r="AJ7" s="1">
        <f>(3.14*(scheduleapr[[#This Row],[ACTUAL OD]]-scheduleapr[[#This Row],[TICKNESS]])*scheduleapr[[#This Row],[TICKNESS]]*scheduleapr[[#This Row],[LENGTH]]*7.85)/1000000*scheduleapr[[#This Row],[SCHEDULE in nos]]/1000</f>
        <v>0.70343119007999999</v>
      </c>
      <c r="AK7" s="1">
        <f>(3.14*(scheduleapr[[#This Row],[ACTUAL OD]]-scheduleapr[[#This Row],[TICKNESS]])*scheduleapr[[#This Row],[TICKNESS]]*scheduleapr[[#This Row],[LENGTH]]*7.85)/1000000*scheduleapr[[#This Row],[DISPATCH]]/1000</f>
        <v>0.70343119007999999</v>
      </c>
      <c r="AL7" s="1">
        <f t="shared" si="1"/>
        <v>0</v>
      </c>
      <c r="AM7" s="1">
        <f>scheduleapr[[#This Row],[SCHEDULE in nos]]/scheduleapr[[#This Row],[SCHEDULE IN MT]]*scheduleapr[[#This Row],[CTL Stock]]</f>
        <v>5670.4522862376389</v>
      </c>
      <c r="AN7" s="1">
        <f>SUMIFS(stock[MT],stock[Bucket],scheduleapr[[#This Row],[Bucket]],stock[CTL Bucket],scheduleapr[[#This Row],[CTL Bucket]],stock[Plant],"0789")</f>
        <v>1.3295909999999997</v>
      </c>
      <c r="AO7" s="1"/>
      <c r="AP7" s="1">
        <f>SUMIFS(stock[MT],stock[Bucket],scheduleapr[[#This Row],[Bucket]],stock[LL or CTL],"LL")</f>
        <v>6.069591</v>
      </c>
      <c r="AQ7" s="1">
        <f>+SUMIFS(wip[Stock(Net Wt)],wip[Bucket],scheduleapr[[#This Row],[Bucket]])/1000</f>
        <v>7.3860000000000001</v>
      </c>
      <c r="AR7" s="1">
        <f t="shared" si="2"/>
        <v>-0.62615980991999975</v>
      </c>
      <c r="AS7" s="118"/>
    </row>
    <row r="8" spans="1:46" x14ac:dyDescent="0.25">
      <c r="A8" s="30">
        <v>3</v>
      </c>
      <c r="B8" s="5" t="s">
        <v>1816</v>
      </c>
      <c r="C8" s="2" t="s">
        <v>283</v>
      </c>
      <c r="D8" s="15" t="s">
        <v>1866</v>
      </c>
      <c r="E8" s="2">
        <v>189287</v>
      </c>
      <c r="F8" s="2">
        <v>1940038</v>
      </c>
      <c r="G8" s="2" t="str">
        <f>_xlfn.CONCAT(scheduleapr[[#This Row],[CUSTOMER CODE]],"-",scheduleapr[[#This Row],[MATERIAL NO]])</f>
        <v>189287-1940038</v>
      </c>
      <c r="H8" s="2" t="s">
        <v>1185</v>
      </c>
      <c r="I8" s="2" t="s">
        <v>962</v>
      </c>
      <c r="J8" s="2"/>
      <c r="K8" s="2" t="s">
        <v>963</v>
      </c>
      <c r="L8" s="2" t="s">
        <v>239</v>
      </c>
      <c r="M8" s="2"/>
      <c r="N8" s="2"/>
      <c r="O8" s="2"/>
      <c r="P8" s="2"/>
      <c r="Q8" s="557" t="str">
        <f>CONCATENATE(scheduleapr[[#This Row],[OD]],"-",scheduleapr[[#This Row],[ID]],"-",scheduleapr[[#This Row],[TICKNESS]],"-",scheduleapr[[#This Row],[Grade]],"-",scheduleapr[[#This Row],[FC/NFC]])</f>
        <v>15.88-0-1.2-ERW 1-PE</v>
      </c>
      <c r="R8" s="557" t="str">
        <f>_xlfn.CONCAT(scheduleapr[[#This Row],[Bucket]],"-",scheduleapr[[#This Row],[LENGTH]]/1000)</f>
        <v>15.88-0-1.2-ERW 1-PE-0.68</v>
      </c>
      <c r="S8" s="557">
        <f>COUNTIF(scheduleapr[CTL Bucket],scheduleapr[[#This Row],[CTL Bucket]])</f>
        <v>1</v>
      </c>
      <c r="T8" s="2" t="s">
        <v>1816</v>
      </c>
      <c r="U8" s="2">
        <f>_xlfn.IFNA(VLOOKUP(scheduleapr[[#This Row],[Bucket]],salesforecast[[#All],[Bucket2]:[8406 Stock]],19,0),0)</f>
        <v>0.170849</v>
      </c>
      <c r="V8" s="562">
        <f>_xlfn.IFNA(VLOOKUP(scheduleapr[[#This Row],[Bucket]],salesforecast[[#All],[Bucket2]:[8406 Stock]],20,0),0)+_xlfn.IFNA(VLOOKUP(scheduleapr[[#This Row],[Bucket]],salesforecast[[#All],[Bucket2]:[8406 Stock]],17,0),0)</f>
        <v>0</v>
      </c>
      <c r="W8" s="557"/>
      <c r="X8" s="1">
        <v>15.88</v>
      </c>
      <c r="Y8" s="1">
        <v>15.88</v>
      </c>
      <c r="Z8" s="1">
        <v>0</v>
      </c>
      <c r="AA8" s="1">
        <v>1.2</v>
      </c>
      <c r="AB8" s="24">
        <v>680</v>
      </c>
      <c r="AC8" s="24" t="s">
        <v>397</v>
      </c>
      <c r="AD8" s="24" t="s">
        <v>1869</v>
      </c>
      <c r="AE8" s="24"/>
      <c r="AF8" s="2">
        <v>3000</v>
      </c>
      <c r="AG8" s="2"/>
      <c r="AH8" s="2" cm="1">
        <f t="array" ref="AH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 s="4">
        <f>scheduleapr[[#This Row],[SCHEDULE in nos]]-scheduleapr[[#This Row],[DISPATCH]]</f>
        <v>3000</v>
      </c>
      <c r="AJ8" s="1">
        <f>(3.14*(scheduleapr[[#This Row],[ACTUAL OD]]-scheduleapr[[#This Row],[TICKNESS]])*scheduleapr[[#This Row],[TICKNESS]]*scheduleapr[[#This Row],[LENGTH]]*7.85)/1000000*scheduleapr[[#This Row],[SCHEDULE in nos]]/1000</f>
        <v>0.88580223936000013</v>
      </c>
      <c r="AK8" s="1">
        <f>(3.14*(scheduleapr[[#This Row],[ACTUAL OD]]-scheduleapr[[#This Row],[TICKNESS]])*scheduleapr[[#This Row],[TICKNESS]]*scheduleapr[[#This Row],[LENGTH]]*7.85)/1000000*scheduleapr[[#This Row],[DISPATCH]]/1000</f>
        <v>0</v>
      </c>
      <c r="AL8" s="1">
        <f t="shared" si="1"/>
        <v>0.88580223936000013</v>
      </c>
      <c r="AM8" s="1">
        <f>scheduleapr[[#This Row],[SCHEDULE in nos]]/scheduleapr[[#This Row],[SCHEDULE IN MT]]*scheduleapr[[#This Row],[CTL Stock]]</f>
        <v>2452.0145733310505</v>
      </c>
      <c r="AN8" s="1">
        <f>SUMIFS(stock[MT],stock[Bucket],scheduleapr[[#This Row],[Bucket]],stock[CTL Bucket],scheduleapr[[#This Row],[CTL Bucket]],stock[Plant],"0789")</f>
        <v>0.72399999999999998</v>
      </c>
      <c r="AO8" s="1"/>
      <c r="AP8" s="1">
        <f>SUMIFS(stock[MT],stock[Bucket],scheduleapr[[#This Row],[Bucket]],stock[LL or CTL],"LL")</f>
        <v>6.069591</v>
      </c>
      <c r="AQ8" s="1">
        <f>+SUMIFS(wip[Stock(Net Wt)],wip[Bucket],scheduleapr[[#This Row],[Bucket]])/1000</f>
        <v>7.3860000000000001</v>
      </c>
      <c r="AR8" s="1">
        <f t="shared" si="2"/>
        <v>0.16180223936000016</v>
      </c>
      <c r="AS8" s="118"/>
    </row>
    <row r="9" spans="1:46" x14ac:dyDescent="0.25">
      <c r="A9" s="556"/>
      <c r="B9" s="5" t="s">
        <v>1816</v>
      </c>
      <c r="C9" s="2" t="s">
        <v>283</v>
      </c>
      <c r="D9" s="15" t="s">
        <v>1866</v>
      </c>
      <c r="E9" s="2">
        <v>189287</v>
      </c>
      <c r="F9" s="557"/>
      <c r="G9" s="2" t="str">
        <f>_xlfn.CONCAT(scheduleapr[[#This Row],[CUSTOMER CODE]],"-",scheduleapr[[#This Row],[MATERIAL NO]])</f>
        <v>189287-</v>
      </c>
      <c r="H9" s="557"/>
      <c r="I9" s="2" t="s">
        <v>962</v>
      </c>
      <c r="J9" s="557"/>
      <c r="K9" s="2" t="s">
        <v>963</v>
      </c>
      <c r="L9" s="2" t="s">
        <v>239</v>
      </c>
      <c r="M9" s="558"/>
      <c r="N9" s="557"/>
      <c r="O9" s="557"/>
      <c r="P9" s="557"/>
      <c r="Q9" s="557" t="str">
        <f>CONCATENATE(scheduleapr[[#This Row],[OD]],"-",scheduleapr[[#This Row],[ID]],"-",scheduleapr[[#This Row],[TICKNESS]],"-",scheduleapr[[#This Row],[Grade]],"-",scheduleapr[[#This Row],[FC/NFC]])</f>
        <v>15.88-0-1.2-ERW 1-PE</v>
      </c>
      <c r="R9" s="557" t="str">
        <f>_xlfn.CONCAT(scheduleapr[[#This Row],[Bucket]],"-",scheduleapr[[#This Row],[LENGTH]]/1000)</f>
        <v>15.88-0-1.2-ERW 1-PE-0.73</v>
      </c>
      <c r="S9" s="557"/>
      <c r="T9" s="2"/>
      <c r="U9" s="2">
        <f>_xlfn.IFNA(VLOOKUP(scheduleapr[[#This Row],[Bucket]],salesforecast[[#All],[Bucket2]:[8406 Stock]],19,0),0)</f>
        <v>0.170849</v>
      </c>
      <c r="V9" s="562">
        <f>_xlfn.IFNA(VLOOKUP(scheduleapr[[#This Row],[Bucket]],salesforecast[[#All],[Bucket2]:[8406 Stock]],20,0),0)+_xlfn.IFNA(VLOOKUP(scheduleapr[[#This Row],[Bucket]],salesforecast[[#All],[Bucket2]:[8406 Stock]],17,0),0)</f>
        <v>0</v>
      </c>
      <c r="W9" s="2"/>
      <c r="X9" s="1">
        <v>15.88</v>
      </c>
      <c r="Y9" s="1">
        <v>15.88</v>
      </c>
      <c r="Z9" s="1">
        <v>0</v>
      </c>
      <c r="AA9" s="1">
        <v>1.2</v>
      </c>
      <c r="AB9" s="24">
        <v>730</v>
      </c>
      <c r="AC9" s="24" t="s">
        <v>397</v>
      </c>
      <c r="AD9" s="24" t="s">
        <v>1869</v>
      </c>
      <c r="AE9" s="24"/>
      <c r="AF9" s="557">
        <v>7000</v>
      </c>
      <c r="AG9" s="557"/>
      <c r="AH9" s="2" cm="1">
        <f t="array" ref="AH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 s="4">
        <f>scheduleapr[[#This Row],[SCHEDULE in nos]]-scheduleapr[[#This Row],[DISPATCH]]</f>
        <v>7000</v>
      </c>
      <c r="AJ9" s="559">
        <f>(3.14*(scheduleapr[[#This Row],[ACTUAL OD]]-scheduleapr[[#This Row],[TICKNESS]])*scheduleapr[[#This Row],[TICKNESS]]*scheduleapr[[#This Row],[LENGTH]]*7.85)/1000000*scheduleapr[[#This Row],[SCHEDULE in nos]]/1000</f>
        <v>2.2188477662400006</v>
      </c>
      <c r="AK9" s="1">
        <f>(3.14*(scheduleapr[[#This Row],[ACTUAL OD]]-scheduleapr[[#This Row],[TICKNESS]])*scheduleapr[[#This Row],[TICKNESS]]*scheduleapr[[#This Row],[LENGTH]]*7.85)/1000000*scheduleapr[[#This Row],[DISPATCH]]/1000</f>
        <v>0</v>
      </c>
      <c r="AL9" s="1">
        <f t="shared" si="1"/>
        <v>2.2188477662400006</v>
      </c>
      <c r="AM9" s="559">
        <f>scheduleapr[[#This Row],[SCHEDULE in nos]]/scheduleapr[[#This Row],[SCHEDULE IN MT]]*scheduleapr[[#This Row],[CTL Stock]]</f>
        <v>0</v>
      </c>
      <c r="AN9" s="1">
        <f>SUMIFS(stock[MT],stock[Bucket],scheduleapr[[#This Row],[Bucket]],stock[CTL Bucket],scheduleapr[[#This Row],[CTL Bucket]],stock[Plant],"0789")</f>
        <v>0</v>
      </c>
      <c r="AO9" s="1"/>
      <c r="AP9" s="1">
        <f>SUMIFS(stock[MT],stock[Bucket],scheduleapr[[#This Row],[Bucket]],stock[LL or CTL],"LL")</f>
        <v>6.069591</v>
      </c>
      <c r="AQ9" s="1">
        <f>+SUMIFS(wip[Stock(Net Wt)],wip[Bucket],scheduleapr[[#This Row],[Bucket]])/1000</f>
        <v>7.3860000000000001</v>
      </c>
      <c r="AR9" s="1">
        <f t="shared" si="2"/>
        <v>2.2188477662400006</v>
      </c>
      <c r="AS9" s="118"/>
    </row>
    <row r="10" spans="1:46" x14ac:dyDescent="0.25">
      <c r="A10" s="30">
        <v>4</v>
      </c>
      <c r="B10" s="5" t="s">
        <v>1816</v>
      </c>
      <c r="C10" s="2" t="s">
        <v>283</v>
      </c>
      <c r="D10" s="15" t="s">
        <v>1866</v>
      </c>
      <c r="E10" s="2">
        <v>189287</v>
      </c>
      <c r="F10" s="2">
        <v>3715199</v>
      </c>
      <c r="G10" s="2" t="str">
        <f>_xlfn.CONCAT(scheduleapr[[#This Row],[CUSTOMER CODE]],"-",scheduleapr[[#This Row],[MATERIAL NO]])</f>
        <v>189287-3715199</v>
      </c>
      <c r="H10" s="2" t="s">
        <v>1187</v>
      </c>
      <c r="I10" s="2" t="s">
        <v>962</v>
      </c>
      <c r="J10" s="2"/>
      <c r="K10" s="2" t="s">
        <v>963</v>
      </c>
      <c r="L10" s="2" t="s">
        <v>1867</v>
      </c>
      <c r="M10" s="2"/>
      <c r="N10" s="2"/>
      <c r="O10" s="2"/>
      <c r="P10" s="2"/>
      <c r="Q10" s="557" t="str">
        <f>CONCATENATE(scheduleapr[[#This Row],[OD]],"-",scheduleapr[[#This Row],[ID]],"-",scheduleapr[[#This Row],[TICKNESS]],"-",scheduleapr[[#This Row],[Grade]],"-",scheduleapr[[#This Row],[FC/NFC]])</f>
        <v>15.88-0-1.2-ERW 1-PE</v>
      </c>
      <c r="R10" s="557" t="str">
        <f>_xlfn.CONCAT(scheduleapr[[#This Row],[Bucket]],"-",scheduleapr[[#This Row],[LENGTH]]/1000)</f>
        <v>15.88-0-1.2-ERW 1-PE-0.755</v>
      </c>
      <c r="S10" s="557">
        <f>COUNTIF(scheduleapr[CTL Bucket],scheduleapr[[#This Row],[CTL Bucket]])</f>
        <v>1</v>
      </c>
      <c r="T10" s="2" t="s">
        <v>1816</v>
      </c>
      <c r="U10" s="2"/>
      <c r="V10" s="557"/>
      <c r="W10" s="557"/>
      <c r="X10" s="1">
        <v>15.88</v>
      </c>
      <c r="Y10" s="1">
        <v>15.88</v>
      </c>
      <c r="Z10" s="1">
        <v>0</v>
      </c>
      <c r="AA10" s="1">
        <v>1.2</v>
      </c>
      <c r="AB10" s="24">
        <v>755</v>
      </c>
      <c r="AC10" s="24" t="s">
        <v>397</v>
      </c>
      <c r="AD10" s="24"/>
      <c r="AE10" s="24"/>
      <c r="AF10" s="2"/>
      <c r="AG10" s="2"/>
      <c r="AH10" s="2" cm="1">
        <f t="array" ref="AH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 s="4">
        <f>scheduleapr[[#This Row],[SCHEDULE in nos]]-scheduleapr[[#This Row],[DISPATCH]]</f>
        <v>0</v>
      </c>
      <c r="AJ10" s="1">
        <f>(3.14*(scheduleapr[[#This Row],[ACTUAL OD]]-scheduleapr[[#This Row],[TICKNESS]])*scheduleapr[[#This Row],[TICKNESS]]*scheduleapr[[#This Row],[LENGTH]]*7.85)/1000000*scheduleapr[[#This Row],[SCHEDULE in nos]]/1000</f>
        <v>0</v>
      </c>
      <c r="AK10" s="1">
        <f>(3.14*(scheduleapr[[#This Row],[ACTUAL OD]]-scheduleapr[[#This Row],[TICKNESS]])*scheduleapr[[#This Row],[TICKNESS]]*scheduleapr[[#This Row],[LENGTH]]*7.85)/1000000*scheduleapr[[#This Row],[DISPATCH]]/1000</f>
        <v>0</v>
      </c>
      <c r="AL10" s="1">
        <f t="shared" si="1"/>
        <v>0</v>
      </c>
      <c r="AM10" s="1" t="e">
        <f>scheduleapr[[#This Row],[SCHEDULE in nos]]/scheduleapr[[#This Row],[SCHEDULE IN MT]]*scheduleapr[[#This Row],[CTL Stock]]</f>
        <v>#DIV/0!</v>
      </c>
      <c r="AN10" s="1">
        <f>SUMIFS(stock[MT],stock[Bucket],scheduleapr[[#This Row],[Bucket]],stock[CTL Bucket],scheduleapr[[#This Row],[CTL Bucket]],stock[Plant],"0789")</f>
        <v>1.2110000000000001E-3</v>
      </c>
      <c r="AO10" s="1"/>
      <c r="AP10" s="1">
        <f>SUMIFS(stock[MT],stock[Bucket],scheduleapr[[#This Row],[Bucket]],stock[LL or CTL],"LL")</f>
        <v>6.069591</v>
      </c>
      <c r="AQ10" s="1">
        <f>+SUMIFS(wip[Stock(Net Wt)],wip[Bucket],scheduleapr[[#This Row],[Bucket]])/1000</f>
        <v>7.3860000000000001</v>
      </c>
      <c r="AR10" s="1">
        <f t="shared" si="2"/>
        <v>-1.2110000000000001E-3</v>
      </c>
      <c r="AS10" s="118"/>
    </row>
    <row r="11" spans="1:46" x14ac:dyDescent="0.25">
      <c r="A11" s="30">
        <v>5</v>
      </c>
      <c r="B11" s="5" t="s">
        <v>1816</v>
      </c>
      <c r="C11" s="2" t="s">
        <v>283</v>
      </c>
      <c r="D11" s="15" t="s">
        <v>1866</v>
      </c>
      <c r="E11" s="2">
        <v>189287</v>
      </c>
      <c r="F11" s="2">
        <v>1940045</v>
      </c>
      <c r="G11" s="2" t="str">
        <f>_xlfn.CONCAT(scheduleapr[[#This Row],[CUSTOMER CODE]],"-",scheduleapr[[#This Row],[MATERIAL NO]])</f>
        <v>189287-1940045</v>
      </c>
      <c r="H11" s="2" t="s">
        <v>1190</v>
      </c>
      <c r="I11" s="2" t="s">
        <v>962</v>
      </c>
      <c r="J11" s="2"/>
      <c r="K11" s="2" t="s">
        <v>963</v>
      </c>
      <c r="L11" s="2" t="s">
        <v>239</v>
      </c>
      <c r="M11" s="2"/>
      <c r="N11" s="2"/>
      <c r="O11" s="2"/>
      <c r="P11" s="2"/>
      <c r="Q11" s="557" t="str">
        <f>CONCATENATE(scheduleapr[[#This Row],[OD]],"-",scheduleapr[[#This Row],[ID]],"-",scheduleapr[[#This Row],[TICKNESS]],"-",scheduleapr[[#This Row],[Grade]],"-",scheduleapr[[#This Row],[FC/NFC]])</f>
        <v>15.88-0-1.2-ERW 1-PE</v>
      </c>
      <c r="R11" s="557" t="str">
        <f>_xlfn.CONCAT(scheduleapr[[#This Row],[Bucket]],"-",scheduleapr[[#This Row],[LENGTH]]/1000)</f>
        <v>15.88-0-1.2-ERW 1-PE-1.13</v>
      </c>
      <c r="S11" s="557">
        <f>COUNTIF(scheduleapr[CTL Bucket],scheduleapr[[#This Row],[CTL Bucket]])</f>
        <v>1</v>
      </c>
      <c r="T11" s="2" t="s">
        <v>1816</v>
      </c>
      <c r="U11" s="2">
        <f>_xlfn.IFNA(VLOOKUP(scheduleapr[[#This Row],[Bucket]],salesforecast[[#All],[Bucket2]:[8406 Stock]],19,0),0)</f>
        <v>0.170849</v>
      </c>
      <c r="V11" s="562">
        <f>_xlfn.IFNA(VLOOKUP(scheduleapr[[#This Row],[Bucket]],salesforecast[[#All],[Bucket2]:[8406 Stock]],20,0),0)+_xlfn.IFNA(VLOOKUP(scheduleapr[[#This Row],[Bucket]],salesforecast[[#All],[Bucket2]:[8406 Stock]],17,0),0)</f>
        <v>0</v>
      </c>
      <c r="W11" s="557"/>
      <c r="X11" s="1">
        <v>15.88</v>
      </c>
      <c r="Y11" s="1">
        <v>15.88</v>
      </c>
      <c r="Z11" s="1">
        <v>0</v>
      </c>
      <c r="AA11" s="1">
        <v>1.2</v>
      </c>
      <c r="AB11" s="24">
        <v>1130</v>
      </c>
      <c r="AC11" s="24" t="s">
        <v>397</v>
      </c>
      <c r="AD11" s="24" t="s">
        <v>1869</v>
      </c>
      <c r="AE11" s="24"/>
      <c r="AF11" s="2"/>
      <c r="AG11" s="2"/>
      <c r="AH11" s="2" cm="1">
        <f t="array" ref="AH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 s="4">
        <f>scheduleapr[[#This Row],[SCHEDULE in nos]]-scheduleapr[[#This Row],[DISPATCH]]</f>
        <v>0</v>
      </c>
      <c r="AJ11" s="1">
        <f>(3.14*(scheduleapr[[#This Row],[ACTUAL OD]]-scheduleapr[[#This Row],[TICKNESS]])*scheduleapr[[#This Row],[TICKNESS]]*scheduleapr[[#This Row],[LENGTH]]*7.85)/1000000*scheduleapr[[#This Row],[SCHEDULE in nos]]/1000</f>
        <v>0</v>
      </c>
      <c r="AK11" s="1">
        <f>(3.14*(scheduleapr[[#This Row],[ACTUAL OD]]-scheduleapr[[#This Row],[TICKNESS]])*scheduleapr[[#This Row],[TICKNESS]]*scheduleapr[[#This Row],[LENGTH]]*7.85)/1000000*scheduleapr[[#This Row],[DISPATCH]]/1000</f>
        <v>0</v>
      </c>
      <c r="AL11" s="1">
        <f t="shared" si="1"/>
        <v>0</v>
      </c>
      <c r="AM11" s="1" t="e">
        <f>scheduleapr[[#This Row],[SCHEDULE in nos]]/scheduleapr[[#This Row],[SCHEDULE IN MT]]*scheduleapr[[#This Row],[CTL Stock]]</f>
        <v>#DIV/0!</v>
      </c>
      <c r="AN11" s="1">
        <f>SUMIFS(stock[MT],stock[Bucket],scheduleapr[[#This Row],[Bucket]],stock[CTL Bucket],scheduleapr[[#This Row],[CTL Bucket]],stock[Plant],"0789")</f>
        <v>8.9840000000000007E-3</v>
      </c>
      <c r="AO11" s="1"/>
      <c r="AP11" s="1">
        <f>SUMIFS(stock[MT],stock[Bucket],scheduleapr[[#This Row],[Bucket]],stock[LL or CTL],"LL")</f>
        <v>6.069591</v>
      </c>
      <c r="AQ11" s="1">
        <f>+SUMIFS(wip[Stock(Net Wt)],wip[Bucket],scheduleapr[[#This Row],[Bucket]])/1000</f>
        <v>7.3860000000000001</v>
      </c>
      <c r="AR11" s="1">
        <f t="shared" si="2"/>
        <v>-8.9840000000000007E-3</v>
      </c>
      <c r="AS11" s="118"/>
    </row>
    <row r="12" spans="1:46" x14ac:dyDescent="0.25">
      <c r="A12" s="30">
        <v>6</v>
      </c>
      <c r="B12" s="5" t="s">
        <v>1816</v>
      </c>
      <c r="C12" s="2" t="s">
        <v>283</v>
      </c>
      <c r="D12" s="15" t="s">
        <v>1866</v>
      </c>
      <c r="E12" s="2">
        <v>189287</v>
      </c>
      <c r="F12" s="2">
        <v>1940046</v>
      </c>
      <c r="G12" s="2" t="str">
        <f>_xlfn.CONCAT(scheduleapr[[#This Row],[CUSTOMER CODE]],"-",scheduleapr[[#This Row],[MATERIAL NO]])</f>
        <v>189287-1940046</v>
      </c>
      <c r="H12" s="2" t="s">
        <v>466</v>
      </c>
      <c r="I12" s="2" t="s">
        <v>962</v>
      </c>
      <c r="J12" s="2"/>
      <c r="K12" s="2" t="s">
        <v>963</v>
      </c>
      <c r="L12" s="2" t="s">
        <v>239</v>
      </c>
      <c r="M12" s="2"/>
      <c r="N12" s="2"/>
      <c r="O12" s="2"/>
      <c r="P12" s="2"/>
      <c r="Q12" s="557" t="str">
        <f>CONCATENATE(scheduleapr[[#This Row],[OD]],"-",scheduleapr[[#This Row],[ID]],"-",scheduleapr[[#This Row],[TICKNESS]],"-",scheduleapr[[#This Row],[Grade]],"-",scheduleapr[[#This Row],[FC/NFC]])</f>
        <v>15.88-0-1.2-ERW 1-PE</v>
      </c>
      <c r="R12" s="557" t="str">
        <f>_xlfn.CONCAT(scheduleapr[[#This Row],[Bucket]],"-",scheduleapr[[#This Row],[LENGTH]]/1000)</f>
        <v>15.88-0-1.2-ERW 1-PE-1.31</v>
      </c>
      <c r="S12" s="557">
        <f>COUNTIF(scheduleapr[CTL Bucket],scheduleapr[[#This Row],[CTL Bucket]])</f>
        <v>1</v>
      </c>
      <c r="T12" s="2" t="s">
        <v>1816</v>
      </c>
      <c r="U12" s="2">
        <f>_xlfn.IFNA(VLOOKUP(scheduleapr[[#This Row],[Bucket]],salesforecast[[#All],[Bucket2]:[8406 Stock]],19,0),0)</f>
        <v>0.170849</v>
      </c>
      <c r="V12" s="562">
        <f>_xlfn.IFNA(VLOOKUP(scheduleapr[[#This Row],[Bucket]],salesforecast[[#All],[Bucket2]:[8406 Stock]],20,0),0)+_xlfn.IFNA(VLOOKUP(scheduleapr[[#This Row],[Bucket]],salesforecast[[#All],[Bucket2]:[8406 Stock]],17,0),0)</f>
        <v>0</v>
      </c>
      <c r="W12" s="557"/>
      <c r="X12" s="1">
        <v>15.88</v>
      </c>
      <c r="Y12" s="1">
        <v>15.88</v>
      </c>
      <c r="Z12" s="1">
        <v>0</v>
      </c>
      <c r="AA12" s="1">
        <v>1.2</v>
      </c>
      <c r="AB12" s="81">
        <v>1310</v>
      </c>
      <c r="AC12" s="24" t="s">
        <v>397</v>
      </c>
      <c r="AD12" s="24" t="s">
        <v>1869</v>
      </c>
      <c r="AE12" s="24">
        <v>2000</v>
      </c>
      <c r="AF12" s="2">
        <v>3000</v>
      </c>
      <c r="AG12" s="2"/>
      <c r="AH12" s="2" cm="1">
        <f t="array" ref="AH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3000</v>
      </c>
      <c r="AI12" s="4">
        <f>scheduleapr[[#This Row],[SCHEDULE in nos]]-scheduleapr[[#This Row],[DISPATCH]]</f>
        <v>0</v>
      </c>
      <c r="AJ12" s="1">
        <f>(3.14*(scheduleapr[[#This Row],[ACTUAL OD]]-scheduleapr[[#This Row],[TICKNESS]])*scheduleapr[[#This Row],[TICKNESS]]*scheduleapr[[#This Row],[LENGTH]]*7.85)/1000000*scheduleapr[[#This Row],[SCHEDULE in nos]]/1000</f>
        <v>1.7064719611200001</v>
      </c>
      <c r="AK12" s="1">
        <f>(3.14*(scheduleapr[[#This Row],[ACTUAL OD]]-scheduleapr[[#This Row],[TICKNESS]])*scheduleapr[[#This Row],[TICKNESS]]*scheduleapr[[#This Row],[LENGTH]]*7.85)/1000000*scheduleapr[[#This Row],[DISPATCH]]/1000</f>
        <v>1.7064719611200001</v>
      </c>
      <c r="AL12" s="1">
        <f t="shared" si="1"/>
        <v>0</v>
      </c>
      <c r="AM12" s="1">
        <f>scheduleapr[[#This Row],[SCHEDULE in nos]]/scheduleapr[[#This Row],[SCHEDULE IN MT]]*scheduleapr[[#This Row],[CTL Stock]]</f>
        <v>351.44790753337566</v>
      </c>
      <c r="AN12" s="1">
        <f>SUMIFS(stock[MT],stock[Bucket],scheduleapr[[#This Row],[Bucket]],stock[CTL Bucket],scheduleapr[[#This Row],[CTL Bucket]],stock[Plant],"0789")</f>
        <v>0.19991200000000001</v>
      </c>
      <c r="AO12" s="1"/>
      <c r="AP12" s="1">
        <f>SUMIFS(stock[MT],stock[Bucket],scheduleapr[[#This Row],[Bucket]],stock[LL or CTL],"LL")</f>
        <v>6.069591</v>
      </c>
      <c r="AQ12" s="1">
        <f>+SUMIFS(wip[Stock(Net Wt)],wip[Bucket],scheduleapr[[#This Row],[Bucket]])/1000</f>
        <v>7.3860000000000001</v>
      </c>
      <c r="AR12" s="1">
        <f t="shared" si="2"/>
        <v>1.50655996112</v>
      </c>
      <c r="AS12" s="118"/>
    </row>
    <row r="13" spans="1:46" x14ac:dyDescent="0.25">
      <c r="A13" s="30">
        <v>7</v>
      </c>
      <c r="B13" s="5" t="s">
        <v>1816</v>
      </c>
      <c r="C13" s="2" t="s">
        <v>283</v>
      </c>
      <c r="D13" s="15" t="s">
        <v>1866</v>
      </c>
      <c r="E13" s="2">
        <v>189287</v>
      </c>
      <c r="F13" s="2">
        <v>3635694</v>
      </c>
      <c r="G13" s="2" t="str">
        <f>_xlfn.CONCAT(scheduleapr[[#This Row],[CUSTOMER CODE]],"-",scheduleapr[[#This Row],[MATERIAL NO]])</f>
        <v>189287-3635694</v>
      </c>
      <c r="H13" s="2" t="s">
        <v>649</v>
      </c>
      <c r="I13" s="2" t="s">
        <v>962</v>
      </c>
      <c r="J13" s="2"/>
      <c r="K13" s="2" t="s">
        <v>963</v>
      </c>
      <c r="L13" s="2" t="s">
        <v>1867</v>
      </c>
      <c r="M13" s="2"/>
      <c r="N13" s="2"/>
      <c r="O13" s="2"/>
      <c r="P13" s="2"/>
      <c r="Q13" s="557" t="str">
        <f>CONCATENATE(scheduleapr[[#This Row],[OD]],"-",scheduleapr[[#This Row],[ID]],"-",scheduleapr[[#This Row],[TICKNESS]],"-",scheduleapr[[#This Row],[Grade]],"-",scheduleapr[[#This Row],[FC/NFC]])</f>
        <v>19.05-0-1-ERW 1-PE</v>
      </c>
      <c r="R13" s="557" t="str">
        <f>_xlfn.CONCAT(scheduleapr[[#This Row],[Bucket]],"-",scheduleapr[[#This Row],[LENGTH]]/1000)</f>
        <v>19.05-0-1-ERW 1-PE-1.2</v>
      </c>
      <c r="S13" s="557">
        <f>COUNTIF(scheduleapr[CTL Bucket],scheduleapr[[#This Row],[CTL Bucket]])</f>
        <v>2</v>
      </c>
      <c r="T13" s="2" t="s">
        <v>1816</v>
      </c>
      <c r="U13" s="2">
        <f>_xlfn.IFNA(VLOOKUP(scheduleapr[[#This Row],[Bucket]],salesforecast[[#All],[Bucket2]:[8406 Stock]],19,0),0)</f>
        <v>0</v>
      </c>
      <c r="V13" s="562">
        <f>_xlfn.IFNA(VLOOKUP(scheduleapr[[#This Row],[Bucket]],salesforecast[[#All],[Bucket2]:[8406 Stock]],20,0),0)+_xlfn.IFNA(VLOOKUP(scheduleapr[[#This Row],[Bucket]],salesforecast[[#All],[Bucket2]:[8406 Stock]],17,0),0)</f>
        <v>0</v>
      </c>
      <c r="W13" s="557"/>
      <c r="X13" s="1">
        <v>19.05</v>
      </c>
      <c r="Y13" s="1">
        <v>19.05</v>
      </c>
      <c r="Z13" s="1">
        <v>0</v>
      </c>
      <c r="AA13" s="1">
        <v>1</v>
      </c>
      <c r="AB13" s="24">
        <v>1200</v>
      </c>
      <c r="AC13" s="24" t="s">
        <v>397</v>
      </c>
      <c r="AD13" s="24" t="s">
        <v>1869</v>
      </c>
      <c r="AE13" s="24"/>
      <c r="AF13" s="2">
        <v>16000</v>
      </c>
      <c r="AG13" s="2"/>
      <c r="AH13" s="2" cm="1">
        <f t="array" ref="AH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 s="4">
        <f>scheduleapr[[#This Row],[SCHEDULE in nos]]-scheduleapr[[#This Row],[DISPATCH]]</f>
        <v>16000</v>
      </c>
      <c r="AJ13" s="1">
        <f>(3.14*(scheduleapr[[#This Row],[ACTUAL OD]]-scheduleapr[[#This Row],[TICKNESS]])*scheduleapr[[#This Row],[TICKNESS]]*scheduleapr[[#This Row],[LENGTH]]*7.85)/1000000*scheduleapr[[#This Row],[SCHEDULE in nos]]/1000</f>
        <v>8.5423574400000017</v>
      </c>
      <c r="AK13" s="1">
        <f>(3.14*(scheduleapr[[#This Row],[ACTUAL OD]]-scheduleapr[[#This Row],[TICKNESS]])*scheduleapr[[#This Row],[TICKNESS]]*scheduleapr[[#This Row],[LENGTH]]*7.85)/1000000*scheduleapr[[#This Row],[DISPATCH]]/1000</f>
        <v>0</v>
      </c>
      <c r="AL13" s="1">
        <f t="shared" si="1"/>
        <v>8.5423574400000017</v>
      </c>
      <c r="AM13" s="1">
        <f>scheduleapr[[#This Row],[SCHEDULE in nos]]/scheduleapr[[#This Row],[SCHEDULE IN MT]]*scheduleapr[[#This Row],[CTL Stock]]</f>
        <v>3339.7806402257029</v>
      </c>
      <c r="AN13" s="1">
        <f>SUMIFS(stock[MT],stock[Bucket],scheduleapr[[#This Row],[Bucket]],stock[CTL Bucket],scheduleapr[[#This Row],[CTL Bucket]],stock[Plant],"0789")</f>
        <v>1.7831000000000001</v>
      </c>
      <c r="AO13" s="1"/>
      <c r="AP13" s="1">
        <f>SUMIFS(stock[MT],stock[Bucket],scheduleapr[[#This Row],[Bucket]],stock[LL or CTL],"LL")</f>
        <v>0</v>
      </c>
      <c r="AQ13" s="1">
        <f>+SUMIFS(wip[Stock(Net Wt)],wip[Bucket],scheduleapr[[#This Row],[Bucket]])/1000</f>
        <v>18.324000000000002</v>
      </c>
      <c r="AR13" s="1">
        <f t="shared" si="2"/>
        <v>6.7592574400000016</v>
      </c>
      <c r="AS13" s="118"/>
    </row>
    <row r="14" spans="1:46" x14ac:dyDescent="0.25">
      <c r="A14" s="30">
        <v>8</v>
      </c>
      <c r="B14" s="5" t="s">
        <v>1816</v>
      </c>
      <c r="C14" s="2" t="s">
        <v>283</v>
      </c>
      <c r="D14" s="15" t="s">
        <v>1866</v>
      </c>
      <c r="E14" s="2">
        <v>189287</v>
      </c>
      <c r="F14" s="2">
        <v>3409366</v>
      </c>
      <c r="G14" s="2" t="str">
        <f>_xlfn.CONCAT(scheduleapr[[#This Row],[CUSTOMER CODE]],"-",scheduleapr[[#This Row],[MATERIAL NO]])</f>
        <v>189287-3409366</v>
      </c>
      <c r="H14" s="2" t="s">
        <v>1313</v>
      </c>
      <c r="I14" s="2" t="s">
        <v>962</v>
      </c>
      <c r="J14" s="2"/>
      <c r="K14" s="2" t="s">
        <v>963</v>
      </c>
      <c r="L14" s="2" t="s">
        <v>1867</v>
      </c>
      <c r="M14" s="2"/>
      <c r="N14" s="2"/>
      <c r="O14" s="2"/>
      <c r="P14" s="2"/>
      <c r="Q14" s="557" t="str">
        <f>CONCATENATE(scheduleapr[[#This Row],[OD]],"-",scheduleapr[[#This Row],[ID]],"-",scheduleapr[[#This Row],[TICKNESS]],"-",scheduleapr[[#This Row],[Grade]],"-",scheduleapr[[#This Row],[FC/NFC]])</f>
        <v>19.05-0-1.2-ERW 1-PE</v>
      </c>
      <c r="R14" s="557" t="str">
        <f>_xlfn.CONCAT(scheduleapr[[#This Row],[Bucket]],"-",scheduleapr[[#This Row],[LENGTH]]/1000)</f>
        <v>19.05-0-1.2-ERW 1-PE-0.109</v>
      </c>
      <c r="S14" s="557">
        <f>COUNTIF(scheduleapr[CTL Bucket],scheduleapr[[#This Row],[CTL Bucket]])</f>
        <v>1</v>
      </c>
      <c r="T14" s="2" t="s">
        <v>1816</v>
      </c>
      <c r="U14" s="2">
        <f>_xlfn.IFNA(VLOOKUP(scheduleapr[[#This Row],[Bucket]],salesforecast[[#All],[Bucket2]:[8406 Stock]],19,0),0)</f>
        <v>0</v>
      </c>
      <c r="V14" s="562">
        <f>_xlfn.IFNA(VLOOKUP(scheduleapr[[#This Row],[Bucket]],salesforecast[[#All],[Bucket2]:[8406 Stock]],20,0),0)+_xlfn.IFNA(VLOOKUP(scheduleapr[[#This Row],[Bucket]],salesforecast[[#All],[Bucket2]:[8406 Stock]],17,0),0)</f>
        <v>0</v>
      </c>
      <c r="W14" s="557"/>
      <c r="X14" s="1">
        <v>19.05</v>
      </c>
      <c r="Y14" s="1">
        <v>19.05</v>
      </c>
      <c r="Z14" s="1">
        <v>0</v>
      </c>
      <c r="AA14" s="1">
        <v>1.2</v>
      </c>
      <c r="AB14" s="24">
        <v>109</v>
      </c>
      <c r="AC14" s="24" t="s">
        <v>397</v>
      </c>
      <c r="AD14" s="24" t="s">
        <v>1869</v>
      </c>
      <c r="AE14" s="24"/>
      <c r="AF14" s="2">
        <v>10000</v>
      </c>
      <c r="AG14" s="2"/>
      <c r="AH14" s="2" cm="1">
        <f t="array" ref="AH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 s="4">
        <f>scheduleapr[[#This Row],[SCHEDULE in nos]]-scheduleapr[[#This Row],[DISPATCH]]</f>
        <v>10000</v>
      </c>
      <c r="AJ14" s="1">
        <f>(3.14*(scheduleapr[[#This Row],[ACTUAL OD]]-scheduleapr[[#This Row],[TICKNESS]])*scheduleapr[[#This Row],[TICKNESS]]*scheduleapr[[#This Row],[LENGTH]]*7.85)/1000000*scheduleapr[[#This Row],[SCHEDULE in nos]]/1000</f>
        <v>0.57549992220000001</v>
      </c>
      <c r="AK14" s="1">
        <f>(3.14*(scheduleapr[[#This Row],[ACTUAL OD]]-scheduleapr[[#This Row],[TICKNESS]])*scheduleapr[[#This Row],[TICKNESS]]*scheduleapr[[#This Row],[LENGTH]]*7.85)/1000000*scheduleapr[[#This Row],[DISPATCH]]/1000</f>
        <v>0</v>
      </c>
      <c r="AL14" s="1">
        <f t="shared" si="1"/>
        <v>0.57549992220000001</v>
      </c>
      <c r="AM14" s="1">
        <f>scheduleapr[[#This Row],[SCHEDULE in nos]]/scheduleapr[[#This Row],[SCHEDULE IN MT]]*scheduleapr[[#This Row],[CTL Stock]]</f>
        <v>275.41272185423071</v>
      </c>
      <c r="AN14" s="1">
        <f>SUMIFS(stock[MT],stock[Bucket],scheduleapr[[#This Row],[Bucket]],stock[CTL Bucket],scheduleapr[[#This Row],[CTL Bucket]],stock[Plant],"0789")</f>
        <v>1.585E-2</v>
      </c>
      <c r="AO14" s="1"/>
      <c r="AP14" s="1">
        <f>SUMIFS(stock[MT],stock[Bucket],scheduleapr[[#This Row],[Bucket]],stock[LL or CTL],"LL")</f>
        <v>0</v>
      </c>
      <c r="AQ14" s="1">
        <f>+SUMIFS(wip[Stock(Net Wt)],wip[Bucket],scheduleapr[[#This Row],[Bucket]])/1000</f>
        <v>20.588000000000001</v>
      </c>
      <c r="AR14" s="1">
        <f t="shared" si="2"/>
        <v>0.55964992219999998</v>
      </c>
      <c r="AS14" s="118"/>
    </row>
    <row r="15" spans="1:46" x14ac:dyDescent="0.25">
      <c r="A15" s="556"/>
      <c r="B15" s="5" t="s">
        <v>1816</v>
      </c>
      <c r="C15" s="2" t="s">
        <v>283</v>
      </c>
      <c r="D15" s="15" t="s">
        <v>1866</v>
      </c>
      <c r="E15" s="2">
        <v>189287</v>
      </c>
      <c r="F15" s="557"/>
      <c r="G15" s="2" t="str">
        <f>_xlfn.CONCAT(scheduleapr[[#This Row],[CUSTOMER CODE]],"-",scheduleapr[[#This Row],[MATERIAL NO]])</f>
        <v>189287-</v>
      </c>
      <c r="H15" s="557"/>
      <c r="I15" s="2" t="s">
        <v>962</v>
      </c>
      <c r="J15" s="557"/>
      <c r="K15" s="557"/>
      <c r="L15" s="557"/>
      <c r="M15" s="558"/>
      <c r="N15" s="557"/>
      <c r="O15" s="557"/>
      <c r="P15" s="557"/>
      <c r="Q15" s="557"/>
      <c r="R15" s="557"/>
      <c r="S15" s="557"/>
      <c r="T15" s="2"/>
      <c r="U15" s="2"/>
      <c r="V15" s="3"/>
      <c r="W15" s="2"/>
      <c r="X15" s="559">
        <v>19.05</v>
      </c>
      <c r="Y15" s="559">
        <v>19.05</v>
      </c>
      <c r="Z15" s="6">
        <v>0</v>
      </c>
      <c r="AA15" s="559">
        <v>1.2</v>
      </c>
      <c r="AB15" s="24">
        <v>175</v>
      </c>
      <c r="AC15" s="24" t="s">
        <v>397</v>
      </c>
      <c r="AD15" s="24"/>
      <c r="AE15" s="24"/>
      <c r="AF15" s="557">
        <v>3000</v>
      </c>
      <c r="AG15" s="557"/>
      <c r="AH15" s="557" cm="1">
        <f t="array" ref="AH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 s="560">
        <f>scheduleapr[[#This Row],[SCHEDULE in nos]]-scheduleapr[[#This Row],[DISPATCH]]</f>
        <v>3000</v>
      </c>
      <c r="AJ15" s="559">
        <f>(3.14*(scheduleapr[[#This Row],[ACTUAL OD]]-scheduleapr[[#This Row],[TICKNESS]])*scheduleapr[[#This Row],[TICKNESS]]*scheduleapr[[#This Row],[LENGTH]]*7.85)/1000000*scheduleapr[[#This Row],[SCHEDULE in nos]]/1000</f>
        <v>0.2771903295</v>
      </c>
      <c r="AK15" s="1">
        <f>(3.14*(scheduleapr[[#This Row],[ACTUAL OD]]-scheduleapr[[#This Row],[TICKNESS]])*scheduleapr[[#This Row],[TICKNESS]]*scheduleapr[[#This Row],[LENGTH]]*7.85)/1000000*scheduleapr[[#This Row],[DISPATCH]]/1000</f>
        <v>0</v>
      </c>
      <c r="AL15" s="1">
        <f t="shared" si="1"/>
        <v>0.2771903295</v>
      </c>
      <c r="AM15" s="559">
        <f>scheduleapr[[#This Row],[SCHEDULE in nos]]/scheduleapr[[#This Row],[SCHEDULE IN MT]]*scheduleapr[[#This Row],[CTL Stock]]</f>
        <v>0</v>
      </c>
      <c r="AN15" s="1">
        <f>SUMIFS(stock[MT],stock[Bucket],scheduleapr[[#This Row],[Bucket]],stock[CTL Bucket],scheduleapr[[#This Row],[CTL Bucket]],stock[Plant],"0789")</f>
        <v>0</v>
      </c>
      <c r="AO15" s="1"/>
      <c r="AP15" s="1">
        <f>SUMIFS(stock[MT],stock[Bucket],scheduleapr[[#This Row],[Bucket]],stock[LL or CTL],"LL")</f>
        <v>0</v>
      </c>
      <c r="AQ15" s="1">
        <f>+SUMIFS(wip[Stock(Net Wt)],wip[Bucket],scheduleapr[[#This Row],[Bucket]])/1000</f>
        <v>0</v>
      </c>
      <c r="AR15" s="1">
        <f t="shared" si="2"/>
        <v>0.2771903295</v>
      </c>
      <c r="AS15" s="118"/>
    </row>
    <row r="16" spans="1:46" x14ac:dyDescent="0.25">
      <c r="A16" s="30">
        <v>9</v>
      </c>
      <c r="B16" s="5" t="s">
        <v>1816</v>
      </c>
      <c r="C16" s="2" t="s">
        <v>283</v>
      </c>
      <c r="D16" s="15" t="s">
        <v>1866</v>
      </c>
      <c r="E16" s="2">
        <v>189287</v>
      </c>
      <c r="F16" s="2">
        <v>3239890</v>
      </c>
      <c r="G16" s="2" t="str">
        <f>_xlfn.CONCAT(scheduleapr[[#This Row],[CUSTOMER CODE]],"-",scheduleapr[[#This Row],[MATERIAL NO]])</f>
        <v>189287-3239890</v>
      </c>
      <c r="H16" s="2" t="s">
        <v>1315</v>
      </c>
      <c r="I16" s="2" t="s">
        <v>962</v>
      </c>
      <c r="J16" s="2"/>
      <c r="K16" s="2" t="s">
        <v>963</v>
      </c>
      <c r="L16" s="2" t="s">
        <v>1867</v>
      </c>
      <c r="M16" s="2"/>
      <c r="N16" s="2"/>
      <c r="O16" s="2"/>
      <c r="P16" s="2"/>
      <c r="Q16" s="557" t="str">
        <f>CONCATENATE(scheduleapr[[#This Row],[OD]],"-",scheduleapr[[#This Row],[ID]],"-",scheduleapr[[#This Row],[TICKNESS]],"-",scheduleapr[[#This Row],[Grade]],"-",scheduleapr[[#This Row],[FC/NFC]])</f>
        <v>19.05-0-1.2-ERW 1-PE</v>
      </c>
      <c r="R16" s="557" t="str">
        <f>_xlfn.CONCAT(scheduleapr[[#This Row],[Bucket]],"-",scheduleapr[[#This Row],[LENGTH]]/1000)</f>
        <v>19.05-0-1.2-ERW 1-PE-0.33</v>
      </c>
      <c r="S16" s="557">
        <f>COUNTIF(scheduleapr[CTL Bucket],scheduleapr[[#This Row],[CTL Bucket]])</f>
        <v>3</v>
      </c>
      <c r="T16" s="2" t="s">
        <v>1816</v>
      </c>
      <c r="U16" s="2">
        <f>_xlfn.IFNA(VLOOKUP(scheduleapr[[#This Row],[Bucket]],salesforecast[[#All],[Bucket2]:[8406 Stock]],19,0),0)</f>
        <v>0</v>
      </c>
      <c r="V16" s="562">
        <f>_xlfn.IFNA(VLOOKUP(scheduleapr[[#This Row],[Bucket]],salesforecast[[#All],[Bucket2]:[8406 Stock]],20,0),0)+_xlfn.IFNA(VLOOKUP(scheduleapr[[#This Row],[Bucket]],salesforecast[[#All],[Bucket2]:[8406 Stock]],17,0),0)</f>
        <v>0</v>
      </c>
      <c r="W16" s="557"/>
      <c r="X16" s="1">
        <v>19.05</v>
      </c>
      <c r="Y16" s="1">
        <v>19.05</v>
      </c>
      <c r="Z16" s="1">
        <v>0</v>
      </c>
      <c r="AA16" s="1">
        <v>1.2</v>
      </c>
      <c r="AB16" s="81">
        <v>330</v>
      </c>
      <c r="AC16" s="24" t="s">
        <v>397</v>
      </c>
      <c r="AD16" s="24" t="s">
        <v>1869</v>
      </c>
      <c r="AE16" s="24"/>
      <c r="AF16" s="2">
        <v>16000</v>
      </c>
      <c r="AG16" s="2"/>
      <c r="AH16" s="2" cm="1">
        <f t="array" ref="AH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6" s="4">
        <f>scheduleapr[[#This Row],[SCHEDULE in nos]]-scheduleapr[[#This Row],[DISPATCH]]</f>
        <v>16000</v>
      </c>
      <c r="AJ16" s="1">
        <f>(3.14*(scheduleapr[[#This Row],[ACTUAL OD]]-scheduleapr[[#This Row],[TICKNESS]])*scheduleapr[[#This Row],[TICKNESS]]*scheduleapr[[#This Row],[LENGTH]]*7.85)/1000000*scheduleapr[[#This Row],[SCHEDULE in nos]]/1000</f>
        <v>2.7877427424000003</v>
      </c>
      <c r="AK16" s="1">
        <f>(3.14*(scheduleapr[[#This Row],[ACTUAL OD]]-scheduleapr[[#This Row],[TICKNESS]])*scheduleapr[[#This Row],[TICKNESS]]*scheduleapr[[#This Row],[LENGTH]]*7.85)/1000000*scheduleapr[[#This Row],[DISPATCH]]/1000</f>
        <v>0</v>
      </c>
      <c r="AL16" s="1">
        <f t="shared" si="1"/>
        <v>2.7877427424000003</v>
      </c>
      <c r="AM16" s="1">
        <f>scheduleapr[[#This Row],[SCHEDULE in nos]]/scheduleapr[[#This Row],[SCHEDULE IN MT]]*scheduleapr[[#This Row],[CTL Stock]]</f>
        <v>3428.0580681460801</v>
      </c>
      <c r="AN16" s="1">
        <f>SUMIFS(stock[MT],stock[Bucket],scheduleapr[[#This Row],[Bucket]],stock[CTL Bucket],scheduleapr[[#This Row],[CTL Bucket]],stock[Plant],"0789")</f>
        <v>0.59728400000000004</v>
      </c>
      <c r="AO16" s="1"/>
      <c r="AP16" s="1">
        <f>SUMIFS(stock[MT],stock[Bucket],scheduleapr[[#This Row],[Bucket]],stock[LL or CTL],"LL")</f>
        <v>0</v>
      </c>
      <c r="AQ16" s="1">
        <f>+SUMIFS(wip[Stock(Net Wt)],wip[Bucket],scheduleapr[[#This Row],[Bucket]])/1000</f>
        <v>20.588000000000001</v>
      </c>
      <c r="AR16" s="1">
        <f t="shared" si="2"/>
        <v>2.1904587424000002</v>
      </c>
      <c r="AS16" s="118"/>
    </row>
    <row r="17" spans="1:45" x14ac:dyDescent="0.25">
      <c r="A17" s="30">
        <v>10</v>
      </c>
      <c r="B17" s="5" t="s">
        <v>1816</v>
      </c>
      <c r="C17" s="2" t="s">
        <v>283</v>
      </c>
      <c r="D17" s="15" t="s">
        <v>1866</v>
      </c>
      <c r="E17" s="2">
        <v>189287</v>
      </c>
      <c r="F17" s="9">
        <v>3929662</v>
      </c>
      <c r="G17" s="2" t="str">
        <f>_xlfn.CONCAT(scheduleapr[[#This Row],[CUSTOMER CODE]],"-",scheduleapr[[#This Row],[MATERIAL NO]])</f>
        <v>189287-3929662</v>
      </c>
      <c r="H17" s="9" t="s">
        <v>1870</v>
      </c>
      <c r="I17" s="2" t="s">
        <v>962</v>
      </c>
      <c r="J17" s="2"/>
      <c r="K17" s="2" t="s">
        <v>963</v>
      </c>
      <c r="L17" s="2" t="s">
        <v>1867</v>
      </c>
      <c r="M17" s="2"/>
      <c r="N17" s="2"/>
      <c r="O17" s="2"/>
      <c r="P17" s="2"/>
      <c r="Q17" s="557" t="str">
        <f>CONCATENATE(scheduleapr[[#This Row],[OD]],"-",scheduleapr[[#This Row],[ID]],"-",scheduleapr[[#This Row],[TICKNESS]],"-",scheduleapr[[#This Row],[Grade]],"-",scheduleapr[[#This Row],[FC/NFC]])</f>
        <v>19.05-0-1.2-ERW 1-PE</v>
      </c>
      <c r="R17" s="557" t="str">
        <f>_xlfn.CONCAT(scheduleapr[[#This Row],[Bucket]],"-",scheduleapr[[#This Row],[LENGTH]]/1000)</f>
        <v>19.05-0-1.2-ERW 1-PE-0.403</v>
      </c>
      <c r="S17" s="557">
        <f>COUNTIF(scheduleapr[CTL Bucket],scheduleapr[[#This Row],[CTL Bucket]])</f>
        <v>1</v>
      </c>
      <c r="T17" s="2" t="s">
        <v>1816</v>
      </c>
      <c r="U17" s="557"/>
      <c r="V17" s="557"/>
      <c r="W17" s="557"/>
      <c r="X17" s="1">
        <v>19.05</v>
      </c>
      <c r="Y17" s="1">
        <v>19.05</v>
      </c>
      <c r="Z17" s="1">
        <v>0</v>
      </c>
      <c r="AA17" s="1">
        <v>1.2</v>
      </c>
      <c r="AB17" s="24">
        <v>403</v>
      </c>
      <c r="AC17" s="24" t="s">
        <v>397</v>
      </c>
      <c r="AD17" s="24"/>
      <c r="AE17" s="24"/>
      <c r="AF17" s="2"/>
      <c r="AG17" s="2"/>
      <c r="AH17" s="2" cm="1">
        <f t="array" ref="AH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 s="4">
        <f>scheduleapr[[#This Row],[SCHEDULE in nos]]-scheduleapr[[#This Row],[DISPATCH]]</f>
        <v>0</v>
      </c>
      <c r="AJ17" s="1">
        <f>(3.14*(scheduleapr[[#This Row],[ACTUAL OD]]-scheduleapr[[#This Row],[TICKNESS]])*scheduleapr[[#This Row],[TICKNESS]]*scheduleapr[[#This Row],[LENGTH]]*7.85)/1000000*scheduleapr[[#This Row],[SCHEDULE in nos]]/1000</f>
        <v>0</v>
      </c>
      <c r="AK17" s="1">
        <f>(3.14*(scheduleapr[[#This Row],[ACTUAL OD]]-scheduleapr[[#This Row],[TICKNESS]])*scheduleapr[[#This Row],[TICKNESS]]*scheduleapr[[#This Row],[LENGTH]]*7.85)/1000000*scheduleapr[[#This Row],[DISPATCH]]/1000</f>
        <v>0</v>
      </c>
      <c r="AL17" s="1">
        <f t="shared" si="1"/>
        <v>0</v>
      </c>
      <c r="AM17" s="1" t="e">
        <f>scheduleapr[[#This Row],[SCHEDULE in nos]]/scheduleapr[[#This Row],[SCHEDULE IN MT]]*scheduleapr[[#This Row],[CTL Stock]]</f>
        <v>#DIV/0!</v>
      </c>
      <c r="AN17" s="1">
        <f>SUMIFS(stock[MT],stock[Bucket],scheduleapr[[#This Row],[Bucket]],stock[CTL Bucket],scheduleapr[[#This Row],[CTL Bucket]],stock[Plant],"0789")</f>
        <v>0</v>
      </c>
      <c r="AO17" s="1"/>
      <c r="AP17" s="1">
        <f>SUMIFS(stock[MT],stock[Bucket],scheduleapr[[#This Row],[Bucket]],stock[LL or CTL],"LL")</f>
        <v>0</v>
      </c>
      <c r="AQ17" s="1">
        <f>+SUMIFS(wip[Stock(Net Wt)],wip[Bucket],scheduleapr[[#This Row],[Bucket]])/1000</f>
        <v>20.588000000000001</v>
      </c>
      <c r="AR17" s="1">
        <f t="shared" si="2"/>
        <v>0</v>
      </c>
      <c r="AS17" s="118"/>
    </row>
    <row r="18" spans="1:45" x14ac:dyDescent="0.25">
      <c r="A18" s="30">
        <v>11</v>
      </c>
      <c r="B18" s="5" t="s">
        <v>1816</v>
      </c>
      <c r="C18" s="2" t="s">
        <v>283</v>
      </c>
      <c r="D18" s="15" t="s">
        <v>1866</v>
      </c>
      <c r="E18" s="2">
        <v>189287</v>
      </c>
      <c r="F18" s="2">
        <v>2409616</v>
      </c>
      <c r="G18" s="2" t="str">
        <f>_xlfn.CONCAT(scheduleapr[[#This Row],[CUSTOMER CODE]],"-",scheduleapr[[#This Row],[MATERIAL NO]])</f>
        <v>189287-2409616</v>
      </c>
      <c r="H18" s="2" t="s">
        <v>1317</v>
      </c>
      <c r="I18" s="2" t="s">
        <v>962</v>
      </c>
      <c r="J18" s="2"/>
      <c r="K18" s="2" t="s">
        <v>963</v>
      </c>
      <c r="L18" s="2" t="s">
        <v>1867</v>
      </c>
      <c r="M18" s="2"/>
      <c r="N18" s="2"/>
      <c r="O18" s="2"/>
      <c r="P18" s="2"/>
      <c r="Q18" s="557" t="str">
        <f>CONCATENATE(scheduleapr[[#This Row],[OD]],"-",scheduleapr[[#This Row],[ID]],"-",scheduleapr[[#This Row],[TICKNESS]],"-",scheduleapr[[#This Row],[Grade]],"-",scheduleapr[[#This Row],[FC/NFC]])</f>
        <v>19.05-0-1.2-ERW 1-PE</v>
      </c>
      <c r="R18" s="557" t="str">
        <f>_xlfn.CONCAT(scheduleapr[[#This Row],[Bucket]],"-",scheduleapr[[#This Row],[LENGTH]]/1000)</f>
        <v>19.05-0-1.2-ERW 1-PE-0.513</v>
      </c>
      <c r="S18" s="557">
        <f>COUNTIF(scheduleapr[CTL Bucket],scheduleapr[[#This Row],[CTL Bucket]])</f>
        <v>1</v>
      </c>
      <c r="T18" s="2" t="s">
        <v>1816</v>
      </c>
      <c r="U18" s="2">
        <f>_xlfn.IFNA(VLOOKUP(scheduleapr[[#This Row],[Bucket]],salesforecast[[#All],[Bucket2]:[8406 Stock]],19,0),0)</f>
        <v>0</v>
      </c>
      <c r="V18" s="562">
        <f>_xlfn.IFNA(VLOOKUP(scheduleapr[[#This Row],[Bucket]],salesforecast[[#All],[Bucket2]:[8406 Stock]],20,0),0)+_xlfn.IFNA(VLOOKUP(scheduleapr[[#This Row],[Bucket]],salesforecast[[#All],[Bucket2]:[8406 Stock]],17,0),0)</f>
        <v>0</v>
      </c>
      <c r="W18" s="557"/>
      <c r="X18" s="1">
        <v>19.05</v>
      </c>
      <c r="Y18" s="1">
        <v>19.05</v>
      </c>
      <c r="Z18" s="1">
        <v>0</v>
      </c>
      <c r="AA18" s="1">
        <v>1.2</v>
      </c>
      <c r="AB18" s="24">
        <v>513</v>
      </c>
      <c r="AC18" s="24" t="s">
        <v>397</v>
      </c>
      <c r="AD18" s="24" t="s">
        <v>1869</v>
      </c>
      <c r="AE18" s="24"/>
      <c r="AF18" s="2">
        <v>12000</v>
      </c>
      <c r="AG18" s="2"/>
      <c r="AH18" s="2" cm="1">
        <f t="array" ref="AH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 s="4">
        <f>scheduleapr[[#This Row],[SCHEDULE in nos]]-scheduleapr[[#This Row],[DISPATCH]]</f>
        <v>12000</v>
      </c>
      <c r="AJ18" s="1">
        <f>(3.14*(scheduleapr[[#This Row],[ACTUAL OD]]-scheduleapr[[#This Row],[TICKNESS]])*scheduleapr[[#This Row],[TICKNESS]]*scheduleapr[[#This Row],[LENGTH]]*7.85)/1000000*scheduleapr[[#This Row],[SCHEDULE in nos]]/1000</f>
        <v>3.2502546064800004</v>
      </c>
      <c r="AK18" s="1">
        <f>(3.14*(scheduleapr[[#This Row],[ACTUAL OD]]-scheduleapr[[#This Row],[TICKNESS]])*scheduleapr[[#This Row],[TICKNESS]]*scheduleapr[[#This Row],[LENGTH]]*7.85)/1000000*scheduleapr[[#This Row],[DISPATCH]]/1000</f>
        <v>0</v>
      </c>
      <c r="AL18" s="1">
        <f t="shared" si="1"/>
        <v>3.2502546064800004</v>
      </c>
      <c r="AM18" s="1">
        <f>scheduleapr[[#This Row],[SCHEDULE in nos]]/scheduleapr[[#This Row],[SCHEDULE IN MT]]*scheduleapr[[#This Row],[CTL Stock]]</f>
        <v>39.755654754671625</v>
      </c>
      <c r="AN18" s="1">
        <f>SUMIFS(stock[MT],stock[Bucket],scheduleapr[[#This Row],[Bucket]],stock[CTL Bucket],scheduleapr[[#This Row],[CTL Bucket]],stock[Plant],"0789")</f>
        <v>1.0767999999999998E-2</v>
      </c>
      <c r="AO18" s="1"/>
      <c r="AP18" s="1">
        <f>SUMIFS(stock[MT],stock[Bucket],scheduleapr[[#This Row],[Bucket]],stock[LL or CTL],"LL")</f>
        <v>0</v>
      </c>
      <c r="AQ18" s="1">
        <f>+SUMIFS(wip[Stock(Net Wt)],wip[Bucket],scheduleapr[[#This Row],[Bucket]])/1000</f>
        <v>20.588000000000001</v>
      </c>
      <c r="AR18" s="1">
        <f t="shared" si="2"/>
        <v>3.2394866064800003</v>
      </c>
      <c r="AS18" s="118"/>
    </row>
    <row r="19" spans="1:45" x14ac:dyDescent="0.25">
      <c r="A19" s="556"/>
      <c r="B19" s="5" t="s">
        <v>1816</v>
      </c>
      <c r="C19" s="2" t="s">
        <v>283</v>
      </c>
      <c r="D19" s="15" t="s">
        <v>1866</v>
      </c>
      <c r="E19" s="2">
        <v>189287</v>
      </c>
      <c r="F19" s="557"/>
      <c r="G19" s="2" t="str">
        <f>_xlfn.CONCAT(scheduleapr[[#This Row],[CUSTOMER CODE]],"-",scheduleapr[[#This Row],[MATERIAL NO]])</f>
        <v>189287-</v>
      </c>
      <c r="H19" s="557"/>
      <c r="I19" s="2" t="s">
        <v>962</v>
      </c>
      <c r="J19" s="557"/>
      <c r="K19" s="557"/>
      <c r="L19" s="557"/>
      <c r="M19" s="558"/>
      <c r="N19" s="557"/>
      <c r="O19" s="557"/>
      <c r="P19" s="557"/>
      <c r="Q19" s="557"/>
      <c r="R19" s="557"/>
      <c r="S19" s="557"/>
      <c r="T19" s="2"/>
      <c r="U19" s="2"/>
      <c r="V19" s="3"/>
      <c r="W19" s="2"/>
      <c r="X19" s="559">
        <v>19.05</v>
      </c>
      <c r="Y19" s="559">
        <v>19.05</v>
      </c>
      <c r="Z19" s="559">
        <v>0</v>
      </c>
      <c r="AA19" s="559">
        <v>1.2</v>
      </c>
      <c r="AB19" s="24">
        <v>665</v>
      </c>
      <c r="AC19" s="24" t="s">
        <v>397</v>
      </c>
      <c r="AD19" s="24"/>
      <c r="AE19" s="24"/>
      <c r="AF19" s="557">
        <v>5000</v>
      </c>
      <c r="AG19" s="557"/>
      <c r="AH19" s="557" cm="1">
        <f t="array" ref="AH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 s="560">
        <f>scheduleapr[[#This Row],[SCHEDULE in nos]]-scheduleapr[[#This Row],[DISPATCH]]</f>
        <v>5000</v>
      </c>
      <c r="AJ19" s="559">
        <f>(3.14*(scheduleapr[[#This Row],[ACTUAL OD]]-scheduleapr[[#This Row],[TICKNESS]])*scheduleapr[[#This Row],[TICKNESS]]*scheduleapr[[#This Row],[LENGTH]]*7.85)/1000000*scheduleapr[[#This Row],[SCHEDULE in nos]]/1000</f>
        <v>1.7555387535000002</v>
      </c>
      <c r="AK19" s="1">
        <f>(3.14*(scheduleapr[[#This Row],[ACTUAL OD]]-scheduleapr[[#This Row],[TICKNESS]])*scheduleapr[[#This Row],[TICKNESS]]*scheduleapr[[#This Row],[LENGTH]]*7.85)/1000000*scheduleapr[[#This Row],[DISPATCH]]/1000</f>
        <v>0</v>
      </c>
      <c r="AL19" s="1">
        <f t="shared" si="1"/>
        <v>1.7555387535000002</v>
      </c>
      <c r="AM19" s="559">
        <f>scheduleapr[[#This Row],[SCHEDULE in nos]]/scheduleapr[[#This Row],[SCHEDULE IN MT]]*scheduleapr[[#This Row],[CTL Stock]]</f>
        <v>0</v>
      </c>
      <c r="AN19" s="1">
        <f>SUMIFS(stock[MT],stock[Bucket],scheduleapr[[#This Row],[Bucket]],stock[CTL Bucket],scheduleapr[[#This Row],[CTL Bucket]],stock[Plant],"0789")</f>
        <v>0</v>
      </c>
      <c r="AO19" s="1"/>
      <c r="AP19" s="1">
        <f>SUMIFS(stock[MT],stock[Bucket],scheduleapr[[#This Row],[Bucket]],stock[LL or CTL],"LL")</f>
        <v>0</v>
      </c>
      <c r="AQ19" s="1">
        <f>+SUMIFS(wip[Stock(Net Wt)],wip[Bucket],scheduleapr[[#This Row],[Bucket]])/1000</f>
        <v>0</v>
      </c>
      <c r="AR19" s="1">
        <f t="shared" si="2"/>
        <v>1.7555387535000002</v>
      </c>
      <c r="AS19" s="118"/>
    </row>
    <row r="20" spans="1:45" x14ac:dyDescent="0.25">
      <c r="A20" s="30">
        <v>12</v>
      </c>
      <c r="B20" s="5" t="s">
        <v>1816</v>
      </c>
      <c r="C20" s="2" t="s">
        <v>283</v>
      </c>
      <c r="D20" s="15" t="s">
        <v>1866</v>
      </c>
      <c r="E20" s="2">
        <v>189287</v>
      </c>
      <c r="F20" s="2">
        <v>3229740</v>
      </c>
      <c r="G20" s="2" t="str">
        <f>_xlfn.CONCAT(scheduleapr[[#This Row],[CUSTOMER CODE]],"-",scheduleapr[[#This Row],[MATERIAL NO]])</f>
        <v>189287-3229740</v>
      </c>
      <c r="H20" s="2" t="s">
        <v>472</v>
      </c>
      <c r="I20" s="2" t="s">
        <v>962</v>
      </c>
      <c r="J20" s="2"/>
      <c r="K20" s="2" t="s">
        <v>963</v>
      </c>
      <c r="L20" s="2" t="s">
        <v>1867</v>
      </c>
      <c r="M20" s="2"/>
      <c r="N20" s="2"/>
      <c r="O20" s="2"/>
      <c r="P20" s="2"/>
      <c r="Q20" s="557" t="str">
        <f>CONCATENATE(scheduleapr[[#This Row],[OD]],"-",scheduleapr[[#This Row],[ID]],"-",scheduleapr[[#This Row],[TICKNESS]],"-",scheduleapr[[#This Row],[Grade]],"-",scheduleapr[[#This Row],[FC/NFC]])</f>
        <v>19.05-0-1.2-ERW 1-PE</v>
      </c>
      <c r="R20" s="557" t="str">
        <f>_xlfn.CONCAT(scheduleapr[[#This Row],[Bucket]],"-",scheduleapr[[#This Row],[LENGTH]]/1000)</f>
        <v>19.05-0-1.2-ERW 1-PE-1.075</v>
      </c>
      <c r="S20" s="557">
        <f>COUNTIF(scheduleapr[CTL Bucket],scheduleapr[[#This Row],[CTL Bucket]])</f>
        <v>1</v>
      </c>
      <c r="T20" s="2" t="s">
        <v>1816</v>
      </c>
      <c r="U20" s="2">
        <f>_xlfn.IFNA(VLOOKUP(scheduleapr[[#This Row],[Bucket]],salesforecast[[#All],[Bucket2]:[8406 Stock]],19,0),0)</f>
        <v>0</v>
      </c>
      <c r="V20" s="562">
        <f>_xlfn.IFNA(VLOOKUP(scheduleapr[[#This Row],[Bucket]],salesforecast[[#All],[Bucket2]:[8406 Stock]],20,0),0)+_xlfn.IFNA(VLOOKUP(scheduleapr[[#This Row],[Bucket]],salesforecast[[#All],[Bucket2]:[8406 Stock]],17,0),0)</f>
        <v>0</v>
      </c>
      <c r="W20" s="557"/>
      <c r="X20" s="1">
        <v>19.05</v>
      </c>
      <c r="Y20" s="1">
        <v>19.05</v>
      </c>
      <c r="Z20" s="1">
        <v>0</v>
      </c>
      <c r="AA20" s="1">
        <v>1.2</v>
      </c>
      <c r="AB20" s="24">
        <v>1075</v>
      </c>
      <c r="AC20" s="24" t="s">
        <v>397</v>
      </c>
      <c r="AD20" s="24" t="s">
        <v>1869</v>
      </c>
      <c r="AE20" s="24"/>
      <c r="AF20" s="2">
        <v>10000</v>
      </c>
      <c r="AG20" s="2"/>
      <c r="AH20" s="2" cm="1">
        <f t="array" ref="AH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3900</v>
      </c>
      <c r="AI20" s="4">
        <f>scheduleapr[[#This Row],[SCHEDULE in nos]]-scheduleapr[[#This Row],[DISPATCH]]</f>
        <v>6100</v>
      </c>
      <c r="AJ20" s="1">
        <f>(3.14*(scheduleapr[[#This Row],[ACTUAL OD]]-scheduleapr[[#This Row],[TICKNESS]])*scheduleapr[[#This Row],[TICKNESS]]*scheduleapr[[#This Row],[LENGTH]]*7.85)/1000000*scheduleapr[[#This Row],[SCHEDULE in nos]]/1000</f>
        <v>5.6758019850000005</v>
      </c>
      <c r="AK20" s="1">
        <f>(3.14*(scheduleapr[[#This Row],[ACTUAL OD]]-scheduleapr[[#This Row],[TICKNESS]])*scheduleapr[[#This Row],[TICKNESS]]*scheduleapr[[#This Row],[LENGTH]]*7.85)/1000000*scheduleapr[[#This Row],[DISPATCH]]/1000</f>
        <v>2.2135627741500001</v>
      </c>
      <c r="AL20" s="1">
        <f t="shared" si="1"/>
        <v>3.4622392108500004</v>
      </c>
      <c r="AM20" s="1">
        <f>scheduleapr[[#This Row],[SCHEDULE in nos]]/scheduleapr[[#This Row],[SCHEDULE IN MT]]*scheduleapr[[#This Row],[CTL Stock]]</f>
        <v>216.37647036412594</v>
      </c>
      <c r="AN20" s="1">
        <f>SUMIFS(stock[MT],stock[Bucket],scheduleapr[[#This Row],[Bucket]],stock[CTL Bucket],scheduleapr[[#This Row],[CTL Bucket]],stock[Plant],"0789")</f>
        <v>0.12281099999999999</v>
      </c>
      <c r="AO20" s="1"/>
      <c r="AP20" s="1">
        <f>SUMIFS(stock[MT],stock[Bucket],scheduleapr[[#This Row],[Bucket]],stock[LL or CTL],"LL")</f>
        <v>0</v>
      </c>
      <c r="AQ20" s="1">
        <f>+SUMIFS(wip[Stock(Net Wt)],wip[Bucket],scheduleapr[[#This Row],[Bucket]])/1000</f>
        <v>20.588000000000001</v>
      </c>
      <c r="AR20" s="1">
        <f t="shared" si="2"/>
        <v>5.552990985000001</v>
      </c>
      <c r="AS20" s="118"/>
    </row>
    <row r="21" spans="1:45" x14ac:dyDescent="0.25">
      <c r="A21" s="30">
        <v>13</v>
      </c>
      <c r="B21" s="5" t="s">
        <v>1816</v>
      </c>
      <c r="C21" s="2" t="s">
        <v>283</v>
      </c>
      <c r="D21" s="15" t="s">
        <v>1871</v>
      </c>
      <c r="E21" s="2">
        <v>189287</v>
      </c>
      <c r="F21" s="2">
        <v>3229739</v>
      </c>
      <c r="G21" s="2" t="str">
        <f>_xlfn.CONCAT(scheduleapr[[#This Row],[CUSTOMER CODE]],"-",scheduleapr[[#This Row],[MATERIAL NO]])</f>
        <v>189287-3229739</v>
      </c>
      <c r="H21" s="2" t="s">
        <v>1324</v>
      </c>
      <c r="I21" s="2" t="s">
        <v>962</v>
      </c>
      <c r="J21" s="2"/>
      <c r="K21" s="2" t="s">
        <v>963</v>
      </c>
      <c r="L21" s="2" t="s">
        <v>1867</v>
      </c>
      <c r="M21" s="2"/>
      <c r="N21" s="2"/>
      <c r="O21" s="2"/>
      <c r="P21" s="2"/>
      <c r="Q21" s="557" t="str">
        <f>CONCATENATE(scheduleapr[[#This Row],[OD]],"-",scheduleapr[[#This Row],[ID]],"-",scheduleapr[[#This Row],[TICKNESS]],"-",scheduleapr[[#This Row],[Grade]],"-",scheduleapr[[#This Row],[FC/NFC]])</f>
        <v>19.05-0-1.2-ERW 1-PE</v>
      </c>
      <c r="R21" s="557" t="str">
        <f>_xlfn.CONCAT(scheduleapr[[#This Row],[Bucket]],"-",scheduleapr[[#This Row],[LENGTH]]/1000)</f>
        <v>19.05-0-1.2-ERW 1-PE-1.13</v>
      </c>
      <c r="S21" s="557">
        <f>COUNTIF(scheduleapr[CTL Bucket],scheduleapr[[#This Row],[CTL Bucket]])</f>
        <v>1</v>
      </c>
      <c r="T21" s="2" t="s">
        <v>1816</v>
      </c>
      <c r="U21" s="2"/>
      <c r="V21" s="557"/>
      <c r="W21" s="557"/>
      <c r="X21" s="1">
        <v>19.05</v>
      </c>
      <c r="Y21" s="1">
        <v>19.05</v>
      </c>
      <c r="Z21" s="1">
        <v>0</v>
      </c>
      <c r="AA21" s="1">
        <v>1.2</v>
      </c>
      <c r="AB21" s="24">
        <v>1130</v>
      </c>
      <c r="AC21" s="24" t="s">
        <v>397</v>
      </c>
      <c r="AD21" s="24"/>
      <c r="AE21" s="24"/>
      <c r="AF21" s="2">
        <v>3000</v>
      </c>
      <c r="AG21" s="2"/>
      <c r="AH21" s="2" cm="1">
        <f t="array" ref="AH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 s="4">
        <f>scheduleapr[[#This Row],[SCHEDULE in nos]]-scheduleapr[[#This Row],[DISPATCH]]</f>
        <v>3000</v>
      </c>
      <c r="AJ21" s="1">
        <f>(3.14*(scheduleapr[[#This Row],[ACTUAL OD]]-scheduleapr[[#This Row],[TICKNESS]])*scheduleapr[[#This Row],[TICKNESS]]*scheduleapr[[#This Row],[LENGTH]]*7.85)/1000000*scheduleapr[[#This Row],[SCHEDULE in nos]]/1000</f>
        <v>1.7898575561999999</v>
      </c>
      <c r="AK21" s="1">
        <f>(3.14*(scheduleapr[[#This Row],[ACTUAL OD]]-scheduleapr[[#This Row],[TICKNESS]])*scheduleapr[[#This Row],[TICKNESS]]*scheduleapr[[#This Row],[LENGTH]]*7.85)/1000000*scheduleapr[[#This Row],[DISPATCH]]/1000</f>
        <v>0</v>
      </c>
      <c r="AL21" s="1">
        <f t="shared" si="1"/>
        <v>1.7898575561999999</v>
      </c>
      <c r="AM21" s="1">
        <f>scheduleapr[[#This Row],[SCHEDULE in nos]]/scheduleapr[[#This Row],[SCHEDULE IN MT]]*scheduleapr[[#This Row],[CTL Stock]]</f>
        <v>2279.7992979191245</v>
      </c>
      <c r="AN21" s="1">
        <f>SUMIFS(stock[MT],stock[Bucket],scheduleapr[[#This Row],[Bucket]],stock[CTL Bucket],scheduleapr[[#This Row],[CTL Bucket]],stock[Plant],"0789")</f>
        <v>1.3601719999999999</v>
      </c>
      <c r="AO21" s="1"/>
      <c r="AP21" s="1">
        <f>SUMIFS(stock[MT],stock[Bucket],scheduleapr[[#This Row],[Bucket]],stock[LL or CTL],"LL")</f>
        <v>0</v>
      </c>
      <c r="AQ21" s="1">
        <f>+SUMIFS(wip[Stock(Net Wt)],wip[Bucket],scheduleapr[[#This Row],[Bucket]])/1000</f>
        <v>20.588000000000001</v>
      </c>
      <c r="AR21" s="1">
        <f t="shared" si="2"/>
        <v>0.42968555619999993</v>
      </c>
      <c r="AS21" s="118"/>
    </row>
    <row r="22" spans="1:45" x14ac:dyDescent="0.25">
      <c r="A22" s="556"/>
      <c r="B22" s="5" t="s">
        <v>1816</v>
      </c>
      <c r="C22" s="2" t="s">
        <v>283</v>
      </c>
      <c r="D22" s="15" t="s">
        <v>1866</v>
      </c>
      <c r="E22" s="2">
        <v>189287</v>
      </c>
      <c r="F22" s="557"/>
      <c r="G22" s="2" t="str">
        <f>_xlfn.CONCAT(scheduleapr[[#This Row],[CUSTOMER CODE]],"-",scheduleapr[[#This Row],[MATERIAL NO]])</f>
        <v>189287-</v>
      </c>
      <c r="H22" s="557"/>
      <c r="I22" s="2" t="s">
        <v>962</v>
      </c>
      <c r="J22" s="557"/>
      <c r="K22" s="2" t="s">
        <v>963</v>
      </c>
      <c r="L22" s="557"/>
      <c r="M22" s="558"/>
      <c r="N22" s="557"/>
      <c r="O22" s="557"/>
      <c r="P22" s="557"/>
      <c r="Q22" s="557" t="str">
        <f>CONCATENATE(scheduleapr[[#This Row],[OD]],"-",scheduleapr[[#This Row],[ID]],"-",scheduleapr[[#This Row],[TICKNESS]],"-",scheduleapr[[#This Row],[Grade]],"-",scheduleapr[[#This Row],[FC/NFC]])</f>
        <v>19.05-0-1.2-ERW 1-PE</v>
      </c>
      <c r="R22" s="557" t="str">
        <f>_xlfn.CONCAT(scheduleapr[[#This Row],[Bucket]],"-",scheduleapr[[#This Row],[LENGTH]]/1000)</f>
        <v>19.05-0-1.2-ERW 1-PE-1.145</v>
      </c>
      <c r="S22" s="557"/>
      <c r="T22" s="2"/>
      <c r="U22" s="2">
        <f>_xlfn.IFNA(VLOOKUP(scheduleapr[[#This Row],[Bucket]],salesforecast[[#All],[Bucket2]:[8406 Stock]],19,0),0)</f>
        <v>0</v>
      </c>
      <c r="V22" s="562">
        <f>_xlfn.IFNA(VLOOKUP(scheduleapr[[#This Row],[Bucket]],salesforecast[[#All],[Bucket2]:[8406 Stock]],20,0),0)+_xlfn.IFNA(VLOOKUP(scheduleapr[[#This Row],[Bucket]],salesforecast[[#All],[Bucket2]:[8406 Stock]],17,0),0)</f>
        <v>0</v>
      </c>
      <c r="W22" s="2"/>
      <c r="X22" s="1">
        <v>19.05</v>
      </c>
      <c r="Y22" s="1">
        <v>19.05</v>
      </c>
      <c r="Z22" s="1">
        <v>0</v>
      </c>
      <c r="AA22" s="1">
        <v>1.2</v>
      </c>
      <c r="AB22" s="24">
        <v>1145</v>
      </c>
      <c r="AC22" s="24" t="s">
        <v>397</v>
      </c>
      <c r="AD22" s="24" t="s">
        <v>1869</v>
      </c>
      <c r="AE22" s="24"/>
      <c r="AF22" s="557">
        <v>8000</v>
      </c>
      <c r="AG22" s="557"/>
      <c r="AH22" s="2" cm="1">
        <f t="array" ref="AH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 s="4">
        <f>scheduleapr[[#This Row],[SCHEDULE in nos]]-scheduleapr[[#This Row],[DISPATCH]]</f>
        <v>8000</v>
      </c>
      <c r="AJ22" s="559">
        <f>(3.14*(scheduleapr[[#This Row],[ACTUAL OD]]-scheduleapr[[#This Row],[TICKNESS]])*scheduleapr[[#This Row],[TICKNESS]]*scheduleapr[[#This Row],[LENGTH]]*7.85)/1000000*scheduleapr[[#This Row],[SCHEDULE in nos]]/1000</f>
        <v>4.8363112728000006</v>
      </c>
      <c r="AK22" s="1">
        <f>(3.14*(scheduleapr[[#This Row],[ACTUAL OD]]-scheduleapr[[#This Row],[TICKNESS]])*scheduleapr[[#This Row],[TICKNESS]]*scheduleapr[[#This Row],[LENGTH]]*7.85)/1000000*scheduleapr[[#This Row],[DISPATCH]]/1000</f>
        <v>0</v>
      </c>
      <c r="AL22" s="1">
        <f t="shared" si="1"/>
        <v>4.8363112728000006</v>
      </c>
      <c r="AM22" s="559">
        <f>scheduleapr[[#This Row],[SCHEDULE in nos]]/scheduleapr[[#This Row],[SCHEDULE IN MT]]*scheduleapr[[#This Row],[CTL Stock]]</f>
        <v>0</v>
      </c>
      <c r="AN22" s="1">
        <f>SUMIFS(stock[MT],stock[Bucket],scheduleapr[[#This Row],[Bucket]],stock[CTL Bucket],scheduleapr[[#This Row],[CTL Bucket]],stock[Plant],"0789")</f>
        <v>0</v>
      </c>
      <c r="AO22" s="1"/>
      <c r="AP22" s="1">
        <f>SUMIFS(stock[MT],stock[Bucket],scheduleapr[[#This Row],[Bucket]],stock[LL or CTL],"LL")</f>
        <v>0</v>
      </c>
      <c r="AQ22" s="1">
        <f>+SUMIFS(wip[Stock(Net Wt)],wip[Bucket],scheduleapr[[#This Row],[Bucket]])/1000</f>
        <v>20.588000000000001</v>
      </c>
      <c r="AR22" s="1">
        <f t="shared" si="2"/>
        <v>4.8363112728000006</v>
      </c>
      <c r="AS22" s="118"/>
    </row>
    <row r="23" spans="1:45" x14ac:dyDescent="0.25">
      <c r="A23" s="30">
        <v>14</v>
      </c>
      <c r="B23" s="5" t="s">
        <v>1816</v>
      </c>
      <c r="C23" s="2" t="s">
        <v>283</v>
      </c>
      <c r="D23" s="15" t="s">
        <v>1866</v>
      </c>
      <c r="E23" s="2">
        <v>189287</v>
      </c>
      <c r="F23" s="2">
        <v>3409367</v>
      </c>
      <c r="G23" s="2" t="str">
        <f>_xlfn.CONCAT(scheduleapr[[#This Row],[CUSTOMER CODE]],"-",scheduleapr[[#This Row],[MATERIAL NO]])</f>
        <v>189287-3409367</v>
      </c>
      <c r="H23" s="2" t="s">
        <v>667</v>
      </c>
      <c r="I23" s="2" t="s">
        <v>962</v>
      </c>
      <c r="J23" s="2"/>
      <c r="K23" s="2" t="s">
        <v>963</v>
      </c>
      <c r="L23" s="2" t="s">
        <v>1867</v>
      </c>
      <c r="M23" s="2"/>
      <c r="N23" s="2"/>
      <c r="O23" s="2"/>
      <c r="P23" s="2"/>
      <c r="Q23" s="557" t="str">
        <f>CONCATENATE(scheduleapr[[#This Row],[OD]],"-",scheduleapr[[#This Row],[ID]],"-",scheduleapr[[#This Row],[TICKNESS]],"-",scheduleapr[[#This Row],[Grade]],"-",scheduleapr[[#This Row],[FC/NFC]])</f>
        <v>19.05-0-1.2-ERW 1-PE</v>
      </c>
      <c r="R23" s="557" t="str">
        <f>_xlfn.CONCAT(scheduleapr[[#This Row],[Bucket]],"-",scheduleapr[[#This Row],[LENGTH]]/1000)</f>
        <v>19.05-0-1.2-ERW 1-PE-1.275</v>
      </c>
      <c r="S23" s="557">
        <f>COUNTIF(scheduleapr[CTL Bucket],scheduleapr[[#This Row],[CTL Bucket]])</f>
        <v>1</v>
      </c>
      <c r="T23" s="2" t="s">
        <v>1816</v>
      </c>
      <c r="U23" s="2">
        <f>_xlfn.IFNA(VLOOKUP(scheduleapr[[#This Row],[Bucket]],salesforecast[[#All],[Bucket2]:[8406 Stock]],19,0),0)</f>
        <v>0</v>
      </c>
      <c r="V23" s="562">
        <f>_xlfn.IFNA(VLOOKUP(scheduleapr[[#This Row],[Bucket]],salesforecast[[#All],[Bucket2]:[8406 Stock]],20,0),0)+_xlfn.IFNA(VLOOKUP(scheduleapr[[#This Row],[Bucket]],salesforecast[[#All],[Bucket2]:[8406 Stock]],17,0),0)</f>
        <v>0</v>
      </c>
      <c r="W23" s="557"/>
      <c r="X23" s="1">
        <v>19.05</v>
      </c>
      <c r="Y23" s="1">
        <v>19.05</v>
      </c>
      <c r="Z23" s="1">
        <v>0</v>
      </c>
      <c r="AA23" s="1">
        <v>1.2</v>
      </c>
      <c r="AB23" s="24">
        <v>1275</v>
      </c>
      <c r="AC23" s="24" t="s">
        <v>397</v>
      </c>
      <c r="AD23" s="24" t="s">
        <v>1869</v>
      </c>
      <c r="AE23" s="24"/>
      <c r="AF23" s="2">
        <v>8000</v>
      </c>
      <c r="AG23" s="2"/>
      <c r="AH23" s="2" cm="1">
        <f t="array" ref="AH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3400</v>
      </c>
      <c r="AI23" s="4">
        <f>scheduleapr[[#This Row],[SCHEDULE in nos]]-scheduleapr[[#This Row],[DISPATCH]]</f>
        <v>4600</v>
      </c>
      <c r="AJ23" s="1">
        <f>(3.14*(scheduleapr[[#This Row],[ACTUAL OD]]-scheduleapr[[#This Row],[TICKNESS]])*scheduleapr[[#This Row],[TICKNESS]]*scheduleapr[[#This Row],[LENGTH]]*7.85)/1000000*scheduleapr[[#This Row],[SCHEDULE in nos]]/1000</f>
        <v>5.3854121160000004</v>
      </c>
      <c r="AK23" s="1">
        <f>(3.14*(scheduleapr[[#This Row],[ACTUAL OD]]-scheduleapr[[#This Row],[TICKNESS]])*scheduleapr[[#This Row],[TICKNESS]]*scheduleapr[[#This Row],[LENGTH]]*7.85)/1000000*scheduleapr[[#This Row],[DISPATCH]]/1000</f>
        <v>2.2888001493000001</v>
      </c>
      <c r="AL23" s="1">
        <f t="shared" si="1"/>
        <v>3.0966119667000003</v>
      </c>
      <c r="AM23" s="1">
        <f>scheduleapr[[#This Row],[SCHEDULE in nos]]/scheduleapr[[#This Row],[SCHEDULE IN MT]]*scheduleapr[[#This Row],[CTL Stock]]</f>
        <v>279.67404676890288</v>
      </c>
      <c r="AN23" s="1">
        <f>SUMIFS(stock[MT],stock[Bucket],scheduleapr[[#This Row],[Bucket]],stock[CTL Bucket],scheduleapr[[#This Row],[CTL Bucket]],stock[Plant],"0789")</f>
        <v>0.18827000000000002</v>
      </c>
      <c r="AO23" s="1"/>
      <c r="AP23" s="1">
        <f>SUMIFS(stock[MT],stock[Bucket],scheduleapr[[#This Row],[Bucket]],stock[LL or CTL],"LL")</f>
        <v>0</v>
      </c>
      <c r="AQ23" s="1">
        <f>+SUMIFS(wip[Stock(Net Wt)],wip[Bucket],scheduleapr[[#This Row],[Bucket]])/1000</f>
        <v>20.588000000000001</v>
      </c>
      <c r="AR23" s="1">
        <f t="shared" si="2"/>
        <v>5.1971421160000002</v>
      </c>
      <c r="AS23" s="118"/>
    </row>
    <row r="24" spans="1:45" x14ac:dyDescent="0.25">
      <c r="A24" s="556"/>
      <c r="B24" s="5" t="s">
        <v>1816</v>
      </c>
      <c r="C24" s="2" t="s">
        <v>283</v>
      </c>
      <c r="D24" s="15" t="s">
        <v>1866</v>
      </c>
      <c r="E24" s="2">
        <v>189287</v>
      </c>
      <c r="F24" s="557"/>
      <c r="G24" s="2" t="str">
        <f>_xlfn.CONCAT(scheduleapr[[#This Row],[CUSTOMER CODE]],"-",scheduleapr[[#This Row],[MATERIAL NO]])</f>
        <v>189287-</v>
      </c>
      <c r="H24" s="557"/>
      <c r="I24" s="2" t="s">
        <v>962</v>
      </c>
      <c r="J24" s="557"/>
      <c r="K24" s="557"/>
      <c r="L24" s="557"/>
      <c r="M24" s="558"/>
      <c r="N24" s="557"/>
      <c r="O24" s="557"/>
      <c r="P24" s="557"/>
      <c r="Q24" s="557"/>
      <c r="R24" s="557"/>
      <c r="S24" s="557"/>
      <c r="T24" s="2"/>
      <c r="U24" s="2"/>
      <c r="V24" s="3"/>
      <c r="W24" s="2"/>
      <c r="X24" s="559">
        <v>19.05</v>
      </c>
      <c r="Y24" s="559">
        <v>19.05</v>
      </c>
      <c r="Z24" s="6">
        <v>0</v>
      </c>
      <c r="AA24" s="559">
        <v>1.2</v>
      </c>
      <c r="AB24" s="24">
        <v>1365</v>
      </c>
      <c r="AC24" s="24" t="s">
        <v>397</v>
      </c>
      <c r="AD24" s="24"/>
      <c r="AE24" s="24"/>
      <c r="AF24" s="557">
        <v>3000</v>
      </c>
      <c r="AG24" s="557"/>
      <c r="AH24" s="557" cm="1">
        <f t="array" ref="AH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 s="560">
        <f>scheduleapr[[#This Row],[SCHEDULE in nos]]-scheduleapr[[#This Row],[DISPATCH]]</f>
        <v>3000</v>
      </c>
      <c r="AJ24" s="559">
        <f>(3.14*(scheduleapr[[#This Row],[ACTUAL OD]]-scheduleapr[[#This Row],[TICKNESS]])*scheduleapr[[#This Row],[TICKNESS]]*scheduleapr[[#This Row],[LENGTH]]*7.85)/1000000*scheduleapr[[#This Row],[SCHEDULE in nos]]/1000</f>
        <v>2.1620845701000002</v>
      </c>
      <c r="AK24" s="1">
        <f>(3.14*(scheduleapr[[#This Row],[ACTUAL OD]]-scheduleapr[[#This Row],[TICKNESS]])*scheduleapr[[#This Row],[TICKNESS]]*scheduleapr[[#This Row],[LENGTH]]*7.85)/1000000*scheduleapr[[#This Row],[DISPATCH]]/1000</f>
        <v>0</v>
      </c>
      <c r="AL24" s="1">
        <f t="shared" si="1"/>
        <v>2.1620845701000002</v>
      </c>
      <c r="AM24" s="559">
        <f>scheduleapr[[#This Row],[SCHEDULE in nos]]/scheduleapr[[#This Row],[SCHEDULE IN MT]]*scheduleapr[[#This Row],[CTL Stock]]</f>
        <v>0</v>
      </c>
      <c r="AN24" s="1">
        <f>SUMIFS(stock[MT],stock[Bucket],scheduleapr[[#This Row],[Bucket]],stock[CTL Bucket],scheduleapr[[#This Row],[CTL Bucket]],stock[Plant],"0789")</f>
        <v>0</v>
      </c>
      <c r="AO24" s="1"/>
      <c r="AP24" s="1">
        <f>SUMIFS(stock[MT],stock[Bucket],scheduleapr[[#This Row],[Bucket]],stock[LL or CTL],"LL")</f>
        <v>0</v>
      </c>
      <c r="AQ24" s="1">
        <f>+SUMIFS(wip[Stock(Net Wt)],wip[Bucket],scheduleapr[[#This Row],[Bucket]])/1000</f>
        <v>0</v>
      </c>
      <c r="AR24" s="1">
        <f t="shared" si="2"/>
        <v>2.1620845701000002</v>
      </c>
      <c r="AS24" s="118"/>
    </row>
    <row r="25" spans="1:45" x14ac:dyDescent="0.25">
      <c r="A25" s="30">
        <v>15</v>
      </c>
      <c r="B25" s="5" t="s">
        <v>1816</v>
      </c>
      <c r="C25" s="2" t="s">
        <v>283</v>
      </c>
      <c r="D25" s="15" t="s">
        <v>1866</v>
      </c>
      <c r="E25" s="2">
        <v>189287</v>
      </c>
      <c r="F25" s="2">
        <v>2409618</v>
      </c>
      <c r="G25" s="2" t="str">
        <f>_xlfn.CONCAT(scheduleapr[[#This Row],[CUSTOMER CODE]],"-",scheduleapr[[#This Row],[MATERIAL NO]])</f>
        <v>189287-2409618</v>
      </c>
      <c r="H25" s="2" t="s">
        <v>469</v>
      </c>
      <c r="I25" s="2" t="s">
        <v>962</v>
      </c>
      <c r="J25" s="2"/>
      <c r="K25" s="2" t="s">
        <v>963</v>
      </c>
      <c r="L25" s="2" t="s">
        <v>1867</v>
      </c>
      <c r="M25" s="44" t="s">
        <v>1868</v>
      </c>
      <c r="N25" s="2"/>
      <c r="O25" s="2"/>
      <c r="P25" s="2"/>
      <c r="Q25" s="557" t="str">
        <f>CONCATENATE(scheduleapr[[#This Row],[OD]],"-",scheduleapr[[#This Row],[ID]],"-",scheduleapr[[#This Row],[TICKNESS]],"-",scheduleapr[[#This Row],[Grade]],"-",scheduleapr[[#This Row],[FC/NFC]])</f>
        <v>25.4-0-1.6-ERW 1-PE</v>
      </c>
      <c r="R25" s="557" t="str">
        <f>_xlfn.CONCAT(scheduleapr[[#This Row],[Bucket]],"-",scheduleapr[[#This Row],[LENGTH]]/1000)</f>
        <v>25.4-0-1.6-ERW 1-PE-2.59</v>
      </c>
      <c r="S25" s="557">
        <f>COUNTIF(scheduleapr[CTL Bucket],scheduleapr[[#This Row],[CTL Bucket]])</f>
        <v>1</v>
      </c>
      <c r="T25" s="2" t="s">
        <v>1816</v>
      </c>
      <c r="U25" s="2">
        <f>_xlfn.IFNA(VLOOKUP(scheduleapr[[#This Row],[Bucket]],salesforecast[[#All],[Bucket2]:[8406 Stock]],19,0),0)</f>
        <v>0</v>
      </c>
      <c r="V25" s="562">
        <f>_xlfn.IFNA(VLOOKUP(scheduleapr[[#This Row],[Bucket]],salesforecast[[#All],[Bucket2]:[8406 Stock]],20,0),0)+_xlfn.IFNA(VLOOKUP(scheduleapr[[#This Row],[Bucket]],salesforecast[[#All],[Bucket2]:[8406 Stock]],17,0),0)</f>
        <v>1.628933</v>
      </c>
      <c r="W25" s="557"/>
      <c r="X25" s="1">
        <v>25.4</v>
      </c>
      <c r="Y25" s="1">
        <v>25.4</v>
      </c>
      <c r="Z25" s="1">
        <v>0</v>
      </c>
      <c r="AA25" s="1">
        <v>1.6</v>
      </c>
      <c r="AB25" s="24">
        <v>2590</v>
      </c>
      <c r="AC25" s="24" t="s">
        <v>397</v>
      </c>
      <c r="AD25" s="24" t="s">
        <v>1869</v>
      </c>
      <c r="AE25" s="24">
        <v>1000</v>
      </c>
      <c r="AF25" s="2">
        <v>8000</v>
      </c>
      <c r="AG25" s="2"/>
      <c r="AH25" s="2" cm="1">
        <f t="array" ref="AH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4264</v>
      </c>
      <c r="AI25" s="4">
        <f>scheduleapr[[#This Row],[SCHEDULE in nos]]-scheduleapr[[#This Row],[DISPATCH]]</f>
        <v>3736</v>
      </c>
      <c r="AJ25" s="1">
        <f>(3.14*(scheduleapr[[#This Row],[ACTUAL OD]]-scheduleapr[[#This Row],[TICKNESS]])*scheduleapr[[#This Row],[TICKNESS]]*scheduleapr[[#This Row],[LENGTH]]*7.85)/1000000*scheduleapr[[#This Row],[SCHEDULE in nos]]/1000</f>
        <v>19.448494822400001</v>
      </c>
      <c r="AK25" s="1">
        <f>(3.14*(scheduleapr[[#This Row],[ACTUAL OD]]-scheduleapr[[#This Row],[TICKNESS]])*scheduleapr[[#This Row],[TICKNESS]]*scheduleapr[[#This Row],[LENGTH]]*7.85)/1000000*scheduleapr[[#This Row],[DISPATCH]]/1000</f>
        <v>10.3660477403392</v>
      </c>
      <c r="AL25" s="1">
        <f t="shared" si="1"/>
        <v>9.082447082060801</v>
      </c>
      <c r="AM25" s="1">
        <f>scheduleapr[[#This Row],[SCHEDULE in nos]]/scheduleapr[[#This Row],[SCHEDULE IN MT]]*scheduleapr[[#This Row],[CTL Stock]]</f>
        <v>1722.1997026434519</v>
      </c>
      <c r="AN25" s="1">
        <f>SUMIFS(stock[MT],stock[Bucket],scheduleapr[[#This Row],[Bucket]],stock[CTL Bucket],scheduleapr[[#This Row],[CTL Bucket]],stock[Plant],"0789")</f>
        <v>4.1867739999999998</v>
      </c>
      <c r="AO25" s="1"/>
      <c r="AP25" s="1">
        <f>SUMIFS(stock[MT],stock[Bucket],scheduleapr[[#This Row],[Bucket]],stock[LL or CTL],"LL")</f>
        <v>0</v>
      </c>
      <c r="AQ25" s="1">
        <f>+SUMIFS(wip[Stock(Net Wt)],wip[Bucket],scheduleapr[[#This Row],[Bucket]])/1000</f>
        <v>3.6459999999999999</v>
      </c>
      <c r="AR25" s="1">
        <f t="shared" si="2"/>
        <v>15.261720822400001</v>
      </c>
      <c r="AS25" s="118"/>
    </row>
    <row r="26" spans="1:45" x14ac:dyDescent="0.25">
      <c r="A26" s="30">
        <v>16</v>
      </c>
      <c r="B26" s="5" t="s">
        <v>1816</v>
      </c>
      <c r="C26" s="2" t="s">
        <v>283</v>
      </c>
      <c r="D26" s="15" t="s">
        <v>1866</v>
      </c>
      <c r="E26" s="2">
        <v>189287</v>
      </c>
      <c r="F26" s="48">
        <v>2430128</v>
      </c>
      <c r="G26" s="2" t="str">
        <f>_xlfn.CONCAT(scheduleapr[[#This Row],[CUSTOMER CODE]],"-",scheduleapr[[#This Row],[MATERIAL NO]])</f>
        <v>189287-2430128</v>
      </c>
      <c r="H26" s="48" t="s">
        <v>475</v>
      </c>
      <c r="I26" s="2" t="s">
        <v>962</v>
      </c>
      <c r="J26" s="2"/>
      <c r="K26" s="2" t="s">
        <v>1003</v>
      </c>
      <c r="L26" s="2" t="s">
        <v>239</v>
      </c>
      <c r="M26" s="2" t="s">
        <v>1868</v>
      </c>
      <c r="N26" s="2"/>
      <c r="O26" s="2"/>
      <c r="P26" s="2"/>
      <c r="Q26" s="557" t="str">
        <f>CONCATENATE(scheduleapr[[#This Row],[OD]],"-",scheduleapr[[#This Row],[ID]],"-",scheduleapr[[#This Row],[TICKNESS]],"-",scheduleapr[[#This Row],[Grade]],"-",scheduleapr[[#This Row],[FC/NFC]])</f>
        <v>50-30-1.6-ERW 1-FC</v>
      </c>
      <c r="R26" s="557" t="str">
        <f>_xlfn.CONCAT(scheduleapr[[#This Row],[Bucket]],"-",scheduleapr[[#This Row],[LENGTH]]/1000)</f>
        <v>50-30-1.6-ERW 1-FC-1.1</v>
      </c>
      <c r="S26" s="557">
        <f>COUNTIF(scheduleapr[CTL Bucket],scheduleapr[[#This Row],[CTL Bucket]])</f>
        <v>1</v>
      </c>
      <c r="T26" s="2" t="s">
        <v>1816</v>
      </c>
      <c r="U26" s="2">
        <f>_xlfn.IFNA(VLOOKUP(scheduleapr[[#This Row],[Bucket]],salesforecast[[#All],[Bucket2]:[8406 Stock]],19,0),0)</f>
        <v>0</v>
      </c>
      <c r="V26" s="562">
        <f>_xlfn.IFNA(VLOOKUP(scheduleapr[[#This Row],[Bucket]],salesforecast[[#All],[Bucket2]:[8406 Stock]],20,0),0)+_xlfn.IFNA(VLOOKUP(scheduleapr[[#This Row],[Bucket]],salesforecast[[#All],[Bucket2]:[8406 Stock]],17,0),0)</f>
        <v>0</v>
      </c>
      <c r="W26" s="557"/>
      <c r="X26" s="1">
        <v>50.8</v>
      </c>
      <c r="Y26" s="1">
        <v>50</v>
      </c>
      <c r="Z26" s="1">
        <v>30</v>
      </c>
      <c r="AA26" s="1">
        <v>1.6</v>
      </c>
      <c r="AB26" s="24">
        <v>1100</v>
      </c>
      <c r="AC26" s="24" t="s">
        <v>397</v>
      </c>
      <c r="AD26" s="24" t="s">
        <v>1869</v>
      </c>
      <c r="AE26" s="24"/>
      <c r="AF26" s="2">
        <v>5000</v>
      </c>
      <c r="AG26" s="2"/>
      <c r="AH26" s="2" cm="1">
        <f t="array" ref="AH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999</v>
      </c>
      <c r="AI26" s="4">
        <f>scheduleapr[[#This Row],[SCHEDULE in nos]]-scheduleapr[[#This Row],[DISPATCH]]</f>
        <v>4001</v>
      </c>
      <c r="AJ26" s="1">
        <f>(3.14*(scheduleapr[[#This Row],[ACTUAL OD]]-scheduleapr[[#This Row],[TICKNESS]])*scheduleapr[[#This Row],[TICKNESS]]*scheduleapr[[#This Row],[LENGTH]]*7.85)/1000000*scheduleapr[[#This Row],[SCHEDULE in nos]]/1000</f>
        <v>10.67203104</v>
      </c>
      <c r="AK26" s="1">
        <f>(3.14*(scheduleapr[[#This Row],[ACTUAL OD]]-scheduleapr[[#This Row],[TICKNESS]])*scheduleapr[[#This Row],[TICKNESS]]*scheduleapr[[#This Row],[LENGTH]]*7.85)/1000000*scheduleapr[[#This Row],[DISPATCH]]/1000</f>
        <v>2.1322718017920002</v>
      </c>
      <c r="AL26" s="1">
        <f t="shared" si="1"/>
        <v>8.5397592382079992</v>
      </c>
      <c r="AM26" s="1">
        <f>scheduleapr[[#This Row],[SCHEDULE in nos]]/scheduleapr[[#This Row],[SCHEDULE IN MT]]*scheduleapr[[#This Row],[CTL Stock]]</f>
        <v>3.124990910821039</v>
      </c>
      <c r="AN26" s="1">
        <f>SUMIFS(stock[MT],stock[Bucket],scheduleapr[[#This Row],[Bucket]],stock[CTL Bucket],scheduleapr[[#This Row],[CTL Bucket]],stock[Plant],"0789")</f>
        <v>6.6700000000000006E-3</v>
      </c>
      <c r="AO26" s="1"/>
      <c r="AP26" s="1">
        <f>SUMIFS(stock[MT],stock[Bucket],scheduleapr[[#This Row],[Bucket]],stock[LL or CTL],"LL")</f>
        <v>0</v>
      </c>
      <c r="AQ26" s="1">
        <f>+SUMIFS(wip[Stock(Net Wt)],wip[Bucket],scheduleapr[[#This Row],[Bucket]])/1000</f>
        <v>24.911000000000001</v>
      </c>
      <c r="AR26" s="1">
        <f t="shared" si="2"/>
        <v>10.665361040000001</v>
      </c>
      <c r="AS26" s="118"/>
    </row>
    <row r="27" spans="1:45" x14ac:dyDescent="0.25">
      <c r="A27" s="30">
        <v>26</v>
      </c>
      <c r="B27" s="5" t="s">
        <v>1872</v>
      </c>
      <c r="C27" s="2" t="s">
        <v>284</v>
      </c>
      <c r="D27" s="2" t="s">
        <v>1873</v>
      </c>
      <c r="E27" s="2" t="s">
        <v>285</v>
      </c>
      <c r="F27" s="2">
        <v>2410389</v>
      </c>
      <c r="G27" s="2" t="str">
        <f>_xlfn.CONCAT(scheduleapr[[#This Row],[CUSTOMER CODE]],"-",scheduleapr[[#This Row],[MATERIAL NO]])</f>
        <v>129663|948721-2410389</v>
      </c>
      <c r="H27" s="2" t="s">
        <v>1165</v>
      </c>
      <c r="I27" s="2" t="s">
        <v>357</v>
      </c>
      <c r="J27" s="2"/>
      <c r="K27" s="2" t="s">
        <v>357</v>
      </c>
      <c r="L27" s="2" t="s">
        <v>1867</v>
      </c>
      <c r="M27" s="2" t="s">
        <v>1874</v>
      </c>
      <c r="N27" s="2"/>
      <c r="O27" s="2"/>
      <c r="P27" s="2"/>
      <c r="Q27" s="557" t="str">
        <f>CONCATENATE(scheduleapr[[#This Row],[OD]],"-",scheduleapr[[#This Row],[ID]],"-",scheduleapr[[#This Row],[TICKNESS]],"-",scheduleapr[[#This Row],[Grade]],"-",scheduleapr[[#This Row],[FC/NFC]])</f>
        <v>14-0-1.6-CEW-CEW</v>
      </c>
      <c r="R27" s="557" t="str">
        <f>_xlfn.CONCAT(scheduleapr[[#This Row],[Bucket]],"-",scheduleapr[[#This Row],[LENGTH]]/1000)</f>
        <v>14-0-1.6-CEW-CEW-1</v>
      </c>
      <c r="S27" s="557" t="e" vm="2">
        <f>COUNTIF([2]!buckets[CTL Bucket],[2]!scheduleapr[[#This Row],[CTL Bucket]])</f>
        <v>#REF!</v>
      </c>
      <c r="T27" s="2" t="s">
        <v>1817</v>
      </c>
      <c r="U27" s="2"/>
      <c r="V27" s="557"/>
      <c r="W27" s="557"/>
      <c r="X27" s="1">
        <v>14</v>
      </c>
      <c r="Y27" s="1">
        <v>14</v>
      </c>
      <c r="Z27" s="1">
        <v>0</v>
      </c>
      <c r="AA27" s="1">
        <v>1.6</v>
      </c>
      <c r="AB27" s="24">
        <v>1000</v>
      </c>
      <c r="AC27" s="24" t="s">
        <v>444</v>
      </c>
      <c r="AD27" s="24"/>
      <c r="AE27" s="24"/>
      <c r="AF27" s="2"/>
      <c r="AG27" s="2"/>
      <c r="AH27" s="2" cm="1">
        <f t="array" ref="AH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 s="4">
        <f>scheduleapr[[#This Row],[SCHEDULE in nos]]-scheduleapr[[#This Row],[DISPATCH]]</f>
        <v>0</v>
      </c>
      <c r="AJ27" s="1">
        <f>(3.14*(scheduleapr[[#This Row],[ACTUAL OD]]-scheduleapr[[#This Row],[TICKNESS]])*scheduleapr[[#This Row],[TICKNESS]]*scheduleapr[[#This Row],[LENGTH]]*7.85)/1000000*scheduleapr[[#This Row],[SCHEDULE in nos]]/1000</f>
        <v>0</v>
      </c>
      <c r="AK27" s="1">
        <f>(3.14*(scheduleapr[[#This Row],[ACTUAL OD]]-scheduleapr[[#This Row],[TICKNESS]])*scheduleapr[[#This Row],[TICKNESS]]*scheduleapr[[#This Row],[LENGTH]]*7.85)/1000000*scheduleapr[[#This Row],[DISPATCH]]/1000</f>
        <v>0</v>
      </c>
      <c r="AL27" s="1">
        <f t="shared" si="1"/>
        <v>0</v>
      </c>
      <c r="AM27" s="1" t="e">
        <f>scheduleapr[[#This Row],[SCHEDULE in nos]]/scheduleapr[[#This Row],[SCHEDULE IN MT]]*scheduleapr[[#This Row],[CTL Stock]]</f>
        <v>#DIV/0!</v>
      </c>
      <c r="AN27" s="1">
        <f>SUMIFS(stock[MT],stock[Bucket],scheduleapr[[#This Row],[Bucket]],stock[CTL Bucket],scheduleapr[[#This Row],[CTL Bucket]],stock[Plant],"0789")</f>
        <v>0</v>
      </c>
      <c r="AO27" s="1"/>
      <c r="AP27" s="1">
        <f>SUMIFS(stock[MT],stock[Bucket],scheduleapr[[#This Row],[Bucket]],stock[LL or CTL],"LL")</f>
        <v>0</v>
      </c>
      <c r="AQ27" s="1">
        <f>+SUMIFS(wip[Stock(Net Wt)],wip[Bucket],scheduleapr[[#This Row],[Bucket]])/1000</f>
        <v>0</v>
      </c>
      <c r="AR27" s="1">
        <f t="shared" si="2"/>
        <v>0</v>
      </c>
      <c r="AS27" s="118"/>
    </row>
    <row r="28" spans="1:45" x14ac:dyDescent="0.25">
      <c r="A28" s="30">
        <v>31</v>
      </c>
      <c r="B28" s="5" t="s">
        <v>1872</v>
      </c>
      <c r="C28" s="2" t="s">
        <v>284</v>
      </c>
      <c r="D28" s="2" t="s">
        <v>1873</v>
      </c>
      <c r="E28" s="2" t="s">
        <v>285</v>
      </c>
      <c r="F28" s="2">
        <v>3188792</v>
      </c>
      <c r="G28" s="2" t="str">
        <f>_xlfn.CONCAT(scheduleapr[[#This Row],[CUSTOMER CODE]],"-",scheduleapr[[#This Row],[MATERIAL NO]])</f>
        <v>129663|948721-3188792</v>
      </c>
      <c r="H28" s="2" t="s">
        <v>547</v>
      </c>
      <c r="I28" s="2" t="s">
        <v>357</v>
      </c>
      <c r="J28" s="2"/>
      <c r="K28" s="2" t="s">
        <v>357</v>
      </c>
      <c r="L28" s="2" t="s">
        <v>239</v>
      </c>
      <c r="M28" s="2"/>
      <c r="N28" s="2"/>
      <c r="O28" s="2"/>
      <c r="P28" s="2"/>
      <c r="Q28" s="557" t="str">
        <f>CONCATENATE(scheduleapr[[#This Row],[OD]],"-",scheduleapr[[#This Row],[ID]],"-",scheduleapr[[#This Row],[TICKNESS]],"-",scheduleapr[[#This Row],[Grade]],"-",scheduleapr[[#This Row],[FC/NFC]])</f>
        <v>16.1-0-2.8-CEW-CEW</v>
      </c>
      <c r="R28" s="557" t="str">
        <f>_xlfn.CONCAT(scheduleapr[[#This Row],[Bucket]],"-",scheduleapr[[#This Row],[LENGTH]]/1000)</f>
        <v>16.1-0-2.8-CEW-CEW-1</v>
      </c>
      <c r="S28" s="557">
        <f>COUNTIF(scheduleapr[CTL Bucket],scheduleapr[[#This Row],[CTL Bucket]])</f>
        <v>1</v>
      </c>
      <c r="T28" s="2" t="s">
        <v>1817</v>
      </c>
      <c r="U28" s="2"/>
      <c r="V28" s="557"/>
      <c r="W28" s="557"/>
      <c r="X28" s="1">
        <v>16.100000000000001</v>
      </c>
      <c r="Y28" s="1">
        <v>16.100000000000001</v>
      </c>
      <c r="Z28" s="1">
        <v>0</v>
      </c>
      <c r="AA28" s="1">
        <v>2.8</v>
      </c>
      <c r="AB28" s="24">
        <v>1000</v>
      </c>
      <c r="AC28" s="24" t="s">
        <v>444</v>
      </c>
      <c r="AD28" s="24"/>
      <c r="AE28" s="24"/>
      <c r="AF28" s="2"/>
      <c r="AG28" s="2"/>
      <c r="AH28" s="2" cm="1">
        <f t="array" ref="AH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 s="4">
        <f>scheduleapr[[#This Row],[SCHEDULE in nos]]-scheduleapr[[#This Row],[DISPATCH]]</f>
        <v>0</v>
      </c>
      <c r="AJ28" s="1">
        <f>(3.14*(scheduleapr[[#This Row],[ACTUAL OD]]-scheduleapr[[#This Row],[TICKNESS]])*scheduleapr[[#This Row],[TICKNESS]]*scheduleapr[[#This Row],[LENGTH]]*7.85)/1000000*scheduleapr[[#This Row],[SCHEDULE in nos]]/1000</f>
        <v>0</v>
      </c>
      <c r="AK28" s="1">
        <f>(3.14*(scheduleapr[[#This Row],[ACTUAL OD]]-scheduleapr[[#This Row],[TICKNESS]])*scheduleapr[[#This Row],[TICKNESS]]*scheduleapr[[#This Row],[LENGTH]]*7.85)/1000000*scheduleapr[[#This Row],[DISPATCH]]/1000</f>
        <v>0</v>
      </c>
      <c r="AL28" s="1">
        <f t="shared" si="1"/>
        <v>0</v>
      </c>
      <c r="AM28" s="1" t="e">
        <f>scheduleapr[[#This Row],[SCHEDULE in nos]]/scheduleapr[[#This Row],[SCHEDULE IN MT]]*scheduleapr[[#This Row],[CTL Stock]]</f>
        <v>#DIV/0!</v>
      </c>
      <c r="AN28" s="1">
        <f>SUMIFS(stock[MT],stock[Bucket],scheduleapr[[#This Row],[Bucket]],stock[CTL Bucket],scheduleapr[[#This Row],[CTL Bucket]],stock[Plant],"0789")</f>
        <v>0</v>
      </c>
      <c r="AO28" s="1"/>
      <c r="AP28" s="1">
        <f>SUMIFS(stock[MT],stock[Bucket],scheduleapr[[#This Row],[Bucket]],stock[LL or CTL],"LL")</f>
        <v>1.92143</v>
      </c>
      <c r="AQ28" s="1">
        <f>+SUMIFS(wip[Stock(Net Wt)],wip[Bucket],scheduleapr[[#This Row],[Bucket]])/1000</f>
        <v>0</v>
      </c>
      <c r="AR28" s="1">
        <f t="shared" si="2"/>
        <v>0</v>
      </c>
      <c r="AS28" s="118"/>
    </row>
    <row r="29" spans="1:45" x14ac:dyDescent="0.25">
      <c r="A29" s="30">
        <v>32</v>
      </c>
      <c r="B29" s="5" t="s">
        <v>1816</v>
      </c>
      <c r="C29" s="2" t="s">
        <v>284</v>
      </c>
      <c r="D29" s="2" t="s">
        <v>1873</v>
      </c>
      <c r="E29" s="2" t="s">
        <v>285</v>
      </c>
      <c r="F29" s="48">
        <v>2410995</v>
      </c>
      <c r="G29" s="2" t="str">
        <f>_xlfn.CONCAT(scheduleapr[[#This Row],[CUSTOMER CODE]],"-",scheduleapr[[#This Row],[MATERIAL NO]])</f>
        <v>129663|948721-2410995</v>
      </c>
      <c r="H29" s="48" t="s">
        <v>1875</v>
      </c>
      <c r="I29" s="2" t="s">
        <v>357</v>
      </c>
      <c r="J29" s="2"/>
      <c r="K29" s="2" t="s">
        <v>357</v>
      </c>
      <c r="L29" s="2" t="s">
        <v>239</v>
      </c>
      <c r="M29" s="2"/>
      <c r="N29" s="2"/>
      <c r="O29" s="2"/>
      <c r="P29" s="2"/>
      <c r="Q29" s="557" t="str">
        <f>CONCATENATE(scheduleapr[[#This Row],[OD]],"-",scheduleapr[[#This Row],[ID]],"-",scheduleapr[[#This Row],[TICKNESS]],"-",scheduleapr[[#This Row],[Grade]],"-",scheduleapr[[#This Row],[FC/NFC]])</f>
        <v>16.1-10.7-2.95-CEW-CEW</v>
      </c>
      <c r="R29" s="557" t="str">
        <f>_xlfn.CONCAT(scheduleapr[[#This Row],[Bucket]],"-",scheduleapr[[#This Row],[LENGTH]]/1000)</f>
        <v>16.1-10.7-2.95-CEW-CEW-1</v>
      </c>
      <c r="S29" s="557">
        <f>COUNTIF(scheduleapr[CTL Bucket],scheduleapr[[#This Row],[CTL Bucket]])</f>
        <v>1</v>
      </c>
      <c r="T29" s="2" t="s">
        <v>1817</v>
      </c>
      <c r="U29" s="2"/>
      <c r="V29" s="557"/>
      <c r="W29" s="557"/>
      <c r="X29" s="1">
        <v>16.100000000000001</v>
      </c>
      <c r="Y29" s="1">
        <v>16.100000000000001</v>
      </c>
      <c r="Z29" s="1">
        <v>10.7</v>
      </c>
      <c r="AA29" s="1">
        <v>2.95</v>
      </c>
      <c r="AB29" s="24">
        <v>1000</v>
      </c>
      <c r="AC29" s="24" t="s">
        <v>444</v>
      </c>
      <c r="AD29" s="24"/>
      <c r="AE29" s="24"/>
      <c r="AF29" s="2"/>
      <c r="AG29" s="2"/>
      <c r="AH29" s="2" cm="1">
        <f t="array" ref="AH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 s="4">
        <f>scheduleapr[[#This Row],[SCHEDULE in nos]]-scheduleapr[[#This Row],[DISPATCH]]</f>
        <v>0</v>
      </c>
      <c r="AJ29" s="1">
        <f>(3.14*(scheduleapr[[#This Row],[ACTUAL OD]]-scheduleapr[[#This Row],[TICKNESS]])*scheduleapr[[#This Row],[TICKNESS]]*scheduleapr[[#This Row],[LENGTH]]*7.85)/1000000*scheduleapr[[#This Row],[SCHEDULE in nos]]/1000</f>
        <v>0</v>
      </c>
      <c r="AK29" s="1">
        <f>(3.14*(scheduleapr[[#This Row],[ACTUAL OD]]-scheduleapr[[#This Row],[TICKNESS]])*scheduleapr[[#This Row],[TICKNESS]]*scheduleapr[[#This Row],[LENGTH]]*7.85)/1000000*scheduleapr[[#This Row],[DISPATCH]]/1000</f>
        <v>0</v>
      </c>
      <c r="AL29" s="1">
        <f t="shared" si="1"/>
        <v>0</v>
      </c>
      <c r="AM29" s="1" t="e">
        <f>scheduleapr[[#This Row],[SCHEDULE in nos]]/scheduleapr[[#This Row],[SCHEDULE IN MT]]*scheduleapr[[#This Row],[CTL Stock]]</f>
        <v>#DIV/0!</v>
      </c>
      <c r="AN29" s="1">
        <f>SUMIFS(stock[MT],stock[Bucket],scheduleapr[[#This Row],[Bucket]],stock[CTL Bucket],scheduleapr[[#This Row],[CTL Bucket]],stock[Plant],"0789")</f>
        <v>0</v>
      </c>
      <c r="AO29" s="1"/>
      <c r="AP29" s="1">
        <f>SUMIFS(stock[MT],stock[Bucket],scheduleapr[[#This Row],[Bucket]],stock[LL or CTL],"LL")</f>
        <v>0</v>
      </c>
      <c r="AQ29" s="1">
        <f>+SUMIFS(wip[Stock(Net Wt)],wip[Bucket],scheduleapr[[#This Row],[Bucket]])/1000</f>
        <v>0</v>
      </c>
      <c r="AR29" s="1">
        <f t="shared" si="2"/>
        <v>0</v>
      </c>
      <c r="AS29" s="118"/>
    </row>
    <row r="30" spans="1:45" x14ac:dyDescent="0.25">
      <c r="A30" s="30">
        <v>86</v>
      </c>
      <c r="B30" s="5" t="s">
        <v>1872</v>
      </c>
      <c r="C30" s="2" t="s">
        <v>284</v>
      </c>
      <c r="D30" s="2" t="s">
        <v>1873</v>
      </c>
      <c r="E30" s="2" t="s">
        <v>285</v>
      </c>
      <c r="F30" s="2">
        <v>1931823</v>
      </c>
      <c r="G30" s="2" t="str">
        <f>_xlfn.CONCAT(scheduleapr[[#This Row],[CUSTOMER CODE]],"-",scheduleapr[[#This Row],[MATERIAL NO]])</f>
        <v>129663|948721-1931823</v>
      </c>
      <c r="H30" s="2" t="s">
        <v>1876</v>
      </c>
      <c r="I30" s="2" t="s">
        <v>357</v>
      </c>
      <c r="J30" s="2"/>
      <c r="K30" s="2"/>
      <c r="L30" s="2" t="s">
        <v>239</v>
      </c>
      <c r="M30" s="2"/>
      <c r="N30" s="2"/>
      <c r="O30" s="2"/>
      <c r="P30" s="2"/>
      <c r="Q30" s="557" t="str">
        <f>CONCATENATE(scheduleapr[[#This Row],[OD]],"-",scheduleapr[[#This Row],[ID]],"-",scheduleapr[[#This Row],[TICKNESS]],"-",scheduleapr[[#This Row],[Grade]],"-",scheduleapr[[#This Row],[FC/NFC]])</f>
        <v>17.3-0-1.6-CEW-</v>
      </c>
      <c r="R30" s="557" t="str">
        <f>_xlfn.CONCAT(scheduleapr[[#This Row],[Bucket]],"-",scheduleapr[[#This Row],[LENGTH]]/1000)</f>
        <v>17.3-0-1.6-CEW--6</v>
      </c>
      <c r="S30" s="557" t="e" vm="2">
        <f>COUNTIF([2]!buckets[CTL Bucket],[2]!scheduleapr[[#This Row],[CTL Bucket]])</f>
        <v>#REF!</v>
      </c>
      <c r="T30" s="557"/>
      <c r="U30" s="557"/>
      <c r="V30" s="557"/>
      <c r="W30" s="557"/>
      <c r="X30" s="1">
        <v>17.3</v>
      </c>
      <c r="Y30" s="1">
        <v>17.3</v>
      </c>
      <c r="Z30" s="1">
        <v>0</v>
      </c>
      <c r="AA30" s="1">
        <v>1.6</v>
      </c>
      <c r="AB30" s="24">
        <v>6000</v>
      </c>
      <c r="AC30" s="24" t="s">
        <v>397</v>
      </c>
      <c r="AD30" s="24"/>
      <c r="AE30" s="24"/>
      <c r="AF30" s="24"/>
      <c r="AG30" s="24"/>
      <c r="AH30" s="2" cm="1">
        <f t="array" ref="AH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 s="4">
        <f>scheduleapr[[#This Row],[SCHEDULE in nos]]-scheduleapr[[#This Row],[DISPATCH]]</f>
        <v>0</v>
      </c>
      <c r="AJ30" s="1">
        <f>(3.14*(scheduleapr[[#This Row],[ACTUAL OD]]-scheduleapr[[#This Row],[TICKNESS]])*scheduleapr[[#This Row],[TICKNESS]]*scheduleapr[[#This Row],[LENGTH]]*7.85)/1000000*scheduleapr[[#This Row],[SCHEDULE in nos]]/1000</f>
        <v>0</v>
      </c>
      <c r="AK30" s="1">
        <f>(3.14*(scheduleapr[[#This Row],[ACTUAL OD]]-scheduleapr[[#This Row],[TICKNESS]])*scheduleapr[[#This Row],[TICKNESS]]*scheduleapr[[#This Row],[LENGTH]]*7.85)/1000000*scheduleapr[[#This Row],[DISPATCH]]/1000</f>
        <v>0</v>
      </c>
      <c r="AL30" s="1">
        <f t="shared" si="1"/>
        <v>0</v>
      </c>
      <c r="AM30" s="1" t="e">
        <f>scheduleapr[[#This Row],[SCHEDULE in nos]]/scheduleapr[[#This Row],[SCHEDULE IN MT]]*scheduleapr[[#This Row],[CTL Stock]]</f>
        <v>#DIV/0!</v>
      </c>
      <c r="AN30" s="1">
        <f>SUMIFS(stock[MT],stock[Bucket],scheduleapr[[#This Row],[Bucket]],stock[CTL Bucket],scheduleapr[[#This Row],[CTL Bucket]],stock[Plant],"0789")</f>
        <v>0</v>
      </c>
      <c r="AO30" s="1"/>
      <c r="AP30" s="1">
        <f>SUMIFS(stock[MT],stock[Bucket],scheduleapr[[#This Row],[Bucket]],stock[LL or CTL],"LL")</f>
        <v>0</v>
      </c>
      <c r="AQ30" s="1">
        <f>+SUMIFS(wip[Stock(Net Wt)],wip[Bucket],scheduleapr[[#This Row],[Bucket]])/1000</f>
        <v>0</v>
      </c>
      <c r="AR30" s="1">
        <f t="shared" si="2"/>
        <v>0</v>
      </c>
      <c r="AS30" s="118"/>
    </row>
    <row r="31" spans="1:45" x14ac:dyDescent="0.25">
      <c r="A31" s="30">
        <v>59</v>
      </c>
      <c r="B31" s="5" t="s">
        <v>1872</v>
      </c>
      <c r="C31" s="2" t="s">
        <v>284</v>
      </c>
      <c r="D31" s="2" t="s">
        <v>1873</v>
      </c>
      <c r="E31" s="2" t="s">
        <v>285</v>
      </c>
      <c r="F31" s="2">
        <v>3617058</v>
      </c>
      <c r="G31" s="2" t="str">
        <f>_xlfn.CONCAT(scheduleapr[[#This Row],[CUSTOMER CODE]],"-",scheduleapr[[#This Row],[MATERIAL NO]])</f>
        <v>129663|948721-3617058</v>
      </c>
      <c r="H31" s="2" t="s">
        <v>817</v>
      </c>
      <c r="I31" s="2" t="s">
        <v>357</v>
      </c>
      <c r="J31" s="2"/>
      <c r="K31" s="2" t="s">
        <v>357</v>
      </c>
      <c r="L31" s="2" t="s">
        <v>239</v>
      </c>
      <c r="M31" s="2"/>
      <c r="N31" s="2"/>
      <c r="O31" s="2"/>
      <c r="P31" s="2"/>
      <c r="Q31" s="557" t="str">
        <f>CONCATENATE(scheduleapr[[#This Row],[OD]],"-",scheduleapr[[#This Row],[ID]],"-",scheduleapr[[#This Row],[TICKNESS]],"-",scheduleapr[[#This Row],[Grade]],"-",scheduleapr[[#This Row],[FC/NFC]])</f>
        <v>28.6-0-2.65-CEW-CEW</v>
      </c>
      <c r="R31" s="557" t="str">
        <f>_xlfn.CONCAT(scheduleapr[[#This Row],[Bucket]],"-",scheduleapr[[#This Row],[LENGTH]]/1000)</f>
        <v>28.6-0-2.65-CEW-CEW-0.209</v>
      </c>
      <c r="S31" s="557">
        <f>COUNTIF(scheduleapr[CTL Bucket],scheduleapr[[#This Row],[CTL Bucket]])</f>
        <v>1</v>
      </c>
      <c r="T31" s="2" t="s">
        <v>1817</v>
      </c>
      <c r="U31" s="2">
        <f>_xlfn.IFNA(VLOOKUP(scheduleapr[[#This Row],[Bucket]],salesforecast[[#All],[Bucket2]:[8406 Stock]],19,0),0)</f>
        <v>0.95068200000000003</v>
      </c>
      <c r="V31" s="562">
        <f>_xlfn.IFNA(VLOOKUP(scheduleapr[[#This Row],[Bucket]],salesforecast[[#All],[Bucket2]:[8406 Stock]],20,0),0)+_xlfn.IFNA(VLOOKUP(scheduleapr[[#This Row],[Bucket]],salesforecast[[#All],[Bucket2]:[8406 Stock]],17,0),0)</f>
        <v>1.7283989999999998</v>
      </c>
      <c r="W31" s="557"/>
      <c r="X31" s="1">
        <v>28.6</v>
      </c>
      <c r="Y31" s="1">
        <v>28.6</v>
      </c>
      <c r="Z31" s="1">
        <v>0</v>
      </c>
      <c r="AA31" s="1">
        <v>2.65</v>
      </c>
      <c r="AB31" s="24">
        <v>209</v>
      </c>
      <c r="AC31" s="24" t="s">
        <v>397</v>
      </c>
      <c r="AD31" s="24"/>
      <c r="AE31" s="24"/>
      <c r="AF31" s="2">
        <v>20000</v>
      </c>
      <c r="AG31" s="2"/>
      <c r="AH31" s="2" cm="1">
        <f t="array" ref="AH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9188</v>
      </c>
      <c r="AI31" s="4">
        <f>scheduleapr[[#This Row],[SCHEDULE in nos]]-scheduleapr[[#This Row],[DISPATCH]]</f>
        <v>10812</v>
      </c>
      <c r="AJ31" s="1">
        <f>(3.14*(scheduleapr[[#This Row],[ACTUAL OD]]-scheduleapr[[#This Row],[TICKNESS]])*scheduleapr[[#This Row],[TICKNESS]]*scheduleapr[[#This Row],[LENGTH]]*7.85)/1000000*scheduleapr[[#This Row],[SCHEDULE in nos]]/1000</f>
        <v>7.0853094493500013</v>
      </c>
      <c r="AK31" s="1">
        <f>(3.14*(scheduleapr[[#This Row],[ACTUAL OD]]-scheduleapr[[#This Row],[TICKNESS]])*scheduleapr[[#This Row],[TICKNESS]]*scheduleapr[[#This Row],[LENGTH]]*7.85)/1000000*scheduleapr[[#This Row],[DISPATCH]]/1000</f>
        <v>3.2549911610313909</v>
      </c>
      <c r="AL31" s="1">
        <f t="shared" si="1"/>
        <v>3.8303182883186104</v>
      </c>
      <c r="AM31" s="1">
        <f>scheduleapr[[#This Row],[SCHEDULE in nos]]/scheduleapr[[#This Row],[SCHEDULE IN MT]]*scheduleapr[[#This Row],[CTL Stock]]</f>
        <v>0</v>
      </c>
      <c r="AN31" s="1">
        <f>SUMIFS(stock[MT],stock[Bucket],scheduleapr[[#This Row],[Bucket]],stock[CTL Bucket],scheduleapr[[#This Row],[CTL Bucket]],stock[Plant],"0789")</f>
        <v>0</v>
      </c>
      <c r="AO31" s="1"/>
      <c r="AP31" s="1">
        <f>SUMIFS(stock[MT],stock[Bucket],scheduleapr[[#This Row],[Bucket]],stock[LL or CTL],"LL")</f>
        <v>0.95068200000000003</v>
      </c>
      <c r="AQ31" s="1">
        <f>+SUMIFS(wip[Stock(Net Wt)],wip[Bucket],scheduleapr[[#This Row],[Bucket]])/1000</f>
        <v>0</v>
      </c>
      <c r="AR31" s="1">
        <f t="shared" si="2"/>
        <v>7.0853094493500013</v>
      </c>
      <c r="AS31" s="118"/>
    </row>
    <row r="32" spans="1:45" x14ac:dyDescent="0.25">
      <c r="A32" s="30">
        <v>60</v>
      </c>
      <c r="B32" s="5" t="s">
        <v>1872</v>
      </c>
      <c r="C32" s="2" t="s">
        <v>284</v>
      </c>
      <c r="D32" s="2" t="s">
        <v>1873</v>
      </c>
      <c r="E32" s="2" t="s">
        <v>285</v>
      </c>
      <c r="F32" s="2">
        <v>2410388</v>
      </c>
      <c r="G32" s="2" t="str">
        <f>_xlfn.CONCAT(scheduleapr[[#This Row],[CUSTOMER CODE]],"-",scheduleapr[[#This Row],[MATERIAL NO]])</f>
        <v>129663|948721-2410388</v>
      </c>
      <c r="H32" s="2" t="s">
        <v>819</v>
      </c>
      <c r="I32" s="2" t="s">
        <v>357</v>
      </c>
      <c r="J32" s="2"/>
      <c r="K32" s="2" t="s">
        <v>357</v>
      </c>
      <c r="L32" s="2" t="s">
        <v>239</v>
      </c>
      <c r="M32" s="2"/>
      <c r="N32" s="2"/>
      <c r="O32" s="2"/>
      <c r="P32" s="2"/>
      <c r="Q32" s="557" t="str">
        <f>CONCATENATE(scheduleapr[[#This Row],[OD]],"-",scheduleapr[[#This Row],[ID]],"-",scheduleapr[[#This Row],[TICKNESS]],"-",scheduleapr[[#This Row],[Grade]],"-",scheduleapr[[#This Row],[FC/NFC]])</f>
        <v>28.6-0-2.65-CEW-CEW</v>
      </c>
      <c r="R32" s="557" t="str">
        <f>_xlfn.CONCAT(scheduleapr[[#This Row],[Bucket]],"-",scheduleapr[[#This Row],[LENGTH]]/1000)</f>
        <v>28.6-0-2.65-CEW-CEW-1</v>
      </c>
      <c r="S32" s="557">
        <f>COUNTIF(scheduleapr[CTL Bucket],scheduleapr[[#This Row],[CTL Bucket]])</f>
        <v>3</v>
      </c>
      <c r="T32" s="2" t="s">
        <v>1817</v>
      </c>
      <c r="U32" s="2">
        <f>_xlfn.IFNA(VLOOKUP(scheduleapr[[#This Row],[Bucket]],salesforecast[[#All],[Bucket2]:[8406 Stock]],19,0),0)</f>
        <v>0.95068200000000003</v>
      </c>
      <c r="V32" s="562">
        <f>_xlfn.IFNA(VLOOKUP(scheduleapr[[#This Row],[Bucket]],salesforecast[[#All],[Bucket2]:[8406 Stock]],20,0),0)+_xlfn.IFNA(VLOOKUP(scheduleapr[[#This Row],[Bucket]],salesforecast[[#All],[Bucket2]:[8406 Stock]],17,0),0)</f>
        <v>1.7283989999999998</v>
      </c>
      <c r="W32" s="557"/>
      <c r="X32" s="1">
        <v>28.6</v>
      </c>
      <c r="Y32" s="1">
        <v>28.6</v>
      </c>
      <c r="Z32" s="1">
        <v>0</v>
      </c>
      <c r="AA32" s="1">
        <v>2.65</v>
      </c>
      <c r="AB32" s="24">
        <v>1000</v>
      </c>
      <c r="AC32" s="24" t="s">
        <v>444</v>
      </c>
      <c r="AD32" s="24"/>
      <c r="AE32" s="24"/>
      <c r="AF32" s="2">
        <v>9000</v>
      </c>
      <c r="AG32" s="2"/>
      <c r="AH32" s="2" cm="1">
        <f t="array" ref="AH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9031.9979999999996</v>
      </c>
      <c r="AI32" s="4">
        <f>scheduleapr[[#This Row],[SCHEDULE in nos]]-scheduleapr[[#This Row],[DISPATCH]]</f>
        <v>-31.997999999999593</v>
      </c>
      <c r="AJ32" s="1">
        <f>(3.14*(scheduleapr[[#This Row],[ACTUAL OD]]-scheduleapr[[#This Row],[TICKNESS]])*scheduleapr[[#This Row],[TICKNESS]]*scheduleapr[[#This Row],[LENGTH]]*7.85)/1000000*scheduleapr[[#This Row],[SCHEDULE in nos]]/1000</f>
        <v>15.255450967500002</v>
      </c>
      <c r="AK32" s="1">
        <f>(3.14*(scheduleapr[[#This Row],[ACTUAL OD]]-scheduleapr[[#This Row],[TICKNESS]])*scheduleapr[[#This Row],[TICKNESS]]*scheduleapr[[#This Row],[LENGTH]]*7.85)/1000000*scheduleapr[[#This Row],[DISPATCH]]/1000</f>
        <v>15.309689180839786</v>
      </c>
      <c r="AL32" s="1">
        <f t="shared" si="1"/>
        <v>-5.4238213339784735E-2</v>
      </c>
      <c r="AM32" s="1">
        <f>scheduleapr[[#This Row],[SCHEDULE in nos]]/scheduleapr[[#This Row],[SCHEDULE IN MT]]*scheduleapr[[#This Row],[CTL Stock]]</f>
        <v>0</v>
      </c>
      <c r="AN32" s="1">
        <f>SUMIFS(stock[MT],stock[Bucket],scheduleapr[[#This Row],[Bucket]],stock[CTL Bucket],scheduleapr[[#This Row],[CTL Bucket]],stock[Plant],"0789")</f>
        <v>0</v>
      </c>
      <c r="AO32" s="1"/>
      <c r="AP32" s="1">
        <f>SUMIFS(stock[MT],stock[Bucket],scheduleapr[[#This Row],[Bucket]],stock[LL or CTL],"LL")</f>
        <v>0.95068200000000003</v>
      </c>
      <c r="AQ32" s="1">
        <f>+SUMIFS(wip[Stock(Net Wt)],wip[Bucket],scheduleapr[[#This Row],[Bucket]])/1000</f>
        <v>0</v>
      </c>
      <c r="AR32" s="1">
        <f t="shared" si="2"/>
        <v>15.255450967500002</v>
      </c>
      <c r="AS32" s="118"/>
    </row>
    <row r="33" spans="1:45" x14ac:dyDescent="0.25">
      <c r="A33" s="30">
        <v>63</v>
      </c>
      <c r="B33" s="5" t="s">
        <v>1872</v>
      </c>
      <c r="C33" s="2" t="s">
        <v>284</v>
      </c>
      <c r="D33" s="2" t="s">
        <v>1873</v>
      </c>
      <c r="E33" s="2" t="s">
        <v>285</v>
      </c>
      <c r="F33" s="2">
        <v>2426240</v>
      </c>
      <c r="G33" s="2" t="str">
        <f>_xlfn.CONCAT(scheduleapr[[#This Row],[CUSTOMER CODE]],"-",scheduleapr[[#This Row],[MATERIAL NO]])</f>
        <v>129663|948721-2426240</v>
      </c>
      <c r="H33" s="2" t="s">
        <v>1877</v>
      </c>
      <c r="I33" s="2" t="s">
        <v>357</v>
      </c>
      <c r="J33" s="2"/>
      <c r="K33" s="2" t="s">
        <v>357</v>
      </c>
      <c r="L33" s="2" t="s">
        <v>239</v>
      </c>
      <c r="M33" s="2"/>
      <c r="N33" s="2"/>
      <c r="O33" s="2"/>
      <c r="P33" s="2"/>
      <c r="Q33" s="557" t="str">
        <f>CONCATENATE(scheduleapr[[#This Row],[OD]],"-",scheduleapr[[#This Row],[ID]],"-",scheduleapr[[#This Row],[TICKNESS]],"-",scheduleapr[[#This Row],[Grade]],"-",scheduleapr[[#This Row],[FC/NFC]])</f>
        <v>29.28-0-3.4-CEW-CEW</v>
      </c>
      <c r="R33" s="557" t="str">
        <f>_xlfn.CONCAT(scheduleapr[[#This Row],[Bucket]],"-",scheduleapr[[#This Row],[LENGTH]]/1000)</f>
        <v>29.28-0-3.4-CEW-CEW-1</v>
      </c>
      <c r="S33" s="557">
        <f>COUNTIF(scheduleapr[CTL Bucket],scheduleapr[[#This Row],[CTL Bucket]])</f>
        <v>1</v>
      </c>
      <c r="T33" s="2"/>
      <c r="U33" s="2">
        <f>_xlfn.IFNA(VLOOKUP(scheduleapr[[#This Row],[Bucket]],salesforecast[[#All],[Bucket2]:[8406 Stock]],19,0),0)</f>
        <v>2.3382239999999999</v>
      </c>
      <c r="V33" s="2"/>
      <c r="W33" s="2"/>
      <c r="X33" s="1">
        <v>29.28</v>
      </c>
      <c r="Y33" s="1">
        <v>29.28</v>
      </c>
      <c r="Z33" s="1">
        <v>0</v>
      </c>
      <c r="AA33" s="1">
        <v>3.4</v>
      </c>
      <c r="AB33" s="24">
        <v>1000</v>
      </c>
      <c r="AC33" s="24" t="s">
        <v>444</v>
      </c>
      <c r="AD33" s="24"/>
      <c r="AE33" s="24"/>
      <c r="AF33" s="2"/>
      <c r="AG33" s="2"/>
      <c r="AH33" s="2" cm="1">
        <f t="array" ref="AH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 s="4">
        <f>scheduleapr[[#This Row],[SCHEDULE in nos]]-scheduleapr[[#This Row],[DISPATCH]]</f>
        <v>0</v>
      </c>
      <c r="AJ33" s="1">
        <f>(3.14*(scheduleapr[[#This Row],[ACTUAL OD]]-scheduleapr[[#This Row],[TICKNESS]])*scheduleapr[[#This Row],[TICKNESS]]*scheduleapr[[#This Row],[LENGTH]]*7.85)/1000000*scheduleapr[[#This Row],[SCHEDULE in nos]]/1000</f>
        <v>0</v>
      </c>
      <c r="AK33" s="1">
        <f>(3.14*(scheduleapr[[#This Row],[ACTUAL OD]]-scheduleapr[[#This Row],[TICKNESS]])*scheduleapr[[#This Row],[TICKNESS]]*scheduleapr[[#This Row],[LENGTH]]*7.85)/1000000*scheduleapr[[#This Row],[DISPATCH]]/1000</f>
        <v>0</v>
      </c>
      <c r="AL33" s="1">
        <f t="shared" si="1"/>
        <v>0</v>
      </c>
      <c r="AM33" s="1" t="e">
        <f>scheduleapr[[#This Row],[SCHEDULE in nos]]/scheduleapr[[#This Row],[SCHEDULE IN MT]]*scheduleapr[[#This Row],[CTL Stock]]</f>
        <v>#DIV/0!</v>
      </c>
      <c r="AN33" s="1">
        <f>SUMIFS(stock[MT],stock[Bucket],scheduleapr[[#This Row],[Bucket]],stock[CTL Bucket],scheduleapr[[#This Row],[CTL Bucket]],stock[Plant],"0789")</f>
        <v>0</v>
      </c>
      <c r="AO33" s="1"/>
      <c r="AP33" s="1">
        <f>SUMIFS(stock[MT],stock[Bucket],scheduleapr[[#This Row],[Bucket]],stock[LL or CTL],"LL")</f>
        <v>2.3382239999999999</v>
      </c>
      <c r="AQ33" s="1">
        <f>+SUMIFS(wip[Stock(Net Wt)],wip[Bucket],scheduleapr[[#This Row],[Bucket]])/1000</f>
        <v>0</v>
      </c>
      <c r="AR33" s="1">
        <f t="shared" si="2"/>
        <v>0</v>
      </c>
      <c r="AS33" s="118"/>
    </row>
    <row r="34" spans="1:45" x14ac:dyDescent="0.25">
      <c r="A34" s="30">
        <v>64</v>
      </c>
      <c r="B34" s="5" t="s">
        <v>1872</v>
      </c>
      <c r="C34" s="2" t="s">
        <v>284</v>
      </c>
      <c r="D34" s="2" t="s">
        <v>1873</v>
      </c>
      <c r="E34" s="2" t="s">
        <v>285</v>
      </c>
      <c r="F34" s="2">
        <v>2410960</v>
      </c>
      <c r="G34" s="2" t="str">
        <f>_xlfn.CONCAT(scheduleapr[[#This Row],[CUSTOMER CODE]],"-",scheduleapr[[#This Row],[MATERIAL NO]])</f>
        <v>129663|948721-2410960</v>
      </c>
      <c r="H34" s="2" t="s">
        <v>847</v>
      </c>
      <c r="I34" s="2" t="s">
        <v>357</v>
      </c>
      <c r="J34" s="2"/>
      <c r="K34" s="2" t="s">
        <v>357</v>
      </c>
      <c r="L34" s="2" t="s">
        <v>239</v>
      </c>
      <c r="M34" s="2"/>
      <c r="N34" s="2"/>
      <c r="O34" s="2"/>
      <c r="P34" s="2"/>
      <c r="Q34" s="557" t="str">
        <f>CONCATENATE(scheduleapr[[#This Row],[OD]],"-",scheduleapr[[#This Row],[ID]],"-",scheduleapr[[#This Row],[TICKNESS]],"-",scheduleapr[[#This Row],[Grade]],"-",scheduleapr[[#This Row],[FC/NFC]])</f>
        <v>31.75-25-3.37-CEW-CEW</v>
      </c>
      <c r="R34" s="557" t="str">
        <f>_xlfn.CONCAT(scheduleapr[[#This Row],[Bucket]],"-",scheduleapr[[#This Row],[LENGTH]]/1000)</f>
        <v>31.75-25-3.37-CEW-CEW-1</v>
      </c>
      <c r="S34" s="557">
        <f>COUNTIF(scheduleapr[CTL Bucket],scheduleapr[[#This Row],[CTL Bucket]])</f>
        <v>2</v>
      </c>
      <c r="T34" s="2" t="s">
        <v>1817</v>
      </c>
      <c r="U34" s="2">
        <f>_xlfn.IFNA(VLOOKUP(scheduleapr[[#This Row],[Bucket]],salesforecast[[#All],[Bucket2]:[8406 Stock]],19,0),0)</f>
        <v>5.3088999999999997E-2</v>
      </c>
      <c r="V34" s="562">
        <f>_xlfn.IFNA(VLOOKUP(scheduleapr[[#This Row],[Bucket]],salesforecast[[#All],[Bucket2]:[8406 Stock]],20,0),0)+_xlfn.IFNA(VLOOKUP(scheduleapr[[#This Row],[Bucket]],salesforecast[[#All],[Bucket2]:[8406 Stock]],17,0),0)</f>
        <v>0</v>
      </c>
      <c r="W34" s="557"/>
      <c r="X34" s="1">
        <v>31.75</v>
      </c>
      <c r="Y34" s="1">
        <v>31.75</v>
      </c>
      <c r="Z34" s="1">
        <v>25</v>
      </c>
      <c r="AA34" s="1">
        <v>3.37</v>
      </c>
      <c r="AB34" s="24">
        <v>1000</v>
      </c>
      <c r="AC34" s="24" t="s">
        <v>444</v>
      </c>
      <c r="AD34" s="24"/>
      <c r="AE34" s="24"/>
      <c r="AF34" s="2">
        <v>2500</v>
      </c>
      <c r="AG34" s="2"/>
      <c r="AH34" s="2" cm="1">
        <f t="array" ref="AH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3621.1949999999997</v>
      </c>
      <c r="AI34" s="4">
        <f>scheduleapr[[#This Row],[SCHEDULE in nos]]-scheduleapr[[#This Row],[DISPATCH]]</f>
        <v>-1121.1949999999997</v>
      </c>
      <c r="AJ34" s="1">
        <f>(3.14*(scheduleapr[[#This Row],[ACTUAL OD]]-scheduleapr[[#This Row],[TICKNESS]])*scheduleapr[[#This Row],[TICKNESS]]*scheduleapr[[#This Row],[LENGTH]]*7.85)/1000000*scheduleapr[[#This Row],[SCHEDULE in nos]]/1000</f>
        <v>5.8936128735000004</v>
      </c>
      <c r="AK34" s="1">
        <f>(3.14*(scheduleapr[[#This Row],[ACTUAL OD]]-scheduleapr[[#This Row],[TICKNESS]])*scheduleapr[[#This Row],[TICKNESS]]*scheduleapr[[#This Row],[LENGTH]]*7.85)/1000000*scheduleapr[[#This Row],[DISPATCH]]/1000</f>
        <v>8.5367685877815322</v>
      </c>
      <c r="AL34" s="1">
        <f t="shared" si="1"/>
        <v>-2.6431557142815318</v>
      </c>
      <c r="AM34" s="1">
        <f>scheduleapr[[#This Row],[SCHEDULE in nos]]/scheduleapr[[#This Row],[SCHEDULE IN MT]]*scheduleapr[[#This Row],[CTL Stock]]</f>
        <v>0</v>
      </c>
      <c r="AN34" s="1">
        <f>SUMIFS(stock[MT],stock[Bucket],scheduleapr[[#This Row],[Bucket]],stock[CTL Bucket],scheduleapr[[#This Row],[CTL Bucket]],stock[Plant],"0789")</f>
        <v>0</v>
      </c>
      <c r="AO34" s="1"/>
      <c r="AP34" s="1">
        <f>SUMIFS(stock[MT],stock[Bucket],scheduleapr[[#This Row],[Bucket]],stock[LL or CTL],"LL")</f>
        <v>5.3088999999999997E-2</v>
      </c>
      <c r="AQ34" s="1">
        <f>+SUMIFS(wip[Stock(Net Wt)],wip[Bucket],scheduleapr[[#This Row],[Bucket]])/1000</f>
        <v>0</v>
      </c>
      <c r="AR34" s="1">
        <f t="shared" si="2"/>
        <v>5.8936128735000004</v>
      </c>
      <c r="AS34" s="118"/>
    </row>
    <row r="35" spans="1:45" x14ac:dyDescent="0.25">
      <c r="A35" s="30">
        <v>17</v>
      </c>
      <c r="B35" s="5" t="s">
        <v>1816</v>
      </c>
      <c r="C35" s="2" t="s">
        <v>284</v>
      </c>
      <c r="D35" s="2" t="s">
        <v>1873</v>
      </c>
      <c r="E35" s="2" t="s">
        <v>285</v>
      </c>
      <c r="F35" s="2">
        <v>1939966</v>
      </c>
      <c r="G35" s="2" t="str">
        <f>_xlfn.CONCAT(scheduleapr[[#This Row],[CUSTOMER CODE]],"-",scheduleapr[[#This Row],[MATERIAL NO]])</f>
        <v>129663|948721-1939966</v>
      </c>
      <c r="H35" s="2" t="s">
        <v>402</v>
      </c>
      <c r="I35" s="2" t="s">
        <v>962</v>
      </c>
      <c r="J35" s="2"/>
      <c r="K35" s="2" t="s">
        <v>963</v>
      </c>
      <c r="L35" s="2" t="s">
        <v>1867</v>
      </c>
      <c r="M35" s="2"/>
      <c r="N35" s="2"/>
      <c r="O35" s="2"/>
      <c r="P35" s="2"/>
      <c r="Q35" s="557" t="str">
        <f>CONCATENATE(scheduleapr[[#This Row],[OD]],"-",scheduleapr[[#This Row],[ID]],"-",scheduleapr[[#This Row],[TICKNESS]],"-",scheduleapr[[#This Row],[Grade]],"-",scheduleapr[[#This Row],[FC/NFC]])</f>
        <v>12.7-0-1.2-ERW 1-PE</v>
      </c>
      <c r="R35" s="557" t="str">
        <f>_xlfn.CONCAT(scheduleapr[[#This Row],[Bucket]],"-",scheduleapr[[#This Row],[LENGTH]]/1000)</f>
        <v>12.7-0-1.2-ERW 1-PE-0.408</v>
      </c>
      <c r="S35" s="557">
        <f>COUNTIF(scheduleapr[CTL Bucket],scheduleapr[[#This Row],[CTL Bucket]])</f>
        <v>1</v>
      </c>
      <c r="T35" s="2" t="s">
        <v>1816</v>
      </c>
      <c r="U35" s="2">
        <f>_xlfn.IFNA(VLOOKUP(scheduleapr[[#This Row],[Bucket]],salesforecast[[#All],[Bucket2]:[8406 Stock]],19,0),0)</f>
        <v>0</v>
      </c>
      <c r="V35" s="562">
        <f>_xlfn.IFNA(VLOOKUP(scheduleapr[[#This Row],[Bucket]],salesforecast[[#All],[Bucket2]:[8406 Stock]],20,0),0)+_xlfn.IFNA(VLOOKUP(scheduleapr[[#This Row],[Bucket]],salesforecast[[#All],[Bucket2]:[8406 Stock]],17,0),0)</f>
        <v>0</v>
      </c>
      <c r="W35" s="557"/>
      <c r="X35" s="1">
        <v>12.7</v>
      </c>
      <c r="Y35" s="1">
        <v>12.7</v>
      </c>
      <c r="Z35" s="1">
        <v>0</v>
      </c>
      <c r="AA35" s="1">
        <v>1.2</v>
      </c>
      <c r="AB35" s="24">
        <v>408</v>
      </c>
      <c r="AC35" s="24" t="s">
        <v>397</v>
      </c>
      <c r="AD35" s="24"/>
      <c r="AE35" s="24"/>
      <c r="AF35" s="2">
        <v>27000</v>
      </c>
      <c r="AG35" s="2"/>
      <c r="AH35" s="2" cm="1">
        <f t="array" ref="AH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21400</v>
      </c>
      <c r="AI35" s="4">
        <f>scheduleapr[[#This Row],[SCHEDULE in nos]]-scheduleapr[[#This Row],[DISPATCH]]</f>
        <v>5600</v>
      </c>
      <c r="AJ35" s="1">
        <f>(3.14*(scheduleapr[[#This Row],[ACTUAL OD]]-scheduleapr[[#This Row],[TICKNESS]])*scheduleapr[[#This Row],[TICKNESS]]*scheduleapr[[#This Row],[LENGTH]]*7.85)/1000000*scheduleapr[[#This Row],[SCHEDULE in nos]]/1000</f>
        <v>3.7471606992000006</v>
      </c>
      <c r="AK35" s="1">
        <f>(3.14*(scheduleapr[[#This Row],[ACTUAL OD]]-scheduleapr[[#This Row],[TICKNESS]])*scheduleapr[[#This Row],[TICKNESS]]*scheduleapr[[#This Row],[LENGTH]]*7.85)/1000000*scheduleapr[[#This Row],[DISPATCH]]/1000</f>
        <v>2.9699718134400004</v>
      </c>
      <c r="AL35" s="1">
        <f t="shared" si="1"/>
        <v>0.77718888576000023</v>
      </c>
      <c r="AM35" s="1">
        <f>scheduleapr[[#This Row],[SCHEDULE in nos]]/scheduleapr[[#This Row],[SCHEDULE IN MT]]*scheduleapr[[#This Row],[CTL Stock]]</f>
        <v>198.57515055568874</v>
      </c>
      <c r="AN35" s="1">
        <f>SUMIFS(stock[MT],stock[Bucket],scheduleapr[[#This Row],[Bucket]],stock[CTL Bucket],scheduleapr[[#This Row],[CTL Bucket]],stock[Plant],"0789")</f>
        <v>2.7559E-2</v>
      </c>
      <c r="AO35" s="1"/>
      <c r="AP35" s="1">
        <f>SUMIFS(stock[MT],stock[Bucket],scheduleapr[[#This Row],[Bucket]],stock[LL or CTL],"LL")</f>
        <v>20.176452999999999</v>
      </c>
      <c r="AQ35" s="1">
        <f>+SUMIFS(wip[Stock(Net Wt)],wip[Bucket],scheduleapr[[#This Row],[Bucket]])/1000</f>
        <v>0</v>
      </c>
      <c r="AR35" s="1">
        <f t="shared" si="2"/>
        <v>3.7196016992000005</v>
      </c>
      <c r="AS35" s="118"/>
    </row>
    <row r="36" spans="1:45" x14ac:dyDescent="0.25">
      <c r="A36" s="30">
        <v>19</v>
      </c>
      <c r="B36" s="5" t="s">
        <v>1816</v>
      </c>
      <c r="C36" s="2" t="s">
        <v>284</v>
      </c>
      <c r="D36" s="2" t="s">
        <v>1873</v>
      </c>
      <c r="E36" s="2" t="s">
        <v>285</v>
      </c>
      <c r="F36" s="2">
        <v>1939974</v>
      </c>
      <c r="G36" s="2" t="str">
        <f>_xlfn.CONCAT(scheduleapr[[#This Row],[CUSTOMER CODE]],"-",scheduleapr[[#This Row],[MATERIAL NO]])</f>
        <v>129663|948721-1939974</v>
      </c>
      <c r="H36" s="2" t="s">
        <v>1133</v>
      </c>
      <c r="I36" s="2" t="s">
        <v>962</v>
      </c>
      <c r="J36" s="2"/>
      <c r="K36" s="2" t="s">
        <v>963</v>
      </c>
      <c r="L36" s="2" t="s">
        <v>1867</v>
      </c>
      <c r="M36" s="2"/>
      <c r="N36" s="2"/>
      <c r="O36" s="2"/>
      <c r="P36" s="2"/>
      <c r="Q36" s="557" t="str">
        <f>CONCATENATE(scheduleapr[[#This Row],[OD]],"-",scheduleapr[[#This Row],[ID]],"-",scheduleapr[[#This Row],[TICKNESS]],"-",scheduleapr[[#This Row],[Grade]],"-",scheduleapr[[#This Row],[FC/NFC]])</f>
        <v>12.7-0-1.2-ERW 1-PE</v>
      </c>
      <c r="R36" s="557" t="str">
        <f>_xlfn.CONCAT(scheduleapr[[#This Row],[Bucket]],"-",scheduleapr[[#This Row],[LENGTH]]/1000)</f>
        <v>12.7-0-1.2-ERW 1-PE-0.772</v>
      </c>
      <c r="S36" s="557">
        <f>COUNTIF(scheduleapr[CTL Bucket],scheduleapr[[#This Row],[CTL Bucket]])</f>
        <v>1</v>
      </c>
      <c r="T36" s="2" t="s">
        <v>1816</v>
      </c>
      <c r="U36" s="2">
        <f>_xlfn.IFNA(VLOOKUP(scheduleapr[[#This Row],[Bucket]],salesforecast[[#All],[Bucket2]:[8406 Stock]],19,0),0)</f>
        <v>0</v>
      </c>
      <c r="V36" s="562">
        <f>_xlfn.IFNA(VLOOKUP(scheduleapr[[#This Row],[Bucket]],salesforecast[[#All],[Bucket2]:[8406 Stock]],20,0),0)+_xlfn.IFNA(VLOOKUP(scheduleapr[[#This Row],[Bucket]],salesforecast[[#All],[Bucket2]:[8406 Stock]],17,0),0)</f>
        <v>0</v>
      </c>
      <c r="W36" s="557"/>
      <c r="X36" s="1">
        <v>12.7</v>
      </c>
      <c r="Y36" s="1">
        <v>12.7</v>
      </c>
      <c r="Z36" s="1">
        <v>0</v>
      </c>
      <c r="AA36" s="1">
        <v>1.2</v>
      </c>
      <c r="AB36" s="24">
        <v>772</v>
      </c>
      <c r="AC36" s="24" t="s">
        <v>397</v>
      </c>
      <c r="AD36" s="24"/>
      <c r="AE36" s="24"/>
      <c r="AF36" s="2">
        <v>1000</v>
      </c>
      <c r="AG36" s="2"/>
      <c r="AH36" s="2" cm="1">
        <f t="array" ref="AH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 s="4">
        <f>scheduleapr[[#This Row],[SCHEDULE in nos]]-scheduleapr[[#This Row],[DISPATCH]]</f>
        <v>1000</v>
      </c>
      <c r="AJ36" s="1">
        <f>(3.14*(scheduleapr[[#This Row],[ACTUAL OD]]-scheduleapr[[#This Row],[TICKNESS]])*scheduleapr[[#This Row],[TICKNESS]]*scheduleapr[[#This Row],[LENGTH]]*7.85)/1000000*scheduleapr[[#This Row],[SCHEDULE in nos]]/1000</f>
        <v>0.2626005864</v>
      </c>
      <c r="AK36" s="1">
        <f>(3.14*(scheduleapr[[#This Row],[ACTUAL OD]]-scheduleapr[[#This Row],[TICKNESS]])*scheduleapr[[#This Row],[TICKNESS]]*scheduleapr[[#This Row],[LENGTH]]*7.85)/1000000*scheduleapr[[#This Row],[DISPATCH]]/1000</f>
        <v>0</v>
      </c>
      <c r="AL36" s="1">
        <f t="shared" si="1"/>
        <v>0.2626005864</v>
      </c>
      <c r="AM36" s="1">
        <f>scheduleapr[[#This Row],[SCHEDULE in nos]]/scheduleapr[[#This Row],[SCHEDULE IN MT]]*scheduleapr[[#This Row],[CTL Stock]]</f>
        <v>379.70593046626948</v>
      </c>
      <c r="AN36" s="1">
        <f>SUMIFS(stock[MT],stock[Bucket],scheduleapr[[#This Row],[Bucket]],stock[CTL Bucket],scheduleapr[[#This Row],[CTL Bucket]],stock[Plant],"0789")</f>
        <v>9.9710999999999994E-2</v>
      </c>
      <c r="AO36" s="1"/>
      <c r="AP36" s="1">
        <f>SUMIFS(stock[MT],stock[Bucket],scheduleapr[[#This Row],[Bucket]],stock[LL or CTL],"LL")</f>
        <v>20.176452999999999</v>
      </c>
      <c r="AQ36" s="1">
        <f>+SUMIFS(wip[Stock(Net Wt)],wip[Bucket],scheduleapr[[#This Row],[Bucket]])/1000</f>
        <v>0</v>
      </c>
      <c r="AR36" s="1">
        <f t="shared" si="2"/>
        <v>0.16288958640000001</v>
      </c>
      <c r="AS36" s="118"/>
    </row>
    <row r="37" spans="1:45" x14ac:dyDescent="0.25">
      <c r="A37" s="30">
        <v>18</v>
      </c>
      <c r="B37" s="5" t="s">
        <v>1816</v>
      </c>
      <c r="C37" s="2" t="s">
        <v>284</v>
      </c>
      <c r="D37" s="2" t="s">
        <v>1873</v>
      </c>
      <c r="E37" s="2" t="s">
        <v>285</v>
      </c>
      <c r="F37" s="2"/>
      <c r="G37" s="2" t="str">
        <f>_xlfn.CONCAT(scheduleapr[[#This Row],[CUSTOMER CODE]],"-",scheduleapr[[#This Row],[MATERIAL NO]])</f>
        <v>129663|948721-</v>
      </c>
      <c r="H37" s="2"/>
      <c r="I37" s="2" t="s">
        <v>962</v>
      </c>
      <c r="J37" s="2"/>
      <c r="K37" s="2" t="s">
        <v>963</v>
      </c>
      <c r="L37" s="2" t="s">
        <v>1867</v>
      </c>
      <c r="M37" s="2"/>
      <c r="N37" s="2"/>
      <c r="O37" s="2"/>
      <c r="P37" s="2"/>
      <c r="Q37" s="557" t="str">
        <f>CONCATENATE(scheduleapr[[#This Row],[OD]],"-",scheduleapr[[#This Row],[ID]],"-",scheduleapr[[#This Row],[TICKNESS]],"-",scheduleapr[[#This Row],[Grade]],"-",scheduleapr[[#This Row],[FC/NFC]])</f>
        <v>12.7-0-1.2-ERW 1-PE</v>
      </c>
      <c r="R37" s="557" t="str">
        <f>_xlfn.CONCAT(scheduleapr[[#This Row],[Bucket]],"-",scheduleapr[[#This Row],[LENGTH]]/1000)</f>
        <v>12.7-0-1.2-ERW 1-PE-1</v>
      </c>
      <c r="S37" s="2" t="e" vm="2">
        <f>COUNTIF([2]!buckets[CTL Bucket],[2]!scheduleapr[[#This Row],[CTL Bucket]])</f>
        <v>#REF!</v>
      </c>
      <c r="T37" s="2"/>
      <c r="U37" s="2"/>
      <c r="V37" s="2"/>
      <c r="W37" s="2"/>
      <c r="X37" s="1">
        <v>12.7</v>
      </c>
      <c r="Y37" s="1">
        <v>12.7</v>
      </c>
      <c r="Z37" s="1">
        <v>0</v>
      </c>
      <c r="AA37" s="1">
        <v>1.2</v>
      </c>
      <c r="AB37" s="24">
        <v>1000</v>
      </c>
      <c r="AC37" s="24" t="s">
        <v>397</v>
      </c>
      <c r="AD37" s="24"/>
      <c r="AE37" s="24"/>
      <c r="AF37" s="2"/>
      <c r="AG37" s="2"/>
      <c r="AH37" s="2" cm="1">
        <f t="array" ref="AH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 s="4">
        <f>scheduleapr[[#This Row],[SCHEDULE in nos]]-scheduleapr[[#This Row],[DISPATCH]]</f>
        <v>0</v>
      </c>
      <c r="AJ37" s="1">
        <f>(3.14*(scheduleapr[[#This Row],[ACTUAL OD]]-scheduleapr[[#This Row],[TICKNESS]])*scheduleapr[[#This Row],[TICKNESS]]*scheduleapr[[#This Row],[LENGTH]]*7.85)/1000000*scheduleapr[[#This Row],[SCHEDULE in nos]]/1000</f>
        <v>0</v>
      </c>
      <c r="AK37" s="1">
        <f>(3.14*(scheduleapr[[#This Row],[ACTUAL OD]]-scheduleapr[[#This Row],[TICKNESS]])*scheduleapr[[#This Row],[TICKNESS]]*scheduleapr[[#This Row],[LENGTH]]*7.85)/1000000*scheduleapr[[#This Row],[DISPATCH]]/1000</f>
        <v>0</v>
      </c>
      <c r="AL37" s="1">
        <f t="shared" si="1"/>
        <v>0</v>
      </c>
      <c r="AM37" s="1" t="e">
        <f>scheduleapr[[#This Row],[SCHEDULE in nos]]/scheduleapr[[#This Row],[SCHEDULE IN MT]]*scheduleapr[[#This Row],[CTL Stock]]</f>
        <v>#DIV/0!</v>
      </c>
      <c r="AN37" s="1">
        <f>SUMIFS(stock[MT],stock[Bucket],scheduleapr[[#This Row],[Bucket]],stock[CTL Bucket],scheduleapr[[#This Row],[CTL Bucket]],stock[Plant],"0789")</f>
        <v>20.176452999999999</v>
      </c>
      <c r="AO37" s="1"/>
      <c r="AP37" s="1">
        <f>SUMIFS(stock[MT],stock[Bucket],scheduleapr[[#This Row],[Bucket]],stock[LL or CTL],"LL")</f>
        <v>20.176452999999999</v>
      </c>
      <c r="AQ37" s="1">
        <f>+SUMIFS(wip[Stock(Net Wt)],wip[Bucket],scheduleapr[[#This Row],[Bucket]])/1000</f>
        <v>0</v>
      </c>
      <c r="AR37" s="1">
        <f t="shared" si="2"/>
        <v>-20.176452999999999</v>
      </c>
      <c r="AS37" s="118"/>
    </row>
    <row r="38" spans="1:45" x14ac:dyDescent="0.25">
      <c r="A38" s="30">
        <v>20</v>
      </c>
      <c r="B38" s="5" t="s">
        <v>1816</v>
      </c>
      <c r="C38" s="2" t="s">
        <v>284</v>
      </c>
      <c r="D38" s="2" t="s">
        <v>1873</v>
      </c>
      <c r="E38" s="2" t="s">
        <v>285</v>
      </c>
      <c r="F38" s="2" t="s">
        <v>1878</v>
      </c>
      <c r="G38" s="2" t="str">
        <f>_xlfn.CONCAT(scheduleapr[[#This Row],[CUSTOMER CODE]],"-",scheduleapr[[#This Row],[MATERIAL NO]])</f>
        <v>129663|948721-NO MATERIAL CODE</v>
      </c>
      <c r="H38" s="2"/>
      <c r="I38" s="2" t="s">
        <v>962</v>
      </c>
      <c r="J38" s="2"/>
      <c r="K38" s="2" t="s">
        <v>963</v>
      </c>
      <c r="L38" s="2" t="s">
        <v>239</v>
      </c>
      <c r="M38" s="2"/>
      <c r="N38" s="2"/>
      <c r="O38" s="2"/>
      <c r="P38" s="2"/>
      <c r="Q38" s="557" t="str">
        <f>CONCATENATE(scheduleapr[[#This Row],[OD]],"-",scheduleapr[[#This Row],[ID]],"-",scheduleapr[[#This Row],[TICKNESS]],"-",scheduleapr[[#This Row],[Grade]],"-",scheduleapr[[#This Row],[FC/NFC]])</f>
        <v>12.7-0-1.6-ERW 1-PE</v>
      </c>
      <c r="R38" s="557" t="str">
        <f>_xlfn.CONCAT(scheduleapr[[#This Row],[Bucket]],"-",scheduleapr[[#This Row],[LENGTH]]/1000)</f>
        <v>12.7-0-1.6-ERW 1-PE-0.252</v>
      </c>
      <c r="S38" s="557">
        <f>COUNTIF(scheduleapr[CTL Bucket],scheduleapr[[#This Row],[CTL Bucket]])</f>
        <v>1</v>
      </c>
      <c r="T38" s="2" t="s">
        <v>1816</v>
      </c>
      <c r="U38" s="2">
        <f>_xlfn.IFNA(VLOOKUP(scheduleapr[[#This Row],[Bucket]],salesforecast[[#All],[Bucket2]:[8406 Stock]],19,0),0)</f>
        <v>0</v>
      </c>
      <c r="V38" s="562">
        <f>_xlfn.IFNA(VLOOKUP(scheduleapr[[#This Row],[Bucket]],salesforecast[[#All],[Bucket2]:[8406 Stock]],20,0),0)+_xlfn.IFNA(VLOOKUP(scheduleapr[[#This Row],[Bucket]],salesforecast[[#All],[Bucket2]:[8406 Stock]],17,0),0)</f>
        <v>0</v>
      </c>
      <c r="W38" s="557"/>
      <c r="X38" s="1">
        <v>12.7</v>
      </c>
      <c r="Y38" s="1">
        <v>12.7</v>
      </c>
      <c r="Z38" s="1">
        <v>0</v>
      </c>
      <c r="AA38" s="1">
        <v>1.6</v>
      </c>
      <c r="AB38" s="22">
        <v>252</v>
      </c>
      <c r="AC38" s="24" t="s">
        <v>397</v>
      </c>
      <c r="AD38" s="24"/>
      <c r="AE38" s="24"/>
      <c r="AF38" s="2">
        <v>5000</v>
      </c>
      <c r="AG38" s="2"/>
      <c r="AH38" s="2" cm="1">
        <f t="array" ref="AH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 s="4">
        <f>scheduleapr[[#This Row],[SCHEDULE in nos]]-scheduleapr[[#This Row],[DISPATCH]]</f>
        <v>5000</v>
      </c>
      <c r="AJ38" s="1">
        <f>(3.14*(scheduleapr[[#This Row],[ACTUAL OD]]-scheduleapr[[#This Row],[TICKNESS]])*scheduleapr[[#This Row],[TICKNESS]]*scheduleapr[[#This Row],[LENGTH]]*7.85)/1000000*scheduleapr[[#This Row],[SCHEDULE in nos]]/1000</f>
        <v>0.55158546239999995</v>
      </c>
      <c r="AK38" s="1">
        <f>(3.14*(scheduleapr[[#This Row],[ACTUAL OD]]-scheduleapr[[#This Row],[TICKNESS]])*scheduleapr[[#This Row],[TICKNESS]]*scheduleapr[[#This Row],[LENGTH]]*7.85)/1000000*scheduleapr[[#This Row],[DISPATCH]]/1000</f>
        <v>0</v>
      </c>
      <c r="AL38" s="1">
        <f t="shared" si="1"/>
        <v>0.55158546239999995</v>
      </c>
      <c r="AM38" s="1">
        <f>scheduleapr[[#This Row],[SCHEDULE in nos]]/scheduleapr[[#This Row],[SCHEDULE IN MT]]*scheduleapr[[#This Row],[CTL Stock]]</f>
        <v>651.00519226447261</v>
      </c>
      <c r="AN38" s="1">
        <f>SUMIFS(stock[MT],stock[Bucket],scheduleapr[[#This Row],[Bucket]],stock[CTL Bucket],scheduleapr[[#This Row],[CTL Bucket]],stock[Plant],"0789")</f>
        <v>7.1816999999999992E-2</v>
      </c>
      <c r="AO38" s="1"/>
      <c r="AP38" s="1">
        <f>SUMIFS(stock[MT],stock[Bucket],scheduleapr[[#This Row],[Bucket]],stock[LL or CTL],"LL")</f>
        <v>6.5656999999999993E-2</v>
      </c>
      <c r="AQ38" s="1">
        <f>+SUMIFS(wip[Stock(Net Wt)],wip[Bucket],scheduleapr[[#This Row],[Bucket]])/1000</f>
        <v>8.9860000000000007</v>
      </c>
      <c r="AR38" s="1">
        <f t="shared" si="2"/>
        <v>0.47976846239999993</v>
      </c>
      <c r="AS38" s="118"/>
    </row>
    <row r="39" spans="1:45" x14ac:dyDescent="0.25">
      <c r="A39" s="30">
        <v>21</v>
      </c>
      <c r="B39" s="5" t="s">
        <v>1816</v>
      </c>
      <c r="C39" s="2" t="s">
        <v>284</v>
      </c>
      <c r="D39" s="2" t="s">
        <v>1873</v>
      </c>
      <c r="E39" s="2" t="s">
        <v>285</v>
      </c>
      <c r="F39" s="2"/>
      <c r="G39" s="2" t="str">
        <f>_xlfn.CONCAT(scheduleapr[[#This Row],[CUSTOMER CODE]],"-",scheduleapr[[#This Row],[MATERIAL NO]])</f>
        <v>129663|948721-</v>
      </c>
      <c r="H39" s="2"/>
      <c r="I39" s="2" t="s">
        <v>962</v>
      </c>
      <c r="J39" s="2"/>
      <c r="K39" s="2" t="s">
        <v>963</v>
      </c>
      <c r="L39" s="2" t="s">
        <v>1867</v>
      </c>
      <c r="M39" s="2"/>
      <c r="N39" s="2"/>
      <c r="O39" s="2"/>
      <c r="P39" s="2"/>
      <c r="Q39" s="557" t="str">
        <f>CONCATENATE(scheduleapr[[#This Row],[OD]],"-",scheduleapr[[#This Row],[ID]],"-",scheduleapr[[#This Row],[TICKNESS]],"-",scheduleapr[[#This Row],[Grade]],"-",scheduleapr[[#This Row],[FC/NFC]])</f>
        <v>12.7-0-1.6-ERW 1-PE</v>
      </c>
      <c r="R39" s="557" t="str">
        <f>_xlfn.CONCAT(scheduleapr[[#This Row],[Bucket]],"-",scheduleapr[[#This Row],[LENGTH]]/1000)</f>
        <v>12.7-0-1.6-ERW 1-PE-0.32</v>
      </c>
      <c r="S39" s="557">
        <f>COUNTIF(scheduleapr[CTL Bucket],scheduleapr[[#This Row],[CTL Bucket]])</f>
        <v>2</v>
      </c>
      <c r="T39" s="2" t="s">
        <v>1816</v>
      </c>
      <c r="U39" s="2">
        <f>_xlfn.IFNA(VLOOKUP(scheduleapr[[#This Row],[Bucket]],salesforecast[[#All],[Bucket2]:[8406 Stock]],19,0),0)</f>
        <v>0</v>
      </c>
      <c r="V39" s="562">
        <f>_xlfn.IFNA(VLOOKUP(scheduleapr[[#This Row],[Bucket]],salesforecast[[#All],[Bucket2]:[8406 Stock]],20,0),0)+_xlfn.IFNA(VLOOKUP(scheduleapr[[#This Row],[Bucket]],salesforecast[[#All],[Bucket2]:[8406 Stock]],17,0),0)</f>
        <v>0</v>
      </c>
      <c r="W39" s="2"/>
      <c r="X39" s="1">
        <v>12.7</v>
      </c>
      <c r="Y39" s="1">
        <v>12.7</v>
      </c>
      <c r="Z39" s="1">
        <v>0</v>
      </c>
      <c r="AA39" s="1">
        <v>1.6</v>
      </c>
      <c r="AB39" s="24">
        <v>320</v>
      </c>
      <c r="AC39" s="24" t="s">
        <v>397</v>
      </c>
      <c r="AD39" s="24"/>
      <c r="AE39" s="24"/>
      <c r="AF39" s="2">
        <v>5000</v>
      </c>
      <c r="AG39" s="2"/>
      <c r="AH39" s="2" cm="1">
        <f t="array" ref="AH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 s="4">
        <f>scheduleapr[[#This Row],[SCHEDULE in nos]]-scheduleapr[[#This Row],[DISPATCH]]</f>
        <v>5000</v>
      </c>
      <c r="AJ39" s="1">
        <f>(3.14*(scheduleapr[[#This Row],[ACTUAL OD]]-scheduleapr[[#This Row],[TICKNESS]])*scheduleapr[[#This Row],[TICKNESS]]*scheduleapr[[#This Row],[LENGTH]]*7.85)/1000000*scheduleapr[[#This Row],[SCHEDULE in nos]]/1000</f>
        <v>0.70042598399999989</v>
      </c>
      <c r="AK39" s="1">
        <f>(3.14*(scheduleapr[[#This Row],[ACTUAL OD]]-scheduleapr[[#This Row],[TICKNESS]])*scheduleapr[[#This Row],[TICKNESS]]*scheduleapr[[#This Row],[LENGTH]]*7.85)/1000000*scheduleapr[[#This Row],[DISPATCH]]/1000</f>
        <v>0</v>
      </c>
      <c r="AL39" s="1">
        <f t="shared" si="1"/>
        <v>0.70042598399999989</v>
      </c>
      <c r="AM39" s="1">
        <f>scheduleapr[[#This Row],[SCHEDULE in nos]]/scheduleapr[[#This Row],[SCHEDULE IN MT]]*scheduleapr[[#This Row],[CTL Stock]]</f>
        <v>139.00826386246689</v>
      </c>
      <c r="AN39" s="1">
        <f>SUMIFS(stock[MT],stock[Bucket],scheduleapr[[#This Row],[Bucket]],stock[CTL Bucket],scheduleapr[[#This Row],[CTL Bucket]],stock[Plant],"0789")</f>
        <v>1.9473000000000001E-2</v>
      </c>
      <c r="AO39" s="1"/>
      <c r="AP39" s="1">
        <f>SUMIFS(stock[MT],stock[Bucket],scheduleapr[[#This Row],[Bucket]],stock[LL or CTL],"LL")</f>
        <v>6.5656999999999993E-2</v>
      </c>
      <c r="AQ39" s="1">
        <f>+SUMIFS(wip[Stock(Net Wt)],wip[Bucket],scheduleapr[[#This Row],[Bucket]])/1000</f>
        <v>8.9860000000000007</v>
      </c>
      <c r="AR39" s="1">
        <f t="shared" si="2"/>
        <v>0.68095298399999993</v>
      </c>
      <c r="AS39" s="118"/>
    </row>
    <row r="40" spans="1:45" x14ac:dyDescent="0.25">
      <c r="A40" s="556"/>
      <c r="B40" s="5" t="s">
        <v>1816</v>
      </c>
      <c r="C40" s="2" t="s">
        <v>284</v>
      </c>
      <c r="D40" s="2" t="s">
        <v>1873</v>
      </c>
      <c r="E40" s="2" t="s">
        <v>285</v>
      </c>
      <c r="F40" s="477">
        <v>4151968</v>
      </c>
      <c r="G40" s="2" t="str">
        <f>_xlfn.CONCAT(scheduleapr[[#This Row],[CUSTOMER CODE]],"-",scheduleapr[[#This Row],[MATERIAL NO]])</f>
        <v>129663|948721-4151968</v>
      </c>
      <c r="H40" s="477" t="s">
        <v>1879</v>
      </c>
      <c r="I40" s="2" t="s">
        <v>962</v>
      </c>
      <c r="J40" s="557"/>
      <c r="K40" s="2" t="s">
        <v>963</v>
      </c>
      <c r="L40" s="2" t="s">
        <v>1867</v>
      </c>
      <c r="M40" s="558"/>
      <c r="N40" s="557"/>
      <c r="O40" s="557"/>
      <c r="P40" s="557"/>
      <c r="Q40" s="557" t="str">
        <f>CONCATENATE(scheduleapr[[#This Row],[OD]],"-",scheduleapr[[#This Row],[ID]],"-",scheduleapr[[#This Row],[TICKNESS]],"-",scheduleapr[[#This Row],[Grade]],"-",scheduleapr[[#This Row],[FC/NFC]])</f>
        <v>12.7-0-1.6-ERW 1-PE</v>
      </c>
      <c r="R40" s="557" t="str">
        <f>_xlfn.CONCAT(scheduleapr[[#This Row],[Bucket]],"-",scheduleapr[[#This Row],[LENGTH]]/1000)</f>
        <v>12.7-0-1.6-ERW 1-PE-0.907</v>
      </c>
      <c r="S40" s="557">
        <f>COUNTIF(scheduleapr[CTL Bucket],scheduleapr[[#This Row],[CTL Bucket]])</f>
        <v>1</v>
      </c>
      <c r="T40" s="2" t="s">
        <v>1816</v>
      </c>
      <c r="U40" s="2">
        <f>_xlfn.IFNA(VLOOKUP(scheduleapr[[#This Row],[Bucket]],salesforecast[[#All],[Bucket2]:[8406 Stock]],19,0),0)</f>
        <v>0</v>
      </c>
      <c r="V40" s="562">
        <f>_xlfn.IFNA(VLOOKUP(scheduleapr[[#This Row],[Bucket]],salesforecast[[#All],[Bucket2]:[8406 Stock]],20,0),0)+_xlfn.IFNA(VLOOKUP(scheduleapr[[#This Row],[Bucket]],salesforecast[[#All],[Bucket2]:[8406 Stock]],17,0),0)</f>
        <v>0</v>
      </c>
      <c r="W40" s="2"/>
      <c r="X40" s="559">
        <v>12.7</v>
      </c>
      <c r="Y40" s="559">
        <v>12.7</v>
      </c>
      <c r="Z40" s="1">
        <v>0</v>
      </c>
      <c r="AA40" s="1">
        <v>1.6</v>
      </c>
      <c r="AB40" s="24">
        <v>907</v>
      </c>
      <c r="AC40" s="24" t="s">
        <v>397</v>
      </c>
      <c r="AD40" s="24"/>
      <c r="AE40" s="24"/>
      <c r="AF40" s="557">
        <v>7500</v>
      </c>
      <c r="AG40" s="557"/>
      <c r="AH40" s="2" cm="1">
        <f t="array" ref="AH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 s="4">
        <f>scheduleapr[[#This Row],[SCHEDULE in nos]]-scheduleapr[[#This Row],[DISPATCH]]</f>
        <v>7500</v>
      </c>
      <c r="AJ40" s="559">
        <f>(3.14*(scheduleapr[[#This Row],[ACTUAL OD]]-scheduleapr[[#This Row],[TICKNESS]])*scheduleapr[[#This Row],[TICKNESS]]*scheduleapr[[#This Row],[LENGTH]]*7.85)/1000000*scheduleapr[[#This Row],[SCHEDULE in nos]]/1000</f>
        <v>2.9779048476000001</v>
      </c>
      <c r="AK40" s="1">
        <f>(3.14*(scheduleapr[[#This Row],[ACTUAL OD]]-scheduleapr[[#This Row],[TICKNESS]])*scheduleapr[[#This Row],[TICKNESS]]*scheduleapr[[#This Row],[LENGTH]]*7.85)/1000000*scheduleapr[[#This Row],[DISPATCH]]/1000</f>
        <v>0</v>
      </c>
      <c r="AL40" s="1">
        <f t="shared" si="1"/>
        <v>2.9779048476000001</v>
      </c>
      <c r="AM40" s="559">
        <f>scheduleapr[[#This Row],[SCHEDULE in nos]]/scheduleapr[[#This Row],[SCHEDULE IN MT]]*scheduleapr[[#This Row],[CTL Stock]]</f>
        <v>0</v>
      </c>
      <c r="AN40" s="1">
        <f>SUMIFS(stock[MT],stock[Bucket],scheduleapr[[#This Row],[Bucket]],stock[CTL Bucket],scheduleapr[[#This Row],[CTL Bucket]],stock[Plant],"0789")</f>
        <v>0</v>
      </c>
      <c r="AO40" s="1"/>
      <c r="AP40" s="1">
        <f>SUMIFS(stock[MT],stock[Bucket],scheduleapr[[#This Row],[Bucket]],stock[LL or CTL],"LL")</f>
        <v>6.5656999999999993E-2</v>
      </c>
      <c r="AQ40" s="1">
        <f>+SUMIFS(wip[Stock(Net Wt)],wip[Bucket],scheduleapr[[#This Row],[Bucket]])/1000</f>
        <v>8.9860000000000007</v>
      </c>
      <c r="AR40" s="1">
        <f t="shared" si="2"/>
        <v>2.9779048476000001</v>
      </c>
      <c r="AS40" s="118"/>
    </row>
    <row r="41" spans="1:45" x14ac:dyDescent="0.25">
      <c r="A41" s="30">
        <v>22</v>
      </c>
      <c r="B41" s="5" t="s">
        <v>1816</v>
      </c>
      <c r="C41" s="2" t="s">
        <v>284</v>
      </c>
      <c r="D41" s="2" t="s">
        <v>1873</v>
      </c>
      <c r="E41" s="2" t="s">
        <v>285</v>
      </c>
      <c r="F41" s="2">
        <v>3172238</v>
      </c>
      <c r="G41" s="2" t="str">
        <f>_xlfn.CONCAT(scheduleapr[[#This Row],[CUSTOMER CODE]],"-",scheduleapr[[#This Row],[MATERIAL NO]])</f>
        <v>129663|948721-3172238</v>
      </c>
      <c r="H41" s="2" t="s">
        <v>438</v>
      </c>
      <c r="I41" s="2" t="s">
        <v>962</v>
      </c>
      <c r="J41" s="2"/>
      <c r="K41" s="2" t="s">
        <v>963</v>
      </c>
      <c r="L41" s="2" t="s">
        <v>1867</v>
      </c>
      <c r="M41" s="44" t="s">
        <v>1868</v>
      </c>
      <c r="N41" s="2"/>
      <c r="O41" s="2"/>
      <c r="P41" s="2"/>
      <c r="Q41" s="557" t="str">
        <f>CONCATENATE(scheduleapr[[#This Row],[OD]],"-",scheduleapr[[#This Row],[ID]],"-",scheduleapr[[#This Row],[TICKNESS]],"-",scheduleapr[[#This Row],[Grade]],"-",scheduleapr[[#This Row],[FC/NFC]])</f>
        <v>12.7-0-1.6-ERW 1-PE</v>
      </c>
      <c r="R41" s="557" t="str">
        <f>_xlfn.CONCAT(scheduleapr[[#This Row],[Bucket]],"-",scheduleapr[[#This Row],[LENGTH]]/1000)</f>
        <v>12.7-0-1.6-ERW 1-PE-0.95</v>
      </c>
      <c r="S41" s="557">
        <f>COUNTIF(scheduleapr[CTL Bucket],scheduleapr[[#This Row],[CTL Bucket]])</f>
        <v>2</v>
      </c>
      <c r="T41" s="2" t="s">
        <v>1816</v>
      </c>
      <c r="U41" s="2">
        <f>_xlfn.IFNA(VLOOKUP(scheduleapr[[#This Row],[Bucket]],salesforecast[[#All],[Bucket2]:[8406 Stock]],19,0),0)</f>
        <v>0</v>
      </c>
      <c r="V41" s="562">
        <f>_xlfn.IFNA(VLOOKUP(scheduleapr[[#This Row],[Bucket]],salesforecast[[#All],[Bucket2]:[8406 Stock]],20,0),0)+_xlfn.IFNA(VLOOKUP(scheduleapr[[#This Row],[Bucket]],salesforecast[[#All],[Bucket2]:[8406 Stock]],17,0),0)</f>
        <v>0</v>
      </c>
      <c r="W41" s="557"/>
      <c r="X41" s="1">
        <v>12.7</v>
      </c>
      <c r="Y41" s="1">
        <v>12.7</v>
      </c>
      <c r="Z41" s="1">
        <v>0</v>
      </c>
      <c r="AA41" s="1">
        <v>1.6</v>
      </c>
      <c r="AB41" s="24">
        <v>950</v>
      </c>
      <c r="AC41" s="24" t="s">
        <v>397</v>
      </c>
      <c r="AD41" s="24"/>
      <c r="AE41" s="24"/>
      <c r="AF41" s="2">
        <v>7500</v>
      </c>
      <c r="AG41" s="2"/>
      <c r="AH41" s="2" cm="1">
        <f t="array" ref="AH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7600</v>
      </c>
      <c r="AI41" s="4">
        <f>scheduleapr[[#This Row],[SCHEDULE in nos]]-scheduleapr[[#This Row],[DISPATCH]]</f>
        <v>-100</v>
      </c>
      <c r="AJ41" s="1">
        <f>(3.14*(scheduleapr[[#This Row],[ACTUAL OD]]-scheduleapr[[#This Row],[TICKNESS]])*scheduleapr[[#This Row],[TICKNESS]]*scheduleapr[[#This Row],[LENGTH]]*7.85)/1000000*scheduleapr[[#This Row],[SCHEDULE in nos]]/1000</f>
        <v>3.1190844599999998</v>
      </c>
      <c r="AK41" s="1">
        <f>(3.14*(scheduleapr[[#This Row],[ACTUAL OD]]-scheduleapr[[#This Row],[TICKNESS]])*scheduleapr[[#This Row],[TICKNESS]]*scheduleapr[[#This Row],[LENGTH]]*7.85)/1000000*scheduleapr[[#This Row],[DISPATCH]]/1000</f>
        <v>3.1606722528</v>
      </c>
      <c r="AL41" s="1">
        <f t="shared" si="1"/>
        <v>-4.1587792800000134E-2</v>
      </c>
      <c r="AM41" s="1">
        <f>scheduleapr[[#This Row],[SCHEDULE in nos]]/scheduleapr[[#This Row],[SCHEDULE IN MT]]*scheduleapr[[#This Row],[CTL Stock]]</f>
        <v>2685.3817546191103</v>
      </c>
      <c r="AN41" s="1">
        <f>SUMIFS(stock[MT],stock[Bucket],scheduleapr[[#This Row],[Bucket]],stock[CTL Bucket],scheduleapr[[#This Row],[CTL Bucket]],stock[Plant],"0789")</f>
        <v>1.1167910000000001</v>
      </c>
      <c r="AO41" s="1"/>
      <c r="AP41" s="1">
        <f>SUMIFS(stock[MT],stock[Bucket],scheduleapr[[#This Row],[Bucket]],stock[LL or CTL],"LL")</f>
        <v>6.5656999999999993E-2</v>
      </c>
      <c r="AQ41" s="1">
        <f>+SUMIFS(wip[Stock(Net Wt)],wip[Bucket],scheduleapr[[#This Row],[Bucket]])/1000</f>
        <v>8.9860000000000007</v>
      </c>
      <c r="AR41" s="1">
        <f t="shared" si="2"/>
        <v>2.0022934599999997</v>
      </c>
      <c r="AS41" s="118"/>
    </row>
    <row r="42" spans="1:45" x14ac:dyDescent="0.25">
      <c r="A42" s="30">
        <v>25</v>
      </c>
      <c r="B42" s="5" t="s">
        <v>1816</v>
      </c>
      <c r="C42" s="2" t="s">
        <v>284</v>
      </c>
      <c r="D42" s="2" t="s">
        <v>1873</v>
      </c>
      <c r="E42" s="2" t="s">
        <v>285</v>
      </c>
      <c r="F42" s="2">
        <v>1940014</v>
      </c>
      <c r="G42" s="2" t="str">
        <f>_xlfn.CONCAT(scheduleapr[[#This Row],[CUSTOMER CODE]],"-",scheduleapr[[#This Row],[MATERIAL NO]])</f>
        <v>129663|948721-1940014</v>
      </c>
      <c r="H42" s="2" t="s">
        <v>448</v>
      </c>
      <c r="I42" s="2" t="s">
        <v>962</v>
      </c>
      <c r="J42" s="2"/>
      <c r="K42" s="2" t="s">
        <v>963</v>
      </c>
      <c r="L42" s="2" t="s">
        <v>239</v>
      </c>
      <c r="M42" s="2"/>
      <c r="N42" s="2"/>
      <c r="O42" s="2"/>
      <c r="P42" s="2"/>
      <c r="Q42" s="557" t="str">
        <f>CONCATENATE(scheduleapr[[#This Row],[OD]],"-",scheduleapr[[#This Row],[ID]],"-",scheduleapr[[#This Row],[TICKNESS]],"-",scheduleapr[[#This Row],[Grade]],"-",scheduleapr[[#This Row],[FC/NFC]])</f>
        <v>12.7-0-1.6-ERW 1-PE</v>
      </c>
      <c r="R42" s="557" t="str">
        <f>_xlfn.CONCAT(scheduleapr[[#This Row],[Bucket]],"-",scheduleapr[[#This Row],[LENGTH]]/1000)</f>
        <v>12.7-0-1.6-ERW 1-PE-6</v>
      </c>
      <c r="S42" s="557" t="e" vm="2">
        <f>COUNTIF([2]!buckets[CTL Bucket],[2]!scheduleapr[[#This Row],[CTL Bucket]])</f>
        <v>#REF!</v>
      </c>
      <c r="T42" s="557"/>
      <c r="U42" s="557"/>
      <c r="V42" s="557"/>
      <c r="W42" s="557"/>
      <c r="X42" s="1">
        <v>12.7</v>
      </c>
      <c r="Y42" s="1">
        <v>12.7</v>
      </c>
      <c r="Z42" s="1">
        <v>0</v>
      </c>
      <c r="AA42" s="1">
        <v>1.6</v>
      </c>
      <c r="AB42" s="24">
        <v>6000</v>
      </c>
      <c r="AC42" s="24" t="s">
        <v>444</v>
      </c>
      <c r="AD42" s="24"/>
      <c r="AE42" s="24"/>
      <c r="AF42" s="2"/>
      <c r="AG42" s="2"/>
      <c r="AH42" s="2" cm="1">
        <f t="array" ref="AH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 s="4">
        <f>scheduleapr[[#This Row],[SCHEDULE in nos]]-scheduleapr[[#This Row],[DISPATCH]]</f>
        <v>0</v>
      </c>
      <c r="AJ42" s="1">
        <f>(3.14*(scheduleapr[[#This Row],[ACTUAL OD]]-scheduleapr[[#This Row],[TICKNESS]])*scheduleapr[[#This Row],[TICKNESS]]*scheduleapr[[#This Row],[LENGTH]]*7.85)/1000000*scheduleapr[[#This Row],[SCHEDULE in nos]]/1000</f>
        <v>0</v>
      </c>
      <c r="AK42" s="1">
        <f>(3.14*(scheduleapr[[#This Row],[ACTUAL OD]]-scheduleapr[[#This Row],[TICKNESS]])*scheduleapr[[#This Row],[TICKNESS]]*scheduleapr[[#This Row],[LENGTH]]*7.85)/1000000*scheduleapr[[#This Row],[DISPATCH]]/1000</f>
        <v>0</v>
      </c>
      <c r="AL42" s="1">
        <f t="shared" si="1"/>
        <v>0</v>
      </c>
      <c r="AM42" s="1" t="e">
        <f>scheduleapr[[#This Row],[SCHEDULE in nos]]/scheduleapr[[#This Row],[SCHEDULE IN MT]]*scheduleapr[[#This Row],[CTL Stock]]</f>
        <v>#DIV/0!</v>
      </c>
      <c r="AN42" s="1">
        <f>SUMIFS(stock[MT],stock[Bucket],scheduleapr[[#This Row],[Bucket]],stock[CTL Bucket],scheduleapr[[#This Row],[CTL Bucket]],stock[Plant],"0789")</f>
        <v>0</v>
      </c>
      <c r="AO42" s="1"/>
      <c r="AP42" s="1">
        <f>SUMIFS(stock[MT],stock[Bucket],scheduleapr[[#This Row],[Bucket]],stock[LL or CTL],"LL")</f>
        <v>6.5656999999999993E-2</v>
      </c>
      <c r="AQ42" s="1">
        <f>+SUMIFS(wip[Stock(Net Wt)],wip[Bucket],scheduleapr[[#This Row],[Bucket]])/1000</f>
        <v>8.9860000000000007</v>
      </c>
      <c r="AR42" s="1">
        <f t="shared" si="2"/>
        <v>0</v>
      </c>
      <c r="AS42" s="118"/>
    </row>
    <row r="43" spans="1:45" x14ac:dyDescent="0.25">
      <c r="A43" s="30">
        <v>27</v>
      </c>
      <c r="B43" s="5" t="s">
        <v>1816</v>
      </c>
      <c r="C43" s="2" t="s">
        <v>284</v>
      </c>
      <c r="D43" s="2" t="s">
        <v>1873</v>
      </c>
      <c r="E43" s="2" t="s">
        <v>285</v>
      </c>
      <c r="F43" s="2"/>
      <c r="G43" s="2" t="str">
        <f>_xlfn.CONCAT(scheduleapr[[#This Row],[CUSTOMER CODE]],"-",scheduleapr[[#This Row],[MATERIAL NO]])</f>
        <v>129663|948721-</v>
      </c>
      <c r="H43" s="2" t="s">
        <v>1880</v>
      </c>
      <c r="I43" s="2" t="s">
        <v>962</v>
      </c>
      <c r="J43" s="2"/>
      <c r="K43" s="2" t="s">
        <v>963</v>
      </c>
      <c r="L43" s="2" t="s">
        <v>1867</v>
      </c>
      <c r="M43" s="2" t="s">
        <v>1881</v>
      </c>
      <c r="N43" s="2"/>
      <c r="O43" s="2"/>
      <c r="P43" s="2"/>
      <c r="Q43" s="557" t="str">
        <f>CONCATENATE(scheduleapr[[#This Row],[OD]],"-",scheduleapr[[#This Row],[ID]],"-",scheduleapr[[#This Row],[TICKNESS]],"-",scheduleapr[[#This Row],[Grade]],"-",scheduleapr[[#This Row],[FC/NFC]])</f>
        <v>15.88-0-1.6-ERW 1-PE</v>
      </c>
      <c r="R43" s="557" t="str">
        <f>_xlfn.CONCAT(scheduleapr[[#This Row],[Bucket]],"-",scheduleapr[[#This Row],[LENGTH]]/1000)</f>
        <v>15.88-0-1.6-ERW 1-PE-0.15</v>
      </c>
      <c r="S43" s="557">
        <f>COUNTIF(scheduleapr[CTL Bucket],scheduleapr[[#This Row],[CTL Bucket]])</f>
        <v>1</v>
      </c>
      <c r="T43" s="2" t="s">
        <v>1816</v>
      </c>
      <c r="U43" s="2">
        <f>_xlfn.IFNA(VLOOKUP(scheduleapr[[#This Row],[Bucket]],salesforecast[[#All],[Bucket2]:[8406 Stock]],19,0),0)</f>
        <v>0</v>
      </c>
      <c r="V43" s="562">
        <f>_xlfn.IFNA(VLOOKUP(scheduleapr[[#This Row],[Bucket]],salesforecast[[#All],[Bucket2]:[8406 Stock]],20,0),0)+_xlfn.IFNA(VLOOKUP(scheduleapr[[#This Row],[Bucket]],salesforecast[[#All],[Bucket2]:[8406 Stock]],17,0),0)</f>
        <v>0</v>
      </c>
      <c r="W43" s="2"/>
      <c r="X43" s="559">
        <v>15.88</v>
      </c>
      <c r="Y43" s="559">
        <v>15.88</v>
      </c>
      <c r="Z43" s="559">
        <v>0</v>
      </c>
      <c r="AA43" s="1">
        <v>1.6</v>
      </c>
      <c r="AB43" s="24">
        <v>150</v>
      </c>
      <c r="AC43" s="24" t="s">
        <v>397</v>
      </c>
      <c r="AD43" s="24"/>
      <c r="AE43" s="24"/>
      <c r="AF43" s="2">
        <v>30000</v>
      </c>
      <c r="AG43" s="2"/>
      <c r="AH43" s="2" cm="1">
        <f t="array" ref="AH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 s="4">
        <f>scheduleapr[[#This Row],[SCHEDULE in nos]]-scheduleapr[[#This Row],[DISPATCH]]</f>
        <v>30000</v>
      </c>
      <c r="AJ43" s="1">
        <f>(3.14*(scheduleapr[[#This Row],[ACTUAL OD]]-scheduleapr[[#This Row],[TICKNESS]])*scheduleapr[[#This Row],[TICKNESS]]*scheduleapr[[#This Row],[LENGTH]]*7.85)/1000000*scheduleapr[[#This Row],[SCHEDULE in nos]]/1000</f>
        <v>2.5343115840000001</v>
      </c>
      <c r="AK43" s="1">
        <f>(3.14*(scheduleapr[[#This Row],[ACTUAL OD]]-scheduleapr[[#This Row],[TICKNESS]])*scheduleapr[[#This Row],[TICKNESS]]*scheduleapr[[#This Row],[LENGTH]]*7.85)/1000000*scheduleapr[[#This Row],[DISPATCH]]/1000</f>
        <v>0</v>
      </c>
      <c r="AL43" s="1">
        <f t="shared" si="1"/>
        <v>2.5343115840000001</v>
      </c>
      <c r="AM43" s="1">
        <f>scheduleapr[[#This Row],[SCHEDULE in nos]]/scheduleapr[[#This Row],[SCHEDULE IN MT]]*scheduleapr[[#This Row],[CTL Stock]]</f>
        <v>26.871202590060058</v>
      </c>
      <c r="AN43" s="1">
        <f>SUMIFS(stock[MT],stock[Bucket],scheduleapr[[#This Row],[Bucket]],stock[CTL Bucket],scheduleapr[[#This Row],[CTL Bucket]],stock[Plant],"0789")</f>
        <v>2.2700000000000003E-3</v>
      </c>
      <c r="AO43" s="1"/>
      <c r="AP43" s="1">
        <f>SUMIFS(stock[MT],stock[Bucket],scheduleapr[[#This Row],[Bucket]],stock[LL or CTL],"LL")</f>
        <v>0</v>
      </c>
      <c r="AQ43" s="1">
        <f>+SUMIFS(wip[Stock(Net Wt)],wip[Bucket],scheduleapr[[#This Row],[Bucket]])/1000</f>
        <v>3.8879999999999999</v>
      </c>
      <c r="AR43" s="1">
        <f t="shared" si="2"/>
        <v>2.5320415839999999</v>
      </c>
      <c r="AS43" s="118"/>
    </row>
    <row r="44" spans="1:45" x14ac:dyDescent="0.25">
      <c r="A44" s="30">
        <v>28</v>
      </c>
      <c r="B44" s="5" t="s">
        <v>1816</v>
      </c>
      <c r="C44" s="2" t="s">
        <v>284</v>
      </c>
      <c r="D44" s="2" t="s">
        <v>1873</v>
      </c>
      <c r="E44" s="2" t="s">
        <v>285</v>
      </c>
      <c r="F44" s="2"/>
      <c r="G44" s="2" t="str">
        <f>_xlfn.CONCAT(scheduleapr[[#This Row],[CUSTOMER CODE]],"-",scheduleapr[[#This Row],[MATERIAL NO]])</f>
        <v>129663|948721-</v>
      </c>
      <c r="H44" s="2" t="s">
        <v>1880</v>
      </c>
      <c r="I44" s="2" t="s">
        <v>962</v>
      </c>
      <c r="J44" s="2"/>
      <c r="K44" s="2" t="s">
        <v>963</v>
      </c>
      <c r="L44" s="2" t="s">
        <v>1867</v>
      </c>
      <c r="M44" s="2" t="s">
        <v>1881</v>
      </c>
      <c r="N44" s="2"/>
      <c r="O44" s="2"/>
      <c r="P44" s="2"/>
      <c r="Q44" s="557" t="str">
        <f>CONCATENATE(scheduleapr[[#This Row],[OD]],"-",scheduleapr[[#This Row],[ID]],"-",scheduleapr[[#This Row],[TICKNESS]],"-",scheduleapr[[#This Row],[Grade]],"-",scheduleapr[[#This Row],[FC/NFC]])</f>
        <v>15.88-0-1.6-ERW 1-PE</v>
      </c>
      <c r="R44" s="557" t="str">
        <f>_xlfn.CONCAT(scheduleapr[[#This Row],[Bucket]],"-",scheduleapr[[#This Row],[LENGTH]]/1000)</f>
        <v>15.88-0-1.6-ERW 1-PE-0.154</v>
      </c>
      <c r="S44" s="557">
        <f>COUNTIF(scheduleapr[CTL Bucket],scheduleapr[[#This Row],[CTL Bucket]])</f>
        <v>1</v>
      </c>
      <c r="T44" s="2" t="s">
        <v>1816</v>
      </c>
      <c r="U44" s="2">
        <f>_xlfn.IFNA(VLOOKUP(scheduleapr[[#This Row],[Bucket]],salesforecast[[#All],[Bucket2]:[8406 Stock]],19,0),0)</f>
        <v>0</v>
      </c>
      <c r="V44" s="562">
        <f>_xlfn.IFNA(VLOOKUP(scheduleapr[[#This Row],[Bucket]],salesforecast[[#All],[Bucket2]:[8406 Stock]],20,0),0)+_xlfn.IFNA(VLOOKUP(scheduleapr[[#This Row],[Bucket]],salesforecast[[#All],[Bucket2]:[8406 Stock]],17,0),0)</f>
        <v>0</v>
      </c>
      <c r="W44" s="2"/>
      <c r="X44" s="559">
        <v>15.88</v>
      </c>
      <c r="Y44" s="559">
        <v>15.88</v>
      </c>
      <c r="Z44" s="559">
        <v>0</v>
      </c>
      <c r="AA44" s="1">
        <v>1.6</v>
      </c>
      <c r="AB44" s="24">
        <v>154</v>
      </c>
      <c r="AC44" s="24" t="s">
        <v>397</v>
      </c>
      <c r="AD44" s="24"/>
      <c r="AE44" s="24"/>
      <c r="AF44" s="2">
        <v>30000</v>
      </c>
      <c r="AG44" s="2"/>
      <c r="AH44" s="2" cm="1">
        <f t="array" ref="AH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 s="4">
        <f>scheduleapr[[#This Row],[SCHEDULE in nos]]-scheduleapr[[#This Row],[DISPATCH]]</f>
        <v>30000</v>
      </c>
      <c r="AJ44" s="1">
        <f>(3.14*(scheduleapr[[#This Row],[ACTUAL OD]]-scheduleapr[[#This Row],[TICKNESS]])*scheduleapr[[#This Row],[TICKNESS]]*scheduleapr[[#This Row],[LENGTH]]*7.85)/1000000*scheduleapr[[#This Row],[SCHEDULE in nos]]/1000</f>
        <v>2.6018932262400001</v>
      </c>
      <c r="AK44" s="1">
        <f>(3.14*(scheduleapr[[#This Row],[ACTUAL OD]]-scheduleapr[[#This Row],[TICKNESS]])*scheduleapr[[#This Row],[TICKNESS]]*scheduleapr[[#This Row],[LENGTH]]*7.85)/1000000*scheduleapr[[#This Row],[DISPATCH]]/1000</f>
        <v>0</v>
      </c>
      <c r="AL44" s="1">
        <f t="shared" si="1"/>
        <v>2.6018932262400001</v>
      </c>
      <c r="AM44" s="1">
        <f>scheduleapr[[#This Row],[SCHEDULE in nos]]/scheduleapr[[#This Row],[SCHEDULE IN MT]]*scheduleapr[[#This Row],[CTL Stock]]</f>
        <v>22.841060271286533</v>
      </c>
      <c r="AN44" s="1">
        <f>SUMIFS(stock[MT],stock[Bucket],scheduleapr[[#This Row],[Bucket]],stock[CTL Bucket],scheduleapr[[#This Row],[CTL Bucket]],stock[Plant],"0789")</f>
        <v>1.9810000000000001E-3</v>
      </c>
      <c r="AO44" s="1"/>
      <c r="AP44" s="1">
        <f>SUMIFS(stock[MT],stock[Bucket],scheduleapr[[#This Row],[Bucket]],stock[LL or CTL],"LL")</f>
        <v>0</v>
      </c>
      <c r="AQ44" s="1">
        <f>+SUMIFS(wip[Stock(Net Wt)],wip[Bucket],scheduleapr[[#This Row],[Bucket]])/1000</f>
        <v>3.8879999999999999</v>
      </c>
      <c r="AR44" s="1">
        <f t="shared" si="2"/>
        <v>2.5999122262400003</v>
      </c>
      <c r="AS44" s="118"/>
    </row>
    <row r="45" spans="1:45" x14ac:dyDescent="0.25">
      <c r="A45" s="30">
        <v>29</v>
      </c>
      <c r="B45" s="5" t="s">
        <v>1816</v>
      </c>
      <c r="C45" s="2" t="s">
        <v>284</v>
      </c>
      <c r="D45" s="2" t="s">
        <v>1873</v>
      </c>
      <c r="E45" s="2" t="s">
        <v>285</v>
      </c>
      <c r="F45" s="2">
        <v>1900224</v>
      </c>
      <c r="G45" s="2" t="str">
        <f>_xlfn.CONCAT(scheduleapr[[#This Row],[CUSTOMER CODE]],"-",scheduleapr[[#This Row],[MATERIAL NO]])</f>
        <v>129663|948721-1900224</v>
      </c>
      <c r="H45" s="2" t="s">
        <v>1880</v>
      </c>
      <c r="I45" s="2" t="s">
        <v>962</v>
      </c>
      <c r="J45" s="2"/>
      <c r="K45" s="2" t="s">
        <v>963</v>
      </c>
      <c r="L45" s="2" t="s">
        <v>1867</v>
      </c>
      <c r="M45" s="44" t="s">
        <v>1868</v>
      </c>
      <c r="N45" s="2"/>
      <c r="O45" s="2"/>
      <c r="P45" s="2"/>
      <c r="Q45" s="557" t="str">
        <f>CONCATENATE(scheduleapr[[#This Row],[OD]],"-",scheduleapr[[#This Row],[ID]],"-",scheduleapr[[#This Row],[TICKNESS]],"-",scheduleapr[[#This Row],[Grade]],"-",scheduleapr[[#This Row],[FC/NFC]])</f>
        <v>15.88-0-1.6-ERW 1-PE</v>
      </c>
      <c r="R45" s="557" t="str">
        <f>_xlfn.CONCAT(scheduleapr[[#This Row],[Bucket]],"-",scheduleapr[[#This Row],[LENGTH]]/1000)</f>
        <v>15.88-0-1.6-ERW 1-PE-1</v>
      </c>
      <c r="S45" s="557">
        <f>COUNTIF(scheduleapr[CTL Bucket],scheduleapr[[#This Row],[CTL Bucket]])</f>
        <v>6</v>
      </c>
      <c r="T45" s="2" t="s">
        <v>1816</v>
      </c>
      <c r="U45" s="2"/>
      <c r="V45" s="557"/>
      <c r="W45" s="557"/>
      <c r="X45" s="1">
        <v>15.88</v>
      </c>
      <c r="Y45" s="1">
        <v>15.88</v>
      </c>
      <c r="Z45" s="1">
        <v>0</v>
      </c>
      <c r="AA45" s="1">
        <v>1.6</v>
      </c>
      <c r="AB45" s="24">
        <v>1000</v>
      </c>
      <c r="AC45" s="24" t="s">
        <v>444</v>
      </c>
      <c r="AD45" s="24"/>
      <c r="AE45" s="24"/>
      <c r="AF45" s="2"/>
      <c r="AG45" s="2"/>
      <c r="AH45" s="2" cm="1">
        <f t="array" ref="AH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 s="4">
        <f>scheduleapr[[#This Row],[SCHEDULE in nos]]-scheduleapr[[#This Row],[DISPATCH]]</f>
        <v>0</v>
      </c>
      <c r="AJ45" s="1">
        <f>(3.14*(scheduleapr[[#This Row],[ACTUAL OD]]-scheduleapr[[#This Row],[TICKNESS]])*scheduleapr[[#This Row],[TICKNESS]]*scheduleapr[[#This Row],[LENGTH]]*7.85)/1000000*scheduleapr[[#This Row],[SCHEDULE in nos]]/1000</f>
        <v>0</v>
      </c>
      <c r="AK45" s="1">
        <f>(3.14*(scheduleapr[[#This Row],[ACTUAL OD]]-scheduleapr[[#This Row],[TICKNESS]])*scheduleapr[[#This Row],[TICKNESS]]*scheduleapr[[#This Row],[LENGTH]]*7.85)/1000000*scheduleapr[[#This Row],[DISPATCH]]/1000</f>
        <v>0</v>
      </c>
      <c r="AL45" s="1">
        <f t="shared" si="1"/>
        <v>0</v>
      </c>
      <c r="AM45" s="1" t="e">
        <f>scheduleapr[[#This Row],[SCHEDULE in nos]]/scheduleapr[[#This Row],[SCHEDULE IN MT]]*scheduleapr[[#This Row],[CTL Stock]]</f>
        <v>#DIV/0!</v>
      </c>
      <c r="AN45" s="1">
        <f>SUMIFS(stock[MT],stock[Bucket],scheduleapr[[#This Row],[Bucket]],stock[CTL Bucket],scheduleapr[[#This Row],[CTL Bucket]],stock[Plant],"0789")</f>
        <v>0</v>
      </c>
      <c r="AO45" s="1"/>
      <c r="AP45" s="1">
        <f>SUMIFS(stock[MT],stock[Bucket],scheduleapr[[#This Row],[Bucket]],stock[LL or CTL],"LL")</f>
        <v>0</v>
      </c>
      <c r="AQ45" s="1">
        <f>+SUMIFS(wip[Stock(Net Wt)],wip[Bucket],scheduleapr[[#This Row],[Bucket]])/1000</f>
        <v>3.8879999999999999</v>
      </c>
      <c r="AR45" s="1">
        <f t="shared" si="2"/>
        <v>0</v>
      </c>
      <c r="AS45" s="118"/>
    </row>
    <row r="46" spans="1:45" x14ac:dyDescent="0.25">
      <c r="A46" s="30">
        <v>30</v>
      </c>
      <c r="B46" s="5" t="s">
        <v>1816</v>
      </c>
      <c r="C46" s="2" t="s">
        <v>284</v>
      </c>
      <c r="D46" s="2" t="s">
        <v>1873</v>
      </c>
      <c r="E46" s="2" t="s">
        <v>285</v>
      </c>
      <c r="F46" s="2">
        <v>468311</v>
      </c>
      <c r="G46" s="2" t="str">
        <f>_xlfn.CONCAT(scheduleapr[[#This Row],[CUSTOMER CODE]],"-",scheduleapr[[#This Row],[MATERIAL NO]])</f>
        <v>129663|948721-468311</v>
      </c>
      <c r="H46" s="2" t="s">
        <v>1882</v>
      </c>
      <c r="I46" s="2" t="s">
        <v>962</v>
      </c>
      <c r="J46" s="2"/>
      <c r="K46" s="2" t="s">
        <v>963</v>
      </c>
      <c r="L46" s="2" t="s">
        <v>239</v>
      </c>
      <c r="M46" s="2"/>
      <c r="N46" s="2"/>
      <c r="O46" s="2"/>
      <c r="P46" s="2"/>
      <c r="Q46" s="557" t="str">
        <f>CONCATENATE(scheduleapr[[#This Row],[OD]],"-",scheduleapr[[#This Row],[ID]],"-",scheduleapr[[#This Row],[TICKNESS]],"-",scheduleapr[[#This Row],[Grade]],"-",scheduleapr[[#This Row],[FC/NFC]])</f>
        <v>15.88-0-2-ERW 1-PE</v>
      </c>
      <c r="R46" s="557" t="str">
        <f>_xlfn.CONCAT(scheduleapr[[#This Row],[Bucket]],"-",scheduleapr[[#This Row],[LENGTH]]/1000)</f>
        <v>15.88-0-2-ERW 1-PE-0.291</v>
      </c>
      <c r="S46" s="557">
        <f>COUNTIF(scheduleapr[CTL Bucket],scheduleapr[[#This Row],[CTL Bucket]])</f>
        <v>5</v>
      </c>
      <c r="T46" s="2" t="s">
        <v>1816</v>
      </c>
      <c r="U46" s="557"/>
      <c r="V46" s="557"/>
      <c r="W46" s="557"/>
      <c r="X46" s="6">
        <v>15.88</v>
      </c>
      <c r="Y46" s="6">
        <v>15.88</v>
      </c>
      <c r="Z46" s="1">
        <v>0</v>
      </c>
      <c r="AA46" s="1">
        <v>2</v>
      </c>
      <c r="AB46" s="24">
        <v>291</v>
      </c>
      <c r="AC46" s="24" t="s">
        <v>397</v>
      </c>
      <c r="AD46" s="24"/>
      <c r="AE46" s="24"/>
      <c r="AF46" s="2"/>
      <c r="AG46" s="2"/>
      <c r="AH46" s="2" cm="1">
        <f t="array" ref="AH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 s="4">
        <f>scheduleapr[[#This Row],[SCHEDULE in nos]]-scheduleapr[[#This Row],[DISPATCH]]</f>
        <v>0</v>
      </c>
      <c r="AJ46" s="1">
        <f>(3.14*(scheduleapr[[#This Row],[ACTUAL OD]]-scheduleapr[[#This Row],[TICKNESS]])*scheduleapr[[#This Row],[TICKNESS]]*scheduleapr[[#This Row],[LENGTH]]*7.85)/1000000*scheduleapr[[#This Row],[SCHEDULE in nos]]/1000</f>
        <v>0</v>
      </c>
      <c r="AK46" s="1">
        <f>(3.14*(scheduleapr[[#This Row],[ACTUAL OD]]-scheduleapr[[#This Row],[TICKNESS]])*scheduleapr[[#This Row],[TICKNESS]]*scheduleapr[[#This Row],[LENGTH]]*7.85)/1000000*scheduleapr[[#This Row],[DISPATCH]]/1000</f>
        <v>0</v>
      </c>
      <c r="AL46" s="1">
        <f t="shared" si="1"/>
        <v>0</v>
      </c>
      <c r="AM46" s="1" t="e">
        <f>scheduleapr[[#This Row],[SCHEDULE in nos]]/scheduleapr[[#This Row],[SCHEDULE IN MT]]*scheduleapr[[#This Row],[CTL Stock]]</f>
        <v>#DIV/0!</v>
      </c>
      <c r="AN46" s="1">
        <f>SUMIFS(stock[MT],stock[Bucket],scheduleapr[[#This Row],[Bucket]],stock[CTL Bucket],scheduleapr[[#This Row],[CTL Bucket]],stock[Plant],"0789")</f>
        <v>0.29363400000000001</v>
      </c>
      <c r="AO46" s="1"/>
      <c r="AP46" s="1">
        <f>SUMIFS(stock[MT],stock[Bucket],scheduleapr[[#This Row],[Bucket]],stock[LL or CTL],"LL")</f>
        <v>0</v>
      </c>
      <c r="AQ46" s="1">
        <f>+SUMIFS(wip[Stock(Net Wt)],wip[Bucket],scheduleapr[[#This Row],[Bucket]])/1000</f>
        <v>0.24399999999999999</v>
      </c>
      <c r="AR46" s="1">
        <f t="shared" si="2"/>
        <v>-0.29363400000000001</v>
      </c>
      <c r="AS46" s="118"/>
    </row>
    <row r="47" spans="1:45" x14ac:dyDescent="0.25">
      <c r="A47" s="30">
        <v>33</v>
      </c>
      <c r="B47" s="5" t="s">
        <v>1872</v>
      </c>
      <c r="C47" s="2" t="s">
        <v>284</v>
      </c>
      <c r="D47" s="2" t="s">
        <v>1873</v>
      </c>
      <c r="E47" s="2" t="s">
        <v>285</v>
      </c>
      <c r="F47" s="2">
        <v>1938118</v>
      </c>
      <c r="G47" s="2" t="str">
        <f>_xlfn.CONCAT(scheduleapr[[#This Row],[CUSTOMER CODE]],"-",scheduleapr[[#This Row],[MATERIAL NO]])</f>
        <v>129663|948721-1938118</v>
      </c>
      <c r="H47" s="2" t="s">
        <v>1233</v>
      </c>
      <c r="I47" s="2" t="s">
        <v>962</v>
      </c>
      <c r="J47" s="2"/>
      <c r="K47" s="2" t="s">
        <v>963</v>
      </c>
      <c r="L47" s="2" t="s">
        <v>1867</v>
      </c>
      <c r="M47" s="2" t="s">
        <v>1883</v>
      </c>
      <c r="N47" s="2"/>
      <c r="O47" s="2"/>
      <c r="P47" s="2"/>
      <c r="Q47" s="557" t="str">
        <f>CONCATENATE(scheduleapr[[#This Row],[OD]],"-",scheduleapr[[#This Row],[ID]],"-",scheduleapr[[#This Row],[TICKNESS]],"-",scheduleapr[[#This Row],[Grade]],"-",scheduleapr[[#This Row],[FC/NFC]])</f>
        <v>17.3-0-1.6-ERW 1-PE</v>
      </c>
      <c r="R47" s="557" t="str">
        <f>_xlfn.CONCAT(scheduleapr[[#This Row],[Bucket]],"-",scheduleapr[[#This Row],[LENGTH]]/1000)</f>
        <v>17.3-0-1.6-ERW 1-PE-0.355</v>
      </c>
      <c r="S47" s="557">
        <f>COUNTIF(scheduleapr[CTL Bucket],scheduleapr[[#This Row],[CTL Bucket]])</f>
        <v>2</v>
      </c>
      <c r="T47" s="2" t="s">
        <v>1817</v>
      </c>
      <c r="U47" s="2">
        <f>_xlfn.IFNA(VLOOKUP(scheduleapr[[#This Row],[Bucket]],salesforecast[[#All],[Bucket2]:[8406 Stock]],19,0),0)</f>
        <v>9.3040000000000012E-2</v>
      </c>
      <c r="V47" s="562">
        <f>_xlfn.IFNA(VLOOKUP(scheduleapr[[#This Row],[Bucket]],salesforecast[[#All],[Bucket2]:[8406 Stock]],20,0),0)+_xlfn.IFNA(VLOOKUP(scheduleapr[[#This Row],[Bucket]],salesforecast[[#All],[Bucket2]:[8406 Stock]],17,0),0)</f>
        <v>0</v>
      </c>
      <c r="W47" s="557"/>
      <c r="X47" s="6">
        <v>17.3</v>
      </c>
      <c r="Y47" s="6">
        <v>17.3</v>
      </c>
      <c r="Z47" s="1">
        <v>0</v>
      </c>
      <c r="AA47" s="1">
        <v>1.6</v>
      </c>
      <c r="AB47" s="24">
        <v>355</v>
      </c>
      <c r="AC47" s="24" t="s">
        <v>397</v>
      </c>
      <c r="AD47" s="24"/>
      <c r="AE47" s="24"/>
      <c r="AF47" s="2">
        <v>20000</v>
      </c>
      <c r="AG47" s="2"/>
      <c r="AH47" s="2" cm="1">
        <f t="array" ref="AH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 s="4">
        <f>scheduleapr[[#This Row],[SCHEDULE in nos]]-scheduleapr[[#This Row],[DISPATCH]]</f>
        <v>20000</v>
      </c>
      <c r="AJ47" s="1">
        <f>(3.14*(scheduleapr[[#This Row],[ACTUAL OD]]-scheduleapr[[#This Row],[TICKNESS]])*scheduleapr[[#This Row],[TICKNESS]]*scheduleapr[[#This Row],[LENGTH]]*7.85)/1000000*scheduleapr[[#This Row],[SCHEDULE in nos]]/1000</f>
        <v>4.3961984479999998</v>
      </c>
      <c r="AK47" s="1">
        <f>(3.14*(scheduleapr[[#This Row],[ACTUAL OD]]-scheduleapr[[#This Row],[TICKNESS]])*scheduleapr[[#This Row],[TICKNESS]]*scheduleapr[[#This Row],[LENGTH]]*7.85)/1000000*scheduleapr[[#This Row],[DISPATCH]]/1000</f>
        <v>0</v>
      </c>
      <c r="AL47" s="1">
        <f t="shared" si="1"/>
        <v>4.3961984479999998</v>
      </c>
      <c r="AM47" s="1">
        <f>scheduleapr[[#This Row],[SCHEDULE in nos]]/scheduleapr[[#This Row],[SCHEDULE IN MT]]*scheduleapr[[#This Row],[CTL Stock]]</f>
        <v>0</v>
      </c>
      <c r="AN47" s="1">
        <f>SUMIFS(stock[MT],stock[Bucket],scheduleapr[[#This Row],[Bucket]],stock[CTL Bucket],scheduleapr[[#This Row],[CTL Bucket]],stock[Plant],"0789")</f>
        <v>0</v>
      </c>
      <c r="AO47" s="1"/>
      <c r="AP47" s="1">
        <f>SUMIFS(stock[MT],stock[Bucket],scheduleapr[[#This Row],[Bucket]],stock[LL or CTL],"LL")</f>
        <v>9.3040000000000012E-2</v>
      </c>
      <c r="AQ47" s="1">
        <f>+SUMIFS(wip[Stock(Net Wt)],wip[Bucket],scheduleapr[[#This Row],[Bucket]])/1000</f>
        <v>0</v>
      </c>
      <c r="AR47" s="1">
        <f t="shared" si="2"/>
        <v>4.3961984479999998</v>
      </c>
      <c r="AS47" s="118"/>
    </row>
    <row r="48" spans="1:45" x14ac:dyDescent="0.25">
      <c r="A48" s="30">
        <v>34</v>
      </c>
      <c r="B48" s="5" t="s">
        <v>1872</v>
      </c>
      <c r="C48" s="2" t="s">
        <v>284</v>
      </c>
      <c r="D48" s="2" t="s">
        <v>1873</v>
      </c>
      <c r="E48" s="2" t="s">
        <v>285</v>
      </c>
      <c r="F48" s="2"/>
      <c r="G48" s="2" t="str">
        <f>_xlfn.CONCAT(scheduleapr[[#This Row],[CUSTOMER CODE]],"-",scheduleapr[[#This Row],[MATERIAL NO]])</f>
        <v>129663|948721-</v>
      </c>
      <c r="H48" s="2" t="s">
        <v>1884</v>
      </c>
      <c r="I48" s="2" t="s">
        <v>962</v>
      </c>
      <c r="J48" s="2"/>
      <c r="K48" s="2" t="s">
        <v>963</v>
      </c>
      <c r="L48" s="2" t="s">
        <v>239</v>
      </c>
      <c r="M48" s="2"/>
      <c r="N48" s="2"/>
      <c r="O48" s="2"/>
      <c r="P48" s="2"/>
      <c r="Q48" s="557" t="str">
        <f>CONCATENATE(scheduleapr[[#This Row],[OD]],"-",scheduleapr[[#This Row],[ID]],"-",scheduleapr[[#This Row],[TICKNESS]],"-",scheduleapr[[#This Row],[Grade]],"-",scheduleapr[[#This Row],[FC/NFC]])</f>
        <v>17.3-0-1.6-ERW 1-PE</v>
      </c>
      <c r="R48" s="557" t="str">
        <f>_xlfn.CONCAT(scheduleapr[[#This Row],[Bucket]],"-",scheduleapr[[#This Row],[LENGTH]]/1000)</f>
        <v>17.3-0-1.6-ERW 1-PE-0.385</v>
      </c>
      <c r="S48" s="557">
        <f>COUNTIF(scheduleapr[CTL Bucket],scheduleapr[[#This Row],[CTL Bucket]])</f>
        <v>1</v>
      </c>
      <c r="T48" s="557"/>
      <c r="U48" s="557"/>
      <c r="V48" s="557"/>
      <c r="W48" s="557"/>
      <c r="X48" s="6">
        <v>17.3</v>
      </c>
      <c r="Y48" s="6">
        <v>17.3</v>
      </c>
      <c r="Z48" s="1">
        <v>0</v>
      </c>
      <c r="AA48" s="1">
        <v>1.6</v>
      </c>
      <c r="AB48" s="24">
        <v>385</v>
      </c>
      <c r="AC48" s="24" t="s">
        <v>397</v>
      </c>
      <c r="AD48" s="24"/>
      <c r="AE48" s="24"/>
      <c r="AF48" s="2"/>
      <c r="AG48" s="2"/>
      <c r="AH48" s="2" cm="1">
        <f t="array" ref="AH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 s="4">
        <f>scheduleapr[[#This Row],[SCHEDULE in nos]]-scheduleapr[[#This Row],[DISPATCH]]</f>
        <v>0</v>
      </c>
      <c r="AJ48" s="1">
        <f>(3.14*(scheduleapr[[#This Row],[ACTUAL OD]]-scheduleapr[[#This Row],[TICKNESS]])*scheduleapr[[#This Row],[TICKNESS]]*scheduleapr[[#This Row],[LENGTH]]*7.85)/1000000*scheduleapr[[#This Row],[SCHEDULE in nos]]/1000</f>
        <v>0</v>
      </c>
      <c r="AK48" s="1">
        <f>(3.14*(scheduleapr[[#This Row],[ACTUAL OD]]-scheduleapr[[#This Row],[TICKNESS]])*scheduleapr[[#This Row],[TICKNESS]]*scheduleapr[[#This Row],[LENGTH]]*7.85)/1000000*scheduleapr[[#This Row],[DISPATCH]]/1000</f>
        <v>0</v>
      </c>
      <c r="AL48" s="1">
        <f t="shared" si="1"/>
        <v>0</v>
      </c>
      <c r="AM48" s="1" t="e">
        <f>scheduleapr[[#This Row],[SCHEDULE in nos]]/scheduleapr[[#This Row],[SCHEDULE IN MT]]*scheduleapr[[#This Row],[CTL Stock]]</f>
        <v>#DIV/0!</v>
      </c>
      <c r="AN48" s="1">
        <f>SUMIFS(stock[MT],stock[Bucket],scheduleapr[[#This Row],[Bucket]],stock[CTL Bucket],scheduleapr[[#This Row],[CTL Bucket]],stock[Plant],"0789")</f>
        <v>0</v>
      </c>
      <c r="AO48" s="1"/>
      <c r="AP48" s="1">
        <f>SUMIFS(stock[MT],stock[Bucket],scheduleapr[[#This Row],[Bucket]],stock[LL or CTL],"LL")</f>
        <v>9.3040000000000012E-2</v>
      </c>
      <c r="AQ48" s="1">
        <f>+SUMIFS(wip[Stock(Net Wt)],wip[Bucket],scheduleapr[[#This Row],[Bucket]])/1000</f>
        <v>0</v>
      </c>
      <c r="AR48" s="1">
        <f t="shared" si="2"/>
        <v>0</v>
      </c>
      <c r="AS48" s="118"/>
    </row>
    <row r="49" spans="1:45" x14ac:dyDescent="0.25">
      <c r="A49" s="30">
        <v>35</v>
      </c>
      <c r="B49" s="5" t="s">
        <v>1872</v>
      </c>
      <c r="C49" s="2" t="s">
        <v>284</v>
      </c>
      <c r="D49" s="2" t="s">
        <v>1873</v>
      </c>
      <c r="E49" s="2" t="s">
        <v>285</v>
      </c>
      <c r="F49" s="2">
        <v>1938119</v>
      </c>
      <c r="G49" s="2" t="str">
        <f>_xlfn.CONCAT(scheduleapr[[#This Row],[CUSTOMER CODE]],"-",scheduleapr[[#This Row],[MATERIAL NO]])</f>
        <v>129663|948721-1938119</v>
      </c>
      <c r="H49" s="2" t="s">
        <v>1235</v>
      </c>
      <c r="I49" s="2" t="s">
        <v>962</v>
      </c>
      <c r="J49" s="2"/>
      <c r="K49" s="2" t="s">
        <v>963</v>
      </c>
      <c r="L49" s="2" t="s">
        <v>1867</v>
      </c>
      <c r="M49" s="2" t="s">
        <v>1883</v>
      </c>
      <c r="N49" s="2"/>
      <c r="O49" s="2"/>
      <c r="P49" s="2"/>
      <c r="Q49" s="557" t="str">
        <f>CONCATENATE(scheduleapr[[#This Row],[OD]],"-",scheduleapr[[#This Row],[ID]],"-",scheduleapr[[#This Row],[TICKNESS]],"-",scheduleapr[[#This Row],[Grade]],"-",scheduleapr[[#This Row],[FC/NFC]])</f>
        <v>17.3-0-1.6-ERW 1-PE</v>
      </c>
      <c r="R49" s="557" t="str">
        <f>_xlfn.CONCAT(scheduleapr[[#This Row],[Bucket]],"-",scheduleapr[[#This Row],[LENGTH]]/1000)</f>
        <v>17.3-0-1.6-ERW 1-PE-0.4</v>
      </c>
      <c r="S49" s="557">
        <f>COUNTIF(scheduleapr[CTL Bucket],scheduleapr[[#This Row],[CTL Bucket]])</f>
        <v>3</v>
      </c>
      <c r="T49" s="2" t="s">
        <v>1817</v>
      </c>
      <c r="U49" s="2">
        <f>_xlfn.IFNA(VLOOKUP(scheduleapr[[#This Row],[Bucket]],salesforecast[[#All],[Bucket2]:[8406 Stock]],19,0),0)</f>
        <v>9.3040000000000012E-2</v>
      </c>
      <c r="V49" s="562">
        <f>_xlfn.IFNA(VLOOKUP(scheduleapr[[#This Row],[Bucket]],salesforecast[[#All],[Bucket2]:[8406 Stock]],20,0),0)+_xlfn.IFNA(VLOOKUP(scheduleapr[[#This Row],[Bucket]],salesforecast[[#All],[Bucket2]:[8406 Stock]],17,0),0)</f>
        <v>0</v>
      </c>
      <c r="W49" s="557"/>
      <c r="X49" s="6">
        <v>17.3</v>
      </c>
      <c r="Y49" s="6">
        <v>17.3</v>
      </c>
      <c r="Z49" s="1">
        <v>0</v>
      </c>
      <c r="AA49" s="1">
        <v>1.6</v>
      </c>
      <c r="AB49" s="24">
        <v>400</v>
      </c>
      <c r="AC49" s="24" t="s">
        <v>397</v>
      </c>
      <c r="AD49" s="24"/>
      <c r="AE49" s="24"/>
      <c r="AF49" s="2">
        <v>20000</v>
      </c>
      <c r="AG49" s="2"/>
      <c r="AH49" s="2" cm="1">
        <f t="array" ref="AH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49" s="4">
        <f>scheduleapr[[#This Row],[SCHEDULE in nos]]-scheduleapr[[#This Row],[DISPATCH]]</f>
        <v>19000</v>
      </c>
      <c r="AJ49" s="1">
        <f>(3.14*(scheduleapr[[#This Row],[ACTUAL OD]]-scheduleapr[[#This Row],[TICKNESS]])*scheduleapr[[#This Row],[TICKNESS]]*scheduleapr[[#This Row],[LENGTH]]*7.85)/1000000*scheduleapr[[#This Row],[SCHEDULE in nos]]/1000</f>
        <v>4.9534630400000008</v>
      </c>
      <c r="AK49" s="1">
        <f>(3.14*(scheduleapr[[#This Row],[ACTUAL OD]]-scheduleapr[[#This Row],[TICKNESS]])*scheduleapr[[#This Row],[TICKNESS]]*scheduleapr[[#This Row],[LENGTH]]*7.85)/1000000*scheduleapr[[#This Row],[DISPATCH]]/1000</f>
        <v>0.24767315200000001</v>
      </c>
      <c r="AL49" s="1">
        <f t="shared" si="1"/>
        <v>4.7057898880000009</v>
      </c>
      <c r="AM49" s="1">
        <f>scheduleapr[[#This Row],[SCHEDULE in nos]]/scheduleapr[[#This Row],[SCHEDULE IN MT]]*scheduleapr[[#This Row],[CTL Stock]]</f>
        <v>0</v>
      </c>
      <c r="AN49" s="1">
        <f>SUMIFS(stock[MT],stock[Bucket],scheduleapr[[#This Row],[Bucket]],stock[CTL Bucket],scheduleapr[[#This Row],[CTL Bucket]],stock[Plant],"0789")</f>
        <v>0</v>
      </c>
      <c r="AO49" s="1"/>
      <c r="AP49" s="1">
        <f>SUMIFS(stock[MT],stock[Bucket],scheduleapr[[#This Row],[Bucket]],stock[LL or CTL],"LL")</f>
        <v>9.3040000000000012E-2</v>
      </c>
      <c r="AQ49" s="1">
        <f>+SUMIFS(wip[Stock(Net Wt)],wip[Bucket],scheduleapr[[#This Row],[Bucket]])/1000</f>
        <v>0</v>
      </c>
      <c r="AR49" s="1">
        <f t="shared" si="2"/>
        <v>4.9534630400000008</v>
      </c>
      <c r="AS49" s="118"/>
    </row>
    <row r="50" spans="1:45" x14ac:dyDescent="0.25">
      <c r="A50" s="30">
        <v>43</v>
      </c>
      <c r="B50" s="5" t="s">
        <v>1816</v>
      </c>
      <c r="C50" s="2" t="s">
        <v>284</v>
      </c>
      <c r="D50" s="2" t="s">
        <v>1873</v>
      </c>
      <c r="E50" s="2" t="s">
        <v>285</v>
      </c>
      <c r="F50" s="2">
        <v>1940284</v>
      </c>
      <c r="G50" s="2" t="str">
        <f>_xlfn.CONCAT(scheduleapr[[#This Row],[CUSTOMER CODE]],"-",scheduleapr[[#This Row],[MATERIAL NO]])</f>
        <v>129663|948721-1940284</v>
      </c>
      <c r="H50" s="2" t="s">
        <v>1373</v>
      </c>
      <c r="I50" s="2" t="s">
        <v>962</v>
      </c>
      <c r="J50" s="2"/>
      <c r="K50" s="2" t="s">
        <v>963</v>
      </c>
      <c r="L50" s="2" t="s">
        <v>239</v>
      </c>
      <c r="M50" s="2"/>
      <c r="N50" s="2"/>
      <c r="O50" s="2"/>
      <c r="P50" s="2"/>
      <c r="Q50" s="557" t="str">
        <f>CONCATENATE(scheduleapr[[#This Row],[OD]],"-",scheduleapr[[#This Row],[ID]],"-",scheduleapr[[#This Row],[TICKNESS]],"-",scheduleapr[[#This Row],[Grade]],"-",scheduleapr[[#This Row],[FC/NFC]])</f>
        <v>19.05-0-2-ERW 1-PE</v>
      </c>
      <c r="R50" s="557" t="str">
        <f>_xlfn.CONCAT(scheduleapr[[#This Row],[Bucket]],"-",scheduleapr[[#This Row],[LENGTH]]/1000)</f>
        <v>19.05-0-2-ERW 1-PE-0.785</v>
      </c>
      <c r="S50" s="557">
        <f>COUNTIF(scheduleapr[CTL Bucket],scheduleapr[[#This Row],[CTL Bucket]])</f>
        <v>1</v>
      </c>
      <c r="T50" s="2" t="s">
        <v>1816</v>
      </c>
      <c r="U50" s="2">
        <f>_xlfn.IFNA(VLOOKUP(scheduleapr[[#This Row],[Bucket]],salesforecast[[#All],[Bucket2]:[8406 Stock]],19,0),0)</f>
        <v>0</v>
      </c>
      <c r="V50" s="562">
        <f>_xlfn.IFNA(VLOOKUP(scheduleapr[[#This Row],[Bucket]],salesforecast[[#All],[Bucket2]:[8406 Stock]],20,0),0)+_xlfn.IFNA(VLOOKUP(scheduleapr[[#This Row],[Bucket]],salesforecast[[#All],[Bucket2]:[8406 Stock]],17,0),0)</f>
        <v>0</v>
      </c>
      <c r="W50" s="557"/>
      <c r="X50" s="1">
        <v>19.05</v>
      </c>
      <c r="Y50" s="1">
        <v>19.05</v>
      </c>
      <c r="Z50" s="1">
        <v>0</v>
      </c>
      <c r="AA50" s="1">
        <v>2</v>
      </c>
      <c r="AB50" s="24">
        <v>785</v>
      </c>
      <c r="AC50" s="24" t="s">
        <v>397</v>
      </c>
      <c r="AD50" s="24"/>
      <c r="AE50" s="24"/>
      <c r="AF50" s="2">
        <v>1000</v>
      </c>
      <c r="AG50" s="2"/>
      <c r="AH50" s="2" cm="1">
        <f t="array" ref="AH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 s="4">
        <f>scheduleapr[[#This Row],[SCHEDULE in nos]]-scheduleapr[[#This Row],[DISPATCH]]</f>
        <v>1000</v>
      </c>
      <c r="AJ50" s="1">
        <f>(3.14*(scheduleapr[[#This Row],[ACTUAL OD]]-scheduleapr[[#This Row],[TICKNESS]])*scheduleapr[[#This Row],[TICKNESS]]*scheduleapr[[#This Row],[LENGTH]]*7.85)/1000000*scheduleapr[[#This Row],[SCHEDULE in nos]]/1000</f>
        <v>0.65981675650000005</v>
      </c>
      <c r="AK50" s="1">
        <f>(3.14*(scheduleapr[[#This Row],[ACTUAL OD]]-scheduleapr[[#This Row],[TICKNESS]])*scheduleapr[[#This Row],[TICKNESS]]*scheduleapr[[#This Row],[LENGTH]]*7.85)/1000000*scheduleapr[[#This Row],[DISPATCH]]/1000</f>
        <v>0</v>
      </c>
      <c r="AL50" s="1">
        <f t="shared" si="1"/>
        <v>0.65981675650000005</v>
      </c>
      <c r="AM50" s="1">
        <f>scheduleapr[[#This Row],[SCHEDULE in nos]]/scheduleapr[[#This Row],[SCHEDULE IN MT]]*scheduleapr[[#This Row],[CTL Stock]]</f>
        <v>0</v>
      </c>
      <c r="AN50" s="1">
        <f>SUMIFS(stock[MT],stock[Bucket],scheduleapr[[#This Row],[Bucket]],stock[CTL Bucket],scheduleapr[[#This Row],[CTL Bucket]],stock[Plant],"0789")</f>
        <v>0</v>
      </c>
      <c r="AO50" s="1"/>
      <c r="AP50" s="1">
        <f>SUMIFS(stock[MT],stock[Bucket],scheduleapr[[#This Row],[Bucket]],stock[LL or CTL],"LL")</f>
        <v>0</v>
      </c>
      <c r="AQ50" s="1">
        <f>+SUMIFS(wip[Stock(Net Wt)],wip[Bucket],scheduleapr[[#This Row],[Bucket]])/1000</f>
        <v>11.189</v>
      </c>
      <c r="AR50" s="1">
        <f t="shared" si="2"/>
        <v>0.65981675650000005</v>
      </c>
      <c r="AS50" s="118"/>
    </row>
    <row r="51" spans="1:45" x14ac:dyDescent="0.25">
      <c r="A51" s="30">
        <v>44</v>
      </c>
      <c r="B51" s="5" t="s">
        <v>1816</v>
      </c>
      <c r="C51" s="2" t="s">
        <v>284</v>
      </c>
      <c r="D51" s="2" t="s">
        <v>1873</v>
      </c>
      <c r="E51" s="2" t="s">
        <v>285</v>
      </c>
      <c r="F51" s="2">
        <v>1937438</v>
      </c>
      <c r="G51" s="2" t="str">
        <f>_xlfn.CONCAT(scheduleapr[[#This Row],[CUSTOMER CODE]],"-",scheduleapr[[#This Row],[MATERIAL NO]])</f>
        <v>129663|948721-1937438</v>
      </c>
      <c r="H51" s="2" t="s">
        <v>1386</v>
      </c>
      <c r="I51" s="2" t="s">
        <v>962</v>
      </c>
      <c r="J51" s="2"/>
      <c r="K51" s="2" t="s">
        <v>963</v>
      </c>
      <c r="L51" s="2" t="s">
        <v>239</v>
      </c>
      <c r="M51" s="2"/>
      <c r="N51" s="2"/>
      <c r="O51" s="2"/>
      <c r="P51" s="2"/>
      <c r="Q51" s="557" t="str">
        <f>CONCATENATE(scheduleapr[[#This Row],[OD]],"-",scheduleapr[[#This Row],[ID]],"-",scheduleapr[[#This Row],[TICKNESS]],"-",scheduleapr[[#This Row],[Grade]],"-",scheduleapr[[#This Row],[FC/NFC]])</f>
        <v>19.05-0-2-ERW 1-PE</v>
      </c>
      <c r="R51" s="557" t="str">
        <f>_xlfn.CONCAT(scheduleapr[[#This Row],[Bucket]],"-",scheduleapr[[#This Row],[LENGTH]]/1000)</f>
        <v>19.05-0-2-ERW 1-PE-0.83</v>
      </c>
      <c r="S51" s="557">
        <f>COUNTIF(scheduleapr[CTL Bucket],scheduleapr[[#This Row],[CTL Bucket]])</f>
        <v>2</v>
      </c>
      <c r="T51" s="2" t="s">
        <v>1816</v>
      </c>
      <c r="U51" s="2">
        <f>_xlfn.IFNA(VLOOKUP(scheduleapr[[#This Row],[Bucket]],salesforecast[[#All],[Bucket2]:[8406 Stock]],19,0),0)</f>
        <v>0</v>
      </c>
      <c r="V51" s="562">
        <f>_xlfn.IFNA(VLOOKUP(scheduleapr[[#This Row],[Bucket]],salesforecast[[#All],[Bucket2]:[8406 Stock]],20,0),0)+_xlfn.IFNA(VLOOKUP(scheduleapr[[#This Row],[Bucket]],salesforecast[[#All],[Bucket2]:[8406 Stock]],17,0),0)</f>
        <v>0</v>
      </c>
      <c r="W51" s="557"/>
      <c r="X51" s="1">
        <v>19.05</v>
      </c>
      <c r="Y51" s="1">
        <v>19.05</v>
      </c>
      <c r="Z51" s="1">
        <v>0</v>
      </c>
      <c r="AA51" s="1">
        <v>2</v>
      </c>
      <c r="AB51" s="24">
        <v>830</v>
      </c>
      <c r="AC51" s="24" t="s">
        <v>397</v>
      </c>
      <c r="AD51" s="24"/>
      <c r="AE51" s="24"/>
      <c r="AF51" s="2">
        <v>1000</v>
      </c>
      <c r="AG51" s="2"/>
      <c r="AH51" s="2" cm="1">
        <f t="array" ref="AH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 s="4">
        <f>scheduleapr[[#This Row],[SCHEDULE in nos]]-scheduleapr[[#This Row],[DISPATCH]]</f>
        <v>1000</v>
      </c>
      <c r="AJ51" s="1">
        <f>(3.14*(scheduleapr[[#This Row],[ACTUAL OD]]-scheduleapr[[#This Row],[TICKNESS]])*scheduleapr[[#This Row],[TICKNESS]]*scheduleapr[[#This Row],[LENGTH]]*7.85)/1000000*scheduleapr[[#This Row],[SCHEDULE in nos]]/1000</f>
        <v>0.69764064700000006</v>
      </c>
      <c r="AK51" s="1">
        <f>(3.14*(scheduleapr[[#This Row],[ACTUAL OD]]-scheduleapr[[#This Row],[TICKNESS]])*scheduleapr[[#This Row],[TICKNESS]]*scheduleapr[[#This Row],[LENGTH]]*7.85)/1000000*scheduleapr[[#This Row],[DISPATCH]]/1000</f>
        <v>0</v>
      </c>
      <c r="AL51" s="1">
        <f t="shared" si="1"/>
        <v>0.69764064700000006</v>
      </c>
      <c r="AM51" s="1">
        <f>scheduleapr[[#This Row],[SCHEDULE in nos]]/scheduleapr[[#This Row],[SCHEDULE IN MT]]*scheduleapr[[#This Row],[CTL Stock]]</f>
        <v>0</v>
      </c>
      <c r="AN51" s="1">
        <f>SUMIFS(stock[MT],stock[Bucket],scheduleapr[[#This Row],[Bucket]],stock[CTL Bucket],scheduleapr[[#This Row],[CTL Bucket]],stock[Plant],"0789")</f>
        <v>0</v>
      </c>
      <c r="AO51" s="1"/>
      <c r="AP51" s="1">
        <f>SUMIFS(stock[MT],stock[Bucket],scheduleapr[[#This Row],[Bucket]],stock[LL or CTL],"LL")</f>
        <v>0</v>
      </c>
      <c r="AQ51" s="1">
        <f>+SUMIFS(wip[Stock(Net Wt)],wip[Bucket],scheduleapr[[#This Row],[Bucket]])/1000</f>
        <v>11.189</v>
      </c>
      <c r="AR51" s="1">
        <f t="shared" si="2"/>
        <v>0.69764064700000006</v>
      </c>
      <c r="AS51" s="118"/>
    </row>
    <row r="52" spans="1:45" x14ac:dyDescent="0.25">
      <c r="A52" s="30">
        <v>45</v>
      </c>
      <c r="B52" s="5" t="s">
        <v>1816</v>
      </c>
      <c r="C52" s="2" t="s">
        <v>284</v>
      </c>
      <c r="D52" s="2" t="s">
        <v>1873</v>
      </c>
      <c r="E52" s="2" t="s">
        <v>285</v>
      </c>
      <c r="F52" s="2">
        <v>2427712</v>
      </c>
      <c r="G52" s="2" t="str">
        <f>_xlfn.CONCAT(scheduleapr[[#This Row],[CUSTOMER CODE]],"-",scheduleapr[[#This Row],[MATERIAL NO]])</f>
        <v>129663|948721-2427712</v>
      </c>
      <c r="H52" s="2" t="s">
        <v>700</v>
      </c>
      <c r="I52" s="2" t="s">
        <v>962</v>
      </c>
      <c r="J52" s="2"/>
      <c r="K52" s="2" t="s">
        <v>963</v>
      </c>
      <c r="L52" s="2" t="s">
        <v>239</v>
      </c>
      <c r="M52" s="2"/>
      <c r="N52" s="2"/>
      <c r="O52" s="2"/>
      <c r="P52" s="2"/>
      <c r="Q52" s="557" t="str">
        <f>CONCATENATE(scheduleapr[[#This Row],[OD]],"-",scheduleapr[[#This Row],[ID]],"-",scheduleapr[[#This Row],[TICKNESS]],"-",scheduleapr[[#This Row],[Grade]],"-",scheduleapr[[#This Row],[FC/NFC]])</f>
        <v>19.05-0-2.3-ERW 1-PE</v>
      </c>
      <c r="R52" s="557" t="str">
        <f>_xlfn.CONCAT(scheduleapr[[#This Row],[Bucket]],"-",scheduleapr[[#This Row],[LENGTH]]/1000)</f>
        <v>19.05-0-2.3-ERW 1-PE-0.255</v>
      </c>
      <c r="S52" s="557">
        <f>COUNTIF(scheduleapr[CTL Bucket],scheduleapr[[#This Row],[CTL Bucket]])</f>
        <v>1</v>
      </c>
      <c r="T52" s="2" t="s">
        <v>1816</v>
      </c>
      <c r="U52" s="2">
        <f>_xlfn.IFNA(VLOOKUP(scheduleapr[[#This Row],[Bucket]],salesforecast[[#All],[Bucket2]:[8406 Stock]],19,0),0)</f>
        <v>24.635752000000004</v>
      </c>
      <c r="V52" s="562">
        <f>_xlfn.IFNA(VLOOKUP(scheduleapr[[#This Row],[Bucket]],salesforecast[[#All],[Bucket2]:[8406 Stock]],20,0),0)+_xlfn.IFNA(VLOOKUP(scheduleapr[[#This Row],[Bucket]],salesforecast[[#All],[Bucket2]:[8406 Stock]],17,0),0)</f>
        <v>38.357093999999996</v>
      </c>
      <c r="W52" s="557"/>
      <c r="X52" s="1">
        <v>19.05</v>
      </c>
      <c r="Y52" s="1">
        <v>19.05</v>
      </c>
      <c r="Z52" s="1">
        <v>0</v>
      </c>
      <c r="AA52" s="1">
        <v>2.2999999999999998</v>
      </c>
      <c r="AB52" s="24">
        <v>255</v>
      </c>
      <c r="AC52" s="24" t="s">
        <v>397</v>
      </c>
      <c r="AD52" s="24"/>
      <c r="AE52" s="24"/>
      <c r="AF52" s="24">
        <v>8500</v>
      </c>
      <c r="AG52" s="24"/>
      <c r="AH52" s="2" cm="1">
        <f t="array" ref="AH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52" s="4">
        <f>scheduleapr[[#This Row],[SCHEDULE in nos]]-scheduleapr[[#This Row],[DISPATCH]]</f>
        <v>7500</v>
      </c>
      <c r="AJ52" s="1">
        <f>(3.14*(scheduleapr[[#This Row],[ACTUAL OD]]-scheduleapr[[#This Row],[TICKNESS]])*scheduleapr[[#This Row],[TICKNESS]]*scheduleapr[[#This Row],[LENGTH]]*7.85)/1000000*scheduleapr[[#This Row],[SCHEDULE in nos]]/1000</f>
        <v>2.0582639064374999</v>
      </c>
      <c r="AK52" s="1">
        <f>(3.14*(scheduleapr[[#This Row],[ACTUAL OD]]-scheduleapr[[#This Row],[TICKNESS]])*scheduleapr[[#This Row],[TICKNESS]]*scheduleapr[[#This Row],[LENGTH]]*7.85)/1000000*scheduleapr[[#This Row],[DISPATCH]]/1000</f>
        <v>0.24214869487499999</v>
      </c>
      <c r="AL52" s="1">
        <f t="shared" si="1"/>
        <v>1.8161152115624999</v>
      </c>
      <c r="AM52" s="1">
        <f>scheduleapr[[#This Row],[SCHEDULE in nos]]/scheduleapr[[#This Row],[SCHEDULE IN MT]]*scheduleapr[[#This Row],[CTL Stock]]</f>
        <v>31.497175749541608</v>
      </c>
      <c r="AN52" s="1">
        <f>SUMIFS(stock[MT],stock[Bucket],scheduleapr[[#This Row],[Bucket]],stock[CTL Bucket],scheduleapr[[#This Row],[CTL Bucket]],stock[Plant],"0789")</f>
        <v>7.6270000000000001E-3</v>
      </c>
      <c r="AO52" s="1"/>
      <c r="AP52" s="1">
        <f>SUMIFS(stock[MT],stock[Bucket],scheduleapr[[#This Row],[Bucket]],stock[LL or CTL],"LL")</f>
        <v>73.955845999999994</v>
      </c>
      <c r="AQ52" s="1">
        <f>+SUMIFS(wip[Stock(Net Wt)],wip[Bucket],scheduleapr[[#This Row],[Bucket]])/1000</f>
        <v>6.0149999999999997</v>
      </c>
      <c r="AR52" s="1">
        <f t="shared" si="2"/>
        <v>2.0506369064375001</v>
      </c>
      <c r="AS52" s="118"/>
    </row>
    <row r="53" spans="1:45" x14ac:dyDescent="0.25">
      <c r="A53" s="30">
        <v>46</v>
      </c>
      <c r="B53" s="5" t="s">
        <v>1816</v>
      </c>
      <c r="C53" s="2" t="s">
        <v>284</v>
      </c>
      <c r="D53" s="2" t="s">
        <v>1873</v>
      </c>
      <c r="E53" s="2" t="s">
        <v>285</v>
      </c>
      <c r="F53" s="2">
        <v>2427711</v>
      </c>
      <c r="G53" s="2" t="str">
        <f>_xlfn.CONCAT(scheduleapr[[#This Row],[CUSTOMER CODE]],"-",scheduleapr[[#This Row],[MATERIAL NO]])</f>
        <v>129663|948721-2427711</v>
      </c>
      <c r="H53" s="2" t="s">
        <v>705</v>
      </c>
      <c r="I53" s="2" t="s">
        <v>962</v>
      </c>
      <c r="J53" s="2"/>
      <c r="K53" s="2" t="s">
        <v>963</v>
      </c>
      <c r="L53" s="2" t="s">
        <v>239</v>
      </c>
      <c r="M53" s="2"/>
      <c r="N53" s="2"/>
      <c r="O53" s="2"/>
      <c r="P53" s="2"/>
      <c r="Q53" s="557" t="str">
        <f>CONCATENATE(scheduleapr[[#This Row],[OD]],"-",scheduleapr[[#This Row],[ID]],"-",scheduleapr[[#This Row],[TICKNESS]],"-",scheduleapr[[#This Row],[Grade]],"-",scheduleapr[[#This Row],[FC/NFC]])</f>
        <v>19.05-0-2.3-ERW 1-PE</v>
      </c>
      <c r="R53" s="557" t="str">
        <f>_xlfn.CONCAT(scheduleapr[[#This Row],[Bucket]],"-",scheduleapr[[#This Row],[LENGTH]]/1000)</f>
        <v>19.05-0-2.3-ERW 1-PE-0.285</v>
      </c>
      <c r="S53" s="557">
        <f>COUNTIF(scheduleapr[CTL Bucket],scheduleapr[[#This Row],[CTL Bucket]])</f>
        <v>1</v>
      </c>
      <c r="T53" s="2" t="s">
        <v>1816</v>
      </c>
      <c r="U53" s="2">
        <f>_xlfn.IFNA(VLOOKUP(scheduleapr[[#This Row],[Bucket]],salesforecast[[#All],[Bucket2]:[8406 Stock]],19,0),0)</f>
        <v>24.635752000000004</v>
      </c>
      <c r="V53" s="562">
        <f>_xlfn.IFNA(VLOOKUP(scheduleapr[[#This Row],[Bucket]],salesforecast[[#All],[Bucket2]:[8406 Stock]],20,0),0)+_xlfn.IFNA(VLOOKUP(scheduleapr[[#This Row],[Bucket]],salesforecast[[#All],[Bucket2]:[8406 Stock]],17,0),0)</f>
        <v>38.357093999999996</v>
      </c>
      <c r="W53" s="557"/>
      <c r="X53" s="1">
        <v>19.05</v>
      </c>
      <c r="Y53" s="1">
        <v>19.05</v>
      </c>
      <c r="Z53" s="1">
        <v>0</v>
      </c>
      <c r="AA53" s="1">
        <v>2.2999999999999998</v>
      </c>
      <c r="AB53" s="24">
        <v>285</v>
      </c>
      <c r="AC53" s="24" t="s">
        <v>397</v>
      </c>
      <c r="AD53" s="24"/>
      <c r="AE53" s="24"/>
      <c r="AF53" s="24">
        <v>5000</v>
      </c>
      <c r="AG53" s="24"/>
      <c r="AH53" s="2" cm="1">
        <f t="array" ref="AH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53" s="4">
        <f>scheduleapr[[#This Row],[SCHEDULE in nos]]-scheduleapr[[#This Row],[DISPATCH]]</f>
        <v>3000</v>
      </c>
      <c r="AJ53" s="1">
        <f>(3.14*(scheduleapr[[#This Row],[ACTUAL OD]]-scheduleapr[[#This Row],[TICKNESS]])*scheduleapr[[#This Row],[TICKNESS]]*scheduleapr[[#This Row],[LENGTH]]*7.85)/1000000*scheduleapr[[#This Row],[SCHEDULE in nos]]/1000</f>
        <v>1.3531838831250003</v>
      </c>
      <c r="AK53" s="1">
        <f>(3.14*(scheduleapr[[#This Row],[ACTUAL OD]]-scheduleapr[[#This Row],[TICKNESS]])*scheduleapr[[#This Row],[TICKNESS]]*scheduleapr[[#This Row],[LENGTH]]*7.85)/1000000*scheduleapr[[#This Row],[DISPATCH]]/1000</f>
        <v>0.54127355325000004</v>
      </c>
      <c r="AL53" s="1">
        <f t="shared" si="1"/>
        <v>0.81191032987500023</v>
      </c>
      <c r="AM53" s="1">
        <f>scheduleapr[[#This Row],[SCHEDULE in nos]]/scheduleapr[[#This Row],[SCHEDULE IN MT]]*scheduleapr[[#This Row],[CTL Stock]]</f>
        <v>39.251871576638862</v>
      </c>
      <c r="AN53" s="1">
        <f>SUMIFS(stock[MT],stock[Bucket],scheduleapr[[#This Row],[Bucket]],stock[CTL Bucket],scheduleapr[[#This Row],[CTL Bucket]],stock[Plant],"0789")</f>
        <v>1.0623E-2</v>
      </c>
      <c r="AO53" s="1"/>
      <c r="AP53" s="1">
        <f>SUMIFS(stock[MT],stock[Bucket],scheduleapr[[#This Row],[Bucket]],stock[LL or CTL],"LL")</f>
        <v>73.955845999999994</v>
      </c>
      <c r="AQ53" s="1">
        <f>+SUMIFS(wip[Stock(Net Wt)],wip[Bucket],scheduleapr[[#This Row],[Bucket]])/1000</f>
        <v>6.0149999999999997</v>
      </c>
      <c r="AR53" s="1">
        <f t="shared" si="2"/>
        <v>1.3425608831250002</v>
      </c>
      <c r="AS53" s="118"/>
    </row>
    <row r="54" spans="1:45" x14ac:dyDescent="0.25">
      <c r="A54" s="30">
        <v>47</v>
      </c>
      <c r="B54" s="5" t="s">
        <v>1816</v>
      </c>
      <c r="C54" s="2" t="s">
        <v>284</v>
      </c>
      <c r="D54" s="2" t="s">
        <v>1873</v>
      </c>
      <c r="E54" s="2" t="s">
        <v>285</v>
      </c>
      <c r="F54" s="2">
        <v>1940313</v>
      </c>
      <c r="G54" s="2" t="str">
        <f>_xlfn.CONCAT(scheduleapr[[#This Row],[CUSTOMER CODE]],"-",scheduleapr[[#This Row],[MATERIAL NO]])</f>
        <v>129663|948721-1940313</v>
      </c>
      <c r="H54" s="2" t="s">
        <v>707</v>
      </c>
      <c r="I54" s="2" t="s">
        <v>962</v>
      </c>
      <c r="J54" s="2"/>
      <c r="K54" s="2" t="s">
        <v>963</v>
      </c>
      <c r="L54" s="2" t="s">
        <v>239</v>
      </c>
      <c r="M54" s="2"/>
      <c r="N54" s="2"/>
      <c r="O54" s="2"/>
      <c r="P54" s="2"/>
      <c r="Q54" s="557" t="str">
        <f>CONCATENATE(scheduleapr[[#This Row],[OD]],"-",scheduleapr[[#This Row],[ID]],"-",scheduleapr[[#This Row],[TICKNESS]],"-",scheduleapr[[#This Row],[Grade]],"-",scheduleapr[[#This Row],[FC/NFC]])</f>
        <v>19.05-0-2.3-ERW 1-PE</v>
      </c>
      <c r="R54" s="557" t="str">
        <f>_xlfn.CONCAT(scheduleapr[[#This Row],[Bucket]],"-",scheduleapr[[#This Row],[LENGTH]]/1000)</f>
        <v>19.05-0-2.3-ERW 1-PE-0.303</v>
      </c>
      <c r="S54" s="557">
        <f>COUNTIF(scheduleapr[CTL Bucket],scheduleapr[[#This Row],[CTL Bucket]])</f>
        <v>2</v>
      </c>
      <c r="T54" s="2" t="s">
        <v>1816</v>
      </c>
      <c r="U54" s="2">
        <f>_xlfn.IFNA(VLOOKUP(scheduleapr[[#This Row],[Bucket]],salesforecast[[#All],[Bucket2]:[8406 Stock]],19,0),0)</f>
        <v>24.635752000000004</v>
      </c>
      <c r="V54" s="562">
        <f>_xlfn.IFNA(VLOOKUP(scheduleapr[[#This Row],[Bucket]],salesforecast[[#All],[Bucket2]:[8406 Stock]],20,0),0)+_xlfn.IFNA(VLOOKUP(scheduleapr[[#This Row],[Bucket]],salesforecast[[#All],[Bucket2]:[8406 Stock]],17,0),0)</f>
        <v>38.357093999999996</v>
      </c>
      <c r="W54" s="557"/>
      <c r="X54" s="1">
        <v>19.05</v>
      </c>
      <c r="Y54" s="1">
        <v>19.05</v>
      </c>
      <c r="Z54" s="1">
        <v>0</v>
      </c>
      <c r="AA54" s="1">
        <v>2.2999999999999998</v>
      </c>
      <c r="AB54" s="24">
        <v>303</v>
      </c>
      <c r="AC54" s="24" t="s">
        <v>397</v>
      </c>
      <c r="AD54" s="24"/>
      <c r="AE54" s="24"/>
      <c r="AF54" s="2">
        <v>11000</v>
      </c>
      <c r="AG54" s="2"/>
      <c r="AH54" s="2" cm="1">
        <f t="array" ref="AH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54" s="4">
        <f>scheduleapr[[#This Row],[SCHEDULE in nos]]-scheduleapr[[#This Row],[DISPATCH]]</f>
        <v>9000</v>
      </c>
      <c r="AJ54" s="1">
        <f>(3.14*(scheduleapr[[#This Row],[ACTUAL OD]]-scheduleapr[[#This Row],[TICKNESS]])*scheduleapr[[#This Row],[TICKNESS]]*scheduleapr[[#This Row],[LENGTH]]*7.85)/1000000*scheduleapr[[#This Row],[SCHEDULE in nos]]/1000</f>
        <v>3.1650258824249993</v>
      </c>
      <c r="AK54" s="1">
        <f>(3.14*(scheduleapr[[#This Row],[ACTUAL OD]]-scheduleapr[[#This Row],[TICKNESS]])*scheduleapr[[#This Row],[TICKNESS]]*scheduleapr[[#This Row],[LENGTH]]*7.85)/1000000*scheduleapr[[#This Row],[DISPATCH]]/1000</f>
        <v>0.57545925134999987</v>
      </c>
      <c r="AL54" s="1">
        <f t="shared" si="1"/>
        <v>2.5895666310749994</v>
      </c>
      <c r="AM54" s="1">
        <f>scheduleapr[[#This Row],[SCHEDULE in nos]]/scheduleapr[[#This Row],[SCHEDULE IN MT]]*scheduleapr[[#This Row],[CTL Stock]]</f>
        <v>234.80376704869187</v>
      </c>
      <c r="AN54" s="1">
        <f>SUMIFS(stock[MT],stock[Bucket],scheduleapr[[#This Row],[Bucket]],stock[CTL Bucket],scheduleapr[[#This Row],[CTL Bucket]],stock[Plant],"0789")</f>
        <v>6.7559999999999995E-2</v>
      </c>
      <c r="AO54" s="1"/>
      <c r="AP54" s="1">
        <f>SUMIFS(stock[MT],stock[Bucket],scheduleapr[[#This Row],[Bucket]],stock[LL or CTL],"LL")</f>
        <v>73.955845999999994</v>
      </c>
      <c r="AQ54" s="1">
        <f>+SUMIFS(wip[Stock(Net Wt)],wip[Bucket],scheduleapr[[#This Row],[Bucket]])/1000</f>
        <v>6.0149999999999997</v>
      </c>
      <c r="AR54" s="1">
        <f t="shared" si="2"/>
        <v>3.0974658824249994</v>
      </c>
      <c r="AS54" s="118"/>
    </row>
    <row r="55" spans="1:45" x14ac:dyDescent="0.25">
      <c r="A55" s="30">
        <v>48</v>
      </c>
      <c r="B55" s="5" t="s">
        <v>1816</v>
      </c>
      <c r="C55" s="2" t="s">
        <v>284</v>
      </c>
      <c r="D55" s="2" t="s">
        <v>1873</v>
      </c>
      <c r="E55" s="2" t="s">
        <v>285</v>
      </c>
      <c r="F55" s="2">
        <v>1940363</v>
      </c>
      <c r="G55" s="2" t="str">
        <f>_xlfn.CONCAT(scheduleapr[[#This Row],[CUSTOMER CODE]],"-",scheduleapr[[#This Row],[MATERIAL NO]])</f>
        <v>129663|948721-1940363</v>
      </c>
      <c r="H55" s="2" t="s">
        <v>1500</v>
      </c>
      <c r="I55" s="2" t="s">
        <v>962</v>
      </c>
      <c r="J55" s="2"/>
      <c r="K55" s="2" t="s">
        <v>963</v>
      </c>
      <c r="L55" s="2" t="s">
        <v>1867</v>
      </c>
      <c r="M55" s="2"/>
      <c r="N55" s="2"/>
      <c r="O55" s="2"/>
      <c r="P55" s="2"/>
      <c r="Q55" s="557" t="str">
        <f>CONCATENATE(scheduleapr[[#This Row],[OD]],"-",scheduleapr[[#This Row],[ID]],"-",scheduleapr[[#This Row],[TICKNESS]],"-",scheduleapr[[#This Row],[Grade]],"-",scheduleapr[[#This Row],[FC/NFC]])</f>
        <v>22.23-0-1.2-ERW 1-PE</v>
      </c>
      <c r="R55" s="557" t="str">
        <f>_xlfn.CONCAT(scheduleapr[[#This Row],[Bucket]],"-",scheduleapr[[#This Row],[LENGTH]]/1000)</f>
        <v>22.23-0-1.2-ERW 1-PE-1.162</v>
      </c>
      <c r="S55" s="557">
        <f>COUNTIF(scheduleapr[CTL Bucket],scheduleapr[[#This Row],[CTL Bucket]])</f>
        <v>1</v>
      </c>
      <c r="T55" s="2" t="s">
        <v>1816</v>
      </c>
      <c r="U55" s="2">
        <f>_xlfn.IFNA(VLOOKUP(scheduleapr[[#This Row],[Bucket]],salesforecast[[#All],[Bucket2]:[8406 Stock]],19,0),0)</f>
        <v>0</v>
      </c>
      <c r="V55" s="562">
        <f>_xlfn.IFNA(VLOOKUP(scheduleapr[[#This Row],[Bucket]],salesforecast[[#All],[Bucket2]:[8406 Stock]],20,0),0)+_xlfn.IFNA(VLOOKUP(scheduleapr[[#This Row],[Bucket]],salesforecast[[#All],[Bucket2]:[8406 Stock]],17,0),0)</f>
        <v>0.24293999999999999</v>
      </c>
      <c r="W55" s="557"/>
      <c r="X55" s="1">
        <v>22.23</v>
      </c>
      <c r="Y55" s="1">
        <v>22.23</v>
      </c>
      <c r="Z55" s="1">
        <v>0</v>
      </c>
      <c r="AA55" s="1">
        <v>1.2</v>
      </c>
      <c r="AB55" s="24">
        <v>1162</v>
      </c>
      <c r="AC55" s="24" t="s">
        <v>397</v>
      </c>
      <c r="AD55" s="24"/>
      <c r="AE55" s="24"/>
      <c r="AF55" s="2">
        <v>9000</v>
      </c>
      <c r="AG55" s="2"/>
      <c r="AH55" s="2" cm="1">
        <f t="array" ref="AH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 s="4">
        <f>scheduleapr[[#This Row],[SCHEDULE in nos]]-scheduleapr[[#This Row],[DISPATCH]]</f>
        <v>9000</v>
      </c>
      <c r="AJ55" s="1">
        <f>(3.14*(scheduleapr[[#This Row],[ACTUAL OD]]-scheduleapr[[#This Row],[TICKNESS]])*scheduleapr[[#This Row],[TICKNESS]]*scheduleapr[[#This Row],[LENGTH]]*7.85)/1000000*scheduleapr[[#This Row],[SCHEDULE in nos]]/1000</f>
        <v>6.5053169511120004</v>
      </c>
      <c r="AK55" s="1">
        <f>(3.14*(scheduleapr[[#This Row],[ACTUAL OD]]-scheduleapr[[#This Row],[TICKNESS]])*scheduleapr[[#This Row],[TICKNESS]]*scheduleapr[[#This Row],[LENGTH]]*7.85)/1000000*scheduleapr[[#This Row],[DISPATCH]]/1000</f>
        <v>0</v>
      </c>
      <c r="AL55" s="1">
        <f t="shared" si="1"/>
        <v>6.5053169511120004</v>
      </c>
      <c r="AM55" s="1">
        <f>scheduleapr[[#This Row],[SCHEDULE in nos]]/scheduleapr[[#This Row],[SCHEDULE IN MT]]*scheduleapr[[#This Row],[CTL Stock]]</f>
        <v>1933.6951749675673</v>
      </c>
      <c r="AN55" s="1">
        <f>SUMIFS(stock[MT],stock[Bucket],scheduleapr[[#This Row],[Bucket]],stock[CTL Bucket],scheduleapr[[#This Row],[CTL Bucket]],stock[Plant],"0789")</f>
        <v>1.3976999999999999</v>
      </c>
      <c r="AO55" s="1"/>
      <c r="AP55" s="1">
        <f>SUMIFS(stock[MT],stock[Bucket],scheduleapr[[#This Row],[Bucket]],stock[LL or CTL],"LL")</f>
        <v>8.5000000000000006E-2</v>
      </c>
      <c r="AQ55" s="1">
        <f>+SUMIFS(wip[Stock(Net Wt)],wip[Bucket],scheduleapr[[#This Row],[Bucket]])/1000</f>
        <v>3.1040000000000001</v>
      </c>
      <c r="AR55" s="1">
        <f t="shared" si="2"/>
        <v>5.107616951112</v>
      </c>
      <c r="AS55" s="118"/>
    </row>
    <row r="56" spans="1:45" x14ac:dyDescent="0.25">
      <c r="A56" s="30">
        <v>49</v>
      </c>
      <c r="B56" s="5" t="s">
        <v>1816</v>
      </c>
      <c r="C56" s="2" t="s">
        <v>284</v>
      </c>
      <c r="D56" s="2" t="s">
        <v>1873</v>
      </c>
      <c r="E56" s="2" t="s">
        <v>285</v>
      </c>
      <c r="F56" s="2">
        <v>3599863</v>
      </c>
      <c r="G56" s="2" t="str">
        <f>_xlfn.CONCAT(scheduleapr[[#This Row],[CUSTOMER CODE]],"-",scheduleapr[[#This Row],[MATERIAL NO]])</f>
        <v>129663|948721-3599863</v>
      </c>
      <c r="H56" s="2" t="s">
        <v>1517</v>
      </c>
      <c r="I56" s="2" t="s">
        <v>962</v>
      </c>
      <c r="J56" s="2"/>
      <c r="K56" s="2" t="s">
        <v>963</v>
      </c>
      <c r="L56" s="2" t="s">
        <v>1867</v>
      </c>
      <c r="M56" s="44" t="s">
        <v>1868</v>
      </c>
      <c r="N56" s="2"/>
      <c r="O56" s="2"/>
      <c r="P56" s="2"/>
      <c r="Q56" s="557" t="str">
        <f>CONCATENATE(scheduleapr[[#This Row],[OD]],"-",scheduleapr[[#This Row],[ID]],"-",scheduleapr[[#This Row],[TICKNESS]],"-",scheduleapr[[#This Row],[Grade]],"-",scheduleapr[[#This Row],[FC/NFC]])</f>
        <v>22.23-0-1.6-ERW 1-PE</v>
      </c>
      <c r="R56" s="557" t="str">
        <f>_xlfn.CONCAT(scheduleapr[[#This Row],[Bucket]],"-",scheduleapr[[#This Row],[LENGTH]]/1000)</f>
        <v>22.23-0-1.6-ERW 1-PE-0.945</v>
      </c>
      <c r="S56" s="557">
        <f>COUNTIF(scheduleapr[CTL Bucket],scheduleapr[[#This Row],[CTL Bucket]])</f>
        <v>1</v>
      </c>
      <c r="T56" s="2" t="s">
        <v>1816</v>
      </c>
      <c r="U56" s="2"/>
      <c r="V56" s="557"/>
      <c r="W56" s="557"/>
      <c r="X56" s="6">
        <v>22.23</v>
      </c>
      <c r="Y56" s="6">
        <v>22.23</v>
      </c>
      <c r="Z56" s="1">
        <v>0</v>
      </c>
      <c r="AA56" s="1">
        <v>1.6</v>
      </c>
      <c r="AB56" s="24">
        <v>945</v>
      </c>
      <c r="AC56" s="24" t="s">
        <v>397</v>
      </c>
      <c r="AD56" s="24"/>
      <c r="AE56" s="24"/>
      <c r="AF56" s="2"/>
      <c r="AG56" s="2"/>
      <c r="AH56" s="2" cm="1">
        <f t="array" ref="AH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 s="4">
        <f>scheduleapr[[#This Row],[SCHEDULE in nos]]-scheduleapr[[#This Row],[DISPATCH]]</f>
        <v>0</v>
      </c>
      <c r="AJ56" s="1">
        <f>(3.14*(scheduleapr[[#This Row],[ACTUAL OD]]-scheduleapr[[#This Row],[TICKNESS]])*scheduleapr[[#This Row],[TICKNESS]]*scheduleapr[[#This Row],[LENGTH]]*7.85)/1000000*scheduleapr[[#This Row],[SCHEDULE in nos]]/1000</f>
        <v>0</v>
      </c>
      <c r="AK56" s="1">
        <f>(3.14*(scheduleapr[[#This Row],[ACTUAL OD]]-scheduleapr[[#This Row],[TICKNESS]])*scheduleapr[[#This Row],[TICKNESS]]*scheduleapr[[#This Row],[LENGTH]]*7.85)/1000000*scheduleapr[[#This Row],[DISPATCH]]/1000</f>
        <v>0</v>
      </c>
      <c r="AL56" s="1">
        <f t="shared" si="1"/>
        <v>0</v>
      </c>
      <c r="AM56" s="1" t="e">
        <f>scheduleapr[[#This Row],[SCHEDULE in nos]]/scheduleapr[[#This Row],[SCHEDULE IN MT]]*scheduleapr[[#This Row],[CTL Stock]]</f>
        <v>#DIV/0!</v>
      </c>
      <c r="AN56" s="1">
        <f>SUMIFS(stock[MT],stock[Bucket],scheduleapr[[#This Row],[Bucket]],stock[CTL Bucket],scheduleapr[[#This Row],[CTL Bucket]],stock[Plant],"0789")</f>
        <v>0</v>
      </c>
      <c r="AO56" s="1"/>
      <c r="AP56" s="1">
        <f>SUMIFS(stock[MT],stock[Bucket],scheduleapr[[#This Row],[Bucket]],stock[LL or CTL],"LL")</f>
        <v>62.742162000000008</v>
      </c>
      <c r="AQ56" s="1">
        <f>+SUMIFS(wip[Stock(Net Wt)],wip[Bucket],scheduleapr[[#This Row],[Bucket]])/1000</f>
        <v>0</v>
      </c>
      <c r="AR56" s="1">
        <f t="shared" si="2"/>
        <v>0</v>
      </c>
      <c r="AS56" s="118"/>
    </row>
    <row r="57" spans="1:45" x14ac:dyDescent="0.25">
      <c r="A57" s="30">
        <v>50</v>
      </c>
      <c r="B57" s="5" t="s">
        <v>1816</v>
      </c>
      <c r="C57" s="2" t="s">
        <v>284</v>
      </c>
      <c r="D57" s="2" t="s">
        <v>1873</v>
      </c>
      <c r="E57" s="2" t="s">
        <v>285</v>
      </c>
      <c r="F57" s="2">
        <v>288719</v>
      </c>
      <c r="G57" s="2" t="str">
        <f>_xlfn.CONCAT(scheduleapr[[#This Row],[CUSTOMER CODE]],"-",scheduleapr[[#This Row],[MATERIAL NO]])</f>
        <v>129663|948721-288719</v>
      </c>
      <c r="H57" s="2" t="s">
        <v>1481</v>
      </c>
      <c r="I57" s="2" t="s">
        <v>962</v>
      </c>
      <c r="J57" s="2"/>
      <c r="K57" s="2"/>
      <c r="L57" s="2" t="s">
        <v>239</v>
      </c>
      <c r="M57" s="2"/>
      <c r="N57" s="2"/>
      <c r="O57" s="2"/>
      <c r="P57" s="2"/>
      <c r="Q57" s="557" t="str">
        <f>CONCATENATE(scheduleapr[[#This Row],[OD]],"-",scheduleapr[[#This Row],[ID]],"-",scheduleapr[[#This Row],[TICKNESS]],"-",scheduleapr[[#This Row],[Grade]],"-",scheduleapr[[#This Row],[FC/NFC]])</f>
        <v>22.23-0-2-ERW 1-</v>
      </c>
      <c r="R57" s="557" t="str">
        <f>_xlfn.CONCAT(scheduleapr[[#This Row],[Bucket]],"-",scheduleapr[[#This Row],[LENGTH]]/1000)</f>
        <v>22.23-0-2-ERW 1--0.715</v>
      </c>
      <c r="S57" s="557" t="e" vm="2">
        <f>COUNTIF([2]!buckets[CTL Bucket],[2]!scheduleapr[[#This Row],[CTL Bucket]])</f>
        <v>#REF!</v>
      </c>
      <c r="T57" s="557"/>
      <c r="U57" s="557"/>
      <c r="V57" s="557"/>
      <c r="W57" s="557"/>
      <c r="X57" s="6">
        <v>22.23</v>
      </c>
      <c r="Y57" s="6">
        <v>22.23</v>
      </c>
      <c r="Z57" s="1">
        <v>0</v>
      </c>
      <c r="AA57" s="1">
        <v>2</v>
      </c>
      <c r="AB57" s="24">
        <v>715</v>
      </c>
      <c r="AC57" s="24"/>
      <c r="AD57" s="24"/>
      <c r="AE57" s="24"/>
      <c r="AF57" s="2"/>
      <c r="AG57" s="2"/>
      <c r="AH57" s="2" t="e" cm="1">
        <f t="array" ref="AH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7" s="4" t="e">
        <f>scheduleapr[[#This Row],[SCHEDULE in nos]]-scheduleapr[[#This Row],[DISPATCH]]</f>
        <v>#N/A</v>
      </c>
      <c r="AJ57" s="1">
        <f>(3.14*(scheduleapr[[#This Row],[ACTUAL OD]]-scheduleapr[[#This Row],[TICKNESS]])*scheduleapr[[#This Row],[TICKNESS]]*scheduleapr[[#This Row],[LENGTH]]*7.85)/1000000*scheduleapr[[#This Row],[SCHEDULE in nos]]/1000</f>
        <v>0</v>
      </c>
      <c r="AK57" s="1" t="e">
        <f>(3.14*(scheduleapr[[#This Row],[ACTUAL OD]]-scheduleapr[[#This Row],[TICKNESS]])*scheduleapr[[#This Row],[TICKNESS]]*scheduleapr[[#This Row],[LENGTH]]*7.85)/1000000*scheduleapr[[#This Row],[DISPATCH]]/1000</f>
        <v>#N/A</v>
      </c>
      <c r="AL57" s="1" t="e">
        <f t="shared" si="1"/>
        <v>#N/A</v>
      </c>
      <c r="AM57" s="1" t="e">
        <f>scheduleapr[[#This Row],[SCHEDULE in nos]]/scheduleapr[[#This Row],[SCHEDULE IN MT]]*scheduleapr[[#This Row],[CTL Stock]]</f>
        <v>#DIV/0!</v>
      </c>
      <c r="AN57" s="1">
        <f>SUMIFS(stock[MT],stock[Bucket],scheduleapr[[#This Row],[Bucket]],stock[CTL Bucket],scheduleapr[[#This Row],[CTL Bucket]],stock[Plant],"0789")</f>
        <v>0</v>
      </c>
      <c r="AO57" s="1"/>
      <c r="AP57" s="1">
        <f>SUMIFS(stock[MT],stock[Bucket],scheduleapr[[#This Row],[Bucket]],stock[LL or CTL],"LL")</f>
        <v>0</v>
      </c>
      <c r="AQ57" s="1">
        <f>+SUMIFS(wip[Stock(Net Wt)],wip[Bucket],scheduleapr[[#This Row],[Bucket]])/1000</f>
        <v>0</v>
      </c>
      <c r="AR57" s="1">
        <f t="shared" si="2"/>
        <v>0</v>
      </c>
      <c r="AS57" s="118"/>
    </row>
    <row r="58" spans="1:45" x14ac:dyDescent="0.25">
      <c r="A58" s="30">
        <v>23</v>
      </c>
      <c r="B58" s="5" t="s">
        <v>1816</v>
      </c>
      <c r="C58" s="2" t="s">
        <v>284</v>
      </c>
      <c r="D58" s="2" t="s">
        <v>1873</v>
      </c>
      <c r="E58" s="2" t="s">
        <v>286</v>
      </c>
      <c r="F58" s="9">
        <v>1940494</v>
      </c>
      <c r="G58" s="2" t="str">
        <f>_xlfn.CONCAT(scheduleapr[[#This Row],[CUSTOMER CODE]],"-",scheduleapr[[#This Row],[MATERIAL NO]])</f>
        <v>129663|948722-1940494</v>
      </c>
      <c r="H58" s="127" t="s">
        <v>1885</v>
      </c>
      <c r="I58" s="2" t="s">
        <v>962</v>
      </c>
      <c r="J58" s="557"/>
      <c r="K58" s="557" t="s">
        <v>1003</v>
      </c>
      <c r="L58" s="2" t="s">
        <v>239</v>
      </c>
      <c r="M58" s="557"/>
      <c r="N58" s="557"/>
      <c r="O58" s="557"/>
      <c r="P58" s="557"/>
      <c r="Q58" s="557" t="str">
        <f>CONCATENATE(scheduleapr[[#This Row],[OD]],"-",scheduleapr[[#This Row],[ID]],"-",scheduleapr[[#This Row],[TICKNESS]],"-",scheduleapr[[#This Row],[Grade]],"-",scheduleapr[[#This Row],[FC/NFC]])</f>
        <v>22.23-0-2-ERW 1-FC</v>
      </c>
      <c r="R58" s="557" t="str">
        <f>_xlfn.CONCAT(scheduleapr[[#This Row],[Bucket]],"-",scheduleapr[[#This Row],[LENGTH]]/1000)</f>
        <v>22.23-0-2-ERW 1-FC-1</v>
      </c>
      <c r="S58" s="557" t="e" vm="2">
        <f>COUNTIF([2]!buckets[CTL Bucket],[2]!scheduleapr[[#This Row],[CTL Bucket]])</f>
        <v>#REF!</v>
      </c>
      <c r="T58" s="557"/>
      <c r="U58" s="557"/>
      <c r="V58" s="557"/>
      <c r="W58" s="557"/>
      <c r="X58" s="559">
        <v>22.23</v>
      </c>
      <c r="Y58" s="559">
        <v>22.23</v>
      </c>
      <c r="Z58" s="559">
        <v>0</v>
      </c>
      <c r="AA58" s="1">
        <v>2</v>
      </c>
      <c r="AB58" s="24">
        <v>1000</v>
      </c>
      <c r="AC58" s="24" t="s">
        <v>444</v>
      </c>
      <c r="AD58" s="24"/>
      <c r="AE58" s="24"/>
      <c r="AF58" s="557"/>
      <c r="AG58" s="557"/>
      <c r="AH58" s="2" cm="1">
        <f t="array" ref="AH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 s="4">
        <f>scheduleapr[[#This Row],[SCHEDULE in nos]]-scheduleapr[[#This Row],[DISPATCH]]</f>
        <v>0</v>
      </c>
      <c r="AJ58" s="1">
        <f>(3.14*(scheduleapr[[#This Row],[ACTUAL OD]]-scheduleapr[[#This Row],[TICKNESS]])*scheduleapr[[#This Row],[TICKNESS]]*scheduleapr[[#This Row],[LENGTH]]*7.85)/1000000*scheduleapr[[#This Row],[SCHEDULE in nos]]/1000</f>
        <v>0</v>
      </c>
      <c r="AK58" s="1">
        <f>(3.14*(scheduleapr[[#This Row],[ACTUAL OD]]-scheduleapr[[#This Row],[TICKNESS]])*scheduleapr[[#This Row],[TICKNESS]]*scheduleapr[[#This Row],[LENGTH]]*7.85)/1000000*scheduleapr[[#This Row],[DISPATCH]]/1000</f>
        <v>0</v>
      </c>
      <c r="AL58" s="1">
        <f t="shared" si="1"/>
        <v>0</v>
      </c>
      <c r="AM58" s="1" t="e">
        <f>scheduleapr[[#This Row],[SCHEDULE in nos]]/scheduleapr[[#This Row],[SCHEDULE IN MT]]*scheduleapr[[#This Row],[CTL Stock]]</f>
        <v>#DIV/0!</v>
      </c>
      <c r="AN58" s="1">
        <f>SUMIFS(stock[MT],stock[Bucket],scheduleapr[[#This Row],[Bucket]],stock[CTL Bucket],scheduleapr[[#This Row],[CTL Bucket]],stock[Plant],"0789")</f>
        <v>0</v>
      </c>
      <c r="AO58" s="1"/>
      <c r="AP58" s="1">
        <f>SUMIFS(stock[MT],stock[Bucket],scheduleapr[[#This Row],[Bucket]],stock[LL or CTL],"LL")</f>
        <v>7.6364609999999988</v>
      </c>
      <c r="AQ58" s="1">
        <f>+SUMIFS(wip[Stock(Net Wt)],wip[Bucket],scheduleapr[[#This Row],[Bucket]])/1000</f>
        <v>2.7130000000000001</v>
      </c>
      <c r="AR58" s="1">
        <f t="shared" si="2"/>
        <v>0</v>
      </c>
      <c r="AS58" s="118"/>
    </row>
    <row r="59" spans="1:45" x14ac:dyDescent="0.25">
      <c r="A59" s="30">
        <v>24</v>
      </c>
      <c r="B59" s="5" t="s">
        <v>1816</v>
      </c>
      <c r="C59" s="2" t="s">
        <v>284</v>
      </c>
      <c r="D59" s="2" t="s">
        <v>1873</v>
      </c>
      <c r="E59" s="2" t="s">
        <v>285</v>
      </c>
      <c r="F59" s="557" t="s">
        <v>1878</v>
      </c>
      <c r="G59" s="2" t="str">
        <f>_xlfn.CONCAT(scheduleapr[[#This Row],[CUSTOMER CODE]],"-",scheduleapr[[#This Row],[MATERIAL NO]])</f>
        <v>129663|948721-NO MATERIAL CODE</v>
      </c>
      <c r="H59" s="557"/>
      <c r="I59" s="2" t="s">
        <v>962</v>
      </c>
      <c r="J59" s="557"/>
      <c r="K59" s="2" t="s">
        <v>963</v>
      </c>
      <c r="L59" s="2" t="s">
        <v>239</v>
      </c>
      <c r="M59" s="557"/>
      <c r="N59" s="557"/>
      <c r="O59" s="557"/>
      <c r="P59" s="557"/>
      <c r="Q59" s="557" t="str">
        <f>CONCATENATE(scheduleapr[[#This Row],[OD]],"-",scheduleapr[[#This Row],[ID]],"-",scheduleapr[[#This Row],[TICKNESS]],"-",scheduleapr[[#This Row],[Grade]],"-",scheduleapr[[#This Row],[FC/NFC]])</f>
        <v>22.23-0-2.3-ERW 1-PE</v>
      </c>
      <c r="R59" s="557" t="str">
        <f>_xlfn.CONCAT(scheduleapr[[#This Row],[Bucket]],"-",scheduleapr[[#This Row],[LENGTH]]/1000)</f>
        <v>22.23-0-2.3-ERW 1-PE-0.22</v>
      </c>
      <c r="S59" s="557">
        <f>COUNTIF(scheduleapr[CTL Bucket],scheduleapr[[#This Row],[CTL Bucket]])</f>
        <v>1</v>
      </c>
      <c r="T59" s="557"/>
      <c r="U59" s="2">
        <f>_xlfn.IFNA(VLOOKUP(scheduleapr[[#This Row],[Bucket]],salesforecast[[#All],[Bucket2]:[8406 Stock]],19,0),0)</f>
        <v>6.8109740000000007</v>
      </c>
      <c r="V59" s="562">
        <f>_xlfn.IFNA(VLOOKUP(scheduleapr[[#This Row],[Bucket]],salesforecast[[#All],[Bucket2]:[8406 Stock]],20,0),0)+_xlfn.IFNA(VLOOKUP(scheduleapr[[#This Row],[Bucket]],salesforecast[[#All],[Bucket2]:[8406 Stock]],17,0),0)</f>
        <v>0</v>
      </c>
      <c r="W59" s="557"/>
      <c r="X59" s="559">
        <v>22.23</v>
      </c>
      <c r="Y59" s="559">
        <v>22.23</v>
      </c>
      <c r="Z59" s="559">
        <v>0</v>
      </c>
      <c r="AA59" s="1">
        <v>2.2999999999999998</v>
      </c>
      <c r="AB59" s="24">
        <v>220</v>
      </c>
      <c r="AC59" s="24" t="s">
        <v>397</v>
      </c>
      <c r="AD59" s="24"/>
      <c r="AE59" s="24"/>
      <c r="AF59" s="557"/>
      <c r="AG59" s="557"/>
      <c r="AH59" s="2" cm="1">
        <f t="array" ref="AH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 s="4">
        <f>scheduleapr[[#This Row],[SCHEDULE in nos]]-scheduleapr[[#This Row],[DISPATCH]]</f>
        <v>0</v>
      </c>
      <c r="AJ59" s="1">
        <f>(3.14*(scheduleapr[[#This Row],[ACTUAL OD]]-scheduleapr[[#This Row],[TICKNESS]])*scheduleapr[[#This Row],[TICKNESS]]*scheduleapr[[#This Row],[LENGTH]]*7.85)/1000000*scheduleapr[[#This Row],[SCHEDULE in nos]]/1000</f>
        <v>0</v>
      </c>
      <c r="AK59" s="1">
        <f>(3.14*(scheduleapr[[#This Row],[ACTUAL OD]]-scheduleapr[[#This Row],[TICKNESS]])*scheduleapr[[#This Row],[TICKNESS]]*scheduleapr[[#This Row],[LENGTH]]*7.85)/1000000*scheduleapr[[#This Row],[DISPATCH]]/1000</f>
        <v>0</v>
      </c>
      <c r="AL59" s="1">
        <f t="shared" si="1"/>
        <v>0</v>
      </c>
      <c r="AM59" s="1" t="e">
        <f>scheduleapr[[#This Row],[SCHEDULE in nos]]/scheduleapr[[#This Row],[SCHEDULE IN MT]]*scheduleapr[[#This Row],[CTL Stock]]</f>
        <v>#DIV/0!</v>
      </c>
      <c r="AN59" s="1">
        <f>SUMIFS(stock[MT],stock[Bucket],scheduleapr[[#This Row],[Bucket]],stock[CTL Bucket],scheduleapr[[#This Row],[CTL Bucket]],stock[Plant],"0789")</f>
        <v>0</v>
      </c>
      <c r="AO59" s="1"/>
      <c r="AP59" s="1">
        <f>SUMIFS(stock[MT],stock[Bucket],scheduleapr[[#This Row],[Bucket]],stock[LL or CTL],"LL")</f>
        <v>6.8109739999999999</v>
      </c>
      <c r="AQ59" s="1">
        <f>+SUMIFS(wip[Stock(Net Wt)],wip[Bucket],scheduleapr[[#This Row],[Bucket]])/1000</f>
        <v>0</v>
      </c>
      <c r="AR59" s="1">
        <f t="shared" si="2"/>
        <v>0</v>
      </c>
      <c r="AS59" s="118"/>
    </row>
    <row r="60" spans="1:45" x14ac:dyDescent="0.25">
      <c r="A60" s="30">
        <v>51</v>
      </c>
      <c r="B60" s="5" t="s">
        <v>1816</v>
      </c>
      <c r="C60" s="2" t="s">
        <v>284</v>
      </c>
      <c r="D60" s="2" t="s">
        <v>1873</v>
      </c>
      <c r="E60" s="2" t="s">
        <v>285</v>
      </c>
      <c r="F60" s="2">
        <v>1413976</v>
      </c>
      <c r="G60" s="2" t="str">
        <f>_xlfn.CONCAT(scheduleapr[[#This Row],[CUSTOMER CODE]],"-",scheduleapr[[#This Row],[MATERIAL NO]])</f>
        <v>129663|948721-1413976</v>
      </c>
      <c r="H60" s="2" t="s">
        <v>1886</v>
      </c>
      <c r="I60" s="2" t="s">
        <v>962</v>
      </c>
      <c r="J60" s="2"/>
      <c r="K60" s="2" t="s">
        <v>1003</v>
      </c>
      <c r="L60" s="2" t="s">
        <v>239</v>
      </c>
      <c r="M60" s="2"/>
      <c r="N60" s="2"/>
      <c r="O60" s="2"/>
      <c r="P60" s="2"/>
      <c r="Q60" s="557" t="str">
        <f>CONCATENATE(scheduleapr[[#This Row],[OD]],"-",scheduleapr[[#This Row],[ID]],"-",scheduleapr[[#This Row],[TICKNESS]],"-",scheduleapr[[#This Row],[Grade]],"-",scheduleapr[[#This Row],[FC/NFC]])</f>
        <v>25.4-0-2-ERW 1-FC</v>
      </c>
      <c r="R60" s="557" t="str">
        <f>_xlfn.CONCAT(scheduleapr[[#This Row],[Bucket]],"-",scheduleapr[[#This Row],[LENGTH]]/1000)</f>
        <v>25.4-0-2-ERW 1-FC-0.315</v>
      </c>
      <c r="S60" s="557" t="e" vm="2">
        <f>COUNTIF([2]!buckets[CTL Bucket],[2]!scheduleapr[[#This Row],[CTL Bucket]])</f>
        <v>#REF!</v>
      </c>
      <c r="T60" s="557"/>
      <c r="U60" s="557"/>
      <c r="V60" s="557"/>
      <c r="W60" s="557"/>
      <c r="X60" s="6">
        <v>25.4</v>
      </c>
      <c r="Y60" s="6">
        <v>25.4</v>
      </c>
      <c r="Z60" s="1">
        <v>0</v>
      </c>
      <c r="AA60" s="1">
        <v>2</v>
      </c>
      <c r="AB60" s="24">
        <v>315</v>
      </c>
      <c r="AC60" s="24" t="s">
        <v>397</v>
      </c>
      <c r="AD60" s="24"/>
      <c r="AE60" s="24"/>
      <c r="AF60" s="2"/>
      <c r="AG60" s="2"/>
      <c r="AH60" s="2" cm="1">
        <f t="array" ref="AH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 s="4">
        <f>scheduleapr[[#This Row],[SCHEDULE in nos]]-scheduleapr[[#This Row],[DISPATCH]]</f>
        <v>0</v>
      </c>
      <c r="AJ60" s="1">
        <f>(3.14*(scheduleapr[[#This Row],[ACTUAL OD]]-scheduleapr[[#This Row],[TICKNESS]])*scheduleapr[[#This Row],[TICKNESS]]*scheduleapr[[#This Row],[LENGTH]]*7.85)/1000000*scheduleapr[[#This Row],[SCHEDULE in nos]]/1000</f>
        <v>0</v>
      </c>
      <c r="AK60" s="1">
        <f>(3.14*(scheduleapr[[#This Row],[ACTUAL OD]]-scheduleapr[[#This Row],[TICKNESS]])*scheduleapr[[#This Row],[TICKNESS]]*scheduleapr[[#This Row],[LENGTH]]*7.85)/1000000*scheduleapr[[#This Row],[DISPATCH]]/1000</f>
        <v>0</v>
      </c>
      <c r="AL60" s="1">
        <f t="shared" si="1"/>
        <v>0</v>
      </c>
      <c r="AM60" s="1" t="e">
        <f>scheduleapr[[#This Row],[SCHEDULE in nos]]/scheduleapr[[#This Row],[SCHEDULE IN MT]]*scheduleapr[[#This Row],[CTL Stock]]</f>
        <v>#DIV/0!</v>
      </c>
      <c r="AN60" s="1">
        <f>SUMIFS(stock[MT],stock[Bucket],scheduleapr[[#This Row],[Bucket]],stock[CTL Bucket],scheduleapr[[#This Row],[CTL Bucket]],stock[Plant],"0789")</f>
        <v>0</v>
      </c>
      <c r="AO60" s="1"/>
      <c r="AP60" s="1">
        <f>SUMIFS(stock[MT],stock[Bucket],scheduleapr[[#This Row],[Bucket]],stock[LL or CTL],"LL")</f>
        <v>10.738999999999999</v>
      </c>
      <c r="AQ60" s="1">
        <f>+SUMIFS(wip[Stock(Net Wt)],wip[Bucket],scheduleapr[[#This Row],[Bucket]])/1000</f>
        <v>25.931000000000001</v>
      </c>
      <c r="AR60" s="1">
        <f t="shared" si="2"/>
        <v>0</v>
      </c>
      <c r="AS60" s="118"/>
    </row>
    <row r="61" spans="1:45" x14ac:dyDescent="0.25">
      <c r="A61" s="30">
        <v>52</v>
      </c>
      <c r="B61" s="5" t="s">
        <v>1816</v>
      </c>
      <c r="C61" s="2" t="s">
        <v>284</v>
      </c>
      <c r="D61" s="2" t="s">
        <v>1873</v>
      </c>
      <c r="E61" s="2" t="s">
        <v>285</v>
      </c>
      <c r="F61" s="2">
        <v>1940588</v>
      </c>
      <c r="G61" s="2" t="str">
        <f>_xlfn.CONCAT(scheduleapr[[#This Row],[CUSTOMER CODE]],"-",scheduleapr[[#This Row],[MATERIAL NO]])</f>
        <v>129663|948721-1940588</v>
      </c>
      <c r="H61" s="2" t="s">
        <v>797</v>
      </c>
      <c r="I61" s="2" t="s">
        <v>962</v>
      </c>
      <c r="J61" s="2"/>
      <c r="K61" s="2" t="s">
        <v>1003</v>
      </c>
      <c r="L61" s="2" t="s">
        <v>239</v>
      </c>
      <c r="M61" s="2"/>
      <c r="N61" s="2"/>
      <c r="O61" s="2"/>
      <c r="P61" s="2"/>
      <c r="Q61" s="557" t="str">
        <f>CONCATENATE(scheduleapr[[#This Row],[OD]],"-",scheduleapr[[#This Row],[ID]],"-",scheduleapr[[#This Row],[TICKNESS]],"-",scheduleapr[[#This Row],[Grade]],"-",scheduleapr[[#This Row],[FC/NFC]])</f>
        <v>25.4-0-2-ERW 1-FC</v>
      </c>
      <c r="R61" s="557" t="str">
        <f>_xlfn.CONCAT(scheduleapr[[#This Row],[Bucket]],"-",scheduleapr[[#This Row],[LENGTH]]/1000)</f>
        <v>25.4-0-2-ERW 1-FC-0.355</v>
      </c>
      <c r="S61" s="557">
        <f>COUNTIF(scheduleapr[CTL Bucket],scheduleapr[[#This Row],[CTL Bucket]])</f>
        <v>3</v>
      </c>
      <c r="T61" s="2" t="s">
        <v>1816</v>
      </c>
      <c r="U61" s="2">
        <f>_xlfn.IFNA(VLOOKUP(scheduleapr[[#This Row],[Bucket]],salesforecast[[#All],[Bucket2]:[8406 Stock]],19,0),0)</f>
        <v>10.051000000000002</v>
      </c>
      <c r="V61" s="562">
        <f>_xlfn.IFNA(VLOOKUP(scheduleapr[[#This Row],[Bucket]],salesforecast[[#All],[Bucket2]:[8406 Stock]],20,0),0)+_xlfn.IFNA(VLOOKUP(scheduleapr[[#This Row],[Bucket]],salesforecast[[#All],[Bucket2]:[8406 Stock]],17,0),0)</f>
        <v>1.529582</v>
      </c>
      <c r="W61" s="557"/>
      <c r="X61" s="1">
        <v>25.4</v>
      </c>
      <c r="Y61" s="1">
        <v>25.4</v>
      </c>
      <c r="Z61" s="1">
        <v>0</v>
      </c>
      <c r="AA61" s="1">
        <v>2</v>
      </c>
      <c r="AB61" s="24">
        <v>355</v>
      </c>
      <c r="AC61" s="24" t="s">
        <v>397</v>
      </c>
      <c r="AD61" s="24"/>
      <c r="AE61" s="24"/>
      <c r="AF61" s="2"/>
      <c r="AG61" s="2"/>
      <c r="AH61" s="2" cm="1">
        <f t="array" ref="AH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11325</v>
      </c>
      <c r="AI61" s="4">
        <f>scheduleapr[[#This Row],[SCHEDULE in nos]]-scheduleapr[[#This Row],[DISPATCH]]</f>
        <v>-11325</v>
      </c>
      <c r="AJ61" s="1">
        <f>(3.14*(scheduleapr[[#This Row],[ACTUAL OD]]-scheduleapr[[#This Row],[TICKNESS]])*scheduleapr[[#This Row],[TICKNESS]]*scheduleapr[[#This Row],[LENGTH]]*7.85)/1000000*scheduleapr[[#This Row],[SCHEDULE in nos]]/1000</f>
        <v>0</v>
      </c>
      <c r="AK61" s="1">
        <f>(3.14*(scheduleapr[[#This Row],[ACTUAL OD]]-scheduleapr[[#This Row],[TICKNESS]])*scheduleapr[[#This Row],[TICKNESS]]*scheduleapr[[#This Row],[LENGTH]]*7.85)/1000000*scheduleapr[[#This Row],[DISPATCH]]/1000</f>
        <v>4.6377968539499994</v>
      </c>
      <c r="AL61" s="1">
        <f t="shared" si="1"/>
        <v>-4.6377968539499994</v>
      </c>
      <c r="AM61" s="1" t="e">
        <f>scheduleapr[[#This Row],[SCHEDULE in nos]]/scheduleapr[[#This Row],[SCHEDULE IN MT]]*scheduleapr[[#This Row],[CTL Stock]]</f>
        <v>#DIV/0!</v>
      </c>
      <c r="AN61" s="1">
        <f>SUMIFS(stock[MT],stock[Bucket],scheduleapr[[#This Row],[Bucket]],stock[CTL Bucket],scheduleapr[[#This Row],[CTL Bucket]],stock[Plant],"0789")</f>
        <v>1.65205</v>
      </c>
      <c r="AO61" s="1"/>
      <c r="AP61" s="1">
        <f>SUMIFS(stock[MT],stock[Bucket],scheduleapr[[#This Row],[Bucket]],stock[LL or CTL],"LL")</f>
        <v>10.738999999999999</v>
      </c>
      <c r="AQ61" s="1">
        <f>+SUMIFS(wip[Stock(Net Wt)],wip[Bucket],scheduleapr[[#This Row],[Bucket]])/1000</f>
        <v>25.931000000000001</v>
      </c>
      <c r="AR61" s="1">
        <f t="shared" si="2"/>
        <v>-1.65205</v>
      </c>
      <c r="AS61" s="118"/>
    </row>
    <row r="62" spans="1:45" x14ac:dyDescent="0.25">
      <c r="A62" s="30">
        <v>55</v>
      </c>
      <c r="B62" s="5" t="s">
        <v>1816</v>
      </c>
      <c r="C62" s="2" t="s">
        <v>284</v>
      </c>
      <c r="D62" s="2" t="s">
        <v>1873</v>
      </c>
      <c r="E62" s="2" t="s">
        <v>285</v>
      </c>
      <c r="F62" s="2">
        <v>3727212</v>
      </c>
      <c r="G62" s="2" t="str">
        <f>_xlfn.CONCAT(scheduleapr[[#This Row],[CUSTOMER CODE]],"-",scheduleapr[[#This Row],[MATERIAL NO]])</f>
        <v>129663|948721-3727212</v>
      </c>
      <c r="H62" s="2" t="s">
        <v>669</v>
      </c>
      <c r="I62" s="2" t="s">
        <v>962</v>
      </c>
      <c r="J62" s="2"/>
      <c r="K62" s="2" t="s">
        <v>1003</v>
      </c>
      <c r="L62" s="2" t="s">
        <v>1867</v>
      </c>
      <c r="M62" s="44" t="s">
        <v>1868</v>
      </c>
      <c r="N62" s="2"/>
      <c r="O62" s="2"/>
      <c r="P62" s="2"/>
      <c r="Q62" s="557" t="str">
        <f>CONCATENATE(scheduleapr[[#This Row],[OD]],"-",scheduleapr[[#This Row],[ID]],"-",scheduleapr[[#This Row],[TICKNESS]],"-",scheduleapr[[#This Row],[Grade]],"-",scheduleapr[[#This Row],[FC/NFC]])</f>
        <v>28.58-0-1.6-ERW 1-FC</v>
      </c>
      <c r="R62" s="557" t="str">
        <f>_xlfn.CONCAT(scheduleapr[[#This Row],[Bucket]],"-",scheduleapr[[#This Row],[LENGTH]]/1000)</f>
        <v>28.58-0-1.6-ERW 1-FC-0.215</v>
      </c>
      <c r="S62" s="557">
        <f>COUNTIF(scheduleapr[CTL Bucket],scheduleapr[[#This Row],[CTL Bucket]])</f>
        <v>1</v>
      </c>
      <c r="T62" s="2" t="s">
        <v>1816</v>
      </c>
      <c r="U62" s="2">
        <f>_xlfn.IFNA(VLOOKUP(scheduleapr[[#This Row],[Bucket]],salesforecast[[#All],[Bucket2]:[8406 Stock]],19,0),0)</f>
        <v>0</v>
      </c>
      <c r="V62" s="562">
        <f>_xlfn.IFNA(VLOOKUP(scheduleapr[[#This Row],[Bucket]],salesforecast[[#All],[Bucket2]:[8406 Stock]],20,0),0)+_xlfn.IFNA(VLOOKUP(scheduleapr[[#This Row],[Bucket]],salesforecast[[#All],[Bucket2]:[8406 Stock]],17,0),0)</f>
        <v>0</v>
      </c>
      <c r="W62" s="557"/>
      <c r="X62" s="1">
        <v>28.58</v>
      </c>
      <c r="Y62" s="1">
        <v>28.58</v>
      </c>
      <c r="Z62" s="6">
        <v>0</v>
      </c>
      <c r="AA62" s="1">
        <v>1.6</v>
      </c>
      <c r="AB62" s="24">
        <v>215</v>
      </c>
      <c r="AC62" s="24" t="s">
        <v>397</v>
      </c>
      <c r="AD62" s="24"/>
      <c r="AE62" s="24"/>
      <c r="AF62" s="2">
        <v>5000</v>
      </c>
      <c r="AG62" s="2"/>
      <c r="AH62" s="2" cm="1">
        <f t="array" ref="AH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2425</v>
      </c>
      <c r="AI62" s="4">
        <f>scheduleapr[[#This Row],[SCHEDULE in nos]]-scheduleapr[[#This Row],[DISPATCH]]</f>
        <v>2575</v>
      </c>
      <c r="AJ62" s="1">
        <f>(3.14*(scheduleapr[[#This Row],[ACTUAL OD]]-scheduleapr[[#This Row],[TICKNESS]])*scheduleapr[[#This Row],[TICKNESS]]*scheduleapr[[#This Row],[LENGTH]]*7.85)/1000000*scheduleapr[[#This Row],[SCHEDULE in nos]]/1000</f>
        <v>1.1438516344</v>
      </c>
      <c r="AK62" s="1">
        <f>(3.14*(scheduleapr[[#This Row],[ACTUAL OD]]-scheduleapr[[#This Row],[TICKNESS]])*scheduleapr[[#This Row],[TICKNESS]]*scheduleapr[[#This Row],[LENGTH]]*7.85)/1000000*scheduleapr[[#This Row],[DISPATCH]]/1000</f>
        <v>0.55476804268399993</v>
      </c>
      <c r="AL62" s="1">
        <f t="shared" si="1"/>
        <v>0.58908359171600011</v>
      </c>
      <c r="AM62" s="1">
        <f>scheduleapr[[#This Row],[SCHEDULE in nos]]/scheduleapr[[#This Row],[SCHEDULE IN MT]]*scheduleapr[[#This Row],[CTL Stock]]</f>
        <v>49.132246097177926</v>
      </c>
      <c r="AN62" s="1">
        <f>SUMIFS(stock[MT],stock[Bucket],scheduleapr[[#This Row],[Bucket]],stock[CTL Bucket],scheduleapr[[#This Row],[CTL Bucket]],stock[Plant],"0789")</f>
        <v>1.124E-2</v>
      </c>
      <c r="AO62" s="1"/>
      <c r="AP62" s="1">
        <f>SUMIFS(stock[MT],stock[Bucket],scheduleapr[[#This Row],[Bucket]],stock[LL or CTL],"LL")</f>
        <v>0</v>
      </c>
      <c r="AQ62" s="1">
        <f>+SUMIFS(wip[Stock(Net Wt)],wip[Bucket],scheduleapr[[#This Row],[Bucket]])/1000</f>
        <v>11.99</v>
      </c>
      <c r="AR62" s="1">
        <f t="shared" si="2"/>
        <v>1.1326116344000001</v>
      </c>
      <c r="AS62" s="118"/>
    </row>
    <row r="63" spans="1:45" x14ac:dyDescent="0.25">
      <c r="A63" s="30">
        <v>56</v>
      </c>
      <c r="B63" s="5" t="s">
        <v>1816</v>
      </c>
      <c r="C63" s="2" t="s">
        <v>284</v>
      </c>
      <c r="D63" s="2" t="s">
        <v>1873</v>
      </c>
      <c r="E63" s="2" t="s">
        <v>285</v>
      </c>
      <c r="F63" s="2">
        <v>3598957</v>
      </c>
      <c r="G63" s="2" t="str">
        <f>_xlfn.CONCAT(scheduleapr[[#This Row],[CUSTOMER CODE]],"-",scheduleapr[[#This Row],[MATERIAL NO]])</f>
        <v>129663|948721-3598957</v>
      </c>
      <c r="H63" s="2" t="s">
        <v>665</v>
      </c>
      <c r="I63" s="2" t="s">
        <v>962</v>
      </c>
      <c r="J63" s="2"/>
      <c r="K63" s="2" t="s">
        <v>1003</v>
      </c>
      <c r="L63" s="2" t="s">
        <v>1867</v>
      </c>
      <c r="M63" s="44" t="s">
        <v>1868</v>
      </c>
      <c r="N63" s="2"/>
      <c r="O63" s="2"/>
      <c r="P63" s="2"/>
      <c r="Q63" s="557" t="str">
        <f>CONCATENATE(scheduleapr[[#This Row],[OD]],"-",scheduleapr[[#This Row],[ID]],"-",scheduleapr[[#This Row],[TICKNESS]],"-",scheduleapr[[#This Row],[Grade]],"-",scheduleapr[[#This Row],[FC/NFC]])</f>
        <v>28.58-0-1.6-ERW 1-FC</v>
      </c>
      <c r="R63" s="557" t="str">
        <f>_xlfn.CONCAT(scheduleapr[[#This Row],[Bucket]],"-",scheduleapr[[#This Row],[LENGTH]]/1000)</f>
        <v>28.58-0-1.6-ERW 1-FC-0.414</v>
      </c>
      <c r="S63" s="557">
        <f>COUNTIF(scheduleapr[CTL Bucket],scheduleapr[[#This Row],[CTL Bucket]])</f>
        <v>1</v>
      </c>
      <c r="T63" s="2" t="s">
        <v>1816</v>
      </c>
      <c r="U63" s="2">
        <f>_xlfn.IFNA(VLOOKUP(scheduleapr[[#This Row],[Bucket]],salesforecast[[#All],[Bucket2]:[8406 Stock]],19,0),0)</f>
        <v>0</v>
      </c>
      <c r="V63" s="562">
        <f>_xlfn.IFNA(VLOOKUP(scheduleapr[[#This Row],[Bucket]],salesforecast[[#All],[Bucket2]:[8406 Stock]],20,0),0)+_xlfn.IFNA(VLOOKUP(scheduleapr[[#This Row],[Bucket]],salesforecast[[#All],[Bucket2]:[8406 Stock]],17,0),0)</f>
        <v>0</v>
      </c>
      <c r="W63" s="557"/>
      <c r="X63" s="1">
        <v>28.58</v>
      </c>
      <c r="Y63" s="1">
        <v>28.58</v>
      </c>
      <c r="Z63" s="6">
        <v>0</v>
      </c>
      <c r="AA63" s="1">
        <v>1.6</v>
      </c>
      <c r="AB63" s="24">
        <v>414</v>
      </c>
      <c r="AC63" s="24" t="s">
        <v>397</v>
      </c>
      <c r="AD63" s="24"/>
      <c r="AE63" s="24"/>
      <c r="AF63" s="2">
        <v>10000</v>
      </c>
      <c r="AG63" s="2"/>
      <c r="AH63" s="2" cm="1">
        <f t="array" ref="AH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21035</v>
      </c>
      <c r="AI63" s="4">
        <f>scheduleapr[[#This Row],[SCHEDULE in nos]]-scheduleapr[[#This Row],[DISPATCH]]</f>
        <v>-11035</v>
      </c>
      <c r="AJ63" s="1">
        <f>(3.14*(scheduleapr[[#This Row],[ACTUAL OD]]-scheduleapr[[#This Row],[TICKNESS]])*scheduleapr[[#This Row],[TICKNESS]]*scheduleapr[[#This Row],[LENGTH]]*7.85)/1000000*scheduleapr[[#This Row],[SCHEDULE in nos]]/1000</f>
        <v>4.4051588524799987</v>
      </c>
      <c r="AK63" s="1">
        <f>(3.14*(scheduleapr[[#This Row],[ACTUAL OD]]-scheduleapr[[#This Row],[TICKNESS]])*scheduleapr[[#This Row],[TICKNESS]]*scheduleapr[[#This Row],[LENGTH]]*7.85)/1000000*scheduleapr[[#This Row],[DISPATCH]]/1000</f>
        <v>9.2662516461916784</v>
      </c>
      <c r="AL63" s="1">
        <f t="shared" si="1"/>
        <v>-4.8610927937116797</v>
      </c>
      <c r="AM63" s="1">
        <f>scheduleapr[[#This Row],[SCHEDULE in nos]]/scheduleapr[[#This Row],[SCHEDULE IN MT]]*scheduleapr[[#This Row],[CTL Stock]]</f>
        <v>2728.364720203826</v>
      </c>
      <c r="AN63" s="1">
        <f>SUMIFS(stock[MT],stock[Bucket],scheduleapr[[#This Row],[Bucket]],stock[CTL Bucket],scheduleapr[[#This Row],[CTL Bucket]],stock[Plant],"0789")</f>
        <v>1.2018879999999998</v>
      </c>
      <c r="AO63" s="1"/>
      <c r="AP63" s="1">
        <f>SUMIFS(stock[MT],stock[Bucket],scheduleapr[[#This Row],[Bucket]],stock[LL or CTL],"LL")</f>
        <v>0</v>
      </c>
      <c r="AQ63" s="1">
        <f>+SUMIFS(wip[Stock(Net Wt)],wip[Bucket],scheduleapr[[#This Row],[Bucket]])/1000</f>
        <v>11.99</v>
      </c>
      <c r="AR63" s="1">
        <f t="shared" si="2"/>
        <v>3.2032708524799989</v>
      </c>
      <c r="AS63" s="118"/>
    </row>
    <row r="64" spans="1:45" x14ac:dyDescent="0.25">
      <c r="A64" s="30">
        <v>57</v>
      </c>
      <c r="B64" s="5" t="s">
        <v>1816</v>
      </c>
      <c r="C64" s="2" t="s">
        <v>284</v>
      </c>
      <c r="D64" s="2" t="s">
        <v>1873</v>
      </c>
      <c r="E64" s="2" t="s">
        <v>285</v>
      </c>
      <c r="F64" s="2">
        <v>2397074</v>
      </c>
      <c r="G64" s="2" t="str">
        <f>_xlfn.CONCAT(scheduleapr[[#This Row],[CUSTOMER CODE]],"-",scheduleapr[[#This Row],[MATERIAL NO]])</f>
        <v>129663|948721-2397074</v>
      </c>
      <c r="H64" s="2" t="s">
        <v>1887</v>
      </c>
      <c r="I64" s="2" t="s">
        <v>962</v>
      </c>
      <c r="J64" s="2"/>
      <c r="K64" s="2" t="s">
        <v>1003</v>
      </c>
      <c r="L64" s="2" t="s">
        <v>239</v>
      </c>
      <c r="M64" s="2"/>
      <c r="N64" s="2"/>
      <c r="O64" s="2"/>
      <c r="P64" s="2"/>
      <c r="Q64" s="557" t="str">
        <f>CONCATENATE(scheduleapr[[#This Row],[OD]],"-",scheduleapr[[#This Row],[ID]],"-",scheduleapr[[#This Row],[TICKNESS]],"-",scheduleapr[[#This Row],[Grade]],"-",scheduleapr[[#This Row],[FC/NFC]])</f>
        <v>28.58-0-2-ERW 1-FC</v>
      </c>
      <c r="R64" s="557" t="str">
        <f>_xlfn.CONCAT(scheduleapr[[#This Row],[Bucket]],"-",scheduleapr[[#This Row],[LENGTH]]/1000)</f>
        <v>28.58-0-2-ERW 1-FC-0.469</v>
      </c>
      <c r="S64" s="557" t="e" vm="2">
        <f>COUNTIF([2]!buckets[CTL Bucket],[2]!scheduleapr[[#This Row],[CTL Bucket]])</f>
        <v>#REF!</v>
      </c>
      <c r="T64" s="557"/>
      <c r="U64" s="557"/>
      <c r="V64" s="557"/>
      <c r="W64" s="557"/>
      <c r="X64" s="1">
        <v>28.58</v>
      </c>
      <c r="Y64" s="1">
        <v>28.58</v>
      </c>
      <c r="Z64" s="1">
        <v>0</v>
      </c>
      <c r="AA64" s="1">
        <v>2</v>
      </c>
      <c r="AB64" s="24">
        <v>469</v>
      </c>
      <c r="AC64" s="24" t="s">
        <v>397</v>
      </c>
      <c r="AD64" s="24"/>
      <c r="AE64" s="24"/>
      <c r="AF64" s="2"/>
      <c r="AG64" s="2"/>
      <c r="AH64" s="2" cm="1">
        <f t="array" ref="AH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 s="4">
        <f>scheduleapr[[#This Row],[SCHEDULE in nos]]-scheduleapr[[#This Row],[DISPATCH]]</f>
        <v>0</v>
      </c>
      <c r="AJ64" s="1">
        <f>(3.14*(scheduleapr[[#This Row],[ACTUAL OD]]-scheduleapr[[#This Row],[TICKNESS]])*scheduleapr[[#This Row],[TICKNESS]]*scheduleapr[[#This Row],[LENGTH]]*7.85)/1000000*scheduleapr[[#This Row],[SCHEDULE in nos]]/1000</f>
        <v>0</v>
      </c>
      <c r="AK64" s="1">
        <f>(3.14*(scheduleapr[[#This Row],[ACTUAL OD]]-scheduleapr[[#This Row],[TICKNESS]])*scheduleapr[[#This Row],[TICKNESS]]*scheduleapr[[#This Row],[LENGTH]]*7.85)/1000000*scheduleapr[[#This Row],[DISPATCH]]/1000</f>
        <v>0</v>
      </c>
      <c r="AL64" s="1">
        <f t="shared" si="1"/>
        <v>0</v>
      </c>
      <c r="AM64" s="1" t="e">
        <f>scheduleapr[[#This Row],[SCHEDULE in nos]]/scheduleapr[[#This Row],[SCHEDULE IN MT]]*scheduleapr[[#This Row],[CTL Stock]]</f>
        <v>#DIV/0!</v>
      </c>
      <c r="AN64" s="1">
        <f>SUMIFS(stock[MT],stock[Bucket],scheduleapr[[#This Row],[Bucket]],stock[CTL Bucket],scheduleapr[[#This Row],[CTL Bucket]],stock[Plant],"0789")</f>
        <v>0</v>
      </c>
      <c r="AO64" s="1"/>
      <c r="AP64" s="1">
        <f>SUMIFS(stock[MT],stock[Bucket],scheduleapr[[#This Row],[Bucket]],stock[LL or CTL],"LL")</f>
        <v>4.6774610000000001</v>
      </c>
      <c r="AQ64" s="1">
        <f>+SUMIFS(wip[Stock(Net Wt)],wip[Bucket],scheduleapr[[#This Row],[Bucket]])/1000</f>
        <v>7.87</v>
      </c>
      <c r="AR64" s="1">
        <f t="shared" si="2"/>
        <v>0</v>
      </c>
      <c r="AS64" s="118"/>
    </row>
    <row r="65" spans="1:45" x14ac:dyDescent="0.25">
      <c r="A65" s="30">
        <v>58</v>
      </c>
      <c r="B65" s="5" t="s">
        <v>1816</v>
      </c>
      <c r="C65" s="2" t="s">
        <v>284</v>
      </c>
      <c r="D65" s="2" t="s">
        <v>1873</v>
      </c>
      <c r="E65" s="2" t="s">
        <v>285</v>
      </c>
      <c r="F65" s="2" t="e">
        <f>_xlfn.CONCAT([2]!scheduleapr[[#This Row],[OD]],"-",[2]!scheduleapr[[#This Row],[ID]],"-",[2]!scheduleapr[[#This Row],[TICKNESS]],"-",[2]!scheduleapr[[#This Row],[LENGTH]])</f>
        <v>#REF!</v>
      </c>
      <c r="G65" s="2" t="e">
        <f>_xlfn.CONCAT(scheduleapr[[#This Row],[CUSTOMER CODE]],"-",scheduleapr[[#This Row],[MATERIAL NO]])</f>
        <v>#REF!</v>
      </c>
      <c r="H65" s="2" t="s">
        <v>1888</v>
      </c>
      <c r="I65" s="2" t="s">
        <v>962</v>
      </c>
      <c r="J65" s="2"/>
      <c r="K65" s="2" t="s">
        <v>1003</v>
      </c>
      <c r="L65" s="2" t="s">
        <v>239</v>
      </c>
      <c r="M65" s="2"/>
      <c r="N65" s="2"/>
      <c r="O65" s="2"/>
      <c r="P65" s="2"/>
      <c r="Q65" s="557" t="str">
        <f>CONCATENATE(scheduleapr[[#This Row],[OD]],"-",scheduleapr[[#This Row],[ID]],"-",scheduleapr[[#This Row],[TICKNESS]],"-",scheduleapr[[#This Row],[Grade]],"-",scheduleapr[[#This Row],[FC/NFC]])</f>
        <v>28.58-0-2-ERW 1-FC</v>
      </c>
      <c r="R65" s="557" t="str">
        <f>_xlfn.CONCAT(scheduleapr[[#This Row],[Bucket]],"-",scheduleapr[[#This Row],[LENGTH]]/1000)</f>
        <v>28.58-0-2-ERW 1-FC-0.475</v>
      </c>
      <c r="S65" s="557">
        <f>COUNTIF(scheduleapr[CTL Bucket],scheduleapr[[#This Row],[CTL Bucket]])</f>
        <v>1</v>
      </c>
      <c r="T65" s="2" t="s">
        <v>1816</v>
      </c>
      <c r="U65" s="2">
        <f>_xlfn.IFNA(VLOOKUP(scheduleapr[[#This Row],[Bucket]],salesforecast[[#All],[Bucket2]:[8406 Stock]],19,0),0)</f>
        <v>4.6774610000000001</v>
      </c>
      <c r="V65" s="562">
        <f>_xlfn.IFNA(VLOOKUP(scheduleapr[[#This Row],[Bucket]],salesforecast[[#All],[Bucket2]:[8406 Stock]],20,0),0)+_xlfn.IFNA(VLOOKUP(scheduleapr[[#This Row],[Bucket]],salesforecast[[#All],[Bucket2]:[8406 Stock]],17,0),0)</f>
        <v>0</v>
      </c>
      <c r="W65" s="557"/>
      <c r="X65" s="1">
        <v>28.58</v>
      </c>
      <c r="Y65" s="1">
        <v>28.58</v>
      </c>
      <c r="Z65" s="1">
        <v>0</v>
      </c>
      <c r="AA65" s="1">
        <v>2</v>
      </c>
      <c r="AB65" s="24">
        <v>475</v>
      </c>
      <c r="AC65" s="24" t="s">
        <v>397</v>
      </c>
      <c r="AD65" s="24"/>
      <c r="AE65" s="24"/>
      <c r="AF65" s="2">
        <v>11000</v>
      </c>
      <c r="AG65" s="2"/>
      <c r="AH65" s="2" cm="1">
        <f t="array" ref="AH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 s="4">
        <f>scheduleapr[[#This Row],[SCHEDULE in nos]]-scheduleapr[[#This Row],[DISPATCH]]</f>
        <v>11000</v>
      </c>
      <c r="AJ65" s="1">
        <f>(3.14*(scheduleapr[[#This Row],[ACTUAL OD]]-scheduleapr[[#This Row],[TICKNESS]])*scheduleapr[[#This Row],[TICKNESS]]*scheduleapr[[#This Row],[LENGTH]]*7.85)/1000000*scheduleapr[[#This Row],[SCHEDULE in nos]]/1000</f>
        <v>6.8465308889999976</v>
      </c>
      <c r="AK65" s="1">
        <f>(3.14*(scheduleapr[[#This Row],[ACTUAL OD]]-scheduleapr[[#This Row],[TICKNESS]])*scheduleapr[[#This Row],[TICKNESS]]*scheduleapr[[#This Row],[LENGTH]]*7.85)/1000000*scheduleapr[[#This Row],[DISPATCH]]/1000</f>
        <v>0</v>
      </c>
      <c r="AL65" s="1">
        <f t="shared" si="1"/>
        <v>6.8465308889999976</v>
      </c>
      <c r="AM65" s="1">
        <f>scheduleapr[[#This Row],[SCHEDULE in nos]]/scheduleapr[[#This Row],[SCHEDULE IN MT]]*scheduleapr[[#This Row],[CTL Stock]]</f>
        <v>9256.1710488764347</v>
      </c>
      <c r="AN65" s="1">
        <f>SUMIFS(stock[MT],stock[Bucket],scheduleapr[[#This Row],[Bucket]],stock[CTL Bucket],scheduleapr[[#This Row],[CTL Bucket]],stock[Plant],"0789")</f>
        <v>5.7611510000000008</v>
      </c>
      <c r="AO65" s="1"/>
      <c r="AP65" s="1">
        <f>SUMIFS(stock[MT],stock[Bucket],scheduleapr[[#This Row],[Bucket]],stock[LL or CTL],"LL")</f>
        <v>4.6774610000000001</v>
      </c>
      <c r="AQ65" s="1">
        <f>+SUMIFS(wip[Stock(Net Wt)],wip[Bucket],scheduleapr[[#This Row],[Bucket]])/1000</f>
        <v>7.87</v>
      </c>
      <c r="AR65" s="1">
        <f t="shared" si="2"/>
        <v>1.0853798889999968</v>
      </c>
      <c r="AS65" s="118"/>
    </row>
    <row r="66" spans="1:45" x14ac:dyDescent="0.25">
      <c r="A66" s="30">
        <v>62</v>
      </c>
      <c r="B66" s="5" t="s">
        <v>1816</v>
      </c>
      <c r="C66" s="2" t="s">
        <v>284</v>
      </c>
      <c r="D66" s="2" t="s">
        <v>1873</v>
      </c>
      <c r="E66" s="2" t="s">
        <v>285</v>
      </c>
      <c r="F66" s="2">
        <v>1932548</v>
      </c>
      <c r="G66" s="2" t="str">
        <f>_xlfn.CONCAT(scheduleapr[[#This Row],[CUSTOMER CODE]],"-",scheduleapr[[#This Row],[MATERIAL NO]])</f>
        <v>129663|948721-1932548</v>
      </c>
      <c r="H66" s="2" t="s">
        <v>1889</v>
      </c>
      <c r="I66" s="2" t="s">
        <v>962</v>
      </c>
      <c r="J66" s="2"/>
      <c r="K66" s="2"/>
      <c r="L66" s="2" t="s">
        <v>239</v>
      </c>
      <c r="M66" s="2"/>
      <c r="N66" s="2"/>
      <c r="O66" s="2"/>
      <c r="P66" s="2"/>
      <c r="Q66" s="557" t="str">
        <f>CONCATENATE(scheduleapr[[#This Row],[OD]],"-",scheduleapr[[#This Row],[ID]],"-",scheduleapr[[#This Row],[TICKNESS]],"-",scheduleapr[[#This Row],[Grade]],"-",scheduleapr[[#This Row],[FC/NFC]])</f>
        <v>25-25-2-ERW 1-</v>
      </c>
      <c r="R66" s="557" t="str">
        <f>_xlfn.CONCAT(scheduleapr[[#This Row],[Bucket]],"-",scheduleapr[[#This Row],[LENGTH]]/1000)</f>
        <v>25-25-2-ERW 1--6</v>
      </c>
      <c r="S66" s="557" t="e" vm="2">
        <f>COUNTIF([2]!buckets[CTL Bucket],[2]!scheduleapr[[#This Row],[CTL Bucket]])</f>
        <v>#REF!</v>
      </c>
      <c r="T66" s="557"/>
      <c r="U66" s="557"/>
      <c r="V66" s="557"/>
      <c r="W66" s="557"/>
      <c r="X66" s="1">
        <v>31.75</v>
      </c>
      <c r="Y66" s="1">
        <v>25</v>
      </c>
      <c r="Z66" s="1">
        <v>25</v>
      </c>
      <c r="AA66" s="1">
        <v>2</v>
      </c>
      <c r="AB66" s="24">
        <v>6000</v>
      </c>
      <c r="AC66" s="24"/>
      <c r="AD66" s="24"/>
      <c r="AE66" s="24"/>
      <c r="AF66" s="2"/>
      <c r="AG66" s="2"/>
      <c r="AH66" s="2" t="e" cm="1">
        <f t="array" ref="AH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6" s="4" t="e">
        <f>scheduleapr[[#This Row],[SCHEDULE in nos]]-scheduleapr[[#This Row],[DISPATCH]]</f>
        <v>#N/A</v>
      </c>
      <c r="AJ66" s="1">
        <f>(3.14*(scheduleapr[[#This Row],[ACTUAL OD]]-scheduleapr[[#This Row],[TICKNESS]])*scheduleapr[[#This Row],[TICKNESS]]*scheduleapr[[#This Row],[LENGTH]]*7.85)/1000000*scheduleapr[[#This Row],[SCHEDULE in nos]]/1000</f>
        <v>0</v>
      </c>
      <c r="AK66" s="1" t="e">
        <f>(3.14*(scheduleapr[[#This Row],[ACTUAL OD]]-scheduleapr[[#This Row],[TICKNESS]])*scheduleapr[[#This Row],[TICKNESS]]*scheduleapr[[#This Row],[LENGTH]]*7.85)/1000000*scheduleapr[[#This Row],[DISPATCH]]/1000</f>
        <v>#N/A</v>
      </c>
      <c r="AL66" s="1" t="e">
        <f t="shared" si="1"/>
        <v>#N/A</v>
      </c>
      <c r="AM66" s="1" t="e">
        <f>scheduleapr[[#This Row],[SCHEDULE in nos]]/scheduleapr[[#This Row],[SCHEDULE IN MT]]*scheduleapr[[#This Row],[CTL Stock]]</f>
        <v>#DIV/0!</v>
      </c>
      <c r="AN66" s="1">
        <f>SUMIFS(stock[MT],stock[Bucket],scheduleapr[[#This Row],[Bucket]],stock[CTL Bucket],scheduleapr[[#This Row],[CTL Bucket]],stock[Plant],"0789")</f>
        <v>0</v>
      </c>
      <c r="AO66" s="1"/>
      <c r="AP66" s="1">
        <f>SUMIFS(stock[MT],stock[Bucket],scheduleapr[[#This Row],[Bucket]],stock[LL or CTL],"LL")</f>
        <v>0</v>
      </c>
      <c r="AQ66" s="1">
        <f>+SUMIFS(wip[Stock(Net Wt)],wip[Bucket],scheduleapr[[#This Row],[Bucket]])/1000</f>
        <v>0</v>
      </c>
      <c r="AR66" s="1">
        <f t="shared" si="2"/>
        <v>0</v>
      </c>
      <c r="AS66" s="118"/>
    </row>
    <row r="67" spans="1:45" x14ac:dyDescent="0.25">
      <c r="A67" s="30">
        <v>65</v>
      </c>
      <c r="B67" s="5" t="s">
        <v>1816</v>
      </c>
      <c r="C67" s="2" t="s">
        <v>284</v>
      </c>
      <c r="D67" s="2" t="s">
        <v>1873</v>
      </c>
      <c r="E67" s="2" t="s">
        <v>285</v>
      </c>
      <c r="F67" s="2">
        <v>1155165</v>
      </c>
      <c r="G67" s="2" t="str">
        <f>_xlfn.CONCAT(scheduleapr[[#This Row],[CUSTOMER CODE]],"-",scheduleapr[[#This Row],[MATERIAL NO]])</f>
        <v>129663|948721-1155165</v>
      </c>
      <c r="H67" s="2" t="s">
        <v>1627</v>
      </c>
      <c r="I67" s="2" t="s">
        <v>962</v>
      </c>
      <c r="J67" s="2"/>
      <c r="K67" s="2" t="s">
        <v>1003</v>
      </c>
      <c r="L67" s="2" t="s">
        <v>239</v>
      </c>
      <c r="M67" s="2"/>
      <c r="N67" s="2"/>
      <c r="O67" s="2"/>
      <c r="P67" s="2"/>
      <c r="Q67" s="557" t="str">
        <f>CONCATENATE(scheduleapr[[#This Row],[OD]],"-",scheduleapr[[#This Row],[ID]],"-",scheduleapr[[#This Row],[TICKNESS]],"-",scheduleapr[[#This Row],[Grade]],"-",scheduleapr[[#This Row],[FC/NFC]])</f>
        <v>34.93-0-1.6-ERW 1-FC</v>
      </c>
      <c r="R67" s="557" t="str">
        <f>_xlfn.CONCAT(scheduleapr[[#This Row],[Bucket]],"-",scheduleapr[[#This Row],[LENGTH]]/1000)</f>
        <v>34.93-0-1.6-ERW 1-FC-1.726</v>
      </c>
      <c r="S67" s="557" t="e" vm="2">
        <f>COUNTIF([2]!buckets[CTL Bucket],[2]!scheduleapr[[#This Row],[CTL Bucket]])</f>
        <v>#REF!</v>
      </c>
      <c r="T67" s="557"/>
      <c r="U67" s="557"/>
      <c r="V67" s="557"/>
      <c r="W67" s="557"/>
      <c r="X67" s="6">
        <v>34.93</v>
      </c>
      <c r="Y67" s="6">
        <v>34.93</v>
      </c>
      <c r="Z67" s="1">
        <v>0</v>
      </c>
      <c r="AA67" s="1">
        <v>1.6</v>
      </c>
      <c r="AB67" s="24">
        <v>1726</v>
      </c>
      <c r="AC67" s="24"/>
      <c r="AD67" s="24"/>
      <c r="AE67" s="24"/>
      <c r="AF67" s="24"/>
      <c r="AG67" s="24"/>
      <c r="AH67" s="2" t="e" cm="1">
        <f t="array" ref="AH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7" s="4" t="e">
        <f>scheduleapr[[#This Row],[SCHEDULE in nos]]-scheduleapr[[#This Row],[DISPATCH]]</f>
        <v>#N/A</v>
      </c>
      <c r="AJ67" s="1">
        <f>(3.14*(scheduleapr[[#This Row],[ACTUAL OD]]-scheduleapr[[#This Row],[TICKNESS]])*scheduleapr[[#This Row],[TICKNESS]]*scheduleapr[[#This Row],[LENGTH]]*7.85)/1000000*scheduleapr[[#This Row],[SCHEDULE in nos]]/1000</f>
        <v>0</v>
      </c>
      <c r="AK67" s="1" t="e">
        <f>(3.14*(scheduleapr[[#This Row],[ACTUAL OD]]-scheduleapr[[#This Row],[TICKNESS]])*scheduleapr[[#This Row],[TICKNESS]]*scheduleapr[[#This Row],[LENGTH]]*7.85)/1000000*scheduleapr[[#This Row],[DISPATCH]]/1000</f>
        <v>#N/A</v>
      </c>
      <c r="AL67" s="1" t="e">
        <f t="shared" si="1"/>
        <v>#N/A</v>
      </c>
      <c r="AM67" s="1" t="e">
        <f>scheduleapr[[#This Row],[SCHEDULE in nos]]/scheduleapr[[#This Row],[SCHEDULE IN MT]]*scheduleapr[[#This Row],[CTL Stock]]</f>
        <v>#DIV/0!</v>
      </c>
      <c r="AN67" s="1">
        <f>SUMIFS(stock[MT],stock[Bucket],scheduleapr[[#This Row],[Bucket]],stock[CTL Bucket],scheduleapr[[#This Row],[CTL Bucket]],stock[Plant],"0789")</f>
        <v>2.050608</v>
      </c>
      <c r="AO67" s="1"/>
      <c r="AP67" s="1">
        <f>SUMIFS(stock[MT],stock[Bucket],scheduleapr[[#This Row],[Bucket]],stock[LL or CTL],"LL")</f>
        <v>0</v>
      </c>
      <c r="AQ67" s="1">
        <f>+SUMIFS(wip[Stock(Net Wt)],wip[Bucket],scheduleapr[[#This Row],[Bucket]])/1000</f>
        <v>0</v>
      </c>
      <c r="AR67" s="1">
        <f t="shared" si="2"/>
        <v>-2.050608</v>
      </c>
      <c r="AS67" s="118"/>
    </row>
    <row r="68" spans="1:45" x14ac:dyDescent="0.25">
      <c r="A68" s="30">
        <v>68</v>
      </c>
      <c r="B68" s="5" t="s">
        <v>1816</v>
      </c>
      <c r="C68" s="2" t="s">
        <v>284</v>
      </c>
      <c r="D68" s="2" t="s">
        <v>1873</v>
      </c>
      <c r="E68" s="2" t="s">
        <v>285</v>
      </c>
      <c r="F68" s="2">
        <v>3210056</v>
      </c>
      <c r="G68" s="2" t="str">
        <f>_xlfn.CONCAT(scheduleapr[[#This Row],[CUSTOMER CODE]],"-",scheduleapr[[#This Row],[MATERIAL NO]])</f>
        <v>129663|948721-3210056</v>
      </c>
      <c r="H68" s="2" t="s">
        <v>1890</v>
      </c>
      <c r="I68" s="2" t="s">
        <v>962</v>
      </c>
      <c r="J68" s="2"/>
      <c r="K68" s="2" t="s">
        <v>1003</v>
      </c>
      <c r="L68" s="2" t="s">
        <v>239</v>
      </c>
      <c r="M68" s="2"/>
      <c r="N68" s="2"/>
      <c r="O68" s="2"/>
      <c r="P68" s="2"/>
      <c r="Q68" s="557" t="str">
        <f>CONCATENATE(scheduleapr[[#This Row],[OD]],"-",scheduleapr[[#This Row],[ID]],"-",scheduleapr[[#This Row],[TICKNESS]],"-",scheduleapr[[#This Row],[Grade]],"-",scheduleapr[[#This Row],[FC/NFC]])</f>
        <v>34.93-0-2-ERW 1-FC</v>
      </c>
      <c r="R68" s="557" t="str">
        <f>_xlfn.CONCAT(scheduleapr[[#This Row],[Bucket]],"-",scheduleapr[[#This Row],[LENGTH]]/1000)</f>
        <v>34.93-0-2-ERW 1-FC-1.175</v>
      </c>
      <c r="S68" s="557" t="e" vm="2">
        <f>COUNTIF([2]!buckets[CTL Bucket],[2]!scheduleapr[[#This Row],[CTL Bucket]])</f>
        <v>#REF!</v>
      </c>
      <c r="T68" s="557"/>
      <c r="U68" s="2">
        <f>_xlfn.IFNA(VLOOKUP(scheduleapr[[#This Row],[Bucket]],salesforecast[[#All],[Bucket2]:[8406 Stock]],19,0),0)</f>
        <v>0</v>
      </c>
      <c r="V68" s="557"/>
      <c r="W68" s="557"/>
      <c r="X68" s="1">
        <v>34.93</v>
      </c>
      <c r="Y68" s="1">
        <v>34.93</v>
      </c>
      <c r="Z68" s="1">
        <v>0</v>
      </c>
      <c r="AA68" s="1">
        <v>2</v>
      </c>
      <c r="AB68" s="24">
        <v>1175</v>
      </c>
      <c r="AC68" s="24" t="s">
        <v>397</v>
      </c>
      <c r="AD68" s="24"/>
      <c r="AE68" s="24"/>
      <c r="AF68" s="24"/>
      <c r="AG68" s="24"/>
      <c r="AH68" s="2" cm="1">
        <f t="array" ref="AH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 s="4">
        <f>scheduleapr[[#This Row],[SCHEDULE in nos]]-scheduleapr[[#This Row],[DISPATCH]]</f>
        <v>0</v>
      </c>
      <c r="AJ68" s="1">
        <f>(3.14*(scheduleapr[[#This Row],[ACTUAL OD]]-scheduleapr[[#This Row],[TICKNESS]])*scheduleapr[[#This Row],[TICKNESS]]*scheduleapr[[#This Row],[LENGTH]]*7.85)/1000000*scheduleapr[[#This Row],[SCHEDULE in nos]]/1000</f>
        <v>0</v>
      </c>
      <c r="AK68" s="1">
        <f>(3.14*(scheduleapr[[#This Row],[ACTUAL OD]]-scheduleapr[[#This Row],[TICKNESS]])*scheduleapr[[#This Row],[TICKNESS]]*scheduleapr[[#This Row],[LENGTH]]*7.85)/1000000*scheduleapr[[#This Row],[DISPATCH]]/1000</f>
        <v>0</v>
      </c>
      <c r="AL68" s="1">
        <f t="shared" ref="AL68:AL131" si="3">AJ68-AK68</f>
        <v>0</v>
      </c>
      <c r="AM68" s="1" t="e">
        <f>scheduleapr[[#This Row],[SCHEDULE in nos]]/scheduleapr[[#This Row],[SCHEDULE IN MT]]*scheduleapr[[#This Row],[CTL Stock]]</f>
        <v>#DIV/0!</v>
      </c>
      <c r="AN68" s="1">
        <f>SUMIFS(stock[MT],stock[Bucket],scheduleapr[[#This Row],[Bucket]],stock[CTL Bucket],scheduleapr[[#This Row],[CTL Bucket]],stock[Plant],"0789")</f>
        <v>0</v>
      </c>
      <c r="AO68" s="1"/>
      <c r="AP68" s="1">
        <f>SUMIFS(stock[MT],stock[Bucket],scheduleapr[[#This Row],[Bucket]],stock[LL or CTL],"LL")</f>
        <v>0</v>
      </c>
      <c r="AQ68" s="1">
        <f>+SUMIFS(wip[Stock(Net Wt)],wip[Bucket],scheduleapr[[#This Row],[Bucket]])/1000</f>
        <v>0</v>
      </c>
      <c r="AR68" s="1">
        <f t="shared" ref="AR68:AR131" si="4">AJ68-AN68</f>
        <v>0</v>
      </c>
      <c r="AS68" s="118"/>
    </row>
    <row r="69" spans="1:45" x14ac:dyDescent="0.25">
      <c r="A69" s="30">
        <v>69</v>
      </c>
      <c r="B69" s="5" t="s">
        <v>1872</v>
      </c>
      <c r="C69" s="2" t="s">
        <v>284</v>
      </c>
      <c r="D69" s="2" t="s">
        <v>1873</v>
      </c>
      <c r="E69" s="2" t="s">
        <v>285</v>
      </c>
      <c r="F69" s="2">
        <v>1155164</v>
      </c>
      <c r="G69" s="2" t="str">
        <f>_xlfn.CONCAT(scheduleapr[[#This Row],[CUSTOMER CODE]],"-",scheduleapr[[#This Row],[MATERIAL NO]])</f>
        <v>129663|948721-1155164</v>
      </c>
      <c r="H69" s="2" t="s">
        <v>1630</v>
      </c>
      <c r="I69" s="2" t="s">
        <v>962</v>
      </c>
      <c r="J69" s="2"/>
      <c r="K69" s="2" t="s">
        <v>1003</v>
      </c>
      <c r="L69" s="2" t="s">
        <v>239</v>
      </c>
      <c r="M69" s="2"/>
      <c r="N69" s="2"/>
      <c r="O69" s="2"/>
      <c r="P69" s="2"/>
      <c r="Q69" s="557" t="str">
        <f>CONCATENATE(scheduleapr[[#This Row],[OD]],"-",scheduleapr[[#This Row],[ID]],"-",scheduleapr[[#This Row],[TICKNESS]],"-",scheduleapr[[#This Row],[Grade]],"-",scheduleapr[[#This Row],[FC/NFC]])</f>
        <v>34.93-0-2.5-ERW 1-FC</v>
      </c>
      <c r="R69" s="557" t="str">
        <f>_xlfn.CONCAT(scheduleapr[[#This Row],[Bucket]],"-",scheduleapr[[#This Row],[LENGTH]]/1000)</f>
        <v>34.93-0-2.5-ERW 1-FC-1.723</v>
      </c>
      <c r="S69" s="557" t="e" vm="2">
        <f>COUNTIF([2]!buckets[CTL Bucket],[2]!scheduleapr[[#This Row],[CTL Bucket]])</f>
        <v>#REF!</v>
      </c>
      <c r="T69" s="557"/>
      <c r="U69" s="557"/>
      <c r="V69" s="557"/>
      <c r="W69" s="557"/>
      <c r="X69" s="6">
        <v>34.93</v>
      </c>
      <c r="Y69" s="6">
        <v>34.93</v>
      </c>
      <c r="Z69" s="1">
        <v>0</v>
      </c>
      <c r="AA69" s="1">
        <v>2.5</v>
      </c>
      <c r="AB69" s="24">
        <v>1723</v>
      </c>
      <c r="AC69" s="24"/>
      <c r="AD69" s="24"/>
      <c r="AE69" s="24"/>
      <c r="AF69" s="24"/>
      <c r="AG69" s="24"/>
      <c r="AH69" s="2" t="e" cm="1">
        <f t="array" ref="AH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9" s="4" t="e">
        <f>scheduleapr[[#This Row],[SCHEDULE in nos]]-scheduleapr[[#This Row],[DISPATCH]]</f>
        <v>#N/A</v>
      </c>
      <c r="AJ69" s="1">
        <f>(3.14*(scheduleapr[[#This Row],[ACTUAL OD]]-scheduleapr[[#This Row],[TICKNESS]])*scheduleapr[[#This Row],[TICKNESS]]*scheduleapr[[#This Row],[LENGTH]]*7.85)/1000000*scheduleapr[[#This Row],[SCHEDULE in nos]]/1000</f>
        <v>0</v>
      </c>
      <c r="AK69" s="1" t="e">
        <f>(3.14*(scheduleapr[[#This Row],[ACTUAL OD]]-scheduleapr[[#This Row],[TICKNESS]])*scheduleapr[[#This Row],[TICKNESS]]*scheduleapr[[#This Row],[LENGTH]]*7.85)/1000000*scheduleapr[[#This Row],[DISPATCH]]/1000</f>
        <v>#N/A</v>
      </c>
      <c r="AL69" s="1" t="e">
        <f t="shared" si="3"/>
        <v>#N/A</v>
      </c>
      <c r="AM69" s="1" t="e">
        <f>scheduleapr[[#This Row],[SCHEDULE in nos]]/scheduleapr[[#This Row],[SCHEDULE IN MT]]*scheduleapr[[#This Row],[CTL Stock]]</f>
        <v>#DIV/0!</v>
      </c>
      <c r="AN69" s="1">
        <f>SUMIFS(stock[MT],stock[Bucket],scheduleapr[[#This Row],[Bucket]],stock[CTL Bucket],scheduleapr[[#This Row],[CTL Bucket]],stock[Plant],"0789")</f>
        <v>0</v>
      </c>
      <c r="AO69" s="1"/>
      <c r="AP69" s="1">
        <f>SUMIFS(stock[MT],stock[Bucket],scheduleapr[[#This Row],[Bucket]],stock[LL or CTL],"LL")</f>
        <v>0</v>
      </c>
      <c r="AQ69" s="1">
        <f>+SUMIFS(wip[Stock(Net Wt)],wip[Bucket],scheduleapr[[#This Row],[Bucket]])/1000</f>
        <v>0</v>
      </c>
      <c r="AR69" s="1">
        <f t="shared" si="4"/>
        <v>0</v>
      </c>
      <c r="AS69" s="118"/>
    </row>
    <row r="70" spans="1:45" x14ac:dyDescent="0.25">
      <c r="A70" s="30">
        <v>70</v>
      </c>
      <c r="B70" s="5" t="s">
        <v>1816</v>
      </c>
      <c r="C70" s="2" t="s">
        <v>284</v>
      </c>
      <c r="D70" s="2" t="s">
        <v>1873</v>
      </c>
      <c r="E70" s="2" t="s">
        <v>285</v>
      </c>
      <c r="F70" s="2">
        <v>1940815</v>
      </c>
      <c r="G70" s="2" t="str">
        <f>_xlfn.CONCAT(scheduleapr[[#This Row],[CUSTOMER CODE]],"-",scheduleapr[[#This Row],[MATERIAL NO]])</f>
        <v>129663|948721-1940815</v>
      </c>
      <c r="H70" s="2" t="s">
        <v>790</v>
      </c>
      <c r="I70" s="2" t="s">
        <v>962</v>
      </c>
      <c r="J70" s="2"/>
      <c r="K70" s="2" t="s">
        <v>1003</v>
      </c>
      <c r="L70" s="2" t="s">
        <v>239</v>
      </c>
      <c r="M70" s="2" t="s">
        <v>1891</v>
      </c>
      <c r="N70" s="2"/>
      <c r="O70" s="2"/>
      <c r="P70" s="2" t="s">
        <v>1892</v>
      </c>
      <c r="Q70" s="557" t="str">
        <f>CONCATENATE(scheduleapr[[#This Row],[OD]],"-",scheduleapr[[#This Row],[ID]],"-",scheduleapr[[#This Row],[TICKNESS]],"-",scheduleapr[[#This Row],[Grade]],"-",scheduleapr[[#This Row],[FC/NFC]])</f>
        <v>40-20-1.6-ERW 1-FC</v>
      </c>
      <c r="R70" s="557" t="str">
        <f>_xlfn.CONCAT(scheduleapr[[#This Row],[Bucket]],"-",scheduleapr[[#This Row],[LENGTH]]/1000)</f>
        <v>40-20-1.6-ERW 1-FC-0.48</v>
      </c>
      <c r="S70" s="557">
        <f>COUNTIF(scheduleapr[CTL Bucket],scheduleapr[[#This Row],[CTL Bucket]])</f>
        <v>1</v>
      </c>
      <c r="T70" s="2" t="s">
        <v>1816</v>
      </c>
      <c r="U70" s="2">
        <f>_xlfn.IFNA(VLOOKUP(scheduleapr[[#This Row],[Bucket]],salesforecast[[#All],[Bucket2]:[8406 Stock]],19,0),0)</f>
        <v>0</v>
      </c>
      <c r="V70" s="562">
        <f>_xlfn.IFNA(VLOOKUP(scheduleapr[[#This Row],[Bucket]],salesforecast[[#All],[Bucket2]:[8406 Stock]],20,0),0)+_xlfn.IFNA(VLOOKUP(scheduleapr[[#This Row],[Bucket]],salesforecast[[#All],[Bucket2]:[8406 Stock]],17,0),0)</f>
        <v>0</v>
      </c>
      <c r="W70" s="557"/>
      <c r="X70" s="1">
        <v>38.1</v>
      </c>
      <c r="Y70" s="1">
        <v>40</v>
      </c>
      <c r="Z70" s="1">
        <v>20</v>
      </c>
      <c r="AA70" s="1">
        <v>1.6</v>
      </c>
      <c r="AB70" s="24">
        <v>480</v>
      </c>
      <c r="AC70" s="24" t="s">
        <v>397</v>
      </c>
      <c r="AD70" s="24"/>
      <c r="AE70" s="24"/>
      <c r="AF70" s="2">
        <v>10000</v>
      </c>
      <c r="AG70" s="2"/>
      <c r="AH70" s="2" cm="1">
        <f t="array" ref="AH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9940</v>
      </c>
      <c r="AI70" s="4">
        <f>scheduleapr[[#This Row],[SCHEDULE in nos]]-scheduleapr[[#This Row],[DISPATCH]]</f>
        <v>60</v>
      </c>
      <c r="AJ70" s="1">
        <f>(3.14*(scheduleapr[[#This Row],[ACTUAL OD]]-scheduleapr[[#This Row],[TICKNESS]])*scheduleapr[[#This Row],[TICKNESS]]*scheduleapr[[#This Row],[LENGTH]]*7.85)/1000000*scheduleapr[[#This Row],[SCHEDULE in nos]]/1000</f>
        <v>6.9096076799999988</v>
      </c>
      <c r="AK70" s="1">
        <f>(3.14*(scheduleapr[[#This Row],[ACTUAL OD]]-scheduleapr[[#This Row],[TICKNESS]])*scheduleapr[[#This Row],[TICKNESS]]*scheduleapr[[#This Row],[LENGTH]]*7.85)/1000000*scheduleapr[[#This Row],[DISPATCH]]/1000</f>
        <v>6.8681500339199992</v>
      </c>
      <c r="AL70" s="1">
        <f t="shared" si="3"/>
        <v>4.1457646079999577E-2</v>
      </c>
      <c r="AM70" s="1">
        <f>scheduleapr[[#This Row],[SCHEDULE in nos]]/scheduleapr[[#This Row],[SCHEDULE IN MT]]*scheduleapr[[#This Row],[CTL Stock]]</f>
        <v>23.06932714304266</v>
      </c>
      <c r="AN70" s="1">
        <f>SUMIFS(stock[MT],stock[Bucket],scheduleapr[[#This Row],[Bucket]],stock[CTL Bucket],scheduleapr[[#This Row],[CTL Bucket]],stock[Plant],"0789")</f>
        <v>1.5939999999999999E-2</v>
      </c>
      <c r="AO70" s="1"/>
      <c r="AP70" s="1">
        <f>SUMIFS(stock[MT],stock[Bucket],scheduleapr[[#This Row],[Bucket]],stock[LL or CTL],"LL")</f>
        <v>0.27499499999999999</v>
      </c>
      <c r="AQ70" s="1">
        <f>+SUMIFS(wip[Stock(Net Wt)],wip[Bucket],scheduleapr[[#This Row],[Bucket]])/1000</f>
        <v>1.27</v>
      </c>
      <c r="AR70" s="1">
        <f t="shared" si="4"/>
        <v>6.8936676799999992</v>
      </c>
      <c r="AS70" s="118"/>
    </row>
    <row r="71" spans="1:45" x14ac:dyDescent="0.25">
      <c r="A71" s="30">
        <v>71</v>
      </c>
      <c r="B71" s="5" t="s">
        <v>1816</v>
      </c>
      <c r="C71" s="2" t="s">
        <v>284</v>
      </c>
      <c r="D71" s="2" t="s">
        <v>1873</v>
      </c>
      <c r="E71" s="2" t="s">
        <v>285</v>
      </c>
      <c r="F71" s="2">
        <v>1940821</v>
      </c>
      <c r="G71" s="2" t="str">
        <f>_xlfn.CONCAT(scheduleapr[[#This Row],[CUSTOMER CODE]],"-",scheduleapr[[#This Row],[MATERIAL NO]])</f>
        <v>129663|948721-1940821</v>
      </c>
      <c r="H71" s="2" t="s">
        <v>571</v>
      </c>
      <c r="I71" s="2" t="s">
        <v>962</v>
      </c>
      <c r="J71" s="2"/>
      <c r="K71" s="2" t="s">
        <v>1003</v>
      </c>
      <c r="L71" s="2" t="s">
        <v>1867</v>
      </c>
      <c r="M71" s="44" t="s">
        <v>1891</v>
      </c>
      <c r="N71" s="2"/>
      <c r="O71" s="2"/>
      <c r="P71" s="2" t="s">
        <v>1892</v>
      </c>
      <c r="Q71" s="557" t="str">
        <f>CONCATENATE(scheduleapr[[#This Row],[OD]],"-",scheduleapr[[#This Row],[ID]],"-",scheduleapr[[#This Row],[TICKNESS]],"-",scheduleapr[[#This Row],[Grade]],"-",scheduleapr[[#This Row],[FC/NFC]])</f>
        <v>40-25-1.6-ERW 1-FC</v>
      </c>
      <c r="R71" s="557" t="str">
        <f>_xlfn.CONCAT(scheduleapr[[#This Row],[Bucket]],"-",scheduleapr[[#This Row],[LENGTH]]/1000)</f>
        <v>40-25-1.6-ERW 1-FC-0.513</v>
      </c>
      <c r="S71" s="557">
        <f>COUNTIF(scheduleapr[CTL Bucket],scheduleapr[[#This Row],[CTL Bucket]])</f>
        <v>2</v>
      </c>
      <c r="T71" s="2" t="s">
        <v>1816</v>
      </c>
      <c r="U71" s="2">
        <f>_xlfn.IFNA(VLOOKUP(scheduleapr[[#This Row],[Bucket]],salesforecast[[#All],[Bucket2]:[8406 Stock]],19,0),0)</f>
        <v>0.61827399999999999</v>
      </c>
      <c r="V71" s="562">
        <f>_xlfn.IFNA(VLOOKUP(scheduleapr[[#This Row],[Bucket]],salesforecast[[#All],[Bucket2]:[8406 Stock]],20,0),0)+_xlfn.IFNA(VLOOKUP(scheduleapr[[#This Row],[Bucket]],salesforecast[[#All],[Bucket2]:[8406 Stock]],17,0),0)</f>
        <v>0</v>
      </c>
      <c r="W71" s="557"/>
      <c r="X71" s="1">
        <v>41.28</v>
      </c>
      <c r="Y71" s="1">
        <v>40</v>
      </c>
      <c r="Z71" s="1">
        <v>25</v>
      </c>
      <c r="AA71" s="1">
        <v>1.6</v>
      </c>
      <c r="AB71" s="24">
        <v>513</v>
      </c>
      <c r="AC71" s="24" t="s">
        <v>397</v>
      </c>
      <c r="AD71" s="24"/>
      <c r="AE71" s="24"/>
      <c r="AF71" s="2">
        <v>7500</v>
      </c>
      <c r="AG71" s="2"/>
      <c r="AH71" s="2" cm="1">
        <f t="array" ref="AH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13680</v>
      </c>
      <c r="AI71" s="4">
        <f>scheduleapr[[#This Row],[SCHEDULE in nos]]-scheduleapr[[#This Row],[DISPATCH]]</f>
        <v>-6180</v>
      </c>
      <c r="AJ71" s="1">
        <f>(3.14*(scheduleapr[[#This Row],[ACTUAL OD]]-scheduleapr[[#This Row],[TICKNESS]])*scheduleapr[[#This Row],[TICKNESS]]*scheduleapr[[#This Row],[LENGTH]]*7.85)/1000000*scheduleapr[[#This Row],[SCHEDULE in nos]]/1000</f>
        <v>6.0210132019200007</v>
      </c>
      <c r="AK71" s="1">
        <f>(3.14*(scheduleapr[[#This Row],[ACTUAL OD]]-scheduleapr[[#This Row],[TICKNESS]])*scheduleapr[[#This Row],[TICKNESS]]*scheduleapr[[#This Row],[LENGTH]]*7.85)/1000000*scheduleapr[[#This Row],[DISPATCH]]/1000</f>
        <v>10.982328080302082</v>
      </c>
      <c r="AL71" s="1">
        <f t="shared" si="3"/>
        <v>-4.9613148783820815</v>
      </c>
      <c r="AM71" s="1">
        <f>scheduleapr[[#This Row],[SCHEDULE in nos]]/scheduleapr[[#This Row],[SCHEDULE IN MT]]*scheduleapr[[#This Row],[CTL Stock]]</f>
        <v>92.392672353318545</v>
      </c>
      <c r="AN71" s="1">
        <f>SUMIFS(stock[MT],stock[Bucket],scheduleapr[[#This Row],[Bucket]],stock[CTL Bucket],scheduleapr[[#This Row],[CTL Bucket]],stock[Plant],"0789")</f>
        <v>7.4173000000000003E-2</v>
      </c>
      <c r="AO71" s="1"/>
      <c r="AP71" s="1">
        <f>SUMIFS(stock[MT],stock[Bucket],scheduleapr[[#This Row],[Bucket]],stock[LL or CTL],"LL")</f>
        <v>0.61827399999999999</v>
      </c>
      <c r="AQ71" s="1">
        <f>+SUMIFS(wip[Stock(Net Wt)],wip[Bucket],scheduleapr[[#This Row],[Bucket]])/1000</f>
        <v>0</v>
      </c>
      <c r="AR71" s="1">
        <f t="shared" si="4"/>
        <v>5.9468402019200006</v>
      </c>
      <c r="AS71" s="118"/>
    </row>
    <row r="72" spans="1:45" x14ac:dyDescent="0.25">
      <c r="A72" s="30">
        <v>72</v>
      </c>
      <c r="B72" s="5" t="s">
        <v>1816</v>
      </c>
      <c r="C72" s="2" t="s">
        <v>284</v>
      </c>
      <c r="D72" s="2" t="s">
        <v>1873</v>
      </c>
      <c r="E72" s="2" t="s">
        <v>285</v>
      </c>
      <c r="F72" s="2">
        <v>1940822</v>
      </c>
      <c r="G72" s="2" t="str">
        <f>_xlfn.CONCAT(scheduleapr[[#This Row],[CUSTOMER CODE]],"-",scheduleapr[[#This Row],[MATERIAL NO]])</f>
        <v>129663|948721-1940822</v>
      </c>
      <c r="H72" s="2" t="s">
        <v>574</v>
      </c>
      <c r="I72" s="2" t="s">
        <v>962</v>
      </c>
      <c r="J72" s="2"/>
      <c r="K72" s="2" t="s">
        <v>1003</v>
      </c>
      <c r="L72" s="2" t="s">
        <v>1867</v>
      </c>
      <c r="M72" s="44" t="s">
        <v>1891</v>
      </c>
      <c r="N72" s="2"/>
      <c r="O72" s="2"/>
      <c r="P72" s="2" t="s">
        <v>1892</v>
      </c>
      <c r="Q72" s="557" t="str">
        <f>CONCATENATE(scheduleapr[[#This Row],[OD]],"-",scheduleapr[[#This Row],[ID]],"-",scheduleapr[[#This Row],[TICKNESS]],"-",scheduleapr[[#This Row],[Grade]],"-",scheduleapr[[#This Row],[FC/NFC]])</f>
        <v>40-25-1.6-ERW 1-FC</v>
      </c>
      <c r="R72" s="557" t="str">
        <f>_xlfn.CONCAT(scheduleapr[[#This Row],[Bucket]],"-",scheduleapr[[#This Row],[LENGTH]]/1000)</f>
        <v>40-25-1.6-ERW 1-FC-0.536</v>
      </c>
      <c r="S72" s="557">
        <f>COUNTIF(scheduleapr[CTL Bucket],scheduleapr[[#This Row],[CTL Bucket]])</f>
        <v>2</v>
      </c>
      <c r="T72" s="2" t="s">
        <v>1816</v>
      </c>
      <c r="U72" s="2">
        <f>_xlfn.IFNA(VLOOKUP(scheduleapr[[#This Row],[Bucket]],salesforecast[[#All],[Bucket2]:[8406 Stock]],19,0),0)</f>
        <v>0.61827399999999999</v>
      </c>
      <c r="V72" s="562">
        <f>_xlfn.IFNA(VLOOKUP(scheduleapr[[#This Row],[Bucket]],salesforecast[[#All],[Bucket2]:[8406 Stock]],20,0),0)+_xlfn.IFNA(VLOOKUP(scheduleapr[[#This Row],[Bucket]],salesforecast[[#All],[Bucket2]:[8406 Stock]],17,0),0)</f>
        <v>0</v>
      </c>
      <c r="W72" s="557"/>
      <c r="X72" s="1">
        <v>41.28</v>
      </c>
      <c r="Y72" s="1">
        <v>40</v>
      </c>
      <c r="Z72" s="1">
        <v>25</v>
      </c>
      <c r="AA72" s="1">
        <v>1.6</v>
      </c>
      <c r="AB72" s="24">
        <v>536</v>
      </c>
      <c r="AC72" s="24" t="s">
        <v>397</v>
      </c>
      <c r="AD72" s="24"/>
      <c r="AE72" s="24"/>
      <c r="AF72" s="2">
        <v>40000</v>
      </c>
      <c r="AG72" s="2"/>
      <c r="AH72" s="2" cm="1">
        <f t="array" ref="AH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26140</v>
      </c>
      <c r="AI72" s="4">
        <f>scheduleapr[[#This Row],[SCHEDULE in nos]]-scheduleapr[[#This Row],[DISPATCH]]</f>
        <v>13860</v>
      </c>
      <c r="AJ72" s="1">
        <f>(3.14*(scheduleapr[[#This Row],[ACTUAL OD]]-scheduleapr[[#This Row],[TICKNESS]])*scheduleapr[[#This Row],[TICKNESS]]*scheduleapr[[#This Row],[LENGTH]]*7.85)/1000000*scheduleapr[[#This Row],[SCHEDULE in nos]]/1000</f>
        <v>33.551792865280007</v>
      </c>
      <c r="AK72" s="1">
        <f>(3.14*(scheduleapr[[#This Row],[ACTUAL OD]]-scheduleapr[[#This Row],[TICKNESS]])*scheduleapr[[#This Row],[TICKNESS]]*scheduleapr[[#This Row],[LENGTH]]*7.85)/1000000*scheduleapr[[#This Row],[DISPATCH]]/1000</f>
        <v>21.926096637460478</v>
      </c>
      <c r="AL72" s="1">
        <f t="shared" si="3"/>
        <v>11.625696227819528</v>
      </c>
      <c r="AM72" s="1">
        <f>scheduleapr[[#This Row],[SCHEDULE in nos]]/scheduleapr[[#This Row],[SCHEDULE IN MT]]*scheduleapr[[#This Row],[CTL Stock]]</f>
        <v>194.66023846250556</v>
      </c>
      <c r="AN72" s="1">
        <f>SUMIFS(stock[MT],stock[Bucket],scheduleapr[[#This Row],[Bucket]],stock[CTL Bucket],scheduleapr[[#This Row],[CTL Bucket]],stock[Plant],"0789")</f>
        <v>0.16327999999999998</v>
      </c>
      <c r="AO72" s="1"/>
      <c r="AP72" s="1">
        <f>SUMIFS(stock[MT],stock[Bucket],scheduleapr[[#This Row],[Bucket]],stock[LL or CTL],"LL")</f>
        <v>0.61827399999999999</v>
      </c>
      <c r="AQ72" s="1">
        <f>+SUMIFS(wip[Stock(Net Wt)],wip[Bucket],scheduleapr[[#This Row],[Bucket]])/1000</f>
        <v>0</v>
      </c>
      <c r="AR72" s="1">
        <f t="shared" si="4"/>
        <v>33.388512865280006</v>
      </c>
      <c r="AS72" s="118"/>
    </row>
    <row r="73" spans="1:45" x14ac:dyDescent="0.25">
      <c r="A73" s="30">
        <v>73</v>
      </c>
      <c r="B73" s="5" t="s">
        <v>1816</v>
      </c>
      <c r="C73" s="2" t="s">
        <v>284</v>
      </c>
      <c r="D73" s="2" t="s">
        <v>1873</v>
      </c>
      <c r="E73" s="2" t="s">
        <v>285</v>
      </c>
      <c r="F73" s="2">
        <v>1940823</v>
      </c>
      <c r="G73" s="2" t="str">
        <f>_xlfn.CONCAT(scheduleapr[[#This Row],[CUSTOMER CODE]],"-",scheduleapr[[#This Row],[MATERIAL NO]])</f>
        <v>129663|948721-1940823</v>
      </c>
      <c r="H73" s="2" t="s">
        <v>576</v>
      </c>
      <c r="I73" s="2" t="s">
        <v>962</v>
      </c>
      <c r="J73" s="2"/>
      <c r="K73" s="2" t="s">
        <v>1003</v>
      </c>
      <c r="L73" s="2" t="s">
        <v>1867</v>
      </c>
      <c r="M73" s="44" t="s">
        <v>1891</v>
      </c>
      <c r="N73" s="2"/>
      <c r="O73" s="2"/>
      <c r="P73" s="2" t="s">
        <v>1892</v>
      </c>
      <c r="Q73" s="557" t="str">
        <f>CONCATENATE(scheduleapr[[#This Row],[OD]],"-",scheduleapr[[#This Row],[ID]],"-",scheduleapr[[#This Row],[TICKNESS]],"-",scheduleapr[[#This Row],[Grade]],"-",scheduleapr[[#This Row],[FC/NFC]])</f>
        <v>40-25-1.6-ERW 1-FC</v>
      </c>
      <c r="R73" s="557" t="str">
        <f>_xlfn.CONCAT(scheduleapr[[#This Row],[Bucket]],"-",scheduleapr[[#This Row],[LENGTH]]/1000)</f>
        <v>40-25-1.6-ERW 1-FC-0.56</v>
      </c>
      <c r="S73" s="557">
        <f>COUNTIF(scheduleapr[CTL Bucket],scheduleapr[[#This Row],[CTL Bucket]])</f>
        <v>1</v>
      </c>
      <c r="T73" s="2" t="s">
        <v>1816</v>
      </c>
      <c r="U73" s="2">
        <f>_xlfn.IFNA(VLOOKUP(scheduleapr[[#This Row],[Bucket]],salesforecast[[#All],[Bucket2]:[8406 Stock]],19,0),0)</f>
        <v>0.61827399999999999</v>
      </c>
      <c r="V73" s="562">
        <f>_xlfn.IFNA(VLOOKUP(scheduleapr[[#This Row],[Bucket]],salesforecast[[#All],[Bucket2]:[8406 Stock]],20,0),0)+_xlfn.IFNA(VLOOKUP(scheduleapr[[#This Row],[Bucket]],salesforecast[[#All],[Bucket2]:[8406 Stock]],17,0),0)</f>
        <v>0</v>
      </c>
      <c r="W73" s="557"/>
      <c r="X73" s="1">
        <v>41.28</v>
      </c>
      <c r="Y73" s="1">
        <v>40</v>
      </c>
      <c r="Z73" s="1">
        <v>25</v>
      </c>
      <c r="AA73" s="1">
        <v>1.6</v>
      </c>
      <c r="AB73" s="24">
        <v>560</v>
      </c>
      <c r="AC73" s="24" t="s">
        <v>397</v>
      </c>
      <c r="AD73" s="24"/>
      <c r="AE73" s="24"/>
      <c r="AF73" s="2">
        <v>25000</v>
      </c>
      <c r="AG73" s="2"/>
      <c r="AH73" s="2" cm="1">
        <f t="array" ref="AH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15000</v>
      </c>
      <c r="AI73" s="4">
        <f>scheduleapr[[#This Row],[SCHEDULE in nos]]-scheduleapr[[#This Row],[DISPATCH]]</f>
        <v>10000</v>
      </c>
      <c r="AJ73" s="1">
        <f>(3.14*(scheduleapr[[#This Row],[ACTUAL OD]]-scheduleapr[[#This Row],[TICKNESS]])*scheduleapr[[#This Row],[TICKNESS]]*scheduleapr[[#This Row],[LENGTH]]*7.85)/1000000*scheduleapr[[#This Row],[SCHEDULE in nos]]/1000</f>
        <v>21.908819968</v>
      </c>
      <c r="AK73" s="1">
        <f>(3.14*(scheduleapr[[#This Row],[ACTUAL OD]]-scheduleapr[[#This Row],[TICKNESS]])*scheduleapr[[#This Row],[TICKNESS]]*scheduleapr[[#This Row],[LENGTH]]*7.85)/1000000*scheduleapr[[#This Row],[DISPATCH]]/1000</f>
        <v>13.1452919808</v>
      </c>
      <c r="AL73" s="1">
        <f t="shared" si="3"/>
        <v>8.7635279871999998</v>
      </c>
      <c r="AM73" s="1">
        <f>scheduleapr[[#This Row],[SCHEDULE in nos]]/scheduleapr[[#This Row],[SCHEDULE IN MT]]*scheduleapr[[#This Row],[CTL Stock]]</f>
        <v>9.4220044850203788</v>
      </c>
      <c r="AN73" s="1">
        <f>SUMIFS(stock[MT],stock[Bucket],scheduleapr[[#This Row],[Bucket]],stock[CTL Bucket],scheduleapr[[#This Row],[CTL Bucket]],stock[Plant],"0789")</f>
        <v>8.2570000000000005E-3</v>
      </c>
      <c r="AO73" s="1"/>
      <c r="AP73" s="1">
        <f>SUMIFS(stock[MT],stock[Bucket],scheduleapr[[#This Row],[Bucket]],stock[LL or CTL],"LL")</f>
        <v>0.61827399999999999</v>
      </c>
      <c r="AQ73" s="1">
        <f>+SUMIFS(wip[Stock(Net Wt)],wip[Bucket],scheduleapr[[#This Row],[Bucket]])/1000</f>
        <v>0</v>
      </c>
      <c r="AR73" s="1">
        <f t="shared" si="4"/>
        <v>21.900562967999999</v>
      </c>
      <c r="AS73" s="118"/>
    </row>
    <row r="74" spans="1:45" x14ac:dyDescent="0.25">
      <c r="A74" s="30">
        <v>74</v>
      </c>
      <c r="B74" s="5" t="s">
        <v>1816</v>
      </c>
      <c r="C74" s="2" t="s">
        <v>284</v>
      </c>
      <c r="D74" s="2" t="s">
        <v>1873</v>
      </c>
      <c r="E74" s="2" t="s">
        <v>285</v>
      </c>
      <c r="F74" s="2">
        <v>1940825</v>
      </c>
      <c r="G74" s="2" t="str">
        <f>_xlfn.CONCAT(scheduleapr[[#This Row],[CUSTOMER CODE]],"-",scheduleapr[[#This Row],[MATERIAL NO]])</f>
        <v>129663|948721-1940825</v>
      </c>
      <c r="H74" s="2" t="s">
        <v>788</v>
      </c>
      <c r="I74" s="2" t="s">
        <v>962</v>
      </c>
      <c r="J74" s="2"/>
      <c r="K74" s="2" t="s">
        <v>1003</v>
      </c>
      <c r="L74" s="2" t="s">
        <v>1867</v>
      </c>
      <c r="M74" s="44" t="s">
        <v>1891</v>
      </c>
      <c r="N74" s="2"/>
      <c r="O74" s="2"/>
      <c r="P74" s="2" t="s">
        <v>1892</v>
      </c>
      <c r="Q74" s="557" t="str">
        <f>CONCATENATE(scheduleapr[[#This Row],[OD]],"-",scheduleapr[[#This Row],[ID]],"-",scheduleapr[[#This Row],[TICKNESS]],"-",scheduleapr[[#This Row],[Grade]],"-",scheduleapr[[#This Row],[FC/NFC]])</f>
        <v>40-25-1.6-ERW 1-FC</v>
      </c>
      <c r="R74" s="557" t="str">
        <f>_xlfn.CONCAT(scheduleapr[[#This Row],[Bucket]],"-",scheduleapr[[#This Row],[LENGTH]]/1000)</f>
        <v>40-25-1.6-ERW 1-FC-0.585</v>
      </c>
      <c r="S74" s="557">
        <f>COUNTIF(scheduleapr[CTL Bucket],scheduleapr[[#This Row],[CTL Bucket]])</f>
        <v>1</v>
      </c>
      <c r="T74" s="2" t="s">
        <v>1816</v>
      </c>
      <c r="U74" s="2">
        <f>_xlfn.IFNA(VLOOKUP(scheduleapr[[#This Row],[Bucket]],salesforecast[[#All],[Bucket2]:[8406 Stock]],19,0),0)</f>
        <v>0.61827399999999999</v>
      </c>
      <c r="V74" s="562">
        <f>_xlfn.IFNA(VLOOKUP(scheduleapr[[#This Row],[Bucket]],salesforecast[[#All],[Bucket2]:[8406 Stock]],20,0),0)+_xlfn.IFNA(VLOOKUP(scheduleapr[[#This Row],[Bucket]],salesforecast[[#All],[Bucket2]:[8406 Stock]],17,0),0)</f>
        <v>0</v>
      </c>
      <c r="W74" s="557"/>
      <c r="X74" s="1">
        <v>41.28</v>
      </c>
      <c r="Y74" s="1">
        <v>40</v>
      </c>
      <c r="Z74" s="1">
        <v>25</v>
      </c>
      <c r="AA74" s="1">
        <v>1.6</v>
      </c>
      <c r="AB74" s="24">
        <v>585</v>
      </c>
      <c r="AC74" s="24" t="s">
        <v>397</v>
      </c>
      <c r="AD74" s="24"/>
      <c r="AE74" s="24"/>
      <c r="AF74" s="2">
        <v>13000</v>
      </c>
      <c r="AG74" s="2"/>
      <c r="AH74" s="2" cm="1">
        <f t="array" ref="AH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2740</v>
      </c>
      <c r="AI74" s="4">
        <f>scheduleapr[[#This Row],[SCHEDULE in nos]]-scheduleapr[[#This Row],[DISPATCH]]</f>
        <v>10260</v>
      </c>
      <c r="AJ74" s="1">
        <f>(3.14*(scheduleapr[[#This Row],[ACTUAL OD]]-scheduleapr[[#This Row],[TICKNESS]])*scheduleapr[[#This Row],[TICKNESS]]*scheduleapr[[#This Row],[LENGTH]]*7.85)/1000000*scheduleapr[[#This Row],[SCHEDULE in nos]]/1000</f>
        <v>11.90118398976</v>
      </c>
      <c r="AK74" s="1">
        <f>(3.14*(scheduleapr[[#This Row],[ACTUAL OD]]-scheduleapr[[#This Row],[TICKNESS]])*scheduleapr[[#This Row],[TICKNESS]]*scheduleapr[[#This Row],[LENGTH]]*7.85)/1000000*scheduleapr[[#This Row],[DISPATCH]]/1000</f>
        <v>2.5084033947648003</v>
      </c>
      <c r="AL74" s="1">
        <f t="shared" si="3"/>
        <v>9.3927805949951999</v>
      </c>
      <c r="AM74" s="1">
        <f>scheduleapr[[#This Row],[SCHEDULE in nos]]/scheduleapr[[#This Row],[SCHEDULE IN MT]]*scheduleapr[[#This Row],[CTL Stock]]</f>
        <v>11.478185709719018</v>
      </c>
      <c r="AN74" s="1">
        <f>SUMIFS(stock[MT],stock[Bucket],scheduleapr[[#This Row],[Bucket]],stock[CTL Bucket],scheduleapr[[#This Row],[CTL Bucket]],stock[Plant],"0789")</f>
        <v>1.0508E-2</v>
      </c>
      <c r="AO74" s="1"/>
      <c r="AP74" s="1">
        <f>SUMIFS(stock[MT],stock[Bucket],scheduleapr[[#This Row],[Bucket]],stock[LL or CTL],"LL")</f>
        <v>0.61827399999999999</v>
      </c>
      <c r="AQ74" s="1">
        <f>+SUMIFS(wip[Stock(Net Wt)],wip[Bucket],scheduleapr[[#This Row],[Bucket]])/1000</f>
        <v>0</v>
      </c>
      <c r="AR74" s="1">
        <f t="shared" si="4"/>
        <v>11.89067598976</v>
      </c>
      <c r="AS74" s="118"/>
    </row>
    <row r="75" spans="1:45" x14ac:dyDescent="0.25">
      <c r="A75" s="30">
        <v>75</v>
      </c>
      <c r="B75" s="5" t="s">
        <v>1816</v>
      </c>
      <c r="C75" s="2" t="s">
        <v>284</v>
      </c>
      <c r="D75" s="2" t="s">
        <v>1873</v>
      </c>
      <c r="E75" s="2" t="s">
        <v>285</v>
      </c>
      <c r="F75" s="2">
        <v>1932559</v>
      </c>
      <c r="G75" s="2" t="str">
        <f>_xlfn.CONCAT(scheduleapr[[#This Row],[CUSTOMER CODE]],"-",scheduleapr[[#This Row],[MATERIAL NO]])</f>
        <v>129663|948721-1932559</v>
      </c>
      <c r="H75" s="2" t="s">
        <v>1893</v>
      </c>
      <c r="I75" s="2" t="s">
        <v>962</v>
      </c>
      <c r="J75" s="2"/>
      <c r="K75" s="2" t="s">
        <v>1003</v>
      </c>
      <c r="L75" s="2" t="s">
        <v>239</v>
      </c>
      <c r="M75" s="2"/>
      <c r="N75" s="2"/>
      <c r="O75" s="2"/>
      <c r="P75" s="2" t="s">
        <v>1892</v>
      </c>
      <c r="Q75" s="557" t="str">
        <f>CONCATENATE(scheduleapr[[#This Row],[OD]],"-",scheduleapr[[#This Row],[ID]],"-",scheduleapr[[#This Row],[TICKNESS]],"-",scheduleapr[[#This Row],[Grade]],"-",scheduleapr[[#This Row],[FC/NFC]])</f>
        <v>40-25-2-ERW 1-FC</v>
      </c>
      <c r="R75" s="557" t="str">
        <f>_xlfn.CONCAT(scheduleapr[[#This Row],[Bucket]],"-",scheduleapr[[#This Row],[LENGTH]]/1000)</f>
        <v>40-25-2-ERW 1-FC-1</v>
      </c>
      <c r="S75" s="557" t="e" vm="2">
        <f>COUNTIF([2]!buckets[CTL Bucket],[2]!scheduleapr[[#This Row],[CTL Bucket]])</f>
        <v>#REF!</v>
      </c>
      <c r="T75" s="557"/>
      <c r="U75" s="557"/>
      <c r="V75" s="557"/>
      <c r="W75" s="557"/>
      <c r="X75" s="1">
        <v>41.28</v>
      </c>
      <c r="Y75" s="1">
        <v>40</v>
      </c>
      <c r="Z75" s="1">
        <v>25</v>
      </c>
      <c r="AA75" s="1">
        <v>2</v>
      </c>
      <c r="AB75" s="24">
        <v>1000</v>
      </c>
      <c r="AC75" s="24" t="s">
        <v>444</v>
      </c>
      <c r="AD75" s="24"/>
      <c r="AE75" s="24"/>
      <c r="AF75" s="24"/>
      <c r="AG75" s="24"/>
      <c r="AH75" s="2" cm="1">
        <f t="array" ref="AH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5" s="4">
        <f>scheduleapr[[#This Row],[SCHEDULE in nos]]-scheduleapr[[#This Row],[DISPATCH]]</f>
        <v>0</v>
      </c>
      <c r="AJ75" s="1">
        <f>(3.14*(scheduleapr[[#This Row],[ACTUAL OD]]-scheduleapr[[#This Row],[TICKNESS]])*scheduleapr[[#This Row],[TICKNESS]]*scheduleapr[[#This Row],[LENGTH]]*7.85)/1000000*scheduleapr[[#This Row],[SCHEDULE in nos]]/1000</f>
        <v>0</v>
      </c>
      <c r="AK75" s="1">
        <f>(3.14*(scheduleapr[[#This Row],[ACTUAL OD]]-scheduleapr[[#This Row],[TICKNESS]])*scheduleapr[[#This Row],[TICKNESS]]*scheduleapr[[#This Row],[LENGTH]]*7.85)/1000000*scheduleapr[[#This Row],[DISPATCH]]/1000</f>
        <v>0</v>
      </c>
      <c r="AL75" s="1">
        <f t="shared" si="3"/>
        <v>0</v>
      </c>
      <c r="AM75" s="1" t="e">
        <f>scheduleapr[[#This Row],[SCHEDULE in nos]]/scheduleapr[[#This Row],[SCHEDULE IN MT]]*scheduleapr[[#This Row],[CTL Stock]]</f>
        <v>#DIV/0!</v>
      </c>
      <c r="AN75" s="1">
        <f>SUMIFS(stock[MT],stock[Bucket],scheduleapr[[#This Row],[Bucket]],stock[CTL Bucket],scheduleapr[[#This Row],[CTL Bucket]],stock[Plant],"0789")</f>
        <v>0</v>
      </c>
      <c r="AO75" s="1"/>
      <c r="AP75" s="1">
        <f>SUMIFS(stock[MT],stock[Bucket],scheduleapr[[#This Row],[Bucket]],stock[LL or CTL],"LL")</f>
        <v>0</v>
      </c>
      <c r="AQ75" s="1">
        <f>+SUMIFS(wip[Stock(Net Wt)],wip[Bucket],scheduleapr[[#This Row],[Bucket]])/1000</f>
        <v>0</v>
      </c>
      <c r="AR75" s="1">
        <f t="shared" si="4"/>
        <v>0</v>
      </c>
      <c r="AS75" s="118"/>
    </row>
    <row r="76" spans="1:45" x14ac:dyDescent="0.25">
      <c r="A76" s="30">
        <v>76</v>
      </c>
      <c r="B76" s="5" t="s">
        <v>1816</v>
      </c>
      <c r="C76" s="2" t="s">
        <v>284</v>
      </c>
      <c r="D76" s="2" t="s">
        <v>1873</v>
      </c>
      <c r="E76" s="2" t="s">
        <v>285</v>
      </c>
      <c r="F76" s="2">
        <v>3499121</v>
      </c>
      <c r="G76" s="2" t="str">
        <f>_xlfn.CONCAT(scheduleapr[[#This Row],[CUSTOMER CODE]],"-",scheduleapr[[#This Row],[MATERIAL NO]])</f>
        <v>129663|948721-3499121</v>
      </c>
      <c r="H76" s="2" t="s">
        <v>1696</v>
      </c>
      <c r="I76" s="2" t="s">
        <v>962</v>
      </c>
      <c r="J76" s="2" t="s">
        <v>1894</v>
      </c>
      <c r="K76" s="2" t="s">
        <v>1003</v>
      </c>
      <c r="L76" s="2" t="s">
        <v>239</v>
      </c>
      <c r="M76" s="2"/>
      <c r="N76" s="2"/>
      <c r="O76" s="2"/>
      <c r="P76" s="2"/>
      <c r="Q76" s="557" t="str">
        <f>CONCATENATE(scheduleapr[[#This Row],[OD]],"-",scheduleapr[[#This Row],[ID]],"-",scheduleapr[[#This Row],[TICKNESS]],"-",scheduleapr[[#This Row],[Grade]],"-",scheduleapr[[#This Row],[FC/NFC]])</f>
        <v>42.7-0-4-ERW 1-FC</v>
      </c>
      <c r="R76" s="557" t="str">
        <f>_xlfn.CONCAT(scheduleapr[[#This Row],[Bucket]],"-",scheduleapr[[#This Row],[LENGTH]]/1000)</f>
        <v>42.7-0-4-ERW 1-FC-0.29</v>
      </c>
      <c r="S76" s="557" t="e" vm="2">
        <f>COUNTIF([2]!buckets[CTL Bucket],[2]!scheduleapr[[#This Row],[CTL Bucket]])</f>
        <v>#REF!</v>
      </c>
      <c r="T76" s="2" t="s">
        <v>1817</v>
      </c>
      <c r="U76" s="2"/>
      <c r="V76" s="557"/>
      <c r="W76" s="557"/>
      <c r="X76" s="1">
        <v>42.7</v>
      </c>
      <c r="Y76" s="1">
        <v>42.7</v>
      </c>
      <c r="Z76" s="1">
        <v>0</v>
      </c>
      <c r="AA76" s="1">
        <v>4</v>
      </c>
      <c r="AB76" s="24">
        <v>290</v>
      </c>
      <c r="AC76" s="24" t="s">
        <v>397</v>
      </c>
      <c r="AD76" s="24"/>
      <c r="AE76" s="24"/>
      <c r="AF76" s="24"/>
      <c r="AG76" s="24"/>
      <c r="AH76" s="2" cm="1">
        <f t="array" ref="AH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3200</v>
      </c>
      <c r="AI76" s="4">
        <f>scheduleapr[[#This Row],[SCHEDULE in nos]]-scheduleapr[[#This Row],[DISPATCH]]</f>
        <v>-3200</v>
      </c>
      <c r="AJ76" s="1">
        <f>(3.14*(scheduleapr[[#This Row],[ACTUAL OD]]-scheduleapr[[#This Row],[TICKNESS]])*scheduleapr[[#This Row],[TICKNESS]]*scheduleapr[[#This Row],[LENGTH]]*7.85)/1000000*scheduleapr[[#This Row],[SCHEDULE in nos]]/1000</f>
        <v>0</v>
      </c>
      <c r="AK76" s="1">
        <f>(3.14*(scheduleapr[[#This Row],[ACTUAL OD]]-scheduleapr[[#This Row],[TICKNESS]])*scheduleapr[[#This Row],[TICKNESS]]*scheduleapr[[#This Row],[LENGTH]]*7.85)/1000000*scheduleapr[[#This Row],[DISPATCH]]/1000</f>
        <v>3.5409373056</v>
      </c>
      <c r="AL76" s="1">
        <f t="shared" si="3"/>
        <v>-3.5409373056</v>
      </c>
      <c r="AM76" s="1" t="e">
        <f>scheduleapr[[#This Row],[SCHEDULE in nos]]/scheduleapr[[#This Row],[SCHEDULE IN MT]]*scheduleapr[[#This Row],[CTL Stock]]</f>
        <v>#DIV/0!</v>
      </c>
      <c r="AN76" s="1">
        <f>SUMIFS(stock[MT],stock[Bucket],scheduleapr[[#This Row],[Bucket]],stock[CTL Bucket],scheduleapr[[#This Row],[CTL Bucket]],stock[Plant],"0789")</f>
        <v>0</v>
      </c>
      <c r="AO76" s="1"/>
      <c r="AP76" s="1">
        <f>SUMIFS(stock[MT],stock[Bucket],scheduleapr[[#This Row],[Bucket]],stock[LL or CTL],"LL")</f>
        <v>215.60048700000004</v>
      </c>
      <c r="AQ76" s="1">
        <f>+SUMIFS(wip[Stock(Net Wt)],wip[Bucket],scheduleapr[[#This Row],[Bucket]])/1000</f>
        <v>0</v>
      </c>
      <c r="AR76" s="1">
        <f t="shared" si="4"/>
        <v>0</v>
      </c>
      <c r="AS76" s="118"/>
    </row>
    <row r="77" spans="1:45" x14ac:dyDescent="0.25">
      <c r="A77" s="30">
        <v>77</v>
      </c>
      <c r="B77" s="5" t="s">
        <v>1816</v>
      </c>
      <c r="C77" s="2" t="s">
        <v>284</v>
      </c>
      <c r="D77" s="2" t="s">
        <v>1873</v>
      </c>
      <c r="E77" s="2" t="s">
        <v>285</v>
      </c>
      <c r="F77" s="2">
        <v>3441727</v>
      </c>
      <c r="G77" s="2" t="str">
        <f>_xlfn.CONCAT(scheduleapr[[#This Row],[CUSTOMER CODE]],"-",scheduleapr[[#This Row],[MATERIAL NO]])</f>
        <v>129663|948721-3441727</v>
      </c>
      <c r="H77" s="9" t="s">
        <v>1681</v>
      </c>
      <c r="I77" s="2" t="s">
        <v>962</v>
      </c>
      <c r="J77" s="2"/>
      <c r="K77" s="2" t="s">
        <v>1003</v>
      </c>
      <c r="L77" s="2" t="s">
        <v>239</v>
      </c>
      <c r="M77" s="2"/>
      <c r="N77" s="2"/>
      <c r="O77" s="2"/>
      <c r="P77" s="2"/>
      <c r="Q77" s="557" t="str">
        <f>CONCATENATE(scheduleapr[[#This Row],[OD]],"-",scheduleapr[[#This Row],[ID]],"-",scheduleapr[[#This Row],[TICKNESS]],"-",scheduleapr[[#This Row],[Grade]],"-",scheduleapr[[#This Row],[FC/NFC]])</f>
        <v>40-30-1.6-ERW 1-FC</v>
      </c>
      <c r="R77" s="557" t="str">
        <f>_xlfn.CONCAT(scheduleapr[[#This Row],[Bucket]],"-",scheduleapr[[#This Row],[LENGTH]]/1000)</f>
        <v>40-30-1.6-ERW 1-FC-1</v>
      </c>
      <c r="S77" s="557">
        <f>COUNTIF(scheduleapr[CTL Bucket],scheduleapr[[#This Row],[CTL Bucket]])</f>
        <v>1</v>
      </c>
      <c r="T77" s="557"/>
      <c r="U77" s="557"/>
      <c r="V77" s="557"/>
      <c r="W77" s="557"/>
      <c r="X77" s="1">
        <v>44.45</v>
      </c>
      <c r="Y77" s="1">
        <v>40</v>
      </c>
      <c r="Z77" s="1">
        <v>30</v>
      </c>
      <c r="AA77" s="1">
        <v>1.6</v>
      </c>
      <c r="AB77" s="24">
        <v>1000</v>
      </c>
      <c r="AC77" s="24" t="s">
        <v>444</v>
      </c>
      <c r="AD77" s="24"/>
      <c r="AE77" s="24"/>
      <c r="AF77" s="24"/>
      <c r="AG77" s="24"/>
      <c r="AH77" s="2" cm="1">
        <f t="array" ref="AH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7" s="4">
        <f>scheduleapr[[#This Row],[SCHEDULE in nos]]-scheduleapr[[#This Row],[DISPATCH]]</f>
        <v>0</v>
      </c>
      <c r="AJ77" s="1">
        <f>(3.14*(scheduleapr[[#This Row],[ACTUAL OD]]-scheduleapr[[#This Row],[TICKNESS]])*scheduleapr[[#This Row],[TICKNESS]]*scheduleapr[[#This Row],[LENGTH]]*7.85)/1000000*scheduleapr[[#This Row],[SCHEDULE in nos]]/1000</f>
        <v>0</v>
      </c>
      <c r="AK77" s="1">
        <f>(3.14*(scheduleapr[[#This Row],[ACTUAL OD]]-scheduleapr[[#This Row],[TICKNESS]])*scheduleapr[[#This Row],[TICKNESS]]*scheduleapr[[#This Row],[LENGTH]]*7.85)/1000000*scheduleapr[[#This Row],[DISPATCH]]/1000</f>
        <v>0</v>
      </c>
      <c r="AL77" s="1">
        <f t="shared" si="3"/>
        <v>0</v>
      </c>
      <c r="AM77" s="1" t="e">
        <f>scheduleapr[[#This Row],[SCHEDULE in nos]]/scheduleapr[[#This Row],[SCHEDULE IN MT]]*scheduleapr[[#This Row],[CTL Stock]]</f>
        <v>#DIV/0!</v>
      </c>
      <c r="AN77" s="1">
        <f>SUMIFS(stock[MT],stock[Bucket],scheduleapr[[#This Row],[Bucket]],stock[CTL Bucket],scheduleapr[[#This Row],[CTL Bucket]],stock[Plant],"0789")</f>
        <v>0</v>
      </c>
      <c r="AO77" s="1"/>
      <c r="AP77" s="1">
        <f>SUMIFS(stock[MT],stock[Bucket],scheduleapr[[#This Row],[Bucket]],stock[LL or CTL],"LL")</f>
        <v>0.95786300000000002</v>
      </c>
      <c r="AQ77" s="1">
        <f>+SUMIFS(wip[Stock(Net Wt)],wip[Bucket],scheduleapr[[#This Row],[Bucket]])/1000</f>
        <v>0</v>
      </c>
      <c r="AR77" s="1">
        <f t="shared" si="4"/>
        <v>0</v>
      </c>
      <c r="AS77" s="118"/>
    </row>
    <row r="78" spans="1:45" x14ac:dyDescent="0.25">
      <c r="A78" s="30">
        <v>78</v>
      </c>
      <c r="B78" s="5" t="s">
        <v>1816</v>
      </c>
      <c r="C78" s="2" t="s">
        <v>284</v>
      </c>
      <c r="D78" s="2" t="s">
        <v>1873</v>
      </c>
      <c r="E78" s="2" t="s">
        <v>285</v>
      </c>
      <c r="F78" s="127">
        <v>4098592</v>
      </c>
      <c r="G78" s="2" t="str">
        <f>_xlfn.CONCAT(scheduleapr[[#This Row],[CUSTOMER CODE]],"-",scheduleapr[[#This Row],[MATERIAL NO]])</f>
        <v>129663|948721-4098592</v>
      </c>
      <c r="H78" s="2" t="s">
        <v>579</v>
      </c>
      <c r="I78" s="2" t="s">
        <v>962</v>
      </c>
      <c r="J78" s="2"/>
      <c r="K78" s="2" t="s">
        <v>1003</v>
      </c>
      <c r="L78" s="2" t="s">
        <v>239</v>
      </c>
      <c r="M78" s="2"/>
      <c r="N78" s="2"/>
      <c r="O78" s="2" t="s">
        <v>1895</v>
      </c>
      <c r="P78" s="2"/>
      <c r="Q78" s="557" t="str">
        <f>CONCATENATE(scheduleapr[[#This Row],[OD]],"-",scheduleapr[[#This Row],[ID]],"-",scheduleapr[[#This Row],[TICKNESS]],"-",scheduleapr[[#This Row],[Grade]],"-",scheduleapr[[#This Row],[FC/NFC]])</f>
        <v>40-30-2-ERW 1-FC</v>
      </c>
      <c r="R78" s="557" t="str">
        <f>_xlfn.CONCAT(scheduleapr[[#This Row],[Bucket]],"-",scheduleapr[[#This Row],[LENGTH]]/1000)</f>
        <v>40-30-2-ERW 1-FC-0.149</v>
      </c>
      <c r="S78" s="557">
        <f>COUNTIF(scheduleapr[CTL Bucket],scheduleapr[[#This Row],[CTL Bucket]])</f>
        <v>2</v>
      </c>
      <c r="T78" s="2"/>
      <c r="U78" s="2">
        <f>_xlfn.IFNA(VLOOKUP(scheduleapr[[#This Row],[Bucket]],salesforecast[[#All],[Bucket2]:[8406 Stock]],19,0),0)</f>
        <v>0</v>
      </c>
      <c r="V78" s="562">
        <f>_xlfn.IFNA(VLOOKUP(scheduleapr[[#This Row],[Bucket]],salesforecast[[#All],[Bucket2]:[8406 Stock]],20,0),0)+_xlfn.IFNA(VLOOKUP(scheduleapr[[#This Row],[Bucket]],salesforecast[[#All],[Bucket2]:[8406 Stock]],17,0),0)</f>
        <v>0</v>
      </c>
      <c r="W78" s="2"/>
      <c r="X78" s="1">
        <v>44.45</v>
      </c>
      <c r="Y78" s="1">
        <v>40</v>
      </c>
      <c r="Z78" s="1">
        <v>30</v>
      </c>
      <c r="AA78" s="1">
        <v>2</v>
      </c>
      <c r="AB78" s="24">
        <v>149</v>
      </c>
      <c r="AC78" s="24" t="s">
        <v>397</v>
      </c>
      <c r="AD78" s="24"/>
      <c r="AE78" s="24"/>
      <c r="AF78" s="2">
        <v>40000</v>
      </c>
      <c r="AG78" s="2"/>
      <c r="AH78" s="2" cm="1">
        <f t="array" ref="AH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8" s="4">
        <f>scheduleapr[[#This Row],[SCHEDULE in nos]]-scheduleapr[[#This Row],[DISPATCH]]</f>
        <v>40000</v>
      </c>
      <c r="AJ78" s="1">
        <f>(3.14*(scheduleapr[[#This Row],[ACTUAL OD]]-scheduleapr[[#This Row],[TICKNESS]])*scheduleapr[[#This Row],[TICKNESS]]*scheduleapr[[#This Row],[LENGTH]]*7.85)/1000000*scheduleapr[[#This Row],[SCHEDULE in nos]]/1000</f>
        <v>12.472492596</v>
      </c>
      <c r="AK78" s="1">
        <f>(3.14*(scheduleapr[[#This Row],[ACTUAL OD]]-scheduleapr[[#This Row],[TICKNESS]])*scheduleapr[[#This Row],[TICKNESS]]*scheduleapr[[#This Row],[LENGTH]]*7.85)/1000000*scheduleapr[[#This Row],[DISPATCH]]/1000</f>
        <v>0</v>
      </c>
      <c r="AL78" s="1">
        <f t="shared" si="3"/>
        <v>12.472492596</v>
      </c>
      <c r="AM78" s="1">
        <f>scheduleapr[[#This Row],[SCHEDULE in nos]]/scheduleapr[[#This Row],[SCHEDULE IN MT]]*scheduleapr[[#This Row],[CTL Stock]]</f>
        <v>0</v>
      </c>
      <c r="AN78" s="1">
        <f>SUMIFS(stock[MT],stock[Bucket],scheduleapr[[#This Row],[Bucket]],stock[CTL Bucket],scheduleapr[[#This Row],[CTL Bucket]],stock[Plant],"0789")</f>
        <v>0</v>
      </c>
      <c r="AO78" s="1"/>
      <c r="AP78" s="1">
        <f>SUMIFS(stock[MT],stock[Bucket],scheduleapr[[#This Row],[Bucket]],stock[LL or CTL],"LL")</f>
        <v>0</v>
      </c>
      <c r="AQ78" s="1">
        <f>+SUMIFS(wip[Stock(Net Wt)],wip[Bucket],scheduleapr[[#This Row],[Bucket]])/1000</f>
        <v>26.635999999999999</v>
      </c>
      <c r="AR78" s="1">
        <f t="shared" si="4"/>
        <v>12.472492596</v>
      </c>
      <c r="AS78" s="118"/>
    </row>
    <row r="79" spans="1:45" x14ac:dyDescent="0.25">
      <c r="A79" s="30">
        <v>79</v>
      </c>
      <c r="B79" s="5" t="s">
        <v>1816</v>
      </c>
      <c r="C79" s="2" t="s">
        <v>284</v>
      </c>
      <c r="D79" s="2" t="s">
        <v>1873</v>
      </c>
      <c r="E79" s="2" t="s">
        <v>285</v>
      </c>
      <c r="F79" s="127">
        <v>4098593</v>
      </c>
      <c r="G79" s="2" t="str">
        <f>_xlfn.CONCAT(scheduleapr[[#This Row],[CUSTOMER CODE]],"-",scheduleapr[[#This Row],[MATERIAL NO]])</f>
        <v>129663|948721-4098593</v>
      </c>
      <c r="H79" s="2" t="s">
        <v>1896</v>
      </c>
      <c r="I79" s="2" t="s">
        <v>962</v>
      </c>
      <c r="J79" s="2"/>
      <c r="K79" s="2" t="s">
        <v>1003</v>
      </c>
      <c r="L79" s="2" t="s">
        <v>239</v>
      </c>
      <c r="M79" s="2"/>
      <c r="N79" s="2"/>
      <c r="O79" s="2" t="s">
        <v>1895</v>
      </c>
      <c r="P79" s="2"/>
      <c r="Q79" s="557" t="str">
        <f>CONCATENATE(scheduleapr[[#This Row],[OD]],"-",scheduleapr[[#This Row],[ID]],"-",scheduleapr[[#This Row],[TICKNESS]],"-",scheduleapr[[#This Row],[Grade]],"-",scheduleapr[[#This Row],[FC/NFC]])</f>
        <v>40-30-2-ERW 1-FC</v>
      </c>
      <c r="R79" s="557" t="str">
        <f>_xlfn.CONCAT(scheduleapr[[#This Row],[Bucket]],"-",scheduleapr[[#This Row],[LENGTH]]/1000)</f>
        <v>40-30-2-ERW 1-FC-0.162</v>
      </c>
      <c r="S79" s="557">
        <f>COUNTIF(scheduleapr[CTL Bucket],scheduleapr[[#This Row],[CTL Bucket]])</f>
        <v>2</v>
      </c>
      <c r="T79" s="2"/>
      <c r="U79" s="2">
        <f>_xlfn.IFNA(VLOOKUP(scheduleapr[[#This Row],[Bucket]],salesforecast[[#All],[Bucket2]:[8406 Stock]],19,0),0)</f>
        <v>0</v>
      </c>
      <c r="V79" s="562">
        <f>_xlfn.IFNA(VLOOKUP(scheduleapr[[#This Row],[Bucket]],salesforecast[[#All],[Bucket2]:[8406 Stock]],20,0),0)+_xlfn.IFNA(VLOOKUP(scheduleapr[[#This Row],[Bucket]],salesforecast[[#All],[Bucket2]:[8406 Stock]],17,0),0)</f>
        <v>0</v>
      </c>
      <c r="W79" s="2"/>
      <c r="X79" s="1">
        <v>44.45</v>
      </c>
      <c r="Y79" s="1">
        <v>40</v>
      </c>
      <c r="Z79" s="1">
        <v>30</v>
      </c>
      <c r="AA79" s="1">
        <v>2</v>
      </c>
      <c r="AB79" s="24">
        <v>162</v>
      </c>
      <c r="AC79" s="24" t="s">
        <v>397</v>
      </c>
      <c r="AD79" s="24"/>
      <c r="AE79" s="24"/>
      <c r="AF79" s="2">
        <v>10000</v>
      </c>
      <c r="AG79" s="2"/>
      <c r="AH79" s="2" cm="1">
        <f t="array" ref="AH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2800</v>
      </c>
      <c r="AI79" s="4">
        <f>scheduleapr[[#This Row],[SCHEDULE in nos]]-scheduleapr[[#This Row],[DISPATCH]]</f>
        <v>7200</v>
      </c>
      <c r="AJ79" s="1">
        <f>(3.14*(scheduleapr[[#This Row],[ACTUAL OD]]-scheduleapr[[#This Row],[TICKNESS]])*scheduleapr[[#This Row],[TICKNESS]]*scheduleapr[[#This Row],[LENGTH]]*7.85)/1000000*scheduleapr[[#This Row],[SCHEDULE in nos]]/1000</f>
        <v>3.3901741619999997</v>
      </c>
      <c r="AK79" s="1">
        <f>(3.14*(scheduleapr[[#This Row],[ACTUAL OD]]-scheduleapr[[#This Row],[TICKNESS]])*scheduleapr[[#This Row],[TICKNESS]]*scheduleapr[[#This Row],[LENGTH]]*7.85)/1000000*scheduleapr[[#This Row],[DISPATCH]]/1000</f>
        <v>0.94924876535999991</v>
      </c>
      <c r="AL79" s="1">
        <f t="shared" si="3"/>
        <v>2.44092539664</v>
      </c>
      <c r="AM79" s="1">
        <f>scheduleapr[[#This Row],[SCHEDULE in nos]]/scheduleapr[[#This Row],[SCHEDULE IN MT]]*scheduleapr[[#This Row],[CTL Stock]]</f>
        <v>2125.8966812926824</v>
      </c>
      <c r="AN79" s="1">
        <f>SUMIFS(stock[MT],stock[Bucket],scheduleapr[[#This Row],[Bucket]],stock[CTL Bucket],scheduleapr[[#This Row],[CTL Bucket]],stock[Plant],"0789")</f>
        <v>0.72071600000000002</v>
      </c>
      <c r="AO79" s="1"/>
      <c r="AP79" s="1">
        <f>SUMIFS(stock[MT],stock[Bucket],scheduleapr[[#This Row],[Bucket]],stock[LL or CTL],"LL")</f>
        <v>0</v>
      </c>
      <c r="AQ79" s="1">
        <f>+SUMIFS(wip[Stock(Net Wt)],wip[Bucket],scheduleapr[[#This Row],[Bucket]])/1000</f>
        <v>26.635999999999999</v>
      </c>
      <c r="AR79" s="1">
        <f t="shared" si="4"/>
        <v>2.6694581619999997</v>
      </c>
      <c r="AS79" s="118"/>
    </row>
    <row r="80" spans="1:45" x14ac:dyDescent="0.25">
      <c r="A80" s="30">
        <v>80</v>
      </c>
      <c r="B80" s="5" t="s">
        <v>1816</v>
      </c>
      <c r="C80" s="2" t="s">
        <v>284</v>
      </c>
      <c r="D80" s="2" t="s">
        <v>1873</v>
      </c>
      <c r="E80" s="2" t="s">
        <v>285</v>
      </c>
      <c r="F80" s="2">
        <v>1940840</v>
      </c>
      <c r="G80" s="2" t="str">
        <f>_xlfn.CONCAT(scheduleapr[[#This Row],[CUSTOMER CODE]],"-",scheduleapr[[#This Row],[MATERIAL NO]])</f>
        <v>129663|948721-1940840</v>
      </c>
      <c r="H80" s="2" t="s">
        <v>1684</v>
      </c>
      <c r="I80" s="2" t="s">
        <v>962</v>
      </c>
      <c r="J80" s="2"/>
      <c r="K80" s="2" t="s">
        <v>1003</v>
      </c>
      <c r="L80" s="2" t="s">
        <v>239</v>
      </c>
      <c r="M80" s="2"/>
      <c r="N80" s="2"/>
      <c r="O80" s="2"/>
      <c r="P80" s="2"/>
      <c r="Q80" s="557" t="str">
        <f>CONCATENATE(scheduleapr[[#This Row],[OD]],"-",scheduleapr[[#This Row],[ID]],"-",scheduleapr[[#This Row],[TICKNESS]],"-",scheduleapr[[#This Row],[Grade]],"-",scheduleapr[[#This Row],[FC/NFC]])</f>
        <v>40-30-2-ERW 1-FC</v>
      </c>
      <c r="R80" s="557" t="str">
        <f>_xlfn.CONCAT(scheduleapr[[#This Row],[Bucket]],"-",scheduleapr[[#This Row],[LENGTH]]/1000)</f>
        <v>40-30-2-ERW 1-FC-1</v>
      </c>
      <c r="S80" s="557" t="e" vm="2">
        <f>COUNTIF([2]!buckets[CTL Bucket],[2]!scheduleapr[[#This Row],[CTL Bucket]])</f>
        <v>#REF!</v>
      </c>
      <c r="T80" s="2" t="s">
        <v>1816</v>
      </c>
      <c r="U80" s="2"/>
      <c r="V80" s="557"/>
      <c r="W80" s="557"/>
      <c r="X80" s="1">
        <v>44.45</v>
      </c>
      <c r="Y80" s="1">
        <v>40</v>
      </c>
      <c r="Z80" s="6">
        <v>30</v>
      </c>
      <c r="AA80" s="1">
        <v>2</v>
      </c>
      <c r="AB80" s="24">
        <v>1000</v>
      </c>
      <c r="AC80" s="24" t="s">
        <v>444</v>
      </c>
      <c r="AD80" s="24"/>
      <c r="AE80" s="24"/>
      <c r="AF80" s="24"/>
      <c r="AG80" s="24"/>
      <c r="AH80" s="2" cm="1">
        <f t="array" ref="AH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0" s="4">
        <f>scheduleapr[[#This Row],[SCHEDULE in nos]]-scheduleapr[[#This Row],[DISPATCH]]</f>
        <v>0</v>
      </c>
      <c r="AJ80" s="1">
        <f>(3.14*(scheduleapr[[#This Row],[ACTUAL OD]]-scheduleapr[[#This Row],[TICKNESS]])*scheduleapr[[#This Row],[TICKNESS]]*scheduleapr[[#This Row],[LENGTH]]*7.85)/1000000*scheduleapr[[#This Row],[SCHEDULE in nos]]/1000</f>
        <v>0</v>
      </c>
      <c r="AK80" s="1">
        <f>(3.14*(scheduleapr[[#This Row],[ACTUAL OD]]-scheduleapr[[#This Row],[TICKNESS]])*scheduleapr[[#This Row],[TICKNESS]]*scheduleapr[[#This Row],[LENGTH]]*7.85)/1000000*scheduleapr[[#This Row],[DISPATCH]]/1000</f>
        <v>0</v>
      </c>
      <c r="AL80" s="1">
        <f t="shared" si="3"/>
        <v>0</v>
      </c>
      <c r="AM80" s="1" t="e">
        <f>scheduleapr[[#This Row],[SCHEDULE in nos]]/scheduleapr[[#This Row],[SCHEDULE IN MT]]*scheduleapr[[#This Row],[CTL Stock]]</f>
        <v>#DIV/0!</v>
      </c>
      <c r="AN80" s="1">
        <f>SUMIFS(stock[MT],stock[Bucket],scheduleapr[[#This Row],[Bucket]],stock[CTL Bucket],scheduleapr[[#This Row],[CTL Bucket]],stock[Plant],"0789")</f>
        <v>0</v>
      </c>
      <c r="AO80" s="1"/>
      <c r="AP80" s="1">
        <f>SUMIFS(stock[MT],stock[Bucket],scheduleapr[[#This Row],[Bucket]],stock[LL or CTL],"LL")</f>
        <v>0</v>
      </c>
      <c r="AQ80" s="1">
        <f>+SUMIFS(wip[Stock(Net Wt)],wip[Bucket],scheduleapr[[#This Row],[Bucket]])/1000</f>
        <v>26.635999999999999</v>
      </c>
      <c r="AR80" s="1">
        <f t="shared" si="4"/>
        <v>0</v>
      </c>
      <c r="AS80" s="118"/>
    </row>
    <row r="81" spans="1:45" x14ac:dyDescent="0.25">
      <c r="A81" s="30">
        <v>81</v>
      </c>
      <c r="B81" s="5" t="s">
        <v>1816</v>
      </c>
      <c r="C81" s="2" t="s">
        <v>284</v>
      </c>
      <c r="D81" s="2" t="s">
        <v>1873</v>
      </c>
      <c r="E81" s="2" t="s">
        <v>285</v>
      </c>
      <c r="F81" s="2">
        <v>3453634</v>
      </c>
      <c r="G81" s="2" t="str">
        <f>_xlfn.CONCAT(scheduleapr[[#This Row],[CUSTOMER CODE]],"-",scheduleapr[[#This Row],[MATERIAL NO]])</f>
        <v>129663|948721-3453634</v>
      </c>
      <c r="H81" s="17" t="s">
        <v>1897</v>
      </c>
      <c r="I81" s="2" t="s">
        <v>962</v>
      </c>
      <c r="J81" s="2"/>
      <c r="K81" s="2"/>
      <c r="L81" s="2" t="s">
        <v>239</v>
      </c>
      <c r="M81" s="2"/>
      <c r="N81" s="2"/>
      <c r="O81" s="2"/>
      <c r="P81" s="2"/>
      <c r="Q81" s="557" t="str">
        <f>CONCATENATE(scheduleapr[[#This Row],[OD]],"-",scheduleapr[[#This Row],[ID]],"-",scheduleapr[[#This Row],[TICKNESS]],"-",scheduleapr[[#This Row],[Grade]],"-",scheduleapr[[#This Row],[FC/NFC]])</f>
        <v>48.6-0-2-ERW 1-</v>
      </c>
      <c r="R81" s="557" t="str">
        <f>_xlfn.CONCAT(scheduleapr[[#This Row],[Bucket]],"-",scheduleapr[[#This Row],[LENGTH]]/1000)</f>
        <v>48.6-0-2-ERW 1--0.545</v>
      </c>
      <c r="S81" s="557" t="e" vm="2">
        <f>COUNTIF([2]!buckets[CTL Bucket],[2]!scheduleapr[[#This Row],[CTL Bucket]])</f>
        <v>#REF!</v>
      </c>
      <c r="T81" s="557"/>
      <c r="U81" s="557"/>
      <c r="V81" s="557"/>
      <c r="W81" s="557"/>
      <c r="X81" s="1">
        <v>48.6</v>
      </c>
      <c r="Y81" s="1">
        <v>48.6</v>
      </c>
      <c r="Z81" s="1">
        <v>0</v>
      </c>
      <c r="AA81" s="1">
        <v>2</v>
      </c>
      <c r="AB81" s="24">
        <v>545</v>
      </c>
      <c r="AC81" s="24" t="s">
        <v>397</v>
      </c>
      <c r="AD81" s="24"/>
      <c r="AE81" s="24"/>
      <c r="AF81" s="24"/>
      <c r="AG81" s="24"/>
      <c r="AH81" s="2" cm="1">
        <f t="array" ref="AH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1" s="4">
        <f>scheduleapr[[#This Row],[SCHEDULE in nos]]-scheduleapr[[#This Row],[DISPATCH]]</f>
        <v>0</v>
      </c>
      <c r="AJ81" s="1">
        <f>(3.14*(scheduleapr[[#This Row],[ACTUAL OD]]-scheduleapr[[#This Row],[TICKNESS]])*scheduleapr[[#This Row],[TICKNESS]]*scheduleapr[[#This Row],[LENGTH]]*7.85)/1000000*scheduleapr[[#This Row],[SCHEDULE in nos]]/1000</f>
        <v>0</v>
      </c>
      <c r="AK81" s="1">
        <f>(3.14*(scheduleapr[[#This Row],[ACTUAL OD]]-scheduleapr[[#This Row],[TICKNESS]])*scheduleapr[[#This Row],[TICKNESS]]*scheduleapr[[#This Row],[LENGTH]]*7.85)/1000000*scheduleapr[[#This Row],[DISPATCH]]/1000</f>
        <v>0</v>
      </c>
      <c r="AL81" s="1">
        <f t="shared" si="3"/>
        <v>0</v>
      </c>
      <c r="AM81" s="1" t="e">
        <f>scheduleapr[[#This Row],[SCHEDULE in nos]]/scheduleapr[[#This Row],[SCHEDULE IN MT]]*scheduleapr[[#This Row],[CTL Stock]]</f>
        <v>#DIV/0!</v>
      </c>
      <c r="AN81" s="1">
        <f>SUMIFS(stock[MT],stock[Bucket],scheduleapr[[#This Row],[Bucket]],stock[CTL Bucket],scheduleapr[[#This Row],[CTL Bucket]],stock[Plant],"0789")</f>
        <v>0</v>
      </c>
      <c r="AO81" s="1"/>
      <c r="AP81" s="1">
        <f>SUMIFS(stock[MT],stock[Bucket],scheduleapr[[#This Row],[Bucket]],stock[LL or CTL],"LL")</f>
        <v>0</v>
      </c>
      <c r="AQ81" s="1">
        <f>+SUMIFS(wip[Stock(Net Wt)],wip[Bucket],scheduleapr[[#This Row],[Bucket]])/1000</f>
        <v>0</v>
      </c>
      <c r="AR81" s="1">
        <f t="shared" si="4"/>
        <v>0</v>
      </c>
      <c r="AS81" s="118"/>
    </row>
    <row r="82" spans="1:45" x14ac:dyDescent="0.25">
      <c r="A82" s="30">
        <v>82</v>
      </c>
      <c r="B82" s="5" t="s">
        <v>1816</v>
      </c>
      <c r="C82" s="2" t="s">
        <v>284</v>
      </c>
      <c r="D82" s="2" t="s">
        <v>1873</v>
      </c>
      <c r="E82" s="2" t="s">
        <v>285</v>
      </c>
      <c r="F82" s="2">
        <v>3545983</v>
      </c>
      <c r="G82" s="2" t="str">
        <f>_xlfn.CONCAT(scheduleapr[[#This Row],[CUSTOMER CODE]],"-",scheduleapr[[#This Row],[MATERIAL NO]])</f>
        <v>129663|948721-3545983</v>
      </c>
      <c r="H82" s="2" t="s">
        <v>1898</v>
      </c>
      <c r="I82" s="2" t="s">
        <v>962</v>
      </c>
      <c r="J82" s="2"/>
      <c r="K82" s="2"/>
      <c r="L82" s="2" t="s">
        <v>239</v>
      </c>
      <c r="M82" s="2"/>
      <c r="N82" s="2"/>
      <c r="O82" s="2"/>
      <c r="P82" s="2"/>
      <c r="Q82" s="557" t="str">
        <f>CONCATENATE(scheduleapr[[#This Row],[OD]],"-",scheduleapr[[#This Row],[ID]],"-",scheduleapr[[#This Row],[TICKNESS]],"-",scheduleapr[[#This Row],[Grade]],"-",scheduleapr[[#This Row],[FC/NFC]])</f>
        <v>48.6-0-4-ERW 1-</v>
      </c>
      <c r="R82" s="557" t="str">
        <f>_xlfn.CONCAT(scheduleapr[[#This Row],[Bucket]],"-",scheduleapr[[#This Row],[LENGTH]]/1000)</f>
        <v>48.6-0-4-ERW 1--0.595</v>
      </c>
      <c r="S82" s="557" t="e" vm="2">
        <f>COUNTIF([2]!buckets[CTL Bucket],[2]!scheduleapr[[#This Row],[CTL Bucket]])</f>
        <v>#REF!</v>
      </c>
      <c r="T82" s="557"/>
      <c r="U82" s="557"/>
      <c r="V82" s="557"/>
      <c r="W82" s="557"/>
      <c r="X82" s="6">
        <v>48.6</v>
      </c>
      <c r="Y82" s="6">
        <v>48.6</v>
      </c>
      <c r="Z82" s="1">
        <v>0</v>
      </c>
      <c r="AA82" s="1">
        <v>4</v>
      </c>
      <c r="AB82" s="24">
        <v>595</v>
      </c>
      <c r="AC82" s="24" t="s">
        <v>397</v>
      </c>
      <c r="AD82" s="24"/>
      <c r="AE82" s="24"/>
      <c r="AF82" s="24"/>
      <c r="AG82" s="24"/>
      <c r="AH82" s="2" cm="1">
        <f t="array" ref="AH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2" s="4">
        <f>scheduleapr[[#This Row],[SCHEDULE in nos]]-scheduleapr[[#This Row],[DISPATCH]]</f>
        <v>0</v>
      </c>
      <c r="AJ82" s="1">
        <f>(3.14*(scheduleapr[[#This Row],[ACTUAL OD]]-scheduleapr[[#This Row],[TICKNESS]])*scheduleapr[[#This Row],[TICKNESS]]*scheduleapr[[#This Row],[LENGTH]]*7.85)/1000000*scheduleapr[[#This Row],[SCHEDULE in nos]]/1000</f>
        <v>0</v>
      </c>
      <c r="AK82" s="1">
        <f>(3.14*(scheduleapr[[#This Row],[ACTUAL OD]]-scheduleapr[[#This Row],[TICKNESS]])*scheduleapr[[#This Row],[TICKNESS]]*scheduleapr[[#This Row],[LENGTH]]*7.85)/1000000*scheduleapr[[#This Row],[DISPATCH]]/1000</f>
        <v>0</v>
      </c>
      <c r="AL82" s="1">
        <f t="shared" si="3"/>
        <v>0</v>
      </c>
      <c r="AM82" s="1" t="e">
        <f>scheduleapr[[#This Row],[SCHEDULE in nos]]/scheduleapr[[#This Row],[SCHEDULE IN MT]]*scheduleapr[[#This Row],[CTL Stock]]</f>
        <v>#DIV/0!</v>
      </c>
      <c r="AN82" s="1">
        <f>SUMIFS(stock[MT],stock[Bucket],scheduleapr[[#This Row],[Bucket]],stock[CTL Bucket],scheduleapr[[#This Row],[CTL Bucket]],stock[Plant],"0789")</f>
        <v>0</v>
      </c>
      <c r="AO82" s="1"/>
      <c r="AP82" s="1">
        <f>SUMIFS(stock[MT],stock[Bucket],scheduleapr[[#This Row],[Bucket]],stock[LL or CTL],"LL")</f>
        <v>0</v>
      </c>
      <c r="AQ82" s="1">
        <f>+SUMIFS(wip[Stock(Net Wt)],wip[Bucket],scheduleapr[[#This Row],[Bucket]])/1000</f>
        <v>0</v>
      </c>
      <c r="AR82" s="1">
        <f t="shared" si="4"/>
        <v>0</v>
      </c>
      <c r="AS82" s="118"/>
    </row>
    <row r="83" spans="1:45" x14ac:dyDescent="0.25">
      <c r="A83" s="30">
        <v>83</v>
      </c>
      <c r="B83" s="5" t="s">
        <v>1816</v>
      </c>
      <c r="C83" s="2" t="s">
        <v>284</v>
      </c>
      <c r="D83" s="2" t="s">
        <v>1873</v>
      </c>
      <c r="E83" s="2" t="s">
        <v>285</v>
      </c>
      <c r="F83" s="2">
        <v>3164112</v>
      </c>
      <c r="G83" s="2" t="str">
        <f>_xlfn.CONCAT(scheduleapr[[#This Row],[CUSTOMER CODE]],"-",scheduleapr[[#This Row],[MATERIAL NO]])</f>
        <v>129663|948721-3164112</v>
      </c>
      <c r="H83" s="2" t="s">
        <v>569</v>
      </c>
      <c r="I83" s="2" t="s">
        <v>962</v>
      </c>
      <c r="J83" s="2"/>
      <c r="K83" s="2" t="s">
        <v>348</v>
      </c>
      <c r="L83" s="2" t="s">
        <v>239</v>
      </c>
      <c r="M83" s="2"/>
      <c r="N83" s="2"/>
      <c r="O83" s="2"/>
      <c r="P83" s="2"/>
      <c r="Q83" s="557" t="str">
        <f>CONCATENATE(scheduleapr[[#This Row],[OD]],"-",scheduleapr[[#This Row],[ID]],"-",scheduleapr[[#This Row],[TICKNESS]],"-",scheduleapr[[#This Row],[Grade]],"-",scheduleapr[[#This Row],[FC/NFC]])</f>
        <v>59-30-1.6-ERW 1-FIN CUT</v>
      </c>
      <c r="R83" s="557" t="str">
        <f>_xlfn.CONCAT(scheduleapr[[#This Row],[Bucket]],"-",scheduleapr[[#This Row],[LENGTH]]/1000)</f>
        <v>59-30-1.6-ERW 1-FIN CUT-0.641</v>
      </c>
      <c r="S83" s="557" t="e" vm="2">
        <f>COUNTIF([2]!buckets[CTL Bucket],[2]!scheduleapr[[#This Row],[CTL Bucket]])</f>
        <v>#REF!</v>
      </c>
      <c r="T83" s="557"/>
      <c r="U83" s="557"/>
      <c r="V83" s="557"/>
      <c r="W83" s="557"/>
      <c r="X83" s="1">
        <v>48.6</v>
      </c>
      <c r="Y83" s="1">
        <v>59</v>
      </c>
      <c r="Z83" s="1">
        <v>30</v>
      </c>
      <c r="AA83" s="1">
        <v>1.6</v>
      </c>
      <c r="AB83" s="24">
        <v>641</v>
      </c>
      <c r="AC83" s="24" t="s">
        <v>397</v>
      </c>
      <c r="AD83" s="24"/>
      <c r="AE83" s="24"/>
      <c r="AF83" s="24"/>
      <c r="AG83" s="24"/>
      <c r="AH83" s="2" cm="1">
        <f t="array" ref="AH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3" s="4">
        <f>scheduleapr[[#This Row],[SCHEDULE in nos]]-scheduleapr[[#This Row],[DISPATCH]]</f>
        <v>0</v>
      </c>
      <c r="AJ83" s="1">
        <f>(3.14*(scheduleapr[[#This Row],[ACTUAL OD]]-scheduleapr[[#This Row],[TICKNESS]])*scheduleapr[[#This Row],[TICKNESS]]*scheduleapr[[#This Row],[LENGTH]]*7.85)/1000000*scheduleapr[[#This Row],[SCHEDULE in nos]]/1000</f>
        <v>0</v>
      </c>
      <c r="AK83" s="1">
        <f>(3.14*(scheduleapr[[#This Row],[ACTUAL OD]]-scheduleapr[[#This Row],[TICKNESS]])*scheduleapr[[#This Row],[TICKNESS]]*scheduleapr[[#This Row],[LENGTH]]*7.85)/1000000*scheduleapr[[#This Row],[DISPATCH]]/1000</f>
        <v>0</v>
      </c>
      <c r="AL83" s="1">
        <f t="shared" si="3"/>
        <v>0</v>
      </c>
      <c r="AM83" s="1" t="e">
        <f>scheduleapr[[#This Row],[SCHEDULE in nos]]/scheduleapr[[#This Row],[SCHEDULE IN MT]]*scheduleapr[[#This Row],[CTL Stock]]</f>
        <v>#DIV/0!</v>
      </c>
      <c r="AN83" s="1">
        <f>SUMIFS(stock[MT],stock[Bucket],scheduleapr[[#This Row],[Bucket]],stock[CTL Bucket],scheduleapr[[#This Row],[CTL Bucket]],stock[Plant],"0789")</f>
        <v>17.97494</v>
      </c>
      <c r="AO83" s="1"/>
      <c r="AP83" s="1">
        <f>SUMIFS(stock[MT],stock[Bucket],scheduleapr[[#This Row],[Bucket]],stock[LL or CTL],"LL")</f>
        <v>0</v>
      </c>
      <c r="AQ83" s="1">
        <f>+SUMIFS(wip[Stock(Net Wt)],wip[Bucket],scheduleapr[[#This Row],[Bucket]])/1000</f>
        <v>0.95099999999999996</v>
      </c>
      <c r="AR83" s="1">
        <f t="shared" si="4"/>
        <v>-17.97494</v>
      </c>
      <c r="AS83" s="118"/>
    </row>
    <row r="84" spans="1:45" x14ac:dyDescent="0.25">
      <c r="A84" s="30">
        <v>84</v>
      </c>
      <c r="B84" s="5" t="s">
        <v>1816</v>
      </c>
      <c r="C84" s="2" t="s">
        <v>284</v>
      </c>
      <c r="D84" s="2" t="s">
        <v>1873</v>
      </c>
      <c r="E84" s="2" t="s">
        <v>285</v>
      </c>
      <c r="F84" s="2">
        <v>2427158</v>
      </c>
      <c r="G84" s="2" t="str">
        <f>_xlfn.CONCAT(scheduleapr[[#This Row],[CUSTOMER CODE]],"-",scheduleapr[[#This Row],[MATERIAL NO]])</f>
        <v>129663|948721-2427158</v>
      </c>
      <c r="H84" s="2" t="s">
        <v>671</v>
      </c>
      <c r="I84" s="2" t="s">
        <v>962</v>
      </c>
      <c r="J84" s="2"/>
      <c r="K84" s="2" t="s">
        <v>1003</v>
      </c>
      <c r="L84" s="2" t="s">
        <v>239</v>
      </c>
      <c r="M84" s="2" t="s">
        <v>1868</v>
      </c>
      <c r="N84" s="2"/>
      <c r="O84" s="2"/>
      <c r="P84" s="2"/>
      <c r="Q84" s="557" t="str">
        <f>CONCATENATE(scheduleapr[[#This Row],[OD]],"-",scheduleapr[[#This Row],[ID]],"-",scheduleapr[[#This Row],[TICKNESS]],"-",scheduleapr[[#This Row],[Grade]],"-",scheduleapr[[#This Row],[FC/NFC]])</f>
        <v>50-30-1.6-ERW 1-FC</v>
      </c>
      <c r="R84" s="557" t="str">
        <f>_xlfn.CONCAT(scheduleapr[[#This Row],[Bucket]],"-",scheduleapr[[#This Row],[LENGTH]]/1000)</f>
        <v>50-30-1.6-ERW 1-FC-0.604</v>
      </c>
      <c r="S84" s="557">
        <f>COUNTIF(scheduleapr[CTL Bucket],scheduleapr[[#This Row],[CTL Bucket]])</f>
        <v>1</v>
      </c>
      <c r="T84" s="2" t="s">
        <v>1816</v>
      </c>
      <c r="U84" s="2">
        <f>_xlfn.IFNA(VLOOKUP(scheduleapr[[#This Row],[Bucket]],salesforecast[[#All],[Bucket2]:[8406 Stock]],19,0),0)</f>
        <v>0</v>
      </c>
      <c r="V84" s="562">
        <f>_xlfn.IFNA(VLOOKUP(scheduleapr[[#This Row],[Bucket]],salesforecast[[#All],[Bucket2]:[8406 Stock]],20,0),0)+_xlfn.IFNA(VLOOKUP(scheduleapr[[#This Row],[Bucket]],salesforecast[[#All],[Bucket2]:[8406 Stock]],17,0),0)</f>
        <v>0</v>
      </c>
      <c r="W84" s="557"/>
      <c r="X84" s="1">
        <v>50.8</v>
      </c>
      <c r="Y84" s="1">
        <v>50</v>
      </c>
      <c r="Z84" s="1">
        <v>30</v>
      </c>
      <c r="AA84" s="1">
        <v>1.6</v>
      </c>
      <c r="AB84" s="24">
        <v>604</v>
      </c>
      <c r="AC84" s="24" t="s">
        <v>397</v>
      </c>
      <c r="AD84" s="24"/>
      <c r="AE84" s="24"/>
      <c r="AF84" s="2">
        <v>32000</v>
      </c>
      <c r="AG84" s="2"/>
      <c r="AH84" s="2" cm="1">
        <f t="array" ref="AH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28275</v>
      </c>
      <c r="AI84" s="4">
        <f>scheduleapr[[#This Row],[SCHEDULE in nos]]-scheduleapr[[#This Row],[DISPATCH]]</f>
        <v>3725</v>
      </c>
      <c r="AJ84" s="1">
        <f>(3.14*(scheduleapr[[#This Row],[ACTUAL OD]]-scheduleapr[[#This Row],[TICKNESS]])*scheduleapr[[#This Row],[TICKNESS]]*scheduleapr[[#This Row],[LENGTH]]*7.85)/1000000*scheduleapr[[#This Row],[SCHEDULE in nos]]/1000</f>
        <v>37.503457443839999</v>
      </c>
      <c r="AK84" s="1">
        <f>(3.14*(scheduleapr[[#This Row],[ACTUAL OD]]-scheduleapr[[#This Row],[TICKNESS]])*scheduleapr[[#This Row],[TICKNESS]]*scheduleapr[[#This Row],[LENGTH]]*7.85)/1000000*scheduleapr[[#This Row],[DISPATCH]]/1000</f>
        <v>33.137820600767995</v>
      </c>
      <c r="AL84" s="1">
        <f t="shared" si="3"/>
        <v>4.3656368430720036</v>
      </c>
      <c r="AM84" s="1">
        <f>scheduleapr[[#This Row],[SCHEDULE in nos]]/scheduleapr[[#This Row],[SCHEDULE IN MT]]*scheduleapr[[#This Row],[CTL Stock]]</f>
        <v>198.95936291136778</v>
      </c>
      <c r="AN84" s="1">
        <f>SUMIFS(stock[MT],stock[Bucket],scheduleapr[[#This Row],[Bucket]],stock[CTL Bucket],scheduleapr[[#This Row],[CTL Bucket]],stock[Plant],"0789")</f>
        <v>0.233177</v>
      </c>
      <c r="AO84" s="1"/>
      <c r="AP84" s="1">
        <f>SUMIFS(stock[MT],stock[Bucket],scheduleapr[[#This Row],[Bucket]],stock[LL or CTL],"LL")</f>
        <v>0</v>
      </c>
      <c r="AQ84" s="1">
        <f>+SUMIFS(wip[Stock(Net Wt)],wip[Bucket],scheduleapr[[#This Row],[Bucket]])/1000</f>
        <v>24.911000000000001</v>
      </c>
      <c r="AR84" s="1">
        <f t="shared" si="4"/>
        <v>37.270280443840001</v>
      </c>
      <c r="AS84" s="118"/>
    </row>
    <row r="85" spans="1:45" x14ac:dyDescent="0.25">
      <c r="A85" s="30">
        <v>85</v>
      </c>
      <c r="B85" s="5" t="s">
        <v>1872</v>
      </c>
      <c r="C85" s="2" t="s">
        <v>284</v>
      </c>
      <c r="D85" s="2" t="s">
        <v>1873</v>
      </c>
      <c r="E85" s="2" t="s">
        <v>285</v>
      </c>
      <c r="F85" s="2">
        <v>460176</v>
      </c>
      <c r="G85" s="2" t="str">
        <f>_xlfn.CONCAT(scheduleapr[[#This Row],[CUSTOMER CODE]],"-",scheduleapr[[#This Row],[MATERIAL NO]])</f>
        <v>129663|948721-460176</v>
      </c>
      <c r="H85" s="2" t="s">
        <v>1744</v>
      </c>
      <c r="I85" s="2" t="s">
        <v>962</v>
      </c>
      <c r="J85" s="2"/>
      <c r="K85" s="2"/>
      <c r="L85" s="2" t="s">
        <v>239</v>
      </c>
      <c r="M85" s="2"/>
      <c r="N85" s="2"/>
      <c r="O85" s="2"/>
      <c r="P85" s="2"/>
      <c r="Q85" s="557" t="str">
        <f>CONCATENATE(scheduleapr[[#This Row],[OD]],"-",scheduleapr[[#This Row],[ID]],"-",scheduleapr[[#This Row],[TICKNESS]],"-",scheduleapr[[#This Row],[Grade]],"-",scheduleapr[[#This Row],[FC/NFC]])</f>
        <v>57.15-0-2-ERW 1-</v>
      </c>
      <c r="R85" s="557" t="str">
        <f>_xlfn.CONCAT(scheduleapr[[#This Row],[Bucket]],"-",scheduleapr[[#This Row],[LENGTH]]/1000)</f>
        <v>57.15-0-2-ERW 1--0.713</v>
      </c>
      <c r="S85" s="557" t="e" vm="2">
        <f>COUNTIF([2]!buckets[CTL Bucket],[2]!scheduleapr[[#This Row],[CTL Bucket]])</f>
        <v>#REF!</v>
      </c>
      <c r="T85" s="557"/>
      <c r="U85" s="557"/>
      <c r="V85" s="557"/>
      <c r="W85" s="557"/>
      <c r="X85" s="6">
        <v>57.15</v>
      </c>
      <c r="Y85" s="6">
        <v>57.15</v>
      </c>
      <c r="Z85" s="1">
        <v>0</v>
      </c>
      <c r="AA85" s="1">
        <v>2</v>
      </c>
      <c r="AB85" s="24">
        <v>713</v>
      </c>
      <c r="AC85" s="24" t="s">
        <v>397</v>
      </c>
      <c r="AD85" s="24"/>
      <c r="AE85" s="24"/>
      <c r="AF85" s="24"/>
      <c r="AG85" s="24"/>
      <c r="AH85" s="2" cm="1">
        <f t="array" ref="AH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5" s="4">
        <f>scheduleapr[[#This Row],[SCHEDULE in nos]]-scheduleapr[[#This Row],[DISPATCH]]</f>
        <v>0</v>
      </c>
      <c r="AJ85" s="1">
        <f>(3.14*(scheduleapr[[#This Row],[ACTUAL OD]]-scheduleapr[[#This Row],[TICKNESS]])*scheduleapr[[#This Row],[TICKNESS]]*scheduleapr[[#This Row],[LENGTH]]*7.85)/1000000*scheduleapr[[#This Row],[SCHEDULE in nos]]/1000</f>
        <v>0</v>
      </c>
      <c r="AK85" s="1">
        <f>(3.14*(scheduleapr[[#This Row],[ACTUAL OD]]-scheduleapr[[#This Row],[TICKNESS]])*scheduleapr[[#This Row],[TICKNESS]]*scheduleapr[[#This Row],[LENGTH]]*7.85)/1000000*scheduleapr[[#This Row],[DISPATCH]]/1000</f>
        <v>0</v>
      </c>
      <c r="AL85" s="1">
        <f t="shared" si="3"/>
        <v>0</v>
      </c>
      <c r="AM85" s="1" t="e">
        <f>scheduleapr[[#This Row],[SCHEDULE in nos]]/scheduleapr[[#This Row],[SCHEDULE IN MT]]*scheduleapr[[#This Row],[CTL Stock]]</f>
        <v>#DIV/0!</v>
      </c>
      <c r="AN85" s="1">
        <f>SUMIFS(stock[MT],stock[Bucket],scheduleapr[[#This Row],[Bucket]],stock[CTL Bucket],scheduleapr[[#This Row],[CTL Bucket]],stock[Plant],"0789")</f>
        <v>0</v>
      </c>
      <c r="AO85" s="1"/>
      <c r="AP85" s="1">
        <f>SUMIFS(stock[MT],stock[Bucket],scheduleapr[[#This Row],[Bucket]],stock[LL or CTL],"LL")</f>
        <v>0</v>
      </c>
      <c r="AQ85" s="1">
        <f>+SUMIFS(wip[Stock(Net Wt)],wip[Bucket],scheduleapr[[#This Row],[Bucket]])/1000</f>
        <v>0</v>
      </c>
      <c r="AR85" s="1">
        <f t="shared" si="4"/>
        <v>0</v>
      </c>
      <c r="AS85" s="118"/>
    </row>
    <row r="86" spans="1:45" x14ac:dyDescent="0.25">
      <c r="A86" s="30">
        <v>36</v>
      </c>
      <c r="B86" s="5" t="s">
        <v>1816</v>
      </c>
      <c r="C86" s="2" t="s">
        <v>284</v>
      </c>
      <c r="D86" s="2" t="s">
        <v>1873</v>
      </c>
      <c r="E86" s="2" t="s">
        <v>285</v>
      </c>
      <c r="F86" s="2">
        <v>3510169</v>
      </c>
      <c r="G86" s="2" t="str">
        <f>_xlfn.CONCAT(scheduleapr[[#This Row],[CUSTOMER CODE]],"-",scheduleapr[[#This Row],[MATERIAL NO]])</f>
        <v>129663|948721-3510169</v>
      </c>
      <c r="H86" s="2" t="s">
        <v>1899</v>
      </c>
      <c r="I86" s="2"/>
      <c r="J86" s="2"/>
      <c r="K86" s="2"/>
      <c r="L86" s="2" t="s">
        <v>239</v>
      </c>
      <c r="M86" s="2"/>
      <c r="N86" s="2"/>
      <c r="O86" s="2"/>
      <c r="P86" s="2"/>
      <c r="Q86" s="557" t="str">
        <f>CONCATENATE(scheduleapr[[#This Row],[OD]],"-",scheduleapr[[#This Row],[ID]],"-",scheduleapr[[#This Row],[TICKNESS]],"-",scheduleapr[[#This Row],[Grade]],"-",scheduleapr[[#This Row],[FC/NFC]])</f>
        <v>19.05-0-1.6--</v>
      </c>
      <c r="R86" s="557" t="str">
        <f>_xlfn.CONCAT(scheduleapr[[#This Row],[Bucket]],"-",scheduleapr[[#This Row],[LENGTH]]/1000)</f>
        <v>19.05-0-1.6---0.238</v>
      </c>
      <c r="S86" s="557" t="e" vm="2">
        <f>COUNTIF([2]!buckets[CTL Bucket],[2]!scheduleapr[[#This Row],[CTL Bucket]])</f>
        <v>#REF!</v>
      </c>
      <c r="T86" s="557"/>
      <c r="U86" s="557"/>
      <c r="V86" s="557"/>
      <c r="W86" s="557"/>
      <c r="X86" s="6">
        <v>19.05</v>
      </c>
      <c r="Y86" s="6">
        <v>19.05</v>
      </c>
      <c r="Z86" s="1">
        <v>0</v>
      </c>
      <c r="AA86" s="1">
        <v>1.6</v>
      </c>
      <c r="AB86" s="24">
        <v>238</v>
      </c>
      <c r="AC86" s="24"/>
      <c r="AD86" s="24"/>
      <c r="AE86" s="24"/>
      <c r="AF86" s="2"/>
      <c r="AG86" s="2"/>
      <c r="AH86" s="2" t="e" cm="1">
        <f t="array" ref="AH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86" s="4" t="e">
        <f>scheduleapr[[#This Row],[SCHEDULE in nos]]-scheduleapr[[#This Row],[DISPATCH]]</f>
        <v>#N/A</v>
      </c>
      <c r="AJ86" s="1">
        <f>(3.14*(scheduleapr[[#This Row],[ACTUAL OD]]-scheduleapr[[#This Row],[TICKNESS]])*scheduleapr[[#This Row],[TICKNESS]]*scheduleapr[[#This Row],[LENGTH]]*7.85)/1000000*scheduleapr[[#This Row],[SCHEDULE in nos]]/1000</f>
        <v>0</v>
      </c>
      <c r="AK86" s="1" t="e">
        <f>(3.14*(scheduleapr[[#This Row],[ACTUAL OD]]-scheduleapr[[#This Row],[TICKNESS]])*scheduleapr[[#This Row],[TICKNESS]]*scheduleapr[[#This Row],[LENGTH]]*7.85)/1000000*scheduleapr[[#This Row],[DISPATCH]]/1000</f>
        <v>#N/A</v>
      </c>
      <c r="AL86" s="1" t="e">
        <f t="shared" si="3"/>
        <v>#N/A</v>
      </c>
      <c r="AM86" s="1" t="e">
        <f>scheduleapr[[#This Row],[SCHEDULE in nos]]/scheduleapr[[#This Row],[SCHEDULE IN MT]]*scheduleapr[[#This Row],[CTL Stock]]</f>
        <v>#DIV/0!</v>
      </c>
      <c r="AN86" s="1">
        <f>SUMIFS(stock[MT],stock[Bucket],scheduleapr[[#This Row],[Bucket]],stock[CTL Bucket],scheduleapr[[#This Row],[CTL Bucket]],stock[Plant],"0789")</f>
        <v>0</v>
      </c>
      <c r="AO86" s="1"/>
      <c r="AP86" s="1">
        <f>SUMIFS(stock[MT],stock[Bucket],scheduleapr[[#This Row],[Bucket]],stock[LL or CTL],"LL")</f>
        <v>0</v>
      </c>
      <c r="AQ86" s="1">
        <f>+SUMIFS(wip[Stock(Net Wt)],wip[Bucket],scheduleapr[[#This Row],[Bucket]])/1000</f>
        <v>0</v>
      </c>
      <c r="AR86" s="1">
        <f t="shared" si="4"/>
        <v>0</v>
      </c>
      <c r="AS86" s="118"/>
    </row>
    <row r="87" spans="1:45" x14ac:dyDescent="0.25">
      <c r="A87" s="30">
        <v>37</v>
      </c>
      <c r="B87" s="5" t="s">
        <v>1816</v>
      </c>
      <c r="C87" s="2" t="s">
        <v>284</v>
      </c>
      <c r="D87" s="2" t="s">
        <v>1873</v>
      </c>
      <c r="E87" s="2" t="s">
        <v>285</v>
      </c>
      <c r="F87" s="2">
        <v>464578</v>
      </c>
      <c r="G87" s="2" t="str">
        <f>_xlfn.CONCAT(scheduleapr[[#This Row],[CUSTOMER CODE]],"-",scheduleapr[[#This Row],[MATERIAL NO]])</f>
        <v>129663|948721-464578</v>
      </c>
      <c r="H87" s="2" t="s">
        <v>1900</v>
      </c>
      <c r="I87" s="2"/>
      <c r="J87" s="2"/>
      <c r="K87" s="2"/>
      <c r="L87" s="2" t="s">
        <v>239</v>
      </c>
      <c r="M87" s="2"/>
      <c r="N87" s="2"/>
      <c r="O87" s="2"/>
      <c r="P87" s="2"/>
      <c r="Q87" s="557" t="str">
        <f>CONCATENATE(scheduleapr[[#This Row],[OD]],"-",scheduleapr[[#This Row],[ID]],"-",scheduleapr[[#This Row],[TICKNESS]],"-",scheduleapr[[#This Row],[Grade]],"-",scheduleapr[[#This Row],[FC/NFC]])</f>
        <v>19.05-0-1.6--</v>
      </c>
      <c r="R87" s="557" t="str">
        <f>_xlfn.CONCAT(scheduleapr[[#This Row],[Bucket]],"-",scheduleapr[[#This Row],[LENGTH]]/1000)</f>
        <v>19.05-0-1.6---0.31</v>
      </c>
      <c r="S87" s="557" t="e" vm="2">
        <f>COUNTIF([2]!buckets[CTL Bucket],[2]!scheduleapr[[#This Row],[CTL Bucket]])</f>
        <v>#REF!</v>
      </c>
      <c r="T87" s="557"/>
      <c r="U87" s="557"/>
      <c r="V87" s="557"/>
      <c r="W87" s="557"/>
      <c r="X87" s="6">
        <v>19.05</v>
      </c>
      <c r="Y87" s="6">
        <v>19.05</v>
      </c>
      <c r="Z87" s="1">
        <v>0</v>
      </c>
      <c r="AA87" s="1">
        <v>1.6</v>
      </c>
      <c r="AB87" s="24">
        <v>310</v>
      </c>
      <c r="AC87" s="24"/>
      <c r="AD87" s="24"/>
      <c r="AE87" s="24"/>
      <c r="AF87" s="2"/>
      <c r="AG87" s="2"/>
      <c r="AH87" s="2" t="e" cm="1">
        <f t="array" ref="AH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87" s="4" t="e">
        <f>scheduleapr[[#This Row],[SCHEDULE in nos]]-scheduleapr[[#This Row],[DISPATCH]]</f>
        <v>#N/A</v>
      </c>
      <c r="AJ87" s="1">
        <f>(3.14*(scheduleapr[[#This Row],[ACTUAL OD]]-scheduleapr[[#This Row],[TICKNESS]])*scheduleapr[[#This Row],[TICKNESS]]*scheduleapr[[#This Row],[LENGTH]]*7.85)/1000000*scheduleapr[[#This Row],[SCHEDULE in nos]]/1000</f>
        <v>0</v>
      </c>
      <c r="AK87" s="1" t="e">
        <f>(3.14*(scheduleapr[[#This Row],[ACTUAL OD]]-scheduleapr[[#This Row],[TICKNESS]])*scheduleapr[[#This Row],[TICKNESS]]*scheduleapr[[#This Row],[LENGTH]]*7.85)/1000000*scheduleapr[[#This Row],[DISPATCH]]/1000</f>
        <v>#N/A</v>
      </c>
      <c r="AL87" s="1" t="e">
        <f t="shared" si="3"/>
        <v>#N/A</v>
      </c>
      <c r="AM87" s="1" t="e">
        <f>scheduleapr[[#This Row],[SCHEDULE in nos]]/scheduleapr[[#This Row],[SCHEDULE IN MT]]*scheduleapr[[#This Row],[CTL Stock]]</f>
        <v>#DIV/0!</v>
      </c>
      <c r="AN87" s="1">
        <f>SUMIFS(stock[MT],stock[Bucket],scheduleapr[[#This Row],[Bucket]],stock[CTL Bucket],scheduleapr[[#This Row],[CTL Bucket]],stock[Plant],"0789")</f>
        <v>0</v>
      </c>
      <c r="AO87" s="1"/>
      <c r="AP87" s="1">
        <f>SUMIFS(stock[MT],stock[Bucket],scheduleapr[[#This Row],[Bucket]],stock[LL or CTL],"LL")</f>
        <v>0</v>
      </c>
      <c r="AQ87" s="1">
        <f>+SUMIFS(wip[Stock(Net Wt)],wip[Bucket],scheduleapr[[#This Row],[Bucket]])/1000</f>
        <v>0</v>
      </c>
      <c r="AR87" s="1">
        <f t="shared" si="4"/>
        <v>0</v>
      </c>
      <c r="AS87" s="118"/>
    </row>
    <row r="88" spans="1:45" x14ac:dyDescent="0.25">
      <c r="A88" s="30">
        <v>38</v>
      </c>
      <c r="B88" s="5" t="s">
        <v>1816</v>
      </c>
      <c r="C88" s="2" t="s">
        <v>284</v>
      </c>
      <c r="D88" s="2" t="s">
        <v>1873</v>
      </c>
      <c r="E88" s="2" t="s">
        <v>285</v>
      </c>
      <c r="F88" s="2">
        <v>3453631</v>
      </c>
      <c r="G88" s="2" t="str">
        <f>_xlfn.CONCAT(scheduleapr[[#This Row],[CUSTOMER CODE]],"-",scheduleapr[[#This Row],[MATERIAL NO]])</f>
        <v>129663|948721-3453631</v>
      </c>
      <c r="H88" s="2" t="s">
        <v>1901</v>
      </c>
      <c r="I88" s="2"/>
      <c r="J88" s="2"/>
      <c r="K88" s="2"/>
      <c r="L88" s="2" t="s">
        <v>239</v>
      </c>
      <c r="M88" s="2"/>
      <c r="N88" s="2"/>
      <c r="O88" s="2"/>
      <c r="P88" s="2"/>
      <c r="Q88" s="557" t="str">
        <f>CONCATENATE(scheduleapr[[#This Row],[OD]],"-",scheduleapr[[#This Row],[ID]],"-",scheduleapr[[#This Row],[TICKNESS]],"-",scheduleapr[[#This Row],[Grade]],"-",scheduleapr[[#This Row],[FC/NFC]])</f>
        <v>19.05-0-1.6--</v>
      </c>
      <c r="R88" s="557" t="str">
        <f>_xlfn.CONCAT(scheduleapr[[#This Row],[Bucket]],"-",scheduleapr[[#This Row],[LENGTH]]/1000)</f>
        <v>19.05-0-1.6---0.35</v>
      </c>
      <c r="S88" s="557" t="e" vm="2">
        <f>COUNTIF([2]!buckets[CTL Bucket],[2]!scheduleapr[[#This Row],[CTL Bucket]])</f>
        <v>#REF!</v>
      </c>
      <c r="T88" s="557"/>
      <c r="U88" s="557"/>
      <c r="V88" s="557"/>
      <c r="W88" s="557"/>
      <c r="X88" s="1">
        <v>19.05</v>
      </c>
      <c r="Y88" s="6">
        <v>19.05</v>
      </c>
      <c r="Z88" s="1">
        <v>0</v>
      </c>
      <c r="AA88" s="1">
        <v>1.6</v>
      </c>
      <c r="AB88" s="24">
        <v>350</v>
      </c>
      <c r="AC88" s="24"/>
      <c r="AD88" s="24"/>
      <c r="AE88" s="24"/>
      <c r="AF88" s="2"/>
      <c r="AG88" s="2"/>
      <c r="AH88" s="2" t="e" cm="1">
        <f t="array" ref="AH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88" s="4" t="e">
        <f>scheduleapr[[#This Row],[SCHEDULE in nos]]-scheduleapr[[#This Row],[DISPATCH]]</f>
        <v>#N/A</v>
      </c>
      <c r="AJ88" s="1">
        <f>(3.14*(scheduleapr[[#This Row],[ACTUAL OD]]-scheduleapr[[#This Row],[TICKNESS]])*scheduleapr[[#This Row],[TICKNESS]]*scheduleapr[[#This Row],[LENGTH]]*7.85)/1000000*scheduleapr[[#This Row],[SCHEDULE in nos]]/1000</f>
        <v>0</v>
      </c>
      <c r="AK88" s="1" t="e">
        <f>(3.14*(scheduleapr[[#This Row],[ACTUAL OD]]-scheduleapr[[#This Row],[TICKNESS]])*scheduleapr[[#This Row],[TICKNESS]]*scheduleapr[[#This Row],[LENGTH]]*7.85)/1000000*scheduleapr[[#This Row],[DISPATCH]]/1000</f>
        <v>#N/A</v>
      </c>
      <c r="AL88" s="1" t="e">
        <f t="shared" si="3"/>
        <v>#N/A</v>
      </c>
      <c r="AM88" s="1" t="e">
        <f>scheduleapr[[#This Row],[SCHEDULE in nos]]/scheduleapr[[#This Row],[SCHEDULE IN MT]]*scheduleapr[[#This Row],[CTL Stock]]</f>
        <v>#DIV/0!</v>
      </c>
      <c r="AN88" s="1">
        <f>SUMIFS(stock[MT],stock[Bucket],scheduleapr[[#This Row],[Bucket]],stock[CTL Bucket],scheduleapr[[#This Row],[CTL Bucket]],stock[Plant],"0789")</f>
        <v>0</v>
      </c>
      <c r="AO88" s="1"/>
      <c r="AP88" s="1">
        <f>SUMIFS(stock[MT],stock[Bucket],scheduleapr[[#This Row],[Bucket]],stock[LL or CTL],"LL")</f>
        <v>0</v>
      </c>
      <c r="AQ88" s="1">
        <f>+SUMIFS(wip[Stock(Net Wt)],wip[Bucket],scheduleapr[[#This Row],[Bucket]])/1000</f>
        <v>0</v>
      </c>
      <c r="AR88" s="1">
        <f t="shared" si="4"/>
        <v>0</v>
      </c>
      <c r="AS88" s="118"/>
    </row>
    <row r="89" spans="1:45" x14ac:dyDescent="0.25">
      <c r="A89" s="30">
        <v>39</v>
      </c>
      <c r="B89" s="5" t="s">
        <v>1816</v>
      </c>
      <c r="C89" s="2" t="s">
        <v>284</v>
      </c>
      <c r="D89" s="2" t="s">
        <v>1873</v>
      </c>
      <c r="E89" s="2" t="s">
        <v>285</v>
      </c>
      <c r="F89" s="48">
        <v>1531612</v>
      </c>
      <c r="G89" s="2" t="str">
        <f>_xlfn.CONCAT(scheduleapr[[#This Row],[CUSTOMER CODE]],"-",scheduleapr[[#This Row],[MATERIAL NO]])</f>
        <v>129663|948721-1531612</v>
      </c>
      <c r="H89" s="2" t="s">
        <v>1902</v>
      </c>
      <c r="I89" s="2"/>
      <c r="J89" s="2"/>
      <c r="K89" s="2"/>
      <c r="L89" s="2" t="s">
        <v>239</v>
      </c>
      <c r="M89" s="2"/>
      <c r="N89" s="2"/>
      <c r="O89" s="2"/>
      <c r="P89" s="2"/>
      <c r="Q89" s="557" t="str">
        <f>CONCATENATE(scheduleapr[[#This Row],[OD]],"-",scheduleapr[[#This Row],[ID]],"-",scheduleapr[[#This Row],[TICKNESS]],"-",scheduleapr[[#This Row],[Grade]],"-",scheduleapr[[#This Row],[FC/NFC]])</f>
        <v>19.05-0-1.6--</v>
      </c>
      <c r="R89" s="557" t="str">
        <f>_xlfn.CONCAT(scheduleapr[[#This Row],[Bucket]],"-",scheduleapr[[#This Row],[LENGTH]]/1000)</f>
        <v>19.05-0-1.6---0.38</v>
      </c>
      <c r="S89" s="557" t="e" vm="2">
        <f>COUNTIF([2]!buckets[CTL Bucket],[2]!scheduleapr[[#This Row],[CTL Bucket]])</f>
        <v>#REF!</v>
      </c>
      <c r="T89" s="557"/>
      <c r="U89" s="557"/>
      <c r="V89" s="557"/>
      <c r="W89" s="557"/>
      <c r="X89" s="6">
        <v>19.05</v>
      </c>
      <c r="Y89" s="6">
        <v>19.05</v>
      </c>
      <c r="Z89" s="1">
        <v>0</v>
      </c>
      <c r="AA89" s="1">
        <v>1.6</v>
      </c>
      <c r="AB89" s="24">
        <v>380</v>
      </c>
      <c r="AC89" s="24"/>
      <c r="AD89" s="24"/>
      <c r="AE89" s="24"/>
      <c r="AF89" s="2"/>
      <c r="AG89" s="2"/>
      <c r="AH89" s="2" t="e" cm="1">
        <f t="array" ref="AH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89" s="4" t="e">
        <f>scheduleapr[[#This Row],[SCHEDULE in nos]]-scheduleapr[[#This Row],[DISPATCH]]</f>
        <v>#N/A</v>
      </c>
      <c r="AJ89" s="1">
        <f>(3.14*(scheduleapr[[#This Row],[ACTUAL OD]]-scheduleapr[[#This Row],[TICKNESS]])*scheduleapr[[#This Row],[TICKNESS]]*scheduleapr[[#This Row],[LENGTH]]*7.85)/1000000*scheduleapr[[#This Row],[SCHEDULE in nos]]/1000</f>
        <v>0</v>
      </c>
      <c r="AK89" s="1" t="e">
        <f>(3.14*(scheduleapr[[#This Row],[ACTUAL OD]]-scheduleapr[[#This Row],[TICKNESS]])*scheduleapr[[#This Row],[TICKNESS]]*scheduleapr[[#This Row],[LENGTH]]*7.85)/1000000*scheduleapr[[#This Row],[DISPATCH]]/1000</f>
        <v>#N/A</v>
      </c>
      <c r="AL89" s="1" t="e">
        <f t="shared" si="3"/>
        <v>#N/A</v>
      </c>
      <c r="AM89" s="1" t="e">
        <f>scheduleapr[[#This Row],[SCHEDULE in nos]]/scheduleapr[[#This Row],[SCHEDULE IN MT]]*scheduleapr[[#This Row],[CTL Stock]]</f>
        <v>#DIV/0!</v>
      </c>
      <c r="AN89" s="1">
        <f>SUMIFS(stock[MT],stock[Bucket],scheduleapr[[#This Row],[Bucket]],stock[CTL Bucket],scheduleapr[[#This Row],[CTL Bucket]],stock[Plant],"0789")</f>
        <v>0</v>
      </c>
      <c r="AO89" s="1"/>
      <c r="AP89" s="1">
        <f>SUMIFS(stock[MT],stock[Bucket],scheduleapr[[#This Row],[Bucket]],stock[LL or CTL],"LL")</f>
        <v>0</v>
      </c>
      <c r="AQ89" s="1">
        <f>+SUMIFS(wip[Stock(Net Wt)],wip[Bucket],scheduleapr[[#This Row],[Bucket]])/1000</f>
        <v>0</v>
      </c>
      <c r="AR89" s="1">
        <f t="shared" si="4"/>
        <v>0</v>
      </c>
      <c r="AS89" s="118"/>
    </row>
    <row r="90" spans="1:45" x14ac:dyDescent="0.25">
      <c r="A90" s="30">
        <v>40</v>
      </c>
      <c r="B90" s="5" t="s">
        <v>1816</v>
      </c>
      <c r="C90" s="2" t="s">
        <v>284</v>
      </c>
      <c r="D90" s="2" t="s">
        <v>1873</v>
      </c>
      <c r="E90" s="2" t="s">
        <v>285</v>
      </c>
      <c r="F90" s="48">
        <v>3510171</v>
      </c>
      <c r="G90" s="2" t="str">
        <f>_xlfn.CONCAT(scheduleapr[[#This Row],[CUSTOMER CODE]],"-",scheduleapr[[#This Row],[MATERIAL NO]])</f>
        <v>129663|948721-3510171</v>
      </c>
      <c r="H90" s="2" t="s">
        <v>1903</v>
      </c>
      <c r="I90" s="2"/>
      <c r="J90" s="2"/>
      <c r="K90" s="2"/>
      <c r="L90" s="2" t="s">
        <v>239</v>
      </c>
      <c r="M90" s="2"/>
      <c r="N90" s="2"/>
      <c r="O90" s="2"/>
      <c r="P90" s="2"/>
      <c r="Q90" s="557" t="str">
        <f>CONCATENATE(scheduleapr[[#This Row],[OD]],"-",scheduleapr[[#This Row],[ID]],"-",scheduleapr[[#This Row],[TICKNESS]],"-",scheduleapr[[#This Row],[Grade]],"-",scheduleapr[[#This Row],[FC/NFC]])</f>
        <v>19.05-0-1.6--</v>
      </c>
      <c r="R90" s="557" t="str">
        <f>_xlfn.CONCAT(scheduleapr[[#This Row],[Bucket]],"-",scheduleapr[[#This Row],[LENGTH]]/1000)</f>
        <v>19.05-0-1.6---0.469</v>
      </c>
      <c r="S90" s="557" t="e" vm="2">
        <f>COUNTIF([2]!buckets[CTL Bucket],[2]!scheduleapr[[#This Row],[CTL Bucket]])</f>
        <v>#REF!</v>
      </c>
      <c r="T90" s="557"/>
      <c r="U90" s="557"/>
      <c r="V90" s="557"/>
      <c r="W90" s="557"/>
      <c r="X90" s="1">
        <v>19.05</v>
      </c>
      <c r="Y90" s="1">
        <v>19.05</v>
      </c>
      <c r="Z90" s="1">
        <v>0</v>
      </c>
      <c r="AA90" s="1">
        <v>1.6</v>
      </c>
      <c r="AB90" s="24">
        <v>469</v>
      </c>
      <c r="AC90" s="24"/>
      <c r="AD90" s="24"/>
      <c r="AE90" s="24"/>
      <c r="AF90" s="2"/>
      <c r="AG90" s="2"/>
      <c r="AH90" s="2" t="e" cm="1">
        <f t="array" ref="AH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0" s="4" t="e">
        <f>scheduleapr[[#This Row],[SCHEDULE in nos]]-scheduleapr[[#This Row],[DISPATCH]]</f>
        <v>#N/A</v>
      </c>
      <c r="AJ90" s="1">
        <f>(3.14*(scheduleapr[[#This Row],[ACTUAL OD]]-scheduleapr[[#This Row],[TICKNESS]])*scheduleapr[[#This Row],[TICKNESS]]*scheduleapr[[#This Row],[LENGTH]]*7.85)/1000000*scheduleapr[[#This Row],[SCHEDULE in nos]]/1000</f>
        <v>0</v>
      </c>
      <c r="AK90" s="1" t="e">
        <f>(3.14*(scheduleapr[[#This Row],[ACTUAL OD]]-scheduleapr[[#This Row],[TICKNESS]])*scheduleapr[[#This Row],[TICKNESS]]*scheduleapr[[#This Row],[LENGTH]]*7.85)/1000000*scheduleapr[[#This Row],[DISPATCH]]/1000</f>
        <v>#N/A</v>
      </c>
      <c r="AL90" s="1" t="e">
        <f t="shared" si="3"/>
        <v>#N/A</v>
      </c>
      <c r="AM90" s="1" t="e">
        <f>scheduleapr[[#This Row],[SCHEDULE in nos]]/scheduleapr[[#This Row],[SCHEDULE IN MT]]*scheduleapr[[#This Row],[CTL Stock]]</f>
        <v>#DIV/0!</v>
      </c>
      <c r="AN90" s="1">
        <f>SUMIFS(stock[MT],stock[Bucket],scheduleapr[[#This Row],[Bucket]],stock[CTL Bucket],scheduleapr[[#This Row],[CTL Bucket]],stock[Plant],"0789")</f>
        <v>0</v>
      </c>
      <c r="AO90" s="1"/>
      <c r="AP90" s="1">
        <f>SUMIFS(stock[MT],stock[Bucket],scheduleapr[[#This Row],[Bucket]],stock[LL or CTL],"LL")</f>
        <v>0</v>
      </c>
      <c r="AQ90" s="1">
        <f>+SUMIFS(wip[Stock(Net Wt)],wip[Bucket],scheduleapr[[#This Row],[Bucket]])/1000</f>
        <v>0</v>
      </c>
      <c r="AR90" s="1">
        <f t="shared" si="4"/>
        <v>0</v>
      </c>
      <c r="AS90" s="118"/>
    </row>
    <row r="91" spans="1:45" x14ac:dyDescent="0.25">
      <c r="A91" s="30">
        <v>41</v>
      </c>
      <c r="B91" s="5" t="s">
        <v>1816</v>
      </c>
      <c r="C91" s="2" t="s">
        <v>284</v>
      </c>
      <c r="D91" s="2" t="s">
        <v>1873</v>
      </c>
      <c r="E91" s="2" t="s">
        <v>285</v>
      </c>
      <c r="F91" s="2">
        <v>3213875</v>
      </c>
      <c r="G91" s="2" t="str">
        <f>_xlfn.CONCAT(scheduleapr[[#This Row],[CUSTOMER CODE]],"-",scheduleapr[[#This Row],[MATERIAL NO]])</f>
        <v>129663|948721-3213875</v>
      </c>
      <c r="H91" s="2" t="s">
        <v>1904</v>
      </c>
      <c r="I91" s="2"/>
      <c r="J91" s="2"/>
      <c r="K91" s="2"/>
      <c r="L91" s="2" t="s">
        <v>239</v>
      </c>
      <c r="M91" s="2"/>
      <c r="N91" s="2"/>
      <c r="O91" s="2"/>
      <c r="P91" s="2"/>
      <c r="Q91" s="557" t="str">
        <f>CONCATENATE(scheduleapr[[#This Row],[OD]],"-",scheduleapr[[#This Row],[ID]],"-",scheduleapr[[#This Row],[TICKNESS]],"-",scheduleapr[[#This Row],[Grade]],"-",scheduleapr[[#This Row],[FC/NFC]])</f>
        <v>19.05-0-1.6--</v>
      </c>
      <c r="R91" s="557" t="str">
        <f>_xlfn.CONCAT(scheduleapr[[#This Row],[Bucket]],"-",scheduleapr[[#This Row],[LENGTH]]/1000)</f>
        <v>19.05-0-1.6---0.485</v>
      </c>
      <c r="S91" s="557" t="e" vm="2">
        <f>COUNTIF([2]!buckets[CTL Bucket],[2]!scheduleapr[[#This Row],[CTL Bucket]])</f>
        <v>#REF!</v>
      </c>
      <c r="T91" s="557"/>
      <c r="U91" s="557"/>
      <c r="V91" s="557"/>
      <c r="W91" s="557"/>
      <c r="X91" s="6">
        <v>19.05</v>
      </c>
      <c r="Y91" s="6">
        <v>19.05</v>
      </c>
      <c r="Z91" s="1">
        <v>0</v>
      </c>
      <c r="AA91" s="1">
        <v>1.6</v>
      </c>
      <c r="AB91" s="24">
        <v>485</v>
      </c>
      <c r="AC91" s="24"/>
      <c r="AD91" s="24"/>
      <c r="AE91" s="24"/>
      <c r="AF91" s="2"/>
      <c r="AG91" s="2"/>
      <c r="AH91" s="2" t="e" cm="1">
        <f t="array" ref="AH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1" s="4" t="e">
        <f>scheduleapr[[#This Row],[SCHEDULE in nos]]-scheduleapr[[#This Row],[DISPATCH]]</f>
        <v>#N/A</v>
      </c>
      <c r="AJ91" s="1">
        <f>(3.14*(scheduleapr[[#This Row],[ACTUAL OD]]-scheduleapr[[#This Row],[TICKNESS]])*scheduleapr[[#This Row],[TICKNESS]]*scheduleapr[[#This Row],[LENGTH]]*7.85)/1000000*scheduleapr[[#This Row],[SCHEDULE in nos]]/1000</f>
        <v>0</v>
      </c>
      <c r="AK91" s="1" t="e">
        <f>(3.14*(scheduleapr[[#This Row],[ACTUAL OD]]-scheduleapr[[#This Row],[TICKNESS]])*scheduleapr[[#This Row],[TICKNESS]]*scheduleapr[[#This Row],[LENGTH]]*7.85)/1000000*scheduleapr[[#This Row],[DISPATCH]]/1000</f>
        <v>#N/A</v>
      </c>
      <c r="AL91" s="1" t="e">
        <f t="shared" si="3"/>
        <v>#N/A</v>
      </c>
      <c r="AM91" s="1" t="e">
        <f>scheduleapr[[#This Row],[SCHEDULE in nos]]/scheduleapr[[#This Row],[SCHEDULE IN MT]]*scheduleapr[[#This Row],[CTL Stock]]</f>
        <v>#DIV/0!</v>
      </c>
      <c r="AN91" s="1">
        <f>SUMIFS(stock[MT],stock[Bucket],scheduleapr[[#This Row],[Bucket]],stock[CTL Bucket],scheduleapr[[#This Row],[CTL Bucket]],stock[Plant],"0789")</f>
        <v>0</v>
      </c>
      <c r="AO91" s="1"/>
      <c r="AP91" s="1">
        <f>SUMIFS(stock[MT],stock[Bucket],scheduleapr[[#This Row],[Bucket]],stock[LL or CTL],"LL")</f>
        <v>0</v>
      </c>
      <c r="AQ91" s="1">
        <f>+SUMIFS(wip[Stock(Net Wt)],wip[Bucket],scheduleapr[[#This Row],[Bucket]])/1000</f>
        <v>0</v>
      </c>
      <c r="AR91" s="1">
        <f t="shared" si="4"/>
        <v>0</v>
      </c>
      <c r="AS91" s="118"/>
    </row>
    <row r="92" spans="1:45" x14ac:dyDescent="0.25">
      <c r="A92" s="30">
        <v>42</v>
      </c>
      <c r="B92" s="5" t="s">
        <v>1816</v>
      </c>
      <c r="C92" s="2" t="s">
        <v>284</v>
      </c>
      <c r="D92" s="2" t="s">
        <v>1873</v>
      </c>
      <c r="E92" s="2" t="s">
        <v>285</v>
      </c>
      <c r="F92" s="2">
        <v>319456</v>
      </c>
      <c r="G92" s="2" t="str">
        <f>_xlfn.CONCAT(scheduleapr[[#This Row],[CUSTOMER CODE]],"-",scheduleapr[[#This Row],[MATERIAL NO]])</f>
        <v>129663|948721-319456</v>
      </c>
      <c r="H92" s="2" t="s">
        <v>1905</v>
      </c>
      <c r="I92" s="2"/>
      <c r="J92" s="2"/>
      <c r="K92" s="2"/>
      <c r="L92" s="2" t="s">
        <v>239</v>
      </c>
      <c r="M92" s="2"/>
      <c r="N92" s="2"/>
      <c r="O92" s="2"/>
      <c r="P92" s="2"/>
      <c r="Q92" s="557" t="str">
        <f>CONCATENATE(scheduleapr[[#This Row],[OD]],"-",scheduleapr[[#This Row],[ID]],"-",scheduleapr[[#This Row],[TICKNESS]],"-",scheduleapr[[#This Row],[Grade]],"-",scheduleapr[[#This Row],[FC/NFC]])</f>
        <v>19.05-0-1.63--</v>
      </c>
      <c r="R92" s="557" t="str">
        <f>_xlfn.CONCAT(scheduleapr[[#This Row],[Bucket]],"-",scheduleapr[[#This Row],[LENGTH]]/1000)</f>
        <v>19.05-0-1.63---0.336</v>
      </c>
      <c r="S92" s="557" t="e" vm="2">
        <f>COUNTIF([2]!buckets[CTL Bucket],[2]!scheduleapr[[#This Row],[CTL Bucket]])</f>
        <v>#REF!</v>
      </c>
      <c r="T92" s="557"/>
      <c r="U92" s="557"/>
      <c r="V92" s="557"/>
      <c r="W92" s="557"/>
      <c r="X92" s="1">
        <v>19.05</v>
      </c>
      <c r="Y92" s="1">
        <v>19.05</v>
      </c>
      <c r="Z92" s="1">
        <v>0</v>
      </c>
      <c r="AA92" s="1">
        <v>1.63</v>
      </c>
      <c r="AB92" s="24">
        <v>336</v>
      </c>
      <c r="AC92" s="24"/>
      <c r="AD92" s="24"/>
      <c r="AE92" s="24"/>
      <c r="AF92" s="2"/>
      <c r="AG92" s="2"/>
      <c r="AH92" s="2" t="e" cm="1">
        <f t="array" ref="AH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2" s="4" t="e">
        <f>scheduleapr[[#This Row],[SCHEDULE in nos]]-scheduleapr[[#This Row],[DISPATCH]]</f>
        <v>#N/A</v>
      </c>
      <c r="AJ92" s="1">
        <f>(3.14*(scheduleapr[[#This Row],[ACTUAL OD]]-scheduleapr[[#This Row],[TICKNESS]])*scheduleapr[[#This Row],[TICKNESS]]*scheduleapr[[#This Row],[LENGTH]]*7.85)/1000000*scheduleapr[[#This Row],[SCHEDULE in nos]]/1000</f>
        <v>0</v>
      </c>
      <c r="AK92" s="1" t="e">
        <f>(3.14*(scheduleapr[[#This Row],[ACTUAL OD]]-scheduleapr[[#This Row],[TICKNESS]])*scheduleapr[[#This Row],[TICKNESS]]*scheduleapr[[#This Row],[LENGTH]]*7.85)/1000000*scheduleapr[[#This Row],[DISPATCH]]/1000</f>
        <v>#N/A</v>
      </c>
      <c r="AL92" s="1" t="e">
        <f t="shared" si="3"/>
        <v>#N/A</v>
      </c>
      <c r="AM92" s="1" t="e">
        <f>scheduleapr[[#This Row],[SCHEDULE in nos]]/scheduleapr[[#This Row],[SCHEDULE IN MT]]*scheduleapr[[#This Row],[CTL Stock]]</f>
        <v>#DIV/0!</v>
      </c>
      <c r="AN92" s="1">
        <f>SUMIFS(stock[MT],stock[Bucket],scheduleapr[[#This Row],[Bucket]],stock[CTL Bucket],scheduleapr[[#This Row],[CTL Bucket]],stock[Plant],"0789")</f>
        <v>0</v>
      </c>
      <c r="AO92" s="1"/>
      <c r="AP92" s="1">
        <f>SUMIFS(stock[MT],stock[Bucket],scheduleapr[[#This Row],[Bucket]],stock[LL or CTL],"LL")</f>
        <v>0</v>
      </c>
      <c r="AQ92" s="1">
        <f>+SUMIFS(wip[Stock(Net Wt)],wip[Bucket],scheduleapr[[#This Row],[Bucket]])/1000</f>
        <v>0</v>
      </c>
      <c r="AR92" s="1">
        <f t="shared" si="4"/>
        <v>0</v>
      </c>
      <c r="AS92" s="118"/>
    </row>
    <row r="93" spans="1:45" x14ac:dyDescent="0.25">
      <c r="A93" s="30">
        <v>53</v>
      </c>
      <c r="B93" s="5" t="s">
        <v>1816</v>
      </c>
      <c r="C93" s="2" t="s">
        <v>284</v>
      </c>
      <c r="D93" s="2" t="s">
        <v>1873</v>
      </c>
      <c r="E93" s="2" t="s">
        <v>285</v>
      </c>
      <c r="F93" s="2">
        <v>1482265</v>
      </c>
      <c r="G93" s="2" t="str">
        <f>_xlfn.CONCAT(scheduleapr[[#This Row],[CUSTOMER CODE]],"-",scheduleapr[[#This Row],[MATERIAL NO]])</f>
        <v>129663|948721-1482265</v>
      </c>
      <c r="H93" s="2" t="s">
        <v>1906</v>
      </c>
      <c r="I93" s="2"/>
      <c r="J93" s="2"/>
      <c r="K93" s="2"/>
      <c r="L93" s="2" t="s">
        <v>239</v>
      </c>
      <c r="M93" s="2"/>
      <c r="N93" s="2"/>
      <c r="O93" s="2"/>
      <c r="P93" s="2"/>
      <c r="Q93" s="557" t="str">
        <f>CONCATENATE(scheduleapr[[#This Row],[OD]],"-",scheduleapr[[#This Row],[ID]],"-",scheduleapr[[#This Row],[TICKNESS]],"-",scheduleapr[[#This Row],[Grade]],"-",scheduleapr[[#This Row],[FC/NFC]])</f>
        <v>25.4-0-2--</v>
      </c>
      <c r="R93" s="557" t="str">
        <f>_xlfn.CONCAT(scheduleapr[[#This Row],[Bucket]],"-",scheduleapr[[#This Row],[LENGTH]]/1000)</f>
        <v>25.4-0-2---0.478</v>
      </c>
      <c r="S93" s="557" t="e" vm="2">
        <f>COUNTIF([2]!buckets[CTL Bucket],[2]!scheduleapr[[#This Row],[CTL Bucket]])</f>
        <v>#REF!</v>
      </c>
      <c r="T93" s="557"/>
      <c r="U93" s="557"/>
      <c r="V93" s="557"/>
      <c r="W93" s="557"/>
      <c r="X93" s="6">
        <v>25.4</v>
      </c>
      <c r="Y93" s="6">
        <v>25.4</v>
      </c>
      <c r="Z93" s="1">
        <v>0</v>
      </c>
      <c r="AA93" s="1">
        <v>2</v>
      </c>
      <c r="AB93" s="24">
        <v>478</v>
      </c>
      <c r="AC93" s="24"/>
      <c r="AD93" s="24"/>
      <c r="AE93" s="24"/>
      <c r="AF93" s="2"/>
      <c r="AG93" s="2"/>
      <c r="AH93" s="2" t="e" cm="1">
        <f t="array" ref="AH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3" s="4" t="e">
        <f>scheduleapr[[#This Row],[SCHEDULE in nos]]-scheduleapr[[#This Row],[DISPATCH]]</f>
        <v>#N/A</v>
      </c>
      <c r="AJ93" s="1">
        <f>(3.14*(scheduleapr[[#This Row],[ACTUAL OD]]-scheduleapr[[#This Row],[TICKNESS]])*scheduleapr[[#This Row],[TICKNESS]]*scheduleapr[[#This Row],[LENGTH]]*7.85)/1000000*scheduleapr[[#This Row],[SCHEDULE in nos]]/1000</f>
        <v>0</v>
      </c>
      <c r="AK93" s="1" t="e">
        <f>(3.14*(scheduleapr[[#This Row],[ACTUAL OD]]-scheduleapr[[#This Row],[TICKNESS]])*scheduleapr[[#This Row],[TICKNESS]]*scheduleapr[[#This Row],[LENGTH]]*7.85)/1000000*scheduleapr[[#This Row],[DISPATCH]]/1000</f>
        <v>#N/A</v>
      </c>
      <c r="AL93" s="1" t="e">
        <f t="shared" si="3"/>
        <v>#N/A</v>
      </c>
      <c r="AM93" s="1" t="e">
        <f>scheduleapr[[#This Row],[SCHEDULE in nos]]/scheduleapr[[#This Row],[SCHEDULE IN MT]]*scheduleapr[[#This Row],[CTL Stock]]</f>
        <v>#DIV/0!</v>
      </c>
      <c r="AN93" s="1">
        <f>SUMIFS(stock[MT],stock[Bucket],scheduleapr[[#This Row],[Bucket]],stock[CTL Bucket],scheduleapr[[#This Row],[CTL Bucket]],stock[Plant],"0789")</f>
        <v>0</v>
      </c>
      <c r="AO93" s="1"/>
      <c r="AP93" s="1">
        <f>SUMIFS(stock[MT],stock[Bucket],scheduleapr[[#This Row],[Bucket]],stock[LL or CTL],"LL")</f>
        <v>0</v>
      </c>
      <c r="AQ93" s="1">
        <f>+SUMIFS(wip[Stock(Net Wt)],wip[Bucket],scheduleapr[[#This Row],[Bucket]])/1000</f>
        <v>0</v>
      </c>
      <c r="AR93" s="1">
        <f t="shared" si="4"/>
        <v>0</v>
      </c>
      <c r="AS93" s="118"/>
    </row>
    <row r="94" spans="1:45" x14ac:dyDescent="0.25">
      <c r="A94" s="30">
        <v>54</v>
      </c>
      <c r="B94" s="5" t="s">
        <v>1816</v>
      </c>
      <c r="C94" s="2" t="s">
        <v>284</v>
      </c>
      <c r="D94" s="2" t="s">
        <v>1873</v>
      </c>
      <c r="E94" s="2" t="s">
        <v>285</v>
      </c>
      <c r="F94" s="2">
        <v>3218520</v>
      </c>
      <c r="G94" s="2" t="str">
        <f>_xlfn.CONCAT(scheduleapr[[#This Row],[CUSTOMER CODE]],"-",scheduleapr[[#This Row],[MATERIAL NO]])</f>
        <v>129663|948721-3218520</v>
      </c>
      <c r="H94" s="2" t="s">
        <v>1907</v>
      </c>
      <c r="I94" s="2"/>
      <c r="J94" s="2"/>
      <c r="K94" s="2"/>
      <c r="L94" s="2" t="s">
        <v>239</v>
      </c>
      <c r="M94" s="2"/>
      <c r="N94" s="2"/>
      <c r="O94" s="2"/>
      <c r="P94" s="2"/>
      <c r="Q94" s="557" t="str">
        <f>CONCATENATE(scheduleapr[[#This Row],[OD]],"-",scheduleapr[[#This Row],[ID]],"-",scheduleapr[[#This Row],[TICKNESS]],"-",scheduleapr[[#This Row],[Grade]],"-",scheduleapr[[#This Row],[FC/NFC]])</f>
        <v>25.4-0-2--</v>
      </c>
      <c r="R94" s="557" t="str">
        <f>_xlfn.CONCAT(scheduleapr[[#This Row],[Bucket]],"-",scheduleapr[[#This Row],[LENGTH]]/1000)</f>
        <v>25.4-0-2---0.496</v>
      </c>
      <c r="S94" s="557" t="e" vm="2">
        <f>COUNTIF([2]!buckets[CTL Bucket],[2]!scheduleapr[[#This Row],[CTL Bucket]])</f>
        <v>#REF!</v>
      </c>
      <c r="T94" s="557"/>
      <c r="U94" s="557"/>
      <c r="V94" s="557"/>
      <c r="W94" s="557"/>
      <c r="X94" s="6">
        <v>25.4</v>
      </c>
      <c r="Y94" s="6">
        <v>25.4</v>
      </c>
      <c r="Z94" s="1">
        <v>0</v>
      </c>
      <c r="AA94" s="1">
        <v>2</v>
      </c>
      <c r="AB94" s="24">
        <v>496</v>
      </c>
      <c r="AC94" s="24"/>
      <c r="AD94" s="24"/>
      <c r="AE94" s="24"/>
      <c r="AF94" s="2"/>
      <c r="AG94" s="2"/>
      <c r="AH94" s="2" t="e" cm="1">
        <f t="array" ref="AH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4" s="4" t="e">
        <f>scheduleapr[[#This Row],[SCHEDULE in nos]]-scheduleapr[[#This Row],[DISPATCH]]</f>
        <v>#N/A</v>
      </c>
      <c r="AJ94" s="1">
        <f>(3.14*(scheduleapr[[#This Row],[ACTUAL OD]]-scheduleapr[[#This Row],[TICKNESS]])*scheduleapr[[#This Row],[TICKNESS]]*scheduleapr[[#This Row],[LENGTH]]*7.85)/1000000*scheduleapr[[#This Row],[SCHEDULE in nos]]/1000</f>
        <v>0</v>
      </c>
      <c r="AK94" s="1" t="e">
        <f>(3.14*(scheduleapr[[#This Row],[ACTUAL OD]]-scheduleapr[[#This Row],[TICKNESS]])*scheduleapr[[#This Row],[TICKNESS]]*scheduleapr[[#This Row],[LENGTH]]*7.85)/1000000*scheduleapr[[#This Row],[DISPATCH]]/1000</f>
        <v>#N/A</v>
      </c>
      <c r="AL94" s="1" t="e">
        <f t="shared" si="3"/>
        <v>#N/A</v>
      </c>
      <c r="AM94" s="1" t="e">
        <f>scheduleapr[[#This Row],[SCHEDULE in nos]]/scheduleapr[[#This Row],[SCHEDULE IN MT]]*scheduleapr[[#This Row],[CTL Stock]]</f>
        <v>#DIV/0!</v>
      </c>
      <c r="AN94" s="1">
        <f>SUMIFS(stock[MT],stock[Bucket],scheduleapr[[#This Row],[Bucket]],stock[CTL Bucket],scheduleapr[[#This Row],[CTL Bucket]],stock[Plant],"0789")</f>
        <v>0</v>
      </c>
      <c r="AO94" s="1"/>
      <c r="AP94" s="1">
        <f>SUMIFS(stock[MT],stock[Bucket],scheduleapr[[#This Row],[Bucket]],stock[LL or CTL],"LL")</f>
        <v>0</v>
      </c>
      <c r="AQ94" s="1">
        <f>+SUMIFS(wip[Stock(Net Wt)],wip[Bucket],scheduleapr[[#This Row],[Bucket]])/1000</f>
        <v>0</v>
      </c>
      <c r="AR94" s="1">
        <f t="shared" si="4"/>
        <v>0</v>
      </c>
      <c r="AS94" s="118"/>
    </row>
    <row r="95" spans="1:45" x14ac:dyDescent="0.25">
      <c r="A95" s="30">
        <v>61</v>
      </c>
      <c r="B95" s="5" t="s">
        <v>1872</v>
      </c>
      <c r="C95" s="2" t="s">
        <v>284</v>
      </c>
      <c r="D95" s="2" t="s">
        <v>1873</v>
      </c>
      <c r="E95" s="2" t="s">
        <v>285</v>
      </c>
      <c r="F95" s="2">
        <v>403039</v>
      </c>
      <c r="G95" s="2" t="str">
        <f>_xlfn.CONCAT(scheduleapr[[#This Row],[CUSTOMER CODE]],"-",scheduleapr[[#This Row],[MATERIAL NO]])</f>
        <v>129663|948721-403039</v>
      </c>
      <c r="H95" s="2" t="s">
        <v>1635</v>
      </c>
      <c r="I95" s="2"/>
      <c r="J95" s="2"/>
      <c r="K95" s="2"/>
      <c r="L95" s="2" t="s">
        <v>239</v>
      </c>
      <c r="M95" s="2"/>
      <c r="N95" s="2"/>
      <c r="O95" s="2"/>
      <c r="P95" s="2"/>
      <c r="Q95" s="557" t="str">
        <f>CONCATENATE(scheduleapr[[#This Row],[OD]],"-",scheduleapr[[#This Row],[ID]],"-",scheduleapr[[#This Row],[TICKNESS]],"-",scheduleapr[[#This Row],[Grade]],"-",scheduleapr[[#This Row],[FC/NFC]])</f>
        <v>37.6-31.2-3.2--</v>
      </c>
      <c r="R95" s="557" t="str">
        <f>_xlfn.CONCAT(scheduleapr[[#This Row],[Bucket]],"-",scheduleapr[[#This Row],[LENGTH]]/1000)</f>
        <v>37.6-31.2-3.2---0.295</v>
      </c>
      <c r="S95" s="557" t="e" vm="2">
        <f>COUNTIF([2]!buckets[CTL Bucket],[2]!scheduleapr[[#This Row],[CTL Bucket]])</f>
        <v>#REF!</v>
      </c>
      <c r="T95" s="557"/>
      <c r="U95" s="557"/>
      <c r="V95" s="557"/>
      <c r="W95" s="557"/>
      <c r="X95" s="6">
        <v>31.2</v>
      </c>
      <c r="Y95" s="6">
        <v>37.6</v>
      </c>
      <c r="Z95" s="1">
        <v>31.2</v>
      </c>
      <c r="AA95" s="1">
        <v>3.2</v>
      </c>
      <c r="AB95" s="24">
        <v>295</v>
      </c>
      <c r="AC95" s="24"/>
      <c r="AD95" s="24"/>
      <c r="AE95" s="24"/>
      <c r="AF95" s="2"/>
      <c r="AG95" s="2"/>
      <c r="AH95" s="2" t="e" cm="1">
        <f t="array" ref="AH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5" s="4" t="e">
        <f>scheduleapr[[#This Row],[SCHEDULE in nos]]-scheduleapr[[#This Row],[DISPATCH]]</f>
        <v>#N/A</v>
      </c>
      <c r="AJ95" s="1">
        <f>(3.14*(scheduleapr[[#This Row],[ACTUAL OD]]-scheduleapr[[#This Row],[TICKNESS]])*scheduleapr[[#This Row],[TICKNESS]]*scheduleapr[[#This Row],[LENGTH]]*7.85)/1000000*scheduleapr[[#This Row],[SCHEDULE in nos]]/1000</f>
        <v>0</v>
      </c>
      <c r="AK95" s="1" t="e">
        <f>(3.14*(scheduleapr[[#This Row],[ACTUAL OD]]-scheduleapr[[#This Row],[TICKNESS]])*scheduleapr[[#This Row],[TICKNESS]]*scheduleapr[[#This Row],[LENGTH]]*7.85)/1000000*scheduleapr[[#This Row],[DISPATCH]]/1000</f>
        <v>#N/A</v>
      </c>
      <c r="AL95" s="1" t="e">
        <f t="shared" si="3"/>
        <v>#N/A</v>
      </c>
      <c r="AM95" s="1" t="e">
        <f>scheduleapr[[#This Row],[SCHEDULE in nos]]/scheduleapr[[#This Row],[SCHEDULE IN MT]]*scheduleapr[[#This Row],[CTL Stock]]</f>
        <v>#DIV/0!</v>
      </c>
      <c r="AN95" s="1">
        <f>SUMIFS(stock[MT],stock[Bucket],scheduleapr[[#This Row],[Bucket]],stock[CTL Bucket],scheduleapr[[#This Row],[CTL Bucket]],stock[Plant],"0789")</f>
        <v>0</v>
      </c>
      <c r="AO95" s="1"/>
      <c r="AP95" s="1">
        <f>SUMIFS(stock[MT],stock[Bucket],scheduleapr[[#This Row],[Bucket]],stock[LL or CTL],"LL")</f>
        <v>0</v>
      </c>
      <c r="AQ95" s="1">
        <f>+SUMIFS(wip[Stock(Net Wt)],wip[Bucket],scheduleapr[[#This Row],[Bucket]])/1000</f>
        <v>0</v>
      </c>
      <c r="AR95" s="1">
        <f t="shared" si="4"/>
        <v>0</v>
      </c>
      <c r="AS95" s="118"/>
    </row>
    <row r="96" spans="1:45" x14ac:dyDescent="0.25">
      <c r="A96" s="30">
        <v>66</v>
      </c>
      <c r="B96" s="5" t="s">
        <v>1816</v>
      </c>
      <c r="C96" s="2" t="s">
        <v>284</v>
      </c>
      <c r="D96" s="2" t="s">
        <v>1873</v>
      </c>
      <c r="E96" s="2" t="s">
        <v>285</v>
      </c>
      <c r="F96" s="2">
        <v>1551280</v>
      </c>
      <c r="G96" s="2" t="str">
        <f>_xlfn.CONCAT(scheduleapr[[#This Row],[CUSTOMER CODE]],"-",scheduleapr[[#This Row],[MATERIAL NO]])</f>
        <v>129663|948721-1551280</v>
      </c>
      <c r="H96" s="2" t="s">
        <v>1908</v>
      </c>
      <c r="I96" s="2"/>
      <c r="J96" s="2"/>
      <c r="K96" s="2"/>
      <c r="L96" s="2" t="s">
        <v>239</v>
      </c>
      <c r="M96" s="2"/>
      <c r="N96" s="2"/>
      <c r="O96" s="2"/>
      <c r="P96" s="2"/>
      <c r="Q96" s="557" t="str">
        <f>CONCATENATE(scheduleapr[[#This Row],[OD]],"-",scheduleapr[[#This Row],[ID]],"-",scheduleapr[[#This Row],[TICKNESS]],"-",scheduleapr[[#This Row],[Grade]],"-",scheduleapr[[#This Row],[FC/NFC]])</f>
        <v>34.93-0-2--</v>
      </c>
      <c r="R96" s="557" t="str">
        <f>_xlfn.CONCAT(scheduleapr[[#This Row],[Bucket]],"-",scheduleapr[[#This Row],[LENGTH]]/1000)</f>
        <v>34.93-0-2---0.284</v>
      </c>
      <c r="S96" s="557" t="e" vm="2">
        <f>COUNTIF([2]!buckets[CTL Bucket],[2]!scheduleapr[[#This Row],[CTL Bucket]])</f>
        <v>#REF!</v>
      </c>
      <c r="T96" s="557"/>
      <c r="U96" s="557"/>
      <c r="V96" s="557"/>
      <c r="W96" s="557"/>
      <c r="X96" s="6">
        <v>34.93</v>
      </c>
      <c r="Y96" s="6">
        <v>34.93</v>
      </c>
      <c r="Z96" s="1">
        <v>0</v>
      </c>
      <c r="AA96" s="1">
        <v>2</v>
      </c>
      <c r="AB96" s="24">
        <v>284</v>
      </c>
      <c r="AC96" s="24"/>
      <c r="AD96" s="24"/>
      <c r="AE96" s="24"/>
      <c r="AF96" s="24"/>
      <c r="AG96" s="24"/>
      <c r="AH96" s="2" t="e" cm="1">
        <f t="array" ref="AH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6" s="4" t="e">
        <f>scheduleapr[[#This Row],[SCHEDULE in nos]]-scheduleapr[[#This Row],[DISPATCH]]</f>
        <v>#N/A</v>
      </c>
      <c r="AJ96" s="1">
        <f>(3.14*(scheduleapr[[#This Row],[ACTUAL OD]]-scheduleapr[[#This Row],[TICKNESS]])*scheduleapr[[#This Row],[TICKNESS]]*scheduleapr[[#This Row],[LENGTH]]*7.85)/1000000*scheduleapr[[#This Row],[SCHEDULE in nos]]/1000</f>
        <v>0</v>
      </c>
      <c r="AK96" s="1" t="e">
        <f>(3.14*(scheduleapr[[#This Row],[ACTUAL OD]]-scheduleapr[[#This Row],[TICKNESS]])*scheduleapr[[#This Row],[TICKNESS]]*scheduleapr[[#This Row],[LENGTH]]*7.85)/1000000*scheduleapr[[#This Row],[DISPATCH]]/1000</f>
        <v>#N/A</v>
      </c>
      <c r="AL96" s="1" t="e">
        <f t="shared" si="3"/>
        <v>#N/A</v>
      </c>
      <c r="AM96" s="1" t="e">
        <f>scheduleapr[[#This Row],[SCHEDULE in nos]]/scheduleapr[[#This Row],[SCHEDULE IN MT]]*scheduleapr[[#This Row],[CTL Stock]]</f>
        <v>#DIV/0!</v>
      </c>
      <c r="AN96" s="1">
        <f>SUMIFS(stock[MT],stock[Bucket],scheduleapr[[#This Row],[Bucket]],stock[CTL Bucket],scheduleapr[[#This Row],[CTL Bucket]],stock[Plant],"0789")</f>
        <v>0</v>
      </c>
      <c r="AO96" s="1"/>
      <c r="AP96" s="1">
        <f>SUMIFS(stock[MT],stock[Bucket],scheduleapr[[#This Row],[Bucket]],stock[LL or CTL],"LL")</f>
        <v>0</v>
      </c>
      <c r="AQ96" s="1">
        <f>+SUMIFS(wip[Stock(Net Wt)],wip[Bucket],scheduleapr[[#This Row],[Bucket]])/1000</f>
        <v>0</v>
      </c>
      <c r="AR96" s="1">
        <f t="shared" si="4"/>
        <v>0</v>
      </c>
      <c r="AS96" s="118"/>
    </row>
    <row r="97" spans="1:45" x14ac:dyDescent="0.25">
      <c r="A97" s="30">
        <v>67</v>
      </c>
      <c r="B97" s="5" t="s">
        <v>1816</v>
      </c>
      <c r="C97" s="2" t="s">
        <v>284</v>
      </c>
      <c r="D97" s="2" t="s">
        <v>1873</v>
      </c>
      <c r="E97" s="2" t="s">
        <v>285</v>
      </c>
      <c r="F97" s="2">
        <v>1236370</v>
      </c>
      <c r="G97" s="2" t="str">
        <f>_xlfn.CONCAT(scheduleapr[[#This Row],[CUSTOMER CODE]],"-",scheduleapr[[#This Row],[MATERIAL NO]])</f>
        <v>129663|948721-1236370</v>
      </c>
      <c r="H97" s="2" t="s">
        <v>1909</v>
      </c>
      <c r="I97" s="2"/>
      <c r="J97" s="2"/>
      <c r="K97" s="2"/>
      <c r="L97" s="2" t="s">
        <v>239</v>
      </c>
      <c r="M97" s="2"/>
      <c r="N97" s="2"/>
      <c r="O97" s="2"/>
      <c r="P97" s="2"/>
      <c r="Q97" s="557" t="str">
        <f>CONCATENATE(scheduleapr[[#This Row],[OD]],"-",scheduleapr[[#This Row],[ID]],"-",scheduleapr[[#This Row],[TICKNESS]],"-",scheduleapr[[#This Row],[Grade]],"-",scheduleapr[[#This Row],[FC/NFC]])</f>
        <v>34.93-0-2--</v>
      </c>
      <c r="R97" s="557" t="str">
        <f>_xlfn.CONCAT(scheduleapr[[#This Row],[Bucket]],"-",scheduleapr[[#This Row],[LENGTH]]/1000)</f>
        <v>34.93-0-2---0.339</v>
      </c>
      <c r="S97" s="557" t="e" vm="2">
        <f>COUNTIF([2]!buckets[CTL Bucket],[2]!scheduleapr[[#This Row],[CTL Bucket]])</f>
        <v>#REF!</v>
      </c>
      <c r="T97" s="557"/>
      <c r="U97" s="557"/>
      <c r="V97" s="557"/>
      <c r="W97" s="557"/>
      <c r="X97" s="6">
        <v>34.93</v>
      </c>
      <c r="Y97" s="6">
        <v>34.93</v>
      </c>
      <c r="Z97" s="1">
        <v>0</v>
      </c>
      <c r="AA97" s="1">
        <v>2</v>
      </c>
      <c r="AB97" s="24">
        <v>339</v>
      </c>
      <c r="AC97" s="24"/>
      <c r="AD97" s="24"/>
      <c r="AE97" s="24"/>
      <c r="AF97" s="24"/>
      <c r="AG97" s="24"/>
      <c r="AH97" s="2" t="e" cm="1">
        <f t="array" ref="AH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7" s="4" t="e">
        <f>scheduleapr[[#This Row],[SCHEDULE in nos]]-scheduleapr[[#This Row],[DISPATCH]]</f>
        <v>#N/A</v>
      </c>
      <c r="AJ97" s="1">
        <f>(3.14*(scheduleapr[[#This Row],[ACTUAL OD]]-scheduleapr[[#This Row],[TICKNESS]])*scheduleapr[[#This Row],[TICKNESS]]*scheduleapr[[#This Row],[LENGTH]]*7.85)/1000000*scheduleapr[[#This Row],[SCHEDULE in nos]]/1000</f>
        <v>0</v>
      </c>
      <c r="AK97" s="1" t="e">
        <f>(3.14*(scheduleapr[[#This Row],[ACTUAL OD]]-scheduleapr[[#This Row],[TICKNESS]])*scheduleapr[[#This Row],[TICKNESS]]*scheduleapr[[#This Row],[LENGTH]]*7.85)/1000000*scheduleapr[[#This Row],[DISPATCH]]/1000</f>
        <v>#N/A</v>
      </c>
      <c r="AL97" s="1" t="e">
        <f t="shared" si="3"/>
        <v>#N/A</v>
      </c>
      <c r="AM97" s="1" t="e">
        <f>scheduleapr[[#This Row],[SCHEDULE in nos]]/scheduleapr[[#This Row],[SCHEDULE IN MT]]*scheduleapr[[#This Row],[CTL Stock]]</f>
        <v>#DIV/0!</v>
      </c>
      <c r="AN97" s="1">
        <f>SUMIFS(stock[MT],stock[Bucket],scheduleapr[[#This Row],[Bucket]],stock[CTL Bucket],scheduleapr[[#This Row],[CTL Bucket]],stock[Plant],"0789")</f>
        <v>0</v>
      </c>
      <c r="AO97" s="1"/>
      <c r="AP97" s="1">
        <f>SUMIFS(stock[MT],stock[Bucket],scheduleapr[[#This Row],[Bucket]],stock[LL or CTL],"LL")</f>
        <v>0</v>
      </c>
      <c r="AQ97" s="1">
        <f>+SUMIFS(wip[Stock(Net Wt)],wip[Bucket],scheduleapr[[#This Row],[Bucket]])/1000</f>
        <v>0</v>
      </c>
      <c r="AR97" s="1">
        <f t="shared" si="4"/>
        <v>0</v>
      </c>
      <c r="AS97" s="118"/>
    </row>
    <row r="98" spans="1:45" x14ac:dyDescent="0.25">
      <c r="A98" s="556"/>
      <c r="B98" s="5" t="s">
        <v>1816</v>
      </c>
      <c r="C98" s="2" t="s">
        <v>287</v>
      </c>
      <c r="D98" s="2" t="s">
        <v>1910</v>
      </c>
      <c r="E98" s="2">
        <v>940921</v>
      </c>
      <c r="F98" s="557"/>
      <c r="G98" s="2" t="str">
        <f>_xlfn.CONCAT(scheduleapr[[#This Row],[CUSTOMER CODE]],"-",scheduleapr[[#This Row],[MATERIAL NO]])</f>
        <v>940921-</v>
      </c>
      <c r="H98" s="557"/>
      <c r="I98" s="557" t="s">
        <v>357</v>
      </c>
      <c r="J98" s="559"/>
      <c r="K98" s="557"/>
      <c r="L98" s="557"/>
      <c r="M98" s="561"/>
      <c r="N98" s="557"/>
      <c r="O98" s="557"/>
      <c r="P98" s="557"/>
      <c r="Q98" s="557"/>
      <c r="R98" s="557"/>
      <c r="S98" s="557"/>
      <c r="T98" s="2"/>
      <c r="U98" s="2"/>
      <c r="V98" s="2"/>
      <c r="W98" s="2"/>
      <c r="X98" s="559">
        <v>16.100000000000001</v>
      </c>
      <c r="Y98" s="559">
        <v>16.100000000000001</v>
      </c>
      <c r="Z98" s="559">
        <v>0</v>
      </c>
      <c r="AA98" s="559">
        <v>2.8</v>
      </c>
      <c r="AB98" s="24">
        <v>1000</v>
      </c>
      <c r="AC98" s="81" t="s">
        <v>1911</v>
      </c>
      <c r="AD98" s="24"/>
      <c r="AE98" s="24"/>
      <c r="AF98" s="557">
        <v>7500</v>
      </c>
      <c r="AG98" s="557"/>
      <c r="AH98" s="557" cm="1">
        <f t="array" ref="AH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8" s="560">
        <f>scheduleapr[[#This Row],[SCHEDULE in nos]]-scheduleapr[[#This Row],[DISPATCH]]</f>
        <v>7500</v>
      </c>
      <c r="AJ98" s="559">
        <f>(3.14*(scheduleapr[[#This Row],[ACTUAL OD]]-scheduleapr[[#This Row],[TICKNESS]])*scheduleapr[[#This Row],[TICKNESS]]*scheduleapr[[#This Row],[LENGTH]]*7.85)/1000000*scheduleapr[[#This Row],[SCHEDULE in nos]]/1000</f>
        <v>6.8844656999999989</v>
      </c>
      <c r="AK98" s="1">
        <f>(3.14*(scheduleapr[[#This Row],[ACTUAL OD]]-scheduleapr[[#This Row],[TICKNESS]])*scheduleapr[[#This Row],[TICKNESS]]*scheduleapr[[#This Row],[LENGTH]]*7.85)/1000000*scheduleapr[[#This Row],[DISPATCH]]/1000</f>
        <v>0</v>
      </c>
      <c r="AL98" s="1">
        <f t="shared" si="3"/>
        <v>6.8844656999999989</v>
      </c>
      <c r="AM98" s="559">
        <f>scheduleapr[[#This Row],[SCHEDULE in nos]]/scheduleapr[[#This Row],[SCHEDULE IN MT]]*scheduleapr[[#This Row],[CTL Stock]]</f>
        <v>0</v>
      </c>
      <c r="AN98" s="1">
        <f>SUMIFS(stock[MT],stock[Bucket],scheduleapr[[#This Row],[Bucket]],stock[CTL Bucket],scheduleapr[[#This Row],[CTL Bucket]],stock[Plant],"0789")</f>
        <v>0</v>
      </c>
      <c r="AO98" s="1"/>
      <c r="AP98" s="1">
        <f>SUMIFS(stock[MT],stock[Bucket],scheduleapr[[#This Row],[Bucket]],stock[LL or CTL],"LL")</f>
        <v>0</v>
      </c>
      <c r="AQ98" s="1">
        <f>+SUMIFS(wip[Stock(Net Wt)],wip[Bucket],scheduleapr[[#This Row],[Bucket]])/1000</f>
        <v>0</v>
      </c>
      <c r="AR98" s="1">
        <f t="shared" si="4"/>
        <v>6.8844656999999989</v>
      </c>
      <c r="AS98" s="118"/>
    </row>
    <row r="99" spans="1:45" x14ac:dyDescent="0.25">
      <c r="A99" s="556"/>
      <c r="B99" s="5" t="s">
        <v>1816</v>
      </c>
      <c r="C99" s="2" t="s">
        <v>287</v>
      </c>
      <c r="D99" s="2" t="s">
        <v>1910</v>
      </c>
      <c r="E99" s="2">
        <v>940921</v>
      </c>
      <c r="F99" s="557"/>
      <c r="G99" s="2" t="str">
        <f>_xlfn.CONCAT(scheduleapr[[#This Row],[CUSTOMER CODE]],"-",scheduleapr[[#This Row],[MATERIAL NO]])</f>
        <v>940921-</v>
      </c>
      <c r="H99" s="557"/>
      <c r="I99" s="2" t="s">
        <v>357</v>
      </c>
      <c r="J99" s="557"/>
      <c r="K99" s="2" t="s">
        <v>357</v>
      </c>
      <c r="L99" s="2" t="s">
        <v>357</v>
      </c>
      <c r="M99" s="558"/>
      <c r="N99" s="557"/>
      <c r="O99" s="557"/>
      <c r="P99" s="557"/>
      <c r="Q99" s="557" t="str">
        <f>CONCATENATE(scheduleapr[[#This Row],[OD]],"-",scheduleapr[[#This Row],[ID]],"-",scheduleapr[[#This Row],[TICKNESS]],"-",scheduleapr[[#This Row],[Grade]],"-",scheduleapr[[#This Row],[FC/NFC]])</f>
        <v>28.6-0-2.6-CEW-CEW</v>
      </c>
      <c r="R99" s="557" t="s">
        <v>820</v>
      </c>
      <c r="S99" s="557"/>
      <c r="T99" s="2"/>
      <c r="U99" s="2"/>
      <c r="V99" s="2"/>
      <c r="W99" s="2"/>
      <c r="X99" s="559">
        <v>28.6</v>
      </c>
      <c r="Y99" s="559">
        <v>28.6</v>
      </c>
      <c r="Z99" s="559">
        <v>0</v>
      </c>
      <c r="AA99" s="1">
        <v>2.6</v>
      </c>
      <c r="AB99" s="24">
        <v>1000</v>
      </c>
      <c r="AC99" s="24" t="s">
        <v>444</v>
      </c>
      <c r="AD99" s="24"/>
      <c r="AE99" s="24"/>
      <c r="AF99" s="557"/>
      <c r="AG99" s="557"/>
      <c r="AH99" s="2" cm="1">
        <f t="array" ref="AH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9" s="4">
        <f>scheduleapr[[#This Row],[SCHEDULE in nos]]-scheduleapr[[#This Row],[DISPATCH]]</f>
        <v>0</v>
      </c>
      <c r="AJ99" s="559">
        <f>(3.14*(scheduleapr[[#This Row],[ACTUAL OD]]-scheduleapr[[#This Row],[TICKNESS]])*scheduleapr[[#This Row],[TICKNESS]]*scheduleapr[[#This Row],[LENGTH]]*7.85)/1000000*scheduleapr[[#This Row],[SCHEDULE in nos]]/1000</f>
        <v>0</v>
      </c>
      <c r="AK99" s="1">
        <f>(3.14*(scheduleapr[[#This Row],[ACTUAL OD]]-scheduleapr[[#This Row],[TICKNESS]])*scheduleapr[[#This Row],[TICKNESS]]*scheduleapr[[#This Row],[LENGTH]]*7.85)/1000000*scheduleapr[[#This Row],[DISPATCH]]/1000</f>
        <v>0</v>
      </c>
      <c r="AL99" s="1">
        <f t="shared" si="3"/>
        <v>0</v>
      </c>
      <c r="AM99" s="559" t="e">
        <f>scheduleapr[[#This Row],[SCHEDULE in nos]]/scheduleapr[[#This Row],[SCHEDULE IN MT]]*scheduleapr[[#This Row],[CTL Stock]]</f>
        <v>#DIV/0!</v>
      </c>
      <c r="AN99" s="1">
        <f>SUMIFS(stock[MT],stock[Bucket],scheduleapr[[#This Row],[Bucket]],stock[CTL Bucket],scheduleapr[[#This Row],[CTL Bucket]],stock[Plant],"0789")</f>
        <v>0</v>
      </c>
      <c r="AO99" s="1"/>
      <c r="AP99" s="1">
        <f>SUMIFS(stock[MT],stock[Bucket],scheduleapr[[#This Row],[Bucket]],stock[LL or CTL],"LL")</f>
        <v>0</v>
      </c>
      <c r="AQ99" s="1">
        <f>+SUMIFS(wip[Stock(Net Wt)],wip[Bucket],scheduleapr[[#This Row],[Bucket]])/1000</f>
        <v>0</v>
      </c>
      <c r="AR99" s="1">
        <f t="shared" si="4"/>
        <v>0</v>
      </c>
      <c r="AS99" s="118"/>
    </row>
    <row r="100" spans="1:45" x14ac:dyDescent="0.25">
      <c r="A100" s="30">
        <v>92</v>
      </c>
      <c r="B100" s="5" t="s">
        <v>1816</v>
      </c>
      <c r="C100" s="2" t="s">
        <v>287</v>
      </c>
      <c r="D100" s="2" t="s">
        <v>1910</v>
      </c>
      <c r="E100" s="2">
        <v>940921</v>
      </c>
      <c r="F100" s="2">
        <v>403039</v>
      </c>
      <c r="G100" s="2" t="str">
        <f>_xlfn.CONCAT(scheduleapr[[#This Row],[CUSTOMER CODE]],"-",scheduleapr[[#This Row],[MATERIAL NO]])</f>
        <v>940921-403039</v>
      </c>
      <c r="H100" s="2" t="s">
        <v>1635</v>
      </c>
      <c r="I100" s="2" t="s">
        <v>357</v>
      </c>
      <c r="J100" s="2"/>
      <c r="K100" s="2" t="s">
        <v>357</v>
      </c>
      <c r="L100" s="2" t="s">
        <v>239</v>
      </c>
      <c r="M100" s="2"/>
      <c r="N100" s="2" t="s">
        <v>1516</v>
      </c>
      <c r="O100" s="2"/>
      <c r="P100" s="2"/>
      <c r="Q100" s="557" t="str">
        <f>CONCATENATE(scheduleapr[[#This Row],[OD]],"-",scheduleapr[[#This Row],[ID]],"-",scheduleapr[[#This Row],[TICKNESS]],"-",scheduleapr[[#This Row],[Grade]],"-",scheduleapr[[#This Row],[FC/NFC]])</f>
        <v>37.6-31.2-3.2-CEW-CEW</v>
      </c>
      <c r="R100" s="557" t="str">
        <f>_xlfn.CONCAT(scheduleapr[[#This Row],[Bucket]],"-",scheduleapr[[#This Row],[LENGTH]]/1000)</f>
        <v>37.6-31.2-3.2-CEW-CEW-0.295</v>
      </c>
      <c r="S100" s="557">
        <f>COUNTIF(scheduleapr[CTL Bucket],scheduleapr[[#This Row],[CTL Bucket]])</f>
        <v>1</v>
      </c>
      <c r="T100" s="2" t="s">
        <v>1817</v>
      </c>
      <c r="U100" s="2">
        <f>_xlfn.IFNA(VLOOKUP(scheduleapr[[#This Row],[Bucket]],salesforecast[[#All],[Bucket2]:[8406 Stock]],19,0),0)</f>
        <v>0</v>
      </c>
      <c r="V100" s="562">
        <f>_xlfn.IFNA(VLOOKUP(scheduleapr[[#This Row],[Bucket]],salesforecast[[#All],[Bucket2]:[8406 Stock]],20,0),0)+_xlfn.IFNA(VLOOKUP(scheduleapr[[#This Row],[Bucket]],salesforecast[[#All],[Bucket2]:[8406 Stock]],17,0),0)</f>
        <v>0</v>
      </c>
      <c r="W100" s="557"/>
      <c r="X100" s="1">
        <v>37.6</v>
      </c>
      <c r="Y100" s="1">
        <v>37.6</v>
      </c>
      <c r="Z100" s="1">
        <v>31.2</v>
      </c>
      <c r="AA100" s="1">
        <v>3.2</v>
      </c>
      <c r="AB100" s="24">
        <v>295</v>
      </c>
      <c r="AC100" s="24" t="s">
        <v>397</v>
      </c>
      <c r="AD100" s="24"/>
      <c r="AE100" s="24"/>
      <c r="AF100" s="2">
        <v>5650</v>
      </c>
      <c r="AG100" s="2"/>
      <c r="AH100" s="2" cm="1">
        <f t="array" ref="AH1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0" s="4">
        <f>scheduleapr[[#This Row],[SCHEDULE in nos]]-scheduleapr[[#This Row],[DISPATCH]]</f>
        <v>5650</v>
      </c>
      <c r="AJ100" s="1">
        <f>(3.14*(scheduleapr[[#This Row],[ACTUAL OD]]-scheduleapr[[#This Row],[TICKNESS]])*scheduleapr[[#This Row],[TICKNESS]]*scheduleapr[[#This Row],[LENGTH]]*7.85)/1000000*scheduleapr[[#This Row],[SCHEDULE in nos]]/1000</f>
        <v>4.5224959801599995</v>
      </c>
      <c r="AK100" s="1">
        <f>(3.14*(scheduleapr[[#This Row],[ACTUAL OD]]-scheduleapr[[#This Row],[TICKNESS]])*scheduleapr[[#This Row],[TICKNESS]]*scheduleapr[[#This Row],[LENGTH]]*7.85)/1000000*scheduleapr[[#This Row],[DISPATCH]]/1000</f>
        <v>0</v>
      </c>
      <c r="AL100" s="1">
        <f t="shared" si="3"/>
        <v>4.5224959801599995</v>
      </c>
      <c r="AM100" s="1">
        <f>scheduleapr[[#This Row],[SCHEDULE in nos]]/scheduleapr[[#This Row],[SCHEDULE IN MT]]*scheduleapr[[#This Row],[CTL Stock]]</f>
        <v>0</v>
      </c>
      <c r="AN100" s="1">
        <f>SUMIFS(stock[MT],stock[Bucket],scheduleapr[[#This Row],[Bucket]],stock[CTL Bucket],scheduleapr[[#This Row],[CTL Bucket]],stock[Plant],"0789")</f>
        <v>0</v>
      </c>
      <c r="AO100" s="1"/>
      <c r="AP100" s="1">
        <f>SUMIFS(stock[MT],stock[Bucket],scheduleapr[[#This Row],[Bucket]],stock[LL or CTL],"LL")</f>
        <v>0</v>
      </c>
      <c r="AQ100" s="1">
        <f>+SUMIFS(wip[Stock(Net Wt)],wip[Bucket],scheduleapr[[#This Row],[Bucket]])/1000</f>
        <v>0</v>
      </c>
      <c r="AR100" s="1">
        <f t="shared" si="4"/>
        <v>4.5224959801599995</v>
      </c>
      <c r="AS100" s="118"/>
    </row>
    <row r="101" spans="1:45" x14ac:dyDescent="0.25">
      <c r="A101" s="556"/>
      <c r="B101" s="5" t="s">
        <v>1816</v>
      </c>
      <c r="C101" s="2" t="s">
        <v>287</v>
      </c>
      <c r="D101" s="2" t="s">
        <v>1910</v>
      </c>
      <c r="E101" s="2">
        <v>940921</v>
      </c>
      <c r="F101" s="477">
        <v>1900224</v>
      </c>
      <c r="G101" s="2" t="str">
        <f>_xlfn.CONCAT(scheduleapr[[#This Row],[CUSTOMER CODE]],"-",scheduleapr[[#This Row],[MATERIAL NO]])</f>
        <v>940921-1900224</v>
      </c>
      <c r="H101" s="477" t="s">
        <v>513</v>
      </c>
      <c r="I101" s="2" t="s">
        <v>962</v>
      </c>
      <c r="J101" s="557"/>
      <c r="K101" s="2" t="s">
        <v>963</v>
      </c>
      <c r="L101" s="2" t="s">
        <v>1867</v>
      </c>
      <c r="M101" s="558"/>
      <c r="N101" s="557"/>
      <c r="O101" s="557"/>
      <c r="P101" s="557"/>
      <c r="Q101" s="557" t="str">
        <f>CONCATENATE(scheduleapr[[#This Row],[OD]],"-",scheduleapr[[#This Row],[ID]],"-",scheduleapr[[#This Row],[TICKNESS]],"-",scheduleapr[[#This Row],[Grade]],"-",scheduleapr[[#This Row],[FC/NFC]])</f>
        <v>15.88-0-1.6-ERW 1-PE</v>
      </c>
      <c r="R101" s="557" t="str">
        <f>_xlfn.CONCAT(scheduleapr[[#This Row],[Bucket]],"-",scheduleapr[[#This Row],[LENGTH]]/1000)</f>
        <v>15.88-0-1.6-ERW 1-PE-1</v>
      </c>
      <c r="S101" s="557">
        <f>COUNTIF(scheduleapr[CTL Bucket],scheduleapr[[#This Row],[CTL Bucket]])</f>
        <v>6</v>
      </c>
      <c r="T101" s="2" t="s">
        <v>1816</v>
      </c>
      <c r="U101" s="2"/>
      <c r="V101" s="2"/>
      <c r="W101" s="2"/>
      <c r="X101" s="559">
        <v>15.88</v>
      </c>
      <c r="Y101" s="559">
        <v>15.88</v>
      </c>
      <c r="Z101" s="1">
        <v>0</v>
      </c>
      <c r="AA101" s="1">
        <v>1.6</v>
      </c>
      <c r="AB101" s="24">
        <v>1000</v>
      </c>
      <c r="AC101" s="24" t="s">
        <v>444</v>
      </c>
      <c r="AD101" s="24"/>
      <c r="AE101" s="24"/>
      <c r="AF101" s="24">
        <v>4250</v>
      </c>
      <c r="AG101" s="24"/>
      <c r="AH101" s="2" cm="1">
        <f t="array" ref="AH1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4248</v>
      </c>
      <c r="AI101" s="4">
        <f>scheduleapr[[#This Row],[SCHEDULE in nos]]-scheduleapr[[#This Row],[DISPATCH]]</f>
        <v>2</v>
      </c>
      <c r="AJ101" s="559">
        <f>(3.14*(scheduleapr[[#This Row],[ACTUAL OD]]-scheduleapr[[#This Row],[TICKNESS]])*scheduleapr[[#This Row],[TICKNESS]]*scheduleapr[[#This Row],[LENGTH]]*7.85)/1000000*scheduleapr[[#This Row],[SCHEDULE in nos]]/1000</f>
        <v>2.3935164959999997</v>
      </c>
      <c r="AK101" s="1">
        <f>(3.14*(scheduleapr[[#This Row],[ACTUAL OD]]-scheduleapr[[#This Row],[TICKNESS]])*scheduleapr[[#This Row],[TICKNESS]]*scheduleapr[[#This Row],[LENGTH]]*7.85)/1000000*scheduleapr[[#This Row],[DISPATCH]]/1000</f>
        <v>2.3923901352959995</v>
      </c>
      <c r="AL101" s="1">
        <f t="shared" si="3"/>
        <v>1.1263607040001844E-3</v>
      </c>
      <c r="AM101" s="559">
        <f>scheduleapr[[#This Row],[SCHEDULE in nos]]/scheduleapr[[#This Row],[SCHEDULE IN MT]]*scheduleapr[[#This Row],[CTL Stock]]</f>
        <v>0</v>
      </c>
      <c r="AN101" s="1">
        <f>SUMIFS(stock[MT],stock[Bucket],scheduleapr[[#This Row],[Bucket]],stock[CTL Bucket],scheduleapr[[#This Row],[CTL Bucket]],stock[Plant],"0789")</f>
        <v>0</v>
      </c>
      <c r="AO101" s="1"/>
      <c r="AP101" s="1">
        <f>SUMIFS(stock[MT],stock[Bucket],scheduleapr[[#This Row],[Bucket]],stock[LL or CTL],"LL")</f>
        <v>0</v>
      </c>
      <c r="AQ101" s="1">
        <f>+SUMIFS(wip[Stock(Net Wt)],wip[Bucket],scheduleapr[[#This Row],[Bucket]])/1000</f>
        <v>3.8879999999999999</v>
      </c>
      <c r="AR101" s="1">
        <f t="shared" si="4"/>
        <v>2.3935164959999997</v>
      </c>
      <c r="AS101" s="118"/>
    </row>
    <row r="102" spans="1:45" x14ac:dyDescent="0.25">
      <c r="A102" s="556"/>
      <c r="B102" s="5" t="s">
        <v>1816</v>
      </c>
      <c r="C102" s="2" t="s">
        <v>287</v>
      </c>
      <c r="D102" s="2" t="s">
        <v>1910</v>
      </c>
      <c r="E102" s="2">
        <v>940921</v>
      </c>
      <c r="F102" s="557"/>
      <c r="G102" s="2" t="str">
        <f>_xlfn.CONCAT(scheduleapr[[#This Row],[CUSTOMER CODE]],"-",scheduleapr[[#This Row],[MATERIAL NO]])</f>
        <v>940921-</v>
      </c>
      <c r="H102" s="557"/>
      <c r="I102" s="2" t="s">
        <v>962</v>
      </c>
      <c r="J102" s="557"/>
      <c r="K102" s="557" t="s">
        <v>963</v>
      </c>
      <c r="L102" s="557" t="s">
        <v>1867</v>
      </c>
      <c r="M102" s="558" t="s">
        <v>1881</v>
      </c>
      <c r="N102" s="557"/>
      <c r="O102" s="557"/>
      <c r="P102" s="557"/>
      <c r="Q102" s="557" t="str">
        <f>CONCATENATE(scheduleapr[[#This Row],[OD]],"-",scheduleapr[[#This Row],[ID]],"-",scheduleapr[[#This Row],[TICKNESS]],"-",scheduleapr[[#This Row],[Grade]],"-",scheduleapr[[#This Row],[FC/NFC]])</f>
        <v>15.88-0-1.6-ERW 1-PE</v>
      </c>
      <c r="R102" s="557" t="str">
        <f>_xlfn.CONCAT(scheduleapr[[#This Row],[Bucket]],"-",scheduleapr[[#This Row],[LENGTH]]/1000)</f>
        <v>15.88-0-1.6-ERW 1-PE-1</v>
      </c>
      <c r="S102" s="557">
        <f>COUNTIF(scheduleapr[CTL Bucket],scheduleapr[[#This Row],[CTL Bucket]])</f>
        <v>6</v>
      </c>
      <c r="T102" s="2" t="s">
        <v>1816</v>
      </c>
      <c r="U102" s="2"/>
      <c r="V102" s="2"/>
      <c r="W102" s="2"/>
      <c r="X102" s="559">
        <v>15.88</v>
      </c>
      <c r="Y102" s="559">
        <v>15.88</v>
      </c>
      <c r="Z102" s="559">
        <v>0</v>
      </c>
      <c r="AA102" s="1">
        <v>1.6</v>
      </c>
      <c r="AB102" s="24">
        <v>1000</v>
      </c>
      <c r="AC102" s="24" t="s">
        <v>444</v>
      </c>
      <c r="AD102" s="24"/>
      <c r="AE102" s="24"/>
      <c r="AF102" s="557"/>
      <c r="AG102" s="557"/>
      <c r="AH102" s="2" cm="1">
        <f t="array" ref="AH1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4248</v>
      </c>
      <c r="AI102" s="4">
        <f>scheduleapr[[#This Row],[SCHEDULE in nos]]-scheduleapr[[#This Row],[DISPATCH]]</f>
        <v>-4248</v>
      </c>
      <c r="AJ102" s="559">
        <f>(3.14*(scheduleapr[[#This Row],[ACTUAL OD]]-scheduleapr[[#This Row],[TICKNESS]])*scheduleapr[[#This Row],[TICKNESS]]*scheduleapr[[#This Row],[LENGTH]]*7.85)/1000000*scheduleapr[[#This Row],[SCHEDULE in nos]]/1000</f>
        <v>0</v>
      </c>
      <c r="AK102" s="1">
        <f>(3.14*(scheduleapr[[#This Row],[ACTUAL OD]]-scheduleapr[[#This Row],[TICKNESS]])*scheduleapr[[#This Row],[TICKNESS]]*scheduleapr[[#This Row],[LENGTH]]*7.85)/1000000*scheduleapr[[#This Row],[DISPATCH]]/1000</f>
        <v>2.3923901352959995</v>
      </c>
      <c r="AL102" s="1">
        <f t="shared" si="3"/>
        <v>-2.3923901352959995</v>
      </c>
      <c r="AM102" s="559" t="e">
        <f>scheduleapr[[#This Row],[SCHEDULE in nos]]/scheduleapr[[#This Row],[SCHEDULE IN MT]]*scheduleapr[[#This Row],[CTL Stock]]</f>
        <v>#DIV/0!</v>
      </c>
      <c r="AN102" s="1">
        <f>SUMIFS(stock[MT],stock[Bucket],scheduleapr[[#This Row],[Bucket]],stock[CTL Bucket],scheduleapr[[#This Row],[CTL Bucket]],stock[Plant],"0789")</f>
        <v>0</v>
      </c>
      <c r="AO102" s="1"/>
      <c r="AP102" s="1">
        <f>SUMIFS(stock[MT],stock[Bucket],scheduleapr[[#This Row],[Bucket]],stock[LL or CTL],"LL")</f>
        <v>0</v>
      </c>
      <c r="AQ102" s="1">
        <f>+SUMIFS(wip[Stock(Net Wt)],wip[Bucket],scheduleapr[[#This Row],[Bucket]])/1000</f>
        <v>3.8879999999999999</v>
      </c>
      <c r="AR102" s="1">
        <f t="shared" si="4"/>
        <v>0</v>
      </c>
      <c r="AS102" s="118"/>
    </row>
    <row r="103" spans="1:45" x14ac:dyDescent="0.25">
      <c r="A103" s="30">
        <v>87</v>
      </c>
      <c r="B103" s="5" t="s">
        <v>1816</v>
      </c>
      <c r="C103" s="2" t="s">
        <v>287</v>
      </c>
      <c r="D103" s="2" t="s">
        <v>1910</v>
      </c>
      <c r="E103" s="2">
        <v>940921</v>
      </c>
      <c r="F103" s="2">
        <v>468311</v>
      </c>
      <c r="G103" s="2" t="str">
        <f>_xlfn.CONCAT(scheduleapr[[#This Row],[CUSTOMER CODE]],"-",scheduleapr[[#This Row],[MATERIAL NO]])</f>
        <v>940921-468311</v>
      </c>
      <c r="H103" s="2" t="s">
        <v>1882</v>
      </c>
      <c r="I103" s="2" t="s">
        <v>962</v>
      </c>
      <c r="J103" s="2"/>
      <c r="K103" s="2" t="s">
        <v>963</v>
      </c>
      <c r="L103" s="2" t="s">
        <v>239</v>
      </c>
      <c r="M103" s="2"/>
      <c r="N103" s="2"/>
      <c r="O103" s="2"/>
      <c r="P103" s="2"/>
      <c r="Q103" s="557" t="str">
        <f>CONCATENATE(scheduleapr[[#This Row],[OD]],"-",scheduleapr[[#This Row],[ID]],"-",scheduleapr[[#This Row],[TICKNESS]],"-",scheduleapr[[#This Row],[Grade]],"-",scheduleapr[[#This Row],[FC/NFC]])</f>
        <v>15.88-0-2-ERW 1-PE</v>
      </c>
      <c r="R103" s="557" t="str">
        <f>_xlfn.CONCAT(scheduleapr[[#This Row],[Bucket]],"-",scheduleapr[[#This Row],[LENGTH]]/1000)</f>
        <v>15.88-0-2-ERW 1-PE-0.291</v>
      </c>
      <c r="S103" s="557">
        <f>COUNTIF(scheduleapr[CTL Bucket],scheduleapr[[#This Row],[CTL Bucket]])</f>
        <v>5</v>
      </c>
      <c r="T103" s="2" t="s">
        <v>1816</v>
      </c>
      <c r="U103" s="2">
        <f>_xlfn.IFNA(VLOOKUP(scheduleapr[[#This Row],[Bucket]],salesforecast[[#All],[Bucket2]:[8406 Stock]],19,0),0)</f>
        <v>0</v>
      </c>
      <c r="V103" s="562">
        <f>_xlfn.IFNA(VLOOKUP(scheduleapr[[#This Row],[Bucket]],salesforecast[[#All],[Bucket2]:[8406 Stock]],20,0),0)+_xlfn.IFNA(VLOOKUP(scheduleapr[[#This Row],[Bucket]],salesforecast[[#All],[Bucket2]:[8406 Stock]],17,0),0)</f>
        <v>0</v>
      </c>
      <c r="W103" s="557"/>
      <c r="X103" s="1">
        <v>15.88</v>
      </c>
      <c r="Y103" s="1">
        <v>15.88</v>
      </c>
      <c r="Z103" s="1">
        <v>0</v>
      </c>
      <c r="AA103" s="1">
        <v>2</v>
      </c>
      <c r="AB103" s="24">
        <v>291</v>
      </c>
      <c r="AC103" s="24" t="s">
        <v>397</v>
      </c>
      <c r="AD103" s="24"/>
      <c r="AE103" s="24"/>
      <c r="AF103" s="24">
        <v>12400</v>
      </c>
      <c r="AG103" s="24"/>
      <c r="AH103" s="2" cm="1">
        <f t="array" ref="AH1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12400</v>
      </c>
      <c r="AI103" s="4">
        <f>scheduleapr[[#This Row],[SCHEDULE in nos]]-scheduleapr[[#This Row],[DISPATCH]]</f>
        <v>0</v>
      </c>
      <c r="AJ103" s="1">
        <f>(3.14*(scheduleapr[[#This Row],[ACTUAL OD]]-scheduleapr[[#This Row],[TICKNESS]])*scheduleapr[[#This Row],[TICKNESS]]*scheduleapr[[#This Row],[LENGTH]]*7.85)/1000000*scheduleapr[[#This Row],[SCHEDULE in nos]]/1000</f>
        <v>2.4690702164160001</v>
      </c>
      <c r="AK103" s="1">
        <f>(3.14*(scheduleapr[[#This Row],[ACTUAL OD]]-scheduleapr[[#This Row],[TICKNESS]])*scheduleapr[[#This Row],[TICKNESS]]*scheduleapr[[#This Row],[LENGTH]]*7.85)/1000000*scheduleapr[[#This Row],[DISPATCH]]/1000</f>
        <v>2.4690702164160001</v>
      </c>
      <c r="AL103" s="1">
        <f t="shared" si="3"/>
        <v>0</v>
      </c>
      <c r="AM103" s="1">
        <f>scheduleapr[[#This Row],[SCHEDULE in nos]]/scheduleapr[[#This Row],[SCHEDULE IN MT]]*scheduleapr[[#This Row],[CTL Stock]]</f>
        <v>1474.669118679506</v>
      </c>
      <c r="AN103" s="1">
        <f>SUMIFS(stock[MT],stock[Bucket],scheduleapr[[#This Row],[Bucket]],stock[CTL Bucket],scheduleapr[[#This Row],[CTL Bucket]],stock[Plant],"0789")</f>
        <v>0.29363400000000001</v>
      </c>
      <c r="AO103" s="1"/>
      <c r="AP103" s="1">
        <f>SUMIFS(stock[MT],stock[Bucket],scheduleapr[[#This Row],[Bucket]],stock[LL or CTL],"LL")</f>
        <v>0</v>
      </c>
      <c r="AQ103" s="1">
        <f>+SUMIFS(wip[Stock(Net Wt)],wip[Bucket],scheduleapr[[#This Row],[Bucket]])/1000</f>
        <v>0.24399999999999999</v>
      </c>
      <c r="AR103" s="1">
        <f t="shared" si="4"/>
        <v>2.1754362164160002</v>
      </c>
      <c r="AS103" s="118"/>
    </row>
    <row r="104" spans="1:45" x14ac:dyDescent="0.25">
      <c r="A104" s="30">
        <v>88</v>
      </c>
      <c r="B104" s="5" t="s">
        <v>1816</v>
      </c>
      <c r="C104" s="2" t="s">
        <v>287</v>
      </c>
      <c r="D104" s="2" t="s">
        <v>1910</v>
      </c>
      <c r="E104" s="2">
        <v>940921</v>
      </c>
      <c r="F104" s="2"/>
      <c r="G104" s="2" t="str">
        <f>_xlfn.CONCAT(scheduleapr[[#This Row],[CUSTOMER CODE]],"-",scheduleapr[[#This Row],[MATERIAL NO]])</f>
        <v>940921-</v>
      </c>
      <c r="H104" s="2"/>
      <c r="I104" s="2" t="s">
        <v>962</v>
      </c>
      <c r="J104" s="2"/>
      <c r="K104" s="2" t="s">
        <v>1003</v>
      </c>
      <c r="L104" s="2" t="s">
        <v>239</v>
      </c>
      <c r="M104" s="2"/>
      <c r="N104" s="2" t="s">
        <v>1516</v>
      </c>
      <c r="O104" s="2"/>
      <c r="P104" s="2"/>
      <c r="Q104" s="557" t="str">
        <f>CONCATENATE(scheduleapr[[#This Row],[OD]],"-",scheduleapr[[#This Row],[ID]],"-",scheduleapr[[#This Row],[TICKNESS]],"-",scheduleapr[[#This Row],[Grade]],"-",scheduleapr[[#This Row],[FC/NFC]])</f>
        <v>22.23-0-2-ERW 1-FC</v>
      </c>
      <c r="R104" s="557" t="str">
        <f>_xlfn.CONCAT(scheduleapr[[#This Row],[Bucket]],"-",scheduleapr[[#This Row],[LENGTH]]/1000)</f>
        <v>22.23-0-2-ERW 1-FC-0.706</v>
      </c>
      <c r="S104" s="557" t="e" vm="2">
        <f>COUNTIF([2]!buckets[CTL Bucket],[2]!scheduleapr[[#This Row],[CTL Bucket]])</f>
        <v>#REF!</v>
      </c>
      <c r="T104" s="557"/>
      <c r="U104" s="557"/>
      <c r="V104" s="557"/>
      <c r="W104" s="557"/>
      <c r="X104" s="1">
        <v>22.23</v>
      </c>
      <c r="Y104" s="1">
        <v>22.23</v>
      </c>
      <c r="Z104" s="1">
        <v>0</v>
      </c>
      <c r="AA104" s="1">
        <v>2</v>
      </c>
      <c r="AB104" s="24">
        <v>706</v>
      </c>
      <c r="AC104" s="24" t="s">
        <v>397</v>
      </c>
      <c r="AD104" s="24"/>
      <c r="AE104" s="24"/>
      <c r="AF104" s="24"/>
      <c r="AG104" s="24"/>
      <c r="AH104" s="2" cm="1">
        <f t="array" ref="AH1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4" s="4">
        <f>scheduleapr[[#This Row],[SCHEDULE in nos]]-scheduleapr[[#This Row],[DISPATCH]]</f>
        <v>0</v>
      </c>
      <c r="AJ104" s="1">
        <f>(3.14*(scheduleapr[[#This Row],[ACTUAL OD]]-scheduleapr[[#This Row],[TICKNESS]])*scheduleapr[[#This Row],[TICKNESS]]*scheduleapr[[#This Row],[LENGTH]]*7.85)/1000000*scheduleapr[[#This Row],[SCHEDULE in nos]]/1000</f>
        <v>0</v>
      </c>
      <c r="AK104" s="1">
        <f>(3.14*(scheduleapr[[#This Row],[ACTUAL OD]]-scheduleapr[[#This Row],[TICKNESS]])*scheduleapr[[#This Row],[TICKNESS]]*scheduleapr[[#This Row],[LENGTH]]*7.85)/1000000*scheduleapr[[#This Row],[DISPATCH]]/1000</f>
        <v>0</v>
      </c>
      <c r="AL104" s="1">
        <f t="shared" si="3"/>
        <v>0</v>
      </c>
      <c r="AM104" s="1" t="e">
        <f>scheduleapr[[#This Row],[SCHEDULE in nos]]/scheduleapr[[#This Row],[SCHEDULE IN MT]]*scheduleapr[[#This Row],[CTL Stock]]</f>
        <v>#DIV/0!</v>
      </c>
      <c r="AN104" s="1">
        <f>SUMIFS(stock[MT],stock[Bucket],scheduleapr[[#This Row],[Bucket]],stock[CTL Bucket],scheduleapr[[#This Row],[CTL Bucket]],stock[Plant],"0789")</f>
        <v>0</v>
      </c>
      <c r="AO104" s="1"/>
      <c r="AP104" s="1">
        <f>SUMIFS(stock[MT],stock[Bucket],scheduleapr[[#This Row],[Bucket]],stock[LL or CTL],"LL")</f>
        <v>7.6364609999999988</v>
      </c>
      <c r="AQ104" s="1">
        <f>+SUMIFS(wip[Stock(Net Wt)],wip[Bucket],scheduleapr[[#This Row],[Bucket]])/1000</f>
        <v>2.7130000000000001</v>
      </c>
      <c r="AR104" s="1">
        <f t="shared" si="4"/>
        <v>0</v>
      </c>
      <c r="AS104" s="118"/>
    </row>
    <row r="105" spans="1:45" x14ac:dyDescent="0.25">
      <c r="A105" s="30">
        <v>89</v>
      </c>
      <c r="B105" s="5" t="s">
        <v>1816</v>
      </c>
      <c r="C105" s="2" t="s">
        <v>287</v>
      </c>
      <c r="D105" s="2" t="s">
        <v>1910</v>
      </c>
      <c r="E105" s="2">
        <v>940921</v>
      </c>
      <c r="F105" s="2">
        <v>288719</v>
      </c>
      <c r="G105" s="2" t="str">
        <f>_xlfn.CONCAT(scheduleapr[[#This Row],[CUSTOMER CODE]],"-",scheduleapr[[#This Row],[MATERIAL NO]])</f>
        <v>940921-288719</v>
      </c>
      <c r="H105" s="2" t="s">
        <v>1481</v>
      </c>
      <c r="I105" s="2" t="s">
        <v>962</v>
      </c>
      <c r="J105" s="2"/>
      <c r="K105" s="2" t="s">
        <v>1003</v>
      </c>
      <c r="L105" s="2" t="s">
        <v>239</v>
      </c>
      <c r="M105" s="2"/>
      <c r="N105" s="2"/>
      <c r="O105" s="2"/>
      <c r="P105" s="2"/>
      <c r="Q105" s="557" t="str">
        <f>CONCATENATE(scheduleapr[[#This Row],[OD]],"-",scheduleapr[[#This Row],[ID]],"-",scheduleapr[[#This Row],[TICKNESS]],"-",scheduleapr[[#This Row],[Grade]],"-",scheduleapr[[#This Row],[FC/NFC]])</f>
        <v>22.23-0-2-ERW 1-FC</v>
      </c>
      <c r="R105" s="557" t="str">
        <f>_xlfn.CONCAT(scheduleapr[[#This Row],[Bucket]],"-",scheduleapr[[#This Row],[LENGTH]]/1000)</f>
        <v>22.23-0-2-ERW 1-FC-0.715</v>
      </c>
      <c r="S105" s="557">
        <f>COUNTIF(scheduleapr[CTL Bucket],scheduleapr[[#This Row],[CTL Bucket]])</f>
        <v>1</v>
      </c>
      <c r="T105" s="2" t="s">
        <v>1816</v>
      </c>
      <c r="U105" s="2">
        <f>_xlfn.IFNA(VLOOKUP(scheduleapr[[#This Row],[Bucket]],salesforecast[[#All],[Bucket2]:[8406 Stock]],19,0),0)</f>
        <v>7.6364609999999988</v>
      </c>
      <c r="V105" s="562">
        <f>_xlfn.IFNA(VLOOKUP(scheduleapr[[#This Row],[Bucket]],salesforecast[[#All],[Bucket2]:[8406 Stock]],20,0),0)+_xlfn.IFNA(VLOOKUP(scheduleapr[[#This Row],[Bucket]],salesforecast[[#All],[Bucket2]:[8406 Stock]],17,0),0)</f>
        <v>0</v>
      </c>
      <c r="W105" s="557"/>
      <c r="X105" s="1">
        <v>22.23</v>
      </c>
      <c r="Y105" s="1">
        <v>22.23</v>
      </c>
      <c r="Z105" s="1">
        <v>0</v>
      </c>
      <c r="AA105" s="1">
        <v>2</v>
      </c>
      <c r="AB105" s="24">
        <v>715</v>
      </c>
      <c r="AC105" s="24" t="s">
        <v>397</v>
      </c>
      <c r="AD105" s="24"/>
      <c r="AE105" s="24"/>
      <c r="AF105" s="2">
        <v>24600</v>
      </c>
      <c r="AG105" s="2"/>
      <c r="AH105" s="2" cm="1">
        <f t="array" ref="AH1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4975</v>
      </c>
      <c r="AI105" s="4">
        <f>scheduleapr[[#This Row],[SCHEDULE in nos]]-scheduleapr[[#This Row],[DISPATCH]]</f>
        <v>19625</v>
      </c>
      <c r="AJ105" s="1">
        <f>(3.14*(scheduleapr[[#This Row],[ACTUAL OD]]-scheduleapr[[#This Row],[TICKNESS]])*scheduleapr[[#This Row],[TICKNESS]]*scheduleapr[[#This Row],[LENGTH]]*7.85)/1000000*scheduleapr[[#This Row],[SCHEDULE in nos]]/1000</f>
        <v>17.54148402006</v>
      </c>
      <c r="AK105" s="1">
        <f>(3.14*(scheduleapr[[#This Row],[ACTUAL OD]]-scheduleapr[[#This Row],[TICKNESS]])*scheduleapr[[#This Row],[TICKNESS]]*scheduleapr[[#This Row],[LENGTH]]*7.85)/1000000*scheduleapr[[#This Row],[DISPATCH]]/1000</f>
        <v>3.5475155690975004</v>
      </c>
      <c r="AL105" s="1">
        <f t="shared" si="3"/>
        <v>13.9939684509625</v>
      </c>
      <c r="AM105" s="1">
        <f>scheduleapr[[#This Row],[SCHEDULE in nos]]/scheduleapr[[#This Row],[SCHEDULE IN MT]]*scheduleapr[[#This Row],[CTL Stock]]</f>
        <v>6063.3813808665545</v>
      </c>
      <c r="AN105" s="1">
        <f>SUMIFS(stock[MT],stock[Bucket],scheduleapr[[#This Row],[Bucket]],stock[CTL Bucket],scheduleapr[[#This Row],[CTL Bucket]],stock[Plant],"0789")</f>
        <v>4.3236059999999998</v>
      </c>
      <c r="AO105" s="1"/>
      <c r="AP105" s="1">
        <f>SUMIFS(stock[MT],stock[Bucket],scheduleapr[[#This Row],[Bucket]],stock[LL or CTL],"LL")</f>
        <v>7.6364609999999988</v>
      </c>
      <c r="AQ105" s="1">
        <f>+SUMIFS(wip[Stock(Net Wt)],wip[Bucket],scheduleapr[[#This Row],[Bucket]])/1000</f>
        <v>2.7130000000000001</v>
      </c>
      <c r="AR105" s="1">
        <f t="shared" si="4"/>
        <v>13.217878020060001</v>
      </c>
      <c r="AS105" s="118"/>
    </row>
    <row r="106" spans="1:45" x14ac:dyDescent="0.25">
      <c r="A106" s="556"/>
      <c r="B106" s="5" t="s">
        <v>1816</v>
      </c>
      <c r="C106" s="2" t="s">
        <v>287</v>
      </c>
      <c r="D106" s="2" t="s">
        <v>1910</v>
      </c>
      <c r="E106" s="2">
        <v>940921</v>
      </c>
      <c r="F106" s="557"/>
      <c r="G106" s="2" t="str">
        <f>_xlfn.CONCAT(scheduleapr[[#This Row],[CUSTOMER CODE]],"-",scheduleapr[[#This Row],[MATERIAL NO]])</f>
        <v>940921-</v>
      </c>
      <c r="H106" s="557"/>
      <c r="I106" s="2" t="s">
        <v>962</v>
      </c>
      <c r="J106" s="557"/>
      <c r="K106" s="2" t="s">
        <v>963</v>
      </c>
      <c r="L106" s="2" t="s">
        <v>239</v>
      </c>
      <c r="M106" s="558"/>
      <c r="N106" s="557"/>
      <c r="O106" s="557"/>
      <c r="P106" s="557"/>
      <c r="Q106" s="557" t="str">
        <f>CONCATENATE(scheduleapr[[#This Row],[OD]],"-",scheduleapr[[#This Row],[ID]],"-",scheduleapr[[#This Row],[TICKNESS]],"-",scheduleapr[[#This Row],[Grade]],"-",scheduleapr[[#This Row],[FC/NFC]])</f>
        <v>22.23-0-2-ERW 1-PE</v>
      </c>
      <c r="R106" s="557" t="str">
        <f>_xlfn.CONCAT(scheduleapr[[#This Row],[Bucket]],"-",scheduleapr[[#This Row],[LENGTH]]/1000)</f>
        <v>22.23-0-2-ERW 1-PE-1</v>
      </c>
      <c r="S106" s="557"/>
      <c r="T106" s="2"/>
      <c r="U106" s="2">
        <f>_xlfn.IFNA(VLOOKUP(scheduleapr[[#This Row],[Bucket]],salesforecast[[#All],[Bucket2]:[8406 Stock]],19,0),0)</f>
        <v>5.5039059999999997</v>
      </c>
      <c r="V106" s="562">
        <f>_xlfn.IFNA(VLOOKUP(scheduleapr[[#This Row],[Bucket]],salesforecast[[#All],[Bucket2]:[8406 Stock]],20,0),0)+_xlfn.IFNA(VLOOKUP(scheduleapr[[#This Row],[Bucket]],salesforecast[[#All],[Bucket2]:[8406 Stock]],17,0),0)</f>
        <v>1.0470000000000002</v>
      </c>
      <c r="W106" s="2"/>
      <c r="X106" s="559">
        <v>22.23</v>
      </c>
      <c r="Y106" s="559">
        <v>22.23</v>
      </c>
      <c r="Z106" s="559">
        <v>0</v>
      </c>
      <c r="AA106" s="1">
        <v>2</v>
      </c>
      <c r="AB106" s="24">
        <v>1000</v>
      </c>
      <c r="AC106" s="24" t="s">
        <v>444</v>
      </c>
      <c r="AD106" s="24"/>
      <c r="AE106" s="24"/>
      <c r="AF106" s="557">
        <v>13700</v>
      </c>
      <c r="AG106" s="557"/>
      <c r="AH106" s="2" cm="1">
        <f t="array" ref="AH1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12930.000000000002</v>
      </c>
      <c r="AI106" s="4">
        <f>scheduleapr[[#This Row],[SCHEDULE in nos]]-scheduleapr[[#This Row],[DISPATCH]]</f>
        <v>769.99999999999818</v>
      </c>
      <c r="AJ106" s="559">
        <f>(3.14*(scheduleapr[[#This Row],[ACTUAL OD]]-scheduleapr[[#This Row],[TICKNESS]])*scheduleapr[[#This Row],[TICKNESS]]*scheduleapr[[#This Row],[LENGTH]]*7.85)/1000000*scheduleapr[[#This Row],[SCHEDULE in nos]]/1000</f>
        <v>13.662989998</v>
      </c>
      <c r="AK106" s="1">
        <f>(3.14*(scheduleapr[[#This Row],[ACTUAL OD]]-scheduleapr[[#This Row],[TICKNESS]])*scheduleapr[[#This Row],[TICKNESS]]*scheduleapr[[#This Row],[LENGTH]]*7.85)/1000000*scheduleapr[[#This Row],[DISPATCH]]/1000</f>
        <v>12.895070122200002</v>
      </c>
      <c r="AL106" s="1">
        <f t="shared" si="3"/>
        <v>0.76791987579999876</v>
      </c>
      <c r="AM106" s="559">
        <f>scheduleapr[[#This Row],[SCHEDULE in nos]]/scheduleapr[[#This Row],[SCHEDULE IN MT]]*scheduleapr[[#This Row],[CTL Stock]]</f>
        <v>5153.1620611817998</v>
      </c>
      <c r="AN106" s="1">
        <f>SUMIFS(stock[MT],stock[Bucket],scheduleapr[[#This Row],[Bucket]],stock[CTL Bucket],scheduleapr[[#This Row],[CTL Bucket]],stock[Plant],"0789")</f>
        <v>5.1392410000000002</v>
      </c>
      <c r="AO106" s="1"/>
      <c r="AP106" s="1">
        <f>SUMIFS(stock[MT],stock[Bucket],scheduleapr[[#This Row],[Bucket]],stock[LL or CTL],"LL")</f>
        <v>11.690147</v>
      </c>
      <c r="AQ106" s="1">
        <f>+SUMIFS(wip[Stock(Net Wt)],wip[Bucket],scheduleapr[[#This Row],[Bucket]])/1000</f>
        <v>1.629</v>
      </c>
      <c r="AR106" s="1">
        <f t="shared" si="4"/>
        <v>8.5237489980000003</v>
      </c>
      <c r="AS106" s="118"/>
    </row>
    <row r="107" spans="1:45" x14ac:dyDescent="0.25">
      <c r="A107" s="556"/>
      <c r="B107" s="5" t="s">
        <v>1816</v>
      </c>
      <c r="C107" s="2" t="s">
        <v>287</v>
      </c>
      <c r="D107" s="2" t="s">
        <v>1910</v>
      </c>
      <c r="E107" s="2">
        <v>940921</v>
      </c>
      <c r="F107" s="477">
        <v>2404326</v>
      </c>
      <c r="G107" s="2" t="str">
        <f>_xlfn.CONCAT(scheduleapr[[#This Row],[CUSTOMER CODE]],"-",scheduleapr[[#This Row],[MATERIAL NO]])</f>
        <v>940921-2404326</v>
      </c>
      <c r="H107" s="477" t="s">
        <v>1912</v>
      </c>
      <c r="I107" s="2" t="s">
        <v>962</v>
      </c>
      <c r="J107" s="557"/>
      <c r="K107" s="2" t="s">
        <v>1003</v>
      </c>
      <c r="L107" s="2" t="s">
        <v>239</v>
      </c>
      <c r="M107" s="558"/>
      <c r="N107" s="557"/>
      <c r="O107" s="557"/>
      <c r="P107" s="557"/>
      <c r="Q107" s="557" t="str">
        <f>CONCATENATE(scheduleapr[[#This Row],[OD]],"-",scheduleapr[[#This Row],[ID]],"-",scheduleapr[[#This Row],[TICKNESS]],"-",scheduleapr[[#This Row],[Grade]],"-",scheduleapr[[#This Row],[FC/NFC]])</f>
        <v>22.23-0-2-ERW 1-FC</v>
      </c>
      <c r="R107" s="557" t="str">
        <f>_xlfn.CONCAT(scheduleapr[[#This Row],[Bucket]],"-",scheduleapr[[#This Row],[LENGTH]]/1000)</f>
        <v>22.23-0-2-ERW 1-FC-1</v>
      </c>
      <c r="S107" s="557">
        <f>COUNTIF(scheduleapr[CTL Bucket],scheduleapr[[#This Row],[CTL Bucket]])</f>
        <v>2</v>
      </c>
      <c r="T107" s="2" t="s">
        <v>1816</v>
      </c>
      <c r="U107" s="2" t="s">
        <v>1913</v>
      </c>
      <c r="V107" s="2"/>
      <c r="W107" s="2"/>
      <c r="X107" s="559">
        <v>22.23</v>
      </c>
      <c r="Y107" s="559">
        <v>22.23</v>
      </c>
      <c r="Z107" s="1">
        <v>0</v>
      </c>
      <c r="AA107" s="1">
        <v>2</v>
      </c>
      <c r="AB107" s="24">
        <v>1000</v>
      </c>
      <c r="AC107" s="24" t="s">
        <v>444</v>
      </c>
      <c r="AD107" s="24"/>
      <c r="AE107" s="24"/>
      <c r="AF107" s="557"/>
      <c r="AG107" s="557"/>
      <c r="AH107" s="2" cm="1">
        <f t="array" ref="AH1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7" s="4">
        <f>scheduleapr[[#This Row],[SCHEDULE in nos]]-scheduleapr[[#This Row],[DISPATCH]]</f>
        <v>0</v>
      </c>
      <c r="AJ107" s="559">
        <f>(3.14*(scheduleapr[[#This Row],[ACTUAL OD]]-scheduleapr[[#This Row],[TICKNESS]])*scheduleapr[[#This Row],[TICKNESS]]*scheduleapr[[#This Row],[LENGTH]]*7.85)/1000000*scheduleapr[[#This Row],[SCHEDULE in nos]]/1000</f>
        <v>0</v>
      </c>
      <c r="AK107" s="1">
        <f>(3.14*(scheduleapr[[#This Row],[ACTUAL OD]]-scheduleapr[[#This Row],[TICKNESS]])*scheduleapr[[#This Row],[TICKNESS]]*scheduleapr[[#This Row],[LENGTH]]*7.85)/1000000*scheduleapr[[#This Row],[DISPATCH]]/1000</f>
        <v>0</v>
      </c>
      <c r="AL107" s="1">
        <f t="shared" si="3"/>
        <v>0</v>
      </c>
      <c r="AM107" s="559" t="e">
        <f>scheduleapr[[#This Row],[SCHEDULE in nos]]/scheduleapr[[#This Row],[SCHEDULE IN MT]]*scheduleapr[[#This Row],[CTL Stock]]</f>
        <v>#DIV/0!</v>
      </c>
      <c r="AN107" s="1">
        <f>SUMIFS(stock[MT],stock[Bucket],scheduleapr[[#This Row],[Bucket]],stock[CTL Bucket],scheduleapr[[#This Row],[CTL Bucket]],stock[Plant],"0789")</f>
        <v>0</v>
      </c>
      <c r="AO107" s="1"/>
      <c r="AP107" s="1">
        <f>SUMIFS(stock[MT],stock[Bucket],scheduleapr[[#This Row],[Bucket]],stock[LL or CTL],"LL")</f>
        <v>7.6364609999999988</v>
      </c>
      <c r="AQ107" s="1">
        <f>+SUMIFS(wip[Stock(Net Wt)],wip[Bucket],scheduleapr[[#This Row],[Bucket]])/1000</f>
        <v>2.7130000000000001</v>
      </c>
      <c r="AR107" s="1">
        <f t="shared" si="4"/>
        <v>0</v>
      </c>
      <c r="AS107" s="118"/>
    </row>
    <row r="108" spans="1:45" x14ac:dyDescent="0.25">
      <c r="A108" s="556"/>
      <c r="B108" s="5" t="s">
        <v>1816</v>
      </c>
      <c r="C108" s="2" t="s">
        <v>287</v>
      </c>
      <c r="D108" s="2" t="s">
        <v>1910</v>
      </c>
      <c r="E108" s="2">
        <v>940921</v>
      </c>
      <c r="F108" s="557"/>
      <c r="G108" s="2" t="str">
        <f>_xlfn.CONCAT(scheduleapr[[#This Row],[CUSTOMER CODE]],"-",scheduleapr[[#This Row],[MATERIAL NO]])</f>
        <v>940921-</v>
      </c>
      <c r="H108" s="557"/>
      <c r="I108" s="2" t="s">
        <v>962</v>
      </c>
      <c r="J108" s="557"/>
      <c r="K108" s="2" t="s">
        <v>1003</v>
      </c>
      <c r="L108" s="2" t="s">
        <v>239</v>
      </c>
      <c r="M108" s="558"/>
      <c r="N108" s="557"/>
      <c r="O108" s="557"/>
      <c r="P108" s="557"/>
      <c r="Q108" s="557" t="str">
        <f>CONCATENATE(scheduleapr[[#This Row],[OD]],"-",scheduleapr[[#This Row],[ID]],"-",scheduleapr[[#This Row],[TICKNESS]],"-",scheduleapr[[#This Row],[Grade]],"-",scheduleapr[[#This Row],[FC/NFC]])</f>
        <v>25.4-0-2-ERW 1-FC</v>
      </c>
      <c r="R108" s="557" t="str">
        <f>_xlfn.CONCAT(scheduleapr[[#This Row],[Bucket]],"-",scheduleapr[[#This Row],[LENGTH]]/1000)</f>
        <v>25.4-0-2-ERW 1-FC-0.35</v>
      </c>
      <c r="S108" s="557">
        <f>COUNTIF(scheduleapr[CTL Bucket],scheduleapr[[#This Row],[CTL Bucket]])</f>
        <v>1</v>
      </c>
      <c r="T108" s="2" t="s">
        <v>1816</v>
      </c>
      <c r="U108" s="2">
        <f>_xlfn.IFNA(VLOOKUP(scheduleapr[[#This Row],[Bucket]],salesforecast[[#All],[Bucket2]:[8406 Stock]],19,0),0)</f>
        <v>10.051000000000002</v>
      </c>
      <c r="V108" s="562">
        <f>_xlfn.IFNA(VLOOKUP(scheduleapr[[#This Row],[Bucket]],salesforecast[[#All],[Bucket2]:[8406 Stock]],20,0),0)+_xlfn.IFNA(VLOOKUP(scheduleapr[[#This Row],[Bucket]],salesforecast[[#All],[Bucket2]:[8406 Stock]],17,0),0)</f>
        <v>1.529582</v>
      </c>
      <c r="W108" s="2"/>
      <c r="X108" s="559">
        <v>25.4</v>
      </c>
      <c r="Y108" s="559">
        <v>25.4</v>
      </c>
      <c r="Z108" s="1">
        <v>0</v>
      </c>
      <c r="AA108" s="1">
        <v>2</v>
      </c>
      <c r="AB108" s="24">
        <v>350</v>
      </c>
      <c r="AC108" s="24" t="s">
        <v>397</v>
      </c>
      <c r="AD108" s="24"/>
      <c r="AE108" s="24"/>
      <c r="AF108" s="557">
        <v>10400</v>
      </c>
      <c r="AG108" s="557"/>
      <c r="AH108" s="2" cm="1">
        <f t="array" ref="AH1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15425</v>
      </c>
      <c r="AI108" s="4">
        <f>scheduleapr[[#This Row],[SCHEDULE in nos]]-scheduleapr[[#This Row],[DISPATCH]]</f>
        <v>-5025</v>
      </c>
      <c r="AJ108" s="559">
        <f>(3.14*(scheduleapr[[#This Row],[ACTUAL OD]]-scheduleapr[[#This Row],[TICKNESS]])*scheduleapr[[#This Row],[TICKNESS]]*scheduleapr[[#This Row],[LENGTH]]*7.85)/1000000*scheduleapr[[#This Row],[SCHEDULE in nos]]/1000</f>
        <v>4.1990064479999996</v>
      </c>
      <c r="AK108" s="1">
        <f>(3.14*(scheduleapr[[#This Row],[ACTUAL OD]]-scheduleapr[[#This Row],[TICKNESS]])*scheduleapr[[#This Row],[TICKNESS]]*scheduleapr[[#This Row],[LENGTH]]*7.85)/1000000*scheduleapr[[#This Row],[DISPATCH]]/1000</f>
        <v>6.2278533134999989</v>
      </c>
      <c r="AL108" s="1">
        <f t="shared" si="3"/>
        <v>-2.0288468654999994</v>
      </c>
      <c r="AM108" s="559">
        <f>scheduleapr[[#This Row],[SCHEDULE in nos]]/scheduleapr[[#This Row],[SCHEDULE IN MT]]*scheduleapr[[#This Row],[CTL Stock]]</f>
        <v>318.78588818018414</v>
      </c>
      <c r="AN108" s="1">
        <f>SUMIFS(stock[MT],stock[Bucket],scheduleapr[[#This Row],[Bucket]],stock[CTL Bucket],scheduleapr[[#This Row],[CTL Bucket]],stock[Plant],"0789")</f>
        <v>0.12871000000000002</v>
      </c>
      <c r="AO108" s="1"/>
      <c r="AP108" s="1">
        <f>SUMIFS(stock[MT],stock[Bucket],scheduleapr[[#This Row],[Bucket]],stock[LL or CTL],"LL")</f>
        <v>10.738999999999999</v>
      </c>
      <c r="AQ108" s="1">
        <f>+SUMIFS(wip[Stock(Net Wt)],wip[Bucket],scheduleapr[[#This Row],[Bucket]])/1000</f>
        <v>25.931000000000001</v>
      </c>
      <c r="AR108" s="1">
        <f t="shared" si="4"/>
        <v>4.0702964479999997</v>
      </c>
      <c r="AS108" s="118"/>
    </row>
    <row r="109" spans="1:45" x14ac:dyDescent="0.25">
      <c r="A109" s="556"/>
      <c r="B109" s="5" t="s">
        <v>1816</v>
      </c>
      <c r="C109" s="2" t="s">
        <v>287</v>
      </c>
      <c r="D109" s="2" t="s">
        <v>1910</v>
      </c>
      <c r="E109" s="2">
        <v>940921</v>
      </c>
      <c r="F109" s="557"/>
      <c r="G109" s="2" t="str">
        <f>_xlfn.CONCAT(scheduleapr[[#This Row],[CUSTOMER CODE]],"-",scheduleapr[[#This Row],[MATERIAL NO]])</f>
        <v>940921-</v>
      </c>
      <c r="H109" s="557"/>
      <c r="I109" s="2" t="s">
        <v>962</v>
      </c>
      <c r="J109" s="557"/>
      <c r="K109" s="2" t="s">
        <v>1003</v>
      </c>
      <c r="L109" s="557"/>
      <c r="M109" s="558"/>
      <c r="N109" s="557"/>
      <c r="O109" s="557"/>
      <c r="P109" s="557"/>
      <c r="Q109" s="557"/>
      <c r="R109" s="557"/>
      <c r="S109" s="557"/>
      <c r="T109" s="2"/>
      <c r="U109" s="2">
        <f>_xlfn.IFNA(VLOOKUP(scheduleapr[[#This Row],[Bucket]],salesforecast[[#All],[Bucket2]:[8406 Stock]],19,0),0)</f>
        <v>0</v>
      </c>
      <c r="V109" s="2"/>
      <c r="W109" s="2"/>
      <c r="X109" s="559">
        <v>31.75</v>
      </c>
      <c r="Y109" s="559">
        <v>31.75</v>
      </c>
      <c r="Z109" s="559">
        <v>0</v>
      </c>
      <c r="AA109" s="559">
        <v>2.5</v>
      </c>
      <c r="AB109" s="24">
        <v>193</v>
      </c>
      <c r="AC109" s="81" t="s">
        <v>397</v>
      </c>
      <c r="AD109" s="24"/>
      <c r="AE109" s="24"/>
      <c r="AF109" s="557">
        <v>24450</v>
      </c>
      <c r="AG109" s="557"/>
      <c r="AH109" s="2" cm="1">
        <f t="array" ref="AH1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9" s="560">
        <f>scheduleapr[[#This Row],[SCHEDULE in nos]]-scheduleapr[[#This Row],[DISPATCH]]</f>
        <v>24450</v>
      </c>
      <c r="AJ109" s="559">
        <f>(3.14*(scheduleapr[[#This Row],[ACTUAL OD]]-scheduleapr[[#This Row],[TICKNESS]])*scheduleapr[[#This Row],[TICKNESS]]*scheduleapr[[#This Row],[LENGTH]]*7.85)/1000000*scheduleapr[[#This Row],[SCHEDULE in nos]]/1000</f>
        <v>8.5055295231562482</v>
      </c>
      <c r="AK109" s="1">
        <f>(3.14*(scheduleapr[[#This Row],[ACTUAL OD]]-scheduleapr[[#This Row],[TICKNESS]])*scheduleapr[[#This Row],[TICKNESS]]*scheduleapr[[#This Row],[LENGTH]]*7.85)/1000000*scheduleapr[[#This Row],[DISPATCH]]/1000</f>
        <v>0</v>
      </c>
      <c r="AL109" s="1">
        <f t="shared" si="3"/>
        <v>8.5055295231562482</v>
      </c>
      <c r="AM109" s="559">
        <f>scheduleapr[[#This Row],[SCHEDULE in nos]]/scheduleapr[[#This Row],[SCHEDULE IN MT]]*scheduleapr[[#This Row],[CTL Stock]]</f>
        <v>0</v>
      </c>
      <c r="AN109" s="1">
        <f>SUMIFS(stock[MT],stock[Bucket],scheduleapr[[#This Row],[Bucket]],stock[CTL Bucket],scheduleapr[[#This Row],[CTL Bucket]],stock[Plant],"0789")</f>
        <v>0</v>
      </c>
      <c r="AO109" s="1"/>
      <c r="AP109" s="1">
        <f>SUMIFS(stock[MT],stock[Bucket],scheduleapr[[#This Row],[Bucket]],stock[LL or CTL],"LL")</f>
        <v>0</v>
      </c>
      <c r="AQ109" s="1">
        <f>+SUMIFS(wip[Stock(Net Wt)],wip[Bucket],scheduleapr[[#This Row],[Bucket]])/1000</f>
        <v>0</v>
      </c>
      <c r="AR109" s="1">
        <f t="shared" si="4"/>
        <v>8.5055295231562482</v>
      </c>
      <c r="AS109" s="118"/>
    </row>
    <row r="110" spans="1:45" x14ac:dyDescent="0.25">
      <c r="A110" s="30">
        <v>90</v>
      </c>
      <c r="B110" s="5" t="s">
        <v>1816</v>
      </c>
      <c r="C110" s="2" t="s">
        <v>287</v>
      </c>
      <c r="D110" s="2" t="s">
        <v>1910</v>
      </c>
      <c r="E110" s="2">
        <v>940921</v>
      </c>
      <c r="F110" s="2">
        <v>1155165</v>
      </c>
      <c r="G110" s="2" t="str">
        <f>_xlfn.CONCAT(scheduleapr[[#This Row],[CUSTOMER CODE]],"-",scheduleapr[[#This Row],[MATERIAL NO]])</f>
        <v>940921-1155165</v>
      </c>
      <c r="H110" s="2" t="s">
        <v>1627</v>
      </c>
      <c r="I110" s="2" t="s">
        <v>962</v>
      </c>
      <c r="J110" s="2"/>
      <c r="K110" s="2" t="s">
        <v>1003</v>
      </c>
      <c r="L110" s="2" t="s">
        <v>1867</v>
      </c>
      <c r="M110" s="44" t="s">
        <v>1914</v>
      </c>
      <c r="N110" s="2"/>
      <c r="O110" s="2"/>
      <c r="P110" s="2"/>
      <c r="Q110" s="557" t="str">
        <f>CONCATENATE(scheduleapr[[#This Row],[OD]],"-",scheduleapr[[#This Row],[ID]],"-",scheduleapr[[#This Row],[TICKNESS]],"-",scheduleapr[[#This Row],[Grade]],"-",scheduleapr[[#This Row],[FC/NFC]])</f>
        <v>34.93-0-1.6-ERW 1-FC</v>
      </c>
      <c r="R110" s="557" t="str">
        <f>_xlfn.CONCAT(scheduleapr[[#This Row],[Bucket]],"-",scheduleapr[[#This Row],[LENGTH]]/1000)</f>
        <v>34.93-0-1.6-ERW 1-FC-1.726</v>
      </c>
      <c r="S110" s="557">
        <f>COUNTIF(scheduleapr[CTL Bucket],scheduleapr[[#This Row],[CTL Bucket]])</f>
        <v>2</v>
      </c>
      <c r="T110" s="2" t="s">
        <v>1816</v>
      </c>
      <c r="U110" s="2">
        <f>_xlfn.IFNA(VLOOKUP(scheduleapr[[#This Row],[Bucket]],salesforecast[[#All],[Bucket2]:[8406 Stock]],19,0),0)</f>
        <v>0</v>
      </c>
      <c r="V110" s="562">
        <f>_xlfn.IFNA(VLOOKUP(scheduleapr[[#This Row],[Bucket]],salesforecast[[#All],[Bucket2]:[8406 Stock]],20,0),0)+_xlfn.IFNA(VLOOKUP(scheduleapr[[#This Row],[Bucket]],salesforecast[[#All],[Bucket2]:[8406 Stock]],17,0),0)</f>
        <v>0</v>
      </c>
      <c r="W110" s="557"/>
      <c r="X110" s="1">
        <v>34.93</v>
      </c>
      <c r="Y110" s="1">
        <v>34.93</v>
      </c>
      <c r="Z110" s="1">
        <v>0</v>
      </c>
      <c r="AA110" s="1">
        <v>1.6</v>
      </c>
      <c r="AB110" s="24">
        <v>1726</v>
      </c>
      <c r="AC110" s="24" t="s">
        <v>397</v>
      </c>
      <c r="AD110" s="24"/>
      <c r="AE110" s="24"/>
      <c r="AF110" s="2">
        <v>2800</v>
      </c>
      <c r="AG110" s="2"/>
      <c r="AH110" s="2" cm="1">
        <f t="array" ref="AH1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1590</v>
      </c>
      <c r="AI110" s="4">
        <f>scheduleapr[[#This Row],[SCHEDULE in nos]]-scheduleapr[[#This Row],[DISPATCH]]</f>
        <v>1210</v>
      </c>
      <c r="AJ110" s="1">
        <f>(3.14*(scheduleapr[[#This Row],[ACTUAL OD]]-scheduleapr[[#This Row],[TICKNESS]])*scheduleapr[[#This Row],[TICKNESS]]*scheduleapr[[#This Row],[LENGTH]]*7.85)/1000000*scheduleapr[[#This Row],[SCHEDULE in nos]]/1000</f>
        <v>6.352627991001599</v>
      </c>
      <c r="AK110" s="1">
        <f>(3.14*(scheduleapr[[#This Row],[ACTUAL OD]]-scheduleapr[[#This Row],[TICKNESS]])*scheduleapr[[#This Row],[TICKNESS]]*scheduleapr[[#This Row],[LENGTH]]*7.85)/1000000*scheduleapr[[#This Row],[DISPATCH]]/1000</f>
        <v>3.6073851806044801</v>
      </c>
      <c r="AL110" s="1">
        <f t="shared" si="3"/>
        <v>2.7452428103971189</v>
      </c>
      <c r="AM110" s="1">
        <f>scheduleapr[[#This Row],[SCHEDULE in nos]]/scheduleapr[[#This Row],[SCHEDULE IN MT]]*scheduleapr[[#This Row],[CTL Stock]]</f>
        <v>903.83104569211901</v>
      </c>
      <c r="AN110" s="1">
        <f>SUMIFS(stock[MT],stock[Bucket],scheduleapr[[#This Row],[Bucket]],stock[CTL Bucket],scheduleapr[[#This Row],[CTL Bucket]],stock[Plant],"0789")</f>
        <v>2.050608</v>
      </c>
      <c r="AO110" s="1"/>
      <c r="AP110" s="1">
        <f>SUMIFS(stock[MT],stock[Bucket],scheduleapr[[#This Row],[Bucket]],stock[LL or CTL],"LL")</f>
        <v>0</v>
      </c>
      <c r="AQ110" s="1">
        <f>+SUMIFS(wip[Stock(Net Wt)],wip[Bucket],scheduleapr[[#This Row],[Bucket]])/1000</f>
        <v>0</v>
      </c>
      <c r="AR110" s="1">
        <f t="shared" si="4"/>
        <v>4.3020199910015986</v>
      </c>
      <c r="AS110" s="118"/>
    </row>
    <row r="111" spans="1:45" x14ac:dyDescent="0.25">
      <c r="A111" s="30">
        <v>91</v>
      </c>
      <c r="B111" s="5" t="s">
        <v>1816</v>
      </c>
      <c r="C111" s="2" t="s">
        <v>287</v>
      </c>
      <c r="D111" s="2" t="s">
        <v>1910</v>
      </c>
      <c r="E111" s="2">
        <v>940921</v>
      </c>
      <c r="F111" s="2">
        <v>1940718</v>
      </c>
      <c r="G111" s="2" t="str">
        <f>_xlfn.CONCAT(scheduleapr[[#This Row],[CUSTOMER CODE]],"-",scheduleapr[[#This Row],[MATERIAL NO]])</f>
        <v>940921-1940718</v>
      </c>
      <c r="H111" s="2" t="s">
        <v>1631</v>
      </c>
      <c r="I111" s="2" t="s">
        <v>962</v>
      </c>
      <c r="J111" s="2"/>
      <c r="K111" s="2" t="s">
        <v>1003</v>
      </c>
      <c r="L111" s="2" t="s">
        <v>239</v>
      </c>
      <c r="M111" s="2"/>
      <c r="N111" s="2"/>
      <c r="O111" s="2"/>
      <c r="P111" s="2"/>
      <c r="Q111" s="557" t="str">
        <f>CONCATENATE(scheduleapr[[#This Row],[OD]],"-",scheduleapr[[#This Row],[ID]],"-",scheduleapr[[#This Row],[TICKNESS]],"-",scheduleapr[[#This Row],[Grade]],"-",scheduleapr[[#This Row],[FC/NFC]])</f>
        <v>34.93-0-2.6-ERW 1-FC</v>
      </c>
      <c r="R111" s="557" t="str">
        <f>_xlfn.CONCAT(scheduleapr[[#This Row],[Bucket]],"-",scheduleapr[[#This Row],[LENGTH]]/1000)</f>
        <v>34.93-0-2.6-ERW 1-FC-1.721</v>
      </c>
      <c r="S111" s="557">
        <f>COUNTIF(scheduleapr[CTL Bucket],scheduleapr[[#This Row],[CTL Bucket]])</f>
        <v>1</v>
      </c>
      <c r="T111" s="2" t="s">
        <v>1816</v>
      </c>
      <c r="U111" s="2">
        <f>_xlfn.IFNA(VLOOKUP(scheduleapr[[#This Row],[Bucket]],salesforecast[[#All],[Bucket2]:[8406 Stock]],19,0),0)</f>
        <v>0.75900000000000001</v>
      </c>
      <c r="V111" s="562">
        <f>_xlfn.IFNA(VLOOKUP(scheduleapr[[#This Row],[Bucket]],salesforecast[[#All],[Bucket2]:[8406 Stock]],20,0),0)+_xlfn.IFNA(VLOOKUP(scheduleapr[[#This Row],[Bucket]],salesforecast[[#All],[Bucket2]:[8406 Stock]],17,0),0)</f>
        <v>0</v>
      </c>
      <c r="W111" s="557"/>
      <c r="X111" s="1">
        <v>34.93</v>
      </c>
      <c r="Y111" s="1">
        <v>34.93</v>
      </c>
      <c r="Z111" s="1">
        <v>0</v>
      </c>
      <c r="AA111" s="1">
        <v>2.6</v>
      </c>
      <c r="AB111" s="24">
        <v>1721</v>
      </c>
      <c r="AC111" s="24" t="s">
        <v>397</v>
      </c>
      <c r="AD111" s="24"/>
      <c r="AE111" s="24"/>
      <c r="AF111" s="2">
        <v>3000</v>
      </c>
      <c r="AG111" s="2"/>
      <c r="AH111" s="2" cm="1">
        <f t="array" ref="AH1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3000</v>
      </c>
      <c r="AI111" s="4">
        <f>scheduleapr[[#This Row],[SCHEDULE in nos]]-scheduleapr[[#This Row],[DISPATCH]]</f>
        <v>0</v>
      </c>
      <c r="AJ111" s="1">
        <f>(3.14*(scheduleapr[[#This Row],[ACTUAL OD]]-scheduleapr[[#This Row],[TICKNESS]])*scheduleapr[[#This Row],[TICKNESS]]*scheduleapr[[#This Row],[LENGTH]]*7.85)/1000000*scheduleapr[[#This Row],[SCHEDULE in nos]]/1000</f>
        <v>10.697455349645999</v>
      </c>
      <c r="AK111" s="1">
        <f>(3.14*(scheduleapr[[#This Row],[ACTUAL OD]]-scheduleapr[[#This Row],[TICKNESS]])*scheduleapr[[#This Row],[TICKNESS]]*scheduleapr[[#This Row],[LENGTH]]*7.85)/1000000*scheduleapr[[#This Row],[DISPATCH]]/1000</f>
        <v>10.697455349645999</v>
      </c>
      <c r="AL111" s="1">
        <f t="shared" si="3"/>
        <v>0</v>
      </c>
      <c r="AM111" s="1">
        <f>scheduleapr[[#This Row],[SCHEDULE in nos]]/scheduleapr[[#This Row],[SCHEDULE IN MT]]*scheduleapr[[#This Row],[CTL Stock]]</f>
        <v>1703.0345446221359</v>
      </c>
      <c r="AN111" s="1">
        <f>SUMIFS(stock[MT],stock[Bucket],scheduleapr[[#This Row],[Bucket]],stock[CTL Bucket],scheduleapr[[#This Row],[CTL Bucket]],stock[Plant],"0789")</f>
        <v>6.072712000000001</v>
      </c>
      <c r="AO111" s="1"/>
      <c r="AP111" s="1">
        <f>SUMIFS(stock[MT],stock[Bucket],scheduleapr[[#This Row],[Bucket]],stock[LL or CTL],"LL")</f>
        <v>0.75900000000000001</v>
      </c>
      <c r="AQ111" s="1">
        <f>+SUMIFS(wip[Stock(Net Wt)],wip[Bucket],scheduleapr[[#This Row],[Bucket]])/1000</f>
        <v>0</v>
      </c>
      <c r="AR111" s="1">
        <f t="shared" si="4"/>
        <v>4.624743349645998</v>
      </c>
      <c r="AS111" s="118"/>
    </row>
    <row r="112" spans="1:45" x14ac:dyDescent="0.25">
      <c r="A112" s="556"/>
      <c r="B112" s="5" t="s">
        <v>1816</v>
      </c>
      <c r="C112" s="2" t="s">
        <v>287</v>
      </c>
      <c r="D112" s="2" t="s">
        <v>1910</v>
      </c>
      <c r="E112" s="2">
        <v>940921</v>
      </c>
      <c r="F112" s="557"/>
      <c r="G112" s="2" t="str">
        <f>_xlfn.CONCAT(scheduleapr[[#This Row],[CUSTOMER CODE]],"-",scheduleapr[[#This Row],[MATERIAL NO]])</f>
        <v>940921-</v>
      </c>
      <c r="H112" s="557"/>
      <c r="I112" s="2" t="s">
        <v>962</v>
      </c>
      <c r="J112" s="557"/>
      <c r="K112" s="2" t="s">
        <v>1003</v>
      </c>
      <c r="L112" s="557"/>
      <c r="M112" s="558"/>
      <c r="N112" s="557"/>
      <c r="O112" s="557"/>
      <c r="P112" s="557"/>
      <c r="Q112" s="557"/>
      <c r="R112" s="557"/>
      <c r="S112" s="557"/>
      <c r="T112" s="2"/>
      <c r="U112" s="2">
        <f>_xlfn.IFNA(VLOOKUP(scheduleapr[[#This Row],[Bucket]],salesforecast[[#All],[Bucket2]:[8406 Stock]],19,0),0)</f>
        <v>0</v>
      </c>
      <c r="V112" s="2"/>
      <c r="W112" s="2"/>
      <c r="X112" s="559">
        <v>44.45</v>
      </c>
      <c r="Y112" s="559">
        <v>40</v>
      </c>
      <c r="Z112" s="559">
        <v>30</v>
      </c>
      <c r="AA112" s="559">
        <v>1.6</v>
      </c>
      <c r="AB112" s="24">
        <v>264</v>
      </c>
      <c r="AC112" s="81" t="s">
        <v>397</v>
      </c>
      <c r="AD112" s="24"/>
      <c r="AE112" s="24"/>
      <c r="AF112" s="557"/>
      <c r="AG112" s="557"/>
      <c r="AH112" s="2" cm="1">
        <f t="array" ref="AH1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2" s="560">
        <f>scheduleapr[[#This Row],[SCHEDULE in nos]]-scheduleapr[[#This Row],[DISPATCH]]</f>
        <v>0</v>
      </c>
      <c r="AJ112" s="559">
        <f>(3.14*(scheduleapr[[#This Row],[ACTUAL OD]]-scheduleapr[[#This Row],[TICKNESS]])*scheduleapr[[#This Row],[TICKNESS]]*scheduleapr[[#This Row],[LENGTH]]*7.85)/1000000*scheduleapr[[#This Row],[SCHEDULE in nos]]/1000</f>
        <v>0</v>
      </c>
      <c r="AK112" s="1">
        <f>(3.14*(scheduleapr[[#This Row],[ACTUAL OD]]-scheduleapr[[#This Row],[TICKNESS]])*scheduleapr[[#This Row],[TICKNESS]]*scheduleapr[[#This Row],[LENGTH]]*7.85)/1000000*scheduleapr[[#This Row],[DISPATCH]]/1000</f>
        <v>0</v>
      </c>
      <c r="AL112" s="1">
        <f t="shared" si="3"/>
        <v>0</v>
      </c>
      <c r="AM112" s="559" t="e">
        <f>scheduleapr[[#This Row],[SCHEDULE in nos]]/scheduleapr[[#This Row],[SCHEDULE IN MT]]*scheduleapr[[#This Row],[CTL Stock]]</f>
        <v>#DIV/0!</v>
      </c>
      <c r="AN112" s="1">
        <f>SUMIFS(stock[MT],stock[Bucket],scheduleapr[[#This Row],[Bucket]],stock[CTL Bucket],scheduleapr[[#This Row],[CTL Bucket]],stock[Plant],"0789")</f>
        <v>0</v>
      </c>
      <c r="AO112" s="1"/>
      <c r="AP112" s="1">
        <f>SUMIFS(stock[MT],stock[Bucket],scheduleapr[[#This Row],[Bucket]],stock[LL or CTL],"LL")</f>
        <v>0</v>
      </c>
      <c r="AQ112" s="1">
        <f>+SUMIFS(wip[Stock(Net Wt)],wip[Bucket],scheduleapr[[#This Row],[Bucket]])/1000</f>
        <v>0</v>
      </c>
      <c r="AR112" s="1">
        <f t="shared" si="4"/>
        <v>0</v>
      </c>
      <c r="AS112" s="118"/>
    </row>
    <row r="113" spans="1:45" x14ac:dyDescent="0.25">
      <c r="A113" s="556"/>
      <c r="B113" s="5" t="s">
        <v>1816</v>
      </c>
      <c r="C113" s="2" t="s">
        <v>287</v>
      </c>
      <c r="D113" s="2" t="s">
        <v>1910</v>
      </c>
      <c r="E113" s="2">
        <v>940921</v>
      </c>
      <c r="F113" s="557"/>
      <c r="G113" s="2" t="str">
        <f>_xlfn.CONCAT(scheduleapr[[#This Row],[CUSTOMER CODE]],"-",scheduleapr[[#This Row],[MATERIAL NO]])</f>
        <v>940921-</v>
      </c>
      <c r="H113" s="557"/>
      <c r="I113" s="2" t="s">
        <v>962</v>
      </c>
      <c r="J113" s="557"/>
      <c r="K113" s="2" t="s">
        <v>1003</v>
      </c>
      <c r="L113" s="557"/>
      <c r="M113" s="558"/>
      <c r="N113" s="557"/>
      <c r="O113" s="2" t="s">
        <v>1895</v>
      </c>
      <c r="P113" s="557"/>
      <c r="Q113" s="557" t="str">
        <f>CONCATENATE(scheduleapr[[#This Row],[OD]],"-",scheduleapr[[#This Row],[ID]],"-",scheduleapr[[#This Row],[TICKNESS]],"-",scheduleapr[[#This Row],[Grade]],"-",scheduleapr[[#This Row],[FC/NFC]])</f>
        <v>40-30-2-ERW 1-FC</v>
      </c>
      <c r="R113" s="557" t="str">
        <f>_xlfn.CONCAT(scheduleapr[[#This Row],[Bucket]],"-",scheduleapr[[#This Row],[LENGTH]]/1000)</f>
        <v>40-30-2-ERW 1-FC-0.149</v>
      </c>
      <c r="S113" s="557"/>
      <c r="T113" s="2"/>
      <c r="U113" s="2">
        <f>_xlfn.IFNA(VLOOKUP(scheduleapr[[#This Row],[Bucket]],salesforecast[[#All],[Bucket2]:[8406 Stock]],19,0),0)</f>
        <v>0</v>
      </c>
      <c r="V113" s="562">
        <f>_xlfn.IFNA(VLOOKUP(scheduleapr[[#This Row],[Bucket]],salesforecast[[#All],[Bucket2]:[8406 Stock]],20,0),0)+_xlfn.IFNA(VLOOKUP(scheduleapr[[#This Row],[Bucket]],salesforecast[[#All],[Bucket2]:[8406 Stock]],17,0),0)</f>
        <v>0</v>
      </c>
      <c r="W113" s="2"/>
      <c r="X113" s="559">
        <v>44.45</v>
      </c>
      <c r="Y113" s="559">
        <v>40</v>
      </c>
      <c r="Z113" s="559">
        <v>30</v>
      </c>
      <c r="AA113" s="1">
        <v>2</v>
      </c>
      <c r="AB113" s="24">
        <v>149</v>
      </c>
      <c r="AC113" s="24" t="s">
        <v>397</v>
      </c>
      <c r="AD113" s="24"/>
      <c r="AE113" s="24"/>
      <c r="AF113" s="557">
        <v>25750</v>
      </c>
      <c r="AG113" s="557"/>
      <c r="AH113" s="2" cm="1">
        <f t="array" ref="AH1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3" s="4">
        <f>scheduleapr[[#This Row],[SCHEDULE in nos]]-scheduleapr[[#This Row],[DISPATCH]]</f>
        <v>25750</v>
      </c>
      <c r="AJ113" s="559">
        <f>(3.14*(scheduleapr[[#This Row],[ACTUAL OD]]-scheduleapr[[#This Row],[TICKNESS]])*scheduleapr[[#This Row],[TICKNESS]]*scheduleapr[[#This Row],[LENGTH]]*7.85)/1000000*scheduleapr[[#This Row],[SCHEDULE in nos]]/1000</f>
        <v>8.0291671086750007</v>
      </c>
      <c r="AK113" s="1">
        <f>(3.14*(scheduleapr[[#This Row],[ACTUAL OD]]-scheduleapr[[#This Row],[TICKNESS]])*scheduleapr[[#This Row],[TICKNESS]]*scheduleapr[[#This Row],[LENGTH]]*7.85)/1000000*scheduleapr[[#This Row],[DISPATCH]]/1000</f>
        <v>0</v>
      </c>
      <c r="AL113" s="1">
        <f t="shared" si="3"/>
        <v>8.0291671086750007</v>
      </c>
      <c r="AM113" s="559">
        <f>scheduleapr[[#This Row],[SCHEDULE in nos]]/scheduleapr[[#This Row],[SCHEDULE IN MT]]*scheduleapr[[#This Row],[CTL Stock]]</f>
        <v>0</v>
      </c>
      <c r="AN113" s="1">
        <f>SUMIFS(stock[MT],stock[Bucket],scheduleapr[[#This Row],[Bucket]],stock[CTL Bucket],scheduleapr[[#This Row],[CTL Bucket]],stock[Plant],"0789")</f>
        <v>0</v>
      </c>
      <c r="AO113" s="1"/>
      <c r="AP113" s="1">
        <f>SUMIFS(stock[MT],stock[Bucket],scheduleapr[[#This Row],[Bucket]],stock[LL or CTL],"LL")</f>
        <v>0</v>
      </c>
      <c r="AQ113" s="1">
        <f>+SUMIFS(wip[Stock(Net Wt)],wip[Bucket],scheduleapr[[#This Row],[Bucket]])/1000</f>
        <v>26.635999999999999</v>
      </c>
      <c r="AR113" s="1">
        <f t="shared" si="4"/>
        <v>8.0291671086750007</v>
      </c>
      <c r="AS113" s="118"/>
    </row>
    <row r="114" spans="1:45" x14ac:dyDescent="0.25">
      <c r="A114" s="556"/>
      <c r="B114" s="5" t="s">
        <v>1816</v>
      </c>
      <c r="C114" s="2" t="s">
        <v>287</v>
      </c>
      <c r="D114" s="2" t="s">
        <v>1910</v>
      </c>
      <c r="E114" s="2">
        <v>940921</v>
      </c>
      <c r="F114" s="557"/>
      <c r="G114" s="2" t="str">
        <f>_xlfn.CONCAT(scheduleapr[[#This Row],[CUSTOMER CODE]],"-",scheduleapr[[#This Row],[MATERIAL NO]])</f>
        <v>940921-</v>
      </c>
      <c r="H114" s="557"/>
      <c r="I114" s="2" t="s">
        <v>962</v>
      </c>
      <c r="J114" s="557"/>
      <c r="K114" s="2" t="s">
        <v>1003</v>
      </c>
      <c r="L114" s="557"/>
      <c r="M114" s="558"/>
      <c r="N114" s="557"/>
      <c r="O114" s="2" t="s">
        <v>1895</v>
      </c>
      <c r="P114" s="557"/>
      <c r="Q114" s="557"/>
      <c r="R114" s="557"/>
      <c r="S114" s="557"/>
      <c r="T114" s="2"/>
      <c r="U114" s="2">
        <f>_xlfn.IFNA(VLOOKUP(scheduleapr[[#This Row],[Bucket]],salesforecast[[#All],[Bucket2]:[8406 Stock]],19,0),0)</f>
        <v>0</v>
      </c>
      <c r="V114" s="2"/>
      <c r="W114" s="2"/>
      <c r="X114" s="559">
        <v>44.45</v>
      </c>
      <c r="Y114" s="559">
        <v>40</v>
      </c>
      <c r="Z114" s="559">
        <v>30</v>
      </c>
      <c r="AA114" s="559">
        <v>2</v>
      </c>
      <c r="AB114" s="24">
        <v>162</v>
      </c>
      <c r="AC114" s="81" t="s">
        <v>397</v>
      </c>
      <c r="AD114" s="24"/>
      <c r="AE114" s="24"/>
      <c r="AF114" s="557">
        <v>3100</v>
      </c>
      <c r="AG114" s="557"/>
      <c r="AH114" s="2" cm="1">
        <f t="array" ref="AH1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4" s="560">
        <f>scheduleapr[[#This Row],[SCHEDULE in nos]]-scheduleapr[[#This Row],[DISPATCH]]</f>
        <v>3100</v>
      </c>
      <c r="AJ114" s="559">
        <f>(3.14*(scheduleapr[[#This Row],[ACTUAL OD]]-scheduleapr[[#This Row],[TICKNESS]])*scheduleapr[[#This Row],[TICKNESS]]*scheduleapr[[#This Row],[LENGTH]]*7.85)/1000000*scheduleapr[[#This Row],[SCHEDULE in nos]]/1000</f>
        <v>1.05095399022</v>
      </c>
      <c r="AK114" s="1">
        <f>(3.14*(scheduleapr[[#This Row],[ACTUAL OD]]-scheduleapr[[#This Row],[TICKNESS]])*scheduleapr[[#This Row],[TICKNESS]]*scheduleapr[[#This Row],[LENGTH]]*7.85)/1000000*scheduleapr[[#This Row],[DISPATCH]]/1000</f>
        <v>0</v>
      </c>
      <c r="AL114" s="1">
        <f t="shared" si="3"/>
        <v>1.05095399022</v>
      </c>
      <c r="AM114" s="559">
        <f>scheduleapr[[#This Row],[SCHEDULE in nos]]/scheduleapr[[#This Row],[SCHEDULE IN MT]]*scheduleapr[[#This Row],[CTL Stock]]</f>
        <v>0</v>
      </c>
      <c r="AN114" s="1">
        <f>SUMIFS(stock[MT],stock[Bucket],scheduleapr[[#This Row],[Bucket]],stock[CTL Bucket],scheduleapr[[#This Row],[CTL Bucket]],stock[Plant],"0789")</f>
        <v>0</v>
      </c>
      <c r="AO114" s="1"/>
      <c r="AP114" s="1">
        <f>SUMIFS(stock[MT],stock[Bucket],scheduleapr[[#This Row],[Bucket]],stock[LL or CTL],"LL")</f>
        <v>0</v>
      </c>
      <c r="AQ114" s="1">
        <f>+SUMIFS(wip[Stock(Net Wt)],wip[Bucket],scheduleapr[[#This Row],[Bucket]])/1000</f>
        <v>0</v>
      </c>
      <c r="AR114" s="1">
        <f t="shared" si="4"/>
        <v>1.05095399022</v>
      </c>
      <c r="AS114" s="118"/>
    </row>
    <row r="115" spans="1:45" x14ac:dyDescent="0.25">
      <c r="A115" s="556"/>
      <c r="B115" s="5" t="s">
        <v>1816</v>
      </c>
      <c r="C115" s="2" t="s">
        <v>287</v>
      </c>
      <c r="D115" s="2" t="s">
        <v>1910</v>
      </c>
      <c r="E115" s="2">
        <v>940921</v>
      </c>
      <c r="F115" s="557"/>
      <c r="G115" s="2" t="str">
        <f>_xlfn.CONCAT(scheduleapr[[#This Row],[CUSTOMER CODE]],"-",scheduleapr[[#This Row],[MATERIAL NO]])</f>
        <v>940921-</v>
      </c>
      <c r="H115" s="557"/>
      <c r="I115" s="2" t="s">
        <v>962</v>
      </c>
      <c r="J115" s="557"/>
      <c r="K115" s="2" t="s">
        <v>1003</v>
      </c>
      <c r="L115" s="557"/>
      <c r="M115" s="558"/>
      <c r="N115" s="557"/>
      <c r="O115" s="2" t="s">
        <v>1895</v>
      </c>
      <c r="P115" s="557"/>
      <c r="Q115" s="557" t="str">
        <f>CONCATENATE(scheduleapr[[#This Row],[OD]],"-",scheduleapr[[#This Row],[ID]],"-",scheduleapr[[#This Row],[TICKNESS]],"-",scheduleapr[[#This Row],[Grade]],"-",scheduleapr[[#This Row],[FC/NFC]])</f>
        <v>40-30-2-ERW 1-FC</v>
      </c>
      <c r="R115" s="557" t="str">
        <f>_xlfn.CONCAT(scheduleapr[[#This Row],[Bucket]],"-",scheduleapr[[#This Row],[LENGTH]]/1000)</f>
        <v>40-30-2-ERW 1-FC-0.162</v>
      </c>
      <c r="S115" s="557"/>
      <c r="T115" s="2"/>
      <c r="U115" s="2">
        <f>_xlfn.IFNA(VLOOKUP(scheduleapr[[#This Row],[Bucket]],salesforecast[[#All],[Bucket2]:[8406 Stock]],19,0),0)</f>
        <v>0</v>
      </c>
      <c r="V115" s="562">
        <f>_xlfn.IFNA(VLOOKUP(scheduleapr[[#This Row],[Bucket]],salesforecast[[#All],[Bucket2]:[8406 Stock]],20,0),0)+_xlfn.IFNA(VLOOKUP(scheduleapr[[#This Row],[Bucket]],salesforecast[[#All],[Bucket2]:[8406 Stock]],17,0),0)</f>
        <v>0</v>
      </c>
      <c r="W115" s="2"/>
      <c r="X115" s="559">
        <v>44.45</v>
      </c>
      <c r="Y115" s="559">
        <v>40</v>
      </c>
      <c r="Z115" s="559">
        <v>30</v>
      </c>
      <c r="AA115" s="1">
        <v>2</v>
      </c>
      <c r="AB115" s="24">
        <v>162</v>
      </c>
      <c r="AC115" s="24" t="s">
        <v>397</v>
      </c>
      <c r="AD115" s="24"/>
      <c r="AE115" s="24"/>
      <c r="AF115" s="557"/>
      <c r="AG115" s="557"/>
      <c r="AH115" s="2" cm="1">
        <f t="array" ref="AH1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5" s="4">
        <f>scheduleapr[[#This Row],[SCHEDULE in nos]]-scheduleapr[[#This Row],[DISPATCH]]</f>
        <v>0</v>
      </c>
      <c r="AJ115" s="559">
        <f>(3.14*(scheduleapr[[#This Row],[ACTUAL OD]]-scheduleapr[[#This Row],[TICKNESS]])*scheduleapr[[#This Row],[TICKNESS]]*scheduleapr[[#This Row],[LENGTH]]*7.85)/1000000*scheduleapr[[#This Row],[SCHEDULE in nos]]/1000</f>
        <v>0</v>
      </c>
      <c r="AK115" s="1">
        <f>(3.14*(scheduleapr[[#This Row],[ACTUAL OD]]-scheduleapr[[#This Row],[TICKNESS]])*scheduleapr[[#This Row],[TICKNESS]]*scheduleapr[[#This Row],[LENGTH]]*7.85)/1000000*scheduleapr[[#This Row],[DISPATCH]]/1000</f>
        <v>0</v>
      </c>
      <c r="AL115" s="1">
        <f t="shared" si="3"/>
        <v>0</v>
      </c>
      <c r="AM115" s="559" t="e">
        <f>scheduleapr[[#This Row],[SCHEDULE in nos]]/scheduleapr[[#This Row],[SCHEDULE IN MT]]*scheduleapr[[#This Row],[CTL Stock]]</f>
        <v>#DIV/0!</v>
      </c>
      <c r="AN115" s="1">
        <f>SUMIFS(stock[MT],stock[Bucket],scheduleapr[[#This Row],[Bucket]],stock[CTL Bucket],scheduleapr[[#This Row],[CTL Bucket]],stock[Plant],"0789")</f>
        <v>0.72071600000000002</v>
      </c>
      <c r="AO115" s="1"/>
      <c r="AP115" s="1">
        <f>SUMIFS(stock[MT],stock[Bucket],scheduleapr[[#This Row],[Bucket]],stock[LL or CTL],"LL")</f>
        <v>0</v>
      </c>
      <c r="AQ115" s="1">
        <f>+SUMIFS(wip[Stock(Net Wt)],wip[Bucket],scheduleapr[[#This Row],[Bucket]])/1000</f>
        <v>26.635999999999999</v>
      </c>
      <c r="AR115" s="1">
        <f t="shared" si="4"/>
        <v>-0.72071600000000002</v>
      </c>
      <c r="AS115" s="118"/>
    </row>
    <row r="116" spans="1:45" x14ac:dyDescent="0.25">
      <c r="A116" s="30">
        <v>93</v>
      </c>
      <c r="B116" s="5" t="s">
        <v>1816</v>
      </c>
      <c r="C116" s="2" t="s">
        <v>287</v>
      </c>
      <c r="D116" s="2" t="s">
        <v>1910</v>
      </c>
      <c r="E116" s="2">
        <v>940921</v>
      </c>
      <c r="F116" s="2">
        <v>3164112</v>
      </c>
      <c r="G116" s="2" t="str">
        <f>_xlfn.CONCAT(scheduleapr[[#This Row],[CUSTOMER CODE]],"-",scheduleapr[[#This Row],[MATERIAL NO]])</f>
        <v>940921-3164112</v>
      </c>
      <c r="H116" s="2" t="s">
        <v>569</v>
      </c>
      <c r="I116" s="2" t="s">
        <v>962</v>
      </c>
      <c r="J116" s="2"/>
      <c r="K116" s="2" t="s">
        <v>348</v>
      </c>
      <c r="L116" s="2" t="s">
        <v>239</v>
      </c>
      <c r="M116" s="2"/>
      <c r="N116" s="2"/>
      <c r="O116" s="2"/>
      <c r="P116" s="2"/>
      <c r="Q116" s="557" t="str">
        <f>CONCATENATE(scheduleapr[[#This Row],[OD]],"-",scheduleapr[[#This Row],[ID]],"-",scheduleapr[[#This Row],[TICKNESS]],"-",scheduleapr[[#This Row],[Grade]],"-",scheduleapr[[#This Row],[FC/NFC]])</f>
        <v>59-30-1.6-ERW 1-FIN CUT</v>
      </c>
      <c r="R116" s="557" t="str">
        <f>_xlfn.CONCAT(scheduleapr[[#This Row],[Bucket]],"-",scheduleapr[[#This Row],[LENGTH]]/1000)</f>
        <v>59-30-1.6-ERW 1-FIN CUT-0.641</v>
      </c>
      <c r="S116" s="557">
        <f>COUNTIF(scheduleapr[CTL Bucket],scheduleapr[[#This Row],[CTL Bucket]])</f>
        <v>2</v>
      </c>
      <c r="T116" s="2" t="s">
        <v>1816</v>
      </c>
      <c r="U116" s="2">
        <f>_xlfn.IFNA(VLOOKUP(scheduleapr[[#This Row],[Bucket]],salesforecast[[#All],[Bucket2]:[8406 Stock]],19,0),0)</f>
        <v>0</v>
      </c>
      <c r="V116" s="562">
        <f>_xlfn.IFNA(VLOOKUP(scheduleapr[[#This Row],[Bucket]],salesforecast[[#All],[Bucket2]:[8406 Stock]],20,0),0)+_xlfn.IFNA(VLOOKUP(scheduleapr[[#This Row],[Bucket]],salesforecast[[#All],[Bucket2]:[8406 Stock]],17,0),0)</f>
        <v>0</v>
      </c>
      <c r="W116" s="557"/>
      <c r="X116" s="1">
        <v>48.6</v>
      </c>
      <c r="Y116" s="1">
        <v>59</v>
      </c>
      <c r="Z116" s="1">
        <v>30</v>
      </c>
      <c r="AA116" s="1">
        <v>1.6</v>
      </c>
      <c r="AB116" s="24">
        <v>641</v>
      </c>
      <c r="AC116" s="24" t="s">
        <v>397</v>
      </c>
      <c r="AD116" s="24"/>
      <c r="AE116" s="24"/>
      <c r="AF116" s="2">
        <v>13700</v>
      </c>
      <c r="AG116" s="2"/>
      <c r="AH116" s="2" cm="1">
        <f t="array" ref="AH1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3320</v>
      </c>
      <c r="AI116" s="4">
        <f>scheduleapr[[#This Row],[SCHEDULE in nos]]-scheduleapr[[#This Row],[DISPATCH]]</f>
        <v>10380</v>
      </c>
      <c r="AJ116" s="1">
        <f>(3.14*(scheduleapr[[#This Row],[ACTUAL OD]]-scheduleapr[[#This Row],[TICKNESS]])*scheduleapr[[#This Row],[TICKNESS]]*scheduleapr[[#This Row],[LENGTH]]*7.85)/1000000*scheduleapr[[#This Row],[SCHEDULE in nos]]/1000</f>
        <v>16.277801272160001</v>
      </c>
      <c r="AK116" s="1">
        <f>(3.14*(scheduleapr[[#This Row],[ACTUAL OD]]-scheduleapr[[#This Row],[TICKNESS]])*scheduleapr[[#This Row],[TICKNESS]]*scheduleapr[[#This Row],[LENGTH]]*7.85)/1000000*scheduleapr[[#This Row],[DISPATCH]]/1000</f>
        <v>3.9446934469760002</v>
      </c>
      <c r="AL116" s="1">
        <f t="shared" si="3"/>
        <v>12.333107825184001</v>
      </c>
      <c r="AM116" s="1">
        <f>scheduleapr[[#This Row],[SCHEDULE in nos]]/scheduleapr[[#This Row],[SCHEDULE IN MT]]*scheduleapr[[#This Row],[CTL Stock]]</f>
        <v>15128.374765280736</v>
      </c>
      <c r="AN116" s="1">
        <f>SUMIFS(stock[MT],stock[Bucket],scheduleapr[[#This Row],[Bucket]],stock[CTL Bucket],scheduleapr[[#This Row],[CTL Bucket]],stock[Plant],"0789")</f>
        <v>17.97494</v>
      </c>
      <c r="AO116" s="1"/>
      <c r="AP116" s="1">
        <f>SUMIFS(stock[MT],stock[Bucket],scheduleapr[[#This Row],[Bucket]],stock[LL or CTL],"LL")</f>
        <v>0</v>
      </c>
      <c r="AQ116" s="1">
        <f>+SUMIFS(wip[Stock(Net Wt)],wip[Bucket],scheduleapr[[#This Row],[Bucket]])/1000</f>
        <v>0.95099999999999996</v>
      </c>
      <c r="AR116" s="1">
        <f t="shared" si="4"/>
        <v>-1.6971387278399988</v>
      </c>
      <c r="AS116" s="118"/>
    </row>
    <row r="117" spans="1:45" x14ac:dyDescent="0.25">
      <c r="A117" s="30">
        <v>94</v>
      </c>
      <c r="B117" s="5" t="s">
        <v>1816</v>
      </c>
      <c r="C117" s="2" t="s">
        <v>287</v>
      </c>
      <c r="D117" s="2" t="s">
        <v>1910</v>
      </c>
      <c r="E117" s="2">
        <v>940921</v>
      </c>
      <c r="F117" s="2">
        <v>1940879</v>
      </c>
      <c r="G117" s="2" t="str">
        <f>_xlfn.CONCAT(scheduleapr[[#This Row],[CUSTOMER CODE]],"-",scheduleapr[[#This Row],[MATERIAL NO]])</f>
        <v>940921-1940879</v>
      </c>
      <c r="H117" s="2" t="s">
        <v>676</v>
      </c>
      <c r="I117" s="2" t="s">
        <v>962</v>
      </c>
      <c r="J117" s="2"/>
      <c r="K117" s="2" t="s">
        <v>1003</v>
      </c>
      <c r="L117" s="2" t="s">
        <v>239</v>
      </c>
      <c r="M117" s="2" t="s">
        <v>1891</v>
      </c>
      <c r="N117" s="2"/>
      <c r="O117" s="2"/>
      <c r="P117" s="2"/>
      <c r="Q117" s="557" t="str">
        <f>CONCATENATE(scheduleapr[[#This Row],[OD]],"-",scheduleapr[[#This Row],[ID]],"-",scheduleapr[[#This Row],[TICKNESS]],"-",scheduleapr[[#This Row],[Grade]],"-",scheduleapr[[#This Row],[FC/NFC]])</f>
        <v>50-30-1.6-ERW 1-FC</v>
      </c>
      <c r="R117" s="557" t="str">
        <f>_xlfn.CONCAT(scheduleapr[[#This Row],[Bucket]],"-",scheduleapr[[#This Row],[LENGTH]]/1000)</f>
        <v>50-30-1.6-ERW 1-FC-0.636</v>
      </c>
      <c r="S117" s="557">
        <f>COUNTIF(scheduleapr[CTL Bucket],scheduleapr[[#This Row],[CTL Bucket]])</f>
        <v>1</v>
      </c>
      <c r="T117" s="2" t="s">
        <v>1816</v>
      </c>
      <c r="U117" s="2">
        <f>_xlfn.IFNA(VLOOKUP(scheduleapr[[#This Row],[Bucket]],salesforecast[[#All],[Bucket2]:[8406 Stock]],19,0),0)</f>
        <v>0</v>
      </c>
      <c r="V117" s="562">
        <f>_xlfn.IFNA(VLOOKUP(scheduleapr[[#This Row],[Bucket]],salesforecast[[#All],[Bucket2]:[8406 Stock]],20,0),0)+_xlfn.IFNA(VLOOKUP(scheduleapr[[#This Row],[Bucket]],salesforecast[[#All],[Bucket2]:[8406 Stock]],17,0),0)</f>
        <v>0</v>
      </c>
      <c r="W117" s="557"/>
      <c r="X117" s="1">
        <v>50.8</v>
      </c>
      <c r="Y117" s="1">
        <v>50</v>
      </c>
      <c r="Z117" s="1">
        <v>30</v>
      </c>
      <c r="AA117" s="1">
        <v>1.6</v>
      </c>
      <c r="AB117" s="24">
        <v>636</v>
      </c>
      <c r="AC117" s="24" t="s">
        <v>397</v>
      </c>
      <c r="AD117" s="24"/>
      <c r="AE117" s="24"/>
      <c r="AF117" s="2">
        <v>23250</v>
      </c>
      <c r="AG117" s="2"/>
      <c r="AH117" s="2" cm="1">
        <f t="array" ref="AH1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7530</v>
      </c>
      <c r="AI117" s="4">
        <f>scheduleapr[[#This Row],[SCHEDULE in nos]]-scheduleapr[[#This Row],[DISPATCH]]</f>
        <v>15720</v>
      </c>
      <c r="AJ117" s="1">
        <f>(3.14*(scheduleapr[[#This Row],[ACTUAL OD]]-scheduleapr[[#This Row],[TICKNESS]])*scheduleapr[[#This Row],[TICKNESS]]*scheduleapr[[#This Row],[LENGTH]]*7.85)/1000000*scheduleapr[[#This Row],[SCHEDULE in nos]]/1000</f>
        <v>28.692240543360001</v>
      </c>
      <c r="AK117" s="1">
        <f>(3.14*(scheduleapr[[#This Row],[ACTUAL OD]]-scheduleapr[[#This Row],[TICKNESS]])*scheduleapr[[#This Row],[TICKNESS]]*scheduleapr[[#This Row],[LENGTH]]*7.85)/1000000*scheduleapr[[#This Row],[DISPATCH]]/1000</f>
        <v>9.2925837114623988</v>
      </c>
      <c r="AL117" s="1">
        <f t="shared" si="3"/>
        <v>19.399656831897602</v>
      </c>
      <c r="AM117" s="1">
        <f>scheduleapr[[#This Row],[SCHEDULE in nos]]/scheduleapr[[#This Row],[SCHEDULE IN MT]]*scheduleapr[[#This Row],[CTL Stock]]</f>
        <v>1972.3357753982132</v>
      </c>
      <c r="AN117" s="1">
        <f>SUMIFS(stock[MT],stock[Bucket],scheduleapr[[#This Row],[Bucket]],stock[CTL Bucket],scheduleapr[[#This Row],[CTL Bucket]],stock[Plant],"0789")</f>
        <v>2.4340099999999998</v>
      </c>
      <c r="AO117" s="1"/>
      <c r="AP117" s="1">
        <f>SUMIFS(stock[MT],stock[Bucket],scheduleapr[[#This Row],[Bucket]],stock[LL or CTL],"LL")</f>
        <v>0</v>
      </c>
      <c r="AQ117" s="1">
        <f>+SUMIFS(wip[Stock(Net Wt)],wip[Bucket],scheduleapr[[#This Row],[Bucket]])/1000</f>
        <v>24.911000000000001</v>
      </c>
      <c r="AR117" s="1">
        <f t="shared" si="4"/>
        <v>26.25823054336</v>
      </c>
      <c r="AS117" s="118"/>
    </row>
    <row r="118" spans="1:45" x14ac:dyDescent="0.25">
      <c r="A118" s="30">
        <v>95</v>
      </c>
      <c r="B118" s="5" t="s">
        <v>1816</v>
      </c>
      <c r="C118" s="2" t="s">
        <v>287</v>
      </c>
      <c r="D118" s="2" t="s">
        <v>1910</v>
      </c>
      <c r="E118" s="2">
        <v>940921</v>
      </c>
      <c r="F118" s="2">
        <v>460176</v>
      </c>
      <c r="G118" s="2" t="str">
        <f>_xlfn.CONCAT(scheduleapr[[#This Row],[CUSTOMER CODE]],"-",scheduleapr[[#This Row],[MATERIAL NO]])</f>
        <v>940921-460176</v>
      </c>
      <c r="H118" s="2" t="s">
        <v>1744</v>
      </c>
      <c r="I118" s="2" t="s">
        <v>962</v>
      </c>
      <c r="J118" s="2"/>
      <c r="K118" s="2" t="s">
        <v>1003</v>
      </c>
      <c r="L118" s="2" t="s">
        <v>239</v>
      </c>
      <c r="M118" s="2"/>
      <c r="N118" s="2"/>
      <c r="O118" s="2" t="s">
        <v>1895</v>
      </c>
      <c r="P118" s="2"/>
      <c r="Q118" s="557" t="str">
        <f>CONCATENATE(scheduleapr[[#This Row],[OD]],"-",scheduleapr[[#This Row],[ID]],"-",scheduleapr[[#This Row],[TICKNESS]],"-",scheduleapr[[#This Row],[Grade]],"-",scheduleapr[[#This Row],[FC/NFC]])</f>
        <v>57.15-0-2-ERW 1-FC</v>
      </c>
      <c r="R118" s="557" t="str">
        <f>_xlfn.CONCAT(scheduleapr[[#This Row],[Bucket]],"-",scheduleapr[[#This Row],[LENGTH]]/1000)</f>
        <v>57.15-0-2-ERW 1-FC-0.713</v>
      </c>
      <c r="S118" s="557">
        <f>COUNTIF(scheduleapr[CTL Bucket],scheduleapr[[#This Row],[CTL Bucket]])</f>
        <v>1</v>
      </c>
      <c r="T118" s="2" t="s">
        <v>1816</v>
      </c>
      <c r="U118" s="2">
        <f>_xlfn.IFNA(VLOOKUP(scheduleapr[[#This Row],[Bucket]],salesforecast[[#All],[Bucket2]:[8406 Stock]],19,0),0)</f>
        <v>2.455098</v>
      </c>
      <c r="V118" s="562">
        <f>_xlfn.IFNA(VLOOKUP(scheduleapr[[#This Row],[Bucket]],salesforecast[[#All],[Bucket2]:[8406 Stock]],20,0),0)+_xlfn.IFNA(VLOOKUP(scheduleapr[[#This Row],[Bucket]],salesforecast[[#All],[Bucket2]:[8406 Stock]],17,0),0)</f>
        <v>0.125917</v>
      </c>
      <c r="W118" s="557"/>
      <c r="X118" s="1">
        <v>57.15</v>
      </c>
      <c r="Y118" s="1">
        <v>57.15</v>
      </c>
      <c r="Z118" s="1">
        <v>0</v>
      </c>
      <c r="AA118" s="1">
        <v>2</v>
      </c>
      <c r="AB118" s="24">
        <v>713</v>
      </c>
      <c r="AC118" s="24" t="s">
        <v>397</v>
      </c>
      <c r="AD118" s="24"/>
      <c r="AE118" s="24"/>
      <c r="AF118" s="2">
        <v>7150</v>
      </c>
      <c r="AG118" s="2"/>
      <c r="AH118" s="2" cm="1">
        <f t="array" ref="AH1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3314</v>
      </c>
      <c r="AI118" s="4">
        <f>scheduleapr[[#This Row],[SCHEDULE in nos]]-scheduleapr[[#This Row],[DISPATCH]]</f>
        <v>3836</v>
      </c>
      <c r="AJ118" s="1">
        <f>(3.14*(scheduleapr[[#This Row],[ACTUAL OD]]-scheduleapr[[#This Row],[TICKNESS]])*scheduleapr[[#This Row],[TICKNESS]]*scheduleapr[[#This Row],[LENGTH]]*7.85)/1000000*scheduleapr[[#This Row],[SCHEDULE in nos]]/1000</f>
        <v>13.860228461364999</v>
      </c>
      <c r="AK118" s="1">
        <f>(3.14*(scheduleapr[[#This Row],[ACTUAL OD]]-scheduleapr[[#This Row],[TICKNESS]])*scheduleapr[[#This Row],[TICKNESS]]*scheduleapr[[#This Row],[LENGTH]]*7.85)/1000000*scheduleapr[[#This Row],[DISPATCH]]/1000</f>
        <v>6.424167429505399</v>
      </c>
      <c r="AL118" s="1">
        <f t="shared" si="3"/>
        <v>7.4360610318595999</v>
      </c>
      <c r="AM118" s="1">
        <f>scheduleapr[[#This Row],[SCHEDULE in nos]]/scheduleapr[[#This Row],[SCHEDULE IN MT]]*scheduleapr[[#This Row],[CTL Stock]]</f>
        <v>0</v>
      </c>
      <c r="AN118" s="1">
        <f>SUMIFS(stock[MT],stock[Bucket],scheduleapr[[#This Row],[Bucket]],stock[CTL Bucket],scheduleapr[[#This Row],[CTL Bucket]],stock[Plant],"0789")</f>
        <v>0</v>
      </c>
      <c r="AO118" s="1"/>
      <c r="AP118" s="1">
        <f>SUMIFS(stock[MT],stock[Bucket],scheduleapr[[#This Row],[Bucket]],stock[LL or CTL],"LL")</f>
        <v>2.455098</v>
      </c>
      <c r="AQ118" s="1">
        <f>+SUMIFS(wip[Stock(Net Wt)],wip[Bucket],scheduleapr[[#This Row],[Bucket]])/1000</f>
        <v>0</v>
      </c>
      <c r="AR118" s="1">
        <f t="shared" si="4"/>
        <v>13.860228461364999</v>
      </c>
      <c r="AS118" s="118"/>
    </row>
    <row r="119" spans="1:45" x14ac:dyDescent="0.25">
      <c r="A119" s="30">
        <v>97</v>
      </c>
      <c r="B119" s="5" t="s">
        <v>1872</v>
      </c>
      <c r="C119" s="2" t="s">
        <v>288</v>
      </c>
      <c r="D119" s="2" t="s">
        <v>949</v>
      </c>
      <c r="E119" s="2">
        <v>188934</v>
      </c>
      <c r="F119" s="557">
        <v>3940551</v>
      </c>
      <c r="G119" s="2" t="str">
        <f>_xlfn.CONCAT(scheduleapr[[#This Row],[CUSTOMER CODE]],"-",scheduleapr[[#This Row],[MATERIAL NO]])</f>
        <v>188934-3940551</v>
      </c>
      <c r="H119" s="2" t="s">
        <v>1915</v>
      </c>
      <c r="I119" s="2" t="s">
        <v>357</v>
      </c>
      <c r="J119" s="557"/>
      <c r="K119" s="2" t="s">
        <v>357</v>
      </c>
      <c r="L119" s="2" t="s">
        <v>239</v>
      </c>
      <c r="M119" s="557"/>
      <c r="N119" s="557" t="s">
        <v>1516</v>
      </c>
      <c r="O119" s="557"/>
      <c r="P119" s="557"/>
      <c r="Q119" s="557" t="str">
        <f>CONCATENATE(scheduleapr[[#This Row],[OD]],"-",scheduleapr[[#This Row],[ID]],"-",scheduleapr[[#This Row],[TICKNESS]],"-",scheduleapr[[#This Row],[Grade]],"-",scheduleapr[[#This Row],[FC/NFC]])</f>
        <v>29.4-20.4-4.5-CEW-CEW</v>
      </c>
      <c r="R119" s="557" t="str">
        <f>_xlfn.CONCAT(scheduleapr[[#This Row],[Bucket]],"-",scheduleapr[[#This Row],[LENGTH]]/1000)</f>
        <v>29.4-20.4-4.5-CEW-CEW-0.36</v>
      </c>
      <c r="S119" s="557">
        <f>COUNTIF(scheduleapr[CTL Bucket],scheduleapr[[#This Row],[CTL Bucket]])</f>
        <v>1</v>
      </c>
      <c r="T119" s="2" t="s">
        <v>1817</v>
      </c>
      <c r="U119" s="2"/>
      <c r="V119" s="557"/>
      <c r="W119" s="557"/>
      <c r="X119" s="1">
        <v>29.4</v>
      </c>
      <c r="Y119" s="1">
        <v>29.4</v>
      </c>
      <c r="Z119" s="1">
        <v>20.399999999999999</v>
      </c>
      <c r="AA119" s="1">
        <v>4.5</v>
      </c>
      <c r="AB119" s="24">
        <v>360</v>
      </c>
      <c r="AC119" s="24" t="s">
        <v>397</v>
      </c>
      <c r="AD119" s="24"/>
      <c r="AE119" s="24"/>
      <c r="AF119" s="2"/>
      <c r="AG119" s="2"/>
      <c r="AH119" s="2" cm="1">
        <f t="array" ref="AH1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9" s="4">
        <f>scheduleapr[[#This Row],[SCHEDULE in nos]]-scheduleapr[[#This Row],[DISPATCH]]</f>
        <v>0</v>
      </c>
      <c r="AJ119" s="1">
        <f>(3.14*(scheduleapr[[#This Row],[ACTUAL OD]]-scheduleapr[[#This Row],[TICKNESS]])*scheduleapr[[#This Row],[TICKNESS]]*scheduleapr[[#This Row],[LENGTH]]*7.85)/1000000*scheduleapr[[#This Row],[SCHEDULE in nos]]/1000</f>
        <v>0</v>
      </c>
      <c r="AK119" s="1">
        <f>(3.14*(scheduleapr[[#This Row],[ACTUAL OD]]-scheduleapr[[#This Row],[TICKNESS]])*scheduleapr[[#This Row],[TICKNESS]]*scheduleapr[[#This Row],[LENGTH]]*7.85)/1000000*scheduleapr[[#This Row],[DISPATCH]]/1000</f>
        <v>0</v>
      </c>
      <c r="AL119" s="1">
        <f t="shared" si="3"/>
        <v>0</v>
      </c>
      <c r="AM119" s="1" t="e">
        <f>scheduleapr[[#This Row],[SCHEDULE in nos]]/scheduleapr[[#This Row],[SCHEDULE IN MT]]*scheduleapr[[#This Row],[CTL Stock]]</f>
        <v>#DIV/0!</v>
      </c>
      <c r="AN119" s="1">
        <f>SUMIFS(stock[MT],stock[Bucket],scheduleapr[[#This Row],[Bucket]],stock[CTL Bucket],scheduleapr[[#This Row],[CTL Bucket]],stock[Plant],"0789")</f>
        <v>0</v>
      </c>
      <c r="AO119" s="1"/>
      <c r="AP119" s="1">
        <f>SUMIFS(stock[MT],stock[Bucket],scheduleapr[[#This Row],[Bucket]],stock[LL or CTL],"LL")</f>
        <v>19.413661999999999</v>
      </c>
      <c r="AQ119" s="1">
        <f>+SUMIFS(wip[Stock(Net Wt)],wip[Bucket],scheduleapr[[#This Row],[Bucket]])/1000</f>
        <v>0</v>
      </c>
      <c r="AR119" s="1">
        <f t="shared" si="4"/>
        <v>0</v>
      </c>
      <c r="AS119" s="118"/>
    </row>
    <row r="120" spans="1:45" x14ac:dyDescent="0.25">
      <c r="A120" s="30">
        <v>104</v>
      </c>
      <c r="B120" s="5" t="s">
        <v>1872</v>
      </c>
      <c r="C120" s="2" t="s">
        <v>288</v>
      </c>
      <c r="D120" s="2" t="s">
        <v>949</v>
      </c>
      <c r="E120" s="2">
        <v>188934</v>
      </c>
      <c r="F120" s="2">
        <v>1930110</v>
      </c>
      <c r="G120" s="2" t="str">
        <f>_xlfn.CONCAT(scheduleapr[[#This Row],[CUSTOMER CODE]],"-",scheduleapr[[#This Row],[MATERIAL NO]])</f>
        <v>188934-1930110</v>
      </c>
      <c r="H120" s="2" t="s">
        <v>1916</v>
      </c>
      <c r="I120" s="2" t="s">
        <v>357</v>
      </c>
      <c r="J120" s="2"/>
      <c r="K120" s="2" t="s">
        <v>357</v>
      </c>
      <c r="L120" s="2" t="s">
        <v>239</v>
      </c>
      <c r="M120" s="2"/>
      <c r="N120" s="2"/>
      <c r="O120" s="2"/>
      <c r="P120" s="2"/>
      <c r="Q120" s="557" t="str">
        <f>CONCATENATE(scheduleapr[[#This Row],[OD]],"-",scheduleapr[[#This Row],[ID]],"-",scheduleapr[[#This Row],[TICKNESS]],"-",scheduleapr[[#This Row],[Grade]],"-",scheduleapr[[#This Row],[FC/NFC]])</f>
        <v>29.4-20.4-4.5-CEW-CEW</v>
      </c>
      <c r="R120" s="557" t="str">
        <f>_xlfn.CONCAT(scheduleapr[[#This Row],[Bucket]],"-",scheduleapr[[#This Row],[LENGTH]]/1000)</f>
        <v>29.4-20.4-4.5-CEW-CEW-5.2</v>
      </c>
      <c r="S120" s="557" t="e" vm="2">
        <f>COUNTIF([2]!buckets[CTL Bucket],[2]!scheduleapr[[#This Row],[CTL Bucket]])</f>
        <v>#REF!</v>
      </c>
      <c r="T120" s="557"/>
      <c r="U120" s="557"/>
      <c r="V120" s="557"/>
      <c r="W120" s="557"/>
      <c r="X120" s="1">
        <v>29.4</v>
      </c>
      <c r="Y120" s="1">
        <v>29.4</v>
      </c>
      <c r="Z120" s="1">
        <v>20.399999999999999</v>
      </c>
      <c r="AA120" s="1">
        <v>4.5</v>
      </c>
      <c r="AB120" s="24">
        <v>5200</v>
      </c>
      <c r="AC120" s="24"/>
      <c r="AD120" s="24"/>
      <c r="AE120" s="24"/>
      <c r="AF120" s="2"/>
      <c r="AG120" s="2"/>
      <c r="AH120" s="2" t="e" cm="1">
        <f t="array" ref="AH1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20" s="4" t="e">
        <f>scheduleapr[[#This Row],[SCHEDULE in nos]]-scheduleapr[[#This Row],[DISPATCH]]</f>
        <v>#N/A</v>
      </c>
      <c r="AJ120" s="1">
        <f>(3.14*(scheduleapr[[#This Row],[ACTUAL OD]]-scheduleapr[[#This Row],[TICKNESS]])*scheduleapr[[#This Row],[TICKNESS]]*scheduleapr[[#This Row],[LENGTH]]*7.85)/1000000*scheduleapr[[#This Row],[SCHEDULE in nos]]/1000</f>
        <v>0</v>
      </c>
      <c r="AK120" s="1" t="e">
        <f>(3.14*(scheduleapr[[#This Row],[ACTUAL OD]]-scheduleapr[[#This Row],[TICKNESS]])*scheduleapr[[#This Row],[TICKNESS]]*scheduleapr[[#This Row],[LENGTH]]*7.85)/1000000*scheduleapr[[#This Row],[DISPATCH]]/1000</f>
        <v>#N/A</v>
      </c>
      <c r="AL120" s="1" t="e">
        <f t="shared" si="3"/>
        <v>#N/A</v>
      </c>
      <c r="AM120" s="1" t="e">
        <f>scheduleapr[[#This Row],[SCHEDULE in nos]]/scheduleapr[[#This Row],[SCHEDULE IN MT]]*scheduleapr[[#This Row],[CTL Stock]]</f>
        <v>#DIV/0!</v>
      </c>
      <c r="AN120" s="1">
        <f>SUMIFS(stock[MT],stock[Bucket],scheduleapr[[#This Row],[Bucket]],stock[CTL Bucket],scheduleapr[[#This Row],[CTL Bucket]],stock[Plant],"0789")</f>
        <v>0</v>
      </c>
      <c r="AO120" s="1"/>
      <c r="AP120" s="1">
        <f>SUMIFS(stock[MT],stock[Bucket],scheduleapr[[#This Row],[Bucket]],stock[LL or CTL],"LL")</f>
        <v>19.413661999999999</v>
      </c>
      <c r="AQ120" s="1">
        <f>+SUMIFS(wip[Stock(Net Wt)],wip[Bucket],scheduleapr[[#This Row],[Bucket]])/1000</f>
        <v>0</v>
      </c>
      <c r="AR120" s="1">
        <f t="shared" si="4"/>
        <v>0</v>
      </c>
      <c r="AS120" s="118"/>
    </row>
    <row r="121" spans="1:45" x14ac:dyDescent="0.25">
      <c r="A121" s="30">
        <v>96</v>
      </c>
      <c r="B121" s="5" t="s">
        <v>1872</v>
      </c>
      <c r="C121" s="2" t="s">
        <v>288</v>
      </c>
      <c r="D121" s="2" t="s">
        <v>949</v>
      </c>
      <c r="E121" s="2">
        <v>188934</v>
      </c>
      <c r="F121" s="2">
        <v>3190072</v>
      </c>
      <c r="G121" s="2" t="str">
        <f>_xlfn.CONCAT(scheduleapr[[#This Row],[CUSTOMER CODE]],"-",scheduleapr[[#This Row],[MATERIAL NO]])</f>
        <v>188934-3190072</v>
      </c>
      <c r="H121" s="2" t="s">
        <v>1588</v>
      </c>
      <c r="I121" s="2" t="s">
        <v>1024</v>
      </c>
      <c r="J121" s="2"/>
      <c r="K121" s="2" t="s">
        <v>357</v>
      </c>
      <c r="L121" s="2" t="s">
        <v>239</v>
      </c>
      <c r="M121" s="2"/>
      <c r="N121" s="2" t="s">
        <v>1516</v>
      </c>
      <c r="O121" s="2"/>
      <c r="P121" s="2"/>
      <c r="Q121" s="2" t="s">
        <v>393</v>
      </c>
      <c r="R121" s="557" t="str">
        <f>_xlfn.CONCAT(scheduleapr[[#This Row],[Bucket]],"-",scheduleapr[[#This Row],[LENGTH]]/1000)</f>
        <v>29.4-20.4-4.5-CEW-CEW-0.357</v>
      </c>
      <c r="S121" s="557" t="e" vm="2">
        <f>COUNTIF([2]!buckets[CTL Bucket],[2]!scheduleapr[[#This Row],[CTL Bucket]])</f>
        <v>#REF!</v>
      </c>
      <c r="T121" s="557"/>
      <c r="U121" s="2">
        <f>_xlfn.IFNA(VLOOKUP(scheduleapr[[#This Row],[Bucket]],salesforecast[[#All],[Bucket2]:[8406 Stock]],19,0),0)</f>
        <v>19.413661999999992</v>
      </c>
      <c r="V121" s="557"/>
      <c r="W121" s="557"/>
      <c r="X121" s="1">
        <v>29.4</v>
      </c>
      <c r="Y121" s="1">
        <v>29.4</v>
      </c>
      <c r="Z121" s="1">
        <v>20.399999999999999</v>
      </c>
      <c r="AA121" s="1">
        <v>4.5</v>
      </c>
      <c r="AB121" s="24">
        <v>357</v>
      </c>
      <c r="AC121" s="24" t="s">
        <v>397</v>
      </c>
      <c r="AD121" s="24"/>
      <c r="AE121" s="24"/>
      <c r="AF121" s="2">
        <v>45000</v>
      </c>
      <c r="AG121" s="2"/>
      <c r="AH121" s="2" cm="1">
        <f t="array" ref="AH1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20730</v>
      </c>
      <c r="AI121" s="4">
        <f>scheduleapr[[#This Row],[SCHEDULE in nos]]-scheduleapr[[#This Row],[DISPATCH]]</f>
        <v>24270</v>
      </c>
      <c r="AJ121" s="1">
        <f>(3.14*(scheduleapr[[#This Row],[ACTUAL OD]]-scheduleapr[[#This Row],[TICKNESS]])*scheduleapr[[#This Row],[TICKNESS]]*scheduleapr[[#This Row],[LENGTH]]*7.85)/1000000*scheduleapr[[#This Row],[SCHEDULE in nos]]/1000</f>
        <v>44.370252029249997</v>
      </c>
      <c r="AK121" s="1">
        <f>(3.14*(scheduleapr[[#This Row],[ACTUAL OD]]-scheduleapr[[#This Row],[TICKNESS]])*scheduleapr[[#This Row],[TICKNESS]]*scheduleapr[[#This Row],[LENGTH]]*7.85)/1000000*scheduleapr[[#This Row],[DISPATCH]]/1000</f>
        <v>20.439896101474496</v>
      </c>
      <c r="AL121" s="1">
        <f t="shared" si="3"/>
        <v>23.930355927775501</v>
      </c>
      <c r="AM121" s="1">
        <f>scheduleapr[[#This Row],[SCHEDULE in nos]]/scheduleapr[[#This Row],[SCHEDULE IN MT]]*scheduleapr[[#This Row],[CTL Stock]]</f>
        <v>0</v>
      </c>
      <c r="AN121" s="1">
        <f>SUMIFS(stock[MT],stock[Bucket],scheduleapr[[#This Row],[Bucket]],stock[CTL Bucket],scheduleapr[[#This Row],[CTL Bucket]],stock[Plant],"0789")</f>
        <v>0</v>
      </c>
      <c r="AO121" s="1"/>
      <c r="AP121" s="1">
        <f>SUMIFS(stock[MT],stock[Bucket],scheduleapr[[#This Row],[Bucket]],stock[LL or CTL],"LL")</f>
        <v>19.413661999999999</v>
      </c>
      <c r="AQ121" s="1">
        <f>+SUMIFS(wip[Stock(Net Wt)],wip[Bucket],scheduleapr[[#This Row],[Bucket]])/1000</f>
        <v>0</v>
      </c>
      <c r="AR121" s="1">
        <f t="shared" si="4"/>
        <v>44.370252029249997</v>
      </c>
      <c r="AS121" s="118"/>
    </row>
    <row r="122" spans="1:45" x14ac:dyDescent="0.25">
      <c r="A122" s="30">
        <v>101</v>
      </c>
      <c r="B122" s="5" t="s">
        <v>1872</v>
      </c>
      <c r="C122" s="2" t="s">
        <v>288</v>
      </c>
      <c r="D122" s="2" t="s">
        <v>949</v>
      </c>
      <c r="E122" s="2">
        <v>188934</v>
      </c>
      <c r="F122" s="9">
        <v>3983443</v>
      </c>
      <c r="G122" s="2" t="str">
        <f>_xlfn.CONCAT(scheduleapr[[#This Row],[CUSTOMER CODE]],"-",scheduleapr[[#This Row],[MATERIAL NO]])</f>
        <v>188934-3983443</v>
      </c>
      <c r="H122" s="9" t="s">
        <v>1917</v>
      </c>
      <c r="I122" s="2" t="s">
        <v>1023</v>
      </c>
      <c r="J122" s="2"/>
      <c r="K122" s="2" t="s">
        <v>357</v>
      </c>
      <c r="L122" s="2"/>
      <c r="M122" s="2"/>
      <c r="N122" s="2"/>
      <c r="O122" s="2"/>
      <c r="P122" s="2"/>
      <c r="Q122" s="557" t="str">
        <f>CONCATENATE(scheduleapr[[#This Row],[OD]],"-",scheduleapr[[#This Row],[ID]],"-",scheduleapr[[#This Row],[TICKNESS]],"-",scheduleapr[[#This Row],[Grade]],"-",scheduleapr[[#This Row],[FC/NFC]])</f>
        <v>29.35-20.4-4.4-CEW STKM 13C-CEW</v>
      </c>
      <c r="R122" s="557" t="str">
        <f>_xlfn.CONCAT(scheduleapr[[#This Row],[Bucket]],"-",scheduleapr[[#This Row],[LENGTH]]/1000)</f>
        <v>29.35-20.4-4.4-CEW STKM 13C-CEW-0.378</v>
      </c>
      <c r="S122" s="557" t="e" vm="2">
        <f>COUNTIF([2]!buckets[CTL Bucket],[2]!scheduleapr[[#This Row],[CTL Bucket]])</f>
        <v>#REF!</v>
      </c>
      <c r="T122" s="557"/>
      <c r="U122" s="557"/>
      <c r="V122" s="557"/>
      <c r="W122" s="557"/>
      <c r="X122" s="1">
        <v>29.35</v>
      </c>
      <c r="Y122" s="1">
        <v>29.35</v>
      </c>
      <c r="Z122" s="1">
        <v>20.399999999999999</v>
      </c>
      <c r="AA122" s="1">
        <v>4.4000000000000004</v>
      </c>
      <c r="AB122" s="24">
        <v>378</v>
      </c>
      <c r="AC122" s="24" t="s">
        <v>397</v>
      </c>
      <c r="AD122" s="24"/>
      <c r="AE122" s="24"/>
      <c r="AF122" s="2"/>
      <c r="AG122" s="2"/>
      <c r="AH122" s="2" cm="1">
        <f t="array" ref="AH1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2" s="4">
        <f>scheduleapr[[#This Row],[SCHEDULE in nos]]-scheduleapr[[#This Row],[DISPATCH]]</f>
        <v>0</v>
      </c>
      <c r="AJ122" s="1">
        <f>(3.14*(scheduleapr[[#This Row],[ACTUAL OD]]-scheduleapr[[#This Row],[TICKNESS]])*scheduleapr[[#This Row],[TICKNESS]]*scheduleapr[[#This Row],[LENGTH]]*7.85)/1000000*scheduleapr[[#This Row],[SCHEDULE in nos]]/1000</f>
        <v>0</v>
      </c>
      <c r="AK122" s="1">
        <f>(3.14*(scheduleapr[[#This Row],[ACTUAL OD]]-scheduleapr[[#This Row],[TICKNESS]])*scheduleapr[[#This Row],[TICKNESS]]*scheduleapr[[#This Row],[LENGTH]]*7.85)/1000000*scheduleapr[[#This Row],[DISPATCH]]/1000</f>
        <v>0</v>
      </c>
      <c r="AL122" s="1">
        <f t="shared" si="3"/>
        <v>0</v>
      </c>
      <c r="AM122" s="1" t="e">
        <f>scheduleapr[[#This Row],[SCHEDULE in nos]]/scheduleapr[[#This Row],[SCHEDULE IN MT]]*scheduleapr[[#This Row],[CTL Stock]]</f>
        <v>#DIV/0!</v>
      </c>
      <c r="AN122" s="1">
        <f>SUMIFS(stock[MT],stock[Bucket],scheduleapr[[#This Row],[Bucket]],stock[CTL Bucket],scheduleapr[[#This Row],[CTL Bucket]],stock[Plant],"0789")</f>
        <v>0</v>
      </c>
      <c r="AO122" s="1"/>
      <c r="AP122" s="1">
        <f>SUMIFS(stock[MT],stock[Bucket],scheduleapr[[#This Row],[Bucket]],stock[LL or CTL],"LL")</f>
        <v>0</v>
      </c>
      <c r="AQ122" s="1">
        <f>+SUMIFS(wip[Stock(Net Wt)],wip[Bucket],scheduleapr[[#This Row],[Bucket]])/1000</f>
        <v>0</v>
      </c>
      <c r="AR122" s="1">
        <f t="shared" si="4"/>
        <v>0</v>
      </c>
      <c r="AS122" s="118"/>
    </row>
    <row r="123" spans="1:45" x14ac:dyDescent="0.25">
      <c r="A123" s="30">
        <v>98</v>
      </c>
      <c r="B123" s="5" t="s">
        <v>1872</v>
      </c>
      <c r="C123" s="2" t="s">
        <v>288</v>
      </c>
      <c r="D123" s="2" t="s">
        <v>949</v>
      </c>
      <c r="E123" s="2">
        <v>188934</v>
      </c>
      <c r="F123" s="2">
        <v>1941303</v>
      </c>
      <c r="G123" s="2" t="str">
        <f>_xlfn.CONCAT(scheduleapr[[#This Row],[CUSTOMER CODE]],"-",scheduleapr[[#This Row],[MATERIAL NO]])</f>
        <v>188934-1941303</v>
      </c>
      <c r="H123" s="2" t="s">
        <v>1590</v>
      </c>
      <c r="I123" s="2" t="s">
        <v>1023</v>
      </c>
      <c r="J123" s="2"/>
      <c r="K123" s="2" t="s">
        <v>357</v>
      </c>
      <c r="L123" s="2" t="s">
        <v>239</v>
      </c>
      <c r="M123" s="2"/>
      <c r="N123" s="2" t="s">
        <v>1516</v>
      </c>
      <c r="O123" s="2"/>
      <c r="P123" s="2"/>
      <c r="Q123" s="557" t="str">
        <f>CONCATENATE(scheduleapr[[#This Row],[OD]],"-",scheduleapr[[#This Row],[ID]],"-",scheduleapr[[#This Row],[TICKNESS]],"-",scheduleapr[[#This Row],[Grade]],"-",scheduleapr[[#This Row],[FC/NFC]])</f>
        <v>29.4-20.4-4.5-CEW STKM 13C-CEW</v>
      </c>
      <c r="R123" s="557" t="str">
        <f>_xlfn.CONCAT(scheduleapr[[#This Row],[Bucket]],"-",scheduleapr[[#This Row],[LENGTH]]/1000)</f>
        <v>29.4-20.4-4.5-CEW STKM 13C-CEW-0.361</v>
      </c>
      <c r="S123" s="557">
        <f>COUNTIF(scheduleapr[CTL Bucket],scheduleapr[[#This Row],[CTL Bucket]])</f>
        <v>1</v>
      </c>
      <c r="T123" s="2" t="s">
        <v>1817</v>
      </c>
      <c r="U123" s="2">
        <f>_xlfn.IFNA(VLOOKUP(scheduleapr[[#This Row],[Bucket]],salesforecast[[#All],[Bucket2]:[8406 Stock]],19,0),0)</f>
        <v>10.553280000000001</v>
      </c>
      <c r="V123" s="557"/>
      <c r="W123" s="557"/>
      <c r="X123" s="1">
        <v>29.4</v>
      </c>
      <c r="Y123" s="1">
        <v>29.4</v>
      </c>
      <c r="Z123" s="1">
        <v>20.399999999999999</v>
      </c>
      <c r="AA123" s="1">
        <v>4.5</v>
      </c>
      <c r="AB123" s="24">
        <v>361</v>
      </c>
      <c r="AC123" s="24" t="s">
        <v>397</v>
      </c>
      <c r="AD123" s="24"/>
      <c r="AE123" s="24"/>
      <c r="AF123" s="2">
        <v>20000</v>
      </c>
      <c r="AG123" s="2"/>
      <c r="AH123" s="2" cm="1">
        <f t="array" ref="AH1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3" s="4">
        <f>scheduleapr[[#This Row],[SCHEDULE in nos]]-scheduleapr[[#This Row],[DISPATCH]]</f>
        <v>20000</v>
      </c>
      <c r="AJ123" s="1">
        <f>(3.14*(scheduleapr[[#This Row],[ACTUAL OD]]-scheduleapr[[#This Row],[TICKNESS]])*scheduleapr[[#This Row],[TICKNESS]]*scheduleapr[[#This Row],[LENGTH]]*7.85)/1000000*scheduleapr[[#This Row],[SCHEDULE in nos]]/1000</f>
        <v>19.941065648999995</v>
      </c>
      <c r="AK123" s="1">
        <f>(3.14*(scheduleapr[[#This Row],[ACTUAL OD]]-scheduleapr[[#This Row],[TICKNESS]])*scheduleapr[[#This Row],[TICKNESS]]*scheduleapr[[#This Row],[LENGTH]]*7.85)/1000000*scheduleapr[[#This Row],[DISPATCH]]/1000</f>
        <v>0</v>
      </c>
      <c r="AL123" s="1">
        <f t="shared" si="3"/>
        <v>19.941065648999995</v>
      </c>
      <c r="AM123" s="1">
        <f>scheduleapr[[#This Row],[SCHEDULE in nos]]/scheduleapr[[#This Row],[SCHEDULE IN MT]]*scheduleapr[[#This Row],[CTL Stock]]</f>
        <v>0</v>
      </c>
      <c r="AN123" s="1">
        <f>SUMIFS(stock[MT],stock[Bucket],scheduleapr[[#This Row],[Bucket]],stock[CTL Bucket],scheduleapr[[#This Row],[CTL Bucket]],stock[Plant],"0789")</f>
        <v>0</v>
      </c>
      <c r="AO123" s="1"/>
      <c r="AP123" s="1">
        <f>SUMIFS(stock[MT],stock[Bucket],scheduleapr[[#This Row],[Bucket]],stock[LL or CTL],"LL")</f>
        <v>102.42428000000004</v>
      </c>
      <c r="AQ123" s="1">
        <f>+SUMIFS(wip[Stock(Net Wt)],wip[Bucket],scheduleapr[[#This Row],[Bucket]])/1000</f>
        <v>0</v>
      </c>
      <c r="AR123" s="1">
        <f t="shared" si="4"/>
        <v>19.941065648999995</v>
      </c>
      <c r="AS123" s="118"/>
    </row>
    <row r="124" spans="1:45" x14ac:dyDescent="0.25">
      <c r="A124" s="30">
        <v>99</v>
      </c>
      <c r="B124" s="5" t="s">
        <v>1872</v>
      </c>
      <c r="C124" s="2" t="s">
        <v>288</v>
      </c>
      <c r="D124" s="2" t="s">
        <v>949</v>
      </c>
      <c r="E124" s="2">
        <v>188934</v>
      </c>
      <c r="F124" s="557">
        <v>3974533</v>
      </c>
      <c r="G124" s="2" t="str">
        <f>_xlfn.CONCAT(scheduleapr[[#This Row],[CUSTOMER CODE]],"-",scheduleapr[[#This Row],[MATERIAL NO]])</f>
        <v>188934-3974533</v>
      </c>
      <c r="H124" s="557" t="s">
        <v>1918</v>
      </c>
      <c r="I124" s="2" t="s">
        <v>1023</v>
      </c>
      <c r="J124" s="557"/>
      <c r="K124" s="2" t="s">
        <v>357</v>
      </c>
      <c r="L124" s="2" t="s">
        <v>239</v>
      </c>
      <c r="M124" s="2"/>
      <c r="N124" s="2" t="s">
        <v>1516</v>
      </c>
      <c r="O124" s="557"/>
      <c r="P124" s="557"/>
      <c r="Q124" s="557" t="str">
        <f>CONCATENATE(scheduleapr[[#This Row],[OD]],"-",scheduleapr[[#This Row],[ID]],"-",scheduleapr[[#This Row],[TICKNESS]],"-",scheduleapr[[#This Row],[Grade]],"-",scheduleapr[[#This Row],[FC/NFC]])</f>
        <v>29.4-20.4-4.5-CEW STKM 13C-CEW</v>
      </c>
      <c r="R124" s="557" t="str">
        <f>_xlfn.CONCAT(scheduleapr[[#This Row],[Bucket]],"-",scheduleapr[[#This Row],[LENGTH]]/1000)</f>
        <v>29.4-20.4-4.5-CEW STKM 13C-CEW-0.363</v>
      </c>
      <c r="S124" s="557" t="e" vm="2">
        <f>COUNTIF([2]!buckets[CTL Bucket],[2]!scheduleapr[[#This Row],[CTL Bucket]])</f>
        <v>#REF!</v>
      </c>
      <c r="T124" s="557"/>
      <c r="U124" s="557"/>
      <c r="V124" s="557"/>
      <c r="W124" s="557"/>
      <c r="X124" s="1">
        <v>29.4</v>
      </c>
      <c r="Y124" s="1">
        <v>29.4</v>
      </c>
      <c r="Z124" s="1">
        <v>20.399999999999999</v>
      </c>
      <c r="AA124" s="1">
        <v>4.5</v>
      </c>
      <c r="AB124" s="24">
        <v>363</v>
      </c>
      <c r="AC124" s="24" t="s">
        <v>397</v>
      </c>
      <c r="AD124" s="24"/>
      <c r="AE124" s="24"/>
      <c r="AF124" s="2"/>
      <c r="AG124" s="2"/>
      <c r="AH124" s="2" cm="1">
        <f t="array" ref="AH1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4" s="4">
        <f>scheduleapr[[#This Row],[SCHEDULE in nos]]-scheduleapr[[#This Row],[DISPATCH]]</f>
        <v>0</v>
      </c>
      <c r="AJ124" s="1">
        <f>(3.14*(scheduleapr[[#This Row],[ACTUAL OD]]-scheduleapr[[#This Row],[TICKNESS]])*scheduleapr[[#This Row],[TICKNESS]]*scheduleapr[[#This Row],[LENGTH]]*7.85)/1000000*scheduleapr[[#This Row],[SCHEDULE in nos]]/1000</f>
        <v>0</v>
      </c>
      <c r="AK124" s="1">
        <f>(3.14*(scheduleapr[[#This Row],[ACTUAL OD]]-scheduleapr[[#This Row],[TICKNESS]])*scheduleapr[[#This Row],[TICKNESS]]*scheduleapr[[#This Row],[LENGTH]]*7.85)/1000000*scheduleapr[[#This Row],[DISPATCH]]/1000</f>
        <v>0</v>
      </c>
      <c r="AL124" s="1">
        <f t="shared" si="3"/>
        <v>0</v>
      </c>
      <c r="AM124" s="1" t="e">
        <f>scheduleapr[[#This Row],[SCHEDULE in nos]]/scheduleapr[[#This Row],[SCHEDULE IN MT]]*scheduleapr[[#This Row],[CTL Stock]]</f>
        <v>#DIV/0!</v>
      </c>
      <c r="AN124" s="1">
        <f>SUMIFS(stock[MT],stock[Bucket],scheduleapr[[#This Row],[Bucket]],stock[CTL Bucket],scheduleapr[[#This Row],[CTL Bucket]],stock[Plant],"0789")</f>
        <v>0</v>
      </c>
      <c r="AO124" s="1"/>
      <c r="AP124" s="1">
        <f>SUMIFS(stock[MT],stock[Bucket],scheduleapr[[#This Row],[Bucket]],stock[LL or CTL],"LL")</f>
        <v>102.42428000000004</v>
      </c>
      <c r="AQ124" s="1">
        <f>+SUMIFS(wip[Stock(Net Wt)],wip[Bucket],scheduleapr[[#This Row],[Bucket]])/1000</f>
        <v>0</v>
      </c>
      <c r="AR124" s="1">
        <f t="shared" si="4"/>
        <v>0</v>
      </c>
      <c r="AS124" s="118"/>
    </row>
    <row r="125" spans="1:45" x14ac:dyDescent="0.25">
      <c r="A125" s="30">
        <v>100</v>
      </c>
      <c r="B125" s="5" t="s">
        <v>1872</v>
      </c>
      <c r="C125" s="2" t="s">
        <v>288</v>
      </c>
      <c r="D125" s="2" t="s">
        <v>949</v>
      </c>
      <c r="E125" s="2">
        <v>188934</v>
      </c>
      <c r="F125" s="2">
        <v>2359912</v>
      </c>
      <c r="G125" s="2" t="str">
        <f>_xlfn.CONCAT(scheduleapr[[#This Row],[CUSTOMER CODE]],"-",scheduleapr[[#This Row],[MATERIAL NO]])</f>
        <v>188934-2359912</v>
      </c>
      <c r="H125" s="2" t="s">
        <v>825</v>
      </c>
      <c r="I125" s="2" t="s">
        <v>1023</v>
      </c>
      <c r="J125" s="2"/>
      <c r="K125" s="2" t="s">
        <v>357</v>
      </c>
      <c r="L125" s="2" t="s">
        <v>239</v>
      </c>
      <c r="M125" s="2"/>
      <c r="N125" s="2" t="s">
        <v>1516</v>
      </c>
      <c r="O125" s="2"/>
      <c r="P125" s="2"/>
      <c r="Q125" s="557" t="str">
        <f>CONCATENATE(scheduleapr[[#This Row],[OD]],"-",scheduleapr[[#This Row],[ID]],"-",scheduleapr[[#This Row],[TICKNESS]],"-",scheduleapr[[#This Row],[Grade]],"-",scheduleapr[[#This Row],[FC/NFC]])</f>
        <v>29.4-20.4-4.5-CEW STKM 13C-CEW</v>
      </c>
      <c r="R125" s="557" t="str">
        <f>_xlfn.CONCAT(scheduleapr[[#This Row],[Bucket]],"-",scheduleapr[[#This Row],[LENGTH]]/1000)</f>
        <v>29.4-20.4-4.5-CEW STKM 13C-CEW-0.376</v>
      </c>
      <c r="S125" s="557">
        <f>COUNTIF(scheduleapr[CTL Bucket],scheduleapr[[#This Row],[CTL Bucket]])</f>
        <v>1</v>
      </c>
      <c r="T125" s="2" t="s">
        <v>1817</v>
      </c>
      <c r="U125" s="2">
        <f>_xlfn.IFNA(VLOOKUP(scheduleapr[[#This Row],[Bucket]],salesforecast[[#All],[Bucket2]:[8406 Stock]],19,0),0)</f>
        <v>10.553280000000001</v>
      </c>
      <c r="V125" s="557"/>
      <c r="W125" s="557"/>
      <c r="X125" s="1">
        <v>29.4</v>
      </c>
      <c r="Y125" s="1">
        <v>29.4</v>
      </c>
      <c r="Z125" s="1">
        <v>20.399999999999999</v>
      </c>
      <c r="AA125" s="1">
        <v>4.5</v>
      </c>
      <c r="AB125" s="24">
        <v>376</v>
      </c>
      <c r="AC125" s="24" t="s">
        <v>397</v>
      </c>
      <c r="AD125" s="24"/>
      <c r="AE125" s="24"/>
      <c r="AF125" s="2">
        <v>25000</v>
      </c>
      <c r="AG125" s="2"/>
      <c r="AH125" s="2" cm="1">
        <f t="array" ref="AH1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1135</v>
      </c>
      <c r="AI125" s="4">
        <f>scheduleapr[[#This Row],[SCHEDULE in nos]]-scheduleapr[[#This Row],[DISPATCH]]</f>
        <v>23865</v>
      </c>
      <c r="AJ125" s="1">
        <f>(3.14*(scheduleapr[[#This Row],[ACTUAL OD]]-scheduleapr[[#This Row],[TICKNESS]])*scheduleapr[[#This Row],[TICKNESS]]*scheduleapr[[#This Row],[LENGTH]]*7.85)/1000000*scheduleapr[[#This Row],[SCHEDULE in nos]]/1000</f>
        <v>25.962052229999998</v>
      </c>
      <c r="AK125" s="1">
        <f>(3.14*(scheduleapr[[#This Row],[ACTUAL OD]]-scheduleapr[[#This Row],[TICKNESS]])*scheduleapr[[#This Row],[TICKNESS]]*scheduleapr[[#This Row],[LENGTH]]*7.85)/1000000*scheduleapr[[#This Row],[DISPATCH]]/1000</f>
        <v>1.1786771712419999</v>
      </c>
      <c r="AL125" s="1">
        <f t="shared" si="3"/>
        <v>24.783375058757997</v>
      </c>
      <c r="AM125" s="1">
        <f>scheduleapr[[#This Row],[SCHEDULE in nos]]/scheduleapr[[#This Row],[SCHEDULE IN MT]]*scheduleapr[[#This Row],[CTL Stock]]</f>
        <v>0</v>
      </c>
      <c r="AN125" s="1">
        <f>SUMIFS(stock[MT],stock[Bucket],scheduleapr[[#This Row],[Bucket]],stock[CTL Bucket],scheduleapr[[#This Row],[CTL Bucket]],stock[Plant],"0789")</f>
        <v>0</v>
      </c>
      <c r="AO125" s="1"/>
      <c r="AP125" s="1">
        <f>SUMIFS(stock[MT],stock[Bucket],scheduleapr[[#This Row],[Bucket]],stock[LL or CTL],"LL")</f>
        <v>102.42428000000004</v>
      </c>
      <c r="AQ125" s="1">
        <f>+SUMIFS(wip[Stock(Net Wt)],wip[Bucket],scheduleapr[[#This Row],[Bucket]])/1000</f>
        <v>0</v>
      </c>
      <c r="AR125" s="1">
        <f t="shared" si="4"/>
        <v>25.962052229999998</v>
      </c>
      <c r="AS125" s="118"/>
    </row>
    <row r="126" spans="1:45" x14ac:dyDescent="0.25">
      <c r="A126" s="30">
        <v>102</v>
      </c>
      <c r="B126" s="5" t="s">
        <v>1872</v>
      </c>
      <c r="C126" s="2" t="s">
        <v>288</v>
      </c>
      <c r="D126" s="2" t="s">
        <v>949</v>
      </c>
      <c r="E126" s="2">
        <v>188934</v>
      </c>
      <c r="F126" s="2">
        <v>3190073</v>
      </c>
      <c r="G126" s="2" t="str">
        <f>_xlfn.CONCAT(scheduleapr[[#This Row],[CUSTOMER CODE]],"-",scheduleapr[[#This Row],[MATERIAL NO]])</f>
        <v>188934-3190073</v>
      </c>
      <c r="H126" s="2" t="s">
        <v>1919</v>
      </c>
      <c r="I126" s="2" t="s">
        <v>1023</v>
      </c>
      <c r="J126" s="2"/>
      <c r="K126" s="2" t="s">
        <v>357</v>
      </c>
      <c r="L126" s="2" t="s">
        <v>239</v>
      </c>
      <c r="M126" s="2"/>
      <c r="N126" s="2"/>
      <c r="O126" s="2"/>
      <c r="P126" s="2"/>
      <c r="Q126" s="557" t="str">
        <f>CONCATENATE(scheduleapr[[#This Row],[OD]],"-",scheduleapr[[#This Row],[ID]],"-",scheduleapr[[#This Row],[TICKNESS]],"-",scheduleapr[[#This Row],[Grade]],"-",scheduleapr[[#This Row],[FC/NFC]])</f>
        <v>29.4-20.4-4.5-CEW STKM 13C-CEW</v>
      </c>
      <c r="R126" s="557" t="str">
        <f>_xlfn.CONCAT(scheduleapr[[#This Row],[Bucket]],"-",scheduleapr[[#This Row],[LENGTH]]/1000)</f>
        <v>29.4-20.4-4.5-CEW STKM 13C-CEW-0.385</v>
      </c>
      <c r="S126" s="557">
        <f>COUNTIF(scheduleapr[CTL Bucket],scheduleapr[[#This Row],[CTL Bucket]])</f>
        <v>1</v>
      </c>
      <c r="T126" s="557"/>
      <c r="U126" s="2">
        <f>_xlfn.IFNA(VLOOKUP(scheduleapr[[#This Row],[Bucket]],salesforecast[[#All],[Bucket2]:[8406 Stock]],19,0),0)</f>
        <v>10.553280000000001</v>
      </c>
      <c r="V126" s="557"/>
      <c r="W126" s="557"/>
      <c r="X126" s="1">
        <v>29.4</v>
      </c>
      <c r="Y126" s="1">
        <v>29.4</v>
      </c>
      <c r="Z126" s="1">
        <v>20.399999999999999</v>
      </c>
      <c r="AA126" s="1">
        <v>4.5</v>
      </c>
      <c r="AB126" s="24">
        <v>385</v>
      </c>
      <c r="AC126" s="24" t="s">
        <v>397</v>
      </c>
      <c r="AD126" s="24"/>
      <c r="AE126" s="24"/>
      <c r="AF126" s="2">
        <v>6000</v>
      </c>
      <c r="AG126" s="2"/>
      <c r="AH126" s="2" cm="1">
        <f t="array" ref="AH1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6" s="4">
        <f>scheduleapr[[#This Row],[SCHEDULE in nos]]-scheduleapr[[#This Row],[DISPATCH]]</f>
        <v>6000</v>
      </c>
      <c r="AJ126" s="1">
        <f>(3.14*(scheduleapr[[#This Row],[ACTUAL OD]]-scheduleapr[[#This Row],[TICKNESS]])*scheduleapr[[#This Row],[TICKNESS]]*scheduleapr[[#This Row],[LENGTH]]*7.85)/1000000*scheduleapr[[#This Row],[SCHEDULE in nos]]/1000</f>
        <v>6.3800362394999999</v>
      </c>
      <c r="AK126" s="1">
        <f>(3.14*(scheduleapr[[#This Row],[ACTUAL OD]]-scheduleapr[[#This Row],[TICKNESS]])*scheduleapr[[#This Row],[TICKNESS]]*scheduleapr[[#This Row],[LENGTH]]*7.85)/1000000*scheduleapr[[#This Row],[DISPATCH]]/1000</f>
        <v>0</v>
      </c>
      <c r="AL126" s="1">
        <f t="shared" si="3"/>
        <v>6.3800362394999999</v>
      </c>
      <c r="AM126" s="1">
        <f>scheduleapr[[#This Row],[SCHEDULE in nos]]/scheduleapr[[#This Row],[SCHEDULE IN MT]]*scheduleapr[[#This Row],[CTL Stock]]</f>
        <v>0</v>
      </c>
      <c r="AN126" s="1">
        <f>SUMIFS(stock[MT],stock[Bucket],scheduleapr[[#This Row],[Bucket]],stock[CTL Bucket],scheduleapr[[#This Row],[CTL Bucket]],stock[Plant],"0789")</f>
        <v>0</v>
      </c>
      <c r="AO126" s="1"/>
      <c r="AP126" s="1">
        <f>SUMIFS(stock[MT],stock[Bucket],scheduleapr[[#This Row],[Bucket]],stock[LL or CTL],"LL")</f>
        <v>102.42428000000004</v>
      </c>
      <c r="AQ126" s="1">
        <f>+SUMIFS(wip[Stock(Net Wt)],wip[Bucket],scheduleapr[[#This Row],[Bucket]])/1000</f>
        <v>0</v>
      </c>
      <c r="AR126" s="1">
        <f t="shared" si="4"/>
        <v>6.3800362394999999</v>
      </c>
      <c r="AS126" s="118"/>
    </row>
    <row r="127" spans="1:45" x14ac:dyDescent="0.25">
      <c r="A127" s="30">
        <v>103</v>
      </c>
      <c r="B127" s="5" t="s">
        <v>1872</v>
      </c>
      <c r="C127" s="2" t="s">
        <v>288</v>
      </c>
      <c r="D127" s="2" t="s">
        <v>949</v>
      </c>
      <c r="E127" s="2">
        <v>188934</v>
      </c>
      <c r="F127" s="2">
        <v>1939282</v>
      </c>
      <c r="G127" s="2" t="str">
        <f>_xlfn.CONCAT(scheduleapr[[#This Row],[CUSTOMER CODE]],"-",scheduleapr[[#This Row],[MATERIAL NO]])</f>
        <v>188934-1939282</v>
      </c>
      <c r="H127" s="2" t="s">
        <v>1920</v>
      </c>
      <c r="I127" s="2" t="s">
        <v>1023</v>
      </c>
      <c r="J127" s="2"/>
      <c r="K127" s="2" t="s">
        <v>357</v>
      </c>
      <c r="L127" s="2" t="s">
        <v>239</v>
      </c>
      <c r="M127" s="2"/>
      <c r="N127" s="2"/>
      <c r="O127" s="2"/>
      <c r="P127" s="2"/>
      <c r="Q127" s="557" t="str">
        <f>CONCATENATE(scheduleapr[[#This Row],[OD]],"-",scheduleapr[[#This Row],[ID]],"-",scheduleapr[[#This Row],[TICKNESS]],"-",scheduleapr[[#This Row],[Grade]],"-",scheduleapr[[#This Row],[FC/NFC]])</f>
        <v>29.4-20.4-4.5-CEW STKM 13C-CEW</v>
      </c>
      <c r="R127" s="557" t="str">
        <f>_xlfn.CONCAT(scheduleapr[[#This Row],[Bucket]],"-",scheduleapr[[#This Row],[LENGTH]]/1000)</f>
        <v>29.4-20.4-4.5-CEW STKM 13C-CEW-0.45</v>
      </c>
      <c r="S127" s="557">
        <f>COUNTIF(scheduleapr[CTL Bucket],scheduleapr[[#This Row],[CTL Bucket]])</f>
        <v>1</v>
      </c>
      <c r="T127" s="2" t="s">
        <v>1817</v>
      </c>
      <c r="U127" s="2">
        <f>_xlfn.IFNA(VLOOKUP(scheduleapr[[#This Row],[Bucket]],salesforecast[[#All],[Bucket2]:[8406 Stock]],19,0),0)</f>
        <v>10.553280000000001</v>
      </c>
      <c r="V127" s="557"/>
      <c r="W127" s="557"/>
      <c r="X127" s="1">
        <v>29.4</v>
      </c>
      <c r="Y127" s="1">
        <v>29.4</v>
      </c>
      <c r="Z127" s="1">
        <v>20.399999999999999</v>
      </c>
      <c r="AA127" s="1">
        <v>4.5</v>
      </c>
      <c r="AB127" s="24">
        <v>450</v>
      </c>
      <c r="AC127" s="24" t="s">
        <v>397</v>
      </c>
      <c r="AD127" s="24"/>
      <c r="AE127" s="24"/>
      <c r="AF127" s="2">
        <v>4000</v>
      </c>
      <c r="AG127" s="2"/>
      <c r="AH127" s="2" cm="1">
        <f t="array" ref="AH1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7" s="4">
        <f>scheduleapr[[#This Row],[SCHEDULE in nos]]-scheduleapr[[#This Row],[DISPATCH]]</f>
        <v>4000</v>
      </c>
      <c r="AJ127" s="1">
        <f>(3.14*(scheduleapr[[#This Row],[ACTUAL OD]]-scheduleapr[[#This Row],[TICKNESS]])*scheduleapr[[#This Row],[TICKNESS]]*scheduleapr[[#This Row],[LENGTH]]*7.85)/1000000*scheduleapr[[#This Row],[SCHEDULE in nos]]/1000</f>
        <v>4.9714568099999994</v>
      </c>
      <c r="AK127" s="1">
        <f>(3.14*(scheduleapr[[#This Row],[ACTUAL OD]]-scheduleapr[[#This Row],[TICKNESS]])*scheduleapr[[#This Row],[TICKNESS]]*scheduleapr[[#This Row],[LENGTH]]*7.85)/1000000*scheduleapr[[#This Row],[DISPATCH]]/1000</f>
        <v>0</v>
      </c>
      <c r="AL127" s="1">
        <f t="shared" si="3"/>
        <v>4.9714568099999994</v>
      </c>
      <c r="AM127" s="1">
        <f>scheduleapr[[#This Row],[SCHEDULE in nos]]/scheduleapr[[#This Row],[SCHEDULE IN MT]]*scheduleapr[[#This Row],[CTL Stock]]</f>
        <v>0</v>
      </c>
      <c r="AN127" s="1">
        <f>SUMIFS(stock[MT],stock[Bucket],scheduleapr[[#This Row],[Bucket]],stock[CTL Bucket],scheduleapr[[#This Row],[CTL Bucket]],stock[Plant],"0789")</f>
        <v>0</v>
      </c>
      <c r="AO127" s="1"/>
      <c r="AP127" s="1">
        <f>SUMIFS(stock[MT],stock[Bucket],scheduleapr[[#This Row],[Bucket]],stock[LL or CTL],"LL")</f>
        <v>102.42428000000004</v>
      </c>
      <c r="AQ127" s="1">
        <f>+SUMIFS(wip[Stock(Net Wt)],wip[Bucket],scheduleapr[[#This Row],[Bucket]])/1000</f>
        <v>0</v>
      </c>
      <c r="AR127" s="1">
        <f t="shared" si="4"/>
        <v>4.9714568099999994</v>
      </c>
      <c r="AS127" s="118"/>
    </row>
    <row r="128" spans="1:45" x14ac:dyDescent="0.25">
      <c r="A128" s="30">
        <v>105</v>
      </c>
      <c r="B128" s="5" t="s">
        <v>1816</v>
      </c>
      <c r="C128" s="2" t="s">
        <v>25</v>
      </c>
      <c r="D128" s="2" t="s">
        <v>950</v>
      </c>
      <c r="E128" s="2">
        <v>819045</v>
      </c>
      <c r="F128" s="2">
        <v>235292</v>
      </c>
      <c r="G128" s="2" t="str">
        <f>_xlfn.CONCAT(scheduleapr[[#This Row],[CUSTOMER CODE]],"-",scheduleapr[[#This Row],[MATERIAL NO]])</f>
        <v>819045-235292</v>
      </c>
      <c r="H128" s="2" t="s">
        <v>1384</v>
      </c>
      <c r="I128" s="2" t="s">
        <v>962</v>
      </c>
      <c r="J128" s="2"/>
      <c r="K128" s="2" t="s">
        <v>963</v>
      </c>
      <c r="L128" s="2" t="s">
        <v>239</v>
      </c>
      <c r="M128" s="2"/>
      <c r="N128" s="2"/>
      <c r="O128" s="2"/>
      <c r="P128" s="2"/>
      <c r="Q128" s="557" t="str">
        <f>CONCATENATE(scheduleapr[[#This Row],[OD]],"-",scheduleapr[[#This Row],[ID]],"-",scheduleapr[[#This Row],[TICKNESS]],"-",scheduleapr[[#This Row],[Grade]],"-",scheduleapr[[#This Row],[FC/NFC]])</f>
        <v>19.05-0-2-ERW 1-PE</v>
      </c>
      <c r="R128" s="557" t="str">
        <f>_xlfn.CONCAT(scheduleapr[[#This Row],[Bucket]],"-",scheduleapr[[#This Row],[LENGTH]]/1000)</f>
        <v>19.05-0-2-ERW 1-PE-1</v>
      </c>
      <c r="S128" s="557">
        <f>COUNTIF(scheduleapr[CTL Bucket],scheduleapr[[#This Row],[CTL Bucket]])</f>
        <v>1</v>
      </c>
      <c r="T128" s="2" t="s">
        <v>1816</v>
      </c>
      <c r="U128" s="2"/>
      <c r="V128" s="557"/>
      <c r="W128" s="557"/>
      <c r="X128" s="1">
        <v>19.05</v>
      </c>
      <c r="Y128" s="1">
        <v>19.05</v>
      </c>
      <c r="Z128" s="1">
        <v>0</v>
      </c>
      <c r="AA128" s="1">
        <v>2</v>
      </c>
      <c r="AB128" s="24">
        <v>1000</v>
      </c>
      <c r="AC128" s="24" t="s">
        <v>1911</v>
      </c>
      <c r="AD128" s="24"/>
      <c r="AE128" s="24"/>
      <c r="AF128" s="2">
        <v>4000</v>
      </c>
      <c r="AG128" s="2"/>
      <c r="AH128" s="2" cm="1">
        <f t="array" ref="AH1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8" s="4">
        <f>scheduleapr[[#This Row],[SCHEDULE in nos]]-scheduleapr[[#This Row],[DISPATCH]]</f>
        <v>4000</v>
      </c>
      <c r="AJ128" s="1">
        <f>(3.14*(scheduleapr[[#This Row],[ACTUAL OD]]-scheduleapr[[#This Row],[TICKNESS]])*scheduleapr[[#This Row],[TICKNESS]]*scheduleapr[[#This Row],[LENGTH]]*7.85)/1000000*scheduleapr[[#This Row],[SCHEDULE in nos]]/1000</f>
        <v>3.3621235999999999</v>
      </c>
      <c r="AK128" s="1">
        <f>(3.14*(scheduleapr[[#This Row],[ACTUAL OD]]-scheduleapr[[#This Row],[TICKNESS]])*scheduleapr[[#This Row],[TICKNESS]]*scheduleapr[[#This Row],[LENGTH]]*7.85)/1000000*scheduleapr[[#This Row],[DISPATCH]]/1000</f>
        <v>0</v>
      </c>
      <c r="AL128" s="1">
        <f t="shared" si="3"/>
        <v>3.3621235999999999</v>
      </c>
      <c r="AM128" s="1">
        <f>scheduleapr[[#This Row],[SCHEDULE in nos]]/scheduleapr[[#This Row],[SCHEDULE IN MT]]*scheduleapr[[#This Row],[CTL Stock]]</f>
        <v>0</v>
      </c>
      <c r="AN128" s="1">
        <f>SUMIFS(stock[MT],stock[Bucket],scheduleapr[[#This Row],[Bucket]],stock[CTL Bucket],scheduleapr[[#This Row],[CTL Bucket]],stock[Plant],"0789")</f>
        <v>0</v>
      </c>
      <c r="AO128" s="1"/>
      <c r="AP128" s="1">
        <f>SUMIFS(stock[MT],stock[Bucket],scheduleapr[[#This Row],[Bucket]],stock[LL or CTL],"LL")</f>
        <v>0</v>
      </c>
      <c r="AQ128" s="1">
        <f>+SUMIFS(wip[Stock(Net Wt)],wip[Bucket],scheduleapr[[#This Row],[Bucket]])/1000</f>
        <v>11.189</v>
      </c>
      <c r="AR128" s="1">
        <f t="shared" si="4"/>
        <v>3.3621235999999999</v>
      </c>
      <c r="AS128" s="118"/>
    </row>
    <row r="129" spans="1:45" x14ac:dyDescent="0.25">
      <c r="A129" s="30">
        <v>106</v>
      </c>
      <c r="B129" s="5" t="s">
        <v>1816</v>
      </c>
      <c r="C129" s="2" t="s">
        <v>25</v>
      </c>
      <c r="D129" s="2" t="s">
        <v>950</v>
      </c>
      <c r="E129" s="2">
        <v>819045</v>
      </c>
      <c r="F129" s="2">
        <v>3533249</v>
      </c>
      <c r="G129" s="2" t="str">
        <f>_xlfn.CONCAT(scheduleapr[[#This Row],[CUSTOMER CODE]],"-",scheduleapr[[#This Row],[MATERIAL NO]])</f>
        <v>819045-3533249</v>
      </c>
      <c r="H129" s="2" t="s">
        <v>733</v>
      </c>
      <c r="I129" s="2" t="s">
        <v>962</v>
      </c>
      <c r="J129" s="2"/>
      <c r="K129" s="2" t="s">
        <v>963</v>
      </c>
      <c r="L129" s="2" t="s">
        <v>1867</v>
      </c>
      <c r="M129" s="44" t="s">
        <v>1891</v>
      </c>
      <c r="N129" s="2"/>
      <c r="O129" s="2"/>
      <c r="P129" s="2"/>
      <c r="Q129" s="557" t="str">
        <f>CONCATENATE(scheduleapr[[#This Row],[OD]],"-",scheduleapr[[#This Row],[ID]],"-",scheduleapr[[#This Row],[TICKNESS]],"-",scheduleapr[[#This Row],[Grade]],"-",scheduleapr[[#This Row],[FC/NFC]])</f>
        <v>22.23-0-1.6-ERW 1-PE</v>
      </c>
      <c r="R129" s="557" t="str">
        <f>_xlfn.CONCAT(scheduleapr[[#This Row],[Bucket]],"-",scheduleapr[[#This Row],[LENGTH]]/1000)</f>
        <v>22.23-0-1.6-ERW 1-PE-1.222</v>
      </c>
      <c r="S129" s="557">
        <f>COUNTIF(scheduleapr[CTL Bucket],scheduleapr[[#This Row],[CTL Bucket]])</f>
        <v>1</v>
      </c>
      <c r="T129" s="2" t="s">
        <v>1816</v>
      </c>
      <c r="U129" s="2"/>
      <c r="V129" s="557"/>
      <c r="W129" s="557"/>
      <c r="X129" s="1">
        <v>22.23</v>
      </c>
      <c r="Y129" s="1">
        <v>22.23</v>
      </c>
      <c r="Z129" s="1">
        <v>0</v>
      </c>
      <c r="AA129" s="1">
        <v>1.6</v>
      </c>
      <c r="AB129" s="24">
        <v>1222</v>
      </c>
      <c r="AC129" s="24" t="s">
        <v>397</v>
      </c>
      <c r="AD129" s="24"/>
      <c r="AE129" s="24"/>
      <c r="AF129" s="2"/>
      <c r="AG129" s="2"/>
      <c r="AH129" s="2" cm="1">
        <f t="array" ref="AH1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7380</v>
      </c>
      <c r="AI129" s="4">
        <f>scheduleapr[[#This Row],[SCHEDULE in nos]]-scheduleapr[[#This Row],[DISPATCH]]</f>
        <v>-7380</v>
      </c>
      <c r="AJ129" s="1">
        <f>(3.14*(scheduleapr[[#This Row],[ACTUAL OD]]-scheduleapr[[#This Row],[TICKNESS]])*scheduleapr[[#This Row],[TICKNESS]]*scheduleapr[[#This Row],[LENGTH]]*7.85)/1000000*scheduleapr[[#This Row],[SCHEDULE in nos]]/1000</f>
        <v>0</v>
      </c>
      <c r="AK129" s="1">
        <f>(3.14*(scheduleapr[[#This Row],[ACTUAL OD]]-scheduleapr[[#This Row],[TICKNESS]])*scheduleapr[[#This Row],[TICKNESS]]*scheduleapr[[#This Row],[LENGTH]]*7.85)/1000000*scheduleapr[[#This Row],[DISPATCH]]/1000</f>
        <v>7.33746568456512</v>
      </c>
      <c r="AL129" s="1">
        <f t="shared" si="3"/>
        <v>-7.33746568456512</v>
      </c>
      <c r="AM129" s="1" t="e">
        <f>scheduleapr[[#This Row],[SCHEDULE in nos]]/scheduleapr[[#This Row],[SCHEDULE IN MT]]*scheduleapr[[#This Row],[CTL Stock]]</f>
        <v>#DIV/0!</v>
      </c>
      <c r="AN129" s="1">
        <f>SUMIFS(stock[MT],stock[Bucket],scheduleapr[[#This Row],[Bucket]],stock[CTL Bucket],scheduleapr[[#This Row],[CTL Bucket]],stock[Plant],"0789")</f>
        <v>0</v>
      </c>
      <c r="AO129" s="1"/>
      <c r="AP129" s="1">
        <f>SUMIFS(stock[MT],stock[Bucket],scheduleapr[[#This Row],[Bucket]],stock[LL or CTL],"LL")</f>
        <v>62.742162000000008</v>
      </c>
      <c r="AQ129" s="1">
        <f>+SUMIFS(wip[Stock(Net Wt)],wip[Bucket],scheduleapr[[#This Row],[Bucket]])/1000</f>
        <v>0</v>
      </c>
      <c r="AR129" s="1">
        <f t="shared" si="4"/>
        <v>0</v>
      </c>
      <c r="AS129" s="118"/>
    </row>
    <row r="130" spans="1:45" x14ac:dyDescent="0.25">
      <c r="A130" s="30">
        <v>107</v>
      </c>
      <c r="B130" s="5" t="s">
        <v>1816</v>
      </c>
      <c r="C130" s="2" t="s">
        <v>25</v>
      </c>
      <c r="D130" s="2" t="s">
        <v>950</v>
      </c>
      <c r="E130" s="2">
        <v>819045</v>
      </c>
      <c r="F130" s="2">
        <v>3533248</v>
      </c>
      <c r="G130" s="2" t="str">
        <f>_xlfn.CONCAT(scheduleapr[[#This Row],[CUSTOMER CODE]],"-",scheduleapr[[#This Row],[MATERIAL NO]])</f>
        <v>819045-3533248</v>
      </c>
      <c r="H130" s="2" t="s">
        <v>735</v>
      </c>
      <c r="I130" s="2" t="s">
        <v>962</v>
      </c>
      <c r="J130" s="2"/>
      <c r="K130" s="2" t="s">
        <v>963</v>
      </c>
      <c r="L130" s="2" t="s">
        <v>1867</v>
      </c>
      <c r="M130" s="44" t="s">
        <v>1891</v>
      </c>
      <c r="N130" s="2"/>
      <c r="O130" s="2"/>
      <c r="P130" s="2"/>
      <c r="Q130" s="557" t="str">
        <f>CONCATENATE(scheduleapr[[#This Row],[OD]],"-",scheduleapr[[#This Row],[ID]],"-",scheduleapr[[#This Row],[TICKNESS]],"-",scheduleapr[[#This Row],[Grade]],"-",scheduleapr[[#This Row],[FC/NFC]])</f>
        <v>22.23-0-1.6-ERW 1-PE</v>
      </c>
      <c r="R130" s="557" t="str">
        <f>_xlfn.CONCAT(scheduleapr[[#This Row],[Bucket]],"-",scheduleapr[[#This Row],[LENGTH]]/1000)</f>
        <v>22.23-0-1.6-ERW 1-PE-1.29</v>
      </c>
      <c r="S130" s="557">
        <f>COUNTIF(scheduleapr[CTL Bucket],scheduleapr[[#This Row],[CTL Bucket]])</f>
        <v>1</v>
      </c>
      <c r="T130" s="2" t="s">
        <v>1816</v>
      </c>
      <c r="U130" s="2"/>
      <c r="V130" s="557"/>
      <c r="W130" s="557"/>
      <c r="X130" s="1">
        <v>22.23</v>
      </c>
      <c r="Y130" s="1">
        <v>22.23</v>
      </c>
      <c r="Z130" s="1">
        <v>0</v>
      </c>
      <c r="AA130" s="1">
        <v>1.6</v>
      </c>
      <c r="AB130" s="24">
        <v>1290</v>
      </c>
      <c r="AC130" s="24" t="s">
        <v>397</v>
      </c>
      <c r="AD130" s="24"/>
      <c r="AE130" s="24"/>
      <c r="AF130" s="2">
        <v>10000</v>
      </c>
      <c r="AG130" s="2"/>
      <c r="AH130" s="2" cm="1">
        <f t="array" ref="AH1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6013</v>
      </c>
      <c r="AI130" s="4">
        <f>scheduleapr[[#This Row],[SCHEDULE in nos]]-scheduleapr[[#This Row],[DISPATCH]]</f>
        <v>3987</v>
      </c>
      <c r="AJ130" s="1">
        <f>(3.14*(scheduleapr[[#This Row],[ACTUAL OD]]-scheduleapr[[#This Row],[TICKNESS]])*scheduleapr[[#This Row],[TICKNESS]]*scheduleapr[[#This Row],[LENGTH]]*7.85)/1000000*scheduleapr[[#This Row],[SCHEDULE in nos]]/1000</f>
        <v>10.495623076800001</v>
      </c>
      <c r="AK130" s="1">
        <f>(3.14*(scheduleapr[[#This Row],[ACTUAL OD]]-scheduleapr[[#This Row],[TICKNESS]])*scheduleapr[[#This Row],[TICKNESS]]*scheduleapr[[#This Row],[LENGTH]]*7.85)/1000000*scheduleapr[[#This Row],[DISPATCH]]/1000</f>
        <v>6.3110181560798404</v>
      </c>
      <c r="AL130" s="1">
        <f t="shared" si="3"/>
        <v>4.1846049207201608</v>
      </c>
      <c r="AM130" s="1">
        <f>scheduleapr[[#This Row],[SCHEDULE in nos]]/scheduleapr[[#This Row],[SCHEDULE IN MT]]*scheduleapr[[#This Row],[CTL Stock]]</f>
        <v>0</v>
      </c>
      <c r="AN130" s="1">
        <f>SUMIFS(stock[MT],stock[Bucket],scheduleapr[[#This Row],[Bucket]],stock[CTL Bucket],scheduleapr[[#This Row],[CTL Bucket]],stock[Plant],"0789")</f>
        <v>0</v>
      </c>
      <c r="AO130" s="1"/>
      <c r="AP130" s="1">
        <f>SUMIFS(stock[MT],stock[Bucket],scheduleapr[[#This Row],[Bucket]],stock[LL or CTL],"LL")</f>
        <v>62.742162000000008</v>
      </c>
      <c r="AQ130" s="1">
        <f>+SUMIFS(wip[Stock(Net Wt)],wip[Bucket],scheduleapr[[#This Row],[Bucket]])/1000</f>
        <v>0</v>
      </c>
      <c r="AR130" s="1">
        <f t="shared" si="4"/>
        <v>10.495623076800001</v>
      </c>
      <c r="AS130" s="118"/>
    </row>
    <row r="131" spans="1:45" x14ac:dyDescent="0.25">
      <c r="A131" s="30">
        <v>111</v>
      </c>
      <c r="B131" s="5" t="s">
        <v>1816</v>
      </c>
      <c r="C131" s="2" t="s">
        <v>25</v>
      </c>
      <c r="D131" s="2" t="s">
        <v>950</v>
      </c>
      <c r="E131" s="2">
        <v>819045</v>
      </c>
      <c r="F131" s="2">
        <v>3138219</v>
      </c>
      <c r="G131" s="2" t="str">
        <f>_xlfn.CONCAT(scheduleapr[[#This Row],[CUSTOMER CODE]],"-",scheduleapr[[#This Row],[MATERIAL NO]])</f>
        <v>819045-3138219</v>
      </c>
      <c r="H131" s="2" t="s">
        <v>1921</v>
      </c>
      <c r="I131" s="2" t="s">
        <v>962</v>
      </c>
      <c r="J131" s="2"/>
      <c r="K131" s="2" t="s">
        <v>1003</v>
      </c>
      <c r="L131" s="2" t="s">
        <v>1867</v>
      </c>
      <c r="M131" s="2"/>
      <c r="N131" s="2"/>
      <c r="O131" s="2"/>
      <c r="P131" s="2"/>
      <c r="Q131" s="557" t="str">
        <f>CONCATENATE(scheduleapr[[#This Row],[OD]],"-",scheduleapr[[#This Row],[ID]],"-",scheduleapr[[#This Row],[TICKNESS]],"-",scheduleapr[[#This Row],[Grade]],"-",scheduleapr[[#This Row],[FC/NFC]])</f>
        <v>34.93-0-1.2-ERW 1-FC</v>
      </c>
      <c r="R131" s="557" t="str">
        <f>_xlfn.CONCAT(scheduleapr[[#This Row],[Bucket]],"-",scheduleapr[[#This Row],[LENGTH]]/1000)</f>
        <v>34.93-0-1.2-ERW 1-FC-0.39</v>
      </c>
      <c r="S131" s="557" t="e" vm="2">
        <f>COUNTIF([2]!buckets[CTL Bucket],[2]!scheduleapr[[#This Row],[CTL Bucket]])</f>
        <v>#REF!</v>
      </c>
      <c r="T131" s="2" t="s">
        <v>1816</v>
      </c>
      <c r="U131" s="2"/>
      <c r="V131" s="557"/>
      <c r="W131" s="557"/>
      <c r="X131" s="1">
        <v>34.93</v>
      </c>
      <c r="Y131" s="1">
        <v>34.93</v>
      </c>
      <c r="Z131" s="1">
        <v>0</v>
      </c>
      <c r="AA131" s="1">
        <v>1.2</v>
      </c>
      <c r="AB131" s="24">
        <v>390</v>
      </c>
      <c r="AC131" s="24" t="s">
        <v>397</v>
      </c>
      <c r="AD131" s="24"/>
      <c r="AE131" s="24"/>
      <c r="AF131" s="2"/>
      <c r="AG131" s="2"/>
      <c r="AH131" s="2" cm="1">
        <f t="array" ref="AH1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1" s="4">
        <f>scheduleapr[[#This Row],[SCHEDULE in nos]]-scheduleapr[[#This Row],[DISPATCH]]</f>
        <v>0</v>
      </c>
      <c r="AJ131" s="1">
        <f>(3.14*(scheduleapr[[#This Row],[ACTUAL OD]]-scheduleapr[[#This Row],[TICKNESS]])*scheduleapr[[#This Row],[TICKNESS]]*scheduleapr[[#This Row],[LENGTH]]*7.85)/1000000*scheduleapr[[#This Row],[SCHEDULE in nos]]/1000</f>
        <v>0</v>
      </c>
      <c r="AK131" s="1">
        <f>(3.14*(scheduleapr[[#This Row],[ACTUAL OD]]-scheduleapr[[#This Row],[TICKNESS]])*scheduleapr[[#This Row],[TICKNESS]]*scheduleapr[[#This Row],[LENGTH]]*7.85)/1000000*scheduleapr[[#This Row],[DISPATCH]]/1000</f>
        <v>0</v>
      </c>
      <c r="AL131" s="1">
        <f t="shared" si="3"/>
        <v>0</v>
      </c>
      <c r="AM131" s="1" t="e">
        <f>scheduleapr[[#This Row],[SCHEDULE in nos]]/scheduleapr[[#This Row],[SCHEDULE IN MT]]*scheduleapr[[#This Row],[CTL Stock]]</f>
        <v>#DIV/0!</v>
      </c>
      <c r="AN131" s="1">
        <f>SUMIFS(stock[MT],stock[Bucket],scheduleapr[[#This Row],[Bucket]],stock[CTL Bucket],scheduleapr[[#This Row],[CTL Bucket]],stock[Plant],"0789")</f>
        <v>0</v>
      </c>
      <c r="AO131" s="1"/>
      <c r="AP131" s="1">
        <f>SUMIFS(stock[MT],stock[Bucket],scheduleapr[[#This Row],[Bucket]],stock[LL or CTL],"LL")</f>
        <v>0</v>
      </c>
      <c r="AQ131" s="1">
        <f>+SUMIFS(wip[Stock(Net Wt)],wip[Bucket],scheduleapr[[#This Row],[Bucket]])/1000</f>
        <v>0</v>
      </c>
      <c r="AR131" s="1">
        <f t="shared" si="4"/>
        <v>0</v>
      </c>
      <c r="AS131" s="118"/>
    </row>
    <row r="132" spans="1:45" x14ac:dyDescent="0.25">
      <c r="A132" s="30">
        <v>113</v>
      </c>
      <c r="B132" s="5" t="s">
        <v>1872</v>
      </c>
      <c r="C132" s="2" t="s">
        <v>25</v>
      </c>
      <c r="D132" s="2" t="s">
        <v>950</v>
      </c>
      <c r="E132" s="2">
        <v>819045</v>
      </c>
      <c r="F132" s="2">
        <v>3500714</v>
      </c>
      <c r="G132" s="2" t="str">
        <f>_xlfn.CONCAT(scheduleapr[[#This Row],[CUSTOMER CODE]],"-",scheduleapr[[#This Row],[MATERIAL NO]])</f>
        <v>819045-3500714</v>
      </c>
      <c r="H132" s="2" t="s">
        <v>1922</v>
      </c>
      <c r="I132" s="2" t="s">
        <v>962</v>
      </c>
      <c r="J132" s="2" t="s">
        <v>1894</v>
      </c>
      <c r="K132" s="2"/>
      <c r="L132" s="2" t="s">
        <v>239</v>
      </c>
      <c r="M132" s="2"/>
      <c r="N132" s="2"/>
      <c r="O132" s="2"/>
      <c r="P132" s="2"/>
      <c r="Q132" s="557" t="str">
        <f>CONCATENATE(scheduleapr[[#This Row],[OD]],"-",scheduleapr[[#This Row],[ID]],"-",scheduleapr[[#This Row],[TICKNESS]],"-",scheduleapr[[#This Row],[Grade]],"-",scheduleapr[[#This Row],[FC/NFC]])</f>
        <v>42.7-0-4-ERW 1-</v>
      </c>
      <c r="R132" s="557" t="str">
        <f>_xlfn.CONCAT(scheduleapr[[#This Row],[Bucket]],"-",scheduleapr[[#This Row],[LENGTH]]/1000)</f>
        <v>42.7-0-4-ERW 1--5.5</v>
      </c>
      <c r="S132" s="557" t="e" vm="2">
        <f>COUNTIF([2]!buckets[CTL Bucket],[2]!scheduleapr[[#This Row],[CTL Bucket]])</f>
        <v>#REF!</v>
      </c>
      <c r="T132" s="557"/>
      <c r="U132" s="557"/>
      <c r="V132" s="557"/>
      <c r="W132" s="557"/>
      <c r="X132" s="1">
        <v>42.7</v>
      </c>
      <c r="Y132" s="1">
        <v>42.7</v>
      </c>
      <c r="Z132" s="1">
        <v>0</v>
      </c>
      <c r="AA132" s="1">
        <v>4</v>
      </c>
      <c r="AB132" s="24">
        <v>5500</v>
      </c>
      <c r="AC132" s="24"/>
      <c r="AD132" s="24"/>
      <c r="AE132" s="24"/>
      <c r="AF132" s="2"/>
      <c r="AG132" s="2"/>
      <c r="AH132" s="2" t="e" cm="1">
        <f t="array" ref="AH1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32" s="4" t="e">
        <f>scheduleapr[[#This Row],[SCHEDULE in nos]]-scheduleapr[[#This Row],[DISPATCH]]</f>
        <v>#N/A</v>
      </c>
      <c r="AJ132" s="1">
        <f>(3.14*(scheduleapr[[#This Row],[ACTUAL OD]]-scheduleapr[[#This Row],[TICKNESS]])*scheduleapr[[#This Row],[TICKNESS]]*scheduleapr[[#This Row],[LENGTH]]*7.85)/1000000*scheduleapr[[#This Row],[SCHEDULE in nos]]/1000</f>
        <v>0</v>
      </c>
      <c r="AK132" s="1" t="e">
        <f>(3.14*(scheduleapr[[#This Row],[ACTUAL OD]]-scheduleapr[[#This Row],[TICKNESS]])*scheduleapr[[#This Row],[TICKNESS]]*scheduleapr[[#This Row],[LENGTH]]*7.85)/1000000*scheduleapr[[#This Row],[DISPATCH]]/1000</f>
        <v>#N/A</v>
      </c>
      <c r="AL132" s="1" t="e">
        <f t="shared" ref="AL132:AL195" si="5">AJ132-AK132</f>
        <v>#N/A</v>
      </c>
      <c r="AM132" s="1" t="e">
        <f>scheduleapr[[#This Row],[SCHEDULE in nos]]/scheduleapr[[#This Row],[SCHEDULE IN MT]]*scheduleapr[[#This Row],[CTL Stock]]</f>
        <v>#DIV/0!</v>
      </c>
      <c r="AN132" s="1">
        <f>SUMIFS(stock[MT],stock[Bucket],scheduleapr[[#This Row],[Bucket]],stock[CTL Bucket],scheduleapr[[#This Row],[CTL Bucket]],stock[Plant],"0789")</f>
        <v>0</v>
      </c>
      <c r="AO132" s="1"/>
      <c r="AP132" s="1">
        <f>SUMIFS(stock[MT],stock[Bucket],scheduleapr[[#This Row],[Bucket]],stock[LL or CTL],"LL")</f>
        <v>0</v>
      </c>
      <c r="AQ132" s="1">
        <f>+SUMIFS(wip[Stock(Net Wt)],wip[Bucket],scheduleapr[[#This Row],[Bucket]])/1000</f>
        <v>0</v>
      </c>
      <c r="AR132" s="1">
        <f t="shared" ref="AR132:AR195" si="6">AJ132-AN132</f>
        <v>0</v>
      </c>
      <c r="AS132" s="118"/>
    </row>
    <row r="133" spans="1:45" x14ac:dyDescent="0.25">
      <c r="A133" s="30">
        <v>109</v>
      </c>
      <c r="B133" s="5" t="s">
        <v>1816</v>
      </c>
      <c r="C133" s="2" t="s">
        <v>25</v>
      </c>
      <c r="D133" s="2" t="s">
        <v>950</v>
      </c>
      <c r="E133" s="2">
        <v>819045</v>
      </c>
      <c r="F133" s="2">
        <v>1940467</v>
      </c>
      <c r="G133" s="2" t="str">
        <f>_xlfn.CONCAT(scheduleapr[[#This Row],[CUSTOMER CODE]],"-",scheduleapr[[#This Row],[MATERIAL NO]])</f>
        <v>819045-1940467</v>
      </c>
      <c r="H133" s="2" t="s">
        <v>1923</v>
      </c>
      <c r="I133" s="2" t="s">
        <v>985</v>
      </c>
      <c r="J133" s="2"/>
      <c r="K133" s="2" t="s">
        <v>963</v>
      </c>
      <c r="L133" s="2" t="s">
        <v>239</v>
      </c>
      <c r="M133" s="44" t="s">
        <v>1924</v>
      </c>
      <c r="N133" s="2"/>
      <c r="O133" s="2"/>
      <c r="P133" s="2"/>
      <c r="Q133" s="557" t="str">
        <f>CONCATENATE(scheduleapr[[#This Row],[OD]],"-",scheduleapr[[#This Row],[ID]],"-",scheduleapr[[#This Row],[TICKNESS]],"-",scheduleapr[[#This Row],[Grade]],"-",scheduleapr[[#This Row],[FC/NFC]])</f>
        <v>22.23-0-2-ERW 2 MAHS-PE</v>
      </c>
      <c r="R133" s="557" t="str">
        <f>_xlfn.CONCAT(scheduleapr[[#This Row],[Bucket]],"-",scheduleapr[[#This Row],[LENGTH]]/1000)</f>
        <v>22.23-0-2-ERW 2 MAHS-PE-0.812</v>
      </c>
      <c r="S133" s="557">
        <f>COUNTIF(scheduleapr[CTL Bucket],scheduleapr[[#This Row],[CTL Bucket]])</f>
        <v>1</v>
      </c>
      <c r="T133" s="557"/>
      <c r="U133" s="557"/>
      <c r="V133" s="557"/>
      <c r="W133" s="557"/>
      <c r="X133" s="1">
        <v>22.23</v>
      </c>
      <c r="Y133" s="1">
        <v>22.23</v>
      </c>
      <c r="Z133" s="1">
        <v>0</v>
      </c>
      <c r="AA133" s="1">
        <v>2</v>
      </c>
      <c r="AB133" s="24">
        <v>812</v>
      </c>
      <c r="AC133" s="24" t="s">
        <v>397</v>
      </c>
      <c r="AD133" s="24"/>
      <c r="AE133" s="24"/>
      <c r="AF133" s="2">
        <v>1000</v>
      </c>
      <c r="AG133" s="2"/>
      <c r="AH133" s="2" cm="1">
        <f t="array" ref="AH1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133" s="4">
        <f>scheduleapr[[#This Row],[SCHEDULE in nos]]-scheduleapr[[#This Row],[DISPATCH]]</f>
        <v>500</v>
      </c>
      <c r="AJ133" s="1">
        <f>(3.14*(scheduleapr[[#This Row],[ACTUAL OD]]-scheduleapr[[#This Row],[TICKNESS]])*scheduleapr[[#This Row],[TICKNESS]]*scheduleapr[[#This Row],[LENGTH]]*7.85)/1000000*scheduleapr[[#This Row],[SCHEDULE in nos]]/1000</f>
        <v>0.80980641448000001</v>
      </c>
      <c r="AK133" s="1">
        <f>(3.14*(scheduleapr[[#This Row],[ACTUAL OD]]-scheduleapr[[#This Row],[TICKNESS]])*scheduleapr[[#This Row],[TICKNESS]]*scheduleapr[[#This Row],[LENGTH]]*7.85)/1000000*scheduleapr[[#This Row],[DISPATCH]]/1000</f>
        <v>0.40490320724000001</v>
      </c>
      <c r="AL133" s="1">
        <f t="shared" si="5"/>
        <v>0.40490320724000001</v>
      </c>
      <c r="AM133" s="1">
        <f>scheduleapr[[#This Row],[SCHEDULE in nos]]/scheduleapr[[#This Row],[SCHEDULE IN MT]]*scheduleapr[[#This Row],[CTL Stock]]</f>
        <v>0</v>
      </c>
      <c r="AN133" s="1">
        <f>SUMIFS(stock[MT],stock[Bucket],scheduleapr[[#This Row],[Bucket]],stock[CTL Bucket],scheduleapr[[#This Row],[CTL Bucket]],stock[Plant],"0789")</f>
        <v>0</v>
      </c>
      <c r="AO133" s="1"/>
      <c r="AP133" s="1">
        <f>SUMIFS(stock[MT],stock[Bucket],scheduleapr[[#This Row],[Bucket]],stock[LL or CTL],"LL")</f>
        <v>5.8279100000000001</v>
      </c>
      <c r="AQ133" s="1">
        <f>+SUMIFS(wip[Stock(Net Wt)],wip[Bucket],scheduleapr[[#This Row],[Bucket]])/1000</f>
        <v>0</v>
      </c>
      <c r="AR133" s="1">
        <f t="shared" si="6"/>
        <v>0.80980641448000001</v>
      </c>
      <c r="AS133" s="118"/>
    </row>
    <row r="134" spans="1:45" x14ac:dyDescent="0.25">
      <c r="A134" s="30">
        <v>108</v>
      </c>
      <c r="B134" s="5" t="s">
        <v>1816</v>
      </c>
      <c r="C134" s="2" t="s">
        <v>25</v>
      </c>
      <c r="D134" s="2" t="s">
        <v>950</v>
      </c>
      <c r="E134" s="2">
        <v>819045</v>
      </c>
      <c r="F134" s="2">
        <v>3775108</v>
      </c>
      <c r="G134" s="2" t="str">
        <f>_xlfn.CONCAT(scheduleapr[[#This Row],[CUSTOMER CODE]],"-",scheduleapr[[#This Row],[MATERIAL NO]])</f>
        <v>819045-3775108</v>
      </c>
      <c r="H134" s="2" t="s">
        <v>1925</v>
      </c>
      <c r="I134" s="2"/>
      <c r="J134" s="2"/>
      <c r="K134" s="2"/>
      <c r="L134" s="2" t="s">
        <v>239</v>
      </c>
      <c r="M134" s="2"/>
      <c r="N134" s="2"/>
      <c r="O134" s="2"/>
      <c r="P134" s="2"/>
      <c r="Q134" s="557" t="str">
        <f>CONCATENATE(scheduleapr[[#This Row],[OD]],"-",scheduleapr[[#This Row],[ID]],"-",scheduleapr[[#This Row],[TICKNESS]],"-",scheduleapr[[#This Row],[Grade]],"-",scheduleapr[[#This Row],[FC/NFC]])</f>
        <v>22.23-0-2--</v>
      </c>
      <c r="R134" s="557" t="str">
        <f>_xlfn.CONCAT(scheduleapr[[#This Row],[Bucket]],"-",scheduleapr[[#This Row],[LENGTH]]/1000)</f>
        <v>22.23-0-2---0.772</v>
      </c>
      <c r="S134" s="557" t="e" vm="2">
        <f>COUNTIF([2]!buckets[CTL Bucket],[2]!scheduleapr[[#This Row],[CTL Bucket]])</f>
        <v>#REF!</v>
      </c>
      <c r="T134" s="557"/>
      <c r="U134" s="557"/>
      <c r="V134" s="557"/>
      <c r="W134" s="557"/>
      <c r="X134" s="1">
        <v>22.23</v>
      </c>
      <c r="Y134" s="1">
        <v>22.23</v>
      </c>
      <c r="Z134" s="1">
        <v>0</v>
      </c>
      <c r="AA134" s="1">
        <v>2</v>
      </c>
      <c r="AB134" s="24">
        <v>772</v>
      </c>
      <c r="AC134" s="24"/>
      <c r="AD134" s="24"/>
      <c r="AE134" s="24"/>
      <c r="AF134" s="2"/>
      <c r="AG134" s="2"/>
      <c r="AH134" s="2" t="e" cm="1">
        <f t="array" ref="AH1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34" s="4" t="e">
        <f>scheduleapr[[#This Row],[SCHEDULE in nos]]-scheduleapr[[#This Row],[DISPATCH]]</f>
        <v>#N/A</v>
      </c>
      <c r="AJ134" s="1">
        <f>(3.14*(scheduleapr[[#This Row],[ACTUAL OD]]-scheduleapr[[#This Row],[TICKNESS]])*scheduleapr[[#This Row],[TICKNESS]]*scheduleapr[[#This Row],[LENGTH]]*7.85)/1000000*scheduleapr[[#This Row],[SCHEDULE in nos]]/1000</f>
        <v>0</v>
      </c>
      <c r="AK134" s="1" t="e">
        <f>(3.14*(scheduleapr[[#This Row],[ACTUAL OD]]-scheduleapr[[#This Row],[TICKNESS]])*scheduleapr[[#This Row],[TICKNESS]]*scheduleapr[[#This Row],[LENGTH]]*7.85)/1000000*scheduleapr[[#This Row],[DISPATCH]]/1000</f>
        <v>#N/A</v>
      </c>
      <c r="AL134" s="1" t="e">
        <f t="shared" si="5"/>
        <v>#N/A</v>
      </c>
      <c r="AM134" s="1" t="e">
        <f>scheduleapr[[#This Row],[SCHEDULE in nos]]/scheduleapr[[#This Row],[SCHEDULE IN MT]]*scheduleapr[[#This Row],[CTL Stock]]</f>
        <v>#DIV/0!</v>
      </c>
      <c r="AN134" s="1">
        <f>SUMIFS(stock[MT],stock[Bucket],scheduleapr[[#This Row],[Bucket]],stock[CTL Bucket],scheduleapr[[#This Row],[CTL Bucket]],stock[Plant],"0789")</f>
        <v>0</v>
      </c>
      <c r="AO134" s="1"/>
      <c r="AP134" s="1">
        <f>SUMIFS(stock[MT],stock[Bucket],scheduleapr[[#This Row],[Bucket]],stock[LL or CTL],"LL")</f>
        <v>0</v>
      </c>
      <c r="AQ134" s="1">
        <f>+SUMIFS(wip[Stock(Net Wt)],wip[Bucket],scheduleapr[[#This Row],[Bucket]])/1000</f>
        <v>0</v>
      </c>
      <c r="AR134" s="1">
        <f t="shared" si="6"/>
        <v>0</v>
      </c>
      <c r="AS134" s="118"/>
    </row>
    <row r="135" spans="1:45" x14ac:dyDescent="0.25">
      <c r="A135" s="30">
        <v>110</v>
      </c>
      <c r="B135" s="5" t="s">
        <v>1816</v>
      </c>
      <c r="C135" s="2" t="s">
        <v>25</v>
      </c>
      <c r="D135" s="2" t="s">
        <v>950</v>
      </c>
      <c r="E135" s="2">
        <v>819045</v>
      </c>
      <c r="F135" s="2"/>
      <c r="G135" s="2" t="str">
        <f>_xlfn.CONCAT(scheduleapr[[#This Row],[CUSTOMER CODE]],"-",scheduleapr[[#This Row],[MATERIAL NO]])</f>
        <v>819045-</v>
      </c>
      <c r="H135" s="2"/>
      <c r="I135" s="2"/>
      <c r="J135" s="2"/>
      <c r="K135" s="2"/>
      <c r="L135" s="2" t="s">
        <v>239</v>
      </c>
      <c r="M135" s="2"/>
      <c r="N135" s="2"/>
      <c r="O135" s="2"/>
      <c r="P135" s="2"/>
      <c r="Q135" s="557" t="str">
        <f>CONCATENATE(scheduleapr[[#This Row],[OD]],"-",scheduleapr[[#This Row],[ID]],"-",scheduleapr[[#This Row],[TICKNESS]],"-",scheduleapr[[#This Row],[Grade]],"-",scheduleapr[[#This Row],[FC/NFC]])</f>
        <v>25.4-0-2--</v>
      </c>
      <c r="R135" s="557" t="str">
        <f>_xlfn.CONCAT(scheduleapr[[#This Row],[Bucket]],"-",scheduleapr[[#This Row],[LENGTH]]/1000)</f>
        <v>25.4-0-2---0.6</v>
      </c>
      <c r="S135" s="557" t="e" vm="2">
        <f>COUNTIF([2]!buckets[CTL Bucket],[2]!scheduleapr[[#This Row],[CTL Bucket]])</f>
        <v>#REF!</v>
      </c>
      <c r="T135" s="557"/>
      <c r="U135" s="557"/>
      <c r="V135" s="557"/>
      <c r="W135" s="557"/>
      <c r="X135" s="1">
        <v>25.4</v>
      </c>
      <c r="Y135" s="1">
        <v>25.4</v>
      </c>
      <c r="Z135" s="1">
        <v>0</v>
      </c>
      <c r="AA135" s="1">
        <v>2</v>
      </c>
      <c r="AB135" s="24">
        <v>600</v>
      </c>
      <c r="AC135" s="24"/>
      <c r="AD135" s="24"/>
      <c r="AE135" s="24"/>
      <c r="AF135" s="2"/>
      <c r="AG135" s="2"/>
      <c r="AH135" s="2" t="e" cm="1">
        <f t="array" ref="AH1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35" s="4" t="e">
        <f>scheduleapr[[#This Row],[SCHEDULE in nos]]-scheduleapr[[#This Row],[DISPATCH]]</f>
        <v>#N/A</v>
      </c>
      <c r="AJ135" s="1">
        <f>(3.14*(scheduleapr[[#This Row],[ACTUAL OD]]-scheduleapr[[#This Row],[TICKNESS]])*scheduleapr[[#This Row],[TICKNESS]]*scheduleapr[[#This Row],[LENGTH]]*7.85)/1000000*scheduleapr[[#This Row],[SCHEDULE in nos]]/1000</f>
        <v>0</v>
      </c>
      <c r="AK135" s="1" t="e">
        <f>(3.14*(scheduleapr[[#This Row],[ACTUAL OD]]-scheduleapr[[#This Row],[TICKNESS]])*scheduleapr[[#This Row],[TICKNESS]]*scheduleapr[[#This Row],[LENGTH]]*7.85)/1000000*scheduleapr[[#This Row],[DISPATCH]]/1000</f>
        <v>#N/A</v>
      </c>
      <c r="AL135" s="1" t="e">
        <f t="shared" si="5"/>
        <v>#N/A</v>
      </c>
      <c r="AM135" s="1" t="e">
        <f>scheduleapr[[#This Row],[SCHEDULE in nos]]/scheduleapr[[#This Row],[SCHEDULE IN MT]]*scheduleapr[[#This Row],[CTL Stock]]</f>
        <v>#DIV/0!</v>
      </c>
      <c r="AN135" s="1">
        <f>SUMIFS(stock[MT],stock[Bucket],scheduleapr[[#This Row],[Bucket]],stock[CTL Bucket],scheduleapr[[#This Row],[CTL Bucket]],stock[Plant],"0789")</f>
        <v>0</v>
      </c>
      <c r="AO135" s="1"/>
      <c r="AP135" s="1">
        <f>SUMIFS(stock[MT],stock[Bucket],scheduleapr[[#This Row],[Bucket]],stock[LL or CTL],"LL")</f>
        <v>0</v>
      </c>
      <c r="AQ135" s="1">
        <f>+SUMIFS(wip[Stock(Net Wt)],wip[Bucket],scheduleapr[[#This Row],[Bucket]])/1000</f>
        <v>0</v>
      </c>
      <c r="AR135" s="1">
        <f t="shared" si="6"/>
        <v>0</v>
      </c>
      <c r="AS135" s="118"/>
    </row>
    <row r="136" spans="1:45" x14ac:dyDescent="0.25">
      <c r="A136" s="30">
        <v>112</v>
      </c>
      <c r="B136" s="5" t="s">
        <v>1816</v>
      </c>
      <c r="C136" s="2" t="s">
        <v>25</v>
      </c>
      <c r="D136" s="2" t="s">
        <v>950</v>
      </c>
      <c r="E136" s="2">
        <v>819045</v>
      </c>
      <c r="F136" s="2">
        <v>3484654</v>
      </c>
      <c r="G136" s="2" t="str">
        <f>_xlfn.CONCAT(scheduleapr[[#This Row],[CUSTOMER CODE]],"-",scheduleapr[[#This Row],[MATERIAL NO]])</f>
        <v>819045-3484654</v>
      </c>
      <c r="H136" s="2" t="s">
        <v>1926</v>
      </c>
      <c r="I136" s="2"/>
      <c r="J136" s="2"/>
      <c r="K136" s="2"/>
      <c r="L136" s="2" t="s">
        <v>239</v>
      </c>
      <c r="M136" s="2"/>
      <c r="N136" s="2"/>
      <c r="O136" s="2"/>
      <c r="P136" s="2"/>
      <c r="Q136" s="557" t="str">
        <f>CONCATENATE(scheduleapr[[#This Row],[OD]],"-",scheduleapr[[#This Row],[ID]],"-",scheduleapr[[#This Row],[TICKNESS]],"-",scheduleapr[[#This Row],[Grade]],"-",scheduleapr[[#This Row],[FC/NFC]])</f>
        <v>34.93-0-2--</v>
      </c>
      <c r="R136" s="557" t="str">
        <f>_xlfn.CONCAT(scheduleapr[[#This Row],[Bucket]],"-",scheduleapr[[#This Row],[LENGTH]]/1000)</f>
        <v>34.93-0-2---1.28</v>
      </c>
      <c r="S136" s="557" t="e" vm="2">
        <f>COUNTIF([2]!buckets[CTL Bucket],[2]!scheduleapr[[#This Row],[CTL Bucket]])</f>
        <v>#REF!</v>
      </c>
      <c r="T136" s="557"/>
      <c r="U136" s="557"/>
      <c r="V136" s="557"/>
      <c r="W136" s="557"/>
      <c r="X136" s="1">
        <v>34.93</v>
      </c>
      <c r="Y136" s="1">
        <v>34.93</v>
      </c>
      <c r="Z136" s="1">
        <v>0</v>
      </c>
      <c r="AA136" s="1">
        <v>2</v>
      </c>
      <c r="AB136" s="24">
        <v>1280</v>
      </c>
      <c r="AC136" s="24"/>
      <c r="AD136" s="24"/>
      <c r="AE136" s="24"/>
      <c r="AF136" s="2"/>
      <c r="AG136" s="2"/>
      <c r="AH136" s="2" t="e" cm="1">
        <f t="array" ref="AH1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36" s="4" t="e">
        <f>scheduleapr[[#This Row],[SCHEDULE in nos]]-scheduleapr[[#This Row],[DISPATCH]]</f>
        <v>#N/A</v>
      </c>
      <c r="AJ136" s="1">
        <f>(3.14*(scheduleapr[[#This Row],[ACTUAL OD]]-scheduleapr[[#This Row],[TICKNESS]])*scheduleapr[[#This Row],[TICKNESS]]*scheduleapr[[#This Row],[LENGTH]]*7.85)/1000000*scheduleapr[[#This Row],[SCHEDULE in nos]]/1000</f>
        <v>0</v>
      </c>
      <c r="AK136" s="1" t="e">
        <f>(3.14*(scheduleapr[[#This Row],[ACTUAL OD]]-scheduleapr[[#This Row],[TICKNESS]])*scheduleapr[[#This Row],[TICKNESS]]*scheduleapr[[#This Row],[LENGTH]]*7.85)/1000000*scheduleapr[[#This Row],[DISPATCH]]/1000</f>
        <v>#N/A</v>
      </c>
      <c r="AL136" s="1" t="e">
        <f t="shared" si="5"/>
        <v>#N/A</v>
      </c>
      <c r="AM136" s="1" t="e">
        <f>scheduleapr[[#This Row],[SCHEDULE in nos]]/scheduleapr[[#This Row],[SCHEDULE IN MT]]*scheduleapr[[#This Row],[CTL Stock]]</f>
        <v>#DIV/0!</v>
      </c>
      <c r="AN136" s="1">
        <f>SUMIFS(stock[MT],stock[Bucket],scheduleapr[[#This Row],[Bucket]],stock[CTL Bucket],scheduleapr[[#This Row],[CTL Bucket]],stock[Plant],"0789")</f>
        <v>0</v>
      </c>
      <c r="AO136" s="1"/>
      <c r="AP136" s="1">
        <f>SUMIFS(stock[MT],stock[Bucket],scheduleapr[[#This Row],[Bucket]],stock[LL or CTL],"LL")</f>
        <v>0</v>
      </c>
      <c r="AQ136" s="1">
        <f>+SUMIFS(wip[Stock(Net Wt)],wip[Bucket],scheduleapr[[#This Row],[Bucket]])/1000</f>
        <v>0</v>
      </c>
      <c r="AR136" s="1">
        <f t="shared" si="6"/>
        <v>0</v>
      </c>
      <c r="AS136" s="118"/>
    </row>
    <row r="137" spans="1:45" x14ac:dyDescent="0.25">
      <c r="A137" s="30">
        <v>114</v>
      </c>
      <c r="B137" s="5" t="s">
        <v>1816</v>
      </c>
      <c r="C137" s="2" t="s">
        <v>25</v>
      </c>
      <c r="D137" s="2" t="s">
        <v>950</v>
      </c>
      <c r="E137" s="2">
        <v>819045</v>
      </c>
      <c r="F137" s="48"/>
      <c r="G137" s="2" t="str">
        <f>_xlfn.CONCAT(scheduleapr[[#This Row],[CUSTOMER CODE]],"-",scheduleapr[[#This Row],[MATERIAL NO]])</f>
        <v>819045-</v>
      </c>
      <c r="H137" s="2" t="s">
        <v>1927</v>
      </c>
      <c r="I137" s="2"/>
      <c r="J137" s="2"/>
      <c r="K137" s="2"/>
      <c r="L137" s="2" t="s">
        <v>239</v>
      </c>
      <c r="M137" s="2"/>
      <c r="N137" s="2"/>
      <c r="O137" s="2"/>
      <c r="P137" s="2"/>
      <c r="Q137" s="557" t="str">
        <f>CONCATENATE(scheduleapr[[#This Row],[OD]],"-",scheduleapr[[#This Row],[ID]],"-",scheduleapr[[#This Row],[TICKNESS]],"-",scheduleapr[[#This Row],[Grade]],"-",scheduleapr[[#This Row],[FC/NFC]])</f>
        <v>48.6-0-3.5--</v>
      </c>
      <c r="R137" s="557" t="str">
        <f>_xlfn.CONCAT(scheduleapr[[#This Row],[Bucket]],"-",scheduleapr[[#This Row],[LENGTH]]/1000)</f>
        <v>48.6-0-3.5---0.595</v>
      </c>
      <c r="S137" s="557" t="e" vm="2">
        <f>COUNTIF([2]!buckets[CTL Bucket],[2]!scheduleapr[[#This Row],[CTL Bucket]])</f>
        <v>#REF!</v>
      </c>
      <c r="T137" s="557"/>
      <c r="U137" s="557"/>
      <c r="V137" s="557"/>
      <c r="W137" s="557"/>
      <c r="X137" s="1">
        <v>48.6</v>
      </c>
      <c r="Y137" s="1">
        <v>48.6</v>
      </c>
      <c r="Z137" s="1">
        <v>0</v>
      </c>
      <c r="AA137" s="1">
        <v>3.5</v>
      </c>
      <c r="AB137" s="24">
        <v>595</v>
      </c>
      <c r="AC137" s="24"/>
      <c r="AD137" s="24"/>
      <c r="AE137" s="24"/>
      <c r="AF137" s="2"/>
      <c r="AG137" s="2"/>
      <c r="AH137" s="2" t="e" cm="1">
        <f t="array" ref="AH1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37" s="4" t="e">
        <f>scheduleapr[[#This Row],[SCHEDULE in nos]]-scheduleapr[[#This Row],[DISPATCH]]</f>
        <v>#N/A</v>
      </c>
      <c r="AJ137" s="1">
        <f>(3.14*(scheduleapr[[#This Row],[ACTUAL OD]]-scheduleapr[[#This Row],[TICKNESS]])*scheduleapr[[#This Row],[TICKNESS]]*scheduleapr[[#This Row],[LENGTH]]*7.85)/1000000*scheduleapr[[#This Row],[SCHEDULE in nos]]/1000</f>
        <v>0</v>
      </c>
      <c r="AK137" s="1" t="e">
        <f>(3.14*(scheduleapr[[#This Row],[ACTUAL OD]]-scheduleapr[[#This Row],[TICKNESS]])*scheduleapr[[#This Row],[TICKNESS]]*scheduleapr[[#This Row],[LENGTH]]*7.85)/1000000*scheduleapr[[#This Row],[DISPATCH]]/1000</f>
        <v>#N/A</v>
      </c>
      <c r="AL137" s="1" t="e">
        <f t="shared" si="5"/>
        <v>#N/A</v>
      </c>
      <c r="AM137" s="1" t="e">
        <f>scheduleapr[[#This Row],[SCHEDULE in nos]]/scheduleapr[[#This Row],[SCHEDULE IN MT]]*scheduleapr[[#This Row],[CTL Stock]]</f>
        <v>#DIV/0!</v>
      </c>
      <c r="AN137" s="1">
        <f>SUMIFS(stock[MT],stock[Bucket],scheduleapr[[#This Row],[Bucket]],stock[CTL Bucket],scheduleapr[[#This Row],[CTL Bucket]],stock[Plant],"0789")</f>
        <v>0</v>
      </c>
      <c r="AO137" s="1"/>
      <c r="AP137" s="1">
        <f>SUMIFS(stock[MT],stock[Bucket],scheduleapr[[#This Row],[Bucket]],stock[LL or CTL],"LL")</f>
        <v>0</v>
      </c>
      <c r="AQ137" s="1">
        <f>+SUMIFS(wip[Stock(Net Wt)],wip[Bucket],scheduleapr[[#This Row],[Bucket]])/1000</f>
        <v>0</v>
      </c>
      <c r="AR137" s="1">
        <f t="shared" si="6"/>
        <v>0</v>
      </c>
      <c r="AS137" s="118"/>
    </row>
    <row r="138" spans="1:45" x14ac:dyDescent="0.25">
      <c r="A138" s="30">
        <v>629</v>
      </c>
      <c r="B138" s="5" t="s">
        <v>1872</v>
      </c>
      <c r="C138" s="2" t="s">
        <v>303</v>
      </c>
      <c r="D138" s="2" t="s">
        <v>303</v>
      </c>
      <c r="E138" s="2">
        <v>185254</v>
      </c>
      <c r="F138" s="48">
        <v>3228788</v>
      </c>
      <c r="G138" s="2" t="str">
        <f>_xlfn.CONCAT(scheduleapr[[#This Row],[CUSTOMER CODE]],"-",scheduleapr[[#This Row],[MATERIAL NO]])</f>
        <v>185254-3228788</v>
      </c>
      <c r="H138" s="2" t="s">
        <v>725</v>
      </c>
      <c r="I138" s="2" t="s">
        <v>357</v>
      </c>
      <c r="J138" s="2"/>
      <c r="K138" s="2" t="s">
        <v>357</v>
      </c>
      <c r="L138" s="2" t="s">
        <v>239</v>
      </c>
      <c r="M138" s="2"/>
      <c r="N138" s="2"/>
      <c r="O138" s="2"/>
      <c r="P138" s="2"/>
      <c r="Q138" s="557" t="str">
        <f>CONCATENATE(scheduleapr[[#This Row],[OD]],"-",scheduleapr[[#This Row],[ID]],"-",scheduleapr[[#This Row],[TICKNESS]],"-",scheduleapr[[#This Row],[Grade]],"-",scheduleapr[[#This Row],[FC/NFC]])</f>
        <v>20-17.16-1.42-CEW-CEW</v>
      </c>
      <c r="R138" s="557" t="str">
        <f>_xlfn.CONCAT(scheduleapr[[#This Row],[Bucket]],"-",scheduleapr[[#This Row],[LENGTH]]/1000)</f>
        <v>20-17.16-1.42-CEW-CEW-0.273</v>
      </c>
      <c r="S138" s="2">
        <v>1</v>
      </c>
      <c r="T138" s="2" t="s">
        <v>1817</v>
      </c>
      <c r="U138" s="2">
        <f>_xlfn.IFNA(VLOOKUP(scheduleapr[[#This Row],[Bucket]],salesforecast[[#All],[Bucket2]:[8406 Stock]],19,0),0)</f>
        <v>0</v>
      </c>
      <c r="V138" s="562">
        <f>_xlfn.IFNA(VLOOKUP(scheduleapr[[#This Row],[Bucket]],salesforecast[[#All],[Bucket2]:[8406 Stock]],20,0),0)+_xlfn.IFNA(VLOOKUP(scheduleapr[[#This Row],[Bucket]],salesforecast[[#All],[Bucket2]:[8406 Stock]],17,0),0)</f>
        <v>0</v>
      </c>
      <c r="W138" s="2"/>
      <c r="X138" s="1">
        <v>20</v>
      </c>
      <c r="Y138" s="1">
        <v>20</v>
      </c>
      <c r="Z138" s="1">
        <v>17.16</v>
      </c>
      <c r="AA138" s="1">
        <v>1.42</v>
      </c>
      <c r="AB138" s="24">
        <v>273</v>
      </c>
      <c r="AC138" s="24" t="s">
        <v>397</v>
      </c>
      <c r="AD138" s="24"/>
      <c r="AE138" s="24"/>
      <c r="AF138" s="2">
        <v>14000</v>
      </c>
      <c r="AG138" s="2"/>
      <c r="AH138" s="2" cm="1">
        <f t="array" ref="AH1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8999.9999999999982</v>
      </c>
      <c r="AI138" s="4">
        <f>scheduleapr[[#This Row],[SCHEDULE in nos]]-scheduleapr[[#This Row],[DISPATCH]]</f>
        <v>5000.0000000000018</v>
      </c>
      <c r="AJ138" s="1">
        <f>(3.14*(scheduleapr[[#This Row],[ACTUAL OD]]-scheduleapr[[#This Row],[TICKNESS]])*scheduleapr[[#This Row],[TICKNESS]]*scheduleapr[[#This Row],[LENGTH]]*7.85)/1000000*scheduleapr[[#This Row],[SCHEDULE in nos]]/1000</f>
        <v>2.4855588001607996</v>
      </c>
      <c r="AK138" s="1">
        <f>(3.14*(scheduleapr[[#This Row],[ACTUAL OD]]-scheduleapr[[#This Row],[TICKNESS]])*scheduleapr[[#This Row],[TICKNESS]]*scheduleapr[[#This Row],[LENGTH]]*7.85)/1000000*scheduleapr[[#This Row],[DISPATCH]]/1000</f>
        <v>1.5978592286747992</v>
      </c>
      <c r="AL138" s="1">
        <f t="shared" si="5"/>
        <v>0.88769957148600032</v>
      </c>
      <c r="AM138" s="1">
        <f>scheduleapr[[#This Row],[SCHEDULE in nos]]/scheduleapr[[#This Row],[SCHEDULE IN MT]]*scheduleapr[[#This Row],[CTL Stock]]</f>
        <v>0</v>
      </c>
      <c r="AN138" s="1">
        <f>SUMIFS(stock[MT],stock[Bucket],scheduleapr[[#This Row],[Bucket]],stock[CTL Bucket],scheduleapr[[#This Row],[CTL Bucket]],stock[Plant],"0789")</f>
        <v>0</v>
      </c>
      <c r="AO138" s="1"/>
      <c r="AP138" s="1">
        <f>SUMIFS(stock[MT],stock[Bucket],scheduleapr[[#This Row],[Bucket]],stock[LL or CTL],"LL")</f>
        <v>1.1719999999999999</v>
      </c>
      <c r="AQ138" s="1">
        <f>+SUMIFS(wip[Stock(Net Wt)],wip[Bucket],scheduleapr[[#This Row],[Bucket]])/1000</f>
        <v>0</v>
      </c>
      <c r="AR138" s="1">
        <f t="shared" si="6"/>
        <v>2.4855588001607996</v>
      </c>
      <c r="AS138" s="92"/>
    </row>
    <row r="139" spans="1:45" x14ac:dyDescent="0.25">
      <c r="A139" s="30">
        <v>630</v>
      </c>
      <c r="B139" s="5" t="s">
        <v>1872</v>
      </c>
      <c r="C139" s="2" t="s">
        <v>303</v>
      </c>
      <c r="D139" s="2" t="s">
        <v>303</v>
      </c>
      <c r="E139" s="2">
        <v>185254</v>
      </c>
      <c r="F139" s="48">
        <v>2256692</v>
      </c>
      <c r="G139" s="48" t="str">
        <f>_xlfn.CONCAT(scheduleapr[[#This Row],[CUSTOMER CODE]],"-",scheduleapr[[#This Row],[MATERIAL NO]])</f>
        <v>185254-2256692</v>
      </c>
      <c r="H139" s="48" t="s">
        <v>725</v>
      </c>
      <c r="I139" s="2" t="s">
        <v>962</v>
      </c>
      <c r="J139" s="2"/>
      <c r="K139" s="2" t="s">
        <v>348</v>
      </c>
      <c r="L139" s="2" t="s">
        <v>239</v>
      </c>
      <c r="M139" s="2"/>
      <c r="N139" s="2"/>
      <c r="O139" s="2"/>
      <c r="P139" s="2"/>
      <c r="Q139" s="557" t="str">
        <f>CONCATENATE(scheduleapr[[#This Row],[OD]],"-",scheduleapr[[#This Row],[ID]],"-",scheduleapr[[#This Row],[TICKNESS]],"-",scheduleapr[[#This Row],[Grade]],"-",scheduleapr[[#This Row],[FC/NFC]])</f>
        <v>59-30-1.6-ERW 1-FIN CUT</v>
      </c>
      <c r="R139" s="557" t="str">
        <f>_xlfn.CONCAT(scheduleapr[[#This Row],[Bucket]],"-",scheduleapr[[#This Row],[LENGTH]]/1000)</f>
        <v>59-30-1.6-ERW 1-FIN CUT-0.645</v>
      </c>
      <c r="S139" s="2" t="e" vm="2">
        <f>COUNTIF([2]!buckets[CTL Bucket],[2]!scheduleapr[[#This Row],[CTL Bucket]])</f>
        <v>#REF!</v>
      </c>
      <c r="T139" s="2"/>
      <c r="U139" s="2"/>
      <c r="V139" s="2"/>
      <c r="W139" s="2"/>
      <c r="X139" s="559">
        <v>48.6</v>
      </c>
      <c r="Y139" s="559">
        <v>59</v>
      </c>
      <c r="Z139" s="559">
        <v>30</v>
      </c>
      <c r="AA139" s="1">
        <v>1.6</v>
      </c>
      <c r="AB139" s="24">
        <v>645</v>
      </c>
      <c r="AC139" s="24" t="s">
        <v>397</v>
      </c>
      <c r="AD139" s="24"/>
      <c r="AE139" s="24"/>
      <c r="AF139" s="2"/>
      <c r="AG139" s="2"/>
      <c r="AH139" s="2" cm="1">
        <f t="array" ref="AH1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9" s="4">
        <f>scheduleapr[[#This Row],[SCHEDULE in nos]]-scheduleapr[[#This Row],[DISPATCH]]</f>
        <v>0</v>
      </c>
      <c r="AJ139" s="1">
        <f>(3.14*(scheduleapr[[#This Row],[ACTUAL OD]]-scheduleapr[[#This Row],[TICKNESS]])*scheduleapr[[#This Row],[TICKNESS]]*scheduleapr[[#This Row],[LENGTH]]*7.85)/1000000*scheduleapr[[#This Row],[SCHEDULE in nos]]/1000</f>
        <v>0</v>
      </c>
      <c r="AK139" s="1">
        <f>(3.14*(scheduleapr[[#This Row],[ACTUAL OD]]-scheduleapr[[#This Row],[TICKNESS]])*scheduleapr[[#This Row],[TICKNESS]]*scheduleapr[[#This Row],[LENGTH]]*7.85)/1000000*scheduleapr[[#This Row],[DISPATCH]]/1000</f>
        <v>0</v>
      </c>
      <c r="AL139" s="1">
        <f t="shared" si="5"/>
        <v>0</v>
      </c>
      <c r="AM139" s="1" t="e">
        <f>scheduleapr[[#This Row],[SCHEDULE in nos]]/scheduleapr[[#This Row],[SCHEDULE IN MT]]*scheduleapr[[#This Row],[CTL Stock]]</f>
        <v>#DIV/0!</v>
      </c>
      <c r="AN139" s="1">
        <f>SUMIFS(stock[MT],stock[Bucket],scheduleapr[[#This Row],[Bucket]],stock[CTL Bucket],scheduleapr[[#This Row],[CTL Bucket]],stock[Plant],"0789")</f>
        <v>0</v>
      </c>
      <c r="AO139" s="1"/>
      <c r="AP139" s="1">
        <f>SUMIFS(stock[MT],stock[Bucket],scheduleapr[[#This Row],[Bucket]],stock[LL or CTL],"LL")</f>
        <v>0</v>
      </c>
      <c r="AQ139" s="1">
        <f>+SUMIFS(wip[Stock(Net Wt)],wip[Bucket],scheduleapr[[#This Row],[Bucket]])/1000</f>
        <v>0.95099999999999996</v>
      </c>
      <c r="AR139" s="1">
        <f t="shared" si="6"/>
        <v>0</v>
      </c>
      <c r="AS139" s="118"/>
    </row>
    <row r="140" spans="1:45" x14ac:dyDescent="0.25">
      <c r="A140" s="30">
        <v>627</v>
      </c>
      <c r="B140" s="5" t="s">
        <v>1872</v>
      </c>
      <c r="C140" s="2" t="s">
        <v>303</v>
      </c>
      <c r="D140" s="2" t="s">
        <v>303</v>
      </c>
      <c r="E140" s="2">
        <v>185254</v>
      </c>
      <c r="F140" s="48">
        <v>3746291</v>
      </c>
      <c r="G140" s="2" t="str">
        <f>_xlfn.CONCAT(scheduleapr[[#This Row],[CUSTOMER CODE]],"-",scheduleapr[[#This Row],[MATERIAL NO]])</f>
        <v>185254-3746291</v>
      </c>
      <c r="H140" s="2" t="s">
        <v>880</v>
      </c>
      <c r="I140" s="2" t="s">
        <v>962</v>
      </c>
      <c r="J140" s="2" t="s">
        <v>1894</v>
      </c>
      <c r="K140" s="2" t="s">
        <v>1003</v>
      </c>
      <c r="L140" s="2" t="s">
        <v>239</v>
      </c>
      <c r="M140" s="2"/>
      <c r="N140" s="2"/>
      <c r="O140" s="2"/>
      <c r="P140" s="2"/>
      <c r="Q140" s="557" t="str">
        <f>CONCATENATE(scheduleapr[[#This Row],[OD]],"-",scheduleapr[[#This Row],[ID]],"-",scheduleapr[[#This Row],[TICKNESS]],"-",scheduleapr[[#This Row],[Grade]],"-",scheduleapr[[#This Row],[FC/NFC]])</f>
        <v>63.5-0-4-ERW 1-FC</v>
      </c>
      <c r="R140" s="557" t="str">
        <f>_xlfn.CONCAT(scheduleapr[[#This Row],[Bucket]],"-",scheduleapr[[#This Row],[LENGTH]]/1000)</f>
        <v>63.5-0-4-ERW 1-FC-0.234</v>
      </c>
      <c r="S140" s="2">
        <v>2</v>
      </c>
      <c r="T140" s="2" t="s">
        <v>1817</v>
      </c>
      <c r="U140" s="2">
        <f>_xlfn.IFNA(VLOOKUP(scheduleapr[[#This Row],[Bucket]],salesforecast[[#All],[Bucket2]:[8406 Stock]],19,0),0)</f>
        <v>20.650486000000001</v>
      </c>
      <c r="V140" s="562">
        <f>_xlfn.IFNA(VLOOKUP(scheduleapr[[#This Row],[Bucket]],salesforecast[[#All],[Bucket2]:[8406 Stock]],20,0),0)+_xlfn.IFNA(VLOOKUP(scheduleapr[[#This Row],[Bucket]],salesforecast[[#All],[Bucket2]:[8406 Stock]],17,0),0)</f>
        <v>4.7135999999999996</v>
      </c>
      <c r="W140" s="2"/>
      <c r="X140" s="1">
        <v>63.5</v>
      </c>
      <c r="Y140" s="1">
        <v>63.5</v>
      </c>
      <c r="Z140" s="1">
        <v>0</v>
      </c>
      <c r="AA140" s="1">
        <v>4</v>
      </c>
      <c r="AB140" s="22">
        <v>234</v>
      </c>
      <c r="AC140" s="22" t="s">
        <v>397</v>
      </c>
      <c r="AD140" s="22"/>
      <c r="AE140" s="22"/>
      <c r="AF140" s="2">
        <v>10000</v>
      </c>
      <c r="AG140" s="2"/>
      <c r="AH140" s="2" cm="1">
        <f t="array" ref="AH1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3539</v>
      </c>
      <c r="AI140" s="4">
        <f>scheduleapr[[#This Row],[SCHEDULE in nos]]-scheduleapr[[#This Row],[DISPATCH]]</f>
        <v>6461</v>
      </c>
      <c r="AJ140" s="1">
        <f>(3.14*(scheduleapr[[#This Row],[ACTUAL OD]]-scheduleapr[[#This Row],[TICKNESS]])*scheduleapr[[#This Row],[TICKNESS]]*scheduleapr[[#This Row],[LENGTH]]*7.85)/1000000*scheduleapr[[#This Row],[SCHEDULE in nos]]/1000</f>
        <v>13.727521080000001</v>
      </c>
      <c r="AK140" s="1">
        <f>(3.14*(scheduleapr[[#This Row],[ACTUAL OD]]-scheduleapr[[#This Row],[TICKNESS]])*scheduleapr[[#This Row],[TICKNESS]]*scheduleapr[[#This Row],[LENGTH]]*7.85)/1000000*scheduleapr[[#This Row],[DISPATCH]]/1000</f>
        <v>4.8581697102119996</v>
      </c>
      <c r="AL140" s="1">
        <f t="shared" si="5"/>
        <v>8.8693513697880011</v>
      </c>
      <c r="AM140" s="1">
        <f>scheduleapr[[#This Row],[SCHEDULE in nos]]/scheduleapr[[#This Row],[SCHEDULE IN MT]]*scheduleapr[[#This Row],[CTL Stock]]</f>
        <v>0</v>
      </c>
      <c r="AN140" s="1">
        <f>SUMIFS(stock[MT],stock[Bucket],scheduleapr[[#This Row],[Bucket]],stock[CTL Bucket],scheduleapr[[#This Row],[CTL Bucket]],stock[Plant],"0789")</f>
        <v>0</v>
      </c>
      <c r="AO140" s="1"/>
      <c r="AP140" s="1">
        <f>SUMIFS(stock[MT],stock[Bucket],scheduleapr[[#This Row],[Bucket]],stock[LL or CTL],"LL")</f>
        <v>70.552486000000016</v>
      </c>
      <c r="AQ140" s="1">
        <f>+SUMIFS(wip[Stock(Net Wt)],wip[Bucket],scheduleapr[[#This Row],[Bucket]])/1000</f>
        <v>0</v>
      </c>
      <c r="AR140" s="1">
        <f t="shared" si="6"/>
        <v>13.727521080000001</v>
      </c>
      <c r="AS140" s="92"/>
    </row>
    <row r="141" spans="1:45" ht="17.25" x14ac:dyDescent="0.25">
      <c r="A141" s="556"/>
      <c r="B141" s="5" t="s">
        <v>1872</v>
      </c>
      <c r="C141" s="2" t="s">
        <v>303</v>
      </c>
      <c r="D141" s="2" t="s">
        <v>303</v>
      </c>
      <c r="E141" s="2">
        <v>185254</v>
      </c>
      <c r="F141" s="563"/>
      <c r="G141" s="2" t="str">
        <f>_xlfn.CONCAT(scheduleapr[[#This Row],[CUSTOMER CODE]],"-",scheduleapr[[#This Row],[MATERIAL NO]])</f>
        <v>185254-</v>
      </c>
      <c r="H141" s="557"/>
      <c r="I141" s="2" t="s">
        <v>962</v>
      </c>
      <c r="J141" s="557"/>
      <c r="K141" s="2" t="s">
        <v>1003</v>
      </c>
      <c r="L141" s="557"/>
      <c r="M141" s="558"/>
      <c r="N141" s="557"/>
      <c r="O141" s="557"/>
      <c r="P141" s="557"/>
      <c r="Q141" s="557" t="str">
        <f>CONCATENATE(scheduleapr[[#This Row],[OD]],"-",scheduleapr[[#This Row],[ID]],"-",scheduleapr[[#This Row],[TICKNESS]],"-",scheduleapr[[#This Row],[Grade]],"-",scheduleapr[[#This Row],[FC/NFC]])</f>
        <v>63.5-0-4-ERW 1-FC</v>
      </c>
      <c r="R141" s="557" t="str">
        <f>_xlfn.CONCAT(scheduleapr[[#This Row],[Bucket]],"-",scheduleapr[[#This Row],[LENGTH]]/1000)</f>
        <v>63.5-0-4-ERW 1-FC-0.263</v>
      </c>
      <c r="S141" s="557"/>
      <c r="T141" s="2"/>
      <c r="U141" s="2">
        <f>_xlfn.IFNA(VLOOKUP(scheduleapr[[#This Row],[Bucket]],salesforecast[[#All],[Bucket2]:[8406 Stock]],19,0),0)</f>
        <v>20.650486000000001</v>
      </c>
      <c r="V141" s="2"/>
      <c r="W141" s="2"/>
      <c r="X141" s="559">
        <v>63.5</v>
      </c>
      <c r="Y141" s="559">
        <v>63.5</v>
      </c>
      <c r="Z141" s="559">
        <v>0</v>
      </c>
      <c r="AA141" s="559">
        <v>4</v>
      </c>
      <c r="AB141" s="22">
        <v>263</v>
      </c>
      <c r="AC141" s="22" t="s">
        <v>397</v>
      </c>
      <c r="AD141" s="22"/>
      <c r="AE141" s="22"/>
      <c r="AF141" s="557">
        <v>1500</v>
      </c>
      <c r="AG141" s="557"/>
      <c r="AH141" s="2" cm="1">
        <f t="array" ref="AH1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1105</v>
      </c>
      <c r="AI141" s="4">
        <f>scheduleapr[[#This Row],[SCHEDULE in nos]]-scheduleapr[[#This Row],[DISPATCH]]</f>
        <v>395</v>
      </c>
      <c r="AJ141" s="559">
        <f>(3.14*(scheduleapr[[#This Row],[ACTUAL OD]]-scheduleapr[[#This Row],[TICKNESS]])*scheduleapr[[#This Row],[TICKNESS]]*scheduleapr[[#This Row],[LENGTH]]*7.85)/1000000*scheduleapr[[#This Row],[SCHEDULE in nos]]/1000</f>
        <v>2.3143192589999999</v>
      </c>
      <c r="AK141" s="1">
        <f>(3.14*(scheduleapr[[#This Row],[ACTUAL OD]]-scheduleapr[[#This Row],[TICKNESS]])*scheduleapr[[#This Row],[TICKNESS]]*scheduleapr[[#This Row],[LENGTH]]*7.85)/1000000*scheduleapr[[#This Row],[DISPATCH]]/1000</f>
        <v>1.7048818541299999</v>
      </c>
      <c r="AL141" s="1">
        <f t="shared" si="5"/>
        <v>0.60943740486999998</v>
      </c>
      <c r="AM141" s="559">
        <f>scheduleapr[[#This Row],[SCHEDULE in nos]]/scheduleapr[[#This Row],[SCHEDULE IN MT]]*scheduleapr[[#This Row],[CTL Stock]]</f>
        <v>0</v>
      </c>
      <c r="AN141" s="1">
        <f>SUMIFS(stock[MT],stock[Bucket],scheduleapr[[#This Row],[Bucket]],stock[CTL Bucket],scheduleapr[[#This Row],[CTL Bucket]],stock[Plant],"0789")</f>
        <v>0</v>
      </c>
      <c r="AO141" s="1"/>
      <c r="AP141" s="1">
        <f>SUMIFS(stock[MT],stock[Bucket],scheduleapr[[#This Row],[Bucket]],stock[LL or CTL],"LL")</f>
        <v>70.552486000000016</v>
      </c>
      <c r="AQ141" s="1">
        <f>+SUMIFS(wip[Stock(Net Wt)],wip[Bucket],scheduleapr[[#This Row],[Bucket]])/1000</f>
        <v>0</v>
      </c>
      <c r="AR141" s="1">
        <f t="shared" si="6"/>
        <v>2.3143192589999999</v>
      </c>
      <c r="AS141" s="541"/>
    </row>
    <row r="142" spans="1:45" x14ac:dyDescent="0.25">
      <c r="A142" s="30">
        <v>625</v>
      </c>
      <c r="B142" s="5" t="s">
        <v>1872</v>
      </c>
      <c r="C142" s="2" t="s">
        <v>303</v>
      </c>
      <c r="D142" s="2" t="s">
        <v>303</v>
      </c>
      <c r="E142" s="2">
        <v>185254</v>
      </c>
      <c r="F142" s="48">
        <v>4032114</v>
      </c>
      <c r="G142" s="2" t="str">
        <f>_xlfn.CONCAT(scheduleapr[[#This Row],[CUSTOMER CODE]],"-",scheduleapr[[#This Row],[MATERIAL NO]])</f>
        <v>185254-4032114</v>
      </c>
      <c r="H142" s="2" t="s">
        <v>921</v>
      </c>
      <c r="I142" s="2" t="s">
        <v>993</v>
      </c>
      <c r="J142" s="2"/>
      <c r="K142" s="2" t="s">
        <v>1003</v>
      </c>
      <c r="L142" s="2" t="s">
        <v>239</v>
      </c>
      <c r="M142" s="2"/>
      <c r="N142" s="2"/>
      <c r="O142" s="2"/>
      <c r="P142" s="2"/>
      <c r="Q142" s="557" t="str">
        <f>CONCATENATE(scheduleapr[[#This Row],[OD]],"-",scheduleapr[[#This Row],[ID]],"-",scheduleapr[[#This Row],[TICKNESS]],"-",scheduleapr[[#This Row],[Grade]],"-",scheduleapr[[#This Row],[FC/NFC]])</f>
        <v>54-0-3-ERW 2-FC</v>
      </c>
      <c r="R142" s="557" t="str">
        <f>_xlfn.CONCAT(scheduleapr[[#This Row],[Bucket]],"-",scheduleapr[[#This Row],[LENGTH]]/1000)</f>
        <v>54-0-3-ERW 2-FC-1.14</v>
      </c>
      <c r="S142" s="2">
        <v>4</v>
      </c>
      <c r="T142" s="2" t="s">
        <v>1817</v>
      </c>
      <c r="U142" s="2">
        <f>_xlfn.IFNA(VLOOKUP(scheduleapr[[#This Row],[Bucket]],salesforecast[[#All],[Bucket2]:[8406 Stock]],19,0),0)</f>
        <v>6.8230000000000004</v>
      </c>
      <c r="V142" s="562">
        <f>_xlfn.IFNA(VLOOKUP(scheduleapr[[#This Row],[Bucket]],salesforecast[[#All],[Bucket2]:[8406 Stock]],20,0),0)+_xlfn.IFNA(VLOOKUP(scheduleapr[[#This Row],[Bucket]],salesforecast[[#All],[Bucket2]:[8406 Stock]],17,0),0)</f>
        <v>23.737340000000003</v>
      </c>
      <c r="W142" s="2"/>
      <c r="X142" s="1">
        <v>54</v>
      </c>
      <c r="Y142" s="1">
        <v>54</v>
      </c>
      <c r="Z142" s="1">
        <v>0</v>
      </c>
      <c r="AA142" s="1">
        <v>3</v>
      </c>
      <c r="AB142" s="24">
        <v>1140</v>
      </c>
      <c r="AC142" s="24" t="s">
        <v>397</v>
      </c>
      <c r="AD142" s="24"/>
      <c r="AE142" s="24"/>
      <c r="AF142" s="2">
        <v>3000</v>
      </c>
      <c r="AG142" s="2"/>
      <c r="AH142" s="2" cm="1">
        <f t="array" ref="AH1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5130</v>
      </c>
      <c r="AI142" s="4">
        <f>scheduleapr[[#This Row],[SCHEDULE in nos]]-scheduleapr[[#This Row],[DISPATCH]]</f>
        <v>-2130</v>
      </c>
      <c r="AJ142" s="1">
        <f>(3.14*(scheduleapr[[#This Row],[ACTUAL OD]]-scheduleapr[[#This Row],[TICKNESS]])*scheduleapr[[#This Row],[TICKNESS]]*scheduleapr[[#This Row],[LENGTH]]*7.85)/1000000*scheduleapr[[#This Row],[SCHEDULE in nos]]/1000</f>
        <v>12.89783574</v>
      </c>
      <c r="AK142" s="1">
        <f>(3.14*(scheduleapr[[#This Row],[ACTUAL OD]]-scheduleapr[[#This Row],[TICKNESS]])*scheduleapr[[#This Row],[TICKNESS]]*scheduleapr[[#This Row],[LENGTH]]*7.85)/1000000*scheduleapr[[#This Row],[DISPATCH]]/1000</f>
        <v>22.0552991154</v>
      </c>
      <c r="AL142" s="1">
        <f t="shared" si="5"/>
        <v>-9.1574633754000008</v>
      </c>
      <c r="AM142" s="1">
        <f>scheduleapr[[#This Row],[SCHEDULE in nos]]/scheduleapr[[#This Row],[SCHEDULE IN MT]]*scheduleapr[[#This Row],[CTL Stock]]</f>
        <v>0</v>
      </c>
      <c r="AN142" s="1">
        <f>SUMIFS(stock[MT],stock[Bucket],scheduleapr[[#This Row],[Bucket]],stock[CTL Bucket],scheduleapr[[#This Row],[CTL Bucket]],stock[Plant],"0789")</f>
        <v>0</v>
      </c>
      <c r="AO142" s="1"/>
      <c r="AP142" s="1">
        <f>SUMIFS(stock[MT],stock[Bucket],scheduleapr[[#This Row],[Bucket]],stock[LL or CTL],"LL")</f>
        <v>39.157000000000004</v>
      </c>
      <c r="AQ142" s="1">
        <f>+SUMIFS(wip[Stock(Net Wt)],wip[Bucket],scheduleapr[[#This Row],[Bucket]])/1000</f>
        <v>0</v>
      </c>
      <c r="AR142" s="1">
        <f t="shared" si="6"/>
        <v>12.89783574</v>
      </c>
      <c r="AS142" s="92"/>
    </row>
    <row r="143" spans="1:45" x14ac:dyDescent="0.25">
      <c r="A143" s="30">
        <v>626</v>
      </c>
      <c r="B143" s="5" t="s">
        <v>1872</v>
      </c>
      <c r="C143" s="2" t="s">
        <v>303</v>
      </c>
      <c r="D143" s="2" t="s">
        <v>303</v>
      </c>
      <c r="E143" s="2">
        <v>185254</v>
      </c>
      <c r="F143" s="48">
        <v>1938127</v>
      </c>
      <c r="G143" s="2" t="str">
        <f>_xlfn.CONCAT(scheduleapr[[#This Row],[CUSTOMER CODE]],"-",scheduleapr[[#This Row],[MATERIAL NO]])</f>
        <v>185254-1938127</v>
      </c>
      <c r="H143" s="2" t="s">
        <v>1733</v>
      </c>
      <c r="I143" s="2" t="s">
        <v>993</v>
      </c>
      <c r="J143" s="2"/>
      <c r="K143" s="2" t="s">
        <v>963</v>
      </c>
      <c r="L143" s="2" t="s">
        <v>1867</v>
      </c>
      <c r="M143" s="2" t="s">
        <v>1883</v>
      </c>
      <c r="N143" s="2"/>
      <c r="O143" s="2"/>
      <c r="P143" s="2"/>
      <c r="Q143" s="557" t="str">
        <f>CONCATENATE(scheduleapr[[#This Row],[OD]],"-",scheduleapr[[#This Row],[ID]],"-",scheduleapr[[#This Row],[TICKNESS]],"-",scheduleapr[[#This Row],[Grade]],"-",scheduleapr[[#This Row],[FC/NFC]])</f>
        <v>50-50-1.6-ERW 2-PE</v>
      </c>
      <c r="R143" s="557" t="str">
        <f>_xlfn.CONCAT(scheduleapr[[#This Row],[Bucket]],"-",scheduleapr[[#This Row],[LENGTH]]/1000)</f>
        <v>50-50-1.6-ERW 2-PE-0.847</v>
      </c>
      <c r="S143" s="2">
        <v>1</v>
      </c>
      <c r="T143" s="2" t="s">
        <v>1928</v>
      </c>
      <c r="U143" s="2">
        <f>_xlfn.IFNA(VLOOKUP(scheduleapr[[#This Row],[Bucket]],salesforecast[[#All],[Bucket2]:[8406 Stock]],19,0),0)</f>
        <v>1.3500029999999992</v>
      </c>
      <c r="V143" s="562">
        <f>_xlfn.IFNA(VLOOKUP(scheduleapr[[#This Row],[Bucket]],salesforecast[[#All],[Bucket2]:[8406 Stock]],20,0),0)+_xlfn.IFNA(VLOOKUP(scheduleapr[[#This Row],[Bucket]],salesforecast[[#All],[Bucket2]:[8406 Stock]],17,0),0)</f>
        <v>12.851100000000002</v>
      </c>
      <c r="W143" s="2"/>
      <c r="X143" s="1">
        <v>63.5</v>
      </c>
      <c r="Y143" s="1">
        <v>50</v>
      </c>
      <c r="Z143" s="1">
        <v>50</v>
      </c>
      <c r="AA143" s="1">
        <v>1.6</v>
      </c>
      <c r="AB143" s="24">
        <v>847</v>
      </c>
      <c r="AC143" s="24" t="s">
        <v>397</v>
      </c>
      <c r="AD143" s="24"/>
      <c r="AE143" s="24"/>
      <c r="AF143" s="2">
        <v>2100</v>
      </c>
      <c r="AG143" s="2"/>
      <c r="AH143" s="2" cm="1">
        <f t="array" ref="AH1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2115</v>
      </c>
      <c r="AI143" s="4">
        <f>scheduleapr[[#This Row],[SCHEDULE in nos]]-scheduleapr[[#This Row],[DISPATCH]]</f>
        <v>-15</v>
      </c>
      <c r="AJ143" s="1">
        <f>(3.14*(scheduleapr[[#This Row],[ACTUAL OD]]-scheduleapr[[#This Row],[TICKNESS]])*scheduleapr[[#This Row],[TICKNESS]]*scheduleapr[[#This Row],[LENGTH]]*7.85)/1000000*scheduleapr[[#This Row],[SCHEDULE in nos]]/1000</f>
        <v>4.3422281807520005</v>
      </c>
      <c r="AK143" s="1">
        <f>(3.14*(scheduleapr[[#This Row],[ACTUAL OD]]-scheduleapr[[#This Row],[TICKNESS]])*scheduleapr[[#This Row],[TICKNESS]]*scheduleapr[[#This Row],[LENGTH]]*7.85)/1000000*scheduleapr[[#This Row],[DISPATCH]]/1000</f>
        <v>4.3732440963288006</v>
      </c>
      <c r="AL143" s="1">
        <f t="shared" si="5"/>
        <v>-3.1015915576800168E-2</v>
      </c>
      <c r="AM143" s="1">
        <f>scheduleapr[[#This Row],[SCHEDULE in nos]]/scheduleapr[[#This Row],[SCHEDULE IN MT]]*scheduleapr[[#This Row],[CTL Stock]]</f>
        <v>0</v>
      </c>
      <c r="AN143" s="1">
        <f>SUMIFS(stock[MT],stock[Bucket],scheduleapr[[#This Row],[Bucket]],stock[CTL Bucket],scheduleapr[[#This Row],[CTL Bucket]],stock[Plant],"0789")</f>
        <v>0</v>
      </c>
      <c r="AO143" s="1"/>
      <c r="AP143" s="1">
        <f>SUMIFS(stock[MT],stock[Bucket],scheduleapr[[#This Row],[Bucket]],stock[LL or CTL],"LL")</f>
        <v>14.201103000000003</v>
      </c>
      <c r="AQ143" s="1">
        <f>+SUMIFS(wip[Stock(Net Wt)],wip[Bucket],scheduleapr[[#This Row],[Bucket]])/1000</f>
        <v>0</v>
      </c>
      <c r="AR143" s="1">
        <f t="shared" si="6"/>
        <v>4.3422281807520005</v>
      </c>
      <c r="AS143" s="92"/>
    </row>
    <row r="144" spans="1:45" ht="17.25" x14ac:dyDescent="0.25">
      <c r="A144" s="30">
        <v>628</v>
      </c>
      <c r="B144" s="5" t="s">
        <v>1872</v>
      </c>
      <c r="C144" s="2" t="s">
        <v>303</v>
      </c>
      <c r="D144" s="2" t="s">
        <v>303</v>
      </c>
      <c r="E144" s="2">
        <v>185254</v>
      </c>
      <c r="F144">
        <v>3801263</v>
      </c>
      <c r="G144" s="2" t="str">
        <f>_xlfn.CONCAT(scheduleapr[[#This Row],[CUSTOMER CODE]],"-",scheduleapr[[#This Row],[MATERIAL NO]])</f>
        <v>185254-3801263</v>
      </c>
      <c r="H144" s="2" t="s">
        <v>923</v>
      </c>
      <c r="I144" s="2" t="s">
        <v>993</v>
      </c>
      <c r="J144" s="2" t="s">
        <v>1894</v>
      </c>
      <c r="K144" s="2" t="s">
        <v>1003</v>
      </c>
      <c r="L144" s="2" t="s">
        <v>239</v>
      </c>
      <c r="M144" s="2"/>
      <c r="N144" s="2"/>
      <c r="O144" s="2" t="s">
        <v>1895</v>
      </c>
      <c r="P144" s="2"/>
      <c r="Q144" s="557" t="str">
        <f>CONCATENATE(scheduleapr[[#This Row],[OD]],"-",scheduleapr[[#This Row],[ID]],"-",scheduleapr[[#This Row],[TICKNESS]],"-",scheduleapr[[#This Row],[Grade]],"-",scheduleapr[[#This Row],[FC/NFC]])</f>
        <v>70-0-3.2-ERW 2-FC</v>
      </c>
      <c r="R144" s="557" t="str">
        <f>_xlfn.CONCAT(scheduleapr[[#This Row],[Bucket]],"-",scheduleapr[[#This Row],[LENGTH]]/1000)</f>
        <v>70-0-3.2-ERW 2-FC-0.49</v>
      </c>
      <c r="S144" s="2">
        <v>1</v>
      </c>
      <c r="T144" s="2" t="s">
        <v>1817</v>
      </c>
      <c r="U144" s="2"/>
      <c r="V144" s="2"/>
      <c r="W144" s="2"/>
      <c r="X144" s="1">
        <v>70</v>
      </c>
      <c r="Y144" s="1">
        <v>70</v>
      </c>
      <c r="Z144" s="1">
        <v>0</v>
      </c>
      <c r="AA144" s="1">
        <v>3.2</v>
      </c>
      <c r="AB144" s="24">
        <v>490</v>
      </c>
      <c r="AC144" s="24" t="s">
        <v>397</v>
      </c>
      <c r="AD144" s="24"/>
      <c r="AE144" s="24"/>
      <c r="AF144" s="2"/>
      <c r="AG144" s="2"/>
      <c r="AH144" s="2" cm="1">
        <f t="array" ref="AH1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4" s="4">
        <f>scheduleapr[[#This Row],[SCHEDULE in nos]]-scheduleapr[[#This Row],[DISPATCH]]</f>
        <v>0</v>
      </c>
      <c r="AJ144" s="1">
        <f>(3.14*(scheduleapr[[#This Row],[ACTUAL OD]]-scheduleapr[[#This Row],[TICKNESS]])*scheduleapr[[#This Row],[TICKNESS]]*scheduleapr[[#This Row],[LENGTH]]*7.85)/1000000*scheduleapr[[#This Row],[SCHEDULE in nos]]/1000</f>
        <v>0</v>
      </c>
      <c r="AK144" s="1">
        <f>(3.14*(scheduleapr[[#This Row],[ACTUAL OD]]-scheduleapr[[#This Row],[TICKNESS]])*scheduleapr[[#This Row],[TICKNESS]]*scheduleapr[[#This Row],[LENGTH]]*7.85)/1000000*scheduleapr[[#This Row],[DISPATCH]]/1000</f>
        <v>0</v>
      </c>
      <c r="AL144" s="1">
        <f t="shared" si="5"/>
        <v>0</v>
      </c>
      <c r="AM144" s="1" t="e">
        <f>scheduleapr[[#This Row],[SCHEDULE in nos]]/scheduleapr[[#This Row],[SCHEDULE IN MT]]*scheduleapr[[#This Row],[CTL Stock]]</f>
        <v>#DIV/0!</v>
      </c>
      <c r="AN144" s="1">
        <f>SUMIFS(stock[MT],stock[Bucket],scheduleapr[[#This Row],[Bucket]],stock[CTL Bucket],scheduleapr[[#This Row],[CTL Bucket]],stock[Plant],"0789")</f>
        <v>0</v>
      </c>
      <c r="AO144" s="1"/>
      <c r="AP144" s="1">
        <f>SUMIFS(stock[MT],stock[Bucket],scheduleapr[[#This Row],[Bucket]],stock[LL or CTL],"LL")</f>
        <v>37.067985999999998</v>
      </c>
      <c r="AQ144" s="1">
        <f>+SUMIFS(wip[Stock(Net Wt)],wip[Bucket],scheduleapr[[#This Row],[Bucket]])/1000</f>
        <v>0</v>
      </c>
      <c r="AR144" s="1">
        <f t="shared" si="6"/>
        <v>0</v>
      </c>
      <c r="AS144" s="579"/>
    </row>
    <row r="145" spans="1:45" x14ac:dyDescent="0.25">
      <c r="A145" s="556">
        <v>631</v>
      </c>
      <c r="B145" s="564" t="s">
        <v>1872</v>
      </c>
      <c r="C145" s="557" t="s">
        <v>303</v>
      </c>
      <c r="D145" s="557" t="s">
        <v>303</v>
      </c>
      <c r="E145" s="557">
        <v>185254</v>
      </c>
      <c r="F145" s="563">
        <v>3801263</v>
      </c>
      <c r="G145" s="2" t="str">
        <f>_xlfn.CONCAT(scheduleapr[[#This Row],[CUSTOMER CODE]],"-",scheduleapr[[#This Row],[MATERIAL NO]])</f>
        <v>185254-3801263</v>
      </c>
      <c r="H145" s="557" t="s">
        <v>923</v>
      </c>
      <c r="I145" s="557" t="s">
        <v>993</v>
      </c>
      <c r="J145" s="557" t="s">
        <v>1894</v>
      </c>
      <c r="K145" s="557" t="s">
        <v>1003</v>
      </c>
      <c r="L145" s="557" t="s">
        <v>239</v>
      </c>
      <c r="M145" s="558"/>
      <c r="N145" s="557"/>
      <c r="O145" s="557" t="s">
        <v>1895</v>
      </c>
      <c r="P145" s="557"/>
      <c r="Q145" s="557" t="str">
        <f>CONCATENATE(scheduleapr[[#This Row],[OD]],"-",scheduleapr[[#This Row],[ID]],"-",scheduleapr[[#This Row],[TICKNESS]],"-",scheduleapr[[#This Row],[Grade]],"-",scheduleapr[[#This Row],[FC/NFC]])</f>
        <v>70-0-3.2-ERW 2-FC</v>
      </c>
      <c r="R145" s="557" t="str">
        <f>_xlfn.CONCAT(scheduleapr[[#This Row],[Bucket]],"-",scheduleapr[[#This Row],[LENGTH]]/1000)</f>
        <v>70-0-3.2-ERW 2-FC-0.512</v>
      </c>
      <c r="S145" s="557" t="e" vm="2">
        <f>COUNTIF([2]!buckets[CTL Bucket],[2]!scheduleapr[[#This Row],[CTL Bucket]])</f>
        <v>#REF!</v>
      </c>
      <c r="T145" s="2" t="s">
        <v>1817</v>
      </c>
      <c r="U145" s="2">
        <f>_xlfn.IFNA(VLOOKUP(scheduleapr[[#This Row],[Bucket]],salesforecast[[#All],[Bucket2]:[8406 Stock]],19,0),0)</f>
        <v>3.577916000000001</v>
      </c>
      <c r="V145" s="3">
        <f>_xlfn.IFNA(VLOOKUP(scheduleapr[[#This Row],[Bucket]],salesforecast[[#All],[Bucket2]:[8406 Stock]],20,0),0)+_xlfn.IFNA(VLOOKUP(scheduleapr[[#This Row],[Bucket]],salesforecast[[#All],[Bucket2]:[8406 Stock]],17,0),0)</f>
        <v>8.5230139999999999</v>
      </c>
      <c r="W145" s="2"/>
      <c r="X145" s="559">
        <v>70</v>
      </c>
      <c r="Y145" s="559">
        <v>70</v>
      </c>
      <c r="Z145" s="559">
        <v>0</v>
      </c>
      <c r="AA145" s="559">
        <v>3.2</v>
      </c>
      <c r="AB145" s="22">
        <v>512</v>
      </c>
      <c r="AC145" s="578" t="s">
        <v>397</v>
      </c>
      <c r="AD145" s="23"/>
      <c r="AE145" s="23"/>
      <c r="AF145" s="557">
        <v>3000</v>
      </c>
      <c r="AG145" s="557"/>
      <c r="AH145" s="557" cm="1">
        <f t="array" ref="AH1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2750</v>
      </c>
      <c r="AI145" s="560">
        <f>scheduleapr[[#This Row],[SCHEDULE in nos]]-scheduleapr[[#This Row],[DISPATCH]]</f>
        <v>250</v>
      </c>
      <c r="AJ145" s="559">
        <f>(3.14*(scheduleapr[[#This Row],[ACTUAL OD]]-scheduleapr[[#This Row],[TICKNESS]])*scheduleapr[[#This Row],[TICKNESS]]*scheduleapr[[#This Row],[LENGTH]]*7.85)/1000000*scheduleapr[[#This Row],[SCHEDULE in nos]]/1000</f>
        <v>8.0931382886399987</v>
      </c>
      <c r="AK145" s="1">
        <f>(3.14*(scheduleapr[[#This Row],[ACTUAL OD]]-scheduleapr[[#This Row],[TICKNESS]])*scheduleapr[[#This Row],[TICKNESS]]*scheduleapr[[#This Row],[LENGTH]]*7.85)/1000000*scheduleapr[[#This Row],[DISPATCH]]/1000</f>
        <v>7.4187100979199991</v>
      </c>
      <c r="AL145" s="1">
        <f t="shared" si="5"/>
        <v>0.6744281907199996</v>
      </c>
      <c r="AM145" s="559">
        <f>scheduleapr[[#This Row],[SCHEDULE in nos]]/scheduleapr[[#This Row],[SCHEDULE IN MT]]*scheduleapr[[#This Row],[CTL Stock]]</f>
        <v>0</v>
      </c>
      <c r="AN145" s="1">
        <f>SUMIFS(stock[MT],stock[Bucket],scheduleapr[[#This Row],[Bucket]],stock[CTL Bucket],scheduleapr[[#This Row],[CTL Bucket]],stock[Plant],"0789")</f>
        <v>0</v>
      </c>
      <c r="AO145" s="1"/>
      <c r="AP145" s="1">
        <f>SUMIFS(stock[MT],stock[Bucket],scheduleapr[[#This Row],[Bucket]],stock[LL or CTL],"LL")</f>
        <v>37.067985999999998</v>
      </c>
      <c r="AQ145" s="1">
        <f>+SUMIFS(wip[Stock(Net Wt)],wip[Bucket],scheduleapr[[#This Row],[Bucket]])/1000</f>
        <v>0</v>
      </c>
      <c r="AR145" s="1">
        <f t="shared" si="6"/>
        <v>8.0931382886399987</v>
      </c>
      <c r="AS145" s="118"/>
    </row>
    <row r="146" spans="1:45" x14ac:dyDescent="0.25">
      <c r="A146" s="30">
        <v>148</v>
      </c>
      <c r="B146" s="5" t="s">
        <v>1872</v>
      </c>
      <c r="C146" s="2" t="s">
        <v>289</v>
      </c>
      <c r="D146" s="2" t="s">
        <v>289</v>
      </c>
      <c r="E146" s="2">
        <v>189002</v>
      </c>
      <c r="F146" s="48">
        <v>1939544</v>
      </c>
      <c r="G146" s="2" t="str">
        <f>_xlfn.CONCAT(scheduleapr[[#This Row],[CUSTOMER CODE]],"-",scheduleapr[[#This Row],[MATERIAL NO]])</f>
        <v>189002-1939544</v>
      </c>
      <c r="H146" s="2" t="s">
        <v>807</v>
      </c>
      <c r="I146" s="2" t="s">
        <v>357</v>
      </c>
      <c r="J146" s="2"/>
      <c r="K146" s="2" t="s">
        <v>357</v>
      </c>
      <c r="L146" s="2" t="s">
        <v>239</v>
      </c>
      <c r="M146" s="2"/>
      <c r="N146" s="2"/>
      <c r="O146" s="2"/>
      <c r="P146" s="2"/>
      <c r="Q146" s="557" t="str">
        <f>CONCATENATE(scheduleapr[[#This Row],[OD]],"-",scheduleapr[[#This Row],[ID]],"-",scheduleapr[[#This Row],[TICKNESS]],"-",scheduleapr[[#This Row],[Grade]],"-",scheduleapr[[#This Row],[FC/NFC]])</f>
        <v>25.4-0-2.5-CEW-CEW</v>
      </c>
      <c r="R146" s="557" t="str">
        <f>_xlfn.CONCAT(scheduleapr[[#This Row],[Bucket]],"-",scheduleapr[[#This Row],[LENGTH]]/1000)</f>
        <v>25.4-0-2.5-CEW-CEW-0.217</v>
      </c>
      <c r="S146" s="557">
        <f>COUNTIF(scheduleapr[CTL Bucket],scheduleapr[[#This Row],[CTL Bucket]])</f>
        <v>2</v>
      </c>
      <c r="T146" s="2" t="s">
        <v>1817</v>
      </c>
      <c r="U146" s="2">
        <f>_xlfn.IFNA(VLOOKUP(scheduleapr[[#This Row],[Bucket]],salesforecast[[#All],[Bucket2]:[8406 Stock]],19,0),0)</f>
        <v>6.2467750000000013</v>
      </c>
      <c r="V146" s="562">
        <f>_xlfn.IFNA(VLOOKUP(scheduleapr[[#This Row],[Bucket]],salesforecast[[#All],[Bucket2]:[8406 Stock]],20,0),0)+_xlfn.IFNA(VLOOKUP(scheduleapr[[#This Row],[Bucket]],salesforecast[[#All],[Bucket2]:[8406 Stock]],17,0),0)</f>
        <v>0.99165099999999995</v>
      </c>
      <c r="W146" s="557"/>
      <c r="X146" s="1">
        <v>25.4</v>
      </c>
      <c r="Y146" s="1">
        <v>25.4</v>
      </c>
      <c r="Z146" s="1">
        <v>0</v>
      </c>
      <c r="AA146" s="1">
        <v>2.5</v>
      </c>
      <c r="AB146" s="24">
        <v>217</v>
      </c>
      <c r="AC146" s="24" t="s">
        <v>397</v>
      </c>
      <c r="AD146" s="24"/>
      <c r="AE146" s="24"/>
      <c r="AF146" s="2">
        <v>30000</v>
      </c>
      <c r="AG146" s="2"/>
      <c r="AH146" s="2" cm="1">
        <f t="array" ref="AH1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17950</v>
      </c>
      <c r="AI146" s="4">
        <f>scheduleapr[[#This Row],[SCHEDULE in nos]]-scheduleapr[[#This Row],[DISPATCH]]</f>
        <v>12050</v>
      </c>
      <c r="AJ146" s="1">
        <f>(3.14*(scheduleapr[[#This Row],[ACTUAL OD]]-scheduleapr[[#This Row],[TICKNESS]])*scheduleapr[[#This Row],[TICKNESS]]*scheduleapr[[#This Row],[LENGTH]]*7.85)/1000000*scheduleapr[[#This Row],[SCHEDULE in nos]]/1000</f>
        <v>9.1866206774999988</v>
      </c>
      <c r="AK146" s="1">
        <f>(3.14*(scheduleapr[[#This Row],[ACTUAL OD]]-scheduleapr[[#This Row],[TICKNESS]])*scheduleapr[[#This Row],[TICKNESS]]*scheduleapr[[#This Row],[LENGTH]]*7.85)/1000000*scheduleapr[[#This Row],[DISPATCH]]/1000</f>
        <v>5.496661372037499</v>
      </c>
      <c r="AL146" s="1">
        <f t="shared" si="5"/>
        <v>3.6899593054624997</v>
      </c>
      <c r="AM146" s="1">
        <f>scheduleapr[[#This Row],[SCHEDULE in nos]]/scheduleapr[[#This Row],[SCHEDULE IN MT]]*scheduleapr[[#This Row],[CTL Stock]]</f>
        <v>0</v>
      </c>
      <c r="AN146" s="1">
        <f>SUMIFS(stock[MT],stock[Bucket],scheduleapr[[#This Row],[Bucket]],stock[CTL Bucket],scheduleapr[[#This Row],[CTL Bucket]],stock[Plant],"0789")</f>
        <v>0</v>
      </c>
      <c r="AO146" s="1"/>
      <c r="AP146" s="1">
        <f>SUMIFS(stock[MT],stock[Bucket],scheduleapr[[#This Row],[Bucket]],stock[LL or CTL],"LL")</f>
        <v>6.2467749999999995</v>
      </c>
      <c r="AQ146" s="1">
        <f>+SUMIFS(wip[Stock(Net Wt)],wip[Bucket],scheduleapr[[#This Row],[Bucket]])/1000</f>
        <v>0</v>
      </c>
      <c r="AR146" s="1">
        <f t="shared" si="6"/>
        <v>9.1866206774999988</v>
      </c>
      <c r="AS146" s="118"/>
    </row>
    <row r="147" spans="1:45" x14ac:dyDescent="0.25">
      <c r="A147" s="30">
        <v>149</v>
      </c>
      <c r="B147" s="5" t="s">
        <v>1872</v>
      </c>
      <c r="C147" s="2" t="s">
        <v>289</v>
      </c>
      <c r="D147" s="2" t="s">
        <v>289</v>
      </c>
      <c r="E147" s="2">
        <v>189002</v>
      </c>
      <c r="F147" s="48">
        <v>1941408</v>
      </c>
      <c r="G147" s="2" t="str">
        <f>_xlfn.CONCAT(scheduleapr[[#This Row],[CUSTOMER CODE]],"-",scheduleapr[[#This Row],[MATERIAL NO]])</f>
        <v>189002-1941408</v>
      </c>
      <c r="H147" s="2" t="s">
        <v>1929</v>
      </c>
      <c r="I147" s="2" t="s">
        <v>357</v>
      </c>
      <c r="J147" s="2"/>
      <c r="K147" s="2"/>
      <c r="L147" s="2" t="s">
        <v>239</v>
      </c>
      <c r="M147" s="2"/>
      <c r="N147" s="2"/>
      <c r="O147" s="2"/>
      <c r="P147" s="2"/>
      <c r="Q147" s="557" t="str">
        <f>CONCATENATE(scheduleapr[[#This Row],[OD]],"-",scheduleapr[[#This Row],[ID]],"-",scheduleapr[[#This Row],[TICKNESS]],"-",scheduleapr[[#This Row],[Grade]],"-",scheduleapr[[#This Row],[FC/NFC]])</f>
        <v>25.4-20.4-2.5-CEW-</v>
      </c>
      <c r="R147" s="557" t="str">
        <f>_xlfn.CONCAT(scheduleapr[[#This Row],[Bucket]],"-",scheduleapr[[#This Row],[LENGTH]]/1000)</f>
        <v>25.4-20.4-2.5-CEW--3.73</v>
      </c>
      <c r="S147" s="557" t="e" vm="2">
        <f>COUNTIF([2]!buckets[CTL Bucket],[2]!scheduleapr[[#This Row],[CTL Bucket]])</f>
        <v>#REF!</v>
      </c>
      <c r="T147" s="557"/>
      <c r="U147" s="557"/>
      <c r="V147" s="557"/>
      <c r="W147" s="557"/>
      <c r="X147" s="1">
        <v>25.4</v>
      </c>
      <c r="Y147" s="1">
        <v>25.4</v>
      </c>
      <c r="Z147" s="1">
        <v>20.399999999999999</v>
      </c>
      <c r="AA147" s="1">
        <v>2.5</v>
      </c>
      <c r="AB147" s="24">
        <v>3730</v>
      </c>
      <c r="AC147" s="24" t="s">
        <v>397</v>
      </c>
      <c r="AD147" s="24"/>
      <c r="AE147" s="24"/>
      <c r="AF147" s="2"/>
      <c r="AG147" s="2"/>
      <c r="AH147" s="2" cm="1">
        <f t="array" ref="AH1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7" s="4">
        <f>scheduleapr[[#This Row],[SCHEDULE in nos]]-scheduleapr[[#This Row],[DISPATCH]]</f>
        <v>0</v>
      </c>
      <c r="AJ147" s="1">
        <f>(3.14*(scheduleapr[[#This Row],[ACTUAL OD]]-scheduleapr[[#This Row],[TICKNESS]])*scheduleapr[[#This Row],[TICKNESS]]*scheduleapr[[#This Row],[LENGTH]]*7.85)/1000000*scheduleapr[[#This Row],[SCHEDULE in nos]]/1000</f>
        <v>0</v>
      </c>
      <c r="AK147" s="1">
        <f>(3.14*(scheduleapr[[#This Row],[ACTUAL OD]]-scheduleapr[[#This Row],[TICKNESS]])*scheduleapr[[#This Row],[TICKNESS]]*scheduleapr[[#This Row],[LENGTH]]*7.85)/1000000*scheduleapr[[#This Row],[DISPATCH]]/1000</f>
        <v>0</v>
      </c>
      <c r="AL147" s="1">
        <f t="shared" si="5"/>
        <v>0</v>
      </c>
      <c r="AM147" s="1" t="e">
        <f>scheduleapr[[#This Row],[SCHEDULE in nos]]/scheduleapr[[#This Row],[SCHEDULE IN MT]]*scheduleapr[[#This Row],[CTL Stock]]</f>
        <v>#DIV/0!</v>
      </c>
      <c r="AN147" s="1">
        <f>SUMIFS(stock[MT],stock[Bucket],scheduleapr[[#This Row],[Bucket]],stock[CTL Bucket],scheduleapr[[#This Row],[CTL Bucket]],stock[Plant],"0789")</f>
        <v>0</v>
      </c>
      <c r="AO147" s="1"/>
      <c r="AP147" s="1">
        <f>SUMIFS(stock[MT],stock[Bucket],scheduleapr[[#This Row],[Bucket]],stock[LL or CTL],"LL")</f>
        <v>0</v>
      </c>
      <c r="AQ147" s="1">
        <f>+SUMIFS(wip[Stock(Net Wt)],wip[Bucket],scheduleapr[[#This Row],[Bucket]])/1000</f>
        <v>0</v>
      </c>
      <c r="AR147" s="1">
        <f t="shared" si="6"/>
        <v>0</v>
      </c>
      <c r="AS147" s="118"/>
    </row>
    <row r="148" spans="1:45" x14ac:dyDescent="0.25">
      <c r="A148" s="30">
        <v>150</v>
      </c>
      <c r="B148" s="5" t="s">
        <v>1816</v>
      </c>
      <c r="C148" s="2" t="s">
        <v>289</v>
      </c>
      <c r="D148" s="2" t="s">
        <v>289</v>
      </c>
      <c r="E148" s="2">
        <v>189002</v>
      </c>
      <c r="F148" s="48">
        <v>2410388</v>
      </c>
      <c r="G148" s="2" t="str">
        <f>_xlfn.CONCAT(scheduleapr[[#This Row],[CUSTOMER CODE]],"-",scheduleapr[[#This Row],[MATERIAL NO]])</f>
        <v>189002-2410388</v>
      </c>
      <c r="H148" s="2" t="s">
        <v>819</v>
      </c>
      <c r="I148" s="2" t="s">
        <v>357</v>
      </c>
      <c r="J148" s="9"/>
      <c r="K148" s="2" t="s">
        <v>357</v>
      </c>
      <c r="L148" s="2" t="s">
        <v>239</v>
      </c>
      <c r="M148" s="2"/>
      <c r="N148" s="9"/>
      <c r="O148" s="9"/>
      <c r="P148" s="9"/>
      <c r="Q148" s="557" t="str">
        <f>CONCATENATE(scheduleapr[[#This Row],[OD]],"-",scheduleapr[[#This Row],[ID]],"-",scheduleapr[[#This Row],[TICKNESS]],"-",scheduleapr[[#This Row],[Grade]],"-",scheduleapr[[#This Row],[FC/NFC]])</f>
        <v>28.6-0-2.65-CEW-CEW</v>
      </c>
      <c r="R148" s="557" t="str">
        <f>_xlfn.CONCAT(scheduleapr[[#This Row],[Bucket]],"-",scheduleapr[[#This Row],[LENGTH]]/1000)</f>
        <v>28.6-0-2.65-CEW-CEW-1</v>
      </c>
      <c r="S148" s="557" t="e" vm="2">
        <f>COUNTIF([2]!buckets[CTL Bucket],[2]!scheduleapr[[#This Row],[CTL Bucket]])</f>
        <v>#REF!</v>
      </c>
      <c r="T148" s="2" t="s">
        <v>1817</v>
      </c>
      <c r="U148" s="2"/>
      <c r="V148" s="557"/>
      <c r="W148" s="557"/>
      <c r="X148" s="1">
        <v>28.6</v>
      </c>
      <c r="Y148" s="1">
        <v>28.6</v>
      </c>
      <c r="Z148" s="1">
        <v>0</v>
      </c>
      <c r="AA148" s="1">
        <v>2.65</v>
      </c>
      <c r="AB148" s="24">
        <v>1000</v>
      </c>
      <c r="AC148" s="24" t="s">
        <v>444</v>
      </c>
      <c r="AD148" s="24"/>
      <c r="AE148" s="24"/>
      <c r="AF148" s="2"/>
      <c r="AG148" s="2"/>
      <c r="AH148" s="2" cm="1">
        <f t="array" ref="AH1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8" s="4">
        <f>scheduleapr[[#This Row],[SCHEDULE in nos]]-scheduleapr[[#This Row],[DISPATCH]]</f>
        <v>0</v>
      </c>
      <c r="AJ148" s="1">
        <f>(3.14*(scheduleapr[[#This Row],[ACTUAL OD]]-scheduleapr[[#This Row],[TICKNESS]])*scheduleapr[[#This Row],[TICKNESS]]*scheduleapr[[#This Row],[LENGTH]]*7.85)/1000000*scheduleapr[[#This Row],[SCHEDULE in nos]]/1000</f>
        <v>0</v>
      </c>
      <c r="AK148" s="1">
        <f>(3.14*(scheduleapr[[#This Row],[ACTUAL OD]]-scheduleapr[[#This Row],[TICKNESS]])*scheduleapr[[#This Row],[TICKNESS]]*scheduleapr[[#This Row],[LENGTH]]*7.85)/1000000*scheduleapr[[#This Row],[DISPATCH]]/1000</f>
        <v>0</v>
      </c>
      <c r="AL148" s="1">
        <f t="shared" si="5"/>
        <v>0</v>
      </c>
      <c r="AM148" s="1" t="e">
        <f>scheduleapr[[#This Row],[SCHEDULE in nos]]/scheduleapr[[#This Row],[SCHEDULE IN MT]]*scheduleapr[[#This Row],[CTL Stock]]</f>
        <v>#DIV/0!</v>
      </c>
      <c r="AN148" s="1">
        <f>SUMIFS(stock[MT],stock[Bucket],scheduleapr[[#This Row],[Bucket]],stock[CTL Bucket],scheduleapr[[#This Row],[CTL Bucket]],stock[Plant],"0789")</f>
        <v>0</v>
      </c>
      <c r="AO148" s="1"/>
      <c r="AP148" s="1">
        <f>SUMIFS(stock[MT],stock[Bucket],scheduleapr[[#This Row],[Bucket]],stock[LL or CTL],"LL")</f>
        <v>0.95068200000000003</v>
      </c>
      <c r="AQ148" s="1">
        <f>+SUMIFS(wip[Stock(Net Wt)],wip[Bucket],scheduleapr[[#This Row],[Bucket]])/1000</f>
        <v>0</v>
      </c>
      <c r="AR148" s="1">
        <f t="shared" si="6"/>
        <v>0</v>
      </c>
      <c r="AS148" s="118"/>
    </row>
    <row r="149" spans="1:45" x14ac:dyDescent="0.25">
      <c r="A149" s="30">
        <v>151</v>
      </c>
      <c r="B149" s="5" t="s">
        <v>1872</v>
      </c>
      <c r="C149" s="2" t="s">
        <v>289</v>
      </c>
      <c r="D149" s="2" t="s">
        <v>289</v>
      </c>
      <c r="E149" s="2">
        <v>189002</v>
      </c>
      <c r="F149" s="48">
        <v>1942166</v>
      </c>
      <c r="G149" s="2" t="str">
        <f>_xlfn.CONCAT(scheduleapr[[#This Row],[CUSTOMER CODE]],"-",scheduleapr[[#This Row],[MATERIAL NO]])</f>
        <v>189002-1942166</v>
      </c>
      <c r="H149" s="2" t="s">
        <v>1930</v>
      </c>
      <c r="I149" s="2" t="s">
        <v>357</v>
      </c>
      <c r="J149" s="2"/>
      <c r="K149" s="2"/>
      <c r="L149" s="2" t="s">
        <v>239</v>
      </c>
      <c r="M149" s="2"/>
      <c r="N149" s="2"/>
      <c r="O149" s="2"/>
      <c r="P149" s="2"/>
      <c r="Q149" s="557" t="str">
        <f>CONCATENATE(scheduleapr[[#This Row],[OD]],"-",scheduleapr[[#This Row],[ID]],"-",scheduleapr[[#This Row],[TICKNESS]],"-",scheduleapr[[#This Row],[Grade]],"-",scheduleapr[[#This Row],[FC/NFC]])</f>
        <v>30-25.5-2.25-CEW-</v>
      </c>
      <c r="R149" s="557" t="str">
        <f>_xlfn.CONCAT(scheduleapr[[#This Row],[Bucket]],"-",scheduleapr[[#This Row],[LENGTH]]/1000)</f>
        <v>30-25.5-2.25-CEW--1</v>
      </c>
      <c r="S149" s="557" t="e" vm="2">
        <f>COUNTIF([2]!buckets[CTL Bucket],[2]!scheduleapr[[#This Row],[CTL Bucket]])</f>
        <v>#REF!</v>
      </c>
      <c r="T149" s="557"/>
      <c r="U149" s="557"/>
      <c r="V149" s="557"/>
      <c r="W149" s="557"/>
      <c r="X149" s="1">
        <v>30</v>
      </c>
      <c r="Y149" s="1">
        <v>30</v>
      </c>
      <c r="Z149" s="1">
        <v>25.5</v>
      </c>
      <c r="AA149" s="1">
        <v>2.25</v>
      </c>
      <c r="AB149" s="24">
        <v>1000</v>
      </c>
      <c r="AC149" s="24" t="s">
        <v>444</v>
      </c>
      <c r="AD149" s="24"/>
      <c r="AE149" s="24"/>
      <c r="AF149" s="2"/>
      <c r="AG149" s="2"/>
      <c r="AH149" s="2" cm="1">
        <f t="array" ref="AH1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9" s="4">
        <f>scheduleapr[[#This Row],[SCHEDULE in nos]]-scheduleapr[[#This Row],[DISPATCH]]</f>
        <v>0</v>
      </c>
      <c r="AJ149" s="1">
        <f>(3.14*(scheduleapr[[#This Row],[ACTUAL OD]]-scheduleapr[[#This Row],[TICKNESS]])*scheduleapr[[#This Row],[TICKNESS]]*scheduleapr[[#This Row],[LENGTH]]*7.85)/1000000*scheduleapr[[#This Row],[SCHEDULE in nos]]/1000</f>
        <v>0</v>
      </c>
      <c r="AK149" s="1">
        <f>(3.14*(scheduleapr[[#This Row],[ACTUAL OD]]-scheduleapr[[#This Row],[TICKNESS]])*scheduleapr[[#This Row],[TICKNESS]]*scheduleapr[[#This Row],[LENGTH]]*7.85)/1000000*scheduleapr[[#This Row],[DISPATCH]]/1000</f>
        <v>0</v>
      </c>
      <c r="AL149" s="1">
        <f t="shared" si="5"/>
        <v>0</v>
      </c>
      <c r="AM149" s="1" t="e">
        <f>scheduleapr[[#This Row],[SCHEDULE in nos]]/scheduleapr[[#This Row],[SCHEDULE IN MT]]*scheduleapr[[#This Row],[CTL Stock]]</f>
        <v>#DIV/0!</v>
      </c>
      <c r="AN149" s="1">
        <f>SUMIFS(stock[MT],stock[Bucket],scheduleapr[[#This Row],[Bucket]],stock[CTL Bucket],scheduleapr[[#This Row],[CTL Bucket]],stock[Plant],"0789")</f>
        <v>0</v>
      </c>
      <c r="AO149" s="1"/>
      <c r="AP149" s="1">
        <f>SUMIFS(stock[MT],stock[Bucket],scheduleapr[[#This Row],[Bucket]],stock[LL or CTL],"LL")</f>
        <v>0</v>
      </c>
      <c r="AQ149" s="1">
        <f>+SUMIFS(wip[Stock(Net Wt)],wip[Bucket],scheduleapr[[#This Row],[Bucket]])/1000</f>
        <v>0</v>
      </c>
      <c r="AR149" s="1">
        <f t="shared" si="6"/>
        <v>0</v>
      </c>
      <c r="AS149" s="118"/>
    </row>
    <row r="150" spans="1:45" x14ac:dyDescent="0.25">
      <c r="A150" s="30">
        <v>152</v>
      </c>
      <c r="B150" s="5" t="s">
        <v>1872</v>
      </c>
      <c r="C150" s="2" t="s">
        <v>289</v>
      </c>
      <c r="D150" s="2" t="s">
        <v>289</v>
      </c>
      <c r="E150" s="2">
        <v>189002</v>
      </c>
      <c r="F150" s="2">
        <v>2359755</v>
      </c>
      <c r="G150" s="2" t="str">
        <f>_xlfn.CONCAT(scheduleapr[[#This Row],[CUSTOMER CODE]],"-",scheduleapr[[#This Row],[MATERIAL NO]])</f>
        <v>189002-2359755</v>
      </c>
      <c r="H150" s="2" t="s">
        <v>828</v>
      </c>
      <c r="I150" s="2" t="s">
        <v>357</v>
      </c>
      <c r="J150" s="2"/>
      <c r="K150" s="2" t="s">
        <v>357</v>
      </c>
      <c r="L150" s="2" t="s">
        <v>239</v>
      </c>
      <c r="M150" s="2"/>
      <c r="N150" s="2" t="s">
        <v>1516</v>
      </c>
      <c r="O150" s="2"/>
      <c r="P150" s="2"/>
      <c r="Q150" s="557" t="str">
        <f>CONCATENATE(scheduleapr[[#This Row],[OD]],"-",scheduleapr[[#This Row],[ID]],"-",scheduleapr[[#This Row],[TICKNESS]],"-",scheduleapr[[#This Row],[Grade]],"-",scheduleapr[[#This Row],[FC/NFC]])</f>
        <v>30-25.5-2.25-CEW-CEW</v>
      </c>
      <c r="R150" s="557" t="str">
        <f>_xlfn.CONCAT(scheduleapr[[#This Row],[Bucket]],"-",scheduleapr[[#This Row],[LENGTH]]/1000)</f>
        <v>30-25.5-2.25-CEW-CEW-0.485</v>
      </c>
      <c r="S150" s="557">
        <f>COUNTIF(scheduleapr[CTL Bucket],scheduleapr[[#This Row],[CTL Bucket]])</f>
        <v>2</v>
      </c>
      <c r="T150" s="2" t="s">
        <v>1817</v>
      </c>
      <c r="U150" s="2">
        <f>_xlfn.IFNA(VLOOKUP(scheduleapr[[#This Row],[Bucket]],salesforecast[[#All],[Bucket2]:[8406 Stock]],19,0),0)</f>
        <v>10.308093000000001</v>
      </c>
      <c r="V150" s="562">
        <f>_xlfn.IFNA(VLOOKUP(scheduleapr[[#This Row],[Bucket]],salesforecast[[#All],[Bucket2]:[8406 Stock]],20,0),0)+_xlfn.IFNA(VLOOKUP(scheduleapr[[#This Row],[Bucket]],salesforecast[[#All],[Bucket2]:[8406 Stock]],17,0),0)</f>
        <v>0</v>
      </c>
      <c r="W150" s="557"/>
      <c r="X150" s="1">
        <v>30.15</v>
      </c>
      <c r="Y150" s="1">
        <v>30</v>
      </c>
      <c r="Z150" s="1">
        <v>25.5</v>
      </c>
      <c r="AA150" s="1">
        <v>2.25</v>
      </c>
      <c r="AB150" s="24">
        <v>485</v>
      </c>
      <c r="AC150" s="24" t="s">
        <v>397</v>
      </c>
      <c r="AD150" s="24"/>
      <c r="AE150" s="24"/>
      <c r="AF150" s="2">
        <v>60000</v>
      </c>
      <c r="AG150" s="2"/>
      <c r="AH150" s="2" cm="1">
        <f t="array" ref="AH1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15499.999999999998</v>
      </c>
      <c r="AI150" s="4">
        <f>scheduleapr[[#This Row],[SCHEDULE in nos]]-scheduleapr[[#This Row],[DISPATCH]]</f>
        <v>44500</v>
      </c>
      <c r="AJ150" s="1">
        <f>(3.14*(scheduleapr[[#This Row],[ACTUAL OD]]-scheduleapr[[#This Row],[TICKNESS]])*scheduleapr[[#This Row],[TICKNESS]]*scheduleapr[[#This Row],[LENGTH]]*7.85)/1000000*scheduleapr[[#This Row],[SCHEDULE in nos]]/1000</f>
        <v>45.027622372500005</v>
      </c>
      <c r="AK150" s="1">
        <f>(3.14*(scheduleapr[[#This Row],[ACTUAL OD]]-scheduleapr[[#This Row],[TICKNESS]])*scheduleapr[[#This Row],[TICKNESS]]*scheduleapr[[#This Row],[LENGTH]]*7.85)/1000000*scheduleapr[[#This Row],[DISPATCH]]/1000</f>
        <v>11.6321357795625</v>
      </c>
      <c r="AL150" s="1">
        <f t="shared" si="5"/>
        <v>33.395486592937502</v>
      </c>
      <c r="AM150" s="1">
        <f>scheduleapr[[#This Row],[SCHEDULE in nos]]/scheduleapr[[#This Row],[SCHEDULE IN MT]]*scheduleapr[[#This Row],[CTL Stock]]</f>
        <v>0</v>
      </c>
      <c r="AN150" s="1">
        <f>SUMIFS(stock[MT],stock[Bucket],scheduleapr[[#This Row],[Bucket]],stock[CTL Bucket],scheduleapr[[#This Row],[CTL Bucket]],stock[Plant],"0789")</f>
        <v>0</v>
      </c>
      <c r="AO150" s="1"/>
      <c r="AP150" s="1">
        <f>SUMIFS(stock[MT],stock[Bucket],scheduleapr[[#This Row],[Bucket]],stock[LL or CTL],"LL")</f>
        <v>13.385092999999999</v>
      </c>
      <c r="AQ150" s="1">
        <f>+SUMIFS(wip[Stock(Net Wt)],wip[Bucket],scheduleapr[[#This Row],[Bucket]])/1000</f>
        <v>0</v>
      </c>
      <c r="AR150" s="1">
        <f t="shared" si="6"/>
        <v>45.027622372500005</v>
      </c>
      <c r="AS150" s="118"/>
    </row>
    <row r="151" spans="1:45" x14ac:dyDescent="0.25">
      <c r="A151" s="30">
        <v>166</v>
      </c>
      <c r="B151" s="5" t="s">
        <v>1872</v>
      </c>
      <c r="C151" s="2" t="s">
        <v>289</v>
      </c>
      <c r="D151" s="2" t="s">
        <v>289</v>
      </c>
      <c r="E151" s="2">
        <v>189002</v>
      </c>
      <c r="F151" s="2">
        <v>1938125</v>
      </c>
      <c r="G151" s="2" t="str">
        <f>_xlfn.CONCAT(scheduleapr[[#This Row],[CUSTOMER CODE]],"-",scheduleapr[[#This Row],[MATERIAL NO]])</f>
        <v>189002-1938125</v>
      </c>
      <c r="H151" s="2" t="s">
        <v>1931</v>
      </c>
      <c r="I151" s="2" t="s">
        <v>357</v>
      </c>
      <c r="J151" s="2"/>
      <c r="K151" s="2" t="s">
        <v>357</v>
      </c>
      <c r="L151" s="2" t="s">
        <v>239</v>
      </c>
      <c r="M151" s="2"/>
      <c r="N151" s="2" t="s">
        <v>1516</v>
      </c>
      <c r="O151" s="2"/>
      <c r="P151" s="2"/>
      <c r="Q151" s="557" t="str">
        <f>CONCATENATE(scheduleapr[[#This Row],[OD]],"-",scheduleapr[[#This Row],[ID]],"-",scheduleapr[[#This Row],[TICKNESS]],"-",scheduleapr[[#This Row],[Grade]],"-",scheduleapr[[#This Row],[FC/NFC]])</f>
        <v>39-34-2.5-CEW-CEW</v>
      </c>
      <c r="R151" s="557" t="str">
        <f>_xlfn.CONCAT(scheduleapr[[#This Row],[Bucket]],"-",scheduleapr[[#This Row],[LENGTH]]/1000)</f>
        <v>39-34-2.5-CEW-CEW-0.272</v>
      </c>
      <c r="S151" s="557">
        <f>COUNTIF(scheduleapr[CTL Bucket],scheduleapr[[#This Row],[CTL Bucket]])</f>
        <v>2</v>
      </c>
      <c r="T151" s="2" t="s">
        <v>1817</v>
      </c>
      <c r="U151" s="2">
        <f>_xlfn.IFNA(VLOOKUP(scheduleapr[[#This Row],[Bucket]],salesforecast[[#All],[Bucket2]:[8406 Stock]],19,0),0)</f>
        <v>6.342168</v>
      </c>
      <c r="V151" s="562">
        <f>_xlfn.IFNA(VLOOKUP(scheduleapr[[#This Row],[Bucket]],salesforecast[[#All],[Bucket2]:[8406 Stock]],20,0),0)+_xlfn.IFNA(VLOOKUP(scheduleapr[[#This Row],[Bucket]],salesforecast[[#All],[Bucket2]:[8406 Stock]],17,0),0)</f>
        <v>0</v>
      </c>
      <c r="W151" s="557"/>
      <c r="X151" s="1">
        <v>39</v>
      </c>
      <c r="Y151" s="1">
        <v>39</v>
      </c>
      <c r="Z151" s="1">
        <v>34</v>
      </c>
      <c r="AA151" s="1">
        <v>2.5</v>
      </c>
      <c r="AB151" s="24">
        <v>272</v>
      </c>
      <c r="AC151" s="24" t="s">
        <v>397</v>
      </c>
      <c r="AD151" s="24"/>
      <c r="AE151" s="24"/>
      <c r="AF151" s="2">
        <v>60000</v>
      </c>
      <c r="AG151" s="2"/>
      <c r="AH151" s="2" cm="1">
        <f t="array" ref="AH1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18580</v>
      </c>
      <c r="AI151" s="4">
        <f>scheduleapr[[#This Row],[SCHEDULE in nos]]-scheduleapr[[#This Row],[DISPATCH]]</f>
        <v>41420</v>
      </c>
      <c r="AJ151" s="1">
        <f>(3.14*(scheduleapr[[#This Row],[ACTUAL OD]]-scheduleapr[[#This Row],[TICKNESS]])*scheduleapr[[#This Row],[TICKNESS]]*scheduleapr[[#This Row],[LENGTH]]*7.85)/1000000*scheduleapr[[#This Row],[SCHEDULE in nos]]/1000</f>
        <v>36.707290799999996</v>
      </c>
      <c r="AK151" s="1">
        <f>(3.14*(scheduleapr[[#This Row],[ACTUAL OD]]-scheduleapr[[#This Row],[TICKNESS]])*scheduleapr[[#This Row],[TICKNESS]]*scheduleapr[[#This Row],[LENGTH]]*7.85)/1000000*scheduleapr[[#This Row],[DISPATCH]]/1000</f>
        <v>11.367024384399999</v>
      </c>
      <c r="AL151" s="1">
        <f t="shared" si="5"/>
        <v>25.340266415599999</v>
      </c>
      <c r="AM151" s="1">
        <f>scheduleapr[[#This Row],[SCHEDULE in nos]]/scheduleapr[[#This Row],[SCHEDULE IN MT]]*scheduleapr[[#This Row],[CTL Stock]]</f>
        <v>0</v>
      </c>
      <c r="AN151" s="1">
        <f>SUMIFS(stock[MT],stock[Bucket],scheduleapr[[#This Row],[Bucket]],stock[CTL Bucket],scheduleapr[[#This Row],[CTL Bucket]],stock[Plant],"0789")</f>
        <v>0</v>
      </c>
      <c r="AO151" s="1"/>
      <c r="AP151" s="1">
        <f>SUMIFS(stock[MT],stock[Bucket],scheduleapr[[#This Row],[Bucket]],stock[LL or CTL],"LL")</f>
        <v>7.4211679999999998</v>
      </c>
      <c r="AQ151" s="1">
        <f>+SUMIFS(wip[Stock(Net Wt)],wip[Bucket],scheduleapr[[#This Row],[Bucket]])/1000</f>
        <v>0</v>
      </c>
      <c r="AR151" s="1">
        <f t="shared" si="6"/>
        <v>36.707290799999996</v>
      </c>
      <c r="AS151" s="118"/>
    </row>
    <row r="152" spans="1:45" x14ac:dyDescent="0.25">
      <c r="A152" s="30">
        <v>167</v>
      </c>
      <c r="B152" s="5" t="s">
        <v>1872</v>
      </c>
      <c r="C152" s="2" t="s">
        <v>289</v>
      </c>
      <c r="D152" s="2" t="s">
        <v>289</v>
      </c>
      <c r="E152" s="2">
        <v>189002</v>
      </c>
      <c r="F152" s="2">
        <v>1930116</v>
      </c>
      <c r="G152" s="2" t="str">
        <f>_xlfn.CONCAT(scheduleapr[[#This Row],[CUSTOMER CODE]],"-",scheduleapr[[#This Row],[MATERIAL NO]])</f>
        <v>189002-1930116</v>
      </c>
      <c r="H152" s="2" t="s">
        <v>1932</v>
      </c>
      <c r="I152" s="2" t="s">
        <v>357</v>
      </c>
      <c r="J152" s="2"/>
      <c r="K152" s="2"/>
      <c r="L152" s="2" t="s">
        <v>239</v>
      </c>
      <c r="M152" s="2"/>
      <c r="N152" s="2"/>
      <c r="O152" s="2"/>
      <c r="P152" s="2"/>
      <c r="Q152" s="557" t="str">
        <f>CONCATENATE(scheduleapr[[#This Row],[OD]],"-",scheduleapr[[#This Row],[ID]],"-",scheduleapr[[#This Row],[TICKNESS]],"-",scheduleapr[[#This Row],[Grade]],"-",scheduleapr[[#This Row],[FC/NFC]])</f>
        <v>39-34-2.5-CEW-</v>
      </c>
      <c r="R152" s="557" t="str">
        <f>_xlfn.CONCAT(scheduleapr[[#This Row],[Bucket]],"-",scheduleapr[[#This Row],[LENGTH]]/1000)</f>
        <v>39-34-2.5-CEW--1</v>
      </c>
      <c r="S152" s="557" t="e" vm="2">
        <f>COUNTIF([2]!buckets[CTL Bucket],[2]!scheduleapr[[#This Row],[CTL Bucket]])</f>
        <v>#REF!</v>
      </c>
      <c r="T152" s="557"/>
      <c r="U152" s="557"/>
      <c r="V152" s="557"/>
      <c r="W152" s="557"/>
      <c r="X152" s="1">
        <v>39</v>
      </c>
      <c r="Y152" s="1">
        <v>39</v>
      </c>
      <c r="Z152" s="1">
        <v>34</v>
      </c>
      <c r="AA152" s="1">
        <v>2.5</v>
      </c>
      <c r="AB152" s="24">
        <v>1000</v>
      </c>
      <c r="AC152" s="24" t="s">
        <v>444</v>
      </c>
      <c r="AD152" s="24"/>
      <c r="AE152" s="24"/>
      <c r="AF152" s="2"/>
      <c r="AG152" s="2"/>
      <c r="AH152" s="2" cm="1">
        <f t="array" ref="AH1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2" s="4">
        <f>scheduleapr[[#This Row],[SCHEDULE in nos]]-scheduleapr[[#This Row],[DISPATCH]]</f>
        <v>0</v>
      </c>
      <c r="AJ152" s="1">
        <f>(3.14*(scheduleapr[[#This Row],[ACTUAL OD]]-scheduleapr[[#This Row],[TICKNESS]])*scheduleapr[[#This Row],[TICKNESS]]*scheduleapr[[#This Row],[LENGTH]]*7.85)/1000000*scheduleapr[[#This Row],[SCHEDULE in nos]]/1000</f>
        <v>0</v>
      </c>
      <c r="AK152" s="1">
        <f>(3.14*(scheduleapr[[#This Row],[ACTUAL OD]]-scheduleapr[[#This Row],[TICKNESS]])*scheduleapr[[#This Row],[TICKNESS]]*scheduleapr[[#This Row],[LENGTH]]*7.85)/1000000*scheduleapr[[#This Row],[DISPATCH]]/1000</f>
        <v>0</v>
      </c>
      <c r="AL152" s="1">
        <f t="shared" si="5"/>
        <v>0</v>
      </c>
      <c r="AM152" s="1" t="e">
        <f>scheduleapr[[#This Row],[SCHEDULE in nos]]/scheduleapr[[#This Row],[SCHEDULE IN MT]]*scheduleapr[[#This Row],[CTL Stock]]</f>
        <v>#DIV/0!</v>
      </c>
      <c r="AN152" s="1">
        <f>SUMIFS(stock[MT],stock[Bucket],scheduleapr[[#This Row],[Bucket]],stock[CTL Bucket],scheduleapr[[#This Row],[CTL Bucket]],stock[Plant],"0789")</f>
        <v>0</v>
      </c>
      <c r="AO152" s="1"/>
      <c r="AP152" s="1">
        <f>SUMIFS(stock[MT],stock[Bucket],scheduleapr[[#This Row],[Bucket]],stock[LL or CTL],"LL")</f>
        <v>0</v>
      </c>
      <c r="AQ152" s="1">
        <f>+SUMIFS(wip[Stock(Net Wt)],wip[Bucket],scheduleapr[[#This Row],[Bucket]])/1000</f>
        <v>0</v>
      </c>
      <c r="AR152" s="1">
        <f t="shared" si="6"/>
        <v>0</v>
      </c>
      <c r="AS152" s="118"/>
    </row>
    <row r="153" spans="1:45" x14ac:dyDescent="0.25">
      <c r="A153" s="30">
        <v>772</v>
      </c>
      <c r="B153" s="5" t="s">
        <v>1816</v>
      </c>
      <c r="C153" s="2" t="s">
        <v>305</v>
      </c>
      <c r="D153" s="2" t="s">
        <v>289</v>
      </c>
      <c r="E153" s="2">
        <v>189002</v>
      </c>
      <c r="F153" s="2">
        <v>3239890</v>
      </c>
      <c r="G153" s="2" t="str">
        <f>_xlfn.CONCAT(scheduleapr[[#This Row],[CUSTOMER CODE]],"-",scheduleapr[[#This Row],[MATERIAL NO]])</f>
        <v>189002-3239890</v>
      </c>
      <c r="H153" s="2" t="s">
        <v>1315</v>
      </c>
      <c r="I153" s="44" t="s">
        <v>229</v>
      </c>
      <c r="J153" s="44"/>
      <c r="K153" s="44" t="s">
        <v>963</v>
      </c>
      <c r="L153" s="44"/>
      <c r="M153" s="44"/>
      <c r="N153" s="44"/>
      <c r="O153" s="44"/>
      <c r="P153" s="44"/>
      <c r="Q153" s="557" t="str">
        <f>CONCATENATE(scheduleapr[[#This Row],[OD]],"-",scheduleapr[[#This Row],[ID]],"-",scheduleapr[[#This Row],[TICKNESS]],"-",scheduleapr[[#This Row],[Grade]],"-",scheduleapr[[#This Row],[FC/NFC]])</f>
        <v>19.05-0-1.2-CRFH-PE</v>
      </c>
      <c r="R153" s="557" t="str">
        <f>_xlfn.CONCAT(scheduleapr[[#This Row],[Bucket]],"-",scheduleapr[[#This Row],[LENGTH]]/1000)</f>
        <v>19.05-0-1.2-CRFH-PE-0.33</v>
      </c>
      <c r="S153" s="557">
        <f>COUNTIF(scheduleapr[CTL Bucket],scheduleapr[[#This Row],[CTL Bucket]])</f>
        <v>2</v>
      </c>
      <c r="T153" s="2" t="s">
        <v>1816</v>
      </c>
      <c r="U153" s="2"/>
      <c r="V153" s="2"/>
      <c r="W153" s="2"/>
      <c r="X153" s="1">
        <v>19.05</v>
      </c>
      <c r="Y153" s="1">
        <v>19.05</v>
      </c>
      <c r="Z153" s="1">
        <v>0</v>
      </c>
      <c r="AA153" s="1">
        <v>1.2</v>
      </c>
      <c r="AB153" s="24">
        <v>330</v>
      </c>
      <c r="AC153" s="24" t="s">
        <v>397</v>
      </c>
      <c r="AD153" s="24"/>
      <c r="AE153" s="24"/>
      <c r="AF153" s="2">
        <v>2000</v>
      </c>
      <c r="AG153" s="2"/>
      <c r="AH153" s="2" cm="1">
        <f t="array" ref="AH1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153" s="4">
        <f>scheduleapr[[#This Row],[SCHEDULE in nos]]-scheduleapr[[#This Row],[DISPATCH]]</f>
        <v>-1500</v>
      </c>
      <c r="AJ153" s="1">
        <f>(3.14*(scheduleapr[[#This Row],[ACTUAL OD]]-scheduleapr[[#This Row],[TICKNESS]])*scheduleapr[[#This Row],[TICKNESS]]*scheduleapr[[#This Row],[LENGTH]]*7.85)/1000000*scheduleapr[[#This Row],[SCHEDULE in nos]]/1000</f>
        <v>0.34846784280000004</v>
      </c>
      <c r="AK153" s="1">
        <f>(3.14*(scheduleapr[[#This Row],[ACTUAL OD]]-scheduleapr[[#This Row],[TICKNESS]])*scheduleapr[[#This Row],[TICKNESS]]*scheduleapr[[#This Row],[LENGTH]]*7.85)/1000000*scheduleapr[[#This Row],[DISPATCH]]/1000</f>
        <v>0.60981872490000011</v>
      </c>
      <c r="AL153" s="1">
        <f t="shared" si="5"/>
        <v>-0.26135088210000007</v>
      </c>
      <c r="AM153" s="1">
        <f>scheduleapr[[#This Row],[SCHEDULE in nos]]/scheduleapr[[#This Row],[SCHEDULE IN MT]]*scheduleapr[[#This Row],[CTL Stock]]</f>
        <v>0</v>
      </c>
      <c r="AN153" s="1">
        <f>SUMIFS(stock[MT],stock[Bucket],scheduleapr[[#This Row],[Bucket]],stock[LL or CTL],"LL")</f>
        <v>0</v>
      </c>
      <c r="AO153" s="1">
        <f>+SUMIFS(wip[Stock(Net Wt)],wip[Bucket],scheduleapr[[#This Row],[Bucket]])/1000</f>
        <v>16.085999999999999</v>
      </c>
      <c r="AP153" s="1">
        <f t="shared" ref="AP153:AP159" si="7">AH153-AL153</f>
        <v>3500.2613508821</v>
      </c>
      <c r="AQ153" s="1">
        <f>+SUMIFS(wip[Stock(Net Wt)],wip[Bucket],scheduleapr[[#This Row],[Bucket]])/1000</f>
        <v>16.085999999999999</v>
      </c>
      <c r="AR153" s="1">
        <f t="shared" si="6"/>
        <v>0.34846784280000004</v>
      </c>
      <c r="AS153" s="118"/>
    </row>
    <row r="154" spans="1:45" x14ac:dyDescent="0.25">
      <c r="A154" s="30">
        <v>767</v>
      </c>
      <c r="B154" s="5" t="s">
        <v>1816</v>
      </c>
      <c r="C154" s="2" t="s">
        <v>305</v>
      </c>
      <c r="D154" s="2" t="s">
        <v>289</v>
      </c>
      <c r="E154" s="2">
        <v>189002</v>
      </c>
      <c r="F154" s="542">
        <v>3929540</v>
      </c>
      <c r="G154" s="2" t="str">
        <f>_xlfn.CONCAT(scheduleapr[[#This Row],[CUSTOMER CODE]],"-",scheduleapr[[#This Row],[MATERIAL NO]])</f>
        <v>189002-3929540</v>
      </c>
      <c r="H154" s="523" t="s">
        <v>627</v>
      </c>
      <c r="I154" s="44" t="s">
        <v>229</v>
      </c>
      <c r="J154" s="44"/>
      <c r="K154" s="44" t="s">
        <v>963</v>
      </c>
      <c r="L154" s="44"/>
      <c r="M154" s="44"/>
      <c r="N154" s="44"/>
      <c r="O154" s="44"/>
      <c r="P154" s="44"/>
      <c r="Q154" s="557" t="str">
        <f>CONCATENATE(scheduleapr[[#This Row],[OD]],"-",scheduleapr[[#This Row],[ID]],"-",scheduleapr[[#This Row],[TICKNESS]],"-",scheduleapr[[#This Row],[Grade]],"-",scheduleapr[[#This Row],[FC/NFC]])</f>
        <v>19.05-0-1.2-CRFH-PE</v>
      </c>
      <c r="R154" s="557" t="str">
        <f>_xlfn.CONCAT(scheduleapr[[#This Row],[Bucket]],"-",scheduleapr[[#This Row],[LENGTH]]/1000)</f>
        <v>19.05-0-1.2-CRFH-PE-0.682</v>
      </c>
      <c r="S154" s="557">
        <f>COUNTIF(scheduleapr[CTL Bucket],scheduleapr[[#This Row],[CTL Bucket]])</f>
        <v>1</v>
      </c>
      <c r="T154" s="2" t="s">
        <v>1816</v>
      </c>
      <c r="U154" s="2"/>
      <c r="V154" s="2"/>
      <c r="W154" s="2"/>
      <c r="X154" s="1">
        <v>19.05</v>
      </c>
      <c r="Y154" s="1">
        <v>19.05</v>
      </c>
      <c r="Z154" s="1">
        <v>0</v>
      </c>
      <c r="AA154" s="1">
        <v>1.2</v>
      </c>
      <c r="AB154" s="24">
        <v>682</v>
      </c>
      <c r="AC154" s="24" t="s">
        <v>397</v>
      </c>
      <c r="AD154" s="24"/>
      <c r="AE154" s="24"/>
      <c r="AF154" s="2">
        <v>14000</v>
      </c>
      <c r="AG154" s="2"/>
      <c r="AH154" s="2" cm="1">
        <f t="array" ref="AH1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4" s="4">
        <f>scheduleapr[[#This Row],[SCHEDULE in nos]]-scheduleapr[[#This Row],[DISPATCH]]</f>
        <v>14000</v>
      </c>
      <c r="AJ154" s="1">
        <f>(3.14*(scheduleapr[[#This Row],[ACTUAL OD]]-scheduleapr[[#This Row],[TICKNESS]])*scheduleapr[[#This Row],[TICKNESS]]*scheduleapr[[#This Row],[LENGTH]]*7.85)/1000000*scheduleapr[[#This Row],[SCHEDULE in nos]]/1000</f>
        <v>5.0411681258400005</v>
      </c>
      <c r="AK154" s="1">
        <f>(3.14*(scheduleapr[[#This Row],[ACTUAL OD]]-scheduleapr[[#This Row],[TICKNESS]])*scheduleapr[[#This Row],[TICKNESS]]*scheduleapr[[#This Row],[LENGTH]]*7.85)/1000000*scheduleapr[[#This Row],[DISPATCH]]/1000</f>
        <v>0</v>
      </c>
      <c r="AL154" s="1">
        <f t="shared" si="5"/>
        <v>5.0411681258400005</v>
      </c>
      <c r="AM154" s="1">
        <f>scheduleapr[[#This Row],[SCHEDULE in nos]]/scheduleapr[[#This Row],[SCHEDULE IN MT]]*scheduleapr[[#This Row],[CTL Stock]]</f>
        <v>0</v>
      </c>
      <c r="AN154" s="1">
        <f>SUMIFS(stock[MT],stock[Bucket],scheduleapr[[#This Row],[Bucket]],stock[LL or CTL],"LL")</f>
        <v>0</v>
      </c>
      <c r="AO154" s="1">
        <f>+SUMIFS(wip[Stock(Net Wt)],wip[Bucket],scheduleapr[[#This Row],[Bucket]])/1000</f>
        <v>16.085999999999999</v>
      </c>
      <c r="AP154" s="1">
        <f t="shared" si="7"/>
        <v>-5.0411681258400005</v>
      </c>
      <c r="AQ154" s="1">
        <f>+SUMIFS(wip[Stock(Net Wt)],wip[Bucket],scheduleapr[[#This Row],[Bucket]])/1000</f>
        <v>16.085999999999999</v>
      </c>
      <c r="AR154" s="1">
        <f t="shared" si="6"/>
        <v>5.0411681258400005</v>
      </c>
      <c r="AS154" s="118"/>
    </row>
    <row r="155" spans="1:45" x14ac:dyDescent="0.25">
      <c r="A155" s="30">
        <v>778</v>
      </c>
      <c r="B155" s="5" t="s">
        <v>1816</v>
      </c>
      <c r="C155" s="2" t="s">
        <v>305</v>
      </c>
      <c r="D155" s="2" t="s">
        <v>289</v>
      </c>
      <c r="E155" s="2">
        <v>189002</v>
      </c>
      <c r="F155" s="2">
        <v>3929692</v>
      </c>
      <c r="G155" s="2" t="str">
        <f>_xlfn.CONCAT(scheduleapr[[#This Row],[CUSTOMER CODE]],"-",scheduleapr[[#This Row],[MATERIAL NO]])</f>
        <v>189002-3929692</v>
      </c>
      <c r="H155" s="2" t="s">
        <v>533</v>
      </c>
      <c r="I155" s="44" t="s">
        <v>229</v>
      </c>
      <c r="J155" s="44"/>
      <c r="K155" s="44" t="s">
        <v>963</v>
      </c>
      <c r="L155" s="44"/>
      <c r="M155" s="44"/>
      <c r="N155" s="44"/>
      <c r="O155" s="44"/>
      <c r="P155" s="44"/>
      <c r="Q155" s="557" t="str">
        <f>CONCATENATE(scheduleapr[[#This Row],[OD]],"-",scheduleapr[[#This Row],[ID]],"-",scheduleapr[[#This Row],[TICKNESS]],"-",scheduleapr[[#This Row],[Grade]],"-",scheduleapr[[#This Row],[FC/NFC]])</f>
        <v>19.05-0-1.2-CRFH-PE</v>
      </c>
      <c r="R155" s="557" t="str">
        <f>_xlfn.CONCAT(scheduleapr[[#This Row],[Bucket]],"-",scheduleapr[[#This Row],[LENGTH]]/1000)</f>
        <v>19.05-0-1.2-CRFH-PE-1.23</v>
      </c>
      <c r="S155" s="557">
        <f>COUNTIF(scheduleapr[CTL Bucket],scheduleapr[[#This Row],[CTL Bucket]])</f>
        <v>3</v>
      </c>
      <c r="T155" s="2" t="s">
        <v>1816</v>
      </c>
      <c r="U155" s="2"/>
      <c r="V155" s="2"/>
      <c r="W155" s="2"/>
      <c r="X155" s="1">
        <v>19.05</v>
      </c>
      <c r="Y155" s="1">
        <v>19.05</v>
      </c>
      <c r="Z155" s="1">
        <v>0</v>
      </c>
      <c r="AA155" s="1">
        <v>1.2</v>
      </c>
      <c r="AB155" s="24">
        <v>1230</v>
      </c>
      <c r="AC155" s="24" t="s">
        <v>397</v>
      </c>
      <c r="AD155" s="24"/>
      <c r="AE155" s="24"/>
      <c r="AF155" s="2">
        <v>7000</v>
      </c>
      <c r="AG155" s="2"/>
      <c r="AH155" s="2" cm="1">
        <f t="array" ref="AH1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155" s="4">
        <f>scheduleapr[[#This Row],[SCHEDULE in nos]]-scheduleapr[[#This Row],[DISPATCH]]</f>
        <v>3500</v>
      </c>
      <c r="AJ155" s="1">
        <f>(3.14*(scheduleapr[[#This Row],[ACTUAL OD]]-scheduleapr[[#This Row],[TICKNESS]])*scheduleapr[[#This Row],[TICKNESS]]*scheduleapr[[#This Row],[LENGTH]]*7.85)/1000000*scheduleapr[[#This Row],[SCHEDULE in nos]]/1000</f>
        <v>4.5459214038000004</v>
      </c>
      <c r="AK155" s="1">
        <f>(3.14*(scheduleapr[[#This Row],[ACTUAL OD]]-scheduleapr[[#This Row],[TICKNESS]])*scheduleapr[[#This Row],[TICKNESS]]*scheduleapr[[#This Row],[LENGTH]]*7.85)/1000000*scheduleapr[[#This Row],[DISPATCH]]/1000</f>
        <v>2.2729607019000002</v>
      </c>
      <c r="AL155" s="1">
        <f t="shared" si="5"/>
        <v>2.2729607019000002</v>
      </c>
      <c r="AM155" s="1">
        <f>scheduleapr[[#This Row],[SCHEDULE in nos]]/scheduleapr[[#This Row],[SCHEDULE IN MT]]*scheduleapr[[#This Row],[CTL Stock]]</f>
        <v>0</v>
      </c>
      <c r="AN155" s="1">
        <f>SUMIFS(stock[MT],stock[Bucket],scheduleapr[[#This Row],[Bucket]],stock[LL or CTL],"LL")</f>
        <v>0</v>
      </c>
      <c r="AO155" s="1">
        <f>+SUMIFS(wip[Stock(Net Wt)],wip[Bucket],scheduleapr[[#This Row],[Bucket]])/1000</f>
        <v>16.085999999999999</v>
      </c>
      <c r="AP155" s="1">
        <f t="shared" si="7"/>
        <v>3497.7270392981</v>
      </c>
      <c r="AQ155" s="1">
        <f>+SUMIFS(wip[Stock(Net Wt)],wip[Bucket],scheduleapr[[#This Row],[Bucket]])/1000</f>
        <v>16.085999999999999</v>
      </c>
      <c r="AR155" s="1">
        <f t="shared" si="6"/>
        <v>4.5459214038000004</v>
      </c>
      <c r="AS155" s="118"/>
    </row>
    <row r="156" spans="1:45" x14ac:dyDescent="0.25">
      <c r="A156" s="30">
        <v>758</v>
      </c>
      <c r="B156" s="5" t="s">
        <v>1816</v>
      </c>
      <c r="C156" s="2" t="s">
        <v>305</v>
      </c>
      <c r="D156" s="2" t="s">
        <v>289</v>
      </c>
      <c r="E156" s="2">
        <v>189002</v>
      </c>
      <c r="F156" s="2">
        <v>3931834</v>
      </c>
      <c r="G156" s="2" t="str">
        <f>_xlfn.CONCAT(scheduleapr[[#This Row],[CUSTOMER CODE]],"-",scheduleapr[[#This Row],[MATERIAL NO]])</f>
        <v>189002-3931834</v>
      </c>
      <c r="H156" s="2" t="s">
        <v>500</v>
      </c>
      <c r="I156" s="44" t="s">
        <v>229</v>
      </c>
      <c r="J156" s="1"/>
      <c r="K156" s="44" t="s">
        <v>963</v>
      </c>
      <c r="L156" s="2" t="s">
        <v>1867</v>
      </c>
      <c r="M156" s="1"/>
      <c r="N156" s="24"/>
      <c r="O156" s="2"/>
      <c r="P156" s="2"/>
      <c r="Q156" s="557" t="str">
        <f>CONCATENATE(scheduleapr[[#This Row],[OD]],"-",scheduleapr[[#This Row],[ID]],"-",scheduleapr[[#This Row],[TICKNESS]],"-",scheduleapr[[#This Row],[Grade]],"-",scheduleapr[[#This Row],[FC/NFC]])</f>
        <v>19-19-1-CRFH-PE</v>
      </c>
      <c r="R156" s="557" t="str">
        <f>_xlfn.CONCAT(scheduleapr[[#This Row],[Bucket]],"-",scheduleapr[[#This Row],[LENGTH]]/1000)</f>
        <v>19-19-1-CRFH-PE-0.1</v>
      </c>
      <c r="S156" s="557">
        <f>COUNTIF(scheduleapr[CTL Bucket],scheduleapr[[#This Row],[CTL Bucket]])</f>
        <v>3</v>
      </c>
      <c r="T156" s="2" t="s">
        <v>1816</v>
      </c>
      <c r="U156" s="2"/>
      <c r="V156" s="2"/>
      <c r="W156" s="2"/>
      <c r="X156" s="1">
        <v>23.42</v>
      </c>
      <c r="Y156" s="1">
        <v>19</v>
      </c>
      <c r="Z156" s="1">
        <v>19</v>
      </c>
      <c r="AA156" s="1">
        <v>1</v>
      </c>
      <c r="AB156" s="24">
        <v>100</v>
      </c>
      <c r="AC156" s="24" t="s">
        <v>397</v>
      </c>
      <c r="AD156" s="24"/>
      <c r="AE156" s="24"/>
      <c r="AF156" s="2"/>
      <c r="AG156" s="2"/>
      <c r="AH156" s="2" cm="1">
        <f t="array" ref="AH1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156" s="4">
        <f>scheduleapr[[#This Row],[SCHEDULE in nos]]-scheduleapr[[#This Row],[DISPATCH]]</f>
        <v>-2000</v>
      </c>
      <c r="AJ156" s="1">
        <f>(3.14*(scheduleapr[[#This Row],[ACTUAL OD]]-scheduleapr[[#This Row],[TICKNESS]])*scheduleapr[[#This Row],[TICKNESS]]*scheduleapr[[#This Row],[LENGTH]]*7.85)/1000000*scheduleapr[[#This Row],[SCHEDULE in nos]]/1000</f>
        <v>0</v>
      </c>
      <c r="AK156" s="1">
        <f>(3.14*(scheduleapr[[#This Row],[ACTUAL OD]]-scheduleapr[[#This Row],[TICKNESS]])*scheduleapr[[#This Row],[TICKNESS]]*scheduleapr[[#This Row],[LENGTH]]*7.85)/1000000*scheduleapr[[#This Row],[DISPATCH]]/1000</f>
        <v>0.11052611600000001</v>
      </c>
      <c r="AL156" s="1">
        <f t="shared" si="5"/>
        <v>-0.11052611600000001</v>
      </c>
      <c r="AM156" s="1" t="e">
        <f>scheduleapr[[#This Row],[SCHEDULE in nos]]/scheduleapr[[#This Row],[SCHEDULE IN MT]]*scheduleapr[[#This Row],[CTL Stock]]</f>
        <v>#DIV/0!</v>
      </c>
      <c r="AN156" s="1">
        <f>SUMIFS(stock[MT],stock[Bucket],scheduleapr[[#This Row],[Bucket]],stock[LL or CTL],"LL")</f>
        <v>15.867808</v>
      </c>
      <c r="AO156" s="1">
        <f>+SUMIFS(wip[Stock(Net Wt)],wip[Bucket],scheduleapr[[#This Row],[Bucket]])/1000</f>
        <v>41.765000000000001</v>
      </c>
      <c r="AP156" s="1">
        <f t="shared" si="7"/>
        <v>2000.1105261160001</v>
      </c>
      <c r="AQ156" s="1">
        <f>+SUMIFS(wip[Stock(Net Wt)],wip[Bucket],scheduleapr[[#This Row],[Bucket]])/1000</f>
        <v>41.765000000000001</v>
      </c>
      <c r="AR156" s="1">
        <f t="shared" si="6"/>
        <v>-15.867808</v>
      </c>
      <c r="AS156" s="118"/>
    </row>
    <row r="157" spans="1:45" x14ac:dyDescent="0.25">
      <c r="A157" s="30">
        <v>765</v>
      </c>
      <c r="B157" s="5" t="s">
        <v>1816</v>
      </c>
      <c r="C157" s="2" t="s">
        <v>305</v>
      </c>
      <c r="D157" s="2" t="s">
        <v>289</v>
      </c>
      <c r="E157" s="2">
        <v>189002</v>
      </c>
      <c r="F157" s="2">
        <v>3931835</v>
      </c>
      <c r="G157" s="2" t="str">
        <f>_xlfn.CONCAT(scheduleapr[[#This Row],[CUSTOMER CODE]],"-",scheduleapr[[#This Row],[MATERIAL NO]])</f>
        <v>189002-3931835</v>
      </c>
      <c r="H157" s="2" t="s">
        <v>527</v>
      </c>
      <c r="I157" s="44" t="s">
        <v>229</v>
      </c>
      <c r="J157" s="1"/>
      <c r="K157" s="44" t="s">
        <v>963</v>
      </c>
      <c r="L157" s="2" t="s">
        <v>1867</v>
      </c>
      <c r="M157" s="1"/>
      <c r="N157" s="24"/>
      <c r="O157" s="2"/>
      <c r="P157" s="2"/>
      <c r="Q157" s="557" t="str">
        <f>CONCATENATE(scheduleapr[[#This Row],[OD]],"-",scheduleapr[[#This Row],[ID]],"-",scheduleapr[[#This Row],[TICKNESS]],"-",scheduleapr[[#This Row],[Grade]],"-",scheduleapr[[#This Row],[FC/NFC]])</f>
        <v>19-19-1-CRFH-PE</v>
      </c>
      <c r="R157" s="557" t="str">
        <f>_xlfn.CONCAT(scheduleapr[[#This Row],[Bucket]],"-",scheduleapr[[#This Row],[LENGTH]]/1000)</f>
        <v>19-19-1-CRFH-PE-0.11</v>
      </c>
      <c r="S157" s="557">
        <f>COUNTIF(scheduleapr[CTL Bucket],scheduleapr[[#This Row],[CTL Bucket]])</f>
        <v>4</v>
      </c>
      <c r="T157" s="2" t="s">
        <v>1816</v>
      </c>
      <c r="U157" s="2"/>
      <c r="V157" s="2"/>
      <c r="W157" s="2"/>
      <c r="X157" s="1">
        <v>23.42</v>
      </c>
      <c r="Y157" s="1">
        <v>19</v>
      </c>
      <c r="Z157" s="1">
        <v>19</v>
      </c>
      <c r="AA157" s="1">
        <v>1</v>
      </c>
      <c r="AB157" s="24">
        <v>110</v>
      </c>
      <c r="AC157" s="24" t="s">
        <v>397</v>
      </c>
      <c r="AD157" s="24"/>
      <c r="AE157" s="24"/>
      <c r="AF157" s="2"/>
      <c r="AG157" s="2"/>
      <c r="AH157" s="2" cm="1">
        <f t="array" ref="AH1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57" s="4">
        <f>scheduleapr[[#This Row],[SCHEDULE in nos]]-scheduleapr[[#This Row],[DISPATCH]]</f>
        <v>-1000</v>
      </c>
      <c r="AJ157" s="1">
        <f>(3.14*(scheduleapr[[#This Row],[ACTUAL OD]]-scheduleapr[[#This Row],[TICKNESS]])*scheduleapr[[#This Row],[TICKNESS]]*scheduleapr[[#This Row],[LENGTH]]*7.85)/1000000*scheduleapr[[#This Row],[SCHEDULE in nos]]/1000</f>
        <v>0</v>
      </c>
      <c r="AK157" s="1">
        <f>(3.14*(scheduleapr[[#This Row],[ACTUAL OD]]-scheduleapr[[#This Row],[TICKNESS]])*scheduleapr[[#This Row],[TICKNESS]]*scheduleapr[[#This Row],[LENGTH]]*7.85)/1000000*scheduleapr[[#This Row],[DISPATCH]]/1000</f>
        <v>6.078936380000001E-2</v>
      </c>
      <c r="AL157" s="1">
        <f t="shared" si="5"/>
        <v>-6.078936380000001E-2</v>
      </c>
      <c r="AM157" s="1" t="e">
        <f>scheduleapr[[#This Row],[SCHEDULE in nos]]/scheduleapr[[#This Row],[SCHEDULE IN MT]]*scheduleapr[[#This Row],[CTL Stock]]</f>
        <v>#DIV/0!</v>
      </c>
      <c r="AN157" s="1">
        <f>SUMIFS(stock[MT],stock[Bucket],scheduleapr[[#This Row],[Bucket]],stock[LL or CTL],"LL")</f>
        <v>15.867808</v>
      </c>
      <c r="AO157" s="1">
        <f>+SUMIFS(wip[Stock(Net Wt)],wip[Bucket],scheduleapr[[#This Row],[Bucket]])/1000</f>
        <v>41.765000000000001</v>
      </c>
      <c r="AP157" s="1">
        <f t="shared" si="7"/>
        <v>1000.0607893638</v>
      </c>
      <c r="AQ157" s="1">
        <f>+SUMIFS(wip[Stock(Net Wt)],wip[Bucket],scheduleapr[[#This Row],[Bucket]])/1000</f>
        <v>41.765000000000001</v>
      </c>
      <c r="AR157" s="1">
        <f t="shared" si="6"/>
        <v>-15.867808</v>
      </c>
      <c r="AS157" s="118"/>
    </row>
    <row r="158" spans="1:45" x14ac:dyDescent="0.25">
      <c r="A158" s="30">
        <v>759</v>
      </c>
      <c r="B158" s="5" t="s">
        <v>1816</v>
      </c>
      <c r="C158" s="2" t="s">
        <v>305</v>
      </c>
      <c r="D158" s="2" t="s">
        <v>289</v>
      </c>
      <c r="E158" s="2">
        <v>189002</v>
      </c>
      <c r="F158" s="2">
        <v>4151428</v>
      </c>
      <c r="G158" s="2" t="str">
        <f>_xlfn.CONCAT(scheduleapr[[#This Row],[CUSTOMER CODE]],"-",scheduleapr[[#This Row],[MATERIAL NO]])</f>
        <v>189002-4151428</v>
      </c>
      <c r="H158" s="2" t="s">
        <v>504</v>
      </c>
      <c r="I158" s="44" t="s">
        <v>229</v>
      </c>
      <c r="J158" s="1"/>
      <c r="K158" s="44" t="s">
        <v>963</v>
      </c>
      <c r="L158" s="2" t="s">
        <v>1867</v>
      </c>
      <c r="M158" s="1"/>
      <c r="N158" s="24"/>
      <c r="O158" s="2"/>
      <c r="P158" s="2"/>
      <c r="Q158" s="557" t="str">
        <f>CONCATENATE(scheduleapr[[#This Row],[OD]],"-",scheduleapr[[#This Row],[ID]],"-",scheduleapr[[#This Row],[TICKNESS]],"-",scheduleapr[[#This Row],[Grade]],"-",scheduleapr[[#This Row],[FC/NFC]])</f>
        <v>19-19-1-CRFH-PE</v>
      </c>
      <c r="R158" s="557" t="str">
        <f>_xlfn.CONCAT(scheduleapr[[#This Row],[Bucket]],"-",scheduleapr[[#This Row],[LENGTH]]/1000)</f>
        <v>19-19-1-CRFH-PE-0.115</v>
      </c>
      <c r="S158" s="557">
        <f>COUNTIF(scheduleapr[CTL Bucket],scheduleapr[[#This Row],[CTL Bucket]])</f>
        <v>2</v>
      </c>
      <c r="T158" s="2" t="s">
        <v>1816</v>
      </c>
      <c r="U158" s="2"/>
      <c r="V158" s="2"/>
      <c r="W158" s="2"/>
      <c r="X158" s="1">
        <v>23.42</v>
      </c>
      <c r="Y158" s="1">
        <v>19</v>
      </c>
      <c r="Z158" s="1">
        <v>19</v>
      </c>
      <c r="AA158" s="1">
        <v>1</v>
      </c>
      <c r="AB158" s="24">
        <v>115</v>
      </c>
      <c r="AC158" s="24" t="s">
        <v>397</v>
      </c>
      <c r="AD158" s="24"/>
      <c r="AE158" s="24"/>
      <c r="AF158" s="2"/>
      <c r="AG158" s="2"/>
      <c r="AH158" s="2" cm="1">
        <f t="array" ref="AH1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58" s="4">
        <f>scheduleapr[[#This Row],[SCHEDULE in nos]]-scheduleapr[[#This Row],[DISPATCH]]</f>
        <v>-1000</v>
      </c>
      <c r="AJ158" s="1">
        <f>(3.14*(scheduleapr[[#This Row],[ACTUAL OD]]-scheduleapr[[#This Row],[TICKNESS]])*scheduleapr[[#This Row],[TICKNESS]]*scheduleapr[[#This Row],[LENGTH]]*7.85)/1000000*scheduleapr[[#This Row],[SCHEDULE in nos]]/1000</f>
        <v>0</v>
      </c>
      <c r="AK158" s="1">
        <f>(3.14*(scheduleapr[[#This Row],[ACTUAL OD]]-scheduleapr[[#This Row],[TICKNESS]])*scheduleapr[[#This Row],[TICKNESS]]*scheduleapr[[#This Row],[LENGTH]]*7.85)/1000000*scheduleapr[[#This Row],[DISPATCH]]/1000</f>
        <v>6.3552516700000006E-2</v>
      </c>
      <c r="AL158" s="1">
        <f t="shared" si="5"/>
        <v>-6.3552516700000006E-2</v>
      </c>
      <c r="AM158" s="1" t="e">
        <f>scheduleapr[[#This Row],[SCHEDULE in nos]]/scheduleapr[[#This Row],[SCHEDULE IN MT]]*scheduleapr[[#This Row],[CTL Stock]]</f>
        <v>#DIV/0!</v>
      </c>
      <c r="AN158" s="1">
        <f>SUMIFS(stock[MT],stock[Bucket],scheduleapr[[#This Row],[Bucket]],stock[LL or CTL],"LL")</f>
        <v>15.867808</v>
      </c>
      <c r="AO158" s="1">
        <f>+SUMIFS(wip[Stock(Net Wt)],wip[Bucket],scheduleapr[[#This Row],[Bucket]])/1000</f>
        <v>41.765000000000001</v>
      </c>
      <c r="AP158" s="1">
        <f t="shared" si="7"/>
        <v>1000.0635525167</v>
      </c>
      <c r="AQ158" s="1">
        <f>+SUMIFS(wip[Stock(Net Wt)],wip[Bucket],scheduleapr[[#This Row],[Bucket]])/1000</f>
        <v>41.765000000000001</v>
      </c>
      <c r="AR158" s="1">
        <f t="shared" si="6"/>
        <v>-15.867808</v>
      </c>
      <c r="AS158" s="118"/>
    </row>
    <row r="159" spans="1:45" x14ac:dyDescent="0.25">
      <c r="A159" s="30">
        <v>773</v>
      </c>
      <c r="B159" s="5" t="s">
        <v>1816</v>
      </c>
      <c r="C159" s="2" t="s">
        <v>305</v>
      </c>
      <c r="D159" s="2" t="s">
        <v>289</v>
      </c>
      <c r="E159" s="2">
        <v>189002</v>
      </c>
      <c r="F159" s="2">
        <v>3938687</v>
      </c>
      <c r="G159" s="2" t="str">
        <f>_xlfn.CONCAT(scheduleapr[[#This Row],[CUSTOMER CODE]],"-",scheduleapr[[#This Row],[MATERIAL NO]])</f>
        <v>189002-3938687</v>
      </c>
      <c r="H159" s="2" t="s">
        <v>554</v>
      </c>
      <c r="I159" s="44" t="s">
        <v>229</v>
      </c>
      <c r="J159" s="1"/>
      <c r="K159" s="44" t="s">
        <v>963</v>
      </c>
      <c r="L159" s="2" t="s">
        <v>1867</v>
      </c>
      <c r="M159" s="1"/>
      <c r="N159" s="24"/>
      <c r="O159" s="2"/>
      <c r="P159" s="2"/>
      <c r="Q159" s="557" t="str">
        <f>CONCATENATE(scheduleapr[[#This Row],[OD]],"-",scheduleapr[[#This Row],[ID]],"-",scheduleapr[[#This Row],[TICKNESS]],"-",scheduleapr[[#This Row],[Grade]],"-",scheduleapr[[#This Row],[FC/NFC]])</f>
        <v>19-19-1-CRFH-PE</v>
      </c>
      <c r="R159" s="557" t="str">
        <f>_xlfn.CONCAT(scheduleapr[[#This Row],[Bucket]],"-",scheduleapr[[#This Row],[LENGTH]]/1000)</f>
        <v>19-19-1-CRFH-PE-0.129</v>
      </c>
      <c r="S159" s="557">
        <f>COUNTIF(scheduleapr[CTL Bucket],scheduleapr[[#This Row],[CTL Bucket]])</f>
        <v>4</v>
      </c>
      <c r="T159" s="2" t="s">
        <v>1816</v>
      </c>
      <c r="U159" s="2"/>
      <c r="V159" s="2"/>
      <c r="W159" s="2"/>
      <c r="X159" s="1">
        <v>23.42</v>
      </c>
      <c r="Y159" s="1">
        <v>19</v>
      </c>
      <c r="Z159" s="1">
        <v>19</v>
      </c>
      <c r="AA159" s="1">
        <v>1</v>
      </c>
      <c r="AB159" s="24">
        <v>129</v>
      </c>
      <c r="AC159" s="81" t="s">
        <v>397</v>
      </c>
      <c r="AD159" s="81"/>
      <c r="AE159" s="81"/>
      <c r="AF159" s="2"/>
      <c r="AG159" s="2"/>
      <c r="AH159" s="2" cm="1">
        <f t="array" ref="AH1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59" s="4">
        <f>scheduleapr[[#This Row],[SCHEDULE in nos]]-scheduleapr[[#This Row],[DISPATCH]]</f>
        <v>-1000</v>
      </c>
      <c r="AJ159" s="1">
        <f>(3.14*(scheduleapr[[#This Row],[ACTUAL OD]]-scheduleapr[[#This Row],[TICKNESS]])*scheduleapr[[#This Row],[TICKNESS]]*scheduleapr[[#This Row],[LENGTH]]*7.85)/1000000*scheduleapr[[#This Row],[SCHEDULE in nos]]/1000</f>
        <v>0</v>
      </c>
      <c r="AK159" s="1">
        <f>(3.14*(scheduleapr[[#This Row],[ACTUAL OD]]-scheduleapr[[#This Row],[TICKNESS]])*scheduleapr[[#This Row],[TICKNESS]]*scheduleapr[[#This Row],[LENGTH]]*7.85)/1000000*scheduleapr[[#This Row],[DISPATCH]]/1000</f>
        <v>7.1289344820000017E-2</v>
      </c>
      <c r="AL159" s="1">
        <f t="shared" si="5"/>
        <v>-7.1289344820000017E-2</v>
      </c>
      <c r="AM159" s="1" t="e">
        <f>scheduleapr[[#This Row],[SCHEDULE in nos]]/scheduleapr[[#This Row],[SCHEDULE IN MT]]*scheduleapr[[#This Row],[CTL Stock]]</f>
        <v>#DIV/0!</v>
      </c>
      <c r="AN159" s="1">
        <f>SUMIFS(stock[MT],stock[Bucket],scheduleapr[[#This Row],[Bucket]],stock[LL or CTL],"LL")</f>
        <v>15.867808</v>
      </c>
      <c r="AO159" s="1">
        <f>+SUMIFS(wip[Stock(Net Wt)],wip[Bucket],scheduleapr[[#This Row],[Bucket]])/1000</f>
        <v>41.765000000000001</v>
      </c>
      <c r="AP159" s="1">
        <f t="shared" si="7"/>
        <v>1000.07128934482</v>
      </c>
      <c r="AQ159" s="1">
        <f>+SUMIFS(wip[Stock(Net Wt)],wip[Bucket],scheduleapr[[#This Row],[Bucket]])/1000</f>
        <v>41.765000000000001</v>
      </c>
      <c r="AR159" s="1">
        <f t="shared" si="6"/>
        <v>-15.867808</v>
      </c>
      <c r="AS159" s="118"/>
    </row>
    <row r="160" spans="1:45" x14ac:dyDescent="0.25">
      <c r="A160" s="30">
        <v>130</v>
      </c>
      <c r="B160" s="78" t="s">
        <v>1816</v>
      </c>
      <c r="C160" s="44" t="s">
        <v>289</v>
      </c>
      <c r="D160" s="2" t="s">
        <v>289</v>
      </c>
      <c r="E160" s="44">
        <v>189002</v>
      </c>
      <c r="F160" s="44">
        <v>3432217</v>
      </c>
      <c r="G160" s="2" t="str">
        <f>_xlfn.CONCAT(scheduleapr[[#This Row],[CUSTOMER CODE]],"-",scheduleapr[[#This Row],[MATERIAL NO]])</f>
        <v>189002-3432217</v>
      </c>
      <c r="H160" s="2" t="s">
        <v>1305</v>
      </c>
      <c r="I160" s="44" t="s">
        <v>229</v>
      </c>
      <c r="J160" s="1"/>
      <c r="K160" s="44" t="s">
        <v>963</v>
      </c>
      <c r="L160" s="2" t="s">
        <v>1867</v>
      </c>
      <c r="M160" s="1"/>
      <c r="N160" s="24"/>
      <c r="O160" s="2"/>
      <c r="P160" s="2"/>
      <c r="Q160" s="557" t="str">
        <f>CONCATENATE(scheduleapr[[#This Row],[OD]],"-",scheduleapr[[#This Row],[ID]],"-",scheduleapr[[#This Row],[TICKNESS]],"-",scheduleapr[[#This Row],[Grade]],"-",scheduleapr[[#This Row],[FC/NFC]])</f>
        <v>19-19-1-CRFH-PE</v>
      </c>
      <c r="R160" s="557" t="str">
        <f>_xlfn.CONCAT(scheduleapr[[#This Row],[Bucket]],"-",scheduleapr[[#This Row],[LENGTH]]/1000)</f>
        <v>19-19-1-CRFH-PE-0.33</v>
      </c>
      <c r="S160" s="557">
        <f>COUNTIF(scheduleapr[CTL Bucket],scheduleapr[[#This Row],[CTL Bucket]])</f>
        <v>1</v>
      </c>
      <c r="T160" s="2" t="s">
        <v>1816</v>
      </c>
      <c r="U160" s="2"/>
      <c r="V160" s="557"/>
      <c r="W160" s="557"/>
      <c r="X160" s="79">
        <v>23.42</v>
      </c>
      <c r="Y160" s="79">
        <v>19</v>
      </c>
      <c r="Z160" s="79">
        <v>19</v>
      </c>
      <c r="AA160" s="1">
        <v>1</v>
      </c>
      <c r="AB160" s="24">
        <v>330</v>
      </c>
      <c r="AC160" s="24" t="s">
        <v>397</v>
      </c>
      <c r="AD160" s="24"/>
      <c r="AE160" s="24"/>
      <c r="AF160" s="2"/>
      <c r="AG160" s="2"/>
      <c r="AH160" s="2" cm="1">
        <f t="array" ref="AH1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60" s="4">
        <f>scheduleapr[[#This Row],[SCHEDULE in nos]]-scheduleapr[[#This Row],[DISPATCH]]</f>
        <v>0</v>
      </c>
      <c r="AJ160" s="1">
        <f>(3.14*(scheduleapr[[#This Row],[ACTUAL OD]]-scheduleapr[[#This Row],[TICKNESS]])*scheduleapr[[#This Row],[TICKNESS]]*scheduleapr[[#This Row],[LENGTH]]*7.85)/1000000*scheduleapr[[#This Row],[SCHEDULE in nos]]/1000</f>
        <v>0</v>
      </c>
      <c r="AK160" s="1">
        <f>(3.14*(scheduleapr[[#This Row],[ACTUAL OD]]-scheduleapr[[#This Row],[TICKNESS]])*scheduleapr[[#This Row],[TICKNESS]]*scheduleapr[[#This Row],[LENGTH]]*7.85)/1000000*scheduleapr[[#This Row],[DISPATCH]]/1000</f>
        <v>0</v>
      </c>
      <c r="AL160" s="1">
        <f t="shared" si="5"/>
        <v>0</v>
      </c>
      <c r="AM160" s="1" t="e">
        <f>scheduleapr[[#This Row],[SCHEDULE in nos]]/scheduleapr[[#This Row],[SCHEDULE IN MT]]*scheduleapr[[#This Row],[CTL Stock]]</f>
        <v>#DIV/0!</v>
      </c>
      <c r="AN160" s="1">
        <f>SUMIFS(stock[MT],stock[Bucket],scheduleapr[[#This Row],[Bucket]],stock[CTL Bucket],scheduleapr[[#This Row],[CTL Bucket]],stock[Plant],"0789")</f>
        <v>0</v>
      </c>
      <c r="AO160" s="1"/>
      <c r="AP160" s="1">
        <f>SUMIFS(stock[MT],stock[Bucket],scheduleapr[[#This Row],[Bucket]],stock[LL or CTL],"LL")</f>
        <v>15.867808</v>
      </c>
      <c r="AQ160" s="1">
        <f>+SUMIFS(wip[Stock(Net Wt)],wip[Bucket],scheduleapr[[#This Row],[Bucket]])/1000</f>
        <v>41.765000000000001</v>
      </c>
      <c r="AR160" s="1">
        <f t="shared" si="6"/>
        <v>0</v>
      </c>
      <c r="AS160" s="118"/>
    </row>
    <row r="161" spans="1:45" x14ac:dyDescent="0.25">
      <c r="A161" s="30"/>
      <c r="B161" s="5" t="s">
        <v>1816</v>
      </c>
      <c r="C161" s="2" t="s">
        <v>289</v>
      </c>
      <c r="D161" s="2" t="s">
        <v>289</v>
      </c>
      <c r="E161" s="2">
        <v>189002</v>
      </c>
      <c r="F161" s="523">
        <v>3230490</v>
      </c>
      <c r="G161" s="2" t="str">
        <f>_xlfn.CONCAT(scheduleapr[[#This Row],[CUSTOMER CODE]],"-",scheduleapr[[#This Row],[MATERIAL NO]])</f>
        <v>189002-3230490</v>
      </c>
      <c r="H161" s="523" t="s">
        <v>515</v>
      </c>
      <c r="I161" s="44" t="s">
        <v>229</v>
      </c>
      <c r="J161" s="1"/>
      <c r="K161" s="44" t="s">
        <v>963</v>
      </c>
      <c r="L161" s="2" t="s">
        <v>1867</v>
      </c>
      <c r="M161" s="1"/>
      <c r="N161" s="24"/>
      <c r="O161" s="2"/>
      <c r="P161" s="2"/>
      <c r="Q161" s="557" t="str">
        <f>CONCATENATE(scheduleapr[[#This Row],[OD]],"-",scheduleapr[[#This Row],[ID]],"-",scheduleapr[[#This Row],[TICKNESS]],"-",scheduleapr[[#This Row],[Grade]],"-",scheduleapr[[#This Row],[FC/NFC]])</f>
        <v>19-19-1-CRFH-PE</v>
      </c>
      <c r="R161" s="557" t="str">
        <f>_xlfn.CONCAT(scheduleapr[[#This Row],[Bucket]],"-",scheduleapr[[#This Row],[LENGTH]]/1000)</f>
        <v>19-19-1-CRFH-PE-0.355</v>
      </c>
      <c r="S161" s="557">
        <f>COUNTIF(scheduleapr[CTL Bucket],scheduleapr[[#This Row],[CTL Bucket]])</f>
        <v>5</v>
      </c>
      <c r="T161" s="2" t="s">
        <v>1816</v>
      </c>
      <c r="U161" s="2"/>
      <c r="V161" s="2"/>
      <c r="W161" s="2"/>
      <c r="X161" s="1">
        <v>23.42</v>
      </c>
      <c r="Y161" s="1">
        <v>19</v>
      </c>
      <c r="Z161" s="1">
        <v>19</v>
      </c>
      <c r="AA161" s="1">
        <v>1</v>
      </c>
      <c r="AB161" s="24">
        <v>355</v>
      </c>
      <c r="AC161" s="24" t="s">
        <v>397</v>
      </c>
      <c r="AD161" s="24"/>
      <c r="AE161" s="24"/>
      <c r="AF161" s="2"/>
      <c r="AG161" s="2"/>
      <c r="AH161" s="2" cm="1">
        <f t="array" ref="AH1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161" s="4">
        <f>scheduleapr[[#This Row],[SCHEDULE in nos]]-scheduleapr[[#This Row],[DISPATCH]]</f>
        <v>-7000</v>
      </c>
      <c r="AJ161" s="1">
        <f>(3.14*(scheduleapr[[#This Row],[ACTUAL OD]]-scheduleapr[[#This Row],[TICKNESS]])*scheduleapr[[#This Row],[TICKNESS]]*scheduleapr[[#This Row],[LENGTH]]*7.85)/1000000*scheduleapr[[#This Row],[SCHEDULE in nos]]/1000</f>
        <v>0</v>
      </c>
      <c r="AK161" s="1">
        <f>(3.14*(scheduleapr[[#This Row],[ACTUAL OD]]-scheduleapr[[#This Row],[TICKNESS]])*scheduleapr[[#This Row],[TICKNESS]]*scheduleapr[[#This Row],[LENGTH]]*7.85)/1000000*scheduleapr[[#This Row],[DISPATCH]]/1000</f>
        <v>1.3732869913000001</v>
      </c>
      <c r="AL161" s="1">
        <f t="shared" si="5"/>
        <v>-1.3732869913000001</v>
      </c>
      <c r="AM161" s="1" t="e">
        <f>scheduleapr[[#This Row],[SCHEDULE in nos]]/scheduleapr[[#This Row],[SCHEDULE IN MT]]*scheduleapr[[#This Row],[CTL Stock]]</f>
        <v>#DIV/0!</v>
      </c>
      <c r="AN161" s="1">
        <f>SUMIFS(stock[MT],stock[Bucket],scheduleapr[[#This Row],[Bucket]],stock[CTL Bucket],scheduleapr[[#This Row],[CTL Bucket]],stock[Plant],"0789")</f>
        <v>0.62884799999999996</v>
      </c>
      <c r="AO161" s="1"/>
      <c r="AP161" s="1">
        <f>SUMIFS(stock[MT],stock[Bucket],scheduleapr[[#This Row],[Bucket]],stock[LL or CTL],"LL")</f>
        <v>15.867808</v>
      </c>
      <c r="AQ161" s="1">
        <f>+SUMIFS(wip[Stock(Net Wt)],wip[Bucket],scheduleapr[[#This Row],[Bucket]])/1000</f>
        <v>41.765000000000001</v>
      </c>
      <c r="AR161" s="1">
        <f t="shared" si="6"/>
        <v>-0.62884799999999996</v>
      </c>
      <c r="AS161" s="118"/>
    </row>
    <row r="162" spans="1:45" x14ac:dyDescent="0.25">
      <c r="A162" s="30">
        <v>132</v>
      </c>
      <c r="B162" s="5" t="s">
        <v>1816</v>
      </c>
      <c r="C162" s="2" t="s">
        <v>305</v>
      </c>
      <c r="D162" s="2" t="s">
        <v>289</v>
      </c>
      <c r="E162" s="2">
        <v>189002</v>
      </c>
      <c r="F162" s="2">
        <v>3230490</v>
      </c>
      <c r="G162" s="2" t="str">
        <f>_xlfn.CONCAT(scheduleapr[[#This Row],[CUSTOMER CODE]],"-",scheduleapr[[#This Row],[MATERIAL NO]])</f>
        <v>189002-3230490</v>
      </c>
      <c r="H162" s="2" t="s">
        <v>515</v>
      </c>
      <c r="I162" s="44" t="s">
        <v>229</v>
      </c>
      <c r="J162" s="1"/>
      <c r="K162" s="44" t="s">
        <v>963</v>
      </c>
      <c r="L162" s="2" t="s">
        <v>1867</v>
      </c>
      <c r="M162" s="1"/>
      <c r="N162" s="24"/>
      <c r="O162" s="2"/>
      <c r="P162" s="2"/>
      <c r="Q162" s="557" t="str">
        <f>CONCATENATE(scheduleapr[[#This Row],[OD]],"-",scheduleapr[[#This Row],[ID]],"-",scheduleapr[[#This Row],[TICKNESS]],"-",scheduleapr[[#This Row],[Grade]],"-",scheduleapr[[#This Row],[FC/NFC]])</f>
        <v>19-19-1-CRFH-PE</v>
      </c>
      <c r="R162" s="557" t="str">
        <f>_xlfn.CONCAT(scheduleapr[[#This Row],[Bucket]],"-",scheduleapr[[#This Row],[LENGTH]]/1000)</f>
        <v>19-19-1-CRFH-PE-0.355</v>
      </c>
      <c r="S162" s="557">
        <f>COUNTIF(scheduleapr[CTL Bucket],scheduleapr[[#This Row],[CTL Bucket]])</f>
        <v>5</v>
      </c>
      <c r="T162" s="2" t="s">
        <v>1816</v>
      </c>
      <c r="U162" s="2"/>
      <c r="V162" s="557"/>
      <c r="W162" s="557"/>
      <c r="X162" s="1">
        <v>23.42</v>
      </c>
      <c r="Y162" s="1">
        <v>19</v>
      </c>
      <c r="Z162" s="1">
        <v>19</v>
      </c>
      <c r="AA162" s="1">
        <v>1</v>
      </c>
      <c r="AB162" s="24">
        <v>355</v>
      </c>
      <c r="AC162" s="24" t="s">
        <v>397</v>
      </c>
      <c r="AD162" s="24"/>
      <c r="AE162" s="24"/>
      <c r="AF162" s="2">
        <v>14000</v>
      </c>
      <c r="AG162" s="2"/>
      <c r="AH162" s="2" cm="1">
        <f t="array" ref="AH1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162" s="4">
        <f>scheduleapr[[#This Row],[SCHEDULE in nos]]-scheduleapr[[#This Row],[DISPATCH]]</f>
        <v>7000</v>
      </c>
      <c r="AJ162" s="1">
        <f>(3.14*(scheduleapr[[#This Row],[ACTUAL OD]]-scheduleapr[[#This Row],[TICKNESS]])*scheduleapr[[#This Row],[TICKNESS]]*scheduleapr[[#This Row],[LENGTH]]*7.85)/1000000*scheduleapr[[#This Row],[SCHEDULE in nos]]/1000</f>
        <v>2.7465739826000002</v>
      </c>
      <c r="AK162" s="1">
        <f>(3.14*(scheduleapr[[#This Row],[ACTUAL OD]]-scheduleapr[[#This Row],[TICKNESS]])*scheduleapr[[#This Row],[TICKNESS]]*scheduleapr[[#This Row],[LENGTH]]*7.85)/1000000*scheduleapr[[#This Row],[DISPATCH]]/1000</f>
        <v>1.3732869913000001</v>
      </c>
      <c r="AL162" s="1">
        <f t="shared" si="5"/>
        <v>1.3732869913000001</v>
      </c>
      <c r="AM162" s="1">
        <f>scheduleapr[[#This Row],[SCHEDULE in nos]]/scheduleapr[[#This Row],[SCHEDULE IN MT]]*scheduleapr[[#This Row],[CTL Stock]]</f>
        <v>3205.4013675852107</v>
      </c>
      <c r="AN162" s="1">
        <f>SUMIFS(stock[MT],stock[Bucket],scheduleapr[[#This Row],[Bucket]],stock[CTL Bucket],scheduleapr[[#This Row],[CTL Bucket]],stock[Plant],"0789")</f>
        <v>0.62884799999999996</v>
      </c>
      <c r="AO162" s="1"/>
      <c r="AP162" s="1">
        <f>SUMIFS(stock[MT],stock[Bucket],scheduleapr[[#This Row],[Bucket]],stock[LL or CTL],"LL")</f>
        <v>15.867808</v>
      </c>
      <c r="AQ162" s="1">
        <f>+SUMIFS(wip[Stock(Net Wt)],wip[Bucket],scheduleapr[[#This Row],[Bucket]])/1000</f>
        <v>41.765000000000001</v>
      </c>
      <c r="AR162" s="1">
        <f t="shared" si="6"/>
        <v>2.1177259826000001</v>
      </c>
      <c r="AS162" s="118"/>
    </row>
    <row r="163" spans="1:45" x14ac:dyDescent="0.25">
      <c r="A163" s="30">
        <v>762</v>
      </c>
      <c r="B163" s="5" t="s">
        <v>1816</v>
      </c>
      <c r="C163" s="2" t="s">
        <v>305</v>
      </c>
      <c r="D163" s="2" t="s">
        <v>289</v>
      </c>
      <c r="E163" s="2">
        <v>189002</v>
      </c>
      <c r="F163" s="2">
        <v>3230490</v>
      </c>
      <c r="G163" s="2" t="str">
        <f>_xlfn.CONCAT(scheduleapr[[#This Row],[CUSTOMER CODE]],"-",scheduleapr[[#This Row],[MATERIAL NO]])</f>
        <v>189002-3230490</v>
      </c>
      <c r="H163" s="2" t="s">
        <v>515</v>
      </c>
      <c r="I163" s="44" t="s">
        <v>229</v>
      </c>
      <c r="J163" s="1"/>
      <c r="K163" s="44" t="s">
        <v>963</v>
      </c>
      <c r="L163" s="2" t="s">
        <v>1867</v>
      </c>
      <c r="M163" s="1"/>
      <c r="N163" s="24"/>
      <c r="O163" s="2"/>
      <c r="P163" s="2"/>
      <c r="Q163" s="557" t="str">
        <f>CONCATENATE(scheduleapr[[#This Row],[OD]],"-",scheduleapr[[#This Row],[ID]],"-",scheduleapr[[#This Row],[TICKNESS]],"-",scheduleapr[[#This Row],[Grade]],"-",scheduleapr[[#This Row],[FC/NFC]])</f>
        <v>19-19-1-CRFH-PE</v>
      </c>
      <c r="R163" s="557" t="str">
        <f>_xlfn.CONCAT(scheduleapr[[#This Row],[Bucket]],"-",scheduleapr[[#This Row],[LENGTH]]/1000)</f>
        <v>19-19-1-CRFH-PE-0.355</v>
      </c>
      <c r="S163" s="557">
        <f>COUNTIF(scheduleapr[CTL Bucket],scheduleapr[[#This Row],[CTL Bucket]])</f>
        <v>5</v>
      </c>
      <c r="T163" s="2" t="s">
        <v>1816</v>
      </c>
      <c r="U163" s="2"/>
      <c r="V163" s="2"/>
      <c r="W163" s="2"/>
      <c r="X163" s="1">
        <v>23.42</v>
      </c>
      <c r="Y163" s="1">
        <v>19</v>
      </c>
      <c r="Z163" s="1">
        <v>19</v>
      </c>
      <c r="AA163" s="1">
        <v>1</v>
      </c>
      <c r="AB163" s="24">
        <v>355</v>
      </c>
      <c r="AC163" s="24" t="s">
        <v>397</v>
      </c>
      <c r="AD163" s="24"/>
      <c r="AE163" s="24"/>
      <c r="AF163" s="2"/>
      <c r="AG163" s="2"/>
      <c r="AH163" s="2" cm="1">
        <f t="array" ref="AH1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163" s="4">
        <f>scheduleapr[[#This Row],[SCHEDULE in nos]]-scheduleapr[[#This Row],[DISPATCH]]</f>
        <v>-7000</v>
      </c>
      <c r="AJ163" s="1">
        <f>(3.14*(scheduleapr[[#This Row],[ACTUAL OD]]-scheduleapr[[#This Row],[TICKNESS]])*scheduleapr[[#This Row],[TICKNESS]]*scheduleapr[[#This Row],[LENGTH]]*7.85)/1000000*scheduleapr[[#This Row],[SCHEDULE in nos]]/1000</f>
        <v>0</v>
      </c>
      <c r="AK163" s="1">
        <f>(3.14*(scheduleapr[[#This Row],[ACTUAL OD]]-scheduleapr[[#This Row],[TICKNESS]])*scheduleapr[[#This Row],[TICKNESS]]*scheduleapr[[#This Row],[LENGTH]]*7.85)/1000000*scheduleapr[[#This Row],[DISPATCH]]/1000</f>
        <v>1.3732869913000001</v>
      </c>
      <c r="AL163" s="1">
        <f t="shared" si="5"/>
        <v>-1.3732869913000001</v>
      </c>
      <c r="AM163" s="1" t="e">
        <f>scheduleapr[[#This Row],[SCHEDULE in nos]]/scheduleapr[[#This Row],[SCHEDULE IN MT]]*scheduleapr[[#This Row],[CTL Stock]]</f>
        <v>#DIV/0!</v>
      </c>
      <c r="AN163" s="1">
        <f>SUMIFS(stock[MT],stock[Bucket],scheduleapr[[#This Row],[Bucket]],stock[LL or CTL],"LL")</f>
        <v>15.867808</v>
      </c>
      <c r="AO163" s="1">
        <f>+SUMIFS(wip[Stock(Net Wt)],wip[Bucket],scheduleapr[[#This Row],[Bucket]])/1000</f>
        <v>41.765000000000001</v>
      </c>
      <c r="AP163" s="1">
        <f>AH163-AL163</f>
        <v>7001.3732869913001</v>
      </c>
      <c r="AQ163" s="1">
        <f>+SUMIFS(wip[Stock(Net Wt)],wip[Bucket],scheduleapr[[#This Row],[Bucket]])/1000</f>
        <v>41.765000000000001</v>
      </c>
      <c r="AR163" s="1">
        <f t="shared" si="6"/>
        <v>-15.867808</v>
      </c>
      <c r="AS163" s="118"/>
    </row>
    <row r="164" spans="1:45" x14ac:dyDescent="0.25">
      <c r="A164" s="30">
        <v>133</v>
      </c>
      <c r="B164" s="5" t="s">
        <v>1816</v>
      </c>
      <c r="C164" s="2" t="s">
        <v>289</v>
      </c>
      <c r="D164" s="2" t="s">
        <v>289</v>
      </c>
      <c r="E164" s="2">
        <v>189002</v>
      </c>
      <c r="F164" s="2">
        <v>3230487</v>
      </c>
      <c r="G164" s="2" t="str">
        <f>_xlfn.CONCAT(scheduleapr[[#This Row],[CUSTOMER CODE]],"-",scheduleapr[[#This Row],[MATERIAL NO]])</f>
        <v>189002-3230487</v>
      </c>
      <c r="H164" s="2" t="s">
        <v>498</v>
      </c>
      <c r="I164" s="44" t="s">
        <v>229</v>
      </c>
      <c r="J164" s="1"/>
      <c r="K164" s="44" t="s">
        <v>963</v>
      </c>
      <c r="L164" s="2" t="s">
        <v>1867</v>
      </c>
      <c r="M164" s="1"/>
      <c r="N164" s="24"/>
      <c r="O164" s="2"/>
      <c r="P164" s="2"/>
      <c r="Q164" s="557" t="str">
        <f>CONCATENATE(scheduleapr[[#This Row],[OD]],"-",scheduleapr[[#This Row],[ID]],"-",scheduleapr[[#This Row],[TICKNESS]],"-",scheduleapr[[#This Row],[Grade]],"-",scheduleapr[[#This Row],[FC/NFC]])</f>
        <v>19-19-1-CRFH-PE</v>
      </c>
      <c r="R164" s="557" t="str">
        <f>_xlfn.CONCAT(scheduleapr[[#This Row],[Bucket]],"-",scheduleapr[[#This Row],[LENGTH]]/1000)</f>
        <v>19-19-1-CRFH-PE-0.4</v>
      </c>
      <c r="S164" s="557">
        <f>COUNTIF(scheduleapr[CTL Bucket],scheduleapr[[#This Row],[CTL Bucket]])</f>
        <v>4</v>
      </c>
      <c r="T164" s="2" t="s">
        <v>1816</v>
      </c>
      <c r="U164" s="2"/>
      <c r="V164" s="557"/>
      <c r="W164" s="557"/>
      <c r="X164" s="1">
        <v>23.42</v>
      </c>
      <c r="Y164" s="1">
        <v>19</v>
      </c>
      <c r="Z164" s="1">
        <v>19</v>
      </c>
      <c r="AA164" s="1">
        <v>1</v>
      </c>
      <c r="AB164" s="24">
        <v>400</v>
      </c>
      <c r="AC164" s="24" t="s">
        <v>397</v>
      </c>
      <c r="AD164" s="24"/>
      <c r="AE164" s="24"/>
      <c r="AF164" s="2"/>
      <c r="AG164" s="2"/>
      <c r="AH164" s="2" cm="1">
        <f t="array" ref="AH1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22000</v>
      </c>
      <c r="AI164" s="4">
        <f>scheduleapr[[#This Row],[SCHEDULE in nos]]-scheduleapr[[#This Row],[DISPATCH]]</f>
        <v>-22000</v>
      </c>
      <c r="AJ164" s="1">
        <f>(3.14*(scheduleapr[[#This Row],[ACTUAL OD]]-scheduleapr[[#This Row],[TICKNESS]])*scheduleapr[[#This Row],[TICKNESS]]*scheduleapr[[#This Row],[LENGTH]]*7.85)/1000000*scheduleapr[[#This Row],[SCHEDULE in nos]]/1000</f>
        <v>0</v>
      </c>
      <c r="AK164" s="1">
        <f>(3.14*(scheduleapr[[#This Row],[ACTUAL OD]]-scheduleapr[[#This Row],[TICKNESS]])*scheduleapr[[#This Row],[TICKNESS]]*scheduleapr[[#This Row],[LENGTH]]*7.85)/1000000*scheduleapr[[#This Row],[DISPATCH]]/1000</f>
        <v>4.8631491039999997</v>
      </c>
      <c r="AL164" s="1">
        <f t="shared" si="5"/>
        <v>-4.8631491039999997</v>
      </c>
      <c r="AM164" s="1" t="e">
        <f>scheduleapr[[#This Row],[SCHEDULE in nos]]/scheduleapr[[#This Row],[SCHEDULE IN MT]]*scheduleapr[[#This Row],[CTL Stock]]</f>
        <v>#DIV/0!</v>
      </c>
      <c r="AN164" s="1">
        <f>SUMIFS(stock[MT],stock[Bucket],scheduleapr[[#This Row],[Bucket]],stock[CTL Bucket],scheduleapr[[#This Row],[CTL Bucket]],stock[Plant],"0789")</f>
        <v>0.81448399999999999</v>
      </c>
      <c r="AO164" s="1"/>
      <c r="AP164" s="1">
        <f>SUMIFS(stock[MT],stock[Bucket],scheduleapr[[#This Row],[Bucket]],stock[LL or CTL],"LL")</f>
        <v>15.867808</v>
      </c>
      <c r="AQ164" s="1">
        <f>+SUMIFS(wip[Stock(Net Wt)],wip[Bucket],scheduleapr[[#This Row],[Bucket]])/1000</f>
        <v>41.765000000000001</v>
      </c>
      <c r="AR164" s="1">
        <f t="shared" si="6"/>
        <v>-0.81448399999999999</v>
      </c>
      <c r="AS164" s="118"/>
    </row>
    <row r="165" spans="1:45" x14ac:dyDescent="0.25">
      <c r="A165" s="30">
        <v>757</v>
      </c>
      <c r="B165" s="5" t="s">
        <v>1816</v>
      </c>
      <c r="C165" s="2" t="s">
        <v>305</v>
      </c>
      <c r="D165" s="2" t="s">
        <v>289</v>
      </c>
      <c r="E165" s="2">
        <v>189002</v>
      </c>
      <c r="F165" s="2">
        <v>3230487</v>
      </c>
      <c r="G165" s="2" t="str">
        <f>_xlfn.CONCAT(scheduleapr[[#This Row],[CUSTOMER CODE]],"-",scheduleapr[[#This Row],[MATERIAL NO]])</f>
        <v>189002-3230487</v>
      </c>
      <c r="H165" s="2" t="s">
        <v>498</v>
      </c>
      <c r="I165" s="44" t="s">
        <v>229</v>
      </c>
      <c r="J165" s="1"/>
      <c r="K165" s="44" t="s">
        <v>963</v>
      </c>
      <c r="L165" s="2" t="s">
        <v>1867</v>
      </c>
      <c r="M165" s="1"/>
      <c r="N165" s="24"/>
      <c r="O165" s="2"/>
      <c r="P165" s="2"/>
      <c r="Q165" s="557" t="str">
        <f>CONCATENATE(scheduleapr[[#This Row],[OD]],"-",scheduleapr[[#This Row],[ID]],"-",scheduleapr[[#This Row],[TICKNESS]],"-",scheduleapr[[#This Row],[Grade]],"-",scheduleapr[[#This Row],[FC/NFC]])</f>
        <v>19-19-1-CRFH-PE</v>
      </c>
      <c r="R165" s="557" t="str">
        <f>_xlfn.CONCAT(scheduleapr[[#This Row],[Bucket]],"-",scheduleapr[[#This Row],[LENGTH]]/1000)</f>
        <v>19-19-1-CRFH-PE-0.4</v>
      </c>
      <c r="S165" s="557">
        <f>COUNTIF(scheduleapr[CTL Bucket],scheduleapr[[#This Row],[CTL Bucket]])</f>
        <v>4</v>
      </c>
      <c r="T165" s="2" t="s">
        <v>1816</v>
      </c>
      <c r="U165" s="2"/>
      <c r="V165" s="2"/>
      <c r="W165" s="2"/>
      <c r="X165" s="1">
        <v>23.42</v>
      </c>
      <c r="Y165" s="1">
        <v>19</v>
      </c>
      <c r="Z165" s="1">
        <v>19</v>
      </c>
      <c r="AA165" s="1">
        <v>1</v>
      </c>
      <c r="AB165" s="24">
        <v>400</v>
      </c>
      <c r="AC165" s="24" t="s">
        <v>397</v>
      </c>
      <c r="AD165" s="24"/>
      <c r="AE165" s="24"/>
      <c r="AF165" s="2">
        <v>42000</v>
      </c>
      <c r="AG165" s="2"/>
      <c r="AH165" s="2" cm="1">
        <f t="array" ref="AH1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22000</v>
      </c>
      <c r="AI165" s="4">
        <f>scheduleapr[[#This Row],[SCHEDULE in nos]]-scheduleapr[[#This Row],[DISPATCH]]</f>
        <v>20000</v>
      </c>
      <c r="AJ165" s="1">
        <f>(3.14*(scheduleapr[[#This Row],[ACTUAL OD]]-scheduleapr[[#This Row],[TICKNESS]])*scheduleapr[[#This Row],[TICKNESS]]*scheduleapr[[#This Row],[LENGTH]]*7.85)/1000000*scheduleapr[[#This Row],[SCHEDULE in nos]]/1000</f>
        <v>9.2841937439999995</v>
      </c>
      <c r="AK165" s="1">
        <f>(3.14*(scheduleapr[[#This Row],[ACTUAL OD]]-scheduleapr[[#This Row],[TICKNESS]])*scheduleapr[[#This Row],[TICKNESS]]*scheduleapr[[#This Row],[LENGTH]]*7.85)/1000000*scheduleapr[[#This Row],[DISPATCH]]/1000</f>
        <v>4.8631491039999997</v>
      </c>
      <c r="AL165" s="1">
        <f t="shared" si="5"/>
        <v>4.4210446399999999</v>
      </c>
      <c r="AM165" s="1">
        <f>scheduleapr[[#This Row],[SCHEDULE in nos]]/scheduleapr[[#This Row],[SCHEDULE IN MT]]*scheduleapr[[#This Row],[CTL Stock]]</f>
        <v>71783.070708826868</v>
      </c>
      <c r="AN165" s="1">
        <f>SUMIFS(stock[MT],stock[Bucket],scheduleapr[[#This Row],[Bucket]],stock[LL or CTL],"LL")</f>
        <v>15.867808</v>
      </c>
      <c r="AO165" s="1">
        <f>+SUMIFS(wip[Stock(Net Wt)],wip[Bucket],scheduleapr[[#This Row],[Bucket]])/1000</f>
        <v>41.765000000000001</v>
      </c>
      <c r="AP165" s="1">
        <f>AH165-AL165</f>
        <v>21995.578955360001</v>
      </c>
      <c r="AQ165" s="1">
        <f>+SUMIFS(wip[Stock(Net Wt)],wip[Bucket],scheduleapr[[#This Row],[Bucket]])/1000</f>
        <v>41.765000000000001</v>
      </c>
      <c r="AR165" s="1">
        <f t="shared" si="6"/>
        <v>-6.5836142560000006</v>
      </c>
      <c r="AS165" s="118"/>
    </row>
    <row r="166" spans="1:45" x14ac:dyDescent="0.25">
      <c r="A166" s="30">
        <v>135</v>
      </c>
      <c r="B166" s="5" t="s">
        <v>1816</v>
      </c>
      <c r="C166" s="2" t="s">
        <v>305</v>
      </c>
      <c r="D166" s="2" t="s">
        <v>289</v>
      </c>
      <c r="E166" s="2">
        <v>189002</v>
      </c>
      <c r="F166" s="2">
        <v>3230488</v>
      </c>
      <c r="G166" s="2" t="str">
        <f>_xlfn.CONCAT(scheduleapr[[#This Row],[CUSTOMER CODE]],"-",scheduleapr[[#This Row],[MATERIAL NO]])</f>
        <v>189002-3230488</v>
      </c>
      <c r="H166" s="2" t="s">
        <v>496</v>
      </c>
      <c r="I166" s="44" t="s">
        <v>229</v>
      </c>
      <c r="J166" s="1"/>
      <c r="K166" s="44" t="s">
        <v>963</v>
      </c>
      <c r="L166" s="2" t="s">
        <v>1867</v>
      </c>
      <c r="M166" s="1"/>
      <c r="N166" s="24"/>
      <c r="O166" s="2"/>
      <c r="P166" s="2"/>
      <c r="Q166" s="557" t="str">
        <f>CONCATENATE(scheduleapr[[#This Row],[OD]],"-",scheduleapr[[#This Row],[ID]],"-",scheduleapr[[#This Row],[TICKNESS]],"-",scheduleapr[[#This Row],[Grade]],"-",scheduleapr[[#This Row],[FC/NFC]])</f>
        <v>19-19-1-CRFH-PE</v>
      </c>
      <c r="R166" s="557" t="str">
        <f>_xlfn.CONCAT(scheduleapr[[#This Row],[Bucket]],"-",scheduleapr[[#This Row],[LENGTH]]/1000)</f>
        <v>19-19-1-CRFH-PE-0.47</v>
      </c>
      <c r="S166" s="557">
        <f>COUNTIF(scheduleapr[CTL Bucket],scheduleapr[[#This Row],[CTL Bucket]])</f>
        <v>4</v>
      </c>
      <c r="T166" s="2" t="s">
        <v>1816</v>
      </c>
      <c r="U166" s="2"/>
      <c r="V166" s="557"/>
      <c r="W166" s="557"/>
      <c r="X166" s="1">
        <v>23.42</v>
      </c>
      <c r="Y166" s="1">
        <v>19</v>
      </c>
      <c r="Z166" s="1">
        <v>19</v>
      </c>
      <c r="AA166" s="1">
        <v>1</v>
      </c>
      <c r="AB166" s="24">
        <v>470</v>
      </c>
      <c r="AC166" s="24" t="s">
        <v>397</v>
      </c>
      <c r="AD166" s="24"/>
      <c r="AE166" s="24"/>
      <c r="AF166" s="2"/>
      <c r="AG166" s="2"/>
      <c r="AH166" s="2" cm="1">
        <f t="array" ref="AH1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166" s="4">
        <f>scheduleapr[[#This Row],[SCHEDULE in nos]]-scheduleapr[[#This Row],[DISPATCH]]</f>
        <v>-7000</v>
      </c>
      <c r="AJ166" s="1">
        <f>(3.14*(scheduleapr[[#This Row],[ACTUAL OD]]-scheduleapr[[#This Row],[TICKNESS]])*scheduleapr[[#This Row],[TICKNESS]]*scheduleapr[[#This Row],[LENGTH]]*7.85)/1000000*scheduleapr[[#This Row],[SCHEDULE in nos]]/1000</f>
        <v>0</v>
      </c>
      <c r="AK166" s="1">
        <f>(3.14*(scheduleapr[[#This Row],[ACTUAL OD]]-scheduleapr[[#This Row],[TICKNESS]])*scheduleapr[[#This Row],[TICKNESS]]*scheduleapr[[#This Row],[LENGTH]]*7.85)/1000000*scheduleapr[[#This Row],[DISPATCH]]/1000</f>
        <v>1.8181546082</v>
      </c>
      <c r="AL166" s="1">
        <f t="shared" si="5"/>
        <v>-1.8181546082</v>
      </c>
      <c r="AM166" s="1" t="e">
        <f>scheduleapr[[#This Row],[SCHEDULE in nos]]/scheduleapr[[#This Row],[SCHEDULE IN MT]]*scheduleapr[[#This Row],[CTL Stock]]</f>
        <v>#DIV/0!</v>
      </c>
      <c r="AN166" s="1">
        <f>SUMIFS(stock[MT],stock[Bucket],scheduleapr[[#This Row],[Bucket]],stock[CTL Bucket],scheduleapr[[#This Row],[CTL Bucket]],stock[Plant],"0789")</f>
        <v>0.25797999999999999</v>
      </c>
      <c r="AO166" s="1"/>
      <c r="AP166" s="1">
        <f>SUMIFS(stock[MT],stock[Bucket],scheduleapr[[#This Row],[Bucket]],stock[LL or CTL],"LL")</f>
        <v>15.867808</v>
      </c>
      <c r="AQ166" s="1">
        <f>+SUMIFS(wip[Stock(Net Wt)],wip[Bucket],scheduleapr[[#This Row],[Bucket]])/1000</f>
        <v>41.765000000000001</v>
      </c>
      <c r="AR166" s="1">
        <f t="shared" si="6"/>
        <v>-0.25797999999999999</v>
      </c>
      <c r="AS166" s="118"/>
    </row>
    <row r="167" spans="1:45" x14ac:dyDescent="0.25">
      <c r="A167" s="30">
        <v>756</v>
      </c>
      <c r="B167" s="5" t="s">
        <v>1816</v>
      </c>
      <c r="C167" s="2" t="s">
        <v>305</v>
      </c>
      <c r="D167" s="2" t="s">
        <v>289</v>
      </c>
      <c r="E167" s="2">
        <v>189002</v>
      </c>
      <c r="F167" s="2">
        <v>3230488</v>
      </c>
      <c r="G167" s="2" t="str">
        <f>_xlfn.CONCAT(scheduleapr[[#This Row],[CUSTOMER CODE]],"-",scheduleapr[[#This Row],[MATERIAL NO]])</f>
        <v>189002-3230488</v>
      </c>
      <c r="H167" s="2" t="s">
        <v>496</v>
      </c>
      <c r="I167" s="44" t="s">
        <v>229</v>
      </c>
      <c r="J167" s="1"/>
      <c r="K167" s="44" t="s">
        <v>963</v>
      </c>
      <c r="L167" s="2" t="s">
        <v>1867</v>
      </c>
      <c r="M167" s="1"/>
      <c r="N167" s="24"/>
      <c r="O167" s="2"/>
      <c r="P167" s="2"/>
      <c r="Q167" s="557" t="str">
        <f>CONCATENATE(scheduleapr[[#This Row],[OD]],"-",scheduleapr[[#This Row],[ID]],"-",scheduleapr[[#This Row],[TICKNESS]],"-",scheduleapr[[#This Row],[Grade]],"-",scheduleapr[[#This Row],[FC/NFC]])</f>
        <v>19-19-1-CRFH-PE</v>
      </c>
      <c r="R167" s="557" t="str">
        <f>_xlfn.CONCAT(scheduleapr[[#This Row],[Bucket]],"-",scheduleapr[[#This Row],[LENGTH]]/1000)</f>
        <v>19-19-1-CRFH-PE-0.47</v>
      </c>
      <c r="S167" s="557">
        <f>COUNTIF(scheduleapr[CTL Bucket],scheduleapr[[#This Row],[CTL Bucket]])</f>
        <v>4</v>
      </c>
      <c r="T167" s="2" t="s">
        <v>1816</v>
      </c>
      <c r="U167" s="2"/>
      <c r="V167" s="2"/>
      <c r="W167" s="2"/>
      <c r="X167" s="1">
        <v>23.42</v>
      </c>
      <c r="Y167" s="1">
        <v>19</v>
      </c>
      <c r="Z167" s="1">
        <v>19</v>
      </c>
      <c r="AA167" s="1">
        <v>1</v>
      </c>
      <c r="AB167" s="24">
        <v>470</v>
      </c>
      <c r="AC167" s="24" t="s">
        <v>397</v>
      </c>
      <c r="AD167" s="24"/>
      <c r="AE167" s="24"/>
      <c r="AF167" s="2">
        <v>14000</v>
      </c>
      <c r="AG167" s="2"/>
      <c r="AH167" s="2" cm="1">
        <f t="array" ref="AH1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167" s="4">
        <f>scheduleapr[[#This Row],[SCHEDULE in nos]]-scheduleapr[[#This Row],[DISPATCH]]</f>
        <v>7000</v>
      </c>
      <c r="AJ167" s="1">
        <f>(3.14*(scheduleapr[[#This Row],[ACTUAL OD]]-scheduleapr[[#This Row],[TICKNESS]])*scheduleapr[[#This Row],[TICKNESS]]*scheduleapr[[#This Row],[LENGTH]]*7.85)/1000000*scheduleapr[[#This Row],[SCHEDULE in nos]]/1000</f>
        <v>3.6363092163999999</v>
      </c>
      <c r="AK167" s="1">
        <f>(3.14*(scheduleapr[[#This Row],[ACTUAL OD]]-scheduleapr[[#This Row],[TICKNESS]])*scheduleapr[[#This Row],[TICKNESS]]*scheduleapr[[#This Row],[LENGTH]]*7.85)/1000000*scheduleapr[[#This Row],[DISPATCH]]/1000</f>
        <v>1.8181546082</v>
      </c>
      <c r="AL167" s="1">
        <f t="shared" si="5"/>
        <v>1.8181546082</v>
      </c>
      <c r="AM167" s="1">
        <f>scheduleapr[[#This Row],[SCHEDULE in nos]]/scheduleapr[[#This Row],[SCHEDULE IN MT]]*scheduleapr[[#This Row],[CTL Stock]]</f>
        <v>61091.975071342007</v>
      </c>
      <c r="AN167" s="1">
        <f>SUMIFS(stock[MT],stock[Bucket],scheduleapr[[#This Row],[Bucket]],stock[LL or CTL],"LL")</f>
        <v>15.867808</v>
      </c>
      <c r="AO167" s="1">
        <f>+SUMIFS(wip[Stock(Net Wt)],wip[Bucket],scheduleapr[[#This Row],[Bucket]])/1000</f>
        <v>41.765000000000001</v>
      </c>
      <c r="AP167" s="1">
        <f>AH167-AL167</f>
        <v>6998.1818453918004</v>
      </c>
      <c r="AQ167" s="1">
        <f>+SUMIFS(wip[Stock(Net Wt)],wip[Bucket],scheduleapr[[#This Row],[Bucket]])/1000</f>
        <v>41.765000000000001</v>
      </c>
      <c r="AR167" s="1">
        <f t="shared" si="6"/>
        <v>-12.231498783599999</v>
      </c>
      <c r="AS167" s="118"/>
    </row>
    <row r="168" spans="1:45" x14ac:dyDescent="0.25">
      <c r="A168" s="30">
        <v>134</v>
      </c>
      <c r="B168" s="5" t="s">
        <v>1816</v>
      </c>
      <c r="C168" s="2" t="s">
        <v>305</v>
      </c>
      <c r="D168" s="2" t="s">
        <v>289</v>
      </c>
      <c r="E168" s="2">
        <v>189002</v>
      </c>
      <c r="F168" s="2">
        <v>3234371</v>
      </c>
      <c r="G168" s="2" t="str">
        <f>_xlfn.CONCAT(scheduleapr[[#This Row],[CUSTOMER CODE]],"-",scheduleapr[[#This Row],[MATERIAL NO]])</f>
        <v>189002-3234371</v>
      </c>
      <c r="H168" s="2" t="s">
        <v>1264</v>
      </c>
      <c r="I168" s="44" t="s">
        <v>229</v>
      </c>
      <c r="J168" s="1"/>
      <c r="K168" s="44" t="s">
        <v>963</v>
      </c>
      <c r="L168" s="2" t="s">
        <v>1867</v>
      </c>
      <c r="M168" s="1"/>
      <c r="N168" s="24"/>
      <c r="O168" s="2"/>
      <c r="P168" s="2"/>
      <c r="Q168" s="557" t="str">
        <f>CONCATENATE(scheduleapr[[#This Row],[OD]],"-",scheduleapr[[#This Row],[ID]],"-",scheduleapr[[#This Row],[TICKNESS]],"-",scheduleapr[[#This Row],[Grade]],"-",scheduleapr[[#This Row],[FC/NFC]])</f>
        <v>19-19-1-CRFH-PE</v>
      </c>
      <c r="R168" s="557" t="str">
        <f>_xlfn.CONCAT(scheduleapr[[#This Row],[Bucket]],"-",scheduleapr[[#This Row],[LENGTH]]/1000)</f>
        <v>19-19-1-CRFH-PE-0.54</v>
      </c>
      <c r="S168" s="557">
        <f>COUNTIF(scheduleapr[CTL Bucket],scheduleapr[[#This Row],[CTL Bucket]])</f>
        <v>5</v>
      </c>
      <c r="T168" s="2" t="s">
        <v>1816</v>
      </c>
      <c r="U168" s="2"/>
      <c r="V168" s="557"/>
      <c r="W168" s="557"/>
      <c r="X168" s="1">
        <v>23.42</v>
      </c>
      <c r="Y168" s="1">
        <v>19</v>
      </c>
      <c r="Z168" s="1">
        <v>19</v>
      </c>
      <c r="AA168" s="1">
        <v>1</v>
      </c>
      <c r="AB168" s="24">
        <v>540</v>
      </c>
      <c r="AC168" s="24" t="s">
        <v>397</v>
      </c>
      <c r="AD168" s="24"/>
      <c r="AE168" s="24"/>
      <c r="AF168" s="2"/>
      <c r="AG168" s="2"/>
      <c r="AH168" s="2" cm="1">
        <f t="array" ref="AH1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168" s="4">
        <f>scheduleapr[[#This Row],[SCHEDULE in nos]]-scheduleapr[[#This Row],[DISPATCH]]</f>
        <v>-7000</v>
      </c>
      <c r="AJ168" s="1">
        <f>(3.14*(scheduleapr[[#This Row],[ACTUAL OD]]-scheduleapr[[#This Row],[TICKNESS]])*scheduleapr[[#This Row],[TICKNESS]]*scheduleapr[[#This Row],[LENGTH]]*7.85)/1000000*scheduleapr[[#This Row],[SCHEDULE in nos]]/1000</f>
        <v>0</v>
      </c>
      <c r="AK168" s="1">
        <f>(3.14*(scheduleapr[[#This Row],[ACTUAL OD]]-scheduleapr[[#This Row],[TICKNESS]])*scheduleapr[[#This Row],[TICKNESS]]*scheduleapr[[#This Row],[LENGTH]]*7.85)/1000000*scheduleapr[[#This Row],[DISPATCH]]/1000</f>
        <v>2.0889435924000006</v>
      </c>
      <c r="AL168" s="1">
        <f t="shared" si="5"/>
        <v>-2.0889435924000006</v>
      </c>
      <c r="AM168" s="1" t="e">
        <f>scheduleapr[[#This Row],[SCHEDULE in nos]]/scheduleapr[[#This Row],[SCHEDULE IN MT]]*scheduleapr[[#This Row],[CTL Stock]]</f>
        <v>#DIV/0!</v>
      </c>
      <c r="AN168" s="1">
        <f>SUMIFS(stock[MT],stock[Bucket],scheduleapr[[#This Row],[Bucket]],stock[CTL Bucket],scheduleapr[[#This Row],[CTL Bucket]],stock[Plant],"0789")</f>
        <v>0.297429</v>
      </c>
      <c r="AO168" s="1"/>
      <c r="AP168" s="1">
        <f>SUMIFS(stock[MT],stock[Bucket],scheduleapr[[#This Row],[Bucket]],stock[LL or CTL],"LL")</f>
        <v>15.867808</v>
      </c>
      <c r="AQ168" s="1">
        <f>+SUMIFS(wip[Stock(Net Wt)],wip[Bucket],scheduleapr[[#This Row],[Bucket]])/1000</f>
        <v>41.765000000000001</v>
      </c>
      <c r="AR168" s="1">
        <f t="shared" si="6"/>
        <v>-0.297429</v>
      </c>
      <c r="AS168" s="118"/>
    </row>
    <row r="169" spans="1:45" x14ac:dyDescent="0.25">
      <c r="A169" s="30">
        <v>776</v>
      </c>
      <c r="B169" s="5" t="s">
        <v>1816</v>
      </c>
      <c r="C169" s="2" t="s">
        <v>305</v>
      </c>
      <c r="D169" s="2" t="s">
        <v>289</v>
      </c>
      <c r="E169" s="2">
        <v>189002</v>
      </c>
      <c r="F169" s="2">
        <v>3571870</v>
      </c>
      <c r="G169" s="2" t="str">
        <f>_xlfn.CONCAT(scheduleapr[[#This Row],[CUSTOMER CODE]],"-",scheduleapr[[#This Row],[MATERIAL NO]])</f>
        <v>189002-3571870</v>
      </c>
      <c r="H169" s="2" t="s">
        <v>525</v>
      </c>
      <c r="I169" s="44" t="s">
        <v>229</v>
      </c>
      <c r="J169" s="1"/>
      <c r="K169" s="44" t="s">
        <v>963</v>
      </c>
      <c r="L169" s="2" t="s">
        <v>1867</v>
      </c>
      <c r="M169" s="1"/>
      <c r="N169" s="24"/>
      <c r="O169" s="2"/>
      <c r="P169" s="2"/>
      <c r="Q169" s="557" t="str">
        <f>CONCATENATE(scheduleapr[[#This Row],[OD]],"-",scheduleapr[[#This Row],[ID]],"-",scheduleapr[[#This Row],[TICKNESS]],"-",scheduleapr[[#This Row],[Grade]],"-",scheduleapr[[#This Row],[FC/NFC]])</f>
        <v>19-19-1-CRFH-PE</v>
      </c>
      <c r="R169" s="557" t="str">
        <f>_xlfn.CONCAT(scheduleapr[[#This Row],[Bucket]],"-",scheduleapr[[#This Row],[LENGTH]]/1000)</f>
        <v>19-19-1-CRFH-PE-0.54</v>
      </c>
      <c r="S169" s="557">
        <f>COUNTIF(scheduleapr[CTL Bucket],scheduleapr[[#This Row],[CTL Bucket]])</f>
        <v>5</v>
      </c>
      <c r="T169" s="2" t="s">
        <v>1816</v>
      </c>
      <c r="U169" s="2"/>
      <c r="V169" s="2"/>
      <c r="W169" s="2"/>
      <c r="X169" s="1">
        <v>23.42</v>
      </c>
      <c r="Y169" s="1">
        <v>19</v>
      </c>
      <c r="Z169" s="1">
        <v>19</v>
      </c>
      <c r="AA169" s="1">
        <v>1</v>
      </c>
      <c r="AB169" s="24">
        <v>540</v>
      </c>
      <c r="AC169" s="81" t="s">
        <v>397</v>
      </c>
      <c r="AD169" s="81"/>
      <c r="AE169" s="81"/>
      <c r="AF169" s="2">
        <v>14000</v>
      </c>
      <c r="AG169" s="2"/>
      <c r="AH169" s="2" cm="1">
        <f t="array" ref="AH1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169" s="4">
        <f>scheduleapr[[#This Row],[SCHEDULE in nos]]-scheduleapr[[#This Row],[DISPATCH]]</f>
        <v>7000</v>
      </c>
      <c r="AJ169" s="1">
        <f>(3.14*(scheduleapr[[#This Row],[ACTUAL OD]]-scheduleapr[[#This Row],[TICKNESS]])*scheduleapr[[#This Row],[TICKNESS]]*scheduleapr[[#This Row],[LENGTH]]*7.85)/1000000*scheduleapr[[#This Row],[SCHEDULE in nos]]/1000</f>
        <v>4.1778871848000012</v>
      </c>
      <c r="AK169" s="1">
        <f>(3.14*(scheduleapr[[#This Row],[ACTUAL OD]]-scheduleapr[[#This Row],[TICKNESS]])*scheduleapr[[#This Row],[TICKNESS]]*scheduleapr[[#This Row],[LENGTH]]*7.85)/1000000*scheduleapr[[#This Row],[DISPATCH]]/1000</f>
        <v>2.0889435924000006</v>
      </c>
      <c r="AL169" s="1">
        <f t="shared" si="5"/>
        <v>2.0889435924000006</v>
      </c>
      <c r="AM169" s="1">
        <f>scheduleapr[[#This Row],[SCHEDULE in nos]]/scheduleapr[[#This Row],[SCHEDULE IN MT]]*scheduleapr[[#This Row],[CTL Stock]]</f>
        <v>53172.644969501365</v>
      </c>
      <c r="AN169" s="1">
        <f>SUMIFS(stock[MT],stock[Bucket],scheduleapr[[#This Row],[Bucket]],stock[LL or CTL],"LL")</f>
        <v>15.867808</v>
      </c>
      <c r="AO169" s="1">
        <f>+SUMIFS(wip[Stock(Net Wt)],wip[Bucket],scheduleapr[[#This Row],[Bucket]])/1000</f>
        <v>41.765000000000001</v>
      </c>
      <c r="AP169" s="1">
        <f>AH169-AL169</f>
        <v>6997.9110564076</v>
      </c>
      <c r="AQ169" s="1">
        <f>+SUMIFS(wip[Stock(Net Wt)],wip[Bucket],scheduleapr[[#This Row],[Bucket]])/1000</f>
        <v>41.765000000000001</v>
      </c>
      <c r="AR169" s="1">
        <f t="shared" si="6"/>
        <v>-11.689920815199999</v>
      </c>
      <c r="AS169" s="118"/>
    </row>
    <row r="170" spans="1:45" x14ac:dyDescent="0.25">
      <c r="A170" s="30">
        <v>136</v>
      </c>
      <c r="B170" s="5" t="s">
        <v>1816</v>
      </c>
      <c r="C170" s="2" t="s">
        <v>289</v>
      </c>
      <c r="D170" s="2" t="s">
        <v>289</v>
      </c>
      <c r="E170" s="2">
        <v>189002</v>
      </c>
      <c r="F170" s="2">
        <v>3605740</v>
      </c>
      <c r="G170" s="2" t="str">
        <f>_xlfn.CONCAT(scheduleapr[[#This Row],[CUSTOMER CODE]],"-",scheduleapr[[#This Row],[MATERIAL NO]])</f>
        <v>189002-3605740</v>
      </c>
      <c r="H170" s="2" t="s">
        <v>1296</v>
      </c>
      <c r="I170" s="44" t="s">
        <v>229</v>
      </c>
      <c r="J170" s="1"/>
      <c r="K170" s="44" t="s">
        <v>963</v>
      </c>
      <c r="L170" s="2" t="s">
        <v>1867</v>
      </c>
      <c r="M170" s="1"/>
      <c r="N170" s="24"/>
      <c r="O170" s="2"/>
      <c r="P170" s="2"/>
      <c r="Q170" s="557" t="str">
        <f>CONCATENATE(scheduleapr[[#This Row],[OD]],"-",scheduleapr[[#This Row],[ID]],"-",scheduleapr[[#This Row],[TICKNESS]],"-",scheduleapr[[#This Row],[Grade]],"-",scheduleapr[[#This Row],[FC/NFC]])</f>
        <v>19-19-1-CRFH-PE</v>
      </c>
      <c r="R170" s="557" t="str">
        <f>_xlfn.CONCAT(scheduleapr[[#This Row],[Bucket]],"-",scheduleapr[[#This Row],[LENGTH]]/1000)</f>
        <v>19-19-1-CRFH-PE-0.675</v>
      </c>
      <c r="S170" s="557">
        <f>COUNTIF(scheduleapr[CTL Bucket],scheduleapr[[#This Row],[CTL Bucket]])</f>
        <v>1</v>
      </c>
      <c r="T170" s="2" t="s">
        <v>1816</v>
      </c>
      <c r="U170" s="2"/>
      <c r="V170" s="557"/>
      <c r="W170" s="557"/>
      <c r="X170" s="1">
        <v>23.42</v>
      </c>
      <c r="Y170" s="1">
        <v>19</v>
      </c>
      <c r="Z170" s="1">
        <v>19</v>
      </c>
      <c r="AA170" s="1">
        <v>1</v>
      </c>
      <c r="AB170" s="24">
        <v>675</v>
      </c>
      <c r="AC170" s="24" t="s">
        <v>397</v>
      </c>
      <c r="AD170" s="24"/>
      <c r="AE170" s="24"/>
      <c r="AF170" s="2"/>
      <c r="AG170" s="2"/>
      <c r="AH170" s="2" cm="1">
        <f t="array" ref="AH1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0" s="4">
        <f>scheduleapr[[#This Row],[SCHEDULE in nos]]-scheduleapr[[#This Row],[DISPATCH]]</f>
        <v>0</v>
      </c>
      <c r="AJ170" s="1">
        <f>(3.14*(scheduleapr[[#This Row],[ACTUAL OD]]-scheduleapr[[#This Row],[TICKNESS]])*scheduleapr[[#This Row],[TICKNESS]]*scheduleapr[[#This Row],[LENGTH]]*7.85)/1000000*scheduleapr[[#This Row],[SCHEDULE in nos]]/1000</f>
        <v>0</v>
      </c>
      <c r="AK170" s="1">
        <f>(3.14*(scheduleapr[[#This Row],[ACTUAL OD]]-scheduleapr[[#This Row],[TICKNESS]])*scheduleapr[[#This Row],[TICKNESS]]*scheduleapr[[#This Row],[LENGTH]]*7.85)/1000000*scheduleapr[[#This Row],[DISPATCH]]/1000</f>
        <v>0</v>
      </c>
      <c r="AL170" s="1">
        <f t="shared" si="5"/>
        <v>0</v>
      </c>
      <c r="AM170" s="1" t="e">
        <f>scheduleapr[[#This Row],[SCHEDULE in nos]]/scheduleapr[[#This Row],[SCHEDULE IN MT]]*scheduleapr[[#This Row],[CTL Stock]]</f>
        <v>#DIV/0!</v>
      </c>
      <c r="AN170" s="1">
        <f>SUMIFS(stock[MT],stock[Bucket],scheduleapr[[#This Row],[Bucket]],stock[CTL Bucket],scheduleapr[[#This Row],[CTL Bucket]],stock[Plant],"0789")</f>
        <v>0.25734400000000002</v>
      </c>
      <c r="AO170" s="1"/>
      <c r="AP170" s="1">
        <f>SUMIFS(stock[MT],stock[Bucket],scheduleapr[[#This Row],[Bucket]],stock[LL or CTL],"LL")</f>
        <v>15.867808</v>
      </c>
      <c r="AQ170" s="1">
        <f>+SUMIFS(wip[Stock(Net Wt)],wip[Bucket],scheduleapr[[#This Row],[Bucket]])/1000</f>
        <v>41.765000000000001</v>
      </c>
      <c r="AR170" s="1">
        <f t="shared" si="6"/>
        <v>-0.25734400000000002</v>
      </c>
      <c r="AS170" s="118"/>
    </row>
    <row r="171" spans="1:45" x14ac:dyDescent="0.25">
      <c r="A171" s="30">
        <v>137</v>
      </c>
      <c r="B171" s="5" t="s">
        <v>1816</v>
      </c>
      <c r="C171" s="2" t="s">
        <v>305</v>
      </c>
      <c r="D171" s="2" t="s">
        <v>289</v>
      </c>
      <c r="E171" s="2">
        <v>189002</v>
      </c>
      <c r="F171" s="2">
        <v>3230491</v>
      </c>
      <c r="G171" s="2" t="str">
        <f>_xlfn.CONCAT(scheduleapr[[#This Row],[CUSTOMER CODE]],"-",scheduleapr[[#This Row],[MATERIAL NO]])</f>
        <v>189002-3230491</v>
      </c>
      <c r="H171" s="2" t="s">
        <v>1270</v>
      </c>
      <c r="I171" s="44" t="s">
        <v>229</v>
      </c>
      <c r="J171" s="1"/>
      <c r="K171" s="44" t="s">
        <v>963</v>
      </c>
      <c r="L171" s="2" t="s">
        <v>1867</v>
      </c>
      <c r="M171" s="1"/>
      <c r="N171" s="24"/>
      <c r="O171" s="2"/>
      <c r="P171" s="2"/>
      <c r="Q171" s="557" t="str">
        <f>CONCATENATE(scheduleapr[[#This Row],[OD]],"-",scheduleapr[[#This Row],[ID]],"-",scheduleapr[[#This Row],[TICKNESS]],"-",scheduleapr[[#This Row],[Grade]],"-",scheduleapr[[#This Row],[FC/NFC]])</f>
        <v>19-19-1-CRFH-PE</v>
      </c>
      <c r="R171" s="557" t="str">
        <f>_xlfn.CONCAT(scheduleapr[[#This Row],[Bucket]],"-",scheduleapr[[#This Row],[LENGTH]]/1000)</f>
        <v>19-19-1-CRFH-PE-0.682</v>
      </c>
      <c r="S171" s="557">
        <f>COUNTIF(scheduleapr[CTL Bucket],scheduleapr[[#This Row],[CTL Bucket]])</f>
        <v>1</v>
      </c>
      <c r="T171" s="2" t="s">
        <v>1816</v>
      </c>
      <c r="U171" s="557"/>
      <c r="V171" s="557"/>
      <c r="W171" s="557"/>
      <c r="X171" s="1">
        <v>23.42</v>
      </c>
      <c r="Y171" s="1">
        <v>19</v>
      </c>
      <c r="Z171" s="1">
        <v>19</v>
      </c>
      <c r="AA171" s="1">
        <v>1</v>
      </c>
      <c r="AB171" s="24">
        <v>682</v>
      </c>
      <c r="AC171" s="24" t="s">
        <v>397</v>
      </c>
      <c r="AD171" s="24"/>
      <c r="AE171" s="24"/>
      <c r="AF171" s="2"/>
      <c r="AG171" s="2"/>
      <c r="AH171" s="2" cm="1">
        <f t="array" ref="AH1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1" s="4">
        <f>scheduleapr[[#This Row],[SCHEDULE in nos]]-scheduleapr[[#This Row],[DISPATCH]]</f>
        <v>0</v>
      </c>
      <c r="AJ171" s="1">
        <f>(3.14*(scheduleapr[[#This Row],[ACTUAL OD]]-scheduleapr[[#This Row],[TICKNESS]])*scheduleapr[[#This Row],[TICKNESS]]*scheduleapr[[#This Row],[LENGTH]]*7.85)/1000000*scheduleapr[[#This Row],[SCHEDULE in nos]]/1000</f>
        <v>0</v>
      </c>
      <c r="AK171" s="1">
        <f>(3.14*(scheduleapr[[#This Row],[ACTUAL OD]]-scheduleapr[[#This Row],[TICKNESS]])*scheduleapr[[#This Row],[TICKNESS]]*scheduleapr[[#This Row],[LENGTH]]*7.85)/1000000*scheduleapr[[#This Row],[DISPATCH]]/1000</f>
        <v>0</v>
      </c>
      <c r="AL171" s="1">
        <f t="shared" si="5"/>
        <v>0</v>
      </c>
      <c r="AM171" s="1" t="e">
        <f>scheduleapr[[#This Row],[SCHEDULE in nos]]/scheduleapr[[#This Row],[SCHEDULE IN MT]]*scheduleapr[[#This Row],[CTL Stock]]</f>
        <v>#DIV/0!</v>
      </c>
      <c r="AN171" s="1">
        <f>SUMIFS(stock[MT],stock[Bucket],scheduleapr[[#This Row],[Bucket]],stock[CTL Bucket],scheduleapr[[#This Row],[CTL Bucket]],stock[Plant],"0789")</f>
        <v>0</v>
      </c>
      <c r="AO171" s="1"/>
      <c r="AP171" s="1">
        <f>SUMIFS(stock[MT],stock[Bucket],scheduleapr[[#This Row],[Bucket]],stock[LL or CTL],"LL")</f>
        <v>15.867808</v>
      </c>
      <c r="AQ171" s="1">
        <f>+SUMIFS(wip[Stock(Net Wt)],wip[Bucket],scheduleapr[[#This Row],[Bucket]])/1000</f>
        <v>41.765000000000001</v>
      </c>
      <c r="AR171" s="1">
        <f t="shared" si="6"/>
        <v>0</v>
      </c>
      <c r="AS171" s="118"/>
    </row>
    <row r="172" spans="1:45" x14ac:dyDescent="0.25">
      <c r="A172" s="30">
        <v>761</v>
      </c>
      <c r="B172" s="5" t="s">
        <v>1816</v>
      </c>
      <c r="C172" s="2" t="s">
        <v>305</v>
      </c>
      <c r="D172" s="2" t="s">
        <v>289</v>
      </c>
      <c r="E172" s="2">
        <v>189002</v>
      </c>
      <c r="F172" s="2">
        <v>4151426</v>
      </c>
      <c r="G172" s="2" t="str">
        <f>_xlfn.CONCAT(scheduleapr[[#This Row],[CUSTOMER CODE]],"-",scheduleapr[[#This Row],[MATERIAL NO]])</f>
        <v>189002-4151426</v>
      </c>
      <c r="H172" s="2" t="s">
        <v>511</v>
      </c>
      <c r="I172" s="44" t="s">
        <v>229</v>
      </c>
      <c r="J172" s="1"/>
      <c r="K172" s="44" t="s">
        <v>963</v>
      </c>
      <c r="L172" s="2" t="s">
        <v>1867</v>
      </c>
      <c r="M172" s="1"/>
      <c r="N172" s="24"/>
      <c r="O172" s="2"/>
      <c r="P172" s="2"/>
      <c r="Q172" s="557" t="str">
        <f>CONCATENATE(scheduleapr[[#This Row],[OD]],"-",scheduleapr[[#This Row],[ID]],"-",scheduleapr[[#This Row],[TICKNESS]],"-",scheduleapr[[#This Row],[Grade]],"-",scheduleapr[[#This Row],[FC/NFC]])</f>
        <v>19-19-1-CRFH-PE</v>
      </c>
      <c r="R172" s="557" t="str">
        <f>_xlfn.CONCAT(scheduleapr[[#This Row],[Bucket]],"-",scheduleapr[[#This Row],[LENGTH]]/1000)</f>
        <v>19-19-1-CRFH-PE-0.755</v>
      </c>
      <c r="S172" s="557">
        <f>COUNTIF(scheduleapr[CTL Bucket],scheduleapr[[#This Row],[CTL Bucket]])</f>
        <v>2</v>
      </c>
      <c r="T172" s="2" t="s">
        <v>1816</v>
      </c>
      <c r="U172" s="2"/>
      <c r="V172" s="2"/>
      <c r="W172" s="2"/>
      <c r="X172" s="1">
        <v>23.42</v>
      </c>
      <c r="Y172" s="1">
        <v>19</v>
      </c>
      <c r="Z172" s="1">
        <v>19</v>
      </c>
      <c r="AA172" s="1">
        <v>1</v>
      </c>
      <c r="AB172" s="24">
        <v>755</v>
      </c>
      <c r="AC172" s="24" t="s">
        <v>397</v>
      </c>
      <c r="AD172" s="24"/>
      <c r="AE172" s="24"/>
      <c r="AF172" s="2"/>
      <c r="AG172" s="2"/>
      <c r="AH172" s="2" cm="1">
        <f t="array" ref="AH1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72" s="4">
        <f>scheduleapr[[#This Row],[SCHEDULE in nos]]-scheduleapr[[#This Row],[DISPATCH]]</f>
        <v>-1000</v>
      </c>
      <c r="AJ172" s="1">
        <f>(3.14*(scheduleapr[[#This Row],[ACTUAL OD]]-scheduleapr[[#This Row],[TICKNESS]])*scheduleapr[[#This Row],[TICKNESS]]*scheduleapr[[#This Row],[LENGTH]]*7.85)/1000000*scheduleapr[[#This Row],[SCHEDULE in nos]]/1000</f>
        <v>0</v>
      </c>
      <c r="AK172" s="1">
        <f>(3.14*(scheduleapr[[#This Row],[ACTUAL OD]]-scheduleapr[[#This Row],[TICKNESS]])*scheduleapr[[#This Row],[TICKNESS]]*scheduleapr[[#This Row],[LENGTH]]*7.85)/1000000*scheduleapr[[#This Row],[DISPATCH]]/1000</f>
        <v>0.41723608790000005</v>
      </c>
      <c r="AL172" s="1">
        <f t="shared" si="5"/>
        <v>-0.41723608790000005</v>
      </c>
      <c r="AM172" s="1" t="e">
        <f>scheduleapr[[#This Row],[SCHEDULE in nos]]/scheduleapr[[#This Row],[SCHEDULE IN MT]]*scheduleapr[[#This Row],[CTL Stock]]</f>
        <v>#DIV/0!</v>
      </c>
      <c r="AN172" s="1">
        <f>SUMIFS(stock[MT],stock[Bucket],scheduleapr[[#This Row],[Bucket]],stock[LL or CTL],"LL")</f>
        <v>15.867808</v>
      </c>
      <c r="AO172" s="1">
        <f>+SUMIFS(wip[Stock(Net Wt)],wip[Bucket],scheduleapr[[#This Row],[Bucket]])/1000</f>
        <v>41.765000000000001</v>
      </c>
      <c r="AP172" s="1">
        <f>AH172-AL172</f>
        <v>1000.4172360879001</v>
      </c>
      <c r="AQ172" s="1">
        <f>+SUMIFS(wip[Stock(Net Wt)],wip[Bucket],scheduleapr[[#This Row],[Bucket]])/1000</f>
        <v>41.765000000000001</v>
      </c>
      <c r="AR172" s="1">
        <f t="shared" si="6"/>
        <v>-15.867808</v>
      </c>
      <c r="AS172" s="118"/>
    </row>
    <row r="173" spans="1:45" x14ac:dyDescent="0.25">
      <c r="A173" s="30">
        <v>755</v>
      </c>
      <c r="B173" s="5" t="s">
        <v>1816</v>
      </c>
      <c r="C173" s="2" t="s">
        <v>305</v>
      </c>
      <c r="D173" s="2" t="s">
        <v>289</v>
      </c>
      <c r="E173" s="2">
        <v>189002</v>
      </c>
      <c r="F173" s="2">
        <v>4151429</v>
      </c>
      <c r="G173" s="2" t="str">
        <f>_xlfn.CONCAT(scheduleapr[[#This Row],[CUSTOMER CODE]],"-",scheduleapr[[#This Row],[MATERIAL NO]])</f>
        <v>189002-4151429</v>
      </c>
      <c r="H173" s="2" t="s">
        <v>494</v>
      </c>
      <c r="I173" s="44" t="s">
        <v>229</v>
      </c>
      <c r="J173" s="1"/>
      <c r="K173" s="44" t="s">
        <v>963</v>
      </c>
      <c r="L173" s="2" t="s">
        <v>1867</v>
      </c>
      <c r="M173" s="1"/>
      <c r="N173" s="24"/>
      <c r="O173" s="2"/>
      <c r="P173" s="2"/>
      <c r="Q173" s="557" t="str">
        <f>CONCATENATE(scheduleapr[[#This Row],[OD]],"-",scheduleapr[[#This Row],[ID]],"-",scheduleapr[[#This Row],[TICKNESS]],"-",scheduleapr[[#This Row],[Grade]],"-",scheduleapr[[#This Row],[FC/NFC]])</f>
        <v>19-19-1-CRFH-PE</v>
      </c>
      <c r="R173" s="557" t="str">
        <f>_xlfn.CONCAT(scheduleapr[[#This Row],[Bucket]],"-",scheduleapr[[#This Row],[LENGTH]]/1000)</f>
        <v>19-19-1-CRFH-PE-0.795</v>
      </c>
      <c r="S173" s="557">
        <f>COUNTIF(scheduleapr[CTL Bucket],scheduleapr[[#This Row],[CTL Bucket]])</f>
        <v>2</v>
      </c>
      <c r="T173" s="2" t="s">
        <v>1816</v>
      </c>
      <c r="U173" s="2"/>
      <c r="V173" s="2"/>
      <c r="W173" s="2"/>
      <c r="X173" s="1">
        <v>23.42</v>
      </c>
      <c r="Y173" s="1">
        <v>19</v>
      </c>
      <c r="Z173" s="1">
        <v>19</v>
      </c>
      <c r="AA173" s="1">
        <v>1</v>
      </c>
      <c r="AB173" s="24">
        <v>795</v>
      </c>
      <c r="AC173" s="24" t="s">
        <v>397</v>
      </c>
      <c r="AD173" s="24"/>
      <c r="AE173" s="24"/>
      <c r="AF173" s="2"/>
      <c r="AG173" s="2"/>
      <c r="AH173" s="2" cm="1">
        <f t="array" ref="AH1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73" s="4">
        <f>scheduleapr[[#This Row],[SCHEDULE in nos]]-scheduleapr[[#This Row],[DISPATCH]]</f>
        <v>-1000</v>
      </c>
      <c r="AJ173" s="1">
        <f>(3.14*(scheduleapr[[#This Row],[ACTUAL OD]]-scheduleapr[[#This Row],[TICKNESS]])*scheduleapr[[#This Row],[TICKNESS]]*scheduleapr[[#This Row],[LENGTH]]*7.85)/1000000*scheduleapr[[#This Row],[SCHEDULE in nos]]/1000</f>
        <v>0</v>
      </c>
      <c r="AK173" s="1">
        <f>(3.14*(scheduleapr[[#This Row],[ACTUAL OD]]-scheduleapr[[#This Row],[TICKNESS]])*scheduleapr[[#This Row],[TICKNESS]]*scheduleapr[[#This Row],[LENGTH]]*7.85)/1000000*scheduleapr[[#This Row],[DISPATCH]]/1000</f>
        <v>0.43934131110000008</v>
      </c>
      <c r="AL173" s="1">
        <f t="shared" si="5"/>
        <v>-0.43934131110000008</v>
      </c>
      <c r="AM173" s="1" t="e">
        <f>scheduleapr[[#This Row],[SCHEDULE in nos]]/scheduleapr[[#This Row],[SCHEDULE IN MT]]*scheduleapr[[#This Row],[CTL Stock]]</f>
        <v>#DIV/0!</v>
      </c>
      <c r="AN173" s="1">
        <f>SUMIFS(stock[MT],stock[Bucket],scheduleapr[[#This Row],[Bucket]],stock[LL or CTL],"LL")</f>
        <v>15.867808</v>
      </c>
      <c r="AO173" s="1">
        <f>+SUMIFS(wip[Stock(Net Wt)],wip[Bucket],scheduleapr[[#This Row],[Bucket]])/1000</f>
        <v>41.765000000000001</v>
      </c>
      <c r="AP173" s="1">
        <f>AH173-AL173</f>
        <v>1000.4393413111</v>
      </c>
      <c r="AQ173" s="1">
        <f>+SUMIFS(wip[Stock(Net Wt)],wip[Bucket],scheduleapr[[#This Row],[Bucket]])/1000</f>
        <v>41.765000000000001</v>
      </c>
      <c r="AR173" s="1">
        <f t="shared" si="6"/>
        <v>-15.867808</v>
      </c>
      <c r="AS173" s="118"/>
    </row>
    <row r="174" spans="1:45" x14ac:dyDescent="0.25">
      <c r="A174" s="30">
        <v>139</v>
      </c>
      <c r="B174" s="5" t="s">
        <v>1816</v>
      </c>
      <c r="C174" s="2" t="s">
        <v>305</v>
      </c>
      <c r="D174" s="2" t="s">
        <v>289</v>
      </c>
      <c r="E174" s="2">
        <v>189002</v>
      </c>
      <c r="F174" s="2">
        <v>3605739</v>
      </c>
      <c r="G174" s="2" t="str">
        <f>_xlfn.CONCAT(scheduleapr[[#This Row],[CUSTOMER CODE]],"-",scheduleapr[[#This Row],[MATERIAL NO]])</f>
        <v>189002-3605739</v>
      </c>
      <c r="H174" s="2" t="s">
        <v>1933</v>
      </c>
      <c r="I174" s="44" t="s">
        <v>229</v>
      </c>
      <c r="J174" s="1"/>
      <c r="K174" s="44" t="s">
        <v>963</v>
      </c>
      <c r="L174" s="2" t="s">
        <v>1867</v>
      </c>
      <c r="M174" s="1"/>
      <c r="N174" s="24"/>
      <c r="O174" s="2"/>
      <c r="P174" s="2"/>
      <c r="Q174" s="557" t="str">
        <f>CONCATENATE(scheduleapr[[#This Row],[OD]],"-",scheduleapr[[#This Row],[ID]],"-",scheduleapr[[#This Row],[TICKNESS]],"-",scheduleapr[[#This Row],[Grade]],"-",scheduleapr[[#This Row],[FC/NFC]])</f>
        <v>19-19-1-CRFH-PE</v>
      </c>
      <c r="R174" s="557" t="str">
        <f>_xlfn.CONCAT(scheduleapr[[#This Row],[Bucket]],"-",scheduleapr[[#This Row],[LENGTH]]/1000)</f>
        <v>19-19-1-CRFH-PE-0.8</v>
      </c>
      <c r="S174" s="557">
        <f>COUNTIF(scheduleapr[CTL Bucket],scheduleapr[[#This Row],[CTL Bucket]])</f>
        <v>2</v>
      </c>
      <c r="T174" s="2" t="s">
        <v>1816</v>
      </c>
      <c r="U174" s="2"/>
      <c r="V174" s="557"/>
      <c r="W174" s="557"/>
      <c r="X174" s="1">
        <v>23.42</v>
      </c>
      <c r="Y174" s="1">
        <v>19</v>
      </c>
      <c r="Z174" s="1">
        <v>19</v>
      </c>
      <c r="AA174" s="1">
        <v>1</v>
      </c>
      <c r="AB174" s="24">
        <v>800</v>
      </c>
      <c r="AC174" s="24" t="s">
        <v>397</v>
      </c>
      <c r="AD174" s="24"/>
      <c r="AE174" s="24"/>
      <c r="AF174" s="2">
        <v>14000</v>
      </c>
      <c r="AG174" s="2"/>
      <c r="AH174" s="2" cm="1">
        <f t="array" ref="AH1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174" s="4">
        <f>scheduleapr[[#This Row],[SCHEDULE in nos]]-scheduleapr[[#This Row],[DISPATCH]]</f>
        <v>8000</v>
      </c>
      <c r="AJ174" s="1">
        <f>(3.14*(scheduleapr[[#This Row],[ACTUAL OD]]-scheduleapr[[#This Row],[TICKNESS]])*scheduleapr[[#This Row],[TICKNESS]]*scheduleapr[[#This Row],[LENGTH]]*7.85)/1000000*scheduleapr[[#This Row],[SCHEDULE in nos]]/1000</f>
        <v>6.189462496</v>
      </c>
      <c r="AK174" s="1">
        <f>(3.14*(scheduleapr[[#This Row],[ACTUAL OD]]-scheduleapr[[#This Row],[TICKNESS]])*scheduleapr[[#This Row],[TICKNESS]]*scheduleapr[[#This Row],[LENGTH]]*7.85)/1000000*scheduleapr[[#This Row],[DISPATCH]]/1000</f>
        <v>2.6526267840000002</v>
      </c>
      <c r="AL174" s="1">
        <f t="shared" si="5"/>
        <v>3.5368357119999998</v>
      </c>
      <c r="AM174" s="1">
        <f>scheduleapr[[#This Row],[SCHEDULE in nos]]/scheduleapr[[#This Row],[SCHEDULE IN MT]]*scheduleapr[[#This Row],[CTL Stock]]</f>
        <v>1953.8413889437679</v>
      </c>
      <c r="AN174" s="1">
        <f>SUMIFS(stock[MT],stock[Bucket],scheduleapr[[#This Row],[Bucket]],stock[CTL Bucket],scheduleapr[[#This Row],[CTL Bucket]],stock[Plant],"0789")</f>
        <v>0.86380199999999996</v>
      </c>
      <c r="AO174" s="1"/>
      <c r="AP174" s="1">
        <f>SUMIFS(stock[MT],stock[Bucket],scheduleapr[[#This Row],[Bucket]],stock[LL or CTL],"LL")</f>
        <v>15.867808</v>
      </c>
      <c r="AQ174" s="1">
        <f>+SUMIFS(wip[Stock(Net Wt)],wip[Bucket],scheduleapr[[#This Row],[Bucket]])/1000</f>
        <v>41.765000000000001</v>
      </c>
      <c r="AR174" s="1">
        <f t="shared" si="6"/>
        <v>5.3256604960000002</v>
      </c>
      <c r="AS174" s="118"/>
    </row>
    <row r="175" spans="1:45" x14ac:dyDescent="0.25">
      <c r="A175" s="30">
        <v>764</v>
      </c>
      <c r="B175" s="5" t="s">
        <v>1816</v>
      </c>
      <c r="C175" s="2" t="s">
        <v>305</v>
      </c>
      <c r="D175" s="2" t="s">
        <v>289</v>
      </c>
      <c r="E175" s="2">
        <v>189002</v>
      </c>
      <c r="F175" s="2">
        <v>4151425</v>
      </c>
      <c r="G175" s="2" t="str">
        <f>_xlfn.CONCAT(scheduleapr[[#This Row],[CUSTOMER CODE]],"-",scheduleapr[[#This Row],[MATERIAL NO]])</f>
        <v>189002-4151425</v>
      </c>
      <c r="H175" s="2" t="s">
        <v>523</v>
      </c>
      <c r="I175" s="44" t="s">
        <v>229</v>
      </c>
      <c r="J175" s="1"/>
      <c r="K175" s="44" t="s">
        <v>963</v>
      </c>
      <c r="L175" s="2" t="s">
        <v>1867</v>
      </c>
      <c r="M175" s="1"/>
      <c r="N175" s="24"/>
      <c r="O175" s="2"/>
      <c r="P175" s="2"/>
      <c r="Q175" s="557" t="str">
        <f>CONCATENATE(scheduleapr[[#This Row],[OD]],"-",scheduleapr[[#This Row],[ID]],"-",scheduleapr[[#This Row],[TICKNESS]],"-",scheduleapr[[#This Row],[Grade]],"-",scheduleapr[[#This Row],[FC/NFC]])</f>
        <v>19-19-1-CRFH-PE</v>
      </c>
      <c r="R175" s="557" t="str">
        <f>_xlfn.CONCAT(scheduleapr[[#This Row],[Bucket]],"-",scheduleapr[[#This Row],[LENGTH]]/1000)</f>
        <v>19-19-1-CRFH-PE-0.835</v>
      </c>
      <c r="S175" s="557">
        <f>COUNTIF(scheduleapr[CTL Bucket],scheduleapr[[#This Row],[CTL Bucket]])</f>
        <v>2</v>
      </c>
      <c r="T175" s="2" t="s">
        <v>1816</v>
      </c>
      <c r="U175" s="2"/>
      <c r="V175" s="2"/>
      <c r="W175" s="2"/>
      <c r="X175" s="1">
        <v>23.42</v>
      </c>
      <c r="Y175" s="1">
        <v>19</v>
      </c>
      <c r="Z175" s="1">
        <v>19</v>
      </c>
      <c r="AA175" s="1">
        <v>1</v>
      </c>
      <c r="AB175" s="24">
        <v>835</v>
      </c>
      <c r="AC175" s="24" t="s">
        <v>397</v>
      </c>
      <c r="AD175" s="24"/>
      <c r="AE175" s="24"/>
      <c r="AF175" s="2"/>
      <c r="AG175" s="2"/>
      <c r="AH175" s="2" cm="1">
        <f t="array" ref="AH1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75" s="4">
        <f>scheduleapr[[#This Row],[SCHEDULE in nos]]-scheduleapr[[#This Row],[DISPATCH]]</f>
        <v>-1000</v>
      </c>
      <c r="AJ175" s="1">
        <f>(3.14*(scheduleapr[[#This Row],[ACTUAL OD]]-scheduleapr[[#This Row],[TICKNESS]])*scheduleapr[[#This Row],[TICKNESS]]*scheduleapr[[#This Row],[LENGTH]]*7.85)/1000000*scheduleapr[[#This Row],[SCHEDULE in nos]]/1000</f>
        <v>0</v>
      </c>
      <c r="AK175" s="1">
        <f>(3.14*(scheduleapr[[#This Row],[ACTUAL OD]]-scheduleapr[[#This Row],[TICKNESS]])*scheduleapr[[#This Row],[TICKNESS]]*scheduleapr[[#This Row],[LENGTH]]*7.85)/1000000*scheduleapr[[#This Row],[DISPATCH]]/1000</f>
        <v>0.46144653430000004</v>
      </c>
      <c r="AL175" s="1">
        <f t="shared" si="5"/>
        <v>-0.46144653430000004</v>
      </c>
      <c r="AM175" s="1" t="e">
        <f>scheduleapr[[#This Row],[SCHEDULE in nos]]/scheduleapr[[#This Row],[SCHEDULE IN MT]]*scheduleapr[[#This Row],[CTL Stock]]</f>
        <v>#DIV/0!</v>
      </c>
      <c r="AN175" s="1">
        <f>SUMIFS(stock[MT],stock[Bucket],scheduleapr[[#This Row],[Bucket]],stock[LL or CTL],"LL")</f>
        <v>15.867808</v>
      </c>
      <c r="AO175" s="1">
        <f>+SUMIFS(wip[Stock(Net Wt)],wip[Bucket],scheduleapr[[#This Row],[Bucket]])/1000</f>
        <v>41.765000000000001</v>
      </c>
      <c r="AP175" s="1">
        <f>AH175-AL175</f>
        <v>1000.4614465343</v>
      </c>
      <c r="AQ175" s="1">
        <f>+SUMIFS(wip[Stock(Net Wt)],wip[Bucket],scheduleapr[[#This Row],[Bucket]])/1000</f>
        <v>41.765000000000001</v>
      </c>
      <c r="AR175" s="1">
        <f t="shared" si="6"/>
        <v>-15.867808</v>
      </c>
      <c r="AS175" s="118"/>
    </row>
    <row r="176" spans="1:45" x14ac:dyDescent="0.25">
      <c r="A176" s="30">
        <v>138</v>
      </c>
      <c r="B176" s="5" t="s">
        <v>1816</v>
      </c>
      <c r="C176" s="2" t="s">
        <v>305</v>
      </c>
      <c r="D176" s="2" t="s">
        <v>289</v>
      </c>
      <c r="E176" s="2">
        <v>189002</v>
      </c>
      <c r="F176" s="2">
        <v>3230485</v>
      </c>
      <c r="G176" s="2" t="str">
        <f>_xlfn.CONCAT(scheduleapr[[#This Row],[CUSTOMER CODE]],"-",scheduleapr[[#This Row],[MATERIAL NO]])</f>
        <v>189002-3230485</v>
      </c>
      <c r="H176" s="2" t="s">
        <v>616</v>
      </c>
      <c r="I176" s="44" t="s">
        <v>229</v>
      </c>
      <c r="J176" s="1"/>
      <c r="K176" s="44" t="s">
        <v>963</v>
      </c>
      <c r="L176" s="2" t="s">
        <v>1867</v>
      </c>
      <c r="M176" s="1"/>
      <c r="N176" s="24"/>
      <c r="O176" s="2"/>
      <c r="P176" s="2"/>
      <c r="Q176" s="557" t="str">
        <f>CONCATENATE(scheduleapr[[#This Row],[OD]],"-",scheduleapr[[#This Row],[ID]],"-",scheduleapr[[#This Row],[TICKNESS]],"-",scheduleapr[[#This Row],[Grade]],"-",scheduleapr[[#This Row],[FC/NFC]])</f>
        <v>19-19-1-CRFH-PE</v>
      </c>
      <c r="R176" s="557" t="str">
        <f>_xlfn.CONCAT(scheduleapr[[#This Row],[Bucket]],"-",scheduleapr[[#This Row],[LENGTH]]/1000)</f>
        <v>19-19-1-CRFH-PE-0.84</v>
      </c>
      <c r="S176" s="557">
        <f>COUNTIF(scheduleapr[CTL Bucket],scheduleapr[[#This Row],[CTL Bucket]])</f>
        <v>2</v>
      </c>
      <c r="T176" s="2" t="s">
        <v>1816</v>
      </c>
      <c r="U176" s="2"/>
      <c r="V176" s="557"/>
      <c r="W176" s="557"/>
      <c r="X176" s="1">
        <v>23.42</v>
      </c>
      <c r="Y176" s="1">
        <v>19</v>
      </c>
      <c r="Z176" s="1">
        <v>19</v>
      </c>
      <c r="AA176" s="1">
        <v>1</v>
      </c>
      <c r="AB176" s="24">
        <v>840</v>
      </c>
      <c r="AC176" s="24" t="s">
        <v>397</v>
      </c>
      <c r="AD176" s="24"/>
      <c r="AE176" s="24"/>
      <c r="AF176" s="2">
        <v>14000</v>
      </c>
      <c r="AG176" s="2"/>
      <c r="AH176" s="2" cm="1">
        <f t="array" ref="AH1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176" s="4">
        <f>scheduleapr[[#This Row],[SCHEDULE in nos]]-scheduleapr[[#This Row],[DISPATCH]]</f>
        <v>8000</v>
      </c>
      <c r="AJ176" s="1">
        <f>(3.14*(scheduleapr[[#This Row],[ACTUAL OD]]-scheduleapr[[#This Row],[TICKNESS]])*scheduleapr[[#This Row],[TICKNESS]]*scheduleapr[[#This Row],[LENGTH]]*7.85)/1000000*scheduleapr[[#This Row],[SCHEDULE in nos]]/1000</f>
        <v>6.4989356208000011</v>
      </c>
      <c r="AK176" s="1">
        <f>(3.14*(scheduleapr[[#This Row],[ACTUAL OD]]-scheduleapr[[#This Row],[TICKNESS]])*scheduleapr[[#This Row],[TICKNESS]]*scheduleapr[[#This Row],[LENGTH]]*7.85)/1000000*scheduleapr[[#This Row],[DISPATCH]]/1000</f>
        <v>2.7852581232000002</v>
      </c>
      <c r="AL176" s="1">
        <f t="shared" si="5"/>
        <v>3.7136774976000009</v>
      </c>
      <c r="AM176" s="1">
        <f>scheduleapr[[#This Row],[SCHEDULE in nos]]/scheduleapr[[#This Row],[SCHEDULE IN MT]]*scheduleapr[[#This Row],[CTL Stock]]</f>
        <v>1812.3813940089613</v>
      </c>
      <c r="AN176" s="1">
        <f>SUMIFS(stock[MT],stock[Bucket],scheduleapr[[#This Row],[Bucket]],stock[CTL Bucket],scheduleapr[[#This Row],[CTL Bucket]],stock[Plant],"0789")</f>
        <v>0.84132499999999999</v>
      </c>
      <c r="AO176" s="1"/>
      <c r="AP176" s="1">
        <f>SUMIFS(stock[MT],stock[Bucket],scheduleapr[[#This Row],[Bucket]],stock[LL or CTL],"LL")</f>
        <v>15.867808</v>
      </c>
      <c r="AQ176" s="1">
        <f>+SUMIFS(wip[Stock(Net Wt)],wip[Bucket],scheduleapr[[#This Row],[Bucket]])/1000</f>
        <v>41.765000000000001</v>
      </c>
      <c r="AR176" s="1">
        <f t="shared" si="6"/>
        <v>5.6576106208000008</v>
      </c>
      <c r="AS176" s="118"/>
    </row>
    <row r="177" spans="1:45" x14ac:dyDescent="0.25">
      <c r="A177" s="30">
        <v>140</v>
      </c>
      <c r="B177" s="5" t="s">
        <v>1816</v>
      </c>
      <c r="C177" s="2" t="s">
        <v>305</v>
      </c>
      <c r="D177" s="2" t="s">
        <v>289</v>
      </c>
      <c r="E177" s="2">
        <v>189002</v>
      </c>
      <c r="F177" s="2">
        <v>3233560</v>
      </c>
      <c r="G177" s="2" t="str">
        <f>_xlfn.CONCAT(scheduleapr[[#This Row],[CUSTOMER CODE]],"-",scheduleapr[[#This Row],[MATERIAL NO]])</f>
        <v>189002-3233560</v>
      </c>
      <c r="H177" s="2" t="s">
        <v>1934</v>
      </c>
      <c r="I177" s="44" t="s">
        <v>229</v>
      </c>
      <c r="J177" s="1"/>
      <c r="K177" s="44" t="s">
        <v>963</v>
      </c>
      <c r="L177" s="2" t="s">
        <v>1867</v>
      </c>
      <c r="M177" s="1"/>
      <c r="N177" s="24"/>
      <c r="O177" s="2"/>
      <c r="P177" s="2"/>
      <c r="Q177" s="557" t="str">
        <f>CONCATENATE(scheduleapr[[#This Row],[OD]],"-",scheduleapr[[#This Row],[ID]],"-",scheduleapr[[#This Row],[TICKNESS]],"-",scheduleapr[[#This Row],[Grade]],"-",scheduleapr[[#This Row],[FC/NFC]])</f>
        <v>19-19-1-CRFH-PE</v>
      </c>
      <c r="R177" s="557" t="str">
        <f>_xlfn.CONCAT(scheduleapr[[#This Row],[Bucket]],"-",scheduleapr[[#This Row],[LENGTH]]/1000)</f>
        <v>19-19-1-CRFH-PE-0.871</v>
      </c>
      <c r="S177" s="557">
        <f>COUNTIF(scheduleapr[CTL Bucket],scheduleapr[[#This Row],[CTL Bucket]])</f>
        <v>1</v>
      </c>
      <c r="T177" s="2" t="s">
        <v>1816</v>
      </c>
      <c r="U177" s="557"/>
      <c r="V177" s="557"/>
      <c r="W177" s="557"/>
      <c r="X177" s="1">
        <v>23.42</v>
      </c>
      <c r="Y177" s="1">
        <v>19</v>
      </c>
      <c r="Z177" s="1">
        <v>19</v>
      </c>
      <c r="AA177" s="1">
        <v>1</v>
      </c>
      <c r="AB177" s="24">
        <v>871</v>
      </c>
      <c r="AC177" s="24" t="s">
        <v>397</v>
      </c>
      <c r="AD177" s="24"/>
      <c r="AE177" s="24"/>
      <c r="AF177" s="2">
        <v>14000</v>
      </c>
      <c r="AG177" s="2"/>
      <c r="AH177" s="2" cm="1">
        <f t="array" ref="AH1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177" s="4">
        <f>scheduleapr[[#This Row],[SCHEDULE in nos]]-scheduleapr[[#This Row],[DISPATCH]]</f>
        <v>8000</v>
      </c>
      <c r="AJ177" s="1">
        <f>(3.14*(scheduleapr[[#This Row],[ACTUAL OD]]-scheduleapr[[#This Row],[TICKNESS]])*scheduleapr[[#This Row],[TICKNESS]]*scheduleapr[[#This Row],[LENGTH]]*7.85)/1000000*scheduleapr[[#This Row],[SCHEDULE in nos]]/1000</f>
        <v>6.73877729252</v>
      </c>
      <c r="AK177" s="1">
        <f>(3.14*(scheduleapr[[#This Row],[ACTUAL OD]]-scheduleapr[[#This Row],[TICKNESS]])*scheduleapr[[#This Row],[TICKNESS]]*scheduleapr[[#This Row],[LENGTH]]*7.85)/1000000*scheduleapr[[#This Row],[DISPATCH]]/1000</f>
        <v>2.8880474110800001</v>
      </c>
      <c r="AL177" s="1">
        <f t="shared" si="5"/>
        <v>3.8507298814399999</v>
      </c>
      <c r="AM177" s="1">
        <f>scheduleapr[[#This Row],[SCHEDULE in nos]]/scheduleapr[[#This Row],[SCHEDULE IN MT]]*scheduleapr[[#This Row],[CTL Stock]]</f>
        <v>1111.477598215607</v>
      </c>
      <c r="AN177" s="1">
        <f>SUMIFS(stock[MT],stock[Bucket],scheduleapr[[#This Row],[Bucket]],stock[CTL Bucket],scheduleapr[[#This Row],[CTL Bucket]],stock[Plant],"0789")</f>
        <v>0.53500000000000003</v>
      </c>
      <c r="AO177" s="1"/>
      <c r="AP177" s="1">
        <f>SUMIFS(stock[MT],stock[Bucket],scheduleapr[[#This Row],[Bucket]],stock[LL or CTL],"LL")</f>
        <v>15.867808</v>
      </c>
      <c r="AQ177" s="1">
        <f>+SUMIFS(wip[Stock(Net Wt)],wip[Bucket],scheduleapr[[#This Row],[Bucket]])/1000</f>
        <v>41.765000000000001</v>
      </c>
      <c r="AR177" s="1">
        <f t="shared" si="6"/>
        <v>6.2037772925199999</v>
      </c>
      <c r="AS177" s="118"/>
    </row>
    <row r="178" spans="1:45" x14ac:dyDescent="0.25">
      <c r="A178" s="30">
        <v>141</v>
      </c>
      <c r="B178" s="5" t="s">
        <v>1816</v>
      </c>
      <c r="C178" s="2" t="s">
        <v>305</v>
      </c>
      <c r="D178" s="2" t="s">
        <v>289</v>
      </c>
      <c r="E178" s="2">
        <v>189002</v>
      </c>
      <c r="F178" s="2">
        <v>3230492</v>
      </c>
      <c r="G178" s="2" t="str">
        <f>_xlfn.CONCAT(scheduleapr[[#This Row],[CUSTOMER CODE]],"-",scheduleapr[[#This Row],[MATERIAL NO]])</f>
        <v>189002-3230492</v>
      </c>
      <c r="H178" s="2" t="s">
        <v>614</v>
      </c>
      <c r="I178" s="44" t="s">
        <v>229</v>
      </c>
      <c r="J178" s="1"/>
      <c r="K178" s="44" t="s">
        <v>963</v>
      </c>
      <c r="L178" s="2" t="s">
        <v>1867</v>
      </c>
      <c r="M178" s="1"/>
      <c r="N178" s="24"/>
      <c r="O178" s="2"/>
      <c r="P178" s="2"/>
      <c r="Q178" s="557" t="str">
        <f>CONCATENATE(scheduleapr[[#This Row],[OD]],"-",scheduleapr[[#This Row],[ID]],"-",scheduleapr[[#This Row],[TICKNESS]],"-",scheduleapr[[#This Row],[Grade]],"-",scheduleapr[[#This Row],[FC/NFC]])</f>
        <v>19-19-1-CRFH-PE</v>
      </c>
      <c r="R178" s="557" t="str">
        <f>_xlfn.CONCAT(scheduleapr[[#This Row],[Bucket]],"-",scheduleapr[[#This Row],[LENGTH]]/1000)</f>
        <v>19-19-1-CRFH-PE-0.88</v>
      </c>
      <c r="S178" s="557">
        <f>COUNTIF(scheduleapr[CTL Bucket],scheduleapr[[#This Row],[CTL Bucket]])</f>
        <v>3</v>
      </c>
      <c r="T178" s="2" t="s">
        <v>1816</v>
      </c>
      <c r="U178" s="2"/>
      <c r="V178" s="557"/>
      <c r="W178" s="557"/>
      <c r="X178" s="1">
        <v>23.42</v>
      </c>
      <c r="Y178" s="1">
        <v>19</v>
      </c>
      <c r="Z178" s="1">
        <v>19</v>
      </c>
      <c r="AA178" s="1">
        <v>1</v>
      </c>
      <c r="AB178" s="24">
        <v>880</v>
      </c>
      <c r="AC178" s="24" t="s">
        <v>397</v>
      </c>
      <c r="AD178" s="24"/>
      <c r="AE178" s="24"/>
      <c r="AF178" s="2"/>
      <c r="AG178" s="2"/>
      <c r="AH178" s="2" cm="1">
        <f t="array" ref="AH1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9000</v>
      </c>
      <c r="AI178" s="4">
        <f>scheduleapr[[#This Row],[SCHEDULE in nos]]-scheduleapr[[#This Row],[DISPATCH]]</f>
        <v>-9000</v>
      </c>
      <c r="AJ178" s="1">
        <f>(3.14*(scheduleapr[[#This Row],[ACTUAL OD]]-scheduleapr[[#This Row],[TICKNESS]])*scheduleapr[[#This Row],[TICKNESS]]*scheduleapr[[#This Row],[LENGTH]]*7.85)/1000000*scheduleapr[[#This Row],[SCHEDULE in nos]]/1000</f>
        <v>0</v>
      </c>
      <c r="AK178" s="1">
        <f>(3.14*(scheduleapr[[#This Row],[ACTUAL OD]]-scheduleapr[[#This Row],[TICKNESS]])*scheduleapr[[#This Row],[TICKNESS]]*scheduleapr[[#This Row],[LENGTH]]*7.85)/1000000*scheduleapr[[#This Row],[DISPATCH]]/1000</f>
        <v>4.3768341936000006</v>
      </c>
      <c r="AL178" s="1">
        <f t="shared" si="5"/>
        <v>-4.3768341936000006</v>
      </c>
      <c r="AM178" s="1" t="e">
        <f>scheduleapr[[#This Row],[SCHEDULE in nos]]/scheduleapr[[#This Row],[SCHEDULE IN MT]]*scheduleapr[[#This Row],[CTL Stock]]</f>
        <v>#DIV/0!</v>
      </c>
      <c r="AN178" s="1">
        <f>SUMIFS(stock[MT],stock[Bucket],scheduleapr[[#This Row],[Bucket]],stock[CTL Bucket],scheduleapr[[#This Row],[CTL Bucket]],stock[Plant],"0789")</f>
        <v>0.73132200000000003</v>
      </c>
      <c r="AO178" s="1"/>
      <c r="AP178" s="1">
        <f>SUMIFS(stock[MT],stock[Bucket],scheduleapr[[#This Row],[Bucket]],stock[LL or CTL],"LL")</f>
        <v>15.867808</v>
      </c>
      <c r="AQ178" s="1">
        <f>+SUMIFS(wip[Stock(Net Wt)],wip[Bucket],scheduleapr[[#This Row],[Bucket]])/1000</f>
        <v>41.765000000000001</v>
      </c>
      <c r="AR178" s="1">
        <f t="shared" si="6"/>
        <v>-0.73132200000000003</v>
      </c>
      <c r="AS178" s="118"/>
    </row>
    <row r="179" spans="1:45" x14ac:dyDescent="0.25">
      <c r="A179" s="30">
        <v>774</v>
      </c>
      <c r="B179" s="5" t="s">
        <v>1816</v>
      </c>
      <c r="C179" s="2" t="s">
        <v>305</v>
      </c>
      <c r="D179" s="2" t="s">
        <v>289</v>
      </c>
      <c r="E179" s="2">
        <v>189002</v>
      </c>
      <c r="F179" s="2">
        <v>4177673</v>
      </c>
      <c r="G179" s="2" t="str">
        <f>_xlfn.CONCAT(scheduleapr[[#This Row],[CUSTOMER CODE]],"-",scheduleapr[[#This Row],[MATERIAL NO]])</f>
        <v>189002-4177673</v>
      </c>
      <c r="H179" s="2" t="s">
        <v>1935</v>
      </c>
      <c r="I179" s="44" t="s">
        <v>229</v>
      </c>
      <c r="J179" s="1"/>
      <c r="K179" s="44" t="s">
        <v>963</v>
      </c>
      <c r="L179" s="2" t="s">
        <v>1867</v>
      </c>
      <c r="M179" s="1"/>
      <c r="N179" s="24"/>
      <c r="O179" s="2"/>
      <c r="P179" s="2"/>
      <c r="Q179" s="557" t="str">
        <f>CONCATENATE(scheduleapr[[#This Row],[OD]],"-",scheduleapr[[#This Row],[ID]],"-",scheduleapr[[#This Row],[TICKNESS]],"-",scheduleapr[[#This Row],[Grade]],"-",scheduleapr[[#This Row],[FC/NFC]])</f>
        <v>19-19-1-CRFH-PE</v>
      </c>
      <c r="R179" s="557" t="str">
        <f>_xlfn.CONCAT(scheduleapr[[#This Row],[Bucket]],"-",scheduleapr[[#This Row],[LENGTH]]/1000)</f>
        <v>19-19-1-CRFH-PE-0.88</v>
      </c>
      <c r="S179" s="557">
        <f>COUNTIF(scheduleapr[CTL Bucket],scheduleapr[[#This Row],[CTL Bucket]])</f>
        <v>3</v>
      </c>
      <c r="T179" s="2" t="s">
        <v>1816</v>
      </c>
      <c r="U179" s="2"/>
      <c r="V179" s="2"/>
      <c r="W179" s="2"/>
      <c r="X179" s="1">
        <v>23.42</v>
      </c>
      <c r="Y179" s="1">
        <v>19</v>
      </c>
      <c r="Z179" s="1">
        <v>19</v>
      </c>
      <c r="AA179" s="1">
        <v>1</v>
      </c>
      <c r="AB179" s="24">
        <v>880</v>
      </c>
      <c r="AC179" s="24" t="s">
        <v>397</v>
      </c>
      <c r="AD179" s="24"/>
      <c r="AE179" s="24"/>
      <c r="AF179" s="2">
        <v>21000</v>
      </c>
      <c r="AG179" s="2"/>
      <c r="AH179" s="2" cm="1">
        <f t="array" ref="AH1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9000</v>
      </c>
      <c r="AI179" s="4">
        <f>scheduleapr[[#This Row],[SCHEDULE in nos]]-scheduleapr[[#This Row],[DISPATCH]]</f>
        <v>12000</v>
      </c>
      <c r="AJ179" s="1">
        <f>(3.14*(scheduleapr[[#This Row],[ACTUAL OD]]-scheduleapr[[#This Row],[TICKNESS]])*scheduleapr[[#This Row],[TICKNESS]]*scheduleapr[[#This Row],[LENGTH]]*7.85)/1000000*scheduleapr[[#This Row],[SCHEDULE in nos]]/1000</f>
        <v>10.212613118400002</v>
      </c>
      <c r="AK179" s="1">
        <f>(3.14*(scheduleapr[[#This Row],[ACTUAL OD]]-scheduleapr[[#This Row],[TICKNESS]])*scheduleapr[[#This Row],[TICKNESS]]*scheduleapr[[#This Row],[LENGTH]]*7.85)/1000000*scheduleapr[[#This Row],[DISPATCH]]/1000</f>
        <v>4.3768341936000006</v>
      </c>
      <c r="AL179" s="1">
        <f t="shared" si="5"/>
        <v>5.8357789248000014</v>
      </c>
      <c r="AM179" s="1">
        <f>scheduleapr[[#This Row],[SCHEDULE in nos]]/scheduleapr[[#This Row],[SCHEDULE IN MT]]*scheduleapr[[#This Row],[CTL Stock]]</f>
        <v>32628.668504012203</v>
      </c>
      <c r="AN179" s="1">
        <f>SUMIFS(stock[MT],stock[Bucket],scheduleapr[[#This Row],[Bucket]],stock[LL or CTL],"LL")</f>
        <v>15.867808</v>
      </c>
      <c r="AO179" s="1">
        <f>+SUMIFS(wip[Stock(Net Wt)],wip[Bucket],scheduleapr[[#This Row],[Bucket]])/1000</f>
        <v>41.765000000000001</v>
      </c>
      <c r="AP179" s="1">
        <f>AH179-AL179</f>
        <v>8994.1642210751997</v>
      </c>
      <c r="AQ179" s="1">
        <f>+SUMIFS(wip[Stock(Net Wt)],wip[Bucket],scheduleapr[[#This Row],[Bucket]])/1000</f>
        <v>41.765000000000001</v>
      </c>
      <c r="AR179" s="1">
        <f t="shared" si="6"/>
        <v>-5.6551948815999982</v>
      </c>
      <c r="AS179" s="118"/>
    </row>
    <row r="180" spans="1:45" x14ac:dyDescent="0.25">
      <c r="A180" s="30">
        <v>760</v>
      </c>
      <c r="B180" s="5" t="s">
        <v>1816</v>
      </c>
      <c r="C180" s="2" t="s">
        <v>305</v>
      </c>
      <c r="D180" s="2" t="s">
        <v>289</v>
      </c>
      <c r="E180" s="2">
        <v>189002</v>
      </c>
      <c r="F180" s="2">
        <v>4151427</v>
      </c>
      <c r="G180" s="2" t="str">
        <f>_xlfn.CONCAT(scheduleapr[[#This Row],[CUSTOMER CODE]],"-",scheduleapr[[#This Row],[MATERIAL NO]])</f>
        <v>189002-4151427</v>
      </c>
      <c r="H180" s="2" t="s">
        <v>509</v>
      </c>
      <c r="I180" s="44" t="s">
        <v>229</v>
      </c>
      <c r="J180" s="1"/>
      <c r="K180" s="44" t="s">
        <v>963</v>
      </c>
      <c r="L180" s="2" t="s">
        <v>1867</v>
      </c>
      <c r="M180" s="1"/>
      <c r="N180" s="24"/>
      <c r="O180" s="2"/>
      <c r="P180" s="2"/>
      <c r="Q180" s="557" t="str">
        <f>CONCATENATE(scheduleapr[[#This Row],[OD]],"-",scheduleapr[[#This Row],[ID]],"-",scheduleapr[[#This Row],[TICKNESS]],"-",scheduleapr[[#This Row],[Grade]],"-",scheduleapr[[#This Row],[FC/NFC]])</f>
        <v>19-19-1-CRFH-PE</v>
      </c>
      <c r="R180" s="557" t="str">
        <f>_xlfn.CONCAT(scheduleapr[[#This Row],[Bucket]],"-",scheduleapr[[#This Row],[LENGTH]]/1000)</f>
        <v>19-19-1-CRFH-PE-0.963</v>
      </c>
      <c r="S180" s="557">
        <f>COUNTIF(scheduleapr[CTL Bucket],scheduleapr[[#This Row],[CTL Bucket]])</f>
        <v>2</v>
      </c>
      <c r="T180" s="2" t="s">
        <v>1816</v>
      </c>
      <c r="U180" s="2"/>
      <c r="V180" s="2"/>
      <c r="W180" s="2"/>
      <c r="X180" s="1">
        <v>23.42</v>
      </c>
      <c r="Y180" s="1">
        <v>19</v>
      </c>
      <c r="Z180" s="1">
        <v>19</v>
      </c>
      <c r="AA180" s="1">
        <v>1</v>
      </c>
      <c r="AB180" s="24">
        <v>963</v>
      </c>
      <c r="AC180" s="24" t="s">
        <v>397</v>
      </c>
      <c r="AD180" s="24"/>
      <c r="AE180" s="24"/>
      <c r="AF180" s="2"/>
      <c r="AG180" s="2"/>
      <c r="AH180" s="2" cm="1">
        <f t="array" ref="AH1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80" s="4">
        <f>scheduleapr[[#This Row],[SCHEDULE in nos]]-scheduleapr[[#This Row],[DISPATCH]]</f>
        <v>-1000</v>
      </c>
      <c r="AJ180" s="1">
        <f>(3.14*(scheduleapr[[#This Row],[ACTUAL OD]]-scheduleapr[[#This Row],[TICKNESS]])*scheduleapr[[#This Row],[TICKNESS]]*scheduleapr[[#This Row],[LENGTH]]*7.85)/1000000*scheduleapr[[#This Row],[SCHEDULE in nos]]/1000</f>
        <v>0</v>
      </c>
      <c r="AK180" s="1">
        <f>(3.14*(scheduleapr[[#This Row],[ACTUAL OD]]-scheduleapr[[#This Row],[TICKNESS]])*scheduleapr[[#This Row],[TICKNESS]]*scheduleapr[[#This Row],[LENGTH]]*7.85)/1000000*scheduleapr[[#This Row],[DISPATCH]]/1000</f>
        <v>0.5321832485400001</v>
      </c>
      <c r="AL180" s="1">
        <f t="shared" si="5"/>
        <v>-0.5321832485400001</v>
      </c>
      <c r="AM180" s="1" t="e">
        <f>scheduleapr[[#This Row],[SCHEDULE in nos]]/scheduleapr[[#This Row],[SCHEDULE IN MT]]*scheduleapr[[#This Row],[CTL Stock]]</f>
        <v>#DIV/0!</v>
      </c>
      <c r="AN180" s="1">
        <f>SUMIFS(stock[MT],stock[Bucket],scheduleapr[[#This Row],[Bucket]],stock[LL or CTL],"LL")</f>
        <v>15.867808</v>
      </c>
      <c r="AO180" s="1">
        <f>+SUMIFS(wip[Stock(Net Wt)],wip[Bucket],scheduleapr[[#This Row],[Bucket]])/1000</f>
        <v>41.765000000000001</v>
      </c>
      <c r="AP180" s="1">
        <f>AH180-AL180</f>
        <v>1000.53218324854</v>
      </c>
      <c r="AQ180" s="1">
        <f>+SUMIFS(wip[Stock(Net Wt)],wip[Bucket],scheduleapr[[#This Row],[Bucket]])/1000</f>
        <v>41.765000000000001</v>
      </c>
      <c r="AR180" s="1">
        <f t="shared" si="6"/>
        <v>-15.867808</v>
      </c>
      <c r="AS180" s="118"/>
    </row>
    <row r="181" spans="1:45" x14ac:dyDescent="0.25">
      <c r="A181" s="30">
        <v>142</v>
      </c>
      <c r="B181" s="5" t="s">
        <v>1816</v>
      </c>
      <c r="C181" s="2" t="s">
        <v>289</v>
      </c>
      <c r="D181" s="2" t="s">
        <v>289</v>
      </c>
      <c r="E181" s="2">
        <v>189002</v>
      </c>
      <c r="F181" s="2">
        <v>1940146</v>
      </c>
      <c r="G181" s="2" t="str">
        <f>_xlfn.CONCAT(scheduleapr[[#This Row],[CUSTOMER CODE]],"-",scheduleapr[[#This Row],[MATERIAL NO]])</f>
        <v>189002-1940146</v>
      </c>
      <c r="H181" s="2" t="s">
        <v>1936</v>
      </c>
      <c r="I181" s="44" t="s">
        <v>229</v>
      </c>
      <c r="J181" s="1"/>
      <c r="K181" s="44" t="s">
        <v>963</v>
      </c>
      <c r="L181" s="2" t="s">
        <v>1867</v>
      </c>
      <c r="M181" s="1"/>
      <c r="N181" s="24"/>
      <c r="O181" s="2"/>
      <c r="P181" s="2"/>
      <c r="Q181" s="557" t="str">
        <f>CONCATENATE(scheduleapr[[#This Row],[OD]],"-",scheduleapr[[#This Row],[ID]],"-",scheduleapr[[#This Row],[TICKNESS]],"-",scheduleapr[[#This Row],[Grade]],"-",scheduleapr[[#This Row],[FC/NFC]])</f>
        <v>19-19-1-CRFH-PE</v>
      </c>
      <c r="R181" s="557" t="str">
        <f>_xlfn.CONCAT(scheduleapr[[#This Row],[Bucket]],"-",scheduleapr[[#This Row],[LENGTH]]/1000)</f>
        <v>19-19-1-CRFH-PE-1</v>
      </c>
      <c r="S181" s="557">
        <f>COUNTIF(scheduleapr[CTL Bucket],scheduleapr[[#This Row],[CTL Bucket]])</f>
        <v>2</v>
      </c>
      <c r="T181" s="2" t="s">
        <v>1816</v>
      </c>
      <c r="U181" s="2"/>
      <c r="V181" s="557"/>
      <c r="W181" s="557"/>
      <c r="X181" s="1">
        <v>23.42</v>
      </c>
      <c r="Y181" s="1">
        <v>19</v>
      </c>
      <c r="Z181" s="1">
        <v>19</v>
      </c>
      <c r="AA181" s="1">
        <v>1</v>
      </c>
      <c r="AB181" s="24">
        <v>1000</v>
      </c>
      <c r="AC181" s="24" t="s">
        <v>444</v>
      </c>
      <c r="AD181" s="24"/>
      <c r="AE181" s="24"/>
      <c r="AF181" s="2"/>
      <c r="AG181" s="2"/>
      <c r="AH181" s="2" cm="1">
        <f t="array" ref="AH1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19782</v>
      </c>
      <c r="AI181" s="4">
        <f>scheduleapr[[#This Row],[SCHEDULE in nos]]-scheduleapr[[#This Row],[DISPATCH]]</f>
        <v>-19782</v>
      </c>
      <c r="AJ181" s="1">
        <f>(3.14*(scheduleapr[[#This Row],[ACTUAL OD]]-scheduleapr[[#This Row],[TICKNESS]])*scheduleapr[[#This Row],[TICKNESS]]*scheduleapr[[#This Row],[LENGTH]]*7.85)/1000000*scheduleapr[[#This Row],[SCHEDULE in nos]]/1000</f>
        <v>0</v>
      </c>
      <c r="AK181" s="1">
        <f>(3.14*(scheduleapr[[#This Row],[ACTUAL OD]]-scheduleapr[[#This Row],[TICKNESS]])*scheduleapr[[#This Row],[TICKNESS]]*scheduleapr[[#This Row],[LENGTH]]*7.85)/1000000*scheduleapr[[#This Row],[DISPATCH]]/1000</f>
        <v>10.932138133560001</v>
      </c>
      <c r="AL181" s="1">
        <f t="shared" si="5"/>
        <v>-10.932138133560001</v>
      </c>
      <c r="AM181" s="1" t="e">
        <f>scheduleapr[[#This Row],[SCHEDULE in nos]]/scheduleapr[[#This Row],[SCHEDULE IN MT]]*scheduleapr[[#This Row],[CTL Stock]]</f>
        <v>#DIV/0!</v>
      </c>
      <c r="AN181" s="1">
        <f>SUMIFS(stock[MT],stock[Bucket],scheduleapr[[#This Row],[Bucket]],stock[CTL Bucket],scheduleapr[[#This Row],[CTL Bucket]],stock[Plant],"0789")</f>
        <v>15.867808</v>
      </c>
      <c r="AO181" s="1"/>
      <c r="AP181" s="1">
        <f>SUMIFS(stock[MT],stock[Bucket],scheduleapr[[#This Row],[Bucket]],stock[LL or CTL],"LL")</f>
        <v>15.867808</v>
      </c>
      <c r="AQ181" s="1">
        <f>+SUMIFS(wip[Stock(Net Wt)],wip[Bucket],scheduleapr[[#This Row],[Bucket]])/1000</f>
        <v>41.765000000000001</v>
      </c>
      <c r="AR181" s="1">
        <f t="shared" si="6"/>
        <v>-15.867808</v>
      </c>
      <c r="AS181" s="118"/>
    </row>
    <row r="182" spans="1:45" x14ac:dyDescent="0.25">
      <c r="A182" s="30">
        <v>143</v>
      </c>
      <c r="B182" s="5" t="s">
        <v>1816</v>
      </c>
      <c r="C182" s="2" t="s">
        <v>289</v>
      </c>
      <c r="D182" s="2" t="s">
        <v>289</v>
      </c>
      <c r="E182" s="2">
        <v>189002</v>
      </c>
      <c r="F182" s="16">
        <v>3597679</v>
      </c>
      <c r="G182" s="2" t="str">
        <f>_xlfn.CONCAT(scheduleapr[[#This Row],[CUSTOMER CODE]],"-",scheduleapr[[#This Row],[MATERIAL NO]])</f>
        <v>189002-3597679</v>
      </c>
      <c r="H182" s="2" t="s">
        <v>459</v>
      </c>
      <c r="I182" s="44" t="s">
        <v>229</v>
      </c>
      <c r="J182" s="1"/>
      <c r="K182" s="44" t="s">
        <v>963</v>
      </c>
      <c r="L182" s="2" t="s">
        <v>1867</v>
      </c>
      <c r="M182" s="1"/>
      <c r="N182" s="24"/>
      <c r="O182" s="2"/>
      <c r="P182" s="2"/>
      <c r="Q182" s="557" t="str">
        <f>CONCATENATE(scheduleapr[[#This Row],[OD]],"-",scheduleapr[[#This Row],[ID]],"-",scheduleapr[[#This Row],[TICKNESS]],"-",scheduleapr[[#This Row],[Grade]],"-",scheduleapr[[#This Row],[FC/NFC]])</f>
        <v>19-19-1-CRFH-PE</v>
      </c>
      <c r="R182" s="557" t="str">
        <f>_xlfn.CONCAT(scheduleapr[[#This Row],[Bucket]],"-",scheduleapr[[#This Row],[LENGTH]]/1000)</f>
        <v>19-19-1-CRFH-PE-1</v>
      </c>
      <c r="S182" s="557">
        <f>COUNTIF(scheduleapr[CTL Bucket],scheduleapr[[#This Row],[CTL Bucket]])</f>
        <v>2</v>
      </c>
      <c r="T182" s="2" t="s">
        <v>1816</v>
      </c>
      <c r="U182" s="557"/>
      <c r="V182" s="557"/>
      <c r="W182" s="557"/>
      <c r="X182" s="1">
        <v>23.42</v>
      </c>
      <c r="Y182" s="1">
        <v>19</v>
      </c>
      <c r="Z182" s="1">
        <v>19</v>
      </c>
      <c r="AA182" s="1">
        <v>1</v>
      </c>
      <c r="AB182" s="24">
        <v>1000</v>
      </c>
      <c r="AC182" s="24" t="s">
        <v>444</v>
      </c>
      <c r="AD182" s="24"/>
      <c r="AE182" s="24"/>
      <c r="AF182" s="2"/>
      <c r="AG182" s="2"/>
      <c r="AH182" s="2" cm="1">
        <f t="array" ref="AH1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19782</v>
      </c>
      <c r="AI182" s="4">
        <f>scheduleapr[[#This Row],[SCHEDULE in nos]]-scheduleapr[[#This Row],[DISPATCH]]</f>
        <v>-19782</v>
      </c>
      <c r="AJ182" s="1">
        <f>(3.14*(scheduleapr[[#This Row],[ACTUAL OD]]-scheduleapr[[#This Row],[TICKNESS]])*scheduleapr[[#This Row],[TICKNESS]]*scheduleapr[[#This Row],[LENGTH]]*7.85)/1000000*scheduleapr[[#This Row],[SCHEDULE in nos]]/1000</f>
        <v>0</v>
      </c>
      <c r="AK182" s="1">
        <f>(3.14*(scheduleapr[[#This Row],[ACTUAL OD]]-scheduleapr[[#This Row],[TICKNESS]])*scheduleapr[[#This Row],[TICKNESS]]*scheduleapr[[#This Row],[LENGTH]]*7.85)/1000000*scheduleapr[[#This Row],[DISPATCH]]/1000</f>
        <v>10.932138133560001</v>
      </c>
      <c r="AL182" s="1">
        <f t="shared" si="5"/>
        <v>-10.932138133560001</v>
      </c>
      <c r="AM182" s="1" t="e">
        <f>scheduleapr[[#This Row],[SCHEDULE in nos]]/scheduleapr[[#This Row],[SCHEDULE IN MT]]*scheduleapr[[#This Row],[CTL Stock]]</f>
        <v>#DIV/0!</v>
      </c>
      <c r="AN182" s="1">
        <f>SUMIFS(stock[MT],stock[Bucket],scheduleapr[[#This Row],[Bucket]],stock[CTL Bucket],scheduleapr[[#This Row],[CTL Bucket]],stock[Plant],"0789")</f>
        <v>15.867808</v>
      </c>
      <c r="AO182" s="1"/>
      <c r="AP182" s="1">
        <f>SUMIFS(stock[MT],stock[Bucket],scheduleapr[[#This Row],[Bucket]],stock[LL or CTL],"LL")</f>
        <v>15.867808</v>
      </c>
      <c r="AQ182" s="1">
        <f>+SUMIFS(wip[Stock(Net Wt)],wip[Bucket],scheduleapr[[#This Row],[Bucket]])/1000</f>
        <v>41.765000000000001</v>
      </c>
      <c r="AR182" s="1">
        <f t="shared" si="6"/>
        <v>-15.867808</v>
      </c>
      <c r="AS182" s="118"/>
    </row>
    <row r="183" spans="1:45" x14ac:dyDescent="0.25">
      <c r="A183" s="30">
        <v>145</v>
      </c>
      <c r="B183" s="5" t="s">
        <v>1816</v>
      </c>
      <c r="C183" s="2" t="s">
        <v>289</v>
      </c>
      <c r="D183" s="2" t="s">
        <v>289</v>
      </c>
      <c r="E183" s="2">
        <v>189002</v>
      </c>
      <c r="F183" s="2">
        <v>3230494</v>
      </c>
      <c r="G183" s="2" t="str">
        <f>_xlfn.CONCAT(scheduleapr[[#This Row],[CUSTOMER CODE]],"-",scheduleapr[[#This Row],[MATERIAL NO]])</f>
        <v>189002-3230494</v>
      </c>
      <c r="H183" s="2" t="s">
        <v>1290</v>
      </c>
      <c r="I183" s="44" t="s">
        <v>229</v>
      </c>
      <c r="J183" s="1"/>
      <c r="K183" s="44" t="s">
        <v>963</v>
      </c>
      <c r="L183" s="2" t="s">
        <v>1867</v>
      </c>
      <c r="M183" s="1"/>
      <c r="N183" s="24"/>
      <c r="O183" s="2"/>
      <c r="P183" s="2"/>
      <c r="Q183" s="557" t="str">
        <f>CONCATENATE(scheduleapr[[#This Row],[OD]],"-",scheduleapr[[#This Row],[ID]],"-",scheduleapr[[#This Row],[TICKNESS]],"-",scheduleapr[[#This Row],[Grade]],"-",scheduleapr[[#This Row],[FC/NFC]])</f>
        <v>19-19-1-CRFH-PE</v>
      </c>
      <c r="R183" s="557" t="str">
        <f>_xlfn.CONCAT(scheduleapr[[#This Row],[Bucket]],"-",scheduleapr[[#This Row],[LENGTH]]/1000)</f>
        <v>19-19-1-CRFH-PE-1.007</v>
      </c>
      <c r="S183" s="557">
        <f>COUNTIF(scheduleapr[CTL Bucket],scheduleapr[[#This Row],[CTL Bucket]])</f>
        <v>6</v>
      </c>
      <c r="T183" s="2" t="s">
        <v>1816</v>
      </c>
      <c r="U183" s="2"/>
      <c r="V183" s="557"/>
      <c r="W183" s="557"/>
      <c r="X183" s="1">
        <v>23.42</v>
      </c>
      <c r="Y183" s="1">
        <v>19</v>
      </c>
      <c r="Z183" s="1">
        <v>19</v>
      </c>
      <c r="AA183" s="1">
        <v>1</v>
      </c>
      <c r="AB183" s="24">
        <v>1007</v>
      </c>
      <c r="AC183" s="24" t="s">
        <v>397</v>
      </c>
      <c r="AD183" s="24"/>
      <c r="AE183" s="24"/>
      <c r="AF183" s="2"/>
      <c r="AG183" s="2"/>
      <c r="AH183" s="2" cm="1">
        <f t="array" ref="AH1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183" s="4">
        <f>scheduleapr[[#This Row],[SCHEDULE in nos]]-scheduleapr[[#This Row],[DISPATCH]]</f>
        <v>-3500</v>
      </c>
      <c r="AJ183" s="1">
        <f>(3.14*(scheduleapr[[#This Row],[ACTUAL OD]]-scheduleapr[[#This Row],[TICKNESS]])*scheduleapr[[#This Row],[TICKNESS]]*scheduleapr[[#This Row],[LENGTH]]*7.85)/1000000*scheduleapr[[#This Row],[SCHEDULE in nos]]/1000</f>
        <v>0</v>
      </c>
      <c r="AK183" s="1">
        <f>(3.14*(scheduleapr[[#This Row],[ACTUAL OD]]-scheduleapr[[#This Row],[TICKNESS]])*scheduleapr[[#This Row],[TICKNESS]]*scheduleapr[[#This Row],[LENGTH]]*7.85)/1000000*scheduleapr[[#This Row],[DISPATCH]]/1000</f>
        <v>1.9477464792100001</v>
      </c>
      <c r="AL183" s="1">
        <f t="shared" si="5"/>
        <v>-1.9477464792100001</v>
      </c>
      <c r="AM183" s="1" t="e">
        <f>scheduleapr[[#This Row],[SCHEDULE in nos]]/scheduleapr[[#This Row],[SCHEDULE IN MT]]*scheduleapr[[#This Row],[CTL Stock]]</f>
        <v>#DIV/0!</v>
      </c>
      <c r="AN183" s="1">
        <f>SUMIFS(stock[MT],stock[Bucket],scheduleapr[[#This Row],[Bucket]],stock[CTL Bucket],scheduleapr[[#This Row],[CTL Bucket]],stock[Plant],"0789")</f>
        <v>1.7090369999999999</v>
      </c>
      <c r="AO183" s="1"/>
      <c r="AP183" s="1">
        <f>SUMIFS(stock[MT],stock[Bucket],scheduleapr[[#This Row],[Bucket]],stock[LL or CTL],"LL")</f>
        <v>15.867808</v>
      </c>
      <c r="AQ183" s="1">
        <f>+SUMIFS(wip[Stock(Net Wt)],wip[Bucket],scheduleapr[[#This Row],[Bucket]])/1000</f>
        <v>41.765000000000001</v>
      </c>
      <c r="AR183" s="1">
        <f t="shared" si="6"/>
        <v>-1.7090369999999999</v>
      </c>
      <c r="AS183" s="118"/>
    </row>
    <row r="184" spans="1:45" x14ac:dyDescent="0.25">
      <c r="A184" s="30"/>
      <c r="B184" s="5" t="s">
        <v>1816</v>
      </c>
      <c r="C184" s="2" t="s">
        <v>305</v>
      </c>
      <c r="D184" s="2" t="s">
        <v>289</v>
      </c>
      <c r="E184" s="2">
        <v>189002</v>
      </c>
      <c r="F184" s="542">
        <v>4100796</v>
      </c>
      <c r="G184" s="2" t="str">
        <f>_xlfn.CONCAT(scheduleapr[[#This Row],[CUSTOMER CODE]],"-",scheduleapr[[#This Row],[MATERIAL NO]])</f>
        <v>189002-4100796</v>
      </c>
      <c r="H184" s="523" t="s">
        <v>552</v>
      </c>
      <c r="I184" s="44" t="s">
        <v>229</v>
      </c>
      <c r="J184" s="1"/>
      <c r="K184" s="44" t="s">
        <v>963</v>
      </c>
      <c r="L184" s="2" t="s">
        <v>1867</v>
      </c>
      <c r="M184" s="1"/>
      <c r="N184" s="24"/>
      <c r="O184" s="2"/>
      <c r="P184" s="2"/>
      <c r="Q184" s="557" t="str">
        <f>CONCATENATE(scheduleapr[[#This Row],[OD]],"-",scheduleapr[[#This Row],[ID]],"-",scheduleapr[[#This Row],[TICKNESS]],"-",scheduleapr[[#This Row],[Grade]],"-",scheduleapr[[#This Row],[FC/NFC]])</f>
        <v>19-19-1-CRFH-PE</v>
      </c>
      <c r="R184" s="557" t="str">
        <f>_xlfn.CONCAT(scheduleapr[[#This Row],[Bucket]],"-",scheduleapr[[#This Row],[LENGTH]]/1000)</f>
        <v>19-19-1-CRFH-PE-1.007</v>
      </c>
      <c r="S184" s="557">
        <f>COUNTIF(scheduleapr[CTL Bucket],scheduleapr[[#This Row],[CTL Bucket]])</f>
        <v>6</v>
      </c>
      <c r="T184" s="2" t="s">
        <v>1816</v>
      </c>
      <c r="U184" s="2"/>
      <c r="V184" s="2"/>
      <c r="W184" s="2"/>
      <c r="X184" s="1">
        <v>23.42</v>
      </c>
      <c r="Y184" s="1">
        <v>19</v>
      </c>
      <c r="Z184" s="1">
        <v>19</v>
      </c>
      <c r="AA184" s="1">
        <v>1</v>
      </c>
      <c r="AB184" s="24">
        <v>1007</v>
      </c>
      <c r="AC184" s="24" t="s">
        <v>397</v>
      </c>
      <c r="AD184" s="24"/>
      <c r="AE184" s="24"/>
      <c r="AF184" s="2">
        <v>7000</v>
      </c>
      <c r="AG184" s="2"/>
      <c r="AH184" s="2" cm="1">
        <f t="array" ref="AH1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184" s="4">
        <f>scheduleapr[[#This Row],[SCHEDULE in nos]]-scheduleapr[[#This Row],[DISPATCH]]</f>
        <v>3500</v>
      </c>
      <c r="AJ184" s="1">
        <f>(3.14*(scheduleapr[[#This Row],[ACTUAL OD]]-scheduleapr[[#This Row],[TICKNESS]])*scheduleapr[[#This Row],[TICKNESS]]*scheduleapr[[#This Row],[LENGTH]]*7.85)/1000000*scheduleapr[[#This Row],[SCHEDULE in nos]]/1000</f>
        <v>3.8954929584200002</v>
      </c>
      <c r="AK184" s="1">
        <f>(3.14*(scheduleapr[[#This Row],[ACTUAL OD]]-scheduleapr[[#This Row],[TICKNESS]])*scheduleapr[[#This Row],[TICKNESS]]*scheduleapr[[#This Row],[LENGTH]]*7.85)/1000000*scheduleapr[[#This Row],[DISPATCH]]/1000</f>
        <v>1.9477464792100001</v>
      </c>
      <c r="AL184" s="1">
        <f t="shared" si="5"/>
        <v>1.9477464792100001</v>
      </c>
      <c r="AM184" s="1">
        <f>scheduleapr[[#This Row],[SCHEDULE in nos]]/scheduleapr[[#This Row],[SCHEDULE IN MT]]*scheduleapr[[#This Row],[CTL Stock]]</f>
        <v>3071.051373393384</v>
      </c>
      <c r="AN184" s="1">
        <f>SUMIFS(stock[MT],stock[Bucket],scheduleapr[[#This Row],[Bucket]],stock[CTL Bucket],scheduleapr[[#This Row],[CTL Bucket]],stock[Plant],"0789")</f>
        <v>1.7090369999999999</v>
      </c>
      <c r="AO184" s="1"/>
      <c r="AP184" s="1">
        <f>SUMIFS(stock[MT],stock[Bucket],scheduleapr[[#This Row],[Bucket]],stock[LL or CTL],"LL")</f>
        <v>15.867808</v>
      </c>
      <c r="AQ184" s="1">
        <f>+SUMIFS(wip[Stock(Net Wt)],wip[Bucket],scheduleapr[[#This Row],[Bucket]])/1000</f>
        <v>41.765000000000001</v>
      </c>
      <c r="AR184" s="1">
        <f t="shared" si="6"/>
        <v>2.1864559584200003</v>
      </c>
      <c r="AS184" s="118"/>
    </row>
    <row r="185" spans="1:45" x14ac:dyDescent="0.25">
      <c r="A185" s="30">
        <v>770</v>
      </c>
      <c r="B185" s="5" t="s">
        <v>1816</v>
      </c>
      <c r="C185" s="2" t="s">
        <v>305</v>
      </c>
      <c r="D185" s="2" t="s">
        <v>289</v>
      </c>
      <c r="E185" s="2">
        <v>189002</v>
      </c>
      <c r="F185" s="2">
        <v>4100796</v>
      </c>
      <c r="G185" s="2" t="str">
        <f>_xlfn.CONCAT(scheduleapr[[#This Row],[CUSTOMER CODE]],"-",scheduleapr[[#This Row],[MATERIAL NO]])</f>
        <v>189002-4100796</v>
      </c>
      <c r="H185" s="2" t="s">
        <v>552</v>
      </c>
      <c r="I185" s="44" t="s">
        <v>229</v>
      </c>
      <c r="J185" s="1"/>
      <c r="K185" s="44" t="s">
        <v>963</v>
      </c>
      <c r="L185" s="2" t="s">
        <v>1867</v>
      </c>
      <c r="M185" s="1"/>
      <c r="N185" s="24"/>
      <c r="O185" s="2"/>
      <c r="P185" s="2"/>
      <c r="Q185" s="557" t="str">
        <f>CONCATENATE(scheduleapr[[#This Row],[OD]],"-",scheduleapr[[#This Row],[ID]],"-",scheduleapr[[#This Row],[TICKNESS]],"-",scheduleapr[[#This Row],[Grade]],"-",scheduleapr[[#This Row],[FC/NFC]])</f>
        <v>19-19-1-CRFH-PE</v>
      </c>
      <c r="R185" s="557" t="str">
        <f>_xlfn.CONCAT(scheduleapr[[#This Row],[Bucket]],"-",scheduleapr[[#This Row],[LENGTH]]/1000)</f>
        <v>19-19-1-CRFH-PE-1.007</v>
      </c>
      <c r="S185" s="557">
        <f>COUNTIF(scheduleapr[CTL Bucket],scheduleapr[[#This Row],[CTL Bucket]])</f>
        <v>6</v>
      </c>
      <c r="T185" s="2" t="s">
        <v>1816</v>
      </c>
      <c r="U185" s="2"/>
      <c r="V185" s="2"/>
      <c r="W185" s="2"/>
      <c r="X185" s="1">
        <v>23.42</v>
      </c>
      <c r="Y185" s="1">
        <v>19</v>
      </c>
      <c r="Z185" s="1">
        <v>19</v>
      </c>
      <c r="AA185" s="1">
        <v>1</v>
      </c>
      <c r="AB185" s="24">
        <v>1007</v>
      </c>
      <c r="AC185" s="81" t="s">
        <v>397</v>
      </c>
      <c r="AD185" s="81"/>
      <c r="AE185" s="81"/>
      <c r="AF185" s="2"/>
      <c r="AG185" s="2"/>
      <c r="AH185" s="2" cm="1">
        <f t="array" ref="AH1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185" s="4">
        <f>scheduleapr[[#This Row],[SCHEDULE in nos]]-scheduleapr[[#This Row],[DISPATCH]]</f>
        <v>-3500</v>
      </c>
      <c r="AJ185" s="1">
        <f>(3.14*(scheduleapr[[#This Row],[ACTUAL OD]]-scheduleapr[[#This Row],[TICKNESS]])*scheduleapr[[#This Row],[TICKNESS]]*scheduleapr[[#This Row],[LENGTH]]*7.85)/1000000*scheduleapr[[#This Row],[SCHEDULE in nos]]/1000</f>
        <v>0</v>
      </c>
      <c r="AK185" s="1">
        <f>(3.14*(scheduleapr[[#This Row],[ACTUAL OD]]-scheduleapr[[#This Row],[TICKNESS]])*scheduleapr[[#This Row],[TICKNESS]]*scheduleapr[[#This Row],[LENGTH]]*7.85)/1000000*scheduleapr[[#This Row],[DISPATCH]]/1000</f>
        <v>1.9477464792100001</v>
      </c>
      <c r="AL185" s="1">
        <f t="shared" si="5"/>
        <v>-1.9477464792100001</v>
      </c>
      <c r="AM185" s="1" t="e">
        <f>scheduleapr[[#This Row],[SCHEDULE in nos]]/scheduleapr[[#This Row],[SCHEDULE IN MT]]*scheduleapr[[#This Row],[CTL Stock]]</f>
        <v>#DIV/0!</v>
      </c>
      <c r="AN185" s="1">
        <f>SUMIFS(stock[MT],stock[Bucket],scheduleapr[[#This Row],[Bucket]],stock[LL or CTL],"LL")</f>
        <v>15.867808</v>
      </c>
      <c r="AO185" s="1">
        <f>+SUMIFS(wip[Stock(Net Wt)],wip[Bucket],scheduleapr[[#This Row],[Bucket]])/1000</f>
        <v>41.765000000000001</v>
      </c>
      <c r="AP185" s="1">
        <f>AH185-AL185</f>
        <v>3501.9477464792099</v>
      </c>
      <c r="AQ185" s="1">
        <f>+SUMIFS(wip[Stock(Net Wt)],wip[Bucket],scheduleapr[[#This Row],[Bucket]])/1000</f>
        <v>41.765000000000001</v>
      </c>
      <c r="AR185" s="1">
        <f t="shared" si="6"/>
        <v>-15.867808</v>
      </c>
      <c r="AS185" s="118"/>
    </row>
    <row r="186" spans="1:45" x14ac:dyDescent="0.25">
      <c r="A186" s="30"/>
      <c r="B186" s="5" t="s">
        <v>1816</v>
      </c>
      <c r="C186" s="2" t="s">
        <v>289</v>
      </c>
      <c r="D186" s="2" t="s">
        <v>289</v>
      </c>
      <c r="E186" s="2">
        <v>189002</v>
      </c>
      <c r="F186" s="523">
        <v>3572038</v>
      </c>
      <c r="G186" s="2" t="str">
        <f>_xlfn.CONCAT(scheduleapr[[#This Row],[CUSTOMER CODE]],"-",scheduleapr[[#This Row],[MATERIAL NO]])</f>
        <v>189002-3572038</v>
      </c>
      <c r="H186" s="523" t="s">
        <v>521</v>
      </c>
      <c r="I186" s="44" t="s">
        <v>229</v>
      </c>
      <c r="J186" s="1"/>
      <c r="K186" s="44" t="s">
        <v>963</v>
      </c>
      <c r="L186" s="2" t="s">
        <v>1867</v>
      </c>
      <c r="M186" s="1"/>
      <c r="N186" s="24"/>
      <c r="O186" s="2"/>
      <c r="P186" s="2"/>
      <c r="Q186" s="557" t="str">
        <f>CONCATENATE(scheduleapr[[#This Row],[OD]],"-",scheduleapr[[#This Row],[ID]],"-",scheduleapr[[#This Row],[TICKNESS]],"-",scheduleapr[[#This Row],[Grade]],"-",scheduleapr[[#This Row],[FC/NFC]])</f>
        <v>19-19-1-CRFH-PE</v>
      </c>
      <c r="R186" s="557" t="str">
        <f>_xlfn.CONCAT(scheduleapr[[#This Row],[Bucket]],"-",scheduleapr[[#This Row],[LENGTH]]/1000)</f>
        <v>19-19-1-CRFH-PE-1.246</v>
      </c>
      <c r="S186" s="557">
        <f>COUNTIF(scheduleapr[CTL Bucket],scheduleapr[[#This Row],[CTL Bucket]])</f>
        <v>5</v>
      </c>
      <c r="T186" s="2" t="s">
        <v>1816</v>
      </c>
      <c r="U186" s="2"/>
      <c r="V186" s="2"/>
      <c r="W186" s="2"/>
      <c r="X186" s="1">
        <v>23.42</v>
      </c>
      <c r="Y186" s="1">
        <v>19</v>
      </c>
      <c r="Z186" s="1">
        <v>19</v>
      </c>
      <c r="AA186" s="1">
        <v>1</v>
      </c>
      <c r="AB186" s="24">
        <v>1246</v>
      </c>
      <c r="AC186" s="24" t="s">
        <v>397</v>
      </c>
      <c r="AD186" s="24"/>
      <c r="AE186" s="24"/>
      <c r="AF186" s="2"/>
      <c r="AG186" s="2"/>
      <c r="AH186" s="2" cm="1">
        <f t="array" ref="AH1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186" s="4">
        <f>scheduleapr[[#This Row],[SCHEDULE in nos]]-scheduleapr[[#This Row],[DISPATCH]]</f>
        <v>-3500</v>
      </c>
      <c r="AJ186" s="1">
        <f>(3.14*(scheduleapr[[#This Row],[ACTUAL OD]]-scheduleapr[[#This Row],[TICKNESS]])*scheduleapr[[#This Row],[TICKNESS]]*scheduleapr[[#This Row],[LENGTH]]*7.85)/1000000*scheduleapr[[#This Row],[SCHEDULE in nos]]/1000</f>
        <v>0</v>
      </c>
      <c r="AK186" s="1">
        <f>(3.14*(scheduleapr[[#This Row],[ACTUAL OD]]-scheduleapr[[#This Row],[TICKNESS]])*scheduleapr[[#This Row],[TICKNESS]]*scheduleapr[[#This Row],[LENGTH]]*7.85)/1000000*scheduleapr[[#This Row],[DISPATCH]]/1000</f>
        <v>2.4100219593799999</v>
      </c>
      <c r="AL186" s="1">
        <f t="shared" si="5"/>
        <v>-2.4100219593799999</v>
      </c>
      <c r="AM186" s="1" t="e">
        <f>scheduleapr[[#This Row],[SCHEDULE in nos]]/scheduleapr[[#This Row],[SCHEDULE IN MT]]*scheduleapr[[#This Row],[CTL Stock]]</f>
        <v>#DIV/0!</v>
      </c>
      <c r="AN186" s="1">
        <f>SUMIFS(stock[MT],stock[Bucket],scheduleapr[[#This Row],[Bucket]],stock[CTL Bucket],scheduleapr[[#This Row],[CTL Bucket]],stock[Plant],"0789")</f>
        <v>0.57189000000000001</v>
      </c>
      <c r="AO186" s="1"/>
      <c r="AP186" s="1">
        <f>SUMIFS(stock[MT],stock[Bucket],scheduleapr[[#This Row],[Bucket]],stock[LL or CTL],"LL")</f>
        <v>15.867808</v>
      </c>
      <c r="AQ186" s="1">
        <f>+SUMIFS(wip[Stock(Net Wt)],wip[Bucket],scheduleapr[[#This Row],[Bucket]])/1000</f>
        <v>41.765000000000001</v>
      </c>
      <c r="AR186" s="1">
        <f t="shared" si="6"/>
        <v>-0.57189000000000001</v>
      </c>
      <c r="AS186" s="118"/>
    </row>
    <row r="187" spans="1:45" x14ac:dyDescent="0.25">
      <c r="A187" s="30">
        <v>769</v>
      </c>
      <c r="B187" s="5" t="s">
        <v>1816</v>
      </c>
      <c r="C187" s="2" t="s">
        <v>305</v>
      </c>
      <c r="D187" s="2" t="s">
        <v>289</v>
      </c>
      <c r="E187" s="2">
        <v>189002</v>
      </c>
      <c r="F187" s="2">
        <v>3572038</v>
      </c>
      <c r="G187" s="2" t="str">
        <f>_xlfn.CONCAT(scheduleapr[[#This Row],[CUSTOMER CODE]],"-",scheduleapr[[#This Row],[MATERIAL NO]])</f>
        <v>189002-3572038</v>
      </c>
      <c r="H187" s="2" t="s">
        <v>521</v>
      </c>
      <c r="I187" s="44" t="s">
        <v>229</v>
      </c>
      <c r="J187" s="1"/>
      <c r="K187" s="44" t="s">
        <v>963</v>
      </c>
      <c r="L187" s="2" t="s">
        <v>1867</v>
      </c>
      <c r="M187" s="1"/>
      <c r="N187" s="24"/>
      <c r="O187" s="2"/>
      <c r="P187" s="2"/>
      <c r="Q187" s="557" t="str">
        <f>CONCATENATE(scheduleapr[[#This Row],[OD]],"-",scheduleapr[[#This Row],[ID]],"-",scheduleapr[[#This Row],[TICKNESS]],"-",scheduleapr[[#This Row],[Grade]],"-",scheduleapr[[#This Row],[FC/NFC]])</f>
        <v>19-19-1-CRFH-PE</v>
      </c>
      <c r="R187" s="557" t="str">
        <f>_xlfn.CONCAT(scheduleapr[[#This Row],[Bucket]],"-",scheduleapr[[#This Row],[LENGTH]]/1000)</f>
        <v>19-19-1-CRFH-PE-1.246</v>
      </c>
      <c r="S187" s="557">
        <f>COUNTIF(scheduleapr[CTL Bucket],scheduleapr[[#This Row],[CTL Bucket]])</f>
        <v>5</v>
      </c>
      <c r="T187" s="2" t="s">
        <v>1816</v>
      </c>
      <c r="U187" s="2"/>
      <c r="V187" s="2"/>
      <c r="W187" s="2"/>
      <c r="X187" s="1">
        <v>23.42</v>
      </c>
      <c r="Y187" s="1">
        <v>19</v>
      </c>
      <c r="Z187" s="1">
        <v>19</v>
      </c>
      <c r="AA187" s="1">
        <v>1</v>
      </c>
      <c r="AB187" s="24">
        <v>1246</v>
      </c>
      <c r="AC187" s="24" t="s">
        <v>397</v>
      </c>
      <c r="AD187" s="24"/>
      <c r="AE187" s="24"/>
      <c r="AF187" s="2">
        <v>7000</v>
      </c>
      <c r="AG187" s="2"/>
      <c r="AH187" s="2" cm="1">
        <f t="array" ref="AH1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187" s="4">
        <f>scheduleapr[[#This Row],[SCHEDULE in nos]]-scheduleapr[[#This Row],[DISPATCH]]</f>
        <v>3500</v>
      </c>
      <c r="AJ187" s="1">
        <f>(3.14*(scheduleapr[[#This Row],[ACTUAL OD]]-scheduleapr[[#This Row],[TICKNESS]])*scheduleapr[[#This Row],[TICKNESS]]*scheduleapr[[#This Row],[LENGTH]]*7.85)/1000000*scheduleapr[[#This Row],[SCHEDULE in nos]]/1000</f>
        <v>4.8200439187599997</v>
      </c>
      <c r="AK187" s="1">
        <f>(3.14*(scheduleapr[[#This Row],[ACTUAL OD]]-scheduleapr[[#This Row],[TICKNESS]])*scheduleapr[[#This Row],[TICKNESS]]*scheduleapr[[#This Row],[LENGTH]]*7.85)/1000000*scheduleapr[[#This Row],[DISPATCH]]/1000</f>
        <v>2.4100219593799999</v>
      </c>
      <c r="AL187" s="1">
        <f t="shared" si="5"/>
        <v>2.4100219593799999</v>
      </c>
      <c r="AM187" s="1">
        <f>scheduleapr[[#This Row],[SCHEDULE in nos]]/scheduleapr[[#This Row],[SCHEDULE IN MT]]*scheduleapr[[#This Row],[CTL Stock]]</f>
        <v>23044.324465112961</v>
      </c>
      <c r="AN187" s="1">
        <f>SUMIFS(stock[MT],stock[Bucket],scheduleapr[[#This Row],[Bucket]],stock[LL or CTL],"LL")</f>
        <v>15.867808</v>
      </c>
      <c r="AO187" s="1">
        <f>+SUMIFS(wip[Stock(Net Wt)],wip[Bucket],scheduleapr[[#This Row],[Bucket]])/1000</f>
        <v>41.765000000000001</v>
      </c>
      <c r="AP187" s="1">
        <f>AH187-AL187</f>
        <v>3497.5899780406198</v>
      </c>
      <c r="AQ187" s="1">
        <f>+SUMIFS(wip[Stock(Net Wt)],wip[Bucket],scheduleapr[[#This Row],[Bucket]])/1000</f>
        <v>41.765000000000001</v>
      </c>
      <c r="AR187" s="1">
        <f t="shared" si="6"/>
        <v>-11.04776408124</v>
      </c>
      <c r="AS187" s="118"/>
    </row>
    <row r="188" spans="1:45" x14ac:dyDescent="0.25">
      <c r="A188" s="30">
        <v>763</v>
      </c>
      <c r="B188" s="5" t="s">
        <v>1816</v>
      </c>
      <c r="C188" s="2" t="s">
        <v>305</v>
      </c>
      <c r="D188" s="2" t="s">
        <v>289</v>
      </c>
      <c r="E188" s="2">
        <v>189002</v>
      </c>
      <c r="F188" s="2">
        <v>3572039</v>
      </c>
      <c r="G188" s="2" t="str">
        <f>_xlfn.CONCAT(scheduleapr[[#This Row],[CUSTOMER CODE]],"-",scheduleapr[[#This Row],[MATERIAL NO]])</f>
        <v>189002-3572039</v>
      </c>
      <c r="H188" s="2" t="s">
        <v>519</v>
      </c>
      <c r="I188" s="44" t="s">
        <v>229</v>
      </c>
      <c r="J188" s="1"/>
      <c r="K188" s="44" t="s">
        <v>963</v>
      </c>
      <c r="L188" s="2" t="s">
        <v>1867</v>
      </c>
      <c r="M188" s="1"/>
      <c r="N188" s="24"/>
      <c r="O188" s="2"/>
      <c r="P188" s="2"/>
      <c r="Q188" s="557" t="str">
        <f>CONCATENATE(scheduleapr[[#This Row],[OD]],"-",scheduleapr[[#This Row],[ID]],"-",scheduleapr[[#This Row],[TICKNESS]],"-",scheduleapr[[#This Row],[Grade]],"-",scheduleapr[[#This Row],[FC/NFC]])</f>
        <v>19-19-1-CRFH-PE</v>
      </c>
      <c r="R188" s="557" t="str">
        <f>_xlfn.CONCAT(scheduleapr[[#This Row],[Bucket]],"-",scheduleapr[[#This Row],[LENGTH]]/1000)</f>
        <v>19-19-1-CRFH-PE-1.304</v>
      </c>
      <c r="S188" s="557">
        <f>COUNTIF(scheduleapr[CTL Bucket],scheduleapr[[#This Row],[CTL Bucket]])</f>
        <v>3</v>
      </c>
      <c r="T188" s="2" t="s">
        <v>1816</v>
      </c>
      <c r="U188" s="2"/>
      <c r="V188" s="2"/>
      <c r="W188" s="2"/>
      <c r="X188" s="1">
        <v>23.42</v>
      </c>
      <c r="Y188" s="1">
        <v>19</v>
      </c>
      <c r="Z188" s="1">
        <v>19</v>
      </c>
      <c r="AA188" s="1">
        <v>1</v>
      </c>
      <c r="AB188" s="24">
        <v>1304</v>
      </c>
      <c r="AC188" s="24" t="s">
        <v>397</v>
      </c>
      <c r="AD188" s="24"/>
      <c r="AE188" s="24"/>
      <c r="AF188" s="100"/>
      <c r="AG188" s="100"/>
      <c r="AH188" s="2" cm="1">
        <f t="array" ref="AH1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88" s="4">
        <f>scheduleapr[[#This Row],[SCHEDULE in nos]]-scheduleapr[[#This Row],[DISPATCH]]</f>
        <v>-1000</v>
      </c>
      <c r="AJ188" s="1">
        <f>(3.14*(scheduleapr[[#This Row],[ACTUAL OD]]-scheduleapr[[#This Row],[TICKNESS]])*scheduleapr[[#This Row],[TICKNESS]]*scheduleapr[[#This Row],[LENGTH]]*7.85)/1000000*scheduleapr[[#This Row],[SCHEDULE in nos]]/1000</f>
        <v>0</v>
      </c>
      <c r="AK188" s="1">
        <f>(3.14*(scheduleapr[[#This Row],[ACTUAL OD]]-scheduleapr[[#This Row],[TICKNESS]])*scheduleapr[[#This Row],[TICKNESS]]*scheduleapr[[#This Row],[LENGTH]]*7.85)/1000000*scheduleapr[[#This Row],[DISPATCH]]/1000</f>
        <v>0.7206302763200001</v>
      </c>
      <c r="AL188" s="1">
        <f t="shared" si="5"/>
        <v>-0.7206302763200001</v>
      </c>
      <c r="AM188" s="1" t="e">
        <f>scheduleapr[[#This Row],[SCHEDULE in nos]]/scheduleapr[[#This Row],[SCHEDULE IN MT]]*scheduleapr[[#This Row],[CTL Stock]]</f>
        <v>#DIV/0!</v>
      </c>
      <c r="AN188" s="1">
        <f>SUMIFS(stock[MT],stock[Bucket],scheduleapr[[#This Row],[Bucket]],stock[LL or CTL],"LL")</f>
        <v>15.867808</v>
      </c>
      <c r="AO188" s="1">
        <f>+SUMIFS(wip[Stock(Net Wt)],wip[Bucket],scheduleapr[[#This Row],[Bucket]])/1000</f>
        <v>41.765000000000001</v>
      </c>
      <c r="AP188" s="1">
        <f>AH188-AL188</f>
        <v>1000.72063027632</v>
      </c>
      <c r="AQ188" s="1">
        <f>+SUMIFS(wip[Stock(Net Wt)],wip[Bucket],scheduleapr[[#This Row],[Bucket]])/1000</f>
        <v>41.765000000000001</v>
      </c>
      <c r="AR188" s="1">
        <f t="shared" si="6"/>
        <v>-15.867808</v>
      </c>
      <c r="AS188" s="118"/>
    </row>
    <row r="189" spans="1:45" x14ac:dyDescent="0.25">
      <c r="A189" s="30">
        <v>153</v>
      </c>
      <c r="B189" s="5" t="s">
        <v>1816</v>
      </c>
      <c r="C189" s="2" t="s">
        <v>305</v>
      </c>
      <c r="D189" s="2" t="s">
        <v>289</v>
      </c>
      <c r="E189" s="2">
        <v>189002</v>
      </c>
      <c r="F189" s="2">
        <v>3230483</v>
      </c>
      <c r="G189" s="2" t="str">
        <f>_xlfn.CONCAT(scheduleapr[[#This Row],[CUSTOMER CODE]],"-",scheduleapr[[#This Row],[MATERIAL NO]])</f>
        <v>189002-3230483</v>
      </c>
      <c r="H189" s="2" t="s">
        <v>1543</v>
      </c>
      <c r="I189" s="2" t="s">
        <v>229</v>
      </c>
      <c r="J189" s="2"/>
      <c r="K189" s="2" t="s">
        <v>963</v>
      </c>
      <c r="L189" s="2" t="s">
        <v>1867</v>
      </c>
      <c r="M189" s="2"/>
      <c r="N189" s="2"/>
      <c r="O189" s="2"/>
      <c r="P189" s="2"/>
      <c r="Q189" s="557" t="str">
        <f>CONCATENATE(scheduleapr[[#This Row],[OD]],"-",scheduleapr[[#This Row],[ID]],"-",scheduleapr[[#This Row],[TICKNESS]],"-",scheduleapr[[#This Row],[Grade]],"-",scheduleapr[[#This Row],[FC/NFC]])</f>
        <v>25-25-1.2-CRFH-PE</v>
      </c>
      <c r="R189" s="557" t="str">
        <f>_xlfn.CONCAT(scheduleapr[[#This Row],[Bucket]],"-",scheduleapr[[#This Row],[LENGTH]]/1000)</f>
        <v>25-25-1.2-CRFH-PE-0.33</v>
      </c>
      <c r="S189" s="557" t="e" vm="2">
        <f>COUNTIF([2]!buckets[CTL Bucket],[2]!scheduleapr[[#This Row],[CTL Bucket]])</f>
        <v>#REF!</v>
      </c>
      <c r="T189" s="557"/>
      <c r="U189" s="557"/>
      <c r="V189" s="557"/>
      <c r="W189" s="557"/>
      <c r="X189" s="1">
        <v>31.75</v>
      </c>
      <c r="Y189" s="1">
        <v>25</v>
      </c>
      <c r="Z189" s="1">
        <v>25</v>
      </c>
      <c r="AA189" s="1">
        <v>1.2</v>
      </c>
      <c r="AB189" s="24">
        <v>330</v>
      </c>
      <c r="AC189" s="24" t="s">
        <v>397</v>
      </c>
      <c r="AD189" s="24"/>
      <c r="AE189" s="24"/>
      <c r="AF189" s="540"/>
      <c r="AG189" s="48"/>
      <c r="AH189" s="2" cm="1">
        <f t="array" ref="AH1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9" s="4">
        <f>scheduleapr[[#This Row],[SCHEDULE in nos]]-scheduleapr[[#This Row],[DISPATCH]]</f>
        <v>0</v>
      </c>
      <c r="AJ189" s="1">
        <f>(3.14*(scheduleapr[[#This Row],[ACTUAL OD]]-scheduleapr[[#This Row],[TICKNESS]])*scheduleapr[[#This Row],[TICKNESS]]*scheduleapr[[#This Row],[LENGTH]]*7.85)/1000000*scheduleapr[[#This Row],[SCHEDULE in nos]]/1000</f>
        <v>0</v>
      </c>
      <c r="AK189" s="1">
        <f>(3.14*(scheduleapr[[#This Row],[ACTUAL OD]]-scheduleapr[[#This Row],[TICKNESS]])*scheduleapr[[#This Row],[TICKNESS]]*scheduleapr[[#This Row],[LENGTH]]*7.85)/1000000*scheduleapr[[#This Row],[DISPATCH]]/1000</f>
        <v>0</v>
      </c>
      <c r="AL189" s="1">
        <f t="shared" si="5"/>
        <v>0</v>
      </c>
      <c r="AM189" s="1" t="e">
        <f>scheduleapr[[#This Row],[SCHEDULE in nos]]/scheduleapr[[#This Row],[SCHEDULE IN MT]]*scheduleapr[[#This Row],[CTL Stock]]</f>
        <v>#DIV/0!</v>
      </c>
      <c r="AN189" s="1">
        <f>SUMIFS(stock[MT],stock[Bucket],scheduleapr[[#This Row],[Bucket]],stock[CTL Bucket],scheduleapr[[#This Row],[CTL Bucket]],stock[Plant],"0789")</f>
        <v>0</v>
      </c>
      <c r="AO189" s="1"/>
      <c r="AP189" s="1">
        <f>SUMIFS(stock[MT],stock[Bucket],scheduleapr[[#This Row],[Bucket]],stock[LL or CTL],"LL")</f>
        <v>2.5459999999999998</v>
      </c>
      <c r="AQ189" s="1">
        <f>+SUMIFS(wip[Stock(Net Wt)],wip[Bucket],scheduleapr[[#This Row],[Bucket]])/1000</f>
        <v>25.728999999999999</v>
      </c>
      <c r="AR189" s="1">
        <f t="shared" si="6"/>
        <v>0</v>
      </c>
      <c r="AS189" s="118"/>
    </row>
    <row r="190" spans="1:45" x14ac:dyDescent="0.25">
      <c r="A190" s="30">
        <v>766</v>
      </c>
      <c r="B190" s="5" t="s">
        <v>1816</v>
      </c>
      <c r="C190" s="2" t="s">
        <v>305</v>
      </c>
      <c r="D190" s="2" t="s">
        <v>289</v>
      </c>
      <c r="E190" s="2">
        <v>189002</v>
      </c>
      <c r="F190" s="2">
        <v>4151430</v>
      </c>
      <c r="G190" s="2" t="str">
        <f>_xlfn.CONCAT(scheduleapr[[#This Row],[CUSTOMER CODE]],"-",scheduleapr[[#This Row],[MATERIAL NO]])</f>
        <v>189002-4151430</v>
      </c>
      <c r="H190" s="2" t="s">
        <v>530</v>
      </c>
      <c r="I190" s="2" t="s">
        <v>229</v>
      </c>
      <c r="J190" s="44"/>
      <c r="K190" s="44" t="s">
        <v>963</v>
      </c>
      <c r="L190" s="2" t="s">
        <v>1867</v>
      </c>
      <c r="M190" s="44"/>
      <c r="N190" s="44"/>
      <c r="O190" s="44"/>
      <c r="P190" s="44"/>
      <c r="Q190" s="557" t="str">
        <f>CONCATENATE(scheduleapr[[#This Row],[OD]],"-",scheduleapr[[#This Row],[ID]],"-",scheduleapr[[#This Row],[TICKNESS]],"-",scheduleapr[[#This Row],[Grade]],"-",scheduleapr[[#This Row],[FC/NFC]])</f>
        <v>25-25-1.2-CRFH-PE</v>
      </c>
      <c r="R190" s="557" t="str">
        <f>_xlfn.CONCAT(scheduleapr[[#This Row],[Bucket]],"-",scheduleapr[[#This Row],[LENGTH]]/1000)</f>
        <v>25-25-1.2-CRFH-PE-0.64</v>
      </c>
      <c r="S190" s="557">
        <f>COUNTIF(scheduleapr[CTL Bucket],scheduleapr[[#This Row],[CTL Bucket]])</f>
        <v>2</v>
      </c>
      <c r="T190" s="2" t="s">
        <v>1816</v>
      </c>
      <c r="U190" s="2"/>
      <c r="V190" s="2"/>
      <c r="W190" s="2"/>
      <c r="X190" s="1">
        <v>31.75</v>
      </c>
      <c r="Y190" s="1">
        <v>25</v>
      </c>
      <c r="Z190" s="1">
        <v>25</v>
      </c>
      <c r="AA190" s="1">
        <v>1.2</v>
      </c>
      <c r="AB190" s="24">
        <v>640</v>
      </c>
      <c r="AC190" s="24" t="s">
        <v>397</v>
      </c>
      <c r="AD190" s="24"/>
      <c r="AE190" s="24"/>
      <c r="AF190" s="540"/>
      <c r="AG190" s="48"/>
      <c r="AH190" s="2" cm="1">
        <f t="array" ref="AH1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90" s="4">
        <f>scheduleapr[[#This Row],[SCHEDULE in nos]]-scheduleapr[[#This Row],[DISPATCH]]</f>
        <v>-1000</v>
      </c>
      <c r="AJ190" s="1">
        <f>(3.14*(scheduleapr[[#This Row],[ACTUAL OD]]-scheduleapr[[#This Row],[TICKNESS]])*scheduleapr[[#This Row],[TICKNESS]]*scheduleapr[[#This Row],[LENGTH]]*7.85)/1000000*scheduleapr[[#This Row],[SCHEDULE in nos]]/1000</f>
        <v>0</v>
      </c>
      <c r="AK190" s="1">
        <f>(3.14*(scheduleapr[[#This Row],[ACTUAL OD]]-scheduleapr[[#This Row],[TICKNESS]])*scheduleapr[[#This Row],[TICKNESS]]*scheduleapr[[#This Row],[LENGTH]]*7.85)/1000000*scheduleapr[[#This Row],[DISPATCH]]/1000</f>
        <v>0.57832469759999994</v>
      </c>
      <c r="AL190" s="1">
        <f t="shared" si="5"/>
        <v>-0.57832469759999994</v>
      </c>
      <c r="AM190" s="1" t="e">
        <f>scheduleapr[[#This Row],[SCHEDULE in nos]]/scheduleapr[[#This Row],[SCHEDULE IN MT]]*scheduleapr[[#This Row],[CTL Stock]]</f>
        <v>#DIV/0!</v>
      </c>
      <c r="AN190" s="1">
        <f>SUMIFS(stock[MT],stock[Bucket],scheduleapr[[#This Row],[Bucket]],stock[LL or CTL],"LL")</f>
        <v>2.5459999999999998</v>
      </c>
      <c r="AO190" s="1">
        <f>+SUMIFS(wip[Stock(Net Wt)],wip[Bucket],scheduleapr[[#This Row],[Bucket]])/1000</f>
        <v>25.728999999999999</v>
      </c>
      <c r="AP190" s="1">
        <f>AH190-AL190</f>
        <v>1000.5783246976</v>
      </c>
      <c r="AQ190" s="1">
        <f>+SUMIFS(wip[Stock(Net Wt)],wip[Bucket],scheduleapr[[#This Row],[Bucket]])/1000</f>
        <v>25.728999999999999</v>
      </c>
      <c r="AR190" s="1">
        <f t="shared" si="6"/>
        <v>-2.5459999999999998</v>
      </c>
      <c r="AS190" s="118"/>
    </row>
    <row r="191" spans="1:45" x14ac:dyDescent="0.25">
      <c r="A191" s="30">
        <v>154</v>
      </c>
      <c r="B191" s="5" t="s">
        <v>1816</v>
      </c>
      <c r="C191" s="2" t="s">
        <v>305</v>
      </c>
      <c r="D191" s="2" t="s">
        <v>289</v>
      </c>
      <c r="E191" s="2">
        <v>189002</v>
      </c>
      <c r="F191" s="2">
        <v>3230482</v>
      </c>
      <c r="G191" s="2" t="str">
        <f>_xlfn.CONCAT(scheduleapr[[#This Row],[CUSTOMER CODE]],"-",scheduleapr[[#This Row],[MATERIAL NO]])</f>
        <v>189002-3230482</v>
      </c>
      <c r="H191" s="2" t="s">
        <v>624</v>
      </c>
      <c r="I191" s="2" t="s">
        <v>229</v>
      </c>
      <c r="J191" s="2"/>
      <c r="K191" s="2" t="s">
        <v>963</v>
      </c>
      <c r="L191" s="2" t="s">
        <v>1867</v>
      </c>
      <c r="M191" s="2"/>
      <c r="N191" s="2"/>
      <c r="O191" s="2"/>
      <c r="P191" s="2"/>
      <c r="Q191" s="557" t="str">
        <f>CONCATENATE(scheduleapr[[#This Row],[OD]],"-",scheduleapr[[#This Row],[ID]],"-",scheduleapr[[#This Row],[TICKNESS]],"-",scheduleapr[[#This Row],[Grade]],"-",scheduleapr[[#This Row],[FC/NFC]])</f>
        <v>25-25-1.2-CRFH-PE</v>
      </c>
      <c r="R191" s="557" t="str">
        <f>_xlfn.CONCAT(scheduleapr[[#This Row],[Bucket]],"-",scheduleapr[[#This Row],[LENGTH]]/1000)</f>
        <v>25-25-1.2-CRFH-PE-0.787</v>
      </c>
      <c r="S191" s="557">
        <f>COUNTIF(scheduleapr[CTL Bucket],scheduleapr[[#This Row],[CTL Bucket]])</f>
        <v>2</v>
      </c>
      <c r="T191" s="2" t="s">
        <v>1816</v>
      </c>
      <c r="U191" s="2"/>
      <c r="V191" s="557"/>
      <c r="W191" s="557"/>
      <c r="X191" s="1">
        <v>31.75</v>
      </c>
      <c r="Y191" s="1">
        <v>25</v>
      </c>
      <c r="Z191" s="1">
        <v>25</v>
      </c>
      <c r="AA191" s="1">
        <v>1.2</v>
      </c>
      <c r="AB191" s="24">
        <v>787</v>
      </c>
      <c r="AC191" s="24" t="s">
        <v>397</v>
      </c>
      <c r="AD191" s="24"/>
      <c r="AE191" s="24"/>
      <c r="AF191" s="540">
        <v>14000</v>
      </c>
      <c r="AG191" s="48"/>
      <c r="AH191" s="2" cm="1">
        <f t="array" ref="AH1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191" s="4">
        <f>scheduleapr[[#This Row],[SCHEDULE in nos]]-scheduleapr[[#This Row],[DISPATCH]]</f>
        <v>8000</v>
      </c>
      <c r="AJ191" s="1">
        <f>(3.14*(scheduleapr[[#This Row],[ACTUAL OD]]-scheduleapr[[#This Row],[TICKNESS]])*scheduleapr[[#This Row],[TICKNESS]]*scheduleapr[[#This Row],[LENGTH]]*7.85)/1000000*scheduleapr[[#This Row],[SCHEDULE in nos]]/1000</f>
        <v>9.9562211221199988</v>
      </c>
      <c r="AK191" s="1">
        <f>(3.14*(scheduleapr[[#This Row],[ACTUAL OD]]-scheduleapr[[#This Row],[TICKNESS]])*scheduleapr[[#This Row],[TICKNESS]]*scheduleapr[[#This Row],[LENGTH]]*7.85)/1000000*scheduleapr[[#This Row],[DISPATCH]]/1000</f>
        <v>4.2669519094799995</v>
      </c>
      <c r="AL191" s="1">
        <f t="shared" si="5"/>
        <v>5.6892692126399993</v>
      </c>
      <c r="AM191" s="1">
        <f>scheduleapr[[#This Row],[SCHEDULE in nos]]/scheduleapr[[#This Row],[SCHEDULE IN MT]]*scheduleapr[[#This Row],[CTL Stock]]</f>
        <v>1008.3938350559862</v>
      </c>
      <c r="AN191" s="1">
        <f>SUMIFS(stock[MT],stock[Bucket],scheduleapr[[#This Row],[Bucket]],stock[CTL Bucket],scheduleapr[[#This Row],[CTL Bucket]],stock[Plant],"0789")</f>
        <v>0.71712799999999999</v>
      </c>
      <c r="AO191" s="1"/>
      <c r="AP191" s="1">
        <f>SUMIFS(stock[MT],stock[Bucket],scheduleapr[[#This Row],[Bucket]],stock[LL or CTL],"LL")</f>
        <v>2.5459999999999998</v>
      </c>
      <c r="AQ191" s="1">
        <f>+SUMIFS(wip[Stock(Net Wt)],wip[Bucket],scheduleapr[[#This Row],[Bucket]])/1000</f>
        <v>25.728999999999999</v>
      </c>
      <c r="AR191" s="1">
        <f t="shared" si="6"/>
        <v>9.2390931221199981</v>
      </c>
      <c r="AS191" s="118"/>
    </row>
    <row r="192" spans="1:45" x14ac:dyDescent="0.25">
      <c r="A192" s="30">
        <v>155</v>
      </c>
      <c r="B192" s="5" t="s">
        <v>1816</v>
      </c>
      <c r="C192" s="2" t="s">
        <v>305</v>
      </c>
      <c r="D192" s="2" t="s">
        <v>289</v>
      </c>
      <c r="E192" s="2">
        <v>189002</v>
      </c>
      <c r="F192" s="542">
        <v>3935311</v>
      </c>
      <c r="G192" s="2" t="str">
        <f>_xlfn.CONCAT(scheduleapr[[#This Row],[CUSTOMER CODE]],"-",scheduleapr[[#This Row],[MATERIAL NO]])</f>
        <v>189002-3935311</v>
      </c>
      <c r="H192" s="523" t="s">
        <v>622</v>
      </c>
      <c r="I192" s="2" t="s">
        <v>229</v>
      </c>
      <c r="J192" s="2"/>
      <c r="K192" s="2" t="s">
        <v>963</v>
      </c>
      <c r="L192" s="2" t="s">
        <v>1867</v>
      </c>
      <c r="M192" s="2"/>
      <c r="N192" s="2"/>
      <c r="O192" s="2"/>
      <c r="P192" s="2"/>
      <c r="Q192" s="557" t="str">
        <f>CONCATENATE(scheduleapr[[#This Row],[OD]],"-",scheduleapr[[#This Row],[ID]],"-",scheduleapr[[#This Row],[TICKNESS]],"-",scheduleapr[[#This Row],[Grade]],"-",scheduleapr[[#This Row],[FC/NFC]])</f>
        <v>25-25-1.2-CRFH-PE</v>
      </c>
      <c r="R192" s="557" t="str">
        <f>_xlfn.CONCAT(scheduleapr[[#This Row],[Bucket]],"-",scheduleapr[[#This Row],[LENGTH]]/1000)</f>
        <v>25-25-1.2-CRFH-PE-1.298</v>
      </c>
      <c r="S192" s="557" t="e" vm="2">
        <f>COUNTIF([2]!buckets[CTL Bucket],[2]!scheduleapr[[#This Row],[CTL Bucket]])</f>
        <v>#REF!</v>
      </c>
      <c r="T192" s="2" t="s">
        <v>1816</v>
      </c>
      <c r="U192" s="2"/>
      <c r="V192" s="557"/>
      <c r="W192" s="557"/>
      <c r="X192" s="1">
        <v>31.75</v>
      </c>
      <c r="Y192" s="1">
        <v>25</v>
      </c>
      <c r="Z192" s="1">
        <v>25</v>
      </c>
      <c r="AA192" s="1">
        <v>1.2</v>
      </c>
      <c r="AB192" s="24">
        <v>1298</v>
      </c>
      <c r="AC192" s="24" t="s">
        <v>397</v>
      </c>
      <c r="AD192" s="24"/>
      <c r="AE192" s="24"/>
      <c r="AF192" s="540">
        <v>7000</v>
      </c>
      <c r="AG192" s="48"/>
      <c r="AH192" s="2" cm="1">
        <f t="array" ref="AH1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3000</v>
      </c>
      <c r="AI192" s="4">
        <f>scheduleapr[[#This Row],[SCHEDULE in nos]]-scheduleapr[[#This Row],[DISPATCH]]</f>
        <v>4000</v>
      </c>
      <c r="AJ192" s="1">
        <f>(3.14*(scheduleapr[[#This Row],[ACTUAL OD]]-scheduleapr[[#This Row],[TICKNESS]])*scheduleapr[[#This Row],[TICKNESS]]*scheduleapr[[#This Row],[LENGTH]]*7.85)/1000000*scheduleapr[[#This Row],[SCHEDULE in nos]]/1000</f>
        <v>8.2104034412400004</v>
      </c>
      <c r="AK192" s="1">
        <f>(3.14*(scheduleapr[[#This Row],[ACTUAL OD]]-scheduleapr[[#This Row],[TICKNESS]])*scheduleapr[[#This Row],[TICKNESS]]*scheduleapr[[#This Row],[LENGTH]]*7.85)/1000000*scheduleapr[[#This Row],[DISPATCH]]/1000</f>
        <v>3.5187443319599998</v>
      </c>
      <c r="AL192" s="1">
        <f t="shared" si="5"/>
        <v>4.6916591092800006</v>
      </c>
      <c r="AM192" s="1">
        <f>scheduleapr[[#This Row],[SCHEDULE in nos]]/scheduleapr[[#This Row],[SCHEDULE IN MT]]*scheduleapr[[#This Row],[CTL Stock]]</f>
        <v>659.45285621461221</v>
      </c>
      <c r="AN192" s="1">
        <f>SUMIFS(stock[MT],stock[Bucket],scheduleapr[[#This Row],[Bucket]],stock[CTL Bucket],scheduleapr[[#This Row],[CTL Bucket]],stock[Plant],"0789")</f>
        <v>0.773482</v>
      </c>
      <c r="AO192" s="1"/>
      <c r="AP192" s="1">
        <f>SUMIFS(stock[MT],stock[Bucket],scheduleapr[[#This Row],[Bucket]],stock[LL or CTL],"LL")</f>
        <v>2.5459999999999998</v>
      </c>
      <c r="AQ192" s="1">
        <f>+SUMIFS(wip[Stock(Net Wt)],wip[Bucket],scheduleapr[[#This Row],[Bucket]])/1000</f>
        <v>25.728999999999999</v>
      </c>
      <c r="AR192" s="1">
        <f t="shared" si="6"/>
        <v>7.4369214412400009</v>
      </c>
      <c r="AS192" s="118"/>
    </row>
    <row r="193" spans="1:45" x14ac:dyDescent="0.25">
      <c r="A193" s="30">
        <v>768</v>
      </c>
      <c r="B193" s="5" t="s">
        <v>1816</v>
      </c>
      <c r="C193" s="2" t="s">
        <v>305</v>
      </c>
      <c r="D193" s="2" t="s">
        <v>289</v>
      </c>
      <c r="E193" s="2">
        <v>189002</v>
      </c>
      <c r="F193" s="2">
        <v>4151424</v>
      </c>
      <c r="G193" s="2" t="str">
        <f>_xlfn.CONCAT(scheduleapr[[#This Row],[CUSTOMER CODE]],"-",scheduleapr[[#This Row],[MATERIAL NO]])</f>
        <v>189002-4151424</v>
      </c>
      <c r="H193" s="2" t="s">
        <v>550</v>
      </c>
      <c r="I193" s="2" t="s">
        <v>229</v>
      </c>
      <c r="J193" s="44"/>
      <c r="K193" s="44" t="s">
        <v>963</v>
      </c>
      <c r="L193" s="2" t="s">
        <v>1867</v>
      </c>
      <c r="M193" s="44"/>
      <c r="N193" s="44"/>
      <c r="O193" s="44"/>
      <c r="P193" s="44"/>
      <c r="Q193" s="557" t="str">
        <f>CONCATENATE(scheduleapr[[#This Row],[OD]],"-",scheduleapr[[#This Row],[ID]],"-",scheduleapr[[#This Row],[TICKNESS]],"-",scheduleapr[[#This Row],[Grade]],"-",scheduleapr[[#This Row],[FC/NFC]])</f>
        <v>30-30-1.2-CRFH-PE</v>
      </c>
      <c r="R193" s="557" t="str">
        <f>_xlfn.CONCAT(scheduleapr[[#This Row],[Bucket]],"-",scheduleapr[[#This Row],[LENGTH]]/1000)</f>
        <v>30-30-1.2-CRFH-PE-0.19</v>
      </c>
      <c r="S193" s="557">
        <f>COUNTIF(scheduleapr[CTL Bucket],scheduleapr[[#This Row],[CTL Bucket]])</f>
        <v>2</v>
      </c>
      <c r="T193" s="2" t="s">
        <v>1816</v>
      </c>
      <c r="U193" s="2"/>
      <c r="V193" s="2"/>
      <c r="W193" s="2"/>
      <c r="X193" s="1">
        <v>38.1</v>
      </c>
      <c r="Y193" s="1">
        <v>30</v>
      </c>
      <c r="Z193" s="1">
        <v>30</v>
      </c>
      <c r="AA193" s="1">
        <v>1.2</v>
      </c>
      <c r="AB193" s="24">
        <v>190</v>
      </c>
      <c r="AC193" s="81" t="s">
        <v>397</v>
      </c>
      <c r="AD193" s="81"/>
      <c r="AE193" s="81"/>
      <c r="AF193" s="540"/>
      <c r="AG193" s="48"/>
      <c r="AH193" s="2" cm="1">
        <f t="array" ref="AH1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93" s="4">
        <f>scheduleapr[[#This Row],[SCHEDULE in nos]]-scheduleapr[[#This Row],[DISPATCH]]</f>
        <v>-1000</v>
      </c>
      <c r="AJ193" s="1">
        <f>(3.14*(scheduleapr[[#This Row],[ACTUAL OD]]-scheduleapr[[#This Row],[TICKNESS]])*scheduleapr[[#This Row],[TICKNESS]]*scheduleapr[[#This Row],[LENGTH]]*7.85)/1000000*scheduleapr[[#This Row],[SCHEDULE in nos]]/1000</f>
        <v>0</v>
      </c>
      <c r="AK193" s="1">
        <f>(3.14*(scheduleapr[[#This Row],[ACTUAL OD]]-scheduleapr[[#This Row],[TICKNESS]])*scheduleapr[[#This Row],[TICKNESS]]*scheduleapr[[#This Row],[LENGTH]]*7.85)/1000000*scheduleapr[[#This Row],[DISPATCH]]/1000</f>
        <v>0.20737696680000001</v>
      </c>
      <c r="AL193" s="1">
        <f t="shared" si="5"/>
        <v>-0.20737696680000001</v>
      </c>
      <c r="AM193" s="1" t="e">
        <f>scheduleapr[[#This Row],[SCHEDULE in nos]]/scheduleapr[[#This Row],[SCHEDULE IN MT]]*scheduleapr[[#This Row],[CTL Stock]]</f>
        <v>#DIV/0!</v>
      </c>
      <c r="AN193" s="1">
        <f>SUMIFS(stock[MT],stock[Bucket],scheduleapr[[#This Row],[Bucket]],stock[LL or CTL],"LL")</f>
        <v>0</v>
      </c>
      <c r="AO193" s="1">
        <f>+SUMIFS(wip[Stock(Net Wt)],wip[Bucket],scheduleapr[[#This Row],[Bucket]])/1000</f>
        <v>22.942</v>
      </c>
      <c r="AP193" s="1">
        <f>AH193-AL193</f>
        <v>1000.2073769668</v>
      </c>
      <c r="AQ193" s="1">
        <f>+SUMIFS(wip[Stock(Net Wt)],wip[Bucket],scheduleapr[[#This Row],[Bucket]])/1000</f>
        <v>22.942</v>
      </c>
      <c r="AR193" s="1">
        <f t="shared" si="6"/>
        <v>0</v>
      </c>
      <c r="AS193" s="118"/>
    </row>
    <row r="194" spans="1:45" x14ac:dyDescent="0.25">
      <c r="A194" s="30">
        <v>156</v>
      </c>
      <c r="B194" s="5" t="s">
        <v>1816</v>
      </c>
      <c r="C194" s="2" t="s">
        <v>305</v>
      </c>
      <c r="D194" s="2" t="s">
        <v>289</v>
      </c>
      <c r="E194" s="2">
        <v>189002</v>
      </c>
      <c r="F194" s="539">
        <v>3230495</v>
      </c>
      <c r="G194" s="2" t="str">
        <f>_xlfn.CONCAT(scheduleapr[[#This Row],[CUSTOMER CODE]],"-",scheduleapr[[#This Row],[MATERIAL NO]])</f>
        <v>189002-3230495</v>
      </c>
      <c r="H194" s="539" t="s">
        <v>629</v>
      </c>
      <c r="I194" s="2" t="s">
        <v>229</v>
      </c>
      <c r="J194" s="2"/>
      <c r="K194" s="2" t="s">
        <v>963</v>
      </c>
      <c r="L194" s="2" t="s">
        <v>1867</v>
      </c>
      <c r="M194" s="2"/>
      <c r="N194" s="2"/>
      <c r="O194" s="2"/>
      <c r="P194" s="2"/>
      <c r="Q194" s="557" t="str">
        <f>CONCATENATE(scheduleapr[[#This Row],[OD]],"-",scheduleapr[[#This Row],[ID]],"-",scheduleapr[[#This Row],[TICKNESS]],"-",scheduleapr[[#This Row],[Grade]],"-",scheduleapr[[#This Row],[FC/NFC]])</f>
        <v>30-30-1.2-CRFH-PE</v>
      </c>
      <c r="R194" s="557" t="str">
        <f>_xlfn.CONCAT(scheduleapr[[#This Row],[Bucket]],"-",scheduleapr[[#This Row],[LENGTH]]/1000)</f>
        <v>30-30-1.2-CRFH-PE-0.22</v>
      </c>
      <c r="S194" s="557" t="e" vm="2">
        <f>COUNTIF([2]!buckets[CTL Bucket],[2]!scheduleapr[[#This Row],[CTL Bucket]])</f>
        <v>#REF!</v>
      </c>
      <c r="T194" s="2" t="s">
        <v>1816</v>
      </c>
      <c r="U194" s="2"/>
      <c r="V194" s="557"/>
      <c r="W194" s="557"/>
      <c r="X194" s="1">
        <v>38.1</v>
      </c>
      <c r="Y194" s="1">
        <v>30</v>
      </c>
      <c r="Z194" s="1">
        <v>30</v>
      </c>
      <c r="AA194" s="1">
        <v>1.2</v>
      </c>
      <c r="AB194" s="24">
        <v>220</v>
      </c>
      <c r="AC194" s="24" t="s">
        <v>397</v>
      </c>
      <c r="AD194" s="24"/>
      <c r="AE194" s="24"/>
      <c r="AF194" s="540">
        <v>14000</v>
      </c>
      <c r="AG194" s="48"/>
      <c r="AH194" s="2" cm="1">
        <f t="array" ref="AH1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194" s="4">
        <f>scheduleapr[[#This Row],[SCHEDULE in nos]]-scheduleapr[[#This Row],[DISPATCH]]</f>
        <v>8000</v>
      </c>
      <c r="AJ194" s="1">
        <f>(3.14*(scheduleapr[[#This Row],[ACTUAL OD]]-scheduleapr[[#This Row],[TICKNESS]])*scheduleapr[[#This Row],[TICKNESS]]*scheduleapr[[#This Row],[LENGTH]]*7.85)/1000000*scheduleapr[[#This Row],[SCHEDULE in nos]]/1000</f>
        <v>3.3616897776000001</v>
      </c>
      <c r="AK194" s="1">
        <f>(3.14*(scheduleapr[[#This Row],[ACTUAL OD]]-scheduleapr[[#This Row],[TICKNESS]])*scheduleapr[[#This Row],[TICKNESS]]*scheduleapr[[#This Row],[LENGTH]]*7.85)/1000000*scheduleapr[[#This Row],[DISPATCH]]/1000</f>
        <v>1.4407241904000001</v>
      </c>
      <c r="AL194" s="1">
        <f t="shared" si="5"/>
        <v>1.9209655872</v>
      </c>
      <c r="AM194" s="1">
        <f>scheduleapr[[#This Row],[SCHEDULE in nos]]/scheduleapr[[#This Row],[SCHEDULE IN MT]]*scheduleapr[[#This Row],[CTL Stock]]</f>
        <v>3803.5579859866011</v>
      </c>
      <c r="AN194" s="1">
        <f>SUMIFS(stock[MT],stock[Bucket],scheduleapr[[#This Row],[Bucket]],stock[CTL Bucket],scheduleapr[[#This Row],[CTL Bucket]],stock[Plant],"0789")</f>
        <v>0.91331300000000004</v>
      </c>
      <c r="AO194" s="1"/>
      <c r="AP194" s="1">
        <f>SUMIFS(stock[MT],stock[Bucket],scheduleapr[[#This Row],[Bucket]],stock[LL or CTL],"LL")</f>
        <v>0</v>
      </c>
      <c r="AQ194" s="1">
        <f>+SUMIFS(wip[Stock(Net Wt)],wip[Bucket],scheduleapr[[#This Row],[Bucket]])/1000</f>
        <v>22.942</v>
      </c>
      <c r="AR194" s="1">
        <f t="shared" si="6"/>
        <v>2.4483767776000001</v>
      </c>
      <c r="AS194" s="118"/>
    </row>
    <row r="195" spans="1:45" x14ac:dyDescent="0.25">
      <c r="A195" s="30">
        <v>754</v>
      </c>
      <c r="B195" s="5" t="s">
        <v>1816</v>
      </c>
      <c r="C195" s="2" t="s">
        <v>305</v>
      </c>
      <c r="D195" s="2" t="s">
        <v>289</v>
      </c>
      <c r="E195" s="2">
        <v>189002</v>
      </c>
      <c r="F195" s="539">
        <v>3572047</v>
      </c>
      <c r="G195" s="2" t="str">
        <f>_xlfn.CONCAT(scheduleapr[[#This Row],[CUSTOMER CODE]],"-",scheduleapr[[#This Row],[MATERIAL NO]])</f>
        <v>189002-3572047</v>
      </c>
      <c r="H195" s="539" t="s">
        <v>492</v>
      </c>
      <c r="I195" s="2" t="s">
        <v>229</v>
      </c>
      <c r="J195" s="44"/>
      <c r="K195" s="44" t="s">
        <v>963</v>
      </c>
      <c r="L195" s="2" t="s">
        <v>1867</v>
      </c>
      <c r="M195" s="44"/>
      <c r="N195" s="44"/>
      <c r="O195" s="44"/>
      <c r="P195" s="44"/>
      <c r="Q195" s="557" t="str">
        <f>CONCATENATE(scheduleapr[[#This Row],[OD]],"-",scheduleapr[[#This Row],[ID]],"-",scheduleapr[[#This Row],[TICKNESS]],"-",scheduleapr[[#This Row],[Grade]],"-",scheduleapr[[#This Row],[FC/NFC]])</f>
        <v>40-20-1.2-CRFH-PE</v>
      </c>
      <c r="R195" s="557" t="str">
        <f>_xlfn.CONCAT(scheduleapr[[#This Row],[Bucket]],"-",scheduleapr[[#This Row],[LENGTH]]/1000)</f>
        <v>40-20-1.2-CRFH-PE-0.11</v>
      </c>
      <c r="S195" s="557">
        <f>COUNTIF(scheduleapr[CTL Bucket],scheduleapr[[#This Row],[CTL Bucket]])</f>
        <v>3</v>
      </c>
      <c r="T195" s="2" t="s">
        <v>1816</v>
      </c>
      <c r="U195" s="2"/>
      <c r="V195" s="2"/>
      <c r="W195" s="2"/>
      <c r="X195" s="1">
        <v>38.1</v>
      </c>
      <c r="Y195" s="1">
        <v>40</v>
      </c>
      <c r="Z195" s="1">
        <v>20</v>
      </c>
      <c r="AA195" s="1">
        <v>1.2</v>
      </c>
      <c r="AB195" s="24">
        <v>110</v>
      </c>
      <c r="AC195" s="24" t="s">
        <v>397</v>
      </c>
      <c r="AD195" s="24"/>
      <c r="AE195" s="24"/>
      <c r="AF195" s="540"/>
      <c r="AG195" s="48"/>
      <c r="AH195" s="2" cm="1">
        <f t="array" ref="AH1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95" s="4">
        <f>scheduleapr[[#This Row],[SCHEDULE in nos]]-scheduleapr[[#This Row],[DISPATCH]]</f>
        <v>-1000</v>
      </c>
      <c r="AJ195" s="1">
        <f>(3.14*(scheduleapr[[#This Row],[ACTUAL OD]]-scheduleapr[[#This Row],[TICKNESS]])*scheduleapr[[#This Row],[TICKNESS]]*scheduleapr[[#This Row],[LENGTH]]*7.85)/1000000*scheduleapr[[#This Row],[SCHEDULE in nos]]/1000</f>
        <v>0</v>
      </c>
      <c r="AK195" s="1">
        <f>(3.14*(scheduleapr[[#This Row],[ACTUAL OD]]-scheduleapr[[#This Row],[TICKNESS]])*scheduleapr[[#This Row],[TICKNESS]]*scheduleapr[[#This Row],[LENGTH]]*7.85)/1000000*scheduleapr[[#This Row],[DISPATCH]]/1000</f>
        <v>0.1200603492</v>
      </c>
      <c r="AL195" s="1">
        <f t="shared" si="5"/>
        <v>-0.1200603492</v>
      </c>
      <c r="AM195" s="1" t="e">
        <f>scheduleapr[[#This Row],[SCHEDULE in nos]]/scheduleapr[[#This Row],[SCHEDULE IN MT]]*scheduleapr[[#This Row],[CTL Stock]]</f>
        <v>#DIV/0!</v>
      </c>
      <c r="AN195" s="1">
        <f>SUMIFS(stock[MT],stock[Bucket],scheduleapr[[#This Row],[Bucket]],stock[LL or CTL],"LL")</f>
        <v>31.079670999999998</v>
      </c>
      <c r="AO195" s="1">
        <f>+SUMIFS(wip[Stock(Net Wt)],wip[Bucket],scheduleapr[[#This Row],[Bucket]])/1000</f>
        <v>129.15199999999999</v>
      </c>
      <c r="AP195" s="1">
        <f>AH195-AL195</f>
        <v>1000.1200603492</v>
      </c>
      <c r="AQ195" s="1">
        <f>+SUMIFS(wip[Stock(Net Wt)],wip[Bucket],scheduleapr[[#This Row],[Bucket]])/1000</f>
        <v>129.15199999999999</v>
      </c>
      <c r="AR195" s="1">
        <f t="shared" si="6"/>
        <v>-31.079670999999998</v>
      </c>
      <c r="AS195" s="118"/>
    </row>
    <row r="196" spans="1:45" x14ac:dyDescent="0.25">
      <c r="A196" s="30">
        <v>753</v>
      </c>
      <c r="B196" s="5" t="s">
        <v>1816</v>
      </c>
      <c r="C196" s="2" t="s">
        <v>305</v>
      </c>
      <c r="D196" s="2" t="s">
        <v>289</v>
      </c>
      <c r="E196" s="2">
        <v>189002</v>
      </c>
      <c r="F196" s="539">
        <v>3233559</v>
      </c>
      <c r="G196" s="2" t="str">
        <f>_xlfn.CONCAT(scheduleapr[[#This Row],[CUSTOMER CODE]],"-",scheduleapr[[#This Row],[MATERIAL NO]])</f>
        <v>189002-3233559</v>
      </c>
      <c r="H196" s="539" t="s">
        <v>490</v>
      </c>
      <c r="I196" s="2" t="s">
        <v>229</v>
      </c>
      <c r="J196" s="44"/>
      <c r="K196" s="44" t="s">
        <v>963</v>
      </c>
      <c r="L196" s="2" t="s">
        <v>1867</v>
      </c>
      <c r="M196" s="44"/>
      <c r="N196" s="44"/>
      <c r="O196" s="44"/>
      <c r="P196" s="44"/>
      <c r="Q196" s="557" t="str">
        <f>CONCATENATE(scheduleapr[[#This Row],[OD]],"-",scheduleapr[[#This Row],[ID]],"-",scheduleapr[[#This Row],[TICKNESS]],"-",scheduleapr[[#This Row],[Grade]],"-",scheduleapr[[#This Row],[FC/NFC]])</f>
        <v>40-20-1.2-CRFH-PE</v>
      </c>
      <c r="R196" s="557" t="str">
        <f>_xlfn.CONCAT(scheduleapr[[#This Row],[Bucket]],"-",scheduleapr[[#This Row],[LENGTH]]/1000)</f>
        <v>40-20-1.2-CRFH-PE-0.12</v>
      </c>
      <c r="S196" s="557">
        <f>COUNTIF(scheduleapr[CTL Bucket],scheduleapr[[#This Row],[CTL Bucket]])</f>
        <v>4</v>
      </c>
      <c r="T196" s="2" t="s">
        <v>1816</v>
      </c>
      <c r="U196" s="2"/>
      <c r="V196" s="2"/>
      <c r="W196" s="2"/>
      <c r="X196" s="1">
        <v>38.1</v>
      </c>
      <c r="Y196" s="1">
        <v>40</v>
      </c>
      <c r="Z196" s="1">
        <v>20</v>
      </c>
      <c r="AA196" s="1">
        <v>1.2</v>
      </c>
      <c r="AB196" s="24">
        <v>120</v>
      </c>
      <c r="AC196" s="24" t="s">
        <v>397</v>
      </c>
      <c r="AD196" s="24"/>
      <c r="AE196" s="24"/>
      <c r="AF196" s="540"/>
      <c r="AG196" s="48"/>
      <c r="AH196" s="2" cm="1">
        <f t="array" ref="AH1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196" s="4">
        <f>scheduleapr[[#This Row],[SCHEDULE in nos]]-scheduleapr[[#This Row],[DISPATCH]]</f>
        <v>-2000</v>
      </c>
      <c r="AJ196" s="1">
        <f>(3.14*(scheduleapr[[#This Row],[ACTUAL OD]]-scheduleapr[[#This Row],[TICKNESS]])*scheduleapr[[#This Row],[TICKNESS]]*scheduleapr[[#This Row],[LENGTH]]*7.85)/1000000*scheduleapr[[#This Row],[SCHEDULE in nos]]/1000</f>
        <v>0</v>
      </c>
      <c r="AK196" s="1">
        <f>(3.14*(scheduleapr[[#This Row],[ACTUAL OD]]-scheduleapr[[#This Row],[TICKNESS]])*scheduleapr[[#This Row],[TICKNESS]]*scheduleapr[[#This Row],[LENGTH]]*7.85)/1000000*scheduleapr[[#This Row],[DISPATCH]]/1000</f>
        <v>0.26194985279999994</v>
      </c>
      <c r="AL196" s="1">
        <f t="shared" ref="AL196:AL259" si="8">AJ196-AK196</f>
        <v>-0.26194985279999994</v>
      </c>
      <c r="AM196" s="1" t="e">
        <f>scheduleapr[[#This Row],[SCHEDULE in nos]]/scheduleapr[[#This Row],[SCHEDULE IN MT]]*scheduleapr[[#This Row],[CTL Stock]]</f>
        <v>#DIV/0!</v>
      </c>
      <c r="AN196" s="1">
        <f>SUMIFS(stock[MT],stock[Bucket],scheduleapr[[#This Row],[Bucket]],stock[LL or CTL],"LL")</f>
        <v>31.079670999999998</v>
      </c>
      <c r="AO196" s="1">
        <f>+SUMIFS(wip[Stock(Net Wt)],wip[Bucket],scheduleapr[[#This Row],[Bucket]])/1000</f>
        <v>129.15199999999999</v>
      </c>
      <c r="AP196" s="1">
        <f>AH196-AL196</f>
        <v>2000.2619498527999</v>
      </c>
      <c r="AQ196" s="1">
        <f>+SUMIFS(wip[Stock(Net Wt)],wip[Bucket],scheduleapr[[#This Row],[Bucket]])/1000</f>
        <v>129.15199999999999</v>
      </c>
      <c r="AR196" s="1">
        <f t="shared" ref="AR196:AR253" si="9">AJ196-AN196</f>
        <v>-31.079670999999998</v>
      </c>
      <c r="AS196" s="118"/>
    </row>
    <row r="197" spans="1:45" x14ac:dyDescent="0.25">
      <c r="A197" s="30">
        <v>775</v>
      </c>
      <c r="B197" s="5" t="s">
        <v>1816</v>
      </c>
      <c r="C197" s="2" t="s">
        <v>305</v>
      </c>
      <c r="D197" s="2" t="s">
        <v>289</v>
      </c>
      <c r="E197" s="2">
        <v>189002</v>
      </c>
      <c r="F197" s="2">
        <v>4151472</v>
      </c>
      <c r="G197" s="2" t="str">
        <f>_xlfn.CONCAT(scheduleapr[[#This Row],[CUSTOMER CODE]],"-",scheduleapr[[#This Row],[MATERIAL NO]])</f>
        <v>189002-4151472</v>
      </c>
      <c r="H197" s="2" t="s">
        <v>488</v>
      </c>
      <c r="I197" s="2" t="s">
        <v>229</v>
      </c>
      <c r="J197" s="44"/>
      <c r="K197" s="44" t="s">
        <v>963</v>
      </c>
      <c r="L197" s="2" t="s">
        <v>1867</v>
      </c>
      <c r="M197" s="44"/>
      <c r="N197" s="44"/>
      <c r="O197" s="44"/>
      <c r="P197" s="44"/>
      <c r="Q197" s="557" t="str">
        <f>CONCATENATE(scheduleapr[[#This Row],[OD]],"-",scheduleapr[[#This Row],[ID]],"-",scheduleapr[[#This Row],[TICKNESS]],"-",scheduleapr[[#This Row],[Grade]],"-",scheduleapr[[#This Row],[FC/NFC]])</f>
        <v>40-20-1.2-CRFH-PE</v>
      </c>
      <c r="R197" s="557" t="str">
        <f>_xlfn.CONCAT(scheduleapr[[#This Row],[Bucket]],"-",scheduleapr[[#This Row],[LENGTH]]/1000)</f>
        <v>40-20-1.2-CRFH-PE-0.755</v>
      </c>
      <c r="S197" s="557">
        <f>COUNTIF(scheduleapr[CTL Bucket],scheduleapr[[#This Row],[CTL Bucket]])</f>
        <v>2</v>
      </c>
      <c r="T197" s="2" t="s">
        <v>1816</v>
      </c>
      <c r="U197" s="2"/>
      <c r="V197" s="2"/>
      <c r="W197" s="2"/>
      <c r="X197" s="1">
        <v>38.1</v>
      </c>
      <c r="Y197" s="1">
        <v>40</v>
      </c>
      <c r="Z197" s="1">
        <v>20</v>
      </c>
      <c r="AA197" s="1">
        <v>1.2</v>
      </c>
      <c r="AB197" s="24">
        <v>755</v>
      </c>
      <c r="AC197" s="81" t="s">
        <v>397</v>
      </c>
      <c r="AD197" s="81"/>
      <c r="AE197" s="81"/>
      <c r="AF197" s="540"/>
      <c r="AG197" s="48"/>
      <c r="AH197" s="2" cm="1">
        <f t="array" ref="AH1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97" s="4">
        <f>scheduleapr[[#This Row],[SCHEDULE in nos]]-scheduleapr[[#This Row],[DISPATCH]]</f>
        <v>-1000</v>
      </c>
      <c r="AJ197" s="1">
        <f>(3.14*(scheduleapr[[#This Row],[ACTUAL OD]]-scheduleapr[[#This Row],[TICKNESS]])*scheduleapr[[#This Row],[TICKNESS]]*scheduleapr[[#This Row],[LENGTH]]*7.85)/1000000*scheduleapr[[#This Row],[SCHEDULE in nos]]/1000</f>
        <v>0</v>
      </c>
      <c r="AK197" s="1">
        <f>(3.14*(scheduleapr[[#This Row],[ACTUAL OD]]-scheduleapr[[#This Row],[TICKNESS]])*scheduleapr[[#This Row],[TICKNESS]]*scheduleapr[[#This Row],[LENGTH]]*7.85)/1000000*scheduleapr[[#This Row],[DISPATCH]]/1000</f>
        <v>0.82405057859999986</v>
      </c>
      <c r="AL197" s="1">
        <f t="shared" si="8"/>
        <v>-0.82405057859999986</v>
      </c>
      <c r="AM197" s="1" t="e">
        <f>scheduleapr[[#This Row],[SCHEDULE in nos]]/scheduleapr[[#This Row],[SCHEDULE IN MT]]*scheduleapr[[#This Row],[CTL Stock]]</f>
        <v>#DIV/0!</v>
      </c>
      <c r="AN197" s="1">
        <f>SUMIFS(stock[MT],stock[Bucket],scheduleapr[[#This Row],[Bucket]],stock[LL or CTL],"LL")</f>
        <v>31.079670999999998</v>
      </c>
      <c r="AO197" s="1">
        <f>+SUMIFS(wip[Stock(Net Wt)],wip[Bucket],scheduleapr[[#This Row],[Bucket]])/1000</f>
        <v>129.15199999999999</v>
      </c>
      <c r="AP197" s="1">
        <f>AH197-AL197</f>
        <v>1000.8240505786</v>
      </c>
      <c r="AQ197" s="1">
        <f>+SUMIFS(wip[Stock(Net Wt)],wip[Bucket],scheduleapr[[#This Row],[Bucket]])/1000</f>
        <v>129.15199999999999</v>
      </c>
      <c r="AR197" s="1">
        <f t="shared" si="9"/>
        <v>-31.079670999999998</v>
      </c>
      <c r="AS197" s="118"/>
    </row>
    <row r="198" spans="1:45" x14ac:dyDescent="0.25">
      <c r="A198" s="30">
        <v>158</v>
      </c>
      <c r="B198" s="5" t="s">
        <v>1816</v>
      </c>
      <c r="C198" s="2" t="s">
        <v>305</v>
      </c>
      <c r="D198" s="2" t="s">
        <v>289</v>
      </c>
      <c r="E198" s="2">
        <v>189002</v>
      </c>
      <c r="F198" s="2">
        <v>3233557</v>
      </c>
      <c r="G198" s="2" t="str">
        <f>_xlfn.CONCAT(scheduleapr[[#This Row],[CUSTOMER CODE]],"-",scheduleapr[[#This Row],[MATERIAL NO]])</f>
        <v>189002-3233557</v>
      </c>
      <c r="H198" s="2" t="s">
        <v>610</v>
      </c>
      <c r="I198" s="2" t="s">
        <v>229</v>
      </c>
      <c r="J198" s="44"/>
      <c r="K198" s="44" t="s">
        <v>963</v>
      </c>
      <c r="L198" s="2" t="s">
        <v>1867</v>
      </c>
      <c r="M198" s="44"/>
      <c r="N198" s="44"/>
      <c r="O198" s="44"/>
      <c r="P198" s="44"/>
      <c r="Q198" s="557" t="str">
        <f>CONCATENATE(scheduleapr[[#This Row],[OD]],"-",scheduleapr[[#This Row],[ID]],"-",scheduleapr[[#This Row],[TICKNESS]],"-",scheduleapr[[#This Row],[Grade]],"-",scheduleapr[[#This Row],[FC/NFC]])</f>
        <v>40-20-1.2-CRFH-PE</v>
      </c>
      <c r="R198" s="557" t="str">
        <f>_xlfn.CONCAT(scheduleapr[[#This Row],[Bucket]],"-",scheduleapr[[#This Row],[LENGTH]]/1000)</f>
        <v>40-20-1.2-CRFH-PE-0.8</v>
      </c>
      <c r="S198" s="557">
        <f>COUNTIF(scheduleapr[CTL Bucket],scheduleapr[[#This Row],[CTL Bucket]])</f>
        <v>2</v>
      </c>
      <c r="T198" s="2" t="s">
        <v>1816</v>
      </c>
      <c r="U198" s="2">
        <f>_xlfn.IFNA(VLOOKUP(scheduleapr[[#This Row],[Bucket]],salesforecast[[#All],[Bucket2]:[8406 Stock]],19,0),0)</f>
        <v>5.6431899999999997</v>
      </c>
      <c r="V198" s="562">
        <f>_xlfn.IFNA(VLOOKUP(scheduleapr[[#This Row],[Bucket]],salesforecast[[#All],[Bucket2]:[8406 Stock]],20,0),0)+_xlfn.IFNA(VLOOKUP(scheduleapr[[#This Row],[Bucket]],salesforecast[[#All],[Bucket2]:[8406 Stock]],17,0),0)</f>
        <v>0</v>
      </c>
      <c r="W198" s="557"/>
      <c r="X198" s="1">
        <v>38.1</v>
      </c>
      <c r="Y198" s="1">
        <v>40</v>
      </c>
      <c r="Z198" s="1">
        <v>20</v>
      </c>
      <c r="AA198" s="1">
        <v>1.2</v>
      </c>
      <c r="AB198" s="24">
        <v>800</v>
      </c>
      <c r="AC198" s="24" t="s">
        <v>397</v>
      </c>
      <c r="AD198" s="24"/>
      <c r="AE198" s="24"/>
      <c r="AF198" s="539">
        <v>14000</v>
      </c>
      <c r="AG198" s="539"/>
      <c r="AH198" s="2" cm="1">
        <f t="array" ref="AH1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198" s="4">
        <f>scheduleapr[[#This Row],[SCHEDULE in nos]]-scheduleapr[[#This Row],[DISPATCH]]</f>
        <v>8000</v>
      </c>
      <c r="AJ198" s="1">
        <f>(3.14*(scheduleapr[[#This Row],[ACTUAL OD]]-scheduleapr[[#This Row],[TICKNESS]])*scheduleapr[[#This Row],[TICKNESS]]*scheduleapr[[#This Row],[LENGTH]]*7.85)/1000000*scheduleapr[[#This Row],[SCHEDULE in nos]]/1000</f>
        <v>12.224326463999999</v>
      </c>
      <c r="AK198" s="1">
        <f>(3.14*(scheduleapr[[#This Row],[ACTUAL OD]]-scheduleapr[[#This Row],[TICKNESS]])*scheduleapr[[#This Row],[TICKNESS]]*scheduleapr[[#This Row],[LENGTH]]*7.85)/1000000*scheduleapr[[#This Row],[DISPATCH]]/1000</f>
        <v>5.2389970560000005</v>
      </c>
      <c r="AL198" s="1">
        <f t="shared" si="8"/>
        <v>6.9853294079999984</v>
      </c>
      <c r="AM198" s="1">
        <f>scheduleapr[[#This Row],[SCHEDULE in nos]]/scheduleapr[[#This Row],[SCHEDULE IN MT]]*scheduleapr[[#This Row],[CTL Stock]]</f>
        <v>3608.1722890741021</v>
      </c>
      <c r="AN198" s="1">
        <f>SUMIFS(stock[MT],stock[Bucket],scheduleapr[[#This Row],[Bucket]],stock[CTL Bucket],scheduleapr[[#This Row],[CTL Bucket]],stock[Plant],"0789")</f>
        <v>3.1505339999999999</v>
      </c>
      <c r="AO198" s="1"/>
      <c r="AP198" s="1">
        <f>SUMIFS(stock[MT],stock[Bucket],scheduleapr[[#This Row],[Bucket]],stock[LL or CTL],"LL")</f>
        <v>31.079670999999998</v>
      </c>
      <c r="AQ198" s="1">
        <f>+SUMIFS(wip[Stock(Net Wt)],wip[Bucket],scheduleapr[[#This Row],[Bucket]])/1000</f>
        <v>129.15199999999999</v>
      </c>
      <c r="AR198" s="1">
        <f t="shared" si="9"/>
        <v>9.0737924639999985</v>
      </c>
      <c r="AS198" s="118"/>
    </row>
    <row r="199" spans="1:45" x14ac:dyDescent="0.25">
      <c r="A199" s="30">
        <v>159</v>
      </c>
      <c r="B199" s="5" t="s">
        <v>1816</v>
      </c>
      <c r="C199" s="2" t="s">
        <v>289</v>
      </c>
      <c r="D199" s="2" t="s">
        <v>289</v>
      </c>
      <c r="E199" s="2">
        <v>189002</v>
      </c>
      <c r="F199" s="2">
        <v>3233556</v>
      </c>
      <c r="G199" s="2" t="str">
        <f>_xlfn.CONCAT(scheduleapr[[#This Row],[CUSTOMER CODE]],"-",scheduleapr[[#This Row],[MATERIAL NO]])</f>
        <v>189002-3233556</v>
      </c>
      <c r="H199" s="2" t="s">
        <v>1937</v>
      </c>
      <c r="I199" s="2" t="s">
        <v>229</v>
      </c>
      <c r="J199" s="44"/>
      <c r="K199" s="44" t="s">
        <v>963</v>
      </c>
      <c r="L199" s="2" t="s">
        <v>1867</v>
      </c>
      <c r="M199" s="44"/>
      <c r="N199" s="44"/>
      <c r="O199" s="44"/>
      <c r="P199" s="44"/>
      <c r="Q199" s="557" t="str">
        <f>CONCATENATE(scheduleapr[[#This Row],[OD]],"-",scheduleapr[[#This Row],[ID]],"-",scheduleapr[[#This Row],[TICKNESS]],"-",scheduleapr[[#This Row],[Grade]],"-",scheduleapr[[#This Row],[FC/NFC]])</f>
        <v>40-20-1.2-CRFH-PE</v>
      </c>
      <c r="R199" s="557" t="str">
        <f>_xlfn.CONCAT(scheduleapr[[#This Row],[Bucket]],"-",scheduleapr[[#This Row],[LENGTH]]/1000)</f>
        <v>40-20-1.2-CRFH-PE-0.86</v>
      </c>
      <c r="S199" s="557">
        <f>COUNTIF(scheduleapr[CTL Bucket],scheduleapr[[#This Row],[CTL Bucket]])</f>
        <v>5</v>
      </c>
      <c r="T199" s="2" t="s">
        <v>1816</v>
      </c>
      <c r="U199" s="2"/>
      <c r="V199" s="557"/>
      <c r="W199" s="557"/>
      <c r="X199" s="1">
        <v>38.1</v>
      </c>
      <c r="Y199" s="1">
        <v>40</v>
      </c>
      <c r="Z199" s="1">
        <v>20</v>
      </c>
      <c r="AA199" s="1">
        <v>1.2</v>
      </c>
      <c r="AB199" s="24">
        <v>860</v>
      </c>
      <c r="AC199" s="24" t="s">
        <v>397</v>
      </c>
      <c r="AD199" s="24"/>
      <c r="AE199" s="24"/>
      <c r="AF199" s="2"/>
      <c r="AG199" s="2"/>
      <c r="AH199" s="2" cm="1">
        <f t="array" ref="AH1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13000</v>
      </c>
      <c r="AI199" s="4">
        <f>scheduleapr[[#This Row],[SCHEDULE in nos]]-scheduleapr[[#This Row],[DISPATCH]]</f>
        <v>-13000</v>
      </c>
      <c r="AJ199" s="1">
        <f>(3.14*(scheduleapr[[#This Row],[ACTUAL OD]]-scheduleapr[[#This Row],[TICKNESS]])*scheduleapr[[#This Row],[TICKNESS]]*scheduleapr[[#This Row],[LENGTH]]*7.85)/1000000*scheduleapr[[#This Row],[SCHEDULE in nos]]/1000</f>
        <v>0</v>
      </c>
      <c r="AK199" s="1">
        <f>(3.14*(scheduleapr[[#This Row],[ACTUAL OD]]-scheduleapr[[#This Row],[TICKNESS]])*scheduleapr[[#This Row],[TICKNESS]]*scheduleapr[[#This Row],[LENGTH]]*7.85)/1000000*scheduleapr[[#This Row],[DISPATCH]]/1000</f>
        <v>12.2024973096</v>
      </c>
      <c r="AL199" s="1">
        <f t="shared" si="8"/>
        <v>-12.2024973096</v>
      </c>
      <c r="AM199" s="1" t="e">
        <f>scheduleapr[[#This Row],[SCHEDULE in nos]]/scheduleapr[[#This Row],[SCHEDULE IN MT]]*scheduleapr[[#This Row],[CTL Stock]]</f>
        <v>#DIV/0!</v>
      </c>
      <c r="AN199" s="1">
        <f>SUMIFS(stock[MT],stock[Bucket],scheduleapr[[#This Row],[Bucket]],stock[CTL Bucket],scheduleapr[[#This Row],[CTL Bucket]],stock[Plant],"0789")</f>
        <v>3.8201200000000002</v>
      </c>
      <c r="AO199" s="1"/>
      <c r="AP199" s="1">
        <f>SUMIFS(stock[MT],stock[Bucket],scheduleapr[[#This Row],[Bucket]],stock[LL or CTL],"LL")</f>
        <v>31.079670999999998</v>
      </c>
      <c r="AQ199" s="1">
        <f>+SUMIFS(wip[Stock(Net Wt)],wip[Bucket],scheduleapr[[#This Row],[Bucket]])/1000</f>
        <v>129.15199999999999</v>
      </c>
      <c r="AR199" s="1">
        <f t="shared" si="9"/>
        <v>-3.8201200000000002</v>
      </c>
      <c r="AS199" s="118"/>
    </row>
    <row r="200" spans="1:45" x14ac:dyDescent="0.25">
      <c r="A200" s="30">
        <v>777</v>
      </c>
      <c r="B200" s="5" t="s">
        <v>1816</v>
      </c>
      <c r="C200" s="2" t="s">
        <v>305</v>
      </c>
      <c r="D200" s="2" t="s">
        <v>289</v>
      </c>
      <c r="E200" s="2">
        <v>189002</v>
      </c>
      <c r="F200" s="2">
        <v>3572051</v>
      </c>
      <c r="G200" s="2" t="str">
        <f>_xlfn.CONCAT(scheduleapr[[#This Row],[CUSTOMER CODE]],"-",scheduleapr[[#This Row],[MATERIAL NO]])</f>
        <v>189002-3572051</v>
      </c>
      <c r="H200" s="2" t="s">
        <v>484</v>
      </c>
      <c r="I200" s="2" t="s">
        <v>229</v>
      </c>
      <c r="J200" s="44"/>
      <c r="K200" s="44" t="s">
        <v>963</v>
      </c>
      <c r="L200" s="2" t="s">
        <v>1867</v>
      </c>
      <c r="M200" s="44"/>
      <c r="N200" s="44"/>
      <c r="O200" s="44"/>
      <c r="P200" s="44"/>
      <c r="Q200" s="557" t="str">
        <f>CONCATENATE(scheduleapr[[#This Row],[OD]],"-",scheduleapr[[#This Row],[ID]],"-",scheduleapr[[#This Row],[TICKNESS]],"-",scheduleapr[[#This Row],[Grade]],"-",scheduleapr[[#This Row],[FC/NFC]])</f>
        <v>40-20-1.2-CRFH-PE</v>
      </c>
      <c r="R200" s="557" t="str">
        <f>_xlfn.CONCAT(scheduleapr[[#This Row],[Bucket]],"-",scheduleapr[[#This Row],[LENGTH]]/1000)</f>
        <v>40-20-1.2-CRFH-PE-0.86</v>
      </c>
      <c r="S200" s="557">
        <f>COUNTIF(scheduleapr[CTL Bucket],scheduleapr[[#This Row],[CTL Bucket]])</f>
        <v>5</v>
      </c>
      <c r="T200" s="2" t="s">
        <v>1816</v>
      </c>
      <c r="U200" s="2">
        <f>_xlfn.IFNA(VLOOKUP(scheduleapr[[#This Row],[Bucket]],salesforecast[[#All],[Bucket2]:[8406 Stock]],19,0),0)</f>
        <v>5.6431899999999997</v>
      </c>
      <c r="V200" s="562">
        <f>_xlfn.IFNA(VLOOKUP(scheduleapr[[#This Row],[Bucket]],salesforecast[[#All],[Bucket2]:[8406 Stock]],20,0),0)+_xlfn.IFNA(VLOOKUP(scheduleapr[[#This Row],[Bucket]],salesforecast[[#All],[Bucket2]:[8406 Stock]],17,0),0)</f>
        <v>0</v>
      </c>
      <c r="W200" s="2"/>
      <c r="X200" s="1">
        <v>38.1</v>
      </c>
      <c r="Y200" s="1">
        <v>40</v>
      </c>
      <c r="Z200" s="1">
        <v>20</v>
      </c>
      <c r="AA200" s="1">
        <v>1.2</v>
      </c>
      <c r="AB200" s="24">
        <v>860</v>
      </c>
      <c r="AC200" s="24" t="s">
        <v>397</v>
      </c>
      <c r="AD200" s="24"/>
      <c r="AE200" s="24"/>
      <c r="AF200" s="2">
        <v>28000</v>
      </c>
      <c r="AG200" s="2"/>
      <c r="AH200" s="2" cm="1">
        <f t="array" ref="AH2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13000</v>
      </c>
      <c r="AI200" s="4">
        <f>scheduleapr[[#This Row],[SCHEDULE in nos]]-scheduleapr[[#This Row],[DISPATCH]]</f>
        <v>15000</v>
      </c>
      <c r="AJ200" s="1">
        <f>(3.14*(scheduleapr[[#This Row],[ACTUAL OD]]-scheduleapr[[#This Row],[TICKNESS]])*scheduleapr[[#This Row],[TICKNESS]]*scheduleapr[[#This Row],[LENGTH]]*7.85)/1000000*scheduleapr[[#This Row],[SCHEDULE in nos]]/1000</f>
        <v>26.2823018976</v>
      </c>
      <c r="AK200" s="1">
        <f>(3.14*(scheduleapr[[#This Row],[ACTUAL OD]]-scheduleapr[[#This Row],[TICKNESS]])*scheduleapr[[#This Row],[TICKNESS]]*scheduleapr[[#This Row],[LENGTH]]*7.85)/1000000*scheduleapr[[#This Row],[DISPATCH]]/1000</f>
        <v>12.2024973096</v>
      </c>
      <c r="AL200" s="1">
        <f t="shared" si="8"/>
        <v>14.079804588</v>
      </c>
      <c r="AM200" s="1">
        <f>scheduleapr[[#This Row],[SCHEDULE in nos]]/scheduleapr[[#This Row],[SCHEDULE IN MT]]*scheduleapr[[#This Row],[CTL Stock]]</f>
        <v>33110.9044934708</v>
      </c>
      <c r="AN200" s="1">
        <f>SUMIFS(stock[MT],stock[Bucket],scheduleapr[[#This Row],[Bucket]],stock[LL or CTL],"LL")</f>
        <v>31.079670999999998</v>
      </c>
      <c r="AO200" s="1">
        <f>+SUMIFS(wip[Stock(Net Wt)],wip[Bucket],scheduleapr[[#This Row],[Bucket]])/1000</f>
        <v>129.15199999999999</v>
      </c>
      <c r="AP200" s="1">
        <f>AH200-AL200</f>
        <v>12985.920195412</v>
      </c>
      <c r="AQ200" s="1">
        <f>+SUMIFS(wip[Stock(Net Wt)],wip[Bucket],scheduleapr[[#This Row],[Bucket]])/1000</f>
        <v>129.15199999999999</v>
      </c>
      <c r="AR200" s="1">
        <f t="shared" si="9"/>
        <v>-4.7973691023999976</v>
      </c>
      <c r="AS200" s="118"/>
    </row>
    <row r="201" spans="1:45" x14ac:dyDescent="0.25">
      <c r="A201" s="30">
        <v>160</v>
      </c>
      <c r="B201" s="5" t="s">
        <v>1816</v>
      </c>
      <c r="C201" s="2" t="s">
        <v>289</v>
      </c>
      <c r="D201" s="2" t="s">
        <v>289</v>
      </c>
      <c r="E201" s="2">
        <v>189002</v>
      </c>
      <c r="F201" s="2">
        <v>3597713</v>
      </c>
      <c r="G201" s="2" t="str">
        <f>_xlfn.CONCAT(scheduleapr[[#This Row],[CUSTOMER CODE]],"-",scheduleapr[[#This Row],[MATERIAL NO]])</f>
        <v>189002-3597713</v>
      </c>
      <c r="H201" s="2" t="s">
        <v>1938</v>
      </c>
      <c r="I201" s="2" t="s">
        <v>229</v>
      </c>
      <c r="J201" s="44"/>
      <c r="K201" s="44" t="s">
        <v>963</v>
      </c>
      <c r="L201" s="2" t="s">
        <v>1867</v>
      </c>
      <c r="M201" s="44"/>
      <c r="N201" s="44"/>
      <c r="O201" s="44"/>
      <c r="P201" s="44"/>
      <c r="Q201" s="557" t="str">
        <f>CONCATENATE(scheduleapr[[#This Row],[OD]],"-",scheduleapr[[#This Row],[ID]],"-",scheduleapr[[#This Row],[TICKNESS]],"-",scheduleapr[[#This Row],[Grade]],"-",scheduleapr[[#This Row],[FC/NFC]])</f>
        <v>40-20-1.2-CRFH-PE</v>
      </c>
      <c r="R201" s="557" t="str">
        <f>_xlfn.CONCAT(scheduleapr[[#This Row],[Bucket]],"-",scheduleapr[[#This Row],[LENGTH]]/1000)</f>
        <v>40-20-1.2-CRFH-PE-1</v>
      </c>
      <c r="S201" s="557">
        <f>COUNTIF(scheduleapr[CTL Bucket],scheduleapr[[#This Row],[CTL Bucket]])</f>
        <v>2</v>
      </c>
      <c r="T201" s="2" t="s">
        <v>1816</v>
      </c>
      <c r="U201" s="557"/>
      <c r="V201" s="557"/>
      <c r="W201" s="557"/>
      <c r="X201" s="1">
        <v>38.1</v>
      </c>
      <c r="Y201" s="1">
        <v>40</v>
      </c>
      <c r="Z201" s="1">
        <v>20</v>
      </c>
      <c r="AA201" s="1">
        <v>1.2</v>
      </c>
      <c r="AB201" s="24">
        <v>1000</v>
      </c>
      <c r="AC201" s="24" t="s">
        <v>444</v>
      </c>
      <c r="AD201" s="24"/>
      <c r="AE201" s="24"/>
      <c r="AF201" s="2"/>
      <c r="AG201" s="2"/>
      <c r="AH201" s="2" cm="1">
        <f t="array" ref="AH2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2840</v>
      </c>
      <c r="AI201" s="4">
        <f>scheduleapr[[#This Row],[SCHEDULE in nos]]-scheduleapr[[#This Row],[DISPATCH]]</f>
        <v>-2840</v>
      </c>
      <c r="AJ201" s="1">
        <f>(3.14*(scheduleapr[[#This Row],[ACTUAL OD]]-scheduleapr[[#This Row],[TICKNESS]])*scheduleapr[[#This Row],[TICKNESS]]*scheduleapr[[#This Row],[LENGTH]]*7.85)/1000000*scheduleapr[[#This Row],[SCHEDULE in nos]]/1000</f>
        <v>0</v>
      </c>
      <c r="AK201" s="1">
        <f>(3.14*(scheduleapr[[#This Row],[ACTUAL OD]]-scheduleapr[[#This Row],[TICKNESS]])*scheduleapr[[#This Row],[TICKNESS]]*scheduleapr[[#This Row],[LENGTH]]*7.85)/1000000*scheduleapr[[#This Row],[DISPATCH]]/1000</f>
        <v>3.0997399247999993</v>
      </c>
      <c r="AL201" s="1">
        <f t="shared" si="8"/>
        <v>-3.0997399247999993</v>
      </c>
      <c r="AM201" s="1" t="e">
        <f>scheduleapr[[#This Row],[SCHEDULE in nos]]/scheduleapr[[#This Row],[SCHEDULE IN MT]]*scheduleapr[[#This Row],[CTL Stock]]</f>
        <v>#DIV/0!</v>
      </c>
      <c r="AN201" s="1">
        <f>SUMIFS(stock[MT],stock[Bucket],scheduleapr[[#This Row],[Bucket]],stock[CTL Bucket],scheduleapr[[#This Row],[CTL Bucket]],stock[Plant],"0789")</f>
        <v>12.762480999999999</v>
      </c>
      <c r="AO201" s="1"/>
      <c r="AP201" s="1">
        <f>SUMIFS(stock[MT],stock[Bucket],scheduleapr[[#This Row],[Bucket]],stock[LL or CTL],"LL")</f>
        <v>31.079670999999998</v>
      </c>
      <c r="AQ201" s="1">
        <f>+SUMIFS(wip[Stock(Net Wt)],wip[Bucket],scheduleapr[[#This Row],[Bucket]])/1000</f>
        <v>129.15199999999999</v>
      </c>
      <c r="AR201" s="1">
        <f t="shared" si="9"/>
        <v>-12.762480999999999</v>
      </c>
      <c r="AS201" s="118"/>
    </row>
    <row r="202" spans="1:45" x14ac:dyDescent="0.25">
      <c r="A202" s="30">
        <v>161</v>
      </c>
      <c r="B202" s="5" t="s">
        <v>1816</v>
      </c>
      <c r="C202" s="2" t="s">
        <v>289</v>
      </c>
      <c r="D202" s="2" t="s">
        <v>289</v>
      </c>
      <c r="E202" s="2">
        <v>189002</v>
      </c>
      <c r="F202" s="2">
        <v>1940807</v>
      </c>
      <c r="G202" s="2" t="str">
        <f>_xlfn.CONCAT(scheduleapr[[#This Row],[CUSTOMER CODE]],"-",scheduleapr[[#This Row],[MATERIAL NO]])</f>
        <v>189002-1940807</v>
      </c>
      <c r="H202" s="2" t="s">
        <v>1674</v>
      </c>
      <c r="I202" s="2" t="s">
        <v>229</v>
      </c>
      <c r="J202" s="44"/>
      <c r="K202" s="44" t="s">
        <v>963</v>
      </c>
      <c r="L202" s="2" t="s">
        <v>1867</v>
      </c>
      <c r="M202" s="44"/>
      <c r="N202" s="44"/>
      <c r="O202" s="44"/>
      <c r="P202" s="44"/>
      <c r="Q202" s="557" t="str">
        <f>CONCATENATE(scheduleapr[[#This Row],[OD]],"-",scheduleapr[[#This Row],[ID]],"-",scheduleapr[[#This Row],[TICKNESS]],"-",scheduleapr[[#This Row],[Grade]],"-",scheduleapr[[#This Row],[FC/NFC]])</f>
        <v>40-20-1.2-CRFH-PE</v>
      </c>
      <c r="R202" s="557" t="str">
        <f>_xlfn.CONCAT(scheduleapr[[#This Row],[Bucket]],"-",scheduleapr[[#This Row],[LENGTH]]/1000)</f>
        <v>40-20-1.2-CRFH-PE-1</v>
      </c>
      <c r="S202" s="557">
        <f>COUNTIF(scheduleapr[CTL Bucket],scheduleapr[[#This Row],[CTL Bucket]])</f>
        <v>2</v>
      </c>
      <c r="T202" s="2" t="s">
        <v>1816</v>
      </c>
      <c r="U202" s="2"/>
      <c r="V202" s="557"/>
      <c r="W202" s="557"/>
      <c r="X202" s="1">
        <v>38.1</v>
      </c>
      <c r="Y202" s="1">
        <v>40</v>
      </c>
      <c r="Z202" s="1">
        <v>20</v>
      </c>
      <c r="AA202" s="1">
        <v>1.2</v>
      </c>
      <c r="AB202" s="24">
        <v>1000</v>
      </c>
      <c r="AC202" s="24" t="s">
        <v>444</v>
      </c>
      <c r="AD202" s="24"/>
      <c r="AE202" s="24"/>
      <c r="AF202" s="2"/>
      <c r="AG202" s="2"/>
      <c r="AH202" s="2" cm="1">
        <f t="array" ref="AH2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2840</v>
      </c>
      <c r="AI202" s="4">
        <f>scheduleapr[[#This Row],[SCHEDULE in nos]]-scheduleapr[[#This Row],[DISPATCH]]</f>
        <v>-2840</v>
      </c>
      <c r="AJ202" s="1">
        <f>(3.14*(scheduleapr[[#This Row],[ACTUAL OD]]-scheduleapr[[#This Row],[TICKNESS]])*scheduleapr[[#This Row],[TICKNESS]]*scheduleapr[[#This Row],[LENGTH]]*7.85)/1000000*scheduleapr[[#This Row],[SCHEDULE in nos]]/1000</f>
        <v>0</v>
      </c>
      <c r="AK202" s="1">
        <f>(3.14*(scheduleapr[[#This Row],[ACTUAL OD]]-scheduleapr[[#This Row],[TICKNESS]])*scheduleapr[[#This Row],[TICKNESS]]*scheduleapr[[#This Row],[LENGTH]]*7.85)/1000000*scheduleapr[[#This Row],[DISPATCH]]/1000</f>
        <v>3.0997399247999993</v>
      </c>
      <c r="AL202" s="1">
        <f t="shared" si="8"/>
        <v>-3.0997399247999993</v>
      </c>
      <c r="AM202" s="1" t="e">
        <f>scheduleapr[[#This Row],[SCHEDULE in nos]]/scheduleapr[[#This Row],[SCHEDULE IN MT]]*scheduleapr[[#This Row],[CTL Stock]]</f>
        <v>#DIV/0!</v>
      </c>
      <c r="AN202" s="1">
        <f>SUMIFS(stock[MT],stock[Bucket],scheduleapr[[#This Row],[Bucket]],stock[CTL Bucket],scheduleapr[[#This Row],[CTL Bucket]],stock[Plant],"0789")</f>
        <v>12.762480999999999</v>
      </c>
      <c r="AO202" s="1"/>
      <c r="AP202" s="1">
        <f>SUMIFS(stock[MT],stock[Bucket],scheduleapr[[#This Row],[Bucket]],stock[LL or CTL],"LL")</f>
        <v>31.079670999999998</v>
      </c>
      <c r="AQ202" s="1">
        <f>+SUMIFS(wip[Stock(Net Wt)],wip[Bucket],scheduleapr[[#This Row],[Bucket]])/1000</f>
        <v>129.15199999999999</v>
      </c>
      <c r="AR202" s="1">
        <f t="shared" si="9"/>
        <v>-12.762480999999999</v>
      </c>
      <c r="AS202" s="118"/>
    </row>
    <row r="203" spans="1:45" x14ac:dyDescent="0.25">
      <c r="A203" s="30">
        <v>162</v>
      </c>
      <c r="B203" s="5" t="s">
        <v>1816</v>
      </c>
      <c r="C203" s="2" t="s">
        <v>289</v>
      </c>
      <c r="D203" s="2" t="s">
        <v>289</v>
      </c>
      <c r="E203" s="2">
        <v>189002</v>
      </c>
      <c r="F203" s="2">
        <v>3233555</v>
      </c>
      <c r="G203" s="2" t="str">
        <f>_xlfn.CONCAT(scheduleapr[[#This Row],[CUSTOMER CODE]],"-",scheduleapr[[#This Row],[MATERIAL NO]])</f>
        <v>189002-3233555</v>
      </c>
      <c r="H203" s="2" t="s">
        <v>482</v>
      </c>
      <c r="I203" s="2" t="s">
        <v>229</v>
      </c>
      <c r="J203" s="44"/>
      <c r="K203" s="44" t="s">
        <v>963</v>
      </c>
      <c r="L203" s="2" t="s">
        <v>1867</v>
      </c>
      <c r="M203" s="44"/>
      <c r="N203" s="44"/>
      <c r="O203" s="44"/>
      <c r="P203" s="44"/>
      <c r="Q203" s="557" t="str">
        <f>CONCATENATE(scheduleapr[[#This Row],[OD]],"-",scheduleapr[[#This Row],[ID]],"-",scheduleapr[[#This Row],[TICKNESS]],"-",scheduleapr[[#This Row],[Grade]],"-",scheduleapr[[#This Row],[FC/NFC]])</f>
        <v>40-20-1.2-CRFH-PE</v>
      </c>
      <c r="R203" s="557" t="str">
        <f>_xlfn.CONCAT(scheduleapr[[#This Row],[Bucket]],"-",scheduleapr[[#This Row],[LENGTH]]/1000)</f>
        <v>40-20-1.2-CRFH-PE-1.12</v>
      </c>
      <c r="S203" s="557">
        <f>COUNTIF(scheduleapr[CTL Bucket],scheduleapr[[#This Row],[CTL Bucket]])</f>
        <v>5</v>
      </c>
      <c r="T203" s="2" t="s">
        <v>1816</v>
      </c>
      <c r="U203" s="2"/>
      <c r="V203" s="557"/>
      <c r="W203" s="557"/>
      <c r="X203" s="1">
        <v>38.1</v>
      </c>
      <c r="Y203" s="1">
        <v>40</v>
      </c>
      <c r="Z203" s="1">
        <v>20</v>
      </c>
      <c r="AA203" s="1">
        <v>1.2</v>
      </c>
      <c r="AB203" s="24">
        <v>1120</v>
      </c>
      <c r="AC203" s="24" t="s">
        <v>397</v>
      </c>
      <c r="AD203" s="24"/>
      <c r="AE203" s="24"/>
      <c r="AF203" s="2"/>
      <c r="AG203" s="2"/>
      <c r="AH203" s="2" cm="1">
        <f t="array" ref="AH2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203" s="4">
        <f>scheduleapr[[#This Row],[SCHEDULE in nos]]-scheduleapr[[#This Row],[DISPATCH]]</f>
        <v>-14000</v>
      </c>
      <c r="AJ203" s="1">
        <f>(3.14*(scheduleapr[[#This Row],[ACTUAL OD]]-scheduleapr[[#This Row],[TICKNESS]])*scheduleapr[[#This Row],[TICKNESS]]*scheduleapr[[#This Row],[LENGTH]]*7.85)/1000000*scheduleapr[[#This Row],[SCHEDULE in nos]]/1000</f>
        <v>0</v>
      </c>
      <c r="AK203" s="1">
        <f>(3.14*(scheduleapr[[#This Row],[ACTUAL OD]]-scheduleapr[[#This Row],[TICKNESS]])*scheduleapr[[#This Row],[TICKNESS]]*scheduleapr[[#This Row],[LENGTH]]*7.85)/1000000*scheduleapr[[#This Row],[DISPATCH]]/1000</f>
        <v>17.114057049599996</v>
      </c>
      <c r="AL203" s="1">
        <f t="shared" si="8"/>
        <v>-17.114057049599996</v>
      </c>
      <c r="AM203" s="1" t="e">
        <f>scheduleapr[[#This Row],[SCHEDULE in nos]]/scheduleapr[[#This Row],[SCHEDULE IN MT]]*scheduleapr[[#This Row],[CTL Stock]]</f>
        <v>#DIV/0!</v>
      </c>
      <c r="AN203" s="1">
        <f>SUMIFS(stock[MT],stock[Bucket],scheduleapr[[#This Row],[Bucket]],stock[CTL Bucket],scheduleapr[[#This Row],[CTL Bucket]],stock[Plant],"0789")</f>
        <v>3.4594640000000005</v>
      </c>
      <c r="AO203" s="1"/>
      <c r="AP203" s="1">
        <f>SUMIFS(stock[MT],stock[Bucket],scheduleapr[[#This Row],[Bucket]],stock[LL or CTL],"LL")</f>
        <v>31.079670999999998</v>
      </c>
      <c r="AQ203" s="1">
        <f>+SUMIFS(wip[Stock(Net Wt)],wip[Bucket],scheduleapr[[#This Row],[Bucket]])/1000</f>
        <v>129.15199999999999</v>
      </c>
      <c r="AR203" s="1">
        <f t="shared" si="9"/>
        <v>-3.4594640000000005</v>
      </c>
      <c r="AS203" s="118"/>
    </row>
    <row r="204" spans="1:45" x14ac:dyDescent="0.25">
      <c r="A204" s="30">
        <v>752</v>
      </c>
      <c r="B204" s="5" t="s">
        <v>1816</v>
      </c>
      <c r="C204" s="2" t="s">
        <v>305</v>
      </c>
      <c r="D204" s="2" t="s">
        <v>289</v>
      </c>
      <c r="E204" s="2">
        <v>189002</v>
      </c>
      <c r="F204" s="2">
        <v>3233555</v>
      </c>
      <c r="G204" s="2" t="str">
        <f>_xlfn.CONCAT(scheduleapr[[#This Row],[CUSTOMER CODE]],"-",scheduleapr[[#This Row],[MATERIAL NO]])</f>
        <v>189002-3233555</v>
      </c>
      <c r="H204" s="2" t="s">
        <v>482</v>
      </c>
      <c r="I204" s="2" t="s">
        <v>229</v>
      </c>
      <c r="J204" s="44"/>
      <c r="K204" s="44" t="s">
        <v>963</v>
      </c>
      <c r="L204" s="2" t="s">
        <v>1867</v>
      </c>
      <c r="M204" s="44"/>
      <c r="N204" s="44"/>
      <c r="O204" s="44"/>
      <c r="P204" s="44"/>
      <c r="Q204" s="557" t="str">
        <f>CONCATENATE(scheduleapr[[#This Row],[OD]],"-",scheduleapr[[#This Row],[ID]],"-",scheduleapr[[#This Row],[TICKNESS]],"-",scheduleapr[[#This Row],[Grade]],"-",scheduleapr[[#This Row],[FC/NFC]])</f>
        <v>40-20-1.2-CRFH-PE</v>
      </c>
      <c r="R204" s="557" t="str">
        <f>_xlfn.CONCAT(scheduleapr[[#This Row],[Bucket]],"-",scheduleapr[[#This Row],[LENGTH]]/1000)</f>
        <v>40-20-1.2-CRFH-PE-1.12</v>
      </c>
      <c r="S204" s="557">
        <f>COUNTIF(scheduleapr[CTL Bucket],scheduleapr[[#This Row],[CTL Bucket]])</f>
        <v>5</v>
      </c>
      <c r="T204" s="2" t="s">
        <v>1816</v>
      </c>
      <c r="U204" s="2">
        <f>_xlfn.IFNA(VLOOKUP(scheduleapr[[#This Row],[Bucket]],salesforecast[[#All],[Bucket2]:[8406 Stock]],19,0),0)</f>
        <v>5.6431899999999997</v>
      </c>
      <c r="V204" s="562">
        <f>_xlfn.IFNA(VLOOKUP(scheduleapr[[#This Row],[Bucket]],salesforecast[[#All],[Bucket2]:[8406 Stock]],20,0),0)+_xlfn.IFNA(VLOOKUP(scheduleapr[[#This Row],[Bucket]],salesforecast[[#All],[Bucket2]:[8406 Stock]],17,0),0)</f>
        <v>0</v>
      </c>
      <c r="W204" s="2"/>
      <c r="X204" s="1">
        <v>38.1</v>
      </c>
      <c r="Y204" s="1">
        <v>40</v>
      </c>
      <c r="Z204" s="1">
        <v>20</v>
      </c>
      <c r="AA204" s="1">
        <v>1.2</v>
      </c>
      <c r="AB204" s="24">
        <v>1120</v>
      </c>
      <c r="AC204" s="24" t="s">
        <v>397</v>
      </c>
      <c r="AD204" s="24"/>
      <c r="AE204" s="24"/>
      <c r="AF204" s="2">
        <v>28000</v>
      </c>
      <c r="AG204" s="2"/>
      <c r="AH204" s="2" cm="1">
        <f t="array" ref="AH2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204" s="4">
        <f>scheduleapr[[#This Row],[SCHEDULE in nos]]-scheduleapr[[#This Row],[DISPATCH]]</f>
        <v>14000</v>
      </c>
      <c r="AJ204" s="1">
        <f>(3.14*(scheduleapr[[#This Row],[ACTUAL OD]]-scheduleapr[[#This Row],[TICKNESS]])*scheduleapr[[#This Row],[TICKNESS]]*scheduleapr[[#This Row],[LENGTH]]*7.85)/1000000*scheduleapr[[#This Row],[SCHEDULE in nos]]/1000</f>
        <v>34.228114099199992</v>
      </c>
      <c r="AK204" s="1">
        <f>(3.14*(scheduleapr[[#This Row],[ACTUAL OD]]-scheduleapr[[#This Row],[TICKNESS]])*scheduleapr[[#This Row],[TICKNESS]]*scheduleapr[[#This Row],[LENGTH]]*7.85)/1000000*scheduleapr[[#This Row],[DISPATCH]]/1000</f>
        <v>17.114057049599996</v>
      </c>
      <c r="AL204" s="1">
        <f t="shared" si="8"/>
        <v>17.114057049599996</v>
      </c>
      <c r="AM204" s="1">
        <f>scheduleapr[[#This Row],[SCHEDULE in nos]]/scheduleapr[[#This Row],[SCHEDULE IN MT]]*scheduleapr[[#This Row],[CTL Stock]]</f>
        <v>25424.444521772224</v>
      </c>
      <c r="AN204" s="1">
        <f>SUMIFS(stock[MT],stock[Bucket],scheduleapr[[#This Row],[Bucket]],stock[LL or CTL],"LL")</f>
        <v>31.079670999999998</v>
      </c>
      <c r="AO204" s="1">
        <f>+SUMIFS(wip[Stock(Net Wt)],wip[Bucket],scheduleapr[[#This Row],[Bucket]])/1000</f>
        <v>129.15199999999999</v>
      </c>
      <c r="AP204" s="1">
        <f>AH204-AL204</f>
        <v>13982.885942950399</v>
      </c>
      <c r="AQ204" s="1">
        <f>+SUMIFS(wip[Stock(Net Wt)],wip[Bucket],scheduleapr[[#This Row],[Bucket]])/1000</f>
        <v>129.15199999999999</v>
      </c>
      <c r="AR204" s="1">
        <f t="shared" si="9"/>
        <v>3.1484430991999943</v>
      </c>
      <c r="AS204" s="118"/>
    </row>
    <row r="205" spans="1:45" x14ac:dyDescent="0.25">
      <c r="A205" s="30">
        <v>163</v>
      </c>
      <c r="B205" s="5" t="s">
        <v>1816</v>
      </c>
      <c r="C205" s="2" t="s">
        <v>289</v>
      </c>
      <c r="D205" s="2" t="s">
        <v>289</v>
      </c>
      <c r="E205" s="2">
        <v>189002</v>
      </c>
      <c r="F205" s="2">
        <v>3233554</v>
      </c>
      <c r="G205" s="2" t="str">
        <f>_xlfn.CONCAT(scheduleapr[[#This Row],[CUSTOMER CODE]],"-",scheduleapr[[#This Row],[MATERIAL NO]])</f>
        <v>189002-3233554</v>
      </c>
      <c r="H205" s="2" t="s">
        <v>480</v>
      </c>
      <c r="I205" s="2" t="s">
        <v>229</v>
      </c>
      <c r="J205" s="44"/>
      <c r="K205" s="44" t="s">
        <v>963</v>
      </c>
      <c r="L205" s="2" t="s">
        <v>1867</v>
      </c>
      <c r="M205" s="44"/>
      <c r="N205" s="44"/>
      <c r="O205" s="44"/>
      <c r="P205" s="44"/>
      <c r="Q205" s="557" t="str">
        <f>CONCATENATE(scheduleapr[[#This Row],[OD]],"-",scheduleapr[[#This Row],[ID]],"-",scheduleapr[[#This Row],[TICKNESS]],"-",scheduleapr[[#This Row],[Grade]],"-",scheduleapr[[#This Row],[FC/NFC]])</f>
        <v>40-20-1.2-CRFH-PE</v>
      </c>
      <c r="R205" s="557" t="str">
        <f>_xlfn.CONCAT(scheduleapr[[#This Row],[Bucket]],"-",scheduleapr[[#This Row],[LENGTH]]/1000)</f>
        <v>40-20-1.2-CRFH-PE-1.246</v>
      </c>
      <c r="S205" s="557">
        <f>COUNTIF(scheduleapr[CTL Bucket],scheduleapr[[#This Row],[CTL Bucket]])</f>
        <v>5</v>
      </c>
      <c r="T205" s="2" t="s">
        <v>1816</v>
      </c>
      <c r="U205" s="2"/>
      <c r="V205" s="557"/>
      <c r="W205" s="557"/>
      <c r="X205" s="1">
        <v>38.1</v>
      </c>
      <c r="Y205" s="1">
        <v>40</v>
      </c>
      <c r="Z205" s="1">
        <v>20</v>
      </c>
      <c r="AA205" s="1">
        <v>1.2</v>
      </c>
      <c r="AB205" s="24">
        <v>1246</v>
      </c>
      <c r="AC205" s="24" t="s">
        <v>397</v>
      </c>
      <c r="AD205" s="24"/>
      <c r="AE205" s="24"/>
      <c r="AF205" s="2"/>
      <c r="AG205" s="2"/>
      <c r="AH205" s="2" cm="1">
        <f t="array" ref="AH2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205" s="4">
        <f>scheduleapr[[#This Row],[SCHEDULE in nos]]-scheduleapr[[#This Row],[DISPATCH]]</f>
        <v>-3500</v>
      </c>
      <c r="AJ205" s="1">
        <f>(3.14*(scheduleapr[[#This Row],[ACTUAL OD]]-scheduleapr[[#This Row],[TICKNESS]])*scheduleapr[[#This Row],[TICKNESS]]*scheduleapr[[#This Row],[LENGTH]]*7.85)/1000000*scheduleapr[[#This Row],[SCHEDULE in nos]]/1000</f>
        <v>0</v>
      </c>
      <c r="AK205" s="1">
        <f>(3.14*(scheduleapr[[#This Row],[ACTUAL OD]]-scheduleapr[[#This Row],[TICKNESS]])*scheduleapr[[#This Row],[TICKNESS]]*scheduleapr[[#This Row],[LENGTH]]*7.85)/1000000*scheduleapr[[#This Row],[DISPATCH]]/1000</f>
        <v>4.7598471169199996</v>
      </c>
      <c r="AL205" s="1">
        <f t="shared" si="8"/>
        <v>-4.7598471169199996</v>
      </c>
      <c r="AM205" s="1" t="e">
        <f>scheduleapr[[#This Row],[SCHEDULE in nos]]/scheduleapr[[#This Row],[SCHEDULE IN MT]]*scheduleapr[[#This Row],[CTL Stock]]</f>
        <v>#DIV/0!</v>
      </c>
      <c r="AN205" s="1">
        <f>SUMIFS(stock[MT],stock[Bucket],scheduleapr[[#This Row],[Bucket]],stock[CTL Bucket],scheduleapr[[#This Row],[CTL Bucket]],stock[Plant],"0789")</f>
        <v>2.0121020000000001</v>
      </c>
      <c r="AO205" s="1"/>
      <c r="AP205" s="1">
        <f>SUMIFS(stock[MT],stock[Bucket],scheduleapr[[#This Row],[Bucket]],stock[LL or CTL],"LL")</f>
        <v>31.079670999999998</v>
      </c>
      <c r="AQ205" s="1">
        <f>+SUMIFS(wip[Stock(Net Wt)],wip[Bucket],scheduleapr[[#This Row],[Bucket]])/1000</f>
        <v>129.15199999999999</v>
      </c>
      <c r="AR205" s="1">
        <f t="shared" si="9"/>
        <v>-2.0121020000000001</v>
      </c>
      <c r="AS205" s="118"/>
    </row>
    <row r="206" spans="1:45" x14ac:dyDescent="0.25">
      <c r="A206" s="30">
        <v>771</v>
      </c>
      <c r="B206" s="5" t="s">
        <v>1816</v>
      </c>
      <c r="C206" s="2" t="s">
        <v>305</v>
      </c>
      <c r="D206" s="2" t="s">
        <v>289</v>
      </c>
      <c r="E206" s="2">
        <v>189002</v>
      </c>
      <c r="F206" s="2">
        <v>3233554</v>
      </c>
      <c r="G206" s="2" t="str">
        <f>_xlfn.CONCAT(scheduleapr[[#This Row],[CUSTOMER CODE]],"-",scheduleapr[[#This Row],[MATERIAL NO]])</f>
        <v>189002-3233554</v>
      </c>
      <c r="H206" s="2" t="s">
        <v>480</v>
      </c>
      <c r="I206" s="2" t="s">
        <v>229</v>
      </c>
      <c r="J206" s="44"/>
      <c r="K206" s="44" t="s">
        <v>963</v>
      </c>
      <c r="L206" s="2" t="s">
        <v>1867</v>
      </c>
      <c r="M206" s="44"/>
      <c r="N206" s="44"/>
      <c r="O206" s="44"/>
      <c r="P206" s="44"/>
      <c r="Q206" s="557" t="str">
        <f>CONCATENATE(scheduleapr[[#This Row],[OD]],"-",scheduleapr[[#This Row],[ID]],"-",scheduleapr[[#This Row],[TICKNESS]],"-",scheduleapr[[#This Row],[Grade]],"-",scheduleapr[[#This Row],[FC/NFC]])</f>
        <v>40-20-1.2-CRFH-PE</v>
      </c>
      <c r="R206" s="557" t="str">
        <f>_xlfn.CONCAT(scheduleapr[[#This Row],[Bucket]],"-",scheduleapr[[#This Row],[LENGTH]]/1000)</f>
        <v>40-20-1.2-CRFH-PE-1.246</v>
      </c>
      <c r="S206" s="557">
        <f>COUNTIF(scheduleapr[CTL Bucket],scheduleapr[[#This Row],[CTL Bucket]])</f>
        <v>5</v>
      </c>
      <c r="T206" s="2" t="s">
        <v>1816</v>
      </c>
      <c r="U206" s="2">
        <f>_xlfn.IFNA(VLOOKUP(scheduleapr[[#This Row],[Bucket]],salesforecast[[#All],[Bucket2]:[8406 Stock]],19,0),0)</f>
        <v>5.6431899999999997</v>
      </c>
      <c r="V206" s="562">
        <f>_xlfn.IFNA(VLOOKUP(scheduleapr[[#This Row],[Bucket]],salesforecast[[#All],[Bucket2]:[8406 Stock]],20,0),0)+_xlfn.IFNA(VLOOKUP(scheduleapr[[#This Row],[Bucket]],salesforecast[[#All],[Bucket2]:[8406 Stock]],17,0),0)</f>
        <v>0</v>
      </c>
      <c r="W206" s="2"/>
      <c r="X206" s="1">
        <v>38.1</v>
      </c>
      <c r="Y206" s="1">
        <v>40</v>
      </c>
      <c r="Z206" s="1">
        <v>20</v>
      </c>
      <c r="AA206" s="1">
        <v>1.2</v>
      </c>
      <c r="AB206" s="24">
        <v>1246</v>
      </c>
      <c r="AC206" s="24" t="s">
        <v>397</v>
      </c>
      <c r="AD206" s="24"/>
      <c r="AE206" s="24"/>
      <c r="AF206" s="2">
        <v>7000</v>
      </c>
      <c r="AG206" s="2"/>
      <c r="AH206" s="2" cm="1">
        <f t="array" ref="AH2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206" s="4">
        <f>scheduleapr[[#This Row],[SCHEDULE in nos]]-scheduleapr[[#This Row],[DISPATCH]]</f>
        <v>3500</v>
      </c>
      <c r="AJ206" s="1">
        <f>(3.14*(scheduleapr[[#This Row],[ACTUAL OD]]-scheduleapr[[#This Row],[TICKNESS]])*scheduleapr[[#This Row],[TICKNESS]]*scheduleapr[[#This Row],[LENGTH]]*7.85)/1000000*scheduleapr[[#This Row],[SCHEDULE in nos]]/1000</f>
        <v>9.5196942338399992</v>
      </c>
      <c r="AK206" s="1">
        <f>(3.14*(scheduleapr[[#This Row],[ACTUAL OD]]-scheduleapr[[#This Row],[TICKNESS]])*scheduleapr[[#This Row],[TICKNESS]]*scheduleapr[[#This Row],[LENGTH]]*7.85)/1000000*scheduleapr[[#This Row],[DISPATCH]]/1000</f>
        <v>4.7598471169199996</v>
      </c>
      <c r="AL206" s="1">
        <f t="shared" si="8"/>
        <v>4.7598471169199996</v>
      </c>
      <c r="AM206" s="1">
        <f>scheduleapr[[#This Row],[SCHEDULE in nos]]/scheduleapr[[#This Row],[SCHEDULE IN MT]]*scheduleapr[[#This Row],[CTL Stock]]</f>
        <v>22853.433277997505</v>
      </c>
      <c r="AN206" s="1">
        <f>SUMIFS(stock[MT],stock[Bucket],scheduleapr[[#This Row],[Bucket]],stock[LL or CTL],"LL")</f>
        <v>31.079670999999998</v>
      </c>
      <c r="AO206" s="1">
        <f>+SUMIFS(wip[Stock(Net Wt)],wip[Bucket],scheduleapr[[#This Row],[Bucket]])/1000</f>
        <v>129.15199999999999</v>
      </c>
      <c r="AP206" s="1">
        <f>AH206-AL206</f>
        <v>3495.2401528830801</v>
      </c>
      <c r="AQ206" s="1">
        <f>+SUMIFS(wip[Stock(Net Wt)],wip[Bucket],scheduleapr[[#This Row],[Bucket]])/1000</f>
        <v>129.15199999999999</v>
      </c>
      <c r="AR206" s="1">
        <f t="shared" si="9"/>
        <v>-21.559976766159998</v>
      </c>
      <c r="AS206" s="118"/>
    </row>
    <row r="207" spans="1:45" x14ac:dyDescent="0.25">
      <c r="A207" s="30">
        <v>164</v>
      </c>
      <c r="B207" s="5" t="s">
        <v>1816</v>
      </c>
      <c r="C207" s="2" t="s">
        <v>289</v>
      </c>
      <c r="D207" s="2" t="s">
        <v>289</v>
      </c>
      <c r="E207" s="2">
        <v>189002</v>
      </c>
      <c r="F207" s="2">
        <v>3233553</v>
      </c>
      <c r="G207" s="2" t="str">
        <f>_xlfn.CONCAT(scheduleapr[[#This Row],[CUSTOMER CODE]],"-",scheduleapr[[#This Row],[MATERIAL NO]])</f>
        <v>189002-3233553</v>
      </c>
      <c r="H207" s="2" t="s">
        <v>1673</v>
      </c>
      <c r="I207" s="2" t="s">
        <v>229</v>
      </c>
      <c r="J207" s="44"/>
      <c r="K207" s="44" t="s">
        <v>963</v>
      </c>
      <c r="L207" s="2" t="s">
        <v>1867</v>
      </c>
      <c r="M207" s="44"/>
      <c r="N207" s="44"/>
      <c r="O207" s="44"/>
      <c r="P207" s="44"/>
      <c r="Q207" s="557" t="str">
        <f>CONCATENATE(scheduleapr[[#This Row],[OD]],"-",scheduleapr[[#This Row],[ID]],"-",scheduleapr[[#This Row],[TICKNESS]],"-",scheduleapr[[#This Row],[Grade]],"-",scheduleapr[[#This Row],[FC/NFC]])</f>
        <v>40-20-1.2-CRFH-PE</v>
      </c>
      <c r="R207" s="557" t="str">
        <f>_xlfn.CONCAT(scheduleapr[[#This Row],[Bucket]],"-",scheduleapr[[#This Row],[LENGTH]]/1000)</f>
        <v>40-20-1.2-CRFH-PE-1.298</v>
      </c>
      <c r="S207" s="557">
        <f>COUNTIF(scheduleapr[CTL Bucket],scheduleapr[[#This Row],[CTL Bucket]])</f>
        <v>1</v>
      </c>
      <c r="T207" s="2" t="s">
        <v>1816</v>
      </c>
      <c r="U207" s="2"/>
      <c r="V207" s="557"/>
      <c r="W207" s="557"/>
      <c r="X207" s="1">
        <v>38.1</v>
      </c>
      <c r="Y207" s="1">
        <v>40</v>
      </c>
      <c r="Z207" s="1">
        <v>20</v>
      </c>
      <c r="AA207" s="1">
        <v>1.2</v>
      </c>
      <c r="AB207" s="24">
        <v>1298</v>
      </c>
      <c r="AC207" s="24" t="s">
        <v>397</v>
      </c>
      <c r="AD207" s="24"/>
      <c r="AE207" s="24"/>
      <c r="AF207" s="2"/>
      <c r="AG207" s="2"/>
      <c r="AH207" s="2" cm="1">
        <f t="array" ref="AH2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7" s="4">
        <f>scheduleapr[[#This Row],[SCHEDULE in nos]]-scheduleapr[[#This Row],[DISPATCH]]</f>
        <v>0</v>
      </c>
      <c r="AJ207" s="1">
        <f>(3.14*(scheduleapr[[#This Row],[ACTUAL OD]]-scheduleapr[[#This Row],[TICKNESS]])*scheduleapr[[#This Row],[TICKNESS]]*scheduleapr[[#This Row],[LENGTH]]*7.85)/1000000*scheduleapr[[#This Row],[SCHEDULE in nos]]/1000</f>
        <v>0</v>
      </c>
      <c r="AK207" s="1">
        <f>(3.14*(scheduleapr[[#This Row],[ACTUAL OD]]-scheduleapr[[#This Row],[TICKNESS]])*scheduleapr[[#This Row],[TICKNESS]]*scheduleapr[[#This Row],[LENGTH]]*7.85)/1000000*scheduleapr[[#This Row],[DISPATCH]]/1000</f>
        <v>0</v>
      </c>
      <c r="AL207" s="1">
        <f t="shared" si="8"/>
        <v>0</v>
      </c>
      <c r="AM207" s="1" t="e">
        <f>scheduleapr[[#This Row],[SCHEDULE in nos]]/scheduleapr[[#This Row],[SCHEDULE IN MT]]*scheduleapr[[#This Row],[CTL Stock]]</f>
        <v>#DIV/0!</v>
      </c>
      <c r="AN207" s="1">
        <f>SUMIFS(stock[MT],stock[Bucket],scheduleapr[[#This Row],[Bucket]],stock[CTL Bucket],scheduleapr[[#This Row],[CTL Bucket]],stock[Plant],"0789")</f>
        <v>0</v>
      </c>
      <c r="AO207" s="1"/>
      <c r="AP207" s="1">
        <f>SUMIFS(stock[MT],stock[Bucket],scheduleapr[[#This Row],[Bucket]],stock[LL or CTL],"LL")</f>
        <v>31.079670999999998</v>
      </c>
      <c r="AQ207" s="1">
        <f>+SUMIFS(wip[Stock(Net Wt)],wip[Bucket],scheduleapr[[#This Row],[Bucket]])/1000</f>
        <v>129.15199999999999</v>
      </c>
      <c r="AR207" s="1">
        <f t="shared" si="9"/>
        <v>0</v>
      </c>
      <c r="AS207" s="118"/>
    </row>
    <row r="208" spans="1:45" x14ac:dyDescent="0.25">
      <c r="A208" s="30">
        <v>165</v>
      </c>
      <c r="B208" s="5" t="s">
        <v>1816</v>
      </c>
      <c r="C208" s="2" t="s">
        <v>289</v>
      </c>
      <c r="D208" s="2" t="s">
        <v>289</v>
      </c>
      <c r="E208" s="2">
        <v>189002</v>
      </c>
      <c r="F208" s="2">
        <v>1940801</v>
      </c>
      <c r="G208" s="2" t="str">
        <f>_xlfn.CONCAT(scheduleapr[[#This Row],[CUSTOMER CODE]],"-",scheduleapr[[#This Row],[MATERIAL NO]])</f>
        <v>189002-1940801</v>
      </c>
      <c r="H208" s="2" t="s">
        <v>478</v>
      </c>
      <c r="I208" s="2" t="s">
        <v>229</v>
      </c>
      <c r="J208" s="44"/>
      <c r="K208" s="44" t="s">
        <v>963</v>
      </c>
      <c r="L208" s="2" t="s">
        <v>1867</v>
      </c>
      <c r="M208" s="44"/>
      <c r="N208" s="44"/>
      <c r="O208" s="44"/>
      <c r="P208" s="44"/>
      <c r="Q208" s="557" t="str">
        <f>CONCATENATE(scheduleapr[[#This Row],[OD]],"-",scheduleapr[[#This Row],[ID]],"-",scheduleapr[[#This Row],[TICKNESS]],"-",scheduleapr[[#This Row],[Grade]],"-",scheduleapr[[#This Row],[FC/NFC]])</f>
        <v>40-20-1.2-CRFH-PE</v>
      </c>
      <c r="R208" s="557" t="str">
        <f>_xlfn.CONCAT(scheduleapr[[#This Row],[Bucket]],"-",scheduleapr[[#This Row],[LENGTH]]/1000)</f>
        <v>40-20-1.2-CRFH-PE-1.31</v>
      </c>
      <c r="S208" s="557">
        <f>COUNTIF(scheduleapr[CTL Bucket],scheduleapr[[#This Row],[CTL Bucket]])</f>
        <v>5</v>
      </c>
      <c r="T208" s="2" t="s">
        <v>1816</v>
      </c>
      <c r="U208" s="2"/>
      <c r="V208" s="557"/>
      <c r="W208" s="557"/>
      <c r="X208" s="1">
        <v>38.1</v>
      </c>
      <c r="Y208" s="1">
        <v>40</v>
      </c>
      <c r="Z208" s="1">
        <v>20</v>
      </c>
      <c r="AA208" s="1">
        <v>1.2</v>
      </c>
      <c r="AB208" s="24">
        <v>1310</v>
      </c>
      <c r="AC208" s="24" t="s">
        <v>397</v>
      </c>
      <c r="AD208" s="24"/>
      <c r="AE208" s="24"/>
      <c r="AF208" s="2"/>
      <c r="AG208" s="2"/>
      <c r="AH208" s="2" cm="1">
        <f t="array" ref="AH2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10500</v>
      </c>
      <c r="AI208" s="4">
        <f>scheduleapr[[#This Row],[SCHEDULE in nos]]-scheduleapr[[#This Row],[DISPATCH]]</f>
        <v>-10500</v>
      </c>
      <c r="AJ208" s="1">
        <f>(3.14*(scheduleapr[[#This Row],[ACTUAL OD]]-scheduleapr[[#This Row],[TICKNESS]])*scheduleapr[[#This Row],[TICKNESS]]*scheduleapr[[#This Row],[LENGTH]]*7.85)/1000000*scheduleapr[[#This Row],[SCHEDULE in nos]]/1000</f>
        <v>0</v>
      </c>
      <c r="AK208" s="1">
        <f>(3.14*(scheduleapr[[#This Row],[ACTUAL OD]]-scheduleapr[[#This Row],[TICKNESS]])*scheduleapr[[#This Row],[TICKNESS]]*scheduleapr[[#This Row],[LENGTH]]*7.85)/1000000*scheduleapr[[#This Row],[DISPATCH]]/1000</f>
        <v>15.013000938599998</v>
      </c>
      <c r="AL208" s="1">
        <f t="shared" si="8"/>
        <v>-15.013000938599998</v>
      </c>
      <c r="AM208" s="1" t="e">
        <f>scheduleapr[[#This Row],[SCHEDULE in nos]]/scheduleapr[[#This Row],[SCHEDULE IN MT]]*scheduleapr[[#This Row],[CTL Stock]]</f>
        <v>#DIV/0!</v>
      </c>
      <c r="AN208" s="1">
        <f>SUMIFS(stock[MT],stock[Bucket],scheduleapr[[#This Row],[Bucket]],stock[CTL Bucket],scheduleapr[[#This Row],[CTL Bucket]],stock[Plant],"0789")</f>
        <v>2.1900629999999999</v>
      </c>
      <c r="AO208" s="1"/>
      <c r="AP208" s="1">
        <f>SUMIFS(stock[MT],stock[Bucket],scheduleapr[[#This Row],[Bucket]],stock[LL or CTL],"LL")</f>
        <v>31.079670999999998</v>
      </c>
      <c r="AQ208" s="1">
        <f>+SUMIFS(wip[Stock(Net Wt)],wip[Bucket],scheduleapr[[#This Row],[Bucket]])/1000</f>
        <v>129.15199999999999</v>
      </c>
      <c r="AR208" s="1">
        <f t="shared" si="9"/>
        <v>-2.1900629999999999</v>
      </c>
      <c r="AS208" s="118"/>
    </row>
    <row r="209" spans="1:45" x14ac:dyDescent="0.25">
      <c r="A209" s="30">
        <v>751</v>
      </c>
      <c r="B209" s="5" t="s">
        <v>1816</v>
      </c>
      <c r="C209" s="2" t="s">
        <v>305</v>
      </c>
      <c r="D209" s="2" t="s">
        <v>289</v>
      </c>
      <c r="E209" s="2">
        <v>189002</v>
      </c>
      <c r="F209" s="2">
        <v>1940801</v>
      </c>
      <c r="G209" s="2" t="str">
        <f>_xlfn.CONCAT(scheduleapr[[#This Row],[CUSTOMER CODE]],"-",scheduleapr[[#This Row],[MATERIAL NO]])</f>
        <v>189002-1940801</v>
      </c>
      <c r="H209" s="2" t="s">
        <v>478</v>
      </c>
      <c r="I209" s="2" t="s">
        <v>229</v>
      </c>
      <c r="J209" s="44"/>
      <c r="K209" s="44" t="s">
        <v>963</v>
      </c>
      <c r="L209" s="2" t="s">
        <v>1867</v>
      </c>
      <c r="M209" s="44"/>
      <c r="N209" s="44"/>
      <c r="O209" s="44"/>
      <c r="P209" s="44"/>
      <c r="Q209" s="557" t="str">
        <f>CONCATENATE(scheduleapr[[#This Row],[OD]],"-",scheduleapr[[#This Row],[ID]],"-",scheduleapr[[#This Row],[TICKNESS]],"-",scheduleapr[[#This Row],[Grade]],"-",scheduleapr[[#This Row],[FC/NFC]])</f>
        <v>40-20-1.2-CRFH-PE</v>
      </c>
      <c r="R209" s="557" t="str">
        <f>_xlfn.CONCAT(scheduleapr[[#This Row],[Bucket]],"-",scheduleapr[[#This Row],[LENGTH]]/1000)</f>
        <v>40-20-1.2-CRFH-PE-1.31</v>
      </c>
      <c r="S209" s="557">
        <f>COUNTIF(scheduleapr[CTL Bucket],scheduleapr[[#This Row],[CTL Bucket]])</f>
        <v>5</v>
      </c>
      <c r="T209" s="2" t="s">
        <v>1816</v>
      </c>
      <c r="U209" s="2">
        <f>_xlfn.IFNA(VLOOKUP(scheduleapr[[#This Row],[Bucket]],salesforecast[[#All],[Bucket2]:[8406 Stock]],19,0),0)</f>
        <v>5.6431899999999997</v>
      </c>
      <c r="V209" s="562">
        <f>_xlfn.IFNA(VLOOKUP(scheduleapr[[#This Row],[Bucket]],salesforecast[[#All],[Bucket2]:[8406 Stock]],20,0),0)+_xlfn.IFNA(VLOOKUP(scheduleapr[[#This Row],[Bucket]],salesforecast[[#All],[Bucket2]:[8406 Stock]],17,0),0)</f>
        <v>0</v>
      </c>
      <c r="W209" s="2"/>
      <c r="X209" s="1">
        <v>38.1</v>
      </c>
      <c r="Y209" s="1">
        <v>40</v>
      </c>
      <c r="Z209" s="1">
        <v>20</v>
      </c>
      <c r="AA209" s="1">
        <v>1.2</v>
      </c>
      <c r="AB209" s="24">
        <v>1310</v>
      </c>
      <c r="AC209" s="24" t="s">
        <v>397</v>
      </c>
      <c r="AD209" s="24"/>
      <c r="AE209" s="24"/>
      <c r="AF209" s="2">
        <v>21000</v>
      </c>
      <c r="AG209" s="2"/>
      <c r="AH209" s="2" cm="1">
        <f t="array" ref="AH2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10500</v>
      </c>
      <c r="AI209" s="4">
        <f>scheduleapr[[#This Row],[SCHEDULE in nos]]-scheduleapr[[#This Row],[DISPATCH]]</f>
        <v>10500</v>
      </c>
      <c r="AJ209" s="1">
        <f>(3.14*(scheduleapr[[#This Row],[ACTUAL OD]]-scheduleapr[[#This Row],[TICKNESS]])*scheduleapr[[#This Row],[TICKNESS]]*scheduleapr[[#This Row],[LENGTH]]*7.85)/1000000*scheduleapr[[#This Row],[SCHEDULE in nos]]/1000</f>
        <v>30.026001877199995</v>
      </c>
      <c r="AK209" s="1">
        <f>(3.14*(scheduleapr[[#This Row],[ACTUAL OD]]-scheduleapr[[#This Row],[TICKNESS]])*scheduleapr[[#This Row],[TICKNESS]]*scheduleapr[[#This Row],[LENGTH]]*7.85)/1000000*scheduleapr[[#This Row],[DISPATCH]]/1000</f>
        <v>15.013000938599998</v>
      </c>
      <c r="AL209" s="1">
        <f t="shared" si="8"/>
        <v>15.013000938599998</v>
      </c>
      <c r="AM209" s="1">
        <f>scheduleapr[[#This Row],[SCHEDULE in nos]]/scheduleapr[[#This Row],[SCHEDULE IN MT]]*scheduleapr[[#This Row],[CTL Stock]]</f>
        <v>21736.929667469383</v>
      </c>
      <c r="AN209" s="1">
        <f>SUMIFS(stock[MT],stock[Bucket],scheduleapr[[#This Row],[Bucket]],stock[LL or CTL],"LL")</f>
        <v>31.079670999999998</v>
      </c>
      <c r="AO209" s="1">
        <f>+SUMIFS(wip[Stock(Net Wt)],wip[Bucket],scheduleapr[[#This Row],[Bucket]])/1000</f>
        <v>129.15199999999999</v>
      </c>
      <c r="AP209" s="1">
        <f>AH209-AL209</f>
        <v>10484.986999061401</v>
      </c>
      <c r="AQ209" s="529">
        <f>+SUMIFS(wip[Stock(Net Wt)],wip[Bucket],scheduleapr[[#This Row],[Bucket]])/1000</f>
        <v>129.15199999999999</v>
      </c>
      <c r="AR209" s="1">
        <f t="shared" si="9"/>
        <v>-1.0536691228000024</v>
      </c>
      <c r="AS209" s="118"/>
    </row>
    <row r="210" spans="1:45" x14ac:dyDescent="0.25">
      <c r="A210" s="30">
        <v>172</v>
      </c>
      <c r="B210" s="5" t="s">
        <v>1816</v>
      </c>
      <c r="C210" s="2" t="s">
        <v>289</v>
      </c>
      <c r="D210" s="2" t="s">
        <v>289</v>
      </c>
      <c r="E210" s="2">
        <v>189002</v>
      </c>
      <c r="F210" s="2">
        <v>1940852</v>
      </c>
      <c r="G210" s="2" t="str">
        <f>_xlfn.CONCAT(scheduleapr[[#This Row],[CUSTOMER CODE]],"-",scheduleapr[[#This Row],[MATERIAL NO]])</f>
        <v>189002-1940852</v>
      </c>
      <c r="H210" s="2" t="s">
        <v>446</v>
      </c>
      <c r="I210" s="2" t="s">
        <v>229</v>
      </c>
      <c r="J210" s="2"/>
      <c r="K210" s="2" t="s">
        <v>963</v>
      </c>
      <c r="L210" s="2" t="s">
        <v>1867</v>
      </c>
      <c r="M210" s="2"/>
      <c r="N210" s="2"/>
      <c r="O210" s="2"/>
      <c r="P210" s="2"/>
      <c r="Q210" s="557" t="str">
        <f>CONCATENATE(scheduleapr[[#This Row],[OD]],"-",scheduleapr[[#This Row],[ID]],"-",scheduleapr[[#This Row],[TICKNESS]],"-",scheduleapr[[#This Row],[Grade]],"-",scheduleapr[[#This Row],[FC/NFC]])</f>
        <v>40-40-1.2-CRFH-PE</v>
      </c>
      <c r="R210" s="557" t="str">
        <f>_xlfn.CONCAT(scheduleapr[[#This Row],[Bucket]],"-",scheduleapr[[#This Row],[LENGTH]]/1000)</f>
        <v>40-40-1.2-CRFH-PE-1</v>
      </c>
      <c r="S210" s="557" t="e" vm="2">
        <f>COUNTIF([2]!buckets[CTL Bucket],[2]!scheduleapr[[#This Row],[CTL Bucket]])</f>
        <v>#REF!</v>
      </c>
      <c r="T210" s="2" t="s">
        <v>1816</v>
      </c>
      <c r="U210" s="2"/>
      <c r="V210" s="557"/>
      <c r="W210" s="557"/>
      <c r="X210" s="1">
        <v>50.8</v>
      </c>
      <c r="Y210" s="1">
        <v>40</v>
      </c>
      <c r="Z210" s="1">
        <v>40</v>
      </c>
      <c r="AA210" s="1">
        <v>1.2</v>
      </c>
      <c r="AB210" s="24">
        <v>1000</v>
      </c>
      <c r="AC210" s="24" t="s">
        <v>444</v>
      </c>
      <c r="AD210" s="24"/>
      <c r="AE210" s="24"/>
      <c r="AF210" s="2"/>
      <c r="AG210" s="2"/>
      <c r="AH210" s="2" cm="1">
        <f t="array" ref="AH2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4500</v>
      </c>
      <c r="AI210" s="4">
        <f>scheduleapr[[#This Row],[SCHEDULE in nos]]-scheduleapr[[#This Row],[DISPATCH]]</f>
        <v>-4500</v>
      </c>
      <c r="AJ210" s="1">
        <f>(3.14*(scheduleapr[[#This Row],[ACTUAL OD]]-scheduleapr[[#This Row],[TICKNESS]])*scheduleapr[[#This Row],[TICKNESS]]*scheduleapr[[#This Row],[LENGTH]]*7.85)/1000000*scheduleapr[[#This Row],[SCHEDULE in nos]]/1000</f>
        <v>0</v>
      </c>
      <c r="AK210" s="1">
        <f>(3.14*(scheduleapr[[#This Row],[ACTUAL OD]]-scheduleapr[[#This Row],[TICKNESS]])*scheduleapr[[#This Row],[TICKNESS]]*scheduleapr[[#This Row],[LENGTH]]*7.85)/1000000*scheduleapr[[#This Row],[DISPATCH]]/1000</f>
        <v>6.6019881599999986</v>
      </c>
      <c r="AL210" s="1">
        <f t="shared" si="8"/>
        <v>-6.6019881599999986</v>
      </c>
      <c r="AM210" s="1" t="e">
        <f>scheduleapr[[#This Row],[SCHEDULE in nos]]/scheduleapr[[#This Row],[SCHEDULE IN MT]]*scheduleapr[[#This Row],[CTL Stock]]</f>
        <v>#DIV/0!</v>
      </c>
      <c r="AN210" s="1">
        <f>SUMIFS(stock[MT],stock[Bucket],scheduleapr[[#This Row],[Bucket]],stock[CTL Bucket],scheduleapr[[#This Row],[CTL Bucket]],stock[Plant],"0789")</f>
        <v>1.450949</v>
      </c>
      <c r="AO210" s="1"/>
      <c r="AP210" s="1">
        <f>SUMIFS(stock[MT],stock[Bucket],scheduleapr[[#This Row],[Bucket]],stock[LL or CTL],"LL")</f>
        <v>1.450949</v>
      </c>
      <c r="AQ210" s="1">
        <f>+SUMIFS(wip[Stock(Net Wt)],wip[Bucket],scheduleapr[[#This Row],[Bucket]])/1000</f>
        <v>10.451000000000001</v>
      </c>
      <c r="AR210" s="1">
        <f t="shared" si="9"/>
        <v>-1.450949</v>
      </c>
      <c r="AS210" s="118"/>
    </row>
    <row r="211" spans="1:45" x14ac:dyDescent="0.25">
      <c r="A211" s="556"/>
      <c r="B211" s="5" t="s">
        <v>1816</v>
      </c>
      <c r="C211" s="2" t="s">
        <v>289</v>
      </c>
      <c r="D211" s="2" t="s">
        <v>289</v>
      </c>
      <c r="E211" s="44">
        <v>189002</v>
      </c>
      <c r="F211" s="557"/>
      <c r="G211" s="2" t="str">
        <f>_xlfn.CONCAT(scheduleapr[[#This Row],[CUSTOMER CODE]],"-",scheduleapr[[#This Row],[MATERIAL NO]])</f>
        <v>189002-</v>
      </c>
      <c r="H211" s="557"/>
      <c r="I211" s="557" t="s">
        <v>962</v>
      </c>
      <c r="J211" s="557"/>
      <c r="K211" s="2" t="s">
        <v>963</v>
      </c>
      <c r="L211" s="2" t="s">
        <v>239</v>
      </c>
      <c r="M211" s="558"/>
      <c r="N211" s="557"/>
      <c r="O211" s="557"/>
      <c r="P211" s="557"/>
      <c r="Q211" s="557" t="str">
        <f>CONCATENATE(scheduleapr[[#This Row],[OD]],"-",scheduleapr[[#This Row],[ID]],"-",scheduleapr[[#This Row],[TICKNESS]],"-",scheduleapr[[#This Row],[Grade]],"-",scheduleapr[[#This Row],[FC/NFC]])</f>
        <v>15.88-0-1-ERW 1-PE</v>
      </c>
      <c r="R211" s="557" t="str">
        <f>_xlfn.CONCAT(scheduleapr[[#This Row],[Bucket]],"-",scheduleapr[[#This Row],[LENGTH]]/1000)</f>
        <v>15.88-0-1-ERW 1-PE-1.603</v>
      </c>
      <c r="S211" s="557">
        <f>COUNTIF(scheduleapr[CTL Bucket],scheduleapr[[#This Row],[CTL Bucket]])</f>
        <v>2</v>
      </c>
      <c r="T211" s="2" t="s">
        <v>1816</v>
      </c>
      <c r="U211" s="2">
        <f>_xlfn.IFNA(VLOOKUP(scheduleapr[[#This Row],[Bucket]],salesforecast[[#All],[Bucket2]:[8406 Stock]],19,0),0)</f>
        <v>0</v>
      </c>
      <c r="V211" s="562">
        <f>_xlfn.IFNA(VLOOKUP(scheduleapr[[#This Row],[Bucket]],salesforecast[[#All],[Bucket2]:[8406 Stock]],20,0),0)+_xlfn.IFNA(VLOOKUP(scheduleapr[[#This Row],[Bucket]],salesforecast[[#All],[Bucket2]:[8406 Stock]],17,0),0)</f>
        <v>0</v>
      </c>
      <c r="W211" s="2"/>
      <c r="X211" s="559">
        <v>15.88</v>
      </c>
      <c r="Y211" s="559">
        <v>15.88</v>
      </c>
      <c r="Z211" s="559">
        <v>0</v>
      </c>
      <c r="AA211" s="1">
        <v>1</v>
      </c>
      <c r="AB211" s="24">
        <v>1603</v>
      </c>
      <c r="AC211" s="24" t="s">
        <v>397</v>
      </c>
      <c r="AD211" s="24"/>
      <c r="AE211" s="24"/>
      <c r="AF211" s="557">
        <v>15000</v>
      </c>
      <c r="AG211" s="557"/>
      <c r="AH211" s="557" cm="1">
        <f t="array" ref="AH2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8325</v>
      </c>
      <c r="AI211" s="560">
        <f>scheduleapr[[#This Row],[SCHEDULE in nos]]-scheduleapr[[#This Row],[DISPATCH]]</f>
        <v>6675</v>
      </c>
      <c r="AJ211" s="559">
        <f>(3.14*(scheduleapr[[#This Row],[ACTUAL OD]]-scheduleapr[[#This Row],[TICKNESS]])*scheduleapr[[#This Row],[TICKNESS]]*scheduleapr[[#This Row],[LENGTH]]*7.85)/1000000*scheduleapr[[#This Row],[SCHEDULE in nos]]/1000</f>
        <v>8.8191558503999978</v>
      </c>
      <c r="AK211" s="1">
        <f>(3.14*(scheduleapr[[#This Row],[ACTUAL OD]]-scheduleapr[[#This Row],[TICKNESS]])*scheduleapr[[#This Row],[TICKNESS]]*scheduleapr[[#This Row],[LENGTH]]*7.85)/1000000*scheduleapr[[#This Row],[DISPATCH]]/1000</f>
        <v>4.8946314969719991</v>
      </c>
      <c r="AL211" s="1">
        <f t="shared" si="8"/>
        <v>3.9245243534279988</v>
      </c>
      <c r="AM211" s="559">
        <f>scheduleapr[[#This Row],[SCHEDULE in nos]]/scheduleapr[[#This Row],[SCHEDULE IN MT]]*scheduleapr[[#This Row],[CTL Stock]]</f>
        <v>194.58324913513883</v>
      </c>
      <c r="AN211" s="1">
        <f>SUMIFS(stock[MT],stock[Bucket],scheduleapr[[#This Row],[Bucket]],stock[CTL Bucket],scheduleapr[[#This Row],[CTL Bucket]],stock[Plant],"0789")</f>
        <v>0.11440399999999999</v>
      </c>
      <c r="AO211" s="1"/>
      <c r="AP211" s="1">
        <f>SUMIFS(stock[MT],stock[Bucket],scheduleapr[[#This Row],[Bucket]],stock[LL or CTL],"LL")</f>
        <v>0.17899999999999999</v>
      </c>
      <c r="AQ211" s="1">
        <f>+SUMIFS(wip[Stock(Net Wt)],wip[Bucket],scheduleapr[[#This Row],[Bucket]])/1000</f>
        <v>0</v>
      </c>
      <c r="AR211" s="1">
        <f t="shared" si="9"/>
        <v>8.7047518503999974</v>
      </c>
      <c r="AS211" s="118"/>
    </row>
    <row r="212" spans="1:45" x14ac:dyDescent="0.25">
      <c r="A212" s="30">
        <v>123</v>
      </c>
      <c r="B212" s="5" t="s">
        <v>1816</v>
      </c>
      <c r="C212" s="2" t="s">
        <v>289</v>
      </c>
      <c r="D212" s="2" t="s">
        <v>289</v>
      </c>
      <c r="E212" s="44">
        <v>189002</v>
      </c>
      <c r="F212" s="477">
        <v>3672607</v>
      </c>
      <c r="G212" s="2" t="str">
        <f>_xlfn.CONCAT(scheduleapr[[#This Row],[CUSTOMER CODE]],"-",scheduleapr[[#This Row],[MATERIAL NO]])</f>
        <v>189002-3672607</v>
      </c>
      <c r="H212" s="2" t="s">
        <v>460</v>
      </c>
      <c r="I212" s="557" t="s">
        <v>962</v>
      </c>
      <c r="J212" s="557"/>
      <c r="K212" s="2" t="s">
        <v>963</v>
      </c>
      <c r="L212" s="2" t="s">
        <v>1867</v>
      </c>
      <c r="M212" s="558"/>
      <c r="N212" s="557"/>
      <c r="O212" s="557"/>
      <c r="P212" s="557"/>
      <c r="Q212" s="557" t="str">
        <f>CONCATENATE(scheduleapr[[#This Row],[OD]],"-",scheduleapr[[#This Row],[ID]],"-",scheduleapr[[#This Row],[TICKNESS]],"-",scheduleapr[[#This Row],[Grade]],"-",scheduleapr[[#This Row],[FC/NFC]])</f>
        <v>15.88-0-1-ERW 1-PE</v>
      </c>
      <c r="R212" s="557" t="str">
        <f>_xlfn.CONCAT(scheduleapr[[#This Row],[Bucket]],"-",scheduleapr[[#This Row],[LENGTH]]/1000)</f>
        <v>15.88-0-1-ERW 1-PE-1.715</v>
      </c>
      <c r="S212" s="557">
        <f>COUNTIF(scheduleapr[CTL Bucket],scheduleapr[[#This Row],[CTL Bucket]])</f>
        <v>1</v>
      </c>
      <c r="T212" s="2" t="s">
        <v>1816</v>
      </c>
      <c r="U212" s="2">
        <f>_xlfn.IFNA(VLOOKUP(scheduleapr[[#This Row],[Bucket]],salesforecast[[#All],[Bucket2]:[8406 Stock]],19,0),0)</f>
        <v>0</v>
      </c>
      <c r="V212" s="562">
        <f>_xlfn.IFNA(VLOOKUP(scheduleapr[[#This Row],[Bucket]],salesforecast[[#All],[Bucket2]:[8406 Stock]],20,0),0)+_xlfn.IFNA(VLOOKUP(scheduleapr[[#This Row],[Bucket]],salesforecast[[#All],[Bucket2]:[8406 Stock]],17,0),0)</f>
        <v>0</v>
      </c>
      <c r="W212" s="2"/>
      <c r="X212" s="559">
        <v>15.88</v>
      </c>
      <c r="Y212" s="559">
        <v>15.88</v>
      </c>
      <c r="Z212" s="559">
        <v>0</v>
      </c>
      <c r="AA212" s="1">
        <v>1</v>
      </c>
      <c r="AB212" s="24">
        <v>1715</v>
      </c>
      <c r="AC212" s="24" t="s">
        <v>397</v>
      </c>
      <c r="AD212" s="24"/>
      <c r="AE212" s="24"/>
      <c r="AF212" s="24">
        <v>2000</v>
      </c>
      <c r="AG212" s="24"/>
      <c r="AH212" s="2" cm="1">
        <f t="array" ref="AH2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2400</v>
      </c>
      <c r="AI212" s="4">
        <f>scheduleapr[[#This Row],[SCHEDULE in nos]]-scheduleapr[[#This Row],[DISPATCH]]</f>
        <v>-400</v>
      </c>
      <c r="AJ212" s="559">
        <f>(3.14*(scheduleapr[[#This Row],[ACTUAL OD]]-scheduleapr[[#This Row],[TICKNESS]])*scheduleapr[[#This Row],[TICKNESS]]*scheduleapr[[#This Row],[LENGTH]]*7.85)/1000000*scheduleapr[[#This Row],[SCHEDULE in nos]]/1000</f>
        <v>1.2580455216000002</v>
      </c>
      <c r="AK212" s="1">
        <f>(3.14*(scheduleapr[[#This Row],[ACTUAL OD]]-scheduleapr[[#This Row],[TICKNESS]])*scheduleapr[[#This Row],[TICKNESS]]*scheduleapr[[#This Row],[LENGTH]]*7.85)/1000000*scheduleapr[[#This Row],[DISPATCH]]/1000</f>
        <v>1.5096546259200001</v>
      </c>
      <c r="AL212" s="1">
        <f t="shared" si="8"/>
        <v>-0.25160910431999994</v>
      </c>
      <c r="AM212" s="559">
        <f>scheduleapr[[#This Row],[SCHEDULE in nos]]/scheduleapr[[#This Row],[SCHEDULE IN MT]]*scheduleapr[[#This Row],[CTL Stock]]</f>
        <v>154.76387511985877</v>
      </c>
      <c r="AN212" s="1">
        <f>SUMIFS(stock[MT],stock[Bucket],scheduleapr[[#This Row],[Bucket]],stock[CTL Bucket],scheduleapr[[#This Row],[CTL Bucket]],stock[Plant],"0789")</f>
        <v>9.7350000000000006E-2</v>
      </c>
      <c r="AO212" s="1"/>
      <c r="AP212" s="1">
        <f>SUMIFS(stock[MT],stock[Bucket],scheduleapr[[#This Row],[Bucket]],stock[LL or CTL],"LL")</f>
        <v>0.17899999999999999</v>
      </c>
      <c r="AQ212" s="1">
        <f>+SUMIFS(wip[Stock(Net Wt)],wip[Bucket],scheduleapr[[#This Row],[Bucket]])/1000</f>
        <v>0</v>
      </c>
      <c r="AR212" s="1">
        <f t="shared" si="9"/>
        <v>1.1606955216000001</v>
      </c>
      <c r="AS212" s="118"/>
    </row>
    <row r="213" spans="1:45" x14ac:dyDescent="0.25">
      <c r="A213" s="30">
        <v>124</v>
      </c>
      <c r="B213" s="5" t="s">
        <v>1816</v>
      </c>
      <c r="C213" s="2" t="s">
        <v>289</v>
      </c>
      <c r="D213" s="2" t="s">
        <v>289</v>
      </c>
      <c r="E213" s="44">
        <v>189002</v>
      </c>
      <c r="F213" s="477">
        <v>3672606</v>
      </c>
      <c r="G213" s="2" t="str">
        <f>_xlfn.CONCAT(scheduleapr[[#This Row],[CUSTOMER CODE]],"-",scheduleapr[[#This Row],[MATERIAL NO]])</f>
        <v>189002-3672606</v>
      </c>
      <c r="H213" s="2" t="s">
        <v>424</v>
      </c>
      <c r="I213" s="557" t="s">
        <v>962</v>
      </c>
      <c r="J213" s="557"/>
      <c r="K213" s="2" t="s">
        <v>963</v>
      </c>
      <c r="L213" s="2" t="s">
        <v>1867</v>
      </c>
      <c r="M213" s="558"/>
      <c r="N213" s="557"/>
      <c r="O213" s="557"/>
      <c r="P213" s="557"/>
      <c r="Q213" s="557" t="str">
        <f>CONCATENATE(scheduleapr[[#This Row],[OD]],"-",scheduleapr[[#This Row],[ID]],"-",scheduleapr[[#This Row],[TICKNESS]],"-",scheduleapr[[#This Row],[Grade]],"-",scheduleapr[[#This Row],[FC/NFC]])</f>
        <v>15.88-0-1-ERW 1-PE</v>
      </c>
      <c r="R213" s="557" t="str">
        <f>_xlfn.CONCAT(scheduleapr[[#This Row],[Bucket]],"-",scheduleapr[[#This Row],[LENGTH]]/1000)</f>
        <v>15.88-0-1-ERW 1-PE-1.745</v>
      </c>
      <c r="S213" s="557">
        <f>COUNTIF(scheduleapr[CTL Bucket],scheduleapr[[#This Row],[CTL Bucket]])</f>
        <v>1</v>
      </c>
      <c r="T213" s="2" t="s">
        <v>1816</v>
      </c>
      <c r="U213" s="2">
        <f>_xlfn.IFNA(VLOOKUP(scheduleapr[[#This Row],[Bucket]],salesforecast[[#All],[Bucket2]:[8406 Stock]],19,0),0)</f>
        <v>0</v>
      </c>
      <c r="V213" s="562">
        <f>_xlfn.IFNA(VLOOKUP(scheduleapr[[#This Row],[Bucket]],salesforecast[[#All],[Bucket2]:[8406 Stock]],20,0),0)+_xlfn.IFNA(VLOOKUP(scheduleapr[[#This Row],[Bucket]],salesforecast[[#All],[Bucket2]:[8406 Stock]],17,0),0)</f>
        <v>0</v>
      </c>
      <c r="W213" s="2"/>
      <c r="X213" s="559">
        <v>15.88</v>
      </c>
      <c r="Y213" s="559">
        <v>15.88</v>
      </c>
      <c r="Z213" s="559">
        <v>0</v>
      </c>
      <c r="AA213" s="1">
        <v>1</v>
      </c>
      <c r="AB213" s="24">
        <v>1745</v>
      </c>
      <c r="AC213" s="24" t="s">
        <v>397</v>
      </c>
      <c r="AD213" s="24"/>
      <c r="AE213" s="24"/>
      <c r="AF213" s="24">
        <v>3000</v>
      </c>
      <c r="AG213" s="24"/>
      <c r="AH213" s="2" cm="1">
        <f t="array" ref="AH2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213" s="4">
        <f>scheduleapr[[#This Row],[SCHEDULE in nos]]-scheduleapr[[#This Row],[DISPATCH]]</f>
        <v>1000</v>
      </c>
      <c r="AJ213" s="559">
        <f>(3.14*(scheduleapr[[#This Row],[ACTUAL OD]]-scheduleapr[[#This Row],[TICKNESS]])*scheduleapr[[#This Row],[TICKNESS]]*scheduleapr[[#This Row],[LENGTH]]*7.85)/1000000*scheduleapr[[#This Row],[SCHEDULE in nos]]/1000</f>
        <v>1.9200782232000002</v>
      </c>
      <c r="AK213" s="1">
        <f>(3.14*(scheduleapr[[#This Row],[ACTUAL OD]]-scheduleapr[[#This Row],[TICKNESS]])*scheduleapr[[#This Row],[TICKNESS]]*scheduleapr[[#This Row],[LENGTH]]*7.85)/1000000*scheduleapr[[#This Row],[DISPATCH]]/1000</f>
        <v>1.2800521488000001</v>
      </c>
      <c r="AL213" s="1">
        <f t="shared" si="8"/>
        <v>0.64002607440000014</v>
      </c>
      <c r="AM213" s="559">
        <f>scheduleapr[[#This Row],[SCHEDULE in nos]]/scheduleapr[[#This Row],[SCHEDULE IN MT]]*scheduleapr[[#This Row],[CTL Stock]]</f>
        <v>22.525644777074724</v>
      </c>
      <c r="AN213" s="1">
        <f>SUMIFS(stock[MT],stock[Bucket],scheduleapr[[#This Row],[Bucket]],stock[CTL Bucket],scheduleapr[[#This Row],[CTL Bucket]],stock[Plant],"0789")</f>
        <v>1.4417000000000001E-2</v>
      </c>
      <c r="AO213" s="1"/>
      <c r="AP213" s="1">
        <f>SUMIFS(stock[MT],stock[Bucket],scheduleapr[[#This Row],[Bucket]],stock[LL or CTL],"LL")</f>
        <v>0.17899999999999999</v>
      </c>
      <c r="AQ213" s="1">
        <f>+SUMIFS(wip[Stock(Net Wt)],wip[Bucket],scheduleapr[[#This Row],[Bucket]])/1000</f>
        <v>0</v>
      </c>
      <c r="AR213" s="1">
        <f t="shared" si="9"/>
        <v>1.9056612232000003</v>
      </c>
      <c r="AS213" s="118"/>
    </row>
    <row r="214" spans="1:45" x14ac:dyDescent="0.25">
      <c r="A214" s="556"/>
      <c r="B214" s="5" t="s">
        <v>1816</v>
      </c>
      <c r="C214" s="2" t="s">
        <v>289</v>
      </c>
      <c r="D214" s="2" t="s">
        <v>289</v>
      </c>
      <c r="E214" s="44">
        <v>189002</v>
      </c>
      <c r="F214" s="557"/>
      <c r="G214" s="2" t="str">
        <f>_xlfn.CONCAT(scheduleapr[[#This Row],[CUSTOMER CODE]],"-",scheduleapr[[#This Row],[MATERIAL NO]])</f>
        <v>189002-</v>
      </c>
      <c r="H214" s="557"/>
      <c r="I214" s="557" t="s">
        <v>962</v>
      </c>
      <c r="J214" s="557"/>
      <c r="K214" s="2" t="s">
        <v>963</v>
      </c>
      <c r="L214" s="2" t="s">
        <v>239</v>
      </c>
      <c r="M214" s="558"/>
      <c r="N214" s="557"/>
      <c r="O214" s="557"/>
      <c r="P214" s="557"/>
      <c r="Q214" s="557" t="str">
        <f>CONCATENATE(scheduleapr[[#This Row],[OD]],"-",scheduleapr[[#This Row],[ID]],"-",scheduleapr[[#This Row],[TICKNESS]],"-",scheduleapr[[#This Row],[Grade]],"-",scheduleapr[[#This Row],[FC/NFC]])</f>
        <v>15.88-0-1-ERW 1-PE</v>
      </c>
      <c r="R214" s="557" t="str">
        <f>_xlfn.CONCAT(scheduleapr[[#This Row],[Bucket]],"-",scheduleapr[[#This Row],[LENGTH]]/1000)</f>
        <v>15.88-0-1-ERW 1-PE-2.185</v>
      </c>
      <c r="S214" s="557">
        <f>COUNTIF(scheduleapr[CTL Bucket],scheduleapr[[#This Row],[CTL Bucket]])</f>
        <v>2</v>
      </c>
      <c r="T214" s="2" t="s">
        <v>1816</v>
      </c>
      <c r="U214" s="2">
        <f>_xlfn.IFNA(VLOOKUP(scheduleapr[[#This Row],[Bucket]],salesforecast[[#All],[Bucket2]:[8406 Stock]],19,0),0)</f>
        <v>0</v>
      </c>
      <c r="V214" s="562">
        <f>_xlfn.IFNA(VLOOKUP(scheduleapr[[#This Row],[Bucket]],salesforecast[[#All],[Bucket2]:[8406 Stock]],20,0),0)+_xlfn.IFNA(VLOOKUP(scheduleapr[[#This Row],[Bucket]],salesforecast[[#All],[Bucket2]:[8406 Stock]],17,0),0)</f>
        <v>0</v>
      </c>
      <c r="W214" s="557"/>
      <c r="X214" s="559">
        <v>15.88</v>
      </c>
      <c r="Y214" s="559">
        <v>15.88</v>
      </c>
      <c r="Z214" s="559">
        <v>0</v>
      </c>
      <c r="AA214" s="1">
        <v>1</v>
      </c>
      <c r="AB214" s="24">
        <v>2185</v>
      </c>
      <c r="AC214" s="24" t="s">
        <v>397</v>
      </c>
      <c r="AD214" s="24"/>
      <c r="AE214" s="24"/>
      <c r="AF214" s="557">
        <v>7500</v>
      </c>
      <c r="AG214" s="557"/>
      <c r="AH214" s="557" cm="1">
        <f t="array" ref="AH2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2600</v>
      </c>
      <c r="AI214" s="560">
        <f>scheduleapr[[#This Row],[SCHEDULE in nos]]-scheduleapr[[#This Row],[DISPATCH]]</f>
        <v>4900</v>
      </c>
      <c r="AJ214" s="559">
        <f>(3.14*(scheduleapr[[#This Row],[ACTUAL OD]]-scheduleapr[[#This Row],[TICKNESS]])*scheduleapr[[#This Row],[TICKNESS]]*scheduleapr[[#This Row],[LENGTH]]*7.85)/1000000*scheduleapr[[#This Row],[SCHEDULE in nos]]/1000</f>
        <v>6.0105600539999999</v>
      </c>
      <c r="AK214" s="1">
        <f>(3.14*(scheduleapr[[#This Row],[ACTUAL OD]]-scheduleapr[[#This Row],[TICKNESS]])*scheduleapr[[#This Row],[TICKNESS]]*scheduleapr[[#This Row],[LENGTH]]*7.85)/1000000*scheduleapr[[#This Row],[DISPATCH]]/1000</f>
        <v>2.0836608187199999</v>
      </c>
      <c r="AL214" s="1">
        <f t="shared" si="8"/>
        <v>3.9268992352800001</v>
      </c>
      <c r="AM214" s="559">
        <f>scheduleapr[[#This Row],[SCHEDULE in nos]]/scheduleapr[[#This Row],[SCHEDULE IN MT]]*scheduleapr[[#This Row],[CTL Stock]]</f>
        <v>3470.609196578539</v>
      </c>
      <c r="AN214" s="1">
        <f>SUMIFS(stock[MT],stock[Bucket],scheduleapr[[#This Row],[Bucket]],stock[CTL Bucket],scheduleapr[[#This Row],[CTL Bucket]],stock[Plant],"0789")</f>
        <v>2.781374</v>
      </c>
      <c r="AO214" s="1"/>
      <c r="AP214" s="1">
        <f>SUMIFS(stock[MT],stock[Bucket],scheduleapr[[#This Row],[Bucket]],stock[LL or CTL],"LL")</f>
        <v>0.17899999999999999</v>
      </c>
      <c r="AQ214" s="1">
        <f>+SUMIFS(wip[Stock(Net Wt)],wip[Bucket],scheduleapr[[#This Row],[Bucket]])/1000</f>
        <v>0</v>
      </c>
      <c r="AR214" s="1">
        <f t="shared" si="9"/>
        <v>3.2291860539999999</v>
      </c>
      <c r="AS214" s="118"/>
    </row>
    <row r="215" spans="1:45" x14ac:dyDescent="0.25">
      <c r="A215" s="30">
        <v>126</v>
      </c>
      <c r="B215" s="5" t="s">
        <v>1816</v>
      </c>
      <c r="C215" s="2" t="s">
        <v>289</v>
      </c>
      <c r="D215" s="2" t="s">
        <v>289</v>
      </c>
      <c r="E215" s="44">
        <v>189002</v>
      </c>
      <c r="F215" s="477">
        <v>3672608</v>
      </c>
      <c r="G215" s="2" t="str">
        <f>_xlfn.CONCAT(scheduleapr[[#This Row],[CUSTOMER CODE]],"-",scheduleapr[[#This Row],[MATERIAL NO]])</f>
        <v>189002-3672608</v>
      </c>
      <c r="H215" s="2" t="s">
        <v>1939</v>
      </c>
      <c r="I215" s="557" t="s">
        <v>962</v>
      </c>
      <c r="J215" s="557"/>
      <c r="K215" s="2" t="s">
        <v>963</v>
      </c>
      <c r="L215" s="2" t="s">
        <v>1867</v>
      </c>
      <c r="M215" s="558"/>
      <c r="N215" s="557"/>
      <c r="O215" s="557"/>
      <c r="P215" s="557"/>
      <c r="Q215" s="557" t="str">
        <f>CONCATENATE(scheduleapr[[#This Row],[OD]],"-",scheduleapr[[#This Row],[ID]],"-",scheduleapr[[#This Row],[TICKNESS]],"-",scheduleapr[[#This Row],[Grade]],"-",scheduleapr[[#This Row],[FC/NFC]])</f>
        <v>15.88-0-1-ERW 1-PE</v>
      </c>
      <c r="R215" s="557" t="str">
        <f>_xlfn.CONCAT(scheduleapr[[#This Row],[Bucket]],"-",scheduleapr[[#This Row],[LENGTH]]/1000)</f>
        <v>15.88-0-1-ERW 1-PE-2.34</v>
      </c>
      <c r="S215" s="557">
        <f>COUNTIF(scheduleapr[CTL Bucket],scheduleapr[[#This Row],[CTL Bucket]])</f>
        <v>1</v>
      </c>
      <c r="T215" s="2" t="s">
        <v>1816</v>
      </c>
      <c r="U215" s="2">
        <f>_xlfn.IFNA(VLOOKUP(scheduleapr[[#This Row],[Bucket]],salesforecast[[#All],[Bucket2]:[8406 Stock]],19,0),0)</f>
        <v>0</v>
      </c>
      <c r="V215" s="562">
        <f>_xlfn.IFNA(VLOOKUP(scheduleapr[[#This Row],[Bucket]],salesforecast[[#All],[Bucket2]:[8406 Stock]],20,0),0)+_xlfn.IFNA(VLOOKUP(scheduleapr[[#This Row],[Bucket]],salesforecast[[#All],[Bucket2]:[8406 Stock]],17,0),0)</f>
        <v>0</v>
      </c>
      <c r="W215" s="2"/>
      <c r="X215" s="559">
        <v>15.88</v>
      </c>
      <c r="Y215" s="559">
        <v>15.88</v>
      </c>
      <c r="Z215" s="559">
        <v>0</v>
      </c>
      <c r="AA215" s="1">
        <v>1</v>
      </c>
      <c r="AB215" s="24">
        <v>2340</v>
      </c>
      <c r="AC215" s="24" t="s">
        <v>397</v>
      </c>
      <c r="AD215" s="24"/>
      <c r="AE215" s="24"/>
      <c r="AF215" s="24">
        <v>3000</v>
      </c>
      <c r="AG215" s="24"/>
      <c r="AH215" s="2" cm="1">
        <f t="array" ref="AH2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1625</v>
      </c>
      <c r="AI215" s="4">
        <f>scheduleapr[[#This Row],[SCHEDULE in nos]]-scheduleapr[[#This Row],[DISPATCH]]</f>
        <v>1375</v>
      </c>
      <c r="AJ215" s="559">
        <f>(3.14*(scheduleapr[[#This Row],[ACTUAL OD]]-scheduleapr[[#This Row],[TICKNESS]])*scheduleapr[[#This Row],[TICKNESS]]*scheduleapr[[#This Row],[LENGTH]]*7.85)/1000000*scheduleapr[[#This Row],[SCHEDULE in nos]]/1000</f>
        <v>2.5747753824000004</v>
      </c>
      <c r="AK215" s="1">
        <f>(3.14*(scheduleapr[[#This Row],[ACTUAL OD]]-scheduleapr[[#This Row],[TICKNESS]])*scheduleapr[[#This Row],[TICKNESS]]*scheduleapr[[#This Row],[LENGTH]]*7.85)/1000000*scheduleapr[[#This Row],[DISPATCH]]/1000</f>
        <v>1.3946699988000002</v>
      </c>
      <c r="AL215" s="1">
        <f t="shared" si="8"/>
        <v>1.1801053836000002</v>
      </c>
      <c r="AM215" s="559">
        <f>scheduleapr[[#This Row],[SCHEDULE in nos]]/scheduleapr[[#This Row],[SCHEDULE IN MT]]*scheduleapr[[#This Row],[CTL Stock]]</f>
        <v>245.05904643684227</v>
      </c>
      <c r="AN215" s="1">
        <f>SUMIFS(stock[MT],stock[Bucket],scheduleapr[[#This Row],[Bucket]],stock[CTL Bucket],scheduleapr[[#This Row],[CTL Bucket]],stock[Plant],"0789")</f>
        <v>0.21032399999999998</v>
      </c>
      <c r="AO215" s="1"/>
      <c r="AP215" s="1">
        <f>SUMIFS(stock[MT],stock[Bucket],scheduleapr[[#This Row],[Bucket]],stock[LL or CTL],"LL")</f>
        <v>0.17899999999999999</v>
      </c>
      <c r="AQ215" s="1">
        <f>+SUMIFS(wip[Stock(Net Wt)],wip[Bucket],scheduleapr[[#This Row],[Bucket]])/1000</f>
        <v>0</v>
      </c>
      <c r="AR215" s="1">
        <f t="shared" si="9"/>
        <v>2.3644513824000004</v>
      </c>
      <c r="AS215" s="118"/>
    </row>
    <row r="216" spans="1:45" x14ac:dyDescent="0.25">
      <c r="A216" s="30">
        <v>115</v>
      </c>
      <c r="B216" s="5" t="s">
        <v>1816</v>
      </c>
      <c r="C216" s="2" t="s">
        <v>289</v>
      </c>
      <c r="D216" s="2" t="s">
        <v>289</v>
      </c>
      <c r="E216" s="44">
        <v>189002</v>
      </c>
      <c r="F216" s="2"/>
      <c r="G216" s="2" t="str">
        <f>_xlfn.CONCAT(scheduleapr[[#This Row],[CUSTOMER CODE]],"-",scheduleapr[[#This Row],[MATERIAL NO]])</f>
        <v>189002-</v>
      </c>
      <c r="H216" s="2"/>
      <c r="I216" s="2" t="s">
        <v>962</v>
      </c>
      <c r="J216" s="2"/>
      <c r="K216" s="2" t="s">
        <v>963</v>
      </c>
      <c r="L216" s="2" t="s">
        <v>1867</v>
      </c>
      <c r="M216" s="2" t="s">
        <v>1881</v>
      </c>
      <c r="N216" s="2"/>
      <c r="O216" s="2"/>
      <c r="P216" s="2"/>
      <c r="Q216" s="557" t="str">
        <f>CONCATENATE(scheduleapr[[#This Row],[OD]],"-",scheduleapr[[#This Row],[ID]],"-",scheduleapr[[#This Row],[TICKNESS]],"-",scheduleapr[[#This Row],[Grade]],"-",scheduleapr[[#This Row],[FC/NFC]])</f>
        <v>15.88-0-1.6-ERW 1-PE</v>
      </c>
      <c r="R216" s="557" t="str">
        <f>_xlfn.CONCAT(scheduleapr[[#This Row],[Bucket]],"-",scheduleapr[[#This Row],[LENGTH]]/1000)</f>
        <v>15.88-0-1.6-ERW 1-PE-1</v>
      </c>
      <c r="S216" s="557">
        <f>COUNTIF(scheduleapr[CTL Bucket],scheduleapr[[#This Row],[CTL Bucket]])</f>
        <v>6</v>
      </c>
      <c r="T216" s="2" t="s">
        <v>1816</v>
      </c>
      <c r="U216" s="2"/>
      <c r="V216" s="2"/>
      <c r="W216" s="2"/>
      <c r="X216" s="559">
        <v>15.88</v>
      </c>
      <c r="Y216" s="559">
        <v>15.88</v>
      </c>
      <c r="Z216" s="559">
        <v>0</v>
      </c>
      <c r="AA216" s="1">
        <v>1.6</v>
      </c>
      <c r="AB216" s="24">
        <v>1000</v>
      </c>
      <c r="AC216" s="24" t="s">
        <v>444</v>
      </c>
      <c r="AD216" s="24"/>
      <c r="AE216" s="24"/>
      <c r="AF216" s="2"/>
      <c r="AG216" s="2"/>
      <c r="AH216" s="2" cm="1">
        <f t="array" ref="AH2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2100</v>
      </c>
      <c r="AI216" s="4">
        <f>scheduleapr[[#This Row],[SCHEDULE in nos]]-scheduleapr[[#This Row],[DISPATCH]]</f>
        <v>-2100</v>
      </c>
      <c r="AJ216" s="1">
        <f>(3.14*(scheduleapr[[#This Row],[ACTUAL OD]]-scheduleapr[[#This Row],[TICKNESS]])*scheduleapr[[#This Row],[TICKNESS]]*scheduleapr[[#This Row],[LENGTH]]*7.85)/1000000*scheduleapr[[#This Row],[SCHEDULE in nos]]/1000</f>
        <v>0</v>
      </c>
      <c r="AK216" s="1">
        <f>(3.14*(scheduleapr[[#This Row],[ACTUAL OD]]-scheduleapr[[#This Row],[TICKNESS]])*scheduleapr[[#This Row],[TICKNESS]]*scheduleapr[[#This Row],[LENGTH]]*7.85)/1000000*scheduleapr[[#This Row],[DISPATCH]]/1000</f>
        <v>1.1826787391999998</v>
      </c>
      <c r="AL216" s="1">
        <f t="shared" si="8"/>
        <v>-1.1826787391999998</v>
      </c>
      <c r="AM216" s="1" t="e">
        <f>scheduleapr[[#This Row],[SCHEDULE in nos]]/scheduleapr[[#This Row],[SCHEDULE IN MT]]*scheduleapr[[#This Row],[CTL Stock]]</f>
        <v>#DIV/0!</v>
      </c>
      <c r="AN216" s="1">
        <f>SUMIFS(stock[MT],stock[Bucket],scheduleapr[[#This Row],[Bucket]],stock[CTL Bucket],scheduleapr[[#This Row],[CTL Bucket]],stock[Plant],"0789")</f>
        <v>0</v>
      </c>
      <c r="AO216" s="1"/>
      <c r="AP216" s="1">
        <f>SUMIFS(stock[MT],stock[Bucket],scheduleapr[[#This Row],[Bucket]],stock[LL or CTL],"LL")</f>
        <v>0</v>
      </c>
      <c r="AQ216" s="1">
        <f>+SUMIFS(wip[Stock(Net Wt)],wip[Bucket],scheduleapr[[#This Row],[Bucket]])/1000</f>
        <v>3.8879999999999999</v>
      </c>
      <c r="AR216" s="1">
        <f t="shared" si="9"/>
        <v>0</v>
      </c>
      <c r="AS216" s="118"/>
    </row>
    <row r="217" spans="1:45" x14ac:dyDescent="0.25">
      <c r="A217" s="30">
        <v>129</v>
      </c>
      <c r="B217" s="5" t="s">
        <v>1816</v>
      </c>
      <c r="C217" s="2" t="s">
        <v>289</v>
      </c>
      <c r="D217" s="2" t="s">
        <v>289</v>
      </c>
      <c r="E217" s="44">
        <v>189002</v>
      </c>
      <c r="F217" s="557"/>
      <c r="G217" s="2" t="str">
        <f>_xlfn.CONCAT(scheduleapr[[#This Row],[CUSTOMER CODE]],"-",scheduleapr[[#This Row],[MATERIAL NO]])</f>
        <v>189002-</v>
      </c>
      <c r="H217" s="557"/>
      <c r="I217" s="2" t="s">
        <v>962</v>
      </c>
      <c r="J217" s="557"/>
      <c r="K217" s="2" t="s">
        <v>963</v>
      </c>
      <c r="L217" s="2" t="s">
        <v>1867</v>
      </c>
      <c r="M217" s="558"/>
      <c r="N217" s="557"/>
      <c r="O217" s="557"/>
      <c r="P217" s="557"/>
      <c r="Q217" s="557" t="str">
        <f>CONCATENATE(scheduleapr[[#This Row],[OD]],"-",scheduleapr[[#This Row],[ID]],"-",scheduleapr[[#This Row],[TICKNESS]],"-",scheduleapr[[#This Row],[Grade]],"-",scheduleapr[[#This Row],[FC/NFC]])</f>
        <v>17.3-0-1.6-ERW 1-PE</v>
      </c>
      <c r="R217" s="557" t="str">
        <f>_xlfn.CONCAT(scheduleapr[[#This Row],[Bucket]],"-",scheduleapr[[#This Row],[LENGTH]]/1000)</f>
        <v>17.3-0-1.6-ERW 1-PE-0.363</v>
      </c>
      <c r="S217" s="557">
        <f>COUNTIF(scheduleapr[CTL Bucket],scheduleapr[[#This Row],[CTL Bucket]])</f>
        <v>1</v>
      </c>
      <c r="T217" s="2"/>
      <c r="U217" s="2"/>
      <c r="V217" s="2"/>
      <c r="W217" s="2"/>
      <c r="X217" s="559">
        <v>17.3</v>
      </c>
      <c r="Y217" s="559">
        <v>17.3</v>
      </c>
      <c r="Z217" s="1">
        <v>0</v>
      </c>
      <c r="AA217" s="1">
        <v>1.6</v>
      </c>
      <c r="AB217" s="24">
        <v>363</v>
      </c>
      <c r="AC217" s="24" t="s">
        <v>397</v>
      </c>
      <c r="AD217" s="24"/>
      <c r="AE217" s="24"/>
      <c r="AF217" s="557"/>
      <c r="AG217" s="557"/>
      <c r="AH217" s="2" cm="1">
        <f t="array" ref="AH2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7" s="4">
        <f>scheduleapr[[#This Row],[SCHEDULE in nos]]-scheduleapr[[#This Row],[DISPATCH]]</f>
        <v>0</v>
      </c>
      <c r="AJ217" s="559">
        <f>(3.14*(scheduleapr[[#This Row],[ACTUAL OD]]-scheduleapr[[#This Row],[TICKNESS]])*scheduleapr[[#This Row],[TICKNESS]]*scheduleapr[[#This Row],[LENGTH]]*7.85)/1000000*scheduleapr[[#This Row],[SCHEDULE in nos]]/1000</f>
        <v>0</v>
      </c>
      <c r="AK217" s="1">
        <f>(3.14*(scheduleapr[[#This Row],[ACTUAL OD]]-scheduleapr[[#This Row],[TICKNESS]])*scheduleapr[[#This Row],[TICKNESS]]*scheduleapr[[#This Row],[LENGTH]]*7.85)/1000000*scheduleapr[[#This Row],[DISPATCH]]/1000</f>
        <v>0</v>
      </c>
      <c r="AL217" s="1">
        <f t="shared" si="8"/>
        <v>0</v>
      </c>
      <c r="AM217" s="559" t="e">
        <f>scheduleapr[[#This Row],[SCHEDULE in nos]]/scheduleapr[[#This Row],[SCHEDULE IN MT]]*scheduleapr[[#This Row],[CTL Stock]]</f>
        <v>#DIV/0!</v>
      </c>
      <c r="AN217" s="1">
        <f>SUMIFS(stock[MT],stock[Bucket],scheduleapr[[#This Row],[Bucket]],stock[CTL Bucket],scheduleapr[[#This Row],[CTL Bucket]],stock[Plant],"0789")</f>
        <v>0</v>
      </c>
      <c r="AO217" s="1"/>
      <c r="AP217" s="1">
        <f>SUMIFS(stock[MT],stock[Bucket],scheduleapr[[#This Row],[Bucket]],stock[LL or CTL],"LL")</f>
        <v>9.3040000000000012E-2</v>
      </c>
      <c r="AQ217" s="1">
        <f>+SUMIFS(wip[Stock(Net Wt)],wip[Bucket],scheduleapr[[#This Row],[Bucket]])/1000</f>
        <v>0</v>
      </c>
      <c r="AR217" s="1">
        <f t="shared" si="9"/>
        <v>0</v>
      </c>
      <c r="AS217" s="118"/>
    </row>
    <row r="218" spans="1:45" x14ac:dyDescent="0.25">
      <c r="A218" s="30">
        <v>131</v>
      </c>
      <c r="B218" s="78" t="s">
        <v>1816</v>
      </c>
      <c r="C218" s="44" t="s">
        <v>289</v>
      </c>
      <c r="D218" s="2" t="s">
        <v>289</v>
      </c>
      <c r="E218" s="44">
        <v>189002</v>
      </c>
      <c r="F218" s="557"/>
      <c r="G218" s="2" t="str">
        <f>_xlfn.CONCAT(scheduleapr[[#This Row],[CUSTOMER CODE]],"-",scheduleapr[[#This Row],[MATERIAL NO]])</f>
        <v>189002-</v>
      </c>
      <c r="H218" s="557"/>
      <c r="I218" s="557" t="s">
        <v>962</v>
      </c>
      <c r="J218" s="559"/>
      <c r="K218" s="2" t="s">
        <v>963</v>
      </c>
      <c r="L218" s="2" t="s">
        <v>1867</v>
      </c>
      <c r="M218" s="79" t="s">
        <v>1883</v>
      </c>
      <c r="N218" s="557"/>
      <c r="O218" s="557"/>
      <c r="P218" s="557"/>
      <c r="Q218" s="557" t="str">
        <f>CONCATENATE(scheduleapr[[#This Row],[OD]],"-",scheduleapr[[#This Row],[ID]],"-",scheduleapr[[#This Row],[TICKNESS]],"-",scheduleapr[[#This Row],[Grade]],"-",scheduleapr[[#This Row],[FC/NFC]])</f>
        <v>17.3-0-1.6-ERW 1-PE</v>
      </c>
      <c r="R218" s="557" t="str">
        <f>_xlfn.CONCAT(scheduleapr[[#This Row],[Bucket]],"-",scheduleapr[[#This Row],[LENGTH]]/1000)</f>
        <v>17.3-0-1.6-ERW 1-PE-0.415</v>
      </c>
      <c r="S218" s="557"/>
      <c r="T218" s="2"/>
      <c r="U218" s="2"/>
      <c r="V218" s="2"/>
      <c r="W218" s="2"/>
      <c r="X218" s="559">
        <v>17.3</v>
      </c>
      <c r="Y218" s="559">
        <v>17.3</v>
      </c>
      <c r="Z218" s="559">
        <v>0</v>
      </c>
      <c r="AA218" s="1">
        <v>1.6</v>
      </c>
      <c r="AB218" s="24">
        <v>415</v>
      </c>
      <c r="AC218" s="24" t="s">
        <v>397</v>
      </c>
      <c r="AD218" s="24"/>
      <c r="AE218" s="24"/>
      <c r="AF218" s="2"/>
      <c r="AG218" s="2"/>
      <c r="AH218" s="2" cm="1">
        <f t="array" ref="AH2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8" s="4">
        <f>scheduleapr[[#This Row],[SCHEDULE in nos]]-scheduleapr[[#This Row],[DISPATCH]]</f>
        <v>0</v>
      </c>
      <c r="AJ218" s="559">
        <f>(3.14*(scheduleapr[[#This Row],[ACTUAL OD]]-scheduleapr[[#This Row],[TICKNESS]])*scheduleapr[[#This Row],[TICKNESS]]*scheduleapr[[#This Row],[LENGTH]]*7.85)/1000000*scheduleapr[[#This Row],[SCHEDULE in nos]]/1000</f>
        <v>0</v>
      </c>
      <c r="AK218" s="1">
        <f>(3.14*(scheduleapr[[#This Row],[ACTUAL OD]]-scheduleapr[[#This Row],[TICKNESS]])*scheduleapr[[#This Row],[TICKNESS]]*scheduleapr[[#This Row],[LENGTH]]*7.85)/1000000*scheduleapr[[#This Row],[DISPATCH]]/1000</f>
        <v>0</v>
      </c>
      <c r="AL218" s="1">
        <f t="shared" si="8"/>
        <v>0</v>
      </c>
      <c r="AM218" s="559" t="e">
        <f>scheduleapr[[#This Row],[SCHEDULE in nos]]/scheduleapr[[#This Row],[SCHEDULE IN MT]]*scheduleapr[[#This Row],[CTL Stock]]</f>
        <v>#DIV/0!</v>
      </c>
      <c r="AN218" s="1">
        <f>SUMIFS(stock[MT],stock[Bucket],scheduleapr[[#This Row],[Bucket]],stock[CTL Bucket],scheduleapr[[#This Row],[CTL Bucket]],stock[Plant],"0789")</f>
        <v>0</v>
      </c>
      <c r="AO218" s="1"/>
      <c r="AP218" s="1">
        <f>SUMIFS(stock[MT],stock[Bucket],scheduleapr[[#This Row],[Bucket]],stock[LL or CTL],"LL")</f>
        <v>9.3040000000000012E-2</v>
      </c>
      <c r="AQ218" s="1">
        <f>+SUMIFS(wip[Stock(Net Wt)],wip[Bucket],scheduleapr[[#This Row],[Bucket]])/1000</f>
        <v>0</v>
      </c>
      <c r="AR218" s="1">
        <f t="shared" si="9"/>
        <v>0</v>
      </c>
      <c r="AS218" s="118"/>
    </row>
    <row r="219" spans="1:45" x14ac:dyDescent="0.25">
      <c r="A219" s="30">
        <v>122</v>
      </c>
      <c r="B219" s="5" t="s">
        <v>1816</v>
      </c>
      <c r="C219" s="2" t="s">
        <v>289</v>
      </c>
      <c r="D219" s="2" t="s">
        <v>289</v>
      </c>
      <c r="E219" s="44">
        <v>189002</v>
      </c>
      <c r="F219" s="477">
        <v>3635694</v>
      </c>
      <c r="G219" s="2" t="str">
        <f>_xlfn.CONCAT(scheduleapr[[#This Row],[CUSTOMER CODE]],"-",scheduleapr[[#This Row],[MATERIAL NO]])</f>
        <v>189002-3635694</v>
      </c>
      <c r="H219" s="2" t="s">
        <v>649</v>
      </c>
      <c r="I219" s="557" t="s">
        <v>962</v>
      </c>
      <c r="J219" s="557"/>
      <c r="K219" s="2" t="s">
        <v>963</v>
      </c>
      <c r="L219" s="2" t="s">
        <v>1867</v>
      </c>
      <c r="M219" s="558"/>
      <c r="N219" s="557"/>
      <c r="O219" s="557"/>
      <c r="P219" s="557"/>
      <c r="Q219" s="557" t="str">
        <f>CONCATENATE(scheduleapr[[#This Row],[OD]],"-",scheduleapr[[#This Row],[ID]],"-",scheduleapr[[#This Row],[TICKNESS]],"-",scheduleapr[[#This Row],[Grade]],"-",scheduleapr[[#This Row],[FC/NFC]])</f>
        <v>19.05-0-1-ERW 1-PE</v>
      </c>
      <c r="R219" s="557" t="str">
        <f>_xlfn.CONCAT(scheduleapr[[#This Row],[Bucket]],"-",scheduleapr[[#This Row],[LENGTH]]/1000)</f>
        <v>19.05-0-1-ERW 1-PE-1.2</v>
      </c>
      <c r="S219" s="557">
        <f>COUNTIF(scheduleapr[CTL Bucket],scheduleapr[[#This Row],[CTL Bucket]])</f>
        <v>2</v>
      </c>
      <c r="T219" s="2"/>
      <c r="U219" s="2">
        <f>_xlfn.IFNA(VLOOKUP(scheduleapr[[#This Row],[Bucket]],salesforecast[[#All],[Bucket2]:[8406 Stock]],19,0),0)</f>
        <v>0</v>
      </c>
      <c r="V219" s="562">
        <f>_xlfn.IFNA(VLOOKUP(scheduleapr[[#This Row],[Bucket]],salesforecast[[#All],[Bucket2]:[8406 Stock]],20,0),0)+_xlfn.IFNA(VLOOKUP(scheduleapr[[#This Row],[Bucket]],salesforecast[[#All],[Bucket2]:[8406 Stock]],17,0),0)</f>
        <v>0</v>
      </c>
      <c r="W219" s="2"/>
      <c r="X219" s="559">
        <v>19.05</v>
      </c>
      <c r="Y219" s="559">
        <v>19.05</v>
      </c>
      <c r="Z219" s="559">
        <v>0</v>
      </c>
      <c r="AA219" s="1">
        <v>1</v>
      </c>
      <c r="AB219" s="24">
        <v>1200</v>
      </c>
      <c r="AC219" s="24" t="s">
        <v>397</v>
      </c>
      <c r="AD219" s="24"/>
      <c r="AE219" s="24"/>
      <c r="AF219" s="557">
        <v>10000</v>
      </c>
      <c r="AG219" s="557"/>
      <c r="AH219" s="2" cm="1">
        <f t="array" ref="AH2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7725</v>
      </c>
      <c r="AI219" s="4">
        <f>scheduleapr[[#This Row],[SCHEDULE in nos]]-scheduleapr[[#This Row],[DISPATCH]]</f>
        <v>2275</v>
      </c>
      <c r="AJ219" s="559">
        <f>(3.14*(scheduleapr[[#This Row],[ACTUAL OD]]-scheduleapr[[#This Row],[TICKNESS]])*scheduleapr[[#This Row],[TICKNESS]]*scheduleapr[[#This Row],[LENGTH]]*7.85)/1000000*scheduleapr[[#This Row],[SCHEDULE in nos]]/1000</f>
        <v>5.3389734000000004</v>
      </c>
      <c r="AK219" s="1">
        <f>(3.14*(scheduleapr[[#This Row],[ACTUAL OD]]-scheduleapr[[#This Row],[TICKNESS]])*scheduleapr[[#This Row],[TICKNESS]]*scheduleapr[[#This Row],[LENGTH]]*7.85)/1000000*scheduleapr[[#This Row],[DISPATCH]]/1000</f>
        <v>4.1243569515000011</v>
      </c>
      <c r="AL219" s="1">
        <f t="shared" si="8"/>
        <v>1.2146164484999993</v>
      </c>
      <c r="AM219" s="559">
        <f>scheduleapr[[#This Row],[SCHEDULE in nos]]/scheduleapr[[#This Row],[SCHEDULE IN MT]]*scheduleapr[[#This Row],[CTL Stock]]</f>
        <v>3339.7806402257033</v>
      </c>
      <c r="AN219" s="1">
        <f>SUMIFS(stock[MT],stock[Bucket],scheduleapr[[#This Row],[Bucket]],stock[CTL Bucket],scheduleapr[[#This Row],[CTL Bucket]],stock[Plant],"0789")</f>
        <v>1.7831000000000001</v>
      </c>
      <c r="AO219" s="1"/>
      <c r="AP219" s="1">
        <f>SUMIFS(stock[MT],stock[Bucket],scheduleapr[[#This Row],[Bucket]],stock[LL or CTL],"LL")</f>
        <v>0</v>
      </c>
      <c r="AQ219" s="1">
        <f>+SUMIFS(wip[Stock(Net Wt)],wip[Bucket],scheduleapr[[#This Row],[Bucket]])/1000</f>
        <v>18.324000000000002</v>
      </c>
      <c r="AR219" s="1">
        <f t="shared" si="9"/>
        <v>3.5558734000000003</v>
      </c>
      <c r="AS219" s="118"/>
    </row>
    <row r="220" spans="1:45" x14ac:dyDescent="0.25">
      <c r="A220" s="30">
        <v>116</v>
      </c>
      <c r="B220" s="5" t="s">
        <v>1816</v>
      </c>
      <c r="C220" s="2" t="s">
        <v>289</v>
      </c>
      <c r="D220" s="2" t="s">
        <v>289</v>
      </c>
      <c r="E220" s="44">
        <v>189002</v>
      </c>
      <c r="F220" s="477">
        <v>3929691</v>
      </c>
      <c r="G220" s="2" t="str">
        <f>_xlfn.CONCAT(scheduleapr[[#This Row],[CUSTOMER CODE]],"-",scheduleapr[[#This Row],[MATERIAL NO]])</f>
        <v>189002-3929691</v>
      </c>
      <c r="H220" s="2" t="s">
        <v>535</v>
      </c>
      <c r="I220" s="2" t="s">
        <v>962</v>
      </c>
      <c r="J220" s="2"/>
      <c r="K220" s="2" t="s">
        <v>963</v>
      </c>
      <c r="L220" s="2" t="s">
        <v>239</v>
      </c>
      <c r="M220" s="2"/>
      <c r="N220" s="2"/>
      <c r="O220" s="2"/>
      <c r="P220" s="2"/>
      <c r="Q220" s="557" t="str">
        <f>CONCATENATE(scheduleapr[[#This Row],[OD]],"-",scheduleapr[[#This Row],[ID]],"-",scheduleapr[[#This Row],[TICKNESS]],"-",scheduleapr[[#This Row],[Grade]],"-",scheduleapr[[#This Row],[FC/NFC]])</f>
        <v>19.05-0-1.2-ERW 1-PE</v>
      </c>
      <c r="R220" s="557" t="str">
        <f>_xlfn.CONCAT(scheduleapr[[#This Row],[Bucket]],"-",scheduleapr[[#This Row],[LENGTH]]/1000)</f>
        <v>19.05-0-1.2-ERW 1-PE-0.2</v>
      </c>
      <c r="S220" s="557">
        <f>COUNTIF(scheduleapr[CTL Bucket],scheduleapr[[#This Row],[CTL Bucket]])</f>
        <v>3</v>
      </c>
      <c r="T220" s="2" t="s">
        <v>1816</v>
      </c>
      <c r="U220" s="2"/>
      <c r="V220" s="2"/>
      <c r="W220" s="2"/>
      <c r="X220" s="559">
        <v>19.05</v>
      </c>
      <c r="Y220" s="559">
        <v>19.05</v>
      </c>
      <c r="Z220" s="559">
        <v>0</v>
      </c>
      <c r="AA220" s="1">
        <v>1.2</v>
      </c>
      <c r="AB220" s="24">
        <v>200</v>
      </c>
      <c r="AC220" s="24" t="s">
        <v>397</v>
      </c>
      <c r="AD220" s="24"/>
      <c r="AE220" s="24"/>
      <c r="AF220" s="2"/>
      <c r="AG220" s="2"/>
      <c r="AH220" s="2" cm="1">
        <f t="array" ref="AH2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0" s="4">
        <f>scheduleapr[[#This Row],[SCHEDULE in nos]]-scheduleapr[[#This Row],[DISPATCH]]</f>
        <v>0</v>
      </c>
      <c r="AJ220" s="1">
        <f>(3.14*(scheduleapr[[#This Row],[ACTUAL OD]]-scheduleapr[[#This Row],[TICKNESS]])*scheduleapr[[#This Row],[TICKNESS]]*scheduleapr[[#This Row],[LENGTH]]*7.85)/1000000*scheduleapr[[#This Row],[SCHEDULE in nos]]/1000</f>
        <v>0</v>
      </c>
      <c r="AK220" s="1">
        <f>(3.14*(scheduleapr[[#This Row],[ACTUAL OD]]-scheduleapr[[#This Row],[TICKNESS]])*scheduleapr[[#This Row],[TICKNESS]]*scheduleapr[[#This Row],[LENGTH]]*7.85)/1000000*scheduleapr[[#This Row],[DISPATCH]]/1000</f>
        <v>0</v>
      </c>
      <c r="AL220" s="1">
        <f t="shared" si="8"/>
        <v>0</v>
      </c>
      <c r="AM220" s="1" t="e">
        <f>scheduleapr[[#This Row],[SCHEDULE in nos]]/scheduleapr[[#This Row],[SCHEDULE IN MT]]*scheduleapr[[#This Row],[CTL Stock]]</f>
        <v>#DIV/0!</v>
      </c>
      <c r="AN220" s="1">
        <f>SUMIFS(stock[MT],stock[Bucket],scheduleapr[[#This Row],[Bucket]],stock[CTL Bucket],scheduleapr[[#This Row],[CTL Bucket]],stock[Plant],"0789")</f>
        <v>0</v>
      </c>
      <c r="AO220" s="1"/>
      <c r="AP220" s="1">
        <f>SUMIFS(stock[MT],stock[Bucket],scheduleapr[[#This Row],[Bucket]],stock[LL or CTL],"LL")</f>
        <v>0</v>
      </c>
      <c r="AQ220" s="1">
        <f>+SUMIFS(wip[Stock(Net Wt)],wip[Bucket],scheduleapr[[#This Row],[Bucket]])/1000</f>
        <v>20.588000000000001</v>
      </c>
      <c r="AR220" s="1">
        <f t="shared" si="9"/>
        <v>0</v>
      </c>
      <c r="AS220" s="118"/>
    </row>
    <row r="221" spans="1:45" x14ac:dyDescent="0.25">
      <c r="A221" s="30"/>
      <c r="B221" s="5" t="s">
        <v>1816</v>
      </c>
      <c r="C221" s="2" t="s">
        <v>289</v>
      </c>
      <c r="D221" s="2" t="s">
        <v>289</v>
      </c>
      <c r="E221" s="2">
        <v>189002</v>
      </c>
      <c r="F221" s="523">
        <v>3929691</v>
      </c>
      <c r="G221" s="2" t="str">
        <f>_xlfn.CONCAT(scheduleapr[[#This Row],[CUSTOMER CODE]],"-",scheduleapr[[#This Row],[MATERIAL NO]])</f>
        <v>189002-3929691</v>
      </c>
      <c r="H221" s="523" t="s">
        <v>535</v>
      </c>
      <c r="I221" s="2" t="s">
        <v>962</v>
      </c>
      <c r="J221" s="2"/>
      <c r="K221" s="2" t="s">
        <v>963</v>
      </c>
      <c r="L221" s="2" t="s">
        <v>1867</v>
      </c>
      <c r="M221" s="2"/>
      <c r="N221" s="2"/>
      <c r="O221" s="2"/>
      <c r="P221" s="2"/>
      <c r="Q221" s="557" t="str">
        <f>CONCATENATE(scheduleapr[[#This Row],[OD]],"-",scheduleapr[[#This Row],[ID]],"-",scheduleapr[[#This Row],[TICKNESS]],"-",scheduleapr[[#This Row],[Grade]],"-",scheduleapr[[#This Row],[FC/NFC]])</f>
        <v>19.05-0-1.2-ERW 1-PE</v>
      </c>
      <c r="R221" s="557" t="str">
        <f>_xlfn.CONCAT(scheduleapr[[#This Row],[Bucket]],"-",scheduleapr[[#This Row],[LENGTH]]/1000)</f>
        <v>19.05-0-1.2-ERW 1-PE-0.2</v>
      </c>
      <c r="S221" s="557">
        <f>COUNTIF(scheduleapr[CTL Bucket],scheduleapr[[#This Row],[CTL Bucket]])</f>
        <v>3</v>
      </c>
      <c r="T221" s="2" t="s">
        <v>1816</v>
      </c>
      <c r="U221" s="2"/>
      <c r="V221" s="2"/>
      <c r="W221" s="2"/>
      <c r="X221" s="1">
        <v>19.05</v>
      </c>
      <c r="Y221" s="1">
        <v>19.05</v>
      </c>
      <c r="Z221" s="1">
        <v>0</v>
      </c>
      <c r="AA221" s="1">
        <v>1.2</v>
      </c>
      <c r="AB221" s="24">
        <v>200</v>
      </c>
      <c r="AC221" s="24" t="s">
        <v>397</v>
      </c>
      <c r="AD221" s="24"/>
      <c r="AE221" s="24"/>
      <c r="AF221" s="523"/>
      <c r="AG221" s="523"/>
      <c r="AH221" s="2" cm="1">
        <f t="array" ref="AH2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1" s="4">
        <f>scheduleapr[[#This Row],[SCHEDULE in nos]]-scheduleapr[[#This Row],[DISPATCH]]</f>
        <v>0</v>
      </c>
      <c r="AJ221" s="1">
        <f>(3.14*(scheduleapr[[#This Row],[ACTUAL OD]]-scheduleapr[[#This Row],[TICKNESS]])*scheduleapr[[#This Row],[TICKNESS]]*scheduleapr[[#This Row],[LENGTH]]*7.85)/1000000*scheduleapr[[#This Row],[SCHEDULE in nos]]/1000</f>
        <v>0</v>
      </c>
      <c r="AK221" s="1">
        <f>(3.14*(scheduleapr[[#This Row],[ACTUAL OD]]-scheduleapr[[#This Row],[TICKNESS]])*scheduleapr[[#This Row],[TICKNESS]]*scheduleapr[[#This Row],[LENGTH]]*7.85)/1000000*scheduleapr[[#This Row],[DISPATCH]]/1000</f>
        <v>0</v>
      </c>
      <c r="AL221" s="1">
        <f t="shared" si="8"/>
        <v>0</v>
      </c>
      <c r="AM221" s="1" t="e">
        <f>scheduleapr[[#This Row],[SCHEDULE in nos]]/scheduleapr[[#This Row],[SCHEDULE IN MT]]*scheduleapr[[#This Row],[CTL Stock]]</f>
        <v>#DIV/0!</v>
      </c>
      <c r="AN221" s="1">
        <f>SUMIFS(stock[MT],stock[Bucket],scheduleapr[[#This Row],[Bucket]],stock[CTL Bucket],scheduleapr[[#This Row],[CTL Bucket]],stock[Plant],"0789")</f>
        <v>0</v>
      </c>
      <c r="AO221" s="1"/>
      <c r="AP221" s="1">
        <f>SUMIFS(stock[MT],stock[Bucket],scheduleapr[[#This Row],[Bucket]],stock[LL or CTL],"LL")</f>
        <v>0</v>
      </c>
      <c r="AQ221" s="1">
        <f>+SUMIFS(wip[Stock(Net Wt)],wip[Bucket],scheduleapr[[#This Row],[Bucket]])/1000</f>
        <v>20.588000000000001</v>
      </c>
      <c r="AR221" s="1">
        <f t="shared" si="9"/>
        <v>0</v>
      </c>
      <c r="AS221" s="118"/>
    </row>
    <row r="222" spans="1:45" x14ac:dyDescent="0.25">
      <c r="A222" s="30"/>
      <c r="B222" s="5" t="s">
        <v>1816</v>
      </c>
      <c r="C222" s="2" t="s">
        <v>289</v>
      </c>
      <c r="D222" s="2" t="s">
        <v>289</v>
      </c>
      <c r="E222" s="2">
        <v>189002</v>
      </c>
      <c r="F222" s="523">
        <v>3935313</v>
      </c>
      <c r="G222" s="2" t="str">
        <f>_xlfn.CONCAT(scheduleapr[[#This Row],[CUSTOMER CODE]],"-",scheduleapr[[#This Row],[MATERIAL NO]])</f>
        <v>189002-3935313</v>
      </c>
      <c r="H222" s="523" t="s">
        <v>560</v>
      </c>
      <c r="I222" s="2" t="s">
        <v>962</v>
      </c>
      <c r="J222" s="2"/>
      <c r="K222" s="2" t="s">
        <v>963</v>
      </c>
      <c r="L222" s="2" t="s">
        <v>1867</v>
      </c>
      <c r="M222" s="2"/>
      <c r="N222" s="2"/>
      <c r="O222" s="2"/>
      <c r="P222" s="2"/>
      <c r="Q222" s="557" t="str">
        <f>CONCATENATE(scheduleapr[[#This Row],[OD]],"-",scheduleapr[[#This Row],[ID]],"-",scheduleapr[[#This Row],[TICKNESS]],"-",scheduleapr[[#This Row],[Grade]],"-",scheduleapr[[#This Row],[FC/NFC]])</f>
        <v>19.05-0-1.2-ERW 1-PE</v>
      </c>
      <c r="R222" s="557" t="str">
        <f>_xlfn.CONCAT(scheduleapr[[#This Row],[Bucket]],"-",scheduleapr[[#This Row],[LENGTH]]/1000)</f>
        <v>19.05-0-1.2-ERW 1-PE-0.33</v>
      </c>
      <c r="S222" s="557">
        <f>COUNTIF(scheduleapr[CTL Bucket],scheduleapr[[#This Row],[CTL Bucket]])</f>
        <v>3</v>
      </c>
      <c r="T222" s="2" t="s">
        <v>1816</v>
      </c>
      <c r="U222" s="2"/>
      <c r="V222" s="2"/>
      <c r="W222" s="2"/>
      <c r="X222" s="1">
        <v>19.05</v>
      </c>
      <c r="Y222" s="1">
        <v>19.05</v>
      </c>
      <c r="Z222" s="1">
        <v>0</v>
      </c>
      <c r="AA222" s="1">
        <v>1.2</v>
      </c>
      <c r="AB222" s="24">
        <v>330</v>
      </c>
      <c r="AC222" s="24" t="s">
        <v>397</v>
      </c>
      <c r="AD222" s="24"/>
      <c r="AE222" s="24"/>
      <c r="AF222" s="523"/>
      <c r="AG222" s="523"/>
      <c r="AH222" s="2" cm="1">
        <f t="array" ref="AH2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2" s="4">
        <f>scheduleapr[[#This Row],[SCHEDULE in nos]]-scheduleapr[[#This Row],[DISPATCH]]</f>
        <v>0</v>
      </c>
      <c r="AJ222" s="1">
        <f>(3.14*(scheduleapr[[#This Row],[ACTUAL OD]]-scheduleapr[[#This Row],[TICKNESS]])*scheduleapr[[#This Row],[TICKNESS]]*scheduleapr[[#This Row],[LENGTH]]*7.85)/1000000*scheduleapr[[#This Row],[SCHEDULE in nos]]/1000</f>
        <v>0</v>
      </c>
      <c r="AK222" s="1">
        <f>(3.14*(scheduleapr[[#This Row],[ACTUAL OD]]-scheduleapr[[#This Row],[TICKNESS]])*scheduleapr[[#This Row],[TICKNESS]]*scheduleapr[[#This Row],[LENGTH]]*7.85)/1000000*scheduleapr[[#This Row],[DISPATCH]]/1000</f>
        <v>0</v>
      </c>
      <c r="AL222" s="1">
        <f t="shared" si="8"/>
        <v>0</v>
      </c>
      <c r="AM222" s="1" t="e">
        <f>scheduleapr[[#This Row],[SCHEDULE in nos]]/scheduleapr[[#This Row],[SCHEDULE IN MT]]*scheduleapr[[#This Row],[CTL Stock]]</f>
        <v>#DIV/0!</v>
      </c>
      <c r="AN222" s="1">
        <f>SUMIFS(stock[MT],stock[Bucket],scheduleapr[[#This Row],[Bucket]],stock[CTL Bucket],scheduleapr[[#This Row],[CTL Bucket]],stock[Plant],"0789")</f>
        <v>0.59728400000000004</v>
      </c>
      <c r="AO222" s="1"/>
      <c r="AP222" s="1">
        <f>SUMIFS(stock[MT],stock[Bucket],scheduleapr[[#This Row],[Bucket]],stock[LL or CTL],"LL")</f>
        <v>0</v>
      </c>
      <c r="AQ222" s="1">
        <f>+SUMIFS(wip[Stock(Net Wt)],wip[Bucket],scheduleapr[[#This Row],[Bucket]])/1000</f>
        <v>20.588000000000001</v>
      </c>
      <c r="AR222" s="1">
        <f t="shared" si="9"/>
        <v>-0.59728400000000004</v>
      </c>
      <c r="AS222" s="118"/>
    </row>
    <row r="223" spans="1:45" x14ac:dyDescent="0.25">
      <c r="A223" s="30"/>
      <c r="B223" s="5" t="s">
        <v>1816</v>
      </c>
      <c r="C223" s="2" t="s">
        <v>289</v>
      </c>
      <c r="D223" s="2" t="s">
        <v>289</v>
      </c>
      <c r="E223" s="2">
        <v>189002</v>
      </c>
      <c r="F223" s="523">
        <v>3929540</v>
      </c>
      <c r="G223" s="2" t="str">
        <f>_xlfn.CONCAT(scheduleapr[[#This Row],[CUSTOMER CODE]],"-",scheduleapr[[#This Row],[MATERIAL NO]])</f>
        <v>189002-3929540</v>
      </c>
      <c r="H223" s="523" t="s">
        <v>627</v>
      </c>
      <c r="I223" s="2" t="s">
        <v>962</v>
      </c>
      <c r="J223" s="2"/>
      <c r="K223" s="2" t="s">
        <v>963</v>
      </c>
      <c r="L223" s="2" t="s">
        <v>1867</v>
      </c>
      <c r="M223" s="2"/>
      <c r="N223" s="2"/>
      <c r="O223" s="2"/>
      <c r="P223" s="2"/>
      <c r="Q223" s="557" t="str">
        <f>CONCATENATE(scheduleapr[[#This Row],[OD]],"-",scheduleapr[[#This Row],[ID]],"-",scheduleapr[[#This Row],[TICKNESS]],"-",scheduleapr[[#This Row],[Grade]],"-",scheduleapr[[#This Row],[FC/NFC]])</f>
        <v>19.05-0-1.2-ERW 1-PE</v>
      </c>
      <c r="R223" s="557" t="str">
        <f>_xlfn.CONCAT(scheduleapr[[#This Row],[Bucket]],"-",scheduleapr[[#This Row],[LENGTH]]/1000)</f>
        <v>19.05-0-1.2-ERW 1-PE-0.682</v>
      </c>
      <c r="S223" s="557">
        <f>COUNTIF(scheduleapr[CTL Bucket],scheduleapr[[#This Row],[CTL Bucket]])</f>
        <v>2</v>
      </c>
      <c r="T223" s="2" t="s">
        <v>1816</v>
      </c>
      <c r="U223" s="2"/>
      <c r="V223" s="2"/>
      <c r="W223" s="2"/>
      <c r="X223" s="1">
        <v>19.05</v>
      </c>
      <c r="Y223" s="1">
        <v>19.05</v>
      </c>
      <c r="Z223" s="1">
        <v>0</v>
      </c>
      <c r="AA223" s="1">
        <v>1.2</v>
      </c>
      <c r="AB223" s="24">
        <v>682</v>
      </c>
      <c r="AC223" s="24" t="s">
        <v>397</v>
      </c>
      <c r="AD223" s="24"/>
      <c r="AE223" s="24"/>
      <c r="AF223" s="523"/>
      <c r="AG223" s="523"/>
      <c r="AH223" s="2" cm="1">
        <f t="array" ref="AH2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3" s="4">
        <f>scheduleapr[[#This Row],[SCHEDULE in nos]]-scheduleapr[[#This Row],[DISPATCH]]</f>
        <v>0</v>
      </c>
      <c r="AJ223" s="1">
        <f>(3.14*(scheduleapr[[#This Row],[ACTUAL OD]]-scheduleapr[[#This Row],[TICKNESS]])*scheduleapr[[#This Row],[TICKNESS]]*scheduleapr[[#This Row],[LENGTH]]*7.85)/1000000*scheduleapr[[#This Row],[SCHEDULE in nos]]/1000</f>
        <v>0</v>
      </c>
      <c r="AK223" s="1">
        <f>(3.14*(scheduleapr[[#This Row],[ACTUAL OD]]-scheduleapr[[#This Row],[TICKNESS]])*scheduleapr[[#This Row],[TICKNESS]]*scheduleapr[[#This Row],[LENGTH]]*7.85)/1000000*scheduleapr[[#This Row],[DISPATCH]]/1000</f>
        <v>0</v>
      </c>
      <c r="AL223" s="1">
        <f t="shared" si="8"/>
        <v>0</v>
      </c>
      <c r="AM223" s="1" t="e">
        <f>scheduleapr[[#This Row],[SCHEDULE in nos]]/scheduleapr[[#This Row],[SCHEDULE IN MT]]*scheduleapr[[#This Row],[CTL Stock]]</f>
        <v>#DIV/0!</v>
      </c>
      <c r="AN223" s="1">
        <f>SUMIFS(stock[MT],stock[Bucket],scheduleapr[[#This Row],[Bucket]],stock[CTL Bucket],scheduleapr[[#This Row],[CTL Bucket]],stock[Plant],"0789")</f>
        <v>0</v>
      </c>
      <c r="AO223" s="1"/>
      <c r="AP223" s="1">
        <f>SUMIFS(stock[MT],stock[Bucket],scheduleapr[[#This Row],[Bucket]],stock[LL or CTL],"LL")</f>
        <v>0</v>
      </c>
      <c r="AQ223" s="1">
        <f>+SUMIFS(wip[Stock(Net Wt)],wip[Bucket],scheduleapr[[#This Row],[Bucket]])/1000</f>
        <v>20.588000000000001</v>
      </c>
      <c r="AR223" s="1">
        <f t="shared" si="9"/>
        <v>0</v>
      </c>
      <c r="AS223" s="118"/>
    </row>
    <row r="224" spans="1:45" x14ac:dyDescent="0.25">
      <c r="A224" s="30"/>
      <c r="B224" s="5" t="s">
        <v>1816</v>
      </c>
      <c r="C224" s="2" t="s">
        <v>289</v>
      </c>
      <c r="D224" s="2" t="s">
        <v>289</v>
      </c>
      <c r="E224" s="2">
        <v>189002</v>
      </c>
      <c r="F224" s="523">
        <v>3929692</v>
      </c>
      <c r="G224" s="2" t="str">
        <f>_xlfn.CONCAT(scheduleapr[[#This Row],[CUSTOMER CODE]],"-",scheduleapr[[#This Row],[MATERIAL NO]])</f>
        <v>189002-3929692</v>
      </c>
      <c r="H224" s="523" t="s">
        <v>533</v>
      </c>
      <c r="I224" s="2" t="s">
        <v>962</v>
      </c>
      <c r="J224" s="2"/>
      <c r="K224" s="2" t="s">
        <v>963</v>
      </c>
      <c r="L224" s="2" t="s">
        <v>1867</v>
      </c>
      <c r="M224" s="2"/>
      <c r="N224" s="2"/>
      <c r="O224" s="2"/>
      <c r="P224" s="2"/>
      <c r="Q224" s="557" t="str">
        <f>CONCATENATE(scheduleapr[[#This Row],[OD]],"-",scheduleapr[[#This Row],[ID]],"-",scheduleapr[[#This Row],[TICKNESS]],"-",scheduleapr[[#This Row],[Grade]],"-",scheduleapr[[#This Row],[FC/NFC]])</f>
        <v>19.05-0-1.2-ERW 1-PE</v>
      </c>
      <c r="R224" s="557" t="str">
        <f>_xlfn.CONCAT(scheduleapr[[#This Row],[Bucket]],"-",scheduleapr[[#This Row],[LENGTH]]/1000)</f>
        <v>19.05-0-1.2-ERW 1-PE-1.23</v>
      </c>
      <c r="S224" s="557">
        <f>COUNTIF(scheduleapr[CTL Bucket],scheduleapr[[#This Row],[CTL Bucket]])</f>
        <v>2</v>
      </c>
      <c r="T224" s="2" t="s">
        <v>1816</v>
      </c>
      <c r="U224" s="2"/>
      <c r="V224" s="2"/>
      <c r="W224" s="2"/>
      <c r="X224" s="1">
        <v>19.05</v>
      </c>
      <c r="Y224" s="1">
        <v>19.05</v>
      </c>
      <c r="Z224" s="1">
        <v>0</v>
      </c>
      <c r="AA224" s="1">
        <v>1.2</v>
      </c>
      <c r="AB224" s="24">
        <v>1230</v>
      </c>
      <c r="AC224" s="24" t="s">
        <v>397</v>
      </c>
      <c r="AD224" s="24"/>
      <c r="AE224" s="24"/>
      <c r="AF224" s="523"/>
      <c r="AG224" s="523"/>
      <c r="AH224" s="2" cm="1">
        <f t="array" ref="AH2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4" s="4">
        <f>scheduleapr[[#This Row],[SCHEDULE in nos]]-scheduleapr[[#This Row],[DISPATCH]]</f>
        <v>0</v>
      </c>
      <c r="AJ224" s="1">
        <f>(3.14*(scheduleapr[[#This Row],[ACTUAL OD]]-scheduleapr[[#This Row],[TICKNESS]])*scheduleapr[[#This Row],[TICKNESS]]*scheduleapr[[#This Row],[LENGTH]]*7.85)/1000000*scheduleapr[[#This Row],[SCHEDULE in nos]]/1000</f>
        <v>0</v>
      </c>
      <c r="AK224" s="1">
        <f>(3.14*(scheduleapr[[#This Row],[ACTUAL OD]]-scheduleapr[[#This Row],[TICKNESS]])*scheduleapr[[#This Row],[TICKNESS]]*scheduleapr[[#This Row],[LENGTH]]*7.85)/1000000*scheduleapr[[#This Row],[DISPATCH]]/1000</f>
        <v>0</v>
      </c>
      <c r="AL224" s="1">
        <f t="shared" si="8"/>
        <v>0</v>
      </c>
      <c r="AM224" s="1" t="e">
        <f>scheduleapr[[#This Row],[SCHEDULE in nos]]/scheduleapr[[#This Row],[SCHEDULE IN MT]]*scheduleapr[[#This Row],[CTL Stock]]</f>
        <v>#DIV/0!</v>
      </c>
      <c r="AN224" s="1">
        <f>SUMIFS(stock[MT],stock[Bucket],scheduleapr[[#This Row],[Bucket]],stock[CTL Bucket],scheduleapr[[#This Row],[CTL Bucket]],stock[Plant],"0789")</f>
        <v>0</v>
      </c>
      <c r="AO224" s="1"/>
      <c r="AP224" s="1">
        <f>SUMIFS(stock[MT],stock[Bucket],scheduleapr[[#This Row],[Bucket]],stock[LL or CTL],"LL")</f>
        <v>0</v>
      </c>
      <c r="AQ224" s="1">
        <f>+SUMIFS(wip[Stock(Net Wt)],wip[Bucket],scheduleapr[[#This Row],[Bucket]])/1000</f>
        <v>20.588000000000001</v>
      </c>
      <c r="AR224" s="1">
        <f t="shared" si="9"/>
        <v>0</v>
      </c>
      <c r="AS224" s="118"/>
    </row>
    <row r="225" spans="1:45" x14ac:dyDescent="0.25">
      <c r="A225" s="30">
        <v>117</v>
      </c>
      <c r="B225" s="5" t="s">
        <v>1816</v>
      </c>
      <c r="C225" s="2" t="s">
        <v>289</v>
      </c>
      <c r="D225" s="2" t="s">
        <v>289</v>
      </c>
      <c r="E225" s="44">
        <v>189002</v>
      </c>
      <c r="F225" s="477">
        <v>1940391</v>
      </c>
      <c r="G225" s="2" t="str">
        <f>_xlfn.CONCAT(scheduleapr[[#This Row],[CUSTOMER CODE]],"-",scheduleapr[[#This Row],[MATERIAL NO]])</f>
        <v>189002-1940391</v>
      </c>
      <c r="H225" s="2" t="s">
        <v>1940</v>
      </c>
      <c r="I225" s="2" t="s">
        <v>962</v>
      </c>
      <c r="J225" s="2"/>
      <c r="K225" s="2" t="s">
        <v>963</v>
      </c>
      <c r="L225" s="2" t="s">
        <v>1867</v>
      </c>
      <c r="M225" s="2"/>
      <c r="N225" s="2"/>
      <c r="O225" s="2"/>
      <c r="P225" s="2"/>
      <c r="Q225" s="557" t="str">
        <f>CONCATENATE(scheduleapr[[#This Row],[OD]],"-",scheduleapr[[#This Row],[ID]],"-",scheduleapr[[#This Row],[TICKNESS]],"-",scheduleapr[[#This Row],[Grade]],"-",scheduleapr[[#This Row],[FC/NFC]])</f>
        <v>22.23-0-1.6-ERW 1-PE</v>
      </c>
      <c r="R225" s="557" t="str">
        <f>_xlfn.CONCAT(scheduleapr[[#This Row],[Bucket]],"-",scheduleapr[[#This Row],[LENGTH]]/1000)</f>
        <v>22.23-0-1.6-ERW 1-PE-0.285</v>
      </c>
      <c r="S225" s="557">
        <f>COUNTIF(scheduleapr[CTL Bucket],scheduleapr[[#This Row],[CTL Bucket]])</f>
        <v>2</v>
      </c>
      <c r="T225" s="2" t="s">
        <v>1816</v>
      </c>
      <c r="U225" s="2"/>
      <c r="V225" s="2"/>
      <c r="W225" s="2"/>
      <c r="X225" s="1">
        <v>22.23</v>
      </c>
      <c r="Y225" s="1">
        <v>22.23</v>
      </c>
      <c r="Z225" s="1">
        <v>0</v>
      </c>
      <c r="AA225" s="1">
        <v>1.6</v>
      </c>
      <c r="AB225" s="24">
        <v>285</v>
      </c>
      <c r="AC225" s="24" t="s">
        <v>397</v>
      </c>
      <c r="AD225" s="24"/>
      <c r="AE225" s="24"/>
      <c r="AF225" s="2"/>
      <c r="AG225" s="2"/>
      <c r="AH225" s="2" cm="1">
        <f t="array" ref="AH2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5" s="4">
        <f>scheduleapr[[#This Row],[SCHEDULE in nos]]-scheduleapr[[#This Row],[DISPATCH]]</f>
        <v>0</v>
      </c>
      <c r="AJ225" s="1">
        <f>(3.14*(scheduleapr[[#This Row],[ACTUAL OD]]-scheduleapr[[#This Row],[TICKNESS]])*scheduleapr[[#This Row],[TICKNESS]]*scheduleapr[[#This Row],[LENGTH]]*7.85)/1000000*scheduleapr[[#This Row],[SCHEDULE in nos]]/1000</f>
        <v>0</v>
      </c>
      <c r="AK225" s="1">
        <f>(3.14*(scheduleapr[[#This Row],[ACTUAL OD]]-scheduleapr[[#This Row],[TICKNESS]])*scheduleapr[[#This Row],[TICKNESS]]*scheduleapr[[#This Row],[LENGTH]]*7.85)/1000000*scheduleapr[[#This Row],[DISPATCH]]/1000</f>
        <v>0</v>
      </c>
      <c r="AL225" s="1">
        <f t="shared" si="8"/>
        <v>0</v>
      </c>
      <c r="AM225" s="1" t="e">
        <f>scheduleapr[[#This Row],[SCHEDULE in nos]]/scheduleapr[[#This Row],[SCHEDULE IN MT]]*scheduleapr[[#This Row],[CTL Stock]]</f>
        <v>#DIV/0!</v>
      </c>
      <c r="AN225" s="1">
        <f>SUMIFS(stock[MT],stock[Bucket],scheduleapr[[#This Row],[Bucket]],stock[CTL Bucket],scheduleapr[[#This Row],[CTL Bucket]],stock[Plant],"0789")</f>
        <v>9.4728000000000007E-2</v>
      </c>
      <c r="AO225" s="1"/>
      <c r="AP225" s="1">
        <f>SUMIFS(stock[MT],stock[Bucket],scheduleapr[[#This Row],[Bucket]],stock[LL or CTL],"LL")</f>
        <v>62.742162000000008</v>
      </c>
      <c r="AQ225" s="1">
        <f>+SUMIFS(wip[Stock(Net Wt)],wip[Bucket],scheduleapr[[#This Row],[Bucket]])/1000</f>
        <v>0</v>
      </c>
      <c r="AR225" s="1">
        <f t="shared" si="9"/>
        <v>-9.4728000000000007E-2</v>
      </c>
      <c r="AS225" s="118"/>
    </row>
    <row r="226" spans="1:45" x14ac:dyDescent="0.25">
      <c r="A226" s="30">
        <v>118</v>
      </c>
      <c r="B226" s="5" t="s">
        <v>1816</v>
      </c>
      <c r="C226" s="2" t="s">
        <v>289</v>
      </c>
      <c r="D226" s="2" t="s">
        <v>289</v>
      </c>
      <c r="E226" s="44">
        <v>189002</v>
      </c>
      <c r="F226" s="477">
        <v>4095225</v>
      </c>
      <c r="G226" s="477" t="s">
        <v>1941</v>
      </c>
      <c r="H226" s="477" t="s">
        <v>1941</v>
      </c>
      <c r="I226" s="2" t="s">
        <v>962</v>
      </c>
      <c r="J226" s="2"/>
      <c r="K226" s="2" t="s">
        <v>963</v>
      </c>
      <c r="L226" s="2" t="s">
        <v>239</v>
      </c>
      <c r="M226" s="2"/>
      <c r="N226" s="2"/>
      <c r="O226" s="2"/>
      <c r="P226" s="2"/>
      <c r="Q226" s="557" t="str">
        <f>CONCATENATE(scheduleapr[[#This Row],[OD]],"-",scheduleapr[[#This Row],[ID]],"-",scheduleapr[[#This Row],[TICKNESS]],"-",scheduleapr[[#This Row],[Grade]],"-",scheduleapr[[#This Row],[FC/NFC]])</f>
        <v>22.23-0-2.3-ERW 1-PE</v>
      </c>
      <c r="R226" s="557" t="str">
        <f>_xlfn.CONCAT(scheduleapr[[#This Row],[Bucket]],"-",scheduleapr[[#This Row],[LENGTH]]/1000)</f>
        <v>22.23-0-2.3-ERW 1-PE-0.188</v>
      </c>
      <c r="S226" s="2" t="e" vm="2">
        <f>COUNTIF([2]!buckets[CTL Bucket],[2]!scheduleapr[[#This Row],[CTL Bucket]])</f>
        <v>#REF!</v>
      </c>
      <c r="T226" s="2"/>
      <c r="U226" s="2"/>
      <c r="V226" s="2"/>
      <c r="W226" s="2"/>
      <c r="X226" s="1">
        <v>22.23</v>
      </c>
      <c r="Y226" s="1">
        <v>22.23</v>
      </c>
      <c r="Z226" s="1">
        <v>0</v>
      </c>
      <c r="AA226" s="1">
        <v>2.2999999999999998</v>
      </c>
      <c r="AB226" s="24">
        <v>188</v>
      </c>
      <c r="AC226" s="24" t="s">
        <v>397</v>
      </c>
      <c r="AD226" s="24"/>
      <c r="AE226" s="24"/>
      <c r="AF226" s="2"/>
      <c r="AG226" s="2"/>
      <c r="AH226" s="2" cm="1">
        <f t="array" ref="AH2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6" s="4">
        <f>scheduleapr[[#This Row],[SCHEDULE in nos]]-scheduleapr[[#This Row],[DISPATCH]]</f>
        <v>0</v>
      </c>
      <c r="AJ226" s="1">
        <f>(3.14*(scheduleapr[[#This Row],[ACTUAL OD]]-scheduleapr[[#This Row],[TICKNESS]])*scheduleapr[[#This Row],[TICKNESS]]*scheduleapr[[#This Row],[LENGTH]]*7.85)/1000000*scheduleapr[[#This Row],[SCHEDULE in nos]]/1000</f>
        <v>0</v>
      </c>
      <c r="AK226" s="1">
        <f>(3.14*(scheduleapr[[#This Row],[ACTUAL OD]]-scheduleapr[[#This Row],[TICKNESS]])*scheduleapr[[#This Row],[TICKNESS]]*scheduleapr[[#This Row],[LENGTH]]*7.85)/1000000*scheduleapr[[#This Row],[DISPATCH]]/1000</f>
        <v>0</v>
      </c>
      <c r="AL226" s="1">
        <f t="shared" si="8"/>
        <v>0</v>
      </c>
      <c r="AM226" s="1" t="e">
        <f>scheduleapr[[#This Row],[SCHEDULE in nos]]/scheduleapr[[#This Row],[SCHEDULE IN MT]]*scheduleapr[[#This Row],[CTL Stock]]</f>
        <v>#DIV/0!</v>
      </c>
      <c r="AN226" s="1">
        <f>SUMIFS(stock[MT],stock[Bucket],scheduleapr[[#This Row],[Bucket]],stock[CTL Bucket],scheduleapr[[#This Row],[CTL Bucket]],stock[Plant],"0789")</f>
        <v>0</v>
      </c>
      <c r="AO226" s="1"/>
      <c r="AP226" s="1">
        <f>SUMIFS(stock[MT],stock[Bucket],scheduleapr[[#This Row],[Bucket]],stock[LL or CTL],"LL")</f>
        <v>6.8109739999999999</v>
      </c>
      <c r="AQ226" s="1">
        <f>+SUMIFS(wip[Stock(Net Wt)],wip[Bucket],scheduleapr[[#This Row],[Bucket]])/1000</f>
        <v>0</v>
      </c>
      <c r="AR226" s="1">
        <f t="shared" si="9"/>
        <v>0</v>
      </c>
      <c r="AS226" s="118"/>
    </row>
    <row r="227" spans="1:45" x14ac:dyDescent="0.25">
      <c r="A227" s="30">
        <v>119</v>
      </c>
      <c r="B227" s="5" t="s">
        <v>1816</v>
      </c>
      <c r="C227" s="2" t="s">
        <v>289</v>
      </c>
      <c r="D227" s="2" t="s">
        <v>289</v>
      </c>
      <c r="E227" s="44">
        <v>189002</v>
      </c>
      <c r="F227" s="477">
        <v>4095224</v>
      </c>
      <c r="G227" s="2" t="str">
        <f>_xlfn.CONCAT(scheduleapr[[#This Row],[CUSTOMER CODE]],"-",scheduleapr[[#This Row],[MATERIAL NO]])</f>
        <v>189002-4095224</v>
      </c>
      <c r="H227" s="2" t="s">
        <v>1942</v>
      </c>
      <c r="I227" s="2" t="s">
        <v>962</v>
      </c>
      <c r="J227" s="2"/>
      <c r="K227" s="2" t="s">
        <v>963</v>
      </c>
      <c r="L227" s="2" t="s">
        <v>239</v>
      </c>
      <c r="M227" s="2"/>
      <c r="N227" s="2"/>
      <c r="O227" s="2"/>
      <c r="P227" s="2"/>
      <c r="Q227" s="557" t="str">
        <f>CONCATENATE(scheduleapr[[#This Row],[OD]],"-",scheduleapr[[#This Row],[ID]],"-",scheduleapr[[#This Row],[TICKNESS]],"-",scheduleapr[[#This Row],[Grade]],"-",scheduleapr[[#This Row],[FC/NFC]])</f>
        <v>22.23-0-2.3-ERW 1-PE</v>
      </c>
      <c r="R227" s="557" t="str">
        <f>_xlfn.CONCAT(scheduleapr[[#This Row],[Bucket]],"-",scheduleapr[[#This Row],[LENGTH]]/1000)</f>
        <v>22.23-0-2.3-ERW 1-PE-0.295</v>
      </c>
      <c r="S227" s="557">
        <f>COUNTIF(scheduleapr[CTL Bucket],scheduleapr[[#This Row],[CTL Bucket]])</f>
        <v>1</v>
      </c>
      <c r="T227" s="2"/>
      <c r="U227" s="2"/>
      <c r="V227" s="2"/>
      <c r="W227" s="2"/>
      <c r="X227" s="1">
        <v>22.23</v>
      </c>
      <c r="Y227" s="1">
        <v>22.23</v>
      </c>
      <c r="Z227" s="1">
        <v>0</v>
      </c>
      <c r="AA227" s="1">
        <v>2.2999999999999998</v>
      </c>
      <c r="AB227" s="24">
        <v>295</v>
      </c>
      <c r="AC227" s="24" t="s">
        <v>397</v>
      </c>
      <c r="AD227" s="24"/>
      <c r="AE227" s="24"/>
      <c r="AF227" s="2"/>
      <c r="AG227" s="2"/>
      <c r="AH227" s="2" cm="1">
        <f t="array" ref="AH2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7" s="4">
        <f>scheduleapr[[#This Row],[SCHEDULE in nos]]-scheduleapr[[#This Row],[DISPATCH]]</f>
        <v>0</v>
      </c>
      <c r="AJ227" s="1">
        <f>(3.14*(scheduleapr[[#This Row],[ACTUAL OD]]-scheduleapr[[#This Row],[TICKNESS]])*scheduleapr[[#This Row],[TICKNESS]]*scheduleapr[[#This Row],[LENGTH]]*7.85)/1000000*scheduleapr[[#This Row],[SCHEDULE in nos]]/1000</f>
        <v>0</v>
      </c>
      <c r="AK227" s="1">
        <f>(3.14*(scheduleapr[[#This Row],[ACTUAL OD]]-scheduleapr[[#This Row],[TICKNESS]])*scheduleapr[[#This Row],[TICKNESS]]*scheduleapr[[#This Row],[LENGTH]]*7.85)/1000000*scheduleapr[[#This Row],[DISPATCH]]/1000</f>
        <v>0</v>
      </c>
      <c r="AL227" s="1">
        <f t="shared" si="8"/>
        <v>0</v>
      </c>
      <c r="AM227" s="1" t="e">
        <f>scheduleapr[[#This Row],[SCHEDULE in nos]]/scheduleapr[[#This Row],[SCHEDULE IN MT]]*scheduleapr[[#This Row],[CTL Stock]]</f>
        <v>#DIV/0!</v>
      </c>
      <c r="AN227" s="1">
        <f>SUMIFS(stock[MT],stock[Bucket],scheduleapr[[#This Row],[Bucket]],stock[CTL Bucket],scheduleapr[[#This Row],[CTL Bucket]],stock[Plant],"0789")</f>
        <v>0</v>
      </c>
      <c r="AO227" s="1"/>
      <c r="AP227" s="1">
        <f>SUMIFS(stock[MT],stock[Bucket],scheduleapr[[#This Row],[Bucket]],stock[LL or CTL],"LL")</f>
        <v>6.8109739999999999</v>
      </c>
      <c r="AQ227" s="1">
        <f>+SUMIFS(wip[Stock(Net Wt)],wip[Bucket],scheduleapr[[#This Row],[Bucket]])/1000</f>
        <v>0</v>
      </c>
      <c r="AR227" s="1">
        <f t="shared" si="9"/>
        <v>0</v>
      </c>
      <c r="AS227" s="118"/>
    </row>
    <row r="228" spans="1:45" x14ac:dyDescent="0.25">
      <c r="A228" s="30">
        <v>128</v>
      </c>
      <c r="B228" s="5" t="s">
        <v>1816</v>
      </c>
      <c r="C228" s="2" t="s">
        <v>289</v>
      </c>
      <c r="D228" s="2" t="s">
        <v>289</v>
      </c>
      <c r="E228" s="44">
        <v>189002</v>
      </c>
      <c r="F228" s="477">
        <v>2426142</v>
      </c>
      <c r="G228" s="2" t="str">
        <f>_xlfn.CONCAT(scheduleapr[[#This Row],[CUSTOMER CODE]],"-",scheduleapr[[#This Row],[MATERIAL NO]])</f>
        <v>189002-2426142</v>
      </c>
      <c r="H228" s="2" t="s">
        <v>786</v>
      </c>
      <c r="I228" s="557" t="s">
        <v>962</v>
      </c>
      <c r="J228" s="557"/>
      <c r="K228" s="2" t="s">
        <v>963</v>
      </c>
      <c r="L228" s="2" t="s">
        <v>1867</v>
      </c>
      <c r="M228" s="558"/>
      <c r="N228" s="557"/>
      <c r="O228" s="557"/>
      <c r="P228" s="557"/>
      <c r="Q228" s="557" t="str">
        <f>CONCATENATE(scheduleapr[[#This Row],[OD]],"-",scheduleapr[[#This Row],[ID]],"-",scheduleapr[[#This Row],[TICKNESS]],"-",scheduleapr[[#This Row],[Grade]],"-",scheduleapr[[#This Row],[FC/NFC]])</f>
        <v>25.4-0-1.2-ERW 1-PE</v>
      </c>
      <c r="R228" s="557" t="str">
        <f>_xlfn.CONCAT(scheduleapr[[#This Row],[Bucket]],"-",scheduleapr[[#This Row],[LENGTH]]/1000)</f>
        <v>25.4-0-1.2-ERW 1-PE-2.55</v>
      </c>
      <c r="S228" s="557">
        <f>COUNTIF(scheduleapr[CTL Bucket],scheduleapr[[#This Row],[CTL Bucket]])</f>
        <v>1</v>
      </c>
      <c r="T228" s="2"/>
      <c r="U228" s="2">
        <f>_xlfn.IFNA(VLOOKUP(scheduleapr[[#This Row],[Bucket]],salesforecast[[#All],[Bucket2]:[8406 Stock]],19,0),0)</f>
        <v>0</v>
      </c>
      <c r="V228" s="562">
        <f>_xlfn.IFNA(VLOOKUP(scheduleapr[[#This Row],[Bucket]],salesforecast[[#All],[Bucket2]:[8406 Stock]],20,0),0)+_xlfn.IFNA(VLOOKUP(scheduleapr[[#This Row],[Bucket]],salesforecast[[#All],[Bucket2]:[8406 Stock]],17,0),0)</f>
        <v>0</v>
      </c>
      <c r="W228" s="2"/>
      <c r="X228" s="559">
        <v>25.4</v>
      </c>
      <c r="Y228" s="559">
        <v>25.4</v>
      </c>
      <c r="Z228" s="559">
        <v>0</v>
      </c>
      <c r="AA228" s="1">
        <v>1.2</v>
      </c>
      <c r="AB228" s="24">
        <v>2550</v>
      </c>
      <c r="AC228" s="24" t="s">
        <v>397</v>
      </c>
      <c r="AD228" s="24"/>
      <c r="AE228" s="24"/>
      <c r="AF228" s="557">
        <v>3000</v>
      </c>
      <c r="AG228" s="557"/>
      <c r="AH228" s="2" cm="1">
        <f t="array" ref="AH2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3480</v>
      </c>
      <c r="AI228" s="4">
        <f>scheduleapr[[#This Row],[SCHEDULE in nos]]-scheduleapr[[#This Row],[DISPATCH]]</f>
        <v>-480</v>
      </c>
      <c r="AJ228" s="559">
        <f>(3.14*(scheduleapr[[#This Row],[ACTUAL OD]]-scheduleapr[[#This Row],[TICKNESS]])*scheduleapr[[#This Row],[TICKNESS]]*scheduleapr[[#This Row],[LENGTH]]*7.85)/1000000*scheduleapr[[#This Row],[SCHEDULE in nos]]/1000</f>
        <v>5.4759232439999996</v>
      </c>
      <c r="AK228" s="1">
        <f>(3.14*(scheduleapr[[#This Row],[ACTUAL OD]]-scheduleapr[[#This Row],[TICKNESS]])*scheduleapr[[#This Row],[TICKNESS]]*scheduleapr[[#This Row],[LENGTH]]*7.85)/1000000*scheduleapr[[#This Row],[DISPATCH]]/1000</f>
        <v>6.3520709630399992</v>
      </c>
      <c r="AL228" s="1">
        <f t="shared" si="8"/>
        <v>-0.87614771903999955</v>
      </c>
      <c r="AM228" s="559">
        <f>scheduleapr[[#This Row],[SCHEDULE in nos]]/scheduleapr[[#This Row],[SCHEDULE IN MT]]*scheduleapr[[#This Row],[CTL Stock]]</f>
        <v>1.1515866309684892</v>
      </c>
      <c r="AN228" s="1">
        <f>SUMIFS(stock[MT],stock[Bucket],scheduleapr[[#This Row],[Bucket]],stock[CTL Bucket],scheduleapr[[#This Row],[CTL Bucket]],stock[Plant],"0789")</f>
        <v>2.1019999999999997E-3</v>
      </c>
      <c r="AO228" s="1"/>
      <c r="AP228" s="1">
        <f>SUMIFS(stock[MT],stock[Bucket],scheduleapr[[#This Row],[Bucket]],stock[LL or CTL],"LL")</f>
        <v>0</v>
      </c>
      <c r="AQ228" s="1">
        <f>+SUMIFS(wip[Stock(Net Wt)],wip[Bucket],scheduleapr[[#This Row],[Bucket]])/1000</f>
        <v>18.564</v>
      </c>
      <c r="AR228" s="1">
        <f t="shared" si="9"/>
        <v>5.4738212439999998</v>
      </c>
      <c r="AS228" s="118"/>
    </row>
    <row r="229" spans="1:45" x14ac:dyDescent="0.25">
      <c r="A229" s="30">
        <v>127</v>
      </c>
      <c r="B229" s="5" t="s">
        <v>1816</v>
      </c>
      <c r="C229" s="2" t="s">
        <v>289</v>
      </c>
      <c r="D229" s="2" t="s">
        <v>289</v>
      </c>
      <c r="E229" s="44">
        <v>189002</v>
      </c>
      <c r="F229" s="477">
        <v>3672610</v>
      </c>
      <c r="G229" s="2" t="str">
        <f>_xlfn.CONCAT(scheduleapr[[#This Row],[CUSTOMER CODE]],"-",scheduleapr[[#This Row],[MATERIAL NO]])</f>
        <v>189002-3672610</v>
      </c>
      <c r="H229" s="2" t="s">
        <v>1943</v>
      </c>
      <c r="I229" s="557" t="s">
        <v>962</v>
      </c>
      <c r="J229" s="557"/>
      <c r="K229" s="2" t="s">
        <v>963</v>
      </c>
      <c r="L229" s="2" t="s">
        <v>1867</v>
      </c>
      <c r="M229" s="558"/>
      <c r="N229" s="557"/>
      <c r="O229" s="557"/>
      <c r="P229" s="557"/>
      <c r="Q229" s="557" t="str">
        <f>CONCATENATE(scheduleapr[[#This Row],[OD]],"-",scheduleapr[[#This Row],[ID]],"-",scheduleapr[[#This Row],[TICKNESS]],"-",scheduleapr[[#This Row],[Grade]],"-",scheduleapr[[#This Row],[FC/NFC]])</f>
        <v>25.4-0-1.2-ERW 1-PE</v>
      </c>
      <c r="R229" s="557" t="str">
        <f>_xlfn.CONCAT(scheduleapr[[#This Row],[Bucket]],"-",scheduleapr[[#This Row],[LENGTH]]/1000)</f>
        <v>25.4-0-1.2-ERW 1-PE-2.585</v>
      </c>
      <c r="S229" s="557">
        <f>COUNTIF(scheduleapr[CTL Bucket],scheduleapr[[#This Row],[CTL Bucket]])</f>
        <v>1</v>
      </c>
      <c r="T229" s="2"/>
      <c r="U229" s="2">
        <f>_xlfn.IFNA(VLOOKUP(scheduleapr[[#This Row],[Bucket]],salesforecast[[#All],[Bucket2]:[8406 Stock]],19,0),0)</f>
        <v>0</v>
      </c>
      <c r="V229" s="562">
        <f>_xlfn.IFNA(VLOOKUP(scheduleapr[[#This Row],[Bucket]],salesforecast[[#All],[Bucket2]:[8406 Stock]],20,0),0)+_xlfn.IFNA(VLOOKUP(scheduleapr[[#This Row],[Bucket]],salesforecast[[#All],[Bucket2]:[8406 Stock]],17,0),0)</f>
        <v>0</v>
      </c>
      <c r="W229" s="2"/>
      <c r="X229" s="559">
        <v>25.4</v>
      </c>
      <c r="Y229" s="559">
        <v>25.4</v>
      </c>
      <c r="Z229" s="559">
        <v>0</v>
      </c>
      <c r="AA229" s="1">
        <v>1.2</v>
      </c>
      <c r="AB229" s="24">
        <v>2585</v>
      </c>
      <c r="AC229" s="24" t="s">
        <v>397</v>
      </c>
      <c r="AD229" s="24"/>
      <c r="AE229" s="24"/>
      <c r="AF229" s="557">
        <v>2000</v>
      </c>
      <c r="AG229" s="557"/>
      <c r="AH229" s="2" cm="1">
        <f t="array" ref="AH2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9" s="4">
        <f>scheduleapr[[#This Row],[SCHEDULE in nos]]-scheduleapr[[#This Row],[DISPATCH]]</f>
        <v>2000</v>
      </c>
      <c r="AJ229" s="559">
        <f>(3.14*(scheduleapr[[#This Row],[ACTUAL OD]]-scheduleapr[[#This Row],[TICKNESS]])*scheduleapr[[#This Row],[TICKNESS]]*scheduleapr[[#This Row],[LENGTH]]*7.85)/1000000*scheduleapr[[#This Row],[SCHEDULE in nos]]/1000</f>
        <v>3.7007219831999998</v>
      </c>
      <c r="AK229" s="1">
        <f>(3.14*(scheduleapr[[#This Row],[ACTUAL OD]]-scheduleapr[[#This Row],[TICKNESS]])*scheduleapr[[#This Row],[TICKNESS]]*scheduleapr[[#This Row],[LENGTH]]*7.85)/1000000*scheduleapr[[#This Row],[DISPATCH]]/1000</f>
        <v>0</v>
      </c>
      <c r="AL229" s="1">
        <f t="shared" si="8"/>
        <v>3.7007219831999998</v>
      </c>
      <c r="AM229" s="559">
        <f>scheduleapr[[#This Row],[SCHEDULE in nos]]/scheduleapr[[#This Row],[SCHEDULE IN MT]]*scheduleapr[[#This Row],[CTL Stock]]</f>
        <v>4006.815985452165</v>
      </c>
      <c r="AN229" s="1">
        <f>SUMIFS(stock[MT],stock[Bucket],scheduleapr[[#This Row],[Bucket]],stock[CTL Bucket],scheduleapr[[#This Row],[CTL Bucket]],stock[Plant],"0789")</f>
        <v>7.4140559999999995</v>
      </c>
      <c r="AO229" s="1"/>
      <c r="AP229" s="1">
        <f>SUMIFS(stock[MT],stock[Bucket],scheduleapr[[#This Row],[Bucket]],stock[LL or CTL],"LL")</f>
        <v>0</v>
      </c>
      <c r="AQ229" s="1">
        <f>+SUMIFS(wip[Stock(Net Wt)],wip[Bucket],scheduleapr[[#This Row],[Bucket]])/1000</f>
        <v>18.564</v>
      </c>
      <c r="AR229" s="1">
        <f t="shared" si="9"/>
        <v>-3.7133340167999997</v>
      </c>
      <c r="AS229" s="118"/>
    </row>
    <row r="230" spans="1:45" x14ac:dyDescent="0.25">
      <c r="A230" s="30">
        <v>125</v>
      </c>
      <c r="B230" s="5" t="s">
        <v>1816</v>
      </c>
      <c r="C230" s="2" t="s">
        <v>289</v>
      </c>
      <c r="D230" s="2" t="s">
        <v>289</v>
      </c>
      <c r="E230" s="44">
        <v>189002</v>
      </c>
      <c r="F230" s="576">
        <v>3673031</v>
      </c>
      <c r="G230" s="2" t="str">
        <f>_xlfn.CONCAT(scheduleapr[[#This Row],[CUSTOMER CODE]],"-",scheduleapr[[#This Row],[MATERIAL NO]])</f>
        <v>189002-3673031</v>
      </c>
      <c r="H230" s="48" t="s">
        <v>792</v>
      </c>
      <c r="I230" s="557" t="s">
        <v>962</v>
      </c>
      <c r="J230" s="557"/>
      <c r="K230" s="2" t="s">
        <v>963</v>
      </c>
      <c r="L230" s="2" t="s">
        <v>1867</v>
      </c>
      <c r="M230" s="558"/>
      <c r="N230" s="557"/>
      <c r="O230" s="557"/>
      <c r="P230" s="557"/>
      <c r="Q230" s="557" t="str">
        <f>CONCATENATE(scheduleapr[[#This Row],[OD]],"-",scheduleapr[[#This Row],[ID]],"-",scheduleapr[[#This Row],[TICKNESS]],"-",scheduleapr[[#This Row],[Grade]],"-",scheduleapr[[#This Row],[FC/NFC]])</f>
        <v>25.4-0-1.6-ERW 1-PE</v>
      </c>
      <c r="R230" s="557" t="str">
        <f>_xlfn.CONCAT(scheduleapr[[#This Row],[Bucket]],"-",scheduleapr[[#This Row],[LENGTH]]/1000)</f>
        <v>25.4-0-1.6-ERW 1-PE-2.58</v>
      </c>
      <c r="S230" s="557">
        <f>COUNTIF(scheduleapr[CTL Bucket],scheduleapr[[#This Row],[CTL Bucket]])</f>
        <v>1</v>
      </c>
      <c r="T230" s="2"/>
      <c r="U230" s="2">
        <f>_xlfn.IFNA(VLOOKUP(scheduleapr[[#This Row],[Bucket]],salesforecast[[#All],[Bucket2]:[8406 Stock]],19,0),0)</f>
        <v>0</v>
      </c>
      <c r="V230" s="562">
        <f>_xlfn.IFNA(VLOOKUP(scheduleapr[[#This Row],[Bucket]],salesforecast[[#All],[Bucket2]:[8406 Stock]],20,0),0)+_xlfn.IFNA(VLOOKUP(scheduleapr[[#This Row],[Bucket]],salesforecast[[#All],[Bucket2]:[8406 Stock]],17,0),0)</f>
        <v>1.628933</v>
      </c>
      <c r="W230" s="2"/>
      <c r="X230" s="559">
        <v>25.4</v>
      </c>
      <c r="Y230" s="559">
        <v>25.4</v>
      </c>
      <c r="Z230" s="559">
        <v>0</v>
      </c>
      <c r="AA230" s="1">
        <v>1.6</v>
      </c>
      <c r="AB230" s="24">
        <v>2580</v>
      </c>
      <c r="AC230" s="24" t="s">
        <v>397</v>
      </c>
      <c r="AD230" s="24"/>
      <c r="AE230" s="24"/>
      <c r="AF230" s="557">
        <v>2000</v>
      </c>
      <c r="AG230" s="557"/>
      <c r="AH230" s="2" cm="1">
        <f t="array" ref="AH2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3999</v>
      </c>
      <c r="AI230" s="4">
        <f>scheduleapr[[#This Row],[SCHEDULE in nos]]-scheduleapr[[#This Row],[DISPATCH]]</f>
        <v>-1999</v>
      </c>
      <c r="AJ230" s="559">
        <f>(3.14*(scheduleapr[[#This Row],[ACTUAL OD]]-scheduleapr[[#This Row],[TICKNESS]])*scheduleapr[[#This Row],[TICKNESS]]*scheduleapr[[#This Row],[LENGTH]]*7.85)/1000000*scheduleapr[[#This Row],[SCHEDULE in nos]]/1000</f>
        <v>4.8433510271999998</v>
      </c>
      <c r="AK230" s="1">
        <f>(3.14*(scheduleapr[[#This Row],[ACTUAL OD]]-scheduleapr[[#This Row],[TICKNESS]])*scheduleapr[[#This Row],[TICKNESS]]*scheduleapr[[#This Row],[LENGTH]]*7.85)/1000000*scheduleapr[[#This Row],[DISPATCH]]/1000</f>
        <v>9.6842803788864007</v>
      </c>
      <c r="AL230" s="1">
        <f t="shared" si="8"/>
        <v>-4.8409293516864009</v>
      </c>
      <c r="AM230" s="559">
        <f>scheduleapr[[#This Row],[SCHEDULE in nos]]/scheduleapr[[#This Row],[SCHEDULE IN MT]]*scheduleapr[[#This Row],[CTL Stock]]</f>
        <v>1215.5005835708344</v>
      </c>
      <c r="AN230" s="1">
        <f>SUMIFS(stock[MT],stock[Bucket],scheduleapr[[#This Row],[Bucket]],stock[CTL Bucket],scheduleapr[[#This Row],[CTL Bucket]],stock[Plant],"0789")</f>
        <v>2.9435479999999998</v>
      </c>
      <c r="AO230" s="1"/>
      <c r="AP230" s="1">
        <f>SUMIFS(stock[MT],stock[Bucket],scheduleapr[[#This Row],[Bucket]],stock[LL or CTL],"LL")</f>
        <v>0</v>
      </c>
      <c r="AQ230" s="1">
        <f>+SUMIFS(wip[Stock(Net Wt)],wip[Bucket],scheduleapr[[#This Row],[Bucket]])/1000</f>
        <v>3.6459999999999999</v>
      </c>
      <c r="AR230" s="1">
        <f t="shared" si="9"/>
        <v>1.8998030271999999</v>
      </c>
      <c r="AS230" s="118"/>
    </row>
    <row r="231" spans="1:45" x14ac:dyDescent="0.25">
      <c r="A231" s="30">
        <v>147</v>
      </c>
      <c r="B231" s="5" t="s">
        <v>1872</v>
      </c>
      <c r="C231" s="2" t="s">
        <v>289</v>
      </c>
      <c r="D231" s="2" t="s">
        <v>289</v>
      </c>
      <c r="E231" s="2">
        <v>189002</v>
      </c>
      <c r="F231" s="2"/>
      <c r="G231" s="2" t="str">
        <f>_xlfn.CONCAT(scheduleapr[[#This Row],[CUSTOMER CODE]],"-",scheduleapr[[#This Row],[MATERIAL NO]])</f>
        <v>189002-</v>
      </c>
      <c r="H231" s="48"/>
      <c r="I231" s="2" t="s">
        <v>962</v>
      </c>
      <c r="J231" s="2"/>
      <c r="K231" s="2" t="s">
        <v>1003</v>
      </c>
      <c r="L231" s="2" t="s">
        <v>239</v>
      </c>
      <c r="M231" s="2"/>
      <c r="N231" s="2"/>
      <c r="O231" s="2"/>
      <c r="P231" s="2"/>
      <c r="Q231" s="557" t="str">
        <f>CONCATENATE(scheduleapr[[#This Row],[OD]],"-",scheduleapr[[#This Row],[ID]],"-",scheduleapr[[#This Row],[TICKNESS]],"-",scheduleapr[[#This Row],[Grade]],"-",scheduleapr[[#This Row],[FC/NFC]])</f>
        <v>25.4-0-2-ERW 1-FC</v>
      </c>
      <c r="R231" s="557" t="str">
        <f>_xlfn.CONCAT(scheduleapr[[#This Row],[Bucket]],"-",scheduleapr[[#This Row],[LENGTH]]/1000)</f>
        <v>25.4-0-2-ERW 1-FC-0.29</v>
      </c>
      <c r="S231" s="557">
        <f>COUNTIF(scheduleapr[CTL Bucket],scheduleapr[[#This Row],[CTL Bucket]])</f>
        <v>1</v>
      </c>
      <c r="T231" s="2"/>
      <c r="U231" s="2">
        <f>_xlfn.IFNA(VLOOKUP(scheduleapr[[#This Row],[Bucket]],salesforecast[[#All],[Bucket2]:[8406 Stock]],19,0),0)</f>
        <v>10.051000000000002</v>
      </c>
      <c r="V231" s="562">
        <f>_xlfn.IFNA(VLOOKUP(scheduleapr[[#This Row],[Bucket]],salesforecast[[#All],[Bucket2]:[8406 Stock]],20,0),0)+_xlfn.IFNA(VLOOKUP(scheduleapr[[#This Row],[Bucket]],salesforecast[[#All],[Bucket2]:[8406 Stock]],17,0),0)</f>
        <v>1.529582</v>
      </c>
      <c r="W231" s="2"/>
      <c r="X231" s="1">
        <v>25.4</v>
      </c>
      <c r="Y231" s="1">
        <v>25.4</v>
      </c>
      <c r="Z231" s="1">
        <v>0</v>
      </c>
      <c r="AA231" s="1">
        <v>2</v>
      </c>
      <c r="AB231" s="24">
        <v>290</v>
      </c>
      <c r="AC231" s="24" t="s">
        <v>397</v>
      </c>
      <c r="AD231" s="24"/>
      <c r="AE231" s="24"/>
      <c r="AF231" s="2">
        <v>20000</v>
      </c>
      <c r="AG231" s="2"/>
      <c r="AH231" s="2" cm="1">
        <f t="array" ref="AH2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1" s="4">
        <f>scheduleapr[[#This Row],[SCHEDULE in nos]]-scheduleapr[[#This Row],[DISPATCH]]</f>
        <v>20000</v>
      </c>
      <c r="AJ231" s="1">
        <f>(3.14*(scheduleapr[[#This Row],[ACTUAL OD]]-scheduleapr[[#This Row],[TICKNESS]])*scheduleapr[[#This Row],[TICKNESS]]*scheduleapr[[#This Row],[LENGTH]]*7.85)/1000000*scheduleapr[[#This Row],[SCHEDULE in nos]]/1000</f>
        <v>6.6907245599999996</v>
      </c>
      <c r="AK231" s="1">
        <f>(3.14*(scheduleapr[[#This Row],[ACTUAL OD]]-scheduleapr[[#This Row],[TICKNESS]])*scheduleapr[[#This Row],[TICKNESS]]*scheduleapr[[#This Row],[LENGTH]]*7.85)/1000000*scheduleapr[[#This Row],[DISPATCH]]/1000</f>
        <v>0</v>
      </c>
      <c r="AL231" s="1">
        <f t="shared" si="8"/>
        <v>6.6907245599999996</v>
      </c>
      <c r="AM231" s="1">
        <f>scheduleapr[[#This Row],[SCHEDULE in nos]]/scheduleapr[[#This Row],[SCHEDULE IN MT]]*scheduleapr[[#This Row],[CTL Stock]]</f>
        <v>0</v>
      </c>
      <c r="AN231" s="1">
        <f>SUMIFS(stock[MT],stock[Bucket],scheduleapr[[#This Row],[Bucket]],stock[CTL Bucket],scheduleapr[[#This Row],[CTL Bucket]],stock[Plant],"0789")</f>
        <v>0</v>
      </c>
      <c r="AO231" s="1"/>
      <c r="AP231" s="1">
        <f>SUMIFS(stock[MT],stock[Bucket],scheduleapr[[#This Row],[Bucket]],stock[LL or CTL],"LL")</f>
        <v>10.738999999999999</v>
      </c>
      <c r="AQ231" s="1">
        <f>+SUMIFS(wip[Stock(Net Wt)],wip[Bucket],scheduleapr[[#This Row],[Bucket]])/1000</f>
        <v>25.931000000000001</v>
      </c>
      <c r="AR231" s="1">
        <f t="shared" si="9"/>
        <v>6.6907245599999996</v>
      </c>
      <c r="AS231" s="118"/>
    </row>
    <row r="232" spans="1:45" x14ac:dyDescent="0.25">
      <c r="A232" s="30">
        <v>157</v>
      </c>
      <c r="B232" s="5" t="s">
        <v>1872</v>
      </c>
      <c r="C232" s="2" t="s">
        <v>289</v>
      </c>
      <c r="D232" s="2" t="s">
        <v>289</v>
      </c>
      <c r="E232" s="2">
        <v>189002</v>
      </c>
      <c r="F232" s="2">
        <v>3784540</v>
      </c>
      <c r="G232" s="2" t="str">
        <f>_xlfn.CONCAT(scheduleapr[[#This Row],[CUSTOMER CODE]],"-",scheduleapr[[#This Row],[MATERIAL NO]])</f>
        <v>189002-3784540</v>
      </c>
      <c r="H232" s="2" t="s">
        <v>1944</v>
      </c>
      <c r="I232" s="2" t="s">
        <v>962</v>
      </c>
      <c r="J232" s="2"/>
      <c r="K232" s="2" t="s">
        <v>1003</v>
      </c>
      <c r="L232" s="2" t="s">
        <v>239</v>
      </c>
      <c r="M232" s="2"/>
      <c r="N232" s="2"/>
      <c r="O232" s="2"/>
      <c r="P232" s="2"/>
      <c r="Q232" s="557" t="str">
        <f>CONCATENATE(scheduleapr[[#This Row],[OD]],"-",scheduleapr[[#This Row],[ID]],"-",scheduleapr[[#This Row],[TICKNESS]],"-",scheduleapr[[#This Row],[Grade]],"-",scheduleapr[[#This Row],[FC/NFC]])</f>
        <v>38.1-0-3.66-ERW 1-FC</v>
      </c>
      <c r="R232" s="557" t="str">
        <f>_xlfn.CONCAT(scheduleapr[[#This Row],[Bucket]],"-",scheduleapr[[#This Row],[LENGTH]]/1000)</f>
        <v>38.1-0-3.66-ERW 1-FC-0.201</v>
      </c>
      <c r="S232" s="557">
        <f>COUNTIF(scheduleapr[CTL Bucket],scheduleapr[[#This Row],[CTL Bucket]])</f>
        <v>1</v>
      </c>
      <c r="T232" s="2" t="s">
        <v>1817</v>
      </c>
      <c r="U232" s="2"/>
      <c r="V232" s="557"/>
      <c r="W232" s="557"/>
      <c r="X232" s="1">
        <v>38.1</v>
      </c>
      <c r="Y232" s="1">
        <v>38.1</v>
      </c>
      <c r="Z232" s="1">
        <v>0</v>
      </c>
      <c r="AA232" s="1">
        <v>3.66</v>
      </c>
      <c r="AB232" s="24">
        <v>201</v>
      </c>
      <c r="AC232" s="24" t="s">
        <v>397</v>
      </c>
      <c r="AD232" s="24"/>
      <c r="AE232" s="24"/>
      <c r="AF232" s="2"/>
      <c r="AG232" s="2"/>
      <c r="AH232" s="2" cm="1">
        <f t="array" ref="AH2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2" s="4">
        <f>scheduleapr[[#This Row],[SCHEDULE in nos]]-scheduleapr[[#This Row],[DISPATCH]]</f>
        <v>0</v>
      </c>
      <c r="AJ232" s="1">
        <f>(3.14*(scheduleapr[[#This Row],[ACTUAL OD]]-scheduleapr[[#This Row],[TICKNESS]])*scheduleapr[[#This Row],[TICKNESS]]*scheduleapr[[#This Row],[LENGTH]]*7.85)/1000000*scheduleapr[[#This Row],[SCHEDULE in nos]]/1000</f>
        <v>0</v>
      </c>
      <c r="AK232" s="1">
        <f>(3.14*(scheduleapr[[#This Row],[ACTUAL OD]]-scheduleapr[[#This Row],[TICKNESS]])*scheduleapr[[#This Row],[TICKNESS]]*scheduleapr[[#This Row],[LENGTH]]*7.85)/1000000*scheduleapr[[#This Row],[DISPATCH]]/1000</f>
        <v>0</v>
      </c>
      <c r="AL232" s="1">
        <f t="shared" si="8"/>
        <v>0</v>
      </c>
      <c r="AM232" s="1" t="e">
        <f>scheduleapr[[#This Row],[SCHEDULE in nos]]/scheduleapr[[#This Row],[SCHEDULE IN MT]]*scheduleapr[[#This Row],[CTL Stock]]</f>
        <v>#DIV/0!</v>
      </c>
      <c r="AN232" s="1">
        <f>SUMIFS(stock[MT],stock[Bucket],scheduleapr[[#This Row],[Bucket]],stock[CTL Bucket],scheduleapr[[#This Row],[CTL Bucket]],stock[Plant],"0789")</f>
        <v>0</v>
      </c>
      <c r="AO232" s="1"/>
      <c r="AP232" s="1">
        <f>SUMIFS(stock[MT],stock[Bucket],scheduleapr[[#This Row],[Bucket]],stock[LL or CTL],"LL")</f>
        <v>0</v>
      </c>
      <c r="AQ232" s="1">
        <f>+SUMIFS(wip[Stock(Net Wt)],wip[Bucket],scheduleapr[[#This Row],[Bucket]])/1000</f>
        <v>0</v>
      </c>
      <c r="AR232" s="1">
        <f t="shared" si="9"/>
        <v>0</v>
      </c>
      <c r="AS232" s="118"/>
    </row>
    <row r="233" spans="1:45" x14ac:dyDescent="0.25">
      <c r="A233" s="30">
        <v>121</v>
      </c>
      <c r="B233" s="5" t="s">
        <v>1816</v>
      </c>
      <c r="C233" s="2" t="s">
        <v>289</v>
      </c>
      <c r="D233" s="2" t="s">
        <v>289</v>
      </c>
      <c r="E233" s="44">
        <v>189002</v>
      </c>
      <c r="F233" s="477">
        <v>4100177</v>
      </c>
      <c r="G233" s="2" t="str">
        <f>_xlfn.CONCAT(scheduleapr[[#This Row],[CUSTOMER CODE]],"-",scheduleapr[[#This Row],[MATERIAL NO]])</f>
        <v>189002-4100177</v>
      </c>
      <c r="H233" s="2" t="s">
        <v>662</v>
      </c>
      <c r="I233" s="2" t="s">
        <v>962</v>
      </c>
      <c r="J233" s="557"/>
      <c r="K233" s="2" t="s">
        <v>1003</v>
      </c>
      <c r="L233" s="2" t="s">
        <v>239</v>
      </c>
      <c r="M233" s="2" t="s">
        <v>1891</v>
      </c>
      <c r="N233" s="557"/>
      <c r="O233" s="557"/>
      <c r="P233" s="557"/>
      <c r="Q233" s="557" t="str">
        <f>CONCATENATE(scheduleapr[[#This Row],[OD]],"-",scheduleapr[[#This Row],[ID]],"-",scheduleapr[[#This Row],[TICKNESS]],"-",scheduleapr[[#This Row],[Grade]],"-",scheduleapr[[#This Row],[FC/NFC]])</f>
        <v>40-20-1.6-ERW 1-FC</v>
      </c>
      <c r="R233" s="557" t="str">
        <f>_xlfn.CONCAT(scheduleapr[[#This Row],[Bucket]],"-",scheduleapr[[#This Row],[LENGTH]]/1000)</f>
        <v>40-20-1.6-ERW 1-FC-0.356</v>
      </c>
      <c r="S233" s="557">
        <f>COUNTIF(scheduleapr[CTL Bucket],scheduleapr[[#This Row],[CTL Bucket]])</f>
        <v>1</v>
      </c>
      <c r="T233" s="2"/>
      <c r="U233" s="2">
        <f>_xlfn.IFNA(VLOOKUP(scheduleapr[[#This Row],[Bucket]],salesforecast[[#All],[Bucket2]:[8406 Stock]],19,0),0)</f>
        <v>0</v>
      </c>
      <c r="V233" s="562">
        <f>_xlfn.IFNA(VLOOKUP(scheduleapr[[#This Row],[Bucket]],salesforecast[[#All],[Bucket2]:[8406 Stock]],20,0),0)+_xlfn.IFNA(VLOOKUP(scheduleapr[[#This Row],[Bucket]],salesforecast[[#All],[Bucket2]:[8406 Stock]],17,0),0)</f>
        <v>0</v>
      </c>
      <c r="W233" s="2"/>
      <c r="X233" s="559">
        <v>38.1</v>
      </c>
      <c r="Y233" s="559">
        <v>40</v>
      </c>
      <c r="Z233" s="559">
        <v>20</v>
      </c>
      <c r="AA233" s="1">
        <v>1.6</v>
      </c>
      <c r="AB233" s="24">
        <v>356</v>
      </c>
      <c r="AC233" s="24" t="s">
        <v>397</v>
      </c>
      <c r="AD233" s="24"/>
      <c r="AE233" s="24"/>
      <c r="AF233" s="557">
        <v>18000</v>
      </c>
      <c r="AG233" s="557"/>
      <c r="AH233" s="2" cm="1">
        <f t="array" ref="AH2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4080</v>
      </c>
      <c r="AI233" s="4">
        <f>scheduleapr[[#This Row],[SCHEDULE in nos]]-scheduleapr[[#This Row],[DISPATCH]]</f>
        <v>13920</v>
      </c>
      <c r="AJ233" s="559">
        <f>(3.14*(scheduleapr[[#This Row],[ACTUAL OD]]-scheduleapr[[#This Row],[TICKNESS]])*scheduleapr[[#This Row],[TICKNESS]]*scheduleapr[[#This Row],[LENGTH]]*7.85)/1000000*scheduleapr[[#This Row],[SCHEDULE in nos]]/1000</f>
        <v>9.224326252800001</v>
      </c>
      <c r="AK233" s="1">
        <f>(3.14*(scheduleapr[[#This Row],[ACTUAL OD]]-scheduleapr[[#This Row],[TICKNESS]])*scheduleapr[[#This Row],[TICKNESS]]*scheduleapr[[#This Row],[LENGTH]]*7.85)/1000000*scheduleapr[[#This Row],[DISPATCH]]/1000</f>
        <v>2.0908472839680003</v>
      </c>
      <c r="AL233" s="1">
        <f t="shared" si="8"/>
        <v>7.1334789688320006</v>
      </c>
      <c r="AM233" s="559">
        <f>scheduleapr[[#This Row],[SCHEDULE in nos]]/scheduleapr[[#This Row],[SCHEDULE IN MT]]*scheduleapr[[#This Row],[CTL Stock]]</f>
        <v>10854.753751755763</v>
      </c>
      <c r="AN233" s="1">
        <f>SUMIFS(stock[MT],stock[Bucket],scheduleapr[[#This Row],[Bucket]],stock[CTL Bucket],scheduleapr[[#This Row],[CTL Bucket]],stock[Plant],"0789")</f>
        <v>5.5626549999999995</v>
      </c>
      <c r="AO233" s="1"/>
      <c r="AP233" s="1">
        <f>SUMIFS(stock[MT],stock[Bucket],scheduleapr[[#This Row],[Bucket]],stock[LL or CTL],"LL")</f>
        <v>0.27499499999999999</v>
      </c>
      <c r="AQ233" s="1">
        <f>+SUMIFS(wip[Stock(Net Wt)],wip[Bucket],scheduleapr[[#This Row],[Bucket]])/1000</f>
        <v>1.27</v>
      </c>
      <c r="AR233" s="1">
        <f t="shared" si="9"/>
        <v>3.6616712528000015</v>
      </c>
      <c r="AS233" s="118"/>
    </row>
    <row r="234" spans="1:45" x14ac:dyDescent="0.25">
      <c r="A234" s="30">
        <v>120</v>
      </c>
      <c r="B234" s="5" t="s">
        <v>1816</v>
      </c>
      <c r="C234" s="2" t="s">
        <v>289</v>
      </c>
      <c r="D234" s="2" t="s">
        <v>289</v>
      </c>
      <c r="E234" s="44">
        <v>189002</v>
      </c>
      <c r="F234" s="477">
        <v>3652441</v>
      </c>
      <c r="G234" s="2" t="str">
        <f>_xlfn.CONCAT(scheduleapr[[#This Row],[CUSTOMER CODE]],"-",scheduleapr[[#This Row],[MATERIAL NO]])</f>
        <v>189002-3652441</v>
      </c>
      <c r="H234" s="2" t="s">
        <v>1945</v>
      </c>
      <c r="I234" s="2" t="s">
        <v>962</v>
      </c>
      <c r="J234" s="557"/>
      <c r="K234" s="2" t="s">
        <v>1003</v>
      </c>
      <c r="L234" s="2" t="s">
        <v>239</v>
      </c>
      <c r="M234" s="2" t="s">
        <v>1891</v>
      </c>
      <c r="N234" s="557"/>
      <c r="O234" s="557"/>
      <c r="P234" s="557"/>
      <c r="Q234" s="557" t="str">
        <f>CONCATENATE(scheduleapr[[#This Row],[OD]],"-",scheduleapr[[#This Row],[ID]],"-",scheduleapr[[#This Row],[TICKNESS]],"-",scheduleapr[[#This Row],[Grade]],"-",scheduleapr[[#This Row],[FC/NFC]])</f>
        <v>40-20-1.6-ERW 1-FC</v>
      </c>
      <c r="R234" s="557" t="str">
        <f>_xlfn.CONCAT(scheduleapr[[#This Row],[Bucket]],"-",scheduleapr[[#This Row],[LENGTH]]/1000)</f>
        <v>40-20-1.6-ERW 1-FC-1</v>
      </c>
      <c r="S234" s="557">
        <f>COUNTIF(scheduleapr[CTL Bucket],scheduleapr[[#This Row],[CTL Bucket]])</f>
        <v>1</v>
      </c>
      <c r="T234" s="2"/>
      <c r="U234" s="2"/>
      <c r="V234" s="2"/>
      <c r="W234" s="2"/>
      <c r="X234" s="559">
        <v>38.1</v>
      </c>
      <c r="Y234" s="559">
        <v>40</v>
      </c>
      <c r="Z234" s="559">
        <v>20</v>
      </c>
      <c r="AA234" s="1">
        <v>1.6</v>
      </c>
      <c r="AB234" s="24">
        <v>1000</v>
      </c>
      <c r="AC234" s="24" t="s">
        <v>444</v>
      </c>
      <c r="AD234" s="24"/>
      <c r="AE234" s="24"/>
      <c r="AF234" s="557"/>
      <c r="AG234" s="557"/>
      <c r="AH234" s="2" cm="1">
        <f t="array" ref="AH2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3633.2</v>
      </c>
      <c r="AI234" s="4">
        <f>scheduleapr[[#This Row],[SCHEDULE in nos]]-scheduleapr[[#This Row],[DISPATCH]]</f>
        <v>-3633.2</v>
      </c>
      <c r="AJ234" s="559">
        <f>(3.14*(scheduleapr[[#This Row],[ACTUAL OD]]-scheduleapr[[#This Row],[TICKNESS]])*scheduleapr[[#This Row],[TICKNESS]]*scheduleapr[[#This Row],[LENGTH]]*7.85)/1000000*scheduleapr[[#This Row],[SCHEDULE in nos]]/1000</f>
        <v>0</v>
      </c>
      <c r="AK234" s="1">
        <f>(3.14*(scheduleapr[[#This Row],[ACTUAL OD]]-scheduleapr[[#This Row],[TICKNESS]])*scheduleapr[[#This Row],[TICKNESS]]*scheduleapr[[#This Row],[LENGTH]]*7.85)/1000000*scheduleapr[[#This Row],[DISPATCH]]/1000</f>
        <v>5.229997213119999</v>
      </c>
      <c r="AL234" s="1">
        <f t="shared" si="8"/>
        <v>-5.229997213119999</v>
      </c>
      <c r="AM234" s="559" t="e">
        <f>scheduleapr[[#This Row],[SCHEDULE in nos]]/scheduleapr[[#This Row],[SCHEDULE IN MT]]*scheduleapr[[#This Row],[CTL Stock]]</f>
        <v>#DIV/0!</v>
      </c>
      <c r="AN234" s="1">
        <f>SUMIFS(stock[MT],stock[Bucket],scheduleapr[[#This Row],[Bucket]],stock[CTL Bucket],scheduleapr[[#This Row],[CTL Bucket]],stock[Plant],"0789")</f>
        <v>0.27499499999999999</v>
      </c>
      <c r="AO234" s="1"/>
      <c r="AP234" s="1">
        <f>SUMIFS(stock[MT],stock[Bucket],scheduleapr[[#This Row],[Bucket]],stock[LL or CTL],"LL")</f>
        <v>0.27499499999999999</v>
      </c>
      <c r="AQ234" s="1">
        <f>+SUMIFS(wip[Stock(Net Wt)],wip[Bucket],scheduleapr[[#This Row],[Bucket]])/1000</f>
        <v>1.27</v>
      </c>
      <c r="AR234" s="1">
        <f t="shared" si="9"/>
        <v>-0.27499499999999999</v>
      </c>
      <c r="AS234" s="118"/>
    </row>
    <row r="235" spans="1:45" x14ac:dyDescent="0.25">
      <c r="A235" s="30">
        <v>168</v>
      </c>
      <c r="B235" s="5" t="s">
        <v>1816</v>
      </c>
      <c r="C235" s="2" t="s">
        <v>289</v>
      </c>
      <c r="D235" s="2" t="s">
        <v>289</v>
      </c>
      <c r="E235" s="2">
        <v>189002</v>
      </c>
      <c r="F235" s="2">
        <v>3438761</v>
      </c>
      <c r="G235" s="2" t="str">
        <f>_xlfn.CONCAT(scheduleapr[[#This Row],[CUSTOMER CODE]],"-",scheduleapr[[#This Row],[MATERIAL NO]])</f>
        <v>189002-3438761</v>
      </c>
      <c r="H235" s="2" t="s">
        <v>682</v>
      </c>
      <c r="I235" s="2" t="s">
        <v>962</v>
      </c>
      <c r="J235" s="2"/>
      <c r="K235" s="2" t="s">
        <v>1003</v>
      </c>
      <c r="L235" s="2" t="s">
        <v>1867</v>
      </c>
      <c r="M235" s="44" t="s">
        <v>1868</v>
      </c>
      <c r="N235" s="2"/>
      <c r="O235" s="2"/>
      <c r="P235" s="2"/>
      <c r="Q235" s="557" t="str">
        <f>CONCATENATE(scheduleapr[[#This Row],[OD]],"-",scheduleapr[[#This Row],[ID]],"-",scheduleapr[[#This Row],[TICKNESS]],"-",scheduleapr[[#This Row],[Grade]],"-",scheduleapr[[#This Row],[FC/NFC]])</f>
        <v>40-25-1.6-ERW 1-FC</v>
      </c>
      <c r="R235" s="557" t="str">
        <f>_xlfn.CONCAT(scheduleapr[[#This Row],[Bucket]],"-",scheduleapr[[#This Row],[LENGTH]]/1000)</f>
        <v>40-25-1.6-ERW 1-FC-0.514</v>
      </c>
      <c r="S235" s="557">
        <f>COUNTIF(scheduleapr[CTL Bucket],scheduleapr[[#This Row],[CTL Bucket]])</f>
        <v>1</v>
      </c>
      <c r="T235" s="2" t="s">
        <v>1816</v>
      </c>
      <c r="U235" s="2">
        <f>_xlfn.IFNA(VLOOKUP(scheduleapr[[#This Row],[Bucket]],salesforecast[[#All],[Bucket2]:[8406 Stock]],19,0),0)</f>
        <v>0.61827399999999999</v>
      </c>
      <c r="V235" s="562">
        <f>_xlfn.IFNA(VLOOKUP(scheduleapr[[#This Row],[Bucket]],salesforecast[[#All],[Bucket2]:[8406 Stock]],20,0),0)+_xlfn.IFNA(VLOOKUP(scheduleapr[[#This Row],[Bucket]],salesforecast[[#All],[Bucket2]:[8406 Stock]],17,0),0)</f>
        <v>0</v>
      </c>
      <c r="W235" s="557"/>
      <c r="X235" s="1">
        <v>41.28</v>
      </c>
      <c r="Y235" s="1">
        <v>40</v>
      </c>
      <c r="Z235" s="1">
        <v>25</v>
      </c>
      <c r="AA235" s="1">
        <v>1.6</v>
      </c>
      <c r="AB235" s="24">
        <v>514</v>
      </c>
      <c r="AC235" s="24" t="s">
        <v>397</v>
      </c>
      <c r="AD235" s="24"/>
      <c r="AE235" s="24"/>
      <c r="AF235" s="2">
        <v>6000</v>
      </c>
      <c r="AG235" s="2"/>
      <c r="AH235" s="2" cm="1">
        <f t="array" ref="AH2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3080</v>
      </c>
      <c r="AI235" s="4">
        <f>scheduleapr[[#This Row],[SCHEDULE in nos]]-scheduleapr[[#This Row],[DISPATCH]]</f>
        <v>2920</v>
      </c>
      <c r="AJ235" s="1">
        <f>(3.14*(scheduleapr[[#This Row],[ACTUAL OD]]-scheduleapr[[#This Row],[TICKNESS]])*scheduleapr[[#This Row],[TICKNESS]]*scheduleapr[[#This Row],[LENGTH]]*7.85)/1000000*scheduleapr[[#This Row],[SCHEDULE in nos]]/1000</f>
        <v>4.826200055808</v>
      </c>
      <c r="AK235" s="1">
        <f>(3.14*(scheduleapr[[#This Row],[ACTUAL OD]]-scheduleapr[[#This Row],[TICKNESS]])*scheduleapr[[#This Row],[TICKNESS]]*scheduleapr[[#This Row],[LENGTH]]*7.85)/1000000*scheduleapr[[#This Row],[DISPATCH]]/1000</f>
        <v>2.4774493619814399</v>
      </c>
      <c r="AL235" s="1">
        <f t="shared" si="8"/>
        <v>2.3487506938265601</v>
      </c>
      <c r="AM235" s="1">
        <f>scheduleapr[[#This Row],[SCHEDULE in nos]]/scheduleapr[[#This Row],[SCHEDULE IN MT]]*scheduleapr[[#This Row],[CTL Stock]]</f>
        <v>471.65554135299976</v>
      </c>
      <c r="AN235" s="1">
        <f>SUMIFS(stock[MT],stock[Bucket],scheduleapr[[#This Row],[Bucket]],stock[CTL Bucket],scheduleapr[[#This Row],[CTL Bucket]],stock[Plant],"0789")</f>
        <v>0.379384</v>
      </c>
      <c r="AO235" s="1"/>
      <c r="AP235" s="1">
        <f>SUMIFS(stock[MT],stock[Bucket],scheduleapr[[#This Row],[Bucket]],stock[LL or CTL],"LL")</f>
        <v>0.61827399999999999</v>
      </c>
      <c r="AQ235" s="1">
        <f>+SUMIFS(wip[Stock(Net Wt)],wip[Bucket],scheduleapr[[#This Row],[Bucket]])/1000</f>
        <v>0</v>
      </c>
      <c r="AR235" s="1">
        <f t="shared" si="9"/>
        <v>4.4468160558080001</v>
      </c>
      <c r="AS235" s="118"/>
    </row>
    <row r="236" spans="1:45" x14ac:dyDescent="0.25">
      <c r="A236" s="30">
        <v>169</v>
      </c>
      <c r="B236" s="5" t="s">
        <v>1816</v>
      </c>
      <c r="C236" s="2" t="s">
        <v>289</v>
      </c>
      <c r="D236" s="2" t="s">
        <v>289</v>
      </c>
      <c r="E236" s="2">
        <v>189002</v>
      </c>
      <c r="F236" s="2">
        <v>3786201</v>
      </c>
      <c r="G236" s="2" t="str">
        <f>_xlfn.CONCAT(scheduleapr[[#This Row],[CUSTOMER CODE]],"-",scheduleapr[[#This Row],[MATERIAL NO]])</f>
        <v>189002-3786201</v>
      </c>
      <c r="H236" s="2" t="s">
        <v>429</v>
      </c>
      <c r="I236" s="2" t="s">
        <v>962</v>
      </c>
      <c r="J236" s="2"/>
      <c r="K236" s="2" t="s">
        <v>1003</v>
      </c>
      <c r="L236" s="2" t="s">
        <v>1867</v>
      </c>
      <c r="M236" s="44" t="s">
        <v>1874</v>
      </c>
      <c r="N236" s="2"/>
      <c r="O236" s="2"/>
      <c r="P236" s="2"/>
      <c r="Q236" s="557" t="str">
        <f>CONCATENATE(scheduleapr[[#This Row],[OD]],"-",scheduleapr[[#This Row],[ID]],"-",scheduleapr[[#This Row],[TICKNESS]],"-",scheduleapr[[#This Row],[Grade]],"-",scheduleapr[[#This Row],[FC/NFC]])</f>
        <v>40-25-1.6-ERW 1-FC</v>
      </c>
      <c r="R236" s="557" t="str">
        <f>_xlfn.CONCAT(scheduleapr[[#This Row],[Bucket]],"-",scheduleapr[[#This Row],[LENGTH]]/1000)</f>
        <v>40-25-1.6-ERW 1-FC-0.538</v>
      </c>
      <c r="S236" s="557">
        <f>COUNTIF(scheduleapr[CTL Bucket],scheduleapr[[#This Row],[CTL Bucket]])</f>
        <v>1</v>
      </c>
      <c r="T236" s="2" t="s">
        <v>1816</v>
      </c>
      <c r="U236" s="2">
        <f>_xlfn.IFNA(VLOOKUP(scheduleapr[[#This Row],[Bucket]],salesforecast[[#All],[Bucket2]:[8406 Stock]],19,0),0)</f>
        <v>0.61827399999999999</v>
      </c>
      <c r="V236" s="562">
        <f>_xlfn.IFNA(VLOOKUP(scheduleapr[[#This Row],[Bucket]],salesforecast[[#All],[Bucket2]:[8406 Stock]],20,0),0)+_xlfn.IFNA(VLOOKUP(scheduleapr[[#This Row],[Bucket]],salesforecast[[#All],[Bucket2]:[8406 Stock]],17,0),0)</f>
        <v>0</v>
      </c>
      <c r="W236" s="557"/>
      <c r="X236" s="1">
        <v>41.28</v>
      </c>
      <c r="Y236" s="1">
        <v>40</v>
      </c>
      <c r="Z236" s="1">
        <v>25</v>
      </c>
      <c r="AA236" s="1">
        <v>1.6</v>
      </c>
      <c r="AB236" s="24">
        <v>538</v>
      </c>
      <c r="AC236" s="24" t="s">
        <v>397</v>
      </c>
      <c r="AD236" s="24"/>
      <c r="AE236" s="24"/>
      <c r="AF236" s="2">
        <v>12000</v>
      </c>
      <c r="AG236" s="2"/>
      <c r="AH236" s="2" cm="1">
        <f t="array" ref="AH2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8000</v>
      </c>
      <c r="AI236" s="4">
        <f>scheduleapr[[#This Row],[SCHEDULE in nos]]-scheduleapr[[#This Row],[DISPATCH]]</f>
        <v>4000</v>
      </c>
      <c r="AJ236" s="1">
        <f>(3.14*(scheduleapr[[#This Row],[ACTUAL OD]]-scheduleapr[[#This Row],[TICKNESS]])*scheduleapr[[#This Row],[TICKNESS]]*scheduleapr[[#This Row],[LENGTH]]*7.85)/1000000*scheduleapr[[#This Row],[SCHEDULE in nos]]/1000</f>
        <v>10.103095836672001</v>
      </c>
      <c r="AK236" s="1">
        <f>(3.14*(scheduleapr[[#This Row],[ACTUAL OD]]-scheduleapr[[#This Row],[TICKNESS]])*scheduleapr[[#This Row],[TICKNESS]]*scheduleapr[[#This Row],[LENGTH]]*7.85)/1000000*scheduleapr[[#This Row],[DISPATCH]]/1000</f>
        <v>6.7353972244480005</v>
      </c>
      <c r="AL236" s="1">
        <f t="shared" si="8"/>
        <v>3.3676986122240002</v>
      </c>
      <c r="AM236" s="1">
        <f>scheduleapr[[#This Row],[SCHEDULE in nos]]/scheduleapr[[#This Row],[SCHEDULE IN MT]]*scheduleapr[[#This Row],[CTL Stock]]</f>
        <v>10.145801015559327</v>
      </c>
      <c r="AN236" s="1">
        <f>SUMIFS(stock[MT],stock[Bucket],scheduleapr[[#This Row],[Bucket]],stock[CTL Bucket],scheduleapr[[#This Row],[CTL Bucket]],stock[Plant],"0789")</f>
        <v>8.5419999999999992E-3</v>
      </c>
      <c r="AO236" s="1"/>
      <c r="AP236" s="1">
        <f>SUMIFS(stock[MT],stock[Bucket],scheduleapr[[#This Row],[Bucket]],stock[LL or CTL],"LL")</f>
        <v>0.61827399999999999</v>
      </c>
      <c r="AQ236" s="1">
        <f>+SUMIFS(wip[Stock(Net Wt)],wip[Bucket],scheduleapr[[#This Row],[Bucket]])/1000</f>
        <v>0</v>
      </c>
      <c r="AR236" s="1">
        <f t="shared" si="9"/>
        <v>10.094553836672</v>
      </c>
      <c r="AS236" s="118"/>
    </row>
    <row r="237" spans="1:45" x14ac:dyDescent="0.25">
      <c r="A237" s="30">
        <v>170</v>
      </c>
      <c r="B237" s="5" t="s">
        <v>1816</v>
      </c>
      <c r="C237" s="2" t="s">
        <v>289</v>
      </c>
      <c r="D237" s="2" t="s">
        <v>289</v>
      </c>
      <c r="E237" s="2">
        <v>189002</v>
      </c>
      <c r="F237" s="2">
        <v>3786202</v>
      </c>
      <c r="G237" s="2" t="str">
        <f>_xlfn.CONCAT(scheduleapr[[#This Row],[CUSTOMER CODE]],"-",scheduleapr[[#This Row],[MATERIAL NO]])</f>
        <v>189002-3786202</v>
      </c>
      <c r="H237" s="2" t="s">
        <v>435</v>
      </c>
      <c r="I237" s="2" t="s">
        <v>962</v>
      </c>
      <c r="J237" s="2"/>
      <c r="K237" s="2" t="s">
        <v>1003</v>
      </c>
      <c r="L237" s="2" t="s">
        <v>1867</v>
      </c>
      <c r="M237" s="44" t="s">
        <v>1874</v>
      </c>
      <c r="N237" s="2"/>
      <c r="O237" s="2"/>
      <c r="P237" s="2"/>
      <c r="Q237" s="557" t="str">
        <f>CONCATENATE(scheduleapr[[#This Row],[OD]],"-",scheduleapr[[#This Row],[ID]],"-",scheduleapr[[#This Row],[TICKNESS]],"-",scheduleapr[[#This Row],[Grade]],"-",scheduleapr[[#This Row],[FC/NFC]])</f>
        <v>40-25-1.6-ERW 1-FC</v>
      </c>
      <c r="R237" s="557" t="str">
        <f>_xlfn.CONCAT(scheduleapr[[#This Row],[Bucket]],"-",scheduleapr[[#This Row],[LENGTH]]/1000)</f>
        <v>40-25-1.6-ERW 1-FC-0.587</v>
      </c>
      <c r="S237" s="557">
        <f>COUNTIF(scheduleapr[CTL Bucket],scheduleapr[[#This Row],[CTL Bucket]])</f>
        <v>1</v>
      </c>
      <c r="T237" s="2" t="s">
        <v>1816</v>
      </c>
      <c r="U237" s="2">
        <f>_xlfn.IFNA(VLOOKUP(scheduleapr[[#This Row],[Bucket]],salesforecast[[#All],[Bucket2]:[8406 Stock]],19,0),0)</f>
        <v>0.61827399999999999</v>
      </c>
      <c r="V237" s="562">
        <f>_xlfn.IFNA(VLOOKUP(scheduleapr[[#This Row],[Bucket]],salesforecast[[#All],[Bucket2]:[8406 Stock]],20,0),0)+_xlfn.IFNA(VLOOKUP(scheduleapr[[#This Row],[Bucket]],salesforecast[[#All],[Bucket2]:[8406 Stock]],17,0),0)</f>
        <v>0</v>
      </c>
      <c r="W237" s="557"/>
      <c r="X237" s="1">
        <v>41.28</v>
      </c>
      <c r="Y237" s="1">
        <v>40</v>
      </c>
      <c r="Z237" s="1">
        <v>25</v>
      </c>
      <c r="AA237" s="1">
        <v>1.6</v>
      </c>
      <c r="AB237" s="24">
        <v>587</v>
      </c>
      <c r="AC237" s="24" t="s">
        <v>397</v>
      </c>
      <c r="AD237" s="24"/>
      <c r="AE237" s="24"/>
      <c r="AF237" s="2">
        <v>8000</v>
      </c>
      <c r="AG237" s="2"/>
      <c r="AH237" s="2" cm="1">
        <f t="array" ref="AH2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5440</v>
      </c>
      <c r="AI237" s="4">
        <f>scheduleapr[[#This Row],[SCHEDULE in nos]]-scheduleapr[[#This Row],[DISPATCH]]</f>
        <v>2560</v>
      </c>
      <c r="AJ237" s="1">
        <f>(3.14*(scheduleapr[[#This Row],[ACTUAL OD]]-scheduleapr[[#This Row],[TICKNESS]])*scheduleapr[[#This Row],[TICKNESS]]*scheduleapr[[#This Row],[LENGTH]]*7.85)/1000000*scheduleapr[[#This Row],[SCHEDULE in nos]]/1000</f>
        <v>7.3488441835520009</v>
      </c>
      <c r="AK237" s="1">
        <f>(3.14*(scheduleapr[[#This Row],[ACTUAL OD]]-scheduleapr[[#This Row],[TICKNESS]])*scheduleapr[[#This Row],[TICKNESS]]*scheduleapr[[#This Row],[LENGTH]]*7.85)/1000000*scheduleapr[[#This Row],[DISPATCH]]/1000</f>
        <v>4.9972140448153608</v>
      </c>
      <c r="AL237" s="1">
        <f t="shared" si="8"/>
        <v>2.3516301387366401</v>
      </c>
      <c r="AM237" s="1">
        <f>scheduleapr[[#This Row],[SCHEDULE in nos]]/scheduleapr[[#This Row],[SCHEDULE IN MT]]*scheduleapr[[#This Row],[CTL Stock]]</f>
        <v>15.837048261342614</v>
      </c>
      <c r="AN237" s="1">
        <f>SUMIFS(stock[MT],stock[Bucket],scheduleapr[[#This Row],[Bucket]],stock[CTL Bucket],scheduleapr[[#This Row],[CTL Bucket]],stock[Plant],"0789")</f>
        <v>1.4548E-2</v>
      </c>
      <c r="AO237" s="1"/>
      <c r="AP237" s="1">
        <f>SUMIFS(stock[MT],stock[Bucket],scheduleapr[[#This Row],[Bucket]],stock[LL or CTL],"LL")</f>
        <v>0.61827399999999999</v>
      </c>
      <c r="AQ237" s="1">
        <f>+SUMIFS(wip[Stock(Net Wt)],wip[Bucket],scheduleapr[[#This Row],[Bucket]])/1000</f>
        <v>0</v>
      </c>
      <c r="AR237" s="1">
        <f t="shared" si="9"/>
        <v>7.3342961835520013</v>
      </c>
      <c r="AS237" s="118"/>
    </row>
    <row r="238" spans="1:45" x14ac:dyDescent="0.25">
      <c r="A238" s="30">
        <v>171</v>
      </c>
      <c r="B238" s="5" t="s">
        <v>1816</v>
      </c>
      <c r="C238" s="2" t="s">
        <v>289</v>
      </c>
      <c r="D238" s="2" t="s">
        <v>289</v>
      </c>
      <c r="E238" s="2">
        <v>189002</v>
      </c>
      <c r="F238" s="2">
        <v>1940840</v>
      </c>
      <c r="G238" s="2" t="str">
        <f>_xlfn.CONCAT(scheduleapr[[#This Row],[CUSTOMER CODE]],"-",scheduleapr[[#This Row],[MATERIAL NO]])</f>
        <v>189002-1940840</v>
      </c>
      <c r="H238" s="2" t="s">
        <v>1684</v>
      </c>
      <c r="I238" s="2" t="s">
        <v>962</v>
      </c>
      <c r="J238" s="2"/>
      <c r="K238" s="2" t="s">
        <v>1003</v>
      </c>
      <c r="L238" s="2" t="s">
        <v>239</v>
      </c>
      <c r="M238" s="2"/>
      <c r="N238" s="2"/>
      <c r="O238" s="2"/>
      <c r="P238" s="2"/>
      <c r="Q238" s="557" t="str">
        <f>CONCATENATE(scheduleapr[[#This Row],[OD]],"-",scheduleapr[[#This Row],[ID]],"-",scheduleapr[[#This Row],[TICKNESS]],"-",scheduleapr[[#This Row],[Grade]],"-",scheduleapr[[#This Row],[FC/NFC]])</f>
        <v>40-30-2-ERW 1-FC</v>
      </c>
      <c r="R238" s="557" t="str">
        <f>_xlfn.CONCAT(scheduleapr[[#This Row],[Bucket]],"-",scheduleapr[[#This Row],[LENGTH]]/1000)</f>
        <v>40-30-2-ERW 1-FC-1</v>
      </c>
      <c r="S238" s="557">
        <f>COUNTIF(scheduleapr[CTL Bucket],scheduleapr[[#This Row],[CTL Bucket]])</f>
        <v>2</v>
      </c>
      <c r="T238" s="2" t="s">
        <v>1816</v>
      </c>
      <c r="U238" s="2"/>
      <c r="V238" s="557"/>
      <c r="W238" s="557"/>
      <c r="X238" s="1">
        <v>44.45</v>
      </c>
      <c r="Y238" s="1">
        <v>40</v>
      </c>
      <c r="Z238" s="1">
        <v>30</v>
      </c>
      <c r="AA238" s="1">
        <v>2</v>
      </c>
      <c r="AB238" s="24">
        <v>1000</v>
      </c>
      <c r="AC238" s="24" t="s">
        <v>444</v>
      </c>
      <c r="AD238" s="24"/>
      <c r="AE238" s="24"/>
      <c r="AF238" s="2"/>
      <c r="AG238" s="2"/>
      <c r="AH238" s="2" cm="1">
        <f t="array" ref="AH2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8" s="4">
        <f>scheduleapr[[#This Row],[SCHEDULE in nos]]-scheduleapr[[#This Row],[DISPATCH]]</f>
        <v>0</v>
      </c>
      <c r="AJ238" s="1">
        <f>(3.14*(scheduleapr[[#This Row],[ACTUAL OD]]-scheduleapr[[#This Row],[TICKNESS]])*scheduleapr[[#This Row],[TICKNESS]]*scheduleapr[[#This Row],[LENGTH]]*7.85)/1000000*scheduleapr[[#This Row],[SCHEDULE in nos]]/1000</f>
        <v>0</v>
      </c>
      <c r="AK238" s="1">
        <f>(3.14*(scheduleapr[[#This Row],[ACTUAL OD]]-scheduleapr[[#This Row],[TICKNESS]])*scheduleapr[[#This Row],[TICKNESS]]*scheduleapr[[#This Row],[LENGTH]]*7.85)/1000000*scheduleapr[[#This Row],[DISPATCH]]/1000</f>
        <v>0</v>
      </c>
      <c r="AL238" s="1">
        <f t="shared" si="8"/>
        <v>0</v>
      </c>
      <c r="AM238" s="1" t="e">
        <f>scheduleapr[[#This Row],[SCHEDULE in nos]]/scheduleapr[[#This Row],[SCHEDULE IN MT]]*scheduleapr[[#This Row],[CTL Stock]]</f>
        <v>#DIV/0!</v>
      </c>
      <c r="AN238" s="1">
        <f>SUMIFS(stock[MT],stock[Bucket],scheduleapr[[#This Row],[Bucket]],stock[CTL Bucket],scheduleapr[[#This Row],[CTL Bucket]],stock[Plant],"0789")</f>
        <v>0</v>
      </c>
      <c r="AO238" s="1"/>
      <c r="AP238" s="1">
        <f>SUMIFS(stock[MT],stock[Bucket],scheduleapr[[#This Row],[Bucket]],stock[LL or CTL],"LL")</f>
        <v>0</v>
      </c>
      <c r="AQ238" s="1">
        <f>+SUMIFS(wip[Stock(Net Wt)],wip[Bucket],scheduleapr[[#This Row],[Bucket]])/1000</f>
        <v>26.635999999999999</v>
      </c>
      <c r="AR238" s="1">
        <f t="shared" si="9"/>
        <v>0</v>
      </c>
      <c r="AS238" s="118"/>
    </row>
    <row r="239" spans="1:45" x14ac:dyDescent="0.25">
      <c r="A239" s="30">
        <v>173</v>
      </c>
      <c r="B239" s="5" t="s">
        <v>1872</v>
      </c>
      <c r="C239" s="2" t="s">
        <v>290</v>
      </c>
      <c r="D239" s="2" t="s">
        <v>290</v>
      </c>
      <c r="E239" s="2">
        <v>188647</v>
      </c>
      <c r="F239" s="2">
        <v>2363145</v>
      </c>
      <c r="G239" s="2" t="str">
        <f>_xlfn.CONCAT(scheduleapr[[#This Row],[CUSTOMER CODE]],"-",scheduleapr[[#This Row],[MATERIAL NO]])</f>
        <v>188647-2363145</v>
      </c>
      <c r="H239" s="2" t="s">
        <v>1946</v>
      </c>
      <c r="I239" s="2" t="s">
        <v>357</v>
      </c>
      <c r="J239" s="2"/>
      <c r="K239" s="2"/>
      <c r="L239" s="2" t="s">
        <v>239</v>
      </c>
      <c r="M239" s="2"/>
      <c r="N239" s="2"/>
      <c r="O239" s="2"/>
      <c r="P239" s="2"/>
      <c r="Q239" s="557" t="str">
        <f>CONCATENATE(scheduleapr[[#This Row],[OD]],"-",scheduleapr[[#This Row],[ID]],"-",scheduleapr[[#This Row],[TICKNESS]],"-",scheduleapr[[#This Row],[Grade]],"-",scheduleapr[[#This Row],[FC/NFC]])</f>
        <v>14-9.1-2.45-CEW-</v>
      </c>
      <c r="R239" s="557" t="str">
        <f>_xlfn.CONCAT(scheduleapr[[#This Row],[Bucket]],"-",scheduleapr[[#This Row],[LENGTH]]/1000)</f>
        <v>14-9.1-2.45-CEW--5</v>
      </c>
      <c r="S239" s="557" t="e" vm="2">
        <f>COUNTIF([2]!buckets[CTL Bucket],[2]!scheduleapr[[#This Row],[CTL Bucket]])</f>
        <v>#REF!</v>
      </c>
      <c r="T239" s="557"/>
      <c r="U239" s="557"/>
      <c r="V239" s="557"/>
      <c r="W239" s="557"/>
      <c r="X239" s="1">
        <v>14</v>
      </c>
      <c r="Y239" s="1">
        <v>14</v>
      </c>
      <c r="Z239" s="1">
        <v>9.1</v>
      </c>
      <c r="AA239" s="1">
        <v>2.4500000000000002</v>
      </c>
      <c r="AB239" s="24">
        <v>5000</v>
      </c>
      <c r="AC239" s="24"/>
      <c r="AD239" s="24"/>
      <c r="AE239" s="24"/>
      <c r="AF239" s="2"/>
      <c r="AG239" s="2"/>
      <c r="AH239" s="2" t="e" cm="1">
        <f t="array" ref="AH2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39" s="4" t="e">
        <f>scheduleapr[[#This Row],[SCHEDULE in nos]]-scheduleapr[[#This Row],[DISPATCH]]</f>
        <v>#N/A</v>
      </c>
      <c r="AJ239" s="1">
        <f>(3.14*(scheduleapr[[#This Row],[ACTUAL OD]]-scheduleapr[[#This Row],[TICKNESS]])*scheduleapr[[#This Row],[TICKNESS]]*scheduleapr[[#This Row],[LENGTH]]*7.85)/1000000*scheduleapr[[#This Row],[SCHEDULE in nos]]/1000</f>
        <v>0</v>
      </c>
      <c r="AK239" s="1" t="e">
        <f>(3.14*(scheduleapr[[#This Row],[ACTUAL OD]]-scheduleapr[[#This Row],[TICKNESS]])*scheduleapr[[#This Row],[TICKNESS]]*scheduleapr[[#This Row],[LENGTH]]*7.85)/1000000*scheduleapr[[#This Row],[DISPATCH]]/1000</f>
        <v>#N/A</v>
      </c>
      <c r="AL239" s="1" t="e">
        <f t="shared" si="8"/>
        <v>#N/A</v>
      </c>
      <c r="AM239" s="1" t="e">
        <f>scheduleapr[[#This Row],[SCHEDULE in nos]]/scheduleapr[[#This Row],[SCHEDULE IN MT]]*scheduleapr[[#This Row],[CTL Stock]]</f>
        <v>#DIV/0!</v>
      </c>
      <c r="AN239" s="1">
        <f>SUMIFS(stock[MT],stock[Bucket],scheduleapr[[#This Row],[Bucket]],stock[CTL Bucket],scheduleapr[[#This Row],[CTL Bucket]],stock[Plant],"0789")</f>
        <v>0</v>
      </c>
      <c r="AO239" s="1"/>
      <c r="AP239" s="1">
        <f>SUMIFS(stock[MT],stock[Bucket],scheduleapr[[#This Row],[Bucket]],stock[LL or CTL],"LL")</f>
        <v>0</v>
      </c>
      <c r="AQ239" s="1">
        <f>+SUMIFS(wip[Stock(Net Wt)],wip[Bucket],scheduleapr[[#This Row],[Bucket]])/1000</f>
        <v>0</v>
      </c>
      <c r="AR239" s="1">
        <f t="shared" si="9"/>
        <v>0</v>
      </c>
      <c r="AS239" s="118"/>
    </row>
    <row r="240" spans="1:45" x14ac:dyDescent="0.25">
      <c r="A240" s="30">
        <v>174</v>
      </c>
      <c r="B240" s="5" t="s">
        <v>1872</v>
      </c>
      <c r="C240" s="2" t="s">
        <v>290</v>
      </c>
      <c r="D240" s="2" t="s">
        <v>290</v>
      </c>
      <c r="E240" s="2">
        <v>188647</v>
      </c>
      <c r="F240" s="2">
        <v>3545493</v>
      </c>
      <c r="G240" s="2" t="str">
        <f>_xlfn.CONCAT(scheduleapr[[#This Row],[CUSTOMER CODE]],"-",scheduleapr[[#This Row],[MATERIAL NO]])</f>
        <v>188647-3545493</v>
      </c>
      <c r="H240" s="2" t="s">
        <v>1947</v>
      </c>
      <c r="I240" s="2" t="s">
        <v>357</v>
      </c>
      <c r="J240" s="2"/>
      <c r="K240" s="2" t="s">
        <v>357</v>
      </c>
      <c r="L240" s="2"/>
      <c r="M240" s="2"/>
      <c r="N240" s="2"/>
      <c r="O240" s="2"/>
      <c r="P240" s="2"/>
      <c r="Q240" s="557" t="str">
        <f>CONCATENATE(scheduleapr[[#This Row],[OD]],"-",scheduleapr[[#This Row],[ID]],"-",scheduleapr[[#This Row],[TICKNESS]],"-",scheduleapr[[#This Row],[Grade]],"-",scheduleapr[[#This Row],[FC/NFC]])</f>
        <v>19-12.5-3.25-CEW-CEW</v>
      </c>
      <c r="R240" s="557" t="str">
        <f>_xlfn.CONCAT(scheduleapr[[#This Row],[Bucket]],"-",scheduleapr[[#This Row],[LENGTH]]/1000)</f>
        <v>19-12.5-3.25-CEW-CEW-0.18</v>
      </c>
      <c r="S240" s="557" t="e" vm="2">
        <f>COUNTIF([2]!buckets[CTL Bucket],[2]!scheduleapr[[#This Row],[CTL Bucket]])</f>
        <v>#REF!</v>
      </c>
      <c r="T240" s="2" t="s">
        <v>1817</v>
      </c>
      <c r="U240" s="2">
        <f>_xlfn.IFNA(VLOOKUP(scheduleapr[[#This Row],[Bucket]],salesforecast[[#All],[Bucket2]:[8406 Stock]],19,0),0)</f>
        <v>2.9557899999999999</v>
      </c>
      <c r="V240" s="557"/>
      <c r="W240" s="557"/>
      <c r="X240" s="1">
        <v>19</v>
      </c>
      <c r="Y240" s="1">
        <v>19</v>
      </c>
      <c r="Z240" s="1">
        <v>12.5</v>
      </c>
      <c r="AA240" s="1">
        <v>3.25</v>
      </c>
      <c r="AB240" s="24">
        <v>180</v>
      </c>
      <c r="AC240" s="24" t="s">
        <v>397</v>
      </c>
      <c r="AD240" s="24"/>
      <c r="AE240" s="24"/>
      <c r="AF240" s="2">
        <v>6000</v>
      </c>
      <c r="AG240" s="2"/>
      <c r="AH240" s="2" cm="1">
        <f t="array" ref="AH2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0" s="4">
        <f>scheduleapr[[#This Row],[SCHEDULE in nos]]-scheduleapr[[#This Row],[DISPATCH]]</f>
        <v>6000</v>
      </c>
      <c r="AJ240" s="1">
        <f>(3.14*(scheduleapr[[#This Row],[ACTUAL OD]]-scheduleapr[[#This Row],[TICKNESS]])*scheduleapr[[#This Row],[TICKNESS]]*scheduleapr[[#This Row],[LENGTH]]*7.85)/1000000*scheduleapr[[#This Row],[SCHEDULE in nos]]/1000</f>
        <v>1.3626583424999998</v>
      </c>
      <c r="AK240" s="1">
        <f>(3.14*(scheduleapr[[#This Row],[ACTUAL OD]]-scheduleapr[[#This Row],[TICKNESS]])*scheduleapr[[#This Row],[TICKNESS]]*scheduleapr[[#This Row],[LENGTH]]*7.85)/1000000*scheduleapr[[#This Row],[DISPATCH]]/1000</f>
        <v>0</v>
      </c>
      <c r="AL240" s="1">
        <f t="shared" si="8"/>
        <v>1.3626583424999998</v>
      </c>
      <c r="AM240" s="1">
        <f>scheduleapr[[#This Row],[SCHEDULE in nos]]/scheduleapr[[#This Row],[SCHEDULE IN MT]]*scheduleapr[[#This Row],[CTL Stock]]</f>
        <v>0</v>
      </c>
      <c r="AN240" s="1">
        <f>SUMIFS(stock[MT],stock[Bucket],scheduleapr[[#This Row],[Bucket]],stock[CTL Bucket],scheduleapr[[#This Row],[CTL Bucket]],stock[Plant],"0789")</f>
        <v>0</v>
      </c>
      <c r="AO240" s="1"/>
      <c r="AP240" s="1">
        <f>SUMIFS(stock[MT],stock[Bucket],scheduleapr[[#This Row],[Bucket]],stock[LL or CTL],"LL")</f>
        <v>9.9577899999999993</v>
      </c>
      <c r="AQ240" s="1">
        <f>+SUMIFS(wip[Stock(Net Wt)],wip[Bucket],scheduleapr[[#This Row],[Bucket]])/1000</f>
        <v>0</v>
      </c>
      <c r="AR240" s="1">
        <f t="shared" si="9"/>
        <v>1.3626583424999998</v>
      </c>
      <c r="AS240" s="118"/>
    </row>
    <row r="241" spans="1:45" x14ac:dyDescent="0.25">
      <c r="A241" s="30">
        <v>175</v>
      </c>
      <c r="B241" s="5" t="s">
        <v>1872</v>
      </c>
      <c r="C241" s="2" t="s">
        <v>290</v>
      </c>
      <c r="D241" s="2" t="s">
        <v>290</v>
      </c>
      <c r="E241" s="2">
        <v>188647</v>
      </c>
      <c r="F241" s="2">
        <v>3545492</v>
      </c>
      <c r="G241" s="2" t="str">
        <f>_xlfn.CONCAT(scheduleapr[[#This Row],[CUSTOMER CODE]],"-",scheduleapr[[#This Row],[MATERIAL NO]])</f>
        <v>188647-3545492</v>
      </c>
      <c r="H241" s="2" t="s">
        <v>1948</v>
      </c>
      <c r="I241" s="2" t="s">
        <v>357</v>
      </c>
      <c r="J241" s="2"/>
      <c r="K241" s="2" t="s">
        <v>357</v>
      </c>
      <c r="L241" s="2"/>
      <c r="M241" s="2"/>
      <c r="N241" s="2"/>
      <c r="O241" s="2"/>
      <c r="P241" s="2"/>
      <c r="Q241" s="557" t="str">
        <f>CONCATENATE(scheduleapr[[#This Row],[OD]],"-",scheduleapr[[#This Row],[ID]],"-",scheduleapr[[#This Row],[TICKNESS]],"-",scheduleapr[[#This Row],[Grade]],"-",scheduleapr[[#This Row],[FC/NFC]])</f>
        <v>19-12.5-3.25-CEW-CEW</v>
      </c>
      <c r="R241" s="557" t="str">
        <f>_xlfn.CONCAT(scheduleapr[[#This Row],[Bucket]],"-",scheduleapr[[#This Row],[LENGTH]]/1000)</f>
        <v>19-12.5-3.25-CEW-CEW-0.195</v>
      </c>
      <c r="S241" s="557" t="e" vm="2">
        <f>COUNTIF([2]!buckets[CTL Bucket],[2]!scheduleapr[[#This Row],[CTL Bucket]])</f>
        <v>#REF!</v>
      </c>
      <c r="T241" s="2" t="s">
        <v>1817</v>
      </c>
      <c r="U241" s="2" t="s">
        <v>1913</v>
      </c>
      <c r="V241" s="557"/>
      <c r="W241" s="557"/>
      <c r="X241" s="1">
        <v>19</v>
      </c>
      <c r="Y241" s="1">
        <v>19</v>
      </c>
      <c r="Z241" s="1">
        <v>12.5</v>
      </c>
      <c r="AA241" s="1">
        <v>3.25</v>
      </c>
      <c r="AB241" s="24">
        <v>195</v>
      </c>
      <c r="AC241" s="24" t="s">
        <v>397</v>
      </c>
      <c r="AD241" s="24"/>
      <c r="AE241" s="24"/>
      <c r="AF241" s="2"/>
      <c r="AG241" s="2"/>
      <c r="AH241" s="2" cm="1">
        <f t="array" ref="AH2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1" s="4">
        <f>scheduleapr[[#This Row],[SCHEDULE in nos]]-scheduleapr[[#This Row],[DISPATCH]]</f>
        <v>0</v>
      </c>
      <c r="AJ241" s="1">
        <f>(3.14*(scheduleapr[[#This Row],[ACTUAL OD]]-scheduleapr[[#This Row],[TICKNESS]])*scheduleapr[[#This Row],[TICKNESS]]*scheduleapr[[#This Row],[LENGTH]]*7.85)/1000000*scheduleapr[[#This Row],[SCHEDULE in nos]]/1000</f>
        <v>0</v>
      </c>
      <c r="AK241" s="1">
        <f>(3.14*(scheduleapr[[#This Row],[ACTUAL OD]]-scheduleapr[[#This Row],[TICKNESS]])*scheduleapr[[#This Row],[TICKNESS]]*scheduleapr[[#This Row],[LENGTH]]*7.85)/1000000*scheduleapr[[#This Row],[DISPATCH]]/1000</f>
        <v>0</v>
      </c>
      <c r="AL241" s="1">
        <f t="shared" si="8"/>
        <v>0</v>
      </c>
      <c r="AM241" s="1" t="e">
        <f>scheduleapr[[#This Row],[SCHEDULE in nos]]/scheduleapr[[#This Row],[SCHEDULE IN MT]]*scheduleapr[[#This Row],[CTL Stock]]</f>
        <v>#DIV/0!</v>
      </c>
      <c r="AN241" s="1">
        <f>SUMIFS(stock[MT],stock[Bucket],scheduleapr[[#This Row],[Bucket]],stock[CTL Bucket],scheduleapr[[#This Row],[CTL Bucket]],stock[Plant],"0789")</f>
        <v>0</v>
      </c>
      <c r="AO241" s="1"/>
      <c r="AP241" s="1">
        <f>SUMIFS(stock[MT],stock[Bucket],scheduleapr[[#This Row],[Bucket]],stock[LL or CTL],"LL")</f>
        <v>9.9577899999999993</v>
      </c>
      <c r="AQ241" s="1">
        <f>+SUMIFS(wip[Stock(Net Wt)],wip[Bucket],scheduleapr[[#This Row],[Bucket]])/1000</f>
        <v>0</v>
      </c>
      <c r="AR241" s="1">
        <f t="shared" si="9"/>
        <v>0</v>
      </c>
      <c r="AS241" s="118"/>
    </row>
    <row r="242" spans="1:45" x14ac:dyDescent="0.25">
      <c r="A242" s="30">
        <v>177</v>
      </c>
      <c r="B242" s="5" t="s">
        <v>1872</v>
      </c>
      <c r="C242" s="2" t="s">
        <v>290</v>
      </c>
      <c r="D242" s="2" t="s">
        <v>290</v>
      </c>
      <c r="E242" s="2">
        <v>188647</v>
      </c>
      <c r="F242" s="2">
        <v>2410994</v>
      </c>
      <c r="G242" s="2" t="str">
        <f>_xlfn.CONCAT(scheduleapr[[#This Row],[CUSTOMER CODE]],"-",scheduleapr[[#This Row],[MATERIAL NO]])</f>
        <v>188647-2410994</v>
      </c>
      <c r="H242" s="2" t="s">
        <v>1949</v>
      </c>
      <c r="I242" s="2" t="s">
        <v>357</v>
      </c>
      <c r="J242" s="2"/>
      <c r="K242" s="2"/>
      <c r="L242" s="2" t="s">
        <v>239</v>
      </c>
      <c r="M242" s="2"/>
      <c r="N242" s="2"/>
      <c r="O242" s="2"/>
      <c r="P242" s="2"/>
      <c r="Q242" s="557" t="str">
        <f>CONCATENATE(scheduleapr[[#This Row],[OD]],"-",scheduleapr[[#This Row],[ID]],"-",scheduleapr[[#This Row],[TICKNESS]],"-",scheduleapr[[#This Row],[Grade]],"-",scheduleapr[[#This Row],[FC/NFC]])</f>
        <v>21.75-0-3.5-CEW-</v>
      </c>
      <c r="R242" s="557" t="str">
        <f>_xlfn.CONCAT(scheduleapr[[#This Row],[Bucket]],"-",scheduleapr[[#This Row],[LENGTH]]/1000)</f>
        <v>21.75-0-3.5-CEW--4.5</v>
      </c>
      <c r="S242" s="557" t="e" vm="2">
        <f>COUNTIF([2]!buckets[CTL Bucket],[2]!scheduleapr[[#This Row],[CTL Bucket]])</f>
        <v>#REF!</v>
      </c>
      <c r="T242" s="557"/>
      <c r="U242" s="557"/>
      <c r="V242" s="557"/>
      <c r="W242" s="557"/>
      <c r="X242" s="1">
        <v>21.75</v>
      </c>
      <c r="Y242" s="1">
        <v>21.75</v>
      </c>
      <c r="Z242" s="1">
        <v>0</v>
      </c>
      <c r="AA242" s="1">
        <v>3.5</v>
      </c>
      <c r="AB242" s="24">
        <v>4500</v>
      </c>
      <c r="AC242" s="24" t="s">
        <v>444</v>
      </c>
      <c r="AD242" s="24"/>
      <c r="AE242" s="24"/>
      <c r="AF242" s="2"/>
      <c r="AG242" s="2"/>
      <c r="AH242" s="2" cm="1">
        <f t="array" ref="AH2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2" s="4">
        <f>scheduleapr[[#This Row],[SCHEDULE in nos]]-scheduleapr[[#This Row],[DISPATCH]]</f>
        <v>0</v>
      </c>
      <c r="AJ242" s="1">
        <f>(3.14*(scheduleapr[[#This Row],[ACTUAL OD]]-scheduleapr[[#This Row],[TICKNESS]])*scheduleapr[[#This Row],[TICKNESS]]*scheduleapr[[#This Row],[LENGTH]]*7.85)/1000000*scheduleapr[[#This Row],[SCHEDULE in nos]]/1000</f>
        <v>0</v>
      </c>
      <c r="AK242" s="1">
        <f>(3.14*(scheduleapr[[#This Row],[ACTUAL OD]]-scheduleapr[[#This Row],[TICKNESS]])*scheduleapr[[#This Row],[TICKNESS]]*scheduleapr[[#This Row],[LENGTH]]*7.85)/1000000*scheduleapr[[#This Row],[DISPATCH]]/1000</f>
        <v>0</v>
      </c>
      <c r="AL242" s="1">
        <f t="shared" si="8"/>
        <v>0</v>
      </c>
      <c r="AM242" s="1" t="e">
        <f>scheduleapr[[#This Row],[SCHEDULE in nos]]/scheduleapr[[#This Row],[SCHEDULE IN MT]]*scheduleapr[[#This Row],[CTL Stock]]</f>
        <v>#DIV/0!</v>
      </c>
      <c r="AN242" s="1">
        <f>SUMIFS(stock[MT],stock[Bucket],scheduleapr[[#This Row],[Bucket]],stock[CTL Bucket],scheduleapr[[#This Row],[CTL Bucket]],stock[Plant],"0789")</f>
        <v>0</v>
      </c>
      <c r="AO242" s="1"/>
      <c r="AP242" s="1">
        <f>SUMIFS(stock[MT],stock[Bucket],scheduleapr[[#This Row],[Bucket]],stock[LL or CTL],"LL")</f>
        <v>0</v>
      </c>
      <c r="AQ242" s="1">
        <f>+SUMIFS(wip[Stock(Net Wt)],wip[Bucket],scheduleapr[[#This Row],[Bucket]])/1000</f>
        <v>0</v>
      </c>
      <c r="AR242" s="1">
        <f t="shared" si="9"/>
        <v>0</v>
      </c>
      <c r="AS242" s="118"/>
    </row>
    <row r="243" spans="1:45" x14ac:dyDescent="0.25">
      <c r="A243" s="30">
        <v>193</v>
      </c>
      <c r="B243" s="5" t="s">
        <v>1872</v>
      </c>
      <c r="C243" s="2" t="s">
        <v>290</v>
      </c>
      <c r="D243" s="2" t="s">
        <v>290</v>
      </c>
      <c r="E243" s="2">
        <v>188647</v>
      </c>
      <c r="F243" s="2">
        <v>2396465</v>
      </c>
      <c r="G243" s="2" t="str">
        <f>_xlfn.CONCAT(scheduleapr[[#This Row],[CUSTOMER CODE]],"-",scheduleapr[[#This Row],[MATERIAL NO]])</f>
        <v>188647-2396465</v>
      </c>
      <c r="H243" s="2" t="s">
        <v>1950</v>
      </c>
      <c r="I243" s="2" t="s">
        <v>357</v>
      </c>
      <c r="J243" s="2" t="s">
        <v>1894</v>
      </c>
      <c r="K243" s="2"/>
      <c r="L243" s="2" t="s">
        <v>239</v>
      </c>
      <c r="M243" s="2"/>
      <c r="N243" s="2"/>
      <c r="O243" s="2"/>
      <c r="P243" s="2"/>
      <c r="Q243" s="557" t="str">
        <f>CONCATENATE(scheduleapr[[#This Row],[OD]],"-",scheduleapr[[#This Row],[ID]],"-",scheduleapr[[#This Row],[TICKNESS]],"-",scheduleapr[[#This Row],[Grade]],"-",scheduleapr[[#This Row],[FC/NFC]])</f>
        <v>42.7-0-3.5-CEW-</v>
      </c>
      <c r="R243" s="557" t="str">
        <f>_xlfn.CONCAT(scheduleapr[[#This Row],[Bucket]],"-",scheduleapr[[#This Row],[LENGTH]]/1000)</f>
        <v>42.7-0-3.5-CEW--6</v>
      </c>
      <c r="S243" s="557" t="e" vm="2">
        <f>COUNTIF([2]!buckets[CTL Bucket],[2]!scheduleapr[[#This Row],[CTL Bucket]])</f>
        <v>#REF!</v>
      </c>
      <c r="T243" s="557"/>
      <c r="U243" s="557"/>
      <c r="V243" s="557"/>
      <c r="W243" s="557"/>
      <c r="X243" s="1">
        <v>42.7</v>
      </c>
      <c r="Y243" s="1">
        <v>42.7</v>
      </c>
      <c r="Z243" s="1">
        <v>0</v>
      </c>
      <c r="AA243" s="1">
        <v>3.5</v>
      </c>
      <c r="AB243" s="24">
        <v>6000</v>
      </c>
      <c r="AC243" s="24"/>
      <c r="AD243" s="24"/>
      <c r="AE243" s="24"/>
      <c r="AF243" s="2"/>
      <c r="AG243" s="2"/>
      <c r="AH243" s="2" t="e" cm="1">
        <f t="array" ref="AH2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43" s="4" t="e">
        <f>scheduleapr[[#This Row],[SCHEDULE in nos]]-scheduleapr[[#This Row],[DISPATCH]]</f>
        <v>#N/A</v>
      </c>
      <c r="AJ243" s="1">
        <f>(3.14*(scheduleapr[[#This Row],[ACTUAL OD]]-scheduleapr[[#This Row],[TICKNESS]])*scheduleapr[[#This Row],[TICKNESS]]*scheduleapr[[#This Row],[LENGTH]]*7.85)/1000000*scheduleapr[[#This Row],[SCHEDULE in nos]]/1000</f>
        <v>0</v>
      </c>
      <c r="AK243" s="1" t="e">
        <f>(3.14*(scheduleapr[[#This Row],[ACTUAL OD]]-scheduleapr[[#This Row],[TICKNESS]])*scheduleapr[[#This Row],[TICKNESS]]*scheduleapr[[#This Row],[LENGTH]]*7.85)/1000000*scheduleapr[[#This Row],[DISPATCH]]/1000</f>
        <v>#N/A</v>
      </c>
      <c r="AL243" s="1" t="e">
        <f t="shared" si="8"/>
        <v>#N/A</v>
      </c>
      <c r="AM243" s="1" t="e">
        <f>scheduleapr[[#This Row],[SCHEDULE in nos]]/scheduleapr[[#This Row],[SCHEDULE IN MT]]*scheduleapr[[#This Row],[CTL Stock]]</f>
        <v>#DIV/0!</v>
      </c>
      <c r="AN243" s="1">
        <f>SUMIFS(stock[MT],stock[Bucket],scheduleapr[[#This Row],[Bucket]],stock[CTL Bucket],scheduleapr[[#This Row],[CTL Bucket]],stock[Plant],"0789")</f>
        <v>0</v>
      </c>
      <c r="AO243" s="1"/>
      <c r="AP243" s="1">
        <f>SUMIFS(stock[MT],stock[Bucket],scheduleapr[[#This Row],[Bucket]],stock[LL or CTL],"LL")</f>
        <v>0</v>
      </c>
      <c r="AQ243" s="1">
        <f>+SUMIFS(wip[Stock(Net Wt)],wip[Bucket],scheduleapr[[#This Row],[Bucket]])/1000</f>
        <v>0</v>
      </c>
      <c r="AR243" s="1">
        <f t="shared" si="9"/>
        <v>0</v>
      </c>
      <c r="AS243" s="118"/>
    </row>
    <row r="244" spans="1:45" x14ac:dyDescent="0.25">
      <c r="A244" s="30">
        <v>195</v>
      </c>
      <c r="B244" s="5" t="s">
        <v>1872</v>
      </c>
      <c r="C244" s="2" t="s">
        <v>290</v>
      </c>
      <c r="D244" s="2" t="s">
        <v>290</v>
      </c>
      <c r="E244" s="2">
        <v>188647</v>
      </c>
      <c r="F244" s="2">
        <v>2426233</v>
      </c>
      <c r="G244" s="2" t="str">
        <f>_xlfn.CONCAT(scheduleapr[[#This Row],[CUSTOMER CODE]],"-",scheduleapr[[#This Row],[MATERIAL NO]])</f>
        <v>188647-2426233</v>
      </c>
      <c r="H244" s="2" t="s">
        <v>1951</v>
      </c>
      <c r="I244" s="2" t="s">
        <v>357</v>
      </c>
      <c r="J244" s="2" t="s">
        <v>1894</v>
      </c>
      <c r="K244" s="2"/>
      <c r="L244" s="2" t="s">
        <v>239</v>
      </c>
      <c r="M244" s="2"/>
      <c r="N244" s="2"/>
      <c r="O244" s="2"/>
      <c r="P244" s="2"/>
      <c r="Q244" s="557" t="str">
        <f>CONCATENATE(scheduleapr[[#This Row],[OD]],"-",scheduleapr[[#This Row],[ID]],"-",scheduleapr[[#This Row],[TICKNESS]],"-",scheduleapr[[#This Row],[Grade]],"-",scheduleapr[[#This Row],[FC/NFC]])</f>
        <v>42.7-0-4-CEW-</v>
      </c>
      <c r="R244" s="557" t="str">
        <f>_xlfn.CONCAT(scheduleapr[[#This Row],[Bucket]],"-",scheduleapr[[#This Row],[LENGTH]]/1000)</f>
        <v>42.7-0-4-CEW--5.73</v>
      </c>
      <c r="S244" s="557" t="e" vm="2">
        <f>COUNTIF([2]!buckets[CTL Bucket],[2]!scheduleapr[[#This Row],[CTL Bucket]])</f>
        <v>#REF!</v>
      </c>
      <c r="T244" s="557"/>
      <c r="U244" s="557"/>
      <c r="V244" s="557"/>
      <c r="W244" s="557"/>
      <c r="X244" s="1">
        <v>42.7</v>
      </c>
      <c r="Y244" s="1">
        <v>42.7</v>
      </c>
      <c r="Z244" s="1">
        <v>0</v>
      </c>
      <c r="AA244" s="1">
        <v>4</v>
      </c>
      <c r="AB244" s="24">
        <v>5730</v>
      </c>
      <c r="AC244" s="24"/>
      <c r="AD244" s="24"/>
      <c r="AE244" s="24"/>
      <c r="AF244" s="2"/>
      <c r="AG244" s="2"/>
      <c r="AH244" s="2" t="e" cm="1">
        <f t="array" ref="AH2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44" s="4" t="e">
        <f>scheduleapr[[#This Row],[SCHEDULE in nos]]-scheduleapr[[#This Row],[DISPATCH]]</f>
        <v>#N/A</v>
      </c>
      <c r="AJ244" s="1">
        <f>(3.14*(scheduleapr[[#This Row],[ACTUAL OD]]-scheduleapr[[#This Row],[TICKNESS]])*scheduleapr[[#This Row],[TICKNESS]]*scheduleapr[[#This Row],[LENGTH]]*7.85)/1000000*scheduleapr[[#This Row],[SCHEDULE in nos]]/1000</f>
        <v>0</v>
      </c>
      <c r="AK244" s="1" t="e">
        <f>(3.14*(scheduleapr[[#This Row],[ACTUAL OD]]-scheduleapr[[#This Row],[TICKNESS]])*scheduleapr[[#This Row],[TICKNESS]]*scheduleapr[[#This Row],[LENGTH]]*7.85)/1000000*scheduleapr[[#This Row],[DISPATCH]]/1000</f>
        <v>#N/A</v>
      </c>
      <c r="AL244" s="1" t="e">
        <f t="shared" si="8"/>
        <v>#N/A</v>
      </c>
      <c r="AM244" s="1" t="e">
        <f>scheduleapr[[#This Row],[SCHEDULE in nos]]/scheduleapr[[#This Row],[SCHEDULE IN MT]]*scheduleapr[[#This Row],[CTL Stock]]</f>
        <v>#DIV/0!</v>
      </c>
      <c r="AN244" s="1">
        <f>SUMIFS(stock[MT],stock[Bucket],scheduleapr[[#This Row],[Bucket]],stock[CTL Bucket],scheduleapr[[#This Row],[CTL Bucket]],stock[Plant],"0789")</f>
        <v>0</v>
      </c>
      <c r="AO244" s="1"/>
      <c r="AP244" s="1">
        <f>SUMIFS(stock[MT],stock[Bucket],scheduleapr[[#This Row],[Bucket]],stock[LL or CTL],"LL")</f>
        <v>0</v>
      </c>
      <c r="AQ244" s="1">
        <f>+SUMIFS(wip[Stock(Net Wt)],wip[Bucket],scheduleapr[[#This Row],[Bucket]])/1000</f>
        <v>0</v>
      </c>
      <c r="AR244" s="1">
        <f t="shared" si="9"/>
        <v>0</v>
      </c>
      <c r="AS244" s="118"/>
    </row>
    <row r="245" spans="1:45" x14ac:dyDescent="0.25">
      <c r="A245" s="30">
        <v>176</v>
      </c>
      <c r="B245" s="5" t="s">
        <v>1816</v>
      </c>
      <c r="C245" s="2" t="s">
        <v>290</v>
      </c>
      <c r="D245" s="2" t="s">
        <v>290</v>
      </c>
      <c r="E245" s="2">
        <v>188647</v>
      </c>
      <c r="F245" s="2">
        <v>2418569</v>
      </c>
      <c r="G245" s="2" t="str">
        <f>_xlfn.CONCAT(scheduleapr[[#This Row],[CUSTOMER CODE]],"-",scheduleapr[[#This Row],[MATERIAL NO]])</f>
        <v>188647-2418569</v>
      </c>
      <c r="H245" s="2" t="s">
        <v>1353</v>
      </c>
      <c r="I245" s="2" t="s">
        <v>962</v>
      </c>
      <c r="J245" s="2"/>
      <c r="K245" s="2" t="s">
        <v>963</v>
      </c>
      <c r="L245" s="2" t="s">
        <v>1867</v>
      </c>
      <c r="M245" s="2" t="s">
        <v>1881</v>
      </c>
      <c r="N245" s="2"/>
      <c r="O245" s="2"/>
      <c r="P245" s="2"/>
      <c r="Q245" s="557" t="str">
        <f>CONCATENATE(scheduleapr[[#This Row],[OD]],"-",scheduleapr[[#This Row],[ID]],"-",scheduleapr[[#This Row],[TICKNESS]],"-",scheduleapr[[#This Row],[Grade]],"-",scheduleapr[[#This Row],[FC/NFC]])</f>
        <v>19.05-0-1.6-ERW 1-PE</v>
      </c>
      <c r="R245" s="557" t="str">
        <f>_xlfn.CONCAT(scheduleapr[[#This Row],[Bucket]],"-",scheduleapr[[#This Row],[LENGTH]]/1000)</f>
        <v>19.05-0-1.6-ERW 1-PE-1.405</v>
      </c>
      <c r="S245" s="557" t="e" vm="2">
        <f>COUNTIF([2]!buckets[CTL Bucket],[2]!scheduleapr[[#This Row],[CTL Bucket]])</f>
        <v>#REF!</v>
      </c>
      <c r="T245" s="2" t="s">
        <v>1816</v>
      </c>
      <c r="U245" s="2"/>
      <c r="V245" s="557"/>
      <c r="W245" s="557"/>
      <c r="X245" s="1">
        <v>19.05</v>
      </c>
      <c r="Y245" s="1">
        <v>19.05</v>
      </c>
      <c r="Z245" s="1">
        <v>0</v>
      </c>
      <c r="AA245" s="1">
        <v>1.6</v>
      </c>
      <c r="AB245" s="24">
        <v>1405</v>
      </c>
      <c r="AC245" s="24" t="s">
        <v>397</v>
      </c>
      <c r="AD245" s="24"/>
      <c r="AE245" s="24"/>
      <c r="AF245" s="2"/>
      <c r="AG245" s="2"/>
      <c r="AH245" s="2" cm="1">
        <f t="array" ref="AH2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5" s="4">
        <f>scheduleapr[[#This Row],[SCHEDULE in nos]]-scheduleapr[[#This Row],[DISPATCH]]</f>
        <v>0</v>
      </c>
      <c r="AJ245" s="1">
        <f>(3.14*(scheduleapr[[#This Row],[ACTUAL OD]]-scheduleapr[[#This Row],[TICKNESS]])*scheduleapr[[#This Row],[TICKNESS]]*scheduleapr[[#This Row],[LENGTH]]*7.85)/1000000*scheduleapr[[#This Row],[SCHEDULE in nos]]/1000</f>
        <v>0</v>
      </c>
      <c r="AK245" s="1">
        <f>(3.14*(scheduleapr[[#This Row],[ACTUAL OD]]-scheduleapr[[#This Row],[TICKNESS]])*scheduleapr[[#This Row],[TICKNESS]]*scheduleapr[[#This Row],[LENGTH]]*7.85)/1000000*scheduleapr[[#This Row],[DISPATCH]]/1000</f>
        <v>0</v>
      </c>
      <c r="AL245" s="1">
        <f t="shared" si="8"/>
        <v>0</v>
      </c>
      <c r="AM245" s="1" t="e">
        <f>scheduleapr[[#This Row],[SCHEDULE in nos]]/scheduleapr[[#This Row],[SCHEDULE IN MT]]*scheduleapr[[#This Row],[CTL Stock]]</f>
        <v>#DIV/0!</v>
      </c>
      <c r="AN245" s="1">
        <f>SUMIFS(stock[MT],stock[Bucket],scheduleapr[[#This Row],[Bucket]],stock[CTL Bucket],scheduleapr[[#This Row],[CTL Bucket]],stock[Plant],"0789")</f>
        <v>0</v>
      </c>
      <c r="AO245" s="1"/>
      <c r="AP245" s="1">
        <f>SUMIFS(stock[MT],stock[Bucket],scheduleapr[[#This Row],[Bucket]],stock[LL or CTL],"LL")</f>
        <v>0</v>
      </c>
      <c r="AQ245" s="1">
        <f>+SUMIFS(wip[Stock(Net Wt)],wip[Bucket],scheduleapr[[#This Row],[Bucket]])/1000</f>
        <v>2.8860000000000001</v>
      </c>
      <c r="AR245" s="1">
        <f t="shared" si="9"/>
        <v>0</v>
      </c>
      <c r="AS245" s="118"/>
    </row>
    <row r="246" spans="1:45" x14ac:dyDescent="0.25">
      <c r="A246" s="30">
        <v>178</v>
      </c>
      <c r="B246" s="5" t="s">
        <v>1816</v>
      </c>
      <c r="C246" s="2" t="s">
        <v>290</v>
      </c>
      <c r="D246" s="2" t="s">
        <v>290</v>
      </c>
      <c r="E246" s="2">
        <v>188647</v>
      </c>
      <c r="F246" s="2">
        <v>1940407</v>
      </c>
      <c r="G246" s="2" t="str">
        <f>_xlfn.CONCAT(scheduleapr[[#This Row],[CUSTOMER CODE]],"-",scheduleapr[[#This Row],[MATERIAL NO]])</f>
        <v>188647-1940407</v>
      </c>
      <c r="H246" s="2" t="s">
        <v>1514</v>
      </c>
      <c r="I246" s="2" t="s">
        <v>962</v>
      </c>
      <c r="J246" s="2"/>
      <c r="K246" s="2" t="s">
        <v>963</v>
      </c>
      <c r="L246" s="2" t="s">
        <v>1867</v>
      </c>
      <c r="M246" s="44" t="s">
        <v>1891</v>
      </c>
      <c r="N246" s="2"/>
      <c r="O246" s="2"/>
      <c r="P246" s="2"/>
      <c r="Q246" s="557" t="str">
        <f>CONCATENATE(scheduleapr[[#This Row],[OD]],"-",scheduleapr[[#This Row],[ID]],"-",scheduleapr[[#This Row],[TICKNESS]],"-",scheduleapr[[#This Row],[Grade]],"-",scheduleapr[[#This Row],[FC/NFC]])</f>
        <v>22.23-0-1.6-ERW 1-PE</v>
      </c>
      <c r="R246" s="557" t="str">
        <f>_xlfn.CONCAT(scheduleapr[[#This Row],[Bucket]],"-",scheduleapr[[#This Row],[LENGTH]]/1000)</f>
        <v>22.23-0-1.6-ERW 1-PE-0.74</v>
      </c>
      <c r="S246" s="557" t="e" vm="2">
        <f>COUNTIF([2]!buckets[CTL Bucket],[2]!scheduleapr[[#This Row],[CTL Bucket]])</f>
        <v>#REF!</v>
      </c>
      <c r="T246" s="2" t="s">
        <v>1816</v>
      </c>
      <c r="U246" s="2">
        <f>_xlfn.IFNA(VLOOKUP(scheduleapr[[#This Row],[Bucket]],salesforecast[[#All],[Bucket2]:[8406 Stock]],19,0),0)</f>
        <v>5.9161999999999937E-2</v>
      </c>
      <c r="V246" s="562">
        <f>_xlfn.IFNA(VLOOKUP(scheduleapr[[#This Row],[Bucket]],salesforecast[[#All],[Bucket2]:[8406 Stock]],20,0),0)+_xlfn.IFNA(VLOOKUP(scheduleapr[[#This Row],[Bucket]],salesforecast[[#All],[Bucket2]:[8406 Stock]],17,0),0)</f>
        <v>0</v>
      </c>
      <c r="W246" s="557"/>
      <c r="X246" s="1">
        <v>22.23</v>
      </c>
      <c r="Y246" s="1">
        <v>22.23</v>
      </c>
      <c r="Z246" s="1">
        <v>0</v>
      </c>
      <c r="AA246" s="1">
        <v>1.6</v>
      </c>
      <c r="AB246" s="24">
        <v>740</v>
      </c>
      <c r="AC246" s="24" t="s">
        <v>397</v>
      </c>
      <c r="AD246" s="24"/>
      <c r="AE246" s="24"/>
      <c r="AF246" s="2">
        <v>3000</v>
      </c>
      <c r="AG246" s="2"/>
      <c r="AH246" s="2" cm="1">
        <f t="array" ref="AH2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6" s="4">
        <f>scheduleapr[[#This Row],[SCHEDULE in nos]]-scheduleapr[[#This Row],[DISPATCH]]</f>
        <v>3000</v>
      </c>
      <c r="AJ246" s="1">
        <f>(3.14*(scheduleapr[[#This Row],[ACTUAL OD]]-scheduleapr[[#This Row],[TICKNESS]])*scheduleapr[[#This Row],[TICKNESS]]*scheduleapr[[#This Row],[LENGTH]]*7.85)/1000000*scheduleapr[[#This Row],[SCHEDULE in nos]]/1000</f>
        <v>1.8062235062400001</v>
      </c>
      <c r="AK246" s="1">
        <f>(3.14*(scheduleapr[[#This Row],[ACTUAL OD]]-scheduleapr[[#This Row],[TICKNESS]])*scheduleapr[[#This Row],[TICKNESS]]*scheduleapr[[#This Row],[LENGTH]]*7.85)/1000000*scheduleapr[[#This Row],[DISPATCH]]/1000</f>
        <v>0</v>
      </c>
      <c r="AL246" s="1">
        <f t="shared" si="8"/>
        <v>1.8062235062400001</v>
      </c>
      <c r="AM246" s="1">
        <f>scheduleapr[[#This Row],[SCHEDULE in nos]]/scheduleapr[[#This Row],[SCHEDULE IN MT]]*scheduleapr[[#This Row],[CTL Stock]]</f>
        <v>0</v>
      </c>
      <c r="AN246" s="1">
        <f>SUMIFS(stock[MT],stock[Bucket],scheduleapr[[#This Row],[Bucket]],stock[CTL Bucket],scheduleapr[[#This Row],[CTL Bucket]],stock[Plant],"0789")</f>
        <v>0</v>
      </c>
      <c r="AO246" s="1"/>
      <c r="AP246" s="1">
        <f>SUMIFS(stock[MT],stock[Bucket],scheduleapr[[#This Row],[Bucket]],stock[LL or CTL],"LL")</f>
        <v>62.742162000000008</v>
      </c>
      <c r="AQ246" s="1">
        <f>+SUMIFS(wip[Stock(Net Wt)],wip[Bucket],scheduleapr[[#This Row],[Bucket]])/1000</f>
        <v>0</v>
      </c>
      <c r="AR246" s="1">
        <f t="shared" si="9"/>
        <v>1.8062235062400001</v>
      </c>
      <c r="AS246" s="118"/>
    </row>
    <row r="247" spans="1:45" x14ac:dyDescent="0.25">
      <c r="A247" s="30">
        <v>179</v>
      </c>
      <c r="B247" s="5" t="s">
        <v>1816</v>
      </c>
      <c r="C247" s="2" t="s">
        <v>290</v>
      </c>
      <c r="D247" s="2" t="s">
        <v>290</v>
      </c>
      <c r="E247" s="2">
        <v>188647</v>
      </c>
      <c r="F247" s="2">
        <v>2418687</v>
      </c>
      <c r="G247" s="2" t="str">
        <f>_xlfn.CONCAT(scheduleapr[[#This Row],[CUSTOMER CODE]],"-",scheduleapr[[#This Row],[MATERIAL NO]])</f>
        <v>188647-2418687</v>
      </c>
      <c r="H247" s="2" t="s">
        <v>1515</v>
      </c>
      <c r="I247" s="2" t="s">
        <v>962</v>
      </c>
      <c r="J247" s="2"/>
      <c r="K247" s="2" t="s">
        <v>963</v>
      </c>
      <c r="L247" s="2" t="s">
        <v>1867</v>
      </c>
      <c r="M247" s="44" t="s">
        <v>1891</v>
      </c>
      <c r="N247" s="2"/>
      <c r="O247" s="2"/>
      <c r="P247" s="2"/>
      <c r="Q247" s="557" t="str">
        <f>CONCATENATE(scheduleapr[[#This Row],[OD]],"-",scheduleapr[[#This Row],[ID]],"-",scheduleapr[[#This Row],[TICKNESS]],"-",scheduleapr[[#This Row],[Grade]],"-",scheduleapr[[#This Row],[FC/NFC]])</f>
        <v>22.23-0-1.6-ERW 1-PE</v>
      </c>
      <c r="R247" s="557" t="str">
        <f>_xlfn.CONCAT(scheduleapr[[#This Row],[Bucket]],"-",scheduleapr[[#This Row],[LENGTH]]/1000)</f>
        <v>22.23-0-1.6-ERW 1-PE-0.88</v>
      </c>
      <c r="S247" s="557" t="e" vm="2">
        <f>COUNTIF([2]!buckets[CTL Bucket],[2]!scheduleapr[[#This Row],[CTL Bucket]])</f>
        <v>#REF!</v>
      </c>
      <c r="T247" s="2" t="s">
        <v>1816</v>
      </c>
      <c r="U247" s="2">
        <f>_xlfn.IFNA(VLOOKUP(scheduleapr[[#This Row],[Bucket]],salesforecast[[#All],[Bucket2]:[8406 Stock]],19,0),0)</f>
        <v>5.9161999999999937E-2</v>
      </c>
      <c r="V247" s="562">
        <f>_xlfn.IFNA(VLOOKUP(scheduleapr[[#This Row],[Bucket]],salesforecast[[#All],[Bucket2]:[8406 Stock]],20,0),0)+_xlfn.IFNA(VLOOKUP(scheduleapr[[#This Row],[Bucket]],salesforecast[[#All],[Bucket2]:[8406 Stock]],17,0),0)</f>
        <v>0</v>
      </c>
      <c r="W247" s="557"/>
      <c r="X247" s="1">
        <v>22.23</v>
      </c>
      <c r="Y247" s="1">
        <v>22.23</v>
      </c>
      <c r="Z247" s="1">
        <v>0</v>
      </c>
      <c r="AA247" s="1">
        <v>1.6</v>
      </c>
      <c r="AB247" s="24">
        <v>880</v>
      </c>
      <c r="AC247" s="24" t="s">
        <v>397</v>
      </c>
      <c r="AD247" s="24"/>
      <c r="AE247" s="24"/>
      <c r="AF247" s="2">
        <v>3000</v>
      </c>
      <c r="AG247" s="2"/>
      <c r="AH247" s="2" cm="1">
        <f t="array" ref="AH2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7" s="4">
        <f>scheduleapr[[#This Row],[SCHEDULE in nos]]-scheduleapr[[#This Row],[DISPATCH]]</f>
        <v>3000</v>
      </c>
      <c r="AJ247" s="1">
        <f>(3.14*(scheduleapr[[#This Row],[ACTUAL OD]]-scheduleapr[[#This Row],[TICKNESS]])*scheduleapr[[#This Row],[TICKNESS]]*scheduleapr[[#This Row],[LENGTH]]*7.85)/1000000*scheduleapr[[#This Row],[SCHEDULE in nos]]/1000</f>
        <v>2.1479414668799999</v>
      </c>
      <c r="AK247" s="1">
        <f>(3.14*(scheduleapr[[#This Row],[ACTUAL OD]]-scheduleapr[[#This Row],[TICKNESS]])*scheduleapr[[#This Row],[TICKNESS]]*scheduleapr[[#This Row],[LENGTH]]*7.85)/1000000*scheduleapr[[#This Row],[DISPATCH]]/1000</f>
        <v>0</v>
      </c>
      <c r="AL247" s="1">
        <f t="shared" si="8"/>
        <v>2.1479414668799999</v>
      </c>
      <c r="AM247" s="1">
        <f>scheduleapr[[#This Row],[SCHEDULE in nos]]/scheduleapr[[#This Row],[SCHEDULE IN MT]]*scheduleapr[[#This Row],[CTL Stock]]</f>
        <v>0</v>
      </c>
      <c r="AN247" s="1">
        <f>SUMIFS(stock[MT],stock[Bucket],scheduleapr[[#This Row],[Bucket]],stock[CTL Bucket],scheduleapr[[#This Row],[CTL Bucket]],stock[Plant],"0789")</f>
        <v>0</v>
      </c>
      <c r="AO247" s="1"/>
      <c r="AP247" s="1">
        <f>SUMIFS(stock[MT],stock[Bucket],scheduleapr[[#This Row],[Bucket]],stock[LL or CTL],"LL")</f>
        <v>62.742162000000008</v>
      </c>
      <c r="AQ247" s="1">
        <f>+SUMIFS(wip[Stock(Net Wt)],wip[Bucket],scheduleapr[[#This Row],[Bucket]])/1000</f>
        <v>0</v>
      </c>
      <c r="AR247" s="1">
        <f t="shared" si="9"/>
        <v>2.1479414668799999</v>
      </c>
      <c r="AS247" s="118"/>
    </row>
    <row r="248" spans="1:45" x14ac:dyDescent="0.25">
      <c r="A248" s="30">
        <v>180</v>
      </c>
      <c r="B248" s="5" t="s">
        <v>1816</v>
      </c>
      <c r="C248" s="2" t="s">
        <v>290</v>
      </c>
      <c r="D248" s="2" t="s">
        <v>290</v>
      </c>
      <c r="E248" s="2">
        <v>188647</v>
      </c>
      <c r="F248" s="2">
        <v>3732180</v>
      </c>
      <c r="G248" s="2" t="str">
        <f>_xlfn.CONCAT(scheduleapr[[#This Row],[CUSTOMER CODE]],"-",scheduleapr[[#This Row],[MATERIAL NO]])</f>
        <v>188647-3732180</v>
      </c>
      <c r="H248" s="2" t="s">
        <v>1566</v>
      </c>
      <c r="I248" s="2" t="s">
        <v>962</v>
      </c>
      <c r="J248" s="2"/>
      <c r="K248" s="2" t="s">
        <v>1003</v>
      </c>
      <c r="L248" s="2" t="s">
        <v>1867</v>
      </c>
      <c r="M248" s="44" t="s">
        <v>1952</v>
      </c>
      <c r="N248" s="2"/>
      <c r="O248" s="2"/>
      <c r="P248" s="2"/>
      <c r="Q248" s="557" t="str">
        <f>CONCATENATE(scheduleapr[[#This Row],[OD]],"-",scheduleapr[[#This Row],[ID]],"-",scheduleapr[[#This Row],[TICKNESS]],"-",scheduleapr[[#This Row],[Grade]],"-",scheduleapr[[#This Row],[FC/NFC]])</f>
        <v>25.4-0-1.6-ERW 1-FC</v>
      </c>
      <c r="R248" s="557" t="str">
        <f>_xlfn.CONCAT(scheduleapr[[#This Row],[Bucket]],"-",scheduleapr[[#This Row],[LENGTH]]/1000)</f>
        <v>25.4-0-1.6-ERW 1-FC-0.208</v>
      </c>
      <c r="S248" s="557" t="e" vm="2">
        <f>COUNTIF([2]!buckets[CTL Bucket],[2]!scheduleapr[[#This Row],[CTL Bucket]])</f>
        <v>#REF!</v>
      </c>
      <c r="T248" s="557"/>
      <c r="U248" s="557"/>
      <c r="V248" s="557"/>
      <c r="W248" s="557"/>
      <c r="X248" s="1">
        <v>25.4</v>
      </c>
      <c r="Y248" s="1">
        <v>25.4</v>
      </c>
      <c r="Z248" s="1">
        <v>0</v>
      </c>
      <c r="AA248" s="1">
        <v>1.6</v>
      </c>
      <c r="AB248" s="24">
        <v>208</v>
      </c>
      <c r="AC248" s="24" t="s">
        <v>397</v>
      </c>
      <c r="AD248" s="24"/>
      <c r="AE248" s="24"/>
      <c r="AF248" s="2"/>
      <c r="AG248" s="2"/>
      <c r="AH248" s="2" cm="1">
        <f t="array" ref="AH2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8" s="4">
        <f>scheduleapr[[#This Row],[SCHEDULE in nos]]-scheduleapr[[#This Row],[DISPATCH]]</f>
        <v>0</v>
      </c>
      <c r="AJ248" s="1">
        <f>(3.14*(scheduleapr[[#This Row],[ACTUAL OD]]-scheduleapr[[#This Row],[TICKNESS]])*scheduleapr[[#This Row],[TICKNESS]]*scheduleapr[[#This Row],[LENGTH]]*7.85)/1000000*scheduleapr[[#This Row],[SCHEDULE in nos]]/1000</f>
        <v>0</v>
      </c>
      <c r="AK248" s="1">
        <f>(3.14*(scheduleapr[[#This Row],[ACTUAL OD]]-scheduleapr[[#This Row],[TICKNESS]])*scheduleapr[[#This Row],[TICKNESS]]*scheduleapr[[#This Row],[LENGTH]]*7.85)/1000000*scheduleapr[[#This Row],[DISPATCH]]/1000</f>
        <v>0</v>
      </c>
      <c r="AL248" s="1">
        <f t="shared" si="8"/>
        <v>0</v>
      </c>
      <c r="AM248" s="1" t="e">
        <f>scheduleapr[[#This Row],[SCHEDULE in nos]]/scheduleapr[[#This Row],[SCHEDULE IN MT]]*scheduleapr[[#This Row],[CTL Stock]]</f>
        <v>#DIV/0!</v>
      </c>
      <c r="AN248" s="1">
        <f>SUMIFS(stock[MT],stock[Bucket],scheduleapr[[#This Row],[Bucket]],stock[CTL Bucket],scheduleapr[[#This Row],[CTL Bucket]],stock[Plant],"0789")</f>
        <v>1.075E-3</v>
      </c>
      <c r="AO248" s="1"/>
      <c r="AP248" s="1">
        <f>SUMIFS(stock[MT],stock[Bucket],scheduleapr[[#This Row],[Bucket]],stock[LL or CTL],"LL")</f>
        <v>0</v>
      </c>
      <c r="AQ248" s="1">
        <f>+SUMIFS(wip[Stock(Net Wt)],wip[Bucket],scheduleapr[[#This Row],[Bucket]])/1000</f>
        <v>0</v>
      </c>
      <c r="AR248" s="1">
        <f t="shared" si="9"/>
        <v>-1.075E-3</v>
      </c>
      <c r="AS248" s="118"/>
    </row>
    <row r="249" spans="1:45" x14ac:dyDescent="0.25">
      <c r="A249" s="30">
        <v>181</v>
      </c>
      <c r="B249" s="5" t="s">
        <v>1816</v>
      </c>
      <c r="C249" s="2" t="s">
        <v>290</v>
      </c>
      <c r="D249" s="2" t="s">
        <v>290</v>
      </c>
      <c r="E249" s="2">
        <v>188647</v>
      </c>
      <c r="F249" s="2">
        <v>1940595</v>
      </c>
      <c r="G249" s="2" t="str">
        <f>_xlfn.CONCAT(scheduleapr[[#This Row],[CUSTOMER CODE]],"-",scheduleapr[[#This Row],[MATERIAL NO]])</f>
        <v>188647-1940595</v>
      </c>
      <c r="H249" s="2" t="s">
        <v>1953</v>
      </c>
      <c r="I249" s="2" t="s">
        <v>962</v>
      </c>
      <c r="J249" s="2"/>
      <c r="K249" s="2"/>
      <c r="L249" s="2" t="s">
        <v>239</v>
      </c>
      <c r="M249" s="2"/>
      <c r="N249" s="2"/>
      <c r="O249" s="2"/>
      <c r="P249" s="2"/>
      <c r="Q249" s="557" t="str">
        <f>CONCATENATE(scheduleapr[[#This Row],[OD]],"-",scheduleapr[[#This Row],[ID]],"-",scheduleapr[[#This Row],[TICKNESS]],"-",scheduleapr[[#This Row],[Grade]],"-",scheduleapr[[#This Row],[FC/NFC]])</f>
        <v>25.4-0-2.5-ERW 1-</v>
      </c>
      <c r="R249" s="557" t="str">
        <f>_xlfn.CONCAT(scheduleapr[[#This Row],[Bucket]],"-",scheduleapr[[#This Row],[LENGTH]]/1000)</f>
        <v>25.4-0-2.5-ERW 1--0.322</v>
      </c>
      <c r="S249" s="557" t="e" vm="2">
        <f>COUNTIF([2]!buckets[CTL Bucket],[2]!scheduleapr[[#This Row],[CTL Bucket]])</f>
        <v>#REF!</v>
      </c>
      <c r="T249" s="557"/>
      <c r="U249" s="557"/>
      <c r="V249" s="557"/>
      <c r="W249" s="557"/>
      <c r="X249" s="1">
        <v>25.4</v>
      </c>
      <c r="Y249" s="1">
        <v>25.4</v>
      </c>
      <c r="Z249" s="1">
        <v>0</v>
      </c>
      <c r="AA249" s="1">
        <v>2.5</v>
      </c>
      <c r="AB249" s="24">
        <v>322</v>
      </c>
      <c r="AC249" s="24"/>
      <c r="AD249" s="24"/>
      <c r="AE249" s="24"/>
      <c r="AF249" s="2"/>
      <c r="AG249" s="2"/>
      <c r="AH249" s="2" t="e" cm="1">
        <f t="array" ref="AH2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49" s="4" t="e">
        <f>scheduleapr[[#This Row],[SCHEDULE in nos]]-scheduleapr[[#This Row],[DISPATCH]]</f>
        <v>#N/A</v>
      </c>
      <c r="AJ249" s="1">
        <f>(3.14*(scheduleapr[[#This Row],[ACTUAL OD]]-scheduleapr[[#This Row],[TICKNESS]])*scheduleapr[[#This Row],[TICKNESS]]*scheduleapr[[#This Row],[LENGTH]]*7.85)/1000000*scheduleapr[[#This Row],[SCHEDULE in nos]]/1000</f>
        <v>0</v>
      </c>
      <c r="AK249" s="1" t="e">
        <f>(3.14*(scheduleapr[[#This Row],[ACTUAL OD]]-scheduleapr[[#This Row],[TICKNESS]])*scheduleapr[[#This Row],[TICKNESS]]*scheduleapr[[#This Row],[LENGTH]]*7.85)/1000000*scheduleapr[[#This Row],[DISPATCH]]/1000</f>
        <v>#N/A</v>
      </c>
      <c r="AL249" s="1" t="e">
        <f t="shared" si="8"/>
        <v>#N/A</v>
      </c>
      <c r="AM249" s="1" t="e">
        <f>scheduleapr[[#This Row],[SCHEDULE in nos]]/scheduleapr[[#This Row],[SCHEDULE IN MT]]*scheduleapr[[#This Row],[CTL Stock]]</f>
        <v>#DIV/0!</v>
      </c>
      <c r="AN249" s="1">
        <f>SUMIFS(stock[MT],stock[Bucket],scheduleapr[[#This Row],[Bucket]],stock[CTL Bucket],scheduleapr[[#This Row],[CTL Bucket]],stock[Plant],"0789")</f>
        <v>0</v>
      </c>
      <c r="AO249" s="1"/>
      <c r="AP249" s="1">
        <f>SUMIFS(stock[MT],stock[Bucket],scheduleapr[[#This Row],[Bucket]],stock[LL or CTL],"LL")</f>
        <v>0</v>
      </c>
      <c r="AQ249" s="1">
        <f>+SUMIFS(wip[Stock(Net Wt)],wip[Bucket],scheduleapr[[#This Row],[Bucket]])/1000</f>
        <v>0</v>
      </c>
      <c r="AR249" s="1">
        <f t="shared" si="9"/>
        <v>0</v>
      </c>
      <c r="AS249" s="118"/>
    </row>
    <row r="250" spans="1:45" x14ac:dyDescent="0.25">
      <c r="A250" s="30">
        <v>182</v>
      </c>
      <c r="B250" s="5" t="s">
        <v>1816</v>
      </c>
      <c r="C250" s="2" t="s">
        <v>290</v>
      </c>
      <c r="D250" s="2" t="s">
        <v>290</v>
      </c>
      <c r="E250" s="2">
        <v>188647</v>
      </c>
      <c r="F250" s="2"/>
      <c r="G250" s="2" t="str">
        <f>_xlfn.CONCAT(scheduleapr[[#This Row],[CUSTOMER CODE]],"-",scheduleapr[[#This Row],[MATERIAL NO]])</f>
        <v>188647-</v>
      </c>
      <c r="H250" s="2"/>
      <c r="I250" s="2" t="s">
        <v>962</v>
      </c>
      <c r="J250" s="2"/>
      <c r="K250" s="2"/>
      <c r="L250" s="2" t="s">
        <v>1867</v>
      </c>
      <c r="M250" s="2"/>
      <c r="N250" s="2"/>
      <c r="O250" s="2"/>
      <c r="P250" s="2"/>
      <c r="Q250" s="557" t="str">
        <f>CONCATENATE(scheduleapr[[#This Row],[OD]],"-",scheduleapr[[#This Row],[ID]],"-",scheduleapr[[#This Row],[TICKNESS]],"-",scheduleapr[[#This Row],[Grade]],"-",scheduleapr[[#This Row],[FC/NFC]])</f>
        <v>28.58-0-1.6-ERW 1-</v>
      </c>
      <c r="R250" s="557" t="str">
        <f>_xlfn.CONCAT(scheduleapr[[#This Row],[Bucket]],"-",scheduleapr[[#This Row],[LENGTH]]/1000)</f>
        <v>28.58-0-1.6-ERW 1--6</v>
      </c>
      <c r="S250" s="557" t="e" vm="2">
        <f>COUNTIF([2]!buckets[CTL Bucket],[2]!scheduleapr[[#This Row],[CTL Bucket]])</f>
        <v>#REF!</v>
      </c>
      <c r="T250" s="557"/>
      <c r="U250" s="557"/>
      <c r="V250" s="557"/>
      <c r="W250" s="557"/>
      <c r="X250" s="1">
        <v>28.58</v>
      </c>
      <c r="Y250" s="1">
        <v>28.58</v>
      </c>
      <c r="Z250" s="6">
        <v>0</v>
      </c>
      <c r="AA250" s="1">
        <v>1.6</v>
      </c>
      <c r="AB250" s="24">
        <v>6000</v>
      </c>
      <c r="AC250" s="24"/>
      <c r="AD250" s="24"/>
      <c r="AE250" s="24"/>
      <c r="AF250" s="2"/>
      <c r="AG250" s="2"/>
      <c r="AH250" s="2" t="e" cm="1">
        <f t="array" ref="AH2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50" s="4" t="e">
        <f>scheduleapr[[#This Row],[SCHEDULE in nos]]-scheduleapr[[#This Row],[DISPATCH]]</f>
        <v>#N/A</v>
      </c>
      <c r="AJ250" s="1">
        <f>(3.14*(scheduleapr[[#This Row],[ACTUAL OD]]-scheduleapr[[#This Row],[TICKNESS]])*scheduleapr[[#This Row],[TICKNESS]]*scheduleapr[[#This Row],[LENGTH]]*7.85)/1000000*scheduleapr[[#This Row],[SCHEDULE in nos]]/1000</f>
        <v>0</v>
      </c>
      <c r="AK250" s="1" t="e">
        <f>(3.14*(scheduleapr[[#This Row],[ACTUAL OD]]-scheduleapr[[#This Row],[TICKNESS]])*scheduleapr[[#This Row],[TICKNESS]]*scheduleapr[[#This Row],[LENGTH]]*7.85)/1000000*scheduleapr[[#This Row],[DISPATCH]]/1000</f>
        <v>#N/A</v>
      </c>
      <c r="AL250" s="1" t="e">
        <f t="shared" si="8"/>
        <v>#N/A</v>
      </c>
      <c r="AM250" s="1" t="e">
        <f>scheduleapr[[#This Row],[SCHEDULE in nos]]/scheduleapr[[#This Row],[SCHEDULE IN MT]]*scheduleapr[[#This Row],[CTL Stock]]</f>
        <v>#DIV/0!</v>
      </c>
      <c r="AN250" s="1">
        <f>SUMIFS(stock[MT],stock[Bucket],scheduleapr[[#This Row],[Bucket]],stock[CTL Bucket],scheduleapr[[#This Row],[CTL Bucket]],stock[Plant],"0789")</f>
        <v>0</v>
      </c>
      <c r="AO250" s="1"/>
      <c r="AP250" s="1">
        <f>SUMIFS(stock[MT],stock[Bucket],scheduleapr[[#This Row],[Bucket]],stock[LL or CTL],"LL")</f>
        <v>0</v>
      </c>
      <c r="AQ250" s="1">
        <f>+SUMIFS(wip[Stock(Net Wt)],wip[Bucket],scheduleapr[[#This Row],[Bucket]])/1000</f>
        <v>0</v>
      </c>
      <c r="AR250" s="1">
        <f t="shared" si="9"/>
        <v>0</v>
      </c>
      <c r="AS250" s="118"/>
    </row>
    <row r="251" spans="1:45" x14ac:dyDescent="0.25">
      <c r="A251" s="30">
        <v>183</v>
      </c>
      <c r="B251" s="5" t="s">
        <v>1816</v>
      </c>
      <c r="C251" s="2" t="s">
        <v>290</v>
      </c>
      <c r="D251" s="2" t="s">
        <v>290</v>
      </c>
      <c r="E251" s="2">
        <v>188647</v>
      </c>
      <c r="F251" s="2">
        <v>1940732</v>
      </c>
      <c r="G251" s="2" t="str">
        <f>_xlfn.CONCAT(scheduleapr[[#This Row],[CUSTOMER CODE]],"-",scheduleapr[[#This Row],[MATERIAL NO]])</f>
        <v>188647-1940732</v>
      </c>
      <c r="H251" s="2" t="s">
        <v>1954</v>
      </c>
      <c r="I251" s="2" t="s">
        <v>962</v>
      </c>
      <c r="J251" s="2"/>
      <c r="K251" s="2" t="s">
        <v>1003</v>
      </c>
      <c r="L251" s="2" t="s">
        <v>239</v>
      </c>
      <c r="M251" s="2" t="s">
        <v>1891</v>
      </c>
      <c r="N251" s="2"/>
      <c r="O251" s="2"/>
      <c r="P251" s="2"/>
      <c r="Q251" s="557" t="str">
        <f>CONCATENATE(scheduleapr[[#This Row],[OD]],"-",scheduleapr[[#This Row],[ID]],"-",scheduleapr[[#This Row],[TICKNESS]],"-",scheduleapr[[#This Row],[Grade]],"-",scheduleapr[[#This Row],[FC/NFC]])</f>
        <v>38.1-0-1.6-ERW 1-FC</v>
      </c>
      <c r="R251" s="557" t="str">
        <f>_xlfn.CONCAT(scheduleapr[[#This Row],[Bucket]],"-",scheduleapr[[#This Row],[LENGTH]]/1000)</f>
        <v>38.1-0-1.6-ERW 1-FC-0.821</v>
      </c>
      <c r="S251" s="557" t="e" vm="2">
        <f>COUNTIF([2]!buckets[CTL Bucket],[2]!scheduleapr[[#This Row],[CTL Bucket]])</f>
        <v>#REF!</v>
      </c>
      <c r="T251" s="2" t="s">
        <v>1816</v>
      </c>
      <c r="U251" s="2">
        <f>_xlfn.IFNA(VLOOKUP(scheduleapr[[#This Row],[Bucket]],salesforecast[[#All],[Bucket2]:[8406 Stock]],19,0),0)</f>
        <v>5.1801770000000005</v>
      </c>
      <c r="V251" s="562">
        <f>_xlfn.IFNA(VLOOKUP(scheduleapr[[#This Row],[Bucket]],salesforecast[[#All],[Bucket2]:[8406 Stock]],20,0),0)+_xlfn.IFNA(VLOOKUP(scheduleapr[[#This Row],[Bucket]],salesforecast[[#All],[Bucket2]:[8406 Stock]],17,0),0)</f>
        <v>6.8281799999999997</v>
      </c>
      <c r="W251" s="557"/>
      <c r="X251" s="1">
        <v>38.1</v>
      </c>
      <c r="Y251" s="1">
        <v>38.1</v>
      </c>
      <c r="Z251" s="1">
        <v>0</v>
      </c>
      <c r="AA251" s="1">
        <v>1.6</v>
      </c>
      <c r="AB251" s="24">
        <v>821</v>
      </c>
      <c r="AC251" s="24" t="s">
        <v>397</v>
      </c>
      <c r="AD251" s="24"/>
      <c r="AE251" s="24"/>
      <c r="AF251" s="2">
        <v>3500</v>
      </c>
      <c r="AG251" s="2"/>
      <c r="AH251" s="2" cm="1">
        <f t="array" ref="AH2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1" s="4">
        <f>scheduleapr[[#This Row],[SCHEDULE in nos]]-scheduleapr[[#This Row],[DISPATCH]]</f>
        <v>3500</v>
      </c>
      <c r="AJ251" s="1">
        <f>(3.14*(scheduleapr[[#This Row],[ACTUAL OD]]-scheduleapr[[#This Row],[TICKNESS]])*scheduleapr[[#This Row],[TICKNESS]]*scheduleapr[[#This Row],[LENGTH]]*7.85)/1000000*scheduleapr[[#This Row],[SCHEDULE in nos]]/1000</f>
        <v>4.1364078475999992</v>
      </c>
      <c r="AK251" s="1">
        <f>(3.14*(scheduleapr[[#This Row],[ACTUAL OD]]-scheduleapr[[#This Row],[TICKNESS]])*scheduleapr[[#This Row],[TICKNESS]]*scheduleapr[[#This Row],[LENGTH]]*7.85)/1000000*scheduleapr[[#This Row],[DISPATCH]]/1000</f>
        <v>0</v>
      </c>
      <c r="AL251" s="1">
        <f t="shared" si="8"/>
        <v>4.1364078475999992</v>
      </c>
      <c r="AM251" s="1">
        <f>scheduleapr[[#This Row],[SCHEDULE in nos]]/scheduleapr[[#This Row],[SCHEDULE IN MT]]*scheduleapr[[#This Row],[CTL Stock]]</f>
        <v>0</v>
      </c>
      <c r="AN251" s="1">
        <f>SUMIFS(stock[MT],stock[Bucket],scheduleapr[[#This Row],[Bucket]],stock[CTL Bucket],scheduleapr[[#This Row],[CTL Bucket]],stock[Plant],"0789")</f>
        <v>0</v>
      </c>
      <c r="AO251" s="1"/>
      <c r="AP251" s="1">
        <f>SUMIFS(stock[MT],stock[Bucket],scheduleapr[[#This Row],[Bucket]],stock[LL or CTL],"LL")</f>
        <v>8.1493570000000002</v>
      </c>
      <c r="AQ251" s="1">
        <f>+SUMIFS(wip[Stock(Net Wt)],wip[Bucket],scheduleapr[[#This Row],[Bucket]])/1000</f>
        <v>0</v>
      </c>
      <c r="AR251" s="1">
        <f t="shared" si="9"/>
        <v>4.1364078475999992</v>
      </c>
      <c r="AS251" s="118"/>
    </row>
    <row r="252" spans="1:45" x14ac:dyDescent="0.25">
      <c r="A252" s="30">
        <v>186</v>
      </c>
      <c r="B252" s="5" t="s">
        <v>1816</v>
      </c>
      <c r="C252" s="2" t="s">
        <v>290</v>
      </c>
      <c r="D252" s="2" t="s">
        <v>290</v>
      </c>
      <c r="E252" s="2">
        <v>188647</v>
      </c>
      <c r="F252" s="2">
        <v>3768902</v>
      </c>
      <c r="G252" s="2" t="str">
        <f>_xlfn.CONCAT(scheduleapr[[#This Row],[CUSTOMER CODE]],"-",scheduleapr[[#This Row],[MATERIAL NO]])</f>
        <v>188647-3768902</v>
      </c>
      <c r="H252" s="2" t="s">
        <v>1955</v>
      </c>
      <c r="I252" s="2" t="s">
        <v>962</v>
      </c>
      <c r="J252" s="2"/>
      <c r="K252" s="2"/>
      <c r="L252" s="2" t="s">
        <v>239</v>
      </c>
      <c r="M252" s="2"/>
      <c r="N252" s="2"/>
      <c r="O252" s="2"/>
      <c r="P252" s="2"/>
      <c r="Q252" s="557" t="str">
        <f>CONCATENATE(scheduleapr[[#This Row],[OD]],"-",scheduleapr[[#This Row],[ID]],"-",scheduleapr[[#This Row],[TICKNESS]],"-",scheduleapr[[#This Row],[Grade]],"-",scheduleapr[[#This Row],[FC/NFC]])</f>
        <v>38.1-0-2-ERW 1-</v>
      </c>
      <c r="R252" s="557" t="str">
        <f>_xlfn.CONCAT(scheduleapr[[#This Row],[Bucket]],"-",scheduleapr[[#This Row],[LENGTH]]/1000)</f>
        <v>38.1-0-2-ERW 1--0.2765</v>
      </c>
      <c r="S252" s="557" t="e" vm="2">
        <f>COUNTIF([2]!buckets[CTL Bucket],[2]!scheduleapr[[#This Row],[CTL Bucket]])</f>
        <v>#REF!</v>
      </c>
      <c r="T252" s="557"/>
      <c r="U252" s="557"/>
      <c r="V252" s="557"/>
      <c r="W252" s="557"/>
      <c r="X252" s="1">
        <v>38.1</v>
      </c>
      <c r="Y252" s="1">
        <v>38.1</v>
      </c>
      <c r="Z252" s="1">
        <v>0</v>
      </c>
      <c r="AA252" s="1">
        <v>2</v>
      </c>
      <c r="AB252" s="24">
        <v>276.5</v>
      </c>
      <c r="AC252" s="24"/>
      <c r="AD252" s="24"/>
      <c r="AE252" s="24"/>
      <c r="AF252" s="2"/>
      <c r="AG252" s="2"/>
      <c r="AH252" s="2" t="e" cm="1">
        <f t="array" ref="AH2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52" s="4" t="e">
        <f>scheduleapr[[#This Row],[SCHEDULE in nos]]-scheduleapr[[#This Row],[DISPATCH]]</f>
        <v>#N/A</v>
      </c>
      <c r="AJ252" s="1">
        <f>(3.14*(scheduleapr[[#This Row],[ACTUAL OD]]-scheduleapr[[#This Row],[TICKNESS]])*scheduleapr[[#This Row],[TICKNESS]]*scheduleapr[[#This Row],[LENGTH]]*7.85)/1000000*scheduleapr[[#This Row],[SCHEDULE in nos]]/1000</f>
        <v>0</v>
      </c>
      <c r="AK252" s="1" t="e">
        <f>(3.14*(scheduleapr[[#This Row],[ACTUAL OD]]-scheduleapr[[#This Row],[TICKNESS]])*scheduleapr[[#This Row],[TICKNESS]]*scheduleapr[[#This Row],[LENGTH]]*7.85)/1000000*scheduleapr[[#This Row],[DISPATCH]]/1000</f>
        <v>#N/A</v>
      </c>
      <c r="AL252" s="1" t="e">
        <f t="shared" si="8"/>
        <v>#N/A</v>
      </c>
      <c r="AM252" s="1" t="e">
        <f>scheduleapr[[#This Row],[SCHEDULE in nos]]/scheduleapr[[#This Row],[SCHEDULE IN MT]]*scheduleapr[[#This Row],[CTL Stock]]</f>
        <v>#DIV/0!</v>
      </c>
      <c r="AN252" s="1">
        <f>SUMIFS(stock[MT],stock[Bucket],scheduleapr[[#This Row],[Bucket]],stock[CTL Bucket],scheduleapr[[#This Row],[CTL Bucket]],stock[Plant],"0789")</f>
        <v>0</v>
      </c>
      <c r="AO252" s="1"/>
      <c r="AP252" s="1">
        <f>SUMIFS(stock[MT],stock[Bucket],scheduleapr[[#This Row],[Bucket]],stock[LL or CTL],"LL")</f>
        <v>0</v>
      </c>
      <c r="AQ252" s="1">
        <f>+SUMIFS(wip[Stock(Net Wt)],wip[Bucket],scheduleapr[[#This Row],[Bucket]])/1000</f>
        <v>0</v>
      </c>
      <c r="AR252" s="1">
        <f t="shared" si="9"/>
        <v>0</v>
      </c>
      <c r="AS252" s="118"/>
    </row>
    <row r="253" spans="1:45" x14ac:dyDescent="0.25">
      <c r="A253" s="30">
        <v>189</v>
      </c>
      <c r="B253" s="5" t="s">
        <v>1816</v>
      </c>
      <c r="C253" s="2" t="s">
        <v>290</v>
      </c>
      <c r="D253" s="2" t="s">
        <v>290</v>
      </c>
      <c r="E253" s="2">
        <v>188647</v>
      </c>
      <c r="F253" s="2">
        <v>3768905</v>
      </c>
      <c r="G253" s="2" t="str">
        <f>_xlfn.CONCAT(scheduleapr[[#This Row],[CUSTOMER CODE]],"-",scheduleapr[[#This Row],[MATERIAL NO]])</f>
        <v>188647-3768905</v>
      </c>
      <c r="H253" s="2" t="s">
        <v>1677</v>
      </c>
      <c r="I253" s="2" t="s">
        <v>962</v>
      </c>
      <c r="J253" s="2"/>
      <c r="K253" s="2" t="s">
        <v>1003</v>
      </c>
      <c r="L253" s="2" t="s">
        <v>1867</v>
      </c>
      <c r="M253" s="44" t="s">
        <v>1874</v>
      </c>
      <c r="N253" s="2"/>
      <c r="O253" s="2"/>
      <c r="P253" s="2"/>
      <c r="Q253" s="557" t="str">
        <f>CONCATENATE(scheduleapr[[#This Row],[OD]],"-",scheduleapr[[#This Row],[ID]],"-",scheduleapr[[#This Row],[TICKNESS]],"-",scheduleapr[[#This Row],[Grade]],"-",scheduleapr[[#This Row],[FC/NFC]])</f>
        <v>40-25-1.6-ERW 1-FC</v>
      </c>
      <c r="R253" s="557" t="str">
        <f>_xlfn.CONCAT(scheduleapr[[#This Row],[Bucket]],"-",scheduleapr[[#This Row],[LENGTH]]/1000)</f>
        <v>40-25-1.6-ERW 1-FC-0.322</v>
      </c>
      <c r="S253" s="557">
        <f>COUNTIF(scheduleapr[CTL Bucket],scheduleapr[[#This Row],[CTL Bucket]])</f>
        <v>1</v>
      </c>
      <c r="T253" s="557"/>
      <c r="U253" s="557"/>
      <c r="V253" s="557"/>
      <c r="W253" s="557"/>
      <c r="X253" s="1">
        <v>41.28</v>
      </c>
      <c r="Y253" s="1">
        <v>40</v>
      </c>
      <c r="Z253" s="1">
        <v>25</v>
      </c>
      <c r="AA253" s="1">
        <v>1.6</v>
      </c>
      <c r="AB253" s="24">
        <v>322</v>
      </c>
      <c r="AC253" s="24" t="s">
        <v>397</v>
      </c>
      <c r="AD253" s="24"/>
      <c r="AE253" s="24"/>
      <c r="AF253" s="2"/>
      <c r="AG253" s="2"/>
      <c r="AH253" s="2" cm="1">
        <f t="array" ref="AH2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3" s="4">
        <f>scheduleapr[[#This Row],[SCHEDULE in nos]]-scheduleapr[[#This Row],[DISPATCH]]</f>
        <v>0</v>
      </c>
      <c r="AJ253" s="1">
        <f>(3.14*(scheduleapr[[#This Row],[ACTUAL OD]]-scheduleapr[[#This Row],[TICKNESS]])*scheduleapr[[#This Row],[TICKNESS]]*scheduleapr[[#This Row],[LENGTH]]*7.85)/1000000*scheduleapr[[#This Row],[SCHEDULE in nos]]/1000</f>
        <v>0</v>
      </c>
      <c r="AK253" s="1">
        <f>(3.14*(scheduleapr[[#This Row],[ACTUAL OD]]-scheduleapr[[#This Row],[TICKNESS]])*scheduleapr[[#This Row],[TICKNESS]]*scheduleapr[[#This Row],[LENGTH]]*7.85)/1000000*scheduleapr[[#This Row],[DISPATCH]]/1000</f>
        <v>0</v>
      </c>
      <c r="AL253" s="1">
        <f t="shared" si="8"/>
        <v>0</v>
      </c>
      <c r="AM253" s="1" t="e">
        <f>scheduleapr[[#This Row],[SCHEDULE in nos]]/scheduleapr[[#This Row],[SCHEDULE IN MT]]*scheduleapr[[#This Row],[CTL Stock]]</f>
        <v>#DIV/0!</v>
      </c>
      <c r="AN253" s="1">
        <f>SUMIFS(stock[MT],stock[Bucket],scheduleapr[[#This Row],[Bucket]],stock[CTL Bucket],scheduleapr[[#This Row],[CTL Bucket]],stock[Plant],"0789")</f>
        <v>0</v>
      </c>
      <c r="AO253" s="1"/>
      <c r="AP253" s="1">
        <f>SUMIFS(stock[MT],stock[Bucket],scheduleapr[[#This Row],[Bucket]],stock[LL or CTL],"LL")</f>
        <v>0.61827399999999999</v>
      </c>
      <c r="AQ253" s="1">
        <f>+SUMIFS(wip[Stock(Net Wt)],wip[Bucket],scheduleapr[[#This Row],[Bucket]])/1000</f>
        <v>0</v>
      </c>
      <c r="AR253" s="1">
        <f t="shared" si="9"/>
        <v>0</v>
      </c>
      <c r="AS253" s="118"/>
    </row>
    <row r="254" spans="1:45" x14ac:dyDescent="0.25">
      <c r="A254" s="30">
        <v>190</v>
      </c>
      <c r="B254" s="5" t="s">
        <v>1816</v>
      </c>
      <c r="C254" s="2" t="s">
        <v>290</v>
      </c>
      <c r="D254" s="2" t="s">
        <v>290</v>
      </c>
      <c r="E254" s="2">
        <v>188647</v>
      </c>
      <c r="F254" s="2">
        <v>3768907</v>
      </c>
      <c r="G254" s="2" t="str">
        <f>_xlfn.CONCAT(scheduleapr[[#This Row],[CUSTOMER CODE]],"-",scheduleapr[[#This Row],[MATERIAL NO]])</f>
        <v>188647-3768907</v>
      </c>
      <c r="H254" s="2" t="s">
        <v>655</v>
      </c>
      <c r="I254" s="2" t="s">
        <v>962</v>
      </c>
      <c r="J254" s="2"/>
      <c r="K254" s="2" t="s">
        <v>1003</v>
      </c>
      <c r="L254" s="2" t="s">
        <v>239</v>
      </c>
      <c r="M254" s="2"/>
      <c r="N254" s="2" t="s">
        <v>1516</v>
      </c>
      <c r="O254" s="2"/>
      <c r="P254" s="2"/>
      <c r="Q254" s="557" t="str">
        <f>CONCATENATE(scheduleapr[[#This Row],[OD]],"-",scheduleapr[[#This Row],[ID]],"-",scheduleapr[[#This Row],[TICKNESS]],"-",scheduleapr[[#This Row],[Grade]],"-",scheduleapr[[#This Row],[FC/NFC]])</f>
        <v>41.28-0-3.2-ERW 1-FC</v>
      </c>
      <c r="R254" s="557" t="str">
        <f>_xlfn.CONCAT(scheduleapr[[#This Row],[Bucket]],"-",scheduleapr[[#This Row],[LENGTH]]/1000)</f>
        <v>41.28-0-3.2-ERW 1-FC-0.246</v>
      </c>
      <c r="S254" s="557" t="e" vm="2">
        <f>COUNTIF([2]!buckets[CTL Bucket],[2]!scheduleapr[[#This Row],[CTL Bucket]])</f>
        <v>#REF!</v>
      </c>
      <c r="T254" s="2" t="s">
        <v>1816</v>
      </c>
      <c r="U254" s="2">
        <f>_xlfn.IFNA(VLOOKUP(scheduleapr[[#This Row],[Bucket]],salesforecast[[#All],[Bucket2]:[8406 Stock]],19,0),0)</f>
        <v>0</v>
      </c>
      <c r="V254" s="562">
        <f>_xlfn.IFNA(VLOOKUP(scheduleapr[[#This Row],[Bucket]],salesforecast[[#All],[Bucket2]:[8406 Stock]],20,0),0)+_xlfn.IFNA(VLOOKUP(scheduleapr[[#This Row],[Bucket]],salesforecast[[#All],[Bucket2]:[8406 Stock]],17,0),0)</f>
        <v>0</v>
      </c>
      <c r="W254" s="557"/>
      <c r="X254" s="1">
        <v>41.28</v>
      </c>
      <c r="Y254" s="1">
        <v>41.28</v>
      </c>
      <c r="Z254" s="1">
        <v>0</v>
      </c>
      <c r="AA254" s="1">
        <v>3.2</v>
      </c>
      <c r="AB254" s="24">
        <v>246</v>
      </c>
      <c r="AC254" s="24" t="s">
        <v>397</v>
      </c>
      <c r="AD254" s="24"/>
      <c r="AE254" s="24"/>
      <c r="AF254" s="2">
        <v>8000</v>
      </c>
      <c r="AG254" s="2"/>
      <c r="AH254" s="2" cm="1">
        <f t="array" ref="AH2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254" s="4">
        <f>scheduleapr[[#This Row],[SCHEDULE in nos]]-scheduleapr[[#This Row],[DISPATCH]]</f>
        <v>7000</v>
      </c>
      <c r="AJ254" s="1">
        <f>(3.14*(scheduleapr[[#This Row],[ACTUAL OD]]-scheduleapr[[#This Row],[TICKNESS]])*scheduleapr[[#This Row],[TICKNESS]]*scheduleapr[[#This Row],[LENGTH]]*7.85)/1000000*scheduleapr[[#This Row],[SCHEDULE in nos]]/1000</f>
        <v>5.9111409745920005</v>
      </c>
      <c r="AK254" s="1">
        <f>(3.14*(scheduleapr[[#This Row],[ACTUAL OD]]-scheduleapr[[#This Row],[TICKNESS]])*scheduleapr[[#This Row],[TICKNESS]]*scheduleapr[[#This Row],[LENGTH]]*7.85)/1000000*scheduleapr[[#This Row],[DISPATCH]]/1000</f>
        <v>0.73889262182400006</v>
      </c>
      <c r="AL254" s="1">
        <f t="shared" si="8"/>
        <v>5.1722483527680003</v>
      </c>
      <c r="AM254" s="1">
        <f>scheduleapr[[#This Row],[SCHEDULE in nos]]/scheduleapr[[#This Row],[SCHEDULE IN MT]]*scheduleapr[[#This Row],[CTL Stock]]</f>
        <v>300.73381901075351</v>
      </c>
      <c r="AN254" s="1">
        <f>SUMIFS(stock[MT],stock[Bucket],scheduleapr[[#This Row],[Bucket]],stock[CTL Bucket],scheduleapr[[#This Row],[CTL Bucket]],stock[Plant],"0789")</f>
        <v>0.22220999999999999</v>
      </c>
      <c r="AO254" s="1"/>
      <c r="AP254" s="1">
        <f>SUMIFS(stock[MT],stock[Bucket],scheduleapr[[#This Row],[Bucket]],stock[LL or CTL],"LL")</f>
        <v>0</v>
      </c>
      <c r="AQ254" s="1">
        <f>+SUMIFS(wip[Stock(Net Wt)],wip[Bucket],scheduleapr[[#This Row],[Bucket]])/1000</f>
        <v>7.141</v>
      </c>
      <c r="AR254" s="1" t="s">
        <v>1839</v>
      </c>
      <c r="AS254" s="118"/>
    </row>
    <row r="255" spans="1:45" x14ac:dyDescent="0.25">
      <c r="A255" s="30">
        <v>191</v>
      </c>
      <c r="B255" s="5" t="s">
        <v>1872</v>
      </c>
      <c r="C255" s="2" t="s">
        <v>290</v>
      </c>
      <c r="D255" s="2" t="s">
        <v>290</v>
      </c>
      <c r="E255" s="2">
        <v>188647</v>
      </c>
      <c r="F255" s="2"/>
      <c r="G255" s="2" t="str">
        <f>_xlfn.CONCAT(scheduleapr[[#This Row],[CUSTOMER CODE]],"-",scheduleapr[[#This Row],[MATERIAL NO]])</f>
        <v>188647-</v>
      </c>
      <c r="H255" s="2"/>
      <c r="I255" s="2" t="s">
        <v>962</v>
      </c>
      <c r="J255" s="2" t="s">
        <v>1894</v>
      </c>
      <c r="K255" s="2"/>
      <c r="L255" s="2" t="s">
        <v>239</v>
      </c>
      <c r="M255" s="2"/>
      <c r="N255" s="2"/>
      <c r="O255" s="2"/>
      <c r="P255" s="2"/>
      <c r="Q255" s="557" t="str">
        <f>CONCATENATE(scheduleapr[[#This Row],[OD]],"-",scheduleapr[[#This Row],[ID]],"-",scheduleapr[[#This Row],[TICKNESS]],"-",scheduleapr[[#This Row],[Grade]],"-",scheduleapr[[#This Row],[FC/NFC]])</f>
        <v>0-0-4-ERW 1-</v>
      </c>
      <c r="R255" s="557" t="str">
        <f>_xlfn.CONCAT(scheduleapr[[#This Row],[Bucket]],"-",scheduleapr[[#This Row],[LENGTH]]/1000)</f>
        <v>0-0-4-ERW 1--0.266</v>
      </c>
      <c r="S255" s="557" t="e" vm="2">
        <f>COUNTIF([2]!buckets[CTL Bucket],[2]!scheduleapr[[#This Row],[CTL Bucket]])</f>
        <v>#REF!</v>
      </c>
      <c r="T255" s="557"/>
      <c r="U255" s="557"/>
      <c r="V255" s="557"/>
      <c r="W255" s="557"/>
      <c r="X255" s="1">
        <v>42.7</v>
      </c>
      <c r="Y255" s="1">
        <v>0</v>
      </c>
      <c r="Z255" s="1">
        <v>0</v>
      </c>
      <c r="AA255" s="1">
        <v>4</v>
      </c>
      <c r="AB255" s="24">
        <v>266</v>
      </c>
      <c r="AC255" s="24"/>
      <c r="AD255" s="24"/>
      <c r="AE255" s="24"/>
      <c r="AF255" s="2"/>
      <c r="AG255" s="2"/>
      <c r="AH255" s="2" t="e" cm="1">
        <f t="array" ref="AH2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55" s="4" t="e">
        <f>scheduleapr[[#This Row],[SCHEDULE in nos]]-scheduleapr[[#This Row],[DISPATCH]]</f>
        <v>#N/A</v>
      </c>
      <c r="AJ255" s="1">
        <f>(3.14*(scheduleapr[[#This Row],[ACTUAL OD]]-scheduleapr[[#This Row],[TICKNESS]])*scheduleapr[[#This Row],[TICKNESS]]*scheduleapr[[#This Row],[LENGTH]]*7.85)/1000000*scheduleapr[[#This Row],[SCHEDULE in nos]]/1000</f>
        <v>0</v>
      </c>
      <c r="AK255" s="1" t="e">
        <f>(3.14*(scheduleapr[[#This Row],[ACTUAL OD]]-scheduleapr[[#This Row],[TICKNESS]])*scheduleapr[[#This Row],[TICKNESS]]*scheduleapr[[#This Row],[LENGTH]]*7.85)/1000000*scheduleapr[[#This Row],[DISPATCH]]/1000</f>
        <v>#N/A</v>
      </c>
      <c r="AL255" s="1" t="e">
        <f t="shared" si="8"/>
        <v>#N/A</v>
      </c>
      <c r="AM255" s="1" t="e">
        <f>scheduleapr[[#This Row],[SCHEDULE in nos]]/scheduleapr[[#This Row],[SCHEDULE IN MT]]*scheduleapr[[#This Row],[CTL Stock]]</f>
        <v>#DIV/0!</v>
      </c>
      <c r="AN255" s="1">
        <f>SUMIFS(stock[MT],stock[Bucket],scheduleapr[[#This Row],[Bucket]],stock[CTL Bucket],scheduleapr[[#This Row],[CTL Bucket]],stock[Plant],"0789")</f>
        <v>0</v>
      </c>
      <c r="AO255" s="1"/>
      <c r="AP255" s="1">
        <f>SUMIFS(stock[MT],stock[Bucket],scheduleapr[[#This Row],[Bucket]],stock[LL or CTL],"LL")</f>
        <v>0</v>
      </c>
      <c r="AQ255" s="1">
        <f>+SUMIFS(wip[Stock(Net Wt)],wip[Bucket],scheduleapr[[#This Row],[Bucket]])/1000</f>
        <v>0</v>
      </c>
      <c r="AR255" s="1">
        <f t="shared" ref="AR255:AR318" si="10">AJ255-AN255</f>
        <v>0</v>
      </c>
      <c r="AS255" s="118"/>
    </row>
    <row r="256" spans="1:45" x14ac:dyDescent="0.25">
      <c r="A256" s="30">
        <v>192</v>
      </c>
      <c r="B256" s="5" t="s">
        <v>1872</v>
      </c>
      <c r="C256" s="2" t="s">
        <v>290</v>
      </c>
      <c r="D256" s="2" t="s">
        <v>290</v>
      </c>
      <c r="E256" s="2">
        <v>188647</v>
      </c>
      <c r="F256" s="2">
        <v>2417648</v>
      </c>
      <c r="G256" s="2" t="str">
        <f>_xlfn.CONCAT(scheduleapr[[#This Row],[CUSTOMER CODE]],"-",scheduleapr[[#This Row],[MATERIAL NO]])</f>
        <v>188647-2417648</v>
      </c>
      <c r="H256" s="2" t="s">
        <v>876</v>
      </c>
      <c r="I256" s="2" t="s">
        <v>962</v>
      </c>
      <c r="J256" s="2" t="s">
        <v>1894</v>
      </c>
      <c r="K256" s="2" t="s">
        <v>1003</v>
      </c>
      <c r="L256" s="2" t="s">
        <v>239</v>
      </c>
      <c r="M256" s="2"/>
      <c r="N256" s="2" t="s">
        <v>1516</v>
      </c>
      <c r="O256" s="2"/>
      <c r="P256" s="2"/>
      <c r="Q256" s="557" t="str">
        <f>CONCATENATE(scheduleapr[[#This Row],[OD]],"-",scheduleapr[[#This Row],[ID]],"-",scheduleapr[[#This Row],[TICKNESS]],"-",scheduleapr[[#This Row],[Grade]],"-",scheduleapr[[#This Row],[FC/NFC]])</f>
        <v>42.7-0-3.5-ERW 1-FC</v>
      </c>
      <c r="R256" s="557" t="str">
        <f>_xlfn.CONCAT(scheduleapr[[#This Row],[Bucket]],"-",scheduleapr[[#This Row],[LENGTH]]/1000)</f>
        <v>42.7-0-3.5-ERW 1-FC-0.21</v>
      </c>
      <c r="S256" s="557" t="e" vm="2">
        <f>COUNTIF([2]!buckets[CTL Bucket],[2]!scheduleapr[[#This Row],[CTL Bucket]])</f>
        <v>#REF!</v>
      </c>
      <c r="T256" s="2" t="s">
        <v>1817</v>
      </c>
      <c r="U256" s="2">
        <f>_xlfn.IFNA(VLOOKUP(scheduleapr[[#This Row],[Bucket]],salesforecast[[#All],[Bucket2]:[8406 Stock]],19,0),0)</f>
        <v>4.8184210000000007</v>
      </c>
      <c r="V256" s="562">
        <f>_xlfn.IFNA(VLOOKUP(scheduleapr[[#This Row],[Bucket]],salesforecast[[#All],[Bucket2]:[8406 Stock]],20,0),0)+_xlfn.IFNA(VLOOKUP(scheduleapr[[#This Row],[Bucket]],salesforecast[[#All],[Bucket2]:[8406 Stock]],17,0),0)</f>
        <v>5.208107</v>
      </c>
      <c r="W256" s="557"/>
      <c r="X256" s="1">
        <v>42.7</v>
      </c>
      <c r="Y256" s="1">
        <v>42.7</v>
      </c>
      <c r="Z256" s="1">
        <v>0</v>
      </c>
      <c r="AA256" s="1">
        <v>3.5</v>
      </c>
      <c r="AB256" s="24">
        <v>210</v>
      </c>
      <c r="AC256" s="24" t="s">
        <v>397</v>
      </c>
      <c r="AD256" s="24"/>
      <c r="AE256" s="24"/>
      <c r="AF256" s="2">
        <v>3000</v>
      </c>
      <c r="AG256" s="2"/>
      <c r="AH256" s="2" cm="1">
        <f t="array" ref="AH2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256" s="4">
        <f>scheduleapr[[#This Row],[SCHEDULE in nos]]-scheduleapr[[#This Row],[DISPATCH]]</f>
        <v>2500</v>
      </c>
      <c r="AJ256" s="1">
        <f>(3.14*(scheduleapr[[#This Row],[ACTUAL OD]]-scheduleapr[[#This Row],[TICKNESS]])*scheduleapr[[#This Row],[TICKNESS]]*scheduleapr[[#This Row],[LENGTH]]*7.85)/1000000*scheduleapr[[#This Row],[SCHEDULE in nos]]/1000</f>
        <v>2.1305609640000003</v>
      </c>
      <c r="AK256" s="1">
        <f>(3.14*(scheduleapr[[#This Row],[ACTUAL OD]]-scheduleapr[[#This Row],[TICKNESS]])*scheduleapr[[#This Row],[TICKNESS]]*scheduleapr[[#This Row],[LENGTH]]*7.85)/1000000*scheduleapr[[#This Row],[DISPATCH]]/1000</f>
        <v>0.35509349400000001</v>
      </c>
      <c r="AL256" s="1">
        <f t="shared" si="8"/>
        <v>1.7754674700000002</v>
      </c>
      <c r="AM256" s="1">
        <f>scheduleapr[[#This Row],[SCHEDULE in nos]]/scheduleapr[[#This Row],[SCHEDULE IN MT]]*scheduleapr[[#This Row],[CTL Stock]]</f>
        <v>0</v>
      </c>
      <c r="AN256" s="1">
        <f>SUMIFS(stock[MT],stock[Bucket],scheduleapr[[#This Row],[Bucket]],stock[CTL Bucket],scheduleapr[[#This Row],[CTL Bucket]],stock[Plant],"0789")</f>
        <v>0</v>
      </c>
      <c r="AO256" s="1"/>
      <c r="AP256" s="1">
        <f>SUMIFS(stock[MT],stock[Bucket],scheduleapr[[#This Row],[Bucket]],stock[LL or CTL],"LL")</f>
        <v>9.465421000000001</v>
      </c>
      <c r="AQ256" s="1">
        <f>+SUMIFS(wip[Stock(Net Wt)],wip[Bucket],scheduleapr[[#This Row],[Bucket]])/1000</f>
        <v>0</v>
      </c>
      <c r="AR256" s="1">
        <f t="shared" si="10"/>
        <v>2.1305609640000003</v>
      </c>
      <c r="AS256" s="118"/>
    </row>
    <row r="257" spans="1:45" x14ac:dyDescent="0.25">
      <c r="A257" s="30">
        <v>194</v>
      </c>
      <c r="B257" s="5" t="s">
        <v>1872</v>
      </c>
      <c r="C257" s="2" t="s">
        <v>290</v>
      </c>
      <c r="D257" s="2" t="s">
        <v>290</v>
      </c>
      <c r="E257" s="2">
        <v>188647</v>
      </c>
      <c r="F257" s="2">
        <v>2428441</v>
      </c>
      <c r="G257" s="2" t="str">
        <f>_xlfn.CONCAT(scheduleapr[[#This Row],[CUSTOMER CODE]],"-",scheduleapr[[#This Row],[MATERIAL NO]])</f>
        <v>188647-2428441</v>
      </c>
      <c r="H257" s="2" t="s">
        <v>1695</v>
      </c>
      <c r="I257" s="2" t="s">
        <v>962</v>
      </c>
      <c r="J257" s="2" t="s">
        <v>1894</v>
      </c>
      <c r="K257" s="2" t="s">
        <v>1003</v>
      </c>
      <c r="L257" s="2" t="s">
        <v>239</v>
      </c>
      <c r="M257" s="2"/>
      <c r="N257" s="2" t="s">
        <v>1516</v>
      </c>
      <c r="O257" s="2"/>
      <c r="P257" s="2"/>
      <c r="Q257" s="557" t="str">
        <f>CONCATENATE(scheduleapr[[#This Row],[OD]],"-",scheduleapr[[#This Row],[ID]],"-",scheduleapr[[#This Row],[TICKNESS]],"-",scheduleapr[[#This Row],[Grade]],"-",scheduleapr[[#This Row],[FC/NFC]])</f>
        <v>42.7-0-4-ERW 1-FC</v>
      </c>
      <c r="R257" s="557" t="str">
        <f>_xlfn.CONCAT(scheduleapr[[#This Row],[Bucket]],"-",scheduleapr[[#This Row],[LENGTH]]/1000)</f>
        <v>42.7-0-4-ERW 1-FC-0.235</v>
      </c>
      <c r="S257" s="557" t="e" vm="2">
        <f>COUNTIF([2]!buckets[CTL Bucket],[2]!scheduleapr[[#This Row],[CTL Bucket]])</f>
        <v>#REF!</v>
      </c>
      <c r="T257" s="2" t="s">
        <v>1817</v>
      </c>
      <c r="U257" s="2">
        <f>_xlfn.IFNA(VLOOKUP(scheduleapr[[#This Row],[Bucket]],salesforecast[[#All],[Bucket2]:[8406 Stock]],19,0),0)</f>
        <v>0.28338300000000016</v>
      </c>
      <c r="V257" s="562">
        <f>_xlfn.IFNA(VLOOKUP(scheduleapr[[#This Row],[Bucket]],salesforecast[[#All],[Bucket2]:[8406 Stock]],20,0),0)+_xlfn.IFNA(VLOOKUP(scheduleapr[[#This Row],[Bucket]],salesforecast[[#All],[Bucket2]:[8406 Stock]],17,0),0)</f>
        <v>29.067884000000003</v>
      </c>
      <c r="W257" s="557"/>
      <c r="X257" s="1">
        <v>42.7</v>
      </c>
      <c r="Y257" s="1">
        <v>42.7</v>
      </c>
      <c r="Z257" s="1">
        <v>0</v>
      </c>
      <c r="AA257" s="1">
        <v>4</v>
      </c>
      <c r="AB257" s="24">
        <v>235</v>
      </c>
      <c r="AC257" s="24" t="s">
        <v>397</v>
      </c>
      <c r="AD257" s="24"/>
      <c r="AE257" s="24"/>
      <c r="AF257" s="2">
        <v>7000</v>
      </c>
      <c r="AG257" s="2"/>
      <c r="AH257" s="2" cm="1">
        <f t="array" ref="AH2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7" s="4">
        <f>scheduleapr[[#This Row],[SCHEDULE in nos]]-scheduleapr[[#This Row],[DISPATCH]]</f>
        <v>7000</v>
      </c>
      <c r="AJ257" s="1">
        <f>(3.14*(scheduleapr[[#This Row],[ACTUAL OD]]-scheduleapr[[#This Row],[TICKNESS]])*scheduleapr[[#This Row],[TICKNESS]]*scheduleapr[[#This Row],[LENGTH]]*7.85)/1000000*scheduleapr[[#This Row],[SCHEDULE in nos]]/1000</f>
        <v>6.2767692540000004</v>
      </c>
      <c r="AK257" s="1">
        <f>(3.14*(scheduleapr[[#This Row],[ACTUAL OD]]-scheduleapr[[#This Row],[TICKNESS]])*scheduleapr[[#This Row],[TICKNESS]]*scheduleapr[[#This Row],[LENGTH]]*7.85)/1000000*scheduleapr[[#This Row],[DISPATCH]]/1000</f>
        <v>0</v>
      </c>
      <c r="AL257" s="1">
        <f t="shared" si="8"/>
        <v>6.2767692540000004</v>
      </c>
      <c r="AM257" s="1">
        <f>scheduleapr[[#This Row],[SCHEDULE in nos]]/scheduleapr[[#This Row],[SCHEDULE IN MT]]*scheduleapr[[#This Row],[CTL Stock]]</f>
        <v>0</v>
      </c>
      <c r="AN257" s="1">
        <f>SUMIFS(stock[MT],stock[Bucket],scheduleapr[[#This Row],[Bucket]],stock[CTL Bucket],scheduleapr[[#This Row],[CTL Bucket]],stock[Plant],"0789")</f>
        <v>0</v>
      </c>
      <c r="AO257" s="1"/>
      <c r="AP257" s="1">
        <f>SUMIFS(stock[MT],stock[Bucket],scheduleapr[[#This Row],[Bucket]],stock[LL or CTL],"LL")</f>
        <v>215.60048700000004</v>
      </c>
      <c r="AQ257" s="1">
        <f>+SUMIFS(wip[Stock(Net Wt)],wip[Bucket],scheduleapr[[#This Row],[Bucket]])/1000</f>
        <v>0</v>
      </c>
      <c r="AR257" s="1">
        <f t="shared" si="10"/>
        <v>6.2767692540000004</v>
      </c>
      <c r="AS257" s="118"/>
    </row>
    <row r="258" spans="1:45" x14ac:dyDescent="0.25">
      <c r="A258" s="30">
        <v>196</v>
      </c>
      <c r="B258" s="5" t="s">
        <v>1816</v>
      </c>
      <c r="C258" s="2" t="s">
        <v>290</v>
      </c>
      <c r="D258" s="2" t="s">
        <v>290</v>
      </c>
      <c r="E258" s="2">
        <v>188647</v>
      </c>
      <c r="F258" s="2">
        <v>1940829</v>
      </c>
      <c r="G258" s="2" t="str">
        <f>_xlfn.CONCAT(scheduleapr[[#This Row],[CUSTOMER CODE]],"-",scheduleapr[[#This Row],[MATERIAL NO]])</f>
        <v>188647-1940829</v>
      </c>
      <c r="H258" s="2" t="s">
        <v>1956</v>
      </c>
      <c r="I258" s="2" t="s">
        <v>962</v>
      </c>
      <c r="J258" s="2"/>
      <c r="K258" s="2"/>
      <c r="L258" s="2" t="s">
        <v>239</v>
      </c>
      <c r="M258" s="2"/>
      <c r="N258" s="2"/>
      <c r="O258" s="2"/>
      <c r="P258" s="2"/>
      <c r="Q258" s="557" t="str">
        <f>CONCATENATE(scheduleapr[[#This Row],[OD]],"-",scheduleapr[[#This Row],[ID]],"-",scheduleapr[[#This Row],[TICKNESS]],"-",scheduleapr[[#This Row],[Grade]],"-",scheduleapr[[#This Row],[FC/NFC]])</f>
        <v>40-30-1.6-ERW 1-</v>
      </c>
      <c r="R258" s="557" t="str">
        <f>_xlfn.CONCAT(scheduleapr[[#This Row],[Bucket]],"-",scheduleapr[[#This Row],[LENGTH]]/1000)</f>
        <v>40-30-1.6-ERW 1--0.314</v>
      </c>
      <c r="S258" s="557">
        <f>COUNTIF(scheduleapr[CTL Bucket],scheduleapr[[#This Row],[CTL Bucket]])</f>
        <v>2</v>
      </c>
      <c r="T258" s="557"/>
      <c r="U258" s="557"/>
      <c r="V258" s="557"/>
      <c r="W258" s="557"/>
      <c r="X258" s="1">
        <v>44.45</v>
      </c>
      <c r="Y258" s="1">
        <v>40</v>
      </c>
      <c r="Z258" s="1">
        <v>30</v>
      </c>
      <c r="AA258" s="1">
        <v>1.6</v>
      </c>
      <c r="AB258" s="24">
        <v>314</v>
      </c>
      <c r="AC258" s="24" t="s">
        <v>397</v>
      </c>
      <c r="AD258" s="24"/>
      <c r="AE258" s="24"/>
      <c r="AF258" s="2"/>
      <c r="AG258" s="2"/>
      <c r="AH258" s="2" cm="1">
        <f t="array" ref="AH2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8" s="4">
        <f>scheduleapr[[#This Row],[SCHEDULE in nos]]-scheduleapr[[#This Row],[DISPATCH]]</f>
        <v>0</v>
      </c>
      <c r="AJ258" s="1">
        <f>(3.14*(scheduleapr[[#This Row],[ACTUAL OD]]-scheduleapr[[#This Row],[TICKNESS]])*scheduleapr[[#This Row],[TICKNESS]]*scheduleapr[[#This Row],[LENGTH]]*7.85)/1000000*scheduleapr[[#This Row],[SCHEDULE in nos]]/1000</f>
        <v>0</v>
      </c>
      <c r="AK258" s="1">
        <f>(3.14*(scheduleapr[[#This Row],[ACTUAL OD]]-scheduleapr[[#This Row],[TICKNESS]])*scheduleapr[[#This Row],[TICKNESS]]*scheduleapr[[#This Row],[LENGTH]]*7.85)/1000000*scheduleapr[[#This Row],[DISPATCH]]/1000</f>
        <v>0</v>
      </c>
      <c r="AL258" s="1">
        <f t="shared" si="8"/>
        <v>0</v>
      </c>
      <c r="AM258" s="1" t="e">
        <f>scheduleapr[[#This Row],[SCHEDULE in nos]]/scheduleapr[[#This Row],[SCHEDULE IN MT]]*scheduleapr[[#This Row],[CTL Stock]]</f>
        <v>#DIV/0!</v>
      </c>
      <c r="AN258" s="1">
        <f>SUMIFS(stock[MT],stock[Bucket],scheduleapr[[#This Row],[Bucket]],stock[CTL Bucket],scheduleapr[[#This Row],[CTL Bucket]],stock[Plant],"0789")</f>
        <v>0</v>
      </c>
      <c r="AO258" s="1"/>
      <c r="AP258" s="1">
        <f>SUMIFS(stock[MT],stock[Bucket],scheduleapr[[#This Row],[Bucket]],stock[LL or CTL],"LL")</f>
        <v>0</v>
      </c>
      <c r="AQ258" s="1">
        <f>+SUMIFS(wip[Stock(Net Wt)],wip[Bucket],scheduleapr[[#This Row],[Bucket]])/1000</f>
        <v>0</v>
      </c>
      <c r="AR258" s="1">
        <f t="shared" si="10"/>
        <v>0</v>
      </c>
      <c r="AS258" s="118"/>
    </row>
    <row r="259" spans="1:45" x14ac:dyDescent="0.25">
      <c r="A259" s="30">
        <v>197</v>
      </c>
      <c r="B259" s="5" t="s">
        <v>1816</v>
      </c>
      <c r="C259" s="2" t="s">
        <v>290</v>
      </c>
      <c r="D259" s="2" t="s">
        <v>290</v>
      </c>
      <c r="E259" s="2">
        <v>188647</v>
      </c>
      <c r="F259" s="2">
        <v>3712521</v>
      </c>
      <c r="G259" s="2" t="str">
        <f>_xlfn.CONCAT(scheduleapr[[#This Row],[CUSTOMER CODE]],"-",scheduleapr[[#This Row],[MATERIAL NO]])</f>
        <v>188647-3712521</v>
      </c>
      <c r="H259" s="2" t="s">
        <v>631</v>
      </c>
      <c r="I259" s="2" t="s">
        <v>962</v>
      </c>
      <c r="J259" s="2"/>
      <c r="K259" s="2" t="s">
        <v>1003</v>
      </c>
      <c r="L259" s="2" t="s">
        <v>1867</v>
      </c>
      <c r="M259" s="44" t="s">
        <v>1868</v>
      </c>
      <c r="N259" s="2"/>
      <c r="O259" s="2"/>
      <c r="P259" s="2"/>
      <c r="Q259" s="557" t="str">
        <f>CONCATENATE(scheduleapr[[#This Row],[OD]],"-",scheduleapr[[#This Row],[ID]],"-",scheduleapr[[#This Row],[TICKNESS]],"-",scheduleapr[[#This Row],[Grade]],"-",scheduleapr[[#This Row],[FC/NFC]])</f>
        <v>40-30-1.6-ERW 1-FC</v>
      </c>
      <c r="R259" s="557" t="str">
        <f>_xlfn.CONCAT(scheduleapr[[#This Row],[Bucket]],"-",scheduleapr[[#This Row],[LENGTH]]/1000)</f>
        <v>40-30-1.6-ERW 1-FC-0.835</v>
      </c>
      <c r="S259" s="557">
        <f>COUNTIF(scheduleapr[CTL Bucket],scheduleapr[[#This Row],[CTL Bucket]])</f>
        <v>2</v>
      </c>
      <c r="T259" s="2" t="s">
        <v>1816</v>
      </c>
      <c r="U259" s="2">
        <f>_xlfn.IFNA(VLOOKUP(scheduleapr[[#This Row],[Bucket]],salesforecast[[#All],[Bucket2]:[8406 Stock]],19,0),0)</f>
        <v>0.95786300000000013</v>
      </c>
      <c r="V259" s="562">
        <f>_xlfn.IFNA(VLOOKUP(scheduleapr[[#This Row],[Bucket]],salesforecast[[#All],[Bucket2]:[8406 Stock]],20,0),0)+_xlfn.IFNA(VLOOKUP(scheduleapr[[#This Row],[Bucket]],salesforecast[[#All],[Bucket2]:[8406 Stock]],17,0),0)</f>
        <v>0</v>
      </c>
      <c r="W259" s="557"/>
      <c r="X259" s="1">
        <v>44.45</v>
      </c>
      <c r="Y259" s="1">
        <v>40</v>
      </c>
      <c r="Z259" s="1">
        <v>30</v>
      </c>
      <c r="AA259" s="1">
        <v>1.6</v>
      </c>
      <c r="AB259" s="24">
        <v>835</v>
      </c>
      <c r="AC259" s="24" t="s">
        <v>397</v>
      </c>
      <c r="AD259" s="24"/>
      <c r="AE259" s="24"/>
      <c r="AF259" s="2">
        <v>14000</v>
      </c>
      <c r="AG259" s="2"/>
      <c r="AH259" s="2" cm="1">
        <f t="array" ref="AH2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9" s="4">
        <f>scheduleapr[[#This Row],[SCHEDULE in nos]]-scheduleapr[[#This Row],[DISPATCH]]</f>
        <v>14000</v>
      </c>
      <c r="AJ259" s="1">
        <f>(3.14*(scheduleapr[[#This Row],[ACTUAL OD]]-scheduleapr[[#This Row],[TICKNESS]])*scheduleapr[[#This Row],[TICKNESS]]*scheduleapr[[#This Row],[LENGTH]]*7.85)/1000000*scheduleapr[[#This Row],[SCHEDULE in nos]]/1000</f>
        <v>19.755345293600001</v>
      </c>
      <c r="AK259" s="1">
        <f>(3.14*(scheduleapr[[#This Row],[ACTUAL OD]]-scheduleapr[[#This Row],[TICKNESS]])*scheduleapr[[#This Row],[TICKNESS]]*scheduleapr[[#This Row],[LENGTH]]*7.85)/1000000*scheduleapr[[#This Row],[DISPATCH]]/1000</f>
        <v>0</v>
      </c>
      <c r="AL259" s="1">
        <f t="shared" si="8"/>
        <v>19.755345293600001</v>
      </c>
      <c r="AM259" s="1">
        <f>scheduleapr[[#This Row],[SCHEDULE in nos]]/scheduleapr[[#This Row],[SCHEDULE IN MT]]*scheduleapr[[#This Row],[CTL Stock]]</f>
        <v>24.125926067938984</v>
      </c>
      <c r="AN259" s="1">
        <f>SUMIFS(stock[MT],stock[Bucket],scheduleapr[[#This Row],[Bucket]],stock[CTL Bucket],scheduleapr[[#This Row],[CTL Bucket]],stock[Plant],"0789")</f>
        <v>3.4043999999999998E-2</v>
      </c>
      <c r="AO259" s="1"/>
      <c r="AP259" s="1">
        <f>SUMIFS(stock[MT],stock[Bucket],scheduleapr[[#This Row],[Bucket]],stock[LL or CTL],"LL")</f>
        <v>0.95786300000000002</v>
      </c>
      <c r="AQ259" s="1">
        <f>+SUMIFS(wip[Stock(Net Wt)],wip[Bucket],scheduleapr[[#This Row],[Bucket]])/1000</f>
        <v>0</v>
      </c>
      <c r="AR259" s="1">
        <f t="shared" si="10"/>
        <v>19.7213012936</v>
      </c>
      <c r="AS259" s="118"/>
    </row>
    <row r="260" spans="1:45" x14ac:dyDescent="0.25">
      <c r="A260" s="30">
        <v>198</v>
      </c>
      <c r="B260" s="5" t="s">
        <v>1816</v>
      </c>
      <c r="C260" s="2" t="s">
        <v>290</v>
      </c>
      <c r="D260" s="2" t="s">
        <v>290</v>
      </c>
      <c r="E260" s="2">
        <v>188647</v>
      </c>
      <c r="F260" s="2">
        <v>1940831</v>
      </c>
      <c r="G260" s="2" t="str">
        <f>_xlfn.CONCAT(scheduleapr[[#This Row],[CUSTOMER CODE]],"-",scheduleapr[[#This Row],[MATERIAL NO]])</f>
        <v>188647-1940831</v>
      </c>
      <c r="H260" s="2" t="s">
        <v>657</v>
      </c>
      <c r="I260" s="2" t="s">
        <v>962</v>
      </c>
      <c r="J260" s="2"/>
      <c r="K260" s="2" t="s">
        <v>1003</v>
      </c>
      <c r="L260" s="2" t="s">
        <v>1867</v>
      </c>
      <c r="M260" s="44" t="s">
        <v>1891</v>
      </c>
      <c r="N260" s="2"/>
      <c r="O260" s="2"/>
      <c r="P260" s="2"/>
      <c r="Q260" s="557" t="str">
        <f>CONCATENATE(scheduleapr[[#This Row],[OD]],"-",scheduleapr[[#This Row],[ID]],"-",scheduleapr[[#This Row],[TICKNESS]],"-",scheduleapr[[#This Row],[Grade]],"-",scheduleapr[[#This Row],[FC/NFC]])</f>
        <v>40-30-1.6-ERW 1-FC</v>
      </c>
      <c r="R260" s="557" t="str">
        <f>_xlfn.CONCAT(scheduleapr[[#This Row],[Bucket]],"-",scheduleapr[[#This Row],[LENGTH]]/1000)</f>
        <v>40-30-1.6-ERW 1-FC-0.88</v>
      </c>
      <c r="S260" s="557">
        <f>COUNTIF(scheduleapr[CTL Bucket],scheduleapr[[#This Row],[CTL Bucket]])</f>
        <v>1</v>
      </c>
      <c r="T260" s="2" t="s">
        <v>1816</v>
      </c>
      <c r="U260" s="2">
        <f>_xlfn.IFNA(VLOOKUP(scheduleapr[[#This Row],[Bucket]],salesforecast[[#All],[Bucket2]:[8406 Stock]],19,0),0)</f>
        <v>0.95786300000000013</v>
      </c>
      <c r="V260" s="562">
        <f>_xlfn.IFNA(VLOOKUP(scheduleapr[[#This Row],[Bucket]],salesforecast[[#All],[Bucket2]:[8406 Stock]],20,0),0)+_xlfn.IFNA(VLOOKUP(scheduleapr[[#This Row],[Bucket]],salesforecast[[#All],[Bucket2]:[8406 Stock]],17,0),0)</f>
        <v>0</v>
      </c>
      <c r="W260" s="557"/>
      <c r="X260" s="1">
        <v>44.45</v>
      </c>
      <c r="Y260" s="1">
        <v>40</v>
      </c>
      <c r="Z260" s="1">
        <v>30</v>
      </c>
      <c r="AA260" s="1">
        <v>1.6</v>
      </c>
      <c r="AB260" s="24">
        <v>880</v>
      </c>
      <c r="AC260" s="24" t="s">
        <v>397</v>
      </c>
      <c r="AD260" s="24"/>
      <c r="AE260" s="24"/>
      <c r="AF260" s="2">
        <v>3000</v>
      </c>
      <c r="AG260" s="2"/>
      <c r="AH260" s="2" cm="1">
        <f t="array" ref="AH2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4320</v>
      </c>
      <c r="AI260" s="4">
        <f>scheduleapr[[#This Row],[SCHEDULE in nos]]-scheduleapr[[#This Row],[DISPATCH]]</f>
        <v>-1320</v>
      </c>
      <c r="AJ260" s="1">
        <f>(3.14*(scheduleapr[[#This Row],[ACTUAL OD]]-scheduleapr[[#This Row],[TICKNESS]])*scheduleapr[[#This Row],[TICKNESS]]*scheduleapr[[#This Row],[LENGTH]]*7.85)/1000000*scheduleapr[[#This Row],[SCHEDULE in nos]]/1000</f>
        <v>4.4614295616000001</v>
      </c>
      <c r="AK260" s="1">
        <f>(3.14*(scheduleapr[[#This Row],[ACTUAL OD]]-scheduleapr[[#This Row],[TICKNESS]])*scheduleapr[[#This Row],[TICKNESS]]*scheduleapr[[#This Row],[LENGTH]]*7.85)/1000000*scheduleapr[[#This Row],[DISPATCH]]/1000</f>
        <v>6.4244585687039999</v>
      </c>
      <c r="AL260" s="1">
        <f t="shared" ref="AL260:AL323" si="11">AJ260-AK260</f>
        <v>-1.9630290071039997</v>
      </c>
      <c r="AM260" s="1">
        <f>scheduleapr[[#This Row],[SCHEDULE in nos]]/scheduleapr[[#This Row],[SCHEDULE IN MT]]*scheduleapr[[#This Row],[CTL Stock]]</f>
        <v>66.011128481065199</v>
      </c>
      <c r="AN260" s="1">
        <f>SUMIFS(stock[MT],stock[Bucket],scheduleapr[[#This Row],[Bucket]],stock[CTL Bucket],scheduleapr[[#This Row],[CTL Bucket]],stock[Plant],"0789")</f>
        <v>9.8168000000000005E-2</v>
      </c>
      <c r="AO260" s="1"/>
      <c r="AP260" s="1">
        <f>SUMIFS(stock[MT],stock[Bucket],scheduleapr[[#This Row],[Bucket]],stock[LL or CTL],"LL")</f>
        <v>0.95786300000000002</v>
      </c>
      <c r="AQ260" s="1">
        <f>+SUMIFS(wip[Stock(Net Wt)],wip[Bucket],scheduleapr[[#This Row],[Bucket]])/1000</f>
        <v>0</v>
      </c>
      <c r="AR260" s="1">
        <f t="shared" si="10"/>
        <v>4.3632615615999999</v>
      </c>
      <c r="AS260" s="118"/>
    </row>
    <row r="261" spans="1:45" x14ac:dyDescent="0.25">
      <c r="A261" s="556"/>
      <c r="B261" s="5" t="s">
        <v>1816</v>
      </c>
      <c r="C261" s="2" t="s">
        <v>290</v>
      </c>
      <c r="D261" s="2" t="s">
        <v>290</v>
      </c>
      <c r="E261" s="2">
        <v>188647</v>
      </c>
      <c r="F261" s="557"/>
      <c r="G261" s="2" t="str">
        <f>_xlfn.CONCAT(scheduleapr[[#This Row],[CUSTOMER CODE]],"-",scheduleapr[[#This Row],[MATERIAL NO]])</f>
        <v>188647-</v>
      </c>
      <c r="H261" s="557"/>
      <c r="I261" s="2" t="s">
        <v>962</v>
      </c>
      <c r="J261" s="557"/>
      <c r="K261" s="2" t="s">
        <v>1003</v>
      </c>
      <c r="L261" s="557"/>
      <c r="M261" s="558"/>
      <c r="N261" s="557"/>
      <c r="O261" s="557"/>
      <c r="P261" s="557"/>
      <c r="Q261" s="557" t="str">
        <f>CONCATENATE(scheduleapr[[#This Row],[OD]],"-",scheduleapr[[#This Row],[ID]],"-",scheduleapr[[#This Row],[TICKNESS]],"-",scheduleapr[[#This Row],[Grade]],"-",scheduleapr[[#This Row],[FC/NFC]])</f>
        <v>40-30-2-ERW 1-FC</v>
      </c>
      <c r="R261" s="557" t="str">
        <f>_xlfn.CONCAT(scheduleapr[[#This Row],[Bucket]],"-",scheduleapr[[#This Row],[LENGTH]]/1000)</f>
        <v>40-30-2-ERW 1-FC-0.88</v>
      </c>
      <c r="S261" s="557"/>
      <c r="T261" s="2"/>
      <c r="U261" s="2">
        <f>_xlfn.IFNA(VLOOKUP(scheduleapr[[#This Row],[Bucket]],salesforecast[[#All],[Bucket2]:[8406 Stock]],19,0),0)</f>
        <v>0</v>
      </c>
      <c r="V261" s="562">
        <f>_xlfn.IFNA(VLOOKUP(scheduleapr[[#This Row],[Bucket]],salesforecast[[#All],[Bucket2]:[8406 Stock]],20,0),0)+_xlfn.IFNA(VLOOKUP(scheduleapr[[#This Row],[Bucket]],salesforecast[[#All],[Bucket2]:[8406 Stock]],17,0),0)</f>
        <v>0</v>
      </c>
      <c r="W261" s="2"/>
      <c r="X261" s="559">
        <v>44.45</v>
      </c>
      <c r="Y261" s="559">
        <v>40</v>
      </c>
      <c r="Z261" s="559">
        <v>30</v>
      </c>
      <c r="AA261" s="1">
        <v>2</v>
      </c>
      <c r="AB261" s="24">
        <v>880</v>
      </c>
      <c r="AC261" s="24" t="s">
        <v>397</v>
      </c>
      <c r="AD261" s="24"/>
      <c r="AE261" s="24"/>
      <c r="AF261" s="557"/>
      <c r="AG261" s="557"/>
      <c r="AH261" s="2" cm="1">
        <f t="array" ref="AH2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2832</v>
      </c>
      <c r="AI261" s="4">
        <f>scheduleapr[[#This Row],[SCHEDULE in nos]]-scheduleapr[[#This Row],[DISPATCH]]</f>
        <v>-2832</v>
      </c>
      <c r="AJ261" s="559">
        <f>(3.14*(scheduleapr[[#This Row],[ACTUAL OD]]-scheduleapr[[#This Row],[TICKNESS]])*scheduleapr[[#This Row],[TICKNESS]]*scheduleapr[[#This Row],[LENGTH]]*7.85)/1000000*scheduleapr[[#This Row],[SCHEDULE in nos]]/1000</f>
        <v>0</v>
      </c>
      <c r="AK261" s="1">
        <f>(3.14*(scheduleapr[[#This Row],[ACTUAL OD]]-scheduleapr[[#This Row],[TICKNESS]])*scheduleapr[[#This Row],[TICKNESS]]*scheduleapr[[#This Row],[LENGTH]]*7.85)/1000000*scheduleapr[[#This Row],[DISPATCH]]/1000</f>
        <v>5.2153434812160002</v>
      </c>
      <c r="AL261" s="1">
        <f t="shared" si="11"/>
        <v>-5.2153434812160002</v>
      </c>
      <c r="AM261" s="559" t="e">
        <f>scheduleapr[[#This Row],[SCHEDULE in nos]]/scheduleapr[[#This Row],[SCHEDULE IN MT]]*scheduleapr[[#This Row],[CTL Stock]]</f>
        <v>#DIV/0!</v>
      </c>
      <c r="AN261" s="1">
        <f>SUMIFS(stock[MT],stock[Bucket],scheduleapr[[#This Row],[Bucket]],stock[CTL Bucket],scheduleapr[[#This Row],[CTL Bucket]],stock[Plant],"0789")</f>
        <v>7.6065560000000003</v>
      </c>
      <c r="AO261" s="1"/>
      <c r="AP261" s="1">
        <f>SUMIFS(stock[MT],stock[Bucket],scheduleapr[[#This Row],[Bucket]],stock[LL or CTL],"LL")</f>
        <v>0</v>
      </c>
      <c r="AQ261" s="1">
        <f>+SUMIFS(wip[Stock(Net Wt)],wip[Bucket],scheduleapr[[#This Row],[Bucket]])/1000</f>
        <v>26.635999999999999</v>
      </c>
      <c r="AR261" s="1">
        <f t="shared" si="10"/>
        <v>-7.6065560000000003</v>
      </c>
      <c r="AS261" s="118"/>
    </row>
    <row r="262" spans="1:45" x14ac:dyDescent="0.25">
      <c r="A262" s="30">
        <v>199</v>
      </c>
      <c r="B262" s="5" t="s">
        <v>1816</v>
      </c>
      <c r="C262" s="2" t="s">
        <v>290</v>
      </c>
      <c r="D262" s="2" t="s">
        <v>290</v>
      </c>
      <c r="E262" s="2">
        <v>188647</v>
      </c>
      <c r="F262" s="2">
        <v>2325421</v>
      </c>
      <c r="G262" s="2" t="str">
        <f>_xlfn.CONCAT(scheduleapr[[#This Row],[CUSTOMER CODE]],"-",scheduleapr[[#This Row],[MATERIAL NO]])</f>
        <v>188647-2325421</v>
      </c>
      <c r="H262" s="2" t="s">
        <v>795</v>
      </c>
      <c r="I262" s="2" t="s">
        <v>962</v>
      </c>
      <c r="J262" s="2"/>
      <c r="K262" s="2" t="s">
        <v>1003</v>
      </c>
      <c r="L262" s="2" t="s">
        <v>1867</v>
      </c>
      <c r="M262" s="2"/>
      <c r="N262" s="2"/>
      <c r="O262" s="2"/>
      <c r="P262" s="2"/>
      <c r="Q262" s="557" t="str">
        <f>CONCATENATE(scheduleapr[[#This Row],[OD]],"-",scheduleapr[[#This Row],[ID]],"-",scheduleapr[[#This Row],[TICKNESS]],"-",scheduleapr[[#This Row],[Grade]],"-",scheduleapr[[#This Row],[FC/NFC]])</f>
        <v>48.6-0-1.2-ERW 1-FC</v>
      </c>
      <c r="R262" s="557" t="str">
        <f>_xlfn.CONCAT(scheduleapr[[#This Row],[Bucket]],"-",scheduleapr[[#This Row],[LENGTH]]/1000)</f>
        <v>48.6-0-1.2-ERW 1-FC-0.336</v>
      </c>
      <c r="S262" s="557" t="e" vm="2">
        <f>COUNTIF([2]!buckets[CTL Bucket],[2]!scheduleapr[[#This Row],[CTL Bucket]])</f>
        <v>#REF!</v>
      </c>
      <c r="T262" s="2" t="s">
        <v>1816</v>
      </c>
      <c r="U262" s="2">
        <f>_xlfn.IFNA(VLOOKUP(scheduleapr[[#This Row],[Bucket]],salesforecast[[#All],[Bucket2]:[8406 Stock]],19,0),0)</f>
        <v>3.9467829999999999</v>
      </c>
      <c r="V262" s="562">
        <f>_xlfn.IFNA(VLOOKUP(scheduleapr[[#This Row],[Bucket]],salesforecast[[#All],[Bucket2]:[8406 Stock]],20,0),0)+_xlfn.IFNA(VLOOKUP(scheduleapr[[#This Row],[Bucket]],salesforecast[[#All],[Bucket2]:[8406 Stock]],17,0),0)</f>
        <v>0</v>
      </c>
      <c r="W262" s="557"/>
      <c r="X262" s="1">
        <v>48.6</v>
      </c>
      <c r="Y262" s="1">
        <v>48.6</v>
      </c>
      <c r="Z262" s="1">
        <v>0</v>
      </c>
      <c r="AA262" s="1">
        <v>1.2</v>
      </c>
      <c r="AB262" s="24">
        <v>336</v>
      </c>
      <c r="AC262" s="24" t="s">
        <v>397</v>
      </c>
      <c r="AD262" s="24"/>
      <c r="AE262" s="24"/>
      <c r="AF262" s="2">
        <v>15000</v>
      </c>
      <c r="AG262" s="2"/>
      <c r="AH262" s="2" cm="1">
        <f t="array" ref="AH2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7218</v>
      </c>
      <c r="AI262" s="4">
        <f>scheduleapr[[#This Row],[SCHEDULE in nos]]-scheduleapr[[#This Row],[DISPATCH]]</f>
        <v>7782</v>
      </c>
      <c r="AJ262" s="1">
        <f>(3.14*(scheduleapr[[#This Row],[ACTUAL OD]]-scheduleapr[[#This Row],[TICKNESS]])*scheduleapr[[#This Row],[TICKNESS]]*scheduleapr[[#This Row],[LENGTH]]*7.85)/1000000*scheduleapr[[#This Row],[SCHEDULE in nos]]/1000</f>
        <v>7.0662570048000006</v>
      </c>
      <c r="AK262" s="1">
        <f>(3.14*(scheduleapr[[#This Row],[ACTUAL OD]]-scheduleapr[[#This Row],[TICKNESS]])*scheduleapr[[#This Row],[TICKNESS]]*scheduleapr[[#This Row],[LENGTH]]*7.85)/1000000*scheduleapr[[#This Row],[DISPATCH]]/1000</f>
        <v>3.4002828707097601</v>
      </c>
      <c r="AL262" s="1">
        <f t="shared" si="11"/>
        <v>3.6659741340902405</v>
      </c>
      <c r="AM262" s="1">
        <f>scheduleapr[[#This Row],[SCHEDULE in nos]]/scheduleapr[[#This Row],[SCHEDULE IN MT]]*scheduleapr[[#This Row],[CTL Stock]]</f>
        <v>5901.4383388083816</v>
      </c>
      <c r="AN262" s="1">
        <f>SUMIFS(stock[MT],stock[Bucket],scheduleapr[[#This Row],[Bucket]],stock[CTL Bucket],scheduleapr[[#This Row],[CTL Bucket]],stock[Plant],"0789")</f>
        <v>2.7800720000000001</v>
      </c>
      <c r="AO262" s="1"/>
      <c r="AP262" s="1">
        <f>SUMIFS(stock[MT],stock[Bucket],scheduleapr[[#This Row],[Bucket]],stock[LL or CTL],"LL")</f>
        <v>3.9467830000000004</v>
      </c>
      <c r="AQ262" s="1">
        <f>+SUMIFS(wip[Stock(Net Wt)],wip[Bucket],scheduleapr[[#This Row],[Bucket]])/1000</f>
        <v>17.024000000000001</v>
      </c>
      <c r="AR262" s="1">
        <f t="shared" si="10"/>
        <v>4.2861850048000001</v>
      </c>
      <c r="AS262" s="118"/>
    </row>
    <row r="263" spans="1:45" x14ac:dyDescent="0.25">
      <c r="A263" s="556"/>
      <c r="B263" s="5" t="s">
        <v>1816</v>
      </c>
      <c r="C263" s="2" t="s">
        <v>290</v>
      </c>
      <c r="D263" s="2" t="s">
        <v>290</v>
      </c>
      <c r="E263" s="2">
        <v>188647</v>
      </c>
      <c r="F263" s="557"/>
      <c r="G263" s="2" t="str">
        <f>_xlfn.CONCAT(scheduleapr[[#This Row],[CUSTOMER CODE]],"-",scheduleapr[[#This Row],[MATERIAL NO]])</f>
        <v>188647-</v>
      </c>
      <c r="H263" s="557"/>
      <c r="I263" s="2" t="s">
        <v>962</v>
      </c>
      <c r="J263" s="557"/>
      <c r="K263" s="2" t="s">
        <v>1003</v>
      </c>
      <c r="L263" s="557"/>
      <c r="M263" s="558"/>
      <c r="N263" s="557"/>
      <c r="O263" s="557"/>
      <c r="P263" s="557"/>
      <c r="Q263" s="557" t="str">
        <f>CONCATENATE(scheduleapr[[#This Row],[OD]],"-",scheduleapr[[#This Row],[ID]],"-",scheduleapr[[#This Row],[TICKNESS]],"-",scheduleapr[[#This Row],[Grade]],"-",scheduleapr[[#This Row],[FC/NFC]])</f>
        <v>50-30-2.5-ERW 1-FC</v>
      </c>
      <c r="R263" s="557" t="str">
        <f>_xlfn.CONCAT(scheduleapr[[#This Row],[Bucket]],"-",scheduleapr[[#This Row],[LENGTH]]/1000)</f>
        <v>50-30-2.5-ERW 1-FC-0.765</v>
      </c>
      <c r="S263" s="557"/>
      <c r="T263" s="2"/>
      <c r="U263" s="2">
        <f>_xlfn.IFNA(VLOOKUP(scheduleapr[[#This Row],[Bucket]],salesforecast[[#All],[Bucket2]:[8406 Stock]],19,0),0)</f>
        <v>0</v>
      </c>
      <c r="V263" s="562">
        <f>_xlfn.IFNA(VLOOKUP(scheduleapr[[#This Row],[Bucket]],salesforecast[[#All],[Bucket2]:[8406 Stock]],20,0),0)+_xlfn.IFNA(VLOOKUP(scheduleapr[[#This Row],[Bucket]],salesforecast[[#All],[Bucket2]:[8406 Stock]],17,0),0)</f>
        <v>0</v>
      </c>
      <c r="W263" s="2"/>
      <c r="X263" s="559">
        <v>50.8</v>
      </c>
      <c r="Y263" s="559">
        <v>50</v>
      </c>
      <c r="Z263" s="559">
        <v>30</v>
      </c>
      <c r="AA263" s="1">
        <v>2.5</v>
      </c>
      <c r="AB263" s="24">
        <v>765</v>
      </c>
      <c r="AC263" s="24" t="s">
        <v>397</v>
      </c>
      <c r="AD263" s="24"/>
      <c r="AE263" s="24"/>
      <c r="AF263" s="557">
        <v>3000</v>
      </c>
      <c r="AG263" s="557"/>
      <c r="AH263" s="2" cm="1">
        <f t="array" ref="AH2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3" s="4">
        <f>scheduleapr[[#This Row],[SCHEDULE in nos]]-scheduleapr[[#This Row],[DISPATCH]]</f>
        <v>3000</v>
      </c>
      <c r="AJ263" s="559">
        <f>(3.14*(scheduleapr[[#This Row],[ACTUAL OD]]-scheduleapr[[#This Row],[TICKNESS]])*scheduleapr[[#This Row],[TICKNESS]]*scheduleapr[[#This Row],[LENGTH]]*7.85)/1000000*scheduleapr[[#This Row],[SCHEDULE in nos]]/1000</f>
        <v>6.8307616912500002</v>
      </c>
      <c r="AK263" s="1">
        <f>(3.14*(scheduleapr[[#This Row],[ACTUAL OD]]-scheduleapr[[#This Row],[TICKNESS]])*scheduleapr[[#This Row],[TICKNESS]]*scheduleapr[[#This Row],[LENGTH]]*7.85)/1000000*scheduleapr[[#This Row],[DISPATCH]]/1000</f>
        <v>0</v>
      </c>
      <c r="AL263" s="1">
        <f t="shared" si="11"/>
        <v>6.8307616912500002</v>
      </c>
      <c r="AM263" s="559">
        <f>scheduleapr[[#This Row],[SCHEDULE in nos]]/scheduleapr[[#This Row],[SCHEDULE IN MT]]*scheduleapr[[#This Row],[CTL Stock]]</f>
        <v>0</v>
      </c>
      <c r="AN263" s="1">
        <f>SUMIFS(stock[MT],stock[Bucket],scheduleapr[[#This Row],[Bucket]],stock[CTL Bucket],scheduleapr[[#This Row],[CTL Bucket]],stock[Plant],"0789")</f>
        <v>0</v>
      </c>
      <c r="AO263" s="1"/>
      <c r="AP263" s="1">
        <f>SUMIFS(stock[MT],stock[Bucket],scheduleapr[[#This Row],[Bucket]],stock[LL or CTL],"LL")</f>
        <v>0</v>
      </c>
      <c r="AQ263" s="1">
        <f>+SUMIFS(wip[Stock(Net Wt)],wip[Bucket],scheduleapr[[#This Row],[Bucket]])/1000</f>
        <v>0</v>
      </c>
      <c r="AR263" s="1">
        <f t="shared" si="10"/>
        <v>6.8307616912500002</v>
      </c>
      <c r="AS263" s="118"/>
    </row>
    <row r="264" spans="1:45" x14ac:dyDescent="0.25">
      <c r="A264" s="30">
        <v>200</v>
      </c>
      <c r="B264" s="5" t="s">
        <v>1816</v>
      </c>
      <c r="C264" s="2" t="s">
        <v>290</v>
      </c>
      <c r="D264" s="2" t="s">
        <v>290</v>
      </c>
      <c r="E264" s="2">
        <v>188647</v>
      </c>
      <c r="F264" s="2">
        <v>3768906</v>
      </c>
      <c r="G264" s="2" t="str">
        <f>_xlfn.CONCAT(scheduleapr[[#This Row],[CUSTOMER CODE]],"-",scheduleapr[[#This Row],[MATERIAL NO]])</f>
        <v>188647-3768906</v>
      </c>
      <c r="H264" s="2" t="s">
        <v>1957</v>
      </c>
      <c r="I264" s="2" t="s">
        <v>962</v>
      </c>
      <c r="J264" s="2"/>
      <c r="K264" s="2" t="s">
        <v>1003</v>
      </c>
      <c r="L264" s="2" t="s">
        <v>239</v>
      </c>
      <c r="M264" s="2"/>
      <c r="N264" s="2"/>
      <c r="O264" s="2" t="s">
        <v>1895</v>
      </c>
      <c r="P264" s="2"/>
      <c r="Q264" s="557" t="str">
        <f>CONCATENATE(scheduleapr[[#This Row],[OD]],"-",scheduleapr[[#This Row],[ID]],"-",scheduleapr[[#This Row],[TICKNESS]],"-",scheduleapr[[#This Row],[Grade]],"-",scheduleapr[[#This Row],[FC/NFC]])</f>
        <v>57.15-0-2.5-ERW 1-FC</v>
      </c>
      <c r="R264" s="557" t="str">
        <f>_xlfn.CONCAT(scheduleapr[[#This Row],[Bucket]],"-",scheduleapr[[#This Row],[LENGTH]]/1000)</f>
        <v>57.15-0-2.5-ERW 1-FC-0.346</v>
      </c>
      <c r="S264" s="557" t="e" vm="2">
        <f>COUNTIF([2]!buckets[CTL Bucket],[2]!scheduleapr[[#This Row],[CTL Bucket]])</f>
        <v>#REF!</v>
      </c>
      <c r="T264" s="557"/>
      <c r="U264" s="557"/>
      <c r="V264" s="557"/>
      <c r="W264" s="557"/>
      <c r="X264" s="1">
        <v>57.15</v>
      </c>
      <c r="Y264" s="1">
        <v>57.15</v>
      </c>
      <c r="Z264" s="1">
        <v>0</v>
      </c>
      <c r="AA264" s="1">
        <v>2.5</v>
      </c>
      <c r="AB264" s="24">
        <v>346</v>
      </c>
      <c r="AC264" s="24" t="s">
        <v>397</v>
      </c>
      <c r="AD264" s="24"/>
      <c r="AE264" s="24"/>
      <c r="AF264" s="2"/>
      <c r="AG264" s="2"/>
      <c r="AH264" s="2" cm="1">
        <f t="array" ref="AH2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4" s="4">
        <f>scheduleapr[[#This Row],[SCHEDULE in nos]]-scheduleapr[[#This Row],[DISPATCH]]</f>
        <v>0</v>
      </c>
      <c r="AJ264" s="1">
        <f>(3.14*(scheduleapr[[#This Row],[ACTUAL OD]]-scheduleapr[[#This Row],[TICKNESS]])*scheduleapr[[#This Row],[TICKNESS]]*scheduleapr[[#This Row],[LENGTH]]*7.85)/1000000*scheduleapr[[#This Row],[SCHEDULE in nos]]/1000</f>
        <v>0</v>
      </c>
      <c r="AK264" s="1">
        <f>(3.14*(scheduleapr[[#This Row],[ACTUAL OD]]-scheduleapr[[#This Row],[TICKNESS]])*scheduleapr[[#This Row],[TICKNESS]]*scheduleapr[[#This Row],[LENGTH]]*7.85)/1000000*scheduleapr[[#This Row],[DISPATCH]]/1000</f>
        <v>0</v>
      </c>
      <c r="AL264" s="1">
        <f t="shared" si="11"/>
        <v>0</v>
      </c>
      <c r="AM264" s="1" t="e">
        <f>scheduleapr[[#This Row],[SCHEDULE in nos]]/scheduleapr[[#This Row],[SCHEDULE IN MT]]*scheduleapr[[#This Row],[CTL Stock]]</f>
        <v>#DIV/0!</v>
      </c>
      <c r="AN264" s="1">
        <f>SUMIFS(stock[MT],stock[Bucket],scheduleapr[[#This Row],[Bucket]],stock[CTL Bucket],scheduleapr[[#This Row],[CTL Bucket]],stock[Plant],"0789")</f>
        <v>0</v>
      </c>
      <c r="AO264" s="1"/>
      <c r="AP264" s="1">
        <f>SUMIFS(stock[MT],stock[Bucket],scheduleapr[[#This Row],[Bucket]],stock[LL or CTL],"LL")</f>
        <v>18.554921999999998</v>
      </c>
      <c r="AQ264" s="1">
        <f>+SUMIFS(wip[Stock(Net Wt)],wip[Bucket],scheduleapr[[#This Row],[Bucket]])/1000</f>
        <v>0</v>
      </c>
      <c r="AR264" s="1">
        <f t="shared" si="10"/>
        <v>0</v>
      </c>
      <c r="AS264" s="118"/>
    </row>
    <row r="265" spans="1:45" x14ac:dyDescent="0.25">
      <c r="A265" s="30">
        <v>201</v>
      </c>
      <c r="B265" s="5" t="s">
        <v>1816</v>
      </c>
      <c r="C265" s="2" t="s">
        <v>290</v>
      </c>
      <c r="D265" s="48" t="s">
        <v>290</v>
      </c>
      <c r="E265" s="2">
        <v>188647</v>
      </c>
      <c r="F265" s="2">
        <v>2440972</v>
      </c>
      <c r="G265" s="2" t="str">
        <f>_xlfn.CONCAT(scheduleapr[[#This Row],[CUSTOMER CODE]],"-",scheduleapr[[#This Row],[MATERIAL NO]])</f>
        <v>188647-2440972</v>
      </c>
      <c r="H265" s="2" t="s">
        <v>1747</v>
      </c>
      <c r="I265" s="2" t="s">
        <v>962</v>
      </c>
      <c r="J265" s="2"/>
      <c r="K265" s="2" t="s">
        <v>1003</v>
      </c>
      <c r="L265" s="2" t="s">
        <v>239</v>
      </c>
      <c r="M265" s="2"/>
      <c r="N265" s="2"/>
      <c r="O265" s="2"/>
      <c r="P265" s="2"/>
      <c r="Q265" s="563" t="str">
        <f>CONCATENATE(scheduleapr[[#This Row],[OD]],"-",scheduleapr[[#This Row],[ID]],"-",scheduleapr[[#This Row],[TICKNESS]],"-",scheduleapr[[#This Row],[Grade]],"-",scheduleapr[[#This Row],[FC/NFC]])</f>
        <v>57.15-0-2.5-ERW 1-FC</v>
      </c>
      <c r="R265" s="557" t="str">
        <f>_xlfn.CONCAT(scheduleapr[[#This Row],[Bucket]],"-",scheduleapr[[#This Row],[LENGTH]]/1000)</f>
        <v>57.15-0-2.5-ERW 1-FC-0.375</v>
      </c>
      <c r="S265" s="557" t="e" vm="2">
        <f>COUNTIF([2]!buckets[CTL Bucket],[2]!scheduleapr[[#This Row],[CTL Bucket]])</f>
        <v>#REF!</v>
      </c>
      <c r="T265" s="557"/>
      <c r="U265" s="557"/>
      <c r="V265" s="557"/>
      <c r="W265" s="557"/>
      <c r="X265" s="1">
        <v>57.15</v>
      </c>
      <c r="Y265" s="1">
        <v>57.15</v>
      </c>
      <c r="Z265" s="1">
        <v>0</v>
      </c>
      <c r="AA265" s="1">
        <v>2.5</v>
      </c>
      <c r="AB265" s="24">
        <v>375</v>
      </c>
      <c r="AC265" s="24"/>
      <c r="AD265" s="24"/>
      <c r="AE265" s="24"/>
      <c r="AF265" s="2"/>
      <c r="AG265" s="2"/>
      <c r="AH265" s="2" t="e" cm="1">
        <f t="array" ref="AH2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65" s="4" t="e">
        <f>scheduleapr[[#This Row],[SCHEDULE in nos]]-scheduleapr[[#This Row],[DISPATCH]]</f>
        <v>#N/A</v>
      </c>
      <c r="AJ265" s="1">
        <f>(3.14*(scheduleapr[[#This Row],[ACTUAL OD]]-scheduleapr[[#This Row],[TICKNESS]])*scheduleapr[[#This Row],[TICKNESS]]*scheduleapr[[#This Row],[LENGTH]]*7.85)/1000000*scheduleapr[[#This Row],[SCHEDULE in nos]]/1000</f>
        <v>0</v>
      </c>
      <c r="AK265" s="1" t="e">
        <f>(3.14*(scheduleapr[[#This Row],[ACTUAL OD]]-scheduleapr[[#This Row],[TICKNESS]])*scheduleapr[[#This Row],[TICKNESS]]*scheduleapr[[#This Row],[LENGTH]]*7.85)/1000000*scheduleapr[[#This Row],[DISPATCH]]/1000</f>
        <v>#N/A</v>
      </c>
      <c r="AL265" s="1" t="e">
        <f t="shared" si="11"/>
        <v>#N/A</v>
      </c>
      <c r="AM265" s="1" t="e">
        <f>scheduleapr[[#This Row],[SCHEDULE in nos]]/scheduleapr[[#This Row],[SCHEDULE IN MT]]*scheduleapr[[#This Row],[CTL Stock]]</f>
        <v>#DIV/0!</v>
      </c>
      <c r="AN265" s="1">
        <f>SUMIFS(stock[MT],stock[Bucket],scheduleapr[[#This Row],[Bucket]],stock[CTL Bucket],scheduleapr[[#This Row],[CTL Bucket]],stock[Plant],"0789")</f>
        <v>0</v>
      </c>
      <c r="AO265" s="1"/>
      <c r="AP265" s="1">
        <f>SUMIFS(stock[MT],stock[Bucket],scheduleapr[[#This Row],[Bucket]],stock[LL or CTL],"LL")</f>
        <v>18.554921999999998</v>
      </c>
      <c r="AQ265" s="1">
        <f>+SUMIFS(wip[Stock(Net Wt)],wip[Bucket],scheduleapr[[#This Row],[Bucket]])/1000</f>
        <v>0</v>
      </c>
      <c r="AR265" s="1">
        <f t="shared" si="10"/>
        <v>0</v>
      </c>
      <c r="AS265" s="118"/>
    </row>
    <row r="266" spans="1:45" x14ac:dyDescent="0.25">
      <c r="A266" s="30">
        <v>202</v>
      </c>
      <c r="B266" s="5" t="s">
        <v>1816</v>
      </c>
      <c r="C266" s="2" t="s">
        <v>290</v>
      </c>
      <c r="D266" s="2" t="s">
        <v>290</v>
      </c>
      <c r="E266" s="2">
        <v>188647</v>
      </c>
      <c r="F266" s="2">
        <v>3542857</v>
      </c>
      <c r="G266" s="2" t="str">
        <f>_xlfn.CONCAT(scheduleapr[[#This Row],[CUSTOMER CODE]],"-",scheduleapr[[#This Row],[MATERIAL NO]])</f>
        <v>188647-3542857</v>
      </c>
      <c r="H266" s="2" t="s">
        <v>1958</v>
      </c>
      <c r="I266" s="2" t="s">
        <v>962</v>
      </c>
      <c r="J266" s="2"/>
      <c r="K266" s="2"/>
      <c r="L266" s="2" t="s">
        <v>239</v>
      </c>
      <c r="M266" s="2"/>
      <c r="N266" s="2"/>
      <c r="O266" s="2"/>
      <c r="P266" s="2"/>
      <c r="Q266" s="563" t="str">
        <f>CONCATENATE(scheduleapr[[#This Row],[OD]],"-",scheduleapr[[#This Row],[ID]],"-",scheduleapr[[#This Row],[TICKNESS]],"-",scheduleapr[[#This Row],[Grade]],"-",scheduleapr[[#This Row],[FC/NFC]])</f>
        <v>57.15-0-2.5-ERW 1-</v>
      </c>
      <c r="R266" s="557" t="str">
        <f>_xlfn.CONCAT(scheduleapr[[#This Row],[Bucket]],"-",scheduleapr[[#This Row],[LENGTH]]/1000)</f>
        <v>57.15-0-2.5-ERW 1--0.812</v>
      </c>
      <c r="S266" s="557" t="e" vm="2">
        <f>COUNTIF([2]!buckets[CTL Bucket],[2]!scheduleapr[[#This Row],[CTL Bucket]])</f>
        <v>#REF!</v>
      </c>
      <c r="T266" s="557"/>
      <c r="U266" s="557"/>
      <c r="V266" s="557"/>
      <c r="W266" s="557"/>
      <c r="X266" s="1">
        <v>57.15</v>
      </c>
      <c r="Y266" s="1">
        <v>57.15</v>
      </c>
      <c r="Z266" s="1">
        <v>0</v>
      </c>
      <c r="AA266" s="1">
        <v>2.5</v>
      </c>
      <c r="AB266" s="24">
        <v>812</v>
      </c>
      <c r="AC266" s="24"/>
      <c r="AD266" s="24"/>
      <c r="AE266" s="24"/>
      <c r="AF266" s="2"/>
      <c r="AG266" s="2"/>
      <c r="AH266" s="2" t="e" cm="1">
        <f t="array" ref="AH2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66" s="4" t="e">
        <f>scheduleapr[[#This Row],[SCHEDULE in nos]]-scheduleapr[[#This Row],[DISPATCH]]</f>
        <v>#N/A</v>
      </c>
      <c r="AJ266" s="1">
        <f>(3.14*(scheduleapr[[#This Row],[ACTUAL OD]]-scheduleapr[[#This Row],[TICKNESS]])*scheduleapr[[#This Row],[TICKNESS]]*scheduleapr[[#This Row],[LENGTH]]*7.85)/1000000*scheduleapr[[#This Row],[SCHEDULE in nos]]/1000</f>
        <v>0</v>
      </c>
      <c r="AK266" s="1" t="e">
        <f>(3.14*(scheduleapr[[#This Row],[ACTUAL OD]]-scheduleapr[[#This Row],[TICKNESS]])*scheduleapr[[#This Row],[TICKNESS]]*scheduleapr[[#This Row],[LENGTH]]*7.85)/1000000*scheduleapr[[#This Row],[DISPATCH]]/1000</f>
        <v>#N/A</v>
      </c>
      <c r="AL266" s="1" t="e">
        <f t="shared" si="11"/>
        <v>#N/A</v>
      </c>
      <c r="AM266" s="1" t="e">
        <f>scheduleapr[[#This Row],[SCHEDULE in nos]]/scheduleapr[[#This Row],[SCHEDULE IN MT]]*scheduleapr[[#This Row],[CTL Stock]]</f>
        <v>#DIV/0!</v>
      </c>
      <c r="AN266" s="1">
        <f>SUMIFS(stock[MT],stock[Bucket],scheduleapr[[#This Row],[Bucket]],stock[CTL Bucket],scheduleapr[[#This Row],[CTL Bucket]],stock[Plant],"0789")</f>
        <v>0</v>
      </c>
      <c r="AO266" s="1"/>
      <c r="AP266" s="1">
        <f>SUMIFS(stock[MT],stock[Bucket],scheduleapr[[#This Row],[Bucket]],stock[LL or CTL],"LL")</f>
        <v>0</v>
      </c>
      <c r="AQ266" s="1">
        <f>+SUMIFS(wip[Stock(Net Wt)],wip[Bucket],scheduleapr[[#This Row],[Bucket]])/1000</f>
        <v>0</v>
      </c>
      <c r="AR266" s="1">
        <f t="shared" si="10"/>
        <v>0</v>
      </c>
      <c r="AS266" s="118"/>
    </row>
    <row r="267" spans="1:45" x14ac:dyDescent="0.25">
      <c r="A267" s="30">
        <v>203</v>
      </c>
      <c r="B267" s="5" t="s">
        <v>1872</v>
      </c>
      <c r="C267" s="2" t="s">
        <v>290</v>
      </c>
      <c r="D267" s="2" t="s">
        <v>290</v>
      </c>
      <c r="E267" s="2">
        <v>188647</v>
      </c>
      <c r="F267" s="2">
        <v>3768903</v>
      </c>
      <c r="G267" s="2" t="str">
        <f>_xlfn.CONCAT(scheduleapr[[#This Row],[CUSTOMER CODE]],"-",scheduleapr[[#This Row],[MATERIAL NO]])</f>
        <v>188647-3768903</v>
      </c>
      <c r="H267" s="2" t="s">
        <v>1759</v>
      </c>
      <c r="I267" s="2" t="s">
        <v>962</v>
      </c>
      <c r="J267" s="2"/>
      <c r="K267" s="2" t="s">
        <v>1003</v>
      </c>
      <c r="L267" s="2" t="s">
        <v>239</v>
      </c>
      <c r="M267" s="2"/>
      <c r="N267" s="2"/>
      <c r="O267" s="2" t="s">
        <v>1895</v>
      </c>
      <c r="P267" s="2"/>
      <c r="Q267" s="557" t="str">
        <f>CONCATENATE(scheduleapr[[#This Row],[OD]],"-",scheduleapr[[#This Row],[ID]],"-",scheduleapr[[#This Row],[TICKNESS]],"-",scheduleapr[[#This Row],[Grade]],"-",scheduleapr[[#This Row],[FC/NFC]])</f>
        <v>60.3-0-2-ERW 1-FC</v>
      </c>
      <c r="R267" s="557" t="str">
        <f>_xlfn.CONCAT(scheduleapr[[#This Row],[Bucket]],"-",scheduleapr[[#This Row],[LENGTH]]/1000)</f>
        <v>60.3-0-2-ERW 1-FC-0.525</v>
      </c>
      <c r="S267" s="557" t="e" vm="2">
        <f>COUNTIF([2]!buckets[CTL Bucket],[2]!scheduleapr[[#This Row],[CTL Bucket]])</f>
        <v>#REF!</v>
      </c>
      <c r="T267" s="2" t="s">
        <v>1817</v>
      </c>
      <c r="U267" s="2">
        <f>_xlfn.IFNA(VLOOKUP(scheduleapr[[#This Row],[Bucket]],salesforecast[[#All],[Bucket2]:[8406 Stock]],19,0),0)</f>
        <v>8.9056999999999997E-2</v>
      </c>
      <c r="V267" s="562">
        <f>_xlfn.IFNA(VLOOKUP(scheduleapr[[#This Row],[Bucket]],salesforecast[[#All],[Bucket2]:[8406 Stock]],20,0),0)+_xlfn.IFNA(VLOOKUP(scheduleapr[[#This Row],[Bucket]],salesforecast[[#All],[Bucket2]:[8406 Stock]],17,0),0)</f>
        <v>15.964999999999998</v>
      </c>
      <c r="W267" s="557"/>
      <c r="X267" s="1">
        <v>60.3</v>
      </c>
      <c r="Y267" s="1">
        <v>60.3</v>
      </c>
      <c r="Z267" s="1">
        <v>0</v>
      </c>
      <c r="AA267" s="112">
        <v>2</v>
      </c>
      <c r="AB267" s="24">
        <v>525</v>
      </c>
      <c r="AC267" s="22" t="s">
        <v>397</v>
      </c>
      <c r="AD267" s="22"/>
      <c r="AE267" s="22"/>
      <c r="AF267" s="2">
        <v>5000</v>
      </c>
      <c r="AG267" s="2"/>
      <c r="AH267" s="2" cm="1">
        <f t="array" ref="AH2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7" s="4">
        <f>scheduleapr[[#This Row],[SCHEDULE in nos]]-scheduleapr[[#This Row],[DISPATCH]]</f>
        <v>5000</v>
      </c>
      <c r="AJ267" s="1">
        <f>(3.14*(scheduleapr[[#This Row],[ACTUAL OD]]-scheduleapr[[#This Row],[TICKNESS]])*scheduleapr[[#This Row],[TICKNESS]]*scheduleapr[[#This Row],[LENGTH]]*7.85)/1000000*scheduleapr[[#This Row],[SCHEDULE in nos]]/1000</f>
        <v>7.5444426749999991</v>
      </c>
      <c r="AK267" s="1">
        <f>(3.14*(scheduleapr[[#This Row],[ACTUAL OD]]-scheduleapr[[#This Row],[TICKNESS]])*scheduleapr[[#This Row],[TICKNESS]]*scheduleapr[[#This Row],[LENGTH]]*7.85)/1000000*scheduleapr[[#This Row],[DISPATCH]]/1000</f>
        <v>0</v>
      </c>
      <c r="AL267" s="1">
        <f t="shared" si="11"/>
        <v>7.5444426749999991</v>
      </c>
      <c r="AM267" s="1">
        <f>scheduleapr[[#This Row],[SCHEDULE in nos]]/scheduleapr[[#This Row],[SCHEDULE IN MT]]*scheduleapr[[#This Row],[CTL Stock]]</f>
        <v>0</v>
      </c>
      <c r="AN267" s="1">
        <f>SUMIFS(stock[MT],stock[Bucket],scheduleapr[[#This Row],[Bucket]],stock[CTL Bucket],scheduleapr[[#This Row],[CTL Bucket]],stock[Plant],"0789")</f>
        <v>0</v>
      </c>
      <c r="AO267" s="1"/>
      <c r="AP267" s="1">
        <f>SUMIFS(stock[MT],stock[Bucket],scheduleapr[[#This Row],[Bucket]],stock[LL or CTL],"LL")</f>
        <v>28.386056999999997</v>
      </c>
      <c r="AQ267" s="1">
        <f>+SUMIFS(wip[Stock(Net Wt)],wip[Bucket],scheduleapr[[#This Row],[Bucket]])/1000</f>
        <v>0</v>
      </c>
      <c r="AR267" s="1">
        <f t="shared" si="10"/>
        <v>7.5444426749999991</v>
      </c>
      <c r="AS267" s="118"/>
    </row>
    <row r="268" spans="1:45" x14ac:dyDescent="0.25">
      <c r="A268" s="30">
        <v>184</v>
      </c>
      <c r="B268" s="5" t="s">
        <v>1816</v>
      </c>
      <c r="C268" s="2" t="s">
        <v>290</v>
      </c>
      <c r="D268" s="2" t="s">
        <v>290</v>
      </c>
      <c r="E268" s="2">
        <v>188647</v>
      </c>
      <c r="F268" s="2">
        <v>3768904</v>
      </c>
      <c r="G268" s="2" t="str">
        <f>_xlfn.CONCAT(scheduleapr[[#This Row],[CUSTOMER CODE]],"-",scheduleapr[[#This Row],[MATERIAL NO]])</f>
        <v>188647-3768904</v>
      </c>
      <c r="H268" s="2" t="s">
        <v>1644</v>
      </c>
      <c r="I268" s="2" t="s">
        <v>985</v>
      </c>
      <c r="J268" s="2"/>
      <c r="K268" s="2" t="s">
        <v>1003</v>
      </c>
      <c r="L268" s="2" t="s">
        <v>1867</v>
      </c>
      <c r="M268" s="44" t="s">
        <v>1924</v>
      </c>
      <c r="N268" s="2"/>
      <c r="O268" s="2"/>
      <c r="P268" s="2"/>
      <c r="Q268" s="557" t="str">
        <f>CONCATENATE(scheduleapr[[#This Row],[OD]],"-",scheduleapr[[#This Row],[ID]],"-",scheduleapr[[#This Row],[TICKNESS]],"-",scheduleapr[[#This Row],[Grade]],"-",scheduleapr[[#This Row],[FC/NFC]])</f>
        <v>38.1-0-1.6-ERW 2 MAHS-FC</v>
      </c>
      <c r="R268" s="557" t="str">
        <f>_xlfn.CONCAT(scheduleapr[[#This Row],[Bucket]],"-",scheduleapr[[#This Row],[LENGTH]]/1000)</f>
        <v>38.1-0-1.6-ERW 2 MAHS-FC-0.878</v>
      </c>
      <c r="S268" s="557" t="e" vm="2">
        <f>COUNTIF([2]!buckets[CTL Bucket],[2]!scheduleapr[[#This Row],[CTL Bucket]])</f>
        <v>#REF!</v>
      </c>
      <c r="T268" s="2" t="s">
        <v>1928</v>
      </c>
      <c r="U268" s="2"/>
      <c r="V268" s="557"/>
      <c r="W268" s="557"/>
      <c r="X268" s="1">
        <v>38.1</v>
      </c>
      <c r="Y268" s="1">
        <v>38.1</v>
      </c>
      <c r="Z268" s="1">
        <v>0</v>
      </c>
      <c r="AA268" s="1">
        <v>1.6</v>
      </c>
      <c r="AB268" s="24">
        <v>878</v>
      </c>
      <c r="AC268" s="24" t="s">
        <v>397</v>
      </c>
      <c r="AD268" s="24"/>
      <c r="AE268" s="24"/>
      <c r="AF268" s="2"/>
      <c r="AG268" s="2"/>
      <c r="AH268" s="2" cm="1">
        <f t="array" ref="AH2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8" s="4">
        <f>scheduleapr[[#This Row],[SCHEDULE in nos]]-scheduleapr[[#This Row],[DISPATCH]]</f>
        <v>0</v>
      </c>
      <c r="AJ268" s="1">
        <f>(3.14*(scheduleapr[[#This Row],[ACTUAL OD]]-scheduleapr[[#This Row],[TICKNESS]])*scheduleapr[[#This Row],[TICKNESS]]*scheduleapr[[#This Row],[LENGTH]]*7.85)/1000000*scheduleapr[[#This Row],[SCHEDULE in nos]]/1000</f>
        <v>0</v>
      </c>
      <c r="AK268" s="1">
        <f>(3.14*(scheduleapr[[#This Row],[ACTUAL OD]]-scheduleapr[[#This Row],[TICKNESS]])*scheduleapr[[#This Row],[TICKNESS]]*scheduleapr[[#This Row],[LENGTH]]*7.85)/1000000*scheduleapr[[#This Row],[DISPATCH]]/1000</f>
        <v>0</v>
      </c>
      <c r="AL268" s="1">
        <f t="shared" si="11"/>
        <v>0</v>
      </c>
      <c r="AM268" s="1" t="e">
        <f>scheduleapr[[#This Row],[SCHEDULE in nos]]/scheduleapr[[#This Row],[SCHEDULE IN MT]]*scheduleapr[[#This Row],[CTL Stock]]</f>
        <v>#DIV/0!</v>
      </c>
      <c r="AN268" s="1">
        <f>SUMIFS(stock[MT],stock[Bucket],scheduleapr[[#This Row],[Bucket]],stock[CTL Bucket],scheduleapr[[#This Row],[CTL Bucket]],stock[Plant],"0789")</f>
        <v>0</v>
      </c>
      <c r="AO268" s="1"/>
      <c r="AP268" s="1">
        <f>SUMIFS(stock[MT],stock[Bucket],scheduleapr[[#This Row],[Bucket]],stock[LL or CTL],"LL")</f>
        <v>0.37121100000000001</v>
      </c>
      <c r="AQ268" s="1">
        <f>+SUMIFS(wip[Stock(Net Wt)],wip[Bucket],scheduleapr[[#This Row],[Bucket]])/1000</f>
        <v>3.1419999999999999</v>
      </c>
      <c r="AR268" s="1">
        <f t="shared" si="10"/>
        <v>0</v>
      </c>
      <c r="AS268" s="118"/>
    </row>
    <row r="269" spans="1:45" x14ac:dyDescent="0.25">
      <c r="A269" s="30">
        <v>185</v>
      </c>
      <c r="B269" s="5" t="s">
        <v>1816</v>
      </c>
      <c r="C269" s="2" t="s">
        <v>290</v>
      </c>
      <c r="D269" s="2" t="s">
        <v>290</v>
      </c>
      <c r="E269" s="2">
        <v>188647</v>
      </c>
      <c r="F269" s="2">
        <v>3191747</v>
      </c>
      <c r="G269" s="2" t="str">
        <f>_xlfn.CONCAT(scheduleapr[[#This Row],[CUSTOMER CODE]],"-",scheduleapr[[#This Row],[MATERIAL NO]])</f>
        <v>188647-3191747</v>
      </c>
      <c r="H269" s="2" t="s">
        <v>1959</v>
      </c>
      <c r="I269" s="2" t="s">
        <v>985</v>
      </c>
      <c r="J269" s="2"/>
      <c r="K269" s="2" t="s">
        <v>1003</v>
      </c>
      <c r="L269" s="2" t="s">
        <v>239</v>
      </c>
      <c r="M269" s="44" t="s">
        <v>1924</v>
      </c>
      <c r="N269" s="2"/>
      <c r="O269" s="2"/>
      <c r="P269" s="2"/>
      <c r="Q269" s="557" t="str">
        <f>CONCATENATE(scheduleapr[[#This Row],[OD]],"-",scheduleapr[[#This Row],[ID]],"-",scheduleapr[[#This Row],[TICKNESS]],"-",scheduleapr[[#This Row],[Grade]],"-",scheduleapr[[#This Row],[FC/NFC]])</f>
        <v>38.1-0-1.6-ERW 2 MAHS-FC</v>
      </c>
      <c r="R269" s="557" t="str">
        <f>_xlfn.CONCAT(scheduleapr[[#This Row],[Bucket]],"-",scheduleapr[[#This Row],[LENGTH]]/1000)</f>
        <v>38.1-0-1.6-ERW 2 MAHS-FC-0.93</v>
      </c>
      <c r="S269" s="557" t="e" vm="2">
        <f>COUNTIF([2]!buckets[CTL Bucket],[2]!scheduleapr[[#This Row],[CTL Bucket]])</f>
        <v>#REF!</v>
      </c>
      <c r="T269" s="2" t="s">
        <v>1928</v>
      </c>
      <c r="U269" s="557"/>
      <c r="V269" s="557"/>
      <c r="W269" s="557"/>
      <c r="X269" s="1">
        <v>38.1</v>
      </c>
      <c r="Y269" s="1">
        <v>38.1</v>
      </c>
      <c r="Z269" s="1">
        <v>0</v>
      </c>
      <c r="AA269" s="1">
        <v>1.6</v>
      </c>
      <c r="AB269" s="24">
        <v>930</v>
      </c>
      <c r="AC269" s="24"/>
      <c r="AD269" s="24"/>
      <c r="AE269" s="24"/>
      <c r="AF269" s="2"/>
      <c r="AG269" s="2"/>
      <c r="AH269" s="2" t="e" cm="1">
        <f t="array" ref="AH2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69" s="4" t="e">
        <f>scheduleapr[[#This Row],[SCHEDULE in nos]]-scheduleapr[[#This Row],[DISPATCH]]</f>
        <v>#N/A</v>
      </c>
      <c r="AJ269" s="1">
        <f>(3.14*(scheduleapr[[#This Row],[ACTUAL OD]]-scheduleapr[[#This Row],[TICKNESS]])*scheduleapr[[#This Row],[TICKNESS]]*scheduleapr[[#This Row],[LENGTH]]*7.85)/1000000*scheduleapr[[#This Row],[SCHEDULE in nos]]/1000</f>
        <v>0</v>
      </c>
      <c r="AK269" s="1" t="e">
        <f>(3.14*(scheduleapr[[#This Row],[ACTUAL OD]]-scheduleapr[[#This Row],[TICKNESS]])*scheduleapr[[#This Row],[TICKNESS]]*scheduleapr[[#This Row],[LENGTH]]*7.85)/1000000*scheduleapr[[#This Row],[DISPATCH]]/1000</f>
        <v>#N/A</v>
      </c>
      <c r="AL269" s="1" t="e">
        <f t="shared" si="11"/>
        <v>#N/A</v>
      </c>
      <c r="AM269" s="1" t="e">
        <f>scheduleapr[[#This Row],[SCHEDULE in nos]]/scheduleapr[[#This Row],[SCHEDULE IN MT]]*scheduleapr[[#This Row],[CTL Stock]]</f>
        <v>#DIV/0!</v>
      </c>
      <c r="AN269" s="1">
        <f>SUMIFS(stock[MT],stock[Bucket],scheduleapr[[#This Row],[Bucket]],stock[CTL Bucket],scheduleapr[[#This Row],[CTL Bucket]],stock[Plant],"0789")</f>
        <v>0</v>
      </c>
      <c r="AO269" s="1"/>
      <c r="AP269" s="1">
        <f>SUMIFS(stock[MT],stock[Bucket],scheduleapr[[#This Row],[Bucket]],stock[LL or CTL],"LL")</f>
        <v>0.37121100000000001</v>
      </c>
      <c r="AQ269" s="1">
        <f>+SUMIFS(wip[Stock(Net Wt)],wip[Bucket],scheduleapr[[#This Row],[Bucket]])/1000</f>
        <v>3.1419999999999999</v>
      </c>
      <c r="AR269" s="1">
        <f t="shared" si="10"/>
        <v>0</v>
      </c>
      <c r="AS269" s="118"/>
    </row>
    <row r="270" spans="1:45" x14ac:dyDescent="0.25">
      <c r="A270" s="556"/>
      <c r="B270" s="5" t="s">
        <v>1816</v>
      </c>
      <c r="C270" s="2" t="s">
        <v>290</v>
      </c>
      <c r="D270" s="2" t="s">
        <v>290</v>
      </c>
      <c r="E270" s="2">
        <v>188647</v>
      </c>
      <c r="F270" s="477">
        <v>3931304</v>
      </c>
      <c r="G270" s="2" t="str">
        <f>_xlfn.CONCAT(scheduleapr[[#This Row],[CUSTOMER CODE]],"-",scheduleapr[[#This Row],[MATERIAL NO]])</f>
        <v>188647-3931304</v>
      </c>
      <c r="H270" s="477" t="s">
        <v>1960</v>
      </c>
      <c r="I270" s="557" t="s">
        <v>985</v>
      </c>
      <c r="J270" s="557"/>
      <c r="K270" s="2" t="s">
        <v>1003</v>
      </c>
      <c r="L270" s="2" t="s">
        <v>1867</v>
      </c>
      <c r="M270" s="44" t="s">
        <v>1924</v>
      </c>
      <c r="N270" s="557"/>
      <c r="O270" s="557"/>
      <c r="P270" s="557"/>
      <c r="Q270" s="557" t="str">
        <f>CONCATENATE(scheduleapr[[#This Row],[OD]],"-",scheduleapr[[#This Row],[ID]],"-",scheduleapr[[#This Row],[TICKNESS]],"-",scheduleapr[[#This Row],[Grade]],"-",scheduleapr[[#This Row],[FC/NFC]])</f>
        <v>38.1-0-1.6-ERW 2 MAHS-FC</v>
      </c>
      <c r="R270" s="557" t="str">
        <f>_xlfn.CONCAT(scheduleapr[[#This Row],[Bucket]],"-",scheduleapr[[#This Row],[LENGTH]]/1000)</f>
        <v>38.1-0-1.6-ERW 2 MAHS-FC-1</v>
      </c>
      <c r="S270" s="557"/>
      <c r="T270" s="2" t="s">
        <v>1928</v>
      </c>
      <c r="U270" s="2">
        <f>_xlfn.IFNA(VLOOKUP(scheduleapr[[#This Row],[Bucket]],salesforecast[[#All],[Bucket2]:[8406 Stock]],19,0),0)</f>
        <v>0</v>
      </c>
      <c r="V270" s="562">
        <f>_xlfn.IFNA(VLOOKUP(scheduleapr[[#This Row],[Bucket]],salesforecast[[#All],[Bucket2]:[8406 Stock]],20,0),0)+_xlfn.IFNA(VLOOKUP(scheduleapr[[#This Row],[Bucket]],salesforecast[[#All],[Bucket2]:[8406 Stock]],17,0),0)</f>
        <v>0</v>
      </c>
      <c r="W270" s="2"/>
      <c r="X270" s="559">
        <v>38.1</v>
      </c>
      <c r="Y270" s="559">
        <v>38.1</v>
      </c>
      <c r="Z270" s="559">
        <v>0</v>
      </c>
      <c r="AA270" s="1">
        <v>1.6</v>
      </c>
      <c r="AB270" s="24">
        <v>1000</v>
      </c>
      <c r="AC270" s="24" t="s">
        <v>444</v>
      </c>
      <c r="AD270" s="24"/>
      <c r="AE270" s="24"/>
      <c r="AF270" s="557">
        <v>7000</v>
      </c>
      <c r="AG270" s="557"/>
      <c r="AH270" s="2" cm="1">
        <f t="array" ref="AH2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0" s="4">
        <f>scheduleapr[[#This Row],[SCHEDULE in nos]]-scheduleapr[[#This Row],[DISPATCH]]</f>
        <v>7000</v>
      </c>
      <c r="AJ270" s="559">
        <f>(3.14*(scheduleapr[[#This Row],[ACTUAL OD]]-scheduleapr[[#This Row],[TICKNESS]])*scheduleapr[[#This Row],[TICKNESS]]*scheduleapr[[#This Row],[LENGTH]]*7.85)/1000000*scheduleapr[[#This Row],[SCHEDULE in nos]]/1000</f>
        <v>10.076511199999999</v>
      </c>
      <c r="AK270" s="1">
        <f>(3.14*(scheduleapr[[#This Row],[ACTUAL OD]]-scheduleapr[[#This Row],[TICKNESS]])*scheduleapr[[#This Row],[TICKNESS]]*scheduleapr[[#This Row],[LENGTH]]*7.85)/1000000*scheduleapr[[#This Row],[DISPATCH]]/1000</f>
        <v>0</v>
      </c>
      <c r="AL270" s="1">
        <f t="shared" si="11"/>
        <v>10.076511199999999</v>
      </c>
      <c r="AM270" s="559">
        <f>scheduleapr[[#This Row],[SCHEDULE in nos]]/scheduleapr[[#This Row],[SCHEDULE IN MT]]*scheduleapr[[#This Row],[CTL Stock]]</f>
        <v>257.87466995521231</v>
      </c>
      <c r="AN270" s="1">
        <f>SUMIFS(stock[MT],stock[Bucket],scheduleapr[[#This Row],[Bucket]],stock[CTL Bucket],scheduleapr[[#This Row],[CTL Bucket]],stock[Plant],"0789")</f>
        <v>0.37121100000000001</v>
      </c>
      <c r="AO270" s="1"/>
      <c r="AP270" s="1">
        <f>SUMIFS(stock[MT],stock[Bucket],scheduleapr[[#This Row],[Bucket]],stock[LL or CTL],"LL")</f>
        <v>0.37121100000000001</v>
      </c>
      <c r="AQ270" s="1">
        <f>+SUMIFS(wip[Stock(Net Wt)],wip[Bucket],scheduleapr[[#This Row],[Bucket]])/1000</f>
        <v>3.1419999999999999</v>
      </c>
      <c r="AR270" s="1">
        <f t="shared" si="10"/>
        <v>9.7053001999999982</v>
      </c>
      <c r="AS270" s="118"/>
    </row>
    <row r="271" spans="1:45" x14ac:dyDescent="0.25">
      <c r="A271" s="30">
        <v>187</v>
      </c>
      <c r="B271" s="5" t="s">
        <v>1816</v>
      </c>
      <c r="C271" s="2" t="s">
        <v>290</v>
      </c>
      <c r="D271" s="2" t="s">
        <v>290</v>
      </c>
      <c r="E271" s="2">
        <v>188647</v>
      </c>
      <c r="F271" s="2">
        <v>3191748</v>
      </c>
      <c r="G271" s="2" t="str">
        <f>_xlfn.CONCAT(scheduleapr[[#This Row],[CUSTOMER CODE]],"-",scheduleapr[[#This Row],[MATERIAL NO]])</f>
        <v>188647-3191748</v>
      </c>
      <c r="H271" s="2" t="s">
        <v>1961</v>
      </c>
      <c r="I271" s="2" t="s">
        <v>985</v>
      </c>
      <c r="J271" s="2"/>
      <c r="K271" s="2"/>
      <c r="L271" s="2" t="s">
        <v>239</v>
      </c>
      <c r="M271" s="44" t="s">
        <v>1924</v>
      </c>
      <c r="N271" s="2"/>
      <c r="O271" s="2"/>
      <c r="P271" s="2"/>
      <c r="Q271" s="557" t="str">
        <f>CONCATENATE(scheduleapr[[#This Row],[OD]],"-",scheduleapr[[#This Row],[ID]],"-",scheduleapr[[#This Row],[TICKNESS]],"-",scheduleapr[[#This Row],[Grade]],"-",scheduleapr[[#This Row],[FC/NFC]])</f>
        <v>38.1-0-2-ERW 2 MAHS-</v>
      </c>
      <c r="R271" s="557" t="str">
        <f>_xlfn.CONCAT(scheduleapr[[#This Row],[Bucket]],"-",scheduleapr[[#This Row],[LENGTH]]/1000)</f>
        <v>38.1-0-2-ERW 2 MAHS--0.93</v>
      </c>
      <c r="S271" s="557" t="e" vm="2">
        <f>COUNTIF([2]!buckets[CTL Bucket],[2]!scheduleapr[[#This Row],[CTL Bucket]])</f>
        <v>#REF!</v>
      </c>
      <c r="T271" s="557"/>
      <c r="U271" s="557"/>
      <c r="V271" s="557"/>
      <c r="W271" s="557"/>
      <c r="X271" s="1">
        <v>38.1</v>
      </c>
      <c r="Y271" s="1">
        <v>38.1</v>
      </c>
      <c r="Z271" s="1">
        <v>0</v>
      </c>
      <c r="AA271" s="1">
        <v>2</v>
      </c>
      <c r="AB271" s="24">
        <v>930</v>
      </c>
      <c r="AC271" s="24"/>
      <c r="AD271" s="24"/>
      <c r="AE271" s="24"/>
      <c r="AF271" s="2"/>
      <c r="AG271" s="2"/>
      <c r="AH271" s="2" t="e" cm="1">
        <f t="array" ref="AH2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71" s="4" t="e">
        <f>scheduleapr[[#This Row],[SCHEDULE in nos]]-scheduleapr[[#This Row],[DISPATCH]]</f>
        <v>#N/A</v>
      </c>
      <c r="AJ271" s="1">
        <f>(3.14*(scheduleapr[[#This Row],[ACTUAL OD]]-scheduleapr[[#This Row],[TICKNESS]])*scheduleapr[[#This Row],[TICKNESS]]*scheduleapr[[#This Row],[LENGTH]]*7.85)/1000000*scheduleapr[[#This Row],[SCHEDULE in nos]]/1000</f>
        <v>0</v>
      </c>
      <c r="AK271" s="1" t="e">
        <f>(3.14*(scheduleapr[[#This Row],[ACTUAL OD]]-scheduleapr[[#This Row],[TICKNESS]])*scheduleapr[[#This Row],[TICKNESS]]*scheduleapr[[#This Row],[LENGTH]]*7.85)/1000000*scheduleapr[[#This Row],[DISPATCH]]/1000</f>
        <v>#N/A</v>
      </c>
      <c r="AL271" s="1" t="e">
        <f t="shared" si="11"/>
        <v>#N/A</v>
      </c>
      <c r="AM271" s="1" t="e">
        <f>scheduleapr[[#This Row],[SCHEDULE in nos]]/scheduleapr[[#This Row],[SCHEDULE IN MT]]*scheduleapr[[#This Row],[CTL Stock]]</f>
        <v>#DIV/0!</v>
      </c>
      <c r="AN271" s="1">
        <f>SUMIFS(stock[MT],stock[Bucket],scheduleapr[[#This Row],[Bucket]],stock[CTL Bucket],scheduleapr[[#This Row],[CTL Bucket]],stock[Plant],"0789")</f>
        <v>0</v>
      </c>
      <c r="AO271" s="1"/>
      <c r="AP271" s="1">
        <f>SUMIFS(stock[MT],stock[Bucket],scheduleapr[[#This Row],[Bucket]],stock[LL or CTL],"LL")</f>
        <v>0</v>
      </c>
      <c r="AQ271" s="1">
        <f>+SUMIFS(wip[Stock(Net Wt)],wip[Bucket],scheduleapr[[#This Row],[Bucket]])/1000</f>
        <v>0</v>
      </c>
      <c r="AR271" s="1">
        <f t="shared" si="10"/>
        <v>0</v>
      </c>
      <c r="AS271" s="118"/>
    </row>
    <row r="272" spans="1:45" x14ac:dyDescent="0.25">
      <c r="A272" s="30">
        <v>188</v>
      </c>
      <c r="B272" s="5" t="s">
        <v>1928</v>
      </c>
      <c r="C272" s="2" t="s">
        <v>290</v>
      </c>
      <c r="D272" s="2" t="s">
        <v>290</v>
      </c>
      <c r="E272" s="2">
        <v>188647</v>
      </c>
      <c r="F272" s="2">
        <v>3768904</v>
      </c>
      <c r="G272" s="2" t="str">
        <f>_xlfn.CONCAT(scheduleapr[[#This Row],[CUSTOMER CODE]],"-",scheduleapr[[#This Row],[MATERIAL NO]])</f>
        <v>188647-3768904</v>
      </c>
      <c r="H272" s="2" t="s">
        <v>1655</v>
      </c>
      <c r="I272" s="51" t="s">
        <v>985</v>
      </c>
      <c r="J272" s="2"/>
      <c r="K272" s="2" t="s">
        <v>1003</v>
      </c>
      <c r="L272" s="2" t="s">
        <v>239</v>
      </c>
      <c r="M272" s="44" t="s">
        <v>1924</v>
      </c>
      <c r="N272" s="2"/>
      <c r="O272" s="2"/>
      <c r="P272" s="2"/>
      <c r="Q272" s="557" t="str">
        <f>CONCATENATE(scheduleapr[[#This Row],[OD]],"-",scheduleapr[[#This Row],[ID]],"-",scheduleapr[[#This Row],[TICKNESS]],"-",scheduleapr[[#This Row],[Grade]],"-",scheduleapr[[#This Row],[FC/NFC]])</f>
        <v>38.1-0-2.5-ERW 2 MAHS-FC</v>
      </c>
      <c r="R272" s="557" t="str">
        <f>_xlfn.CONCAT(scheduleapr[[#This Row],[Bucket]],"-",scheduleapr[[#This Row],[LENGTH]]/1000)</f>
        <v>38.1-0-2.5-ERW 2 MAHS-FC-0.878</v>
      </c>
      <c r="S272" s="557" t="e" vm="2">
        <f>COUNTIF([2]!buckets[CTL Bucket],[2]!scheduleapr[[#This Row],[CTL Bucket]])</f>
        <v>#REF!</v>
      </c>
      <c r="T272" s="2" t="s">
        <v>1928</v>
      </c>
      <c r="U272" s="2"/>
      <c r="V272" s="557"/>
      <c r="W272" s="557"/>
      <c r="X272" s="1">
        <v>38.1</v>
      </c>
      <c r="Y272" s="1">
        <v>38.1</v>
      </c>
      <c r="Z272" s="1">
        <v>0</v>
      </c>
      <c r="AA272" s="1">
        <v>2.5</v>
      </c>
      <c r="AB272" s="24">
        <v>878</v>
      </c>
      <c r="AC272" s="24" t="s">
        <v>397</v>
      </c>
      <c r="AD272" s="24"/>
      <c r="AE272" s="24"/>
      <c r="AF272" s="2"/>
      <c r="AG272" s="2"/>
      <c r="AH272" s="2" cm="1">
        <f t="array" ref="AH2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2" s="4">
        <f>scheduleapr[[#This Row],[SCHEDULE in nos]]-scheduleapr[[#This Row],[DISPATCH]]</f>
        <v>0</v>
      </c>
      <c r="AJ272" s="1">
        <f>(3.14*(scheduleapr[[#This Row],[ACTUAL OD]]-scheduleapr[[#This Row],[TICKNESS]])*scheduleapr[[#This Row],[TICKNESS]]*scheduleapr[[#This Row],[LENGTH]]*7.85)/1000000*scheduleapr[[#This Row],[SCHEDULE in nos]]/1000</f>
        <v>0</v>
      </c>
      <c r="AK272" s="1">
        <f>(3.14*(scheduleapr[[#This Row],[ACTUAL OD]]-scheduleapr[[#This Row],[TICKNESS]])*scheduleapr[[#This Row],[TICKNESS]]*scheduleapr[[#This Row],[LENGTH]]*7.85)/1000000*scheduleapr[[#This Row],[DISPATCH]]/1000</f>
        <v>0</v>
      </c>
      <c r="AL272" s="1">
        <f t="shared" si="11"/>
        <v>0</v>
      </c>
      <c r="AM272" s="1" t="e">
        <f>scheduleapr[[#This Row],[SCHEDULE in nos]]/scheduleapr[[#This Row],[SCHEDULE IN MT]]*scheduleapr[[#This Row],[CTL Stock]]</f>
        <v>#DIV/0!</v>
      </c>
      <c r="AN272" s="1">
        <f>SUMIFS(stock[MT],stock[Bucket],scheduleapr[[#This Row],[Bucket]],stock[CTL Bucket],scheduleapr[[#This Row],[CTL Bucket]],stock[Plant],"0789")</f>
        <v>0</v>
      </c>
      <c r="AO272" s="1"/>
      <c r="AP272" s="1">
        <f>SUMIFS(stock[MT],stock[Bucket],scheduleapr[[#This Row],[Bucket]],stock[LL or CTL],"LL")</f>
        <v>0.57999999999999996</v>
      </c>
      <c r="AQ272" s="1">
        <f>+SUMIFS(wip[Stock(Net Wt)],wip[Bucket],scheduleapr[[#This Row],[Bucket]])/1000</f>
        <v>0</v>
      </c>
      <c r="AR272" s="1">
        <f t="shared" si="10"/>
        <v>0</v>
      </c>
      <c r="AS272" s="118"/>
    </row>
    <row r="273" spans="1:45" x14ac:dyDescent="0.25">
      <c r="A273" s="556"/>
      <c r="B273" s="5" t="s">
        <v>1816</v>
      </c>
      <c r="C273" s="2" t="s">
        <v>290</v>
      </c>
      <c r="D273" s="2" t="s">
        <v>290</v>
      </c>
      <c r="E273" s="2">
        <v>188647</v>
      </c>
      <c r="F273" s="557"/>
      <c r="G273" s="2" t="str">
        <f>_xlfn.CONCAT(scheduleapr[[#This Row],[CUSTOMER CODE]],"-",scheduleapr[[#This Row],[MATERIAL NO]])</f>
        <v>188647-</v>
      </c>
      <c r="H273" s="477" t="s">
        <v>1962</v>
      </c>
      <c r="I273" s="557" t="s">
        <v>985</v>
      </c>
      <c r="J273" s="557"/>
      <c r="K273" s="2" t="s">
        <v>1003</v>
      </c>
      <c r="L273" s="2" t="s">
        <v>239</v>
      </c>
      <c r="M273" s="44" t="s">
        <v>1924</v>
      </c>
      <c r="N273" s="557"/>
      <c r="O273" s="557"/>
      <c r="P273" s="557"/>
      <c r="Q273" s="557" t="str">
        <f>CONCATENATE(scheduleapr[[#This Row],[OD]],"-",scheduleapr[[#This Row],[ID]],"-",scheduleapr[[#This Row],[TICKNESS]],"-",scheduleapr[[#This Row],[Grade]],"-",scheduleapr[[#This Row],[FC/NFC]])</f>
        <v>38.1-0-2.5-ERW 2 MAHS-FC</v>
      </c>
      <c r="R273" s="557" t="str">
        <f>_xlfn.CONCAT(scheduleapr[[#This Row],[Bucket]],"-",scheduleapr[[#This Row],[LENGTH]]/1000)</f>
        <v>38.1-0-2.5-ERW 2 MAHS-FC-1</v>
      </c>
      <c r="S273" s="557"/>
      <c r="T273" s="2" t="s">
        <v>1928</v>
      </c>
      <c r="U273" s="2">
        <f>_xlfn.IFNA(VLOOKUP(scheduleapr[[#This Row],[Bucket]],salesforecast[[#All],[Bucket2]:[8406 Stock]],19,0),0)</f>
        <v>0.57999999999999996</v>
      </c>
      <c r="V273" s="562">
        <f>_xlfn.IFNA(VLOOKUP(scheduleapr[[#This Row],[Bucket]],salesforecast[[#All],[Bucket2]:[8406 Stock]],20,0),0)+_xlfn.IFNA(VLOOKUP(scheduleapr[[#This Row],[Bucket]],salesforecast[[#All],[Bucket2]:[8406 Stock]],17,0),0)</f>
        <v>0</v>
      </c>
      <c r="W273" s="2"/>
      <c r="X273" s="559">
        <v>38.1</v>
      </c>
      <c r="Y273" s="559">
        <v>38.1</v>
      </c>
      <c r="Z273" s="559">
        <v>0</v>
      </c>
      <c r="AA273" s="1">
        <v>2.5</v>
      </c>
      <c r="AB273" s="24">
        <v>1000</v>
      </c>
      <c r="AC273" s="24" t="s">
        <v>444</v>
      </c>
      <c r="AD273" s="24"/>
      <c r="AE273" s="24"/>
      <c r="AF273" s="557">
        <v>7000</v>
      </c>
      <c r="AG273" s="557"/>
      <c r="AH273" s="2" cm="1">
        <f t="array" ref="AH2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3" s="4">
        <f>scheduleapr[[#This Row],[SCHEDULE in nos]]-scheduleapr[[#This Row],[DISPATCH]]</f>
        <v>7000</v>
      </c>
      <c r="AJ273" s="559">
        <f>(3.14*(scheduleapr[[#This Row],[ACTUAL OD]]-scheduleapr[[#This Row],[TICKNESS]])*scheduleapr[[#This Row],[TICKNESS]]*scheduleapr[[#This Row],[LENGTH]]*7.85)/1000000*scheduleapr[[#This Row],[SCHEDULE in nos]]/1000</f>
        <v>15.356327000000004</v>
      </c>
      <c r="AK273" s="1">
        <f>(3.14*(scheduleapr[[#This Row],[ACTUAL OD]]-scheduleapr[[#This Row],[TICKNESS]])*scheduleapr[[#This Row],[TICKNESS]]*scheduleapr[[#This Row],[LENGTH]]*7.85)/1000000*scheduleapr[[#This Row],[DISPATCH]]/1000</f>
        <v>0</v>
      </c>
      <c r="AL273" s="1">
        <f t="shared" si="11"/>
        <v>15.356327000000004</v>
      </c>
      <c r="AM273" s="559">
        <f>scheduleapr[[#This Row],[SCHEDULE in nos]]/scheduleapr[[#This Row],[SCHEDULE IN MT]]*scheduleapr[[#This Row],[CTL Stock]]</f>
        <v>0</v>
      </c>
      <c r="AN273" s="1">
        <f>SUMIFS(stock[MT],stock[Bucket],scheduleapr[[#This Row],[Bucket]],stock[CTL Bucket],scheduleapr[[#This Row],[CTL Bucket]],stock[Plant],"0789")</f>
        <v>0</v>
      </c>
      <c r="AO273" s="1"/>
      <c r="AP273" s="1">
        <f>SUMIFS(stock[MT],stock[Bucket],scheduleapr[[#This Row],[Bucket]],stock[LL or CTL],"LL")</f>
        <v>0.57999999999999996</v>
      </c>
      <c r="AQ273" s="1">
        <f>+SUMIFS(wip[Stock(Net Wt)],wip[Bucket],scheduleapr[[#This Row],[Bucket]])/1000</f>
        <v>0</v>
      </c>
      <c r="AR273" s="1">
        <f t="shared" si="10"/>
        <v>15.356327000000004</v>
      </c>
      <c r="AS273" s="118"/>
    </row>
    <row r="274" spans="1:45" x14ac:dyDescent="0.25">
      <c r="A274" s="30">
        <v>204</v>
      </c>
      <c r="B274" s="5" t="s">
        <v>1872</v>
      </c>
      <c r="C274" s="2" t="s">
        <v>71</v>
      </c>
      <c r="D274" s="2" t="s">
        <v>71</v>
      </c>
      <c r="E274" s="2">
        <v>187546</v>
      </c>
      <c r="F274" s="2">
        <v>1938483</v>
      </c>
      <c r="G274" s="2" t="str">
        <f>_xlfn.CONCAT(scheduleapr[[#This Row],[CUSTOMER CODE]],"-",scheduleapr[[#This Row],[MATERIAL NO]])</f>
        <v>187546-1938483</v>
      </c>
      <c r="H274" s="2" t="s">
        <v>1963</v>
      </c>
      <c r="I274" s="2" t="s">
        <v>357</v>
      </c>
      <c r="J274" s="2"/>
      <c r="K274" s="2"/>
      <c r="L274" s="2" t="s">
        <v>239</v>
      </c>
      <c r="M274" s="2"/>
      <c r="N274" s="2"/>
      <c r="O274" s="2"/>
      <c r="P274" s="2"/>
      <c r="Q274" s="557" t="str">
        <f>CONCATENATE(scheduleapr[[#This Row],[OD]],"-",scheduleapr[[#This Row],[ID]],"-",scheduleapr[[#This Row],[TICKNESS]],"-",scheduleapr[[#This Row],[Grade]],"-",scheduleapr[[#This Row],[FC/NFC]])</f>
        <v>26-18-4-CEW-</v>
      </c>
      <c r="R274" s="557" t="str">
        <f>_xlfn.CONCAT(scheduleapr[[#This Row],[Bucket]],"-",scheduleapr[[#This Row],[LENGTH]]/1000)</f>
        <v>26-18-4-CEW--3.7</v>
      </c>
      <c r="S274" s="557" t="e" vm="2">
        <f>COUNTIF([2]!buckets[CTL Bucket],[2]!scheduleapr[[#This Row],[CTL Bucket]])</f>
        <v>#REF!</v>
      </c>
      <c r="T274" s="557"/>
      <c r="U274" s="557"/>
      <c r="V274" s="557"/>
      <c r="W274" s="557"/>
      <c r="X274" s="1">
        <v>18</v>
      </c>
      <c r="Y274" s="1">
        <v>26</v>
      </c>
      <c r="Z274" s="1">
        <v>18</v>
      </c>
      <c r="AA274" s="1">
        <v>4</v>
      </c>
      <c r="AB274" s="24">
        <v>3700</v>
      </c>
      <c r="AC274" s="24"/>
      <c r="AD274" s="24"/>
      <c r="AE274" s="24"/>
      <c r="AF274" s="2"/>
      <c r="AG274" s="2"/>
      <c r="AH274" s="2" t="e" cm="1">
        <f t="array" ref="AH2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74" s="4" t="e">
        <f>scheduleapr[[#This Row],[SCHEDULE in nos]]-scheduleapr[[#This Row],[DISPATCH]]</f>
        <v>#N/A</v>
      </c>
      <c r="AJ274" s="1">
        <f>(3.14*(scheduleapr[[#This Row],[ACTUAL OD]]-scheduleapr[[#This Row],[TICKNESS]])*scheduleapr[[#This Row],[TICKNESS]]*scheduleapr[[#This Row],[LENGTH]]*7.85)/1000000*scheduleapr[[#This Row],[SCHEDULE in nos]]/1000</f>
        <v>0</v>
      </c>
      <c r="AK274" s="1" t="e">
        <f>(3.14*(scheduleapr[[#This Row],[ACTUAL OD]]-scheduleapr[[#This Row],[TICKNESS]])*scheduleapr[[#This Row],[TICKNESS]]*scheduleapr[[#This Row],[LENGTH]]*7.85)/1000000*scheduleapr[[#This Row],[DISPATCH]]/1000</f>
        <v>#N/A</v>
      </c>
      <c r="AL274" s="1" t="e">
        <f t="shared" si="11"/>
        <v>#N/A</v>
      </c>
      <c r="AM274" s="1" t="e">
        <f>scheduleapr[[#This Row],[SCHEDULE in nos]]/scheduleapr[[#This Row],[SCHEDULE IN MT]]*scheduleapr[[#This Row],[CTL Stock]]</f>
        <v>#DIV/0!</v>
      </c>
      <c r="AN274" s="1">
        <f>SUMIFS(stock[MT],stock[Bucket],scheduleapr[[#This Row],[Bucket]],stock[CTL Bucket],scheduleapr[[#This Row],[CTL Bucket]],stock[Plant],"0789")</f>
        <v>0</v>
      </c>
      <c r="AO274" s="1"/>
      <c r="AP274" s="1">
        <f>SUMIFS(stock[MT],stock[Bucket],scheduleapr[[#This Row],[Bucket]],stock[LL or CTL],"LL")</f>
        <v>0</v>
      </c>
      <c r="AQ274" s="1">
        <f>+SUMIFS(wip[Stock(Net Wt)],wip[Bucket],scheduleapr[[#This Row],[Bucket]])/1000</f>
        <v>0</v>
      </c>
      <c r="AR274" s="1">
        <f t="shared" si="10"/>
        <v>0</v>
      </c>
      <c r="AS274" s="118"/>
    </row>
    <row r="275" spans="1:45" x14ac:dyDescent="0.25">
      <c r="A275" s="30">
        <v>205</v>
      </c>
      <c r="B275" s="5" t="s">
        <v>1872</v>
      </c>
      <c r="C275" s="2" t="s">
        <v>71</v>
      </c>
      <c r="D275" s="48" t="s">
        <v>71</v>
      </c>
      <c r="E275" s="2">
        <v>187546</v>
      </c>
      <c r="F275" s="2">
        <v>2418610</v>
      </c>
      <c r="G275" s="2" t="str">
        <f>_xlfn.CONCAT(scheduleapr[[#This Row],[CUSTOMER CODE]],"-",scheduleapr[[#This Row],[MATERIAL NO]])</f>
        <v>187546-2418610</v>
      </c>
      <c r="H275" s="2" t="s">
        <v>1964</v>
      </c>
      <c r="I275" s="2" t="s">
        <v>357</v>
      </c>
      <c r="J275" s="2"/>
      <c r="K275" s="2" t="s">
        <v>357</v>
      </c>
      <c r="L275" s="2"/>
      <c r="M275" s="2"/>
      <c r="N275" s="2"/>
      <c r="O275" s="2"/>
      <c r="P275" s="2"/>
      <c r="Q275" s="557" t="str">
        <f>CONCATENATE(scheduleapr[[#This Row],[OD]],"-",scheduleapr[[#This Row],[ID]],"-",scheduleapr[[#This Row],[TICKNESS]],"-",scheduleapr[[#This Row],[Grade]],"-",scheduleapr[[#This Row],[FC/NFC]])</f>
        <v>25.4-18.4-3.5-CEW-CEW</v>
      </c>
      <c r="R275" s="557" t="str">
        <f>_xlfn.CONCAT(scheduleapr[[#This Row],[Bucket]],"-",scheduleapr[[#This Row],[LENGTH]]/1000)</f>
        <v>25.4-18.4-3.5-CEW-CEW-0.247</v>
      </c>
      <c r="S275" s="557">
        <f>COUNTIF(scheduleapr[CTL Bucket],scheduleapr[[#This Row],[CTL Bucket]])</f>
        <v>1</v>
      </c>
      <c r="T275" s="2" t="s">
        <v>1817</v>
      </c>
      <c r="U275" s="2">
        <f>_xlfn.IFNA(VLOOKUP(scheduleapr[[#This Row],[Bucket]],salesforecast[[#All],[Bucket2]:[8406 Stock]],19,0),0)</f>
        <v>10.700597</v>
      </c>
      <c r="V275" s="562">
        <f>_xlfn.IFNA(VLOOKUP(scheduleapr[[#This Row],[Bucket]],salesforecast[[#All],[Bucket2]:[8406 Stock]],20,0),0)+_xlfn.IFNA(VLOOKUP(scheduleapr[[#This Row],[Bucket]],salesforecast[[#All],[Bucket2]:[8406 Stock]],17,0),0)</f>
        <v>0</v>
      </c>
      <c r="W275" s="557"/>
      <c r="X275" s="1">
        <v>25.4</v>
      </c>
      <c r="Y275" s="1">
        <v>25.4</v>
      </c>
      <c r="Z275" s="1">
        <v>18.399999999999999</v>
      </c>
      <c r="AA275" s="1">
        <v>3.5</v>
      </c>
      <c r="AB275" s="24">
        <v>247</v>
      </c>
      <c r="AC275" s="24" t="s">
        <v>397</v>
      </c>
      <c r="AD275" s="24"/>
      <c r="AE275" s="24"/>
      <c r="AF275" s="2">
        <v>48000</v>
      </c>
      <c r="AG275" s="2"/>
      <c r="AH275" s="2" cm="1">
        <f t="array" ref="AH2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5" s="4">
        <f>scheduleapr[[#This Row],[SCHEDULE in nos]]-scheduleapr[[#This Row],[DISPATCH]]</f>
        <v>48000</v>
      </c>
      <c r="AJ275" s="1">
        <f>(3.14*(scheduleapr[[#This Row],[ACTUAL OD]]-scheduleapr[[#This Row],[TICKNESS]])*scheduleapr[[#This Row],[TICKNESS]]*scheduleapr[[#This Row],[LENGTH]]*7.85)/1000000*scheduleapr[[#This Row],[SCHEDULE in nos]]/1000</f>
        <v>22.400084397600001</v>
      </c>
      <c r="AK275" s="1">
        <f>(3.14*(scheduleapr[[#This Row],[ACTUAL OD]]-scheduleapr[[#This Row],[TICKNESS]])*scheduleapr[[#This Row],[TICKNESS]]*scheduleapr[[#This Row],[LENGTH]]*7.85)/1000000*scheduleapr[[#This Row],[DISPATCH]]/1000</f>
        <v>0</v>
      </c>
      <c r="AL275" s="1">
        <f t="shared" si="11"/>
        <v>22.400084397600001</v>
      </c>
      <c r="AM275" s="1">
        <f>scheduleapr[[#This Row],[SCHEDULE in nos]]/scheduleapr[[#This Row],[SCHEDULE IN MT]]*scheduleapr[[#This Row],[CTL Stock]]</f>
        <v>0</v>
      </c>
      <c r="AN275" s="1">
        <f>SUMIFS(stock[MT],stock[Bucket],scheduleapr[[#This Row],[Bucket]],stock[CTL Bucket],scheduleapr[[#This Row],[CTL Bucket]],stock[Plant],"0789")</f>
        <v>0</v>
      </c>
      <c r="AO275" s="1"/>
      <c r="AP275" s="1">
        <f>SUMIFS(stock[MT],stock[Bucket],scheduleapr[[#This Row],[Bucket]],stock[LL or CTL],"LL")</f>
        <v>83.630596999999995</v>
      </c>
      <c r="AQ275" s="1">
        <f>+SUMIFS(wip[Stock(Net Wt)],wip[Bucket],scheduleapr[[#This Row],[Bucket]])/1000</f>
        <v>0</v>
      </c>
      <c r="AR275" s="1">
        <f t="shared" si="10"/>
        <v>22.400084397600001</v>
      </c>
      <c r="AS275" s="118"/>
    </row>
    <row r="276" spans="1:45" x14ac:dyDescent="0.25">
      <c r="A276" s="30">
        <v>206</v>
      </c>
      <c r="B276" s="5" t="s">
        <v>1872</v>
      </c>
      <c r="C276" s="2" t="s">
        <v>71</v>
      </c>
      <c r="D276" s="2" t="s">
        <v>71</v>
      </c>
      <c r="E276" s="2">
        <v>187546</v>
      </c>
      <c r="F276" s="2" t="e">
        <f>_xlfn.CONCAT([2]!scheduleapr[[#This Row],[OD]],"-",[2]!scheduleapr[[#This Row],[ID]],"-",[2]!scheduleapr[[#This Row],[TICKNESS]],"-",[2]!scheduleapr[[#This Row],[LENGTH]])</f>
        <v>#REF!</v>
      </c>
      <c r="G276" s="2" t="e">
        <f>_xlfn.CONCAT(scheduleapr[[#This Row],[CUSTOMER CODE]],"-",scheduleapr[[#This Row],[MATERIAL NO]])</f>
        <v>#REF!</v>
      </c>
      <c r="H276" s="2" t="s">
        <v>1965</v>
      </c>
      <c r="I276" s="2" t="s">
        <v>357</v>
      </c>
      <c r="J276" s="2"/>
      <c r="K276" s="2" t="s">
        <v>357</v>
      </c>
      <c r="L276" s="2"/>
      <c r="M276" s="2"/>
      <c r="N276" s="2"/>
      <c r="O276" s="2"/>
      <c r="P276" s="2"/>
      <c r="Q276" s="557" t="str">
        <f>CONCATENATE(scheduleapr[[#This Row],[OD]],"-",scheduleapr[[#This Row],[ID]],"-",scheduleapr[[#This Row],[TICKNESS]],"-",scheduleapr[[#This Row],[Grade]],"-",scheduleapr[[#This Row],[FC/NFC]])</f>
        <v>25.4-18.4-3.5-CEW-CEW</v>
      </c>
      <c r="R276" s="557" t="str">
        <f>_xlfn.CONCAT(scheduleapr[[#This Row],[Bucket]],"-",scheduleapr[[#This Row],[LENGTH]]/1000)</f>
        <v>25.4-18.4-3.5-CEW-CEW-0.263</v>
      </c>
      <c r="S276" s="557">
        <f>COUNTIF(scheduleapr[CTL Bucket],scheduleapr[[#This Row],[CTL Bucket]])</f>
        <v>1</v>
      </c>
      <c r="T276" s="2" t="s">
        <v>1817</v>
      </c>
      <c r="U276" s="2">
        <f>_xlfn.IFNA(VLOOKUP(scheduleapr[[#This Row],[Bucket]],salesforecast[[#All],[Bucket2]:[8406 Stock]],19,0),0)</f>
        <v>10.700597</v>
      </c>
      <c r="V276" s="562">
        <f>_xlfn.IFNA(VLOOKUP(scheduleapr[[#This Row],[Bucket]],salesforecast[[#All],[Bucket2]:[8406 Stock]],20,0),0)+_xlfn.IFNA(VLOOKUP(scheduleapr[[#This Row],[Bucket]],salesforecast[[#All],[Bucket2]:[8406 Stock]],17,0),0)</f>
        <v>0</v>
      </c>
      <c r="W276" s="557"/>
      <c r="X276" s="1">
        <v>25.4</v>
      </c>
      <c r="Y276" s="1">
        <v>25.4</v>
      </c>
      <c r="Z276" s="1">
        <v>18.399999999999999</v>
      </c>
      <c r="AA276" s="1">
        <v>3.5</v>
      </c>
      <c r="AB276" s="24">
        <v>263</v>
      </c>
      <c r="AC276" s="24" t="s">
        <v>397</v>
      </c>
      <c r="AD276" s="24"/>
      <c r="AE276" s="24"/>
      <c r="AF276" s="2">
        <v>26000</v>
      </c>
      <c r="AG276" s="2"/>
      <c r="AH276" s="2" cm="1">
        <f t="array" ref="AH2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6" s="4">
        <f>scheduleapr[[#This Row],[SCHEDULE in nos]]-scheduleapr[[#This Row],[DISPATCH]]</f>
        <v>26000</v>
      </c>
      <c r="AJ276" s="1">
        <f>(3.14*(scheduleapr[[#This Row],[ACTUAL OD]]-scheduleapr[[#This Row],[TICKNESS]])*scheduleapr[[#This Row],[TICKNESS]]*scheduleapr[[#This Row],[LENGTH]]*7.85)/1000000*scheduleapr[[#This Row],[SCHEDULE in nos]]/1000</f>
        <v>12.919346922299999</v>
      </c>
      <c r="AK276" s="1">
        <f>(3.14*(scheduleapr[[#This Row],[ACTUAL OD]]-scheduleapr[[#This Row],[TICKNESS]])*scheduleapr[[#This Row],[TICKNESS]]*scheduleapr[[#This Row],[LENGTH]]*7.85)/1000000*scheduleapr[[#This Row],[DISPATCH]]/1000</f>
        <v>0</v>
      </c>
      <c r="AL276" s="1">
        <f t="shared" si="11"/>
        <v>12.919346922299999</v>
      </c>
      <c r="AM276" s="1">
        <f>scheduleapr[[#This Row],[SCHEDULE in nos]]/scheduleapr[[#This Row],[SCHEDULE IN MT]]*scheduleapr[[#This Row],[CTL Stock]]</f>
        <v>0</v>
      </c>
      <c r="AN276" s="1">
        <f>SUMIFS(stock[MT],stock[Bucket],scheduleapr[[#This Row],[Bucket]],stock[CTL Bucket],scheduleapr[[#This Row],[CTL Bucket]],stock[Plant],"0789")</f>
        <v>0</v>
      </c>
      <c r="AO276" s="1"/>
      <c r="AP276" s="1">
        <f>SUMIFS(stock[MT],stock[Bucket],scheduleapr[[#This Row],[Bucket]],stock[LL or CTL],"LL")</f>
        <v>83.630596999999995</v>
      </c>
      <c r="AQ276" s="1">
        <f>+SUMIFS(wip[Stock(Net Wt)],wip[Bucket],scheduleapr[[#This Row],[Bucket]])/1000</f>
        <v>0</v>
      </c>
      <c r="AR276" s="1">
        <f t="shared" si="10"/>
        <v>12.919346922299999</v>
      </c>
      <c r="AS276" s="118"/>
    </row>
    <row r="277" spans="1:45" x14ac:dyDescent="0.25">
      <c r="A277" s="30">
        <v>207</v>
      </c>
      <c r="B277" s="5" t="s">
        <v>1872</v>
      </c>
      <c r="C277" s="2" t="s">
        <v>71</v>
      </c>
      <c r="D277" s="2" t="s">
        <v>71</v>
      </c>
      <c r="E277" s="2">
        <v>187546</v>
      </c>
      <c r="F277" s="2" t="e">
        <f>_xlfn.CONCAT([2]!scheduleapr[[#This Row],[OD]],"-",[2]!scheduleapr[[#This Row],[ID]],"-",[2]!scheduleapr[[#This Row],[TICKNESS]],"-",[2]!scheduleapr[[#This Row],[LENGTH]])</f>
        <v>#REF!</v>
      </c>
      <c r="G277" s="2" t="e">
        <f>_xlfn.CONCAT(scheduleapr[[#This Row],[CUSTOMER CODE]],"-",scheduleapr[[#This Row],[MATERIAL NO]])</f>
        <v>#REF!</v>
      </c>
      <c r="H277" s="2" t="s">
        <v>1964</v>
      </c>
      <c r="I277" s="2" t="s">
        <v>357</v>
      </c>
      <c r="J277" s="2"/>
      <c r="K277" s="2"/>
      <c r="L277" s="2" t="s">
        <v>239</v>
      </c>
      <c r="M277" s="2"/>
      <c r="N277" s="2"/>
      <c r="O277" s="2"/>
      <c r="P277" s="2"/>
      <c r="Q277" s="557" t="str">
        <f>CONCATENATE(scheduleapr[[#This Row],[OD]],"-",scheduleapr[[#This Row],[ID]],"-",scheduleapr[[#This Row],[TICKNESS]],"-",scheduleapr[[#This Row],[Grade]],"-",scheduleapr[[#This Row],[FC/NFC]])</f>
        <v>25.4-18.4-3.5-CEW-</v>
      </c>
      <c r="R277" s="557" t="str">
        <f>_xlfn.CONCAT(scheduleapr[[#This Row],[Bucket]],"-",scheduleapr[[#This Row],[LENGTH]]/1000)</f>
        <v>25.4-18.4-3.5-CEW--4.5</v>
      </c>
      <c r="S277" s="557" t="e" vm="2">
        <f>COUNTIF([2]!buckets[CTL Bucket],[2]!scheduleapr[[#This Row],[CTL Bucket]])</f>
        <v>#REF!</v>
      </c>
      <c r="T277" s="557"/>
      <c r="U277" s="557"/>
      <c r="V277" s="557"/>
      <c r="W277" s="557"/>
      <c r="X277" s="1">
        <v>25.4</v>
      </c>
      <c r="Y277" s="1">
        <v>25.4</v>
      </c>
      <c r="Z277" s="1">
        <v>18.399999999999999</v>
      </c>
      <c r="AA277" s="1">
        <v>3.5</v>
      </c>
      <c r="AB277" s="24">
        <v>4500</v>
      </c>
      <c r="AC277" s="24"/>
      <c r="AD277" s="24"/>
      <c r="AE277" s="24"/>
      <c r="AF277" s="2"/>
      <c r="AG277" s="2"/>
      <c r="AH277" s="2" t="e" cm="1">
        <f t="array" ref="AH2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77" s="4" t="e">
        <f>scheduleapr[[#This Row],[SCHEDULE in nos]]-scheduleapr[[#This Row],[DISPATCH]]</f>
        <v>#N/A</v>
      </c>
      <c r="AJ277" s="1">
        <f>(3.14*(scheduleapr[[#This Row],[ACTUAL OD]]-scheduleapr[[#This Row],[TICKNESS]])*scheduleapr[[#This Row],[TICKNESS]]*scheduleapr[[#This Row],[LENGTH]]*7.85)/1000000*scheduleapr[[#This Row],[SCHEDULE in nos]]/1000</f>
        <v>0</v>
      </c>
      <c r="AK277" s="1" t="e">
        <f>(3.14*(scheduleapr[[#This Row],[ACTUAL OD]]-scheduleapr[[#This Row],[TICKNESS]])*scheduleapr[[#This Row],[TICKNESS]]*scheduleapr[[#This Row],[LENGTH]]*7.85)/1000000*scheduleapr[[#This Row],[DISPATCH]]/1000</f>
        <v>#N/A</v>
      </c>
      <c r="AL277" s="1" t="e">
        <f t="shared" si="11"/>
        <v>#N/A</v>
      </c>
      <c r="AM277" s="1" t="e">
        <f>scheduleapr[[#This Row],[SCHEDULE in nos]]/scheduleapr[[#This Row],[SCHEDULE IN MT]]*scheduleapr[[#This Row],[CTL Stock]]</f>
        <v>#DIV/0!</v>
      </c>
      <c r="AN277" s="1">
        <f>SUMIFS(stock[MT],stock[Bucket],scheduleapr[[#This Row],[Bucket]],stock[CTL Bucket],scheduleapr[[#This Row],[CTL Bucket]],stock[Plant],"0789")</f>
        <v>0</v>
      </c>
      <c r="AO277" s="1"/>
      <c r="AP277" s="1">
        <f>SUMIFS(stock[MT],stock[Bucket],scheduleapr[[#This Row],[Bucket]],stock[LL or CTL],"LL")</f>
        <v>0</v>
      </c>
      <c r="AQ277" s="1">
        <f>+SUMIFS(wip[Stock(Net Wt)],wip[Bucket],scheduleapr[[#This Row],[Bucket]])/1000</f>
        <v>0</v>
      </c>
      <c r="AR277" s="1">
        <f t="shared" si="10"/>
        <v>0</v>
      </c>
      <c r="AS277" s="118"/>
    </row>
    <row r="278" spans="1:45" x14ac:dyDescent="0.25">
      <c r="A278" s="30">
        <v>208</v>
      </c>
      <c r="B278" s="5" t="s">
        <v>1872</v>
      </c>
      <c r="C278" s="2" t="s">
        <v>71</v>
      </c>
      <c r="D278" s="2" t="s">
        <v>71</v>
      </c>
      <c r="E278" s="2">
        <v>187546</v>
      </c>
      <c r="F278" s="2">
        <v>2426241</v>
      </c>
      <c r="G278" s="2" t="str">
        <f>_xlfn.CONCAT(scheduleapr[[#This Row],[CUSTOMER CODE]],"-",scheduleapr[[#This Row],[MATERIAL NO]])</f>
        <v>187546-2426241</v>
      </c>
      <c r="H278" s="2" t="s">
        <v>1966</v>
      </c>
      <c r="I278" s="2" t="s">
        <v>357</v>
      </c>
      <c r="J278" s="2"/>
      <c r="K278" s="2"/>
      <c r="L278" s="2" t="s">
        <v>239</v>
      </c>
      <c r="M278" s="2"/>
      <c r="N278" s="2"/>
      <c r="O278" s="2"/>
      <c r="P278" s="2"/>
      <c r="Q278" s="557" t="str">
        <f>CONCATENATE(scheduleapr[[#This Row],[OD]],"-",scheduleapr[[#This Row],[ID]],"-",scheduleapr[[#This Row],[TICKNESS]],"-",scheduleapr[[#This Row],[Grade]],"-",scheduleapr[[#This Row],[FC/NFC]])</f>
        <v>25.6-16.6-4.5-CEW-</v>
      </c>
      <c r="R278" s="557" t="str">
        <f>_xlfn.CONCAT(scheduleapr[[#This Row],[Bucket]],"-",scheduleapr[[#This Row],[LENGTH]]/1000)</f>
        <v>25.6-16.6-4.5-CEW--4.2</v>
      </c>
      <c r="S278" s="557" t="e" vm="2">
        <f>COUNTIF([2]!buckets[CTL Bucket],[2]!scheduleapr[[#This Row],[CTL Bucket]])</f>
        <v>#REF!</v>
      </c>
      <c r="T278" s="557"/>
      <c r="U278" s="557"/>
      <c r="V278" s="557"/>
      <c r="W278" s="557"/>
      <c r="X278" s="1">
        <v>25.6</v>
      </c>
      <c r="Y278" s="1">
        <v>25.6</v>
      </c>
      <c r="Z278" s="1">
        <v>16.600000000000001</v>
      </c>
      <c r="AA278" s="1">
        <v>4.5</v>
      </c>
      <c r="AB278" s="24">
        <v>4200</v>
      </c>
      <c r="AC278" s="24"/>
      <c r="AD278" s="24"/>
      <c r="AE278" s="24"/>
      <c r="AF278" s="2"/>
      <c r="AG278" s="2"/>
      <c r="AH278" s="2" t="e" cm="1">
        <f t="array" ref="AH2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78" s="4" t="e">
        <f>scheduleapr[[#This Row],[SCHEDULE in nos]]-scheduleapr[[#This Row],[DISPATCH]]</f>
        <v>#N/A</v>
      </c>
      <c r="AJ278" s="1">
        <f>(3.14*(scheduleapr[[#This Row],[ACTUAL OD]]-scheduleapr[[#This Row],[TICKNESS]])*scheduleapr[[#This Row],[TICKNESS]]*scheduleapr[[#This Row],[LENGTH]]*7.85)/1000000*scheduleapr[[#This Row],[SCHEDULE in nos]]/1000</f>
        <v>0</v>
      </c>
      <c r="AK278" s="1" t="e">
        <f>(3.14*(scheduleapr[[#This Row],[ACTUAL OD]]-scheduleapr[[#This Row],[TICKNESS]])*scheduleapr[[#This Row],[TICKNESS]]*scheduleapr[[#This Row],[LENGTH]]*7.85)/1000000*scheduleapr[[#This Row],[DISPATCH]]/1000</f>
        <v>#N/A</v>
      </c>
      <c r="AL278" s="1" t="e">
        <f t="shared" si="11"/>
        <v>#N/A</v>
      </c>
      <c r="AM278" s="1" t="e">
        <f>scheduleapr[[#This Row],[SCHEDULE in nos]]/scheduleapr[[#This Row],[SCHEDULE IN MT]]*scheduleapr[[#This Row],[CTL Stock]]</f>
        <v>#DIV/0!</v>
      </c>
      <c r="AN278" s="1">
        <f>SUMIFS(stock[MT],stock[Bucket],scheduleapr[[#This Row],[Bucket]],stock[CTL Bucket],scheduleapr[[#This Row],[CTL Bucket]],stock[Plant],"0789")</f>
        <v>0</v>
      </c>
      <c r="AO278" s="1"/>
      <c r="AP278" s="1">
        <f>SUMIFS(stock[MT],stock[Bucket],scheduleapr[[#This Row],[Bucket]],stock[LL or CTL],"LL")</f>
        <v>0</v>
      </c>
      <c r="AQ278" s="1">
        <f>+SUMIFS(wip[Stock(Net Wt)],wip[Bucket],scheduleapr[[#This Row],[Bucket]])/1000</f>
        <v>0</v>
      </c>
      <c r="AR278" s="1">
        <f t="shared" si="10"/>
        <v>0</v>
      </c>
      <c r="AS278" s="118"/>
    </row>
    <row r="279" spans="1:45" x14ac:dyDescent="0.25">
      <c r="A279" s="30">
        <v>211</v>
      </c>
      <c r="B279" s="5" t="s">
        <v>1872</v>
      </c>
      <c r="C279" s="2" t="s">
        <v>71</v>
      </c>
      <c r="D279" s="2" t="s">
        <v>71</v>
      </c>
      <c r="E279" s="2">
        <v>187546</v>
      </c>
      <c r="F279" s="9">
        <v>1939872</v>
      </c>
      <c r="G279" s="2" t="str">
        <f>_xlfn.CONCAT(scheduleapr[[#This Row],[CUSTOMER CODE]],"-",scheduleapr[[#This Row],[MATERIAL NO]])</f>
        <v>187546-1939872</v>
      </c>
      <c r="H279" s="9" t="s">
        <v>1967</v>
      </c>
      <c r="I279" s="2" t="s">
        <v>357</v>
      </c>
      <c r="J279" s="2"/>
      <c r="K279" s="2"/>
      <c r="L279" s="2" t="s">
        <v>239</v>
      </c>
      <c r="M279" s="2"/>
      <c r="N279" s="2"/>
      <c r="O279" s="2"/>
      <c r="P279" s="2"/>
      <c r="Q279" s="557" t="str">
        <f>CONCATENATE(scheduleapr[[#This Row],[OD]],"-",scheduleapr[[#This Row],[ID]],"-",scheduleapr[[#This Row],[TICKNESS]],"-",scheduleapr[[#This Row],[Grade]],"-",scheduleapr[[#This Row],[FC/NFC]])</f>
        <v>32-0-4.5-CEW-</v>
      </c>
      <c r="R279" s="557" t="str">
        <f>_xlfn.CONCAT(scheduleapr[[#This Row],[Bucket]],"-",scheduleapr[[#This Row],[LENGTH]]/1000)</f>
        <v>32-0-4.5-CEW--3.3</v>
      </c>
      <c r="S279" s="557" t="e" vm="2">
        <f>COUNTIF([2]!buckets[CTL Bucket],[2]!scheduleapr[[#This Row],[CTL Bucket]])</f>
        <v>#REF!</v>
      </c>
      <c r="T279" s="557"/>
      <c r="U279" s="557"/>
      <c r="V279" s="557"/>
      <c r="W279" s="557"/>
      <c r="X279" s="1">
        <v>32</v>
      </c>
      <c r="Y279" s="1">
        <v>32</v>
      </c>
      <c r="Z279" s="1">
        <v>0</v>
      </c>
      <c r="AA279" s="1">
        <v>4.5</v>
      </c>
      <c r="AB279" s="24">
        <v>3300</v>
      </c>
      <c r="AC279" s="24"/>
      <c r="AD279" s="24"/>
      <c r="AE279" s="24"/>
      <c r="AF279" s="2"/>
      <c r="AG279" s="2"/>
      <c r="AH279" s="2" t="e" cm="1">
        <f t="array" ref="AH2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79" s="4" t="e">
        <f>scheduleapr[[#This Row],[SCHEDULE in nos]]-scheduleapr[[#This Row],[DISPATCH]]</f>
        <v>#N/A</v>
      </c>
      <c r="AJ279" s="1">
        <f>(3.14*(scheduleapr[[#This Row],[ACTUAL OD]]-scheduleapr[[#This Row],[TICKNESS]])*scheduleapr[[#This Row],[TICKNESS]]*scheduleapr[[#This Row],[LENGTH]]*7.85)/1000000*scheduleapr[[#This Row],[SCHEDULE in nos]]/1000</f>
        <v>0</v>
      </c>
      <c r="AK279" s="1" t="e">
        <f>(3.14*(scheduleapr[[#This Row],[ACTUAL OD]]-scheduleapr[[#This Row],[TICKNESS]])*scheduleapr[[#This Row],[TICKNESS]]*scheduleapr[[#This Row],[LENGTH]]*7.85)/1000000*scheduleapr[[#This Row],[DISPATCH]]/1000</f>
        <v>#N/A</v>
      </c>
      <c r="AL279" s="1" t="e">
        <f t="shared" si="11"/>
        <v>#N/A</v>
      </c>
      <c r="AM279" s="1" t="e">
        <f>scheduleapr[[#This Row],[SCHEDULE in nos]]/scheduleapr[[#This Row],[SCHEDULE IN MT]]*scheduleapr[[#This Row],[CTL Stock]]</f>
        <v>#DIV/0!</v>
      </c>
      <c r="AN279" s="1">
        <f>SUMIFS(stock[MT],stock[Bucket],scheduleapr[[#This Row],[Bucket]],stock[CTL Bucket],scheduleapr[[#This Row],[CTL Bucket]],stock[Plant],"0789")</f>
        <v>0</v>
      </c>
      <c r="AO279" s="1"/>
      <c r="AP279" s="1">
        <f>SUMIFS(stock[MT],stock[Bucket],scheduleapr[[#This Row],[Bucket]],stock[LL or CTL],"LL")</f>
        <v>0</v>
      </c>
      <c r="AQ279" s="1">
        <f>+SUMIFS(wip[Stock(Net Wt)],wip[Bucket],scheduleapr[[#This Row],[Bucket]])/1000</f>
        <v>0</v>
      </c>
      <c r="AR279" s="1">
        <f t="shared" si="10"/>
        <v>0</v>
      </c>
      <c r="AS279" s="118"/>
    </row>
    <row r="280" spans="1:45" x14ac:dyDescent="0.25">
      <c r="A280" s="30">
        <v>209</v>
      </c>
      <c r="B280" s="5" t="s">
        <v>1872</v>
      </c>
      <c r="C280" s="2" t="s">
        <v>71</v>
      </c>
      <c r="D280" s="2" t="s">
        <v>71</v>
      </c>
      <c r="E280" s="2">
        <v>187546</v>
      </c>
      <c r="F280" s="2">
        <v>3190072</v>
      </c>
      <c r="G280" s="2" t="str">
        <f>_xlfn.CONCAT(scheduleapr[[#This Row],[CUSTOMER CODE]],"-",scheduleapr[[#This Row],[MATERIAL NO]])</f>
        <v>187546-3190072</v>
      </c>
      <c r="H280" s="2" t="s">
        <v>1588</v>
      </c>
      <c r="I280" s="2" t="s">
        <v>1024</v>
      </c>
      <c r="J280" s="2"/>
      <c r="K280" s="2" t="s">
        <v>1024</v>
      </c>
      <c r="L280" s="2" t="s">
        <v>239</v>
      </c>
      <c r="M280" s="2"/>
      <c r="N280" s="2" t="s">
        <v>1516</v>
      </c>
      <c r="O280" s="2"/>
      <c r="P280" s="2"/>
      <c r="Q280" s="2" t="s">
        <v>393</v>
      </c>
      <c r="R280" s="557" t="str">
        <f>_xlfn.CONCAT(scheduleapr[[#This Row],[Bucket]],"-",scheduleapr[[#This Row],[LENGTH]]/1000)</f>
        <v>29.4-20.4-4.5-CEW-CEW-0.357</v>
      </c>
      <c r="S280" s="557">
        <f>COUNTIF(scheduleapr[CTL Bucket],scheduleapr[[#This Row],[CTL Bucket]])</f>
        <v>2</v>
      </c>
      <c r="T280" s="2" t="s">
        <v>1817</v>
      </c>
      <c r="U280" s="2">
        <f>_xlfn.IFNA(VLOOKUP(scheduleapr[[#This Row],[Bucket]],salesforecast[[#All],[Bucket2]:[8406 Stock]],19,0),0)</f>
        <v>19.413661999999992</v>
      </c>
      <c r="V280" s="562">
        <f>_xlfn.IFNA(VLOOKUP(scheduleapr[[#This Row],[Bucket]],salesforecast[[#All],[Bucket2]:[8406 Stock]],20,0),0)+_xlfn.IFNA(VLOOKUP(scheduleapr[[#This Row],[Bucket]],salesforecast[[#All],[Bucket2]:[8406 Stock]],17,0),0)</f>
        <v>0</v>
      </c>
      <c r="W280" s="557"/>
      <c r="X280" s="1">
        <v>29.4</v>
      </c>
      <c r="Y280" s="1">
        <v>29.4</v>
      </c>
      <c r="Z280" s="1">
        <v>20.399999999999999</v>
      </c>
      <c r="AA280" s="1">
        <v>4.5</v>
      </c>
      <c r="AB280" s="24">
        <v>357</v>
      </c>
      <c r="AC280" s="24" t="s">
        <v>397</v>
      </c>
      <c r="AD280" s="24"/>
      <c r="AE280" s="24"/>
      <c r="AF280" s="2">
        <v>3400</v>
      </c>
      <c r="AG280" s="2"/>
      <c r="AH280" s="2" cm="1">
        <f t="array" ref="AH2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0" s="4">
        <f>scheduleapr[[#This Row],[SCHEDULE in nos]]-scheduleapr[[#This Row],[DISPATCH]]</f>
        <v>3400</v>
      </c>
      <c r="AJ280" s="1">
        <f>(3.14*(scheduleapr[[#This Row],[ACTUAL OD]]-scheduleapr[[#This Row],[TICKNESS]])*scheduleapr[[#This Row],[TICKNESS]]*scheduleapr[[#This Row],[LENGTH]]*7.85)/1000000*scheduleapr[[#This Row],[SCHEDULE in nos]]/1000</f>
        <v>3.3524190422099998</v>
      </c>
      <c r="AK280" s="1">
        <f>(3.14*(scheduleapr[[#This Row],[ACTUAL OD]]-scheduleapr[[#This Row],[TICKNESS]])*scheduleapr[[#This Row],[TICKNESS]]*scheduleapr[[#This Row],[LENGTH]]*7.85)/1000000*scheduleapr[[#This Row],[DISPATCH]]/1000</f>
        <v>0</v>
      </c>
      <c r="AL280" s="1">
        <f t="shared" si="11"/>
        <v>3.3524190422099998</v>
      </c>
      <c r="AM280" s="1">
        <f>scheduleapr[[#This Row],[SCHEDULE in nos]]/scheduleapr[[#This Row],[SCHEDULE IN MT]]*scheduleapr[[#This Row],[CTL Stock]]</f>
        <v>0</v>
      </c>
      <c r="AN280" s="1">
        <f>SUMIFS(stock[MT],stock[Bucket],scheduleapr[[#This Row],[Bucket]],stock[CTL Bucket],scheduleapr[[#This Row],[CTL Bucket]],stock[Plant],"0789")</f>
        <v>0</v>
      </c>
      <c r="AO280" s="1"/>
      <c r="AP280" s="1">
        <f>SUMIFS(stock[MT],stock[Bucket],scheduleapr[[#This Row],[Bucket]],stock[LL or CTL],"LL")</f>
        <v>19.413661999999999</v>
      </c>
      <c r="AQ280" s="1">
        <f>+SUMIFS(wip[Stock(Net Wt)],wip[Bucket],scheduleapr[[#This Row],[Bucket]])/1000</f>
        <v>0</v>
      </c>
      <c r="AR280" s="1">
        <f t="shared" si="10"/>
        <v>3.3524190422099998</v>
      </c>
      <c r="AS280" s="118"/>
    </row>
    <row r="281" spans="1:45" x14ac:dyDescent="0.25">
      <c r="A281" s="30">
        <v>210</v>
      </c>
      <c r="B281" s="5" t="s">
        <v>1872</v>
      </c>
      <c r="C281" s="2" t="s">
        <v>71</v>
      </c>
      <c r="D281" s="2" t="s">
        <v>71</v>
      </c>
      <c r="E281" s="2">
        <v>187546</v>
      </c>
      <c r="F281" s="2">
        <v>1941303</v>
      </c>
      <c r="G281" s="2" t="str">
        <f>_xlfn.CONCAT(scheduleapr[[#This Row],[CUSTOMER CODE]],"-",scheduleapr[[#This Row],[MATERIAL NO]])</f>
        <v>187546-1941303</v>
      </c>
      <c r="H281" s="2" t="s">
        <v>1590</v>
      </c>
      <c r="I281" s="2" t="s">
        <v>1024</v>
      </c>
      <c r="J281" s="2"/>
      <c r="K281" s="2" t="s">
        <v>1024</v>
      </c>
      <c r="L281" s="2" t="s">
        <v>239</v>
      </c>
      <c r="M281" s="2"/>
      <c r="N281" s="2" t="s">
        <v>1516</v>
      </c>
      <c r="O281" s="2"/>
      <c r="P281" s="2"/>
      <c r="Q281" s="2" t="s">
        <v>393</v>
      </c>
      <c r="R281" s="557" t="str">
        <f>_xlfn.CONCAT(scheduleapr[[#This Row],[Bucket]],"-",scheduleapr[[#This Row],[LENGTH]]/1000)</f>
        <v>29.4-20.4-4.5-CEW-CEW-0.361</v>
      </c>
      <c r="S281" s="557" t="e" vm="2">
        <f>COUNTIF([2]!buckets[CTL Bucket],[2]!scheduleapr[[#This Row],[CTL Bucket]])</f>
        <v>#REF!</v>
      </c>
      <c r="T281" s="2" t="s">
        <v>1817</v>
      </c>
      <c r="U281" s="2">
        <f>_xlfn.IFNA(VLOOKUP(scheduleapr[[#This Row],[Bucket]],salesforecast[[#All],[Bucket2]:[8406 Stock]],19,0),0)</f>
        <v>19.413661999999992</v>
      </c>
      <c r="V281" s="562">
        <f>_xlfn.IFNA(VLOOKUP(scheduleapr[[#This Row],[Bucket]],salesforecast[[#All],[Bucket2]:[8406 Stock]],20,0),0)+_xlfn.IFNA(VLOOKUP(scheduleapr[[#This Row],[Bucket]],salesforecast[[#All],[Bucket2]:[8406 Stock]],17,0),0)</f>
        <v>0</v>
      </c>
      <c r="W281" s="557"/>
      <c r="X281" s="1">
        <v>29.4</v>
      </c>
      <c r="Y281" s="1">
        <v>29.4</v>
      </c>
      <c r="Z281" s="1">
        <v>20.399999999999999</v>
      </c>
      <c r="AA281" s="1">
        <v>4.5</v>
      </c>
      <c r="AB281" s="24">
        <v>361</v>
      </c>
      <c r="AC281" s="24" t="s">
        <v>397</v>
      </c>
      <c r="AD281" s="24"/>
      <c r="AE281" s="24"/>
      <c r="AF281" s="2">
        <v>26000</v>
      </c>
      <c r="AG281" s="2"/>
      <c r="AH281" s="2" cm="1">
        <f t="array" ref="AH2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1" s="4">
        <f>scheduleapr[[#This Row],[SCHEDULE in nos]]-scheduleapr[[#This Row],[DISPATCH]]</f>
        <v>26000</v>
      </c>
      <c r="AJ281" s="1">
        <f>(3.14*(scheduleapr[[#This Row],[ACTUAL OD]]-scheduleapr[[#This Row],[TICKNESS]])*scheduleapr[[#This Row],[TICKNESS]]*scheduleapr[[#This Row],[LENGTH]]*7.85)/1000000*scheduleapr[[#This Row],[SCHEDULE in nos]]/1000</f>
        <v>25.923385343699998</v>
      </c>
      <c r="AK281" s="1">
        <f>(3.14*(scheduleapr[[#This Row],[ACTUAL OD]]-scheduleapr[[#This Row],[TICKNESS]])*scheduleapr[[#This Row],[TICKNESS]]*scheduleapr[[#This Row],[LENGTH]]*7.85)/1000000*scheduleapr[[#This Row],[DISPATCH]]/1000</f>
        <v>0</v>
      </c>
      <c r="AL281" s="1">
        <f t="shared" si="11"/>
        <v>25.923385343699998</v>
      </c>
      <c r="AM281" s="1">
        <f>scheduleapr[[#This Row],[SCHEDULE in nos]]/scheduleapr[[#This Row],[SCHEDULE IN MT]]*scheduleapr[[#This Row],[CTL Stock]]</f>
        <v>0</v>
      </c>
      <c r="AN281" s="1">
        <f>SUMIFS(stock[MT],stock[Bucket],scheduleapr[[#This Row],[Bucket]],stock[CTL Bucket],scheduleapr[[#This Row],[CTL Bucket]],stock[Plant],"0789")</f>
        <v>0</v>
      </c>
      <c r="AO281" s="1"/>
      <c r="AP281" s="1">
        <f>SUMIFS(stock[MT],stock[Bucket],scheduleapr[[#This Row],[Bucket]],stock[LL or CTL],"LL")</f>
        <v>19.413661999999999</v>
      </c>
      <c r="AQ281" s="1">
        <f>+SUMIFS(wip[Stock(Net Wt)],wip[Bucket],scheduleapr[[#This Row],[Bucket]])/1000</f>
        <v>0</v>
      </c>
      <c r="AR281" s="1">
        <f t="shared" si="10"/>
        <v>25.923385343699998</v>
      </c>
      <c r="AS281" s="118"/>
    </row>
    <row r="282" spans="1:45" x14ac:dyDescent="0.25">
      <c r="A282" s="30">
        <v>250</v>
      </c>
      <c r="B282" s="5" t="s">
        <v>1872</v>
      </c>
      <c r="C282" s="2" t="s">
        <v>307</v>
      </c>
      <c r="D282" s="2" t="s">
        <v>952</v>
      </c>
      <c r="E282" s="2" t="s">
        <v>308</v>
      </c>
      <c r="F282" s="2">
        <v>2363145</v>
      </c>
      <c r="G282" s="2" t="str">
        <f>_xlfn.CONCAT(scheduleapr[[#This Row],[CUSTOMER CODE]],"-",scheduleapr[[#This Row],[MATERIAL NO]])</f>
        <v>189226|930794-2363145</v>
      </c>
      <c r="H282" s="2" t="s">
        <v>1946</v>
      </c>
      <c r="I282" s="2" t="s">
        <v>357</v>
      </c>
      <c r="J282" s="2"/>
      <c r="K282" s="2" t="s">
        <v>357</v>
      </c>
      <c r="L282" s="2" t="s">
        <v>239</v>
      </c>
      <c r="M282" s="2"/>
      <c r="N282" s="2"/>
      <c r="O282" s="2"/>
      <c r="P282" s="2"/>
      <c r="Q282" s="557" t="str">
        <f>CONCATENATE(scheduleapr[[#This Row],[OD]],"-",scheduleapr[[#This Row],[ID]],"-",scheduleapr[[#This Row],[TICKNESS]],"-",scheduleapr[[#This Row],[Grade]],"-",scheduleapr[[#This Row],[FC/NFC]])</f>
        <v>14-0-2.45-CEW-CEW</v>
      </c>
      <c r="R282" s="557" t="s">
        <v>966</v>
      </c>
      <c r="S282" s="557">
        <f>COUNTIF(scheduleapr[CTL Bucket],scheduleapr[[#This Row],[CTL Bucket]])</f>
        <v>1</v>
      </c>
      <c r="T282" s="2" t="s">
        <v>1817</v>
      </c>
      <c r="U282" s="2">
        <f>_xlfn.IFNA(VLOOKUP(scheduleapr[[#This Row],[Bucket]],salesforecast[[#All],[Bucket2]:[8406 Stock]],19,0),0)</f>
        <v>0</v>
      </c>
      <c r="V282" s="562">
        <f>_xlfn.IFNA(VLOOKUP(scheduleapr[[#This Row],[Bucket]],salesforecast[[#All],[Bucket2]:[8406 Stock]],20,0),0)+_xlfn.IFNA(VLOOKUP(scheduleapr[[#This Row],[Bucket]],salesforecast[[#All],[Bucket2]:[8406 Stock]],17,0),0)</f>
        <v>0</v>
      </c>
      <c r="W282" s="557"/>
      <c r="X282" s="1">
        <v>14</v>
      </c>
      <c r="Y282" s="1">
        <v>14</v>
      </c>
      <c r="Z282" s="1">
        <v>0</v>
      </c>
      <c r="AA282" s="1">
        <v>2.4500000000000002</v>
      </c>
      <c r="AB282" s="24">
        <v>1000</v>
      </c>
      <c r="AC282" s="24" t="s">
        <v>444</v>
      </c>
      <c r="AD282" s="24"/>
      <c r="AE282" s="24"/>
      <c r="AF282" s="2">
        <v>6000</v>
      </c>
      <c r="AG282" s="2"/>
      <c r="AH282" s="2" cm="1">
        <f t="array" ref="AH2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2" s="4">
        <f>scheduleapr[[#This Row],[SCHEDULE in nos]]-scheduleapr[[#This Row],[DISPATCH]]</f>
        <v>6000</v>
      </c>
      <c r="AJ282" s="1">
        <f>(3.14*(scheduleapr[[#This Row],[ACTUAL OD]]-scheduleapr[[#This Row],[TICKNESS]])*scheduleapr[[#This Row],[TICKNESS]]*scheduleapr[[#This Row],[LENGTH]]*7.85)/1000000*scheduleapr[[#This Row],[SCHEDULE in nos]]/1000</f>
        <v>4.1850304650000005</v>
      </c>
      <c r="AK282" s="1">
        <f>(3.14*(scheduleapr[[#This Row],[ACTUAL OD]]-scheduleapr[[#This Row],[TICKNESS]])*scheduleapr[[#This Row],[TICKNESS]]*scheduleapr[[#This Row],[LENGTH]]*7.85)/1000000*scheduleapr[[#This Row],[DISPATCH]]/1000</f>
        <v>0</v>
      </c>
      <c r="AL282" s="1">
        <f t="shared" si="11"/>
        <v>4.1850304650000005</v>
      </c>
      <c r="AM282" s="1">
        <f>scheduleapr[[#This Row],[SCHEDULE in nos]]/scheduleapr[[#This Row],[SCHEDULE IN MT]]*scheduleapr[[#This Row],[CTL Stock]]</f>
        <v>0</v>
      </c>
      <c r="AN282" s="1">
        <f>SUMIFS(stock[MT],stock[Bucket],scheduleapr[[#This Row],[Bucket]],stock[CTL Bucket],scheduleapr[[#This Row],[CTL Bucket]],stock[Plant],"0789")</f>
        <v>0</v>
      </c>
      <c r="AO282" s="1"/>
      <c r="AP282" s="1">
        <f>SUMIFS(stock[MT],stock[Bucket],scheduleapr[[#This Row],[Bucket]],stock[LL or CTL],"LL")</f>
        <v>2.0270000000000001</v>
      </c>
      <c r="AQ282" s="1">
        <f>+SUMIFS(wip[Stock(Net Wt)],wip[Bucket],scheduleapr[[#This Row],[Bucket]])/1000</f>
        <v>0</v>
      </c>
      <c r="AR282" s="1">
        <f t="shared" si="10"/>
        <v>4.1850304650000005</v>
      </c>
      <c r="AS282" s="118"/>
    </row>
    <row r="283" spans="1:45" x14ac:dyDescent="0.25">
      <c r="A283" s="30">
        <v>240</v>
      </c>
      <c r="B283" s="5" t="s">
        <v>1872</v>
      </c>
      <c r="C283" s="2" t="s">
        <v>310</v>
      </c>
      <c r="D283" s="2" t="s">
        <v>952</v>
      </c>
      <c r="E283" s="2" t="s">
        <v>309</v>
      </c>
      <c r="F283" s="2" t="e">
        <f>_xlfn.CONCAT([2]!scheduleapr[[#This Row],[OD]],"-",[2]!scheduleapr[[#This Row],[ID]],"-",[2]!scheduleapr[[#This Row],[TICKNESS]],"-",[2]!scheduleapr[[#This Row],[LENGTH]])</f>
        <v>#REF!</v>
      </c>
      <c r="G283" s="2" t="e">
        <f>_xlfn.CONCAT(scheduleapr[[#This Row],[CUSTOMER CODE]],"-",scheduleapr[[#This Row],[MATERIAL NO]])</f>
        <v>#REF!</v>
      </c>
      <c r="H283" s="557"/>
      <c r="I283" s="557" t="s">
        <v>357</v>
      </c>
      <c r="J283" s="557"/>
      <c r="K283" s="2" t="s">
        <v>357</v>
      </c>
      <c r="L283" s="557"/>
      <c r="M283" s="557"/>
      <c r="N283" s="557"/>
      <c r="O283" s="557"/>
      <c r="P283" s="557"/>
      <c r="Q283" s="557" t="str">
        <f>CONCATENATE(scheduleapr[[#This Row],[OD]],"-",scheduleapr[[#This Row],[ID]],"-",scheduleapr[[#This Row],[TICKNESS]],"-",scheduleapr[[#This Row],[Grade]],"-",scheduleapr[[#This Row],[FC/NFC]])</f>
        <v>16.1-0-2-CEW-CEW</v>
      </c>
      <c r="R283" s="557" t="str">
        <f>_xlfn.CONCAT(scheduleapr[[#This Row],[Bucket]],"-",scheduleapr[[#This Row],[LENGTH]]/1000)</f>
        <v>16.1-0-2-CEW-CEW-1</v>
      </c>
      <c r="S283" s="557">
        <f>COUNTIF(scheduleapr[CTL Bucket],scheduleapr[[#This Row],[CTL Bucket]])</f>
        <v>1</v>
      </c>
      <c r="T283" s="2" t="s">
        <v>1817</v>
      </c>
      <c r="U283" s="2">
        <f>_xlfn.IFNA(VLOOKUP(scheduleapr[[#This Row],[Bucket]],salesforecast[[#All],[Bucket2]:[8406 Stock]],19,0),0)</f>
        <v>0</v>
      </c>
      <c r="V283" s="562">
        <f>_xlfn.IFNA(VLOOKUP(scheduleapr[[#This Row],[Bucket]],salesforecast[[#All],[Bucket2]:[8406 Stock]],20,0),0)+_xlfn.IFNA(VLOOKUP(scheduleapr[[#This Row],[Bucket]],salesforecast[[#All],[Bucket2]:[8406 Stock]],17,0),0)</f>
        <v>0</v>
      </c>
      <c r="W283" s="557"/>
      <c r="X283" s="559">
        <v>16.100000000000001</v>
      </c>
      <c r="Y283" s="559">
        <v>16.100000000000001</v>
      </c>
      <c r="Z283" s="1">
        <v>0</v>
      </c>
      <c r="AA283" s="1">
        <v>2</v>
      </c>
      <c r="AB283" s="24">
        <v>1000</v>
      </c>
      <c r="AC283" s="24" t="s">
        <v>444</v>
      </c>
      <c r="AD283" s="24"/>
      <c r="AE283" s="24"/>
      <c r="AF283" s="2"/>
      <c r="AG283" s="2"/>
      <c r="AH283" s="2" cm="1">
        <f t="array" ref="AH2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3" s="4">
        <f>scheduleapr[[#This Row],[SCHEDULE in nos]]-scheduleapr[[#This Row],[DISPATCH]]</f>
        <v>0</v>
      </c>
      <c r="AJ283" s="1">
        <f>(3.14*(scheduleapr[[#This Row],[ACTUAL OD]]-scheduleapr[[#This Row],[TICKNESS]])*scheduleapr[[#This Row],[TICKNESS]]*scheduleapr[[#This Row],[LENGTH]]*7.85)/1000000*scheduleapr[[#This Row],[SCHEDULE in nos]]/1000</f>
        <v>0</v>
      </c>
      <c r="AK283" s="1">
        <f>(3.14*(scheduleapr[[#This Row],[ACTUAL OD]]-scheduleapr[[#This Row],[TICKNESS]])*scheduleapr[[#This Row],[TICKNESS]]*scheduleapr[[#This Row],[LENGTH]]*7.85)/1000000*scheduleapr[[#This Row],[DISPATCH]]/1000</f>
        <v>0</v>
      </c>
      <c r="AL283" s="1">
        <f t="shared" si="11"/>
        <v>0</v>
      </c>
      <c r="AM283" s="1" t="e">
        <f>scheduleapr[[#This Row],[SCHEDULE in nos]]/scheduleapr[[#This Row],[SCHEDULE IN MT]]*scheduleapr[[#This Row],[CTL Stock]]</f>
        <v>#DIV/0!</v>
      </c>
      <c r="AN283" s="1">
        <f>SUMIFS(stock[MT],stock[Bucket],scheduleapr[[#This Row],[Bucket]],stock[CTL Bucket],scheduleapr[[#This Row],[CTL Bucket]],stock[Plant],"0789")</f>
        <v>0</v>
      </c>
      <c r="AO283" s="1"/>
      <c r="AP283" s="1">
        <f>SUMIFS(stock[MT],stock[Bucket],scheduleapr[[#This Row],[Bucket]],stock[LL or CTL],"LL")</f>
        <v>0</v>
      </c>
      <c r="AQ283" s="1">
        <f>+SUMIFS(wip[Stock(Net Wt)],wip[Bucket],scheduleapr[[#This Row],[Bucket]])/1000</f>
        <v>0</v>
      </c>
      <c r="AR283" s="1">
        <f t="shared" si="10"/>
        <v>0</v>
      </c>
      <c r="AS283" s="118"/>
    </row>
    <row r="284" spans="1:45" x14ac:dyDescent="0.25">
      <c r="A284" s="30">
        <v>212</v>
      </c>
      <c r="B284" s="5" t="s">
        <v>1872</v>
      </c>
      <c r="C284" s="2" t="s">
        <v>307</v>
      </c>
      <c r="D284" s="2" t="s">
        <v>952</v>
      </c>
      <c r="E284" s="2">
        <v>189226</v>
      </c>
      <c r="F284" s="2">
        <v>1931824</v>
      </c>
      <c r="G284" s="2" t="str">
        <f>_xlfn.CONCAT(scheduleapr[[#This Row],[CUSTOMER CODE]],"-",scheduleapr[[#This Row],[MATERIAL NO]])</f>
        <v>189226-1931824</v>
      </c>
      <c r="H284" s="2" t="s">
        <v>1968</v>
      </c>
      <c r="I284" s="2" t="s">
        <v>357</v>
      </c>
      <c r="J284" s="2"/>
      <c r="K284" s="2"/>
      <c r="L284" s="2" t="s">
        <v>239</v>
      </c>
      <c r="M284" s="2"/>
      <c r="N284" s="2"/>
      <c r="O284" s="2"/>
      <c r="P284" s="2"/>
      <c r="Q284" s="557" t="str">
        <f>CONCATENATE(scheduleapr[[#This Row],[OD]],"-",scheduleapr[[#This Row],[ID]],"-",scheduleapr[[#This Row],[TICKNESS]],"-",scheduleapr[[#This Row],[Grade]],"-",scheduleapr[[#This Row],[FC/NFC]])</f>
        <v>17.3-0-1.2-CEW-</v>
      </c>
      <c r="R284" s="557" t="str">
        <f>_xlfn.CONCAT(scheduleapr[[#This Row],[Bucket]],"-",scheduleapr[[#This Row],[LENGTH]]/1000)</f>
        <v>17.3-0-1.2-CEW--6</v>
      </c>
      <c r="S284" s="557" t="e" vm="2">
        <f>COUNTIF([2]!buckets[CTL Bucket],[2]!scheduleapr[[#This Row],[CTL Bucket]])</f>
        <v>#REF!</v>
      </c>
      <c r="T284" s="557"/>
      <c r="U284" s="557"/>
      <c r="V284" s="557"/>
      <c r="W284" s="557"/>
      <c r="X284" s="1">
        <v>17.3</v>
      </c>
      <c r="Y284" s="1">
        <v>17.3</v>
      </c>
      <c r="Z284" s="1">
        <v>0</v>
      </c>
      <c r="AA284" s="1">
        <v>1.2</v>
      </c>
      <c r="AB284" s="24">
        <v>6000</v>
      </c>
      <c r="AC284" s="24"/>
      <c r="AD284" s="24"/>
      <c r="AE284" s="24"/>
      <c r="AF284" s="2"/>
      <c r="AG284" s="2"/>
      <c r="AH284" s="2" t="e" cm="1">
        <f t="array" ref="AH2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84" s="4" t="e">
        <f>scheduleapr[[#This Row],[SCHEDULE in nos]]-scheduleapr[[#This Row],[DISPATCH]]</f>
        <v>#N/A</v>
      </c>
      <c r="AJ284" s="1">
        <f>(3.14*(scheduleapr[[#This Row],[ACTUAL OD]]-scheduleapr[[#This Row],[TICKNESS]])*scheduleapr[[#This Row],[TICKNESS]]*scheduleapr[[#This Row],[LENGTH]]*7.85)/1000000*scheduleapr[[#This Row],[SCHEDULE in nos]]/1000</f>
        <v>0</v>
      </c>
      <c r="AK284" s="1" t="e">
        <f>(3.14*(scheduleapr[[#This Row],[ACTUAL OD]]-scheduleapr[[#This Row],[TICKNESS]])*scheduleapr[[#This Row],[TICKNESS]]*scheduleapr[[#This Row],[LENGTH]]*7.85)/1000000*scheduleapr[[#This Row],[DISPATCH]]/1000</f>
        <v>#N/A</v>
      </c>
      <c r="AL284" s="1" t="e">
        <f t="shared" si="11"/>
        <v>#N/A</v>
      </c>
      <c r="AM284" s="1" t="e">
        <f>scheduleapr[[#This Row],[SCHEDULE in nos]]/scheduleapr[[#This Row],[SCHEDULE IN MT]]*scheduleapr[[#This Row],[CTL Stock]]</f>
        <v>#DIV/0!</v>
      </c>
      <c r="AN284" s="1">
        <f>SUMIFS(stock[MT],stock[Bucket],scheduleapr[[#This Row],[Bucket]],stock[CTL Bucket],scheduleapr[[#This Row],[CTL Bucket]],stock[Plant],"0789")</f>
        <v>0</v>
      </c>
      <c r="AO284" s="1"/>
      <c r="AP284" s="1">
        <f>SUMIFS(stock[MT],stock[Bucket],scheduleapr[[#This Row],[Bucket]],stock[LL or CTL],"LL")</f>
        <v>0</v>
      </c>
      <c r="AQ284" s="1">
        <f>+SUMIFS(wip[Stock(Net Wt)],wip[Bucket],scheduleapr[[#This Row],[Bucket]])/1000</f>
        <v>0</v>
      </c>
      <c r="AR284" s="1">
        <f t="shared" si="10"/>
        <v>0</v>
      </c>
      <c r="AS284" s="118"/>
    </row>
    <row r="285" spans="1:45" x14ac:dyDescent="0.25">
      <c r="A285" s="30">
        <v>221</v>
      </c>
      <c r="B285" s="5" t="s">
        <v>1872</v>
      </c>
      <c r="C285" s="2" t="s">
        <v>310</v>
      </c>
      <c r="D285" s="2" t="s">
        <v>952</v>
      </c>
      <c r="E285" s="2" t="s">
        <v>309</v>
      </c>
      <c r="F285" s="2">
        <v>2439535</v>
      </c>
      <c r="G285" s="2" t="str">
        <f>_xlfn.CONCAT(scheduleapr[[#This Row],[CUSTOMER CODE]],"-",scheduleapr[[#This Row],[MATERIAL NO]])</f>
        <v>930801|189227-2439535</v>
      </c>
      <c r="H285" s="2" t="s">
        <v>1430</v>
      </c>
      <c r="I285" s="2" t="s">
        <v>357</v>
      </c>
      <c r="J285" s="2"/>
      <c r="K285" s="2" t="s">
        <v>357</v>
      </c>
      <c r="L285" s="2" t="s">
        <v>239</v>
      </c>
      <c r="M285" s="2"/>
      <c r="N285" s="2"/>
      <c r="O285" s="2"/>
      <c r="P285" s="2"/>
      <c r="Q285" s="557" t="str">
        <f>CONCATENATE(scheduleapr[[#This Row],[OD]],"-",scheduleapr[[#This Row],[ID]],"-",scheduleapr[[#This Row],[TICKNESS]],"-",scheduleapr[[#This Row],[Grade]],"-",scheduleapr[[#This Row],[FC/NFC]])</f>
        <v>20-12.4-4.5-CEW-CEW</v>
      </c>
      <c r="R285" s="557" t="str">
        <f>_xlfn.CONCAT(scheduleapr[[#This Row],[Bucket]],"-",scheduleapr[[#This Row],[LENGTH]]/1000)</f>
        <v>20-12.4-4.5-CEW-CEW-1</v>
      </c>
      <c r="S285" s="557">
        <f>COUNTIF(scheduleapr[CTL Bucket],scheduleapr[[#This Row],[CTL Bucket]])</f>
        <v>2</v>
      </c>
      <c r="T285" s="2" t="s">
        <v>1817</v>
      </c>
      <c r="U285" s="2">
        <f>_xlfn.IFNA(VLOOKUP(scheduleapr[[#This Row],[Bucket]],salesforecast[[#All],[Bucket2]:[8406 Stock]],19,0),0)</f>
        <v>0</v>
      </c>
      <c r="V285" s="562">
        <f>_xlfn.IFNA(VLOOKUP(scheduleapr[[#This Row],[Bucket]],salesforecast[[#All],[Bucket2]:[8406 Stock]],20,0),0)+_xlfn.IFNA(VLOOKUP(scheduleapr[[#This Row],[Bucket]],salesforecast[[#All],[Bucket2]:[8406 Stock]],17,0),0)</f>
        <v>0</v>
      </c>
      <c r="W285" s="557"/>
      <c r="X285" s="1">
        <v>20</v>
      </c>
      <c r="Y285" s="1">
        <v>20</v>
      </c>
      <c r="Z285" s="1">
        <v>12.4</v>
      </c>
      <c r="AA285" s="1">
        <v>4.5</v>
      </c>
      <c r="AB285" s="24">
        <v>1000</v>
      </c>
      <c r="AC285" s="24" t="s">
        <v>444</v>
      </c>
      <c r="AD285" s="24"/>
      <c r="AE285" s="24"/>
      <c r="AF285" s="2">
        <v>2000</v>
      </c>
      <c r="AG285" s="2"/>
      <c r="AH285" s="2" cm="1">
        <f t="array" ref="AH2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5" s="4">
        <f>scheduleapr[[#This Row],[SCHEDULE in nos]]-scheduleapr[[#This Row],[DISPATCH]]</f>
        <v>2000</v>
      </c>
      <c r="AJ285" s="1">
        <f>(3.14*(scheduleapr[[#This Row],[ACTUAL OD]]-scheduleapr[[#This Row],[TICKNESS]])*scheduleapr[[#This Row],[TICKNESS]]*scheduleapr[[#This Row],[LENGTH]]*7.85)/1000000*scheduleapr[[#This Row],[SCHEDULE in nos]]/1000</f>
        <v>3.4385355000000004</v>
      </c>
      <c r="AK285" s="1">
        <f>(3.14*(scheduleapr[[#This Row],[ACTUAL OD]]-scheduleapr[[#This Row],[TICKNESS]])*scheduleapr[[#This Row],[TICKNESS]]*scheduleapr[[#This Row],[LENGTH]]*7.85)/1000000*scheduleapr[[#This Row],[DISPATCH]]/1000</f>
        <v>0</v>
      </c>
      <c r="AL285" s="1">
        <f t="shared" si="11"/>
        <v>3.4385355000000004</v>
      </c>
      <c r="AM285" s="1">
        <f>scheduleapr[[#This Row],[SCHEDULE in nos]]/scheduleapr[[#This Row],[SCHEDULE IN MT]]*scheduleapr[[#This Row],[CTL Stock]]</f>
        <v>0</v>
      </c>
      <c r="AN285" s="1">
        <f>SUMIFS(stock[MT],stock[Bucket],scheduleapr[[#This Row],[Bucket]],stock[CTL Bucket],scheduleapr[[#This Row],[CTL Bucket]],stock[Plant],"0789")</f>
        <v>0</v>
      </c>
      <c r="AO285" s="1"/>
      <c r="AP285" s="1">
        <f>SUMIFS(stock[MT],stock[Bucket],scheduleapr[[#This Row],[Bucket]],stock[LL or CTL],"LL")</f>
        <v>0</v>
      </c>
      <c r="AQ285" s="1">
        <f>+SUMIFS(wip[Stock(Net Wt)],wip[Bucket],scheduleapr[[#This Row],[Bucket]])/1000</f>
        <v>0</v>
      </c>
      <c r="AR285" s="1">
        <f t="shared" si="10"/>
        <v>3.4385355000000004</v>
      </c>
      <c r="AS285" s="118"/>
    </row>
    <row r="286" spans="1:45" x14ac:dyDescent="0.25">
      <c r="A286" s="30">
        <v>264</v>
      </c>
      <c r="B286" s="5" t="s">
        <v>1872</v>
      </c>
      <c r="C286" s="2" t="s">
        <v>307</v>
      </c>
      <c r="D286" s="2" t="s">
        <v>952</v>
      </c>
      <c r="E286" s="2" t="s">
        <v>308</v>
      </c>
      <c r="F286" s="2">
        <v>3228788</v>
      </c>
      <c r="G286" s="2" t="str">
        <f>_xlfn.CONCAT(scheduleapr[[#This Row],[CUSTOMER CODE]],"-",scheduleapr[[#This Row],[MATERIAL NO]])</f>
        <v>189226|930794-3228788</v>
      </c>
      <c r="H286" s="2" t="s">
        <v>725</v>
      </c>
      <c r="I286" s="2" t="s">
        <v>357</v>
      </c>
      <c r="J286" s="2"/>
      <c r="K286" s="2" t="s">
        <v>357</v>
      </c>
      <c r="L286" s="2" t="s">
        <v>239</v>
      </c>
      <c r="M286" s="2"/>
      <c r="N286" s="2"/>
      <c r="O286" s="2"/>
      <c r="P286" s="2"/>
      <c r="Q286" s="557" t="str">
        <f>CONCATENATE(scheduleapr[[#This Row],[OD]],"-",scheduleapr[[#This Row],[ID]],"-",scheduleapr[[#This Row],[TICKNESS]],"-",scheduleapr[[#This Row],[Grade]],"-",scheduleapr[[#This Row],[FC/NFC]])</f>
        <v>20-17.16-1.42-CEW-CEW</v>
      </c>
      <c r="R286" s="557" t="str">
        <f>_xlfn.CONCAT(scheduleapr[[#This Row],[Bucket]],"-",scheduleapr[[#This Row],[LENGTH]]/1000)</f>
        <v>20-17.16-1.42-CEW-CEW-0.273</v>
      </c>
      <c r="S286" s="557">
        <f>COUNTIF(scheduleapr[CTL Bucket],scheduleapr[[#This Row],[CTL Bucket]])</f>
        <v>2</v>
      </c>
      <c r="T286" s="2" t="s">
        <v>1817</v>
      </c>
      <c r="U286" s="2">
        <f>_xlfn.IFNA(VLOOKUP(scheduleapr[[#This Row],[Bucket]],salesforecast[[#All],[Bucket2]:[8406 Stock]],19,0),0)</f>
        <v>0</v>
      </c>
      <c r="V286" s="562">
        <f>_xlfn.IFNA(VLOOKUP(scheduleapr[[#This Row],[Bucket]],salesforecast[[#All],[Bucket2]:[8406 Stock]],20,0),0)+_xlfn.IFNA(VLOOKUP(scheduleapr[[#This Row],[Bucket]],salesforecast[[#All],[Bucket2]:[8406 Stock]],17,0),0)</f>
        <v>0</v>
      </c>
      <c r="W286" s="557"/>
      <c r="X286" s="1">
        <v>20</v>
      </c>
      <c r="Y286" s="79">
        <v>20</v>
      </c>
      <c r="Z286" s="1">
        <v>17.16</v>
      </c>
      <c r="AA286" s="1">
        <v>1.42</v>
      </c>
      <c r="AB286" s="24">
        <v>273</v>
      </c>
      <c r="AC286" s="24" t="s">
        <v>397</v>
      </c>
      <c r="AD286" s="24"/>
      <c r="AE286" s="24"/>
      <c r="AF286" s="2">
        <v>20000</v>
      </c>
      <c r="AG286" s="2"/>
      <c r="AH286" s="2" cm="1">
        <f t="array" ref="AH2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6" s="4">
        <f>scheduleapr[[#This Row],[SCHEDULE in nos]]-scheduleapr[[#This Row],[DISPATCH]]</f>
        <v>20000</v>
      </c>
      <c r="AJ286" s="1">
        <f>(3.14*(scheduleapr[[#This Row],[ACTUAL OD]]-scheduleapr[[#This Row],[TICKNESS]])*scheduleapr[[#This Row],[TICKNESS]]*scheduleapr[[#This Row],[LENGTH]]*7.85)/1000000*scheduleapr[[#This Row],[SCHEDULE in nos]]/1000</f>
        <v>3.550798285943999</v>
      </c>
      <c r="AK286" s="1">
        <f>(3.14*(scheduleapr[[#This Row],[ACTUAL OD]]-scheduleapr[[#This Row],[TICKNESS]])*scheduleapr[[#This Row],[TICKNESS]]*scheduleapr[[#This Row],[LENGTH]]*7.85)/1000000*scheduleapr[[#This Row],[DISPATCH]]/1000</f>
        <v>0</v>
      </c>
      <c r="AL286" s="1">
        <f t="shared" si="11"/>
        <v>3.550798285943999</v>
      </c>
      <c r="AM286" s="1">
        <f>scheduleapr[[#This Row],[SCHEDULE in nos]]/scheduleapr[[#This Row],[SCHEDULE IN MT]]*scheduleapr[[#This Row],[CTL Stock]]</f>
        <v>0</v>
      </c>
      <c r="AN286" s="1">
        <f>SUMIFS(stock[MT],stock[Bucket],scheduleapr[[#This Row],[Bucket]],stock[CTL Bucket],scheduleapr[[#This Row],[CTL Bucket]],stock[Plant],"0789")</f>
        <v>0</v>
      </c>
      <c r="AO286" s="1"/>
      <c r="AP286" s="1">
        <f>SUMIFS(stock[MT],stock[Bucket],scheduleapr[[#This Row],[Bucket]],stock[LL or CTL],"LL")</f>
        <v>1.1719999999999999</v>
      </c>
      <c r="AQ286" s="1">
        <f>+SUMIFS(wip[Stock(Net Wt)],wip[Bucket],scheduleapr[[#This Row],[Bucket]])/1000</f>
        <v>0</v>
      </c>
      <c r="AR286" s="1">
        <f t="shared" si="10"/>
        <v>3.550798285943999</v>
      </c>
      <c r="AS286" s="118"/>
    </row>
    <row r="287" spans="1:45" x14ac:dyDescent="0.25">
      <c r="A287" s="30">
        <v>265</v>
      </c>
      <c r="B287" s="5" t="s">
        <v>1872</v>
      </c>
      <c r="C287" s="2" t="s">
        <v>307</v>
      </c>
      <c r="D287" s="2" t="s">
        <v>952</v>
      </c>
      <c r="E287" s="2" t="s">
        <v>308</v>
      </c>
      <c r="F287" s="2">
        <v>2410994</v>
      </c>
      <c r="G287" s="2" t="str">
        <f>_xlfn.CONCAT(scheduleapr[[#This Row],[CUSTOMER CODE]],"-",scheduleapr[[#This Row],[MATERIAL NO]])</f>
        <v>189226|930794-2410994</v>
      </c>
      <c r="H287" s="2" t="s">
        <v>1949</v>
      </c>
      <c r="I287" s="2" t="s">
        <v>357</v>
      </c>
      <c r="J287" s="2"/>
      <c r="K287" s="2" t="s">
        <v>357</v>
      </c>
      <c r="L287" s="2" t="s">
        <v>239</v>
      </c>
      <c r="M287" s="2"/>
      <c r="N287" s="2"/>
      <c r="O287" s="2"/>
      <c r="P287" s="2"/>
      <c r="Q287" s="557" t="str">
        <f>CONCATENATE(scheduleapr[[#This Row],[OD]],"-",scheduleapr[[#This Row],[ID]],"-",scheduleapr[[#This Row],[TICKNESS]],"-",scheduleapr[[#This Row],[Grade]],"-",scheduleapr[[#This Row],[FC/NFC]])</f>
        <v>21.7-16.2-2.75-CEW-CEW</v>
      </c>
      <c r="R287" s="557" t="str">
        <f>_xlfn.CONCAT(scheduleapr[[#This Row],[Bucket]],"-",scheduleapr[[#This Row],[LENGTH]]/1000)</f>
        <v>21.7-16.2-2.75-CEW-CEW-1</v>
      </c>
      <c r="S287" s="557" t="e" vm="2">
        <f>COUNTIF([2]!buckets[CTL Bucket],[2]!scheduleapr[[#This Row],[CTL Bucket]])</f>
        <v>#REF!</v>
      </c>
      <c r="T287" s="557"/>
      <c r="U287" s="557"/>
      <c r="V287" s="557"/>
      <c r="W287" s="557"/>
      <c r="X287" s="1">
        <v>21.7</v>
      </c>
      <c r="Y287" s="6">
        <v>21.7</v>
      </c>
      <c r="Z287" s="6">
        <v>16.2</v>
      </c>
      <c r="AA287" s="1">
        <v>2.75</v>
      </c>
      <c r="AB287" s="24">
        <v>1000</v>
      </c>
      <c r="AC287" s="24" t="s">
        <v>444</v>
      </c>
      <c r="AD287" s="24"/>
      <c r="AE287" s="24"/>
      <c r="AF287" s="2"/>
      <c r="AG287" s="2"/>
      <c r="AH287" s="2" cm="1">
        <f t="array" ref="AH2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7" s="4">
        <f>scheduleapr[[#This Row],[SCHEDULE in nos]]-scheduleapr[[#This Row],[DISPATCH]]</f>
        <v>0</v>
      </c>
      <c r="AJ287" s="1">
        <f>(3.14*(scheduleapr[[#This Row],[ACTUAL OD]]-scheduleapr[[#This Row],[TICKNESS]])*scheduleapr[[#This Row],[TICKNESS]]*scheduleapr[[#This Row],[LENGTH]]*7.85)/1000000*scheduleapr[[#This Row],[SCHEDULE in nos]]/1000</f>
        <v>0</v>
      </c>
      <c r="AK287" s="1">
        <f>(3.14*(scheduleapr[[#This Row],[ACTUAL OD]]-scheduleapr[[#This Row],[TICKNESS]])*scheduleapr[[#This Row],[TICKNESS]]*scheduleapr[[#This Row],[LENGTH]]*7.85)/1000000*scheduleapr[[#This Row],[DISPATCH]]/1000</f>
        <v>0</v>
      </c>
      <c r="AL287" s="1">
        <f t="shared" si="11"/>
        <v>0</v>
      </c>
      <c r="AM287" s="1" t="e">
        <f>scheduleapr[[#This Row],[SCHEDULE in nos]]/scheduleapr[[#This Row],[SCHEDULE IN MT]]*scheduleapr[[#This Row],[CTL Stock]]</f>
        <v>#DIV/0!</v>
      </c>
      <c r="AN287" s="1">
        <f>SUMIFS(stock[MT],stock[Bucket],scheduleapr[[#This Row],[Bucket]],stock[CTL Bucket],scheduleapr[[#This Row],[CTL Bucket]],stock[Plant],"0789")</f>
        <v>0</v>
      </c>
      <c r="AO287" s="1"/>
      <c r="AP287" s="1">
        <f>SUMIFS(stock[MT],stock[Bucket],scheduleapr[[#This Row],[Bucket]],stock[LL or CTL],"LL")</f>
        <v>1.8677429999999999</v>
      </c>
      <c r="AQ287" s="1">
        <f>+SUMIFS(wip[Stock(Net Wt)],wip[Bucket],scheduleapr[[#This Row],[Bucket]])/1000</f>
        <v>0</v>
      </c>
      <c r="AR287" s="1">
        <f t="shared" si="10"/>
        <v>0</v>
      </c>
      <c r="AS287" s="118"/>
    </row>
    <row r="288" spans="1:45" x14ac:dyDescent="0.25">
      <c r="A288" s="30">
        <v>266</v>
      </c>
      <c r="B288" s="5" t="s">
        <v>1872</v>
      </c>
      <c r="C288" s="2" t="s">
        <v>307</v>
      </c>
      <c r="D288" s="2" t="s">
        <v>952</v>
      </c>
      <c r="E288" s="2" t="s">
        <v>308</v>
      </c>
      <c r="F288" s="2">
        <v>2410994</v>
      </c>
      <c r="G288" s="2" t="str">
        <f>_xlfn.CONCAT(scheduleapr[[#This Row],[CUSTOMER CODE]],"-",scheduleapr[[#This Row],[MATERIAL NO]])</f>
        <v>189226|930794-2410994</v>
      </c>
      <c r="H288" s="2" t="s">
        <v>1949</v>
      </c>
      <c r="I288" s="2" t="s">
        <v>357</v>
      </c>
      <c r="J288" s="1"/>
      <c r="K288" s="2" t="s">
        <v>357</v>
      </c>
      <c r="L288" s="1"/>
      <c r="M288" s="1"/>
      <c r="N288" s="24"/>
      <c r="O288" s="2"/>
      <c r="P288" s="2"/>
      <c r="Q288" s="557" t="str">
        <f>CONCATENATE(scheduleapr[[#This Row],[OD]],"-",scheduleapr[[#This Row],[ID]],"-",scheduleapr[[#This Row],[TICKNESS]],"-",scheduleapr[[#This Row],[Grade]],"-",scheduleapr[[#This Row],[FC/NFC]])</f>
        <v>21.75-0-3.5-CEW-CEW</v>
      </c>
      <c r="R288" s="557" t="str">
        <f>_xlfn.CONCAT(scheduleapr[[#This Row],[Bucket]],"-",scheduleapr[[#This Row],[LENGTH]]/1000)</f>
        <v>21.75-0-3.5-CEW-CEW-1</v>
      </c>
      <c r="S288" s="557" t="e" vm="2">
        <f>COUNTIF([2]!buckets[CTL Bucket],[2]!scheduleapr[[#This Row],[CTL Bucket]])</f>
        <v>#REF!</v>
      </c>
      <c r="T288" s="557"/>
      <c r="U288" s="557"/>
      <c r="V288" s="557"/>
      <c r="W288" s="557"/>
      <c r="X288" s="1">
        <v>21.75</v>
      </c>
      <c r="Y288" s="1">
        <v>21.75</v>
      </c>
      <c r="Z288" s="6">
        <v>0</v>
      </c>
      <c r="AA288" s="1">
        <v>3.5</v>
      </c>
      <c r="AB288" s="24">
        <v>1000</v>
      </c>
      <c r="AC288" s="24" t="s">
        <v>444</v>
      </c>
      <c r="AD288" s="24"/>
      <c r="AE288" s="24"/>
      <c r="AF288" s="2"/>
      <c r="AG288" s="2"/>
      <c r="AH288" s="2" cm="1">
        <f t="array" ref="AH2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8" s="4">
        <f>scheduleapr[[#This Row],[SCHEDULE in nos]]-scheduleapr[[#This Row],[DISPATCH]]</f>
        <v>0</v>
      </c>
      <c r="AJ288" s="1">
        <f>(3.14*(scheduleapr[[#This Row],[ACTUAL OD]]-scheduleapr[[#This Row],[TICKNESS]])*scheduleapr[[#This Row],[TICKNESS]]*scheduleapr[[#This Row],[LENGTH]]*7.85)/1000000*scheduleapr[[#This Row],[SCHEDULE in nos]]/1000</f>
        <v>0</v>
      </c>
      <c r="AK288" s="1">
        <f>(3.14*(scheduleapr[[#This Row],[ACTUAL OD]]-scheduleapr[[#This Row],[TICKNESS]])*scheduleapr[[#This Row],[TICKNESS]]*scheduleapr[[#This Row],[LENGTH]]*7.85)/1000000*scheduleapr[[#This Row],[DISPATCH]]/1000</f>
        <v>0</v>
      </c>
      <c r="AL288" s="1">
        <f t="shared" si="11"/>
        <v>0</v>
      </c>
      <c r="AM288" s="1" t="e">
        <f>scheduleapr[[#This Row],[SCHEDULE in nos]]/scheduleapr[[#This Row],[SCHEDULE IN MT]]*scheduleapr[[#This Row],[CTL Stock]]</f>
        <v>#DIV/0!</v>
      </c>
      <c r="AN288" s="1">
        <f>SUMIFS(stock[MT],stock[Bucket],scheduleapr[[#This Row],[Bucket]],stock[CTL Bucket],scheduleapr[[#This Row],[CTL Bucket]],stock[Plant],"0789")</f>
        <v>0</v>
      </c>
      <c r="AO288" s="1"/>
      <c r="AP288" s="1">
        <f>SUMIFS(stock[MT],stock[Bucket],scheduleapr[[#This Row],[Bucket]],stock[LL or CTL],"LL")</f>
        <v>0</v>
      </c>
      <c r="AQ288" s="1">
        <f>+SUMIFS(wip[Stock(Net Wt)],wip[Bucket],scheduleapr[[#This Row],[Bucket]])/1000</f>
        <v>0</v>
      </c>
      <c r="AR288" s="1">
        <f t="shared" si="10"/>
        <v>0</v>
      </c>
      <c r="AS288" s="118"/>
    </row>
    <row r="289" spans="1:45" x14ac:dyDescent="0.25">
      <c r="A289" s="30">
        <v>275</v>
      </c>
      <c r="B289" s="5" t="s">
        <v>1872</v>
      </c>
      <c r="C289" s="2" t="s">
        <v>307</v>
      </c>
      <c r="D289" s="2" t="s">
        <v>952</v>
      </c>
      <c r="E289" s="2" t="s">
        <v>308</v>
      </c>
      <c r="F289" s="2">
        <v>2410997</v>
      </c>
      <c r="G289" s="2" t="str">
        <f>_xlfn.CONCAT(scheduleapr[[#This Row],[CUSTOMER CODE]],"-",scheduleapr[[#This Row],[MATERIAL NO]])</f>
        <v>189226|930794-2410997</v>
      </c>
      <c r="H289" s="2" t="s">
        <v>814</v>
      </c>
      <c r="I289" s="2" t="s">
        <v>357</v>
      </c>
      <c r="J289" s="2"/>
      <c r="K289" s="2" t="s">
        <v>357</v>
      </c>
      <c r="L289" s="2" t="s">
        <v>239</v>
      </c>
      <c r="M289" s="2"/>
      <c r="N289" s="2"/>
      <c r="O289" s="2"/>
      <c r="P289" s="2"/>
      <c r="Q289" s="557" t="str">
        <f>CONCATENATE(scheduleapr[[#This Row],[OD]],"-",scheduleapr[[#This Row],[ID]],"-",scheduleapr[[#This Row],[TICKNESS]],"-",scheduleapr[[#This Row],[Grade]],"-",scheduleapr[[#This Row],[FC/NFC]])</f>
        <v>25.4-19-3.2-CEW-CEW</v>
      </c>
      <c r="R289" s="557" t="str">
        <f>_xlfn.CONCAT(scheduleapr[[#This Row],[Bucket]],"-",scheduleapr[[#This Row],[LENGTH]]/1000)</f>
        <v>25.4-19-3.2-CEW-CEW-1</v>
      </c>
      <c r="S289" s="557" t="e" vm="2">
        <f>COUNTIF([2]!buckets[CTL Bucket],[2]!scheduleapr[[#This Row],[CTL Bucket]])</f>
        <v>#REF!</v>
      </c>
      <c r="T289" s="557"/>
      <c r="U289" s="557"/>
      <c r="V289" s="557"/>
      <c r="W289" s="557"/>
      <c r="X289" s="1">
        <v>25.4</v>
      </c>
      <c r="Y289" s="1">
        <v>25.4</v>
      </c>
      <c r="Z289" s="6">
        <v>19</v>
      </c>
      <c r="AA289" s="1">
        <v>3.2</v>
      </c>
      <c r="AB289" s="24">
        <v>1000</v>
      </c>
      <c r="AC289" s="24" t="s">
        <v>444</v>
      </c>
      <c r="AD289" s="24"/>
      <c r="AE289" s="24"/>
      <c r="AF289" s="2"/>
      <c r="AG289" s="2"/>
      <c r="AH289" s="2" cm="1">
        <f t="array" ref="AH2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9" s="4">
        <f>scheduleapr[[#This Row],[SCHEDULE in nos]]-scheduleapr[[#This Row],[DISPATCH]]</f>
        <v>0</v>
      </c>
      <c r="AJ289" s="1">
        <f>(3.14*(scheduleapr[[#This Row],[ACTUAL OD]]-scheduleapr[[#This Row],[TICKNESS]])*scheduleapr[[#This Row],[TICKNESS]]*scheduleapr[[#This Row],[LENGTH]]*7.85)/1000000*scheduleapr[[#This Row],[SCHEDULE in nos]]/1000</f>
        <v>0</v>
      </c>
      <c r="AK289" s="1">
        <f>(3.14*(scheduleapr[[#This Row],[ACTUAL OD]]-scheduleapr[[#This Row],[TICKNESS]])*scheduleapr[[#This Row],[TICKNESS]]*scheduleapr[[#This Row],[LENGTH]]*7.85)/1000000*scheduleapr[[#This Row],[DISPATCH]]/1000</f>
        <v>0</v>
      </c>
      <c r="AL289" s="1">
        <f t="shared" si="11"/>
        <v>0</v>
      </c>
      <c r="AM289" s="1" t="e">
        <f>scheduleapr[[#This Row],[SCHEDULE in nos]]/scheduleapr[[#This Row],[SCHEDULE IN MT]]*scheduleapr[[#This Row],[CTL Stock]]</f>
        <v>#DIV/0!</v>
      </c>
      <c r="AN289" s="1">
        <f>SUMIFS(stock[MT],stock[Bucket],scheduleapr[[#This Row],[Bucket]],stock[CTL Bucket],scheduleapr[[#This Row],[CTL Bucket]],stock[Plant],"0789")</f>
        <v>0</v>
      </c>
      <c r="AO289" s="1"/>
      <c r="AP289" s="1">
        <f>SUMIFS(stock[MT],stock[Bucket],scheduleapr[[#This Row],[Bucket]],stock[LL or CTL],"LL")</f>
        <v>0.19838500000000001</v>
      </c>
      <c r="AQ289" s="1">
        <f>+SUMIFS(wip[Stock(Net Wt)],wip[Bucket],scheduleapr[[#This Row],[Bucket]])/1000</f>
        <v>0</v>
      </c>
      <c r="AR289" s="1">
        <f t="shared" si="10"/>
        <v>0</v>
      </c>
      <c r="AS289" s="118"/>
    </row>
    <row r="290" spans="1:45" x14ac:dyDescent="0.25">
      <c r="A290" s="30">
        <v>231</v>
      </c>
      <c r="B290" s="5" t="s">
        <v>1872</v>
      </c>
      <c r="C290" s="2" t="s">
        <v>310</v>
      </c>
      <c r="D290" s="2" t="s">
        <v>952</v>
      </c>
      <c r="E290" s="2" t="s">
        <v>309</v>
      </c>
      <c r="F290" s="2">
        <v>2410997</v>
      </c>
      <c r="G290" s="2" t="str">
        <f>_xlfn.CONCAT(scheduleapr[[#This Row],[CUSTOMER CODE]],"-",scheduleapr[[#This Row],[MATERIAL NO]])</f>
        <v>930801|189227-2410997</v>
      </c>
      <c r="H290" s="2" t="s">
        <v>814</v>
      </c>
      <c r="I290" s="2" t="s">
        <v>357</v>
      </c>
      <c r="J290" s="2"/>
      <c r="K290" s="2" t="s">
        <v>357</v>
      </c>
      <c r="L290" s="2" t="s">
        <v>239</v>
      </c>
      <c r="M290" s="2"/>
      <c r="N290" s="2"/>
      <c r="O290" s="2"/>
      <c r="P290" s="2"/>
      <c r="Q290" s="557" t="str">
        <f>CONCATENATE(scheduleapr[[#This Row],[OD]],"-",scheduleapr[[#This Row],[ID]],"-",scheduleapr[[#This Row],[TICKNESS]],"-",scheduleapr[[#This Row],[Grade]],"-",scheduleapr[[#This Row],[FC/NFC]])</f>
        <v>25.4-19-3.2-CEW-CEW</v>
      </c>
      <c r="R290" s="557" t="str">
        <f>_xlfn.CONCAT(scheduleapr[[#This Row],[Bucket]],"-",scheduleapr[[#This Row],[LENGTH]]/1000)</f>
        <v>25.4-19-3.2-CEW-CEW-1</v>
      </c>
      <c r="S290" s="557">
        <f>COUNTIF(scheduleapr[CTL Bucket],scheduleapr[[#This Row],[CTL Bucket]])</f>
        <v>3</v>
      </c>
      <c r="T290" s="2" t="s">
        <v>1817</v>
      </c>
      <c r="U290" s="2">
        <f>_xlfn.IFNA(VLOOKUP(scheduleapr[[#This Row],[Bucket]],salesforecast[[#All],[Bucket2]:[8406 Stock]],19,0),0)</f>
        <v>0.19838500000000001</v>
      </c>
      <c r="V290" s="562">
        <f>_xlfn.IFNA(VLOOKUP(scheduleapr[[#This Row],[Bucket]],salesforecast[[#All],[Bucket2]:[8406 Stock]],20,0),0)+_xlfn.IFNA(VLOOKUP(scheduleapr[[#This Row],[Bucket]],salesforecast[[#All],[Bucket2]:[8406 Stock]],17,0),0)</f>
        <v>0</v>
      </c>
      <c r="W290" s="557"/>
      <c r="X290" s="1">
        <v>25.4</v>
      </c>
      <c r="Y290" s="1">
        <v>25.4</v>
      </c>
      <c r="Z290" s="1">
        <v>19</v>
      </c>
      <c r="AA290" s="1">
        <v>3.2</v>
      </c>
      <c r="AB290" s="24">
        <v>1000</v>
      </c>
      <c r="AC290" s="24" t="s">
        <v>444</v>
      </c>
      <c r="AD290" s="24"/>
      <c r="AE290" s="24"/>
      <c r="AF290" s="2">
        <v>2000</v>
      </c>
      <c r="AG290" s="2"/>
      <c r="AH290" s="2" cm="1">
        <f t="array" ref="AH2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2399.9999999999995</v>
      </c>
      <c r="AI290" s="4">
        <f>scheduleapr[[#This Row],[SCHEDULE in nos]]-scheduleapr[[#This Row],[DISPATCH]]</f>
        <v>-399.99999999999955</v>
      </c>
      <c r="AJ290" s="1">
        <f>(3.14*(scheduleapr[[#This Row],[ACTUAL OD]]-scheduleapr[[#This Row],[TICKNESS]])*scheduleapr[[#This Row],[TICKNESS]]*scheduleapr[[#This Row],[LENGTH]]*7.85)/1000000*scheduleapr[[#This Row],[SCHEDULE in nos]]/1000</f>
        <v>3.5021299199999998</v>
      </c>
      <c r="AK290" s="1">
        <f>(3.14*(scheduleapr[[#This Row],[ACTUAL OD]]-scheduleapr[[#This Row],[TICKNESS]])*scheduleapr[[#This Row],[TICKNESS]]*scheduleapr[[#This Row],[LENGTH]]*7.85)/1000000*scheduleapr[[#This Row],[DISPATCH]]/1000</f>
        <v>4.2025559039999987</v>
      </c>
      <c r="AL290" s="1">
        <f t="shared" si="11"/>
        <v>-0.70042598399999889</v>
      </c>
      <c r="AM290" s="1">
        <f>scheduleapr[[#This Row],[SCHEDULE in nos]]/scheduleapr[[#This Row],[SCHEDULE IN MT]]*scheduleapr[[#This Row],[CTL Stock]]</f>
        <v>0</v>
      </c>
      <c r="AN290" s="1">
        <f>SUMIFS(stock[MT],stock[Bucket],scheduleapr[[#This Row],[Bucket]],stock[CTL Bucket],scheduleapr[[#This Row],[CTL Bucket]],stock[Plant],"0789")</f>
        <v>0</v>
      </c>
      <c r="AO290" s="1"/>
      <c r="AP290" s="1">
        <f>SUMIFS(stock[MT],stock[Bucket],scheduleapr[[#This Row],[Bucket]],stock[LL or CTL],"LL")</f>
        <v>0.19838500000000001</v>
      </c>
      <c r="AQ290" s="1">
        <f>+SUMIFS(wip[Stock(Net Wt)],wip[Bucket],scheduleapr[[#This Row],[Bucket]])/1000</f>
        <v>0</v>
      </c>
      <c r="AR290" s="1">
        <f t="shared" si="10"/>
        <v>3.5021299199999998</v>
      </c>
      <c r="AS290" s="118"/>
    </row>
    <row r="291" spans="1:45" x14ac:dyDescent="0.25">
      <c r="A291" s="30">
        <v>278</v>
      </c>
      <c r="B291" s="5" t="s">
        <v>1872</v>
      </c>
      <c r="C291" s="2" t="s">
        <v>307</v>
      </c>
      <c r="D291" s="2" t="s">
        <v>952</v>
      </c>
      <c r="E291" s="2" t="s">
        <v>308</v>
      </c>
      <c r="F291" s="2">
        <v>2412748</v>
      </c>
      <c r="G291" s="2" t="str">
        <f>_xlfn.CONCAT(scheduleapr[[#This Row],[CUSTOMER CODE]],"-",scheduleapr[[#This Row],[MATERIAL NO]])</f>
        <v>189226|930794-2412748</v>
      </c>
      <c r="H291" s="2" t="s">
        <v>1969</v>
      </c>
      <c r="I291" s="2" t="s">
        <v>357</v>
      </c>
      <c r="J291" s="2"/>
      <c r="K291" s="2"/>
      <c r="L291" s="2" t="s">
        <v>239</v>
      </c>
      <c r="M291" s="2"/>
      <c r="N291" s="2"/>
      <c r="O291" s="2"/>
      <c r="P291" s="2"/>
      <c r="Q291" s="557" t="str">
        <f>CONCATENATE(scheduleapr[[#This Row],[OD]],"-",scheduleapr[[#This Row],[ID]],"-",scheduleapr[[#This Row],[TICKNESS]],"-",scheduleapr[[#This Row],[Grade]],"-",scheduleapr[[#This Row],[FC/NFC]])</f>
        <v>0.0960109875294564-0-2-CEW-</v>
      </c>
      <c r="R291" s="557" t="str">
        <f>_xlfn.CONCAT(scheduleapr[[#This Row],[Bucket]],"-",scheduleapr[[#This Row],[LENGTH]]/1000)</f>
        <v>0.0960109875294564-0-2-CEW--4.3</v>
      </c>
      <c r="S291" s="557" t="e" vm="2">
        <f>COUNTIF([2]!buckets[CTL Bucket],[2]!scheduleapr[[#This Row],[CTL Bucket]])</f>
        <v>#REF!</v>
      </c>
      <c r="T291" s="557"/>
      <c r="U291" s="557"/>
      <c r="V291" s="557"/>
      <c r="W291" s="557"/>
      <c r="X291" s="1">
        <v>33.299999999999997</v>
      </c>
      <c r="Y291" s="1">
        <v>9.601098752945636E-2</v>
      </c>
      <c r="Z291" s="1">
        <v>0</v>
      </c>
      <c r="AA291" s="1">
        <v>2</v>
      </c>
      <c r="AB291" s="24">
        <v>4300</v>
      </c>
      <c r="AC291" s="24"/>
      <c r="AD291" s="24"/>
      <c r="AE291" s="24"/>
      <c r="AF291" s="2"/>
      <c r="AG291" s="2"/>
      <c r="AH291" s="2" t="e" cm="1">
        <f t="array" ref="AH2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91" s="4" t="e">
        <f>scheduleapr[[#This Row],[SCHEDULE in nos]]-scheduleapr[[#This Row],[DISPATCH]]</f>
        <v>#N/A</v>
      </c>
      <c r="AJ291" s="1">
        <f>(3.14*(scheduleapr[[#This Row],[ACTUAL OD]]-scheduleapr[[#This Row],[TICKNESS]])*scheduleapr[[#This Row],[TICKNESS]]*scheduleapr[[#This Row],[LENGTH]]*7.85)/1000000*scheduleapr[[#This Row],[SCHEDULE in nos]]/1000</f>
        <v>0</v>
      </c>
      <c r="AK291" s="1" t="e">
        <f>(3.14*(scheduleapr[[#This Row],[ACTUAL OD]]-scheduleapr[[#This Row],[TICKNESS]])*scheduleapr[[#This Row],[TICKNESS]]*scheduleapr[[#This Row],[LENGTH]]*7.85)/1000000*scheduleapr[[#This Row],[DISPATCH]]/1000</f>
        <v>#N/A</v>
      </c>
      <c r="AL291" s="1" t="e">
        <f t="shared" si="11"/>
        <v>#N/A</v>
      </c>
      <c r="AM291" s="1" t="e">
        <f>scheduleapr[[#This Row],[SCHEDULE in nos]]/scheduleapr[[#This Row],[SCHEDULE IN MT]]*scheduleapr[[#This Row],[CTL Stock]]</f>
        <v>#DIV/0!</v>
      </c>
      <c r="AN291" s="1">
        <f>SUMIFS(stock[MT],stock[Bucket],scheduleapr[[#This Row],[Bucket]],stock[CTL Bucket],scheduleapr[[#This Row],[CTL Bucket]],stock[Plant],"0789")</f>
        <v>0</v>
      </c>
      <c r="AO291" s="1"/>
      <c r="AP291" s="1">
        <f>SUMIFS(stock[MT],stock[Bucket],scheduleapr[[#This Row],[Bucket]],stock[LL or CTL],"LL")</f>
        <v>0</v>
      </c>
      <c r="AQ291" s="1">
        <f>+SUMIFS(wip[Stock(Net Wt)],wip[Bucket],scheduleapr[[#This Row],[Bucket]])/1000</f>
        <v>0</v>
      </c>
      <c r="AR291" s="1">
        <f t="shared" si="10"/>
        <v>0</v>
      </c>
      <c r="AS291" s="118"/>
    </row>
    <row r="292" spans="1:45" x14ac:dyDescent="0.25">
      <c r="A292" s="30">
        <v>233</v>
      </c>
      <c r="B292" s="5" t="s">
        <v>1816</v>
      </c>
      <c r="C292" s="2" t="s">
        <v>310</v>
      </c>
      <c r="D292" s="2" t="s">
        <v>952</v>
      </c>
      <c r="E292" s="2" t="s">
        <v>309</v>
      </c>
      <c r="F292" s="2">
        <v>2410993</v>
      </c>
      <c r="G292" s="2" t="str">
        <f>_xlfn.CONCAT(scheduleapr[[#This Row],[CUSTOMER CODE]],"-",scheduleapr[[#This Row],[MATERIAL NO]])</f>
        <v>930801|189227-2410993</v>
      </c>
      <c r="H292" s="2" t="s">
        <v>1970</v>
      </c>
      <c r="I292" s="2" t="s">
        <v>357</v>
      </c>
      <c r="J292" s="2"/>
      <c r="K292" s="2"/>
      <c r="L292" s="2" t="s">
        <v>239</v>
      </c>
      <c r="M292" s="2"/>
      <c r="N292" s="2"/>
      <c r="O292" s="2"/>
      <c r="P292" s="2"/>
      <c r="Q292" s="557" t="str">
        <f>CONCATENATE(scheduleapr[[#This Row],[OD]],"-",scheduleapr[[#This Row],[ID]],"-",scheduleapr[[#This Row],[TICKNESS]],"-",scheduleapr[[#This Row],[Grade]],"-",scheduleapr[[#This Row],[FC/NFC]])</f>
        <v>2.29999955264502-29.3-2-CEW-</v>
      </c>
      <c r="R292" s="557" t="str">
        <f>_xlfn.CONCAT(scheduleapr[[#This Row],[Bucket]],"-",scheduleapr[[#This Row],[LENGTH]]/1000)</f>
        <v>2.29999955264502-29.3-2-CEW--4.5</v>
      </c>
      <c r="S292" s="557" t="e" vm="2">
        <f>COUNTIF([2]!buckets[CTL Bucket],[2]!scheduleapr[[#This Row],[CTL Bucket]])</f>
        <v>#REF!</v>
      </c>
      <c r="T292" s="557"/>
      <c r="U292" s="557"/>
      <c r="V292" s="557"/>
      <c r="W292" s="557"/>
      <c r="X292" s="1">
        <v>33.299999999999997</v>
      </c>
      <c r="Y292" s="1">
        <v>2.2999995526450192</v>
      </c>
      <c r="Z292" s="1">
        <v>29.3</v>
      </c>
      <c r="AA292" s="1">
        <v>2</v>
      </c>
      <c r="AB292" s="24">
        <v>4500</v>
      </c>
      <c r="AC292" s="24"/>
      <c r="AD292" s="24"/>
      <c r="AE292" s="24"/>
      <c r="AF292" s="2"/>
      <c r="AG292" s="2"/>
      <c r="AH292" s="2" t="e" cm="1">
        <f t="array" ref="AH2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92" s="4" t="e">
        <f>scheduleapr[[#This Row],[SCHEDULE in nos]]-scheduleapr[[#This Row],[DISPATCH]]</f>
        <v>#N/A</v>
      </c>
      <c r="AJ292" s="1">
        <f>(3.14*(scheduleapr[[#This Row],[ACTUAL OD]]-scheduleapr[[#This Row],[TICKNESS]])*scheduleapr[[#This Row],[TICKNESS]]*scheduleapr[[#This Row],[LENGTH]]*7.85)/1000000*scheduleapr[[#This Row],[SCHEDULE in nos]]/1000</f>
        <v>0</v>
      </c>
      <c r="AK292" s="1" t="e">
        <f>(3.14*(scheduleapr[[#This Row],[ACTUAL OD]]-scheduleapr[[#This Row],[TICKNESS]])*scheduleapr[[#This Row],[TICKNESS]]*scheduleapr[[#This Row],[LENGTH]]*7.85)/1000000*scheduleapr[[#This Row],[DISPATCH]]/1000</f>
        <v>#N/A</v>
      </c>
      <c r="AL292" s="1" t="e">
        <f t="shared" si="11"/>
        <v>#N/A</v>
      </c>
      <c r="AM292" s="1" t="e">
        <f>scheduleapr[[#This Row],[SCHEDULE in nos]]/scheduleapr[[#This Row],[SCHEDULE IN MT]]*scheduleapr[[#This Row],[CTL Stock]]</f>
        <v>#DIV/0!</v>
      </c>
      <c r="AN292" s="1">
        <f>SUMIFS(stock[MT],stock[Bucket],scheduleapr[[#This Row],[Bucket]],stock[CTL Bucket],scheduleapr[[#This Row],[CTL Bucket]],stock[Plant],"0789")</f>
        <v>0</v>
      </c>
      <c r="AO292" s="1"/>
      <c r="AP292" s="1">
        <f>SUMIFS(stock[MT],stock[Bucket],scheduleapr[[#This Row],[Bucket]],stock[LL or CTL],"LL")</f>
        <v>0</v>
      </c>
      <c r="AQ292" s="1">
        <f>+SUMIFS(wip[Stock(Net Wt)],wip[Bucket],scheduleapr[[#This Row],[Bucket]])/1000</f>
        <v>0</v>
      </c>
      <c r="AR292" s="1">
        <f t="shared" si="10"/>
        <v>0</v>
      </c>
      <c r="AS292" s="118"/>
    </row>
    <row r="293" spans="1:45" x14ac:dyDescent="0.25">
      <c r="A293" s="30">
        <v>234</v>
      </c>
      <c r="B293" s="5" t="s">
        <v>1816</v>
      </c>
      <c r="C293" s="2" t="s">
        <v>310</v>
      </c>
      <c r="D293" s="2" t="s">
        <v>952</v>
      </c>
      <c r="E293" s="2" t="s">
        <v>309</v>
      </c>
      <c r="F293" s="2">
        <v>238413</v>
      </c>
      <c r="G293" s="2" t="str">
        <f>_xlfn.CONCAT(scheduleapr[[#This Row],[CUSTOMER CODE]],"-",scheduleapr[[#This Row],[MATERIAL NO]])</f>
        <v>930801|189227-238413</v>
      </c>
      <c r="H293" s="2"/>
      <c r="I293" s="2" t="s">
        <v>357</v>
      </c>
      <c r="J293" s="2"/>
      <c r="K293" s="2" t="s">
        <v>357</v>
      </c>
      <c r="L293" s="2" t="s">
        <v>239</v>
      </c>
      <c r="M293" s="2"/>
      <c r="N293" s="2"/>
      <c r="O293" s="2"/>
      <c r="P293" s="2"/>
      <c r="Q293" s="557" t="str">
        <f>CONCATENATE(scheduleapr[[#This Row],[OD]],"-",scheduleapr[[#This Row],[ID]],"-",scheduleapr[[#This Row],[TICKNESS]],"-",scheduleapr[[#This Row],[Grade]],"-",scheduleapr[[#This Row],[FC/NFC]])</f>
        <v>37.95-32-2.95-CEW-CEW</v>
      </c>
      <c r="R293" s="557" t="str">
        <f>_xlfn.CONCAT(scheduleapr[[#This Row],[Bucket]],"-",scheduleapr[[#This Row],[LENGTH]]/1000)</f>
        <v>37.95-32-2.95-CEW-CEW-0.94</v>
      </c>
      <c r="S293" s="2" t="e" vm="2">
        <f>COUNTIF([2]!buckets[CTL Bucket],[2]!scheduleapr[[#This Row],[CTL Bucket]])</f>
        <v>#REF!</v>
      </c>
      <c r="T293" s="2"/>
      <c r="U293" s="2"/>
      <c r="V293" s="2"/>
      <c r="W293" s="2"/>
      <c r="X293" s="1">
        <v>37.950000000000003</v>
      </c>
      <c r="Y293" s="1">
        <v>37.950000000000003</v>
      </c>
      <c r="Z293" s="6">
        <v>32</v>
      </c>
      <c r="AA293" s="1">
        <v>2.95</v>
      </c>
      <c r="AB293" s="24">
        <v>940</v>
      </c>
      <c r="AC293" s="24" t="s">
        <v>397</v>
      </c>
      <c r="AD293" s="24"/>
      <c r="AE293" s="24"/>
      <c r="AF293" s="2"/>
      <c r="AG293" s="2"/>
      <c r="AH293" s="2" cm="1">
        <f t="array" ref="AH2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3" s="4">
        <f>scheduleapr[[#This Row],[SCHEDULE in nos]]-scheduleapr[[#This Row],[DISPATCH]]</f>
        <v>0</v>
      </c>
      <c r="AJ293" s="1">
        <f>(3.14*(scheduleapr[[#This Row],[ACTUAL OD]]-scheduleapr[[#This Row],[TICKNESS]])*scheduleapr[[#This Row],[TICKNESS]]*scheduleapr[[#This Row],[LENGTH]]*7.85)/1000000*scheduleapr[[#This Row],[SCHEDULE in nos]]/1000</f>
        <v>0</v>
      </c>
      <c r="AK293" s="1">
        <f>(3.14*(scheduleapr[[#This Row],[ACTUAL OD]]-scheduleapr[[#This Row],[TICKNESS]])*scheduleapr[[#This Row],[TICKNESS]]*scheduleapr[[#This Row],[LENGTH]]*7.85)/1000000*scheduleapr[[#This Row],[DISPATCH]]/1000</f>
        <v>0</v>
      </c>
      <c r="AL293" s="1">
        <f t="shared" si="11"/>
        <v>0</v>
      </c>
      <c r="AM293" s="1" t="e">
        <f>scheduleapr[[#This Row],[SCHEDULE in nos]]/scheduleapr[[#This Row],[SCHEDULE IN MT]]*scheduleapr[[#This Row],[CTL Stock]]</f>
        <v>#DIV/0!</v>
      </c>
      <c r="AN293" s="1">
        <f>SUMIFS(stock[MT],stock[Bucket],scheduleapr[[#This Row],[Bucket]],stock[CTL Bucket],scheduleapr[[#This Row],[CTL Bucket]],stock[Plant],"0789")</f>
        <v>0</v>
      </c>
      <c r="AO293" s="1"/>
      <c r="AP293" s="1">
        <f>SUMIFS(stock[MT],stock[Bucket],scheduleapr[[#This Row],[Bucket]],stock[LL or CTL],"LL")</f>
        <v>27.475126000000003</v>
      </c>
      <c r="AQ293" s="1">
        <f>+SUMIFS(wip[Stock(Net Wt)],wip[Bucket],scheduleapr[[#This Row],[Bucket]])/1000</f>
        <v>0</v>
      </c>
      <c r="AR293" s="1">
        <f t="shared" si="10"/>
        <v>0</v>
      </c>
      <c r="AS293" s="118"/>
    </row>
    <row r="294" spans="1:45" x14ac:dyDescent="0.25">
      <c r="A294" s="30">
        <v>249</v>
      </c>
      <c r="B294" s="564"/>
      <c r="C294" s="2" t="s">
        <v>307</v>
      </c>
      <c r="D294" s="2" t="s">
        <v>952</v>
      </c>
      <c r="E294" s="2" t="s">
        <v>308</v>
      </c>
      <c r="F294" s="2">
        <v>238413</v>
      </c>
      <c r="G294" s="2" t="str">
        <f>_xlfn.CONCAT(scheduleapr[[#This Row],[CUSTOMER CODE]],"-",scheduleapr[[#This Row],[MATERIAL NO]])</f>
        <v>189226|930794-238413</v>
      </c>
      <c r="H294" s="2" t="s">
        <v>1971</v>
      </c>
      <c r="I294" s="2" t="s">
        <v>357</v>
      </c>
      <c r="J294" s="557"/>
      <c r="K294" s="2" t="s">
        <v>357</v>
      </c>
      <c r="L294" s="557"/>
      <c r="M294" s="557"/>
      <c r="N294" s="557"/>
      <c r="O294" s="557"/>
      <c r="P294" s="557"/>
      <c r="Q294" s="557" t="str">
        <f>CONCATENATE(scheduleapr[[#This Row],[OD]],"-",scheduleapr[[#This Row],[ID]],"-",scheduleapr[[#This Row],[TICKNESS]],"-",scheduleapr[[#This Row],[Grade]],"-",scheduleapr[[#This Row],[FC/NFC]])</f>
        <v>37.95-32-2.95-CEW-CEW</v>
      </c>
      <c r="R294" s="557" t="str">
        <f>_xlfn.CONCAT(scheduleapr[[#This Row],[Bucket]],"-",scheduleapr[[#This Row],[LENGTH]]/1000)</f>
        <v>37.95-32-2.95-CEW-CEW-0.94</v>
      </c>
      <c r="S294" s="557" t="e" vm="2">
        <f>COUNTIF([2]!buckets[CTL Bucket],[2]!scheduleapr[[#This Row],[CTL Bucket]])</f>
        <v>#REF!</v>
      </c>
      <c r="T294" s="2" t="s">
        <v>1817</v>
      </c>
      <c r="U294" s="2"/>
      <c r="V294" s="557"/>
      <c r="W294" s="557"/>
      <c r="X294" s="1">
        <v>37.950000000000003</v>
      </c>
      <c r="Y294" s="1">
        <v>37.950000000000003</v>
      </c>
      <c r="Z294" s="6">
        <v>32</v>
      </c>
      <c r="AA294" s="1">
        <v>2.95</v>
      </c>
      <c r="AB294" s="24">
        <v>940</v>
      </c>
      <c r="AC294" s="24" t="s">
        <v>397</v>
      </c>
      <c r="AD294" s="24"/>
      <c r="AE294" s="24"/>
      <c r="AF294" s="2"/>
      <c r="AG294" s="2"/>
      <c r="AH294" s="2" cm="1">
        <f t="array" ref="AH2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4" s="4">
        <f>scheduleapr[[#This Row],[SCHEDULE in nos]]-scheduleapr[[#This Row],[DISPATCH]]</f>
        <v>0</v>
      </c>
      <c r="AJ294" s="1">
        <f>(3.14*(scheduleapr[[#This Row],[ACTUAL OD]]-scheduleapr[[#This Row],[TICKNESS]])*scheduleapr[[#This Row],[TICKNESS]]*scheduleapr[[#This Row],[LENGTH]]*7.85)/1000000*scheduleapr[[#This Row],[SCHEDULE in nos]]/1000</f>
        <v>0</v>
      </c>
      <c r="AK294" s="1">
        <f>(3.14*(scheduleapr[[#This Row],[ACTUAL OD]]-scheduleapr[[#This Row],[TICKNESS]])*scheduleapr[[#This Row],[TICKNESS]]*scheduleapr[[#This Row],[LENGTH]]*7.85)/1000000*scheduleapr[[#This Row],[DISPATCH]]/1000</f>
        <v>0</v>
      </c>
      <c r="AL294" s="1">
        <f t="shared" si="11"/>
        <v>0</v>
      </c>
      <c r="AM294" s="1" t="e">
        <f>scheduleapr[[#This Row],[SCHEDULE in nos]]/scheduleapr[[#This Row],[SCHEDULE IN MT]]*scheduleapr[[#This Row],[CTL Stock]]</f>
        <v>#DIV/0!</v>
      </c>
      <c r="AN294" s="1">
        <f>SUMIFS(stock[MT],stock[Bucket],scheduleapr[[#This Row],[Bucket]],stock[CTL Bucket],scheduleapr[[#This Row],[CTL Bucket]],stock[Plant],"0789")</f>
        <v>0</v>
      </c>
      <c r="AO294" s="1"/>
      <c r="AP294" s="1">
        <f>SUMIFS(stock[MT],stock[Bucket],scheduleapr[[#This Row],[Bucket]],stock[LL or CTL],"LL")</f>
        <v>27.475126000000003</v>
      </c>
      <c r="AQ294" s="1">
        <f>+SUMIFS(wip[Stock(Net Wt)],wip[Bucket],scheduleapr[[#This Row],[Bucket]])/1000</f>
        <v>0</v>
      </c>
      <c r="AR294" s="1">
        <f t="shared" si="10"/>
        <v>0</v>
      </c>
      <c r="AS294" s="118"/>
    </row>
    <row r="295" spans="1:45" x14ac:dyDescent="0.25">
      <c r="A295" s="30">
        <v>280</v>
      </c>
      <c r="B295" s="5" t="s">
        <v>1928</v>
      </c>
      <c r="C295" s="2" t="s">
        <v>310</v>
      </c>
      <c r="D295" s="2" t="s">
        <v>952</v>
      </c>
      <c r="E295" s="2" t="s">
        <v>309</v>
      </c>
      <c r="F295" s="2">
        <v>238413</v>
      </c>
      <c r="G295" s="2" t="str">
        <f>_xlfn.CONCAT(scheduleapr[[#This Row],[CUSTOMER CODE]],"-",scheduleapr[[#This Row],[MATERIAL NO]])</f>
        <v>930801|189227-238413</v>
      </c>
      <c r="H295" s="2" t="s">
        <v>1971</v>
      </c>
      <c r="I295" s="2" t="s">
        <v>357</v>
      </c>
      <c r="J295" s="2"/>
      <c r="K295" s="2" t="s">
        <v>357</v>
      </c>
      <c r="L295" s="2" t="s">
        <v>239</v>
      </c>
      <c r="M295" s="2"/>
      <c r="N295" s="2"/>
      <c r="O295" s="2"/>
      <c r="P295" s="2"/>
      <c r="Q295" s="557" t="str">
        <f>CONCATENATE(scheduleapr[[#This Row],[OD]],"-",scheduleapr[[#This Row],[ID]],"-",scheduleapr[[#This Row],[TICKNESS]],"-",scheduleapr[[#This Row],[Grade]],"-",scheduleapr[[#This Row],[FC/NFC]])</f>
        <v>37.95-32-2.95-CEW-CEW</v>
      </c>
      <c r="R295" s="557" t="str">
        <f>_xlfn.CONCAT(scheduleapr[[#This Row],[Bucket]],"-",scheduleapr[[#This Row],[LENGTH]]/1000)</f>
        <v>37.95-32-2.95-CEW-CEW-1</v>
      </c>
      <c r="S295" s="557">
        <f>COUNTIF(scheduleapr[CTL Bucket],scheduleapr[[#This Row],[CTL Bucket]])</f>
        <v>1</v>
      </c>
      <c r="T295" s="2" t="s">
        <v>1817</v>
      </c>
      <c r="U295" s="2">
        <f>_xlfn.IFNA(VLOOKUP(scheduleapr[[#This Row],[Bucket]],salesforecast[[#All],[Bucket2]:[8406 Stock]],19,0),0)</f>
        <v>14.742126000000001</v>
      </c>
      <c r="V295" s="562">
        <f>_xlfn.IFNA(VLOOKUP(scheduleapr[[#This Row],[Bucket]],salesforecast[[#All],[Bucket2]:[8406 Stock]],20,0),0)+_xlfn.IFNA(VLOOKUP(scheduleapr[[#This Row],[Bucket]],salesforecast[[#All],[Bucket2]:[8406 Stock]],17,0),0)</f>
        <v>0</v>
      </c>
      <c r="W295" s="557"/>
      <c r="X295" s="1">
        <v>37.950000000000003</v>
      </c>
      <c r="Y295" s="1">
        <v>37.950000000000003</v>
      </c>
      <c r="Z295" s="6">
        <v>32</v>
      </c>
      <c r="AA295" s="1">
        <v>2.95</v>
      </c>
      <c r="AB295" s="24">
        <v>1000</v>
      </c>
      <c r="AC295" s="24" t="s">
        <v>444</v>
      </c>
      <c r="AD295" s="24"/>
      <c r="AE295" s="24"/>
      <c r="AF295" s="2">
        <v>3000</v>
      </c>
      <c r="AG295" s="2"/>
      <c r="AH295" s="2" cm="1">
        <f t="array" ref="AH2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5" s="4">
        <f>scheduleapr[[#This Row],[SCHEDULE in nos]]-scheduleapr[[#This Row],[DISPATCH]]</f>
        <v>3000</v>
      </c>
      <c r="AJ295" s="1">
        <f>(3.14*(scheduleapr[[#This Row],[ACTUAL OD]]-scheduleapr[[#This Row],[TICKNESS]])*scheduleapr[[#This Row],[TICKNESS]]*scheduleapr[[#This Row],[LENGTH]]*7.85)/1000000*scheduleapr[[#This Row],[SCHEDULE in nos]]/1000</f>
        <v>7.6350277500000017</v>
      </c>
      <c r="AK295" s="1">
        <f>(3.14*(scheduleapr[[#This Row],[ACTUAL OD]]-scheduleapr[[#This Row],[TICKNESS]])*scheduleapr[[#This Row],[TICKNESS]]*scheduleapr[[#This Row],[LENGTH]]*7.85)/1000000*scheduleapr[[#This Row],[DISPATCH]]/1000</f>
        <v>0</v>
      </c>
      <c r="AL295" s="1">
        <f t="shared" si="11"/>
        <v>7.6350277500000017</v>
      </c>
      <c r="AM295" s="1">
        <f>scheduleapr[[#This Row],[SCHEDULE in nos]]/scheduleapr[[#This Row],[SCHEDULE IN MT]]*scheduleapr[[#This Row],[CTL Stock]]</f>
        <v>0</v>
      </c>
      <c r="AN295" s="1">
        <f>SUMIFS(stock[MT],stock[Bucket],scheduleapr[[#This Row],[Bucket]],stock[CTL Bucket],scheduleapr[[#This Row],[CTL Bucket]],stock[Plant],"0789")</f>
        <v>0</v>
      </c>
      <c r="AO295" s="1"/>
      <c r="AP295" s="1">
        <f>SUMIFS(stock[MT],stock[Bucket],scheduleapr[[#This Row],[Bucket]],stock[LL or CTL],"LL")</f>
        <v>27.475126000000003</v>
      </c>
      <c r="AQ295" s="1">
        <f>+SUMIFS(wip[Stock(Net Wt)],wip[Bucket],scheduleapr[[#This Row],[Bucket]])/1000</f>
        <v>0</v>
      </c>
      <c r="AR295" s="1">
        <f t="shared" si="10"/>
        <v>7.6350277500000017</v>
      </c>
      <c r="AS295" s="118"/>
    </row>
    <row r="296" spans="1:45" x14ac:dyDescent="0.25">
      <c r="A296" s="30">
        <v>247</v>
      </c>
      <c r="B296" s="5" t="s">
        <v>1816</v>
      </c>
      <c r="C296" s="2" t="s">
        <v>307</v>
      </c>
      <c r="D296" s="2" t="s">
        <v>952</v>
      </c>
      <c r="E296" s="2" t="s">
        <v>308</v>
      </c>
      <c r="F296" s="2">
        <v>1939991</v>
      </c>
      <c r="G296" s="2" t="str">
        <f>_xlfn.CONCAT(scheduleapr[[#This Row],[CUSTOMER CODE]],"-",scheduleapr[[#This Row],[MATERIAL NO]])</f>
        <v>189226|930794-1939991</v>
      </c>
      <c r="H296" s="2" t="s">
        <v>1147</v>
      </c>
      <c r="I296" s="2" t="s">
        <v>962</v>
      </c>
      <c r="J296" s="2"/>
      <c r="K296" s="2" t="s">
        <v>963</v>
      </c>
      <c r="L296" s="2" t="s">
        <v>1867</v>
      </c>
      <c r="M296" s="2" t="s">
        <v>1881</v>
      </c>
      <c r="N296" s="2"/>
      <c r="O296" s="2"/>
      <c r="P296" s="2"/>
      <c r="Q296" s="557" t="str">
        <f>CONCATENATE(scheduleapr[[#This Row],[OD]],"-",scheduleapr[[#This Row],[ID]],"-",scheduleapr[[#This Row],[TICKNESS]],"-",scheduleapr[[#This Row],[Grade]],"-",scheduleapr[[#This Row],[FC/NFC]])</f>
        <v>12.7-0-1.6-ERW 1-PE</v>
      </c>
      <c r="R296" s="557" t="str">
        <f>_xlfn.CONCAT(scheduleapr[[#This Row],[Bucket]],"-",scheduleapr[[#This Row],[LENGTH]]/1000)</f>
        <v>12.7-0-1.6-ERW 1-PE-0.145</v>
      </c>
      <c r="S296" s="557">
        <f>COUNTIF(scheduleapr[CTL Bucket],scheduleapr[[#This Row],[CTL Bucket]])</f>
        <v>1</v>
      </c>
      <c r="T296" s="2" t="s">
        <v>1816</v>
      </c>
      <c r="U296" s="2">
        <f>_xlfn.IFNA(VLOOKUP(scheduleapr[[#This Row],[Bucket]],salesforecast[[#All],[Bucket2]:[8406 Stock]],19,0),0)</f>
        <v>0</v>
      </c>
      <c r="V296" s="562">
        <f>_xlfn.IFNA(VLOOKUP(scheduleapr[[#This Row],[Bucket]],salesforecast[[#All],[Bucket2]:[8406 Stock]],20,0),0)+_xlfn.IFNA(VLOOKUP(scheduleapr[[#This Row],[Bucket]],salesforecast[[#All],[Bucket2]:[8406 Stock]],17,0),0)</f>
        <v>0</v>
      </c>
      <c r="W296" s="557"/>
      <c r="X296" s="1">
        <v>12.7</v>
      </c>
      <c r="Y296" s="1">
        <v>12.7</v>
      </c>
      <c r="Z296" s="6">
        <v>0</v>
      </c>
      <c r="AA296" s="1">
        <v>1.6</v>
      </c>
      <c r="AB296" s="22">
        <v>145</v>
      </c>
      <c r="AC296" s="22" t="s">
        <v>397</v>
      </c>
      <c r="AD296" s="22"/>
      <c r="AE296" s="22"/>
      <c r="AF296" s="2">
        <v>15000</v>
      </c>
      <c r="AG296" s="2"/>
      <c r="AH296" s="2" cm="1">
        <f t="array" ref="AH2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6" s="4">
        <f>scheduleapr[[#This Row],[SCHEDULE in nos]]-scheduleapr[[#This Row],[DISPATCH]]</f>
        <v>15000</v>
      </c>
      <c r="AJ296" s="1">
        <f>(3.14*(scheduleapr[[#This Row],[ACTUAL OD]]-scheduleapr[[#This Row],[TICKNESS]])*scheduleapr[[#This Row],[TICKNESS]]*scheduleapr[[#This Row],[LENGTH]]*7.85)/1000000*scheduleapr[[#This Row],[SCHEDULE in nos]]/1000</f>
        <v>0.95214157200000005</v>
      </c>
      <c r="AK296" s="1">
        <f>(3.14*(scheduleapr[[#This Row],[ACTUAL OD]]-scheduleapr[[#This Row],[TICKNESS]])*scheduleapr[[#This Row],[TICKNESS]]*scheduleapr[[#This Row],[LENGTH]]*7.85)/1000000*scheduleapr[[#This Row],[DISPATCH]]/1000</f>
        <v>0</v>
      </c>
      <c r="AL296" s="1">
        <f t="shared" si="11"/>
        <v>0.95214157200000005</v>
      </c>
      <c r="AM296" s="1">
        <f>scheduleapr[[#This Row],[SCHEDULE in nos]]/scheduleapr[[#This Row],[SCHEDULE IN MT]]*scheduleapr[[#This Row],[CTL Stock]]</f>
        <v>0</v>
      </c>
      <c r="AN296" s="1">
        <f>SUMIFS(stock[MT],stock[Bucket],scheduleapr[[#This Row],[Bucket]],stock[CTL Bucket],scheduleapr[[#This Row],[CTL Bucket]],stock[Plant],"0789")</f>
        <v>0</v>
      </c>
      <c r="AO296" s="1"/>
      <c r="AP296" s="1">
        <f>SUMIFS(stock[MT],stock[Bucket],scheduleapr[[#This Row],[Bucket]],stock[LL or CTL],"LL")</f>
        <v>6.5656999999999993E-2</v>
      </c>
      <c r="AQ296" s="1">
        <f>+SUMIFS(wip[Stock(Net Wt)],wip[Bucket],scheduleapr[[#This Row],[Bucket]])/1000</f>
        <v>8.9860000000000007</v>
      </c>
      <c r="AR296" s="1">
        <f t="shared" si="10"/>
        <v>0.95214157200000005</v>
      </c>
      <c r="AS296" s="118"/>
    </row>
    <row r="297" spans="1:45" x14ac:dyDescent="0.25">
      <c r="A297" s="30">
        <v>248</v>
      </c>
      <c r="B297" s="5" t="s">
        <v>1816</v>
      </c>
      <c r="C297" s="2" t="s">
        <v>310</v>
      </c>
      <c r="D297" s="2" t="s">
        <v>952</v>
      </c>
      <c r="E297" s="2" t="s">
        <v>308</v>
      </c>
      <c r="F297" s="2">
        <v>1931237</v>
      </c>
      <c r="G297" s="2" t="str">
        <f>_xlfn.CONCAT(scheduleapr[[#This Row],[CUSTOMER CODE]],"-",scheduleapr[[#This Row],[MATERIAL NO]])</f>
        <v>189226|930794-1931237</v>
      </c>
      <c r="H297" s="2" t="s">
        <v>1972</v>
      </c>
      <c r="I297" s="2" t="s">
        <v>962</v>
      </c>
      <c r="J297" s="2"/>
      <c r="K297" s="2" t="s">
        <v>963</v>
      </c>
      <c r="L297" s="2" t="s">
        <v>239</v>
      </c>
      <c r="M297" s="2"/>
      <c r="N297" s="2"/>
      <c r="O297" s="2"/>
      <c r="P297" s="2"/>
      <c r="Q297" s="557" t="str">
        <f>CONCATENATE(scheduleapr[[#This Row],[OD]],"-",scheduleapr[[#This Row],[ID]],"-",scheduleapr[[#This Row],[TICKNESS]],"-",scheduleapr[[#This Row],[Grade]],"-",scheduleapr[[#This Row],[FC/NFC]])</f>
        <v>12.7-0-2-ERW 1-PE</v>
      </c>
      <c r="R297" s="557" t="str">
        <f>_xlfn.CONCAT(scheduleapr[[#This Row],[Bucket]],"-",scheduleapr[[#This Row],[LENGTH]]/1000)</f>
        <v>12.7-0-2-ERW 1-PE-1</v>
      </c>
      <c r="S297" s="557" t="e" vm="2">
        <f>COUNTIF([2]!buckets[CTL Bucket],[2]!scheduleapr[[#This Row],[CTL Bucket]])</f>
        <v>#REF!</v>
      </c>
      <c r="T297" s="557"/>
      <c r="U297" s="2">
        <f>_xlfn.IFNA(VLOOKUP(scheduleapr[[#This Row],[Bucket]],salesforecast[[#All],[Bucket2]:[8406 Stock]],19,0),0)</f>
        <v>0</v>
      </c>
      <c r="V297" s="562">
        <f>_xlfn.IFNA(VLOOKUP(scheduleapr[[#This Row],[Bucket]],salesforecast[[#All],[Bucket2]:[8406 Stock]],20,0),0)+_xlfn.IFNA(VLOOKUP(scheduleapr[[#This Row],[Bucket]],salesforecast[[#All],[Bucket2]:[8406 Stock]],17,0),0)</f>
        <v>0</v>
      </c>
      <c r="W297" s="557"/>
      <c r="X297" s="1">
        <v>12.7</v>
      </c>
      <c r="Y297" s="1">
        <v>12.7</v>
      </c>
      <c r="Z297" s="6">
        <v>0</v>
      </c>
      <c r="AA297" s="1">
        <v>2</v>
      </c>
      <c r="AB297" s="24">
        <v>1000</v>
      </c>
      <c r="AC297" s="24" t="s">
        <v>444</v>
      </c>
      <c r="AD297" s="24"/>
      <c r="AE297" s="24"/>
      <c r="AF297" s="2"/>
      <c r="AG297" s="2"/>
      <c r="AH297" s="2" cm="1">
        <f t="array" ref="AH2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7" s="4">
        <f>scheduleapr[[#This Row],[SCHEDULE in nos]]-scheduleapr[[#This Row],[DISPATCH]]</f>
        <v>0</v>
      </c>
      <c r="AJ297" s="1">
        <f>(3.14*(scheduleapr[[#This Row],[ACTUAL OD]]-scheduleapr[[#This Row],[TICKNESS]])*scheduleapr[[#This Row],[TICKNESS]]*scheduleapr[[#This Row],[LENGTH]]*7.85)/1000000*scheduleapr[[#This Row],[SCHEDULE in nos]]/1000</f>
        <v>0</v>
      </c>
      <c r="AK297" s="1">
        <f>(3.14*(scheduleapr[[#This Row],[ACTUAL OD]]-scheduleapr[[#This Row],[TICKNESS]])*scheduleapr[[#This Row],[TICKNESS]]*scheduleapr[[#This Row],[LENGTH]]*7.85)/1000000*scheduleapr[[#This Row],[DISPATCH]]/1000</f>
        <v>0</v>
      </c>
      <c r="AL297" s="1">
        <f t="shared" si="11"/>
        <v>0</v>
      </c>
      <c r="AM297" s="1" t="e">
        <f>scheduleapr[[#This Row],[SCHEDULE in nos]]/scheduleapr[[#This Row],[SCHEDULE IN MT]]*scheduleapr[[#This Row],[CTL Stock]]</f>
        <v>#DIV/0!</v>
      </c>
      <c r="AN297" s="1">
        <f>SUMIFS(stock[MT],stock[Bucket],scheduleapr[[#This Row],[Bucket]],stock[CTL Bucket],scheduleapr[[#This Row],[CTL Bucket]],stock[Plant],"0789")</f>
        <v>0</v>
      </c>
      <c r="AO297" s="1"/>
      <c r="AP297" s="1">
        <f>SUMIFS(stock[MT],stock[Bucket],scheduleapr[[#This Row],[Bucket]],stock[LL or CTL],"LL")</f>
        <v>0</v>
      </c>
      <c r="AQ297" s="1">
        <f>+SUMIFS(wip[Stock(Net Wt)],wip[Bucket],scheduleapr[[#This Row],[Bucket]])/1000</f>
        <v>0</v>
      </c>
      <c r="AR297" s="1">
        <f t="shared" si="10"/>
        <v>0</v>
      </c>
      <c r="AS297" s="118"/>
    </row>
    <row r="298" spans="1:45" x14ac:dyDescent="0.25">
      <c r="A298" s="30">
        <v>216</v>
      </c>
      <c r="B298" s="5" t="s">
        <v>1816</v>
      </c>
      <c r="C298" s="2" t="s">
        <v>310</v>
      </c>
      <c r="D298" s="2" t="s">
        <v>952</v>
      </c>
      <c r="E298" s="2" t="s">
        <v>309</v>
      </c>
      <c r="F298" s="2">
        <v>1940019</v>
      </c>
      <c r="G298" s="2" t="str">
        <f>_xlfn.CONCAT(scheduleapr[[#This Row],[CUSTOMER CODE]],"-",scheduleapr[[#This Row],[MATERIAL NO]])</f>
        <v>930801|189227-1940019</v>
      </c>
      <c r="H298" s="2" t="s">
        <v>1973</v>
      </c>
      <c r="I298" s="2" t="s">
        <v>962</v>
      </c>
      <c r="J298" s="2"/>
      <c r="K298" s="2" t="s">
        <v>963</v>
      </c>
      <c r="L298" s="2" t="s">
        <v>1867</v>
      </c>
      <c r="M298" s="2"/>
      <c r="N298" s="2"/>
      <c r="O298" s="2"/>
      <c r="P298" s="2"/>
      <c r="Q298" s="557" t="str">
        <f>CONCATENATE(scheduleapr[[#This Row],[OD]],"-",scheduleapr[[#This Row],[ID]],"-",scheduleapr[[#This Row],[TICKNESS]],"-",scheduleapr[[#This Row],[Grade]],"-",scheduleapr[[#This Row],[FC/NFC]])</f>
        <v>15.88-0-1-ERW 1-PE</v>
      </c>
      <c r="R298" s="557" t="str">
        <f>_xlfn.CONCAT(scheduleapr[[#This Row],[Bucket]],"-",scheduleapr[[#This Row],[LENGTH]]/1000)</f>
        <v>15.88-0-1-ERW 1-PE-0.14</v>
      </c>
      <c r="S298" s="557">
        <f>COUNTIF(scheduleapr[CTL Bucket],scheduleapr[[#This Row],[CTL Bucket]])</f>
        <v>1</v>
      </c>
      <c r="T298" s="2" t="s">
        <v>1816</v>
      </c>
      <c r="U298" s="2">
        <f>_xlfn.IFNA(VLOOKUP(scheduleapr[[#This Row],[Bucket]],salesforecast[[#All],[Bucket2]:[8406 Stock]],19,0),0)</f>
        <v>0</v>
      </c>
      <c r="V298" s="562">
        <f>_xlfn.IFNA(VLOOKUP(scheduleapr[[#This Row],[Bucket]],salesforecast[[#All],[Bucket2]:[8406 Stock]],20,0),0)+_xlfn.IFNA(VLOOKUP(scheduleapr[[#This Row],[Bucket]],salesforecast[[#All],[Bucket2]:[8406 Stock]],17,0),0)</f>
        <v>0</v>
      </c>
      <c r="W298" s="557"/>
      <c r="X298" s="1">
        <v>15.88</v>
      </c>
      <c r="Y298" s="1">
        <v>15.88</v>
      </c>
      <c r="Z298" s="1">
        <v>0</v>
      </c>
      <c r="AA298" s="1">
        <v>1</v>
      </c>
      <c r="AB298" s="24">
        <v>140</v>
      </c>
      <c r="AC298" s="24" t="s">
        <v>397</v>
      </c>
      <c r="AD298" s="24"/>
      <c r="AE298" s="24"/>
      <c r="AF298" s="2">
        <v>6000</v>
      </c>
      <c r="AG298" s="2"/>
      <c r="AH298" s="2" cm="1">
        <f t="array" ref="AH2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8" s="4">
        <f>scheduleapr[[#This Row],[SCHEDULE in nos]]-scheduleapr[[#This Row],[DISPATCH]]</f>
        <v>6000</v>
      </c>
      <c r="AJ298" s="1">
        <f>(3.14*(scheduleapr[[#This Row],[ACTUAL OD]]-scheduleapr[[#This Row],[TICKNESS]])*scheduleapr[[#This Row],[TICKNESS]]*scheduleapr[[#This Row],[LENGTH]]*7.85)/1000000*scheduleapr[[#This Row],[SCHEDULE in nos]]/1000</f>
        <v>0.30809278080000002</v>
      </c>
      <c r="AK298" s="1">
        <f>(3.14*(scheduleapr[[#This Row],[ACTUAL OD]]-scheduleapr[[#This Row],[TICKNESS]])*scheduleapr[[#This Row],[TICKNESS]]*scheduleapr[[#This Row],[LENGTH]]*7.85)/1000000*scheduleapr[[#This Row],[DISPATCH]]/1000</f>
        <v>0</v>
      </c>
      <c r="AL298" s="1">
        <f t="shared" si="11"/>
        <v>0.30809278080000002</v>
      </c>
      <c r="AM298" s="1">
        <f>scheduleapr[[#This Row],[SCHEDULE in nos]]/scheduleapr[[#This Row],[SCHEDULE IN MT]]*scheduleapr[[#This Row],[CTL Stock]]</f>
        <v>0</v>
      </c>
      <c r="AN298" s="1">
        <f>SUMIFS(stock[MT],stock[Bucket],scheduleapr[[#This Row],[Bucket]],stock[CTL Bucket],scheduleapr[[#This Row],[CTL Bucket]],stock[Plant],"0789")</f>
        <v>0</v>
      </c>
      <c r="AO298" s="1"/>
      <c r="AP298" s="1">
        <f>SUMIFS(stock[MT],stock[Bucket],scheduleapr[[#This Row],[Bucket]],stock[LL or CTL],"LL")</f>
        <v>0.17899999999999999</v>
      </c>
      <c r="AQ298" s="1">
        <f>+SUMIFS(wip[Stock(Net Wt)],wip[Bucket],scheduleapr[[#This Row],[Bucket]])/1000</f>
        <v>0</v>
      </c>
      <c r="AR298" s="1">
        <f t="shared" si="10"/>
        <v>0.30809278080000002</v>
      </c>
      <c r="AS298" s="118"/>
    </row>
    <row r="299" spans="1:45" x14ac:dyDescent="0.25">
      <c r="A299" s="556"/>
      <c r="B299" s="5" t="s">
        <v>1816</v>
      </c>
      <c r="C299" s="2" t="s">
        <v>307</v>
      </c>
      <c r="D299" s="2" t="s">
        <v>952</v>
      </c>
      <c r="E299" s="2" t="s">
        <v>308</v>
      </c>
      <c r="F299" s="557"/>
      <c r="G299" s="2" t="str">
        <f>_xlfn.CONCAT(scheduleapr[[#This Row],[CUSTOMER CODE]],"-",scheduleapr[[#This Row],[MATERIAL NO]])</f>
        <v>189226|930794-</v>
      </c>
      <c r="H299" s="557"/>
      <c r="I299" s="557" t="s">
        <v>962</v>
      </c>
      <c r="J299" s="557"/>
      <c r="K299" s="2" t="s">
        <v>963</v>
      </c>
      <c r="L299" s="2" t="s">
        <v>1867</v>
      </c>
      <c r="M299" s="558"/>
      <c r="N299" s="557"/>
      <c r="O299" s="557"/>
      <c r="P299" s="557"/>
      <c r="Q299" s="557" t="str">
        <f>CONCATENATE(scheduleapr[[#This Row],[OD]],"-",scheduleapr[[#This Row],[ID]],"-",scheduleapr[[#This Row],[TICKNESS]],"-",scheduleapr[[#This Row],[Grade]],"-",scheduleapr[[#This Row],[FC/NFC]])</f>
        <v>15.88-0-1-ERW 1-PE</v>
      </c>
      <c r="R299" s="557" t="str">
        <f>_xlfn.CONCAT(scheduleapr[[#This Row],[Bucket]],"-",scheduleapr[[#This Row],[LENGTH]]/1000)</f>
        <v>15.88-0-1-ERW 1-PE-0.592</v>
      </c>
      <c r="S299" s="557">
        <f>COUNTIF(scheduleapr[CTL Bucket],scheduleapr[[#This Row],[CTL Bucket]])</f>
        <v>1</v>
      </c>
      <c r="T299" s="2" t="s">
        <v>1816</v>
      </c>
      <c r="U299" s="2">
        <f>_xlfn.IFNA(VLOOKUP(scheduleapr[[#This Row],[Bucket]],salesforecast[[#All],[Bucket2]:[8406 Stock]],19,0),0)</f>
        <v>0</v>
      </c>
      <c r="V299" s="562">
        <f>_xlfn.IFNA(VLOOKUP(scheduleapr[[#This Row],[Bucket]],salesforecast[[#All],[Bucket2]:[8406 Stock]],20,0),0)+_xlfn.IFNA(VLOOKUP(scheduleapr[[#This Row],[Bucket]],salesforecast[[#All],[Bucket2]:[8406 Stock]],17,0),0)</f>
        <v>0</v>
      </c>
      <c r="W299" s="2"/>
      <c r="X299" s="559">
        <v>15.88</v>
      </c>
      <c r="Y299" s="559">
        <v>15.88</v>
      </c>
      <c r="Z299" s="559">
        <v>0</v>
      </c>
      <c r="AA299" s="1">
        <v>1</v>
      </c>
      <c r="AB299" s="24">
        <v>592</v>
      </c>
      <c r="AC299" s="24" t="s">
        <v>397</v>
      </c>
      <c r="AD299" s="24"/>
      <c r="AE299" s="24"/>
      <c r="AF299" s="557">
        <v>1000</v>
      </c>
      <c r="AG299" s="557"/>
      <c r="AH299" s="2" cm="1">
        <f t="array" ref="AH2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9" s="4">
        <f>scheduleapr[[#This Row],[SCHEDULE in nos]]-scheduleapr[[#This Row],[DISPATCH]]</f>
        <v>1000</v>
      </c>
      <c r="AJ299" s="559">
        <f>(3.14*(scheduleapr[[#This Row],[ACTUAL OD]]-scheduleapr[[#This Row],[TICKNESS]])*scheduleapr[[#This Row],[TICKNESS]]*scheduleapr[[#This Row],[LENGTH]]*7.85)/1000000*scheduleapr[[#This Row],[SCHEDULE in nos]]/1000</f>
        <v>0.21713205503999999</v>
      </c>
      <c r="AK299" s="1">
        <f>(3.14*(scheduleapr[[#This Row],[ACTUAL OD]]-scheduleapr[[#This Row],[TICKNESS]])*scheduleapr[[#This Row],[TICKNESS]]*scheduleapr[[#This Row],[LENGTH]]*7.85)/1000000*scheduleapr[[#This Row],[DISPATCH]]/1000</f>
        <v>0</v>
      </c>
      <c r="AL299" s="1">
        <f t="shared" si="11"/>
        <v>0.21713205503999999</v>
      </c>
      <c r="AM299" s="559">
        <f>scheduleapr[[#This Row],[SCHEDULE in nos]]/scheduleapr[[#This Row],[SCHEDULE IN MT]]*scheduleapr[[#This Row],[CTL Stock]]</f>
        <v>0</v>
      </c>
      <c r="AN299" s="1">
        <f>SUMIFS(stock[MT],stock[Bucket],scheduleapr[[#This Row],[Bucket]],stock[CTL Bucket],scheduleapr[[#This Row],[CTL Bucket]],stock[Plant],"0789")</f>
        <v>0</v>
      </c>
      <c r="AO299" s="1"/>
      <c r="AP299" s="1">
        <f>SUMIFS(stock[MT],stock[Bucket],scheduleapr[[#This Row],[Bucket]],stock[LL or CTL],"LL")</f>
        <v>0.17899999999999999</v>
      </c>
      <c r="AQ299" s="1">
        <f>+SUMIFS(wip[Stock(Net Wt)],wip[Bucket],scheduleapr[[#This Row],[Bucket]])/1000</f>
        <v>0</v>
      </c>
      <c r="AR299" s="1">
        <f t="shared" si="10"/>
        <v>0.21713205503999999</v>
      </c>
      <c r="AS299" s="118"/>
    </row>
    <row r="300" spans="1:45" x14ac:dyDescent="0.25">
      <c r="A300" s="30">
        <v>251</v>
      </c>
      <c r="B300" s="5" t="s">
        <v>1816</v>
      </c>
      <c r="C300" s="2" t="s">
        <v>307</v>
      </c>
      <c r="D300" s="2" t="s">
        <v>952</v>
      </c>
      <c r="E300" s="2" t="s">
        <v>308</v>
      </c>
      <c r="F300" s="2">
        <v>1941845</v>
      </c>
      <c r="G300" s="2" t="str">
        <f>_xlfn.CONCAT(scheduleapr[[#This Row],[CUSTOMER CODE]],"-",scheduleapr[[#This Row],[MATERIAL NO]])</f>
        <v>189226|930794-1941845</v>
      </c>
      <c r="H300" s="2" t="s">
        <v>1173</v>
      </c>
      <c r="I300" s="2" t="s">
        <v>962</v>
      </c>
      <c r="J300" s="2"/>
      <c r="K300" s="2" t="s">
        <v>963</v>
      </c>
      <c r="L300" s="2" t="s">
        <v>239</v>
      </c>
      <c r="M300" s="2"/>
      <c r="N300" s="2"/>
      <c r="O300" s="2"/>
      <c r="P300" s="2"/>
      <c r="Q300" s="557" t="str">
        <f>CONCATENATE(scheduleapr[[#This Row],[OD]],"-",scheduleapr[[#This Row],[ID]],"-",scheduleapr[[#This Row],[TICKNESS]],"-",scheduleapr[[#This Row],[Grade]],"-",scheduleapr[[#This Row],[FC/NFC]])</f>
        <v>15.88-0-1-ERW 1-PE</v>
      </c>
      <c r="R300" s="557" t="str">
        <f>_xlfn.CONCAT(scheduleapr[[#This Row],[Bucket]],"-",scheduleapr[[#This Row],[LENGTH]]/1000)</f>
        <v>15.88-0-1-ERW 1-PE-1.234</v>
      </c>
      <c r="S300" s="557">
        <f>COUNTIF(scheduleapr[CTL Bucket],scheduleapr[[#This Row],[CTL Bucket]])</f>
        <v>1</v>
      </c>
      <c r="T300" s="2" t="s">
        <v>1816</v>
      </c>
      <c r="U300" s="2">
        <f>_xlfn.IFNA(VLOOKUP(scheduleapr[[#This Row],[Bucket]],salesforecast[[#All],[Bucket2]:[8406 Stock]],19,0),0)</f>
        <v>0</v>
      </c>
      <c r="V300" s="562">
        <f>_xlfn.IFNA(VLOOKUP(scheduleapr[[#This Row],[Bucket]],salesforecast[[#All],[Bucket2]:[8406 Stock]],20,0),0)+_xlfn.IFNA(VLOOKUP(scheduleapr[[#This Row],[Bucket]],salesforecast[[#All],[Bucket2]:[8406 Stock]],17,0),0)</f>
        <v>0</v>
      </c>
      <c r="W300" s="557"/>
      <c r="X300" s="1">
        <v>15.88</v>
      </c>
      <c r="Y300" s="1">
        <v>15.88</v>
      </c>
      <c r="Z300" s="1">
        <v>0</v>
      </c>
      <c r="AA300" s="1">
        <v>1</v>
      </c>
      <c r="AB300" s="24">
        <v>1234</v>
      </c>
      <c r="AC300" s="24" t="s">
        <v>397</v>
      </c>
      <c r="AD300" s="24"/>
      <c r="AE300" s="24"/>
      <c r="AF300" s="2">
        <v>10000</v>
      </c>
      <c r="AG300" s="2"/>
      <c r="AH300" s="2" cm="1">
        <f t="array" ref="AH3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7625</v>
      </c>
      <c r="AI300" s="4">
        <f>scheduleapr[[#This Row],[SCHEDULE in nos]]-scheduleapr[[#This Row],[DISPATCH]]</f>
        <v>2375</v>
      </c>
      <c r="AJ300" s="1">
        <f>(3.14*(scheduleapr[[#This Row],[ACTUAL OD]]-scheduleapr[[#This Row],[TICKNESS]])*scheduleapr[[#This Row],[TICKNESS]]*scheduleapr[[#This Row],[LENGTH]]*7.85)/1000000*scheduleapr[[#This Row],[SCHEDULE in nos]]/1000</f>
        <v>4.5260296608000008</v>
      </c>
      <c r="AK300" s="1">
        <f>(3.14*(scheduleapr[[#This Row],[ACTUAL OD]]-scheduleapr[[#This Row],[TICKNESS]])*scheduleapr[[#This Row],[TICKNESS]]*scheduleapr[[#This Row],[LENGTH]]*7.85)/1000000*scheduleapr[[#This Row],[DISPATCH]]/1000</f>
        <v>3.4510976163600002</v>
      </c>
      <c r="AL300" s="1">
        <f t="shared" si="11"/>
        <v>1.0749320444400006</v>
      </c>
      <c r="AM300" s="1">
        <f>scheduleapr[[#This Row],[SCHEDULE in nos]]/scheduleapr[[#This Row],[SCHEDULE IN MT]]*scheduleapr[[#This Row],[CTL Stock]]</f>
        <v>615.80683488215459</v>
      </c>
      <c r="AN300" s="1">
        <f>SUMIFS(stock[MT],stock[Bucket],scheduleapr[[#This Row],[Bucket]],stock[CTL Bucket],scheduleapr[[#This Row],[CTL Bucket]],stock[Plant],"0789")</f>
        <v>0.27871600000000002</v>
      </c>
      <c r="AO300" s="1"/>
      <c r="AP300" s="1">
        <f>SUMIFS(stock[MT],stock[Bucket],scheduleapr[[#This Row],[Bucket]],stock[LL or CTL],"LL")</f>
        <v>0.17899999999999999</v>
      </c>
      <c r="AQ300" s="1">
        <f>+SUMIFS(wip[Stock(Net Wt)],wip[Bucket],scheduleapr[[#This Row],[Bucket]])/1000</f>
        <v>0</v>
      </c>
      <c r="AR300" s="1">
        <f t="shared" si="10"/>
        <v>4.2473136608000006</v>
      </c>
      <c r="AS300" s="118"/>
    </row>
    <row r="301" spans="1:45" x14ac:dyDescent="0.25">
      <c r="A301" s="30">
        <v>252</v>
      </c>
      <c r="B301" s="5" t="s">
        <v>1816</v>
      </c>
      <c r="C301" s="2" t="s">
        <v>307</v>
      </c>
      <c r="D301" s="2" t="s">
        <v>952</v>
      </c>
      <c r="E301" s="2" t="s">
        <v>308</v>
      </c>
      <c r="F301" s="2">
        <v>1941846</v>
      </c>
      <c r="G301" s="2" t="str">
        <f>_xlfn.CONCAT(scheduleapr[[#This Row],[CUSTOMER CODE]],"-",scheduleapr[[#This Row],[MATERIAL NO]])</f>
        <v>189226|930794-1941846</v>
      </c>
      <c r="H301" s="2" t="s">
        <v>440</v>
      </c>
      <c r="I301" s="2" t="s">
        <v>962</v>
      </c>
      <c r="J301" s="2"/>
      <c r="K301" s="2" t="s">
        <v>963</v>
      </c>
      <c r="L301" s="2" t="s">
        <v>239</v>
      </c>
      <c r="M301" s="2"/>
      <c r="N301" s="2"/>
      <c r="O301" s="2"/>
      <c r="P301" s="2"/>
      <c r="Q301" s="557" t="str">
        <f>CONCATENATE(scheduleapr[[#This Row],[OD]],"-",scheduleapr[[#This Row],[ID]],"-",scheduleapr[[#This Row],[TICKNESS]],"-",scheduleapr[[#This Row],[Grade]],"-",scheduleapr[[#This Row],[FC/NFC]])</f>
        <v>15.88-0-1-ERW 1-PE</v>
      </c>
      <c r="R301" s="557" t="str">
        <f>_xlfn.CONCAT(scheduleapr[[#This Row],[Bucket]],"-",scheduleapr[[#This Row],[LENGTH]]/1000)</f>
        <v>15.88-0-1-ERW 1-PE-1.603</v>
      </c>
      <c r="S301" s="557">
        <f>COUNTIF(scheduleapr[CTL Bucket],scheduleapr[[#This Row],[CTL Bucket]])</f>
        <v>2</v>
      </c>
      <c r="T301" s="2" t="s">
        <v>1816</v>
      </c>
      <c r="U301" s="2">
        <f>_xlfn.IFNA(VLOOKUP(scheduleapr[[#This Row],[Bucket]],salesforecast[[#All],[Bucket2]:[8406 Stock]],19,0),0)</f>
        <v>0</v>
      </c>
      <c r="V301" s="562">
        <f>_xlfn.IFNA(VLOOKUP(scheduleapr[[#This Row],[Bucket]],salesforecast[[#All],[Bucket2]:[8406 Stock]],20,0),0)+_xlfn.IFNA(VLOOKUP(scheduleapr[[#This Row],[Bucket]],salesforecast[[#All],[Bucket2]:[8406 Stock]],17,0),0)</f>
        <v>0</v>
      </c>
      <c r="W301" s="557"/>
      <c r="X301" s="1">
        <v>15.88</v>
      </c>
      <c r="Y301" s="1">
        <v>15.88</v>
      </c>
      <c r="Z301" s="6">
        <v>0</v>
      </c>
      <c r="AA301" s="1">
        <v>1</v>
      </c>
      <c r="AB301" s="24">
        <v>1603</v>
      </c>
      <c r="AC301" s="24" t="s">
        <v>397</v>
      </c>
      <c r="AD301" s="24"/>
      <c r="AE301" s="24"/>
      <c r="AF301" s="2">
        <v>4000</v>
      </c>
      <c r="AG301" s="2"/>
      <c r="AH301" s="2" cm="1">
        <f t="array" ref="AH3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1" s="4">
        <f>scheduleapr[[#This Row],[SCHEDULE in nos]]-scheduleapr[[#This Row],[DISPATCH]]</f>
        <v>4000</v>
      </c>
      <c r="AJ301" s="1">
        <f>(3.14*(scheduleapr[[#This Row],[ACTUAL OD]]-scheduleapr[[#This Row],[TICKNESS]])*scheduleapr[[#This Row],[TICKNESS]]*scheduleapr[[#This Row],[LENGTH]]*7.85)/1000000*scheduleapr[[#This Row],[SCHEDULE in nos]]/1000</f>
        <v>2.3517748934399996</v>
      </c>
      <c r="AK301" s="1">
        <f>(3.14*(scheduleapr[[#This Row],[ACTUAL OD]]-scheduleapr[[#This Row],[TICKNESS]])*scheduleapr[[#This Row],[TICKNESS]]*scheduleapr[[#This Row],[LENGTH]]*7.85)/1000000*scheduleapr[[#This Row],[DISPATCH]]/1000</f>
        <v>0</v>
      </c>
      <c r="AL301" s="1">
        <f t="shared" si="11"/>
        <v>2.3517748934399996</v>
      </c>
      <c r="AM301" s="1">
        <f>scheduleapr[[#This Row],[SCHEDULE in nos]]/scheduleapr[[#This Row],[SCHEDULE IN MT]]*scheduleapr[[#This Row],[CTL Stock]]</f>
        <v>194.5832491351388</v>
      </c>
      <c r="AN301" s="1">
        <f>SUMIFS(stock[MT],stock[Bucket],scheduleapr[[#This Row],[Bucket]],stock[CTL Bucket],scheduleapr[[#This Row],[CTL Bucket]],stock[Plant],"0789")</f>
        <v>0.11440399999999999</v>
      </c>
      <c r="AO301" s="1"/>
      <c r="AP301" s="1">
        <f>SUMIFS(stock[MT],stock[Bucket],scheduleapr[[#This Row],[Bucket]],stock[LL or CTL],"LL")</f>
        <v>0.17899999999999999</v>
      </c>
      <c r="AQ301" s="1">
        <f>+SUMIFS(wip[Stock(Net Wt)],wip[Bucket],scheduleapr[[#This Row],[Bucket]])/1000</f>
        <v>0</v>
      </c>
      <c r="AR301" s="1">
        <f t="shared" si="10"/>
        <v>2.2373708934399996</v>
      </c>
      <c r="AS301" s="118"/>
    </row>
    <row r="302" spans="1:45" x14ac:dyDescent="0.25">
      <c r="A302" s="30">
        <v>253</v>
      </c>
      <c r="B302" s="5" t="s">
        <v>1816</v>
      </c>
      <c r="C302" s="2" t="s">
        <v>307</v>
      </c>
      <c r="D302" s="2" t="s">
        <v>952</v>
      </c>
      <c r="E302" s="2" t="s">
        <v>308</v>
      </c>
      <c r="F302" s="2">
        <v>1941847</v>
      </c>
      <c r="G302" s="2" t="str">
        <f>_xlfn.CONCAT(scheduleapr[[#This Row],[CUSTOMER CODE]],"-",scheduleapr[[#This Row],[MATERIAL NO]])</f>
        <v>189226|930794-1941847</v>
      </c>
      <c r="H302" s="2" t="s">
        <v>442</v>
      </c>
      <c r="I302" s="2" t="s">
        <v>962</v>
      </c>
      <c r="J302" s="2"/>
      <c r="K302" s="2" t="s">
        <v>963</v>
      </c>
      <c r="L302" s="2" t="s">
        <v>239</v>
      </c>
      <c r="M302" s="2"/>
      <c r="N302" s="2"/>
      <c r="O302" s="2"/>
      <c r="P302" s="2"/>
      <c r="Q302" s="557" t="str">
        <f>CONCATENATE(scheduleapr[[#This Row],[OD]],"-",scheduleapr[[#This Row],[ID]],"-",scheduleapr[[#This Row],[TICKNESS]],"-",scheduleapr[[#This Row],[Grade]],"-",scheduleapr[[#This Row],[FC/NFC]])</f>
        <v>15.88-0-1-ERW 1-PE</v>
      </c>
      <c r="R302" s="557" t="str">
        <f>_xlfn.CONCAT(scheduleapr[[#This Row],[Bucket]],"-",scheduleapr[[#This Row],[LENGTH]]/1000)</f>
        <v>15.88-0-1-ERW 1-PE-2.185</v>
      </c>
      <c r="S302" s="557">
        <f>COUNTIF(scheduleapr[CTL Bucket],scheduleapr[[#This Row],[CTL Bucket]])</f>
        <v>2</v>
      </c>
      <c r="T302" s="2" t="s">
        <v>1816</v>
      </c>
      <c r="U302" s="2">
        <f>_xlfn.IFNA(VLOOKUP(scheduleapr[[#This Row],[Bucket]],salesforecast[[#All],[Bucket2]:[8406 Stock]],19,0),0)</f>
        <v>0</v>
      </c>
      <c r="V302" s="562">
        <f>_xlfn.IFNA(VLOOKUP(scheduleapr[[#This Row],[Bucket]],salesforecast[[#All],[Bucket2]:[8406 Stock]],20,0),0)+_xlfn.IFNA(VLOOKUP(scheduleapr[[#This Row],[Bucket]],salesforecast[[#All],[Bucket2]:[8406 Stock]],17,0),0)</f>
        <v>0</v>
      </c>
      <c r="W302" s="557"/>
      <c r="X302" s="1">
        <v>15.88</v>
      </c>
      <c r="Y302" s="1">
        <v>15.88</v>
      </c>
      <c r="Z302" s="1">
        <v>0</v>
      </c>
      <c r="AA302" s="1">
        <v>1</v>
      </c>
      <c r="AB302" s="24">
        <v>2185</v>
      </c>
      <c r="AC302" s="24" t="s">
        <v>397</v>
      </c>
      <c r="AD302" s="24"/>
      <c r="AE302" s="24"/>
      <c r="AF302" s="2">
        <v>2000</v>
      </c>
      <c r="AG302" s="2"/>
      <c r="AH302" s="2" cm="1">
        <f t="array" ref="AH3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2" s="4">
        <f>scheduleapr[[#This Row],[SCHEDULE in nos]]-scheduleapr[[#This Row],[DISPATCH]]</f>
        <v>2000</v>
      </c>
      <c r="AJ302" s="1">
        <f>(3.14*(scheduleapr[[#This Row],[ACTUAL OD]]-scheduleapr[[#This Row],[TICKNESS]])*scheduleapr[[#This Row],[TICKNESS]]*scheduleapr[[#This Row],[LENGTH]]*7.85)/1000000*scheduleapr[[#This Row],[SCHEDULE in nos]]/1000</f>
        <v>1.6028160143999999</v>
      </c>
      <c r="AK302" s="1">
        <f>(3.14*(scheduleapr[[#This Row],[ACTUAL OD]]-scheduleapr[[#This Row],[TICKNESS]])*scheduleapr[[#This Row],[TICKNESS]]*scheduleapr[[#This Row],[LENGTH]]*7.85)/1000000*scheduleapr[[#This Row],[DISPATCH]]/1000</f>
        <v>0</v>
      </c>
      <c r="AL302" s="1">
        <f t="shared" si="11"/>
        <v>1.6028160143999999</v>
      </c>
      <c r="AM302" s="1">
        <f>scheduleapr[[#This Row],[SCHEDULE in nos]]/scheduleapr[[#This Row],[SCHEDULE IN MT]]*scheduleapr[[#This Row],[CTL Stock]]</f>
        <v>3470.609196578539</v>
      </c>
      <c r="AN302" s="1">
        <f>SUMIFS(stock[MT],stock[Bucket],scheduleapr[[#This Row],[Bucket]],stock[CTL Bucket],scheduleapr[[#This Row],[CTL Bucket]],stock[Plant],"0789")</f>
        <v>2.781374</v>
      </c>
      <c r="AO302" s="1"/>
      <c r="AP302" s="1">
        <f>SUMIFS(stock[MT],stock[Bucket],scheduleapr[[#This Row],[Bucket]],stock[LL or CTL],"LL")</f>
        <v>0.17899999999999999</v>
      </c>
      <c r="AQ302" s="1">
        <f>+SUMIFS(wip[Stock(Net Wt)],wip[Bucket],scheduleapr[[#This Row],[Bucket]])/1000</f>
        <v>0</v>
      </c>
      <c r="AR302" s="1">
        <f t="shared" si="10"/>
        <v>-1.1785579856000001</v>
      </c>
      <c r="AS302" s="118"/>
    </row>
    <row r="303" spans="1:45" x14ac:dyDescent="0.25">
      <c r="A303" s="30">
        <v>254</v>
      </c>
      <c r="B303" s="5" t="s">
        <v>1816</v>
      </c>
      <c r="C303" s="2" t="s">
        <v>307</v>
      </c>
      <c r="D303" s="2" t="s">
        <v>952</v>
      </c>
      <c r="E303" s="2" t="s">
        <v>308</v>
      </c>
      <c r="F303" s="2">
        <v>1941848</v>
      </c>
      <c r="G303" s="2" t="str">
        <f>_xlfn.CONCAT(scheduleapr[[#This Row],[CUSTOMER CODE]],"-",scheduleapr[[#This Row],[MATERIAL NO]])</f>
        <v>189226|930794-1941848</v>
      </c>
      <c r="H303" s="2" t="s">
        <v>1974</v>
      </c>
      <c r="I303" s="2" t="s">
        <v>962</v>
      </c>
      <c r="J303" s="2"/>
      <c r="K303" s="2" t="s">
        <v>963</v>
      </c>
      <c r="L303" s="2" t="s">
        <v>239</v>
      </c>
      <c r="M303" s="2"/>
      <c r="N303" s="2"/>
      <c r="O303" s="2"/>
      <c r="P303" s="2"/>
      <c r="Q303" s="557" t="str">
        <f>CONCATENATE(scheduleapr[[#This Row],[OD]],"-",scheduleapr[[#This Row],[ID]],"-",scheduleapr[[#This Row],[TICKNESS]],"-",scheduleapr[[#This Row],[Grade]],"-",scheduleapr[[#This Row],[FC/NFC]])</f>
        <v>15.88-0-1-ERW 1-PE</v>
      </c>
      <c r="R303" s="557" t="str">
        <f>_xlfn.CONCAT(scheduleapr[[#This Row],[Bucket]],"-",scheduleapr[[#This Row],[LENGTH]]/1000)</f>
        <v>15.88-0-1-ERW 1-PE-2.49</v>
      </c>
      <c r="S303" s="557">
        <f>COUNTIF(scheduleapr[CTL Bucket],scheduleapr[[#This Row],[CTL Bucket]])</f>
        <v>1</v>
      </c>
      <c r="T303" s="2" t="s">
        <v>1816</v>
      </c>
      <c r="U303" s="2">
        <f>_xlfn.IFNA(VLOOKUP(scheduleapr[[#This Row],[Bucket]],salesforecast[[#All],[Bucket2]:[8406 Stock]],19,0),0)</f>
        <v>0</v>
      </c>
      <c r="V303" s="562">
        <f>_xlfn.IFNA(VLOOKUP(scheduleapr[[#This Row],[Bucket]],salesforecast[[#All],[Bucket2]:[8406 Stock]],20,0),0)+_xlfn.IFNA(VLOOKUP(scheduleapr[[#This Row],[Bucket]],salesforecast[[#All],[Bucket2]:[8406 Stock]],17,0),0)</f>
        <v>0</v>
      </c>
      <c r="W303" s="557"/>
      <c r="X303" s="1">
        <v>15.88</v>
      </c>
      <c r="Y303" s="1">
        <v>15.88</v>
      </c>
      <c r="Z303" s="6">
        <v>0</v>
      </c>
      <c r="AA303" s="1">
        <v>1</v>
      </c>
      <c r="AB303" s="24">
        <v>2490</v>
      </c>
      <c r="AC303" s="24" t="s">
        <v>397</v>
      </c>
      <c r="AD303" s="24"/>
      <c r="AE303" s="24"/>
      <c r="AF303" s="2">
        <v>2000</v>
      </c>
      <c r="AG303" s="2"/>
      <c r="AH303" s="2" cm="1">
        <f t="array" ref="AH3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3" s="4">
        <f>scheduleapr[[#This Row],[SCHEDULE in nos]]-scheduleapr[[#This Row],[DISPATCH]]</f>
        <v>2000</v>
      </c>
      <c r="AJ303" s="1">
        <f>(3.14*(scheduleapr[[#This Row],[ACTUAL OD]]-scheduleapr[[#This Row],[TICKNESS]])*scheduleapr[[#This Row],[TICKNESS]]*scheduleapr[[#This Row],[LENGTH]]*7.85)/1000000*scheduleapr[[#This Row],[SCHEDULE in nos]]/1000</f>
        <v>1.8265500576000002</v>
      </c>
      <c r="AK303" s="1">
        <f>(3.14*(scheduleapr[[#This Row],[ACTUAL OD]]-scheduleapr[[#This Row],[TICKNESS]])*scheduleapr[[#This Row],[TICKNESS]]*scheduleapr[[#This Row],[LENGTH]]*7.85)/1000000*scheduleapr[[#This Row],[DISPATCH]]/1000</f>
        <v>0</v>
      </c>
      <c r="AL303" s="1">
        <f t="shared" si="11"/>
        <v>1.8265500576000002</v>
      </c>
      <c r="AM303" s="1">
        <f>scheduleapr[[#This Row],[SCHEDULE in nos]]/scheduleapr[[#This Row],[SCHEDULE IN MT]]*scheduleapr[[#This Row],[CTL Stock]]</f>
        <v>2835.8335860808547</v>
      </c>
      <c r="AN303" s="1">
        <f>SUMIFS(stock[MT],stock[Bucket],scheduleapr[[#This Row],[Bucket]],stock[CTL Bucket],scheduleapr[[#This Row],[CTL Bucket]],stock[Plant],"0789")</f>
        <v>2.589896</v>
      </c>
      <c r="AO303" s="1"/>
      <c r="AP303" s="1">
        <f>SUMIFS(stock[MT],stock[Bucket],scheduleapr[[#This Row],[Bucket]],stock[LL or CTL],"LL")</f>
        <v>0.17899999999999999</v>
      </c>
      <c r="AQ303" s="1">
        <f>+SUMIFS(wip[Stock(Net Wt)],wip[Bucket],scheduleapr[[#This Row],[Bucket]])/1000</f>
        <v>0</v>
      </c>
      <c r="AR303" s="1">
        <f t="shared" si="10"/>
        <v>-0.76334594239999976</v>
      </c>
      <c r="AS303" s="118"/>
    </row>
    <row r="304" spans="1:45" x14ac:dyDescent="0.25">
      <c r="A304" s="30">
        <v>255</v>
      </c>
      <c r="B304" s="5" t="s">
        <v>1816</v>
      </c>
      <c r="C304" s="2" t="s">
        <v>307</v>
      </c>
      <c r="D304" s="2" t="s">
        <v>952</v>
      </c>
      <c r="E304" s="2" t="s">
        <v>308</v>
      </c>
      <c r="F304" s="2">
        <v>3541434</v>
      </c>
      <c r="G304" s="2" t="str">
        <f>_xlfn.CONCAT(scheduleapr[[#This Row],[CUSTOMER CODE]],"-",scheduleapr[[#This Row],[MATERIAL NO]])</f>
        <v>189226|930794-3541434</v>
      </c>
      <c r="H304" s="2" t="s">
        <v>1176</v>
      </c>
      <c r="I304" s="2" t="s">
        <v>962</v>
      </c>
      <c r="J304" s="2"/>
      <c r="K304" s="2" t="s">
        <v>963</v>
      </c>
      <c r="L304" s="2" t="s">
        <v>1867</v>
      </c>
      <c r="M304" s="2"/>
      <c r="N304" s="2"/>
      <c r="O304" s="2"/>
      <c r="P304" s="2"/>
      <c r="Q304" s="557" t="str">
        <f>CONCATENATE(scheduleapr[[#This Row],[OD]],"-",scheduleapr[[#This Row],[ID]],"-",scheduleapr[[#This Row],[TICKNESS]],"-",scheduleapr[[#This Row],[Grade]],"-",scheduleapr[[#This Row],[FC/NFC]])</f>
        <v>15.88-0-1-ERW 1-PE</v>
      </c>
      <c r="R304" s="557" t="str">
        <f>_xlfn.CONCAT(scheduleapr[[#This Row],[Bucket]],"-",scheduleapr[[#This Row],[LENGTH]]/1000)</f>
        <v>15.88-0-1-ERW 1-PE-2.905</v>
      </c>
      <c r="S304" s="557">
        <f>COUNTIF(scheduleapr[CTL Bucket],scheduleapr[[#This Row],[CTL Bucket]])</f>
        <v>1</v>
      </c>
      <c r="T304" s="2" t="s">
        <v>1816</v>
      </c>
      <c r="U304" s="2">
        <f>_xlfn.IFNA(VLOOKUP(scheduleapr[[#This Row],[Bucket]],salesforecast[[#All],[Bucket2]:[8406 Stock]],19,0),0)</f>
        <v>0</v>
      </c>
      <c r="V304" s="562">
        <f>_xlfn.IFNA(VLOOKUP(scheduleapr[[#This Row],[Bucket]],salesforecast[[#All],[Bucket2]:[8406 Stock]],20,0),0)+_xlfn.IFNA(VLOOKUP(scheduleapr[[#This Row],[Bucket]],salesforecast[[#All],[Bucket2]:[8406 Stock]],17,0),0)</f>
        <v>0</v>
      </c>
      <c r="W304" s="557"/>
      <c r="X304" s="1">
        <v>15.88</v>
      </c>
      <c r="Y304" s="1">
        <v>15.88</v>
      </c>
      <c r="Z304" s="6">
        <v>0</v>
      </c>
      <c r="AA304" s="1">
        <v>1</v>
      </c>
      <c r="AB304" s="24">
        <v>2905</v>
      </c>
      <c r="AC304" s="24" t="s">
        <v>397</v>
      </c>
      <c r="AD304" s="24"/>
      <c r="AE304" s="24"/>
      <c r="AF304" s="2">
        <v>3000</v>
      </c>
      <c r="AG304" s="2"/>
      <c r="AH304" s="2" cm="1">
        <f t="array" ref="AH3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1800</v>
      </c>
      <c r="AI304" s="4">
        <f>scheduleapr[[#This Row],[SCHEDULE in nos]]-scheduleapr[[#This Row],[DISPATCH]]</f>
        <v>1200</v>
      </c>
      <c r="AJ304" s="1">
        <f>(3.14*(scheduleapr[[#This Row],[ACTUAL OD]]-scheduleapr[[#This Row],[TICKNESS]])*scheduleapr[[#This Row],[TICKNESS]]*scheduleapr[[#This Row],[LENGTH]]*7.85)/1000000*scheduleapr[[#This Row],[SCHEDULE in nos]]/1000</f>
        <v>3.1964626007999999</v>
      </c>
      <c r="AK304" s="1">
        <f>(3.14*(scheduleapr[[#This Row],[ACTUAL OD]]-scheduleapr[[#This Row],[TICKNESS]])*scheduleapr[[#This Row],[TICKNESS]]*scheduleapr[[#This Row],[LENGTH]]*7.85)/1000000*scheduleapr[[#This Row],[DISPATCH]]/1000</f>
        <v>1.91787756048</v>
      </c>
      <c r="AL304" s="1">
        <f t="shared" si="11"/>
        <v>1.2785850403199999</v>
      </c>
      <c r="AM304" s="1">
        <f>scheduleapr[[#This Row],[SCHEDULE in nos]]/scheduleapr[[#This Row],[SCHEDULE IN MT]]*scheduleapr[[#This Row],[CTL Stock]]</f>
        <v>1388.5202344895836</v>
      </c>
      <c r="AN304" s="1">
        <f>SUMIFS(stock[MT],stock[Bucket],scheduleapr[[#This Row],[Bucket]],stock[CTL Bucket],scheduleapr[[#This Row],[CTL Bucket]],stock[Plant],"0789")</f>
        <v>1.4794510000000001</v>
      </c>
      <c r="AO304" s="1"/>
      <c r="AP304" s="1">
        <f>SUMIFS(stock[MT],stock[Bucket],scheduleapr[[#This Row],[Bucket]],stock[LL or CTL],"LL")</f>
        <v>0.17899999999999999</v>
      </c>
      <c r="AQ304" s="1">
        <f>+SUMIFS(wip[Stock(Net Wt)],wip[Bucket],scheduleapr[[#This Row],[Bucket]])/1000</f>
        <v>0</v>
      </c>
      <c r="AR304" s="1">
        <f t="shared" si="10"/>
        <v>1.7170116007999998</v>
      </c>
      <c r="AS304" s="118"/>
    </row>
    <row r="305" spans="1:45" x14ac:dyDescent="0.25">
      <c r="A305" s="556"/>
      <c r="B305" s="564" t="s">
        <v>1975</v>
      </c>
      <c r="C305" s="2" t="s">
        <v>310</v>
      </c>
      <c r="D305" s="2" t="s">
        <v>952</v>
      </c>
      <c r="E305" s="2" t="s">
        <v>309</v>
      </c>
      <c r="F305" s="2">
        <v>1938195</v>
      </c>
      <c r="G305" s="2" t="str">
        <f>_xlfn.CONCAT(scheduleapr[[#This Row],[CUSTOMER CODE]],"-",scheduleapr[[#This Row],[MATERIAL NO]])</f>
        <v>930801|189227-1938195</v>
      </c>
      <c r="H305" s="2" t="s">
        <v>558</v>
      </c>
      <c r="I305" s="2" t="s">
        <v>962</v>
      </c>
      <c r="J305" s="557"/>
      <c r="K305" s="2" t="s">
        <v>963</v>
      </c>
      <c r="L305" s="2" t="s">
        <v>1867</v>
      </c>
      <c r="M305" s="558"/>
      <c r="N305" s="557"/>
      <c r="O305" s="557"/>
      <c r="P305" s="557"/>
      <c r="Q305" s="557" t="str">
        <f>CONCATENATE(scheduleapr[[#This Row],[OD]],"-",scheduleapr[[#This Row],[ID]],"-",scheduleapr[[#This Row],[TICKNESS]],"-",scheduleapr[[#This Row],[Grade]],"-",scheduleapr[[#This Row],[FC/NFC]])</f>
        <v>17.3-0-1.2-ERW 1-PE</v>
      </c>
      <c r="R305" s="557" t="str">
        <f>_xlfn.CONCAT(scheduleapr[[#This Row],[Bucket]],"-",scheduleapr[[#This Row],[LENGTH]]/1000)</f>
        <v>17.3-0-1.2-ERW 1-PE-0.15</v>
      </c>
      <c r="S305" s="557">
        <f>COUNTIF(scheduleapr[CTL Bucket],scheduleapr[[#This Row],[CTL Bucket]])</f>
        <v>2</v>
      </c>
      <c r="T305" s="2" t="s">
        <v>1817</v>
      </c>
      <c r="U305" s="2">
        <f>_xlfn.IFNA(VLOOKUP(scheduleapr[[#This Row],[Bucket]],salesforecast[[#All],[Bucket2]:[8406 Stock]],19,0),0)</f>
        <v>3.29942</v>
      </c>
      <c r="V305" s="2"/>
      <c r="W305" s="2"/>
      <c r="X305" s="559">
        <v>17.3</v>
      </c>
      <c r="Y305" s="559">
        <v>17.3</v>
      </c>
      <c r="Z305" s="6">
        <v>0</v>
      </c>
      <c r="AA305" s="1">
        <v>1.2</v>
      </c>
      <c r="AB305" s="24">
        <v>150</v>
      </c>
      <c r="AC305" s="24" t="s">
        <v>397</v>
      </c>
      <c r="AD305" s="24"/>
      <c r="AE305" s="24"/>
      <c r="AF305" s="557">
        <v>15200</v>
      </c>
      <c r="AG305" s="557"/>
      <c r="AH305" s="2" cm="1">
        <f t="array" ref="AH3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8000</v>
      </c>
      <c r="AI305" s="4">
        <f>scheduleapr[[#This Row],[SCHEDULE in nos]]-scheduleapr[[#This Row],[DISPATCH]]</f>
        <v>7200</v>
      </c>
      <c r="AJ305" s="559">
        <f>(3.14*(scheduleapr[[#This Row],[ACTUAL OD]]-scheduleapr[[#This Row],[TICKNESS]])*scheduleapr[[#This Row],[TICKNESS]]*scheduleapr[[#This Row],[LENGTH]]*7.85)/1000000*scheduleapr[[#This Row],[SCHEDULE in nos]]/1000</f>
        <v>1.0857785904000001</v>
      </c>
      <c r="AK305" s="1">
        <f>(3.14*(scheduleapr[[#This Row],[ACTUAL OD]]-scheduleapr[[#This Row],[TICKNESS]])*scheduleapr[[#This Row],[TICKNESS]]*scheduleapr[[#This Row],[LENGTH]]*7.85)/1000000*scheduleapr[[#This Row],[DISPATCH]]/1000</f>
        <v>0.57146241600000014</v>
      </c>
      <c r="AL305" s="1">
        <f t="shared" si="11"/>
        <v>0.51431617439999999</v>
      </c>
      <c r="AM305" s="559">
        <f>scheduleapr[[#This Row],[SCHEDULE in nos]]/scheduleapr[[#This Row],[SCHEDULE IN MT]]*scheduleapr[[#This Row],[CTL Stock]]</f>
        <v>0</v>
      </c>
      <c r="AN305" s="1">
        <f>SUMIFS(stock[MT],stock[Bucket],scheduleapr[[#This Row],[Bucket]],stock[CTL Bucket],scheduleapr[[#This Row],[CTL Bucket]],stock[Plant],"0789")</f>
        <v>0</v>
      </c>
      <c r="AO305" s="1"/>
      <c r="AP305" s="1">
        <f>SUMIFS(stock[MT],stock[Bucket],scheduleapr[[#This Row],[Bucket]],stock[LL or CTL],"LL")</f>
        <v>4.49552</v>
      </c>
      <c r="AQ305" s="1">
        <f>+SUMIFS(wip[Stock(Net Wt)],wip[Bucket],scheduleapr[[#This Row],[Bucket]])/1000</f>
        <v>0</v>
      </c>
      <c r="AR305" s="1">
        <f t="shared" si="10"/>
        <v>1.0857785904000001</v>
      </c>
      <c r="AS305" s="118"/>
    </row>
    <row r="306" spans="1:45" x14ac:dyDescent="0.25">
      <c r="A306" s="30">
        <v>217</v>
      </c>
      <c r="B306" s="5" t="s">
        <v>1872</v>
      </c>
      <c r="C306" s="2" t="s">
        <v>307</v>
      </c>
      <c r="D306" s="2" t="s">
        <v>952</v>
      </c>
      <c r="E306" s="2" t="s">
        <v>309</v>
      </c>
      <c r="F306" s="2">
        <v>1938195</v>
      </c>
      <c r="G306" s="2" t="str">
        <f>_xlfn.CONCAT(scheduleapr[[#This Row],[CUSTOMER CODE]],"-",scheduleapr[[#This Row],[MATERIAL NO]])</f>
        <v>930801|189227-1938195</v>
      </c>
      <c r="H306" s="2" t="s">
        <v>558</v>
      </c>
      <c r="I306" s="2" t="s">
        <v>962</v>
      </c>
      <c r="J306" s="2"/>
      <c r="K306" s="2" t="s">
        <v>963</v>
      </c>
      <c r="L306" s="2" t="s">
        <v>1867</v>
      </c>
      <c r="M306" s="2"/>
      <c r="N306" s="2"/>
      <c r="O306" s="2"/>
      <c r="P306" s="2"/>
      <c r="Q306" s="557" t="str">
        <f>CONCATENATE(scheduleapr[[#This Row],[OD]],"-",scheduleapr[[#This Row],[ID]],"-",scheduleapr[[#This Row],[TICKNESS]],"-",scheduleapr[[#This Row],[Grade]],"-",scheduleapr[[#This Row],[FC/NFC]])</f>
        <v>17.3-0-1.2-ERW 1-PE</v>
      </c>
      <c r="R306" s="557" t="str">
        <f>_xlfn.CONCAT(scheduleapr[[#This Row],[Bucket]],"-",scheduleapr[[#This Row],[LENGTH]]/1000)</f>
        <v>17.3-0-1.2-ERW 1-PE-0.15</v>
      </c>
      <c r="S306" s="557">
        <f>COUNTIF(scheduleapr[CTL Bucket],scheduleapr[[#This Row],[CTL Bucket]])</f>
        <v>2</v>
      </c>
      <c r="T306" s="2" t="s">
        <v>1817</v>
      </c>
      <c r="U306" s="2">
        <f>_xlfn.IFNA(VLOOKUP(scheduleapr[[#This Row],[Bucket]],salesforecast[[#All],[Bucket2]:[8406 Stock]],19,0),0)</f>
        <v>3.29942</v>
      </c>
      <c r="V306" s="562">
        <f>_xlfn.IFNA(VLOOKUP(scheduleapr[[#This Row],[Bucket]],salesforecast[[#All],[Bucket2]:[8406 Stock]],20,0),0)+_xlfn.IFNA(VLOOKUP(scheduleapr[[#This Row],[Bucket]],salesforecast[[#All],[Bucket2]:[8406 Stock]],17,0),0)</f>
        <v>1.1960999999999999</v>
      </c>
      <c r="W306" s="557"/>
      <c r="X306" s="1">
        <v>17.3</v>
      </c>
      <c r="Y306" s="1">
        <v>17.3</v>
      </c>
      <c r="Z306" s="1">
        <v>0</v>
      </c>
      <c r="AA306" s="1">
        <v>1.2</v>
      </c>
      <c r="AB306" s="24">
        <v>150</v>
      </c>
      <c r="AC306" s="24" t="s">
        <v>397</v>
      </c>
      <c r="AD306" s="24"/>
      <c r="AE306" s="24"/>
      <c r="AF306" s="2">
        <v>5000</v>
      </c>
      <c r="AG306" s="2"/>
      <c r="AH306" s="2" cm="1">
        <f t="array" ref="AH3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8000</v>
      </c>
      <c r="AI306" s="4">
        <f>scheduleapr[[#This Row],[SCHEDULE in nos]]-scheduleapr[[#This Row],[DISPATCH]]</f>
        <v>-3000</v>
      </c>
      <c r="AJ306" s="1">
        <f>(3.14*(scheduleapr[[#This Row],[ACTUAL OD]]-scheduleapr[[#This Row],[TICKNESS]])*scheduleapr[[#This Row],[TICKNESS]]*scheduleapr[[#This Row],[LENGTH]]*7.85)/1000000*scheduleapr[[#This Row],[SCHEDULE in nos]]/1000</f>
        <v>0.35716401000000009</v>
      </c>
      <c r="AK306" s="1">
        <f>(3.14*(scheduleapr[[#This Row],[ACTUAL OD]]-scheduleapr[[#This Row],[TICKNESS]])*scheduleapr[[#This Row],[TICKNESS]]*scheduleapr[[#This Row],[LENGTH]]*7.85)/1000000*scheduleapr[[#This Row],[DISPATCH]]/1000</f>
        <v>0.57146241600000014</v>
      </c>
      <c r="AL306" s="1">
        <f t="shared" si="11"/>
        <v>-0.21429840600000005</v>
      </c>
      <c r="AM306" s="1">
        <f>scheduleapr[[#This Row],[SCHEDULE in nos]]/scheduleapr[[#This Row],[SCHEDULE IN MT]]*scheduleapr[[#This Row],[CTL Stock]]</f>
        <v>0</v>
      </c>
      <c r="AN306" s="1">
        <f>SUMIFS(stock[MT],stock[Bucket],scheduleapr[[#This Row],[Bucket]],stock[CTL Bucket],scheduleapr[[#This Row],[CTL Bucket]],stock[Plant],"0789")</f>
        <v>0</v>
      </c>
      <c r="AO306" s="1"/>
      <c r="AP306" s="1">
        <f>SUMIFS(stock[MT],stock[Bucket],scheduleapr[[#This Row],[Bucket]],stock[LL or CTL],"LL")</f>
        <v>4.49552</v>
      </c>
      <c r="AQ306" s="1">
        <f>+SUMIFS(wip[Stock(Net Wt)],wip[Bucket],scheduleapr[[#This Row],[Bucket]])/1000</f>
        <v>0</v>
      </c>
      <c r="AR306" s="1">
        <f t="shared" si="10"/>
        <v>0.35716401000000009</v>
      </c>
      <c r="AS306" s="118"/>
    </row>
    <row r="307" spans="1:45" x14ac:dyDescent="0.25">
      <c r="A307" s="30">
        <v>218</v>
      </c>
      <c r="B307" s="5" t="s">
        <v>1872</v>
      </c>
      <c r="C307" s="2" t="s">
        <v>310</v>
      </c>
      <c r="D307" s="2" t="s">
        <v>952</v>
      </c>
      <c r="E307" s="2" t="s">
        <v>309</v>
      </c>
      <c r="F307" s="2">
        <v>1938116</v>
      </c>
      <c r="G307" s="2" t="str">
        <f>_xlfn.CONCAT(scheduleapr[[#This Row],[CUSTOMER CODE]],"-",scheduleapr[[#This Row],[MATERIAL NO]])</f>
        <v>930801|189227-1938116</v>
      </c>
      <c r="H307" s="2" t="s">
        <v>1237</v>
      </c>
      <c r="I307" s="2" t="s">
        <v>962</v>
      </c>
      <c r="J307" s="2"/>
      <c r="K307" s="2" t="s">
        <v>963</v>
      </c>
      <c r="L307" s="2" t="s">
        <v>1867</v>
      </c>
      <c r="M307" s="2"/>
      <c r="N307" s="2"/>
      <c r="O307" s="2"/>
      <c r="P307" s="2"/>
      <c r="Q307" s="557" t="str">
        <f>CONCATENATE(scheduleapr[[#This Row],[OD]],"-",scheduleapr[[#This Row],[ID]],"-",scheduleapr[[#This Row],[TICKNESS]],"-",scheduleapr[[#This Row],[Grade]],"-",scheduleapr[[#This Row],[FC/NFC]])</f>
        <v>18.2-0-1-ERW 1-PE</v>
      </c>
      <c r="R307" s="557" t="str">
        <f>_xlfn.CONCAT(scheduleapr[[#This Row],[Bucket]],"-",scheduleapr[[#This Row],[LENGTH]]/1000)</f>
        <v>18.2-0-1-ERW 1-PE-0.11</v>
      </c>
      <c r="S307" s="557">
        <f>COUNTIF(scheduleapr[CTL Bucket],scheduleapr[[#This Row],[CTL Bucket]])</f>
        <v>2</v>
      </c>
      <c r="T307" s="2" t="s">
        <v>1817</v>
      </c>
      <c r="U307" s="2">
        <f>_xlfn.IFNA(VLOOKUP(scheduleapr[[#This Row],[Bucket]],salesforecast[[#All],[Bucket2]:[8406 Stock]],19,0),0)</f>
        <v>0.18590300000000004</v>
      </c>
      <c r="V307" s="562">
        <f>_xlfn.IFNA(VLOOKUP(scheduleapr[[#This Row],[Bucket]],salesforecast[[#All],[Bucket2]:[8406 Stock]],20,0),0)+_xlfn.IFNA(VLOOKUP(scheduleapr[[#This Row],[Bucket]],salesforecast[[#All],[Bucket2]:[8406 Stock]],17,0),0)</f>
        <v>0</v>
      </c>
      <c r="W307" s="557"/>
      <c r="X307" s="1">
        <v>18.2</v>
      </c>
      <c r="Y307" s="1">
        <v>18.2</v>
      </c>
      <c r="Z307" s="6">
        <v>0</v>
      </c>
      <c r="AA307" s="1">
        <v>1</v>
      </c>
      <c r="AB307" s="24">
        <v>110</v>
      </c>
      <c r="AC307" s="24" t="s">
        <v>397</v>
      </c>
      <c r="AD307" s="24"/>
      <c r="AE307" s="24"/>
      <c r="AF307" s="2">
        <v>40000</v>
      </c>
      <c r="AG307" s="2"/>
      <c r="AH307" s="2" cm="1">
        <f t="array" ref="AH3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7" s="4">
        <f>scheduleapr[[#This Row],[SCHEDULE in nos]]-scheduleapr[[#This Row],[DISPATCH]]</f>
        <v>40000</v>
      </c>
      <c r="AJ307" s="1">
        <f>(3.14*(scheduleapr[[#This Row],[ACTUAL OD]]-scheduleapr[[#This Row],[TICKNESS]])*scheduleapr[[#This Row],[TICKNESS]]*scheduleapr[[#This Row],[LENGTH]]*7.85)/1000000*scheduleapr[[#This Row],[SCHEDULE in nos]]/1000</f>
        <v>1.8654363199999997</v>
      </c>
      <c r="AK307" s="1">
        <f>(3.14*(scheduleapr[[#This Row],[ACTUAL OD]]-scheduleapr[[#This Row],[TICKNESS]])*scheduleapr[[#This Row],[TICKNESS]]*scheduleapr[[#This Row],[LENGTH]]*7.85)/1000000*scheduleapr[[#This Row],[DISPATCH]]/1000</f>
        <v>0</v>
      </c>
      <c r="AL307" s="1">
        <f t="shared" si="11"/>
        <v>1.8654363199999997</v>
      </c>
      <c r="AM307" s="1">
        <f>scheduleapr[[#This Row],[SCHEDULE in nos]]/scheduleapr[[#This Row],[SCHEDULE IN MT]]*scheduleapr[[#This Row],[CTL Stock]]</f>
        <v>0</v>
      </c>
      <c r="AN307" s="1">
        <f>SUMIFS(stock[MT],stock[Bucket],scheduleapr[[#This Row],[Bucket]],stock[CTL Bucket],scheduleapr[[#This Row],[CTL Bucket]],stock[Plant],"0789")</f>
        <v>0</v>
      </c>
      <c r="AO307" s="1"/>
      <c r="AP307" s="1">
        <f>SUMIFS(stock[MT],stock[Bucket],scheduleapr[[#This Row],[Bucket]],stock[LL or CTL],"LL")</f>
        <v>0.18590300000000001</v>
      </c>
      <c r="AQ307" s="1">
        <f>+SUMIFS(wip[Stock(Net Wt)],wip[Bucket],scheduleapr[[#This Row],[Bucket]])/1000</f>
        <v>0</v>
      </c>
      <c r="AR307" s="1">
        <f t="shared" si="10"/>
        <v>1.8654363199999997</v>
      </c>
      <c r="AS307" s="118"/>
    </row>
    <row r="308" spans="1:45" x14ac:dyDescent="0.25">
      <c r="A308" s="30">
        <v>256</v>
      </c>
      <c r="B308" s="5" t="s">
        <v>1872</v>
      </c>
      <c r="C308" s="2" t="s">
        <v>307</v>
      </c>
      <c r="D308" s="2" t="s">
        <v>952</v>
      </c>
      <c r="E308" s="2" t="s">
        <v>308</v>
      </c>
      <c r="F308" s="2">
        <v>1938116</v>
      </c>
      <c r="G308" s="2" t="str">
        <f>_xlfn.CONCAT(scheduleapr[[#This Row],[CUSTOMER CODE]],"-",scheduleapr[[#This Row],[MATERIAL NO]])</f>
        <v>189226|930794-1938116</v>
      </c>
      <c r="H308" s="2" t="s">
        <v>1237</v>
      </c>
      <c r="I308" s="2" t="s">
        <v>962</v>
      </c>
      <c r="J308" s="2"/>
      <c r="K308" s="2" t="s">
        <v>963</v>
      </c>
      <c r="L308" s="2" t="s">
        <v>1867</v>
      </c>
      <c r="M308" s="2"/>
      <c r="N308" s="2"/>
      <c r="O308" s="2"/>
      <c r="P308" s="2"/>
      <c r="Q308" s="557" t="str">
        <f>CONCATENATE(scheduleapr[[#This Row],[OD]],"-",scheduleapr[[#This Row],[ID]],"-",scheduleapr[[#This Row],[TICKNESS]],"-",scheduleapr[[#This Row],[Grade]],"-",scheduleapr[[#This Row],[FC/NFC]])</f>
        <v>18.2-0-1-ERW 1-PE</v>
      </c>
      <c r="R308" s="557" t="str">
        <f>_xlfn.CONCAT(scheduleapr[[#This Row],[Bucket]],"-",scheduleapr[[#This Row],[LENGTH]]/1000)</f>
        <v>18.2-0-1-ERW 1-PE-0.11</v>
      </c>
      <c r="S308" s="557">
        <f>COUNTIF(scheduleapr[CTL Bucket],scheduleapr[[#This Row],[CTL Bucket]])</f>
        <v>2</v>
      </c>
      <c r="T308" s="2" t="s">
        <v>1817</v>
      </c>
      <c r="U308" s="2">
        <f>_xlfn.IFNA(VLOOKUP(scheduleapr[[#This Row],[Bucket]],salesforecast[[#All],[Bucket2]:[8406 Stock]],19,0),0)</f>
        <v>0.18590300000000004</v>
      </c>
      <c r="V308" s="562">
        <f>_xlfn.IFNA(VLOOKUP(scheduleapr[[#This Row],[Bucket]],salesforecast[[#All],[Bucket2]:[8406 Stock]],20,0),0)+_xlfn.IFNA(VLOOKUP(scheduleapr[[#This Row],[Bucket]],salesforecast[[#All],[Bucket2]:[8406 Stock]],17,0),0)</f>
        <v>0</v>
      </c>
      <c r="W308" s="557"/>
      <c r="X308" s="1">
        <v>18.2</v>
      </c>
      <c r="Y308" s="1">
        <v>18.2</v>
      </c>
      <c r="Z308" s="6">
        <v>0</v>
      </c>
      <c r="AA308" s="1">
        <v>1</v>
      </c>
      <c r="AB308" s="24">
        <v>110</v>
      </c>
      <c r="AC308" s="24" t="s">
        <v>397</v>
      </c>
      <c r="AD308" s="24"/>
      <c r="AE308" s="24"/>
      <c r="AF308" s="2">
        <v>5000</v>
      </c>
      <c r="AG308" s="2"/>
      <c r="AH308" s="2" cm="1">
        <f t="array" ref="AH3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8" s="4">
        <f>scheduleapr[[#This Row],[SCHEDULE in nos]]-scheduleapr[[#This Row],[DISPATCH]]</f>
        <v>5000</v>
      </c>
      <c r="AJ308" s="1">
        <f>(3.14*(scheduleapr[[#This Row],[ACTUAL OD]]-scheduleapr[[#This Row],[TICKNESS]])*scheduleapr[[#This Row],[TICKNESS]]*scheduleapr[[#This Row],[LENGTH]]*7.85)/1000000*scheduleapr[[#This Row],[SCHEDULE in nos]]/1000</f>
        <v>0.23317953999999996</v>
      </c>
      <c r="AK308" s="1">
        <f>(3.14*(scheduleapr[[#This Row],[ACTUAL OD]]-scheduleapr[[#This Row],[TICKNESS]])*scheduleapr[[#This Row],[TICKNESS]]*scheduleapr[[#This Row],[LENGTH]]*7.85)/1000000*scheduleapr[[#This Row],[DISPATCH]]/1000</f>
        <v>0</v>
      </c>
      <c r="AL308" s="1">
        <f t="shared" si="11"/>
        <v>0.23317953999999996</v>
      </c>
      <c r="AM308" s="1">
        <f>scheduleapr[[#This Row],[SCHEDULE in nos]]/scheduleapr[[#This Row],[SCHEDULE IN MT]]*scheduleapr[[#This Row],[CTL Stock]]</f>
        <v>0</v>
      </c>
      <c r="AN308" s="1">
        <f>SUMIFS(stock[MT],stock[Bucket],scheduleapr[[#This Row],[Bucket]],stock[CTL Bucket],scheduleapr[[#This Row],[CTL Bucket]],stock[Plant],"0789")</f>
        <v>0</v>
      </c>
      <c r="AO308" s="1"/>
      <c r="AP308" s="1">
        <f>SUMIFS(stock[MT],stock[Bucket],scheduleapr[[#This Row],[Bucket]],stock[LL or CTL],"LL")</f>
        <v>0.18590300000000001</v>
      </c>
      <c r="AQ308" s="1">
        <f>+SUMIFS(wip[Stock(Net Wt)],wip[Bucket],scheduleapr[[#This Row],[Bucket]])/1000</f>
        <v>0</v>
      </c>
      <c r="AR308" s="1">
        <f t="shared" si="10"/>
        <v>0.23317953999999996</v>
      </c>
      <c r="AS308" s="118"/>
    </row>
    <row r="309" spans="1:45" x14ac:dyDescent="0.25">
      <c r="A309" s="30">
        <v>219</v>
      </c>
      <c r="B309" s="5" t="s">
        <v>1872</v>
      </c>
      <c r="C309" s="2" t="s">
        <v>307</v>
      </c>
      <c r="D309" s="2" t="s">
        <v>952</v>
      </c>
      <c r="E309" s="2" t="s">
        <v>309</v>
      </c>
      <c r="F309" s="2">
        <v>1938117</v>
      </c>
      <c r="G309" s="2" t="str">
        <f>_xlfn.CONCAT(scheduleapr[[#This Row],[CUSTOMER CODE]],"-",scheduleapr[[#This Row],[MATERIAL NO]])</f>
        <v>930801|189227-1938117</v>
      </c>
      <c r="H309" s="2" t="s">
        <v>1239</v>
      </c>
      <c r="I309" s="2" t="s">
        <v>962</v>
      </c>
      <c r="J309" s="2"/>
      <c r="K309" s="2" t="s">
        <v>963</v>
      </c>
      <c r="L309" s="2" t="s">
        <v>1867</v>
      </c>
      <c r="M309" s="2"/>
      <c r="N309" s="2"/>
      <c r="O309" s="2"/>
      <c r="P309" s="2"/>
      <c r="Q309" s="557" t="str">
        <f>CONCATENATE(scheduleapr[[#This Row],[OD]],"-",scheduleapr[[#This Row],[ID]],"-",scheduleapr[[#This Row],[TICKNESS]],"-",scheduleapr[[#This Row],[Grade]],"-",scheduleapr[[#This Row],[FC/NFC]])</f>
        <v>18.2-0-1-ERW 1-PE</v>
      </c>
      <c r="R309" s="557" t="str">
        <f>_xlfn.CONCAT(scheduleapr[[#This Row],[Bucket]],"-",scheduleapr[[#This Row],[LENGTH]]/1000)</f>
        <v>18.2-0-1-ERW 1-PE-0.145</v>
      </c>
      <c r="S309" s="557">
        <f>COUNTIF(scheduleapr[CTL Bucket],scheduleapr[[#This Row],[CTL Bucket]])</f>
        <v>2</v>
      </c>
      <c r="T309" s="2" t="s">
        <v>1817</v>
      </c>
      <c r="U309" s="2">
        <f>_xlfn.IFNA(VLOOKUP(scheduleapr[[#This Row],[Bucket]],salesforecast[[#All],[Bucket2]:[8406 Stock]],19,0),0)</f>
        <v>0.18590300000000004</v>
      </c>
      <c r="V309" s="562">
        <f>_xlfn.IFNA(VLOOKUP(scheduleapr[[#This Row],[Bucket]],salesforecast[[#All],[Bucket2]:[8406 Stock]],20,0),0)+_xlfn.IFNA(VLOOKUP(scheduleapr[[#This Row],[Bucket]],salesforecast[[#All],[Bucket2]:[8406 Stock]],17,0),0)</f>
        <v>0</v>
      </c>
      <c r="W309" s="557"/>
      <c r="X309" s="1">
        <v>18.2</v>
      </c>
      <c r="Y309" s="1">
        <v>18.2</v>
      </c>
      <c r="Z309" s="1">
        <v>0</v>
      </c>
      <c r="AA309" s="1">
        <v>1</v>
      </c>
      <c r="AB309" s="24">
        <v>145</v>
      </c>
      <c r="AC309" s="24" t="s">
        <v>397</v>
      </c>
      <c r="AD309" s="24"/>
      <c r="AE309" s="24"/>
      <c r="AF309" s="2">
        <v>5000</v>
      </c>
      <c r="AG309" s="2"/>
      <c r="AH309" s="2" cm="1">
        <f t="array" ref="AH3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9" s="4">
        <f>scheduleapr[[#This Row],[SCHEDULE in nos]]-scheduleapr[[#This Row],[DISPATCH]]</f>
        <v>5000</v>
      </c>
      <c r="AJ309" s="1">
        <f>(3.14*(scheduleapr[[#This Row],[ACTUAL OD]]-scheduleapr[[#This Row],[TICKNESS]])*scheduleapr[[#This Row],[TICKNESS]]*scheduleapr[[#This Row],[LENGTH]]*7.85)/1000000*scheduleapr[[#This Row],[SCHEDULE in nos]]/1000</f>
        <v>0.30737303000000005</v>
      </c>
      <c r="AK309" s="1">
        <f>(3.14*(scheduleapr[[#This Row],[ACTUAL OD]]-scheduleapr[[#This Row],[TICKNESS]])*scheduleapr[[#This Row],[TICKNESS]]*scheduleapr[[#This Row],[LENGTH]]*7.85)/1000000*scheduleapr[[#This Row],[DISPATCH]]/1000</f>
        <v>0</v>
      </c>
      <c r="AL309" s="1">
        <f t="shared" si="11"/>
        <v>0.30737303000000005</v>
      </c>
      <c r="AM309" s="1">
        <f>scheduleapr[[#This Row],[SCHEDULE in nos]]/scheduleapr[[#This Row],[SCHEDULE IN MT]]*scheduleapr[[#This Row],[CTL Stock]]</f>
        <v>0</v>
      </c>
      <c r="AN309" s="1">
        <f>SUMIFS(stock[MT],stock[Bucket],scheduleapr[[#This Row],[Bucket]],stock[CTL Bucket],scheduleapr[[#This Row],[CTL Bucket]],stock[Plant],"0789")</f>
        <v>0</v>
      </c>
      <c r="AO309" s="1"/>
      <c r="AP309" s="1">
        <f>SUMIFS(stock[MT],stock[Bucket],scheduleapr[[#This Row],[Bucket]],stock[LL or CTL],"LL")</f>
        <v>0.18590300000000001</v>
      </c>
      <c r="AQ309" s="1">
        <f>+SUMIFS(wip[Stock(Net Wt)],wip[Bucket],scheduleapr[[#This Row],[Bucket]])/1000</f>
        <v>0</v>
      </c>
      <c r="AR309" s="1">
        <f t="shared" si="10"/>
        <v>0.30737303000000005</v>
      </c>
      <c r="AS309" s="118"/>
    </row>
    <row r="310" spans="1:45" x14ac:dyDescent="0.25">
      <c r="A310" s="556"/>
      <c r="B310" s="5" t="s">
        <v>1872</v>
      </c>
      <c r="C310" s="2" t="s">
        <v>310</v>
      </c>
      <c r="D310" s="2" t="s">
        <v>952</v>
      </c>
      <c r="E310" s="2" t="s">
        <v>309</v>
      </c>
      <c r="F310" s="2">
        <v>1938117</v>
      </c>
      <c r="G310" s="2" t="str">
        <f>_xlfn.CONCAT(scheduleapr[[#This Row],[CUSTOMER CODE]],"-",scheduleapr[[#This Row],[MATERIAL NO]])</f>
        <v>930801|189227-1938117</v>
      </c>
      <c r="H310" s="2" t="s">
        <v>1239</v>
      </c>
      <c r="I310" s="557" t="s">
        <v>962</v>
      </c>
      <c r="J310" s="557"/>
      <c r="K310" s="2" t="s">
        <v>963</v>
      </c>
      <c r="L310" s="2" t="s">
        <v>1867</v>
      </c>
      <c r="M310" s="558"/>
      <c r="N310" s="557"/>
      <c r="O310" s="557"/>
      <c r="P310" s="557"/>
      <c r="Q310" s="557" t="str">
        <f>CONCATENATE(scheduleapr[[#This Row],[OD]],"-",scheduleapr[[#This Row],[ID]],"-",scheduleapr[[#This Row],[TICKNESS]],"-",scheduleapr[[#This Row],[Grade]],"-",scheduleapr[[#This Row],[FC/NFC]])</f>
        <v>18.2-0-1-ERW 1-PE</v>
      </c>
      <c r="R310" s="557" t="str">
        <f>_xlfn.CONCAT(scheduleapr[[#This Row],[Bucket]],"-",scheduleapr[[#This Row],[LENGTH]]/1000)</f>
        <v>18.2-0-1-ERW 1-PE-0.145</v>
      </c>
      <c r="S310" s="557">
        <f>COUNTIF(scheduleapr[CTL Bucket],scheduleapr[[#This Row],[CTL Bucket]])</f>
        <v>2</v>
      </c>
      <c r="T310" s="2" t="s">
        <v>1817</v>
      </c>
      <c r="U310" s="2">
        <f>_xlfn.IFNA(VLOOKUP(scheduleapr[[#This Row],[Bucket]],salesforecast[[#All],[Bucket2]:[8406 Stock]],19,0),0)</f>
        <v>0.18590300000000004</v>
      </c>
      <c r="V310" s="562">
        <f>_xlfn.IFNA(VLOOKUP(scheduleapr[[#This Row],[Bucket]],salesforecast[[#All],[Bucket2]:[8406 Stock]],20,0),0)+_xlfn.IFNA(VLOOKUP(scheduleapr[[#This Row],[Bucket]],salesforecast[[#All],[Bucket2]:[8406 Stock]],17,0),0)</f>
        <v>0</v>
      </c>
      <c r="W310" s="2"/>
      <c r="X310" s="559">
        <v>18.2</v>
      </c>
      <c r="Y310" s="559">
        <v>18.2</v>
      </c>
      <c r="Z310" s="1">
        <v>0</v>
      </c>
      <c r="AA310" s="1">
        <v>1</v>
      </c>
      <c r="AB310" s="24">
        <v>145</v>
      </c>
      <c r="AC310" s="24" t="s">
        <v>397</v>
      </c>
      <c r="AD310" s="24"/>
      <c r="AE310" s="24"/>
      <c r="AF310" s="557">
        <v>24000</v>
      </c>
      <c r="AG310" s="557"/>
      <c r="AH310" s="2" cm="1">
        <f t="array" ref="AH3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0" s="4">
        <f>scheduleapr[[#This Row],[SCHEDULE in nos]]-scheduleapr[[#This Row],[DISPATCH]]</f>
        <v>24000</v>
      </c>
      <c r="AJ310" s="559">
        <f>(3.14*(scheduleapr[[#This Row],[ACTUAL OD]]-scheduleapr[[#This Row],[TICKNESS]])*scheduleapr[[#This Row],[TICKNESS]]*scheduleapr[[#This Row],[LENGTH]]*7.85)/1000000*scheduleapr[[#This Row],[SCHEDULE in nos]]/1000</f>
        <v>1.4753905440000001</v>
      </c>
      <c r="AK310" s="1">
        <f>(3.14*(scheduleapr[[#This Row],[ACTUAL OD]]-scheduleapr[[#This Row],[TICKNESS]])*scheduleapr[[#This Row],[TICKNESS]]*scheduleapr[[#This Row],[LENGTH]]*7.85)/1000000*scheduleapr[[#This Row],[DISPATCH]]/1000</f>
        <v>0</v>
      </c>
      <c r="AL310" s="1">
        <f t="shared" si="11"/>
        <v>1.4753905440000001</v>
      </c>
      <c r="AM310" s="559">
        <f>scheduleapr[[#This Row],[SCHEDULE in nos]]/scheduleapr[[#This Row],[SCHEDULE IN MT]]*scheduleapr[[#This Row],[CTL Stock]]</f>
        <v>0</v>
      </c>
      <c r="AN310" s="1">
        <f>SUMIFS(stock[MT],stock[Bucket],scheduleapr[[#This Row],[Bucket]],stock[CTL Bucket],scheduleapr[[#This Row],[CTL Bucket]],stock[Plant],"0789")</f>
        <v>0</v>
      </c>
      <c r="AO310" s="1"/>
      <c r="AP310" s="1">
        <f>SUMIFS(stock[MT],stock[Bucket],scheduleapr[[#This Row],[Bucket]],stock[LL or CTL],"LL")</f>
        <v>0.18590300000000001</v>
      </c>
      <c r="AQ310" s="1">
        <f>+SUMIFS(wip[Stock(Net Wt)],wip[Bucket],scheduleapr[[#This Row],[Bucket]])/1000</f>
        <v>0</v>
      </c>
      <c r="AR310" s="1">
        <f t="shared" si="10"/>
        <v>1.4753905440000001</v>
      </c>
      <c r="AS310" s="118"/>
    </row>
    <row r="311" spans="1:45" x14ac:dyDescent="0.25">
      <c r="A311" s="30">
        <v>257</v>
      </c>
      <c r="B311" s="5" t="s">
        <v>1816</v>
      </c>
      <c r="C311" s="2" t="s">
        <v>307</v>
      </c>
      <c r="D311" s="2" t="s">
        <v>952</v>
      </c>
      <c r="E311" s="2" t="s">
        <v>308</v>
      </c>
      <c r="F311" s="2">
        <v>3518158</v>
      </c>
      <c r="G311" s="2" t="str">
        <f>_xlfn.CONCAT(scheduleapr[[#This Row],[CUSTOMER CODE]],"-",scheduleapr[[#This Row],[MATERIAL NO]])</f>
        <v>189226|930794-3518158</v>
      </c>
      <c r="H311" s="2" t="s">
        <v>1311</v>
      </c>
      <c r="I311" s="2" t="s">
        <v>962</v>
      </c>
      <c r="J311" s="2"/>
      <c r="K311" s="2" t="s">
        <v>963</v>
      </c>
      <c r="L311" s="2" t="s">
        <v>1867</v>
      </c>
      <c r="M311" s="2"/>
      <c r="N311" s="2"/>
      <c r="O311" s="2"/>
      <c r="P311" s="2"/>
      <c r="Q311" s="557" t="str">
        <f>CONCATENATE(scheduleapr[[#This Row],[OD]],"-",scheduleapr[[#This Row],[ID]],"-",scheduleapr[[#This Row],[TICKNESS]],"-",scheduleapr[[#This Row],[Grade]],"-",scheduleapr[[#This Row],[FC/NFC]])</f>
        <v>19.05-0-1-ERW 1-PE</v>
      </c>
      <c r="R311" s="557" t="str">
        <f>_xlfn.CONCAT(scheduleapr[[#This Row],[Bucket]],"-",scheduleapr[[#This Row],[LENGTH]]/1000)</f>
        <v>19.05-0-1-ERW 1-PE-1.095</v>
      </c>
      <c r="S311" s="557">
        <f>COUNTIF(scheduleapr[CTL Bucket],scheduleapr[[#This Row],[CTL Bucket]])</f>
        <v>1</v>
      </c>
      <c r="T311" s="2" t="s">
        <v>1816</v>
      </c>
      <c r="U311" s="2">
        <f>_xlfn.IFNA(VLOOKUP(scheduleapr[[#This Row],[Bucket]],salesforecast[[#All],[Bucket2]:[8406 Stock]],19,0),0)</f>
        <v>0</v>
      </c>
      <c r="V311" s="562">
        <f>_xlfn.IFNA(VLOOKUP(scheduleapr[[#This Row],[Bucket]],salesforecast[[#All],[Bucket2]:[8406 Stock]],20,0),0)+_xlfn.IFNA(VLOOKUP(scheduleapr[[#This Row],[Bucket]],salesforecast[[#All],[Bucket2]:[8406 Stock]],17,0),0)</f>
        <v>0</v>
      </c>
      <c r="W311" s="557"/>
      <c r="X311" s="1">
        <v>19.05</v>
      </c>
      <c r="Y311" s="1">
        <v>19.05</v>
      </c>
      <c r="Z311" s="6">
        <v>0</v>
      </c>
      <c r="AA311" s="1">
        <v>1</v>
      </c>
      <c r="AB311" s="24">
        <v>1095</v>
      </c>
      <c r="AC311" s="24" t="s">
        <v>397</v>
      </c>
      <c r="AD311" s="24"/>
      <c r="AE311" s="24"/>
      <c r="AF311" s="2">
        <v>4000</v>
      </c>
      <c r="AG311" s="2"/>
      <c r="AH311" s="2" cm="1">
        <f t="array" ref="AH3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1" s="4">
        <f>scheduleapr[[#This Row],[SCHEDULE in nos]]-scheduleapr[[#This Row],[DISPATCH]]</f>
        <v>4000</v>
      </c>
      <c r="AJ311" s="1">
        <f>(3.14*(scheduleapr[[#This Row],[ACTUAL OD]]-scheduleapr[[#This Row],[TICKNESS]])*scheduleapr[[#This Row],[TICKNESS]]*scheduleapr[[#This Row],[LENGTH]]*7.85)/1000000*scheduleapr[[#This Row],[SCHEDULE in nos]]/1000</f>
        <v>1.9487252910000001</v>
      </c>
      <c r="AK311" s="1">
        <f>(3.14*(scheduleapr[[#This Row],[ACTUAL OD]]-scheduleapr[[#This Row],[TICKNESS]])*scheduleapr[[#This Row],[TICKNESS]]*scheduleapr[[#This Row],[LENGTH]]*7.85)/1000000*scheduleapr[[#This Row],[DISPATCH]]/1000</f>
        <v>0</v>
      </c>
      <c r="AL311" s="1">
        <f t="shared" si="11"/>
        <v>1.9487252910000001</v>
      </c>
      <c r="AM311" s="1">
        <f>scheduleapr[[#This Row],[SCHEDULE in nos]]/scheduleapr[[#This Row],[SCHEDULE IN MT]]*scheduleapr[[#This Row],[CTL Stock]]</f>
        <v>143.6836691621713</v>
      </c>
      <c r="AN311" s="1">
        <f>SUMIFS(stock[MT],stock[Bucket],scheduleapr[[#This Row],[Bucket]],stock[CTL Bucket],scheduleapr[[#This Row],[CTL Bucket]],stock[Plant],"0789")</f>
        <v>7.0000000000000007E-2</v>
      </c>
      <c r="AO311" s="1"/>
      <c r="AP311" s="1">
        <f>SUMIFS(stock[MT],stock[Bucket],scheduleapr[[#This Row],[Bucket]],stock[LL or CTL],"LL")</f>
        <v>0</v>
      </c>
      <c r="AQ311" s="1">
        <f>+SUMIFS(wip[Stock(Net Wt)],wip[Bucket],scheduleapr[[#This Row],[Bucket]])/1000</f>
        <v>18.324000000000002</v>
      </c>
      <c r="AR311" s="1">
        <f t="shared" si="10"/>
        <v>1.8787252910000001</v>
      </c>
      <c r="AS311" s="118"/>
    </row>
    <row r="312" spans="1:45" x14ac:dyDescent="0.25">
      <c r="A312" s="556"/>
      <c r="B312" s="5" t="s">
        <v>1816</v>
      </c>
      <c r="C312" s="2" t="s">
        <v>307</v>
      </c>
      <c r="D312" s="2" t="s">
        <v>952</v>
      </c>
      <c r="E312" s="2" t="s">
        <v>308</v>
      </c>
      <c r="F312" s="557"/>
      <c r="G312" s="2" t="str">
        <f>_xlfn.CONCAT(scheduleapr[[#This Row],[CUSTOMER CODE]],"-",scheduleapr[[#This Row],[MATERIAL NO]])</f>
        <v>189226|930794-</v>
      </c>
      <c r="H312" s="557"/>
      <c r="I312" s="2" t="s">
        <v>962</v>
      </c>
      <c r="J312" s="557"/>
      <c r="K312" s="2" t="s">
        <v>963</v>
      </c>
      <c r="L312" s="557"/>
      <c r="M312" s="558"/>
      <c r="N312" s="557"/>
      <c r="O312" s="557"/>
      <c r="P312" s="557"/>
      <c r="Q312" s="15" t="s">
        <v>471</v>
      </c>
      <c r="R312" s="557" t="str">
        <f>_xlfn.CONCAT(scheduleapr[[#This Row],[Bucket]],"-",scheduleapr[[#This Row],[LENGTH]]/1000)</f>
        <v>19.05-0-1.2-ERW 1-PE-0.258</v>
      </c>
      <c r="S312" s="557"/>
      <c r="T312" s="2"/>
      <c r="U312" s="2">
        <f>_xlfn.IFNA(VLOOKUP(scheduleapr[[#This Row],[Bucket]],salesforecast[[#All],[Bucket2]:[8406 Stock]],19,0),0)</f>
        <v>0</v>
      </c>
      <c r="V312" s="562">
        <f>_xlfn.IFNA(VLOOKUP(scheduleapr[[#This Row],[Bucket]],salesforecast[[#All],[Bucket2]:[8406 Stock]],20,0),0)+_xlfn.IFNA(VLOOKUP(scheduleapr[[#This Row],[Bucket]],salesforecast[[#All],[Bucket2]:[8406 Stock]],17,0),0)</f>
        <v>0</v>
      </c>
      <c r="W312" s="2"/>
      <c r="X312" s="1">
        <v>19.05</v>
      </c>
      <c r="Y312" s="1">
        <v>19.05</v>
      </c>
      <c r="Z312" s="1">
        <v>0</v>
      </c>
      <c r="AA312" s="1">
        <v>1.2</v>
      </c>
      <c r="AB312" s="24">
        <v>258</v>
      </c>
      <c r="AC312" s="24" t="s">
        <v>397</v>
      </c>
      <c r="AD312" s="24"/>
      <c r="AE312" s="24"/>
      <c r="AF312" s="557">
        <v>2500</v>
      </c>
      <c r="AG312" s="557"/>
      <c r="AH312" s="2" cm="1">
        <f t="array" ref="AH3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2" s="4">
        <f>scheduleapr[[#This Row],[SCHEDULE in nos]]-scheduleapr[[#This Row],[DISPATCH]]</f>
        <v>2500</v>
      </c>
      <c r="AJ312" s="559">
        <f>(3.14*(scheduleapr[[#This Row],[ACTUAL OD]]-scheduleapr[[#This Row],[TICKNESS]])*scheduleapr[[#This Row],[TICKNESS]]*scheduleapr[[#This Row],[LENGTH]]*7.85)/1000000*scheduleapr[[#This Row],[SCHEDULE in nos]]/1000</f>
        <v>0.34054811909999999</v>
      </c>
      <c r="AK312" s="1">
        <f>(3.14*(scheduleapr[[#This Row],[ACTUAL OD]]-scheduleapr[[#This Row],[TICKNESS]])*scheduleapr[[#This Row],[TICKNESS]]*scheduleapr[[#This Row],[LENGTH]]*7.85)/1000000*scheduleapr[[#This Row],[DISPATCH]]/1000</f>
        <v>0</v>
      </c>
      <c r="AL312" s="1">
        <f t="shared" si="11"/>
        <v>0.34054811909999999</v>
      </c>
      <c r="AM312" s="559">
        <f>scheduleapr[[#This Row],[SCHEDULE in nos]]/scheduleapr[[#This Row],[SCHEDULE IN MT]]*scheduleapr[[#This Row],[CTL Stock]]</f>
        <v>0</v>
      </c>
      <c r="AN312" s="1">
        <f>SUMIFS(stock[MT],stock[Bucket],scheduleapr[[#This Row],[Bucket]],stock[CTL Bucket],scheduleapr[[#This Row],[CTL Bucket]],stock[Plant],"0789")</f>
        <v>0</v>
      </c>
      <c r="AO312" s="1"/>
      <c r="AP312" s="1">
        <f>SUMIFS(stock[MT],stock[Bucket],scheduleapr[[#This Row],[Bucket]],stock[LL or CTL],"LL")</f>
        <v>0</v>
      </c>
      <c r="AQ312" s="1">
        <f>+SUMIFS(wip[Stock(Net Wt)],wip[Bucket],scheduleapr[[#This Row],[Bucket]])/1000</f>
        <v>20.588000000000001</v>
      </c>
      <c r="AR312" s="1">
        <f t="shared" si="10"/>
        <v>0.34054811909999999</v>
      </c>
      <c r="AS312" s="118"/>
    </row>
    <row r="313" spans="1:45" x14ac:dyDescent="0.25">
      <c r="A313" s="30">
        <v>258</v>
      </c>
      <c r="B313" s="5" t="s">
        <v>1816</v>
      </c>
      <c r="C313" s="2" t="s">
        <v>307</v>
      </c>
      <c r="D313" s="2" t="s">
        <v>952</v>
      </c>
      <c r="E313" s="2" t="s">
        <v>308</v>
      </c>
      <c r="F313" s="2">
        <v>1940188</v>
      </c>
      <c r="G313" s="2" t="str">
        <f>_xlfn.CONCAT(scheduleapr[[#This Row],[CUSTOMER CODE]],"-",scheduleapr[[#This Row],[MATERIAL NO]])</f>
        <v>189226|930794-1940188</v>
      </c>
      <c r="H313" s="2" t="s">
        <v>1976</v>
      </c>
      <c r="I313" s="2" t="s">
        <v>962</v>
      </c>
      <c r="J313" s="2"/>
      <c r="K313" s="2" t="s">
        <v>963</v>
      </c>
      <c r="L313" s="2" t="s">
        <v>239</v>
      </c>
      <c r="M313" s="2"/>
      <c r="N313" s="2"/>
      <c r="O313" s="2"/>
      <c r="P313" s="2"/>
      <c r="Q313" s="557" t="str">
        <f>CONCATENATE(scheduleapr[[#This Row],[OD]],"-",scheduleapr[[#This Row],[ID]],"-",scheduleapr[[#This Row],[TICKNESS]],"-",scheduleapr[[#This Row],[Grade]],"-",scheduleapr[[#This Row],[FC/NFC]])</f>
        <v>19.05-0-1.2-ERW 1-PE</v>
      </c>
      <c r="R313" s="557" t="str">
        <f>_xlfn.CONCAT(scheduleapr[[#This Row],[Bucket]],"-",scheduleapr[[#This Row],[LENGTH]]/1000)</f>
        <v>19.05-0-1.2-ERW 1-PE-0.631</v>
      </c>
      <c r="S313" s="557">
        <f>COUNTIF(scheduleapr[CTL Bucket],scheduleapr[[#This Row],[CTL Bucket]])</f>
        <v>1</v>
      </c>
      <c r="T313" s="2" t="s">
        <v>1816</v>
      </c>
      <c r="U313" s="2">
        <f>_xlfn.IFNA(VLOOKUP(scheduleapr[[#This Row],[Bucket]],salesforecast[[#All],[Bucket2]:[8406 Stock]],19,0),0)</f>
        <v>0</v>
      </c>
      <c r="V313" s="562">
        <f>_xlfn.IFNA(VLOOKUP(scheduleapr[[#This Row],[Bucket]],salesforecast[[#All],[Bucket2]:[8406 Stock]],20,0),0)+_xlfn.IFNA(VLOOKUP(scheduleapr[[#This Row],[Bucket]],salesforecast[[#All],[Bucket2]:[8406 Stock]],17,0),0)</f>
        <v>0</v>
      </c>
      <c r="W313" s="557"/>
      <c r="X313" s="1">
        <v>19.05</v>
      </c>
      <c r="Y313" s="1">
        <v>19.05</v>
      </c>
      <c r="Z313" s="1">
        <v>0</v>
      </c>
      <c r="AA313" s="1">
        <v>1.2</v>
      </c>
      <c r="AB313" s="24">
        <v>631</v>
      </c>
      <c r="AC313" s="24" t="s">
        <v>397</v>
      </c>
      <c r="AD313" s="24"/>
      <c r="AE313" s="24"/>
      <c r="AF313" s="2">
        <v>12000</v>
      </c>
      <c r="AG313" s="2"/>
      <c r="AH313" s="2" cm="1">
        <f t="array" ref="AH3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3" s="4">
        <f>scheduleapr[[#This Row],[SCHEDULE in nos]]-scheduleapr[[#This Row],[DISPATCH]]</f>
        <v>12000</v>
      </c>
      <c r="AJ313" s="1">
        <f>(3.14*(scheduleapr[[#This Row],[ACTUAL OD]]-scheduleapr[[#This Row],[TICKNESS]])*scheduleapr[[#This Row],[TICKNESS]]*scheduleapr[[#This Row],[LENGTH]]*7.85)/1000000*scheduleapr[[#This Row],[SCHEDULE in nos]]/1000</f>
        <v>3.99787652376</v>
      </c>
      <c r="AK313" s="1">
        <f>(3.14*(scheduleapr[[#This Row],[ACTUAL OD]]-scheduleapr[[#This Row],[TICKNESS]])*scheduleapr[[#This Row],[TICKNESS]]*scheduleapr[[#This Row],[LENGTH]]*7.85)/1000000*scheduleapr[[#This Row],[DISPATCH]]/1000</f>
        <v>0</v>
      </c>
      <c r="AL313" s="1">
        <f t="shared" si="11"/>
        <v>3.99787652376</v>
      </c>
      <c r="AM313" s="1">
        <f>scheduleapr[[#This Row],[SCHEDULE in nos]]/scheduleapr[[#This Row],[SCHEDULE IN MT]]*scheduleapr[[#This Row],[CTL Stock]]</f>
        <v>8701.6194205222509</v>
      </c>
      <c r="AN313" s="1">
        <f>SUMIFS(stock[MT],stock[Bucket],scheduleapr[[#This Row],[Bucket]],stock[CTL Bucket],scheduleapr[[#This Row],[CTL Bucket]],stock[Plant],"0789")</f>
        <v>2.899</v>
      </c>
      <c r="AO313" s="1"/>
      <c r="AP313" s="1">
        <f>SUMIFS(stock[MT],stock[Bucket],scheduleapr[[#This Row],[Bucket]],stock[LL or CTL],"LL")</f>
        <v>0</v>
      </c>
      <c r="AQ313" s="1">
        <f>+SUMIFS(wip[Stock(Net Wt)],wip[Bucket],scheduleapr[[#This Row],[Bucket]])/1000</f>
        <v>20.588000000000001</v>
      </c>
      <c r="AR313" s="1">
        <f t="shared" si="10"/>
        <v>1.09887652376</v>
      </c>
      <c r="AS313" s="118"/>
    </row>
    <row r="314" spans="1:45" x14ac:dyDescent="0.25">
      <c r="A314" s="30">
        <v>259</v>
      </c>
      <c r="B314" s="5" t="s">
        <v>1816</v>
      </c>
      <c r="C314" s="2" t="s">
        <v>307</v>
      </c>
      <c r="D314" s="2" t="s">
        <v>952</v>
      </c>
      <c r="E314" s="2" t="s">
        <v>308</v>
      </c>
      <c r="F314" s="2">
        <v>1940189</v>
      </c>
      <c r="G314" s="2" t="str">
        <f>_xlfn.CONCAT(scheduleapr[[#This Row],[CUSTOMER CODE]],"-",scheduleapr[[#This Row],[MATERIAL NO]])</f>
        <v>189226|930794-1940189</v>
      </c>
      <c r="H314" s="2" t="s">
        <v>1977</v>
      </c>
      <c r="I314" s="2" t="s">
        <v>962</v>
      </c>
      <c r="J314" s="2"/>
      <c r="K314" s="2" t="s">
        <v>963</v>
      </c>
      <c r="L314" s="2" t="s">
        <v>1867</v>
      </c>
      <c r="M314" s="2"/>
      <c r="N314" s="2"/>
      <c r="O314" s="2"/>
      <c r="P314" s="2"/>
      <c r="Q314" s="557" t="str">
        <f>CONCATENATE(scheduleapr[[#This Row],[OD]],"-",scheduleapr[[#This Row],[ID]],"-",scheduleapr[[#This Row],[TICKNESS]],"-",scheduleapr[[#This Row],[Grade]],"-",scheduleapr[[#This Row],[FC/NFC]])</f>
        <v>19.05-0-1.2-ERW 1-PE</v>
      </c>
      <c r="R314" s="557" t="str">
        <f>_xlfn.CONCAT(scheduleapr[[#This Row],[Bucket]],"-",scheduleapr[[#This Row],[LENGTH]]/1000)</f>
        <v>19.05-0-1.2-ERW 1-PE-0.68</v>
      </c>
      <c r="S314" s="557">
        <f>COUNTIF(scheduleapr[CTL Bucket],scheduleapr[[#This Row],[CTL Bucket]])</f>
        <v>1</v>
      </c>
      <c r="T314" s="2" t="s">
        <v>1816</v>
      </c>
      <c r="U314" s="2">
        <f>_xlfn.IFNA(VLOOKUP(scheduleapr[[#This Row],[Bucket]],salesforecast[[#All],[Bucket2]:[8406 Stock]],19,0),0)</f>
        <v>0</v>
      </c>
      <c r="V314" s="562">
        <f>_xlfn.IFNA(VLOOKUP(scheduleapr[[#This Row],[Bucket]],salesforecast[[#All],[Bucket2]:[8406 Stock]],20,0),0)+_xlfn.IFNA(VLOOKUP(scheduleapr[[#This Row],[Bucket]],salesforecast[[#All],[Bucket2]:[8406 Stock]],17,0),0)</f>
        <v>0</v>
      </c>
      <c r="W314" s="557"/>
      <c r="X314" s="1">
        <v>19.05</v>
      </c>
      <c r="Y314" s="1">
        <v>19.05</v>
      </c>
      <c r="Z314" s="1">
        <v>0</v>
      </c>
      <c r="AA314" s="1">
        <v>1.2</v>
      </c>
      <c r="AB314" s="24">
        <v>680</v>
      </c>
      <c r="AC314" s="24" t="s">
        <v>397</v>
      </c>
      <c r="AD314" s="24"/>
      <c r="AE314" s="24"/>
      <c r="AF314" s="2">
        <v>6000</v>
      </c>
      <c r="AG314" s="2"/>
      <c r="AH314" s="2" cm="1">
        <f t="array" ref="AH3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4" s="4">
        <f>scheduleapr[[#This Row],[SCHEDULE in nos]]-scheduleapr[[#This Row],[DISPATCH]]</f>
        <v>6000</v>
      </c>
      <c r="AJ314" s="1">
        <f>(3.14*(scheduleapr[[#This Row],[ACTUAL OD]]-scheduleapr[[#This Row],[TICKNESS]])*scheduleapr[[#This Row],[TICKNESS]]*scheduleapr[[#This Row],[LENGTH]]*7.85)/1000000*scheduleapr[[#This Row],[SCHEDULE in nos]]/1000</f>
        <v>2.1541648464000001</v>
      </c>
      <c r="AK314" s="1">
        <f>(3.14*(scheduleapr[[#This Row],[ACTUAL OD]]-scheduleapr[[#This Row],[TICKNESS]])*scheduleapr[[#This Row],[TICKNESS]]*scheduleapr[[#This Row],[LENGTH]]*7.85)/1000000*scheduleapr[[#This Row],[DISPATCH]]/1000</f>
        <v>0</v>
      </c>
      <c r="AL314" s="1">
        <f t="shared" si="11"/>
        <v>2.1541648464000001</v>
      </c>
      <c r="AM314" s="1">
        <f>scheduleapr[[#This Row],[SCHEDULE in nos]]/scheduleapr[[#This Row],[SCHEDULE IN MT]]*scheduleapr[[#This Row],[CTL Stock]]</f>
        <v>9829.2895436416766</v>
      </c>
      <c r="AN314" s="1">
        <f>SUMIFS(stock[MT],stock[Bucket],scheduleapr[[#This Row],[Bucket]],stock[CTL Bucket],scheduleapr[[#This Row],[CTL Bucket]],stock[Plant],"0789")</f>
        <v>3.528985</v>
      </c>
      <c r="AO314" s="1"/>
      <c r="AP314" s="1">
        <f>SUMIFS(stock[MT],stock[Bucket],scheduleapr[[#This Row],[Bucket]],stock[LL or CTL],"LL")</f>
        <v>0</v>
      </c>
      <c r="AQ314" s="1">
        <f>+SUMIFS(wip[Stock(Net Wt)],wip[Bucket],scheduleapr[[#This Row],[Bucket]])/1000</f>
        <v>20.588000000000001</v>
      </c>
      <c r="AR314" s="1">
        <f t="shared" si="10"/>
        <v>-1.3748201536</v>
      </c>
      <c r="AS314" s="118"/>
    </row>
    <row r="315" spans="1:45" x14ac:dyDescent="0.25">
      <c r="A315" s="556"/>
      <c r="B315" s="5" t="s">
        <v>1816</v>
      </c>
      <c r="C315" s="2" t="s">
        <v>307</v>
      </c>
      <c r="D315" s="2" t="s">
        <v>952</v>
      </c>
      <c r="E315" s="2" t="s">
        <v>308</v>
      </c>
      <c r="F315" s="557"/>
      <c r="G315" s="2" t="str">
        <f>_xlfn.CONCAT(scheduleapr[[#This Row],[CUSTOMER CODE]],"-",scheduleapr[[#This Row],[MATERIAL NO]])</f>
        <v>189226|930794-</v>
      </c>
      <c r="H315" s="557"/>
      <c r="I315" s="2" t="s">
        <v>962</v>
      </c>
      <c r="J315" s="557"/>
      <c r="K315" s="2" t="s">
        <v>963</v>
      </c>
      <c r="L315" s="557"/>
      <c r="M315" s="558"/>
      <c r="N315" s="557"/>
      <c r="O315" s="557"/>
      <c r="P315" s="557"/>
      <c r="Q315" s="15" t="s">
        <v>471</v>
      </c>
      <c r="R315" s="557" t="str">
        <f>_xlfn.CONCAT(scheduleapr[[#This Row],[Bucket]],"-",scheduleapr[[#This Row],[LENGTH]]/1000)</f>
        <v>19.05-0-1.2-ERW 1-PE-1.615</v>
      </c>
      <c r="S315" s="557"/>
      <c r="T315" s="2"/>
      <c r="U315" s="2">
        <f>_xlfn.IFNA(VLOOKUP(scheduleapr[[#This Row],[Bucket]],salesforecast[[#All],[Bucket2]:[8406 Stock]],19,0),0)</f>
        <v>0</v>
      </c>
      <c r="V315" s="562">
        <f>_xlfn.IFNA(VLOOKUP(scheduleapr[[#This Row],[Bucket]],salesforecast[[#All],[Bucket2]:[8406 Stock]],20,0),0)+_xlfn.IFNA(VLOOKUP(scheduleapr[[#This Row],[Bucket]],salesforecast[[#All],[Bucket2]:[8406 Stock]],17,0),0)</f>
        <v>0</v>
      </c>
      <c r="W315" s="2"/>
      <c r="X315" s="1">
        <v>19.05</v>
      </c>
      <c r="Y315" s="1">
        <v>19.05</v>
      </c>
      <c r="Z315" s="1">
        <v>0</v>
      </c>
      <c r="AA315" s="1">
        <v>1.2</v>
      </c>
      <c r="AB315" s="24">
        <v>1615</v>
      </c>
      <c r="AC315" s="24" t="s">
        <v>397</v>
      </c>
      <c r="AD315" s="24"/>
      <c r="AE315" s="24"/>
      <c r="AF315" s="557">
        <v>500</v>
      </c>
      <c r="AG315" s="557"/>
      <c r="AH315" s="2" cm="1">
        <f t="array" ref="AH3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5" s="4">
        <f>scheduleapr[[#This Row],[SCHEDULE in nos]]-scheduleapr[[#This Row],[DISPATCH]]</f>
        <v>500</v>
      </c>
      <c r="AJ315" s="559">
        <f>(3.14*(scheduleapr[[#This Row],[ACTUAL OD]]-scheduleapr[[#This Row],[TICKNESS]])*scheduleapr[[#This Row],[TICKNESS]]*scheduleapr[[#This Row],[LENGTH]]*7.85)/1000000*scheduleapr[[#This Row],[SCHEDULE in nos]]/1000</f>
        <v>0.42634512585000001</v>
      </c>
      <c r="AK315" s="1">
        <f>(3.14*(scheduleapr[[#This Row],[ACTUAL OD]]-scheduleapr[[#This Row],[TICKNESS]])*scheduleapr[[#This Row],[TICKNESS]]*scheduleapr[[#This Row],[LENGTH]]*7.85)/1000000*scheduleapr[[#This Row],[DISPATCH]]/1000</f>
        <v>0</v>
      </c>
      <c r="AL315" s="1">
        <f t="shared" si="11"/>
        <v>0.42634512585000001</v>
      </c>
      <c r="AM315" s="559">
        <f>scheduleapr[[#This Row],[SCHEDULE in nos]]/scheduleapr[[#This Row],[SCHEDULE IN MT]]*scheduleapr[[#This Row],[CTL Stock]]</f>
        <v>0</v>
      </c>
      <c r="AN315" s="1">
        <f>SUMIFS(stock[MT],stock[Bucket],scheduleapr[[#This Row],[Bucket]],stock[CTL Bucket],scheduleapr[[#This Row],[CTL Bucket]],stock[Plant],"0789")</f>
        <v>0</v>
      </c>
      <c r="AO315" s="1"/>
      <c r="AP315" s="1">
        <f>SUMIFS(stock[MT],stock[Bucket],scheduleapr[[#This Row],[Bucket]],stock[LL or CTL],"LL")</f>
        <v>0</v>
      </c>
      <c r="AQ315" s="1">
        <f>+SUMIFS(wip[Stock(Net Wt)],wip[Bucket],scheduleapr[[#This Row],[Bucket]])/1000</f>
        <v>20.588000000000001</v>
      </c>
      <c r="AR315" s="1">
        <f t="shared" si="10"/>
        <v>0.42634512585000001</v>
      </c>
      <c r="AS315" s="118"/>
    </row>
    <row r="316" spans="1:45" x14ac:dyDescent="0.25">
      <c r="A316" s="30">
        <v>260</v>
      </c>
      <c r="B316" s="5" t="s">
        <v>1816</v>
      </c>
      <c r="C316" s="2" t="s">
        <v>307</v>
      </c>
      <c r="D316" s="2" t="s">
        <v>952</v>
      </c>
      <c r="E316" s="2" t="s">
        <v>308</v>
      </c>
      <c r="F316" s="2">
        <v>236341</v>
      </c>
      <c r="G316" s="2" t="str">
        <f>_xlfn.CONCAT(scheduleapr[[#This Row],[CUSTOMER CODE]],"-",scheduleapr[[#This Row],[MATERIAL NO]])</f>
        <v>189226|930794-236341</v>
      </c>
      <c r="H316" s="2" t="s">
        <v>1978</v>
      </c>
      <c r="I316" s="2" t="s">
        <v>962</v>
      </c>
      <c r="J316" s="2"/>
      <c r="K316" s="2" t="s">
        <v>963</v>
      </c>
      <c r="L316" s="2" t="s">
        <v>239</v>
      </c>
      <c r="M316" s="2"/>
      <c r="N316" s="2"/>
      <c r="O316" s="2"/>
      <c r="P316" s="2"/>
      <c r="Q316" s="557" t="str">
        <f>CONCATENATE(scheduleapr[[#This Row],[OD]],"-",scheduleapr[[#This Row],[ID]],"-",scheduleapr[[#This Row],[TICKNESS]],"-",scheduleapr[[#This Row],[Grade]],"-",scheduleapr[[#This Row],[FC/NFC]])</f>
        <v>19.05-0-1.6-ERW 1-PE</v>
      </c>
      <c r="R316" s="557" t="str">
        <f>_xlfn.CONCAT(scheduleapr[[#This Row],[Bucket]],"-",scheduleapr[[#This Row],[LENGTH]]/1000)</f>
        <v>19.05-0-1.6-ERW 1-PE-0.61</v>
      </c>
      <c r="S316" s="557">
        <f>COUNTIF(scheduleapr[CTL Bucket],scheduleapr[[#This Row],[CTL Bucket]])</f>
        <v>1</v>
      </c>
      <c r="T316" s="2" t="s">
        <v>1816</v>
      </c>
      <c r="U316" s="2">
        <f>_xlfn.IFNA(VLOOKUP(scheduleapr[[#This Row],[Bucket]],salesforecast[[#All],[Bucket2]:[8406 Stock]],19,0),0)</f>
        <v>0</v>
      </c>
      <c r="V316" s="562">
        <f>_xlfn.IFNA(VLOOKUP(scheduleapr[[#This Row],[Bucket]],salesforecast[[#All],[Bucket2]:[8406 Stock]],20,0),0)+_xlfn.IFNA(VLOOKUP(scheduleapr[[#This Row],[Bucket]],salesforecast[[#All],[Bucket2]:[8406 Stock]],17,0),0)</f>
        <v>0</v>
      </c>
      <c r="W316" s="557"/>
      <c r="X316" s="1">
        <v>19.05</v>
      </c>
      <c r="Y316" s="1">
        <v>19.05</v>
      </c>
      <c r="Z316" s="1">
        <v>0</v>
      </c>
      <c r="AA316" s="1">
        <v>1.6</v>
      </c>
      <c r="AB316" s="24">
        <v>610</v>
      </c>
      <c r="AC316" s="24" t="s">
        <v>397</v>
      </c>
      <c r="AD316" s="24"/>
      <c r="AE316" s="24"/>
      <c r="AF316" s="2">
        <v>2000</v>
      </c>
      <c r="AG316" s="2"/>
      <c r="AH316" s="2" cm="1">
        <f t="array" ref="AH3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6" s="4">
        <f>scheduleapr[[#This Row],[SCHEDULE in nos]]-scheduleapr[[#This Row],[DISPATCH]]</f>
        <v>2000</v>
      </c>
      <c r="AJ316" s="1">
        <f>(3.14*(scheduleapr[[#This Row],[ACTUAL OD]]-scheduleapr[[#This Row],[TICKNESS]])*scheduleapr[[#This Row],[TICKNESS]]*scheduleapr[[#This Row],[LENGTH]]*7.85)/1000000*scheduleapr[[#This Row],[SCHEDULE in nos]]/1000</f>
        <v>0.83960409759999988</v>
      </c>
      <c r="AK316" s="1">
        <f>(3.14*(scheduleapr[[#This Row],[ACTUAL OD]]-scheduleapr[[#This Row],[TICKNESS]])*scheduleapr[[#This Row],[TICKNESS]]*scheduleapr[[#This Row],[LENGTH]]*7.85)/1000000*scheduleapr[[#This Row],[DISPATCH]]/1000</f>
        <v>0</v>
      </c>
      <c r="AL316" s="1">
        <f t="shared" si="11"/>
        <v>0.83960409759999988</v>
      </c>
      <c r="AM316" s="1">
        <f>scheduleapr[[#This Row],[SCHEDULE in nos]]/scheduleapr[[#This Row],[SCHEDULE IN MT]]*scheduleapr[[#This Row],[CTL Stock]]</f>
        <v>72.126851420930961</v>
      </c>
      <c r="AN316" s="1">
        <f>SUMIFS(stock[MT],stock[Bucket],scheduleapr[[#This Row],[Bucket]],stock[CTL Bucket],scheduleapr[[#This Row],[CTL Bucket]],stock[Plant],"0789")</f>
        <v>3.0279E-2</v>
      </c>
      <c r="AO316" s="1"/>
      <c r="AP316" s="1">
        <f>SUMIFS(stock[MT],stock[Bucket],scheduleapr[[#This Row],[Bucket]],stock[LL or CTL],"LL")</f>
        <v>0</v>
      </c>
      <c r="AQ316" s="1">
        <f>+SUMIFS(wip[Stock(Net Wt)],wip[Bucket],scheduleapr[[#This Row],[Bucket]])/1000</f>
        <v>2.8860000000000001</v>
      </c>
      <c r="AR316" s="1">
        <f t="shared" si="10"/>
        <v>0.80932509759999993</v>
      </c>
      <c r="AS316" s="118"/>
    </row>
    <row r="317" spans="1:45" x14ac:dyDescent="0.25">
      <c r="A317" s="30">
        <v>261</v>
      </c>
      <c r="B317" s="5" t="s">
        <v>1816</v>
      </c>
      <c r="C317" s="2" t="s">
        <v>307</v>
      </c>
      <c r="D317" s="2" t="s">
        <v>952</v>
      </c>
      <c r="E317" s="2" t="s">
        <v>308</v>
      </c>
      <c r="F317" s="2">
        <v>235953</v>
      </c>
      <c r="G317" s="2" t="str">
        <f>_xlfn.CONCAT(scheduleapr[[#This Row],[CUSTOMER CODE]],"-",scheduleapr[[#This Row],[MATERIAL NO]])</f>
        <v>189226|930794-235953</v>
      </c>
      <c r="H317" s="2" t="s">
        <v>1979</v>
      </c>
      <c r="I317" s="2" t="s">
        <v>962</v>
      </c>
      <c r="J317" s="2"/>
      <c r="K317" s="2"/>
      <c r="L317" s="2" t="s">
        <v>239</v>
      </c>
      <c r="M317" s="2"/>
      <c r="N317" s="2"/>
      <c r="O317" s="2"/>
      <c r="P317" s="2"/>
      <c r="Q317" s="557" t="str">
        <f>CONCATENATE(scheduleapr[[#This Row],[OD]],"-",scheduleapr[[#This Row],[ID]],"-",scheduleapr[[#This Row],[TICKNESS]],"-",scheduleapr[[#This Row],[Grade]],"-",scheduleapr[[#This Row],[FC/NFC]])</f>
        <v>19.05-0-1.6-ERW 1-</v>
      </c>
      <c r="R317" s="557" t="str">
        <f>_xlfn.CONCAT(scheduleapr[[#This Row],[Bucket]],"-",scheduleapr[[#This Row],[LENGTH]]/1000)</f>
        <v>19.05-0-1.6-ERW 1--5.475</v>
      </c>
      <c r="S317" s="557" t="e" vm="2">
        <f>COUNTIF([2]!buckets[CTL Bucket],[2]!scheduleapr[[#This Row],[CTL Bucket]])</f>
        <v>#REF!</v>
      </c>
      <c r="T317" s="557"/>
      <c r="U317" s="557"/>
      <c r="V317" s="557"/>
      <c r="W317" s="557"/>
      <c r="X317" s="1">
        <v>19.05</v>
      </c>
      <c r="Y317" s="1">
        <v>19.05</v>
      </c>
      <c r="Z317" s="1">
        <v>0</v>
      </c>
      <c r="AA317" s="1">
        <v>1.6</v>
      </c>
      <c r="AB317" s="24">
        <v>5475</v>
      </c>
      <c r="AC317" s="24" t="s">
        <v>444</v>
      </c>
      <c r="AD317" s="24"/>
      <c r="AE317" s="24"/>
      <c r="AF317" s="2"/>
      <c r="AG317" s="2"/>
      <c r="AH317" s="2" cm="1">
        <f t="array" ref="AH3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7" s="4">
        <f>scheduleapr[[#This Row],[SCHEDULE in nos]]-scheduleapr[[#This Row],[DISPATCH]]</f>
        <v>0</v>
      </c>
      <c r="AJ317" s="1">
        <f>(3.14*(scheduleapr[[#This Row],[ACTUAL OD]]-scheduleapr[[#This Row],[TICKNESS]])*scheduleapr[[#This Row],[TICKNESS]]*scheduleapr[[#This Row],[LENGTH]]*7.85)/1000000*scheduleapr[[#This Row],[SCHEDULE in nos]]/1000</f>
        <v>0</v>
      </c>
      <c r="AK317" s="1">
        <f>(3.14*(scheduleapr[[#This Row],[ACTUAL OD]]-scheduleapr[[#This Row],[TICKNESS]])*scheduleapr[[#This Row],[TICKNESS]]*scheduleapr[[#This Row],[LENGTH]]*7.85)/1000000*scheduleapr[[#This Row],[DISPATCH]]/1000</f>
        <v>0</v>
      </c>
      <c r="AL317" s="1">
        <f t="shared" si="11"/>
        <v>0</v>
      </c>
      <c r="AM317" s="1" t="e">
        <f>scheduleapr[[#This Row],[SCHEDULE in nos]]/scheduleapr[[#This Row],[SCHEDULE IN MT]]*scheduleapr[[#This Row],[CTL Stock]]</f>
        <v>#DIV/0!</v>
      </c>
      <c r="AN317" s="1">
        <f>SUMIFS(stock[MT],stock[Bucket],scheduleapr[[#This Row],[Bucket]],stock[CTL Bucket],scheduleapr[[#This Row],[CTL Bucket]],stock[Plant],"0789")</f>
        <v>0</v>
      </c>
      <c r="AO317" s="1"/>
      <c r="AP317" s="1">
        <f>SUMIFS(stock[MT],stock[Bucket],scheduleapr[[#This Row],[Bucket]],stock[LL or CTL],"LL")</f>
        <v>0</v>
      </c>
      <c r="AQ317" s="1">
        <f>+SUMIFS(wip[Stock(Net Wt)],wip[Bucket],scheduleapr[[#This Row],[Bucket]])/1000</f>
        <v>0</v>
      </c>
      <c r="AR317" s="1">
        <f t="shared" si="10"/>
        <v>0</v>
      </c>
      <c r="AS317" s="118"/>
    </row>
    <row r="318" spans="1:45" x14ac:dyDescent="0.25">
      <c r="A318" s="30">
        <v>262</v>
      </c>
      <c r="B318" s="5" t="s">
        <v>1816</v>
      </c>
      <c r="C318" s="2" t="s">
        <v>307</v>
      </c>
      <c r="D318" s="2" t="s">
        <v>952</v>
      </c>
      <c r="E318" s="2" t="s">
        <v>308</v>
      </c>
      <c r="F318" s="2">
        <v>1940318</v>
      </c>
      <c r="G318" s="2" t="str">
        <f>_xlfn.CONCAT(scheduleapr[[#This Row],[CUSTOMER CODE]],"-",scheduleapr[[#This Row],[MATERIAL NO]])</f>
        <v>189226|930794-1940318</v>
      </c>
      <c r="H318" s="2" t="s">
        <v>710</v>
      </c>
      <c r="I318" s="2" t="s">
        <v>962</v>
      </c>
      <c r="J318" s="2"/>
      <c r="K318" s="2" t="s">
        <v>963</v>
      </c>
      <c r="L318" s="2" t="s">
        <v>239</v>
      </c>
      <c r="M318" s="2"/>
      <c r="N318" s="2"/>
      <c r="O318" s="2"/>
      <c r="P318" s="2"/>
      <c r="Q318" s="557" t="str">
        <f>CONCATENATE(scheduleapr[[#This Row],[OD]],"-",scheduleapr[[#This Row],[ID]],"-",scheduleapr[[#This Row],[TICKNESS]],"-",scheduleapr[[#This Row],[Grade]],"-",scheduleapr[[#This Row],[FC/NFC]])</f>
        <v>19.05-0-2.3-ERW 1-PE</v>
      </c>
      <c r="R318" s="557" t="str">
        <f>_xlfn.CONCAT(scheduleapr[[#This Row],[Bucket]],"-",scheduleapr[[#This Row],[LENGTH]]/1000)</f>
        <v>19.05-0-2.3-ERW 1-PE-0.394</v>
      </c>
      <c r="S318" s="557">
        <f>COUNTIF(scheduleapr[CTL Bucket],scheduleapr[[#This Row],[CTL Bucket]])</f>
        <v>1</v>
      </c>
      <c r="T318" s="2" t="s">
        <v>1816</v>
      </c>
      <c r="U318" s="2">
        <f>_xlfn.IFNA(VLOOKUP(scheduleapr[[#This Row],[Bucket]],salesforecast[[#All],[Bucket2]:[8406 Stock]],19,0),0)</f>
        <v>24.635752000000004</v>
      </c>
      <c r="V318" s="562">
        <f>_xlfn.IFNA(VLOOKUP(scheduleapr[[#This Row],[Bucket]],salesforecast[[#All],[Bucket2]:[8406 Stock]],20,0),0)+_xlfn.IFNA(VLOOKUP(scheduleapr[[#This Row],[Bucket]],salesforecast[[#All],[Bucket2]:[8406 Stock]],17,0),0)</f>
        <v>38.357093999999996</v>
      </c>
      <c r="W318" s="557"/>
      <c r="X318" s="1">
        <v>19.05</v>
      </c>
      <c r="Y318" s="1">
        <v>19.05</v>
      </c>
      <c r="Z318" s="6">
        <v>0</v>
      </c>
      <c r="AA318" s="1">
        <v>2.2999999999999998</v>
      </c>
      <c r="AB318" s="24">
        <v>394</v>
      </c>
      <c r="AC318" s="24" t="s">
        <v>397</v>
      </c>
      <c r="AD318" s="24"/>
      <c r="AE318" s="24"/>
      <c r="AF318" s="2">
        <v>10000</v>
      </c>
      <c r="AG318" s="2"/>
      <c r="AH318" s="2" cm="1">
        <f t="array" ref="AH3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19190</v>
      </c>
      <c r="AI318" s="4">
        <f>scheduleapr[[#This Row],[SCHEDULE in nos]]-scheduleapr[[#This Row],[DISPATCH]]</f>
        <v>-9190</v>
      </c>
      <c r="AJ318" s="1">
        <f>(3.14*(scheduleapr[[#This Row],[ACTUAL OD]]-scheduleapr[[#This Row],[TICKNESS]])*scheduleapr[[#This Row],[TICKNESS]]*scheduleapr[[#This Row],[LENGTH]]*7.85)/1000000*scheduleapr[[#This Row],[SCHEDULE in nos]]/1000</f>
        <v>3.7414347365</v>
      </c>
      <c r="AK318" s="1">
        <f>(3.14*(scheduleapr[[#This Row],[ACTUAL OD]]-scheduleapr[[#This Row],[TICKNESS]])*scheduleapr[[#This Row],[TICKNESS]]*scheduleapr[[#This Row],[LENGTH]]*7.85)/1000000*scheduleapr[[#This Row],[DISPATCH]]/1000</f>
        <v>7.1798132593435007</v>
      </c>
      <c r="AL318" s="1">
        <f t="shared" si="11"/>
        <v>-3.4383785228435007</v>
      </c>
      <c r="AM318" s="1">
        <f>scheduleapr[[#This Row],[SCHEDULE in nos]]/scheduleapr[[#This Row],[SCHEDULE IN MT]]*scheduleapr[[#This Row],[CTL Stock]]</f>
        <v>7.7617283329031279</v>
      </c>
      <c r="AN318" s="1">
        <f>SUMIFS(stock[MT],stock[Bucket],scheduleapr[[#This Row],[Bucket]],stock[CTL Bucket],scheduleapr[[#This Row],[CTL Bucket]],stock[Plant],"0789")</f>
        <v>2.9039999999999999E-3</v>
      </c>
      <c r="AO318" s="1"/>
      <c r="AP318" s="1">
        <f>SUMIFS(stock[MT],stock[Bucket],scheduleapr[[#This Row],[Bucket]],stock[LL or CTL],"LL")</f>
        <v>73.955845999999994</v>
      </c>
      <c r="AQ318" s="1">
        <f>+SUMIFS(wip[Stock(Net Wt)],wip[Bucket],scheduleapr[[#This Row],[Bucket]])/1000</f>
        <v>6.0149999999999997</v>
      </c>
      <c r="AR318" s="1">
        <f t="shared" si="10"/>
        <v>3.7385307365</v>
      </c>
      <c r="AS318" s="118"/>
    </row>
    <row r="319" spans="1:45" x14ac:dyDescent="0.25">
      <c r="A319" s="30">
        <v>222</v>
      </c>
      <c r="B319" s="5" t="s">
        <v>1816</v>
      </c>
      <c r="C319" s="2" t="s">
        <v>310</v>
      </c>
      <c r="D319" s="2" t="s">
        <v>952</v>
      </c>
      <c r="E319" s="2" t="s">
        <v>309</v>
      </c>
      <c r="F319" s="2">
        <v>1940357</v>
      </c>
      <c r="G319" s="2" t="str">
        <f>_xlfn.CONCAT(scheduleapr[[#This Row],[CUSTOMER CODE]],"-",scheduleapr[[#This Row],[MATERIAL NO]])</f>
        <v>930801|189227-1940357</v>
      </c>
      <c r="H319" s="2" t="s">
        <v>1980</v>
      </c>
      <c r="I319" s="2" t="s">
        <v>962</v>
      </c>
      <c r="J319" s="2"/>
      <c r="K319" s="2" t="s">
        <v>963</v>
      </c>
      <c r="L319" s="2" t="s">
        <v>1867</v>
      </c>
      <c r="M319" s="2"/>
      <c r="N319" s="2"/>
      <c r="O319" s="2"/>
      <c r="P319" s="2"/>
      <c r="Q319" s="557" t="str">
        <f>CONCATENATE(scheduleapr[[#This Row],[OD]],"-",scheduleapr[[#This Row],[ID]],"-",scheduleapr[[#This Row],[TICKNESS]],"-",scheduleapr[[#This Row],[Grade]],"-",scheduleapr[[#This Row],[FC/NFC]])</f>
        <v>22.23-0-1.2-ERW 1-PE</v>
      </c>
      <c r="R319" s="557" t="str">
        <f>_xlfn.CONCAT(scheduleapr[[#This Row],[Bucket]],"-",scheduleapr[[#This Row],[LENGTH]]/1000)</f>
        <v>22.23-0-1.2-ERW 1-PE-0.14</v>
      </c>
      <c r="S319" s="557">
        <f>COUNTIF(scheduleapr[CTL Bucket],scheduleapr[[#This Row],[CTL Bucket]])</f>
        <v>1</v>
      </c>
      <c r="T319" s="2" t="s">
        <v>1816</v>
      </c>
      <c r="U319" s="2">
        <f>_xlfn.IFNA(VLOOKUP(scheduleapr[[#This Row],[Bucket]],salesforecast[[#All],[Bucket2]:[8406 Stock]],19,0),0)</f>
        <v>0</v>
      </c>
      <c r="V319" s="562">
        <f>_xlfn.IFNA(VLOOKUP(scheduleapr[[#This Row],[Bucket]],salesforecast[[#All],[Bucket2]:[8406 Stock]],20,0),0)+_xlfn.IFNA(VLOOKUP(scheduleapr[[#This Row],[Bucket]],salesforecast[[#All],[Bucket2]:[8406 Stock]],17,0),0)</f>
        <v>0.24293999999999999</v>
      </c>
      <c r="W319" s="557"/>
      <c r="X319" s="1">
        <v>22.23</v>
      </c>
      <c r="Y319" s="1">
        <v>22.23</v>
      </c>
      <c r="Z319" s="1">
        <v>0</v>
      </c>
      <c r="AA319" s="1">
        <v>1.2</v>
      </c>
      <c r="AB319" s="24">
        <v>140</v>
      </c>
      <c r="AC319" s="24" t="s">
        <v>397</v>
      </c>
      <c r="AD319" s="24"/>
      <c r="AE319" s="24"/>
      <c r="AF319" s="2">
        <v>6000</v>
      </c>
      <c r="AG319" s="2"/>
      <c r="AH319" s="2" cm="1">
        <f t="array" ref="AH3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9" s="4">
        <f>scheduleapr[[#This Row],[SCHEDULE in nos]]-scheduleapr[[#This Row],[DISPATCH]]</f>
        <v>6000</v>
      </c>
      <c r="AJ319" s="1">
        <f>(3.14*(scheduleapr[[#This Row],[ACTUAL OD]]-scheduleapr[[#This Row],[TICKNESS]])*scheduleapr[[#This Row],[TICKNESS]]*scheduleapr[[#This Row],[LENGTH]]*7.85)/1000000*scheduleapr[[#This Row],[SCHEDULE in nos]]/1000</f>
        <v>0.52251541775999999</v>
      </c>
      <c r="AK319" s="1">
        <f>(3.14*(scheduleapr[[#This Row],[ACTUAL OD]]-scheduleapr[[#This Row],[TICKNESS]])*scheduleapr[[#This Row],[TICKNESS]]*scheduleapr[[#This Row],[LENGTH]]*7.85)/1000000*scheduleapr[[#This Row],[DISPATCH]]/1000</f>
        <v>0</v>
      </c>
      <c r="AL319" s="1">
        <f t="shared" si="11"/>
        <v>0.52251541775999999</v>
      </c>
      <c r="AM319" s="1">
        <f>scheduleapr[[#This Row],[SCHEDULE in nos]]/scheduleapr[[#This Row],[SCHEDULE IN MT]]*scheduleapr[[#This Row],[CTL Stock]]</f>
        <v>0</v>
      </c>
      <c r="AN319" s="1">
        <f>SUMIFS(stock[MT],stock[Bucket],scheduleapr[[#This Row],[Bucket]],stock[CTL Bucket],scheduleapr[[#This Row],[CTL Bucket]],stock[Plant],"0789")</f>
        <v>0</v>
      </c>
      <c r="AO319" s="1"/>
      <c r="AP319" s="1">
        <f>SUMIFS(stock[MT],stock[Bucket],scheduleapr[[#This Row],[Bucket]],stock[LL or CTL],"LL")</f>
        <v>8.5000000000000006E-2</v>
      </c>
      <c r="AQ319" s="1">
        <f>+SUMIFS(wip[Stock(Net Wt)],wip[Bucket],scheduleapr[[#This Row],[Bucket]])/1000</f>
        <v>3.1040000000000001</v>
      </c>
      <c r="AR319" s="1">
        <f t="shared" ref="AR319:AR382" si="12">AJ319-AN319</f>
        <v>0.52251541775999999</v>
      </c>
      <c r="AS319" s="118"/>
    </row>
    <row r="320" spans="1:45" x14ac:dyDescent="0.25">
      <c r="A320" s="30">
        <v>267</v>
      </c>
      <c r="B320" s="5" t="s">
        <v>1816</v>
      </c>
      <c r="C320" s="2" t="s">
        <v>307</v>
      </c>
      <c r="D320" s="2" t="s">
        <v>952</v>
      </c>
      <c r="E320" s="2" t="s">
        <v>308</v>
      </c>
      <c r="F320" s="2">
        <v>1940392</v>
      </c>
      <c r="G320" s="2" t="str">
        <f>_xlfn.CONCAT(scheduleapr[[#This Row],[CUSTOMER CODE]],"-",scheduleapr[[#This Row],[MATERIAL NO]])</f>
        <v>189226|930794-1940392</v>
      </c>
      <c r="H320" s="2" t="s">
        <v>1940</v>
      </c>
      <c r="I320" s="2" t="s">
        <v>962</v>
      </c>
      <c r="J320" s="2"/>
      <c r="K320" s="2" t="s">
        <v>963</v>
      </c>
      <c r="L320" s="2" t="s">
        <v>1867</v>
      </c>
      <c r="M320" s="44" t="s">
        <v>1891</v>
      </c>
      <c r="N320" s="2"/>
      <c r="O320" s="2"/>
      <c r="P320" s="2"/>
      <c r="Q320" s="557" t="str">
        <f>CONCATENATE(scheduleapr[[#This Row],[OD]],"-",scheduleapr[[#This Row],[ID]],"-",scheduleapr[[#This Row],[TICKNESS]],"-",scheduleapr[[#This Row],[Grade]],"-",scheduleapr[[#This Row],[FC/NFC]])</f>
        <v>22.23-0-1.6-ERW 1-PE</v>
      </c>
      <c r="R320" s="557" t="str">
        <f>_xlfn.CONCAT(scheduleapr[[#This Row],[Bucket]],"-",scheduleapr[[#This Row],[LENGTH]]/1000)</f>
        <v>22.23-0-1.6-ERW 1-PE-0.285</v>
      </c>
      <c r="S320" s="557">
        <f>COUNTIF(scheduleapr[CTL Bucket],scheduleapr[[#This Row],[CTL Bucket]])</f>
        <v>2</v>
      </c>
      <c r="T320" s="2" t="s">
        <v>1816</v>
      </c>
      <c r="U320" s="2">
        <f>_xlfn.IFNA(VLOOKUP(scheduleapr[[#This Row],[Bucket]],salesforecast[[#All],[Bucket2]:[8406 Stock]],19,0),0)</f>
        <v>5.9161999999999937E-2</v>
      </c>
      <c r="V320" s="562">
        <f>_xlfn.IFNA(VLOOKUP(scheduleapr[[#This Row],[Bucket]],salesforecast[[#All],[Bucket2]:[8406 Stock]],20,0),0)+_xlfn.IFNA(VLOOKUP(scheduleapr[[#This Row],[Bucket]],salesforecast[[#All],[Bucket2]:[8406 Stock]],17,0),0)</f>
        <v>0</v>
      </c>
      <c r="W320" s="557"/>
      <c r="X320" s="1">
        <v>22.23</v>
      </c>
      <c r="Y320" s="1">
        <v>22.23</v>
      </c>
      <c r="Z320" s="1">
        <v>0</v>
      </c>
      <c r="AA320" s="1">
        <v>1.6</v>
      </c>
      <c r="AB320" s="24">
        <v>285</v>
      </c>
      <c r="AC320" s="24" t="s">
        <v>397</v>
      </c>
      <c r="AD320" s="24"/>
      <c r="AE320" s="24"/>
      <c r="AF320" s="2">
        <v>30000</v>
      </c>
      <c r="AG320" s="2"/>
      <c r="AH320" s="2" cm="1">
        <f t="array" ref="AH3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0" s="4">
        <f>scheduleapr[[#This Row],[SCHEDULE in nos]]-scheduleapr[[#This Row],[DISPATCH]]</f>
        <v>30000</v>
      </c>
      <c r="AJ320" s="1">
        <f>(3.14*(scheduleapr[[#This Row],[ACTUAL OD]]-scheduleapr[[#This Row],[TICKNESS]])*scheduleapr[[#This Row],[TICKNESS]]*scheduleapr[[#This Row],[LENGTH]]*7.85)/1000000*scheduleapr[[#This Row],[SCHEDULE in nos]]/1000</f>
        <v>6.9564013416000003</v>
      </c>
      <c r="AK320" s="1">
        <f>(3.14*(scheduleapr[[#This Row],[ACTUAL OD]]-scheduleapr[[#This Row],[TICKNESS]])*scheduleapr[[#This Row],[TICKNESS]]*scheduleapr[[#This Row],[LENGTH]]*7.85)/1000000*scheduleapr[[#This Row],[DISPATCH]]/1000</f>
        <v>0</v>
      </c>
      <c r="AL320" s="1">
        <f t="shared" si="11"/>
        <v>6.9564013416000003</v>
      </c>
      <c r="AM320" s="1">
        <f>scheduleapr[[#This Row],[SCHEDULE in nos]]/scheduleapr[[#This Row],[SCHEDULE IN MT]]*scheduleapr[[#This Row],[CTL Stock]]</f>
        <v>408.52157034205356</v>
      </c>
      <c r="AN320" s="1">
        <f>SUMIFS(stock[MT],stock[Bucket],scheduleapr[[#This Row],[Bucket]],stock[CTL Bucket],scheduleapr[[#This Row],[CTL Bucket]],stock[Plant],"0789")</f>
        <v>9.4728000000000007E-2</v>
      </c>
      <c r="AO320" s="1"/>
      <c r="AP320" s="1">
        <f>SUMIFS(stock[MT],stock[Bucket],scheduleapr[[#This Row],[Bucket]],stock[LL or CTL],"LL")</f>
        <v>62.742162000000008</v>
      </c>
      <c r="AQ320" s="1">
        <f>+SUMIFS(wip[Stock(Net Wt)],wip[Bucket],scheduleapr[[#This Row],[Bucket]])/1000</f>
        <v>0</v>
      </c>
      <c r="AR320" s="1">
        <f t="shared" si="12"/>
        <v>6.8616733416000004</v>
      </c>
      <c r="AS320" s="118"/>
    </row>
    <row r="321" spans="1:45" x14ac:dyDescent="0.25">
      <c r="A321" s="30">
        <v>223</v>
      </c>
      <c r="B321" s="5" t="s">
        <v>1816</v>
      </c>
      <c r="C321" s="2" t="s">
        <v>307</v>
      </c>
      <c r="D321" s="2" t="s">
        <v>952</v>
      </c>
      <c r="E321" s="2" t="s">
        <v>309</v>
      </c>
      <c r="F321" s="2">
        <v>1938251</v>
      </c>
      <c r="G321" s="2" t="str">
        <f>_xlfn.CONCAT(scheduleapr[[#This Row],[CUSTOMER CODE]],"-",scheduleapr[[#This Row],[MATERIAL NO]])</f>
        <v>930801|189227-1938251</v>
      </c>
      <c r="H321" s="2" t="s">
        <v>1511</v>
      </c>
      <c r="I321" s="2" t="s">
        <v>962</v>
      </c>
      <c r="J321" s="2"/>
      <c r="K321" s="2" t="s">
        <v>963</v>
      </c>
      <c r="L321" s="2" t="s">
        <v>1867</v>
      </c>
      <c r="M321" s="44" t="s">
        <v>1883</v>
      </c>
      <c r="N321" s="2"/>
      <c r="O321" s="2"/>
      <c r="P321" s="2"/>
      <c r="Q321" s="557" t="str">
        <f>CONCATENATE(scheduleapr[[#This Row],[OD]],"-",scheduleapr[[#This Row],[ID]],"-",scheduleapr[[#This Row],[TICKNESS]],"-",scheduleapr[[#This Row],[Grade]],"-",scheduleapr[[#This Row],[FC/NFC]])</f>
        <v>22.23-0-1.6-ERW 1-PE</v>
      </c>
      <c r="R321" s="557" t="str">
        <f>_xlfn.CONCAT(scheduleapr[[#This Row],[Bucket]],"-",scheduleapr[[#This Row],[LENGTH]]/1000)</f>
        <v>22.23-0-1.6-ERW 1-PE-0.394</v>
      </c>
      <c r="S321" s="557">
        <f>COUNTIF(scheduleapr[CTL Bucket],scheduleapr[[#This Row],[CTL Bucket]])</f>
        <v>2</v>
      </c>
      <c r="T321" s="2" t="s">
        <v>1816</v>
      </c>
      <c r="U321" s="2">
        <f>_xlfn.IFNA(VLOOKUP(scheduleapr[[#This Row],[Bucket]],salesforecast[[#All],[Bucket2]:[8406 Stock]],19,0),0)</f>
        <v>5.9161999999999937E-2</v>
      </c>
      <c r="V321" s="562">
        <f>_xlfn.IFNA(VLOOKUP(scheduleapr[[#This Row],[Bucket]],salesforecast[[#All],[Bucket2]:[8406 Stock]],20,0),0)+_xlfn.IFNA(VLOOKUP(scheduleapr[[#This Row],[Bucket]],salesforecast[[#All],[Bucket2]:[8406 Stock]],17,0),0)</f>
        <v>0</v>
      </c>
      <c r="W321" s="557"/>
      <c r="X321" s="1">
        <v>22.23</v>
      </c>
      <c r="Y321" s="1">
        <v>22.23</v>
      </c>
      <c r="Z321" s="6">
        <v>0</v>
      </c>
      <c r="AA321" s="1">
        <v>1.6</v>
      </c>
      <c r="AB321" s="24">
        <v>394</v>
      </c>
      <c r="AC321" s="24" t="s">
        <v>397</v>
      </c>
      <c r="AD321" s="24"/>
      <c r="AE321" s="24"/>
      <c r="AF321" s="2">
        <v>5000</v>
      </c>
      <c r="AG321" s="2"/>
      <c r="AH321" s="2" cm="1">
        <f t="array" ref="AH3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1" s="4">
        <f>scheduleapr[[#This Row],[SCHEDULE in nos]]-scheduleapr[[#This Row],[DISPATCH]]</f>
        <v>5000</v>
      </c>
      <c r="AJ321" s="1">
        <f>(3.14*(scheduleapr[[#This Row],[ACTUAL OD]]-scheduleapr[[#This Row],[TICKNESS]])*scheduleapr[[#This Row],[TICKNESS]]*scheduleapr[[#This Row],[LENGTH]]*7.85)/1000000*scheduleapr[[#This Row],[SCHEDULE in nos]]/1000</f>
        <v>1.6028199582400002</v>
      </c>
      <c r="AK321" s="1">
        <f>(3.14*(scheduleapr[[#This Row],[ACTUAL OD]]-scheduleapr[[#This Row],[TICKNESS]])*scheduleapr[[#This Row],[TICKNESS]]*scheduleapr[[#This Row],[LENGTH]]*7.85)/1000000*scheduleapr[[#This Row],[DISPATCH]]/1000</f>
        <v>0</v>
      </c>
      <c r="AL321" s="1">
        <f t="shared" si="11"/>
        <v>1.6028199582400002</v>
      </c>
      <c r="AM321" s="1">
        <f>scheduleapr[[#This Row],[SCHEDULE in nos]]/scheduleapr[[#This Row],[SCHEDULE IN MT]]*scheduleapr[[#This Row],[CTL Stock]]</f>
        <v>2789.2933183270043</v>
      </c>
      <c r="AN321" s="1">
        <f>SUMIFS(stock[MT],stock[Bucket],scheduleapr[[#This Row],[Bucket]],stock[CTL Bucket],scheduleapr[[#This Row],[CTL Bucket]],stock[Plant],"0789")</f>
        <v>0.89414700000000003</v>
      </c>
      <c r="AO321" s="1"/>
      <c r="AP321" s="1">
        <f>SUMIFS(stock[MT],stock[Bucket],scheduleapr[[#This Row],[Bucket]],stock[LL or CTL],"LL")</f>
        <v>62.742162000000008</v>
      </c>
      <c r="AQ321" s="1">
        <f>+SUMIFS(wip[Stock(Net Wt)],wip[Bucket],scheduleapr[[#This Row],[Bucket]])/1000</f>
        <v>0</v>
      </c>
      <c r="AR321" s="1">
        <f t="shared" si="12"/>
        <v>0.70867295824000021</v>
      </c>
      <c r="AS321" s="118"/>
    </row>
    <row r="322" spans="1:45" x14ac:dyDescent="0.25">
      <c r="A322" s="556"/>
      <c r="B322" s="5" t="s">
        <v>1816</v>
      </c>
      <c r="C322" s="2" t="s">
        <v>310</v>
      </c>
      <c r="D322" s="2" t="s">
        <v>952</v>
      </c>
      <c r="E322" s="2" t="s">
        <v>309</v>
      </c>
      <c r="F322" s="2">
        <v>1938251</v>
      </c>
      <c r="G322" s="2" t="str">
        <f>_xlfn.CONCAT(scheduleapr[[#This Row],[CUSTOMER CODE]],"-",scheduleapr[[#This Row],[MATERIAL NO]])</f>
        <v>930801|189227-1938251</v>
      </c>
      <c r="H322" s="2" t="s">
        <v>1511</v>
      </c>
      <c r="I322" s="2" t="s">
        <v>962</v>
      </c>
      <c r="J322" s="557"/>
      <c r="K322" s="2" t="s">
        <v>963</v>
      </c>
      <c r="L322" s="2" t="s">
        <v>239</v>
      </c>
      <c r="M322" s="558"/>
      <c r="N322" s="557"/>
      <c r="O322" s="557"/>
      <c r="P322" s="557"/>
      <c r="Q322" s="557" t="str">
        <f>CONCATENATE(scheduleapr[[#This Row],[OD]],"-",scheduleapr[[#This Row],[ID]],"-",scheduleapr[[#This Row],[TICKNESS]],"-",scheduleapr[[#This Row],[Grade]],"-",scheduleapr[[#This Row],[FC/NFC]])</f>
        <v>22.23-0-1.6-ERW 1-PE</v>
      </c>
      <c r="R322" s="557" t="str">
        <f>_xlfn.CONCAT(scheduleapr[[#This Row],[Bucket]],"-",scheduleapr[[#This Row],[LENGTH]]/1000)</f>
        <v>22.23-0-1.6-ERW 1-PE-0.394</v>
      </c>
      <c r="S322" s="557">
        <f>COUNTIF(scheduleapr[CTL Bucket],scheduleapr[[#This Row],[CTL Bucket]])</f>
        <v>2</v>
      </c>
      <c r="T322" s="2" t="s">
        <v>1816</v>
      </c>
      <c r="U322" s="2">
        <f>_xlfn.IFNA(VLOOKUP(scheduleapr[[#This Row],[Bucket]],salesforecast[[#All],[Bucket2]:[8406 Stock]],19,0),0)</f>
        <v>5.9161999999999937E-2</v>
      </c>
      <c r="V322" s="562">
        <f>_xlfn.IFNA(VLOOKUP(scheduleapr[[#This Row],[Bucket]],salesforecast[[#All],[Bucket2]:[8406 Stock]],20,0),0)+_xlfn.IFNA(VLOOKUP(scheduleapr[[#This Row],[Bucket]],salesforecast[[#All],[Bucket2]:[8406 Stock]],17,0),0)</f>
        <v>0</v>
      </c>
      <c r="W322" s="2"/>
      <c r="X322" s="559">
        <v>22.23</v>
      </c>
      <c r="Y322" s="559">
        <v>22.23</v>
      </c>
      <c r="Z322" s="559">
        <v>0</v>
      </c>
      <c r="AA322" s="1">
        <v>1.6</v>
      </c>
      <c r="AB322" s="24">
        <v>394</v>
      </c>
      <c r="AC322" s="24" t="s">
        <v>397</v>
      </c>
      <c r="AD322" s="24"/>
      <c r="AE322" s="24"/>
      <c r="AF322" s="557">
        <v>15200</v>
      </c>
      <c r="AG322" s="557"/>
      <c r="AH322" s="2" cm="1">
        <f t="array" ref="AH3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2" s="4">
        <f>scheduleapr[[#This Row],[SCHEDULE in nos]]-scheduleapr[[#This Row],[DISPATCH]]</f>
        <v>15200</v>
      </c>
      <c r="AJ322" s="559">
        <f>(3.14*(scheduleapr[[#This Row],[ACTUAL OD]]-scheduleapr[[#This Row],[TICKNESS]])*scheduleapr[[#This Row],[TICKNESS]]*scheduleapr[[#This Row],[LENGTH]]*7.85)/1000000*scheduleapr[[#This Row],[SCHEDULE in nos]]/1000</f>
        <v>4.8725726730496008</v>
      </c>
      <c r="AK322" s="1">
        <f>(3.14*(scheduleapr[[#This Row],[ACTUAL OD]]-scheduleapr[[#This Row],[TICKNESS]])*scheduleapr[[#This Row],[TICKNESS]]*scheduleapr[[#This Row],[LENGTH]]*7.85)/1000000*scheduleapr[[#This Row],[DISPATCH]]/1000</f>
        <v>0</v>
      </c>
      <c r="AL322" s="1">
        <f t="shared" si="11"/>
        <v>4.8725726730496008</v>
      </c>
      <c r="AM322" s="559">
        <f>scheduleapr[[#This Row],[SCHEDULE in nos]]/scheduleapr[[#This Row],[SCHEDULE IN MT]]*scheduleapr[[#This Row],[CTL Stock]]</f>
        <v>2789.2933183270038</v>
      </c>
      <c r="AN322" s="1">
        <f>SUMIFS(stock[MT],stock[Bucket],scheduleapr[[#This Row],[Bucket]],stock[CTL Bucket],scheduleapr[[#This Row],[CTL Bucket]],stock[Plant],"0789")</f>
        <v>0.89414700000000003</v>
      </c>
      <c r="AO322" s="1"/>
      <c r="AP322" s="1">
        <f>SUMIFS(stock[MT],stock[Bucket],scheduleapr[[#This Row],[Bucket]],stock[LL or CTL],"LL")</f>
        <v>62.742162000000008</v>
      </c>
      <c r="AQ322" s="1">
        <f>+SUMIFS(wip[Stock(Net Wt)],wip[Bucket],scheduleapr[[#This Row],[Bucket]])/1000</f>
        <v>0</v>
      </c>
      <c r="AR322" s="1">
        <f t="shared" si="12"/>
        <v>3.9784256730496006</v>
      </c>
      <c r="AS322" s="118"/>
    </row>
    <row r="323" spans="1:45" x14ac:dyDescent="0.25">
      <c r="A323" s="30">
        <v>225</v>
      </c>
      <c r="B323" s="5" t="s">
        <v>1816</v>
      </c>
      <c r="C323" s="2" t="s">
        <v>310</v>
      </c>
      <c r="D323" s="2" t="s">
        <v>952</v>
      </c>
      <c r="E323" s="2" t="s">
        <v>309</v>
      </c>
      <c r="F323" s="2">
        <v>2427960</v>
      </c>
      <c r="G323" s="2" t="str">
        <f>_xlfn.CONCAT(scheduleapr[[#This Row],[CUSTOMER CODE]],"-",scheduleapr[[#This Row],[MATERIAL NO]])</f>
        <v>930801|189227-2427960</v>
      </c>
      <c r="H323" s="2" t="s">
        <v>1981</v>
      </c>
      <c r="I323" s="2" t="s">
        <v>962</v>
      </c>
      <c r="J323" s="2"/>
      <c r="K323" s="44" t="s">
        <v>963</v>
      </c>
      <c r="L323" s="2" t="s">
        <v>1867</v>
      </c>
      <c r="M323" s="44" t="s">
        <v>1868</v>
      </c>
      <c r="N323" s="2"/>
      <c r="O323" s="2"/>
      <c r="P323" s="2"/>
      <c r="Q323" s="557" t="str">
        <f>CONCATENATE(scheduleapr[[#This Row],[OD]],"-",scheduleapr[[#This Row],[ID]],"-",scheduleapr[[#This Row],[TICKNESS]],"-",scheduleapr[[#This Row],[Grade]],"-",scheduleapr[[#This Row],[FC/NFC]])</f>
        <v>22.23-0-1.6-ERW 1-PE</v>
      </c>
      <c r="R323" s="557" t="str">
        <f>_xlfn.CONCAT(scheduleapr[[#This Row],[Bucket]],"-",scheduleapr[[#This Row],[LENGTH]]/1000)</f>
        <v>22.23-0-1.6-ERW 1-PE-0.67</v>
      </c>
      <c r="S323" s="557">
        <f>COUNTIF(scheduleapr[CTL Bucket],scheduleapr[[#This Row],[CTL Bucket]])</f>
        <v>1</v>
      </c>
      <c r="T323" s="2" t="s">
        <v>1816</v>
      </c>
      <c r="U323" s="2">
        <f>_xlfn.IFNA(VLOOKUP(scheduleapr[[#This Row],[Bucket]],salesforecast[[#All],[Bucket2]:[8406 Stock]],19,0),0)</f>
        <v>5.9161999999999937E-2</v>
      </c>
      <c r="V323" s="562">
        <f>_xlfn.IFNA(VLOOKUP(scheduleapr[[#This Row],[Bucket]],salesforecast[[#All],[Bucket2]:[8406 Stock]],20,0),0)+_xlfn.IFNA(VLOOKUP(scheduleapr[[#This Row],[Bucket]],salesforecast[[#All],[Bucket2]:[8406 Stock]],17,0),0)</f>
        <v>0</v>
      </c>
      <c r="W323" s="557"/>
      <c r="X323" s="1">
        <v>22.23</v>
      </c>
      <c r="Y323" s="1">
        <v>22.23</v>
      </c>
      <c r="Z323" s="6">
        <v>0</v>
      </c>
      <c r="AA323" s="1">
        <v>1.6</v>
      </c>
      <c r="AB323" s="24">
        <v>670</v>
      </c>
      <c r="AC323" s="24" t="s">
        <v>397</v>
      </c>
      <c r="AD323" s="24"/>
      <c r="AE323" s="24"/>
      <c r="AF323" s="2">
        <v>18000</v>
      </c>
      <c r="AG323" s="2"/>
      <c r="AH323" s="2" cm="1">
        <f t="array" ref="AH3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3" s="4">
        <f>scheduleapr[[#This Row],[SCHEDULE in nos]]-scheduleapr[[#This Row],[DISPATCH]]</f>
        <v>18000</v>
      </c>
      <c r="AJ323" s="1">
        <f>(3.14*(scheduleapr[[#This Row],[ACTUAL OD]]-scheduleapr[[#This Row],[TICKNESS]])*scheduleapr[[#This Row],[TICKNESS]]*scheduleapr[[#This Row],[LENGTH]]*7.85)/1000000*scheduleapr[[#This Row],[SCHEDULE in nos]]/1000</f>
        <v>9.8121871555200002</v>
      </c>
      <c r="AK323" s="1">
        <f>(3.14*(scheduleapr[[#This Row],[ACTUAL OD]]-scheduleapr[[#This Row],[TICKNESS]])*scheduleapr[[#This Row],[TICKNESS]]*scheduleapr[[#This Row],[LENGTH]]*7.85)/1000000*scheduleapr[[#This Row],[DISPATCH]]/1000</f>
        <v>0</v>
      </c>
      <c r="AL323" s="1">
        <f t="shared" si="11"/>
        <v>9.8121871555200002</v>
      </c>
      <c r="AM323" s="1">
        <f>scheduleapr[[#This Row],[SCHEDULE in nos]]/scheduleapr[[#This Row],[SCHEDULE IN MT]]*scheduleapr[[#This Row],[CTL Stock]]</f>
        <v>1.9812096622172279</v>
      </c>
      <c r="AN323" s="1">
        <f>SUMIFS(stock[MT],stock[Bucket],scheduleapr[[#This Row],[Bucket]],stock[CTL Bucket],scheduleapr[[#This Row],[CTL Bucket]],stock[Plant],"0789")</f>
        <v>1.08E-3</v>
      </c>
      <c r="AO323" s="1"/>
      <c r="AP323" s="1">
        <f>SUMIFS(stock[MT],stock[Bucket],scheduleapr[[#This Row],[Bucket]],stock[LL or CTL],"LL")</f>
        <v>62.742162000000008</v>
      </c>
      <c r="AQ323" s="1">
        <f>+SUMIFS(wip[Stock(Net Wt)],wip[Bucket],scheduleapr[[#This Row],[Bucket]])/1000</f>
        <v>0</v>
      </c>
      <c r="AR323" s="1">
        <f t="shared" si="12"/>
        <v>9.8111071555200002</v>
      </c>
      <c r="AS323" s="118"/>
    </row>
    <row r="324" spans="1:45" x14ac:dyDescent="0.25">
      <c r="A324" s="30">
        <v>226</v>
      </c>
      <c r="B324" s="5" t="s">
        <v>1816</v>
      </c>
      <c r="C324" s="2" t="s">
        <v>310</v>
      </c>
      <c r="D324" s="2" t="s">
        <v>952</v>
      </c>
      <c r="E324" s="2" t="s">
        <v>309</v>
      </c>
      <c r="F324" s="2">
        <v>2427939</v>
      </c>
      <c r="G324" s="2" t="str">
        <f>_xlfn.CONCAT(scheduleapr[[#This Row],[CUSTOMER CODE]],"-",scheduleapr[[#This Row],[MATERIAL NO]])</f>
        <v>930801|189227-2427939</v>
      </c>
      <c r="H324" s="2" t="s">
        <v>1512</v>
      </c>
      <c r="I324" s="2" t="s">
        <v>962</v>
      </c>
      <c r="J324" s="2"/>
      <c r="K324" s="44" t="s">
        <v>963</v>
      </c>
      <c r="L324" s="2" t="s">
        <v>1867</v>
      </c>
      <c r="M324" s="44" t="s">
        <v>1868</v>
      </c>
      <c r="N324" s="2"/>
      <c r="O324" s="2" t="s">
        <v>1895</v>
      </c>
      <c r="P324" s="2"/>
      <c r="Q324" s="557" t="str">
        <f>CONCATENATE(scheduleapr[[#This Row],[OD]],"-",scheduleapr[[#This Row],[ID]],"-",scheduleapr[[#This Row],[TICKNESS]],"-",scheduleapr[[#This Row],[Grade]],"-",scheduleapr[[#This Row],[FC/NFC]])</f>
        <v>22.23-0-1.6-ERW 1-PE</v>
      </c>
      <c r="R324" s="557" t="str">
        <f>_xlfn.CONCAT(scheduleapr[[#This Row],[Bucket]],"-",scheduleapr[[#This Row],[LENGTH]]/1000)</f>
        <v>22.23-0-1.6-ERW 1-PE-0.675</v>
      </c>
      <c r="S324" s="557">
        <f>COUNTIF(scheduleapr[CTL Bucket],scheduleapr[[#This Row],[CTL Bucket]])</f>
        <v>1</v>
      </c>
      <c r="T324" s="2" t="s">
        <v>1816</v>
      </c>
      <c r="U324" s="2"/>
      <c r="V324" s="557"/>
      <c r="W324" s="557"/>
      <c r="X324" s="1">
        <v>22.23</v>
      </c>
      <c r="Y324" s="1">
        <v>22.23</v>
      </c>
      <c r="Z324" s="6">
        <v>0</v>
      </c>
      <c r="AA324" s="1">
        <v>1.6</v>
      </c>
      <c r="AB324" s="24">
        <v>675</v>
      </c>
      <c r="AC324" s="24" t="s">
        <v>397</v>
      </c>
      <c r="AD324" s="24"/>
      <c r="AE324" s="24"/>
      <c r="AF324" s="5"/>
      <c r="AG324" s="5"/>
      <c r="AH324" s="2" cm="1">
        <f t="array" ref="AH3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4" s="4">
        <f>scheduleapr[[#This Row],[SCHEDULE in nos]]-scheduleapr[[#This Row],[DISPATCH]]</f>
        <v>0</v>
      </c>
      <c r="AJ324" s="1">
        <f>(3.14*(scheduleapr[[#This Row],[ACTUAL OD]]-scheduleapr[[#This Row],[TICKNESS]])*scheduleapr[[#This Row],[TICKNESS]]*scheduleapr[[#This Row],[LENGTH]]*7.85)/1000000*scheduleapr[[#This Row],[SCHEDULE in nos]]/1000</f>
        <v>0</v>
      </c>
      <c r="AK324" s="1">
        <f>(3.14*(scheduleapr[[#This Row],[ACTUAL OD]]-scheduleapr[[#This Row],[TICKNESS]])*scheduleapr[[#This Row],[TICKNESS]]*scheduleapr[[#This Row],[LENGTH]]*7.85)/1000000*scheduleapr[[#This Row],[DISPATCH]]/1000</f>
        <v>0</v>
      </c>
      <c r="AL324" s="1">
        <f t="shared" ref="AL324:AL387" si="13">AJ324-AK324</f>
        <v>0</v>
      </c>
      <c r="AM324" s="1" t="e">
        <f>scheduleapr[[#This Row],[SCHEDULE in nos]]/scheduleapr[[#This Row],[SCHEDULE IN MT]]*scheduleapr[[#This Row],[CTL Stock]]</f>
        <v>#DIV/0!</v>
      </c>
      <c r="AN324" s="1">
        <f>SUMIFS(stock[MT],stock[Bucket],scheduleapr[[#This Row],[Bucket]],stock[CTL Bucket],scheduleapr[[#This Row],[CTL Bucket]],stock[Plant],"0789")</f>
        <v>0</v>
      </c>
      <c r="AO324" s="1"/>
      <c r="AP324" s="1">
        <f>SUMIFS(stock[MT],stock[Bucket],scheduleapr[[#This Row],[Bucket]],stock[LL or CTL],"LL")</f>
        <v>62.742162000000008</v>
      </c>
      <c r="AQ324" s="1">
        <f>+SUMIFS(wip[Stock(Net Wt)],wip[Bucket],scheduleapr[[#This Row],[Bucket]])/1000</f>
        <v>0</v>
      </c>
      <c r="AR324" s="1">
        <f t="shared" si="12"/>
        <v>0</v>
      </c>
      <c r="AS324" s="118"/>
    </row>
    <row r="325" spans="1:45" x14ac:dyDescent="0.25">
      <c r="A325" s="556"/>
      <c r="B325" s="5" t="s">
        <v>1816</v>
      </c>
      <c r="C325" s="2" t="s">
        <v>310</v>
      </c>
      <c r="D325" s="2" t="s">
        <v>952</v>
      </c>
      <c r="E325" s="2" t="s">
        <v>309</v>
      </c>
      <c r="F325" s="557"/>
      <c r="G325" s="2" t="str">
        <f>_xlfn.CONCAT(scheduleapr[[#This Row],[CUSTOMER CODE]],"-",scheduleapr[[#This Row],[MATERIAL NO]])</f>
        <v>930801|189227-</v>
      </c>
      <c r="H325" s="557"/>
      <c r="I325" s="2" t="s">
        <v>962</v>
      </c>
      <c r="J325" s="557"/>
      <c r="K325" s="44" t="s">
        <v>963</v>
      </c>
      <c r="L325" s="2" t="s">
        <v>1867</v>
      </c>
      <c r="M325" s="558"/>
      <c r="N325" s="557"/>
      <c r="O325" s="2" t="s">
        <v>1895</v>
      </c>
      <c r="P325" s="557"/>
      <c r="Q325" s="557" t="str">
        <f>CONCATENATE(scheduleapr[[#This Row],[OD]],"-",scheduleapr[[#This Row],[ID]],"-",scheduleapr[[#This Row],[TICKNESS]],"-",scheduleapr[[#This Row],[Grade]],"-",scheduleapr[[#This Row],[FC/NFC]])</f>
        <v>22.23-0-1.6-ERW 1-PE</v>
      </c>
      <c r="R325" s="557" t="str">
        <f>_xlfn.CONCAT(scheduleapr[[#This Row],[Bucket]],"-",scheduleapr[[#This Row],[LENGTH]]/1000)</f>
        <v>22.23-0-1.6-ERW 1-PE-0.69</v>
      </c>
      <c r="S325" s="557">
        <f>COUNTIF(scheduleapr[CTL Bucket],scheduleapr[[#This Row],[CTL Bucket]])</f>
        <v>2</v>
      </c>
      <c r="T325" s="2" t="s">
        <v>1816</v>
      </c>
      <c r="U325" s="2">
        <f>_xlfn.IFNA(VLOOKUP(scheduleapr[[#This Row],[Bucket]],salesforecast[[#All],[Bucket2]:[8406 Stock]],19,0),0)</f>
        <v>5.9161999999999937E-2</v>
      </c>
      <c r="V325" s="562">
        <f>_xlfn.IFNA(VLOOKUP(scheduleapr[[#This Row],[Bucket]],salesforecast[[#All],[Bucket2]:[8406 Stock]],20,0),0)+_xlfn.IFNA(VLOOKUP(scheduleapr[[#This Row],[Bucket]],salesforecast[[#All],[Bucket2]:[8406 Stock]],17,0),0)</f>
        <v>0</v>
      </c>
      <c r="W325" s="2"/>
      <c r="X325" s="559">
        <v>22.23</v>
      </c>
      <c r="Y325" s="559">
        <v>22.23</v>
      </c>
      <c r="Z325" s="559">
        <v>0</v>
      </c>
      <c r="AA325" s="1">
        <v>1.6</v>
      </c>
      <c r="AB325" s="24">
        <v>690</v>
      </c>
      <c r="AC325" s="24" t="s">
        <v>397</v>
      </c>
      <c r="AD325" s="24"/>
      <c r="AE325" s="24"/>
      <c r="AF325" s="557">
        <v>16000</v>
      </c>
      <c r="AG325" s="557"/>
      <c r="AH325" s="2" cm="1">
        <f t="array" ref="AH3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5" s="4">
        <f>scheduleapr[[#This Row],[SCHEDULE in nos]]-scheduleapr[[#This Row],[DISPATCH]]</f>
        <v>16000</v>
      </c>
      <c r="AJ325" s="559">
        <f>(3.14*(scheduleapr[[#This Row],[ACTUAL OD]]-scheduleapr[[#This Row],[TICKNESS]])*scheduleapr[[#This Row],[TICKNESS]]*scheduleapr[[#This Row],[LENGTH]]*7.85)/1000000*scheduleapr[[#This Row],[SCHEDULE in nos]]/1000</f>
        <v>8.9823006796800016</v>
      </c>
      <c r="AK325" s="1">
        <f>(3.14*(scheduleapr[[#This Row],[ACTUAL OD]]-scheduleapr[[#This Row],[TICKNESS]])*scheduleapr[[#This Row],[TICKNESS]]*scheduleapr[[#This Row],[LENGTH]]*7.85)/1000000*scheduleapr[[#This Row],[DISPATCH]]/1000</f>
        <v>0</v>
      </c>
      <c r="AL325" s="1">
        <f t="shared" si="13"/>
        <v>8.9823006796800016</v>
      </c>
      <c r="AM325" s="559">
        <f>scheduleapr[[#This Row],[SCHEDULE in nos]]/scheduleapr[[#This Row],[SCHEDULE IN MT]]*scheduleapr[[#This Row],[CTL Stock]]</f>
        <v>22.632954211820319</v>
      </c>
      <c r="AN325" s="1">
        <f>SUMIFS(stock[MT],stock[Bucket],scheduleapr[[#This Row],[Bucket]],stock[CTL Bucket],scheduleapr[[#This Row],[CTL Bucket]],stock[Plant],"0789")</f>
        <v>1.2706E-2</v>
      </c>
      <c r="AO325" s="1"/>
      <c r="AP325" s="1">
        <f>SUMIFS(stock[MT],stock[Bucket],scheduleapr[[#This Row],[Bucket]],stock[LL or CTL],"LL")</f>
        <v>62.742162000000008</v>
      </c>
      <c r="AQ325" s="1">
        <f>+SUMIFS(wip[Stock(Net Wt)],wip[Bucket],scheduleapr[[#This Row],[Bucket]])/1000</f>
        <v>0</v>
      </c>
      <c r="AR325" s="1">
        <f t="shared" si="12"/>
        <v>8.9695946796800019</v>
      </c>
      <c r="AS325" s="118"/>
    </row>
    <row r="326" spans="1:45" x14ac:dyDescent="0.25">
      <c r="A326" s="30">
        <v>227</v>
      </c>
      <c r="B326" s="5" t="s">
        <v>1816</v>
      </c>
      <c r="C326" s="2" t="s">
        <v>310</v>
      </c>
      <c r="D326" s="2" t="s">
        <v>952</v>
      </c>
      <c r="E326" s="2" t="s">
        <v>309</v>
      </c>
      <c r="F326" s="2">
        <v>1940408</v>
      </c>
      <c r="G326" s="2" t="str">
        <f>_xlfn.CONCAT(scheduleapr[[#This Row],[CUSTOMER CODE]],"-",scheduleapr[[#This Row],[MATERIAL NO]])</f>
        <v>930801|189227-1940408</v>
      </c>
      <c r="H326" s="2" t="s">
        <v>1982</v>
      </c>
      <c r="I326" s="2" t="s">
        <v>962</v>
      </c>
      <c r="J326" s="2"/>
      <c r="K326" s="2" t="s">
        <v>963</v>
      </c>
      <c r="L326" s="2" t="s">
        <v>1867</v>
      </c>
      <c r="M326" s="44" t="s">
        <v>1891</v>
      </c>
      <c r="N326" s="2"/>
      <c r="O326" s="2"/>
      <c r="P326" s="2"/>
      <c r="Q326" s="557" t="str">
        <f>CONCATENATE(scheduleapr[[#This Row],[OD]],"-",scheduleapr[[#This Row],[ID]],"-",scheduleapr[[#This Row],[TICKNESS]],"-",scheduleapr[[#This Row],[Grade]],"-",scheduleapr[[#This Row],[FC/NFC]])</f>
        <v>22.23-0-1.6-ERW 1-PE</v>
      </c>
      <c r="R326" s="557" t="str">
        <f>_xlfn.CONCAT(scheduleapr[[#This Row],[Bucket]],"-",scheduleapr[[#This Row],[LENGTH]]/1000)</f>
        <v>22.23-0-1.6-ERW 1-PE-0.809</v>
      </c>
      <c r="S326" s="557">
        <f>COUNTIF(scheduleapr[CTL Bucket],scheduleapr[[#This Row],[CTL Bucket]])</f>
        <v>3</v>
      </c>
      <c r="T326" s="2" t="s">
        <v>1816</v>
      </c>
      <c r="U326" s="2"/>
      <c r="V326" s="557"/>
      <c r="W326" s="557"/>
      <c r="X326" s="1">
        <v>22.23</v>
      </c>
      <c r="Y326" s="1">
        <v>22.23</v>
      </c>
      <c r="Z326" s="6">
        <v>0</v>
      </c>
      <c r="AA326" s="1">
        <v>1.6</v>
      </c>
      <c r="AB326" s="24">
        <v>809</v>
      </c>
      <c r="AC326" s="24" t="s">
        <v>397</v>
      </c>
      <c r="AD326" s="24"/>
      <c r="AE326" s="24"/>
      <c r="AF326" s="2"/>
      <c r="AG326" s="2"/>
      <c r="AH326" s="2" cm="1">
        <f t="array" ref="AH3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6" s="4">
        <f>scheduleapr[[#This Row],[SCHEDULE in nos]]-scheduleapr[[#This Row],[DISPATCH]]</f>
        <v>0</v>
      </c>
      <c r="AJ326" s="1">
        <f>(3.14*(scheduleapr[[#This Row],[ACTUAL OD]]-scheduleapr[[#This Row],[TICKNESS]])*scheduleapr[[#This Row],[TICKNESS]]*scheduleapr[[#This Row],[LENGTH]]*7.85)/1000000*scheduleapr[[#This Row],[SCHEDULE in nos]]/1000</f>
        <v>0</v>
      </c>
      <c r="AK326" s="1">
        <f>(3.14*(scheduleapr[[#This Row],[ACTUAL OD]]-scheduleapr[[#This Row],[TICKNESS]])*scheduleapr[[#This Row],[TICKNESS]]*scheduleapr[[#This Row],[LENGTH]]*7.85)/1000000*scheduleapr[[#This Row],[DISPATCH]]/1000</f>
        <v>0</v>
      </c>
      <c r="AL326" s="1">
        <f t="shared" si="13"/>
        <v>0</v>
      </c>
      <c r="AM326" s="1" t="e">
        <f>scheduleapr[[#This Row],[SCHEDULE in nos]]/scheduleapr[[#This Row],[SCHEDULE IN MT]]*scheduleapr[[#This Row],[CTL Stock]]</f>
        <v>#DIV/0!</v>
      </c>
      <c r="AN326" s="1">
        <f>SUMIFS(stock[MT],stock[Bucket],scheduleapr[[#This Row],[Bucket]],stock[CTL Bucket],scheduleapr[[#This Row],[CTL Bucket]],stock[Plant],"0789")</f>
        <v>0</v>
      </c>
      <c r="AO326" s="1"/>
      <c r="AP326" s="1">
        <f>SUMIFS(stock[MT],stock[Bucket],scheduleapr[[#This Row],[Bucket]],stock[LL or CTL],"LL")</f>
        <v>62.742162000000008</v>
      </c>
      <c r="AQ326" s="1">
        <f>+SUMIFS(wip[Stock(Net Wt)],wip[Bucket],scheduleapr[[#This Row],[Bucket]])/1000</f>
        <v>0</v>
      </c>
      <c r="AR326" s="1">
        <f t="shared" si="12"/>
        <v>0</v>
      </c>
      <c r="AS326" s="118"/>
    </row>
    <row r="327" spans="1:45" x14ac:dyDescent="0.25">
      <c r="A327" s="556"/>
      <c r="B327" s="5" t="s">
        <v>1816</v>
      </c>
      <c r="C327" s="2" t="s">
        <v>310</v>
      </c>
      <c r="D327" s="2" t="s">
        <v>952</v>
      </c>
      <c r="E327" s="2" t="s">
        <v>309</v>
      </c>
      <c r="F327" s="2">
        <v>1940408</v>
      </c>
      <c r="G327" s="2" t="str">
        <f>_xlfn.CONCAT(scheduleapr[[#This Row],[CUSTOMER CODE]],"-",scheduleapr[[#This Row],[MATERIAL NO]])</f>
        <v>930801|189227-1940408</v>
      </c>
      <c r="H327" s="2" t="s">
        <v>1982</v>
      </c>
      <c r="I327" s="2" t="s">
        <v>962</v>
      </c>
      <c r="J327" s="557"/>
      <c r="K327" s="2" t="s">
        <v>963</v>
      </c>
      <c r="L327" s="2" t="s">
        <v>239</v>
      </c>
      <c r="M327" s="558"/>
      <c r="N327" s="557"/>
      <c r="O327" s="557"/>
      <c r="P327" s="557"/>
      <c r="Q327" s="557" t="str">
        <f>CONCATENATE(scheduleapr[[#This Row],[OD]],"-",scheduleapr[[#This Row],[ID]],"-",scheduleapr[[#This Row],[TICKNESS]],"-",scheduleapr[[#This Row],[Grade]],"-",scheduleapr[[#This Row],[FC/NFC]])</f>
        <v>22.23-0-1.6-ERW 1-PE</v>
      </c>
      <c r="R327" s="557" t="str">
        <f>_xlfn.CONCAT(scheduleapr[[#This Row],[Bucket]],"-",scheduleapr[[#This Row],[LENGTH]]/1000)</f>
        <v>22.23-0-1.6-ERW 1-PE-0.809</v>
      </c>
      <c r="S327" s="557">
        <f>COUNTIF(scheduleapr[CTL Bucket],scheduleapr[[#This Row],[CTL Bucket]])</f>
        <v>3</v>
      </c>
      <c r="T327" s="2" t="s">
        <v>1816</v>
      </c>
      <c r="U327" s="2">
        <f>_xlfn.IFNA(VLOOKUP(scheduleapr[[#This Row],[Bucket]],salesforecast[[#All],[Bucket2]:[8406 Stock]],19,0),0)</f>
        <v>5.9161999999999937E-2</v>
      </c>
      <c r="V327" s="562">
        <f>_xlfn.IFNA(VLOOKUP(scheduleapr[[#This Row],[Bucket]],salesforecast[[#All],[Bucket2]:[8406 Stock]],20,0),0)+_xlfn.IFNA(VLOOKUP(scheduleapr[[#This Row],[Bucket]],salesforecast[[#All],[Bucket2]:[8406 Stock]],17,0),0)</f>
        <v>0</v>
      </c>
      <c r="W327" s="2"/>
      <c r="X327" s="559">
        <v>22.23</v>
      </c>
      <c r="Y327" s="559">
        <v>22.23</v>
      </c>
      <c r="Z327" s="1">
        <v>0</v>
      </c>
      <c r="AA327" s="1">
        <v>1.6</v>
      </c>
      <c r="AB327" s="24">
        <v>809</v>
      </c>
      <c r="AC327" s="24" t="s">
        <v>397</v>
      </c>
      <c r="AD327" s="24"/>
      <c r="AE327" s="24"/>
      <c r="AF327" s="2">
        <v>16000</v>
      </c>
      <c r="AG327" s="2"/>
      <c r="AH327" s="2" cm="1">
        <f t="array" ref="AH3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7" s="4">
        <f>scheduleapr[[#This Row],[SCHEDULE in nos]]-scheduleapr[[#This Row],[DISPATCH]]</f>
        <v>16000</v>
      </c>
      <c r="AJ327" s="559">
        <f>(3.14*(scheduleapr[[#This Row],[ACTUAL OD]]-scheduleapr[[#This Row],[TICKNESS]])*scheduleapr[[#This Row],[TICKNESS]]*scheduleapr[[#This Row],[LENGTH]]*7.85)/1000000*scheduleapr[[#This Row],[SCHEDULE in nos]]/1000</f>
        <v>10.531422101247999</v>
      </c>
      <c r="AK327" s="1">
        <f>(3.14*(scheduleapr[[#This Row],[ACTUAL OD]]-scheduleapr[[#This Row],[TICKNESS]])*scheduleapr[[#This Row],[TICKNESS]]*scheduleapr[[#This Row],[LENGTH]]*7.85)/1000000*scheduleapr[[#This Row],[DISPATCH]]/1000</f>
        <v>0</v>
      </c>
      <c r="AL327" s="1">
        <f t="shared" si="13"/>
        <v>10.531422101247999</v>
      </c>
      <c r="AM327" s="559">
        <f>scheduleapr[[#This Row],[SCHEDULE in nos]]/scheduleapr[[#This Row],[SCHEDULE IN MT]]*scheduleapr[[#This Row],[CTL Stock]]</f>
        <v>0</v>
      </c>
      <c r="AN327" s="1">
        <f>SUMIFS(stock[MT],stock[Bucket],scheduleapr[[#This Row],[Bucket]],stock[CTL Bucket],scheduleapr[[#This Row],[CTL Bucket]],stock[Plant],"0789")</f>
        <v>0</v>
      </c>
      <c r="AO327" s="1"/>
      <c r="AP327" s="1">
        <f>SUMIFS(stock[MT],stock[Bucket],scheduleapr[[#This Row],[Bucket]],stock[LL or CTL],"LL")</f>
        <v>62.742162000000008</v>
      </c>
      <c r="AQ327" s="1">
        <f>+SUMIFS(wip[Stock(Net Wt)],wip[Bucket],scheduleapr[[#This Row],[Bucket]])/1000</f>
        <v>0</v>
      </c>
      <c r="AR327" s="1">
        <f t="shared" si="12"/>
        <v>10.531422101247999</v>
      </c>
      <c r="AS327" s="118"/>
    </row>
    <row r="328" spans="1:45" x14ac:dyDescent="0.25">
      <c r="A328" s="30">
        <v>268</v>
      </c>
      <c r="B328" s="5" t="s">
        <v>1816</v>
      </c>
      <c r="C328" s="2" t="s">
        <v>307</v>
      </c>
      <c r="D328" s="2" t="s">
        <v>952</v>
      </c>
      <c r="E328" s="2" t="s">
        <v>308</v>
      </c>
      <c r="F328" s="2">
        <v>1940408</v>
      </c>
      <c r="G328" s="2" t="str">
        <f>_xlfn.CONCAT(scheduleapr[[#This Row],[CUSTOMER CODE]],"-",scheduleapr[[#This Row],[MATERIAL NO]])</f>
        <v>189226|930794-1940408</v>
      </c>
      <c r="H328" s="2" t="s">
        <v>1982</v>
      </c>
      <c r="I328" s="2" t="s">
        <v>962</v>
      </c>
      <c r="J328" s="2"/>
      <c r="K328" s="2" t="s">
        <v>963</v>
      </c>
      <c r="L328" s="2" t="s">
        <v>1867</v>
      </c>
      <c r="M328" s="44" t="s">
        <v>1891</v>
      </c>
      <c r="N328" s="2"/>
      <c r="O328" s="2"/>
      <c r="P328" s="2"/>
      <c r="Q328" s="557" t="str">
        <f>CONCATENATE(scheduleapr[[#This Row],[OD]],"-",scheduleapr[[#This Row],[ID]],"-",scheduleapr[[#This Row],[TICKNESS]],"-",scheduleapr[[#This Row],[Grade]],"-",scheduleapr[[#This Row],[FC/NFC]])</f>
        <v>22.23-0-1.6-ERW 1-PE</v>
      </c>
      <c r="R328" s="557" t="str">
        <f>_xlfn.CONCAT(scheduleapr[[#This Row],[Bucket]],"-",scheduleapr[[#This Row],[LENGTH]]/1000)</f>
        <v>22.23-0-1.6-ERW 1-PE-0.809</v>
      </c>
      <c r="S328" s="557">
        <f>COUNTIF(scheduleapr[CTL Bucket],scheduleapr[[#This Row],[CTL Bucket]])</f>
        <v>3</v>
      </c>
      <c r="T328" s="2" t="s">
        <v>1816</v>
      </c>
      <c r="U328" s="2">
        <f>_xlfn.IFNA(VLOOKUP(scheduleapr[[#This Row],[Bucket]],salesforecast[[#All],[Bucket2]:[8406 Stock]],19,0),0)</f>
        <v>5.9161999999999937E-2</v>
      </c>
      <c r="V328" s="562">
        <f>_xlfn.IFNA(VLOOKUP(scheduleapr[[#This Row],[Bucket]],salesforecast[[#All],[Bucket2]:[8406 Stock]],20,0),0)+_xlfn.IFNA(VLOOKUP(scheduleapr[[#This Row],[Bucket]],salesforecast[[#All],[Bucket2]:[8406 Stock]],17,0),0)</f>
        <v>0</v>
      </c>
      <c r="W328" s="557"/>
      <c r="X328" s="1">
        <v>22.23</v>
      </c>
      <c r="Y328" s="1">
        <v>22.23</v>
      </c>
      <c r="Z328" s="6">
        <v>0</v>
      </c>
      <c r="AA328" s="1">
        <v>1.6</v>
      </c>
      <c r="AB328" s="24">
        <v>809</v>
      </c>
      <c r="AC328" s="24" t="s">
        <v>397</v>
      </c>
      <c r="AD328" s="24"/>
      <c r="AE328" s="24"/>
      <c r="AF328" s="2">
        <v>1000</v>
      </c>
      <c r="AG328" s="2"/>
      <c r="AH328" s="2" cm="1">
        <f t="array" ref="AH3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8" s="4">
        <f>scheduleapr[[#This Row],[SCHEDULE in nos]]-scheduleapr[[#This Row],[DISPATCH]]</f>
        <v>1000</v>
      </c>
      <c r="AJ328" s="1">
        <f>(3.14*(scheduleapr[[#This Row],[ACTUAL OD]]-scheduleapr[[#This Row],[TICKNESS]])*scheduleapr[[#This Row],[TICKNESS]]*scheduleapr[[#This Row],[LENGTH]]*7.85)/1000000*scheduleapr[[#This Row],[SCHEDULE in nos]]/1000</f>
        <v>0.65821388132799996</v>
      </c>
      <c r="AK328" s="1">
        <f>(3.14*(scheduleapr[[#This Row],[ACTUAL OD]]-scheduleapr[[#This Row],[TICKNESS]])*scheduleapr[[#This Row],[TICKNESS]]*scheduleapr[[#This Row],[LENGTH]]*7.85)/1000000*scheduleapr[[#This Row],[DISPATCH]]/1000</f>
        <v>0</v>
      </c>
      <c r="AL328" s="1">
        <f t="shared" si="13"/>
        <v>0.65821388132799996</v>
      </c>
      <c r="AM328" s="1">
        <f>scheduleapr[[#This Row],[SCHEDULE in nos]]/scheduleapr[[#This Row],[SCHEDULE IN MT]]*scheduleapr[[#This Row],[CTL Stock]]</f>
        <v>0</v>
      </c>
      <c r="AN328" s="1">
        <f>SUMIFS(stock[MT],stock[Bucket],scheduleapr[[#This Row],[Bucket]],stock[CTL Bucket],scheduleapr[[#This Row],[CTL Bucket]],stock[Plant],"0789")</f>
        <v>0</v>
      </c>
      <c r="AO328" s="1"/>
      <c r="AP328" s="1">
        <f>SUMIFS(stock[MT],stock[Bucket],scheduleapr[[#This Row],[Bucket]],stock[LL or CTL],"LL")</f>
        <v>62.742162000000008</v>
      </c>
      <c r="AQ328" s="1">
        <f>+SUMIFS(wip[Stock(Net Wt)],wip[Bucket],scheduleapr[[#This Row],[Bucket]])/1000</f>
        <v>0</v>
      </c>
      <c r="AR328" s="1">
        <f t="shared" si="12"/>
        <v>0.65821388132799996</v>
      </c>
      <c r="AS328" s="118"/>
    </row>
    <row r="329" spans="1:45" x14ac:dyDescent="0.25">
      <c r="A329" s="30">
        <v>269</v>
      </c>
      <c r="B329" s="5" t="s">
        <v>1816</v>
      </c>
      <c r="C329" s="2" t="s">
        <v>307</v>
      </c>
      <c r="D329" s="2" t="s">
        <v>952</v>
      </c>
      <c r="E329" s="2" t="s">
        <v>308</v>
      </c>
      <c r="F329" s="2">
        <v>1159568</v>
      </c>
      <c r="G329" s="2" t="str">
        <f>_xlfn.CONCAT(scheduleapr[[#This Row],[CUSTOMER CODE]],"-",scheduleapr[[#This Row],[MATERIAL NO]])</f>
        <v>189226|930794-1159568</v>
      </c>
      <c r="H329" s="2" t="s">
        <v>1983</v>
      </c>
      <c r="I329" s="2" t="s">
        <v>962</v>
      </c>
      <c r="J329" s="2"/>
      <c r="K329" s="2" t="s">
        <v>963</v>
      </c>
      <c r="L329" s="2" t="s">
        <v>239</v>
      </c>
      <c r="M329" s="2"/>
      <c r="N329" s="2"/>
      <c r="O329" s="2"/>
      <c r="P329" s="2"/>
      <c r="Q329" s="557" t="str">
        <f>CONCATENATE(scheduleapr[[#This Row],[OD]],"-",scheduleapr[[#This Row],[ID]],"-",scheduleapr[[#This Row],[TICKNESS]],"-",scheduleapr[[#This Row],[Grade]],"-",scheduleapr[[#This Row],[FC/NFC]])</f>
        <v>22.23-0-2-ERW 1-PE</v>
      </c>
      <c r="R329" s="557" t="str">
        <f>_xlfn.CONCAT(scheduleapr[[#This Row],[Bucket]],"-",scheduleapr[[#This Row],[LENGTH]]/1000)</f>
        <v>22.23-0-2-ERW 1-PE-0.18</v>
      </c>
      <c r="S329" s="557" t="e" vm="2">
        <f>COUNTIF([2]!buckets[CTL Bucket],[2]!scheduleapr[[#This Row],[CTL Bucket]])</f>
        <v>#REF!</v>
      </c>
      <c r="T329" s="557"/>
      <c r="U329" s="557"/>
      <c r="V329" s="557"/>
      <c r="W329" s="557"/>
      <c r="X329" s="1">
        <v>22.23</v>
      </c>
      <c r="Y329" s="1">
        <v>22.23</v>
      </c>
      <c r="Z329" s="1">
        <v>0</v>
      </c>
      <c r="AA329" s="1">
        <v>2</v>
      </c>
      <c r="AB329" s="24">
        <v>180</v>
      </c>
      <c r="AC329" s="24" t="s">
        <v>397</v>
      </c>
      <c r="AD329" s="24"/>
      <c r="AE329" s="24"/>
      <c r="AF329" s="2"/>
      <c r="AG329" s="2"/>
      <c r="AH329" s="2" cm="1">
        <f t="array" ref="AH3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9" s="4">
        <f>scheduleapr[[#This Row],[SCHEDULE in nos]]-scheduleapr[[#This Row],[DISPATCH]]</f>
        <v>0</v>
      </c>
      <c r="AJ329" s="1">
        <f>(3.14*(scheduleapr[[#This Row],[ACTUAL OD]]-scheduleapr[[#This Row],[TICKNESS]])*scheduleapr[[#This Row],[TICKNESS]]*scheduleapr[[#This Row],[LENGTH]]*7.85)/1000000*scheduleapr[[#This Row],[SCHEDULE in nos]]/1000</f>
        <v>0</v>
      </c>
      <c r="AK329" s="1">
        <f>(3.14*(scheduleapr[[#This Row],[ACTUAL OD]]-scheduleapr[[#This Row],[TICKNESS]])*scheduleapr[[#This Row],[TICKNESS]]*scheduleapr[[#This Row],[LENGTH]]*7.85)/1000000*scheduleapr[[#This Row],[DISPATCH]]/1000</f>
        <v>0</v>
      </c>
      <c r="AL329" s="1">
        <f t="shared" si="13"/>
        <v>0</v>
      </c>
      <c r="AM329" s="1" t="e">
        <f>scheduleapr[[#This Row],[SCHEDULE in nos]]/scheduleapr[[#This Row],[SCHEDULE IN MT]]*scheduleapr[[#This Row],[CTL Stock]]</f>
        <v>#DIV/0!</v>
      </c>
      <c r="AN329" s="1">
        <f>SUMIFS(stock[MT],stock[Bucket],scheduleapr[[#This Row],[Bucket]],stock[CTL Bucket],scheduleapr[[#This Row],[CTL Bucket]],stock[Plant],"0789")</f>
        <v>0</v>
      </c>
      <c r="AO329" s="1"/>
      <c r="AP329" s="1">
        <f>SUMIFS(stock[MT],stock[Bucket],scheduleapr[[#This Row],[Bucket]],stock[LL or CTL],"LL")</f>
        <v>11.690147</v>
      </c>
      <c r="AQ329" s="1">
        <f>+SUMIFS(wip[Stock(Net Wt)],wip[Bucket],scheduleapr[[#This Row],[Bucket]])/1000</f>
        <v>1.629</v>
      </c>
      <c r="AR329" s="1">
        <f t="shared" si="12"/>
        <v>0</v>
      </c>
      <c r="AS329" s="118"/>
    </row>
    <row r="330" spans="1:45" x14ac:dyDescent="0.25">
      <c r="A330" s="30">
        <v>228</v>
      </c>
      <c r="B330" s="5" t="s">
        <v>1816</v>
      </c>
      <c r="C330" s="2" t="s">
        <v>307</v>
      </c>
      <c r="D330" s="2" t="s">
        <v>952</v>
      </c>
      <c r="E330" s="2" t="s">
        <v>309</v>
      </c>
      <c r="F330" s="2">
        <v>1940437</v>
      </c>
      <c r="G330" s="2" t="str">
        <f>_xlfn.CONCAT(scheduleapr[[#This Row],[CUSTOMER CODE]],"-",scheduleapr[[#This Row],[MATERIAL NO]])</f>
        <v>930801|189227-1940437</v>
      </c>
      <c r="H330" s="2" t="s">
        <v>637</v>
      </c>
      <c r="I330" s="2" t="s">
        <v>962</v>
      </c>
      <c r="J330" s="2"/>
      <c r="K330" s="2" t="s">
        <v>963</v>
      </c>
      <c r="L330" s="2" t="s">
        <v>239</v>
      </c>
      <c r="M330" s="2"/>
      <c r="N330" s="2"/>
      <c r="O330" s="2"/>
      <c r="P330" s="2"/>
      <c r="Q330" s="557" t="str">
        <f>CONCATENATE(scheduleapr[[#This Row],[OD]],"-",scheduleapr[[#This Row],[ID]],"-",scheduleapr[[#This Row],[TICKNESS]],"-",scheduleapr[[#This Row],[Grade]],"-",scheduleapr[[#This Row],[FC/NFC]])</f>
        <v>22.23-0-2-ERW 1-PE</v>
      </c>
      <c r="R330" s="557" t="str">
        <f>_xlfn.CONCAT(scheduleapr[[#This Row],[Bucket]],"-",scheduleapr[[#This Row],[LENGTH]]/1000)</f>
        <v>22.23-0-2-ERW 1-PE-0.394</v>
      </c>
      <c r="S330" s="557">
        <f>COUNTIF(scheduleapr[CTL Bucket],scheduleapr[[#This Row],[CTL Bucket]])</f>
        <v>2</v>
      </c>
      <c r="T330" s="2" t="s">
        <v>1816</v>
      </c>
      <c r="U330" s="2">
        <f>_xlfn.IFNA(VLOOKUP(scheduleapr[[#This Row],[Bucket]],salesforecast[[#All],[Bucket2]:[8406 Stock]],19,0),0)</f>
        <v>5.5039059999999997</v>
      </c>
      <c r="V330" s="562">
        <f>_xlfn.IFNA(VLOOKUP(scheduleapr[[#This Row],[Bucket]],salesforecast[[#All],[Bucket2]:[8406 Stock]],20,0),0)+_xlfn.IFNA(VLOOKUP(scheduleapr[[#This Row],[Bucket]],salesforecast[[#All],[Bucket2]:[8406 Stock]],17,0),0)</f>
        <v>1.0470000000000002</v>
      </c>
      <c r="W330" s="557"/>
      <c r="X330" s="1">
        <v>22.23</v>
      </c>
      <c r="Y330" s="1">
        <v>22.23</v>
      </c>
      <c r="Z330" s="6">
        <v>0</v>
      </c>
      <c r="AA330" s="1">
        <v>2</v>
      </c>
      <c r="AB330" s="24">
        <v>394</v>
      </c>
      <c r="AC330" s="24" t="s">
        <v>397</v>
      </c>
      <c r="AD330" s="24"/>
      <c r="AE330" s="24"/>
      <c r="AF330" s="2"/>
      <c r="AG330" s="2"/>
      <c r="AH330" s="2" cm="1">
        <f t="array" ref="AH3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7500</v>
      </c>
      <c r="AI330" s="4">
        <f>scheduleapr[[#This Row],[SCHEDULE in nos]]-scheduleapr[[#This Row],[DISPATCH]]</f>
        <v>-7500</v>
      </c>
      <c r="AJ330" s="1">
        <f>(3.14*(scheduleapr[[#This Row],[ACTUAL OD]]-scheduleapr[[#This Row],[TICKNESS]])*scheduleapr[[#This Row],[TICKNESS]]*scheduleapr[[#This Row],[LENGTH]]*7.85)/1000000*scheduleapr[[#This Row],[SCHEDULE in nos]]/1000</f>
        <v>0</v>
      </c>
      <c r="AK330" s="1">
        <f>(3.14*(scheduleapr[[#This Row],[ACTUAL OD]]-scheduleapr[[#This Row],[TICKNESS]])*scheduleapr[[#This Row],[TICKNESS]]*scheduleapr[[#This Row],[LENGTH]]*7.85)/1000000*scheduleapr[[#This Row],[DISPATCH]]/1000</f>
        <v>2.9470171857</v>
      </c>
      <c r="AL330" s="1">
        <f t="shared" si="13"/>
        <v>-2.9470171857</v>
      </c>
      <c r="AM330" s="1" t="e">
        <f>scheduleapr[[#This Row],[SCHEDULE in nos]]/scheduleapr[[#This Row],[SCHEDULE IN MT]]*scheduleapr[[#This Row],[CTL Stock]]</f>
        <v>#DIV/0!</v>
      </c>
      <c r="AN330" s="1">
        <f>SUMIFS(stock[MT],stock[Bucket],scheduleapr[[#This Row],[Bucket]],stock[CTL Bucket],scheduleapr[[#This Row],[CTL Bucket]],stock[Plant],"0789")</f>
        <v>2.3479999999999998E-3</v>
      </c>
      <c r="AO330" s="1"/>
      <c r="AP330" s="1">
        <f>SUMIFS(stock[MT],stock[Bucket],scheduleapr[[#This Row],[Bucket]],stock[LL or CTL],"LL")</f>
        <v>11.690147</v>
      </c>
      <c r="AQ330" s="1">
        <f>+SUMIFS(wip[Stock(Net Wt)],wip[Bucket],scheduleapr[[#This Row],[Bucket]])/1000</f>
        <v>1.629</v>
      </c>
      <c r="AR330" s="1">
        <f t="shared" si="12"/>
        <v>-2.3479999999999998E-3</v>
      </c>
      <c r="AS330" s="118"/>
    </row>
    <row r="331" spans="1:45" x14ac:dyDescent="0.25">
      <c r="A331" s="30">
        <v>229</v>
      </c>
      <c r="B331" s="5" t="s">
        <v>1816</v>
      </c>
      <c r="C331" s="2" t="s">
        <v>310</v>
      </c>
      <c r="D331" s="2" t="s">
        <v>952</v>
      </c>
      <c r="E331" s="2" t="s">
        <v>309</v>
      </c>
      <c r="F331" s="2">
        <v>1940466</v>
      </c>
      <c r="G331" s="2" t="str">
        <f>_xlfn.CONCAT(scheduleapr[[#This Row],[CUSTOMER CODE]],"-",scheduleapr[[#This Row],[MATERIAL NO]])</f>
        <v>930801|189227-1940466</v>
      </c>
      <c r="H331" s="2" t="s">
        <v>764</v>
      </c>
      <c r="I331" s="2" t="s">
        <v>962</v>
      </c>
      <c r="J331" s="2"/>
      <c r="K331" s="2" t="s">
        <v>963</v>
      </c>
      <c r="L331" s="2" t="s">
        <v>239</v>
      </c>
      <c r="M331" s="2"/>
      <c r="N331" s="2"/>
      <c r="O331" s="2"/>
      <c r="P331" s="2"/>
      <c r="Q331" s="557" t="str">
        <f>CONCATENATE(scheduleapr[[#This Row],[OD]],"-",scheduleapr[[#This Row],[ID]],"-",scheduleapr[[#This Row],[TICKNESS]],"-",scheduleapr[[#This Row],[Grade]],"-",scheduleapr[[#This Row],[FC/NFC]])</f>
        <v>22.23-0-2-ERW 1-PE</v>
      </c>
      <c r="R331" s="557" t="str">
        <f>_xlfn.CONCAT(scheduleapr[[#This Row],[Bucket]],"-",scheduleapr[[#This Row],[LENGTH]]/1000)</f>
        <v>22.23-0-2-ERW 1-PE-0.809</v>
      </c>
      <c r="S331" s="557">
        <f>COUNTIF(scheduleapr[CTL Bucket],scheduleapr[[#This Row],[CTL Bucket]])</f>
        <v>2</v>
      </c>
      <c r="T331" s="2" t="s">
        <v>1816</v>
      </c>
      <c r="U331" s="2">
        <f>_xlfn.IFNA(VLOOKUP(scheduleapr[[#This Row],[Bucket]],salesforecast[[#All],[Bucket2]:[8406 Stock]],19,0),0)</f>
        <v>5.5039059999999997</v>
      </c>
      <c r="V331" s="562">
        <f>_xlfn.IFNA(VLOOKUP(scheduleapr[[#This Row],[Bucket]],salesforecast[[#All],[Bucket2]:[8406 Stock]],20,0),0)+_xlfn.IFNA(VLOOKUP(scheduleapr[[#This Row],[Bucket]],salesforecast[[#All],[Bucket2]:[8406 Stock]],17,0),0)</f>
        <v>1.0470000000000002</v>
      </c>
      <c r="W331" s="557"/>
      <c r="X331" s="1">
        <v>22.23</v>
      </c>
      <c r="Y331" s="1">
        <v>22.23</v>
      </c>
      <c r="Z331" s="6">
        <v>0</v>
      </c>
      <c r="AA331" s="1">
        <v>2</v>
      </c>
      <c r="AB331" s="24">
        <v>809</v>
      </c>
      <c r="AC331" s="24" t="s">
        <v>397</v>
      </c>
      <c r="AD331" s="24"/>
      <c r="AE331" s="24"/>
      <c r="AF331" s="2">
        <v>10000</v>
      </c>
      <c r="AG331" s="2"/>
      <c r="AH331" s="2" cm="1">
        <f t="array" ref="AH3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7881</v>
      </c>
      <c r="AI331" s="4">
        <f>scheduleapr[[#This Row],[SCHEDULE in nos]]-scheduleapr[[#This Row],[DISPATCH]]</f>
        <v>2119</v>
      </c>
      <c r="AJ331" s="1">
        <f>(3.14*(scheduleapr[[#This Row],[ACTUAL OD]]-scheduleapr[[#This Row],[TICKNESS]])*scheduleapr[[#This Row],[TICKNESS]]*scheduleapr[[#This Row],[LENGTH]]*7.85)/1000000*scheduleapr[[#This Row],[SCHEDULE in nos]]/1000</f>
        <v>8.0681451886000008</v>
      </c>
      <c r="AK331" s="1">
        <f>(3.14*(scheduleapr[[#This Row],[ACTUAL OD]]-scheduleapr[[#This Row],[TICKNESS]])*scheduleapr[[#This Row],[TICKNESS]]*scheduleapr[[#This Row],[LENGTH]]*7.85)/1000000*scheduleapr[[#This Row],[DISPATCH]]/1000</f>
        <v>6.3585052231356611</v>
      </c>
      <c r="AL331" s="1">
        <f t="shared" si="13"/>
        <v>1.7096399654643397</v>
      </c>
      <c r="AM331" s="1">
        <f>scheduleapr[[#This Row],[SCHEDULE in nos]]/scheduleapr[[#This Row],[SCHEDULE IN MT]]*scheduleapr[[#This Row],[CTL Stock]]</f>
        <v>2207.6288395462898</v>
      </c>
      <c r="AN331" s="1">
        <f>SUMIFS(stock[MT],stock[Bucket],scheduleapr[[#This Row],[Bucket]],stock[CTL Bucket],scheduleapr[[#This Row],[CTL Bucket]],stock[Plant],"0789")</f>
        <v>1.781147</v>
      </c>
      <c r="AO331" s="1"/>
      <c r="AP331" s="1">
        <f>SUMIFS(stock[MT],stock[Bucket],scheduleapr[[#This Row],[Bucket]],stock[LL or CTL],"LL")</f>
        <v>11.690147</v>
      </c>
      <c r="AQ331" s="1">
        <f>+SUMIFS(wip[Stock(Net Wt)],wip[Bucket],scheduleapr[[#This Row],[Bucket]])/1000</f>
        <v>1.629</v>
      </c>
      <c r="AR331" s="1">
        <f t="shared" si="12"/>
        <v>6.286998188600001</v>
      </c>
      <c r="AS331" s="118"/>
    </row>
    <row r="332" spans="1:45" x14ac:dyDescent="0.25">
      <c r="A332" s="30">
        <v>270</v>
      </c>
      <c r="B332" s="5" t="s">
        <v>1816</v>
      </c>
      <c r="C332" s="2" t="s">
        <v>307</v>
      </c>
      <c r="D332" s="2" t="s">
        <v>952</v>
      </c>
      <c r="E332" s="2" t="s">
        <v>308</v>
      </c>
      <c r="F332" s="2">
        <v>1940466</v>
      </c>
      <c r="G332" s="2" t="str">
        <f>_xlfn.CONCAT(scheduleapr[[#This Row],[CUSTOMER CODE]],"-",scheduleapr[[#This Row],[MATERIAL NO]])</f>
        <v>189226|930794-1940466</v>
      </c>
      <c r="H332" s="2" t="s">
        <v>764</v>
      </c>
      <c r="I332" s="2" t="s">
        <v>962</v>
      </c>
      <c r="J332" s="2"/>
      <c r="K332" s="2" t="s">
        <v>963</v>
      </c>
      <c r="L332" s="2" t="s">
        <v>239</v>
      </c>
      <c r="M332" s="2"/>
      <c r="N332" s="2"/>
      <c r="O332" s="2"/>
      <c r="P332" s="2"/>
      <c r="Q332" s="557" t="str">
        <f>CONCATENATE(scheduleapr[[#This Row],[OD]],"-",scheduleapr[[#This Row],[ID]],"-",scheduleapr[[#This Row],[TICKNESS]],"-",scheduleapr[[#This Row],[Grade]],"-",scheduleapr[[#This Row],[FC/NFC]])</f>
        <v>22.23-0-2-ERW 1-PE</v>
      </c>
      <c r="R332" s="557" t="str">
        <f>_xlfn.CONCAT(scheduleapr[[#This Row],[Bucket]],"-",scheduleapr[[#This Row],[LENGTH]]/1000)</f>
        <v>22.23-0-2-ERW 1-PE-0.809</v>
      </c>
      <c r="S332" s="557">
        <f>COUNTIF(scheduleapr[CTL Bucket],scheduleapr[[#This Row],[CTL Bucket]])</f>
        <v>2</v>
      </c>
      <c r="T332" s="2" t="s">
        <v>1816</v>
      </c>
      <c r="U332" s="2">
        <f>_xlfn.IFNA(VLOOKUP(scheduleapr[[#This Row],[Bucket]],salesforecast[[#All],[Bucket2]:[8406 Stock]],19,0),0)</f>
        <v>5.5039059999999997</v>
      </c>
      <c r="V332" s="562">
        <f>_xlfn.IFNA(VLOOKUP(scheduleapr[[#This Row],[Bucket]],salesforecast[[#All],[Bucket2]:[8406 Stock]],20,0),0)+_xlfn.IFNA(VLOOKUP(scheduleapr[[#This Row],[Bucket]],salesforecast[[#All],[Bucket2]:[8406 Stock]],17,0),0)</f>
        <v>1.0470000000000002</v>
      </c>
      <c r="W332" s="557"/>
      <c r="X332" s="1">
        <v>22.23</v>
      </c>
      <c r="Y332" s="1">
        <v>22.23</v>
      </c>
      <c r="Z332" s="1">
        <v>0</v>
      </c>
      <c r="AA332" s="1">
        <v>2</v>
      </c>
      <c r="AB332" s="24">
        <v>809</v>
      </c>
      <c r="AC332" s="24" t="s">
        <v>397</v>
      </c>
      <c r="AD332" s="24"/>
      <c r="AE332" s="24"/>
      <c r="AF332" s="2">
        <v>8000</v>
      </c>
      <c r="AG332" s="2"/>
      <c r="AH332" s="2" cm="1">
        <f t="array" ref="AH3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725</v>
      </c>
      <c r="AI332" s="4">
        <f>scheduleapr[[#This Row],[SCHEDULE in nos]]-scheduleapr[[#This Row],[DISPATCH]]</f>
        <v>7275</v>
      </c>
      <c r="AJ332" s="1">
        <f>(3.14*(scheduleapr[[#This Row],[ACTUAL OD]]-scheduleapr[[#This Row],[TICKNESS]])*scheduleapr[[#This Row],[TICKNESS]]*scheduleapr[[#This Row],[LENGTH]]*7.85)/1000000*scheduleapr[[#This Row],[SCHEDULE in nos]]/1000</f>
        <v>6.4545161508800009</v>
      </c>
      <c r="AK332" s="1">
        <f>(3.14*(scheduleapr[[#This Row],[ACTUAL OD]]-scheduleapr[[#This Row],[TICKNESS]])*scheduleapr[[#This Row],[TICKNESS]]*scheduleapr[[#This Row],[LENGTH]]*7.85)/1000000*scheduleapr[[#This Row],[DISPATCH]]/1000</f>
        <v>0.58494052617350012</v>
      </c>
      <c r="AL332" s="1">
        <f t="shared" si="13"/>
        <v>5.869575624706501</v>
      </c>
      <c r="AM332" s="1">
        <f>scheduleapr[[#This Row],[SCHEDULE in nos]]/scheduleapr[[#This Row],[SCHEDULE IN MT]]*scheduleapr[[#This Row],[CTL Stock]]</f>
        <v>2207.6288395462898</v>
      </c>
      <c r="AN332" s="1">
        <f>SUMIFS(stock[MT],stock[Bucket],scheduleapr[[#This Row],[Bucket]],stock[CTL Bucket],scheduleapr[[#This Row],[CTL Bucket]],stock[Plant],"0789")</f>
        <v>1.781147</v>
      </c>
      <c r="AO332" s="1"/>
      <c r="AP332" s="1">
        <f>SUMIFS(stock[MT],stock[Bucket],scheduleapr[[#This Row],[Bucket]],stock[LL or CTL],"LL")</f>
        <v>11.690147</v>
      </c>
      <c r="AQ332" s="1">
        <f>+SUMIFS(wip[Stock(Net Wt)],wip[Bucket],scheduleapr[[#This Row],[Bucket]])/1000</f>
        <v>1.629</v>
      </c>
      <c r="AR332" s="1">
        <f t="shared" si="12"/>
        <v>4.673369150880001</v>
      </c>
      <c r="AS332" s="118"/>
    </row>
    <row r="333" spans="1:45" x14ac:dyDescent="0.25">
      <c r="A333" s="30">
        <v>271</v>
      </c>
      <c r="B333" s="5" t="s">
        <v>1816</v>
      </c>
      <c r="C333" s="2" t="s">
        <v>307</v>
      </c>
      <c r="D333" s="2" t="s">
        <v>952</v>
      </c>
      <c r="E333" s="2" t="s">
        <v>308</v>
      </c>
      <c r="F333" s="2">
        <v>2413708</v>
      </c>
      <c r="G333" s="2" t="str">
        <f>_xlfn.CONCAT(scheduleapr[[#This Row],[CUSTOMER CODE]],"-",scheduleapr[[#This Row],[MATERIAL NO]])</f>
        <v>189226|930794-2413708</v>
      </c>
      <c r="H333" s="2" t="s">
        <v>634</v>
      </c>
      <c r="I333" s="2" t="s">
        <v>962</v>
      </c>
      <c r="J333" s="2"/>
      <c r="K333" s="2" t="s">
        <v>963</v>
      </c>
      <c r="L333" s="2" t="s">
        <v>239</v>
      </c>
      <c r="M333" s="2"/>
      <c r="N333" s="2"/>
      <c r="O333" s="2"/>
      <c r="P333" s="2"/>
      <c r="Q333" s="557" t="str">
        <f>CONCATENATE(scheduleapr[[#This Row],[OD]],"-",scheduleapr[[#This Row],[ID]],"-",scheduleapr[[#This Row],[TICKNESS]],"-",scheduleapr[[#This Row],[Grade]],"-",scheduleapr[[#This Row],[FC/NFC]])</f>
        <v>22.23-0-2-ERW 1-PE</v>
      </c>
      <c r="R333" s="557" t="str">
        <f>_xlfn.CONCAT(scheduleapr[[#This Row],[Bucket]],"-",scheduleapr[[#This Row],[LENGTH]]/1000)</f>
        <v>22.23-0-2-ERW 1-PE-0.815</v>
      </c>
      <c r="S333" s="557">
        <f>COUNTIF(scheduleapr[CTL Bucket],scheduleapr[[#This Row],[CTL Bucket]])</f>
        <v>2</v>
      </c>
      <c r="T333" s="2" t="s">
        <v>1816</v>
      </c>
      <c r="U333" s="2">
        <f>_xlfn.IFNA(VLOOKUP(scheduleapr[[#This Row],[Bucket]],salesforecast[[#All],[Bucket2]:[8406 Stock]],19,0),0)</f>
        <v>5.5039059999999997</v>
      </c>
      <c r="V333" s="562">
        <f>_xlfn.IFNA(VLOOKUP(scheduleapr[[#This Row],[Bucket]],salesforecast[[#All],[Bucket2]:[8406 Stock]],20,0),0)+_xlfn.IFNA(VLOOKUP(scheduleapr[[#This Row],[Bucket]],salesforecast[[#All],[Bucket2]:[8406 Stock]],17,0),0)</f>
        <v>1.0470000000000002</v>
      </c>
      <c r="W333" s="557"/>
      <c r="X333" s="1">
        <v>22.23</v>
      </c>
      <c r="Y333" s="1">
        <v>22.23</v>
      </c>
      <c r="Z333" s="1">
        <v>0</v>
      </c>
      <c r="AA333" s="1">
        <v>2</v>
      </c>
      <c r="AB333" s="24">
        <v>815</v>
      </c>
      <c r="AC333" s="24" t="s">
        <v>397</v>
      </c>
      <c r="AD333" s="24"/>
      <c r="AE333" s="24"/>
      <c r="AF333" s="2">
        <v>6000</v>
      </c>
      <c r="AG333" s="2"/>
      <c r="AH333" s="2" cm="1">
        <f t="array" ref="AH3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13000</v>
      </c>
      <c r="AI333" s="4">
        <f>scheduleapr[[#This Row],[SCHEDULE in nos]]-scheduleapr[[#This Row],[DISPATCH]]</f>
        <v>-7000</v>
      </c>
      <c r="AJ333" s="1">
        <f>(3.14*(scheduleapr[[#This Row],[ACTUAL OD]]-scheduleapr[[#This Row],[TICKNESS]])*scheduleapr[[#This Row],[TICKNESS]]*scheduleapr[[#This Row],[LENGTH]]*7.85)/1000000*scheduleapr[[#This Row],[SCHEDULE in nos]]/1000</f>
        <v>4.8767898605999997</v>
      </c>
      <c r="AK333" s="1">
        <f>(3.14*(scheduleapr[[#This Row],[ACTUAL OD]]-scheduleapr[[#This Row],[TICKNESS]])*scheduleapr[[#This Row],[TICKNESS]]*scheduleapr[[#This Row],[LENGTH]]*7.85)/1000000*scheduleapr[[#This Row],[DISPATCH]]/1000</f>
        <v>10.566378031300001</v>
      </c>
      <c r="AL333" s="1">
        <f t="shared" si="13"/>
        <v>-5.6895881707000013</v>
      </c>
      <c r="AM333" s="1">
        <f>scheduleapr[[#This Row],[SCHEDULE in nos]]/scheduleapr[[#This Row],[SCHEDULE IN MT]]*scheduleapr[[#This Row],[CTL Stock]]</f>
        <v>17.042358267570421</v>
      </c>
      <c r="AN333" s="1">
        <f>SUMIFS(stock[MT],stock[Bucket],scheduleapr[[#This Row],[Bucket]],stock[CTL Bucket],scheduleapr[[#This Row],[CTL Bucket]],stock[Plant],"0789")</f>
        <v>1.3852E-2</v>
      </c>
      <c r="AO333" s="1"/>
      <c r="AP333" s="1">
        <f>SUMIFS(stock[MT],stock[Bucket],scheduleapr[[#This Row],[Bucket]],stock[LL or CTL],"LL")</f>
        <v>11.690147</v>
      </c>
      <c r="AQ333" s="1">
        <f>+SUMIFS(wip[Stock(Net Wt)],wip[Bucket],scheduleapr[[#This Row],[Bucket]])/1000</f>
        <v>1.629</v>
      </c>
      <c r="AR333" s="1">
        <f t="shared" si="12"/>
        <v>4.8629378605999998</v>
      </c>
      <c r="AS333" s="118"/>
    </row>
    <row r="334" spans="1:45" x14ac:dyDescent="0.25">
      <c r="A334" s="30">
        <v>244</v>
      </c>
      <c r="B334" s="5" t="s">
        <v>1816</v>
      </c>
      <c r="C334" s="2" t="s">
        <v>310</v>
      </c>
      <c r="D334" s="2" t="s">
        <v>952</v>
      </c>
      <c r="E334" s="2" t="s">
        <v>309</v>
      </c>
      <c r="F334" s="2" t="e">
        <f>_xlfn.CONCAT([2]!scheduleapr[[#This Row],[OD]],"-",[2]!scheduleapr[[#This Row],[ID]],"-",[2]!scheduleapr[[#This Row],[TICKNESS]],"-",[2]!scheduleapr[[#This Row],[LENGTH]])</f>
        <v>#REF!</v>
      </c>
      <c r="G334" s="2" t="e">
        <f>_xlfn.CONCAT(scheduleapr[[#This Row],[CUSTOMER CODE]],"-",scheduleapr[[#This Row],[MATERIAL NO]])</f>
        <v>#REF!</v>
      </c>
      <c r="H334" s="557"/>
      <c r="I334" s="2" t="s">
        <v>962</v>
      </c>
      <c r="J334" s="557"/>
      <c r="K334" s="2" t="s">
        <v>963</v>
      </c>
      <c r="L334" s="557"/>
      <c r="M334" s="557"/>
      <c r="N334" s="557"/>
      <c r="O334" s="557"/>
      <c r="P334" s="557"/>
      <c r="Q334" s="557" t="str">
        <f>CONCATENATE(scheduleapr[[#This Row],[OD]],"-",scheduleapr[[#This Row],[ID]],"-",scheduleapr[[#This Row],[TICKNESS]],"-",scheduleapr[[#This Row],[Grade]],"-",scheduleapr[[#This Row],[FC/NFC]])</f>
        <v>22.23-0-2-ERW 1-PE</v>
      </c>
      <c r="R334" s="557" t="str">
        <f>_xlfn.CONCAT(scheduleapr[[#This Row],[Bucket]],"-",scheduleapr[[#This Row],[LENGTH]]/1000)</f>
        <v>22.23-0-2-ERW 1-PE-1</v>
      </c>
      <c r="S334" s="557" t="e" vm="2">
        <f>COUNTIF([2]!buckets[CTL Bucket],[2]!scheduleapr[[#This Row],[CTL Bucket]])</f>
        <v>#REF!</v>
      </c>
      <c r="T334" s="2" t="s">
        <v>1816</v>
      </c>
      <c r="U334" s="2"/>
      <c r="V334" s="557"/>
      <c r="W334" s="557"/>
      <c r="X334" s="559">
        <v>22.23</v>
      </c>
      <c r="Y334" s="559">
        <v>22.23</v>
      </c>
      <c r="Z334" s="1">
        <v>0</v>
      </c>
      <c r="AA334" s="1">
        <v>2</v>
      </c>
      <c r="AB334" s="24">
        <v>1000</v>
      </c>
      <c r="AC334" s="24" t="s">
        <v>444</v>
      </c>
      <c r="AD334" s="24"/>
      <c r="AE334" s="24"/>
      <c r="AF334" s="2"/>
      <c r="AG334" s="2"/>
      <c r="AH334" s="2" cm="1">
        <f t="array" ref="AH3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4" s="4">
        <f>scheduleapr[[#This Row],[SCHEDULE in nos]]-scheduleapr[[#This Row],[DISPATCH]]</f>
        <v>0</v>
      </c>
      <c r="AJ334" s="1">
        <f>(3.14*(scheduleapr[[#This Row],[ACTUAL OD]]-scheduleapr[[#This Row],[TICKNESS]])*scheduleapr[[#This Row],[TICKNESS]]*scheduleapr[[#This Row],[LENGTH]]*7.85)/1000000*scheduleapr[[#This Row],[SCHEDULE in nos]]/1000</f>
        <v>0</v>
      </c>
      <c r="AK334" s="1">
        <f>(3.14*(scheduleapr[[#This Row],[ACTUAL OD]]-scheduleapr[[#This Row],[TICKNESS]])*scheduleapr[[#This Row],[TICKNESS]]*scheduleapr[[#This Row],[LENGTH]]*7.85)/1000000*scheduleapr[[#This Row],[DISPATCH]]/1000</f>
        <v>0</v>
      </c>
      <c r="AL334" s="1">
        <f t="shared" si="13"/>
        <v>0</v>
      </c>
      <c r="AM334" s="1" t="e">
        <f>scheduleapr[[#This Row],[SCHEDULE in nos]]/scheduleapr[[#This Row],[SCHEDULE IN MT]]*scheduleapr[[#This Row],[CTL Stock]]</f>
        <v>#DIV/0!</v>
      </c>
      <c r="AN334" s="1">
        <f>SUMIFS(stock[MT],stock[Bucket],scheduleapr[[#This Row],[Bucket]],stock[CTL Bucket],scheduleapr[[#This Row],[CTL Bucket]],stock[Plant],"0789")</f>
        <v>5.1392410000000002</v>
      </c>
      <c r="AO334" s="1"/>
      <c r="AP334" s="1">
        <f>SUMIFS(stock[MT],stock[Bucket],scheduleapr[[#This Row],[Bucket]],stock[LL or CTL],"LL")</f>
        <v>11.690147</v>
      </c>
      <c r="AQ334" s="1">
        <f>+SUMIFS(wip[Stock(Net Wt)],wip[Bucket],scheduleapr[[#This Row],[Bucket]])/1000</f>
        <v>1.629</v>
      </c>
      <c r="AR334" s="1">
        <f t="shared" si="12"/>
        <v>-5.1392410000000002</v>
      </c>
      <c r="AS334" s="118"/>
    </row>
    <row r="335" spans="1:45" x14ac:dyDescent="0.25">
      <c r="A335" s="30">
        <v>272</v>
      </c>
      <c r="B335" s="5" t="s">
        <v>1816</v>
      </c>
      <c r="C335" s="2" t="s">
        <v>307</v>
      </c>
      <c r="D335" s="2" t="s">
        <v>952</v>
      </c>
      <c r="E335" s="2" t="s">
        <v>308</v>
      </c>
      <c r="F335" s="2">
        <v>3506579</v>
      </c>
      <c r="G335" s="2" t="str">
        <f>_xlfn.CONCAT(scheduleapr[[#This Row],[CUSTOMER CODE]],"-",scheduleapr[[#This Row],[MATERIAL NO]])</f>
        <v>189226|930794-3506579</v>
      </c>
      <c r="H335" s="2" t="s">
        <v>1984</v>
      </c>
      <c r="I335" s="2" t="s">
        <v>962</v>
      </c>
      <c r="J335" s="2"/>
      <c r="K335" s="2" t="s">
        <v>963</v>
      </c>
      <c r="L335" s="2" t="s">
        <v>239</v>
      </c>
      <c r="M335" s="2"/>
      <c r="N335" s="2"/>
      <c r="O335" s="2"/>
      <c r="P335" s="2"/>
      <c r="Q335" s="557" t="str">
        <f>CONCATENATE(scheduleapr[[#This Row],[OD]],"-",scheduleapr[[#This Row],[ID]],"-",scheduleapr[[#This Row],[TICKNESS]],"-",scheduleapr[[#This Row],[Grade]],"-",scheduleapr[[#This Row],[FC/NFC]])</f>
        <v>22.23-0-2.3-ERW 1-PE</v>
      </c>
      <c r="R335" s="557" t="str">
        <f>_xlfn.CONCAT(scheduleapr[[#This Row],[Bucket]],"-",scheduleapr[[#This Row],[LENGTH]]/1000)</f>
        <v>22.23-0-2.3-ERW 1-PE-0.43</v>
      </c>
      <c r="S335" s="557" t="e" vm="2">
        <f>COUNTIF([2]!buckets[CTL Bucket],[2]!scheduleapr[[#This Row],[CTL Bucket]])</f>
        <v>#REF!</v>
      </c>
      <c r="T335" s="557"/>
      <c r="U335" s="557"/>
      <c r="V335" s="557"/>
      <c r="W335" s="557"/>
      <c r="X335" s="1">
        <v>22.23</v>
      </c>
      <c r="Y335" s="1">
        <v>22.23</v>
      </c>
      <c r="Z335" s="1">
        <v>0</v>
      </c>
      <c r="AA335" s="1">
        <v>2.2999999999999998</v>
      </c>
      <c r="AB335" s="24">
        <v>430</v>
      </c>
      <c r="AC335" s="24" t="s">
        <v>397</v>
      </c>
      <c r="AD335" s="24"/>
      <c r="AE335" s="24"/>
      <c r="AF335" s="2"/>
      <c r="AG335" s="2"/>
      <c r="AH335" s="2" cm="1">
        <f t="array" ref="AH3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5" s="4">
        <f>scheduleapr[[#This Row],[SCHEDULE in nos]]-scheduleapr[[#This Row],[DISPATCH]]</f>
        <v>0</v>
      </c>
      <c r="AJ335" s="1">
        <f>(3.14*(scheduleapr[[#This Row],[ACTUAL OD]]-scheduleapr[[#This Row],[TICKNESS]])*scheduleapr[[#This Row],[TICKNESS]]*scheduleapr[[#This Row],[LENGTH]]*7.85)/1000000*scheduleapr[[#This Row],[SCHEDULE in nos]]/1000</f>
        <v>0</v>
      </c>
      <c r="AK335" s="1">
        <f>(3.14*(scheduleapr[[#This Row],[ACTUAL OD]]-scheduleapr[[#This Row],[TICKNESS]])*scheduleapr[[#This Row],[TICKNESS]]*scheduleapr[[#This Row],[LENGTH]]*7.85)/1000000*scheduleapr[[#This Row],[DISPATCH]]/1000</f>
        <v>0</v>
      </c>
      <c r="AL335" s="1">
        <f t="shared" si="13"/>
        <v>0</v>
      </c>
      <c r="AM335" s="1" t="e">
        <f>scheduleapr[[#This Row],[SCHEDULE in nos]]/scheduleapr[[#This Row],[SCHEDULE IN MT]]*scheduleapr[[#This Row],[CTL Stock]]</f>
        <v>#DIV/0!</v>
      </c>
      <c r="AN335" s="1">
        <f>SUMIFS(stock[MT],stock[Bucket],scheduleapr[[#This Row],[Bucket]],stock[CTL Bucket],scheduleapr[[#This Row],[CTL Bucket]],stock[Plant],"0789")</f>
        <v>0</v>
      </c>
      <c r="AO335" s="1"/>
      <c r="AP335" s="1">
        <f>SUMIFS(stock[MT],stock[Bucket],scheduleapr[[#This Row],[Bucket]],stock[LL or CTL],"LL")</f>
        <v>6.8109739999999999</v>
      </c>
      <c r="AQ335" s="1">
        <f>+SUMIFS(wip[Stock(Net Wt)],wip[Bucket],scheduleapr[[#This Row],[Bucket]])/1000</f>
        <v>0</v>
      </c>
      <c r="AR335" s="1">
        <f t="shared" si="12"/>
        <v>0</v>
      </c>
      <c r="AS335" s="118"/>
    </row>
    <row r="336" spans="1:45" x14ac:dyDescent="0.25">
      <c r="A336" s="30">
        <v>273</v>
      </c>
      <c r="B336" s="5" t="s">
        <v>1816</v>
      </c>
      <c r="C336" s="2" t="s">
        <v>307</v>
      </c>
      <c r="D336" s="2" t="s">
        <v>952</v>
      </c>
      <c r="E336" s="2" t="s">
        <v>308</v>
      </c>
      <c r="F336" s="2">
        <v>1940538</v>
      </c>
      <c r="G336" s="2" t="str">
        <f>_xlfn.CONCAT(scheduleapr[[#This Row],[CUSTOMER CODE]],"-",scheduleapr[[#This Row],[MATERIAL NO]])</f>
        <v>189226|930794-1940538</v>
      </c>
      <c r="H336" s="2" t="s">
        <v>1553</v>
      </c>
      <c r="I336" s="2" t="s">
        <v>962</v>
      </c>
      <c r="J336" s="2"/>
      <c r="K336" s="2" t="s">
        <v>963</v>
      </c>
      <c r="L336" s="2" t="s">
        <v>1867</v>
      </c>
      <c r="M336" s="2"/>
      <c r="N336" s="2"/>
      <c r="O336" s="2" t="s">
        <v>1895</v>
      </c>
      <c r="P336" s="2"/>
      <c r="Q336" s="557" t="str">
        <f>CONCATENATE(scheduleapr[[#This Row],[OD]],"-",scheduleapr[[#This Row],[ID]],"-",scheduleapr[[#This Row],[TICKNESS]],"-",scheduleapr[[#This Row],[Grade]],"-",scheduleapr[[#This Row],[FC/NFC]])</f>
        <v>25.4-0-1.2-ERW 1-PE</v>
      </c>
      <c r="R336" s="557" t="str">
        <f>_xlfn.CONCAT(scheduleapr[[#This Row],[Bucket]],"-",scheduleapr[[#This Row],[LENGTH]]/1000)</f>
        <v>25.4-0-1.2-ERW 1-PE-0.845</v>
      </c>
      <c r="S336" s="557">
        <f>COUNTIF(scheduleapr[CTL Bucket],scheduleapr[[#This Row],[CTL Bucket]])</f>
        <v>1</v>
      </c>
      <c r="T336" s="2" t="s">
        <v>1816</v>
      </c>
      <c r="U336" s="2">
        <f>_xlfn.IFNA(VLOOKUP(scheduleapr[[#This Row],[Bucket]],salesforecast[[#All],[Bucket2]:[8406 Stock]],19,0),0)</f>
        <v>0</v>
      </c>
      <c r="V336" s="562">
        <f>_xlfn.IFNA(VLOOKUP(scheduleapr[[#This Row],[Bucket]],salesforecast[[#All],[Bucket2]:[8406 Stock]],20,0),0)+_xlfn.IFNA(VLOOKUP(scheduleapr[[#This Row],[Bucket]],salesforecast[[#All],[Bucket2]:[8406 Stock]],17,0),0)</f>
        <v>0</v>
      </c>
      <c r="W336" s="557"/>
      <c r="X336" s="1">
        <v>25.4</v>
      </c>
      <c r="Y336" s="1">
        <v>25.4</v>
      </c>
      <c r="Z336" s="1">
        <v>0</v>
      </c>
      <c r="AA336" s="1">
        <v>1.2</v>
      </c>
      <c r="AB336" s="24">
        <v>845</v>
      </c>
      <c r="AC336" s="24" t="s">
        <v>397</v>
      </c>
      <c r="AD336" s="24"/>
      <c r="AE336" s="24"/>
      <c r="AF336" s="2">
        <v>4000</v>
      </c>
      <c r="AG336" s="2"/>
      <c r="AH336" s="2" cm="1">
        <f t="array" ref="AH3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6" s="4">
        <f>scheduleapr[[#This Row],[SCHEDULE in nos]]-scheduleapr[[#This Row],[DISPATCH]]</f>
        <v>4000</v>
      </c>
      <c r="AJ336" s="1">
        <f>(3.14*(scheduleapr[[#This Row],[ACTUAL OD]]-scheduleapr[[#This Row],[TICKNESS]])*scheduleapr[[#This Row],[TICKNESS]]*scheduleapr[[#This Row],[LENGTH]]*7.85)/1000000*scheduleapr[[#This Row],[SCHEDULE in nos]]/1000</f>
        <v>2.4194275247999992</v>
      </c>
      <c r="AK336" s="1">
        <f>(3.14*(scheduleapr[[#This Row],[ACTUAL OD]]-scheduleapr[[#This Row],[TICKNESS]])*scheduleapr[[#This Row],[TICKNESS]]*scheduleapr[[#This Row],[LENGTH]]*7.85)/1000000*scheduleapr[[#This Row],[DISPATCH]]/1000</f>
        <v>0</v>
      </c>
      <c r="AL336" s="1">
        <f t="shared" si="13"/>
        <v>2.4194275247999992</v>
      </c>
      <c r="AM336" s="1">
        <f>scheduleapr[[#This Row],[SCHEDULE in nos]]/scheduleapr[[#This Row],[SCHEDULE IN MT]]*scheduleapr[[#This Row],[CTL Stock]]</f>
        <v>151.48211560100216</v>
      </c>
      <c r="AN336" s="1">
        <f>SUMIFS(stock[MT],stock[Bucket],scheduleapr[[#This Row],[Bucket]],stock[CTL Bucket],scheduleapr[[#This Row],[CTL Bucket]],stock[Plant],"0789")</f>
        <v>9.1624999999999998E-2</v>
      </c>
      <c r="AO336" s="1"/>
      <c r="AP336" s="1">
        <f>SUMIFS(stock[MT],stock[Bucket],scheduleapr[[#This Row],[Bucket]],stock[LL or CTL],"LL")</f>
        <v>0</v>
      </c>
      <c r="AQ336" s="1">
        <f>+SUMIFS(wip[Stock(Net Wt)],wip[Bucket],scheduleapr[[#This Row],[Bucket]])/1000</f>
        <v>18.564</v>
      </c>
      <c r="AR336" s="1">
        <f t="shared" si="12"/>
        <v>2.3278025247999992</v>
      </c>
      <c r="AS336" s="118"/>
    </row>
    <row r="337" spans="1:45" x14ac:dyDescent="0.25">
      <c r="A337" s="30">
        <v>241</v>
      </c>
      <c r="B337" s="5" t="s">
        <v>1816</v>
      </c>
      <c r="C337" s="2" t="s">
        <v>310</v>
      </c>
      <c r="D337" s="2" t="s">
        <v>952</v>
      </c>
      <c r="E337" s="2" t="s">
        <v>309</v>
      </c>
      <c r="F337" s="2" t="e">
        <f>_xlfn.CONCAT([2]!scheduleapr[[#This Row],[OD]],"-",[2]!scheduleapr[[#This Row],[ID]],"-",[2]!scheduleapr[[#This Row],[TICKNESS]],"-",[2]!scheduleapr[[#This Row],[LENGTH]])</f>
        <v>#REF!</v>
      </c>
      <c r="G337" s="2" t="e">
        <f>_xlfn.CONCAT(scheduleapr[[#This Row],[CUSTOMER CODE]],"-",scheduleapr[[#This Row],[MATERIAL NO]])</f>
        <v>#REF!</v>
      </c>
      <c r="H337" s="557"/>
      <c r="I337" s="2" t="s">
        <v>962</v>
      </c>
      <c r="J337" s="557"/>
      <c r="K337" s="2" t="s">
        <v>963</v>
      </c>
      <c r="L337" s="2" t="s">
        <v>1867</v>
      </c>
      <c r="M337" s="557"/>
      <c r="N337" s="557"/>
      <c r="O337" s="557"/>
      <c r="P337" s="557"/>
      <c r="Q337" s="557" t="str">
        <f>CONCATENATE(scheduleapr[[#This Row],[OD]],"-",scheduleapr[[#This Row],[ID]],"-",scheduleapr[[#This Row],[TICKNESS]],"-",scheduleapr[[#This Row],[Grade]],"-",scheduleapr[[#This Row],[FC/NFC]])</f>
        <v>25.4-0-1.2-ERW 1-PE</v>
      </c>
      <c r="R337" s="557" t="str">
        <f>_xlfn.CONCAT(scheduleapr[[#This Row],[Bucket]],"-",scheduleapr[[#This Row],[LENGTH]]/1000)</f>
        <v>25.4-0-1.2-ERW 1-PE-1</v>
      </c>
      <c r="S337" s="557">
        <f>COUNTIF(scheduleapr[CTL Bucket],scheduleapr[[#This Row],[CTL Bucket]])</f>
        <v>1</v>
      </c>
      <c r="T337" s="2" t="s">
        <v>1816</v>
      </c>
      <c r="U337" s="2"/>
      <c r="V337" s="557"/>
      <c r="W337" s="557"/>
      <c r="X337" s="559">
        <v>25.4</v>
      </c>
      <c r="Y337" s="559">
        <v>25.4</v>
      </c>
      <c r="Z337" s="1">
        <v>0</v>
      </c>
      <c r="AA337" s="1">
        <v>1.2</v>
      </c>
      <c r="AB337" s="24">
        <v>1000</v>
      </c>
      <c r="AC337" s="24" t="s">
        <v>444</v>
      </c>
      <c r="AD337" s="24"/>
      <c r="AE337" s="24"/>
      <c r="AF337" s="2"/>
      <c r="AG337" s="2"/>
      <c r="AH337" s="2" cm="1">
        <f t="array" ref="AH3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7" s="4">
        <f>scheduleapr[[#This Row],[SCHEDULE in nos]]-scheduleapr[[#This Row],[DISPATCH]]</f>
        <v>0</v>
      </c>
      <c r="AJ337" s="1">
        <f>(3.14*(scheduleapr[[#This Row],[ACTUAL OD]]-scheduleapr[[#This Row],[TICKNESS]])*scheduleapr[[#This Row],[TICKNESS]]*scheduleapr[[#This Row],[LENGTH]]*7.85)/1000000*scheduleapr[[#This Row],[SCHEDULE in nos]]/1000</f>
        <v>0</v>
      </c>
      <c r="AK337" s="1">
        <f>(3.14*(scheduleapr[[#This Row],[ACTUAL OD]]-scheduleapr[[#This Row],[TICKNESS]])*scheduleapr[[#This Row],[TICKNESS]]*scheduleapr[[#This Row],[LENGTH]]*7.85)/1000000*scheduleapr[[#This Row],[DISPATCH]]/1000</f>
        <v>0</v>
      </c>
      <c r="AL337" s="1">
        <f t="shared" si="13"/>
        <v>0</v>
      </c>
      <c r="AM337" s="1" t="e">
        <f>scheduleapr[[#This Row],[SCHEDULE in nos]]/scheduleapr[[#This Row],[SCHEDULE IN MT]]*scheduleapr[[#This Row],[CTL Stock]]</f>
        <v>#DIV/0!</v>
      </c>
      <c r="AN337" s="1">
        <f>SUMIFS(stock[MT],stock[Bucket],scheduleapr[[#This Row],[Bucket]],stock[CTL Bucket],scheduleapr[[#This Row],[CTL Bucket]],stock[Plant],"0789")</f>
        <v>0</v>
      </c>
      <c r="AO337" s="1"/>
      <c r="AP337" s="1">
        <f>SUMIFS(stock[MT],stock[Bucket],scheduleapr[[#This Row],[Bucket]],stock[LL or CTL],"LL")</f>
        <v>0</v>
      </c>
      <c r="AQ337" s="1">
        <f>+SUMIFS(wip[Stock(Net Wt)],wip[Bucket],scheduleapr[[#This Row],[Bucket]])/1000</f>
        <v>18.564</v>
      </c>
      <c r="AR337" s="1">
        <f t="shared" si="12"/>
        <v>0</v>
      </c>
      <c r="AS337" s="118"/>
    </row>
    <row r="338" spans="1:45" x14ac:dyDescent="0.25">
      <c r="A338" s="30">
        <v>274</v>
      </c>
      <c r="B338" s="5" t="s">
        <v>1816</v>
      </c>
      <c r="C338" s="2" t="s">
        <v>307</v>
      </c>
      <c r="D338" s="2" t="s">
        <v>952</v>
      </c>
      <c r="E338" s="2" t="s">
        <v>308</v>
      </c>
      <c r="F338" s="2">
        <v>3727130</v>
      </c>
      <c r="G338" s="2" t="str">
        <f>_xlfn.CONCAT(scheduleapr[[#This Row],[CUSTOMER CODE]],"-",scheduleapr[[#This Row],[MATERIAL NO]])</f>
        <v>189226|930794-3727130</v>
      </c>
      <c r="H338" s="2" t="s">
        <v>1985</v>
      </c>
      <c r="I338" s="2" t="s">
        <v>962</v>
      </c>
      <c r="J338" s="2"/>
      <c r="K338" s="2" t="s">
        <v>963</v>
      </c>
      <c r="L338" s="2" t="s">
        <v>239</v>
      </c>
      <c r="M338" s="2"/>
      <c r="N338" s="2"/>
      <c r="O338" s="2"/>
      <c r="P338" s="2"/>
      <c r="Q338" s="557" t="str">
        <f>CONCATENATE(scheduleapr[[#This Row],[OD]],"-",scheduleapr[[#This Row],[ID]],"-",scheduleapr[[#This Row],[TICKNESS]],"-",scheduleapr[[#This Row],[Grade]],"-",scheduleapr[[#This Row],[FC/NFC]])</f>
        <v>25.4-0-1.6-ERW 1-PE</v>
      </c>
      <c r="R338" s="557" t="str">
        <f>_xlfn.CONCAT(scheduleapr[[#This Row],[Bucket]],"-",scheduleapr[[#This Row],[LENGTH]]/1000)</f>
        <v>25.4-0-1.6-ERW 1-PE-0.512</v>
      </c>
      <c r="S338" s="557" t="e" vm="2">
        <f>COUNTIF([2]!buckets[CTL Bucket],[2]!scheduleapr[[#This Row],[CTL Bucket]])</f>
        <v>#REF!</v>
      </c>
      <c r="T338" s="557"/>
      <c r="U338" s="557"/>
      <c r="V338" s="557"/>
      <c r="W338" s="557"/>
      <c r="X338" s="1">
        <v>25.4</v>
      </c>
      <c r="Y338" s="1">
        <v>25.4</v>
      </c>
      <c r="Z338" s="6">
        <v>0</v>
      </c>
      <c r="AA338" s="1">
        <v>1.6</v>
      </c>
      <c r="AB338" s="24">
        <v>512</v>
      </c>
      <c r="AC338" s="24"/>
      <c r="AD338" s="24"/>
      <c r="AE338" s="24"/>
      <c r="AF338" s="2"/>
      <c r="AG338" s="2"/>
      <c r="AH338" s="2" t="e" cm="1">
        <f t="array" ref="AH3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38" s="4" t="e">
        <f>scheduleapr[[#This Row],[SCHEDULE in nos]]-scheduleapr[[#This Row],[DISPATCH]]</f>
        <v>#N/A</v>
      </c>
      <c r="AJ338" s="1">
        <f>(3.14*(scheduleapr[[#This Row],[ACTUAL OD]]-scheduleapr[[#This Row],[TICKNESS]])*scheduleapr[[#This Row],[TICKNESS]]*scheduleapr[[#This Row],[LENGTH]]*7.85)/1000000*scheduleapr[[#This Row],[SCHEDULE in nos]]/1000</f>
        <v>0</v>
      </c>
      <c r="AK338" s="1" t="e">
        <f>(3.14*(scheduleapr[[#This Row],[ACTUAL OD]]-scheduleapr[[#This Row],[TICKNESS]])*scheduleapr[[#This Row],[TICKNESS]]*scheduleapr[[#This Row],[LENGTH]]*7.85)/1000000*scheduleapr[[#This Row],[DISPATCH]]/1000</f>
        <v>#N/A</v>
      </c>
      <c r="AL338" s="1" t="e">
        <f t="shared" si="13"/>
        <v>#N/A</v>
      </c>
      <c r="AM338" s="1" t="e">
        <f>scheduleapr[[#This Row],[SCHEDULE in nos]]/scheduleapr[[#This Row],[SCHEDULE IN MT]]*scheduleapr[[#This Row],[CTL Stock]]</f>
        <v>#DIV/0!</v>
      </c>
      <c r="AN338" s="1">
        <f>SUMIFS(stock[MT],stock[Bucket],scheduleapr[[#This Row],[Bucket]],stock[CTL Bucket],scheduleapr[[#This Row],[CTL Bucket]],stock[Plant],"0789")</f>
        <v>0</v>
      </c>
      <c r="AO338" s="1"/>
      <c r="AP338" s="1">
        <f>SUMIFS(stock[MT],stock[Bucket],scheduleapr[[#This Row],[Bucket]],stock[LL or CTL],"LL")</f>
        <v>0</v>
      </c>
      <c r="AQ338" s="1">
        <f>+SUMIFS(wip[Stock(Net Wt)],wip[Bucket],scheduleapr[[#This Row],[Bucket]])/1000</f>
        <v>3.6459999999999999</v>
      </c>
      <c r="AR338" s="1">
        <f t="shared" si="12"/>
        <v>0</v>
      </c>
      <c r="AS338" s="118"/>
    </row>
    <row r="339" spans="1:45" x14ac:dyDescent="0.25">
      <c r="A339" s="30">
        <v>230</v>
      </c>
      <c r="B339" s="5" t="s">
        <v>1816</v>
      </c>
      <c r="C339" s="2" t="s">
        <v>310</v>
      </c>
      <c r="D339" s="2" t="s">
        <v>952</v>
      </c>
      <c r="E339" s="2" t="s">
        <v>309</v>
      </c>
      <c r="F339" s="2" t="e">
        <f>_xlfn.CONCAT([2]!scheduleapr[[#This Row],[OD]],"-",[2]!scheduleapr[[#This Row],[ID]],"-",[2]!scheduleapr[[#This Row],[TICKNESS]],"-",[2]!scheduleapr[[#This Row],[LENGTH]])</f>
        <v>#REF!</v>
      </c>
      <c r="G339" s="2" t="e">
        <f>_xlfn.CONCAT(scheduleapr[[#This Row],[CUSTOMER CODE]],"-",scheduleapr[[#This Row],[MATERIAL NO]])</f>
        <v>#REF!</v>
      </c>
      <c r="H339" s="2" t="s">
        <v>1986</v>
      </c>
      <c r="I339" s="2" t="s">
        <v>962</v>
      </c>
      <c r="J339" s="2"/>
      <c r="K339" s="2" t="s">
        <v>963</v>
      </c>
      <c r="L339" s="2" t="s">
        <v>239</v>
      </c>
      <c r="M339" s="2"/>
      <c r="N339" s="2"/>
      <c r="O339" s="2"/>
      <c r="P339" s="2"/>
      <c r="Q339" s="557" t="str">
        <f>CONCATENATE(scheduleapr[[#This Row],[OD]],"-",scheduleapr[[#This Row],[ID]],"-",scheduleapr[[#This Row],[TICKNESS]],"-",scheduleapr[[#This Row],[Grade]],"-",scheduleapr[[#This Row],[FC/NFC]])</f>
        <v>25.4-0-2-ERW 1-PE</v>
      </c>
      <c r="R339" s="557" t="str">
        <f>_xlfn.CONCAT(scheduleapr[[#This Row],[Bucket]],"-",scheduleapr[[#This Row],[LENGTH]]/1000)</f>
        <v>25.4-0-2-ERW 1-PE-0.412</v>
      </c>
      <c r="S339" s="557">
        <f>COUNTIF(scheduleapr[CTL Bucket],scheduleapr[[#This Row],[CTL Bucket]])</f>
        <v>1</v>
      </c>
      <c r="T339" s="2" t="s">
        <v>1816</v>
      </c>
      <c r="U339" s="2">
        <f>_xlfn.IFNA(VLOOKUP(scheduleapr[[#This Row],[Bucket]],salesforecast[[#All],[Bucket2]:[8406 Stock]],19,0),0)</f>
        <v>1.1482300000000001</v>
      </c>
      <c r="V339" s="562">
        <f>_xlfn.IFNA(VLOOKUP(scheduleapr[[#This Row],[Bucket]],salesforecast[[#All],[Bucket2]:[8406 Stock]],20,0),0)+_xlfn.IFNA(VLOOKUP(scheduleapr[[#This Row],[Bucket]],salesforecast[[#All],[Bucket2]:[8406 Stock]],17,0),0)</f>
        <v>0</v>
      </c>
      <c r="W339" s="557"/>
      <c r="X339" s="1">
        <v>25.4</v>
      </c>
      <c r="Y339" s="1">
        <v>25.4</v>
      </c>
      <c r="Z339" s="1">
        <v>0</v>
      </c>
      <c r="AA339" s="1">
        <v>2</v>
      </c>
      <c r="AB339" s="24">
        <v>412</v>
      </c>
      <c r="AC339" s="24" t="s">
        <v>397</v>
      </c>
      <c r="AD339" s="24"/>
      <c r="AE339" s="24"/>
      <c r="AF339" s="2">
        <v>22000</v>
      </c>
      <c r="AG339" s="2"/>
      <c r="AH339" s="2" cm="1">
        <f t="array" ref="AH3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9" s="4">
        <f>scheduleapr[[#This Row],[SCHEDULE in nos]]-scheduleapr[[#This Row],[DISPATCH]]</f>
        <v>22000</v>
      </c>
      <c r="AJ339" s="1">
        <f>(3.14*(scheduleapr[[#This Row],[ACTUAL OD]]-scheduleapr[[#This Row],[TICKNESS]])*scheduleapr[[#This Row],[TICKNESS]]*scheduleapr[[#This Row],[LENGTH]]*7.85)/1000000*scheduleapr[[#This Row],[SCHEDULE in nos]]/1000</f>
        <v>10.4559874848</v>
      </c>
      <c r="AK339" s="1">
        <f>(3.14*(scheduleapr[[#This Row],[ACTUAL OD]]-scheduleapr[[#This Row],[TICKNESS]])*scheduleapr[[#This Row],[TICKNESS]]*scheduleapr[[#This Row],[LENGTH]]*7.85)/1000000*scheduleapr[[#This Row],[DISPATCH]]/1000</f>
        <v>0</v>
      </c>
      <c r="AL339" s="1">
        <f t="shared" si="13"/>
        <v>10.4559874848</v>
      </c>
      <c r="AM339" s="1">
        <f>scheduleapr[[#This Row],[SCHEDULE in nos]]/scheduleapr[[#This Row],[SCHEDULE IN MT]]*scheduleapr[[#This Row],[CTL Stock]]</f>
        <v>0</v>
      </c>
      <c r="AN339" s="1">
        <f>SUMIFS(stock[MT],stock[Bucket],scheduleapr[[#This Row],[Bucket]],stock[CTL Bucket],scheduleapr[[#This Row],[CTL Bucket]],stock[Plant],"0789")</f>
        <v>0</v>
      </c>
      <c r="AO339" s="1"/>
      <c r="AP339" s="1">
        <f>SUMIFS(stock[MT],stock[Bucket],scheduleapr[[#This Row],[Bucket]],stock[LL or CTL],"LL")</f>
        <v>1.1482300000000001</v>
      </c>
      <c r="AQ339" s="1">
        <f>+SUMIFS(wip[Stock(Net Wt)],wip[Bucket],scheduleapr[[#This Row],[Bucket]])/1000</f>
        <v>5.56</v>
      </c>
      <c r="AR339" s="1">
        <f t="shared" si="12"/>
        <v>10.4559874848</v>
      </c>
      <c r="AS339" s="118"/>
    </row>
    <row r="340" spans="1:45" x14ac:dyDescent="0.25">
      <c r="A340" s="30">
        <v>276</v>
      </c>
      <c r="B340" s="5" t="s">
        <v>1816</v>
      </c>
      <c r="C340" s="2" t="s">
        <v>307</v>
      </c>
      <c r="D340" s="2" t="s">
        <v>952</v>
      </c>
      <c r="E340" s="2" t="s">
        <v>308</v>
      </c>
      <c r="F340" s="2">
        <v>237726</v>
      </c>
      <c r="G340" s="2" t="str">
        <f>_xlfn.CONCAT(scheduleapr[[#This Row],[CUSTOMER CODE]],"-",scheduleapr[[#This Row],[MATERIAL NO]])</f>
        <v>189226|930794-237726</v>
      </c>
      <c r="H340" s="2" t="s">
        <v>1987</v>
      </c>
      <c r="I340" s="2" t="s">
        <v>962</v>
      </c>
      <c r="J340" s="2"/>
      <c r="K340" s="2" t="s">
        <v>963</v>
      </c>
      <c r="L340" s="2" t="s">
        <v>1867</v>
      </c>
      <c r="M340" s="2"/>
      <c r="N340" s="2"/>
      <c r="O340" s="2"/>
      <c r="P340" s="2"/>
      <c r="Q340" s="557" t="str">
        <f>CONCATENATE(scheduleapr[[#This Row],[OD]],"-",scheduleapr[[#This Row],[ID]],"-",scheduleapr[[#This Row],[TICKNESS]],"-",scheduleapr[[#This Row],[Grade]],"-",scheduleapr[[#This Row],[FC/NFC]])</f>
        <v>28.58-0-1.2-ERW 1-PE</v>
      </c>
      <c r="R340" s="557" t="str">
        <f>_xlfn.CONCAT(scheduleapr[[#This Row],[Bucket]],"-",scheduleapr[[#This Row],[LENGTH]]/1000)</f>
        <v>28.58-0-1.2-ERW 1-PE-0.61</v>
      </c>
      <c r="S340" s="557">
        <f>COUNTIF(scheduleapr[CTL Bucket],scheduleapr[[#This Row],[CTL Bucket]])</f>
        <v>1</v>
      </c>
      <c r="T340" s="557"/>
      <c r="U340" s="2">
        <f>_xlfn.IFNA(VLOOKUP(scheduleapr[[#This Row],[Bucket]],salesforecast[[#All],[Bucket2]:[8406 Stock]],19,0),0)</f>
        <v>0.10089999999999999</v>
      </c>
      <c r="V340" s="562">
        <f>_xlfn.IFNA(VLOOKUP(scheduleapr[[#This Row],[Bucket]],salesforecast[[#All],[Bucket2]:[8406 Stock]],20,0),0)+_xlfn.IFNA(VLOOKUP(scheduleapr[[#This Row],[Bucket]],salesforecast[[#All],[Bucket2]:[8406 Stock]],17,0),0)</f>
        <v>0</v>
      </c>
      <c r="W340" s="557"/>
      <c r="X340" s="1">
        <v>28.58</v>
      </c>
      <c r="Y340" s="1">
        <v>28.58</v>
      </c>
      <c r="Z340" s="1">
        <v>0</v>
      </c>
      <c r="AA340" s="1">
        <v>1.2</v>
      </c>
      <c r="AB340" s="24">
        <v>610</v>
      </c>
      <c r="AC340" s="24" t="s">
        <v>397</v>
      </c>
      <c r="AD340" s="24"/>
      <c r="AE340" s="24"/>
      <c r="AF340" s="2">
        <v>2000</v>
      </c>
      <c r="AG340" s="2"/>
      <c r="AH340" s="2" cm="1">
        <f t="array" ref="AH3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0" s="4">
        <f>scheduleapr[[#This Row],[SCHEDULE in nos]]-scheduleapr[[#This Row],[DISPATCH]]</f>
        <v>2000</v>
      </c>
      <c r="AJ340" s="1">
        <f>(3.14*(scheduleapr[[#This Row],[ACTUAL OD]]-scheduleapr[[#This Row],[TICKNESS]])*scheduleapr[[#This Row],[TICKNESS]]*scheduleapr[[#This Row],[LENGTH]]*7.85)/1000000*scheduleapr[[#This Row],[SCHEDULE in nos]]/1000</f>
        <v>0.98803840367999995</v>
      </c>
      <c r="AK340" s="1">
        <f>(3.14*(scheduleapr[[#This Row],[ACTUAL OD]]-scheduleapr[[#This Row],[TICKNESS]])*scheduleapr[[#This Row],[TICKNESS]]*scheduleapr[[#This Row],[LENGTH]]*7.85)/1000000*scheduleapr[[#This Row],[DISPATCH]]/1000</f>
        <v>0</v>
      </c>
      <c r="AL340" s="1">
        <f t="shared" si="13"/>
        <v>0.98803840367999995</v>
      </c>
      <c r="AM340" s="1">
        <f>scheduleapr[[#This Row],[SCHEDULE in nos]]/scheduleapr[[#This Row],[SCHEDULE IN MT]]*scheduleapr[[#This Row],[CTL Stock]]</f>
        <v>3587.7957646149298</v>
      </c>
      <c r="AN340" s="1">
        <f>SUMIFS(stock[MT],stock[Bucket],scheduleapr[[#This Row],[Bucket]],stock[CTL Bucket],scheduleapr[[#This Row],[CTL Bucket]],stock[Plant],"0789")</f>
        <v>1.77244</v>
      </c>
      <c r="AO340" s="1"/>
      <c r="AP340" s="1">
        <f>SUMIFS(stock[MT],stock[Bucket],scheduleapr[[#This Row],[Bucket]],stock[LL or CTL],"LL")</f>
        <v>0.1009</v>
      </c>
      <c r="AQ340" s="1">
        <f>+SUMIFS(wip[Stock(Net Wt)],wip[Bucket],scheduleapr[[#This Row],[Bucket]])/1000</f>
        <v>5.8879999999999999</v>
      </c>
      <c r="AR340" s="1">
        <f t="shared" si="12"/>
        <v>-0.78440159632000006</v>
      </c>
      <c r="AS340" s="118"/>
    </row>
    <row r="341" spans="1:45" x14ac:dyDescent="0.25">
      <c r="A341" s="30">
        <v>277</v>
      </c>
      <c r="B341" s="5" t="s">
        <v>1816</v>
      </c>
      <c r="C341" s="2" t="s">
        <v>307</v>
      </c>
      <c r="D341" s="2" t="s">
        <v>952</v>
      </c>
      <c r="E341" s="2" t="s">
        <v>308</v>
      </c>
      <c r="F341" s="2">
        <v>1940653</v>
      </c>
      <c r="G341" s="2" t="str">
        <f>_xlfn.CONCAT(scheduleapr[[#This Row],[CUSTOMER CODE]],"-",scheduleapr[[#This Row],[MATERIAL NO]])</f>
        <v>189226|930794-1940653</v>
      </c>
      <c r="H341" s="2" t="s">
        <v>1601</v>
      </c>
      <c r="I341" s="2" t="s">
        <v>962</v>
      </c>
      <c r="J341" s="2"/>
      <c r="K341" s="2" t="s">
        <v>1003</v>
      </c>
      <c r="L341" s="2" t="s">
        <v>1867</v>
      </c>
      <c r="M341" s="2"/>
      <c r="N341" s="2"/>
      <c r="O341" s="2"/>
      <c r="P341" s="2"/>
      <c r="Q341" s="557" t="str">
        <f>CONCATENATE(scheduleapr[[#This Row],[OD]],"-",scheduleapr[[#This Row],[ID]],"-",scheduleapr[[#This Row],[TICKNESS]],"-",scheduleapr[[#This Row],[Grade]],"-",scheduleapr[[#This Row],[FC/NFC]])</f>
        <v>31.75-0-1.2-ERW 1-FC</v>
      </c>
      <c r="R341" s="557" t="str">
        <f>_xlfn.CONCAT(scheduleapr[[#This Row],[Bucket]],"-",scheduleapr[[#This Row],[LENGTH]]/1000)</f>
        <v>31.75-0-1.2-ERW 1-FC-0.67</v>
      </c>
      <c r="S341" s="557">
        <f>COUNTIF(scheduleapr[CTL Bucket],scheduleapr[[#This Row],[CTL Bucket]])</f>
        <v>1</v>
      </c>
      <c r="T341" s="2" t="s">
        <v>1816</v>
      </c>
      <c r="U341" s="2">
        <f>_xlfn.IFNA(VLOOKUP(scheduleapr[[#This Row],[Bucket]],salesforecast[[#All],[Bucket2]:[8406 Stock]],19,0),0)</f>
        <v>0</v>
      </c>
      <c r="V341" s="562">
        <f>_xlfn.IFNA(VLOOKUP(scheduleapr[[#This Row],[Bucket]],salesforecast[[#All],[Bucket2]:[8406 Stock]],20,0),0)+_xlfn.IFNA(VLOOKUP(scheduleapr[[#This Row],[Bucket]],salesforecast[[#All],[Bucket2]:[8406 Stock]],17,0),0)</f>
        <v>0</v>
      </c>
      <c r="W341" s="557"/>
      <c r="X341" s="1">
        <v>31.75</v>
      </c>
      <c r="Y341" s="1">
        <v>31.75</v>
      </c>
      <c r="Z341" s="1">
        <v>0</v>
      </c>
      <c r="AA341" s="1">
        <v>1.2</v>
      </c>
      <c r="AB341" s="24">
        <v>670</v>
      </c>
      <c r="AC341" s="24" t="s">
        <v>397</v>
      </c>
      <c r="AD341" s="24"/>
      <c r="AE341" s="24"/>
      <c r="AF341" s="2">
        <v>12000</v>
      </c>
      <c r="AG341" s="2"/>
      <c r="AH341" s="2" cm="1">
        <f t="array" ref="AH3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1" s="4">
        <f>scheduleapr[[#This Row],[SCHEDULE in nos]]-scheduleapr[[#This Row],[DISPATCH]]</f>
        <v>12000</v>
      </c>
      <c r="AJ341" s="1">
        <f>(3.14*(scheduleapr[[#This Row],[ACTUAL OD]]-scheduleapr[[#This Row],[TICKNESS]])*scheduleapr[[#This Row],[TICKNESS]]*scheduleapr[[#This Row],[LENGTH]]*7.85)/1000000*scheduleapr[[#This Row],[SCHEDULE in nos]]/1000</f>
        <v>7.2652040136000009</v>
      </c>
      <c r="AK341" s="1">
        <f>(3.14*(scheduleapr[[#This Row],[ACTUAL OD]]-scheduleapr[[#This Row],[TICKNESS]])*scheduleapr[[#This Row],[TICKNESS]]*scheduleapr[[#This Row],[LENGTH]]*7.85)/1000000*scheduleapr[[#This Row],[DISPATCH]]/1000</f>
        <v>0</v>
      </c>
      <c r="AL341" s="1">
        <f t="shared" si="13"/>
        <v>7.2652040136000009</v>
      </c>
      <c r="AM341" s="1">
        <f>scheduleapr[[#This Row],[SCHEDULE in nos]]/scheduleapr[[#This Row],[SCHEDULE IN MT]]*scheduleapr[[#This Row],[CTL Stock]]</f>
        <v>0</v>
      </c>
      <c r="AN341" s="1">
        <f>SUMIFS(stock[MT],stock[Bucket],scheduleapr[[#This Row],[Bucket]],stock[CTL Bucket],scheduleapr[[#This Row],[CTL Bucket]],stock[Plant],"0789")</f>
        <v>0</v>
      </c>
      <c r="AO341" s="1"/>
      <c r="AP341" s="1">
        <f>SUMIFS(stock[MT],stock[Bucket],scheduleapr[[#This Row],[Bucket]],stock[LL or CTL],"LL")</f>
        <v>0</v>
      </c>
      <c r="AQ341" s="1">
        <f>+SUMIFS(wip[Stock(Net Wt)],wip[Bucket],scheduleapr[[#This Row],[Bucket]])/1000</f>
        <v>0</v>
      </c>
      <c r="AR341" s="1">
        <f t="shared" si="12"/>
        <v>7.2652040136000009</v>
      </c>
      <c r="AS341" s="118"/>
    </row>
    <row r="342" spans="1:45" x14ac:dyDescent="0.25">
      <c r="A342" s="30">
        <v>242</v>
      </c>
      <c r="B342" s="5" t="s">
        <v>1816</v>
      </c>
      <c r="C342" s="2" t="s">
        <v>310</v>
      </c>
      <c r="D342" s="2" t="s">
        <v>952</v>
      </c>
      <c r="E342" s="2" t="s">
        <v>309</v>
      </c>
      <c r="F342" s="2" t="e">
        <f>_xlfn.CONCAT([2]!scheduleapr[[#This Row],[OD]],"-",[2]!scheduleapr[[#This Row],[ID]],"-",[2]!scheduleapr[[#This Row],[TICKNESS]],"-",[2]!scheduleapr[[#This Row],[LENGTH]])</f>
        <v>#REF!</v>
      </c>
      <c r="G342" s="2" t="e">
        <f>_xlfn.CONCAT(scheduleapr[[#This Row],[CUSTOMER CODE]],"-",scheduleapr[[#This Row],[MATERIAL NO]])</f>
        <v>#REF!</v>
      </c>
      <c r="H342" s="557"/>
      <c r="I342" s="2" t="s">
        <v>962</v>
      </c>
      <c r="J342" s="557"/>
      <c r="K342" s="2" t="s">
        <v>1003</v>
      </c>
      <c r="L342" s="557"/>
      <c r="M342" s="557"/>
      <c r="N342" s="557"/>
      <c r="O342" s="557"/>
      <c r="P342" s="557"/>
      <c r="Q342" s="557" t="str">
        <f>CONCATENATE(scheduleapr[[#This Row],[OD]],"-",scheduleapr[[#This Row],[ID]],"-",scheduleapr[[#This Row],[TICKNESS]],"-",scheduleapr[[#This Row],[Grade]],"-",scheduleapr[[#This Row],[FC/NFC]])</f>
        <v>34.93-0-1.2-ERW 1-FC</v>
      </c>
      <c r="R342" s="557" t="str">
        <f>_xlfn.CONCAT(scheduleapr[[#This Row],[Bucket]],"-",scheduleapr[[#This Row],[LENGTH]]/1000)</f>
        <v>34.93-0-1.2-ERW 1-FC-1</v>
      </c>
      <c r="S342" s="557">
        <f>COUNTIF(scheduleapr[CTL Bucket],scheduleapr[[#This Row],[CTL Bucket]])</f>
        <v>1</v>
      </c>
      <c r="T342" s="2" t="s">
        <v>1816</v>
      </c>
      <c r="U342" s="2"/>
      <c r="V342" s="557"/>
      <c r="W342" s="557"/>
      <c r="X342" s="559">
        <v>34.93</v>
      </c>
      <c r="Y342" s="559">
        <v>34.93</v>
      </c>
      <c r="Z342" s="1">
        <v>0</v>
      </c>
      <c r="AA342" s="1">
        <v>1.2</v>
      </c>
      <c r="AB342" s="24">
        <v>1000</v>
      </c>
      <c r="AC342" s="24" t="s">
        <v>444</v>
      </c>
      <c r="AD342" s="24"/>
      <c r="AE342" s="24"/>
      <c r="AF342" s="2"/>
      <c r="AG342" s="2"/>
      <c r="AH342" s="2" cm="1">
        <f t="array" ref="AH3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2" s="4">
        <f>scheduleapr[[#This Row],[SCHEDULE in nos]]-scheduleapr[[#This Row],[DISPATCH]]</f>
        <v>0</v>
      </c>
      <c r="AJ342" s="1">
        <f>(3.14*(scheduleapr[[#This Row],[ACTUAL OD]]-scheduleapr[[#This Row],[TICKNESS]])*scheduleapr[[#This Row],[TICKNESS]]*scheduleapr[[#This Row],[LENGTH]]*7.85)/1000000*scheduleapr[[#This Row],[SCHEDULE in nos]]/1000</f>
        <v>0</v>
      </c>
      <c r="AK342" s="1">
        <f>(3.14*(scheduleapr[[#This Row],[ACTUAL OD]]-scheduleapr[[#This Row],[TICKNESS]])*scheduleapr[[#This Row],[TICKNESS]]*scheduleapr[[#This Row],[LENGTH]]*7.85)/1000000*scheduleapr[[#This Row],[DISPATCH]]/1000</f>
        <v>0</v>
      </c>
      <c r="AL342" s="1">
        <f t="shared" si="13"/>
        <v>0</v>
      </c>
      <c r="AM342" s="1" t="e">
        <f>scheduleapr[[#This Row],[SCHEDULE in nos]]/scheduleapr[[#This Row],[SCHEDULE IN MT]]*scheduleapr[[#This Row],[CTL Stock]]</f>
        <v>#DIV/0!</v>
      </c>
      <c r="AN342" s="1">
        <f>SUMIFS(stock[MT],stock[Bucket],scheduleapr[[#This Row],[Bucket]],stock[CTL Bucket],scheduleapr[[#This Row],[CTL Bucket]],stock[Plant],"0789")</f>
        <v>0</v>
      </c>
      <c r="AO342" s="1"/>
      <c r="AP342" s="1">
        <f>SUMIFS(stock[MT],stock[Bucket],scheduleapr[[#This Row],[Bucket]],stock[LL or CTL],"LL")</f>
        <v>0</v>
      </c>
      <c r="AQ342" s="1">
        <f>+SUMIFS(wip[Stock(Net Wt)],wip[Bucket],scheduleapr[[#This Row],[Bucket]])/1000</f>
        <v>0</v>
      </c>
      <c r="AR342" s="1">
        <f t="shared" si="12"/>
        <v>0</v>
      </c>
      <c r="AS342" s="118"/>
    </row>
    <row r="343" spans="1:45" x14ac:dyDescent="0.25">
      <c r="A343" s="30">
        <v>279</v>
      </c>
      <c r="B343" s="5" t="s">
        <v>1816</v>
      </c>
      <c r="C343" s="2" t="s">
        <v>307</v>
      </c>
      <c r="D343" s="2" t="s">
        <v>952</v>
      </c>
      <c r="E343" s="2" t="s">
        <v>308</v>
      </c>
      <c r="F343" s="2">
        <v>1940701</v>
      </c>
      <c r="G343" s="2" t="str">
        <f>_xlfn.CONCAT(scheduleapr[[#This Row],[CUSTOMER CODE]],"-",scheduleapr[[#This Row],[MATERIAL NO]])</f>
        <v>189226|930794-1940701</v>
      </c>
      <c r="H343" s="2" t="s">
        <v>1988</v>
      </c>
      <c r="I343" s="2" t="s">
        <v>962</v>
      </c>
      <c r="J343" s="2"/>
      <c r="K343" s="2"/>
      <c r="L343" s="2" t="s">
        <v>239</v>
      </c>
      <c r="M343" s="2"/>
      <c r="N343" s="2"/>
      <c r="O343" s="2"/>
      <c r="P343" s="2"/>
      <c r="Q343" s="557" t="str">
        <f>CONCATENATE(scheduleapr[[#This Row],[OD]],"-",scheduleapr[[#This Row],[ID]],"-",scheduleapr[[#This Row],[TICKNESS]],"-",scheduleapr[[#This Row],[Grade]],"-",scheduleapr[[#This Row],[FC/NFC]])</f>
        <v>34.93-0-1.2-ERW 1-</v>
      </c>
      <c r="R343" s="557" t="str">
        <f>_xlfn.CONCAT(scheduleapr[[#This Row],[Bucket]],"-",scheduleapr[[#This Row],[LENGTH]]/1000)</f>
        <v>34.93-0-1.2-ERW 1--6</v>
      </c>
      <c r="S343" s="557" t="e" vm="2">
        <f>COUNTIF([2]!buckets[CTL Bucket],[2]!scheduleapr[[#This Row],[CTL Bucket]])</f>
        <v>#REF!</v>
      </c>
      <c r="T343" s="557"/>
      <c r="U343" s="557"/>
      <c r="V343" s="557"/>
      <c r="W343" s="557"/>
      <c r="X343" s="1">
        <v>34.93</v>
      </c>
      <c r="Y343" s="1">
        <v>34.93</v>
      </c>
      <c r="Z343" s="1">
        <v>0</v>
      </c>
      <c r="AA343" s="1">
        <v>1.2</v>
      </c>
      <c r="AB343" s="24">
        <v>6000</v>
      </c>
      <c r="AC343" s="24"/>
      <c r="AD343" s="24"/>
      <c r="AE343" s="24"/>
      <c r="AF343" s="2"/>
      <c r="AG343" s="2"/>
      <c r="AH343" s="2" t="e" cm="1">
        <f t="array" ref="AH3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43" s="4" t="e">
        <f>scheduleapr[[#This Row],[SCHEDULE in nos]]-scheduleapr[[#This Row],[DISPATCH]]</f>
        <v>#N/A</v>
      </c>
      <c r="AJ343" s="1">
        <f>(3.14*(scheduleapr[[#This Row],[ACTUAL OD]]-scheduleapr[[#This Row],[TICKNESS]])*scheduleapr[[#This Row],[TICKNESS]]*scheduleapr[[#This Row],[LENGTH]]*7.85)/1000000*scheduleapr[[#This Row],[SCHEDULE in nos]]/1000</f>
        <v>0</v>
      </c>
      <c r="AK343" s="1" t="e">
        <f>(3.14*(scheduleapr[[#This Row],[ACTUAL OD]]-scheduleapr[[#This Row],[TICKNESS]])*scheduleapr[[#This Row],[TICKNESS]]*scheduleapr[[#This Row],[LENGTH]]*7.85)/1000000*scheduleapr[[#This Row],[DISPATCH]]/1000</f>
        <v>#N/A</v>
      </c>
      <c r="AL343" s="1" t="e">
        <f t="shared" si="13"/>
        <v>#N/A</v>
      </c>
      <c r="AM343" s="1" t="e">
        <f>scheduleapr[[#This Row],[SCHEDULE in nos]]/scheduleapr[[#This Row],[SCHEDULE IN MT]]*scheduleapr[[#This Row],[CTL Stock]]</f>
        <v>#DIV/0!</v>
      </c>
      <c r="AN343" s="1">
        <f>SUMIFS(stock[MT],stock[Bucket],scheduleapr[[#This Row],[Bucket]],stock[CTL Bucket],scheduleapr[[#This Row],[CTL Bucket]],stock[Plant],"0789")</f>
        <v>0</v>
      </c>
      <c r="AO343" s="1"/>
      <c r="AP343" s="1">
        <f>SUMIFS(stock[MT],stock[Bucket],scheduleapr[[#This Row],[Bucket]],stock[LL or CTL],"LL")</f>
        <v>0</v>
      </c>
      <c r="AQ343" s="1">
        <f>+SUMIFS(wip[Stock(Net Wt)],wip[Bucket],scheduleapr[[#This Row],[Bucket]])/1000</f>
        <v>0</v>
      </c>
      <c r="AR343" s="1">
        <f t="shared" si="12"/>
        <v>0</v>
      </c>
      <c r="AS343" s="118"/>
    </row>
    <row r="344" spans="1:45" x14ac:dyDescent="0.25">
      <c r="A344" s="30">
        <v>281</v>
      </c>
      <c r="B344" s="5" t="s">
        <v>1816</v>
      </c>
      <c r="C344" s="2" t="s">
        <v>307</v>
      </c>
      <c r="D344" s="2" t="s">
        <v>952</v>
      </c>
      <c r="E344" s="2" t="s">
        <v>308</v>
      </c>
      <c r="F344" s="2">
        <v>1940730</v>
      </c>
      <c r="G344" s="2" t="str">
        <f>_xlfn.CONCAT(scheduleapr[[#This Row],[CUSTOMER CODE]],"-",scheduleapr[[#This Row],[MATERIAL NO]])</f>
        <v>189226|930794-1940730</v>
      </c>
      <c r="H344" s="2" t="s">
        <v>1640</v>
      </c>
      <c r="I344" s="2" t="s">
        <v>962</v>
      </c>
      <c r="J344" s="2"/>
      <c r="K344" s="2" t="s">
        <v>1003</v>
      </c>
      <c r="L344" s="2" t="s">
        <v>239</v>
      </c>
      <c r="M344" s="2"/>
      <c r="N344" s="2"/>
      <c r="O344" s="2"/>
      <c r="P344" s="2"/>
      <c r="Q344" s="557" t="str">
        <f>CONCATENATE(scheduleapr[[#This Row],[OD]],"-",scheduleapr[[#This Row],[ID]],"-",scheduleapr[[#This Row],[TICKNESS]],"-",scheduleapr[[#This Row],[Grade]],"-",scheduleapr[[#This Row],[FC/NFC]])</f>
        <v>38.1-0-1.6-ERW 1-FC</v>
      </c>
      <c r="R344" s="557" t="str">
        <f>_xlfn.CONCAT(scheduleapr[[#This Row],[Bucket]],"-",scheduleapr[[#This Row],[LENGTH]]/1000)</f>
        <v>38.1-0-1.6-ERW 1-FC-0.488</v>
      </c>
      <c r="S344" s="557">
        <f>COUNTIF(scheduleapr[CTL Bucket],scheduleapr[[#This Row],[CTL Bucket]])</f>
        <v>1</v>
      </c>
      <c r="T344" s="2" t="s">
        <v>1816</v>
      </c>
      <c r="U344" s="2">
        <f>_xlfn.IFNA(VLOOKUP(scheduleapr[[#This Row],[Bucket]],salesforecast[[#All],[Bucket2]:[8406 Stock]],19,0),0)</f>
        <v>5.1801770000000005</v>
      </c>
      <c r="V344" s="562">
        <f>_xlfn.IFNA(VLOOKUP(scheduleapr[[#This Row],[Bucket]],salesforecast[[#All],[Bucket2]:[8406 Stock]],20,0),0)+_xlfn.IFNA(VLOOKUP(scheduleapr[[#This Row],[Bucket]],salesforecast[[#All],[Bucket2]:[8406 Stock]],17,0),0)</f>
        <v>6.8281799999999997</v>
      </c>
      <c r="W344" s="557"/>
      <c r="X344" s="1">
        <v>38.1</v>
      </c>
      <c r="Y344" s="1">
        <v>38.1</v>
      </c>
      <c r="Z344" s="1">
        <v>0</v>
      </c>
      <c r="AA344" s="1">
        <v>1.6</v>
      </c>
      <c r="AB344" s="24">
        <v>488</v>
      </c>
      <c r="AC344" s="24" t="s">
        <v>397</v>
      </c>
      <c r="AD344" s="24"/>
      <c r="AE344" s="24"/>
      <c r="AF344" s="2">
        <v>1000</v>
      </c>
      <c r="AG344" s="2"/>
      <c r="AH344" s="2" cm="1">
        <f t="array" ref="AH3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4" s="4">
        <f>scheduleapr[[#This Row],[SCHEDULE in nos]]-scheduleapr[[#This Row],[DISPATCH]]</f>
        <v>1000</v>
      </c>
      <c r="AJ344" s="1">
        <f>(3.14*(scheduleapr[[#This Row],[ACTUAL OD]]-scheduleapr[[#This Row],[TICKNESS]])*scheduleapr[[#This Row],[TICKNESS]]*scheduleapr[[#This Row],[LENGTH]]*7.85)/1000000*scheduleapr[[#This Row],[SCHEDULE in nos]]/1000</f>
        <v>0.70247678079999998</v>
      </c>
      <c r="AK344" s="1">
        <f>(3.14*(scheduleapr[[#This Row],[ACTUAL OD]]-scheduleapr[[#This Row],[TICKNESS]])*scheduleapr[[#This Row],[TICKNESS]]*scheduleapr[[#This Row],[LENGTH]]*7.85)/1000000*scheduleapr[[#This Row],[DISPATCH]]/1000</f>
        <v>0</v>
      </c>
      <c r="AL344" s="1">
        <f t="shared" si="13"/>
        <v>0.70247678079999998</v>
      </c>
      <c r="AM344" s="1">
        <f>scheduleapr[[#This Row],[SCHEDULE in nos]]/scheduleapr[[#This Row],[SCHEDULE IN MT]]*scheduleapr[[#This Row],[CTL Stock]]</f>
        <v>0</v>
      </c>
      <c r="AN344" s="1">
        <f>SUMIFS(stock[MT],stock[Bucket],scheduleapr[[#This Row],[Bucket]],stock[CTL Bucket],scheduleapr[[#This Row],[CTL Bucket]],stock[Plant],"0789")</f>
        <v>0</v>
      </c>
      <c r="AO344" s="1"/>
      <c r="AP344" s="1">
        <f>SUMIFS(stock[MT],stock[Bucket],scheduleapr[[#This Row],[Bucket]],stock[LL or CTL],"LL")</f>
        <v>8.1493570000000002</v>
      </c>
      <c r="AQ344" s="1">
        <f>+SUMIFS(wip[Stock(Net Wt)],wip[Bucket],scheduleapr[[#This Row],[Bucket]])/1000</f>
        <v>0</v>
      </c>
      <c r="AR344" s="1">
        <f t="shared" si="12"/>
        <v>0.70247678079999998</v>
      </c>
      <c r="AS344" s="118"/>
    </row>
    <row r="345" spans="1:45" x14ac:dyDescent="0.25">
      <c r="A345" s="30">
        <v>235</v>
      </c>
      <c r="B345" s="5" t="s">
        <v>1816</v>
      </c>
      <c r="C345" s="2" t="s">
        <v>310</v>
      </c>
      <c r="D345" s="2" t="s">
        <v>952</v>
      </c>
      <c r="E345" s="2" t="s">
        <v>309</v>
      </c>
      <c r="F345" s="2">
        <v>1940731</v>
      </c>
      <c r="G345" s="2" t="str">
        <f>_xlfn.CONCAT(scheduleapr[[#This Row],[CUSTOMER CODE]],"-",scheduleapr[[#This Row],[MATERIAL NO]])</f>
        <v>930801|189227-1940731</v>
      </c>
      <c r="H345" s="2" t="s">
        <v>1642</v>
      </c>
      <c r="I345" s="2" t="s">
        <v>962</v>
      </c>
      <c r="J345" s="2"/>
      <c r="K345" s="2" t="s">
        <v>1003</v>
      </c>
      <c r="L345" s="2" t="s">
        <v>239</v>
      </c>
      <c r="M345" s="2" t="s">
        <v>1891</v>
      </c>
      <c r="N345" s="2"/>
      <c r="O345" s="2"/>
      <c r="P345" s="2"/>
      <c r="Q345" s="557" t="str">
        <f>CONCATENATE(scheduleapr[[#This Row],[OD]],"-",scheduleapr[[#This Row],[ID]],"-",scheduleapr[[#This Row],[TICKNESS]],"-",scheduleapr[[#This Row],[Grade]],"-",scheduleapr[[#This Row],[FC/NFC]])</f>
        <v>38.1-0-1.6-ERW 1-FC</v>
      </c>
      <c r="R345" s="557" t="str">
        <f>_xlfn.CONCAT(scheduleapr[[#This Row],[Bucket]],"-",scheduleapr[[#This Row],[LENGTH]]/1000)</f>
        <v>38.1-0-1.6-ERW 1-FC-0.812</v>
      </c>
      <c r="S345" s="557">
        <f>COUNTIF(scheduleapr[CTL Bucket],scheduleapr[[#This Row],[CTL Bucket]])</f>
        <v>2</v>
      </c>
      <c r="T345" s="2" t="s">
        <v>1816</v>
      </c>
      <c r="U345" s="2">
        <f>_xlfn.IFNA(VLOOKUP(scheduleapr[[#This Row],[Bucket]],salesforecast[[#All],[Bucket2]:[8406 Stock]],19,0),0)</f>
        <v>5.1801770000000005</v>
      </c>
      <c r="V345" s="562">
        <f>_xlfn.IFNA(VLOOKUP(scheduleapr[[#This Row],[Bucket]],salesforecast[[#All],[Bucket2]:[8406 Stock]],20,0),0)+_xlfn.IFNA(VLOOKUP(scheduleapr[[#This Row],[Bucket]],salesforecast[[#All],[Bucket2]:[8406 Stock]],17,0),0)</f>
        <v>6.8281799999999997</v>
      </c>
      <c r="W345" s="557"/>
      <c r="X345" s="1">
        <v>38.1</v>
      </c>
      <c r="Y345" s="1">
        <v>38.1</v>
      </c>
      <c r="Z345" s="6">
        <v>0</v>
      </c>
      <c r="AA345" s="1">
        <v>1.6</v>
      </c>
      <c r="AB345" s="24">
        <v>812</v>
      </c>
      <c r="AC345" s="24" t="s">
        <v>397</v>
      </c>
      <c r="AD345" s="24"/>
      <c r="AE345" s="24"/>
      <c r="AF345" s="2">
        <v>6000</v>
      </c>
      <c r="AG345" s="2"/>
      <c r="AH345" s="2" cm="1">
        <f t="array" ref="AH3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5" s="4">
        <f>scheduleapr[[#This Row],[SCHEDULE in nos]]-scheduleapr[[#This Row],[DISPATCH]]</f>
        <v>6000</v>
      </c>
      <c r="AJ345" s="1">
        <f>(3.14*(scheduleapr[[#This Row],[ACTUAL OD]]-scheduleapr[[#This Row],[TICKNESS]])*scheduleapr[[#This Row],[TICKNESS]]*scheduleapr[[#This Row],[LENGTH]]*7.85)/1000000*scheduleapr[[#This Row],[SCHEDULE in nos]]/1000</f>
        <v>7.0132517951999995</v>
      </c>
      <c r="AK345" s="1">
        <f>(3.14*(scheduleapr[[#This Row],[ACTUAL OD]]-scheduleapr[[#This Row],[TICKNESS]])*scheduleapr[[#This Row],[TICKNESS]]*scheduleapr[[#This Row],[LENGTH]]*7.85)/1000000*scheduleapr[[#This Row],[DISPATCH]]/1000</f>
        <v>0</v>
      </c>
      <c r="AL345" s="1">
        <f t="shared" si="13"/>
        <v>7.0132517951999995</v>
      </c>
      <c r="AM345" s="1">
        <f>scheduleapr[[#This Row],[SCHEDULE in nos]]/scheduleapr[[#This Row],[SCHEDULE IN MT]]*scheduleapr[[#This Row],[CTL Stock]]</f>
        <v>0</v>
      </c>
      <c r="AN345" s="1">
        <f>SUMIFS(stock[MT],stock[Bucket],scheduleapr[[#This Row],[Bucket]],stock[CTL Bucket],scheduleapr[[#This Row],[CTL Bucket]],stock[Plant],"0789")</f>
        <v>0</v>
      </c>
      <c r="AO345" s="1"/>
      <c r="AP345" s="1">
        <f>SUMIFS(stock[MT],stock[Bucket],scheduleapr[[#This Row],[Bucket]],stock[LL or CTL],"LL")</f>
        <v>8.1493570000000002</v>
      </c>
      <c r="AQ345" s="1">
        <f>+SUMIFS(wip[Stock(Net Wt)],wip[Bucket],scheduleapr[[#This Row],[Bucket]])/1000</f>
        <v>0</v>
      </c>
      <c r="AR345" s="1">
        <f t="shared" si="12"/>
        <v>7.0132517951999995</v>
      </c>
      <c r="AS345" s="118"/>
    </row>
    <row r="346" spans="1:45" x14ac:dyDescent="0.25">
      <c r="A346" s="30">
        <v>282</v>
      </c>
      <c r="B346" s="5" t="s">
        <v>1816</v>
      </c>
      <c r="C346" s="2" t="s">
        <v>307</v>
      </c>
      <c r="D346" s="2" t="s">
        <v>952</v>
      </c>
      <c r="E346" s="2" t="s">
        <v>308</v>
      </c>
      <c r="F346" s="2">
        <v>1940731</v>
      </c>
      <c r="G346" s="2" t="str">
        <f>_xlfn.CONCAT(scheduleapr[[#This Row],[CUSTOMER CODE]],"-",scheduleapr[[#This Row],[MATERIAL NO]])</f>
        <v>189226|930794-1940731</v>
      </c>
      <c r="H346" s="2" t="s">
        <v>1642</v>
      </c>
      <c r="I346" s="2" t="s">
        <v>962</v>
      </c>
      <c r="J346" s="2"/>
      <c r="K346" s="2" t="s">
        <v>1003</v>
      </c>
      <c r="L346" s="2" t="s">
        <v>239</v>
      </c>
      <c r="M346" s="2" t="s">
        <v>1891</v>
      </c>
      <c r="N346" s="2"/>
      <c r="O346" s="2"/>
      <c r="P346" s="2"/>
      <c r="Q346" s="557" t="str">
        <f>CONCATENATE(scheduleapr[[#This Row],[OD]],"-",scheduleapr[[#This Row],[ID]],"-",scheduleapr[[#This Row],[TICKNESS]],"-",scheduleapr[[#This Row],[Grade]],"-",scheduleapr[[#This Row],[FC/NFC]])</f>
        <v>38.1-0-1.6-ERW 1-FC</v>
      </c>
      <c r="R346" s="557" t="str">
        <f>_xlfn.CONCAT(scheduleapr[[#This Row],[Bucket]],"-",scheduleapr[[#This Row],[LENGTH]]/1000)</f>
        <v>38.1-0-1.6-ERW 1-FC-0.812</v>
      </c>
      <c r="S346" s="557">
        <f>COUNTIF(scheduleapr[CTL Bucket],scheduleapr[[#This Row],[CTL Bucket]])</f>
        <v>2</v>
      </c>
      <c r="T346" s="557"/>
      <c r="U346" s="2">
        <f>_xlfn.IFNA(VLOOKUP(scheduleapr[[#This Row],[Bucket]],salesforecast[[#All],[Bucket2]:[8406 Stock]],19,0),0)</f>
        <v>5.1801770000000005</v>
      </c>
      <c r="V346" s="562">
        <f>_xlfn.IFNA(VLOOKUP(scheduleapr[[#This Row],[Bucket]],salesforecast[[#All],[Bucket2]:[8406 Stock]],20,0),0)+_xlfn.IFNA(VLOOKUP(scheduleapr[[#This Row],[Bucket]],salesforecast[[#All],[Bucket2]:[8406 Stock]],17,0),0)</f>
        <v>6.8281799999999997</v>
      </c>
      <c r="W346" s="557"/>
      <c r="X346" s="1">
        <v>38.1</v>
      </c>
      <c r="Y346" s="1">
        <v>38.1</v>
      </c>
      <c r="Z346" s="6">
        <v>0</v>
      </c>
      <c r="AA346" s="1">
        <v>1.6</v>
      </c>
      <c r="AB346" s="24">
        <v>812</v>
      </c>
      <c r="AC346" s="24" t="s">
        <v>397</v>
      </c>
      <c r="AD346" s="24"/>
      <c r="AE346" s="24"/>
      <c r="AF346" s="2"/>
      <c r="AG346" s="2"/>
      <c r="AH346" s="2" cm="1">
        <f t="array" ref="AH3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6" s="4">
        <f>scheduleapr[[#This Row],[SCHEDULE in nos]]-scheduleapr[[#This Row],[DISPATCH]]</f>
        <v>0</v>
      </c>
      <c r="AJ346" s="1">
        <f>(3.14*(scheduleapr[[#This Row],[ACTUAL OD]]-scheduleapr[[#This Row],[TICKNESS]])*scheduleapr[[#This Row],[TICKNESS]]*scheduleapr[[#This Row],[LENGTH]]*7.85)/1000000*scheduleapr[[#This Row],[SCHEDULE in nos]]/1000</f>
        <v>0</v>
      </c>
      <c r="AK346" s="1">
        <f>(3.14*(scheduleapr[[#This Row],[ACTUAL OD]]-scheduleapr[[#This Row],[TICKNESS]])*scheduleapr[[#This Row],[TICKNESS]]*scheduleapr[[#This Row],[LENGTH]]*7.85)/1000000*scheduleapr[[#This Row],[DISPATCH]]/1000</f>
        <v>0</v>
      </c>
      <c r="AL346" s="1">
        <f t="shared" si="13"/>
        <v>0</v>
      </c>
      <c r="AM346" s="1" t="e">
        <f>scheduleapr[[#This Row],[SCHEDULE in nos]]/scheduleapr[[#This Row],[SCHEDULE IN MT]]*scheduleapr[[#This Row],[CTL Stock]]</f>
        <v>#DIV/0!</v>
      </c>
      <c r="AN346" s="1">
        <f>SUMIFS(stock[MT],stock[Bucket],scheduleapr[[#This Row],[Bucket]],stock[CTL Bucket],scheduleapr[[#This Row],[CTL Bucket]],stock[Plant],"0789")</f>
        <v>0</v>
      </c>
      <c r="AO346" s="1"/>
      <c r="AP346" s="1">
        <f>SUMIFS(stock[MT],stock[Bucket],scheduleapr[[#This Row],[Bucket]],stock[LL or CTL],"LL")</f>
        <v>8.1493570000000002</v>
      </c>
      <c r="AQ346" s="1">
        <f>+SUMIFS(wip[Stock(Net Wt)],wip[Bucket],scheduleapr[[#This Row],[Bucket]])/1000</f>
        <v>0</v>
      </c>
      <c r="AR346" s="1">
        <f t="shared" si="12"/>
        <v>0</v>
      </c>
      <c r="AS346" s="118"/>
    </row>
    <row r="347" spans="1:45" x14ac:dyDescent="0.25">
      <c r="A347" s="30">
        <v>283</v>
      </c>
      <c r="B347" s="5" t="s">
        <v>1816</v>
      </c>
      <c r="C347" s="2" t="s">
        <v>307</v>
      </c>
      <c r="D347" s="2" t="s">
        <v>952</v>
      </c>
      <c r="E347" s="2" t="s">
        <v>308</v>
      </c>
      <c r="F347" s="2">
        <v>3507790</v>
      </c>
      <c r="G347" s="2" t="str">
        <f>_xlfn.CONCAT(scheduleapr[[#This Row],[CUSTOMER CODE]],"-",scheduleapr[[#This Row],[MATERIAL NO]])</f>
        <v>189226|930794-3507790</v>
      </c>
      <c r="H347" s="2" t="s">
        <v>1989</v>
      </c>
      <c r="I347" s="2" t="s">
        <v>962</v>
      </c>
      <c r="J347" s="2"/>
      <c r="K347" s="2" t="s">
        <v>1003</v>
      </c>
      <c r="L347" s="2" t="s">
        <v>239</v>
      </c>
      <c r="M347" s="2"/>
      <c r="N347" s="2"/>
      <c r="O347" s="2"/>
      <c r="P347" s="2"/>
      <c r="Q347" s="557" t="str">
        <f>CONCATENATE(scheduleapr[[#This Row],[OD]],"-",scheduleapr[[#This Row],[ID]],"-",scheduleapr[[#This Row],[TICKNESS]],"-",scheduleapr[[#This Row],[Grade]],"-",scheduleapr[[#This Row],[FC/NFC]])</f>
        <v>38.1-0-1.6-ERW 1-FC</v>
      </c>
      <c r="R347" s="557" t="str">
        <f>_xlfn.CONCAT(scheduleapr[[#This Row],[Bucket]],"-",scheduleapr[[#This Row],[LENGTH]]/1000)</f>
        <v>38.1-0-1.6-ERW 1-FC-0.815</v>
      </c>
      <c r="S347" s="557" t="e" vm="2">
        <f>COUNTIF([2]!buckets[CTL Bucket],[2]!scheduleapr[[#This Row],[CTL Bucket]])</f>
        <v>#REF!</v>
      </c>
      <c r="T347" s="2" t="s">
        <v>1816</v>
      </c>
      <c r="U347" s="2"/>
      <c r="V347" s="557"/>
      <c r="W347" s="557"/>
      <c r="X347" s="1">
        <v>38.1</v>
      </c>
      <c r="Y347" s="1">
        <v>38.1</v>
      </c>
      <c r="Z347" s="1">
        <v>0</v>
      </c>
      <c r="AA347" s="1">
        <v>1.6</v>
      </c>
      <c r="AB347" s="24">
        <v>815</v>
      </c>
      <c r="AC347" s="24" t="s">
        <v>397</v>
      </c>
      <c r="AD347" s="24"/>
      <c r="AE347" s="24"/>
      <c r="AF347" s="2"/>
      <c r="AG347" s="2"/>
      <c r="AH347" s="2" cm="1">
        <f t="array" ref="AH3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7" s="4">
        <f>scheduleapr[[#This Row],[SCHEDULE in nos]]-scheduleapr[[#This Row],[DISPATCH]]</f>
        <v>0</v>
      </c>
      <c r="AJ347" s="1">
        <f>(3.14*(scheduleapr[[#This Row],[ACTUAL OD]]-scheduleapr[[#This Row],[TICKNESS]])*scheduleapr[[#This Row],[TICKNESS]]*scheduleapr[[#This Row],[LENGTH]]*7.85)/1000000*scheduleapr[[#This Row],[SCHEDULE in nos]]/1000</f>
        <v>0</v>
      </c>
      <c r="AK347" s="1">
        <f>(3.14*(scheduleapr[[#This Row],[ACTUAL OD]]-scheduleapr[[#This Row],[TICKNESS]])*scheduleapr[[#This Row],[TICKNESS]]*scheduleapr[[#This Row],[LENGTH]]*7.85)/1000000*scheduleapr[[#This Row],[DISPATCH]]/1000</f>
        <v>0</v>
      </c>
      <c r="AL347" s="1">
        <f t="shared" si="13"/>
        <v>0</v>
      </c>
      <c r="AM347" s="1" t="e">
        <f>scheduleapr[[#This Row],[SCHEDULE in nos]]/scheduleapr[[#This Row],[SCHEDULE IN MT]]*scheduleapr[[#This Row],[CTL Stock]]</f>
        <v>#DIV/0!</v>
      </c>
      <c r="AN347" s="1">
        <f>SUMIFS(stock[MT],stock[Bucket],scheduleapr[[#This Row],[Bucket]],stock[CTL Bucket],scheduleapr[[#This Row],[CTL Bucket]],stock[Plant],"0789")</f>
        <v>0</v>
      </c>
      <c r="AO347" s="1"/>
      <c r="AP347" s="1">
        <f>SUMIFS(stock[MT],stock[Bucket],scheduleapr[[#This Row],[Bucket]],stock[LL or CTL],"LL")</f>
        <v>8.1493570000000002</v>
      </c>
      <c r="AQ347" s="1">
        <f>+SUMIFS(wip[Stock(Net Wt)],wip[Bucket],scheduleapr[[#This Row],[Bucket]])/1000</f>
        <v>0</v>
      </c>
      <c r="AR347" s="1">
        <f t="shared" si="12"/>
        <v>0</v>
      </c>
      <c r="AS347" s="118"/>
    </row>
    <row r="348" spans="1:45" x14ac:dyDescent="0.25">
      <c r="A348" s="30">
        <v>284</v>
      </c>
      <c r="B348" s="5" t="s">
        <v>1816</v>
      </c>
      <c r="C348" s="2" t="s">
        <v>307</v>
      </c>
      <c r="D348" s="2" t="s">
        <v>952</v>
      </c>
      <c r="E348" s="2" t="s">
        <v>308</v>
      </c>
      <c r="F348" s="2">
        <v>1194658</v>
      </c>
      <c r="G348" s="2" t="str">
        <f>_xlfn.CONCAT(scheduleapr[[#This Row],[CUSTOMER CODE]],"-",scheduleapr[[#This Row],[MATERIAL NO]])</f>
        <v>189226|930794-1194658</v>
      </c>
      <c r="H348" s="2" t="s">
        <v>1990</v>
      </c>
      <c r="I348" s="2" t="s">
        <v>962</v>
      </c>
      <c r="J348" s="2"/>
      <c r="K348" s="2"/>
      <c r="L348" s="2" t="s">
        <v>239</v>
      </c>
      <c r="M348" s="2"/>
      <c r="N348" s="2"/>
      <c r="O348" s="2"/>
      <c r="P348" s="2"/>
      <c r="Q348" s="557" t="str">
        <f>CONCATENATE(scheduleapr[[#This Row],[OD]],"-",scheduleapr[[#This Row],[ID]],"-",scheduleapr[[#This Row],[TICKNESS]],"-",scheduleapr[[#This Row],[Grade]],"-",scheduleapr[[#This Row],[FC/NFC]])</f>
        <v>38.1-0-1.6-ERW 1-</v>
      </c>
      <c r="R348" s="557" t="str">
        <f>_xlfn.CONCAT(scheduleapr[[#This Row],[Bucket]],"-",scheduleapr[[#This Row],[LENGTH]]/1000)</f>
        <v>38.1-0-1.6-ERW 1--0.97</v>
      </c>
      <c r="S348" s="557" t="e" vm="2">
        <f>COUNTIF([2]!buckets[CTL Bucket],[2]!scheduleapr[[#This Row],[CTL Bucket]])</f>
        <v>#REF!</v>
      </c>
      <c r="T348" s="557"/>
      <c r="U348" s="557"/>
      <c r="V348" s="557"/>
      <c r="W348" s="557"/>
      <c r="X348" s="1">
        <v>38.1</v>
      </c>
      <c r="Y348" s="1">
        <v>38.1</v>
      </c>
      <c r="Z348" s="1">
        <v>0</v>
      </c>
      <c r="AA348" s="1">
        <v>1.6</v>
      </c>
      <c r="AB348" s="24">
        <v>970</v>
      </c>
      <c r="AC348" s="24" t="s">
        <v>397</v>
      </c>
      <c r="AD348" s="24"/>
      <c r="AE348" s="24"/>
      <c r="AF348" s="2"/>
      <c r="AG348" s="2"/>
      <c r="AH348" s="2" cm="1">
        <f t="array" ref="AH3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8" s="4">
        <f>scheduleapr[[#This Row],[SCHEDULE in nos]]-scheduleapr[[#This Row],[DISPATCH]]</f>
        <v>0</v>
      </c>
      <c r="AJ348" s="1">
        <f>(3.14*(scheduleapr[[#This Row],[ACTUAL OD]]-scheduleapr[[#This Row],[TICKNESS]])*scheduleapr[[#This Row],[TICKNESS]]*scheduleapr[[#This Row],[LENGTH]]*7.85)/1000000*scheduleapr[[#This Row],[SCHEDULE in nos]]/1000</f>
        <v>0</v>
      </c>
      <c r="AK348" s="1">
        <f>(3.14*(scheduleapr[[#This Row],[ACTUAL OD]]-scheduleapr[[#This Row],[TICKNESS]])*scheduleapr[[#This Row],[TICKNESS]]*scheduleapr[[#This Row],[LENGTH]]*7.85)/1000000*scheduleapr[[#This Row],[DISPATCH]]/1000</f>
        <v>0</v>
      </c>
      <c r="AL348" s="1">
        <f t="shared" si="13"/>
        <v>0</v>
      </c>
      <c r="AM348" s="1" t="e">
        <f>scheduleapr[[#This Row],[SCHEDULE in nos]]/scheduleapr[[#This Row],[SCHEDULE IN MT]]*scheduleapr[[#This Row],[CTL Stock]]</f>
        <v>#DIV/0!</v>
      </c>
      <c r="AN348" s="1">
        <f>SUMIFS(stock[MT],stock[Bucket],scheduleapr[[#This Row],[Bucket]],stock[CTL Bucket],scheduleapr[[#This Row],[CTL Bucket]],stock[Plant],"0789")</f>
        <v>0</v>
      </c>
      <c r="AO348" s="1"/>
      <c r="AP348" s="1">
        <f>SUMIFS(stock[MT],stock[Bucket],scheduleapr[[#This Row],[Bucket]],stock[LL or CTL],"LL")</f>
        <v>0</v>
      </c>
      <c r="AQ348" s="1">
        <f>+SUMIFS(wip[Stock(Net Wt)],wip[Bucket],scheduleapr[[#This Row],[Bucket]])/1000</f>
        <v>0</v>
      </c>
      <c r="AR348" s="1">
        <f t="shared" si="12"/>
        <v>0</v>
      </c>
      <c r="AS348" s="118"/>
    </row>
    <row r="349" spans="1:45" x14ac:dyDescent="0.25">
      <c r="A349" s="30">
        <v>236</v>
      </c>
      <c r="B349" s="5" t="s">
        <v>1816</v>
      </c>
      <c r="C349" s="2" t="s">
        <v>310</v>
      </c>
      <c r="D349" s="2" t="s">
        <v>952</v>
      </c>
      <c r="E349" s="2" t="s">
        <v>309</v>
      </c>
      <c r="F349" s="2">
        <v>3509030</v>
      </c>
      <c r="G349" s="2" t="str">
        <f>_xlfn.CONCAT(scheduleapr[[#This Row],[CUSTOMER CODE]],"-",scheduleapr[[#This Row],[MATERIAL NO]])</f>
        <v>930801|189227-3509030</v>
      </c>
      <c r="H349" s="2" t="s">
        <v>1991</v>
      </c>
      <c r="I349" s="2" t="s">
        <v>962</v>
      </c>
      <c r="J349" s="2"/>
      <c r="K349" s="2" t="s">
        <v>1003</v>
      </c>
      <c r="L349" s="2" t="s">
        <v>239</v>
      </c>
      <c r="M349" s="2"/>
      <c r="N349" s="2"/>
      <c r="O349" s="2"/>
      <c r="P349" s="2"/>
      <c r="Q349" s="557" t="str">
        <f>CONCATENATE(scheduleapr[[#This Row],[OD]],"-",scheduleapr[[#This Row],[ID]],"-",scheduleapr[[#This Row],[TICKNESS]],"-",scheduleapr[[#This Row],[Grade]],"-",scheduleapr[[#This Row],[FC/NFC]])</f>
        <v>38.1-0-2-ERW 1-FC</v>
      </c>
      <c r="R349" s="557" t="str">
        <f>_xlfn.CONCAT(scheduleapr[[#This Row],[Bucket]],"-",scheduleapr[[#This Row],[LENGTH]]/1000)</f>
        <v>38.1-0-2-ERW 1-FC-0.406</v>
      </c>
      <c r="S349" s="557">
        <f>COUNTIF(scheduleapr[CTL Bucket],scheduleapr[[#This Row],[CTL Bucket]])</f>
        <v>1</v>
      </c>
      <c r="T349" s="2" t="s">
        <v>1816</v>
      </c>
      <c r="U349" s="2">
        <f>_xlfn.IFNA(VLOOKUP(scheduleapr[[#This Row],[Bucket]],salesforecast[[#All],[Bucket2]:[8406 Stock]],19,0),0)</f>
        <v>30.650651000000007</v>
      </c>
      <c r="V349" s="562">
        <f>_xlfn.IFNA(VLOOKUP(scheduleapr[[#This Row],[Bucket]],salesforecast[[#All],[Bucket2]:[8406 Stock]],20,0),0)+_xlfn.IFNA(VLOOKUP(scheduleapr[[#This Row],[Bucket]],salesforecast[[#All],[Bucket2]:[8406 Stock]],17,0),0)</f>
        <v>56.27259699999999</v>
      </c>
      <c r="W349" s="557"/>
      <c r="X349" s="1">
        <v>38.1</v>
      </c>
      <c r="Y349" s="1">
        <v>38.1</v>
      </c>
      <c r="Z349" s="6">
        <v>0</v>
      </c>
      <c r="AA349" s="1">
        <v>2</v>
      </c>
      <c r="AB349" s="24">
        <v>406</v>
      </c>
      <c r="AC349" s="24" t="s">
        <v>397</v>
      </c>
      <c r="AD349" s="24"/>
      <c r="AE349" s="24"/>
      <c r="AF349" s="2">
        <v>16000</v>
      </c>
      <c r="AG349" s="2"/>
      <c r="AH349" s="2" cm="1">
        <f t="array" ref="AH3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9" s="4">
        <f>scheduleapr[[#This Row],[SCHEDULE in nos]]-scheduleapr[[#This Row],[DISPATCH]]</f>
        <v>16000</v>
      </c>
      <c r="AJ349" s="1">
        <f>(3.14*(scheduleapr[[#This Row],[ACTUAL OD]]-scheduleapr[[#This Row],[TICKNESS]])*scheduleapr[[#This Row],[TICKNESS]]*scheduleapr[[#This Row],[LENGTH]]*7.85)/1000000*scheduleapr[[#This Row],[SCHEDULE in nos]]/1000</f>
        <v>11.560657068800001</v>
      </c>
      <c r="AK349" s="1">
        <f>(3.14*(scheduleapr[[#This Row],[ACTUAL OD]]-scheduleapr[[#This Row],[TICKNESS]])*scheduleapr[[#This Row],[TICKNESS]]*scheduleapr[[#This Row],[LENGTH]]*7.85)/1000000*scheduleapr[[#This Row],[DISPATCH]]/1000</f>
        <v>0</v>
      </c>
      <c r="AL349" s="1">
        <f t="shared" si="13"/>
        <v>11.560657068800001</v>
      </c>
      <c r="AM349" s="1">
        <f>scheduleapr[[#This Row],[SCHEDULE in nos]]/scheduleapr[[#This Row],[SCHEDULE IN MT]]*scheduleapr[[#This Row],[CTL Stock]]</f>
        <v>1228.9958879884666</v>
      </c>
      <c r="AN349" s="1">
        <f>SUMIFS(stock[MT],stock[Bucket],scheduleapr[[#This Row],[Bucket]],stock[CTL Bucket],scheduleapr[[#This Row],[CTL Bucket]],stock[Plant],"0789")</f>
        <v>0.88800000000000001</v>
      </c>
      <c r="AO349" s="1"/>
      <c r="AP349" s="1">
        <f>SUMIFS(stock[MT],stock[Bucket],scheduleapr[[#This Row],[Bucket]],stock[LL or CTL],"LL")</f>
        <v>85.281796</v>
      </c>
      <c r="AQ349" s="1">
        <f>+SUMIFS(wip[Stock(Net Wt)],wip[Bucket],scheduleapr[[#This Row],[Bucket]])/1000</f>
        <v>1.9950000000000001</v>
      </c>
      <c r="AR349" s="1">
        <f t="shared" si="12"/>
        <v>10.672657068800001</v>
      </c>
      <c r="AS349" s="118"/>
    </row>
    <row r="350" spans="1:45" x14ac:dyDescent="0.25">
      <c r="A350" s="30">
        <v>285</v>
      </c>
      <c r="B350" s="5" t="s">
        <v>1816</v>
      </c>
      <c r="C350" s="2" t="s">
        <v>307</v>
      </c>
      <c r="D350" s="2" t="s">
        <v>952</v>
      </c>
      <c r="E350" s="2" t="s">
        <v>308</v>
      </c>
      <c r="F350" s="2">
        <v>1940738</v>
      </c>
      <c r="G350" s="2" t="str">
        <f>_xlfn.CONCAT(scheduleapr[[#This Row],[CUSTOMER CODE]],"-",scheduleapr[[#This Row],[MATERIAL NO]])</f>
        <v>189226|930794-1940738</v>
      </c>
      <c r="H350" s="2" t="s">
        <v>863</v>
      </c>
      <c r="I350" s="2" t="s">
        <v>962</v>
      </c>
      <c r="J350" s="2"/>
      <c r="K350" s="2" t="s">
        <v>1003</v>
      </c>
      <c r="L350" s="2" t="s">
        <v>239</v>
      </c>
      <c r="M350" s="2"/>
      <c r="N350" s="2"/>
      <c r="O350" s="2"/>
      <c r="P350" s="2"/>
      <c r="Q350" s="557" t="str">
        <f>CONCATENATE(scheduleapr[[#This Row],[OD]],"-",scheduleapr[[#This Row],[ID]],"-",scheduleapr[[#This Row],[TICKNESS]],"-",scheduleapr[[#This Row],[Grade]],"-",scheduleapr[[#This Row],[FC/NFC]])</f>
        <v>38.1-0-2-ERW 1-FC</v>
      </c>
      <c r="R350" s="557" t="str">
        <f>_xlfn.CONCAT(scheduleapr[[#This Row],[Bucket]],"-",scheduleapr[[#This Row],[LENGTH]]/1000)</f>
        <v>38.1-0-2-ERW 1-FC-0.425</v>
      </c>
      <c r="S350" s="557">
        <f>COUNTIF(scheduleapr[CTL Bucket],scheduleapr[[#This Row],[CTL Bucket]])</f>
        <v>1</v>
      </c>
      <c r="T350" s="2" t="s">
        <v>1816</v>
      </c>
      <c r="U350" s="2">
        <f>_xlfn.IFNA(VLOOKUP(scheduleapr[[#This Row],[Bucket]],salesforecast[[#All],[Bucket2]:[8406 Stock]],19,0),0)</f>
        <v>30.650651000000007</v>
      </c>
      <c r="V350" s="557"/>
      <c r="W350" s="557"/>
      <c r="X350" s="1">
        <v>38.1</v>
      </c>
      <c r="Y350" s="1">
        <v>38.1</v>
      </c>
      <c r="Z350" s="1">
        <v>0</v>
      </c>
      <c r="AA350" s="1">
        <v>2</v>
      </c>
      <c r="AB350" s="24">
        <v>425</v>
      </c>
      <c r="AC350" s="24" t="s">
        <v>397</v>
      </c>
      <c r="AD350" s="24"/>
      <c r="AE350" s="24"/>
      <c r="AF350" s="2">
        <v>9000</v>
      </c>
      <c r="AG350" s="2"/>
      <c r="AH350" s="2" cm="1">
        <f t="array" ref="AH3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12000</v>
      </c>
      <c r="AI350" s="4">
        <f>scheduleapr[[#This Row],[SCHEDULE in nos]]-scheduleapr[[#This Row],[DISPATCH]]</f>
        <v>-3000</v>
      </c>
      <c r="AJ350" s="1">
        <f>(3.14*(scheduleapr[[#This Row],[ACTUAL OD]]-scheduleapr[[#This Row],[TICKNESS]])*scheduleapr[[#This Row],[TICKNESS]]*scheduleapr[[#This Row],[LENGTH]]*7.85)/1000000*scheduleapr[[#This Row],[SCHEDULE in nos]]/1000</f>
        <v>6.8071910850000004</v>
      </c>
      <c r="AK350" s="1">
        <f>(3.14*(scheduleapr[[#This Row],[ACTUAL OD]]-scheduleapr[[#This Row],[TICKNESS]])*scheduleapr[[#This Row],[TICKNESS]]*scheduleapr[[#This Row],[LENGTH]]*7.85)/1000000*scheduleapr[[#This Row],[DISPATCH]]/1000</f>
        <v>9.0762547800000011</v>
      </c>
      <c r="AL350" s="1">
        <f t="shared" si="13"/>
        <v>-2.2690636950000007</v>
      </c>
      <c r="AM350" s="1">
        <f>scheduleapr[[#This Row],[SCHEDULE in nos]]/scheduleapr[[#This Row],[SCHEDULE IN MT]]*scheduleapr[[#This Row],[CTL Stock]]</f>
        <v>0</v>
      </c>
      <c r="AN350" s="1">
        <f>SUMIFS(stock[MT],stock[Bucket],scheduleapr[[#This Row],[Bucket]],stock[CTL Bucket],scheduleapr[[#This Row],[CTL Bucket]],stock[Plant],"0789")</f>
        <v>0</v>
      </c>
      <c r="AO350" s="1"/>
      <c r="AP350" s="1">
        <f>SUMIFS(stock[MT],stock[Bucket],scheduleapr[[#This Row],[Bucket]],stock[LL or CTL],"LL")</f>
        <v>85.281796</v>
      </c>
      <c r="AQ350" s="1">
        <f>+SUMIFS(wip[Stock(Net Wt)],wip[Bucket],scheduleapr[[#This Row],[Bucket]])/1000</f>
        <v>1.9950000000000001</v>
      </c>
      <c r="AR350" s="1">
        <f t="shared" si="12"/>
        <v>6.8071910850000004</v>
      </c>
      <c r="AS350" s="118"/>
    </row>
    <row r="351" spans="1:45" x14ac:dyDescent="0.25">
      <c r="A351" s="30">
        <v>286</v>
      </c>
      <c r="B351" s="5" t="s">
        <v>1816</v>
      </c>
      <c r="C351" s="2" t="s">
        <v>307</v>
      </c>
      <c r="D351" s="2" t="s">
        <v>952</v>
      </c>
      <c r="E351" s="2" t="s">
        <v>308</v>
      </c>
      <c r="F351" s="2">
        <v>1940739</v>
      </c>
      <c r="G351" s="2" t="str">
        <f>_xlfn.CONCAT(scheduleapr[[#This Row],[CUSTOMER CODE]],"-",scheduleapr[[#This Row],[MATERIAL NO]])</f>
        <v>189226|930794-1940739</v>
      </c>
      <c r="H351" s="2" t="s">
        <v>1649</v>
      </c>
      <c r="I351" s="2" t="s">
        <v>962</v>
      </c>
      <c r="J351" s="2"/>
      <c r="K351" s="2" t="s">
        <v>1003</v>
      </c>
      <c r="L351" s="2" t="s">
        <v>239</v>
      </c>
      <c r="M351" s="2"/>
      <c r="N351" s="2"/>
      <c r="O351" s="2"/>
      <c r="P351" s="2"/>
      <c r="Q351" s="557" t="str">
        <f>CONCATENATE(scheduleapr[[#This Row],[OD]],"-",scheduleapr[[#This Row],[ID]],"-",scheduleapr[[#This Row],[TICKNESS]],"-",scheduleapr[[#This Row],[Grade]],"-",scheduleapr[[#This Row],[FC/NFC]])</f>
        <v>38.1-0-2-ERW 1-FC</v>
      </c>
      <c r="R351" s="557" t="str">
        <f>_xlfn.CONCAT(scheduleapr[[#This Row],[Bucket]],"-",scheduleapr[[#This Row],[LENGTH]]/1000)</f>
        <v>38.1-0-2-ERW 1-FC-0.488</v>
      </c>
      <c r="S351" s="557">
        <f>COUNTIF(scheduleapr[CTL Bucket],scheduleapr[[#This Row],[CTL Bucket]])</f>
        <v>1</v>
      </c>
      <c r="T351" s="2" t="s">
        <v>1816</v>
      </c>
      <c r="U351" s="2">
        <f>_xlfn.IFNA(VLOOKUP(scheduleapr[[#This Row],[Bucket]],salesforecast[[#All],[Bucket2]:[8406 Stock]],19,0),0)</f>
        <v>30.650651000000007</v>
      </c>
      <c r="V351" s="562">
        <f>_xlfn.IFNA(VLOOKUP(scheduleapr[[#This Row],[Bucket]],salesforecast[[#All],[Bucket2]:[8406 Stock]],20,0),0)+_xlfn.IFNA(VLOOKUP(scheduleapr[[#This Row],[Bucket]],salesforecast[[#All],[Bucket2]:[8406 Stock]],17,0),0)</f>
        <v>56.27259699999999</v>
      </c>
      <c r="W351" s="557"/>
      <c r="X351" s="1">
        <v>38.1</v>
      </c>
      <c r="Y351" s="1">
        <v>38.1</v>
      </c>
      <c r="Z351" s="1">
        <v>0</v>
      </c>
      <c r="AA351" s="1">
        <v>2</v>
      </c>
      <c r="AB351" s="24">
        <v>488</v>
      </c>
      <c r="AC351" s="24" t="s">
        <v>397</v>
      </c>
      <c r="AD351" s="24"/>
      <c r="AE351" s="24"/>
      <c r="AF351" s="2">
        <v>6000</v>
      </c>
      <c r="AG351" s="2"/>
      <c r="AH351" s="2" cm="1">
        <f t="array" ref="AH3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1" s="4">
        <f>scheduleapr[[#This Row],[SCHEDULE in nos]]-scheduleapr[[#This Row],[DISPATCH]]</f>
        <v>6000</v>
      </c>
      <c r="AJ351" s="1">
        <f>(3.14*(scheduleapr[[#This Row],[ACTUAL OD]]-scheduleapr[[#This Row],[TICKNESS]])*scheduleapr[[#This Row],[TICKNESS]]*scheduleapr[[#This Row],[LENGTH]]*7.85)/1000000*scheduleapr[[#This Row],[SCHEDULE in nos]]/1000</f>
        <v>5.2108380384000004</v>
      </c>
      <c r="AK351" s="1">
        <f>(3.14*(scheduleapr[[#This Row],[ACTUAL OD]]-scheduleapr[[#This Row],[TICKNESS]])*scheduleapr[[#This Row],[TICKNESS]]*scheduleapr[[#This Row],[LENGTH]]*7.85)/1000000*scheduleapr[[#This Row],[DISPATCH]]/1000</f>
        <v>0</v>
      </c>
      <c r="AL351" s="1">
        <f t="shared" si="13"/>
        <v>5.2108380384000004</v>
      </c>
      <c r="AM351" s="1">
        <f>scheduleapr[[#This Row],[SCHEDULE in nos]]/scheduleapr[[#This Row],[SCHEDULE IN MT]]*scheduleapr[[#This Row],[CTL Stock]]</f>
        <v>0</v>
      </c>
      <c r="AN351" s="1">
        <f>SUMIFS(stock[MT],stock[Bucket],scheduleapr[[#This Row],[Bucket]],stock[CTL Bucket],scheduleapr[[#This Row],[CTL Bucket]],stock[Plant],"0789")</f>
        <v>0</v>
      </c>
      <c r="AO351" s="1"/>
      <c r="AP351" s="1">
        <f>SUMIFS(stock[MT],stock[Bucket],scheduleapr[[#This Row],[Bucket]],stock[LL or CTL],"LL")</f>
        <v>85.281796</v>
      </c>
      <c r="AQ351" s="1">
        <f>+SUMIFS(wip[Stock(Net Wt)],wip[Bucket],scheduleapr[[#This Row],[Bucket]])/1000</f>
        <v>1.9950000000000001</v>
      </c>
      <c r="AR351" s="1">
        <f t="shared" si="12"/>
        <v>5.2108380384000004</v>
      </c>
      <c r="AS351" s="118"/>
    </row>
    <row r="352" spans="1:45" x14ac:dyDescent="0.25">
      <c r="A352" s="30">
        <v>237</v>
      </c>
      <c r="B352" s="5" t="s">
        <v>1816</v>
      </c>
      <c r="C352" s="2" t="s">
        <v>310</v>
      </c>
      <c r="D352" s="2" t="s">
        <v>952</v>
      </c>
      <c r="E352" s="2" t="s">
        <v>309</v>
      </c>
      <c r="F352" s="2">
        <v>1940743</v>
      </c>
      <c r="G352" s="2" t="str">
        <f>_xlfn.CONCAT(scheduleapr[[#This Row],[CUSTOMER CODE]],"-",scheduleapr[[#This Row],[MATERIAL NO]])</f>
        <v>930801|189227-1940743</v>
      </c>
      <c r="H352" s="2" t="s">
        <v>867</v>
      </c>
      <c r="I352" s="2" t="s">
        <v>962</v>
      </c>
      <c r="J352" s="2"/>
      <c r="K352" s="2" t="s">
        <v>1003</v>
      </c>
      <c r="L352" s="2" t="s">
        <v>239</v>
      </c>
      <c r="M352" s="2"/>
      <c r="N352" s="2"/>
      <c r="O352" s="2"/>
      <c r="P352" s="2"/>
      <c r="Q352" s="557" t="str">
        <f>CONCATENATE(scheduleapr[[#This Row],[OD]],"-",scheduleapr[[#This Row],[ID]],"-",scheduleapr[[#This Row],[TICKNESS]],"-",scheduleapr[[#This Row],[Grade]],"-",scheduleapr[[#This Row],[FC/NFC]])</f>
        <v>38.1-0-2-ERW 1-FC</v>
      </c>
      <c r="R352" s="557" t="str">
        <f>_xlfn.CONCAT(scheduleapr[[#This Row],[Bucket]],"-",scheduleapr[[#This Row],[LENGTH]]/1000)</f>
        <v>38.1-0-2-ERW 1-FC-0.812</v>
      </c>
      <c r="S352" s="557">
        <f>COUNTIF(scheduleapr[CTL Bucket],scheduleapr[[#This Row],[CTL Bucket]])</f>
        <v>3</v>
      </c>
      <c r="T352" s="2" t="s">
        <v>1816</v>
      </c>
      <c r="U352" s="2">
        <f>_xlfn.IFNA(VLOOKUP(scheduleapr[[#This Row],[Bucket]],salesforecast[[#All],[Bucket2]:[8406 Stock]],19,0),0)</f>
        <v>30.650651000000007</v>
      </c>
      <c r="V352" s="562">
        <f>_xlfn.IFNA(VLOOKUP(scheduleapr[[#This Row],[Bucket]],salesforecast[[#All],[Bucket2]:[8406 Stock]],20,0),0)+_xlfn.IFNA(VLOOKUP(scheduleapr[[#This Row],[Bucket]],salesforecast[[#All],[Bucket2]:[8406 Stock]],17,0),0)</f>
        <v>56.27259699999999</v>
      </c>
      <c r="W352" s="557"/>
      <c r="X352" s="1">
        <v>38.1</v>
      </c>
      <c r="Y352" s="1">
        <v>38.1</v>
      </c>
      <c r="Z352" s="6">
        <v>0</v>
      </c>
      <c r="AA352" s="1">
        <v>2</v>
      </c>
      <c r="AB352" s="24">
        <v>812</v>
      </c>
      <c r="AC352" s="24" t="s">
        <v>397</v>
      </c>
      <c r="AD352" s="24"/>
      <c r="AE352" s="24"/>
      <c r="AF352" s="2">
        <v>6000</v>
      </c>
      <c r="AG352" s="2"/>
      <c r="AH352" s="2" cm="1">
        <f t="array" ref="AH3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2" s="4">
        <f>scheduleapr[[#This Row],[SCHEDULE in nos]]-scheduleapr[[#This Row],[DISPATCH]]</f>
        <v>6000</v>
      </c>
      <c r="AJ352" s="1">
        <f>(3.14*(scheduleapr[[#This Row],[ACTUAL OD]]-scheduleapr[[#This Row],[TICKNESS]])*scheduleapr[[#This Row],[TICKNESS]]*scheduleapr[[#This Row],[LENGTH]]*7.85)/1000000*scheduleapr[[#This Row],[SCHEDULE in nos]]/1000</f>
        <v>8.6704928016000018</v>
      </c>
      <c r="AK352" s="1">
        <f>(3.14*(scheduleapr[[#This Row],[ACTUAL OD]]-scheduleapr[[#This Row],[TICKNESS]])*scheduleapr[[#This Row],[TICKNESS]]*scheduleapr[[#This Row],[LENGTH]]*7.85)/1000000*scheduleapr[[#This Row],[DISPATCH]]/1000</f>
        <v>0</v>
      </c>
      <c r="AL352" s="1">
        <f t="shared" si="13"/>
        <v>8.6704928016000018</v>
      </c>
      <c r="AM352" s="1">
        <f>scheduleapr[[#This Row],[SCHEDULE in nos]]/scheduleapr[[#This Row],[SCHEDULE IN MT]]*scheduleapr[[#This Row],[CTL Stock]]</f>
        <v>0</v>
      </c>
      <c r="AN352" s="1">
        <f>SUMIFS(stock[MT],stock[Bucket],scheduleapr[[#This Row],[Bucket]],stock[CTL Bucket],scheduleapr[[#This Row],[CTL Bucket]],stock[Plant],"0789")</f>
        <v>0</v>
      </c>
      <c r="AO352" s="1"/>
      <c r="AP352" s="1">
        <f>SUMIFS(stock[MT],stock[Bucket],scheduleapr[[#This Row],[Bucket]],stock[LL or CTL],"LL")</f>
        <v>85.281796</v>
      </c>
      <c r="AQ352" s="1">
        <f>+SUMIFS(wip[Stock(Net Wt)],wip[Bucket],scheduleapr[[#This Row],[Bucket]])/1000</f>
        <v>1.9950000000000001</v>
      </c>
      <c r="AR352" s="1">
        <f t="shared" si="12"/>
        <v>8.6704928016000018</v>
      </c>
      <c r="AS352" s="118"/>
    </row>
    <row r="353" spans="1:45" x14ac:dyDescent="0.25">
      <c r="A353" s="30">
        <v>287</v>
      </c>
      <c r="B353" s="5" t="s">
        <v>1816</v>
      </c>
      <c r="C353" s="2" t="s">
        <v>307</v>
      </c>
      <c r="D353" s="2" t="s">
        <v>952</v>
      </c>
      <c r="E353" s="2" t="s">
        <v>308</v>
      </c>
      <c r="F353" s="2">
        <v>1940743</v>
      </c>
      <c r="G353" s="2" t="str">
        <f>_xlfn.CONCAT(scheduleapr[[#This Row],[CUSTOMER CODE]],"-",scheduleapr[[#This Row],[MATERIAL NO]])</f>
        <v>189226|930794-1940743</v>
      </c>
      <c r="H353" s="2" t="s">
        <v>867</v>
      </c>
      <c r="I353" s="2" t="s">
        <v>962</v>
      </c>
      <c r="J353" s="2"/>
      <c r="K353" s="2" t="s">
        <v>1003</v>
      </c>
      <c r="L353" s="2" t="s">
        <v>239</v>
      </c>
      <c r="M353" s="2"/>
      <c r="N353" s="2"/>
      <c r="O353" s="2"/>
      <c r="P353" s="2"/>
      <c r="Q353" s="557" t="str">
        <f>CONCATENATE(scheduleapr[[#This Row],[OD]],"-",scheduleapr[[#This Row],[ID]],"-",scheduleapr[[#This Row],[TICKNESS]],"-",scheduleapr[[#This Row],[Grade]],"-",scheduleapr[[#This Row],[FC/NFC]])</f>
        <v>38.1-0-2-ERW 1-FC</v>
      </c>
      <c r="R353" s="557" t="str">
        <f>_xlfn.CONCAT(scheduleapr[[#This Row],[Bucket]],"-",scheduleapr[[#This Row],[LENGTH]]/1000)</f>
        <v>38.1-0-2-ERW 1-FC-0.812</v>
      </c>
      <c r="S353" s="557">
        <f>COUNTIF(scheduleapr[CTL Bucket],scheduleapr[[#This Row],[CTL Bucket]])</f>
        <v>3</v>
      </c>
      <c r="T353" s="2" t="s">
        <v>1816</v>
      </c>
      <c r="U353" s="2">
        <f>_xlfn.IFNA(VLOOKUP(scheduleapr[[#This Row],[Bucket]],salesforecast[[#All],[Bucket2]:[8406 Stock]],19,0),0)</f>
        <v>30.650651000000007</v>
      </c>
      <c r="V353" s="562">
        <f>_xlfn.IFNA(VLOOKUP(scheduleapr[[#This Row],[Bucket]],salesforecast[[#All],[Bucket2]:[8406 Stock]],20,0),0)+_xlfn.IFNA(VLOOKUP(scheduleapr[[#This Row],[Bucket]],salesforecast[[#All],[Bucket2]:[8406 Stock]],17,0),0)</f>
        <v>56.27259699999999</v>
      </c>
      <c r="W353" s="557"/>
      <c r="X353" s="1">
        <v>38.1</v>
      </c>
      <c r="Y353" s="1">
        <v>38.1</v>
      </c>
      <c r="Z353" s="6">
        <v>0</v>
      </c>
      <c r="AA353" s="1">
        <v>2</v>
      </c>
      <c r="AB353" s="24">
        <v>812</v>
      </c>
      <c r="AC353" s="24" t="s">
        <v>397</v>
      </c>
      <c r="AD353" s="24"/>
      <c r="AE353" s="24"/>
      <c r="AF353" s="2">
        <v>18000</v>
      </c>
      <c r="AG353" s="2"/>
      <c r="AH353" s="2" cm="1">
        <f t="array" ref="AH3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21458</v>
      </c>
      <c r="AI353" s="4">
        <f>scheduleapr[[#This Row],[SCHEDULE in nos]]-scheduleapr[[#This Row],[DISPATCH]]</f>
        <v>-3458</v>
      </c>
      <c r="AJ353" s="1">
        <f>(3.14*(scheduleapr[[#This Row],[ACTUAL OD]]-scheduleapr[[#This Row],[TICKNESS]])*scheduleapr[[#This Row],[TICKNESS]]*scheduleapr[[#This Row],[LENGTH]]*7.85)/1000000*scheduleapr[[#This Row],[SCHEDULE in nos]]/1000</f>
        <v>26.011478404800005</v>
      </c>
      <c r="AK353" s="1">
        <f>(3.14*(scheduleapr[[#This Row],[ACTUAL OD]]-scheduleapr[[#This Row],[TICKNESS]])*scheduleapr[[#This Row],[TICKNESS]]*scheduleapr[[#This Row],[LENGTH]]*7.85)/1000000*scheduleapr[[#This Row],[DISPATCH]]/1000</f>
        <v>31.008572422788802</v>
      </c>
      <c r="AL353" s="1">
        <f t="shared" si="13"/>
        <v>-4.9970940179887968</v>
      </c>
      <c r="AM353" s="1">
        <f>scheduleapr[[#This Row],[SCHEDULE in nos]]/scheduleapr[[#This Row],[SCHEDULE IN MT]]*scheduleapr[[#This Row],[CTL Stock]]</f>
        <v>0</v>
      </c>
      <c r="AN353" s="1">
        <f>SUMIFS(stock[MT],stock[Bucket],scheduleapr[[#This Row],[Bucket]],stock[CTL Bucket],scheduleapr[[#This Row],[CTL Bucket]],stock[Plant],"0789")</f>
        <v>0</v>
      </c>
      <c r="AO353" s="1"/>
      <c r="AP353" s="1">
        <f>SUMIFS(stock[MT],stock[Bucket],scheduleapr[[#This Row],[Bucket]],stock[LL or CTL],"LL")</f>
        <v>85.281796</v>
      </c>
      <c r="AQ353" s="1">
        <f>+SUMIFS(wip[Stock(Net Wt)],wip[Bucket],scheduleapr[[#This Row],[Bucket]])/1000</f>
        <v>1.9950000000000001</v>
      </c>
      <c r="AR353" s="1">
        <f t="shared" si="12"/>
        <v>26.011478404800005</v>
      </c>
      <c r="AS353" s="118"/>
    </row>
    <row r="354" spans="1:45" x14ac:dyDescent="0.25">
      <c r="A354" s="30">
        <v>238</v>
      </c>
      <c r="B354" s="5" t="s">
        <v>1816</v>
      </c>
      <c r="C354" s="2" t="s">
        <v>310</v>
      </c>
      <c r="D354" s="2" t="s">
        <v>952</v>
      </c>
      <c r="E354" s="2" t="s">
        <v>309</v>
      </c>
      <c r="F354" s="2" t="e">
        <f>_xlfn.CONCAT([3]!schede_aug[[#This Row],[OD]],"-",[3]!schede_aug[[#This Row],[ID]],"-",[3]!schede_aug[[#This Row],[TICKNESS]],"-",[3]!schede_aug[[#This Row],[LENGTH]])</f>
        <v>#REF!</v>
      </c>
      <c r="G354" s="2" t="e">
        <f>_xlfn.CONCAT(scheduleapr[[#This Row],[CUSTOMER CODE]],"-",scheduleapr[[#This Row],[MATERIAL NO]])</f>
        <v>#REF!</v>
      </c>
      <c r="H354" s="2"/>
      <c r="I354" s="2" t="s">
        <v>962</v>
      </c>
      <c r="J354" s="2"/>
      <c r="K354" s="2" t="s">
        <v>1003</v>
      </c>
      <c r="L354" s="2" t="s">
        <v>239</v>
      </c>
      <c r="M354" s="2"/>
      <c r="N354" s="2"/>
      <c r="O354" s="2"/>
      <c r="P354" s="2"/>
      <c r="Q354" s="557" t="str">
        <f>CONCATENATE(scheduleapr[[#This Row],[OD]],"-",scheduleapr[[#This Row],[ID]],"-",scheduleapr[[#This Row],[TICKNESS]],"-",scheduleapr[[#This Row],[Grade]],"-",scheduleapr[[#This Row],[FC/NFC]])</f>
        <v>38.1-0-2-ERW 1-FC</v>
      </c>
      <c r="R354" s="557" t="str">
        <f>_xlfn.CONCAT(scheduleapr[[#This Row],[Bucket]],"-",scheduleapr[[#This Row],[LENGTH]]/1000)</f>
        <v>38.1-0-2-ERW 1-FC-1</v>
      </c>
      <c r="S354" s="2" t="e" vm="2">
        <f>COUNTIF([2]!buckets[CTL Bucket],[2]!scheduleapr[[#This Row],[CTL Bucket]])</f>
        <v>#REF!</v>
      </c>
      <c r="T354" s="2"/>
      <c r="U354" s="2">
        <f>_xlfn.IFNA(VLOOKUP(scheduleapr[[#This Row],[Bucket]],salesforecast[[#All],[Bucket2]:[8406 Stock]],19,0),0)</f>
        <v>30.650651000000007</v>
      </c>
      <c r="V354" s="562">
        <f>_xlfn.IFNA(VLOOKUP(scheduleapr[[#This Row],[Bucket]],salesforecast[[#All],[Bucket2]:[8406 Stock]],20,0),0)+_xlfn.IFNA(VLOOKUP(scheduleapr[[#This Row],[Bucket]],salesforecast[[#All],[Bucket2]:[8406 Stock]],17,0),0)</f>
        <v>56.27259699999999</v>
      </c>
      <c r="W354" s="2"/>
      <c r="X354" s="1">
        <v>38.1</v>
      </c>
      <c r="Y354" s="1">
        <v>38.1</v>
      </c>
      <c r="Z354" s="6">
        <v>0</v>
      </c>
      <c r="AA354" s="1">
        <v>2</v>
      </c>
      <c r="AB354" s="24">
        <v>1000</v>
      </c>
      <c r="AC354" s="24" t="s">
        <v>397</v>
      </c>
      <c r="AD354" s="24"/>
      <c r="AE354" s="24"/>
      <c r="AF354" s="2"/>
      <c r="AG354" s="2"/>
      <c r="AH354" s="2" cm="1">
        <f t="array" ref="AH3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4" s="4">
        <f>scheduleapr[[#This Row],[SCHEDULE in nos]]-scheduleapr[[#This Row],[DISPATCH]]</f>
        <v>0</v>
      </c>
      <c r="AJ354" s="1">
        <f>(3.14*(scheduleapr[[#This Row],[ACTUAL OD]]-scheduleapr[[#This Row],[TICKNESS]])*scheduleapr[[#This Row],[TICKNESS]]*scheduleapr[[#This Row],[LENGTH]]*7.85)/1000000*scheduleapr[[#This Row],[SCHEDULE in nos]]/1000</f>
        <v>0</v>
      </c>
      <c r="AK354" s="1">
        <f>(3.14*(scheduleapr[[#This Row],[ACTUAL OD]]-scheduleapr[[#This Row],[TICKNESS]])*scheduleapr[[#This Row],[TICKNESS]]*scheduleapr[[#This Row],[LENGTH]]*7.85)/1000000*scheduleapr[[#This Row],[DISPATCH]]/1000</f>
        <v>0</v>
      </c>
      <c r="AL354" s="1">
        <f t="shared" si="13"/>
        <v>0</v>
      </c>
      <c r="AM354" s="1" t="e">
        <f>scheduleapr[[#This Row],[SCHEDULE in nos]]/scheduleapr[[#This Row],[SCHEDULE IN MT]]*scheduleapr[[#This Row],[CTL Stock]]</f>
        <v>#DIV/0!</v>
      </c>
      <c r="AN354" s="1">
        <f>SUMIFS(stock[MT],stock[Bucket],scheduleapr[[#This Row],[Bucket]],stock[CTL Bucket],scheduleapr[[#This Row],[CTL Bucket]],stock[Plant],"0789")</f>
        <v>5.4420000000000002</v>
      </c>
      <c r="AO354" s="1"/>
      <c r="AP354" s="1">
        <f>SUMIFS(stock[MT],stock[Bucket],scheduleapr[[#This Row],[Bucket]],stock[LL or CTL],"LL")</f>
        <v>85.281796</v>
      </c>
      <c r="AQ354" s="1">
        <f>+SUMIFS(wip[Stock(Net Wt)],wip[Bucket],scheduleapr[[#This Row],[Bucket]])/1000</f>
        <v>1.9950000000000001</v>
      </c>
      <c r="AR354" s="1">
        <f t="shared" si="12"/>
        <v>-5.4420000000000002</v>
      </c>
      <c r="AS354" s="118"/>
    </row>
    <row r="355" spans="1:45" x14ac:dyDescent="0.25">
      <c r="A355" s="30">
        <v>243</v>
      </c>
      <c r="B355" s="5" t="s">
        <v>1816</v>
      </c>
      <c r="C355" s="2" t="s">
        <v>310</v>
      </c>
      <c r="D355" s="2" t="s">
        <v>952</v>
      </c>
      <c r="E355" s="2" t="s">
        <v>309</v>
      </c>
      <c r="F355" s="2" t="e">
        <f>_xlfn.CONCAT([2]!scheduleapr[[#This Row],[OD]],"-",[2]!scheduleapr[[#This Row],[ID]],"-",[2]!scheduleapr[[#This Row],[TICKNESS]],"-",[2]!scheduleapr[[#This Row],[LENGTH]])</f>
        <v>#REF!</v>
      </c>
      <c r="G355" s="2" t="e">
        <f>_xlfn.CONCAT(scheduleapr[[#This Row],[CUSTOMER CODE]],"-",scheduleapr[[#This Row],[MATERIAL NO]])</f>
        <v>#REF!</v>
      </c>
      <c r="H355" s="557"/>
      <c r="I355" s="2" t="s">
        <v>962</v>
      </c>
      <c r="J355" s="557"/>
      <c r="K355" s="2" t="s">
        <v>1003</v>
      </c>
      <c r="L355" s="557"/>
      <c r="M355" s="557"/>
      <c r="N355" s="557"/>
      <c r="O355" s="557"/>
      <c r="P355" s="557"/>
      <c r="Q355" s="557" t="str">
        <f>CONCATENATE(scheduleapr[[#This Row],[OD]],"-",scheduleapr[[#This Row],[ID]],"-",scheduleapr[[#This Row],[TICKNESS]],"-",scheduleapr[[#This Row],[Grade]],"-",scheduleapr[[#This Row],[FC/NFC]])</f>
        <v>38.1-0-2-ERW 1-FC</v>
      </c>
      <c r="R355" s="557" t="str">
        <f>_xlfn.CONCAT(scheduleapr[[#This Row],[Bucket]],"-",scheduleapr[[#This Row],[LENGTH]]/1000)</f>
        <v>38.1-0-2-ERW 1-FC-1</v>
      </c>
      <c r="S355" s="557">
        <f>COUNTIF(scheduleapr[CTL Bucket],scheduleapr[[#This Row],[CTL Bucket]])</f>
        <v>2</v>
      </c>
      <c r="T355" s="2" t="s">
        <v>1816</v>
      </c>
      <c r="U355" s="2"/>
      <c r="V355" s="557"/>
      <c r="W355" s="557"/>
      <c r="X355" s="559">
        <v>38.1</v>
      </c>
      <c r="Y355" s="559">
        <v>38.1</v>
      </c>
      <c r="Z355" s="1">
        <v>0</v>
      </c>
      <c r="AA355" s="1">
        <v>2</v>
      </c>
      <c r="AB355" s="24">
        <v>1000</v>
      </c>
      <c r="AC355" s="24" t="s">
        <v>444</v>
      </c>
      <c r="AD355" s="24"/>
      <c r="AE355" s="24"/>
      <c r="AF355" s="2">
        <v>800</v>
      </c>
      <c r="AG355" s="2"/>
      <c r="AH355" s="2" cm="1">
        <f t="array" ref="AH3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5" s="4">
        <f>scheduleapr[[#This Row],[SCHEDULE in nos]]-scheduleapr[[#This Row],[DISPATCH]]</f>
        <v>800</v>
      </c>
      <c r="AJ355" s="1">
        <f>(3.14*(scheduleapr[[#This Row],[ACTUAL OD]]-scheduleapr[[#This Row],[TICKNESS]])*scheduleapr[[#This Row],[TICKNESS]]*scheduleapr[[#This Row],[LENGTH]]*7.85)/1000000*scheduleapr[[#This Row],[SCHEDULE in nos]]/1000</f>
        <v>1.4237262399999999</v>
      </c>
      <c r="AK355" s="1">
        <f>(3.14*(scheduleapr[[#This Row],[ACTUAL OD]]-scheduleapr[[#This Row],[TICKNESS]])*scheduleapr[[#This Row],[TICKNESS]]*scheduleapr[[#This Row],[LENGTH]]*7.85)/1000000*scheduleapr[[#This Row],[DISPATCH]]/1000</f>
        <v>0</v>
      </c>
      <c r="AL355" s="1">
        <f t="shared" si="13"/>
        <v>1.4237262399999999</v>
      </c>
      <c r="AM355" s="1">
        <f>scheduleapr[[#This Row],[SCHEDULE in nos]]/scheduleapr[[#This Row],[SCHEDULE IN MT]]*scheduleapr[[#This Row],[CTL Stock]]</f>
        <v>3057.8912417881684</v>
      </c>
      <c r="AN355" s="1">
        <f>SUMIFS(stock[MT],stock[Bucket],scheduleapr[[#This Row],[Bucket]],stock[CTL Bucket],scheduleapr[[#This Row],[CTL Bucket]],stock[Plant],"0789")</f>
        <v>5.4420000000000002</v>
      </c>
      <c r="AO355" s="1"/>
      <c r="AP355" s="1">
        <f>SUMIFS(stock[MT],stock[Bucket],scheduleapr[[#This Row],[Bucket]],stock[LL or CTL],"LL")</f>
        <v>85.281796</v>
      </c>
      <c r="AQ355" s="1">
        <f>+SUMIFS(wip[Stock(Net Wt)],wip[Bucket],scheduleapr[[#This Row],[Bucket]])/1000</f>
        <v>1.9950000000000001</v>
      </c>
      <c r="AR355" s="1">
        <f t="shared" si="12"/>
        <v>-4.0182737600000005</v>
      </c>
      <c r="AS355" s="118"/>
    </row>
    <row r="356" spans="1:45" x14ac:dyDescent="0.25">
      <c r="A356" s="30">
        <v>224</v>
      </c>
      <c r="B356" s="5" t="s">
        <v>1872</v>
      </c>
      <c r="C356" s="2" t="s">
        <v>310</v>
      </c>
      <c r="D356" s="2" t="s">
        <v>952</v>
      </c>
      <c r="E356" s="2" t="s">
        <v>309</v>
      </c>
      <c r="F356" s="477">
        <v>2417647</v>
      </c>
      <c r="G356" s="2" t="str">
        <f>_xlfn.CONCAT(scheduleapr[[#This Row],[CUSTOMER CODE]],"-",scheduleapr[[#This Row],[MATERIAL NO]])</f>
        <v>930801|189227-2417647</v>
      </c>
      <c r="H356" s="2" t="s">
        <v>1992</v>
      </c>
      <c r="I356" s="2" t="s">
        <v>962</v>
      </c>
      <c r="J356" s="2" t="s">
        <v>1894</v>
      </c>
      <c r="K356" s="2" t="s">
        <v>1003</v>
      </c>
      <c r="L356" s="2" t="s">
        <v>239</v>
      </c>
      <c r="M356" s="2"/>
      <c r="N356" s="2" t="s">
        <v>1516</v>
      </c>
      <c r="O356" s="2"/>
      <c r="P356" s="2"/>
      <c r="Q356" s="557" t="str">
        <f>CONCATENATE(scheduleapr[[#This Row],[OD]],"-",scheduleapr[[#This Row],[ID]],"-",scheduleapr[[#This Row],[TICKNESS]],"-",scheduleapr[[#This Row],[Grade]],"-",scheduleapr[[#This Row],[FC/NFC]])</f>
        <v>42.7-0-3.5-ERW 1-FC</v>
      </c>
      <c r="R356" s="557" t="str">
        <f>_xlfn.CONCAT(scheduleapr[[#This Row],[Bucket]],"-",scheduleapr[[#This Row],[LENGTH]]/1000)</f>
        <v>42.7-0-3.5-ERW 1-FC-0.2045</v>
      </c>
      <c r="S356" s="557">
        <f>COUNTIF(scheduleapr[CTL Bucket],scheduleapr[[#This Row],[CTL Bucket]])</f>
        <v>1</v>
      </c>
      <c r="T356" s="2"/>
      <c r="U356" s="2"/>
      <c r="V356" s="2"/>
      <c r="W356" s="2"/>
      <c r="X356" s="559">
        <v>42.7</v>
      </c>
      <c r="Y356" s="559">
        <v>42.7</v>
      </c>
      <c r="Z356" s="6">
        <v>0</v>
      </c>
      <c r="AA356" s="1">
        <v>3.5</v>
      </c>
      <c r="AB356" s="24">
        <v>204.5</v>
      </c>
      <c r="AC356" s="24" t="s">
        <v>397</v>
      </c>
      <c r="AD356" s="24"/>
      <c r="AE356" s="24"/>
      <c r="AF356" s="2">
        <v>20000</v>
      </c>
      <c r="AG356" s="2"/>
      <c r="AH356" s="2" cm="1">
        <f t="array" ref="AH3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6" s="4">
        <f>scheduleapr[[#This Row],[SCHEDULE in nos]]-scheduleapr[[#This Row],[DISPATCH]]</f>
        <v>20000</v>
      </c>
      <c r="AJ356" s="1">
        <f>(3.14*(scheduleapr[[#This Row],[ACTUAL OD]]-scheduleapr[[#This Row],[TICKNESS]])*scheduleapr[[#This Row],[TICKNESS]]*scheduleapr[[#This Row],[LENGTH]]*7.85)/1000000*scheduleapr[[#This Row],[SCHEDULE in nos]]/1000</f>
        <v>13.831737051999999</v>
      </c>
      <c r="AK356" s="1">
        <f>(3.14*(scheduleapr[[#This Row],[ACTUAL OD]]-scheduleapr[[#This Row],[TICKNESS]])*scheduleapr[[#This Row],[TICKNESS]]*scheduleapr[[#This Row],[LENGTH]]*7.85)/1000000*scheduleapr[[#This Row],[DISPATCH]]/1000</f>
        <v>0</v>
      </c>
      <c r="AL356" s="1">
        <f t="shared" si="13"/>
        <v>13.831737051999999</v>
      </c>
      <c r="AM356" s="1">
        <f>scheduleapr[[#This Row],[SCHEDULE in nos]]/scheduleapr[[#This Row],[SCHEDULE IN MT]]*scheduleapr[[#This Row],[CTL Stock]]</f>
        <v>0</v>
      </c>
      <c r="AN356" s="1">
        <f>SUMIFS(stock[MT],stock[Bucket],scheduleapr[[#This Row],[Bucket]],stock[CTL Bucket],scheduleapr[[#This Row],[CTL Bucket]],stock[Plant],"0789")</f>
        <v>0</v>
      </c>
      <c r="AO356" s="1"/>
      <c r="AP356" s="1">
        <f>SUMIFS(stock[MT],stock[Bucket],scheduleapr[[#This Row],[Bucket]],stock[LL or CTL],"LL")</f>
        <v>9.465421000000001</v>
      </c>
      <c r="AQ356" s="1">
        <f>+SUMIFS(wip[Stock(Net Wt)],wip[Bucket],scheduleapr[[#This Row],[Bucket]])/1000</f>
        <v>0</v>
      </c>
      <c r="AR356" s="1">
        <f t="shared" si="12"/>
        <v>13.831737051999999</v>
      </c>
      <c r="AS356" s="118"/>
    </row>
    <row r="357" spans="1:45" x14ac:dyDescent="0.25">
      <c r="A357" s="30">
        <v>289</v>
      </c>
      <c r="B357" s="5" t="s">
        <v>1872</v>
      </c>
      <c r="C357" s="2" t="s">
        <v>307</v>
      </c>
      <c r="D357" s="2" t="s">
        <v>952</v>
      </c>
      <c r="E357" s="2" t="s">
        <v>308</v>
      </c>
      <c r="F357" s="2">
        <v>2417649</v>
      </c>
      <c r="G357" s="2" t="str">
        <f>_xlfn.CONCAT(scheduleapr[[#This Row],[CUSTOMER CODE]],"-",scheduleapr[[#This Row],[MATERIAL NO]])</f>
        <v>189226|930794-2417649</v>
      </c>
      <c r="H357" s="2" t="s">
        <v>1993</v>
      </c>
      <c r="I357" s="2" t="s">
        <v>962</v>
      </c>
      <c r="J357" s="2" t="s">
        <v>1894</v>
      </c>
      <c r="K357" s="2" t="s">
        <v>1003</v>
      </c>
      <c r="L357" s="2" t="s">
        <v>239</v>
      </c>
      <c r="M357" s="2"/>
      <c r="N357" s="2" t="s">
        <v>1516</v>
      </c>
      <c r="O357" s="2"/>
      <c r="P357" s="2"/>
      <c r="Q357" s="557" t="str">
        <f>CONCATENATE(scheduleapr[[#This Row],[OD]],"-",scheduleapr[[#This Row],[ID]],"-",scheduleapr[[#This Row],[TICKNESS]],"-",scheduleapr[[#This Row],[Grade]],"-",scheduleapr[[#This Row],[FC/NFC]])</f>
        <v>42.7-0-3.5-ERW 1-FC</v>
      </c>
      <c r="R357" s="557" t="str">
        <f>_xlfn.CONCAT(scheduleapr[[#This Row],[Bucket]],"-",scheduleapr[[#This Row],[LENGTH]]/1000)</f>
        <v>42.7-0-3.5-ERW 1-FC-0.21</v>
      </c>
      <c r="S357" s="557">
        <f>COUNTIF(scheduleapr[CTL Bucket],scheduleapr[[#This Row],[CTL Bucket]])</f>
        <v>2</v>
      </c>
      <c r="T357" s="2" t="s">
        <v>1817</v>
      </c>
      <c r="U357" s="2">
        <f>_xlfn.IFNA(VLOOKUP(scheduleapr[[#This Row],[Bucket]],salesforecast[[#All],[Bucket2]:[8406 Stock]],19,0),0)</f>
        <v>4.8184210000000007</v>
      </c>
      <c r="V357" s="562">
        <f>_xlfn.IFNA(VLOOKUP(scheduleapr[[#This Row],[Bucket]],salesforecast[[#All],[Bucket2]:[8406 Stock]],20,0),0)+_xlfn.IFNA(VLOOKUP(scheduleapr[[#This Row],[Bucket]],salesforecast[[#All],[Bucket2]:[8406 Stock]],17,0),0)</f>
        <v>5.208107</v>
      </c>
      <c r="W357" s="557"/>
      <c r="X357" s="1">
        <v>42.7</v>
      </c>
      <c r="Y357" s="1">
        <v>42.7</v>
      </c>
      <c r="Z357" s="1">
        <v>0</v>
      </c>
      <c r="AA357" s="1">
        <v>3.5</v>
      </c>
      <c r="AB357" s="24">
        <v>210</v>
      </c>
      <c r="AC357" s="24" t="s">
        <v>397</v>
      </c>
      <c r="AD357" s="24"/>
      <c r="AE357" s="24"/>
      <c r="AF357" s="2">
        <v>48000</v>
      </c>
      <c r="AG357" s="2"/>
      <c r="AH357" s="2" cm="1">
        <f t="array" ref="AH3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31400.000000000004</v>
      </c>
      <c r="AI357" s="4">
        <f>scheduleapr[[#This Row],[SCHEDULE in nos]]-scheduleapr[[#This Row],[DISPATCH]]</f>
        <v>16599.999999999996</v>
      </c>
      <c r="AJ357" s="1">
        <f>(3.14*(scheduleapr[[#This Row],[ACTUAL OD]]-scheduleapr[[#This Row],[TICKNESS]])*scheduleapr[[#This Row],[TICKNESS]]*scheduleapr[[#This Row],[LENGTH]]*7.85)/1000000*scheduleapr[[#This Row],[SCHEDULE in nos]]/1000</f>
        <v>34.088975424000004</v>
      </c>
      <c r="AK357" s="1">
        <f>(3.14*(scheduleapr[[#This Row],[ACTUAL OD]]-scheduleapr[[#This Row],[TICKNESS]])*scheduleapr[[#This Row],[TICKNESS]]*scheduleapr[[#This Row],[LENGTH]]*7.85)/1000000*scheduleapr[[#This Row],[DISPATCH]]/1000</f>
        <v>22.299871423200003</v>
      </c>
      <c r="AL357" s="1">
        <f t="shared" si="13"/>
        <v>11.789104000800002</v>
      </c>
      <c r="AM357" s="1">
        <f>scheduleapr[[#This Row],[SCHEDULE in nos]]/scheduleapr[[#This Row],[SCHEDULE IN MT]]*scheduleapr[[#This Row],[CTL Stock]]</f>
        <v>0</v>
      </c>
      <c r="AN357" s="1">
        <f>SUMIFS(stock[MT],stock[Bucket],scheduleapr[[#This Row],[Bucket]],stock[CTL Bucket],scheduleapr[[#This Row],[CTL Bucket]],stock[Plant],"0789")</f>
        <v>0</v>
      </c>
      <c r="AO357" s="1"/>
      <c r="AP357" s="1">
        <f>SUMIFS(stock[MT],stock[Bucket],scheduleapr[[#This Row],[Bucket]],stock[LL or CTL],"LL")</f>
        <v>9.465421000000001</v>
      </c>
      <c r="AQ357" s="1">
        <f>+SUMIFS(wip[Stock(Net Wt)],wip[Bucket],scheduleapr[[#This Row],[Bucket]])/1000</f>
        <v>0</v>
      </c>
      <c r="AR357" s="1">
        <f t="shared" si="12"/>
        <v>34.088975424000004</v>
      </c>
      <c r="AS357" s="118"/>
    </row>
    <row r="358" spans="1:45" x14ac:dyDescent="0.25">
      <c r="A358" s="30">
        <v>239</v>
      </c>
      <c r="B358" s="5" t="s">
        <v>1928</v>
      </c>
      <c r="C358" s="2" t="s">
        <v>310</v>
      </c>
      <c r="D358" s="2" t="s">
        <v>952</v>
      </c>
      <c r="E358" s="2" t="s">
        <v>309</v>
      </c>
      <c r="F358" s="2">
        <v>1568170</v>
      </c>
      <c r="G358" s="2" t="str">
        <f>_xlfn.CONCAT(scheduleapr[[#This Row],[CUSTOMER CODE]],"-",scheduleapr[[#This Row],[MATERIAL NO]])</f>
        <v>930801|189227-1568170</v>
      </c>
      <c r="H358" s="2" t="s">
        <v>1718</v>
      </c>
      <c r="I358" s="2" t="s">
        <v>962</v>
      </c>
      <c r="J358" s="2" t="s">
        <v>1894</v>
      </c>
      <c r="K358" s="2" t="s">
        <v>1003</v>
      </c>
      <c r="L358" s="2" t="s">
        <v>239</v>
      </c>
      <c r="M358" s="2"/>
      <c r="N358" s="2" t="s">
        <v>1516</v>
      </c>
      <c r="O358" s="2"/>
      <c r="P358" s="2"/>
      <c r="Q358" s="557" t="str">
        <f>CONCATENATE(scheduleapr[[#This Row],[OD]],"-",scheduleapr[[#This Row],[ID]],"-",scheduleapr[[#This Row],[TICKNESS]],"-",scheduleapr[[#This Row],[Grade]],"-",scheduleapr[[#This Row],[FC/NFC]])</f>
        <v>48.6-0-3.5-ERW 1-FC</v>
      </c>
      <c r="R358" s="557" t="str">
        <f>_xlfn.CONCAT(scheduleapr[[#This Row],[Bucket]],"-",scheduleapr[[#This Row],[LENGTH]]/1000)</f>
        <v>48.6-0-3.5-ERW 1-FC-0.196</v>
      </c>
      <c r="S358" s="557">
        <f>COUNTIF(scheduleapr[CTL Bucket],scheduleapr[[#This Row],[CTL Bucket]])</f>
        <v>1</v>
      </c>
      <c r="T358" s="2" t="s">
        <v>1816</v>
      </c>
      <c r="U358" s="2">
        <f>_xlfn.IFNA(VLOOKUP(scheduleapr[[#This Row],[Bucket]],salesforecast[[#All],[Bucket2]:[8406 Stock]],19,0),0)</f>
        <v>6.0293119999999973</v>
      </c>
      <c r="V358" s="562">
        <f>_xlfn.IFNA(VLOOKUP(scheduleapr[[#This Row],[Bucket]],salesforecast[[#All],[Bucket2]:[8406 Stock]],20,0),0)+_xlfn.IFNA(VLOOKUP(scheduleapr[[#This Row],[Bucket]],salesforecast[[#All],[Bucket2]:[8406 Stock]],17,0),0)</f>
        <v>0</v>
      </c>
      <c r="W358" s="557"/>
      <c r="X358" s="1">
        <v>48.6</v>
      </c>
      <c r="Y358" s="1">
        <v>48.6</v>
      </c>
      <c r="Z358" s="1">
        <v>0</v>
      </c>
      <c r="AA358" s="1">
        <v>3.5</v>
      </c>
      <c r="AB358" s="24">
        <v>196</v>
      </c>
      <c r="AC358" s="24" t="s">
        <v>397</v>
      </c>
      <c r="AD358" s="24"/>
      <c r="AE358" s="24"/>
      <c r="AF358" s="2">
        <v>20000</v>
      </c>
      <c r="AG358" s="2"/>
      <c r="AH358" s="2" cm="1">
        <f t="array" ref="AH3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5880</v>
      </c>
      <c r="AI358" s="4">
        <f>scheduleapr[[#This Row],[SCHEDULE in nos]]-scheduleapr[[#This Row],[DISPATCH]]</f>
        <v>14120</v>
      </c>
      <c r="AJ358" s="1">
        <f>(3.14*(scheduleapr[[#This Row],[ACTUAL OD]]-scheduleapr[[#This Row],[TICKNESS]])*scheduleapr[[#This Row],[TICKNESS]]*scheduleapr[[#This Row],[LENGTH]]*7.85)/1000000*scheduleapr[[#This Row],[SCHEDULE in nos]]/1000</f>
        <v>15.252111028</v>
      </c>
      <c r="AK358" s="1">
        <f>(3.14*(scheduleapr[[#This Row],[ACTUAL OD]]-scheduleapr[[#This Row],[TICKNESS]])*scheduleapr[[#This Row],[TICKNESS]]*scheduleapr[[#This Row],[LENGTH]]*7.85)/1000000*scheduleapr[[#This Row],[DISPATCH]]/1000</f>
        <v>4.4841206422319999</v>
      </c>
      <c r="AL358" s="1">
        <f t="shared" si="13"/>
        <v>10.767990385768</v>
      </c>
      <c r="AM358" s="1">
        <f>scheduleapr[[#This Row],[SCHEDULE in nos]]/scheduleapr[[#This Row],[SCHEDULE IN MT]]*scheduleapr[[#This Row],[CTL Stock]]</f>
        <v>34.723062206127025</v>
      </c>
      <c r="AN358" s="1">
        <f>SUMIFS(stock[MT],stock[Bucket],scheduleapr[[#This Row],[Bucket]],stock[CTL Bucket],scheduleapr[[#This Row],[CTL Bucket]],stock[Plant],"0789")</f>
        <v>2.648E-2</v>
      </c>
      <c r="AO358" s="1"/>
      <c r="AP358" s="1">
        <f>SUMIFS(stock[MT],stock[Bucket],scheduleapr[[#This Row],[Bucket]],stock[LL or CTL],"LL")</f>
        <v>8.7743120000000001</v>
      </c>
      <c r="AQ358" s="1">
        <f>+SUMIFS(wip[Stock(Net Wt)],wip[Bucket],scheduleapr[[#This Row],[Bucket]])/1000</f>
        <v>0</v>
      </c>
      <c r="AR358" s="1">
        <f t="shared" si="12"/>
        <v>15.225631028</v>
      </c>
      <c r="AS358" s="118"/>
    </row>
    <row r="359" spans="1:45" x14ac:dyDescent="0.25">
      <c r="A359" s="30">
        <v>290</v>
      </c>
      <c r="B359" s="5" t="s">
        <v>1816</v>
      </c>
      <c r="C359" s="2" t="s">
        <v>307</v>
      </c>
      <c r="D359" s="2" t="s">
        <v>952</v>
      </c>
      <c r="E359" s="2" t="s">
        <v>308</v>
      </c>
      <c r="F359" s="9">
        <v>2325414</v>
      </c>
      <c r="G359" s="2" t="str">
        <f>_xlfn.CONCAT(scheduleapr[[#This Row],[CUSTOMER CODE]],"-",scheduleapr[[#This Row],[MATERIAL NO]])</f>
        <v>189226|930794-2325414</v>
      </c>
      <c r="H359" s="2" t="s">
        <v>1994</v>
      </c>
      <c r="I359" s="2" t="s">
        <v>962</v>
      </c>
      <c r="J359" s="2"/>
      <c r="K359" s="2" t="s">
        <v>1003</v>
      </c>
      <c r="L359" s="2" t="s">
        <v>239</v>
      </c>
      <c r="M359" s="2"/>
      <c r="N359" s="2"/>
      <c r="O359" s="2"/>
      <c r="P359" s="2"/>
      <c r="Q359" s="557" t="str">
        <f>CONCATENATE(scheduleapr[[#This Row],[OD]],"-",scheduleapr[[#This Row],[ID]],"-",scheduleapr[[#This Row],[TICKNESS]],"-",scheduleapr[[#This Row],[Grade]],"-",scheduleapr[[#This Row],[FC/NFC]])</f>
        <v>50-30-2-ERW 1-FC</v>
      </c>
      <c r="R359" s="557" t="str">
        <f>_xlfn.CONCAT(scheduleapr[[#This Row],[Bucket]],"-",scheduleapr[[#This Row],[LENGTH]]/1000)</f>
        <v>50-30-2-ERW 1-FC-0.14</v>
      </c>
      <c r="S359" s="557">
        <f>COUNTIF(scheduleapr[CTL Bucket],scheduleapr[[#This Row],[CTL Bucket]])</f>
        <v>1</v>
      </c>
      <c r="T359" s="2" t="s">
        <v>1816</v>
      </c>
      <c r="U359" s="2">
        <f>_xlfn.IFNA(VLOOKUP(scheduleapr[[#This Row],[Bucket]],salesforecast[[#All],[Bucket2]:[8406 Stock]],19,0),0)</f>
        <v>0</v>
      </c>
      <c r="V359" s="562">
        <f>_xlfn.IFNA(VLOOKUP(scheduleapr[[#This Row],[Bucket]],salesforecast[[#All],[Bucket2]:[8406 Stock]],20,0),0)+_xlfn.IFNA(VLOOKUP(scheduleapr[[#This Row],[Bucket]],salesforecast[[#All],[Bucket2]:[8406 Stock]],17,0),0)</f>
        <v>0</v>
      </c>
      <c r="W359" s="557"/>
      <c r="X359" s="1">
        <v>50.8</v>
      </c>
      <c r="Y359" s="1">
        <v>50</v>
      </c>
      <c r="Z359" s="1">
        <v>30</v>
      </c>
      <c r="AA359" s="1">
        <v>2</v>
      </c>
      <c r="AB359" s="24">
        <v>140</v>
      </c>
      <c r="AC359" s="24" t="s">
        <v>397</v>
      </c>
      <c r="AD359" s="24"/>
      <c r="AE359" s="24"/>
      <c r="AF359" s="2">
        <v>1000</v>
      </c>
      <c r="AG359" s="2"/>
      <c r="AH359" s="2" cm="1">
        <f t="array" ref="AH3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9" s="4">
        <f>scheduleapr[[#This Row],[SCHEDULE in nos]]-scheduleapr[[#This Row],[DISPATCH]]</f>
        <v>1000</v>
      </c>
      <c r="AJ359" s="1">
        <f>(3.14*(scheduleapr[[#This Row],[ACTUAL OD]]-scheduleapr[[#This Row],[TICKNESS]])*scheduleapr[[#This Row],[TICKNESS]]*scheduleapr[[#This Row],[LENGTH]]*7.85)/1000000*scheduleapr[[#This Row],[SCHEDULE in nos]]/1000</f>
        <v>0.33680393599999997</v>
      </c>
      <c r="AK359" s="1">
        <f>(3.14*(scheduleapr[[#This Row],[ACTUAL OD]]-scheduleapr[[#This Row],[TICKNESS]])*scheduleapr[[#This Row],[TICKNESS]]*scheduleapr[[#This Row],[LENGTH]]*7.85)/1000000*scheduleapr[[#This Row],[DISPATCH]]/1000</f>
        <v>0</v>
      </c>
      <c r="AL359" s="1">
        <f t="shared" si="13"/>
        <v>0.33680393599999997</v>
      </c>
      <c r="AM359" s="1">
        <f>scheduleapr[[#This Row],[SCHEDULE in nos]]/scheduleapr[[#This Row],[SCHEDULE IN MT]]*scheduleapr[[#This Row],[CTL Stock]]</f>
        <v>0</v>
      </c>
      <c r="AN359" s="1">
        <f>SUMIFS(stock[MT],stock[Bucket],scheduleapr[[#This Row],[Bucket]],stock[CTL Bucket],scheduleapr[[#This Row],[CTL Bucket]],stock[Plant],"0789")</f>
        <v>0</v>
      </c>
      <c r="AO359" s="1"/>
      <c r="AP359" s="1">
        <f>SUMIFS(stock[MT],stock[Bucket],scheduleapr[[#This Row],[Bucket]],stock[LL or CTL],"LL")</f>
        <v>0</v>
      </c>
      <c r="AQ359" s="1">
        <f>+SUMIFS(wip[Stock(Net Wt)],wip[Bucket],scheduleapr[[#This Row],[Bucket]])/1000</f>
        <v>0</v>
      </c>
      <c r="AR359" s="1">
        <f t="shared" si="12"/>
        <v>0.33680393599999997</v>
      </c>
      <c r="AS359" s="118"/>
    </row>
    <row r="360" spans="1:45" x14ac:dyDescent="0.25">
      <c r="A360" s="30">
        <v>291</v>
      </c>
      <c r="B360" s="5" t="s">
        <v>1816</v>
      </c>
      <c r="C360" s="2" t="s">
        <v>307</v>
      </c>
      <c r="D360" s="2" t="s">
        <v>952</v>
      </c>
      <c r="E360" s="2" t="s">
        <v>308</v>
      </c>
      <c r="F360" s="2">
        <v>1940881</v>
      </c>
      <c r="G360" s="2" t="str">
        <f>_xlfn.CONCAT(scheduleapr[[#This Row],[CUSTOMER CODE]],"-",scheduleapr[[#This Row],[MATERIAL NO]])</f>
        <v>189226|930794-1940881</v>
      </c>
      <c r="H360" s="2" t="s">
        <v>842</v>
      </c>
      <c r="I360" s="2" t="s">
        <v>962</v>
      </c>
      <c r="J360" s="2"/>
      <c r="K360" s="2" t="s">
        <v>1003</v>
      </c>
      <c r="L360" s="2" t="s">
        <v>239</v>
      </c>
      <c r="M360" s="2"/>
      <c r="N360" s="2"/>
      <c r="O360" s="2"/>
      <c r="P360" s="2"/>
      <c r="Q360" s="557" t="str">
        <f>CONCATENATE(scheduleapr[[#This Row],[OD]],"-",scheduleapr[[#This Row],[ID]],"-",scheduleapr[[#This Row],[TICKNESS]],"-",scheduleapr[[#This Row],[Grade]],"-",scheduleapr[[#This Row],[FC/NFC]])</f>
        <v>50-30-2-ERW 1-FC</v>
      </c>
      <c r="R360" s="557" t="str">
        <f>_xlfn.CONCAT(scheduleapr[[#This Row],[Bucket]],"-",scheduleapr[[#This Row],[LENGTH]]/1000)</f>
        <v>50-30-2-ERW 1-FC-0.73</v>
      </c>
      <c r="S360" s="557">
        <f>COUNTIF(scheduleapr[CTL Bucket],scheduleapr[[#This Row],[CTL Bucket]])</f>
        <v>1</v>
      </c>
      <c r="T360" s="2" t="s">
        <v>1816</v>
      </c>
      <c r="U360" s="2">
        <f>_xlfn.IFNA(VLOOKUP(scheduleapr[[#This Row],[Bucket]],salesforecast[[#All],[Bucket2]:[8406 Stock]],19,0),0)</f>
        <v>0</v>
      </c>
      <c r="V360" s="562">
        <f>_xlfn.IFNA(VLOOKUP(scheduleapr[[#This Row],[Bucket]],salesforecast[[#All],[Bucket2]:[8406 Stock]],20,0),0)+_xlfn.IFNA(VLOOKUP(scheduleapr[[#This Row],[Bucket]],salesforecast[[#All],[Bucket2]:[8406 Stock]],17,0),0)</f>
        <v>0</v>
      </c>
      <c r="W360" s="557"/>
      <c r="X360" s="1">
        <v>50.8</v>
      </c>
      <c r="Y360" s="1">
        <v>50</v>
      </c>
      <c r="Z360" s="6">
        <v>30</v>
      </c>
      <c r="AA360" s="1">
        <v>2</v>
      </c>
      <c r="AB360" s="24">
        <v>730</v>
      </c>
      <c r="AC360" s="24" t="s">
        <v>397</v>
      </c>
      <c r="AD360" s="24"/>
      <c r="AE360" s="24"/>
      <c r="AF360" s="2">
        <v>12000</v>
      </c>
      <c r="AG360" s="2"/>
      <c r="AH360" s="2" cm="1">
        <f t="array" ref="AH3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23066</v>
      </c>
      <c r="AI360" s="4">
        <f>scheduleapr[[#This Row],[SCHEDULE in nos]]-scheduleapr[[#This Row],[DISPATCH]]</f>
        <v>-11066</v>
      </c>
      <c r="AJ360" s="1">
        <f>(3.14*(scheduleapr[[#This Row],[ACTUAL OD]]-scheduleapr[[#This Row],[TICKNESS]])*scheduleapr[[#This Row],[TICKNESS]]*scheduleapr[[#This Row],[LENGTH]]*7.85)/1000000*scheduleapr[[#This Row],[SCHEDULE in nos]]/1000</f>
        <v>21.074303423999996</v>
      </c>
      <c r="AK360" s="1">
        <f>(3.14*(scheduleapr[[#This Row],[ACTUAL OD]]-scheduleapr[[#This Row],[TICKNESS]])*scheduleapr[[#This Row],[TICKNESS]]*scheduleapr[[#This Row],[LENGTH]]*7.85)/1000000*scheduleapr[[#This Row],[DISPATCH]]/1000</f>
        <v>40.508323564831997</v>
      </c>
      <c r="AL360" s="1">
        <f t="shared" si="13"/>
        <v>-19.434020140832001</v>
      </c>
      <c r="AM360" s="1">
        <f>scheduleapr[[#This Row],[SCHEDULE in nos]]/scheduleapr[[#This Row],[SCHEDULE IN MT]]*scheduleapr[[#This Row],[CTL Stock]]</f>
        <v>751.40305619621699</v>
      </c>
      <c r="AN360" s="1">
        <f>SUMIFS(stock[MT],stock[Bucket],scheduleapr[[#This Row],[Bucket]],stock[CTL Bucket],scheduleapr[[#This Row],[CTL Bucket]],stock[Plant],"0789")</f>
        <v>1.3196079999999999</v>
      </c>
      <c r="AO360" s="1"/>
      <c r="AP360" s="1">
        <f>SUMIFS(stock[MT],stock[Bucket],scheduleapr[[#This Row],[Bucket]],stock[LL or CTL],"LL")</f>
        <v>0</v>
      </c>
      <c r="AQ360" s="1">
        <f>+SUMIFS(wip[Stock(Net Wt)],wip[Bucket],scheduleapr[[#This Row],[Bucket]])/1000</f>
        <v>0</v>
      </c>
      <c r="AR360" s="1">
        <f t="shared" si="12"/>
        <v>19.754695423999998</v>
      </c>
      <c r="AS360" s="118"/>
    </row>
    <row r="361" spans="1:45" x14ac:dyDescent="0.25">
      <c r="A361" s="30">
        <v>245</v>
      </c>
      <c r="B361" s="5" t="s">
        <v>1816</v>
      </c>
      <c r="C361" s="2" t="s">
        <v>310</v>
      </c>
      <c r="D361" s="2" t="s">
        <v>952</v>
      </c>
      <c r="E361" s="2" t="s">
        <v>309</v>
      </c>
      <c r="F361" s="2">
        <v>2353927</v>
      </c>
      <c r="G361" s="2" t="str">
        <f>_xlfn.CONCAT(scheduleapr[[#This Row],[CUSTOMER CODE]],"-",scheduleapr[[#This Row],[MATERIAL NO]])</f>
        <v>930801|189227-2353927</v>
      </c>
      <c r="H361" s="2" t="s">
        <v>1995</v>
      </c>
      <c r="I361" s="2" t="s">
        <v>962</v>
      </c>
      <c r="J361" s="2"/>
      <c r="K361" s="2" t="s">
        <v>1003</v>
      </c>
      <c r="L361" s="2" t="s">
        <v>239</v>
      </c>
      <c r="M361" s="2" t="s">
        <v>1868</v>
      </c>
      <c r="N361" s="2"/>
      <c r="O361" s="2" t="s">
        <v>1895</v>
      </c>
      <c r="P361" s="2"/>
      <c r="Q361" s="557" t="str">
        <f>CONCATENATE(scheduleapr[[#This Row],[OD]],"-",scheduleapr[[#This Row],[ID]],"-",scheduleapr[[#This Row],[TICKNESS]],"-",scheduleapr[[#This Row],[Grade]],"-",scheduleapr[[#This Row],[FC/NFC]])</f>
        <v>50.8-0-1.6-ERW 1-FC</v>
      </c>
      <c r="R361" s="557" t="str">
        <f>_xlfn.CONCAT(scheduleapr[[#This Row],[Bucket]],"-",scheduleapr[[#This Row],[LENGTH]]/1000)</f>
        <v>50.8-0-1.6-ERW 1-FC-0.385</v>
      </c>
      <c r="S361" s="557">
        <f>COUNTIF(scheduleapr[CTL Bucket],scheduleapr[[#This Row],[CTL Bucket]])</f>
        <v>1</v>
      </c>
      <c r="T361" s="2" t="s">
        <v>1816</v>
      </c>
      <c r="U361" s="2">
        <f>_xlfn.IFNA(VLOOKUP(scheduleapr[[#This Row],[Bucket]],salesforecast[[#All],[Bucket2]:[8406 Stock]],19,0),0)</f>
        <v>0</v>
      </c>
      <c r="V361" s="562">
        <f>_xlfn.IFNA(VLOOKUP(scheduleapr[[#This Row],[Bucket]],salesforecast[[#All],[Bucket2]:[8406 Stock]],20,0),0)+_xlfn.IFNA(VLOOKUP(scheduleapr[[#This Row],[Bucket]],salesforecast[[#All],[Bucket2]:[8406 Stock]],17,0),0)</f>
        <v>0</v>
      </c>
      <c r="W361" s="557"/>
      <c r="X361" s="1">
        <v>50.8</v>
      </c>
      <c r="Y361" s="1">
        <v>50.8</v>
      </c>
      <c r="Z361" s="6">
        <v>0</v>
      </c>
      <c r="AA361" s="1">
        <v>1.6</v>
      </c>
      <c r="AB361" s="81">
        <v>385</v>
      </c>
      <c r="AC361" s="24" t="s">
        <v>397</v>
      </c>
      <c r="AD361" s="24"/>
      <c r="AE361" s="24"/>
      <c r="AF361" s="2">
        <v>15000</v>
      </c>
      <c r="AG361" s="2"/>
      <c r="AH361" s="2" cm="1">
        <f t="array" ref="AH3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1" s="4">
        <f>scheduleapr[[#This Row],[SCHEDULE in nos]]-scheduleapr[[#This Row],[DISPATCH]]</f>
        <v>15000</v>
      </c>
      <c r="AJ361" s="1">
        <f>(3.14*(scheduleapr[[#This Row],[ACTUAL OD]]-scheduleapr[[#This Row],[TICKNESS]])*scheduleapr[[#This Row],[TICKNESS]]*scheduleapr[[#This Row],[LENGTH]]*7.85)/1000000*scheduleapr[[#This Row],[SCHEDULE in nos]]/1000</f>
        <v>11.205632592000002</v>
      </c>
      <c r="AK361" s="1">
        <f>(3.14*(scheduleapr[[#This Row],[ACTUAL OD]]-scheduleapr[[#This Row],[TICKNESS]])*scheduleapr[[#This Row],[TICKNESS]]*scheduleapr[[#This Row],[LENGTH]]*7.85)/1000000*scheduleapr[[#This Row],[DISPATCH]]/1000</f>
        <v>0</v>
      </c>
      <c r="AL361" s="1">
        <f t="shared" si="13"/>
        <v>11.205632592000002</v>
      </c>
      <c r="AM361" s="1">
        <f>scheduleapr[[#This Row],[SCHEDULE in nos]]/scheduleapr[[#This Row],[SCHEDULE IN MT]]*scheduleapr[[#This Row],[CTL Stock]]</f>
        <v>4815.0427525635932</v>
      </c>
      <c r="AN361" s="1">
        <f>SUMIFS(stock[MT],stock[Bucket],scheduleapr[[#This Row],[Bucket]],stock[CTL Bucket],scheduleapr[[#This Row],[CTL Bucket]],stock[Plant],"0789")</f>
        <v>3.5970400000000002</v>
      </c>
      <c r="AO361" s="1"/>
      <c r="AP361" s="1">
        <f>SUMIFS(stock[MT],stock[Bucket],scheduleapr[[#This Row],[Bucket]],stock[LL or CTL],"LL")</f>
        <v>0</v>
      </c>
      <c r="AQ361" s="1">
        <f>+SUMIFS(wip[Stock(Net Wt)],wip[Bucket],scheduleapr[[#This Row],[Bucket]])/1000</f>
        <v>1.456</v>
      </c>
      <c r="AR361" s="1">
        <f t="shared" si="12"/>
        <v>7.6085925920000026</v>
      </c>
      <c r="AS361" s="118"/>
    </row>
    <row r="362" spans="1:45" x14ac:dyDescent="0.25">
      <c r="A362" s="30">
        <v>294</v>
      </c>
      <c r="B362" s="5" t="s">
        <v>1872</v>
      </c>
      <c r="C362" s="2" t="s">
        <v>307</v>
      </c>
      <c r="D362" s="2" t="s">
        <v>952</v>
      </c>
      <c r="E362" s="2" t="s">
        <v>308</v>
      </c>
      <c r="F362" s="2">
        <v>1470103</v>
      </c>
      <c r="G362" s="2" t="str">
        <f>_xlfn.CONCAT(scheduleapr[[#This Row],[CUSTOMER CODE]],"-",scheduleapr[[#This Row],[MATERIAL NO]])</f>
        <v>189226|930794-1470103</v>
      </c>
      <c r="H362" s="2" t="s">
        <v>1764</v>
      </c>
      <c r="I362" s="2" t="s">
        <v>962</v>
      </c>
      <c r="J362" s="2" t="s">
        <v>1894</v>
      </c>
      <c r="K362" s="2" t="s">
        <v>1003</v>
      </c>
      <c r="L362" s="2" t="s">
        <v>239</v>
      </c>
      <c r="M362" s="2"/>
      <c r="N362" s="2"/>
      <c r="O362" s="2"/>
      <c r="P362" s="2"/>
      <c r="Q362" s="557" t="str">
        <f>CONCATENATE(scheduleapr[[#This Row],[OD]],"-",scheduleapr[[#This Row],[ID]],"-",scheduleapr[[#This Row],[TICKNESS]],"-",scheduleapr[[#This Row],[Grade]],"-",scheduleapr[[#This Row],[FC/NFC]])</f>
        <v>63.5-0-4-ERW 1-FC</v>
      </c>
      <c r="R362" s="557" t="str">
        <f>_xlfn.CONCAT(scheduleapr[[#This Row],[Bucket]],"-",scheduleapr[[#This Row],[LENGTH]]/1000)</f>
        <v>63.5-0-4-ERW 1-FC-0.236</v>
      </c>
      <c r="S362" s="557">
        <f>COUNTIF(scheduleapr[CTL Bucket],scheduleapr[[#This Row],[CTL Bucket]])</f>
        <v>1</v>
      </c>
      <c r="T362" s="2" t="s">
        <v>1817</v>
      </c>
      <c r="U362" s="2">
        <f>_xlfn.IFNA(VLOOKUP(scheduleapr[[#This Row],[Bucket]],salesforecast[[#All],[Bucket2]:[8406 Stock]],19,0),0)</f>
        <v>20.650486000000001</v>
      </c>
      <c r="V362" s="562">
        <f>_xlfn.IFNA(VLOOKUP(scheduleapr[[#This Row],[Bucket]],salesforecast[[#All],[Bucket2]:[8406 Stock]],20,0),0)+_xlfn.IFNA(VLOOKUP(scheduleapr[[#This Row],[Bucket]],salesforecast[[#All],[Bucket2]:[8406 Stock]],17,0),0)</f>
        <v>4.7135999999999996</v>
      </c>
      <c r="W362" s="557"/>
      <c r="X362" s="1">
        <v>63.5</v>
      </c>
      <c r="Y362" s="79">
        <v>63.5</v>
      </c>
      <c r="Z362" s="1">
        <v>0</v>
      </c>
      <c r="AA362" s="1">
        <v>4</v>
      </c>
      <c r="AB362" s="22">
        <v>236</v>
      </c>
      <c r="AC362" s="22" t="s">
        <v>397</v>
      </c>
      <c r="AD362" s="22"/>
      <c r="AE362" s="22"/>
      <c r="AF362" s="2">
        <v>16000</v>
      </c>
      <c r="AG362" s="2"/>
      <c r="AH362" s="2" cm="1">
        <f t="array" ref="AH3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11857</v>
      </c>
      <c r="AI362" s="4">
        <f>scheduleapr[[#This Row],[SCHEDULE in nos]]-scheduleapr[[#This Row],[DISPATCH]]</f>
        <v>4143</v>
      </c>
      <c r="AJ362" s="1">
        <f>(3.14*(scheduleapr[[#This Row],[ACTUAL OD]]-scheduleapr[[#This Row],[TICKNESS]])*scheduleapr[[#This Row],[TICKNESS]]*scheduleapr[[#This Row],[LENGTH]]*7.85)/1000000*scheduleapr[[#This Row],[SCHEDULE in nos]]/1000</f>
        <v>22.151760512000003</v>
      </c>
      <c r="AK362" s="1">
        <f>(3.14*(scheduleapr[[#This Row],[ACTUAL OD]]-scheduleapr[[#This Row],[TICKNESS]])*scheduleapr[[#This Row],[TICKNESS]]*scheduleapr[[#This Row],[LENGTH]]*7.85)/1000000*scheduleapr[[#This Row],[DISPATCH]]/1000</f>
        <v>16.415839024424002</v>
      </c>
      <c r="AL362" s="1">
        <f t="shared" si="13"/>
        <v>5.7359214875760003</v>
      </c>
      <c r="AM362" s="1">
        <f>scheduleapr[[#This Row],[SCHEDULE in nos]]/scheduleapr[[#This Row],[SCHEDULE IN MT]]*scheduleapr[[#This Row],[CTL Stock]]</f>
        <v>0</v>
      </c>
      <c r="AN362" s="1">
        <f>SUMIFS(stock[MT],stock[Bucket],scheduleapr[[#This Row],[Bucket]],stock[CTL Bucket],scheduleapr[[#This Row],[CTL Bucket]],stock[Plant],"0789")</f>
        <v>0</v>
      </c>
      <c r="AO362" s="1"/>
      <c r="AP362" s="1">
        <f>SUMIFS(stock[MT],stock[Bucket],scheduleapr[[#This Row],[Bucket]],stock[LL or CTL],"LL")</f>
        <v>70.552486000000016</v>
      </c>
      <c r="AQ362" s="1">
        <f>+SUMIFS(wip[Stock(Net Wt)],wip[Bucket],scheduleapr[[#This Row],[Bucket]])/1000</f>
        <v>0</v>
      </c>
      <c r="AR362" s="1">
        <f t="shared" si="12"/>
        <v>22.151760512000003</v>
      </c>
      <c r="AS362" s="118"/>
    </row>
    <row r="363" spans="1:45" x14ac:dyDescent="0.25">
      <c r="A363" s="30">
        <v>214</v>
      </c>
      <c r="B363" s="5" t="s">
        <v>1872</v>
      </c>
      <c r="C363" s="2" t="s">
        <v>307</v>
      </c>
      <c r="D363" s="2" t="s">
        <v>952</v>
      </c>
      <c r="E363" s="2">
        <v>189226</v>
      </c>
      <c r="F363" s="2">
        <v>2429289</v>
      </c>
      <c r="G363" s="2" t="str">
        <f>_xlfn.CONCAT(scheduleapr[[#This Row],[CUSTOMER CODE]],"-",scheduleapr[[#This Row],[MATERIAL NO]])</f>
        <v>189226-2429289</v>
      </c>
      <c r="H363" s="2" t="s">
        <v>1996</v>
      </c>
      <c r="I363" s="2" t="s">
        <v>962</v>
      </c>
      <c r="J363" s="2" t="s">
        <v>1894</v>
      </c>
      <c r="K363" s="2" t="s">
        <v>1003</v>
      </c>
      <c r="L363" s="2" t="s">
        <v>239</v>
      </c>
      <c r="M363" s="2"/>
      <c r="N363" s="2"/>
      <c r="O363" s="2"/>
      <c r="P363" s="2"/>
      <c r="Q363" s="557" t="str">
        <f>CONCATENATE(scheduleapr[[#This Row],[OD]],"-",scheduleapr[[#This Row],[ID]],"-",scheduleapr[[#This Row],[TICKNESS]],"-",scheduleapr[[#This Row],[Grade]],"-",scheduleapr[[#This Row],[FC/NFC]])</f>
        <v>63.5-0-4-ERW 1-FC</v>
      </c>
      <c r="R363" s="557" t="str">
        <f>_xlfn.CONCAT(scheduleapr[[#This Row],[Bucket]],"-",scheduleapr[[#This Row],[LENGTH]]/1000)</f>
        <v>63.5-0-4-ERW 1-FC-5.06</v>
      </c>
      <c r="S363" s="557" t="e" vm="2">
        <f>COUNTIF([2]!buckets[CTL Bucket],[2]!scheduleapr[[#This Row],[CTL Bucket]])</f>
        <v>#REF!</v>
      </c>
      <c r="T363" s="557"/>
      <c r="U363" s="557"/>
      <c r="V363" s="557"/>
      <c r="W363" s="557"/>
      <c r="X363" s="1">
        <v>63.5</v>
      </c>
      <c r="Y363" s="1">
        <v>63.5</v>
      </c>
      <c r="Z363" s="1">
        <v>0</v>
      </c>
      <c r="AA363" s="1">
        <v>4</v>
      </c>
      <c r="AB363" s="24">
        <v>5060</v>
      </c>
      <c r="AC363" s="24"/>
      <c r="AD363" s="24"/>
      <c r="AE363" s="24"/>
      <c r="AF363" s="2"/>
      <c r="AG363" s="2"/>
      <c r="AH363" s="2" t="e" cm="1">
        <f t="array" ref="AH3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63" s="4" t="e">
        <f>scheduleapr[[#This Row],[SCHEDULE in nos]]-scheduleapr[[#This Row],[DISPATCH]]</f>
        <v>#N/A</v>
      </c>
      <c r="AJ363" s="1">
        <f>(3.14*(scheduleapr[[#This Row],[ACTUAL OD]]-scheduleapr[[#This Row],[TICKNESS]])*scheduleapr[[#This Row],[TICKNESS]]*scheduleapr[[#This Row],[LENGTH]]*7.85)/1000000*scheduleapr[[#This Row],[SCHEDULE in nos]]/1000</f>
        <v>0</v>
      </c>
      <c r="AK363" s="1" t="e">
        <f>(3.14*(scheduleapr[[#This Row],[ACTUAL OD]]-scheduleapr[[#This Row],[TICKNESS]])*scheduleapr[[#This Row],[TICKNESS]]*scheduleapr[[#This Row],[LENGTH]]*7.85)/1000000*scheduleapr[[#This Row],[DISPATCH]]/1000</f>
        <v>#N/A</v>
      </c>
      <c r="AL363" s="1" t="e">
        <f t="shared" si="13"/>
        <v>#N/A</v>
      </c>
      <c r="AM363" s="1" t="e">
        <f>scheduleapr[[#This Row],[SCHEDULE in nos]]/scheduleapr[[#This Row],[SCHEDULE IN MT]]*scheduleapr[[#This Row],[CTL Stock]]</f>
        <v>#DIV/0!</v>
      </c>
      <c r="AN363" s="1">
        <f>SUMIFS(stock[MT],stock[Bucket],scheduleapr[[#This Row],[Bucket]],stock[CTL Bucket],scheduleapr[[#This Row],[CTL Bucket]],stock[Plant],"0789")</f>
        <v>0</v>
      </c>
      <c r="AO363" s="1"/>
      <c r="AP363" s="1">
        <f>SUMIFS(stock[MT],stock[Bucket],scheduleapr[[#This Row],[Bucket]],stock[LL or CTL],"LL")</f>
        <v>70.552486000000016</v>
      </c>
      <c r="AQ363" s="1">
        <f>+SUMIFS(wip[Stock(Net Wt)],wip[Bucket],scheduleapr[[#This Row],[Bucket]])/1000</f>
        <v>0</v>
      </c>
      <c r="AR363" s="1">
        <f t="shared" si="12"/>
        <v>0</v>
      </c>
      <c r="AS363" s="118"/>
    </row>
    <row r="364" spans="1:45" x14ac:dyDescent="0.25">
      <c r="A364" s="556"/>
      <c r="B364" s="5" t="s">
        <v>1816</v>
      </c>
      <c r="C364" s="2" t="s">
        <v>310</v>
      </c>
      <c r="D364" s="2" t="s">
        <v>952</v>
      </c>
      <c r="E364" s="2" t="s">
        <v>309</v>
      </c>
      <c r="F364" s="2">
        <v>1940437</v>
      </c>
      <c r="G364" s="2" t="str">
        <f>_xlfn.CONCAT(scheduleapr[[#This Row],[CUSTOMER CODE]],"-",scheduleapr[[#This Row],[MATERIAL NO]])</f>
        <v>930801|189227-1940437</v>
      </c>
      <c r="H364" s="2" t="s">
        <v>637</v>
      </c>
      <c r="I364" s="557" t="s">
        <v>993</v>
      </c>
      <c r="J364" s="557"/>
      <c r="K364" s="2" t="s">
        <v>1003</v>
      </c>
      <c r="L364" s="2" t="s">
        <v>239</v>
      </c>
      <c r="M364" s="558"/>
      <c r="N364" s="557"/>
      <c r="O364" s="557"/>
      <c r="P364" s="557"/>
      <c r="Q364" s="557" t="str">
        <f>CONCATENATE(scheduleapr[[#This Row],[OD]],"-",scheduleapr[[#This Row],[ID]],"-",scheduleapr[[#This Row],[TICKNESS]],"-",scheduleapr[[#This Row],[Grade]],"-",scheduleapr[[#This Row],[FC/NFC]])</f>
        <v>22.23-0-2-ERW 2-FC</v>
      </c>
      <c r="R364" s="557" t="str">
        <f>_xlfn.CONCAT(scheduleapr[[#This Row],[Bucket]],"-",scheduleapr[[#This Row],[LENGTH]]/1000)</f>
        <v>22.23-0-2-ERW 2-FC-0.394</v>
      </c>
      <c r="S364" s="557"/>
      <c r="T364" s="2"/>
      <c r="U364" s="2">
        <f>_xlfn.IFNA(VLOOKUP(scheduleapr[[#This Row],[Bucket]],salesforecast[[#All],[Bucket2]:[8406 Stock]],19,0),0)</f>
        <v>0</v>
      </c>
      <c r="V364" s="2"/>
      <c r="W364" s="2"/>
      <c r="X364" s="559">
        <v>22.23</v>
      </c>
      <c r="Y364" s="1">
        <v>22.23</v>
      </c>
      <c r="Z364" s="6">
        <v>0</v>
      </c>
      <c r="AA364" s="1">
        <v>2</v>
      </c>
      <c r="AB364" s="24">
        <v>394</v>
      </c>
      <c r="AC364" s="24" t="s">
        <v>397</v>
      </c>
      <c r="AD364" s="24"/>
      <c r="AE364" s="24"/>
      <c r="AF364" s="557">
        <v>15200</v>
      </c>
      <c r="AG364" s="557"/>
      <c r="AH364" s="2" cm="1">
        <f t="array" ref="AH3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4" s="4">
        <f>scheduleapr[[#This Row],[SCHEDULE in nos]]-scheduleapr[[#This Row],[DISPATCH]]</f>
        <v>15200</v>
      </c>
      <c r="AJ364" s="559">
        <f>(3.14*(scheduleapr[[#This Row],[ACTUAL OD]]-scheduleapr[[#This Row],[TICKNESS]])*scheduleapr[[#This Row],[TICKNESS]]*scheduleapr[[#This Row],[LENGTH]]*7.85)/1000000*scheduleapr[[#This Row],[SCHEDULE in nos]]/1000</f>
        <v>5.9726214963519997</v>
      </c>
      <c r="AK364" s="1">
        <f>(3.14*(scheduleapr[[#This Row],[ACTUAL OD]]-scheduleapr[[#This Row],[TICKNESS]])*scheduleapr[[#This Row],[TICKNESS]]*scheduleapr[[#This Row],[LENGTH]]*7.85)/1000000*scheduleapr[[#This Row],[DISPATCH]]/1000</f>
        <v>0</v>
      </c>
      <c r="AL364" s="1">
        <f t="shared" si="13"/>
        <v>5.9726214963519997</v>
      </c>
      <c r="AM364" s="559">
        <f>scheduleapr[[#This Row],[SCHEDULE in nos]]/scheduleapr[[#This Row],[SCHEDULE IN MT]]*scheduleapr[[#This Row],[CTL Stock]]</f>
        <v>0</v>
      </c>
      <c r="AN364" s="1">
        <f>SUMIFS(stock[MT],stock[Bucket],scheduleapr[[#This Row],[Bucket]],stock[CTL Bucket],scheduleapr[[#This Row],[CTL Bucket]],stock[Plant],"0789")</f>
        <v>0</v>
      </c>
      <c r="AO364" s="1"/>
      <c r="AP364" s="1">
        <f>SUMIFS(stock[MT],stock[Bucket],scheduleapr[[#This Row],[Bucket]],stock[LL or CTL],"LL")</f>
        <v>0</v>
      </c>
      <c r="AQ364" s="1">
        <f>+SUMIFS(wip[Stock(Net Wt)],wip[Bucket],scheduleapr[[#This Row],[Bucket]])/1000</f>
        <v>15.21</v>
      </c>
      <c r="AR364" s="1">
        <f t="shared" si="12"/>
        <v>5.9726214963519997</v>
      </c>
      <c r="AS364" s="118"/>
    </row>
    <row r="365" spans="1:45" x14ac:dyDescent="0.25">
      <c r="A365" s="30">
        <v>232</v>
      </c>
      <c r="B365" s="5" t="s">
        <v>1816</v>
      </c>
      <c r="C365" s="2" t="s">
        <v>310</v>
      </c>
      <c r="D365" s="2" t="s">
        <v>952</v>
      </c>
      <c r="E365" s="2" t="s">
        <v>309</v>
      </c>
      <c r="F365" s="2">
        <v>1933557</v>
      </c>
      <c r="G365" s="2" t="str">
        <f>_xlfn.CONCAT(scheduleapr[[#This Row],[CUSTOMER CODE]],"-",scheduleapr[[#This Row],[MATERIAL NO]])</f>
        <v>930801|189227-1933557</v>
      </c>
      <c r="H365" s="48" t="s">
        <v>1997</v>
      </c>
      <c r="I365" s="2" t="s">
        <v>993</v>
      </c>
      <c r="J365" s="2"/>
      <c r="K365" s="2" t="s">
        <v>963</v>
      </c>
      <c r="L365" s="2" t="s">
        <v>1867</v>
      </c>
      <c r="M365" s="44" t="s">
        <v>1924</v>
      </c>
      <c r="N365" s="2"/>
      <c r="O365" s="2"/>
      <c r="P365" s="2"/>
      <c r="Q365" s="557" t="str">
        <f>CONCATENATE(scheduleapr[[#This Row],[OD]],"-",scheduleapr[[#This Row],[ID]],"-",scheduleapr[[#This Row],[TICKNESS]],"-",scheduleapr[[#This Row],[Grade]],"-",scheduleapr[[#This Row],[FC/NFC]])</f>
        <v>28.58-0-1.6-ERW 2-PE</v>
      </c>
      <c r="R365" s="557" t="str">
        <f>_xlfn.CONCAT(scheduleapr[[#This Row],[Bucket]],"-",scheduleapr[[#This Row],[LENGTH]]/1000)</f>
        <v>28.58-0-1.6-ERW 2-PE-0.845</v>
      </c>
      <c r="S365" s="557" t="e" vm="2">
        <f>COUNTIF([2]!buckets[CTL Bucket],[2]!scheduleapr[[#This Row],[CTL Bucket]])</f>
        <v>#REF!</v>
      </c>
      <c r="T365" s="2" t="s">
        <v>1816</v>
      </c>
      <c r="U365" s="2"/>
      <c r="V365" s="557"/>
      <c r="W365" s="557"/>
      <c r="X365" s="1">
        <v>28.58</v>
      </c>
      <c r="Y365" s="1">
        <v>28.58</v>
      </c>
      <c r="Z365" s="6">
        <v>0</v>
      </c>
      <c r="AA365" s="1">
        <v>1.6</v>
      </c>
      <c r="AB365" s="24">
        <v>845</v>
      </c>
      <c r="AC365" s="24" t="s">
        <v>397</v>
      </c>
      <c r="AD365" s="24"/>
      <c r="AE365" s="24"/>
      <c r="AF365" s="2"/>
      <c r="AG365" s="2"/>
      <c r="AH365" s="2" cm="1">
        <f t="array" ref="AH3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5" s="4">
        <f>scheduleapr[[#This Row],[SCHEDULE in nos]]-scheduleapr[[#This Row],[DISPATCH]]</f>
        <v>0</v>
      </c>
      <c r="AJ365" s="1">
        <f>(3.14*(scheduleapr[[#This Row],[ACTUAL OD]]-scheduleapr[[#This Row],[TICKNESS]])*scheduleapr[[#This Row],[TICKNESS]]*scheduleapr[[#This Row],[LENGTH]]*7.85)/1000000*scheduleapr[[#This Row],[SCHEDULE in nos]]/1000</f>
        <v>0</v>
      </c>
      <c r="AK365" s="1">
        <f>(3.14*(scheduleapr[[#This Row],[ACTUAL OD]]-scheduleapr[[#This Row],[TICKNESS]])*scheduleapr[[#This Row],[TICKNESS]]*scheduleapr[[#This Row],[LENGTH]]*7.85)/1000000*scheduleapr[[#This Row],[DISPATCH]]/1000</f>
        <v>0</v>
      </c>
      <c r="AL365" s="1">
        <f t="shared" si="13"/>
        <v>0</v>
      </c>
      <c r="AM365" s="1" t="e">
        <f>scheduleapr[[#This Row],[SCHEDULE in nos]]/scheduleapr[[#This Row],[SCHEDULE IN MT]]*scheduleapr[[#This Row],[CTL Stock]]</f>
        <v>#DIV/0!</v>
      </c>
      <c r="AN365" s="1">
        <f>SUMIFS(stock[MT],stock[Bucket],scheduleapr[[#This Row],[Bucket]],stock[CTL Bucket],scheduleapr[[#This Row],[CTL Bucket]],stock[Plant],"0789")</f>
        <v>0</v>
      </c>
      <c r="AO365" s="1"/>
      <c r="AP365" s="1">
        <f>SUMIFS(stock[MT],stock[Bucket],scheduleapr[[#This Row],[Bucket]],stock[LL or CTL],"LL")</f>
        <v>0</v>
      </c>
      <c r="AQ365" s="1">
        <f>+SUMIFS(wip[Stock(Net Wt)],wip[Bucket],scheduleapr[[#This Row],[Bucket]])/1000</f>
        <v>0</v>
      </c>
      <c r="AR365" s="1">
        <f t="shared" si="12"/>
        <v>0</v>
      </c>
      <c r="AS365" s="118"/>
    </row>
    <row r="366" spans="1:45" x14ac:dyDescent="0.25">
      <c r="A366" s="30">
        <v>292</v>
      </c>
      <c r="B366" s="5" t="s">
        <v>1872</v>
      </c>
      <c r="C366" s="2" t="s">
        <v>307</v>
      </c>
      <c r="D366" s="2" t="s">
        <v>952</v>
      </c>
      <c r="E366" s="2" t="s">
        <v>308</v>
      </c>
      <c r="F366" s="48">
        <v>2396464</v>
      </c>
      <c r="G366" s="2" t="str">
        <f>_xlfn.CONCAT(scheduleapr[[#This Row],[CUSTOMER CODE]],"-",scheduleapr[[#This Row],[MATERIAL NO]])</f>
        <v>189226|930794-2396464</v>
      </c>
      <c r="H366" s="48" t="s">
        <v>921</v>
      </c>
      <c r="I366" s="2" t="s">
        <v>993</v>
      </c>
      <c r="J366" s="2"/>
      <c r="K366" s="2" t="s">
        <v>1003</v>
      </c>
      <c r="L366" s="2" t="s">
        <v>239</v>
      </c>
      <c r="M366" s="2"/>
      <c r="N366" s="2"/>
      <c r="O366" s="2"/>
      <c r="P366" s="2"/>
      <c r="Q366" s="557" t="str">
        <f>CONCATENATE(scheduleapr[[#This Row],[OD]],"-",scheduleapr[[#This Row],[ID]],"-",scheduleapr[[#This Row],[TICKNESS]],"-",scheduleapr[[#This Row],[Grade]],"-",scheduleapr[[#This Row],[FC/NFC]])</f>
        <v>54-0-3-ERW 2-FC</v>
      </c>
      <c r="R366" s="557" t="str">
        <f>_xlfn.CONCAT(scheduleapr[[#This Row],[Bucket]],"-",scheduleapr[[#This Row],[LENGTH]]/1000)</f>
        <v>54-0-3-ERW 2-FC-1.14</v>
      </c>
      <c r="S366" s="557">
        <f>COUNTIF(scheduleapr[CTL Bucket],scheduleapr[[#This Row],[CTL Bucket]])</f>
        <v>2</v>
      </c>
      <c r="T366" s="2" t="s">
        <v>1817</v>
      </c>
      <c r="U366" s="2">
        <f>_xlfn.IFNA(VLOOKUP(scheduleapr[[#This Row],[Bucket]],salesforecast[[#All],[Bucket2]:[8406 Stock]],19,0),0)</f>
        <v>6.8230000000000004</v>
      </c>
      <c r="V366" s="562">
        <f>_xlfn.IFNA(VLOOKUP(scheduleapr[[#This Row],[Bucket]],salesforecast[[#All],[Bucket2]:[8406 Stock]],20,0),0)+_xlfn.IFNA(VLOOKUP(scheduleapr[[#This Row],[Bucket]],salesforecast[[#All],[Bucket2]:[8406 Stock]],17,0),0)</f>
        <v>23.737340000000003</v>
      </c>
      <c r="W366" s="557"/>
      <c r="X366" s="1">
        <v>54</v>
      </c>
      <c r="Y366" s="79">
        <v>54</v>
      </c>
      <c r="Z366" s="1">
        <v>0</v>
      </c>
      <c r="AA366" s="1">
        <v>3</v>
      </c>
      <c r="AB366" s="24">
        <v>1140</v>
      </c>
      <c r="AC366" s="24" t="s">
        <v>397</v>
      </c>
      <c r="AD366" s="24"/>
      <c r="AE366" s="24"/>
      <c r="AF366" s="2">
        <v>6000</v>
      </c>
      <c r="AG366" s="2"/>
      <c r="AH366" s="2" cm="1">
        <f t="array" ref="AH3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4600</v>
      </c>
      <c r="AI366" s="4">
        <f>scheduleapr[[#This Row],[SCHEDULE in nos]]-scheduleapr[[#This Row],[DISPATCH]]</f>
        <v>1400</v>
      </c>
      <c r="AJ366" s="1">
        <f>(3.14*(scheduleapr[[#This Row],[ACTUAL OD]]-scheduleapr[[#This Row],[TICKNESS]])*scheduleapr[[#This Row],[TICKNESS]]*scheduleapr[[#This Row],[LENGTH]]*7.85)/1000000*scheduleapr[[#This Row],[SCHEDULE in nos]]/1000</f>
        <v>25.795671479999999</v>
      </c>
      <c r="AK366" s="1">
        <f>(3.14*(scheduleapr[[#This Row],[ACTUAL OD]]-scheduleapr[[#This Row],[TICKNESS]])*scheduleapr[[#This Row],[TICKNESS]]*scheduleapr[[#This Row],[LENGTH]]*7.85)/1000000*scheduleapr[[#This Row],[DISPATCH]]/1000</f>
        <v>19.776681468000003</v>
      </c>
      <c r="AL366" s="1">
        <f t="shared" si="13"/>
        <v>6.0189900119999962</v>
      </c>
      <c r="AM366" s="1">
        <f>scheduleapr[[#This Row],[SCHEDULE in nos]]/scheduleapr[[#This Row],[SCHEDULE IN MT]]*scheduleapr[[#This Row],[CTL Stock]]</f>
        <v>0</v>
      </c>
      <c r="AN366" s="1">
        <f>SUMIFS(stock[MT],stock[Bucket],scheduleapr[[#This Row],[Bucket]],stock[CTL Bucket],scheduleapr[[#This Row],[CTL Bucket]],stock[Plant],"0789")</f>
        <v>0</v>
      </c>
      <c r="AO366" s="1"/>
      <c r="AP366" s="1">
        <f>SUMIFS(stock[MT],stock[Bucket],scheduleapr[[#This Row],[Bucket]],stock[LL or CTL],"LL")</f>
        <v>39.157000000000004</v>
      </c>
      <c r="AQ366" s="1">
        <f>+SUMIFS(wip[Stock(Net Wt)],wip[Bucket],scheduleapr[[#This Row],[Bucket]])/1000</f>
        <v>0</v>
      </c>
      <c r="AR366" s="1">
        <f t="shared" si="12"/>
        <v>25.795671479999999</v>
      </c>
      <c r="AS366" s="118"/>
    </row>
    <row r="367" spans="1:45" x14ac:dyDescent="0.25">
      <c r="A367" s="30">
        <v>213</v>
      </c>
      <c r="B367" s="5" t="s">
        <v>1872</v>
      </c>
      <c r="C367" s="2" t="s">
        <v>307</v>
      </c>
      <c r="D367" s="2" t="s">
        <v>952</v>
      </c>
      <c r="E367" s="2">
        <v>189226</v>
      </c>
      <c r="F367" s="2">
        <v>2397139</v>
      </c>
      <c r="G367" s="2" t="str">
        <f>_xlfn.CONCAT(scheduleapr[[#This Row],[CUSTOMER CODE]],"-",scheduleapr[[#This Row],[MATERIAL NO]])</f>
        <v>189226-2397139</v>
      </c>
      <c r="H367" s="2" t="s">
        <v>1998</v>
      </c>
      <c r="I367" s="2" t="s">
        <v>993</v>
      </c>
      <c r="J367" s="2"/>
      <c r="K367" s="2" t="s">
        <v>1003</v>
      </c>
      <c r="L367" s="2" t="s">
        <v>239</v>
      </c>
      <c r="M367" s="2"/>
      <c r="N367" s="2"/>
      <c r="O367" s="2"/>
      <c r="P367" s="2"/>
      <c r="Q367" s="557" t="str">
        <f>CONCATENATE(scheduleapr[[#This Row],[OD]],"-",scheduleapr[[#This Row],[ID]],"-",scheduleapr[[#This Row],[TICKNESS]],"-",scheduleapr[[#This Row],[Grade]],"-",scheduleapr[[#This Row],[FC/NFC]])</f>
        <v>54-0-3-ERW 2-FC</v>
      </c>
      <c r="R367" s="557" t="str">
        <f>_xlfn.CONCAT(scheduleapr[[#This Row],[Bucket]],"-",scheduleapr[[#This Row],[LENGTH]]/1000)</f>
        <v>54-0-3-ERW 2-FC-5.75</v>
      </c>
      <c r="S367" s="557" t="e" vm="2">
        <f>COUNTIF([2]!buckets[CTL Bucket],[2]!scheduleapr[[#This Row],[CTL Bucket]])</f>
        <v>#REF!</v>
      </c>
      <c r="T367" s="557"/>
      <c r="U367" s="557"/>
      <c r="V367" s="557"/>
      <c r="W367" s="557"/>
      <c r="X367" s="1">
        <v>54</v>
      </c>
      <c r="Y367" s="1">
        <v>54</v>
      </c>
      <c r="Z367" s="1">
        <v>0</v>
      </c>
      <c r="AA367" s="1">
        <v>3</v>
      </c>
      <c r="AB367" s="24">
        <v>5750</v>
      </c>
      <c r="AC367" s="24"/>
      <c r="AD367" s="24"/>
      <c r="AE367" s="24"/>
      <c r="AF367" s="2"/>
      <c r="AG367" s="2"/>
      <c r="AH367" s="2" t="e" cm="1">
        <f t="array" ref="AH3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67" s="4" t="e">
        <f>scheduleapr[[#This Row],[SCHEDULE in nos]]-scheduleapr[[#This Row],[DISPATCH]]</f>
        <v>#N/A</v>
      </c>
      <c r="AJ367" s="1">
        <f>(3.14*(scheduleapr[[#This Row],[ACTUAL OD]]-scheduleapr[[#This Row],[TICKNESS]])*scheduleapr[[#This Row],[TICKNESS]]*scheduleapr[[#This Row],[LENGTH]]*7.85)/1000000*scheduleapr[[#This Row],[SCHEDULE in nos]]/1000</f>
        <v>0</v>
      </c>
      <c r="AK367" s="1" t="e">
        <f>(3.14*(scheduleapr[[#This Row],[ACTUAL OD]]-scheduleapr[[#This Row],[TICKNESS]])*scheduleapr[[#This Row],[TICKNESS]]*scheduleapr[[#This Row],[LENGTH]]*7.85)/1000000*scheduleapr[[#This Row],[DISPATCH]]/1000</f>
        <v>#N/A</v>
      </c>
      <c r="AL367" s="1" t="e">
        <f t="shared" si="13"/>
        <v>#N/A</v>
      </c>
      <c r="AM367" s="1" t="e">
        <f>scheduleapr[[#This Row],[SCHEDULE in nos]]/scheduleapr[[#This Row],[SCHEDULE IN MT]]*scheduleapr[[#This Row],[CTL Stock]]</f>
        <v>#DIV/0!</v>
      </c>
      <c r="AN367" s="1">
        <f>SUMIFS(stock[MT],stock[Bucket],scheduleapr[[#This Row],[Bucket]],stock[CTL Bucket],scheduleapr[[#This Row],[CTL Bucket]],stock[Plant],"0789")</f>
        <v>0</v>
      </c>
      <c r="AO367" s="1"/>
      <c r="AP367" s="1">
        <f>SUMIFS(stock[MT],stock[Bucket],scheduleapr[[#This Row],[Bucket]],stock[LL or CTL],"LL")</f>
        <v>39.157000000000004</v>
      </c>
      <c r="AQ367" s="1">
        <f>+SUMIFS(wip[Stock(Net Wt)],wip[Bucket],scheduleapr[[#This Row],[Bucket]])/1000</f>
        <v>0</v>
      </c>
      <c r="AR367" s="1">
        <f t="shared" si="12"/>
        <v>0</v>
      </c>
      <c r="AS367" s="118"/>
    </row>
    <row r="368" spans="1:45" x14ac:dyDescent="0.25">
      <c r="A368" s="30">
        <v>246</v>
      </c>
      <c r="B368" s="5" t="s">
        <v>1928</v>
      </c>
      <c r="C368" s="2" t="s">
        <v>310</v>
      </c>
      <c r="D368" s="2" t="s">
        <v>952</v>
      </c>
      <c r="E368" s="2" t="s">
        <v>309</v>
      </c>
      <c r="F368" s="2">
        <v>3157631</v>
      </c>
      <c r="G368" s="2" t="str">
        <f>_xlfn.CONCAT(scheduleapr[[#This Row],[CUSTOMER CODE]],"-",scheduleapr[[#This Row],[MATERIAL NO]])</f>
        <v>930801|189227-3157631</v>
      </c>
      <c r="H368" s="2" t="s">
        <v>1745</v>
      </c>
      <c r="I368" s="2" t="s">
        <v>993</v>
      </c>
      <c r="J368" s="2"/>
      <c r="K368" s="2" t="s">
        <v>1003</v>
      </c>
      <c r="L368" s="2" t="s">
        <v>1867</v>
      </c>
      <c r="M368" s="2"/>
      <c r="N368" s="2"/>
      <c r="O368" s="2" t="s">
        <v>1895</v>
      </c>
      <c r="P368" s="2"/>
      <c r="Q368" s="557" t="str">
        <f>CONCATENATE(scheduleapr[[#This Row],[OD]],"-",scheduleapr[[#This Row],[ID]],"-",scheduleapr[[#This Row],[TICKNESS]],"-",scheduleapr[[#This Row],[Grade]],"-",scheduleapr[[#This Row],[FC/NFC]])</f>
        <v>57.15-0-2.3-ERW 2-FC</v>
      </c>
      <c r="R368" s="557" t="str">
        <f>_xlfn.CONCAT(scheduleapr[[#This Row],[Bucket]],"-",scheduleapr[[#This Row],[LENGTH]]/1000)</f>
        <v>57.15-0-2.3-ERW 2-FC-1.365</v>
      </c>
      <c r="S368" s="557">
        <f>COUNTIF(scheduleapr[CTL Bucket],scheduleapr[[#This Row],[CTL Bucket]])</f>
        <v>1</v>
      </c>
      <c r="T368" s="2" t="s">
        <v>1928</v>
      </c>
      <c r="U368" s="2">
        <f>_xlfn.IFNA(VLOOKUP(scheduleapr[[#This Row],[Bucket]],salesforecast[[#All],[Bucket2]:[8406 Stock]],19,0),0)</f>
        <v>7.7157000000000003E-2</v>
      </c>
      <c r="V368" s="562">
        <f>_xlfn.IFNA(VLOOKUP(scheduleapr[[#This Row],[Bucket]],salesforecast[[#All],[Bucket2]:[8406 Stock]],20,0),0)+_xlfn.IFNA(VLOOKUP(scheduleapr[[#This Row],[Bucket]],salesforecast[[#All],[Bucket2]:[8406 Stock]],17,0),0)</f>
        <v>21.993891000000001</v>
      </c>
      <c r="W368" s="557"/>
      <c r="X368" s="1">
        <v>57.15</v>
      </c>
      <c r="Y368" s="1">
        <v>57.15</v>
      </c>
      <c r="Z368" s="6">
        <v>0</v>
      </c>
      <c r="AA368" s="1">
        <v>2.2999999999999998</v>
      </c>
      <c r="AB368" s="24">
        <v>1365</v>
      </c>
      <c r="AC368" s="24" t="s">
        <v>397</v>
      </c>
      <c r="AD368" s="24"/>
      <c r="AE368" s="24"/>
      <c r="AF368" s="2">
        <v>12000</v>
      </c>
      <c r="AG368" s="2"/>
      <c r="AH368" s="2" cm="1">
        <f t="array" ref="AH3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11968</v>
      </c>
      <c r="AI368" s="4">
        <f>scheduleapr[[#This Row],[SCHEDULE in nos]]-scheduleapr[[#This Row],[DISPATCH]]</f>
        <v>32</v>
      </c>
      <c r="AJ368" s="1">
        <f>(3.14*(scheduleapr[[#This Row],[ACTUAL OD]]-scheduleapr[[#This Row],[TICKNESS]])*scheduleapr[[#This Row],[TICKNESS]]*scheduleapr[[#This Row],[LENGTH]]*7.85)/1000000*scheduleapr[[#This Row],[SCHEDULE in nos]]/1000</f>
        <v>50.935159466099996</v>
      </c>
      <c r="AK368" s="1">
        <f>(3.14*(scheduleapr[[#This Row],[ACTUAL OD]]-scheduleapr[[#This Row],[TICKNESS]])*scheduleapr[[#This Row],[TICKNESS]]*scheduleapr[[#This Row],[LENGTH]]*7.85)/1000000*scheduleapr[[#This Row],[DISPATCH]]/1000</f>
        <v>50.799332374190399</v>
      </c>
      <c r="AL368" s="1">
        <f t="shared" si="13"/>
        <v>0.13582709190959719</v>
      </c>
      <c r="AM368" s="1">
        <f>scheduleapr[[#This Row],[SCHEDULE in nos]]/scheduleapr[[#This Row],[SCHEDULE IN MT]]*scheduleapr[[#This Row],[CTL Stock]]</f>
        <v>0</v>
      </c>
      <c r="AN368" s="1">
        <f>SUMIFS(stock[MT],stock[Bucket],scheduleapr[[#This Row],[Bucket]],stock[CTL Bucket],scheduleapr[[#This Row],[CTL Bucket]],stock[Plant],"0789")</f>
        <v>0</v>
      </c>
      <c r="AO368" s="1"/>
      <c r="AP368" s="1">
        <f>SUMIFS(stock[MT],stock[Bucket],scheduleapr[[#This Row],[Bucket]],stock[LL or CTL],"LL")</f>
        <v>19.938757000000003</v>
      </c>
      <c r="AQ368" s="1">
        <f>+SUMIFS(wip[Stock(Net Wt)],wip[Bucket],scheduleapr[[#This Row],[Bucket]])/1000</f>
        <v>0</v>
      </c>
      <c r="AR368" s="1">
        <f t="shared" si="12"/>
        <v>50.935159466099996</v>
      </c>
      <c r="AS368" s="118"/>
    </row>
    <row r="369" spans="1:45" x14ac:dyDescent="0.25">
      <c r="A369" s="30">
        <v>293</v>
      </c>
      <c r="B369" s="5" t="s">
        <v>1872</v>
      </c>
      <c r="C369" s="2" t="s">
        <v>307</v>
      </c>
      <c r="D369" s="2" t="s">
        <v>952</v>
      </c>
      <c r="E369" s="2" t="s">
        <v>308</v>
      </c>
      <c r="F369" s="2">
        <v>1938127</v>
      </c>
      <c r="G369" s="2" t="str">
        <f>_xlfn.CONCAT(scheduleapr[[#This Row],[CUSTOMER CODE]],"-",scheduleapr[[#This Row],[MATERIAL NO]])</f>
        <v>189226|930794-1938127</v>
      </c>
      <c r="H369" s="2" t="s">
        <v>1733</v>
      </c>
      <c r="I369" s="2" t="s">
        <v>993</v>
      </c>
      <c r="J369" s="2"/>
      <c r="K369" s="2" t="s">
        <v>963</v>
      </c>
      <c r="L369" s="2" t="s">
        <v>1867</v>
      </c>
      <c r="M369" s="44" t="s">
        <v>1883</v>
      </c>
      <c r="N369" s="2"/>
      <c r="O369" s="2"/>
      <c r="P369" s="2"/>
      <c r="Q369" s="557" t="str">
        <f>CONCATENATE(scheduleapr[[#This Row],[OD]],"-",scheduleapr[[#This Row],[ID]],"-",scheduleapr[[#This Row],[TICKNESS]],"-",scheduleapr[[#This Row],[Grade]],"-",scheduleapr[[#This Row],[FC/NFC]])</f>
        <v>50-50-1.6-ERW 2-PE</v>
      </c>
      <c r="R369" s="557" t="str">
        <f>_xlfn.CONCAT(scheduleapr[[#This Row],[Bucket]],"-",scheduleapr[[#This Row],[LENGTH]]/1000)</f>
        <v>50-50-1.6-ERW 2-PE-0.847</v>
      </c>
      <c r="S369" s="557">
        <f>COUNTIF(scheduleapr[CTL Bucket],scheduleapr[[#This Row],[CTL Bucket]])</f>
        <v>2</v>
      </c>
      <c r="T369" s="2" t="s">
        <v>1928</v>
      </c>
      <c r="U369" s="2">
        <f>_xlfn.IFNA(VLOOKUP(scheduleapr[[#This Row],[Bucket]],salesforecast[[#All],[Bucket2]:[8406 Stock]],19,0),0)</f>
        <v>1.3500029999999992</v>
      </c>
      <c r="V369" s="562">
        <f>_xlfn.IFNA(VLOOKUP(scheduleapr[[#This Row],[Bucket]],salesforecast[[#All],[Bucket2]:[8406 Stock]],20,0),0)+_xlfn.IFNA(VLOOKUP(scheduleapr[[#This Row],[Bucket]],salesforecast[[#All],[Bucket2]:[8406 Stock]],17,0),0)</f>
        <v>12.851100000000002</v>
      </c>
      <c r="W369" s="557"/>
      <c r="X369" s="1">
        <v>63.5</v>
      </c>
      <c r="Y369" s="79">
        <v>50</v>
      </c>
      <c r="Z369" s="1">
        <v>50</v>
      </c>
      <c r="AA369" s="1">
        <v>1.6</v>
      </c>
      <c r="AB369" s="24">
        <v>847</v>
      </c>
      <c r="AC369" s="24" t="s">
        <v>397</v>
      </c>
      <c r="AD369" s="24"/>
      <c r="AE369" s="24"/>
      <c r="AF369" s="2">
        <v>6000</v>
      </c>
      <c r="AG369" s="2"/>
      <c r="AH369" s="2" cm="1">
        <f t="array" ref="AH3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9" s="4">
        <f>scheduleapr[[#This Row],[SCHEDULE in nos]]-scheduleapr[[#This Row],[DISPATCH]]</f>
        <v>6000</v>
      </c>
      <c r="AJ369" s="1">
        <f>(3.14*(scheduleapr[[#This Row],[ACTUAL OD]]-scheduleapr[[#This Row],[TICKNESS]])*scheduleapr[[#This Row],[TICKNESS]]*scheduleapr[[#This Row],[LENGTH]]*7.85)/1000000*scheduleapr[[#This Row],[SCHEDULE in nos]]/1000</f>
        <v>12.406366230720002</v>
      </c>
      <c r="AK369" s="1">
        <f>(3.14*(scheduleapr[[#This Row],[ACTUAL OD]]-scheduleapr[[#This Row],[TICKNESS]])*scheduleapr[[#This Row],[TICKNESS]]*scheduleapr[[#This Row],[LENGTH]]*7.85)/1000000*scheduleapr[[#This Row],[DISPATCH]]/1000</f>
        <v>0</v>
      </c>
      <c r="AL369" s="1">
        <f t="shared" si="13"/>
        <v>12.406366230720002</v>
      </c>
      <c r="AM369" s="1">
        <f>scheduleapr[[#This Row],[SCHEDULE in nos]]/scheduleapr[[#This Row],[SCHEDULE IN MT]]*scheduleapr[[#This Row],[CTL Stock]]</f>
        <v>0</v>
      </c>
      <c r="AN369" s="1">
        <f>SUMIFS(stock[MT],stock[Bucket],scheduleapr[[#This Row],[Bucket]],stock[CTL Bucket],scheduleapr[[#This Row],[CTL Bucket]],stock[Plant],"0789")</f>
        <v>0</v>
      </c>
      <c r="AO369" s="1"/>
      <c r="AP369" s="1">
        <f>SUMIFS(stock[MT],stock[Bucket],scheduleapr[[#This Row],[Bucket]],stock[LL or CTL],"LL")</f>
        <v>14.201103000000003</v>
      </c>
      <c r="AQ369" s="1">
        <f>+SUMIFS(wip[Stock(Net Wt)],wip[Bucket],scheduleapr[[#This Row],[Bucket]])/1000</f>
        <v>0</v>
      </c>
      <c r="AR369" s="1">
        <f t="shared" si="12"/>
        <v>12.406366230720002</v>
      </c>
      <c r="AS369" s="118"/>
    </row>
    <row r="370" spans="1:45" x14ac:dyDescent="0.25">
      <c r="A370" s="30">
        <v>295</v>
      </c>
      <c r="B370" s="5" t="s">
        <v>1872</v>
      </c>
      <c r="C370" s="2" t="s">
        <v>307</v>
      </c>
      <c r="D370" s="2" t="s">
        <v>952</v>
      </c>
      <c r="E370" s="2" t="s">
        <v>308</v>
      </c>
      <c r="F370" s="2">
        <v>1938128</v>
      </c>
      <c r="G370" s="2" t="str">
        <f>_xlfn.CONCAT(scheduleapr[[#This Row],[CUSTOMER CODE]],"-",scheduleapr[[#This Row],[MATERIAL NO]])</f>
        <v>189226|930794-1938128</v>
      </c>
      <c r="H370" s="2" t="s">
        <v>1999</v>
      </c>
      <c r="I370" s="2" t="s">
        <v>993</v>
      </c>
      <c r="J370" s="2" t="s">
        <v>1894</v>
      </c>
      <c r="K370" s="2" t="s">
        <v>1003</v>
      </c>
      <c r="L370" s="2" t="s">
        <v>239</v>
      </c>
      <c r="M370" s="2"/>
      <c r="N370" s="2"/>
      <c r="O370" s="2" t="s">
        <v>1895</v>
      </c>
      <c r="P370" s="2"/>
      <c r="Q370" s="557" t="str">
        <f>CONCATENATE(scheduleapr[[#This Row],[OD]],"-",scheduleapr[[#This Row],[ID]],"-",scheduleapr[[#This Row],[TICKNESS]],"-",scheduleapr[[#This Row],[Grade]],"-",scheduleapr[[#This Row],[FC/NFC]])</f>
        <v>70-0-3.2-ERW 2-FC</v>
      </c>
      <c r="R370" s="557" t="str">
        <f>_xlfn.CONCAT(scheduleapr[[#This Row],[Bucket]],"-",scheduleapr[[#This Row],[LENGTH]]/1000)</f>
        <v>70-0-3.2-ERW 2-FC-0.49</v>
      </c>
      <c r="S370" s="557">
        <f>COUNTIF(scheduleapr[CTL Bucket],scheduleapr[[#This Row],[CTL Bucket]])</f>
        <v>2</v>
      </c>
      <c r="T370" s="2" t="s">
        <v>1817</v>
      </c>
      <c r="U370" s="2">
        <f>_xlfn.IFNA(VLOOKUP(scheduleapr[[#This Row],[Bucket]],salesforecast[[#All],[Bucket2]:[8406 Stock]],19,0),0)</f>
        <v>3.577916000000001</v>
      </c>
      <c r="V370" s="562">
        <f>_xlfn.IFNA(VLOOKUP(scheduleapr[[#This Row],[Bucket]],salesforecast[[#All],[Bucket2]:[8406 Stock]],20,0),0)+_xlfn.IFNA(VLOOKUP(scheduleapr[[#This Row],[Bucket]],salesforecast[[#All],[Bucket2]:[8406 Stock]],17,0),0)</f>
        <v>8.5230139999999999</v>
      </c>
      <c r="W370" s="557"/>
      <c r="X370" s="1">
        <v>70</v>
      </c>
      <c r="Y370" s="79">
        <v>70</v>
      </c>
      <c r="Z370" s="1">
        <v>0</v>
      </c>
      <c r="AA370" s="112">
        <v>3.2</v>
      </c>
      <c r="AB370" s="22">
        <v>490</v>
      </c>
      <c r="AC370" s="22" t="s">
        <v>397</v>
      </c>
      <c r="AD370" s="22"/>
      <c r="AE370" s="22"/>
      <c r="AF370" s="2">
        <v>6000</v>
      </c>
      <c r="AG370" s="2"/>
      <c r="AH370" s="2" cm="1">
        <f t="array" ref="AH3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1920</v>
      </c>
      <c r="AI370" s="4">
        <f>scheduleapr[[#This Row],[SCHEDULE in nos]]-scheduleapr[[#This Row],[DISPATCH]]</f>
        <v>4080</v>
      </c>
      <c r="AJ370" s="1">
        <f>(3.14*(scheduleapr[[#This Row],[ACTUAL OD]]-scheduleapr[[#This Row],[TICKNESS]])*scheduleapr[[#This Row],[TICKNESS]]*scheduleapr[[#This Row],[LENGTH]]*7.85)/1000000*scheduleapr[[#This Row],[SCHEDULE in nos]]/1000</f>
        <v>15.490772505600001</v>
      </c>
      <c r="AK370" s="1">
        <f>(3.14*(scheduleapr[[#This Row],[ACTUAL OD]]-scheduleapr[[#This Row],[TICKNESS]])*scheduleapr[[#This Row],[TICKNESS]]*scheduleapr[[#This Row],[LENGTH]]*7.85)/1000000*scheduleapr[[#This Row],[DISPATCH]]/1000</f>
        <v>4.9570472017920002</v>
      </c>
      <c r="AL370" s="1">
        <f t="shared" si="13"/>
        <v>10.533725303808001</v>
      </c>
      <c r="AM370" s="1">
        <f>scheduleapr[[#This Row],[SCHEDULE in nos]]/scheduleapr[[#This Row],[SCHEDULE IN MT]]*scheduleapr[[#This Row],[CTL Stock]]</f>
        <v>0</v>
      </c>
      <c r="AN370" s="1">
        <f>SUMIFS(stock[MT],stock[Bucket],scheduleapr[[#This Row],[Bucket]],stock[CTL Bucket],scheduleapr[[#This Row],[CTL Bucket]],stock[Plant],"0789")</f>
        <v>0</v>
      </c>
      <c r="AO370" s="1"/>
      <c r="AP370" s="1">
        <f>SUMIFS(stock[MT],stock[Bucket],scheduleapr[[#This Row],[Bucket]],stock[LL or CTL],"LL")</f>
        <v>37.067985999999998</v>
      </c>
      <c r="AQ370" s="1">
        <f>+SUMIFS(wip[Stock(Net Wt)],wip[Bucket],scheduleapr[[#This Row],[Bucket]])/1000</f>
        <v>0</v>
      </c>
      <c r="AR370" s="1">
        <f t="shared" si="12"/>
        <v>15.490772505600001</v>
      </c>
      <c r="AS370" s="118"/>
    </row>
    <row r="371" spans="1:45" x14ac:dyDescent="0.25">
      <c r="A371" s="30">
        <v>215</v>
      </c>
      <c r="B371" s="5" t="s">
        <v>1872</v>
      </c>
      <c r="C371" s="2" t="s">
        <v>307</v>
      </c>
      <c r="D371" s="2" t="s">
        <v>952</v>
      </c>
      <c r="E371" s="2">
        <v>189226</v>
      </c>
      <c r="F371" s="2">
        <v>3557967</v>
      </c>
      <c r="G371" s="2" t="str">
        <f>_xlfn.CONCAT(scheduleapr[[#This Row],[CUSTOMER CODE]],"-",scheduleapr[[#This Row],[MATERIAL NO]])</f>
        <v>189226-3557967</v>
      </c>
      <c r="H371" s="2" t="s">
        <v>2000</v>
      </c>
      <c r="I371" s="2" t="s">
        <v>993</v>
      </c>
      <c r="J371" s="2"/>
      <c r="K371" s="2" t="s">
        <v>1003</v>
      </c>
      <c r="L371" s="2" t="s">
        <v>239</v>
      </c>
      <c r="M371" s="2"/>
      <c r="N371" s="2"/>
      <c r="O371" s="2"/>
      <c r="P371" s="2"/>
      <c r="Q371" s="557" t="str">
        <f>CONCATENATE(scheduleapr[[#This Row],[OD]],"-",scheduleapr[[#This Row],[ID]],"-",scheduleapr[[#This Row],[TICKNESS]],"-",scheduleapr[[#This Row],[Grade]],"-",scheduleapr[[#This Row],[FC/NFC]])</f>
        <v>70-0-3.2-ERW 2-FC</v>
      </c>
      <c r="R371" s="557" t="str">
        <f>_xlfn.CONCAT(scheduleapr[[#This Row],[Bucket]],"-",scheduleapr[[#This Row],[LENGTH]]/1000)</f>
        <v>70-0-3.2-ERW 2-FC-6.455</v>
      </c>
      <c r="S371" s="557" t="e" vm="2">
        <f>COUNTIF([2]!buckets[CTL Bucket],[2]!scheduleapr[[#This Row],[CTL Bucket]])</f>
        <v>#REF!</v>
      </c>
      <c r="T371" s="557"/>
      <c r="U371" s="557"/>
      <c r="V371" s="557"/>
      <c r="W371" s="557"/>
      <c r="X371" s="1">
        <v>70</v>
      </c>
      <c r="Y371" s="1">
        <v>70</v>
      </c>
      <c r="Z371" s="1">
        <v>0</v>
      </c>
      <c r="AA371" s="1">
        <v>3.2</v>
      </c>
      <c r="AB371" s="24">
        <v>6455</v>
      </c>
      <c r="AC371" s="24"/>
      <c r="AD371" s="24"/>
      <c r="AE371" s="24"/>
      <c r="AF371" s="2"/>
      <c r="AG371" s="2"/>
      <c r="AH371" s="2" t="e" cm="1">
        <f t="array" ref="AH3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71" s="4" t="e">
        <f>scheduleapr[[#This Row],[SCHEDULE in nos]]-scheduleapr[[#This Row],[DISPATCH]]</f>
        <v>#N/A</v>
      </c>
      <c r="AJ371" s="1">
        <f>(3.14*(scheduleapr[[#This Row],[ACTUAL OD]]-scheduleapr[[#This Row],[TICKNESS]])*scheduleapr[[#This Row],[TICKNESS]]*scheduleapr[[#This Row],[LENGTH]]*7.85)/1000000*scheduleapr[[#This Row],[SCHEDULE in nos]]/1000</f>
        <v>0</v>
      </c>
      <c r="AK371" s="1" t="e">
        <f>(3.14*(scheduleapr[[#This Row],[ACTUAL OD]]-scheduleapr[[#This Row],[TICKNESS]])*scheduleapr[[#This Row],[TICKNESS]]*scheduleapr[[#This Row],[LENGTH]]*7.85)/1000000*scheduleapr[[#This Row],[DISPATCH]]/1000</f>
        <v>#N/A</v>
      </c>
      <c r="AL371" s="1" t="e">
        <f t="shared" si="13"/>
        <v>#N/A</v>
      </c>
      <c r="AM371" s="1" t="e">
        <f>scheduleapr[[#This Row],[SCHEDULE in nos]]/scheduleapr[[#This Row],[SCHEDULE IN MT]]*scheduleapr[[#This Row],[CTL Stock]]</f>
        <v>#DIV/0!</v>
      </c>
      <c r="AN371" s="1">
        <f>SUMIFS(stock[MT],stock[Bucket],scheduleapr[[#This Row],[Bucket]],stock[CTL Bucket],scheduleapr[[#This Row],[CTL Bucket]],stock[Plant],"0789")</f>
        <v>0</v>
      </c>
      <c r="AO371" s="1"/>
      <c r="AP371" s="1">
        <f>SUMIFS(stock[MT],stock[Bucket],scheduleapr[[#This Row],[Bucket]],stock[LL or CTL],"LL")</f>
        <v>37.067985999999998</v>
      </c>
      <c r="AQ371" s="1">
        <f>+SUMIFS(wip[Stock(Net Wt)],wip[Bucket],scheduleapr[[#This Row],[Bucket]])/1000</f>
        <v>0</v>
      </c>
      <c r="AR371" s="1">
        <f t="shared" si="12"/>
        <v>0</v>
      </c>
      <c r="AS371" s="118"/>
    </row>
    <row r="372" spans="1:45" x14ac:dyDescent="0.25">
      <c r="A372" s="30">
        <v>288</v>
      </c>
      <c r="B372" s="5" t="s">
        <v>1816</v>
      </c>
      <c r="C372" s="2" t="s">
        <v>307</v>
      </c>
      <c r="D372" s="2" t="s">
        <v>952</v>
      </c>
      <c r="E372" s="2" t="s">
        <v>308</v>
      </c>
      <c r="F372" s="2">
        <v>3539418</v>
      </c>
      <c r="G372" s="2" t="str">
        <f>_xlfn.CONCAT(scheduleapr[[#This Row],[CUSTOMER CODE]],"-",scheduleapr[[#This Row],[MATERIAL NO]])</f>
        <v>189226|930794-3539418</v>
      </c>
      <c r="H372" s="2" t="s">
        <v>2001</v>
      </c>
      <c r="I372" s="2"/>
      <c r="J372" s="2"/>
      <c r="K372" s="2"/>
      <c r="L372" s="2" t="s">
        <v>239</v>
      </c>
      <c r="M372" s="2"/>
      <c r="N372" s="2"/>
      <c r="O372" s="2"/>
      <c r="P372" s="2"/>
      <c r="Q372" s="557" t="str">
        <f>CONCATENATE(scheduleapr[[#This Row],[OD]],"-",scheduleapr[[#This Row],[ID]],"-",scheduleapr[[#This Row],[TICKNESS]],"-",scheduleapr[[#This Row],[Grade]],"-",scheduleapr[[#This Row],[FC/NFC]])</f>
        <v>41.28-0-2.9--</v>
      </c>
      <c r="R372" s="557" t="str">
        <f>_xlfn.CONCAT(scheduleapr[[#This Row],[Bucket]],"-",scheduleapr[[#This Row],[LENGTH]]/1000)</f>
        <v>41.28-0-2.9---0.42</v>
      </c>
      <c r="S372" s="557" t="e" vm="2">
        <f>COUNTIF([2]!buckets[CTL Bucket],[2]!scheduleapr[[#This Row],[CTL Bucket]])</f>
        <v>#REF!</v>
      </c>
      <c r="T372" s="557"/>
      <c r="U372" s="557"/>
      <c r="V372" s="557"/>
      <c r="W372" s="557"/>
      <c r="X372" s="1">
        <v>41.28</v>
      </c>
      <c r="Y372" s="1">
        <v>41.28</v>
      </c>
      <c r="Z372" s="1">
        <v>0</v>
      </c>
      <c r="AA372" s="1">
        <v>2.9</v>
      </c>
      <c r="AB372" s="24">
        <v>420</v>
      </c>
      <c r="AC372" s="24" t="s">
        <v>397</v>
      </c>
      <c r="AD372" s="24"/>
      <c r="AE372" s="24"/>
      <c r="AF372" s="2"/>
      <c r="AG372" s="2"/>
      <c r="AH372" s="2" cm="1">
        <f t="array" ref="AH3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2" s="4">
        <f>scheduleapr[[#This Row],[SCHEDULE in nos]]-scheduleapr[[#This Row],[DISPATCH]]</f>
        <v>0</v>
      </c>
      <c r="AJ372" s="1">
        <f>(3.14*(scheduleapr[[#This Row],[ACTUAL OD]]-scheduleapr[[#This Row],[TICKNESS]])*scheduleapr[[#This Row],[TICKNESS]]*scheduleapr[[#This Row],[LENGTH]]*7.85)/1000000*scheduleapr[[#This Row],[SCHEDULE in nos]]/1000</f>
        <v>0</v>
      </c>
      <c r="AK372" s="1">
        <f>(3.14*(scheduleapr[[#This Row],[ACTUAL OD]]-scheduleapr[[#This Row],[TICKNESS]])*scheduleapr[[#This Row],[TICKNESS]]*scheduleapr[[#This Row],[LENGTH]]*7.85)/1000000*scheduleapr[[#This Row],[DISPATCH]]/1000</f>
        <v>0</v>
      </c>
      <c r="AL372" s="1">
        <f t="shared" si="13"/>
        <v>0</v>
      </c>
      <c r="AM372" s="1" t="e">
        <f>scheduleapr[[#This Row],[SCHEDULE in nos]]/scheduleapr[[#This Row],[SCHEDULE IN MT]]*scheduleapr[[#This Row],[CTL Stock]]</f>
        <v>#DIV/0!</v>
      </c>
      <c r="AN372" s="1">
        <f>SUMIFS(stock[MT],stock[Bucket],scheduleapr[[#This Row],[Bucket]],stock[CTL Bucket],scheduleapr[[#This Row],[CTL Bucket]],stock[Plant],"0789")</f>
        <v>0</v>
      </c>
      <c r="AO372" s="1"/>
      <c r="AP372" s="1">
        <f>SUMIFS(stock[MT],stock[Bucket],scheduleapr[[#This Row],[Bucket]],stock[LL or CTL],"LL")</f>
        <v>0</v>
      </c>
      <c r="AQ372" s="1">
        <f>+SUMIFS(wip[Stock(Net Wt)],wip[Bucket],scheduleapr[[#This Row],[Bucket]])/1000</f>
        <v>0</v>
      </c>
      <c r="AR372" s="1">
        <f t="shared" si="12"/>
        <v>0</v>
      </c>
      <c r="AS372" s="118"/>
    </row>
    <row r="373" spans="1:45" x14ac:dyDescent="0.25">
      <c r="A373" s="30">
        <v>299</v>
      </c>
      <c r="B373" s="5" t="s">
        <v>1872</v>
      </c>
      <c r="C373" s="2" t="s">
        <v>291</v>
      </c>
      <c r="D373" s="2" t="s">
        <v>2002</v>
      </c>
      <c r="E373" s="2" t="s">
        <v>292</v>
      </c>
      <c r="F373" s="2"/>
      <c r="G373" s="2" t="str">
        <f>_xlfn.CONCAT(scheduleapr[[#This Row],[CUSTOMER CODE]],"-",scheduleapr[[#This Row],[MATERIAL NO]])</f>
        <v>129695|187884|188415|189239|189240-</v>
      </c>
      <c r="H373" s="2"/>
      <c r="I373" s="2" t="s">
        <v>357</v>
      </c>
      <c r="J373" s="2"/>
      <c r="K373" s="2" t="s">
        <v>357</v>
      </c>
      <c r="L373" s="2" t="s">
        <v>239</v>
      </c>
      <c r="M373" s="2"/>
      <c r="N373" s="2"/>
      <c r="O373" s="2"/>
      <c r="P373" s="2"/>
      <c r="Q373" s="557" t="str">
        <f>CONCATENATE(scheduleapr[[#This Row],[OD]],"-",scheduleapr[[#This Row],[ID]],"-",scheduleapr[[#This Row],[TICKNESS]],"-",scheduleapr[[#This Row],[Grade]],"-",scheduleapr[[#This Row],[FC/NFC]])</f>
        <v>16.1-0-2.8-CEW-CEW</v>
      </c>
      <c r="R373" s="557" t="str">
        <f>_xlfn.CONCAT(scheduleapr[[#This Row],[Bucket]],"-",scheduleapr[[#This Row],[LENGTH]]/1000)</f>
        <v>16.1-0-2.8-CEW-CEW-4.5</v>
      </c>
      <c r="S373" s="557" t="e" vm="2">
        <f>COUNTIF([2]!buckets[CTL Bucket],[2]!scheduleapr[[#This Row],[CTL Bucket]])</f>
        <v>#REF!</v>
      </c>
      <c r="T373" s="557"/>
      <c r="U373" s="557"/>
      <c r="V373" s="557"/>
      <c r="W373" s="557"/>
      <c r="X373" s="1">
        <v>16.100000000000001</v>
      </c>
      <c r="Y373" s="1">
        <v>16.100000000000001</v>
      </c>
      <c r="Z373" s="1">
        <v>0</v>
      </c>
      <c r="AA373" s="1">
        <v>2.8</v>
      </c>
      <c r="AB373" s="24">
        <v>4500</v>
      </c>
      <c r="AC373" s="24" t="s">
        <v>444</v>
      </c>
      <c r="AD373" s="24"/>
      <c r="AE373" s="24"/>
      <c r="AF373" s="2"/>
      <c r="AG373" s="2"/>
      <c r="AH373" s="2" cm="1">
        <f t="array" ref="AH3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3" s="4">
        <f>scheduleapr[[#This Row],[SCHEDULE in nos]]-scheduleapr[[#This Row],[DISPATCH]]</f>
        <v>0</v>
      </c>
      <c r="AJ373" s="1">
        <f>(3.14*(scheduleapr[[#This Row],[ACTUAL OD]]-scheduleapr[[#This Row],[TICKNESS]])*scheduleapr[[#This Row],[TICKNESS]]*scheduleapr[[#This Row],[LENGTH]]*7.85)/1000000*scheduleapr[[#This Row],[SCHEDULE in nos]]/1000</f>
        <v>0</v>
      </c>
      <c r="AK373" s="1">
        <f>(3.14*(scheduleapr[[#This Row],[ACTUAL OD]]-scheduleapr[[#This Row],[TICKNESS]])*scheduleapr[[#This Row],[TICKNESS]]*scheduleapr[[#This Row],[LENGTH]]*7.85)/1000000*scheduleapr[[#This Row],[DISPATCH]]/1000</f>
        <v>0</v>
      </c>
      <c r="AL373" s="1">
        <f t="shared" si="13"/>
        <v>0</v>
      </c>
      <c r="AM373" s="1" t="e">
        <f>scheduleapr[[#This Row],[SCHEDULE in nos]]/scheduleapr[[#This Row],[SCHEDULE IN MT]]*scheduleapr[[#This Row],[CTL Stock]]</f>
        <v>#DIV/0!</v>
      </c>
      <c r="AN373" s="1">
        <f>SUMIFS(stock[MT],stock[Bucket],scheduleapr[[#This Row],[Bucket]],stock[CTL Bucket],scheduleapr[[#This Row],[CTL Bucket]],stock[Plant],"0789")</f>
        <v>0</v>
      </c>
      <c r="AO373" s="1"/>
      <c r="AP373" s="1">
        <f>SUMIFS(stock[MT],stock[Bucket],scheduleapr[[#This Row],[Bucket]],stock[LL or CTL],"LL")</f>
        <v>1.92143</v>
      </c>
      <c r="AQ373" s="1">
        <f>+SUMIFS(wip[Stock(Net Wt)],wip[Bucket],scheduleapr[[#This Row],[Bucket]])/1000</f>
        <v>0</v>
      </c>
      <c r="AR373" s="1">
        <f t="shared" si="12"/>
        <v>0</v>
      </c>
      <c r="AS373" s="118"/>
    </row>
    <row r="374" spans="1:45" x14ac:dyDescent="0.25">
      <c r="A374" s="30">
        <v>349</v>
      </c>
      <c r="B374" s="5" t="s">
        <v>1872</v>
      </c>
      <c r="C374" s="2" t="s">
        <v>298</v>
      </c>
      <c r="D374" s="2" t="s">
        <v>2002</v>
      </c>
      <c r="E374" s="2" t="s">
        <v>292</v>
      </c>
      <c r="F374" s="2">
        <v>2410996</v>
      </c>
      <c r="G374" s="2" t="str">
        <f>_xlfn.CONCAT(scheduleapr[[#This Row],[CUSTOMER CODE]],"-",scheduleapr[[#This Row],[MATERIAL NO]])</f>
        <v>129695|187884|188415|189239|189240-2410996</v>
      </c>
      <c r="H374" s="2" t="s">
        <v>1230</v>
      </c>
      <c r="I374" s="2" t="s">
        <v>357</v>
      </c>
      <c r="J374" s="2"/>
      <c r="K374" s="2" t="s">
        <v>357</v>
      </c>
      <c r="L374" s="2" t="s">
        <v>239</v>
      </c>
      <c r="M374" s="2"/>
      <c r="N374" s="2"/>
      <c r="O374" s="2"/>
      <c r="P374" s="2"/>
      <c r="Q374" s="557" t="str">
        <f>CONCATENATE(scheduleapr[[#This Row],[OD]],"-",scheduleapr[[#This Row],[ID]],"-",scheduleapr[[#This Row],[TICKNESS]],"-",scheduleapr[[#This Row],[Grade]],"-",scheduleapr[[#This Row],[FC/NFC]])</f>
        <v>16.1-10.4-2.7-CEW-CEW</v>
      </c>
      <c r="R374" s="557" t="str">
        <f>_xlfn.CONCAT(scheduleapr[[#This Row],[Bucket]],"-",scheduleapr[[#This Row],[LENGTH]]/1000)</f>
        <v>16.1-10.4-2.7-CEW-CEW-1</v>
      </c>
      <c r="S374" s="557">
        <f>COUNTIF(scheduleapr[CTL Bucket],scheduleapr[[#This Row],[CTL Bucket]])</f>
        <v>2</v>
      </c>
      <c r="T374" s="2" t="s">
        <v>1817</v>
      </c>
      <c r="U374" s="2">
        <f>_xlfn.IFNA(VLOOKUP(scheduleapr[[#This Row],[Bucket]],salesforecast[[#All],[Bucket2]:[8406 Stock]],19,0),0)</f>
        <v>6.2502170000000001</v>
      </c>
      <c r="V374" s="562">
        <f>_xlfn.IFNA(VLOOKUP(scheduleapr[[#This Row],[Bucket]],salesforecast[[#All],[Bucket2]:[8406 Stock]],20,0),0)+_xlfn.IFNA(VLOOKUP(scheduleapr[[#This Row],[Bucket]],salesforecast[[#All],[Bucket2]:[8406 Stock]],17,0),0)</f>
        <v>0</v>
      </c>
      <c r="W374" s="557"/>
      <c r="X374" s="1">
        <v>16.100000000000001</v>
      </c>
      <c r="Y374" s="1">
        <v>16.100000000000001</v>
      </c>
      <c r="Z374" s="1">
        <v>10.4</v>
      </c>
      <c r="AA374" s="1">
        <v>2.7</v>
      </c>
      <c r="AB374" s="24">
        <v>1000</v>
      </c>
      <c r="AC374" s="24" t="s">
        <v>444</v>
      </c>
      <c r="AD374" s="24"/>
      <c r="AE374" s="24"/>
      <c r="AF374" s="2"/>
      <c r="AG374" s="2"/>
      <c r="AH374" s="2" cm="1">
        <f t="array" ref="AH3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4" s="4">
        <f>scheduleapr[[#This Row],[SCHEDULE in nos]]-scheduleapr[[#This Row],[DISPATCH]]</f>
        <v>0</v>
      </c>
      <c r="AJ374" s="1">
        <f>(3.14*(scheduleapr[[#This Row],[ACTUAL OD]]-scheduleapr[[#This Row],[TICKNESS]])*scheduleapr[[#This Row],[TICKNESS]]*scheduleapr[[#This Row],[LENGTH]]*7.85)/1000000*scheduleapr[[#This Row],[SCHEDULE in nos]]/1000</f>
        <v>0</v>
      </c>
      <c r="AK374" s="1">
        <f>(3.14*(scheduleapr[[#This Row],[ACTUAL OD]]-scheduleapr[[#This Row],[TICKNESS]])*scheduleapr[[#This Row],[TICKNESS]]*scheduleapr[[#This Row],[LENGTH]]*7.85)/1000000*scheduleapr[[#This Row],[DISPATCH]]/1000</f>
        <v>0</v>
      </c>
      <c r="AL374" s="1">
        <f t="shared" si="13"/>
        <v>0</v>
      </c>
      <c r="AM374" s="1" t="e">
        <f>scheduleapr[[#This Row],[SCHEDULE in nos]]/scheduleapr[[#This Row],[SCHEDULE IN MT]]*scheduleapr[[#This Row],[CTL Stock]]</f>
        <v>#DIV/0!</v>
      </c>
      <c r="AN374" s="1">
        <f>SUMIFS(stock[MT],stock[Bucket],scheduleapr[[#This Row],[Bucket]],stock[CTL Bucket],scheduleapr[[#This Row],[CTL Bucket]],stock[Plant],"0789")</f>
        <v>0</v>
      </c>
      <c r="AO374" s="1"/>
      <c r="AP374" s="1">
        <f>SUMIFS(stock[MT],stock[Bucket],scheduleapr[[#This Row],[Bucket]],stock[LL or CTL],"LL")</f>
        <v>7.4622169999999999</v>
      </c>
      <c r="AQ374" s="1">
        <f>+SUMIFS(wip[Stock(Net Wt)],wip[Bucket],scheduleapr[[#This Row],[Bucket]])/1000</f>
        <v>0</v>
      </c>
      <c r="AR374" s="1">
        <f t="shared" si="12"/>
        <v>0</v>
      </c>
      <c r="AS374" s="118"/>
    </row>
    <row r="375" spans="1:45" x14ac:dyDescent="0.25">
      <c r="A375" s="30">
        <v>300</v>
      </c>
      <c r="B375" s="5" t="s">
        <v>1872</v>
      </c>
      <c r="C375" s="2" t="s">
        <v>291</v>
      </c>
      <c r="D375" s="2" t="s">
        <v>2002</v>
      </c>
      <c r="E375" s="2" t="s">
        <v>292</v>
      </c>
      <c r="F375" s="2">
        <v>1931824</v>
      </c>
      <c r="G375" s="2" t="str">
        <f>_xlfn.CONCAT(scheduleapr[[#This Row],[CUSTOMER CODE]],"-",scheduleapr[[#This Row],[MATERIAL NO]])</f>
        <v>129695|187884|188415|189239|189240-1931824</v>
      </c>
      <c r="H375" s="2" t="s">
        <v>1968</v>
      </c>
      <c r="I375" s="2" t="s">
        <v>357</v>
      </c>
      <c r="J375" s="2"/>
      <c r="K375" s="2" t="s">
        <v>357</v>
      </c>
      <c r="L375" s="2" t="s">
        <v>239</v>
      </c>
      <c r="M375" s="2"/>
      <c r="N375" s="2"/>
      <c r="O375" s="2"/>
      <c r="P375" s="2"/>
      <c r="Q375" s="557" t="str">
        <f>CONCATENATE(scheduleapr[[#This Row],[OD]],"-",scheduleapr[[#This Row],[ID]],"-",scheduleapr[[#This Row],[TICKNESS]],"-",scheduleapr[[#This Row],[Grade]],"-",scheduleapr[[#This Row],[FC/NFC]])</f>
        <v>17.3-0-1.2-CEW-CEW</v>
      </c>
      <c r="R375" s="557" t="str">
        <f>_xlfn.CONCAT(scheduleapr[[#This Row],[Bucket]],"-",scheduleapr[[#This Row],[LENGTH]]/1000)</f>
        <v>17.3-0-1.2-CEW-CEW-6</v>
      </c>
      <c r="S375" s="557" t="e" vm="2">
        <f>COUNTIF([2]!buckets[CTL Bucket],[2]!scheduleapr[[#This Row],[CTL Bucket]])</f>
        <v>#REF!</v>
      </c>
      <c r="T375" s="557"/>
      <c r="U375" s="557"/>
      <c r="V375" s="557"/>
      <c r="W375" s="557"/>
      <c r="X375" s="1">
        <v>17.3</v>
      </c>
      <c r="Y375" s="1">
        <v>17.3</v>
      </c>
      <c r="Z375" s="1">
        <v>0</v>
      </c>
      <c r="AA375" s="1">
        <v>1.2</v>
      </c>
      <c r="AB375" s="24">
        <v>6000</v>
      </c>
      <c r="AC375" s="24"/>
      <c r="AD375" s="24"/>
      <c r="AE375" s="24"/>
      <c r="AF375" s="2"/>
      <c r="AG375" s="2"/>
      <c r="AH375" s="2" t="e" cm="1">
        <f t="array" ref="AH3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75" s="4" t="e">
        <f>scheduleapr[[#This Row],[SCHEDULE in nos]]-scheduleapr[[#This Row],[DISPATCH]]</f>
        <v>#N/A</v>
      </c>
      <c r="AJ375" s="1">
        <f>(3.14*(scheduleapr[[#This Row],[ACTUAL OD]]-scheduleapr[[#This Row],[TICKNESS]])*scheduleapr[[#This Row],[TICKNESS]]*scheduleapr[[#This Row],[LENGTH]]*7.85)/1000000*scheduleapr[[#This Row],[SCHEDULE in nos]]/1000</f>
        <v>0</v>
      </c>
      <c r="AK375" s="1" t="e">
        <f>(3.14*(scheduleapr[[#This Row],[ACTUAL OD]]-scheduleapr[[#This Row],[TICKNESS]])*scheduleapr[[#This Row],[TICKNESS]]*scheduleapr[[#This Row],[LENGTH]]*7.85)/1000000*scheduleapr[[#This Row],[DISPATCH]]/1000</f>
        <v>#N/A</v>
      </c>
      <c r="AL375" s="1" t="e">
        <f t="shared" si="13"/>
        <v>#N/A</v>
      </c>
      <c r="AM375" s="1" t="e">
        <f>scheduleapr[[#This Row],[SCHEDULE in nos]]/scheduleapr[[#This Row],[SCHEDULE IN MT]]*scheduleapr[[#This Row],[CTL Stock]]</f>
        <v>#DIV/0!</v>
      </c>
      <c r="AN375" s="1">
        <f>SUMIFS(stock[MT],stock[Bucket],scheduleapr[[#This Row],[Bucket]],stock[CTL Bucket],scheduleapr[[#This Row],[CTL Bucket]],stock[Plant],"0789")</f>
        <v>0</v>
      </c>
      <c r="AO375" s="1"/>
      <c r="AP375" s="1">
        <f>SUMIFS(stock[MT],stock[Bucket],scheduleapr[[#This Row],[Bucket]],stock[LL or CTL],"LL")</f>
        <v>0</v>
      </c>
      <c r="AQ375" s="1">
        <f>+SUMIFS(wip[Stock(Net Wt)],wip[Bucket],scheduleapr[[#This Row],[Bucket]])/1000</f>
        <v>0</v>
      </c>
      <c r="AR375" s="1">
        <f t="shared" si="12"/>
        <v>0</v>
      </c>
      <c r="AS375" s="118"/>
    </row>
    <row r="376" spans="1:45" x14ac:dyDescent="0.25">
      <c r="A376" s="30">
        <v>404</v>
      </c>
      <c r="B376" s="5" t="s">
        <v>1872</v>
      </c>
      <c r="C376" s="2" t="s">
        <v>298</v>
      </c>
      <c r="D376" s="2" t="s">
        <v>2002</v>
      </c>
      <c r="E376" s="2" t="s">
        <v>292</v>
      </c>
      <c r="F376" s="2">
        <v>2410998</v>
      </c>
      <c r="G376" s="2" t="str">
        <f>_xlfn.CONCAT(scheduleapr[[#This Row],[CUSTOMER CODE]],"-",scheduleapr[[#This Row],[MATERIAL NO]])</f>
        <v>129695|187884|188415|189239|189240-2410998</v>
      </c>
      <c r="H376" s="2" t="s">
        <v>2003</v>
      </c>
      <c r="I376" s="2" t="s">
        <v>357</v>
      </c>
      <c r="J376" s="2"/>
      <c r="K376" s="2" t="s">
        <v>357</v>
      </c>
      <c r="L376" s="2" t="s">
        <v>239</v>
      </c>
      <c r="M376" s="2"/>
      <c r="N376" s="2"/>
      <c r="O376" s="2"/>
      <c r="P376" s="2"/>
      <c r="Q376" s="557" t="str">
        <f>CONCATENATE(scheduleapr[[#This Row],[OD]],"-",scheduleapr[[#This Row],[ID]],"-",scheduleapr[[#This Row],[TICKNESS]],"-",scheduleapr[[#This Row],[Grade]],"-",scheduleapr[[#This Row],[FC/NFC]])</f>
        <v>18.2-12.3-2.95-CEW-CEW</v>
      </c>
      <c r="R376" s="557" t="str">
        <f>_xlfn.CONCAT(scheduleapr[[#This Row],[Bucket]],"-",scheduleapr[[#This Row],[LENGTH]]/1000)</f>
        <v>18.2-12.3-2.95-CEW-CEW-1</v>
      </c>
      <c r="S376" s="557">
        <f>COUNTIF(scheduleapr[CTL Bucket],scheduleapr[[#This Row],[CTL Bucket]])</f>
        <v>1</v>
      </c>
      <c r="T376" s="557"/>
      <c r="U376" s="2">
        <f>_xlfn.IFNA(VLOOKUP(scheduleapr[[#This Row],[Bucket]],salesforecast[[#All],[Bucket2]:[8406 Stock]],19,0),0)</f>
        <v>0</v>
      </c>
      <c r="V376" s="562">
        <f>_xlfn.IFNA(VLOOKUP(scheduleapr[[#This Row],[Bucket]],salesforecast[[#All],[Bucket2]:[8406 Stock]],20,0),0)+_xlfn.IFNA(VLOOKUP(scheduleapr[[#This Row],[Bucket]],salesforecast[[#All],[Bucket2]:[8406 Stock]],17,0),0)</f>
        <v>0</v>
      </c>
      <c r="W376" s="557"/>
      <c r="X376" s="1">
        <v>18.2</v>
      </c>
      <c r="Y376" s="1">
        <v>18.2</v>
      </c>
      <c r="Z376" s="1">
        <v>12.3</v>
      </c>
      <c r="AA376" s="1">
        <v>2.95</v>
      </c>
      <c r="AB376" s="24">
        <v>1000</v>
      </c>
      <c r="AC376" s="24" t="s">
        <v>444</v>
      </c>
      <c r="AD376" s="24"/>
      <c r="AE376" s="24"/>
      <c r="AF376" s="2">
        <v>2500</v>
      </c>
      <c r="AG376" s="2"/>
      <c r="AH376" s="2" cm="1">
        <f t="array" ref="AH3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6" s="4">
        <f>scheduleapr[[#This Row],[SCHEDULE in nos]]-scheduleapr[[#This Row],[DISPATCH]]</f>
        <v>2500</v>
      </c>
      <c r="AJ376" s="1">
        <f>(3.14*(scheduleapr[[#This Row],[ACTUAL OD]]-scheduleapr[[#This Row],[TICKNESS]])*scheduleapr[[#This Row],[TICKNESS]]*scheduleapr[[#This Row],[LENGTH]]*7.85)/1000000*scheduleapr[[#This Row],[SCHEDULE in nos]]/1000</f>
        <v>2.7722422187500007</v>
      </c>
      <c r="AK376" s="1">
        <f>(3.14*(scheduleapr[[#This Row],[ACTUAL OD]]-scheduleapr[[#This Row],[TICKNESS]])*scheduleapr[[#This Row],[TICKNESS]]*scheduleapr[[#This Row],[LENGTH]]*7.85)/1000000*scheduleapr[[#This Row],[DISPATCH]]/1000</f>
        <v>0</v>
      </c>
      <c r="AL376" s="1">
        <f t="shared" si="13"/>
        <v>2.7722422187500007</v>
      </c>
      <c r="AM376" s="1">
        <f>scheduleapr[[#This Row],[SCHEDULE in nos]]/scheduleapr[[#This Row],[SCHEDULE IN MT]]*scheduleapr[[#This Row],[CTL Stock]]</f>
        <v>0</v>
      </c>
      <c r="AN376" s="1">
        <f>SUMIFS(stock[MT],stock[Bucket],scheduleapr[[#This Row],[Bucket]],stock[CTL Bucket],scheduleapr[[#This Row],[CTL Bucket]],stock[Plant],"0789")</f>
        <v>0</v>
      </c>
      <c r="AO376" s="1"/>
      <c r="AP376" s="1">
        <f>SUMIFS(stock[MT],stock[Bucket],scheduleapr[[#This Row],[Bucket]],stock[LL or CTL],"LL")</f>
        <v>0</v>
      </c>
      <c r="AQ376" s="1">
        <f>+SUMIFS(wip[Stock(Net Wt)],wip[Bucket],scheduleapr[[#This Row],[Bucket]])/1000</f>
        <v>0</v>
      </c>
      <c r="AR376" s="1">
        <f t="shared" si="12"/>
        <v>2.7722422187500007</v>
      </c>
      <c r="AS376" s="118"/>
    </row>
    <row r="377" spans="1:45" x14ac:dyDescent="0.25">
      <c r="A377" s="30">
        <v>356</v>
      </c>
      <c r="B377" s="5" t="s">
        <v>1872</v>
      </c>
      <c r="C377" s="2" t="s">
        <v>299</v>
      </c>
      <c r="D377" s="2" t="s">
        <v>2002</v>
      </c>
      <c r="E377" s="2" t="s">
        <v>292</v>
      </c>
      <c r="F377" s="2">
        <v>3545492</v>
      </c>
      <c r="G377" s="2" t="str">
        <f>_xlfn.CONCAT(scheduleapr[[#This Row],[CUSTOMER CODE]],"-",scheduleapr[[#This Row],[MATERIAL NO]])</f>
        <v>129695|187884|188415|189239|189240-3545492</v>
      </c>
      <c r="H377" s="2" t="s">
        <v>1948</v>
      </c>
      <c r="I377" s="2" t="s">
        <v>357</v>
      </c>
      <c r="J377" s="2"/>
      <c r="K377" s="2" t="s">
        <v>357</v>
      </c>
      <c r="L377" s="2" t="s">
        <v>239</v>
      </c>
      <c r="M377" s="2"/>
      <c r="N377" s="2"/>
      <c r="O377" s="2"/>
      <c r="P377" s="2"/>
      <c r="Q377" s="557" t="str">
        <f>CONCATENATE(scheduleapr[[#This Row],[OD]],"-",scheduleapr[[#This Row],[ID]],"-",scheduleapr[[#This Row],[TICKNESS]],"-",scheduleapr[[#This Row],[Grade]],"-",scheduleapr[[#This Row],[FC/NFC]])</f>
        <v>19-12.5-3.25-CEW-CEW</v>
      </c>
      <c r="R377" s="557" t="str">
        <f>_xlfn.CONCAT(scheduleapr[[#This Row],[Bucket]],"-",scheduleapr[[#This Row],[LENGTH]]/1000)</f>
        <v>19-12.5-3.25-CEW-CEW-0.195</v>
      </c>
      <c r="S377" s="557">
        <f>COUNTIF(scheduleapr[CTL Bucket],scheduleapr[[#This Row],[CTL Bucket]])</f>
        <v>2</v>
      </c>
      <c r="T377" s="2" t="s">
        <v>1817</v>
      </c>
      <c r="U377" s="2">
        <f>_xlfn.IFNA(VLOOKUP(scheduleapr[[#This Row],[Bucket]],salesforecast[[#All],[Bucket2]:[8406 Stock]],19,0),0)</f>
        <v>2.9557899999999999</v>
      </c>
      <c r="V377" s="562">
        <f>_xlfn.IFNA(VLOOKUP(scheduleapr[[#This Row],[Bucket]],salesforecast[[#All],[Bucket2]:[8406 Stock]],20,0),0)+_xlfn.IFNA(VLOOKUP(scheduleapr[[#This Row],[Bucket]],salesforecast[[#All],[Bucket2]:[8406 Stock]],17,0),0)</f>
        <v>1.5056590000000001</v>
      </c>
      <c r="W377" s="557"/>
      <c r="X377" s="1">
        <v>19</v>
      </c>
      <c r="Y377" s="1">
        <v>19</v>
      </c>
      <c r="Z377" s="1">
        <v>12.5</v>
      </c>
      <c r="AA377" s="1">
        <v>3.25</v>
      </c>
      <c r="AB377" s="81">
        <v>195</v>
      </c>
      <c r="AC377" s="24" t="s">
        <v>397</v>
      </c>
      <c r="AD377" s="24"/>
      <c r="AE377" s="24"/>
      <c r="AF377" s="2">
        <v>40000</v>
      </c>
      <c r="AG377" s="2"/>
      <c r="AH377" s="2" cm="1">
        <f t="array" ref="AH3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7" s="4">
        <f>scheduleapr[[#This Row],[SCHEDULE in nos]]-scheduleapr[[#This Row],[DISPATCH]]</f>
        <v>40000</v>
      </c>
      <c r="AJ377" s="1">
        <f>(3.14*(scheduleapr[[#This Row],[ACTUAL OD]]-scheduleapr[[#This Row],[TICKNESS]])*scheduleapr[[#This Row],[TICKNESS]]*scheduleapr[[#This Row],[LENGTH]]*7.85)/1000000*scheduleapr[[#This Row],[SCHEDULE in nos]]/1000</f>
        <v>9.841421362500002</v>
      </c>
      <c r="AK377" s="1">
        <f>(3.14*(scheduleapr[[#This Row],[ACTUAL OD]]-scheduleapr[[#This Row],[TICKNESS]])*scheduleapr[[#This Row],[TICKNESS]]*scheduleapr[[#This Row],[LENGTH]]*7.85)/1000000*scheduleapr[[#This Row],[DISPATCH]]/1000</f>
        <v>0</v>
      </c>
      <c r="AL377" s="1">
        <f t="shared" si="13"/>
        <v>9.841421362500002</v>
      </c>
      <c r="AM377" s="1">
        <f>scheduleapr[[#This Row],[SCHEDULE in nos]]/scheduleapr[[#This Row],[SCHEDULE IN MT]]*scheduleapr[[#This Row],[CTL Stock]]</f>
        <v>0</v>
      </c>
      <c r="AN377" s="1">
        <f>SUMIFS(stock[MT],stock[Bucket],scheduleapr[[#This Row],[Bucket]],stock[CTL Bucket],scheduleapr[[#This Row],[CTL Bucket]],stock[Plant],"0789")</f>
        <v>0</v>
      </c>
      <c r="AO377" s="1"/>
      <c r="AP377" s="1">
        <f>SUMIFS(stock[MT],stock[Bucket],scheduleapr[[#This Row],[Bucket]],stock[LL or CTL],"LL")</f>
        <v>9.9577899999999993</v>
      </c>
      <c r="AQ377" s="1">
        <f>+SUMIFS(wip[Stock(Net Wt)],wip[Bucket],scheduleapr[[#This Row],[Bucket]])/1000</f>
        <v>0</v>
      </c>
      <c r="AR377" s="1">
        <f t="shared" si="12"/>
        <v>9.841421362500002</v>
      </c>
      <c r="AS377" s="118"/>
    </row>
    <row r="378" spans="1:45" x14ac:dyDescent="0.25">
      <c r="A378" s="30">
        <v>358</v>
      </c>
      <c r="B378" s="5" t="s">
        <v>1872</v>
      </c>
      <c r="C378" s="2" t="s">
        <v>295</v>
      </c>
      <c r="D378" s="2" t="s">
        <v>2002</v>
      </c>
      <c r="E378" s="2" t="s">
        <v>292</v>
      </c>
      <c r="F378" s="2">
        <v>1938191</v>
      </c>
      <c r="G378" s="2" t="str">
        <f>_xlfn.CONCAT(scheduleapr[[#This Row],[CUSTOMER CODE]],"-",scheduleapr[[#This Row],[MATERIAL NO]])</f>
        <v>129695|187884|188415|189239|189240-1938191</v>
      </c>
      <c r="H378" s="2" t="s">
        <v>591</v>
      </c>
      <c r="I378" s="2" t="s">
        <v>357</v>
      </c>
      <c r="J378" s="2"/>
      <c r="K378" s="2" t="s">
        <v>357</v>
      </c>
      <c r="L378" s="2" t="s">
        <v>239</v>
      </c>
      <c r="M378" s="2"/>
      <c r="N378" s="2"/>
      <c r="O378" s="2"/>
      <c r="P378" s="2"/>
      <c r="Q378" s="557" t="str">
        <f>CONCATENATE(scheduleapr[[#This Row],[OD]],"-",scheduleapr[[#This Row],[ID]],"-",scheduleapr[[#This Row],[TICKNESS]],"-",scheduleapr[[#This Row],[Grade]],"-",scheduleapr[[#This Row],[FC/NFC]])</f>
        <v>19-12.5-3.25-CEW-CEW</v>
      </c>
      <c r="R378" s="557" t="str">
        <f>_xlfn.CONCAT(scheduleapr[[#This Row],[Bucket]],"-",scheduleapr[[#This Row],[LENGTH]]/1000)</f>
        <v>19-12.5-3.25-CEW-CEW-0.588</v>
      </c>
      <c r="S378" s="557">
        <f>COUNTIF(scheduleapr[CTL Bucket],scheduleapr[[#This Row],[CTL Bucket]])</f>
        <v>2</v>
      </c>
      <c r="T378" s="2" t="s">
        <v>1817</v>
      </c>
      <c r="U378" s="2">
        <f>_xlfn.IFNA(VLOOKUP(scheduleapr[[#This Row],[Bucket]],salesforecast[[#All],[Bucket2]:[8406 Stock]],19,0),0)</f>
        <v>2.9557899999999999</v>
      </c>
      <c r="V378" s="562">
        <f>_xlfn.IFNA(VLOOKUP(scheduleapr[[#This Row],[Bucket]],salesforecast[[#All],[Bucket2]:[8406 Stock]],20,0),0)+_xlfn.IFNA(VLOOKUP(scheduleapr[[#This Row],[Bucket]],salesforecast[[#All],[Bucket2]:[8406 Stock]],17,0),0)</f>
        <v>1.5056590000000001</v>
      </c>
      <c r="W378" s="557"/>
      <c r="X378" s="1">
        <v>19</v>
      </c>
      <c r="Y378" s="1">
        <v>19</v>
      </c>
      <c r="Z378" s="1">
        <v>12.5</v>
      </c>
      <c r="AA378" s="1">
        <v>3.25</v>
      </c>
      <c r="AB378" s="24">
        <v>588</v>
      </c>
      <c r="AC378" s="24" t="s">
        <v>397</v>
      </c>
      <c r="AD378" s="24"/>
      <c r="AE378" s="24"/>
      <c r="AF378" s="2"/>
      <c r="AG378" s="2"/>
      <c r="AH378" s="2" cm="1">
        <f t="array" ref="AH3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7748</v>
      </c>
      <c r="AI378" s="4">
        <f>scheduleapr[[#This Row],[SCHEDULE in nos]]-scheduleapr[[#This Row],[DISPATCH]]</f>
        <v>-7748</v>
      </c>
      <c r="AJ378" s="1">
        <f>(3.14*(scheduleapr[[#This Row],[ACTUAL OD]]-scheduleapr[[#This Row],[TICKNESS]])*scheduleapr[[#This Row],[TICKNESS]]*scheduleapr[[#This Row],[LENGTH]]*7.85)/1000000*scheduleapr[[#This Row],[SCHEDULE in nos]]/1000</f>
        <v>0</v>
      </c>
      <c r="AK378" s="1">
        <f>(3.14*(scheduleapr[[#This Row],[ACTUAL OD]]-scheduleapr[[#This Row],[TICKNESS]])*scheduleapr[[#This Row],[TICKNESS]]*scheduleapr[[#This Row],[LENGTH]]*7.85)/1000000*scheduleapr[[#This Row],[DISPATCH]]/1000</f>
        <v>5.7481773894090002</v>
      </c>
      <c r="AL378" s="1">
        <f t="shared" si="13"/>
        <v>-5.7481773894090002</v>
      </c>
      <c r="AM378" s="1" t="e">
        <f>scheduleapr[[#This Row],[SCHEDULE in nos]]/scheduleapr[[#This Row],[SCHEDULE IN MT]]*scheduleapr[[#This Row],[CTL Stock]]</f>
        <v>#DIV/0!</v>
      </c>
      <c r="AN378" s="1">
        <f>SUMIFS(stock[MT],stock[Bucket],scheduleapr[[#This Row],[Bucket]],stock[CTL Bucket],scheduleapr[[#This Row],[CTL Bucket]],stock[Plant],"0789")</f>
        <v>0</v>
      </c>
      <c r="AO378" s="1"/>
      <c r="AP378" s="1">
        <f>SUMIFS(stock[MT],stock[Bucket],scheduleapr[[#This Row],[Bucket]],stock[LL or CTL],"LL")</f>
        <v>9.9577899999999993</v>
      </c>
      <c r="AQ378" s="1">
        <f>+SUMIFS(wip[Stock(Net Wt)],wip[Bucket],scheduleapr[[#This Row],[Bucket]])/1000</f>
        <v>0</v>
      </c>
      <c r="AR378" s="1">
        <f t="shared" si="12"/>
        <v>0</v>
      </c>
      <c r="AS378" s="118"/>
    </row>
    <row r="379" spans="1:45" x14ac:dyDescent="0.25">
      <c r="A379" s="30">
        <v>301</v>
      </c>
      <c r="B379" s="5" t="s">
        <v>1872</v>
      </c>
      <c r="C379" s="2" t="s">
        <v>291</v>
      </c>
      <c r="D379" s="2" t="s">
        <v>2002</v>
      </c>
      <c r="E379" s="2" t="s">
        <v>292</v>
      </c>
      <c r="F379" s="2">
        <v>3468207</v>
      </c>
      <c r="G379" s="2" t="str">
        <f>_xlfn.CONCAT(scheduleapr[[#This Row],[CUSTOMER CODE]],"-",scheduleapr[[#This Row],[MATERIAL NO]])</f>
        <v>129695|187884|188415|189239|189240-3468207</v>
      </c>
      <c r="H379" s="2" t="s">
        <v>2004</v>
      </c>
      <c r="I379" s="2" t="s">
        <v>357</v>
      </c>
      <c r="J379" s="2"/>
      <c r="K379" s="2" t="s">
        <v>357</v>
      </c>
      <c r="L379" s="2" t="s">
        <v>239</v>
      </c>
      <c r="M379" s="2"/>
      <c r="N379" s="2"/>
      <c r="O379" s="2"/>
      <c r="P379" s="2"/>
      <c r="Q379" s="557" t="str">
        <f>CONCATENATE(scheduleapr[[#This Row],[OD]],"-",scheduleapr[[#This Row],[ID]],"-",scheduleapr[[#This Row],[TICKNESS]],"-",scheduleapr[[#This Row],[Grade]],"-",scheduleapr[[#This Row],[FC/NFC]])</f>
        <v>19-12.5-3.25-CEW-CEW</v>
      </c>
      <c r="R379" s="557" t="str">
        <f>_xlfn.CONCAT(scheduleapr[[#This Row],[Bucket]],"-",scheduleapr[[#This Row],[LENGTH]]/1000)</f>
        <v>19-12.5-3.25-CEW-CEW-5</v>
      </c>
      <c r="S379" s="557" t="e" vm="2">
        <f>COUNTIF([2]!buckets[CTL Bucket],[2]!scheduleapr[[#This Row],[CTL Bucket]])</f>
        <v>#REF!</v>
      </c>
      <c r="T379" s="557"/>
      <c r="U379" s="557"/>
      <c r="V379" s="557"/>
      <c r="W379" s="557"/>
      <c r="X379" s="1">
        <v>19</v>
      </c>
      <c r="Y379" s="1">
        <v>19</v>
      </c>
      <c r="Z379" s="1">
        <v>12.5</v>
      </c>
      <c r="AA379" s="1">
        <v>3.25</v>
      </c>
      <c r="AB379" s="24">
        <v>5000</v>
      </c>
      <c r="AC379" s="24"/>
      <c r="AD379" s="24"/>
      <c r="AE379" s="24"/>
      <c r="AF379" s="2"/>
      <c r="AG379" s="2"/>
      <c r="AH379" s="2" t="e" cm="1">
        <f t="array" ref="AH3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79" s="4" t="e">
        <f>scheduleapr[[#This Row],[SCHEDULE in nos]]-scheduleapr[[#This Row],[DISPATCH]]</f>
        <v>#N/A</v>
      </c>
      <c r="AJ379" s="1">
        <f>(3.14*(scheduleapr[[#This Row],[ACTUAL OD]]-scheduleapr[[#This Row],[TICKNESS]])*scheduleapr[[#This Row],[TICKNESS]]*scheduleapr[[#This Row],[LENGTH]]*7.85)/1000000*scheduleapr[[#This Row],[SCHEDULE in nos]]/1000</f>
        <v>0</v>
      </c>
      <c r="AK379" s="1" t="e">
        <f>(3.14*(scheduleapr[[#This Row],[ACTUAL OD]]-scheduleapr[[#This Row],[TICKNESS]])*scheduleapr[[#This Row],[TICKNESS]]*scheduleapr[[#This Row],[LENGTH]]*7.85)/1000000*scheduleapr[[#This Row],[DISPATCH]]/1000</f>
        <v>#N/A</v>
      </c>
      <c r="AL379" s="1" t="e">
        <f t="shared" si="13"/>
        <v>#N/A</v>
      </c>
      <c r="AM379" s="1" t="e">
        <f>scheduleapr[[#This Row],[SCHEDULE in nos]]/scheduleapr[[#This Row],[SCHEDULE IN MT]]*scheduleapr[[#This Row],[CTL Stock]]</f>
        <v>#DIV/0!</v>
      </c>
      <c r="AN379" s="1">
        <f>SUMIFS(stock[MT],stock[Bucket],scheduleapr[[#This Row],[Bucket]],stock[CTL Bucket],scheduleapr[[#This Row],[CTL Bucket]],stock[Plant],"0789")</f>
        <v>0</v>
      </c>
      <c r="AO379" s="1"/>
      <c r="AP379" s="1">
        <f>SUMIFS(stock[MT],stock[Bucket],scheduleapr[[#This Row],[Bucket]],stock[LL or CTL],"LL")</f>
        <v>9.9577899999999993</v>
      </c>
      <c r="AQ379" s="1">
        <f>+SUMIFS(wip[Stock(Net Wt)],wip[Bucket],scheduleapr[[#This Row],[Bucket]])/1000</f>
        <v>0</v>
      </c>
      <c r="AR379" s="1">
        <f t="shared" si="12"/>
        <v>0</v>
      </c>
      <c r="AS379" s="118"/>
    </row>
    <row r="380" spans="1:45" x14ac:dyDescent="0.25">
      <c r="A380" s="30">
        <v>302</v>
      </c>
      <c r="B380" s="5" t="s">
        <v>1872</v>
      </c>
      <c r="C380" s="2" t="s">
        <v>291</v>
      </c>
      <c r="D380" s="2" t="s">
        <v>2002</v>
      </c>
      <c r="E380" s="2" t="s">
        <v>292</v>
      </c>
      <c r="F380" s="2"/>
      <c r="G380" s="2" t="str">
        <f>_xlfn.CONCAT(scheduleapr[[#This Row],[CUSTOMER CODE]],"-",scheduleapr[[#This Row],[MATERIAL NO]])</f>
        <v>129695|187884|188415|189239|189240-</v>
      </c>
      <c r="H380" s="2"/>
      <c r="I380" s="2" t="s">
        <v>357</v>
      </c>
      <c r="J380" s="2"/>
      <c r="K380" s="2" t="s">
        <v>357</v>
      </c>
      <c r="L380" s="2" t="s">
        <v>239</v>
      </c>
      <c r="M380" s="2"/>
      <c r="N380" s="2"/>
      <c r="O380" s="2"/>
      <c r="P380" s="2"/>
      <c r="Q380" s="557" t="str">
        <f>CONCATENATE(scheduleapr[[#This Row],[OD]],"-",scheduleapr[[#This Row],[ID]],"-",scheduleapr[[#This Row],[TICKNESS]],"-",scheduleapr[[#This Row],[Grade]],"-",scheduleapr[[#This Row],[FC/NFC]])</f>
        <v>19-12.5-3.25-CEW-CEW</v>
      </c>
      <c r="R380" s="557" t="str">
        <f>_xlfn.CONCAT(scheduleapr[[#This Row],[Bucket]],"-",scheduleapr[[#This Row],[LENGTH]]/1000)</f>
        <v>19-12.5-3.25-CEW-CEW-0.2</v>
      </c>
      <c r="S380" s="557" t="e" vm="2">
        <f>COUNTIF([2]!buckets[CTL Bucket],[2]!scheduleapr[[#This Row],[CTL Bucket]])</f>
        <v>#REF!</v>
      </c>
      <c r="T380" s="557"/>
      <c r="U380" s="557"/>
      <c r="V380" s="557"/>
      <c r="W380" s="557"/>
      <c r="X380" s="1">
        <v>19.05</v>
      </c>
      <c r="Y380" s="1">
        <v>19</v>
      </c>
      <c r="Z380" s="1">
        <v>12.5</v>
      </c>
      <c r="AA380" s="1">
        <v>3.25</v>
      </c>
      <c r="AB380" s="24">
        <v>200</v>
      </c>
      <c r="AC380" s="24"/>
      <c r="AD380" s="24"/>
      <c r="AE380" s="24"/>
      <c r="AF380" s="2"/>
      <c r="AG380" s="2"/>
      <c r="AH380" s="2" t="e" cm="1">
        <f t="array" ref="AH3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80" s="4" t="e">
        <f>scheduleapr[[#This Row],[SCHEDULE in nos]]-scheduleapr[[#This Row],[DISPATCH]]</f>
        <v>#N/A</v>
      </c>
      <c r="AJ380" s="1">
        <f>(3.14*(scheduleapr[[#This Row],[ACTUAL OD]]-scheduleapr[[#This Row],[TICKNESS]])*scheduleapr[[#This Row],[TICKNESS]]*scheduleapr[[#This Row],[LENGTH]]*7.85)/1000000*scheduleapr[[#This Row],[SCHEDULE in nos]]/1000</f>
        <v>0</v>
      </c>
      <c r="AK380" s="1" t="e">
        <f>(3.14*(scheduleapr[[#This Row],[ACTUAL OD]]-scheduleapr[[#This Row],[TICKNESS]])*scheduleapr[[#This Row],[TICKNESS]]*scheduleapr[[#This Row],[LENGTH]]*7.85)/1000000*scheduleapr[[#This Row],[DISPATCH]]/1000</f>
        <v>#N/A</v>
      </c>
      <c r="AL380" s="1" t="e">
        <f t="shared" si="13"/>
        <v>#N/A</v>
      </c>
      <c r="AM380" s="1" t="e">
        <f>scheduleapr[[#This Row],[SCHEDULE in nos]]/scheduleapr[[#This Row],[SCHEDULE IN MT]]*scheduleapr[[#This Row],[CTL Stock]]</f>
        <v>#DIV/0!</v>
      </c>
      <c r="AN380" s="1">
        <f>SUMIFS(stock[MT],stock[Bucket],scheduleapr[[#This Row],[Bucket]],stock[CTL Bucket],scheduleapr[[#This Row],[CTL Bucket]],stock[Plant],"0789")</f>
        <v>0</v>
      </c>
      <c r="AO380" s="1"/>
      <c r="AP380" s="1">
        <f>SUMIFS(stock[MT],stock[Bucket],scheduleapr[[#This Row],[Bucket]],stock[LL or CTL],"LL")</f>
        <v>9.9577899999999993</v>
      </c>
      <c r="AQ380" s="1">
        <f>+SUMIFS(wip[Stock(Net Wt)],wip[Bucket],scheduleapr[[#This Row],[Bucket]])/1000</f>
        <v>0</v>
      </c>
      <c r="AR380" s="1">
        <f t="shared" si="12"/>
        <v>0</v>
      </c>
      <c r="AS380" s="118"/>
    </row>
    <row r="381" spans="1:45" x14ac:dyDescent="0.25">
      <c r="A381" s="30">
        <v>303</v>
      </c>
      <c r="B381" s="5" t="s">
        <v>1872</v>
      </c>
      <c r="C381" s="2" t="s">
        <v>291</v>
      </c>
      <c r="D381" s="2" t="s">
        <v>2002</v>
      </c>
      <c r="E381" s="2" t="s">
        <v>292</v>
      </c>
      <c r="F381" s="2">
        <v>3545491</v>
      </c>
      <c r="G381" s="2" t="str">
        <f>_xlfn.CONCAT(scheduleapr[[#This Row],[CUSTOMER CODE]],"-",scheduleapr[[#This Row],[MATERIAL NO]])</f>
        <v>129695|187884|188415|189239|189240-3545491</v>
      </c>
      <c r="H381" s="2" t="s">
        <v>2005</v>
      </c>
      <c r="I381" s="2" t="s">
        <v>357</v>
      </c>
      <c r="J381" s="2"/>
      <c r="K381" s="2" t="s">
        <v>357</v>
      </c>
      <c r="L381" s="2" t="s">
        <v>239</v>
      </c>
      <c r="M381" s="2"/>
      <c r="N381" s="2"/>
      <c r="O381" s="2"/>
      <c r="P381" s="2"/>
      <c r="Q381" s="557" t="str">
        <f>CONCATENATE(scheduleapr[[#This Row],[OD]],"-",scheduleapr[[#This Row],[ID]],"-",scheduleapr[[#This Row],[TICKNESS]],"-",scheduleapr[[#This Row],[Grade]],"-",scheduleapr[[#This Row],[FC/NFC]])</f>
        <v>19-12.5-3.25-CEW-CEW</v>
      </c>
      <c r="R381" s="557" t="str">
        <f>_xlfn.CONCAT(scheduleapr[[#This Row],[Bucket]],"-",scheduleapr[[#This Row],[LENGTH]]/1000)</f>
        <v>19-12.5-3.25-CEW-CEW-0.319</v>
      </c>
      <c r="S381" s="557" t="e" vm="2">
        <f>COUNTIF([2]!buckets[CTL Bucket],[2]!scheduleapr[[#This Row],[CTL Bucket]])</f>
        <v>#REF!</v>
      </c>
      <c r="T381" s="557"/>
      <c r="U381" s="557"/>
      <c r="V381" s="557"/>
      <c r="W381" s="557"/>
      <c r="X381" s="1">
        <v>19.05</v>
      </c>
      <c r="Y381" s="1">
        <v>19</v>
      </c>
      <c r="Z381" s="1">
        <v>12.5</v>
      </c>
      <c r="AA381" s="1">
        <v>3.25</v>
      </c>
      <c r="AB381" s="24">
        <v>319</v>
      </c>
      <c r="AC381" s="24"/>
      <c r="AD381" s="24"/>
      <c r="AE381" s="24"/>
      <c r="AF381" s="2"/>
      <c r="AG381" s="2"/>
      <c r="AH381" s="2" t="e" cm="1">
        <f t="array" ref="AH3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81" s="4" t="e">
        <f>scheduleapr[[#This Row],[SCHEDULE in nos]]-scheduleapr[[#This Row],[DISPATCH]]</f>
        <v>#N/A</v>
      </c>
      <c r="AJ381" s="1">
        <f>(3.14*(scheduleapr[[#This Row],[ACTUAL OD]]-scheduleapr[[#This Row],[TICKNESS]])*scheduleapr[[#This Row],[TICKNESS]]*scheduleapr[[#This Row],[LENGTH]]*7.85)/1000000*scheduleapr[[#This Row],[SCHEDULE in nos]]/1000</f>
        <v>0</v>
      </c>
      <c r="AK381" s="1" t="e">
        <f>(3.14*(scheduleapr[[#This Row],[ACTUAL OD]]-scheduleapr[[#This Row],[TICKNESS]])*scheduleapr[[#This Row],[TICKNESS]]*scheduleapr[[#This Row],[LENGTH]]*7.85)/1000000*scheduleapr[[#This Row],[DISPATCH]]/1000</f>
        <v>#N/A</v>
      </c>
      <c r="AL381" s="1" t="e">
        <f t="shared" si="13"/>
        <v>#N/A</v>
      </c>
      <c r="AM381" s="1" t="e">
        <f>scheduleapr[[#This Row],[SCHEDULE in nos]]/scheduleapr[[#This Row],[SCHEDULE IN MT]]*scheduleapr[[#This Row],[CTL Stock]]</f>
        <v>#DIV/0!</v>
      </c>
      <c r="AN381" s="1">
        <f>SUMIFS(stock[MT],stock[Bucket],scheduleapr[[#This Row],[Bucket]],stock[CTL Bucket],scheduleapr[[#This Row],[CTL Bucket]],stock[Plant],"0789")</f>
        <v>0</v>
      </c>
      <c r="AO381" s="1"/>
      <c r="AP381" s="1">
        <f>SUMIFS(stock[MT],stock[Bucket],scheduleapr[[#This Row],[Bucket]],stock[LL or CTL],"LL")</f>
        <v>9.9577899999999993</v>
      </c>
      <c r="AQ381" s="1">
        <f>+SUMIFS(wip[Stock(Net Wt)],wip[Bucket],scheduleapr[[#This Row],[Bucket]])/1000</f>
        <v>0</v>
      </c>
      <c r="AR381" s="1">
        <f t="shared" si="12"/>
        <v>0</v>
      </c>
      <c r="AS381" s="118"/>
    </row>
    <row r="382" spans="1:45" x14ac:dyDescent="0.25">
      <c r="A382" s="30">
        <v>407</v>
      </c>
      <c r="B382" s="5" t="s">
        <v>1872</v>
      </c>
      <c r="C382" s="2" t="s">
        <v>298</v>
      </c>
      <c r="D382" s="2" t="s">
        <v>2002</v>
      </c>
      <c r="E382" s="2" t="s">
        <v>292</v>
      </c>
      <c r="F382" s="2"/>
      <c r="G382" s="2" t="str">
        <f>_xlfn.CONCAT(scheduleapr[[#This Row],[CUSTOMER CODE]],"-",scheduleapr[[#This Row],[MATERIAL NO]])</f>
        <v>129695|187884|188415|189239|189240-</v>
      </c>
      <c r="H382" s="2"/>
      <c r="I382" s="2" t="s">
        <v>357</v>
      </c>
      <c r="J382" s="2"/>
      <c r="K382" s="2" t="s">
        <v>357</v>
      </c>
      <c r="L382" s="2" t="s">
        <v>239</v>
      </c>
      <c r="M382" s="2"/>
      <c r="N382" s="2"/>
      <c r="O382" s="2"/>
      <c r="P382" s="2"/>
      <c r="Q382" s="557" t="str">
        <f>CONCATENATE(scheduleapr[[#This Row],[OD]],"-",scheduleapr[[#This Row],[ID]],"-",scheduleapr[[#This Row],[TICKNESS]],"-",scheduleapr[[#This Row],[Grade]],"-",scheduleapr[[#This Row],[FC/NFC]])</f>
        <v>21.7-16.2-2.75-CEW-CEW</v>
      </c>
      <c r="R382" s="557" t="str">
        <f>_xlfn.CONCAT(scheduleapr[[#This Row],[Bucket]],"-",scheduleapr[[#This Row],[LENGTH]]/1000)</f>
        <v>21.7-16.2-2.75-CEW-CEW-1</v>
      </c>
      <c r="S382" s="557" t="e" vm="2">
        <f>COUNTIF([2]!buckets[CTL Bucket],[2]!scheduleapr[[#This Row],[CTL Bucket]])</f>
        <v>#REF!</v>
      </c>
      <c r="T382" s="557"/>
      <c r="U382" s="2">
        <f>_xlfn.IFNA(VLOOKUP(scheduleapr[[#This Row],[Bucket]],salesforecast[[#All],[Bucket2]:[8406 Stock]],19,0),0)</f>
        <v>0</v>
      </c>
      <c r="V382" s="557"/>
      <c r="W382" s="557"/>
      <c r="X382" s="1">
        <v>21.7</v>
      </c>
      <c r="Y382" s="6">
        <v>21.7</v>
      </c>
      <c r="Z382" s="6">
        <v>16.2</v>
      </c>
      <c r="AA382" s="1">
        <v>2.75</v>
      </c>
      <c r="AB382" s="24">
        <v>1000</v>
      </c>
      <c r="AC382" s="24" t="s">
        <v>444</v>
      </c>
      <c r="AD382" s="24"/>
      <c r="AE382" s="24"/>
      <c r="AF382" s="2">
        <v>1500</v>
      </c>
      <c r="AG382" s="2"/>
      <c r="AH382" s="2" cm="1">
        <f t="array" ref="AH3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2" s="4">
        <f>scheduleapr[[#This Row],[SCHEDULE in nos]]-scheduleapr[[#This Row],[DISPATCH]]</f>
        <v>1500</v>
      </c>
      <c r="AJ382" s="1">
        <f>(3.14*(scheduleapr[[#This Row],[ACTUAL OD]]-scheduleapr[[#This Row],[TICKNESS]])*scheduleapr[[#This Row],[TICKNESS]]*scheduleapr[[#This Row],[LENGTH]]*7.85)/1000000*scheduleapr[[#This Row],[SCHEDULE in nos]]/1000</f>
        <v>1.9267815187499999</v>
      </c>
      <c r="AK382" s="1">
        <f>(3.14*(scheduleapr[[#This Row],[ACTUAL OD]]-scheduleapr[[#This Row],[TICKNESS]])*scheduleapr[[#This Row],[TICKNESS]]*scheduleapr[[#This Row],[LENGTH]]*7.85)/1000000*scheduleapr[[#This Row],[DISPATCH]]/1000</f>
        <v>0</v>
      </c>
      <c r="AL382" s="1">
        <f t="shared" si="13"/>
        <v>1.9267815187499999</v>
      </c>
      <c r="AM382" s="1">
        <f>scheduleapr[[#This Row],[SCHEDULE in nos]]/scheduleapr[[#This Row],[SCHEDULE IN MT]]*scheduleapr[[#This Row],[CTL Stock]]</f>
        <v>0</v>
      </c>
      <c r="AN382" s="1">
        <f>SUMIFS(stock[MT],stock[Bucket],scheduleapr[[#This Row],[Bucket]],stock[CTL Bucket],scheduleapr[[#This Row],[CTL Bucket]],stock[Plant],"0789")</f>
        <v>0</v>
      </c>
      <c r="AO382" s="1"/>
      <c r="AP382" s="1">
        <f>SUMIFS(stock[MT],stock[Bucket],scheduleapr[[#This Row],[Bucket]],stock[LL or CTL],"LL")</f>
        <v>1.8677429999999999</v>
      </c>
      <c r="AQ382" s="1">
        <f>+SUMIFS(wip[Stock(Net Wt)],wip[Bucket],scheduleapr[[#This Row],[Bucket]])/1000</f>
        <v>0</v>
      </c>
      <c r="AR382" s="1">
        <f t="shared" si="12"/>
        <v>1.9267815187499999</v>
      </c>
      <c r="AS382" s="118"/>
    </row>
    <row r="383" spans="1:45" x14ac:dyDescent="0.25">
      <c r="A383" s="30">
        <v>455</v>
      </c>
      <c r="B383" s="5" t="s">
        <v>1872</v>
      </c>
      <c r="C383" s="2" t="s">
        <v>295</v>
      </c>
      <c r="D383" s="2" t="s">
        <v>2002</v>
      </c>
      <c r="E383" s="2" t="s">
        <v>292</v>
      </c>
      <c r="F383" s="2">
        <v>1939544</v>
      </c>
      <c r="G383" s="2" t="str">
        <f>_xlfn.CONCAT(scheduleapr[[#This Row],[CUSTOMER CODE]],"-",scheduleapr[[#This Row],[MATERIAL NO]])</f>
        <v>129695|187884|188415|189239|189240-1939544</v>
      </c>
      <c r="H383" s="2" t="s">
        <v>807</v>
      </c>
      <c r="I383" s="2" t="s">
        <v>357</v>
      </c>
      <c r="J383" s="2"/>
      <c r="K383" s="2" t="s">
        <v>357</v>
      </c>
      <c r="L383" s="2" t="s">
        <v>239</v>
      </c>
      <c r="M383" s="2"/>
      <c r="N383" s="2"/>
      <c r="O383" s="2"/>
      <c r="P383" s="2"/>
      <c r="Q383" s="557" t="str">
        <f>CONCATENATE(scheduleapr[[#This Row],[OD]],"-",scheduleapr[[#This Row],[ID]],"-",scheduleapr[[#This Row],[TICKNESS]],"-",scheduleapr[[#This Row],[Grade]],"-",scheduleapr[[#This Row],[FC/NFC]])</f>
        <v>25.4-0-2.5-CEW-CEW</v>
      </c>
      <c r="R383" s="557" t="str">
        <f>_xlfn.CONCAT(scheduleapr[[#This Row],[Bucket]],"-",scheduleapr[[#This Row],[LENGTH]]/1000)</f>
        <v>25.4-0-2.5-CEW-CEW-0.217</v>
      </c>
      <c r="S383" s="557">
        <f>COUNTIF(scheduleapr[CTL Bucket],scheduleapr[[#This Row],[CTL Bucket]])</f>
        <v>2</v>
      </c>
      <c r="T383" s="2" t="s">
        <v>1817</v>
      </c>
      <c r="U383" s="2">
        <f>_xlfn.IFNA(VLOOKUP(scheduleapr[[#This Row],[Bucket]],salesforecast[[#All],[Bucket2]:[8406 Stock]],19,0),0)</f>
        <v>6.2467750000000013</v>
      </c>
      <c r="V383" s="562">
        <f>_xlfn.IFNA(VLOOKUP(scheduleapr[[#This Row],[Bucket]],salesforecast[[#All],[Bucket2]:[8406 Stock]],20,0),0)+_xlfn.IFNA(VLOOKUP(scheduleapr[[#This Row],[Bucket]],salesforecast[[#All],[Bucket2]:[8406 Stock]],17,0),0)</f>
        <v>0.99165099999999995</v>
      </c>
      <c r="W383" s="557"/>
      <c r="X383" s="1">
        <v>25.4</v>
      </c>
      <c r="Y383" s="1">
        <v>25.4</v>
      </c>
      <c r="Z383" s="1">
        <v>0</v>
      </c>
      <c r="AA383" s="1">
        <v>2.5</v>
      </c>
      <c r="AB383" s="24">
        <v>217</v>
      </c>
      <c r="AC383" s="24" t="s">
        <v>397</v>
      </c>
      <c r="AD383" s="24"/>
      <c r="AE383" s="24"/>
      <c r="AF383" s="2">
        <v>20000</v>
      </c>
      <c r="AG383" s="2"/>
      <c r="AH383" s="2" cm="1">
        <f t="array" ref="AH3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3940</v>
      </c>
      <c r="AI383" s="4">
        <f>scheduleapr[[#This Row],[SCHEDULE in nos]]-scheduleapr[[#This Row],[DISPATCH]]</f>
        <v>16060</v>
      </c>
      <c r="AJ383" s="1">
        <f>(3.14*(scheduleapr[[#This Row],[ACTUAL OD]]-scheduleapr[[#This Row],[TICKNESS]])*scheduleapr[[#This Row],[TICKNESS]]*scheduleapr[[#This Row],[LENGTH]]*7.85)/1000000*scheduleapr[[#This Row],[SCHEDULE in nos]]/1000</f>
        <v>6.1244137849999989</v>
      </c>
      <c r="AK383" s="1">
        <f>(3.14*(scheduleapr[[#This Row],[ACTUAL OD]]-scheduleapr[[#This Row],[TICKNESS]])*scheduleapr[[#This Row],[TICKNESS]]*scheduleapr[[#This Row],[LENGTH]]*7.85)/1000000*scheduleapr[[#This Row],[DISPATCH]]/1000</f>
        <v>1.2065095156449996</v>
      </c>
      <c r="AL383" s="1">
        <f t="shared" si="13"/>
        <v>4.9179042693549988</v>
      </c>
      <c r="AM383" s="1">
        <f>scheduleapr[[#This Row],[SCHEDULE in nos]]/scheduleapr[[#This Row],[SCHEDULE IN MT]]*scheduleapr[[#This Row],[CTL Stock]]</f>
        <v>0</v>
      </c>
      <c r="AN383" s="1">
        <f>SUMIFS(stock[MT],stock[Bucket],scheduleapr[[#This Row],[Bucket]],stock[CTL Bucket],scheduleapr[[#This Row],[CTL Bucket]],stock[Plant],"0789")</f>
        <v>0</v>
      </c>
      <c r="AO383" s="1"/>
      <c r="AP383" s="1">
        <f>SUMIFS(stock[MT],stock[Bucket],scheduleapr[[#This Row],[Bucket]],stock[LL or CTL],"LL")</f>
        <v>6.2467749999999995</v>
      </c>
      <c r="AQ383" s="1">
        <f>+SUMIFS(wip[Stock(Net Wt)],wip[Bucket],scheduleapr[[#This Row],[Bucket]])/1000</f>
        <v>0</v>
      </c>
      <c r="AR383" s="1">
        <f t="shared" ref="AR383:AR446" si="14">AJ383-AN383</f>
        <v>6.1244137849999989</v>
      </c>
      <c r="AS383" s="118"/>
    </row>
    <row r="384" spans="1:45" x14ac:dyDescent="0.25">
      <c r="A384" s="30">
        <v>330</v>
      </c>
      <c r="B384" s="5" t="s">
        <v>1872</v>
      </c>
      <c r="C384" s="2" t="s">
        <v>291</v>
      </c>
      <c r="D384" s="2" t="s">
        <v>2002</v>
      </c>
      <c r="E384" s="2" t="s">
        <v>292</v>
      </c>
      <c r="F384" s="2">
        <v>1941408</v>
      </c>
      <c r="G384" s="2" t="str">
        <f>_xlfn.CONCAT(scheduleapr[[#This Row],[CUSTOMER CODE]],"-",scheduleapr[[#This Row],[MATERIAL NO]])</f>
        <v>129695|187884|188415|189239|189240-1941408</v>
      </c>
      <c r="H384" s="2" t="s">
        <v>1929</v>
      </c>
      <c r="I384" s="2" t="s">
        <v>357</v>
      </c>
      <c r="J384" s="2"/>
      <c r="K384" s="2" t="s">
        <v>357</v>
      </c>
      <c r="L384" s="2" t="s">
        <v>239</v>
      </c>
      <c r="M384" s="2"/>
      <c r="N384" s="2"/>
      <c r="O384" s="2"/>
      <c r="P384" s="2"/>
      <c r="Q384" s="557" t="str">
        <f>CONCATENATE(scheduleapr[[#This Row],[OD]],"-",scheduleapr[[#This Row],[ID]],"-",scheduleapr[[#This Row],[TICKNESS]],"-",scheduleapr[[#This Row],[Grade]],"-",scheduleapr[[#This Row],[FC/NFC]])</f>
        <v>25.4-20.4-2.5-CEW-CEW</v>
      </c>
      <c r="R384" s="557" t="str">
        <f>_xlfn.CONCAT(scheduleapr[[#This Row],[Bucket]],"-",scheduleapr[[#This Row],[LENGTH]]/1000)</f>
        <v>25.4-20.4-2.5-CEW-CEW-3.73</v>
      </c>
      <c r="S384" s="557" t="e" vm="2">
        <f>COUNTIF([2]!buckets[CTL Bucket],[2]!scheduleapr[[#This Row],[CTL Bucket]])</f>
        <v>#REF!</v>
      </c>
      <c r="T384" s="557"/>
      <c r="U384" s="557"/>
      <c r="V384" s="557"/>
      <c r="W384" s="557"/>
      <c r="X384" s="1">
        <v>25.4</v>
      </c>
      <c r="Y384" s="1">
        <v>25.4</v>
      </c>
      <c r="Z384" s="1">
        <v>20.399999999999999</v>
      </c>
      <c r="AA384" s="1">
        <v>2.5</v>
      </c>
      <c r="AB384" s="24">
        <v>3730</v>
      </c>
      <c r="AC384" s="24"/>
      <c r="AD384" s="24"/>
      <c r="AE384" s="24"/>
      <c r="AF384" s="2"/>
      <c r="AG384" s="2"/>
      <c r="AH384" s="2" t="e" cm="1">
        <f t="array" ref="AH3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84" s="4" t="e">
        <f>scheduleapr[[#This Row],[SCHEDULE in nos]]-scheduleapr[[#This Row],[DISPATCH]]</f>
        <v>#N/A</v>
      </c>
      <c r="AJ384" s="1">
        <f>(3.14*(scheduleapr[[#This Row],[ACTUAL OD]]-scheduleapr[[#This Row],[TICKNESS]])*scheduleapr[[#This Row],[TICKNESS]]*scheduleapr[[#This Row],[LENGTH]]*7.85)/1000000*scheduleapr[[#This Row],[SCHEDULE in nos]]/1000</f>
        <v>0</v>
      </c>
      <c r="AK384" s="1" t="e">
        <f>(3.14*(scheduleapr[[#This Row],[ACTUAL OD]]-scheduleapr[[#This Row],[TICKNESS]])*scheduleapr[[#This Row],[TICKNESS]]*scheduleapr[[#This Row],[LENGTH]]*7.85)/1000000*scheduleapr[[#This Row],[DISPATCH]]/1000</f>
        <v>#N/A</v>
      </c>
      <c r="AL384" s="1" t="e">
        <f t="shared" si="13"/>
        <v>#N/A</v>
      </c>
      <c r="AM384" s="1" t="e">
        <f>scheduleapr[[#This Row],[SCHEDULE in nos]]/scheduleapr[[#This Row],[SCHEDULE IN MT]]*scheduleapr[[#This Row],[CTL Stock]]</f>
        <v>#DIV/0!</v>
      </c>
      <c r="AN384" s="1">
        <f>SUMIFS(stock[MT],stock[Bucket],scheduleapr[[#This Row],[Bucket]],stock[CTL Bucket],scheduleapr[[#This Row],[CTL Bucket]],stock[Plant],"0789")</f>
        <v>0</v>
      </c>
      <c r="AO384" s="1"/>
      <c r="AP384" s="1">
        <f>SUMIFS(stock[MT],stock[Bucket],scheduleapr[[#This Row],[Bucket]],stock[LL or CTL],"LL")</f>
        <v>0</v>
      </c>
      <c r="AQ384" s="1">
        <f>+SUMIFS(wip[Stock(Net Wt)],wip[Bucket],scheduleapr[[#This Row],[Bucket]])/1000</f>
        <v>0</v>
      </c>
      <c r="AR384" s="1">
        <f t="shared" si="14"/>
        <v>0</v>
      </c>
      <c r="AS384" s="118"/>
    </row>
    <row r="385" spans="1:45" x14ac:dyDescent="0.25">
      <c r="A385" s="30">
        <v>331</v>
      </c>
      <c r="B385" s="5" t="s">
        <v>1872</v>
      </c>
      <c r="C385" s="2" t="s">
        <v>291</v>
      </c>
      <c r="D385" s="2" t="s">
        <v>2002</v>
      </c>
      <c r="E385" s="2" t="s">
        <v>292</v>
      </c>
      <c r="F385" s="2">
        <v>503108</v>
      </c>
      <c r="G385" s="2" t="str">
        <f>_xlfn.CONCAT(scheduleapr[[#This Row],[CUSTOMER CODE]],"-",scheduleapr[[#This Row],[MATERIAL NO]])</f>
        <v>129695|187884|188415|189239|189240-503108</v>
      </c>
      <c r="H385" s="2" t="s">
        <v>2006</v>
      </c>
      <c r="I385" s="2" t="s">
        <v>357</v>
      </c>
      <c r="J385" s="2"/>
      <c r="K385" s="2" t="s">
        <v>357</v>
      </c>
      <c r="L385" s="2" t="s">
        <v>239</v>
      </c>
      <c r="M385" s="2"/>
      <c r="N385" s="2"/>
      <c r="O385" s="2"/>
      <c r="P385" s="2"/>
      <c r="Q385" s="557" t="str">
        <f>CONCATENATE(scheduleapr[[#This Row],[OD]],"-",scheduleapr[[#This Row],[ID]],"-",scheduleapr[[#This Row],[TICKNESS]],"-",scheduleapr[[#This Row],[Grade]],"-",scheduleapr[[#This Row],[FC/NFC]])</f>
        <v>30.15-25.5-2.32-CEW-CEW</v>
      </c>
      <c r="R385" s="557" t="str">
        <f>_xlfn.CONCAT(scheduleapr[[#This Row],[Bucket]],"-",scheduleapr[[#This Row],[LENGTH]]/1000)</f>
        <v>30.15-25.5-2.32-CEW-CEW-0.485</v>
      </c>
      <c r="S385" s="557" t="e" vm="2">
        <f>COUNTIF([2]!buckets[CTL Bucket],[2]!scheduleapr[[#This Row],[CTL Bucket]])</f>
        <v>#REF!</v>
      </c>
      <c r="T385" s="557"/>
      <c r="U385" s="557"/>
      <c r="V385" s="557"/>
      <c r="W385" s="557"/>
      <c r="X385" s="1">
        <v>25.5</v>
      </c>
      <c r="Y385" s="1">
        <v>30.15</v>
      </c>
      <c r="Z385" s="1">
        <v>25.5</v>
      </c>
      <c r="AA385" s="1">
        <v>2.3199999999999998</v>
      </c>
      <c r="AB385" s="24">
        <v>485</v>
      </c>
      <c r="AC385" s="24"/>
      <c r="AD385" s="24"/>
      <c r="AE385" s="24"/>
      <c r="AF385" s="2"/>
      <c r="AG385" s="2"/>
      <c r="AH385" s="2" t="e" cm="1">
        <f t="array" ref="AH3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85" s="4" t="e">
        <f>scheduleapr[[#This Row],[SCHEDULE in nos]]-scheduleapr[[#This Row],[DISPATCH]]</f>
        <v>#N/A</v>
      </c>
      <c r="AJ385" s="1">
        <f>(3.14*(scheduleapr[[#This Row],[ACTUAL OD]]-scheduleapr[[#This Row],[TICKNESS]])*scheduleapr[[#This Row],[TICKNESS]]*scheduleapr[[#This Row],[LENGTH]]*7.85)/1000000*scheduleapr[[#This Row],[SCHEDULE in nos]]/1000</f>
        <v>0</v>
      </c>
      <c r="AK385" s="1" t="e">
        <f>(3.14*(scheduleapr[[#This Row],[ACTUAL OD]]-scheduleapr[[#This Row],[TICKNESS]])*scheduleapr[[#This Row],[TICKNESS]]*scheduleapr[[#This Row],[LENGTH]]*7.85)/1000000*scheduleapr[[#This Row],[DISPATCH]]/1000</f>
        <v>#N/A</v>
      </c>
      <c r="AL385" s="1" t="e">
        <f t="shared" si="13"/>
        <v>#N/A</v>
      </c>
      <c r="AM385" s="1" t="e">
        <f>scheduleapr[[#This Row],[SCHEDULE in nos]]/scheduleapr[[#This Row],[SCHEDULE IN MT]]*scheduleapr[[#This Row],[CTL Stock]]</f>
        <v>#DIV/0!</v>
      </c>
      <c r="AN385" s="1">
        <f>SUMIFS(stock[MT],stock[Bucket],scheduleapr[[#This Row],[Bucket]],stock[CTL Bucket],scheduleapr[[#This Row],[CTL Bucket]],stock[Plant],"0789")</f>
        <v>0</v>
      </c>
      <c r="AO385" s="1"/>
      <c r="AP385" s="1">
        <f>SUMIFS(stock[MT],stock[Bucket],scheduleapr[[#This Row],[Bucket]],stock[LL or CTL],"LL")</f>
        <v>0</v>
      </c>
      <c r="AQ385" s="1">
        <f>+SUMIFS(wip[Stock(Net Wt)],wip[Bucket],scheduleapr[[#This Row],[Bucket]])/1000</f>
        <v>0</v>
      </c>
      <c r="AR385" s="1">
        <f t="shared" si="14"/>
        <v>0</v>
      </c>
      <c r="AS385" s="118"/>
    </row>
    <row r="386" spans="1:45" x14ac:dyDescent="0.25">
      <c r="A386" s="30">
        <v>382</v>
      </c>
      <c r="B386" s="5" t="s">
        <v>1872</v>
      </c>
      <c r="C386" s="2" t="s">
        <v>295</v>
      </c>
      <c r="D386" s="2" t="s">
        <v>2002</v>
      </c>
      <c r="E386" s="2" t="s">
        <v>292</v>
      </c>
      <c r="F386" s="2">
        <v>403040</v>
      </c>
      <c r="G386" s="2" t="str">
        <f>_xlfn.CONCAT(scheduleapr[[#This Row],[CUSTOMER CODE]],"-",scheduleapr[[#This Row],[MATERIAL NO]])</f>
        <v>129695|187884|188415|189239|189240-403040</v>
      </c>
      <c r="H386" s="2" t="s">
        <v>1597</v>
      </c>
      <c r="I386" s="2" t="s">
        <v>357</v>
      </c>
      <c r="J386" s="2"/>
      <c r="K386" s="2" t="s">
        <v>357</v>
      </c>
      <c r="L386" s="2" t="s">
        <v>239</v>
      </c>
      <c r="M386" s="2"/>
      <c r="N386" s="2" t="s">
        <v>1516</v>
      </c>
      <c r="O386" s="2"/>
      <c r="P386" s="2"/>
      <c r="Q386" s="557" t="str">
        <f>CONCATENATE(scheduleapr[[#This Row],[OD]],"-",scheduleapr[[#This Row],[ID]],"-",scheduleapr[[#This Row],[TICKNESS]],"-",scheduleapr[[#This Row],[Grade]],"-",scheduleapr[[#This Row],[FC/NFC]])</f>
        <v>30-25.5-2.25-CEW-CEW</v>
      </c>
      <c r="R386" s="557" t="str">
        <f>_xlfn.CONCAT(scheduleapr[[#This Row],[Bucket]],"-",scheduleapr[[#This Row],[LENGTH]]/1000)</f>
        <v>30-25.5-2.25-CEW-CEW-0.465</v>
      </c>
      <c r="S386" s="557">
        <f>COUNTIF(scheduleapr[CTL Bucket],scheduleapr[[#This Row],[CTL Bucket]])</f>
        <v>1</v>
      </c>
      <c r="T386" s="2" t="s">
        <v>1817</v>
      </c>
      <c r="U386" s="2">
        <f>_xlfn.IFNA(VLOOKUP(scheduleapr[[#This Row],[Bucket]],salesforecast[[#All],[Bucket2]:[8406 Stock]],19,0),0)</f>
        <v>10.308093000000001</v>
      </c>
      <c r="V386" s="562">
        <f>_xlfn.IFNA(VLOOKUP(scheduleapr[[#This Row],[Bucket]],salesforecast[[#All],[Bucket2]:[8406 Stock]],20,0),0)+_xlfn.IFNA(VLOOKUP(scheduleapr[[#This Row],[Bucket]],salesforecast[[#All],[Bucket2]:[8406 Stock]],17,0),0)</f>
        <v>0</v>
      </c>
      <c r="W386" s="557"/>
      <c r="X386" s="1">
        <v>30.15</v>
      </c>
      <c r="Y386" s="1">
        <v>30</v>
      </c>
      <c r="Z386" s="1">
        <v>25.5</v>
      </c>
      <c r="AA386" s="1">
        <v>2.25</v>
      </c>
      <c r="AB386" s="24">
        <v>465</v>
      </c>
      <c r="AC386" s="24" t="s">
        <v>397</v>
      </c>
      <c r="AD386" s="24"/>
      <c r="AE386" s="24"/>
      <c r="AF386" s="2">
        <v>10000</v>
      </c>
      <c r="AG386" s="2"/>
      <c r="AH386" s="2" cm="1">
        <f t="array" ref="AH3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5000</v>
      </c>
      <c r="AI386" s="4">
        <f>scheduleapr[[#This Row],[SCHEDULE in nos]]-scheduleapr[[#This Row],[DISPATCH]]</f>
        <v>5000</v>
      </c>
      <c r="AJ386" s="1">
        <f>(3.14*(scheduleapr[[#This Row],[ACTUAL OD]]-scheduleapr[[#This Row],[TICKNESS]])*scheduleapr[[#This Row],[TICKNESS]]*scheduleapr[[#This Row],[LENGTH]]*7.85)/1000000*scheduleapr[[#This Row],[SCHEDULE in nos]]/1000</f>
        <v>7.1951355337499994</v>
      </c>
      <c r="AK386" s="1">
        <f>(3.14*(scheduleapr[[#This Row],[ACTUAL OD]]-scheduleapr[[#This Row],[TICKNESS]])*scheduleapr[[#This Row],[TICKNESS]]*scheduleapr[[#This Row],[LENGTH]]*7.85)/1000000*scheduleapr[[#This Row],[DISPATCH]]/1000</f>
        <v>3.5975677668749997</v>
      </c>
      <c r="AL386" s="1">
        <f t="shared" si="13"/>
        <v>3.5975677668749997</v>
      </c>
      <c r="AM386" s="1">
        <f>scheduleapr[[#This Row],[SCHEDULE in nos]]/scheduleapr[[#This Row],[SCHEDULE IN MT]]*scheduleapr[[#This Row],[CTL Stock]]</f>
        <v>0</v>
      </c>
      <c r="AN386" s="1">
        <f>SUMIFS(stock[MT],stock[Bucket],scheduleapr[[#This Row],[Bucket]],stock[CTL Bucket],scheduleapr[[#This Row],[CTL Bucket]],stock[Plant],"0789")</f>
        <v>0</v>
      </c>
      <c r="AO386" s="1"/>
      <c r="AP386" s="1">
        <f>SUMIFS(stock[MT],stock[Bucket],scheduleapr[[#This Row],[Bucket]],stock[LL or CTL],"LL")</f>
        <v>13.385092999999999</v>
      </c>
      <c r="AQ386" s="1">
        <f>+SUMIFS(wip[Stock(Net Wt)],wip[Bucket],scheduleapr[[#This Row],[Bucket]])/1000</f>
        <v>0</v>
      </c>
      <c r="AR386" s="1">
        <f t="shared" si="14"/>
        <v>7.1951355337499994</v>
      </c>
      <c r="AS386" s="118"/>
    </row>
    <row r="387" spans="1:45" x14ac:dyDescent="0.25">
      <c r="A387" s="30">
        <v>459</v>
      </c>
      <c r="B387" s="5" t="s">
        <v>1872</v>
      </c>
      <c r="C387" s="2" t="s">
        <v>295</v>
      </c>
      <c r="D387" s="2" t="s">
        <v>2002</v>
      </c>
      <c r="E387" s="2" t="s">
        <v>292</v>
      </c>
      <c r="F387" s="2">
        <v>2359755</v>
      </c>
      <c r="G387" s="2" t="str">
        <f>_xlfn.CONCAT(scheduleapr[[#This Row],[CUSTOMER CODE]],"-",scheduleapr[[#This Row],[MATERIAL NO]])</f>
        <v>129695|187884|188415|189239|189240-2359755</v>
      </c>
      <c r="H387" s="2" t="s">
        <v>828</v>
      </c>
      <c r="I387" s="2" t="s">
        <v>357</v>
      </c>
      <c r="J387" s="2"/>
      <c r="K387" s="2" t="s">
        <v>357</v>
      </c>
      <c r="L387" s="2" t="s">
        <v>239</v>
      </c>
      <c r="M387" s="2"/>
      <c r="N387" s="2" t="s">
        <v>1516</v>
      </c>
      <c r="O387" s="2"/>
      <c r="P387" s="2"/>
      <c r="Q387" s="557" t="str">
        <f>CONCATENATE(scheduleapr[[#This Row],[OD]],"-",scheduleapr[[#This Row],[ID]],"-",scheduleapr[[#This Row],[TICKNESS]],"-",scheduleapr[[#This Row],[Grade]],"-",scheduleapr[[#This Row],[FC/NFC]])</f>
        <v>30-25.5-2.25-CEW-CEW</v>
      </c>
      <c r="R387" s="557" t="str">
        <f>_xlfn.CONCAT(scheduleapr[[#This Row],[Bucket]],"-",scheduleapr[[#This Row],[LENGTH]]/1000)</f>
        <v>30-25.5-2.25-CEW-CEW-0.485</v>
      </c>
      <c r="S387" s="557">
        <f>COUNTIF(scheduleapr[CTL Bucket],scheduleapr[[#This Row],[CTL Bucket]])</f>
        <v>2</v>
      </c>
      <c r="T387" s="2" t="s">
        <v>1817</v>
      </c>
      <c r="U387" s="2">
        <f>_xlfn.IFNA(VLOOKUP(scheduleapr[[#This Row],[Bucket]],salesforecast[[#All],[Bucket2]:[8406 Stock]],19,0),0)</f>
        <v>10.308093000000001</v>
      </c>
      <c r="V387" s="562">
        <f>_xlfn.IFNA(VLOOKUP(scheduleapr[[#This Row],[Bucket]],salesforecast[[#All],[Bucket2]:[8406 Stock]],20,0),0)+_xlfn.IFNA(VLOOKUP(scheduleapr[[#This Row],[Bucket]],salesforecast[[#All],[Bucket2]:[8406 Stock]],17,0),0)</f>
        <v>0</v>
      </c>
      <c r="W387" s="557"/>
      <c r="X387" s="1">
        <v>30.15</v>
      </c>
      <c r="Y387" s="1">
        <v>30</v>
      </c>
      <c r="Z387" s="1">
        <v>25.5</v>
      </c>
      <c r="AA387" s="1">
        <v>2.25</v>
      </c>
      <c r="AB387" s="24">
        <v>485</v>
      </c>
      <c r="AC387" s="24" t="s">
        <v>397</v>
      </c>
      <c r="AD387" s="24"/>
      <c r="AE387" s="24"/>
      <c r="AF387" s="2">
        <v>25000</v>
      </c>
      <c r="AG387" s="2"/>
      <c r="AH387" s="2" cm="1">
        <f t="array" ref="AH3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16300</v>
      </c>
      <c r="AI387" s="4">
        <f>scheduleapr[[#This Row],[SCHEDULE in nos]]-scheduleapr[[#This Row],[DISPATCH]]</f>
        <v>8700</v>
      </c>
      <c r="AJ387" s="1">
        <f>(3.14*(scheduleapr[[#This Row],[ACTUAL OD]]-scheduleapr[[#This Row],[TICKNESS]])*scheduleapr[[#This Row],[TICKNESS]]*scheduleapr[[#This Row],[LENGTH]]*7.85)/1000000*scheduleapr[[#This Row],[SCHEDULE in nos]]/1000</f>
        <v>18.761509321875</v>
      </c>
      <c r="AK387" s="1">
        <f>(3.14*(scheduleapr[[#This Row],[ACTUAL OD]]-scheduleapr[[#This Row],[TICKNESS]])*scheduleapr[[#This Row],[TICKNESS]]*scheduleapr[[#This Row],[LENGTH]]*7.85)/1000000*scheduleapr[[#This Row],[DISPATCH]]/1000</f>
        <v>12.232504077862501</v>
      </c>
      <c r="AL387" s="1">
        <f t="shared" si="13"/>
        <v>6.5290052440124988</v>
      </c>
      <c r="AM387" s="1">
        <f>scheduleapr[[#This Row],[SCHEDULE in nos]]/scheduleapr[[#This Row],[SCHEDULE IN MT]]*scheduleapr[[#This Row],[CTL Stock]]</f>
        <v>0</v>
      </c>
      <c r="AN387" s="1">
        <f>SUMIFS(stock[MT],stock[Bucket],scheduleapr[[#This Row],[Bucket]],stock[CTL Bucket],scheduleapr[[#This Row],[CTL Bucket]],stock[Plant],"0789")</f>
        <v>0</v>
      </c>
      <c r="AO387" s="1"/>
      <c r="AP387" s="1">
        <f>SUMIFS(stock[MT],stock[Bucket],scheduleapr[[#This Row],[Bucket]],stock[LL or CTL],"LL")</f>
        <v>13.385092999999999</v>
      </c>
      <c r="AQ387" s="1">
        <f>+SUMIFS(wip[Stock(Net Wt)],wip[Bucket],scheduleapr[[#This Row],[Bucket]])/1000</f>
        <v>0</v>
      </c>
      <c r="AR387" s="1">
        <f t="shared" si="14"/>
        <v>18.761509321875</v>
      </c>
      <c r="AS387" s="118"/>
    </row>
    <row r="388" spans="1:45" x14ac:dyDescent="0.25">
      <c r="A388" s="30">
        <v>333</v>
      </c>
      <c r="B388" s="5" t="s">
        <v>1816</v>
      </c>
      <c r="C388" s="2" t="s">
        <v>291</v>
      </c>
      <c r="D388" s="48" t="s">
        <v>2002</v>
      </c>
      <c r="E388" s="2" t="s">
        <v>292</v>
      </c>
      <c r="F388" s="2"/>
      <c r="G388" s="2" t="str">
        <f>_xlfn.CONCAT(scheduleapr[[#This Row],[CUSTOMER CODE]],"-",scheduleapr[[#This Row],[MATERIAL NO]])</f>
        <v>129695|187884|188415|189239|189240-</v>
      </c>
      <c r="H388" s="2"/>
      <c r="I388" s="2" t="s">
        <v>357</v>
      </c>
      <c r="J388" s="2"/>
      <c r="K388" s="2" t="s">
        <v>357</v>
      </c>
      <c r="L388" s="2" t="s">
        <v>239</v>
      </c>
      <c r="M388" s="2"/>
      <c r="N388" s="2"/>
      <c r="O388" s="2"/>
      <c r="P388" s="2"/>
      <c r="Q388" s="557" t="str">
        <f>CONCATENATE(scheduleapr[[#This Row],[OD]],"-",scheduleapr[[#This Row],[ID]],"-",scheduleapr[[#This Row],[TICKNESS]],"-",scheduleapr[[#This Row],[Grade]],"-",scheduleapr[[#This Row],[FC/NFC]])</f>
        <v>36-34-0.91-CEW-CEW</v>
      </c>
      <c r="R388" s="557" t="str">
        <f>_xlfn.CONCAT(scheduleapr[[#This Row],[Bucket]],"-",scheduleapr[[#This Row],[LENGTH]]/1000)</f>
        <v>36-34-0.91-CEW-CEW-0.168</v>
      </c>
      <c r="S388" s="557" t="e" vm="2">
        <f>COUNTIF([2]!buckets[CTL Bucket],[2]!scheduleapr[[#This Row],[CTL Bucket]])</f>
        <v>#REF!</v>
      </c>
      <c r="T388" s="557"/>
      <c r="U388" s="557"/>
      <c r="V388" s="557"/>
      <c r="W388" s="557"/>
      <c r="X388" s="1">
        <v>36</v>
      </c>
      <c r="Y388" s="1">
        <v>36</v>
      </c>
      <c r="Z388" s="1">
        <v>34</v>
      </c>
      <c r="AA388" s="1">
        <v>0.91</v>
      </c>
      <c r="AB388" s="24">
        <v>168</v>
      </c>
      <c r="AC388" s="24"/>
      <c r="AD388" s="24"/>
      <c r="AE388" s="24"/>
      <c r="AF388" s="2"/>
      <c r="AG388" s="2"/>
      <c r="AH388" s="2" t="e" cm="1">
        <f t="array" ref="AH3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88" s="4" t="e">
        <f>scheduleapr[[#This Row],[SCHEDULE in nos]]-scheduleapr[[#This Row],[DISPATCH]]</f>
        <v>#N/A</v>
      </c>
      <c r="AJ388" s="1">
        <f>(3.14*(scheduleapr[[#This Row],[ACTUAL OD]]-scheduleapr[[#This Row],[TICKNESS]])*scheduleapr[[#This Row],[TICKNESS]]*scheduleapr[[#This Row],[LENGTH]]*7.85)/1000000*scheduleapr[[#This Row],[SCHEDULE in nos]]/1000</f>
        <v>0</v>
      </c>
      <c r="AK388" s="1" t="e">
        <f>(3.14*(scheduleapr[[#This Row],[ACTUAL OD]]-scheduleapr[[#This Row],[TICKNESS]])*scheduleapr[[#This Row],[TICKNESS]]*scheduleapr[[#This Row],[LENGTH]]*7.85)/1000000*scheduleapr[[#This Row],[DISPATCH]]/1000</f>
        <v>#N/A</v>
      </c>
      <c r="AL388" s="1" t="e">
        <f t="shared" ref="AL388:AL451" si="15">AJ388-AK388</f>
        <v>#N/A</v>
      </c>
      <c r="AM388" s="1" t="e">
        <f>scheduleapr[[#This Row],[SCHEDULE in nos]]/scheduleapr[[#This Row],[SCHEDULE IN MT]]*scheduleapr[[#This Row],[CTL Stock]]</f>
        <v>#DIV/0!</v>
      </c>
      <c r="AN388" s="1">
        <f>SUMIFS(stock[MT],stock[Bucket],scheduleapr[[#This Row],[Bucket]],stock[CTL Bucket],scheduleapr[[#This Row],[CTL Bucket]],stock[Plant],"0789")</f>
        <v>0</v>
      </c>
      <c r="AO388" s="1"/>
      <c r="AP388" s="1">
        <f>SUMIFS(stock[MT],stock[Bucket],scheduleapr[[#This Row],[Bucket]],stock[LL or CTL],"LL")</f>
        <v>0</v>
      </c>
      <c r="AQ388" s="1">
        <f>+SUMIFS(wip[Stock(Net Wt)],wip[Bucket],scheduleapr[[#This Row],[Bucket]])/1000</f>
        <v>0</v>
      </c>
      <c r="AR388" s="1">
        <f t="shared" si="14"/>
        <v>0</v>
      </c>
      <c r="AS388" s="118"/>
    </row>
    <row r="389" spans="1:45" x14ac:dyDescent="0.25">
      <c r="A389" s="30">
        <v>380</v>
      </c>
      <c r="B389" s="5" t="s">
        <v>1816</v>
      </c>
      <c r="C389" s="2" t="s">
        <v>295</v>
      </c>
      <c r="D389" s="2" t="s">
        <v>2002</v>
      </c>
      <c r="E389" s="2" t="s">
        <v>292</v>
      </c>
      <c r="F389" s="557"/>
      <c r="G389" s="2" t="str">
        <f>_xlfn.CONCAT(scheduleapr[[#This Row],[CUSTOMER CODE]],"-",scheduleapr[[#This Row],[MATERIAL NO]])</f>
        <v>129695|187884|188415|189239|189240-</v>
      </c>
      <c r="H389" s="557"/>
      <c r="I389" s="557" t="s">
        <v>357</v>
      </c>
      <c r="J389" s="557"/>
      <c r="K389" s="557"/>
      <c r="L389" s="557"/>
      <c r="M389" s="557"/>
      <c r="N389" s="557"/>
      <c r="O389" s="557"/>
      <c r="P389" s="557"/>
      <c r="Q389" s="557" t="str">
        <f>CONCATENATE(scheduleapr[[#This Row],[OD]],"-",scheduleapr[[#This Row],[ID]],"-",scheduleapr[[#This Row],[TICKNESS]],"-",scheduleapr[[#This Row],[Grade]],"-",scheduleapr[[#This Row],[FC/NFC]])</f>
        <v>36-34-0.91-CEW-</v>
      </c>
      <c r="R389" s="557" t="str">
        <f>_xlfn.CONCAT(scheduleapr[[#This Row],[Bucket]],"-",scheduleapr[[#This Row],[LENGTH]]/1000)</f>
        <v>36-34-0.91-CEW--0.168</v>
      </c>
      <c r="S389" s="557" t="e" vm="2">
        <f>COUNTIF([2]!buckets[CTL Bucket],[2]!scheduleapr[[#This Row],[CTL Bucket]])</f>
        <v>#REF!</v>
      </c>
      <c r="T389" s="2"/>
      <c r="U389" s="2"/>
      <c r="V389" s="2"/>
      <c r="W389" s="2"/>
      <c r="X389" s="559">
        <v>36</v>
      </c>
      <c r="Y389" s="559">
        <v>36</v>
      </c>
      <c r="Z389" s="559">
        <v>34</v>
      </c>
      <c r="AA389" s="1">
        <v>0.91</v>
      </c>
      <c r="AB389" s="24">
        <v>168</v>
      </c>
      <c r="AC389" s="24" t="s">
        <v>397</v>
      </c>
      <c r="AD389" s="24"/>
      <c r="AE389" s="24"/>
      <c r="AF389" s="2"/>
      <c r="AG389" s="2"/>
      <c r="AH389" s="2" cm="1">
        <f t="array" ref="AH3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9" s="4">
        <f>scheduleapr[[#This Row],[SCHEDULE in nos]]-scheduleapr[[#This Row],[DISPATCH]]</f>
        <v>0</v>
      </c>
      <c r="AJ389" s="1">
        <f>(3.14*(scheduleapr[[#This Row],[ACTUAL OD]]-scheduleapr[[#This Row],[TICKNESS]])*scheduleapr[[#This Row],[TICKNESS]]*scheduleapr[[#This Row],[LENGTH]]*7.85)/1000000*scheduleapr[[#This Row],[SCHEDULE in nos]]/1000</f>
        <v>0</v>
      </c>
      <c r="AK389" s="1">
        <f>(3.14*(scheduleapr[[#This Row],[ACTUAL OD]]-scheduleapr[[#This Row],[TICKNESS]])*scheduleapr[[#This Row],[TICKNESS]]*scheduleapr[[#This Row],[LENGTH]]*7.85)/1000000*scheduleapr[[#This Row],[DISPATCH]]/1000</f>
        <v>0</v>
      </c>
      <c r="AL389" s="1">
        <f t="shared" si="15"/>
        <v>0</v>
      </c>
      <c r="AM389" s="1" t="e">
        <f>scheduleapr[[#This Row],[SCHEDULE in nos]]/scheduleapr[[#This Row],[SCHEDULE IN MT]]*scheduleapr[[#This Row],[CTL Stock]]</f>
        <v>#DIV/0!</v>
      </c>
      <c r="AN389" s="1">
        <f>SUMIFS(stock[MT],stock[Bucket],scheduleapr[[#This Row],[Bucket]],stock[CTL Bucket],scheduleapr[[#This Row],[CTL Bucket]],stock[Plant],"0789")</f>
        <v>0</v>
      </c>
      <c r="AO389" s="1"/>
      <c r="AP389" s="1">
        <f>SUMIFS(stock[MT],stock[Bucket],scheduleapr[[#This Row],[Bucket]],stock[LL or CTL],"LL")</f>
        <v>0</v>
      </c>
      <c r="AQ389" s="1">
        <f>+SUMIFS(wip[Stock(Net Wt)],wip[Bucket],scheduleapr[[#This Row],[Bucket]])/1000</f>
        <v>0</v>
      </c>
      <c r="AR389" s="1">
        <f t="shared" si="14"/>
        <v>0</v>
      </c>
      <c r="AS389" s="118"/>
    </row>
    <row r="390" spans="1:45" x14ac:dyDescent="0.25">
      <c r="A390" s="30">
        <v>471</v>
      </c>
      <c r="B390" s="5" t="s">
        <v>1872</v>
      </c>
      <c r="C390" s="2" t="s">
        <v>295</v>
      </c>
      <c r="D390" s="48" t="s">
        <v>2002</v>
      </c>
      <c r="E390" s="2" t="s">
        <v>292</v>
      </c>
      <c r="F390" s="2">
        <v>1938125</v>
      </c>
      <c r="G390" s="2" t="str">
        <f>_xlfn.CONCAT(scheduleapr[[#This Row],[CUSTOMER CODE]],"-",scheduleapr[[#This Row],[MATERIAL NO]])</f>
        <v>129695|187884|188415|189239|189240-1938125</v>
      </c>
      <c r="H390" s="2" t="s">
        <v>1931</v>
      </c>
      <c r="I390" s="2" t="s">
        <v>357</v>
      </c>
      <c r="J390" s="2"/>
      <c r="K390" s="2" t="s">
        <v>357</v>
      </c>
      <c r="L390" s="2" t="s">
        <v>239</v>
      </c>
      <c r="M390" s="2"/>
      <c r="N390" s="2" t="s">
        <v>1516</v>
      </c>
      <c r="O390" s="2"/>
      <c r="P390" s="2"/>
      <c r="Q390" s="557" t="str">
        <f>CONCATENATE(scheduleapr[[#This Row],[OD]],"-",scheduleapr[[#This Row],[ID]],"-",scheduleapr[[#This Row],[TICKNESS]],"-",scheduleapr[[#This Row],[Grade]],"-",scheduleapr[[#This Row],[FC/NFC]])</f>
        <v>39-34-2.5-CEW-CEW</v>
      </c>
      <c r="R390" s="557" t="str">
        <f>_xlfn.CONCAT(scheduleapr[[#This Row],[Bucket]],"-",scheduleapr[[#This Row],[LENGTH]]/1000)</f>
        <v>39-34-2.5-CEW-CEW-0.272</v>
      </c>
      <c r="S390" s="557">
        <f>COUNTIF(scheduleapr[CTL Bucket],scheduleapr[[#This Row],[CTL Bucket]])</f>
        <v>2</v>
      </c>
      <c r="T390" s="2" t="s">
        <v>1817</v>
      </c>
      <c r="U390" s="2">
        <f>_xlfn.IFNA(VLOOKUP(scheduleapr[[#This Row],[Bucket]],salesforecast[[#All],[Bucket2]:[8406 Stock]],19,0),0)</f>
        <v>6.342168</v>
      </c>
      <c r="V390" s="562">
        <f>_xlfn.IFNA(VLOOKUP(scheduleapr[[#This Row],[Bucket]],salesforecast[[#All],[Bucket2]:[8406 Stock]],20,0),0)+_xlfn.IFNA(VLOOKUP(scheduleapr[[#This Row],[Bucket]],salesforecast[[#All],[Bucket2]:[8406 Stock]],17,0),0)</f>
        <v>0</v>
      </c>
      <c r="W390" s="557"/>
      <c r="X390" s="1">
        <v>39</v>
      </c>
      <c r="Y390" s="1">
        <v>39</v>
      </c>
      <c r="Z390" s="1">
        <v>34</v>
      </c>
      <c r="AA390" s="1">
        <v>2.5</v>
      </c>
      <c r="AB390" s="24">
        <v>272</v>
      </c>
      <c r="AC390" s="24" t="s">
        <v>397</v>
      </c>
      <c r="AD390" s="24"/>
      <c r="AE390" s="24"/>
      <c r="AF390" s="2">
        <v>25000</v>
      </c>
      <c r="AG390" s="2"/>
      <c r="AH390" s="2" cm="1">
        <f t="array" ref="AH3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12350</v>
      </c>
      <c r="AI390" s="4">
        <f>scheduleapr[[#This Row],[SCHEDULE in nos]]-scheduleapr[[#This Row],[DISPATCH]]</f>
        <v>12650</v>
      </c>
      <c r="AJ390" s="1">
        <f>(3.14*(scheduleapr[[#This Row],[ACTUAL OD]]-scheduleapr[[#This Row],[TICKNESS]])*scheduleapr[[#This Row],[TICKNESS]]*scheduleapr[[#This Row],[LENGTH]]*7.85)/1000000*scheduleapr[[#This Row],[SCHEDULE in nos]]/1000</f>
        <v>15.294704499999998</v>
      </c>
      <c r="AK390" s="1">
        <f>(3.14*(scheduleapr[[#This Row],[ACTUAL OD]]-scheduleapr[[#This Row],[TICKNESS]])*scheduleapr[[#This Row],[TICKNESS]]*scheduleapr[[#This Row],[LENGTH]]*7.85)/1000000*scheduleapr[[#This Row],[DISPATCH]]/1000</f>
        <v>7.5555840229999989</v>
      </c>
      <c r="AL390" s="1">
        <f t="shared" si="15"/>
        <v>7.7391204769999993</v>
      </c>
      <c r="AM390" s="1">
        <f>scheduleapr[[#This Row],[SCHEDULE in nos]]/scheduleapr[[#This Row],[SCHEDULE IN MT]]*scheduleapr[[#This Row],[CTL Stock]]</f>
        <v>0</v>
      </c>
      <c r="AN390" s="1">
        <f>SUMIFS(stock[MT],stock[Bucket],scheduleapr[[#This Row],[Bucket]],stock[CTL Bucket],scheduleapr[[#This Row],[CTL Bucket]],stock[Plant],"0789")</f>
        <v>0</v>
      </c>
      <c r="AO390" s="1"/>
      <c r="AP390" s="1">
        <f>SUMIFS(stock[MT],stock[Bucket],scheduleapr[[#This Row],[Bucket]],stock[LL or CTL],"LL")</f>
        <v>7.4211679999999998</v>
      </c>
      <c r="AQ390" s="1">
        <f>+SUMIFS(wip[Stock(Net Wt)],wip[Bucket],scheduleapr[[#This Row],[Bucket]])/1000</f>
        <v>0</v>
      </c>
      <c r="AR390" s="1">
        <f t="shared" si="14"/>
        <v>15.294704499999998</v>
      </c>
      <c r="AS390" s="118"/>
    </row>
    <row r="391" spans="1:45" x14ac:dyDescent="0.25">
      <c r="A391" s="30">
        <v>338</v>
      </c>
      <c r="B391" s="5" t="s">
        <v>1872</v>
      </c>
      <c r="C391" s="2" t="s">
        <v>291</v>
      </c>
      <c r="D391" s="2" t="s">
        <v>2002</v>
      </c>
      <c r="E391" s="2" t="s">
        <v>292</v>
      </c>
      <c r="F391" s="2">
        <v>2426233</v>
      </c>
      <c r="G391" s="2" t="str">
        <f>_xlfn.CONCAT(scheduleapr[[#This Row],[CUSTOMER CODE]],"-",scheduleapr[[#This Row],[MATERIAL NO]])</f>
        <v>129695|187884|188415|189239|189240-2426233</v>
      </c>
      <c r="H391" s="2" t="s">
        <v>1951</v>
      </c>
      <c r="I391" s="2" t="s">
        <v>357</v>
      </c>
      <c r="J391" s="2" t="s">
        <v>1894</v>
      </c>
      <c r="K391" s="2" t="s">
        <v>357</v>
      </c>
      <c r="L391" s="2" t="s">
        <v>239</v>
      </c>
      <c r="M391" s="2"/>
      <c r="N391" s="2"/>
      <c r="O391" s="2"/>
      <c r="P391" s="2"/>
      <c r="Q391" s="557" t="str">
        <f>CONCATENATE(scheduleapr[[#This Row],[OD]],"-",scheduleapr[[#This Row],[ID]],"-",scheduleapr[[#This Row],[TICKNESS]],"-",scheduleapr[[#This Row],[Grade]],"-",scheduleapr[[#This Row],[FC/NFC]])</f>
        <v>42.7-0-4-CEW-CEW</v>
      </c>
      <c r="R391" s="557" t="str">
        <f>_xlfn.CONCAT(scheduleapr[[#This Row],[Bucket]],"-",scheduleapr[[#This Row],[LENGTH]]/1000)</f>
        <v>42.7-0-4-CEW-CEW-5.739</v>
      </c>
      <c r="S391" s="557" t="e" vm="2">
        <f>COUNTIF([2]!buckets[CTL Bucket],[2]!scheduleapr[[#This Row],[CTL Bucket]])</f>
        <v>#REF!</v>
      </c>
      <c r="T391" s="557"/>
      <c r="U391" s="557"/>
      <c r="V391" s="557"/>
      <c r="W391" s="557"/>
      <c r="X391" s="1">
        <v>42.7</v>
      </c>
      <c r="Y391" s="1">
        <v>42.7</v>
      </c>
      <c r="Z391" s="1">
        <v>0</v>
      </c>
      <c r="AA391" s="1">
        <v>4</v>
      </c>
      <c r="AB391" s="24">
        <v>5739</v>
      </c>
      <c r="AC391" s="24"/>
      <c r="AD391" s="24"/>
      <c r="AE391" s="24"/>
      <c r="AF391" s="2"/>
      <c r="AG391" s="2"/>
      <c r="AH391" s="2" t="e" cm="1">
        <f t="array" ref="AH3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91" s="4" t="e">
        <f>scheduleapr[[#This Row],[SCHEDULE in nos]]-scheduleapr[[#This Row],[DISPATCH]]</f>
        <v>#N/A</v>
      </c>
      <c r="AJ391" s="1">
        <f>(3.14*(scheduleapr[[#This Row],[ACTUAL OD]]-scheduleapr[[#This Row],[TICKNESS]])*scheduleapr[[#This Row],[TICKNESS]]*scheduleapr[[#This Row],[LENGTH]]*7.85)/1000000*scheduleapr[[#This Row],[SCHEDULE in nos]]/1000</f>
        <v>0</v>
      </c>
      <c r="AK391" s="1" t="e">
        <f>(3.14*(scheduleapr[[#This Row],[ACTUAL OD]]-scheduleapr[[#This Row],[TICKNESS]])*scheduleapr[[#This Row],[TICKNESS]]*scheduleapr[[#This Row],[LENGTH]]*7.85)/1000000*scheduleapr[[#This Row],[DISPATCH]]/1000</f>
        <v>#N/A</v>
      </c>
      <c r="AL391" s="1" t="e">
        <f t="shared" si="15"/>
        <v>#N/A</v>
      </c>
      <c r="AM391" s="1" t="e">
        <f>scheduleapr[[#This Row],[SCHEDULE in nos]]/scheduleapr[[#This Row],[SCHEDULE IN MT]]*scheduleapr[[#This Row],[CTL Stock]]</f>
        <v>#DIV/0!</v>
      </c>
      <c r="AN391" s="1">
        <f>SUMIFS(stock[MT],stock[Bucket],scheduleapr[[#This Row],[Bucket]],stock[CTL Bucket],scheduleapr[[#This Row],[CTL Bucket]],stock[Plant],"0789")</f>
        <v>0</v>
      </c>
      <c r="AO391" s="1"/>
      <c r="AP391" s="1">
        <f>SUMIFS(stock[MT],stock[Bucket],scheduleapr[[#This Row],[Bucket]],stock[LL or CTL],"LL")</f>
        <v>0</v>
      </c>
      <c r="AQ391" s="1">
        <f>+SUMIFS(wip[Stock(Net Wt)],wip[Bucket],scheduleapr[[#This Row],[Bucket]])/1000</f>
        <v>0</v>
      </c>
      <c r="AR391" s="1">
        <f t="shared" si="14"/>
        <v>0</v>
      </c>
      <c r="AS391" s="118"/>
    </row>
    <row r="392" spans="1:45" x14ac:dyDescent="0.25">
      <c r="A392" s="30">
        <v>346</v>
      </c>
      <c r="B392" s="5" t="s">
        <v>1872</v>
      </c>
      <c r="C392" s="2" t="s">
        <v>291</v>
      </c>
      <c r="D392" s="2" t="s">
        <v>2002</v>
      </c>
      <c r="E392" s="2" t="s">
        <v>292</v>
      </c>
      <c r="F392" s="2">
        <v>3594528</v>
      </c>
      <c r="G392" s="2" t="str">
        <f>_xlfn.CONCAT(scheduleapr[[#This Row],[CUSTOMER CODE]],"-",scheduleapr[[#This Row],[MATERIAL NO]])</f>
        <v>129695|187884|188415|189239|189240-3594528</v>
      </c>
      <c r="H392" s="2" t="s">
        <v>2007</v>
      </c>
      <c r="I392" s="2" t="s">
        <v>357</v>
      </c>
      <c r="J392" s="2"/>
      <c r="K392" s="2" t="s">
        <v>357</v>
      </c>
      <c r="L392" s="2" t="s">
        <v>239</v>
      </c>
      <c r="M392" s="2"/>
      <c r="N392" s="2"/>
      <c r="O392" s="2"/>
      <c r="P392" s="2"/>
      <c r="Q392" s="557" t="str">
        <f>CONCATENATE(scheduleapr[[#This Row],[OD]],"-",scheduleapr[[#This Row],[ID]],"-",scheduleapr[[#This Row],[TICKNESS]],"-",scheduleapr[[#This Row],[Grade]],"-",scheduleapr[[#This Row],[FC/NFC]])</f>
        <v>60.3-0-2-CEW-CEW</v>
      </c>
      <c r="R392" s="557" t="str">
        <f>_xlfn.CONCAT(scheduleapr[[#This Row],[Bucket]],"-",scheduleapr[[#This Row],[LENGTH]]/1000)</f>
        <v>60.3-0-2-CEW-CEW-6</v>
      </c>
      <c r="S392" s="557" t="e" vm="2">
        <f>COUNTIF([2]!buckets[CTL Bucket],[2]!scheduleapr[[#This Row],[CTL Bucket]])</f>
        <v>#REF!</v>
      </c>
      <c r="T392" s="557"/>
      <c r="U392" s="557"/>
      <c r="V392" s="557"/>
      <c r="W392" s="557"/>
      <c r="X392" s="1">
        <v>60.3</v>
      </c>
      <c r="Y392" s="1">
        <v>60.3</v>
      </c>
      <c r="Z392" s="1">
        <v>0</v>
      </c>
      <c r="AA392" s="1">
        <v>2</v>
      </c>
      <c r="AB392" s="24">
        <v>6000</v>
      </c>
      <c r="AC392" s="24"/>
      <c r="AD392" s="24"/>
      <c r="AE392" s="24"/>
      <c r="AF392" s="2"/>
      <c r="AG392" s="2"/>
      <c r="AH392" s="2" t="e" cm="1">
        <f t="array" ref="AH3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92" s="4" t="e">
        <f>scheduleapr[[#This Row],[SCHEDULE in nos]]-scheduleapr[[#This Row],[DISPATCH]]</f>
        <v>#N/A</v>
      </c>
      <c r="AJ392" s="1">
        <f>(3.14*(scheduleapr[[#This Row],[ACTUAL OD]]-scheduleapr[[#This Row],[TICKNESS]])*scheduleapr[[#This Row],[TICKNESS]]*scheduleapr[[#This Row],[LENGTH]]*7.85)/1000000*scheduleapr[[#This Row],[SCHEDULE in nos]]/1000</f>
        <v>0</v>
      </c>
      <c r="AK392" s="1" t="e">
        <f>(3.14*(scheduleapr[[#This Row],[ACTUAL OD]]-scheduleapr[[#This Row],[TICKNESS]])*scheduleapr[[#This Row],[TICKNESS]]*scheduleapr[[#This Row],[LENGTH]]*7.85)/1000000*scheduleapr[[#This Row],[DISPATCH]]/1000</f>
        <v>#N/A</v>
      </c>
      <c r="AL392" s="1" t="e">
        <f t="shared" si="15"/>
        <v>#N/A</v>
      </c>
      <c r="AM392" s="1" t="e">
        <f>scheduleapr[[#This Row],[SCHEDULE in nos]]/scheduleapr[[#This Row],[SCHEDULE IN MT]]*scheduleapr[[#This Row],[CTL Stock]]</f>
        <v>#DIV/0!</v>
      </c>
      <c r="AN392" s="1">
        <f>SUMIFS(stock[MT],stock[Bucket],scheduleapr[[#This Row],[Bucket]],stock[CTL Bucket],scheduleapr[[#This Row],[CTL Bucket]],stock[Plant],"0789")</f>
        <v>0</v>
      </c>
      <c r="AO392" s="1"/>
      <c r="AP392" s="1">
        <f>SUMIFS(stock[MT],stock[Bucket],scheduleapr[[#This Row],[Bucket]],stock[LL or CTL],"LL")</f>
        <v>0</v>
      </c>
      <c r="AQ392" s="1">
        <f>+SUMIFS(wip[Stock(Net Wt)],wip[Bucket],scheduleapr[[#This Row],[Bucket]])/1000</f>
        <v>0</v>
      </c>
      <c r="AR392" s="1">
        <f t="shared" si="14"/>
        <v>0</v>
      </c>
      <c r="AS392" s="118"/>
    </row>
    <row r="393" spans="1:45" x14ac:dyDescent="0.25">
      <c r="A393" s="30">
        <v>296</v>
      </c>
      <c r="B393" s="5" t="s">
        <v>1816</v>
      </c>
      <c r="C393" s="2" t="s">
        <v>296</v>
      </c>
      <c r="D393" s="2" t="s">
        <v>2002</v>
      </c>
      <c r="E393" s="2" t="s">
        <v>292</v>
      </c>
      <c r="F393" s="2">
        <v>1939992</v>
      </c>
      <c r="G393" s="2" t="str">
        <f>_xlfn.CONCAT(scheduleapr[[#This Row],[CUSTOMER CODE]],"-",scheduleapr[[#This Row],[MATERIAL NO]])</f>
        <v>129695|187884|188415|189239|189240-1939992</v>
      </c>
      <c r="H393" s="2" t="s">
        <v>2008</v>
      </c>
      <c r="I393" s="2" t="s">
        <v>962</v>
      </c>
      <c r="J393" s="2"/>
      <c r="K393" s="2" t="s">
        <v>963</v>
      </c>
      <c r="L393" s="2" t="s">
        <v>239</v>
      </c>
      <c r="M393" s="2"/>
      <c r="N393" s="2"/>
      <c r="O393" s="2"/>
      <c r="P393" s="2"/>
      <c r="Q393" s="557" t="str">
        <f>CONCATENATE(scheduleapr[[#This Row],[OD]],"-",scheduleapr[[#This Row],[ID]],"-",scheduleapr[[#This Row],[TICKNESS]],"-",scheduleapr[[#This Row],[Grade]],"-",scheduleapr[[#This Row],[FC/NFC]])</f>
        <v>12.7-0-1.6-ERW 1-PE</v>
      </c>
      <c r="R393" s="557" t="str">
        <f>_xlfn.CONCAT(scheduleapr[[#This Row],[Bucket]],"-",scheduleapr[[#This Row],[LENGTH]]/1000)</f>
        <v>12.7-0-1.6-ERW 1-PE-0.187</v>
      </c>
      <c r="S393" s="557">
        <f>COUNTIF(scheduleapr[CTL Bucket],scheduleapr[[#This Row],[CTL Bucket]])</f>
        <v>1</v>
      </c>
      <c r="T393" s="557"/>
      <c r="U393" s="557"/>
      <c r="V393" s="557"/>
      <c r="W393" s="557"/>
      <c r="X393" s="1">
        <v>12.7</v>
      </c>
      <c r="Y393" s="1">
        <v>12.7</v>
      </c>
      <c r="Z393" s="1">
        <v>0</v>
      </c>
      <c r="AA393" s="1">
        <v>1.6</v>
      </c>
      <c r="AB393" s="24">
        <v>187</v>
      </c>
      <c r="AC393" s="24" t="s">
        <v>397</v>
      </c>
      <c r="AD393" s="24"/>
      <c r="AE393" s="24"/>
      <c r="AF393" s="2"/>
      <c r="AG393" s="2"/>
      <c r="AH393" s="2" cm="1">
        <f t="array" ref="AH3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3" s="4">
        <f>scheduleapr[[#This Row],[SCHEDULE in nos]]-scheduleapr[[#This Row],[DISPATCH]]</f>
        <v>0</v>
      </c>
      <c r="AJ393" s="1">
        <f>(3.14*(scheduleapr[[#This Row],[ACTUAL OD]]-scheduleapr[[#This Row],[TICKNESS]])*scheduleapr[[#This Row],[TICKNESS]]*scheduleapr[[#This Row],[LENGTH]]*7.85)/1000000*scheduleapr[[#This Row],[SCHEDULE in nos]]/1000</f>
        <v>0</v>
      </c>
      <c r="AK393" s="1">
        <f>(3.14*(scheduleapr[[#This Row],[ACTUAL OD]]-scheduleapr[[#This Row],[TICKNESS]])*scheduleapr[[#This Row],[TICKNESS]]*scheduleapr[[#This Row],[LENGTH]]*7.85)/1000000*scheduleapr[[#This Row],[DISPATCH]]/1000</f>
        <v>0</v>
      </c>
      <c r="AL393" s="1">
        <f t="shared" si="15"/>
        <v>0</v>
      </c>
      <c r="AM393" s="1" t="e">
        <f>scheduleapr[[#This Row],[SCHEDULE in nos]]/scheduleapr[[#This Row],[SCHEDULE IN MT]]*scheduleapr[[#This Row],[CTL Stock]]</f>
        <v>#DIV/0!</v>
      </c>
      <c r="AN393" s="1">
        <f>SUMIFS(stock[MT],stock[Bucket],scheduleapr[[#This Row],[Bucket]],stock[CTL Bucket],scheduleapr[[#This Row],[CTL Bucket]],stock[Plant],"0789")</f>
        <v>0</v>
      </c>
      <c r="AO393" s="1"/>
      <c r="AP393" s="1">
        <f>SUMIFS(stock[MT],stock[Bucket],scheduleapr[[#This Row],[Bucket]],stock[LL or CTL],"LL")</f>
        <v>6.5656999999999993E-2</v>
      </c>
      <c r="AQ393" s="1">
        <f>+SUMIFS(wip[Stock(Net Wt)],wip[Bucket],scheduleapr[[#This Row],[Bucket]])/1000</f>
        <v>8.9860000000000007</v>
      </c>
      <c r="AR393" s="1">
        <f t="shared" si="14"/>
        <v>0</v>
      </c>
      <c r="AS393" s="118"/>
    </row>
    <row r="394" spans="1:45" x14ac:dyDescent="0.25">
      <c r="A394" s="30">
        <v>318</v>
      </c>
      <c r="B394" s="5" t="s">
        <v>1816</v>
      </c>
      <c r="C394" s="2" t="s">
        <v>298</v>
      </c>
      <c r="D394" s="2" t="s">
        <v>2002</v>
      </c>
      <c r="E394" s="2" t="s">
        <v>292</v>
      </c>
      <c r="F394" s="2">
        <v>3223304</v>
      </c>
      <c r="G394" s="2" t="str">
        <f>_xlfn.CONCAT(scheduleapr[[#This Row],[CUSTOMER CODE]],"-",scheduleapr[[#This Row],[MATERIAL NO]])</f>
        <v>129695|187884|188415|189239|189240-3223304</v>
      </c>
      <c r="H394" s="2" t="s">
        <v>1150</v>
      </c>
      <c r="I394" s="2" t="s">
        <v>962</v>
      </c>
      <c r="J394" s="2"/>
      <c r="K394" s="2" t="s">
        <v>963</v>
      </c>
      <c r="L394" s="2" t="s">
        <v>1867</v>
      </c>
      <c r="M394" s="44" t="s">
        <v>1868</v>
      </c>
      <c r="N394" s="2"/>
      <c r="O394" s="2"/>
      <c r="P394" s="2"/>
      <c r="Q394" s="557" t="str">
        <f>CONCATENATE(scheduleapr[[#This Row],[OD]],"-",scheduleapr[[#This Row],[ID]],"-",scheduleapr[[#This Row],[TICKNESS]],"-",scheduleapr[[#This Row],[Grade]],"-",scheduleapr[[#This Row],[FC/NFC]])</f>
        <v>12.7-0-1.6-ERW 1-PE</v>
      </c>
      <c r="R394" s="557" t="str">
        <f>_xlfn.CONCAT(scheduleapr[[#This Row],[Bucket]],"-",scheduleapr[[#This Row],[LENGTH]]/1000)</f>
        <v>12.7-0-1.6-ERW 1-PE-0.255</v>
      </c>
      <c r="S394" s="557">
        <f>COUNTIF(scheduleapr[CTL Bucket],scheduleapr[[#This Row],[CTL Bucket]])</f>
        <v>1</v>
      </c>
      <c r="T394" s="2" t="s">
        <v>1816</v>
      </c>
      <c r="U394" s="2">
        <f>_xlfn.IFNA(VLOOKUP(scheduleapr[[#This Row],[Bucket]],salesforecast[[#All],[Bucket2]:[8406 Stock]],19,0),0)</f>
        <v>0</v>
      </c>
      <c r="V394" s="562">
        <f>_xlfn.IFNA(VLOOKUP(scheduleapr[[#This Row],[Bucket]],salesforecast[[#All],[Bucket2]:[8406 Stock]],20,0),0)+_xlfn.IFNA(VLOOKUP(scheduleapr[[#This Row],[Bucket]],salesforecast[[#All],[Bucket2]:[8406 Stock]],17,0),0)</f>
        <v>0</v>
      </c>
      <c r="W394" s="557"/>
      <c r="X394" s="1">
        <v>12.7</v>
      </c>
      <c r="Y394" s="1">
        <v>12.7</v>
      </c>
      <c r="Z394" s="1">
        <v>0</v>
      </c>
      <c r="AA394" s="1">
        <v>1.6</v>
      </c>
      <c r="AB394" s="24">
        <v>255</v>
      </c>
      <c r="AC394" s="24" t="s">
        <v>397</v>
      </c>
      <c r="AD394" s="24"/>
      <c r="AE394" s="24"/>
      <c r="AF394" s="2">
        <v>50000</v>
      </c>
      <c r="AG394" s="2"/>
      <c r="AH394" s="2" cm="1">
        <f t="array" ref="AH3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4" s="4">
        <f>scheduleapr[[#This Row],[SCHEDULE in nos]]-scheduleapr[[#This Row],[DISPATCH]]</f>
        <v>50000</v>
      </c>
      <c r="AJ394" s="1">
        <f>(3.14*(scheduleapr[[#This Row],[ACTUAL OD]]-scheduleapr[[#This Row],[TICKNESS]])*scheduleapr[[#This Row],[TICKNESS]]*scheduleapr[[#This Row],[LENGTH]]*7.85)/1000000*scheduleapr[[#This Row],[SCHEDULE in nos]]/1000</f>
        <v>5.5815195599999994</v>
      </c>
      <c r="AK394" s="1">
        <f>(3.14*(scheduleapr[[#This Row],[ACTUAL OD]]-scheduleapr[[#This Row],[TICKNESS]])*scheduleapr[[#This Row],[TICKNESS]]*scheduleapr[[#This Row],[LENGTH]]*7.85)/1000000*scheduleapr[[#This Row],[DISPATCH]]/1000</f>
        <v>0</v>
      </c>
      <c r="AL394" s="1">
        <f t="shared" si="15"/>
        <v>5.5815195599999994</v>
      </c>
      <c r="AM394" s="1">
        <f>scheduleapr[[#This Row],[SCHEDULE in nos]]/scheduleapr[[#This Row],[SCHEDULE IN MT]]*scheduleapr[[#This Row],[CTL Stock]]</f>
        <v>66.29019141160191</v>
      </c>
      <c r="AN394" s="1">
        <f>SUMIFS(stock[MT],stock[Bucket],scheduleapr[[#This Row],[Bucket]],stock[CTL Bucket],scheduleapr[[#This Row],[CTL Bucket]],stock[Plant],"0789")</f>
        <v>7.4000000000000003E-3</v>
      </c>
      <c r="AO394" s="1"/>
      <c r="AP394" s="1">
        <f>SUMIFS(stock[MT],stock[Bucket],scheduleapr[[#This Row],[Bucket]],stock[LL or CTL],"LL")</f>
        <v>6.5656999999999993E-2</v>
      </c>
      <c r="AQ394" s="1">
        <f>+SUMIFS(wip[Stock(Net Wt)],wip[Bucket],scheduleapr[[#This Row],[Bucket]])/1000</f>
        <v>8.9860000000000007</v>
      </c>
      <c r="AR394" s="1">
        <f t="shared" si="14"/>
        <v>5.5741195599999998</v>
      </c>
      <c r="AS394" s="118"/>
    </row>
    <row r="395" spans="1:45" x14ac:dyDescent="0.25">
      <c r="A395" s="30">
        <v>297</v>
      </c>
      <c r="B395" s="5" t="s">
        <v>1816</v>
      </c>
      <c r="C395" s="2" t="s">
        <v>291</v>
      </c>
      <c r="D395" s="2" t="s">
        <v>2002</v>
      </c>
      <c r="E395" s="2" t="s">
        <v>292</v>
      </c>
      <c r="F395" s="2">
        <v>2440974</v>
      </c>
      <c r="G395" s="2" t="str">
        <f>_xlfn.CONCAT(scheduleapr[[#This Row],[CUSTOMER CODE]],"-",scheduleapr[[#This Row],[MATERIAL NO]])</f>
        <v>129695|187884|188415|189239|189240-2440974</v>
      </c>
      <c r="H395" s="2" t="s">
        <v>431</v>
      </c>
      <c r="I395" s="2" t="s">
        <v>962</v>
      </c>
      <c r="J395" s="2"/>
      <c r="K395" s="2" t="s">
        <v>963</v>
      </c>
      <c r="L395" s="2" t="s">
        <v>239</v>
      </c>
      <c r="M395" s="2"/>
      <c r="N395" s="2"/>
      <c r="O395" s="2"/>
      <c r="P395" s="2"/>
      <c r="Q395" s="557" t="str">
        <f>CONCATENATE(scheduleapr[[#This Row],[OD]],"-",scheduleapr[[#This Row],[ID]],"-",scheduleapr[[#This Row],[TICKNESS]],"-",scheduleapr[[#This Row],[Grade]],"-",scheduleapr[[#This Row],[FC/NFC]])</f>
        <v>12.7-0-1.6-ERW 1-PE</v>
      </c>
      <c r="R395" s="557" t="str">
        <f>_xlfn.CONCAT(scheduleapr[[#This Row],[Bucket]],"-",scheduleapr[[#This Row],[LENGTH]]/1000)</f>
        <v>12.7-0-1.6-ERW 1-PE-0.28</v>
      </c>
      <c r="S395" s="557" t="e" vm="2">
        <f>COUNTIF([2]!buckets[CTL Bucket],[2]!scheduleapr[[#This Row],[CTL Bucket]])</f>
        <v>#REF!</v>
      </c>
      <c r="T395" s="557"/>
      <c r="U395" s="557"/>
      <c r="V395" s="557"/>
      <c r="W395" s="557"/>
      <c r="X395" s="1">
        <v>12.7</v>
      </c>
      <c r="Y395" s="1">
        <v>12.7</v>
      </c>
      <c r="Z395" s="1">
        <v>0</v>
      </c>
      <c r="AA395" s="1">
        <v>1.6</v>
      </c>
      <c r="AB395" s="24">
        <v>280</v>
      </c>
      <c r="AC395" s="24"/>
      <c r="AD395" s="24"/>
      <c r="AE395" s="24"/>
      <c r="AF395" s="2"/>
      <c r="AG395" s="2"/>
      <c r="AH395" s="2" t="e" cm="1">
        <f t="array" ref="AH3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95" s="4" t="e">
        <f>scheduleapr[[#This Row],[SCHEDULE in nos]]-scheduleapr[[#This Row],[DISPATCH]]</f>
        <v>#N/A</v>
      </c>
      <c r="AJ395" s="1">
        <f>(3.14*(scheduleapr[[#This Row],[ACTUAL OD]]-scheduleapr[[#This Row],[TICKNESS]])*scheduleapr[[#This Row],[TICKNESS]]*scheduleapr[[#This Row],[LENGTH]]*7.85)/1000000*scheduleapr[[#This Row],[SCHEDULE in nos]]/1000</f>
        <v>0</v>
      </c>
      <c r="AK395" s="1" t="e">
        <f>(3.14*(scheduleapr[[#This Row],[ACTUAL OD]]-scheduleapr[[#This Row],[TICKNESS]])*scheduleapr[[#This Row],[TICKNESS]]*scheduleapr[[#This Row],[LENGTH]]*7.85)/1000000*scheduleapr[[#This Row],[DISPATCH]]/1000</f>
        <v>#N/A</v>
      </c>
      <c r="AL395" s="1" t="e">
        <f t="shared" si="15"/>
        <v>#N/A</v>
      </c>
      <c r="AM395" s="1" t="e">
        <f>scheduleapr[[#This Row],[SCHEDULE in nos]]/scheduleapr[[#This Row],[SCHEDULE IN MT]]*scheduleapr[[#This Row],[CTL Stock]]</f>
        <v>#DIV/0!</v>
      </c>
      <c r="AN395" s="1">
        <f>SUMIFS(stock[MT],stock[Bucket],scheduleapr[[#This Row],[Bucket]],stock[CTL Bucket],scheduleapr[[#This Row],[CTL Bucket]],stock[Plant],"0789")</f>
        <v>5.1509999999999993E-3</v>
      </c>
      <c r="AO395" s="1"/>
      <c r="AP395" s="1">
        <f>SUMIFS(stock[MT],stock[Bucket],scheduleapr[[#This Row],[Bucket]],stock[LL or CTL],"LL")</f>
        <v>6.5656999999999993E-2</v>
      </c>
      <c r="AQ395" s="1">
        <f>+SUMIFS(wip[Stock(Net Wt)],wip[Bucket],scheduleapr[[#This Row],[Bucket]])/1000</f>
        <v>8.9860000000000007</v>
      </c>
      <c r="AR395" s="1">
        <f t="shared" si="14"/>
        <v>-5.1509999999999993E-3</v>
      </c>
      <c r="AS395" s="118"/>
    </row>
    <row r="396" spans="1:45" x14ac:dyDescent="0.25">
      <c r="A396" s="30">
        <v>385</v>
      </c>
      <c r="B396" s="5" t="s">
        <v>1816</v>
      </c>
      <c r="C396" s="2" t="s">
        <v>296</v>
      </c>
      <c r="D396" s="48" t="s">
        <v>2002</v>
      </c>
      <c r="E396" s="2" t="s">
        <v>292</v>
      </c>
      <c r="F396" s="2">
        <v>1940003</v>
      </c>
      <c r="G396" s="2" t="str">
        <f>_xlfn.CONCAT(scheduleapr[[#This Row],[CUSTOMER CODE]],"-",scheduleapr[[#This Row],[MATERIAL NO]])</f>
        <v>129695|187884|188415|189239|189240-1940003</v>
      </c>
      <c r="H396" s="2" t="s">
        <v>2009</v>
      </c>
      <c r="I396" s="2" t="s">
        <v>962</v>
      </c>
      <c r="J396" s="2"/>
      <c r="K396" s="2" t="s">
        <v>963</v>
      </c>
      <c r="L396" s="2" t="s">
        <v>1867</v>
      </c>
      <c r="M396" s="2" t="s">
        <v>1881</v>
      </c>
      <c r="N396" s="2"/>
      <c r="O396" s="2"/>
      <c r="P396" s="2"/>
      <c r="Q396" s="557" t="str">
        <f>CONCATENATE(scheduleapr[[#This Row],[OD]],"-",scheduleapr[[#This Row],[ID]],"-",scheduleapr[[#This Row],[TICKNESS]],"-",scheduleapr[[#This Row],[Grade]],"-",scheduleapr[[#This Row],[FC/NFC]])</f>
        <v>12.7-0-1.6-ERW 1-PE</v>
      </c>
      <c r="R396" s="557" t="str">
        <f>_xlfn.CONCAT(scheduleapr[[#This Row],[Bucket]],"-",scheduleapr[[#This Row],[LENGTH]]/1000)</f>
        <v>12.7-0-1.6-ERW 1-PE-0.393</v>
      </c>
      <c r="S396" s="557">
        <f>COUNTIF(scheduleapr[CTL Bucket],scheduleapr[[#This Row],[CTL Bucket]])</f>
        <v>1</v>
      </c>
      <c r="T396" s="557"/>
      <c r="U396" s="557"/>
      <c r="V396" s="557"/>
      <c r="W396" s="557"/>
      <c r="X396" s="1">
        <v>12.7</v>
      </c>
      <c r="Y396" s="1">
        <v>12.7</v>
      </c>
      <c r="Z396" s="1">
        <v>0</v>
      </c>
      <c r="AA396" s="1">
        <v>1.6</v>
      </c>
      <c r="AB396" s="24">
        <v>393</v>
      </c>
      <c r="AC396" s="24" t="s">
        <v>397</v>
      </c>
      <c r="AD396" s="24"/>
      <c r="AE396" s="24"/>
      <c r="AF396" s="2">
        <v>5000</v>
      </c>
      <c r="AG396" s="2"/>
      <c r="AH396" s="2" cm="1">
        <f t="array" ref="AH3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6" s="4">
        <f>scheduleapr[[#This Row],[SCHEDULE in nos]]-scheduleapr[[#This Row],[DISPATCH]]</f>
        <v>5000</v>
      </c>
      <c r="AJ396" s="1">
        <f>(3.14*(scheduleapr[[#This Row],[ACTUAL OD]]-scheduleapr[[#This Row],[TICKNESS]])*scheduleapr[[#This Row],[TICKNESS]]*scheduleapr[[#This Row],[LENGTH]]*7.85)/1000000*scheduleapr[[#This Row],[SCHEDULE in nos]]/1000</f>
        <v>0.86021066160000015</v>
      </c>
      <c r="AK396" s="1">
        <f>(3.14*(scheduleapr[[#This Row],[ACTUAL OD]]-scheduleapr[[#This Row],[TICKNESS]])*scheduleapr[[#This Row],[TICKNESS]]*scheduleapr[[#This Row],[LENGTH]]*7.85)/1000000*scheduleapr[[#This Row],[DISPATCH]]/1000</f>
        <v>0</v>
      </c>
      <c r="AL396" s="1">
        <f t="shared" si="15"/>
        <v>0.86021066160000015</v>
      </c>
      <c r="AM396" s="1">
        <f>scheduleapr[[#This Row],[SCHEDULE in nos]]/scheduleapr[[#This Row],[SCHEDULE IN MT]]*scheduleapr[[#This Row],[CTL Stock]]</f>
        <v>0</v>
      </c>
      <c r="AN396" s="1">
        <f>SUMIFS(stock[MT],stock[Bucket],scheduleapr[[#This Row],[Bucket]],stock[CTL Bucket],scheduleapr[[#This Row],[CTL Bucket]],stock[Plant],"0789")</f>
        <v>0</v>
      </c>
      <c r="AO396" s="1"/>
      <c r="AP396" s="1">
        <f>SUMIFS(stock[MT],stock[Bucket],scheduleapr[[#This Row],[Bucket]],stock[LL or CTL],"LL")</f>
        <v>6.5656999999999993E-2</v>
      </c>
      <c r="AQ396" s="1">
        <f>+SUMIFS(wip[Stock(Net Wt)],wip[Bucket],scheduleapr[[#This Row],[Bucket]])/1000</f>
        <v>8.9860000000000007</v>
      </c>
      <c r="AR396" s="1">
        <f t="shared" si="14"/>
        <v>0.86021066160000015</v>
      </c>
      <c r="AS396" s="118"/>
    </row>
    <row r="397" spans="1:45" x14ac:dyDescent="0.25">
      <c r="A397" s="30">
        <v>386</v>
      </c>
      <c r="B397" s="5" t="s">
        <v>1816</v>
      </c>
      <c r="C397" s="2" t="s">
        <v>296</v>
      </c>
      <c r="D397" s="2" t="s">
        <v>2002</v>
      </c>
      <c r="E397" s="2" t="s">
        <v>292</v>
      </c>
      <c r="F397" s="9">
        <v>2387804</v>
      </c>
      <c r="G397" s="2" t="str">
        <f>_xlfn.CONCAT(scheduleapr[[#This Row],[CUSTOMER CODE]],"-",scheduleapr[[#This Row],[MATERIAL NO]])</f>
        <v>129695|187884|188415|189239|189240-2387804</v>
      </c>
      <c r="H397" s="2" t="s">
        <v>2010</v>
      </c>
      <c r="I397" s="2" t="s">
        <v>962</v>
      </c>
      <c r="J397" s="2"/>
      <c r="K397" s="2" t="s">
        <v>963</v>
      </c>
      <c r="L397" s="2" t="s">
        <v>1867</v>
      </c>
      <c r="M397" s="2" t="s">
        <v>1881</v>
      </c>
      <c r="N397" s="2"/>
      <c r="O397" s="2"/>
      <c r="P397" s="2"/>
      <c r="Q397" s="557" t="str">
        <f>CONCATENATE(scheduleapr[[#This Row],[OD]],"-",scheduleapr[[#This Row],[ID]],"-",scheduleapr[[#This Row],[TICKNESS]],"-",scheduleapr[[#This Row],[Grade]],"-",scheduleapr[[#This Row],[FC/NFC]])</f>
        <v>15.88-0-1.6-ERW 1-PE</v>
      </c>
      <c r="R397" s="557" t="str">
        <f>_xlfn.CONCAT(scheduleapr[[#This Row],[Bucket]],"-",scheduleapr[[#This Row],[LENGTH]]/1000)</f>
        <v>15.88-0-1.6-ERW 1-PE-0.442</v>
      </c>
      <c r="S397" s="557">
        <f>COUNTIF(scheduleapr[CTL Bucket],scheduleapr[[#This Row],[CTL Bucket]])</f>
        <v>1</v>
      </c>
      <c r="T397" s="2" t="s">
        <v>1816</v>
      </c>
      <c r="U397" s="2">
        <f>_xlfn.IFNA(VLOOKUP(scheduleapr[[#This Row],[Bucket]],salesforecast[[#All],[Bucket2]:[8406 Stock]],19,0),0)</f>
        <v>0</v>
      </c>
      <c r="V397" s="562">
        <f>_xlfn.IFNA(VLOOKUP(scheduleapr[[#This Row],[Bucket]],salesforecast[[#All],[Bucket2]:[8406 Stock]],20,0),0)+_xlfn.IFNA(VLOOKUP(scheduleapr[[#This Row],[Bucket]],salesforecast[[#All],[Bucket2]:[8406 Stock]],17,0),0)</f>
        <v>0</v>
      </c>
      <c r="W397" s="557"/>
      <c r="X397" s="1">
        <v>15.88</v>
      </c>
      <c r="Y397" s="1">
        <v>15.88</v>
      </c>
      <c r="Z397" s="1">
        <v>0</v>
      </c>
      <c r="AA397" s="1">
        <v>1.6</v>
      </c>
      <c r="AB397" s="24">
        <v>442</v>
      </c>
      <c r="AC397" s="24" t="s">
        <v>397</v>
      </c>
      <c r="AD397" s="24"/>
      <c r="AE397" s="24"/>
      <c r="AF397" s="24">
        <v>5000</v>
      </c>
      <c r="AG397" s="24"/>
      <c r="AH397" s="2" cm="1">
        <f t="array" ref="AH3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7" s="4">
        <f>scheduleapr[[#This Row],[SCHEDULE in nos]]-scheduleapr[[#This Row],[DISPATCH]]</f>
        <v>5000</v>
      </c>
      <c r="AJ397" s="1">
        <f>(3.14*(scheduleapr[[#This Row],[ACTUAL OD]]-scheduleapr[[#This Row],[TICKNESS]])*scheduleapr[[#This Row],[TICKNESS]]*scheduleapr[[#This Row],[LENGTH]]*7.85)/1000000*scheduleapr[[#This Row],[SCHEDULE in nos]]/1000</f>
        <v>1.2446285779199999</v>
      </c>
      <c r="AK397" s="1">
        <f>(3.14*(scheduleapr[[#This Row],[ACTUAL OD]]-scheduleapr[[#This Row],[TICKNESS]])*scheduleapr[[#This Row],[TICKNESS]]*scheduleapr[[#This Row],[LENGTH]]*7.85)/1000000*scheduleapr[[#This Row],[DISPATCH]]/1000</f>
        <v>0</v>
      </c>
      <c r="AL397" s="1">
        <f t="shared" si="15"/>
        <v>1.2446285779199999</v>
      </c>
      <c r="AM397" s="1">
        <f>scheduleapr[[#This Row],[SCHEDULE in nos]]/scheduleapr[[#This Row],[SCHEDULE IN MT]]*scheduleapr[[#This Row],[CTL Stock]]</f>
        <v>0</v>
      </c>
      <c r="AN397" s="1">
        <f>SUMIFS(stock[MT],stock[Bucket],scheduleapr[[#This Row],[Bucket]],stock[CTL Bucket],scheduleapr[[#This Row],[CTL Bucket]],stock[Plant],"0789")</f>
        <v>0</v>
      </c>
      <c r="AO397" s="1"/>
      <c r="AP397" s="1">
        <f>SUMIFS(stock[MT],stock[Bucket],scheduleapr[[#This Row],[Bucket]],stock[LL or CTL],"LL")</f>
        <v>0</v>
      </c>
      <c r="AQ397" s="1">
        <f>+SUMIFS(wip[Stock(Net Wt)],wip[Bucket],scheduleapr[[#This Row],[Bucket]])/1000</f>
        <v>3.8879999999999999</v>
      </c>
      <c r="AR397" s="1">
        <f t="shared" si="14"/>
        <v>1.2446285779199999</v>
      </c>
      <c r="AS397" s="118"/>
    </row>
    <row r="398" spans="1:45" x14ac:dyDescent="0.25">
      <c r="A398" s="556"/>
      <c r="B398" s="5" t="s">
        <v>1816</v>
      </c>
      <c r="C398" s="2" t="s">
        <v>298</v>
      </c>
      <c r="D398" s="2" t="s">
        <v>2002</v>
      </c>
      <c r="E398" s="2" t="s">
        <v>292</v>
      </c>
      <c r="F398" s="557"/>
      <c r="G398" s="2" t="str">
        <f>_xlfn.CONCAT(scheduleapr[[#This Row],[CUSTOMER CODE]],"-",scheduleapr[[#This Row],[MATERIAL NO]])</f>
        <v>129695|187884|188415|189239|189240-</v>
      </c>
      <c r="H398" s="557"/>
      <c r="I398" s="2" t="s">
        <v>962</v>
      </c>
      <c r="J398" s="557"/>
      <c r="K398" s="2" t="s">
        <v>963</v>
      </c>
      <c r="L398" s="2" t="s">
        <v>1867</v>
      </c>
      <c r="M398" s="2" t="s">
        <v>1881</v>
      </c>
      <c r="N398" s="557"/>
      <c r="O398" s="557"/>
      <c r="P398" s="557"/>
      <c r="Q398" s="557" t="str">
        <f>CONCATENATE(scheduleapr[[#This Row],[OD]],"-",scheduleapr[[#This Row],[ID]],"-",scheduleapr[[#This Row],[TICKNESS]],"-",scheduleapr[[#This Row],[Grade]],"-",scheduleapr[[#This Row],[FC/NFC]])</f>
        <v>15.88-0-1.6-ERW 1-PE</v>
      </c>
      <c r="R398" s="557" t="str">
        <f>_xlfn.CONCAT(scheduleapr[[#This Row],[Bucket]],"-",scheduleapr[[#This Row],[LENGTH]]/1000)</f>
        <v>15.88-0-1.6-ERW 1-PE-1</v>
      </c>
      <c r="S398" s="557"/>
      <c r="T398" s="2"/>
      <c r="U398" s="2">
        <f>_xlfn.IFNA(VLOOKUP(scheduleapr[[#This Row],[Bucket]],salesforecast[[#All],[Bucket2]:[8406 Stock]],19,0),0)</f>
        <v>0</v>
      </c>
      <c r="V398" s="562">
        <f>_xlfn.IFNA(VLOOKUP(scheduleapr[[#This Row],[Bucket]],salesforecast[[#All],[Bucket2]:[8406 Stock]],20,0),0)+_xlfn.IFNA(VLOOKUP(scheduleapr[[#This Row],[Bucket]],salesforecast[[#All],[Bucket2]:[8406 Stock]],17,0),0)</f>
        <v>0</v>
      </c>
      <c r="W398" s="2"/>
      <c r="X398" s="559">
        <v>15.88</v>
      </c>
      <c r="Y398" s="559">
        <v>15.88</v>
      </c>
      <c r="Z398" s="559">
        <v>0</v>
      </c>
      <c r="AA398" s="1">
        <v>1.6</v>
      </c>
      <c r="AB398" s="24">
        <v>1000</v>
      </c>
      <c r="AC398" s="24" t="s">
        <v>444</v>
      </c>
      <c r="AD398" s="24"/>
      <c r="AE398" s="24"/>
      <c r="AF398" s="24">
        <v>2500</v>
      </c>
      <c r="AG398" s="24"/>
      <c r="AH398" s="2" cm="1">
        <f t="array" ref="AH3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8" s="4">
        <f>scheduleapr[[#This Row],[SCHEDULE in nos]]-scheduleapr[[#This Row],[DISPATCH]]</f>
        <v>2500</v>
      </c>
      <c r="AJ398" s="559">
        <f>(3.14*(scheduleapr[[#This Row],[ACTUAL OD]]-scheduleapr[[#This Row],[TICKNESS]])*scheduleapr[[#This Row],[TICKNESS]]*scheduleapr[[#This Row],[LENGTH]]*7.85)/1000000*scheduleapr[[#This Row],[SCHEDULE in nos]]/1000</f>
        <v>1.4079508799999998</v>
      </c>
      <c r="AK398" s="1">
        <f>(3.14*(scheduleapr[[#This Row],[ACTUAL OD]]-scheduleapr[[#This Row],[TICKNESS]])*scheduleapr[[#This Row],[TICKNESS]]*scheduleapr[[#This Row],[LENGTH]]*7.85)/1000000*scheduleapr[[#This Row],[DISPATCH]]/1000</f>
        <v>0</v>
      </c>
      <c r="AL398" s="1">
        <f t="shared" si="15"/>
        <v>1.4079508799999998</v>
      </c>
      <c r="AM398" s="559">
        <f>scheduleapr[[#This Row],[SCHEDULE in nos]]/scheduleapr[[#This Row],[SCHEDULE IN MT]]*scheduleapr[[#This Row],[CTL Stock]]</f>
        <v>0</v>
      </c>
      <c r="AN398" s="1">
        <f>SUMIFS(stock[MT],stock[Bucket],scheduleapr[[#This Row],[Bucket]],stock[CTL Bucket],scheduleapr[[#This Row],[CTL Bucket]],stock[Plant],"0789")</f>
        <v>0</v>
      </c>
      <c r="AO398" s="1"/>
      <c r="AP398" s="1">
        <f>SUMIFS(stock[MT],stock[Bucket],scheduleapr[[#This Row],[Bucket]],stock[LL or CTL],"LL")</f>
        <v>0</v>
      </c>
      <c r="AQ398" s="1">
        <f>+SUMIFS(wip[Stock(Net Wt)],wip[Bucket],scheduleapr[[#This Row],[Bucket]])/1000</f>
        <v>3.8879999999999999</v>
      </c>
      <c r="AR398" s="1">
        <f t="shared" si="14"/>
        <v>1.4079508799999998</v>
      </c>
      <c r="AS398" s="118"/>
    </row>
    <row r="399" spans="1:45" x14ac:dyDescent="0.25">
      <c r="A399" s="30">
        <v>298</v>
      </c>
      <c r="B399" s="5" t="s">
        <v>1816</v>
      </c>
      <c r="C399" s="2" t="s">
        <v>291</v>
      </c>
      <c r="D399" s="2" t="s">
        <v>2002</v>
      </c>
      <c r="E399" s="2" t="s">
        <v>292</v>
      </c>
      <c r="F399" s="2">
        <v>1900224</v>
      </c>
      <c r="G399" s="2" t="str">
        <f>_xlfn.CONCAT(scheduleapr[[#This Row],[CUSTOMER CODE]],"-",scheduleapr[[#This Row],[MATERIAL NO]])</f>
        <v>129695|187884|188415|189239|189240-1900224</v>
      </c>
      <c r="H399" s="2" t="s">
        <v>1880</v>
      </c>
      <c r="I399" s="2" t="s">
        <v>962</v>
      </c>
      <c r="J399" s="2"/>
      <c r="K399" s="2" t="s">
        <v>963</v>
      </c>
      <c r="L399" s="2" t="s">
        <v>239</v>
      </c>
      <c r="M399" s="2"/>
      <c r="N399" s="2"/>
      <c r="O399" s="2"/>
      <c r="P399" s="2"/>
      <c r="Q399" s="557" t="str">
        <f>CONCATENATE(scheduleapr[[#This Row],[OD]],"-",scheduleapr[[#This Row],[ID]],"-",scheduleapr[[#This Row],[TICKNESS]],"-",scheduleapr[[#This Row],[Grade]],"-",scheduleapr[[#This Row],[FC/NFC]])</f>
        <v>15.88-0-1.6-ERW 1-PE</v>
      </c>
      <c r="R399" s="557" t="str">
        <f>_xlfn.CONCAT(scheduleapr[[#This Row],[Bucket]],"-",scheduleapr[[#This Row],[LENGTH]]/1000)</f>
        <v>15.88-0-1.6-ERW 1-PE-6</v>
      </c>
      <c r="S399" s="557">
        <f>COUNTIF(scheduleapr[CTL Bucket],scheduleapr[[#This Row],[CTL Bucket]])</f>
        <v>1</v>
      </c>
      <c r="T399" s="2" t="s">
        <v>1816</v>
      </c>
      <c r="U399" s="557"/>
      <c r="V399" s="557"/>
      <c r="W399" s="557"/>
      <c r="X399" s="1">
        <v>15.88</v>
      </c>
      <c r="Y399" s="1">
        <v>15.88</v>
      </c>
      <c r="Z399" s="1">
        <v>0</v>
      </c>
      <c r="AA399" s="1">
        <v>1.6</v>
      </c>
      <c r="AB399" s="24">
        <v>6000</v>
      </c>
      <c r="AC399" s="24" t="s">
        <v>444</v>
      </c>
      <c r="AD399" s="24"/>
      <c r="AE399" s="24"/>
      <c r="AF399" s="2"/>
      <c r="AG399" s="2"/>
      <c r="AH399" s="2" cm="1">
        <f t="array" ref="AH3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9" s="4">
        <f>scheduleapr[[#This Row],[SCHEDULE in nos]]-scheduleapr[[#This Row],[DISPATCH]]</f>
        <v>0</v>
      </c>
      <c r="AJ399" s="1">
        <f>(3.14*(scheduleapr[[#This Row],[ACTUAL OD]]-scheduleapr[[#This Row],[TICKNESS]])*scheduleapr[[#This Row],[TICKNESS]]*scheduleapr[[#This Row],[LENGTH]]*7.85)/1000000*scheduleapr[[#This Row],[SCHEDULE in nos]]/1000</f>
        <v>0</v>
      </c>
      <c r="AK399" s="1">
        <f>(3.14*(scheduleapr[[#This Row],[ACTUAL OD]]-scheduleapr[[#This Row],[TICKNESS]])*scheduleapr[[#This Row],[TICKNESS]]*scheduleapr[[#This Row],[LENGTH]]*7.85)/1000000*scheduleapr[[#This Row],[DISPATCH]]/1000</f>
        <v>0</v>
      </c>
      <c r="AL399" s="1">
        <f t="shared" si="15"/>
        <v>0</v>
      </c>
      <c r="AM399" s="1" t="e">
        <f>scheduleapr[[#This Row],[SCHEDULE in nos]]/scheduleapr[[#This Row],[SCHEDULE IN MT]]*scheduleapr[[#This Row],[CTL Stock]]</f>
        <v>#DIV/0!</v>
      </c>
      <c r="AN399" s="1">
        <f>SUMIFS(stock[MT],stock[Bucket],scheduleapr[[#This Row],[Bucket]],stock[CTL Bucket],scheduleapr[[#This Row],[CTL Bucket]],stock[Plant],"0789")</f>
        <v>0</v>
      </c>
      <c r="AO399" s="1"/>
      <c r="AP399" s="1">
        <f>SUMIFS(stock[MT],stock[Bucket],scheduleapr[[#This Row],[Bucket]],stock[LL or CTL],"LL")</f>
        <v>0</v>
      </c>
      <c r="AQ399" s="1">
        <f>+SUMIFS(wip[Stock(Net Wt)],wip[Bucket],scheduleapr[[#This Row],[Bucket]])/1000</f>
        <v>3.8879999999999999</v>
      </c>
      <c r="AR399" s="1">
        <f t="shared" si="14"/>
        <v>0</v>
      </c>
      <c r="AS399" s="118"/>
    </row>
    <row r="400" spans="1:45" x14ac:dyDescent="0.25">
      <c r="A400" s="30">
        <v>412</v>
      </c>
      <c r="B400" s="5" t="s">
        <v>1816</v>
      </c>
      <c r="C400" s="2" t="s">
        <v>299</v>
      </c>
      <c r="D400" s="2" t="s">
        <v>2002</v>
      </c>
      <c r="E400" s="2" t="s">
        <v>292</v>
      </c>
      <c r="F400" s="2">
        <v>1940090</v>
      </c>
      <c r="G400" s="2" t="str">
        <f>_xlfn.CONCAT(scheduleapr[[#This Row],[CUSTOMER CODE]],"-",scheduleapr[[#This Row],[MATERIAL NO]])</f>
        <v>129695|187884|188415|189239|189240-1940090</v>
      </c>
      <c r="H400" s="2" t="s">
        <v>538</v>
      </c>
      <c r="I400" s="2" t="s">
        <v>962</v>
      </c>
      <c r="J400" s="2"/>
      <c r="K400" s="2" t="s">
        <v>963</v>
      </c>
      <c r="L400" s="2" t="s">
        <v>239</v>
      </c>
      <c r="M400" s="2"/>
      <c r="N400" s="2"/>
      <c r="O400" s="2"/>
      <c r="P400" s="2"/>
      <c r="Q400" s="557" t="str">
        <f>CONCATENATE(scheduleapr[[#This Row],[OD]],"-",scheduleapr[[#This Row],[ID]],"-",scheduleapr[[#This Row],[TICKNESS]],"-",scheduleapr[[#This Row],[Grade]],"-",scheduleapr[[#This Row],[FC/NFC]])</f>
        <v>15.88-0-2-ERW 1-PE</v>
      </c>
      <c r="R400" s="557" t="str">
        <f>_xlfn.CONCAT(scheduleapr[[#This Row],[Bucket]],"-",scheduleapr[[#This Row],[LENGTH]]/1000)</f>
        <v>15.88-0-2-ERW 1-PE-0.291</v>
      </c>
      <c r="S400" s="557">
        <f>COUNTIF(scheduleapr[CTL Bucket],scheduleapr[[#This Row],[CTL Bucket]])</f>
        <v>5</v>
      </c>
      <c r="T400" s="2" t="s">
        <v>1816</v>
      </c>
      <c r="U400" s="2">
        <f>_xlfn.IFNA(VLOOKUP(scheduleapr[[#This Row],[Bucket]],salesforecast[[#All],[Bucket2]:[8406 Stock]],19,0),0)</f>
        <v>0</v>
      </c>
      <c r="V400" s="562">
        <f>_xlfn.IFNA(VLOOKUP(scheduleapr[[#This Row],[Bucket]],salesforecast[[#All],[Bucket2]:[8406 Stock]],20,0),0)+_xlfn.IFNA(VLOOKUP(scheduleapr[[#This Row],[Bucket]],salesforecast[[#All],[Bucket2]:[8406 Stock]],17,0),0)</f>
        <v>0</v>
      </c>
      <c r="W400" s="557"/>
      <c r="X400" s="1">
        <v>15.88</v>
      </c>
      <c r="Y400" s="1">
        <v>15.88</v>
      </c>
      <c r="Z400" s="1">
        <v>0</v>
      </c>
      <c r="AA400" s="1">
        <v>2</v>
      </c>
      <c r="AB400" s="24">
        <v>291</v>
      </c>
      <c r="AC400" s="24" t="s">
        <v>397</v>
      </c>
      <c r="AD400" s="24"/>
      <c r="AE400" s="24"/>
      <c r="AF400" s="24">
        <v>5000</v>
      </c>
      <c r="AG400" s="24"/>
      <c r="AH400" s="2" cm="1">
        <f t="array" ref="AH4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0" s="4">
        <f>scheduleapr[[#This Row],[SCHEDULE in nos]]-scheduleapr[[#This Row],[DISPATCH]]</f>
        <v>5000</v>
      </c>
      <c r="AJ400" s="1">
        <f>(3.14*(scheduleapr[[#This Row],[ACTUAL OD]]-scheduleapr[[#This Row],[TICKNESS]])*scheduleapr[[#This Row],[TICKNESS]]*scheduleapr[[#This Row],[LENGTH]]*7.85)/1000000*scheduleapr[[#This Row],[SCHEDULE in nos]]/1000</f>
        <v>0.99559282920000014</v>
      </c>
      <c r="AK400" s="1">
        <f>(3.14*(scheduleapr[[#This Row],[ACTUAL OD]]-scheduleapr[[#This Row],[TICKNESS]])*scheduleapr[[#This Row],[TICKNESS]]*scheduleapr[[#This Row],[LENGTH]]*7.85)/1000000*scheduleapr[[#This Row],[DISPATCH]]/1000</f>
        <v>0</v>
      </c>
      <c r="AL400" s="1">
        <f t="shared" si="15"/>
        <v>0.99559282920000014</v>
      </c>
      <c r="AM400" s="1">
        <f>scheduleapr[[#This Row],[SCHEDULE in nos]]/scheduleapr[[#This Row],[SCHEDULE IN MT]]*scheduleapr[[#This Row],[CTL Stock]]</f>
        <v>1474.6691186795058</v>
      </c>
      <c r="AN400" s="1">
        <f>SUMIFS(stock[MT],stock[Bucket],scheduleapr[[#This Row],[Bucket]],stock[CTL Bucket],scheduleapr[[#This Row],[CTL Bucket]],stock[Plant],"0789")</f>
        <v>0.29363400000000001</v>
      </c>
      <c r="AO400" s="1"/>
      <c r="AP400" s="1">
        <f>SUMIFS(stock[MT],stock[Bucket],scheduleapr[[#This Row],[Bucket]],stock[LL or CTL],"LL")</f>
        <v>0</v>
      </c>
      <c r="AQ400" s="1">
        <f>+SUMIFS(wip[Stock(Net Wt)],wip[Bucket],scheduleapr[[#This Row],[Bucket]])/1000</f>
        <v>0.24399999999999999</v>
      </c>
      <c r="AR400" s="1">
        <f t="shared" si="14"/>
        <v>0.70195882920000008</v>
      </c>
      <c r="AS400" s="118"/>
    </row>
    <row r="401" spans="1:45" x14ac:dyDescent="0.25">
      <c r="A401" s="30">
        <v>379</v>
      </c>
      <c r="B401" s="5" t="s">
        <v>1816</v>
      </c>
      <c r="C401" s="2" t="s">
        <v>295</v>
      </c>
      <c r="D401" s="2" t="s">
        <v>2002</v>
      </c>
      <c r="E401" s="2" t="s">
        <v>292</v>
      </c>
      <c r="F401" s="557"/>
      <c r="G401" s="2" t="str">
        <f>_xlfn.CONCAT(scheduleapr[[#This Row],[CUSTOMER CODE]],"-",scheduleapr[[#This Row],[MATERIAL NO]])</f>
        <v>129695|187884|188415|189239|189240-</v>
      </c>
      <c r="H401" s="557"/>
      <c r="I401" s="2" t="s">
        <v>962</v>
      </c>
      <c r="J401" s="557"/>
      <c r="K401" s="2" t="s">
        <v>963</v>
      </c>
      <c r="L401" s="2" t="s">
        <v>239</v>
      </c>
      <c r="M401" s="557"/>
      <c r="N401" s="557"/>
      <c r="O401" s="557"/>
      <c r="P401" s="557"/>
      <c r="Q401" s="557" t="str">
        <f>CONCATENATE(scheduleapr[[#This Row],[OD]],"-",scheduleapr[[#This Row],[ID]],"-",scheduleapr[[#This Row],[TICKNESS]],"-",scheduleapr[[#This Row],[Grade]],"-",scheduleapr[[#This Row],[FC/NFC]])</f>
        <v>15.88-0-2-ERW 1-PE</v>
      </c>
      <c r="R401" s="557" t="str">
        <f>_xlfn.CONCAT(scheduleapr[[#This Row],[Bucket]],"-",scheduleapr[[#This Row],[LENGTH]]/1000)</f>
        <v>15.88-0-2-ERW 1-PE-0.537</v>
      </c>
      <c r="S401" s="557">
        <f>COUNTIF(scheduleapr[CTL Bucket],scheduleapr[[#This Row],[CTL Bucket]])</f>
        <v>1</v>
      </c>
      <c r="T401" s="2" t="s">
        <v>1816</v>
      </c>
      <c r="U401" s="2"/>
      <c r="V401" s="2"/>
      <c r="W401" s="2"/>
      <c r="X401" s="1">
        <v>15.88</v>
      </c>
      <c r="Y401" s="1">
        <v>15.88</v>
      </c>
      <c r="Z401" s="1">
        <v>0</v>
      </c>
      <c r="AA401" s="1">
        <v>2</v>
      </c>
      <c r="AB401" s="24">
        <v>537</v>
      </c>
      <c r="AC401" s="24" t="s">
        <v>397</v>
      </c>
      <c r="AD401" s="24"/>
      <c r="AE401" s="24"/>
      <c r="AF401" s="2"/>
      <c r="AG401" s="2"/>
      <c r="AH401" s="2" cm="1">
        <f t="array" ref="AH4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1" s="4">
        <f>scheduleapr[[#This Row],[SCHEDULE in nos]]-scheduleapr[[#This Row],[DISPATCH]]</f>
        <v>0</v>
      </c>
      <c r="AJ401" s="1">
        <f>(3.14*(scheduleapr[[#This Row],[ACTUAL OD]]-scheduleapr[[#This Row],[TICKNESS]])*scheduleapr[[#This Row],[TICKNESS]]*scheduleapr[[#This Row],[LENGTH]]*7.85)/1000000*scheduleapr[[#This Row],[SCHEDULE in nos]]/1000</f>
        <v>0</v>
      </c>
      <c r="AK401" s="1">
        <f>(3.14*(scheduleapr[[#This Row],[ACTUAL OD]]-scheduleapr[[#This Row],[TICKNESS]])*scheduleapr[[#This Row],[TICKNESS]]*scheduleapr[[#This Row],[LENGTH]]*7.85)/1000000*scheduleapr[[#This Row],[DISPATCH]]/1000</f>
        <v>0</v>
      </c>
      <c r="AL401" s="1">
        <f t="shared" si="15"/>
        <v>0</v>
      </c>
      <c r="AM401" s="1" t="e">
        <f>scheduleapr[[#This Row],[SCHEDULE in nos]]/scheduleapr[[#This Row],[SCHEDULE IN MT]]*scheduleapr[[#This Row],[CTL Stock]]</f>
        <v>#DIV/0!</v>
      </c>
      <c r="AN401" s="1">
        <f>SUMIFS(stock[MT],stock[Bucket],scheduleapr[[#This Row],[Bucket]],stock[CTL Bucket],scheduleapr[[#This Row],[CTL Bucket]],stock[Plant],"0789")</f>
        <v>0</v>
      </c>
      <c r="AO401" s="1"/>
      <c r="AP401" s="1">
        <f>SUMIFS(stock[MT],stock[Bucket],scheduleapr[[#This Row],[Bucket]],stock[LL or CTL],"LL")</f>
        <v>0</v>
      </c>
      <c r="AQ401" s="1">
        <f>+SUMIFS(wip[Stock(Net Wt)],wip[Bucket],scheduleapr[[#This Row],[Bucket]])/1000</f>
        <v>0.24399999999999999</v>
      </c>
      <c r="AR401" s="1">
        <f t="shared" si="14"/>
        <v>0</v>
      </c>
      <c r="AS401" s="118"/>
    </row>
    <row r="402" spans="1:45" x14ac:dyDescent="0.25">
      <c r="A402" s="30">
        <v>304</v>
      </c>
      <c r="B402" s="5" t="s">
        <v>1816</v>
      </c>
      <c r="C402" s="2" t="s">
        <v>291</v>
      </c>
      <c r="D402" s="2" t="s">
        <v>2002</v>
      </c>
      <c r="E402" s="2" t="s">
        <v>292</v>
      </c>
      <c r="F402" s="2">
        <v>1529261</v>
      </c>
      <c r="G402" s="2" t="str">
        <f>_xlfn.CONCAT(scheduleapr[[#This Row],[CUSTOMER CODE]],"-",scheduleapr[[#This Row],[MATERIAL NO]])</f>
        <v>129695|187884|188415|189239|189240-1529261</v>
      </c>
      <c r="H402" s="2" t="s">
        <v>2011</v>
      </c>
      <c r="I402" s="2" t="s">
        <v>962</v>
      </c>
      <c r="J402" s="2"/>
      <c r="K402" s="2"/>
      <c r="L402" s="2" t="s">
        <v>239</v>
      </c>
      <c r="M402" s="2"/>
      <c r="N402" s="2"/>
      <c r="O402" s="2"/>
      <c r="P402" s="2"/>
      <c r="Q402" s="557" t="str">
        <f>CONCATENATE(scheduleapr[[#This Row],[OD]],"-",scheduleapr[[#This Row],[ID]],"-",scheduleapr[[#This Row],[TICKNESS]],"-",scheduleapr[[#This Row],[Grade]],"-",scheduleapr[[#This Row],[FC/NFC]])</f>
        <v>19.05-0-1.6-ERW 1-</v>
      </c>
      <c r="R402" s="557" t="str">
        <f>_xlfn.CONCAT(scheduleapr[[#This Row],[Bucket]],"-",scheduleapr[[#This Row],[LENGTH]]/1000)</f>
        <v>19.05-0-1.6-ERW 1--0.289</v>
      </c>
      <c r="S402" s="557" t="e" vm="2">
        <f>COUNTIF([2]!buckets[CTL Bucket],[2]!scheduleapr[[#This Row],[CTL Bucket]])</f>
        <v>#REF!</v>
      </c>
      <c r="T402" s="557"/>
      <c r="U402" s="557"/>
      <c r="V402" s="557"/>
      <c r="W402" s="557"/>
      <c r="X402" s="1">
        <v>19.05</v>
      </c>
      <c r="Y402" s="1">
        <v>19.05</v>
      </c>
      <c r="Z402" s="1">
        <v>0</v>
      </c>
      <c r="AA402" s="1">
        <v>1.6</v>
      </c>
      <c r="AB402" s="24">
        <v>289</v>
      </c>
      <c r="AC402" s="24"/>
      <c r="AD402" s="24"/>
      <c r="AE402" s="24"/>
      <c r="AF402" s="2"/>
      <c r="AG402" s="2"/>
      <c r="AH402" s="2" t="e" cm="1">
        <f t="array" ref="AH4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02" s="4" t="e">
        <f>scheduleapr[[#This Row],[SCHEDULE in nos]]-scheduleapr[[#This Row],[DISPATCH]]</f>
        <v>#N/A</v>
      </c>
      <c r="AJ402" s="1">
        <f>(3.14*(scheduleapr[[#This Row],[ACTUAL OD]]-scheduleapr[[#This Row],[TICKNESS]])*scheduleapr[[#This Row],[TICKNESS]]*scheduleapr[[#This Row],[LENGTH]]*7.85)/1000000*scheduleapr[[#This Row],[SCHEDULE in nos]]/1000</f>
        <v>0</v>
      </c>
      <c r="AK402" s="1" t="e">
        <f>(3.14*(scheduleapr[[#This Row],[ACTUAL OD]]-scheduleapr[[#This Row],[TICKNESS]])*scheduleapr[[#This Row],[TICKNESS]]*scheduleapr[[#This Row],[LENGTH]]*7.85)/1000000*scheduleapr[[#This Row],[DISPATCH]]/1000</f>
        <v>#N/A</v>
      </c>
      <c r="AL402" s="1" t="e">
        <f t="shared" si="15"/>
        <v>#N/A</v>
      </c>
      <c r="AM402" s="1" t="e">
        <f>scheduleapr[[#This Row],[SCHEDULE in nos]]/scheduleapr[[#This Row],[SCHEDULE IN MT]]*scheduleapr[[#This Row],[CTL Stock]]</f>
        <v>#DIV/0!</v>
      </c>
      <c r="AN402" s="1">
        <f>SUMIFS(stock[MT],stock[Bucket],scheduleapr[[#This Row],[Bucket]],stock[CTL Bucket],scheduleapr[[#This Row],[CTL Bucket]],stock[Plant],"0789")</f>
        <v>0</v>
      </c>
      <c r="AO402" s="1"/>
      <c r="AP402" s="1">
        <f>SUMIFS(stock[MT],stock[Bucket],scheduleapr[[#This Row],[Bucket]],stock[LL or CTL],"LL")</f>
        <v>0</v>
      </c>
      <c r="AQ402" s="1">
        <f>+SUMIFS(wip[Stock(Net Wt)],wip[Bucket],scheduleapr[[#This Row],[Bucket]])/1000</f>
        <v>0</v>
      </c>
      <c r="AR402" s="1">
        <f t="shared" si="14"/>
        <v>0</v>
      </c>
      <c r="AS402" s="118"/>
    </row>
    <row r="403" spans="1:45" x14ac:dyDescent="0.25">
      <c r="A403" s="30">
        <v>305</v>
      </c>
      <c r="B403" s="5" t="s">
        <v>1816</v>
      </c>
      <c r="C403" s="2" t="s">
        <v>291</v>
      </c>
      <c r="D403" s="2" t="s">
        <v>2002</v>
      </c>
      <c r="E403" s="2" t="s">
        <v>292</v>
      </c>
      <c r="F403" s="2">
        <v>1529260</v>
      </c>
      <c r="G403" s="2" t="str">
        <f>_xlfn.CONCAT(scheduleapr[[#This Row],[CUSTOMER CODE]],"-",scheduleapr[[#This Row],[MATERIAL NO]])</f>
        <v>129695|187884|188415|189239|189240-1529260</v>
      </c>
      <c r="H403" s="2" t="s">
        <v>2012</v>
      </c>
      <c r="I403" s="2" t="s">
        <v>962</v>
      </c>
      <c r="J403" s="2"/>
      <c r="K403" s="2"/>
      <c r="L403" s="2" t="s">
        <v>239</v>
      </c>
      <c r="M403" s="2"/>
      <c r="N403" s="2"/>
      <c r="O403" s="2"/>
      <c r="P403" s="2"/>
      <c r="Q403" s="557" t="str">
        <f>CONCATENATE(scheduleapr[[#This Row],[OD]],"-",scheduleapr[[#This Row],[ID]],"-",scheduleapr[[#This Row],[TICKNESS]],"-",scheduleapr[[#This Row],[Grade]],"-",scheduleapr[[#This Row],[FC/NFC]])</f>
        <v>19.05-0-1.6-ERW 1-</v>
      </c>
      <c r="R403" s="557" t="str">
        <f>_xlfn.CONCAT(scheduleapr[[#This Row],[Bucket]],"-",scheduleapr[[#This Row],[LENGTH]]/1000)</f>
        <v>19.05-0-1.6-ERW 1--0.299</v>
      </c>
      <c r="S403" s="557" t="e" vm="2">
        <f>COUNTIF([2]!buckets[CTL Bucket],[2]!scheduleapr[[#This Row],[CTL Bucket]])</f>
        <v>#REF!</v>
      </c>
      <c r="T403" s="557"/>
      <c r="U403" s="557"/>
      <c r="V403" s="557"/>
      <c r="W403" s="557"/>
      <c r="X403" s="1">
        <v>19.05</v>
      </c>
      <c r="Y403" s="1">
        <v>19.05</v>
      </c>
      <c r="Z403" s="1">
        <v>0</v>
      </c>
      <c r="AA403" s="1">
        <v>1.6</v>
      </c>
      <c r="AB403" s="24">
        <v>299</v>
      </c>
      <c r="AC403" s="24"/>
      <c r="AD403" s="24"/>
      <c r="AE403" s="24"/>
      <c r="AF403" s="2"/>
      <c r="AG403" s="2"/>
      <c r="AH403" s="2" t="e" cm="1">
        <f t="array" ref="AH4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03" s="4" t="e">
        <f>scheduleapr[[#This Row],[SCHEDULE in nos]]-scheduleapr[[#This Row],[DISPATCH]]</f>
        <v>#N/A</v>
      </c>
      <c r="AJ403" s="1">
        <f>(3.14*(scheduleapr[[#This Row],[ACTUAL OD]]-scheduleapr[[#This Row],[TICKNESS]])*scheduleapr[[#This Row],[TICKNESS]]*scheduleapr[[#This Row],[LENGTH]]*7.85)/1000000*scheduleapr[[#This Row],[SCHEDULE in nos]]/1000</f>
        <v>0</v>
      </c>
      <c r="AK403" s="1" t="e">
        <f>(3.14*(scheduleapr[[#This Row],[ACTUAL OD]]-scheduleapr[[#This Row],[TICKNESS]])*scheduleapr[[#This Row],[TICKNESS]]*scheduleapr[[#This Row],[LENGTH]]*7.85)/1000000*scheduleapr[[#This Row],[DISPATCH]]/1000</f>
        <v>#N/A</v>
      </c>
      <c r="AL403" s="1" t="e">
        <f t="shared" si="15"/>
        <v>#N/A</v>
      </c>
      <c r="AM403" s="1" t="e">
        <f>scheduleapr[[#This Row],[SCHEDULE in nos]]/scheduleapr[[#This Row],[SCHEDULE IN MT]]*scheduleapr[[#This Row],[CTL Stock]]</f>
        <v>#DIV/0!</v>
      </c>
      <c r="AN403" s="1">
        <f>SUMIFS(stock[MT],stock[Bucket],scheduleapr[[#This Row],[Bucket]],stock[CTL Bucket],scheduleapr[[#This Row],[CTL Bucket]],stock[Plant],"0789")</f>
        <v>0</v>
      </c>
      <c r="AO403" s="1"/>
      <c r="AP403" s="1">
        <f>SUMIFS(stock[MT],stock[Bucket],scheduleapr[[#This Row],[Bucket]],stock[LL or CTL],"LL")</f>
        <v>0</v>
      </c>
      <c r="AQ403" s="1">
        <f>+SUMIFS(wip[Stock(Net Wt)],wip[Bucket],scheduleapr[[#This Row],[Bucket]])/1000</f>
        <v>0</v>
      </c>
      <c r="AR403" s="1">
        <f t="shared" si="14"/>
        <v>0</v>
      </c>
      <c r="AS403" s="118"/>
    </row>
    <row r="404" spans="1:45" x14ac:dyDescent="0.25">
      <c r="A404" s="30">
        <v>373</v>
      </c>
      <c r="B404" s="5" t="s">
        <v>1816</v>
      </c>
      <c r="C404" s="2" t="s">
        <v>296</v>
      </c>
      <c r="D404" s="2" t="s">
        <v>2002</v>
      </c>
      <c r="E404" s="2" t="s">
        <v>292</v>
      </c>
      <c r="F404" s="2">
        <v>1940266</v>
      </c>
      <c r="G404" s="2" t="str">
        <f>_xlfn.CONCAT(scheduleapr[[#This Row],[CUSTOMER CODE]],"-",scheduleapr[[#This Row],[MATERIAL NO]])</f>
        <v>129695|187884|188415|189239|189240-1940266</v>
      </c>
      <c r="H404" s="2" t="s">
        <v>1361</v>
      </c>
      <c r="I404" s="2" t="s">
        <v>962</v>
      </c>
      <c r="J404" s="2"/>
      <c r="K404" s="2" t="s">
        <v>963</v>
      </c>
      <c r="L404" s="2" t="s">
        <v>239</v>
      </c>
      <c r="M404" s="2"/>
      <c r="N404" s="2"/>
      <c r="O404" s="2"/>
      <c r="P404" s="2"/>
      <c r="Q404" s="557" t="str">
        <f>CONCATENATE(scheduleapr[[#This Row],[OD]],"-",scheduleapr[[#This Row],[ID]],"-",scheduleapr[[#This Row],[TICKNESS]],"-",scheduleapr[[#This Row],[Grade]],"-",scheduleapr[[#This Row],[FC/NFC]])</f>
        <v>19.05-0-2-ERW 1-PE</v>
      </c>
      <c r="R404" s="557" t="str">
        <f>_xlfn.CONCAT(scheduleapr[[#This Row],[Bucket]],"-",scheduleapr[[#This Row],[LENGTH]]/1000)</f>
        <v>19.05-0-2-ERW 1-PE-0.213</v>
      </c>
      <c r="S404" s="557">
        <f>COUNTIF(scheduleapr[CTL Bucket],scheduleapr[[#This Row],[CTL Bucket]])</f>
        <v>1</v>
      </c>
      <c r="T404" s="2" t="s">
        <v>1816</v>
      </c>
      <c r="U404" s="2">
        <f>_xlfn.IFNA(VLOOKUP(scheduleapr[[#This Row],[Bucket]],salesforecast[[#All],[Bucket2]:[8406 Stock]],19,0),0)</f>
        <v>0</v>
      </c>
      <c r="V404" s="562">
        <f>_xlfn.IFNA(VLOOKUP(scheduleapr[[#This Row],[Bucket]],salesforecast[[#All],[Bucket2]:[8406 Stock]],20,0),0)+_xlfn.IFNA(VLOOKUP(scheduleapr[[#This Row],[Bucket]],salesforecast[[#All],[Bucket2]:[8406 Stock]],17,0),0)</f>
        <v>0</v>
      </c>
      <c r="W404" s="557"/>
      <c r="X404" s="1">
        <v>19.05</v>
      </c>
      <c r="Y404" s="1">
        <v>19.05</v>
      </c>
      <c r="Z404" s="1">
        <v>0</v>
      </c>
      <c r="AA404" s="1">
        <v>2</v>
      </c>
      <c r="AB404" s="24">
        <v>213</v>
      </c>
      <c r="AC404" s="24" t="s">
        <v>397</v>
      </c>
      <c r="AD404" s="24"/>
      <c r="AE404" s="24"/>
      <c r="AF404" s="2">
        <v>8000</v>
      </c>
      <c r="AG404" s="2"/>
      <c r="AH404" s="2" cm="1">
        <f t="array" ref="AH4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4" s="4">
        <f>scheduleapr[[#This Row],[SCHEDULE in nos]]-scheduleapr[[#This Row],[DISPATCH]]</f>
        <v>8000</v>
      </c>
      <c r="AJ404" s="1">
        <f>(3.14*(scheduleapr[[#This Row],[ACTUAL OD]]-scheduleapr[[#This Row],[TICKNESS]])*scheduleapr[[#This Row],[TICKNESS]]*scheduleapr[[#This Row],[LENGTH]]*7.85)/1000000*scheduleapr[[#This Row],[SCHEDULE in nos]]/1000</f>
        <v>1.4322646536000001</v>
      </c>
      <c r="AK404" s="1">
        <f>(3.14*(scheduleapr[[#This Row],[ACTUAL OD]]-scheduleapr[[#This Row],[TICKNESS]])*scheduleapr[[#This Row],[TICKNESS]]*scheduleapr[[#This Row],[LENGTH]]*7.85)/1000000*scheduleapr[[#This Row],[DISPATCH]]/1000</f>
        <v>0</v>
      </c>
      <c r="AL404" s="1">
        <f t="shared" si="15"/>
        <v>1.4322646536000001</v>
      </c>
      <c r="AM404" s="1">
        <f>scheduleapr[[#This Row],[SCHEDULE in nos]]/scheduleapr[[#This Row],[SCHEDULE IN MT]]*scheduleapr[[#This Row],[CTL Stock]]</f>
        <v>566.2137915374999</v>
      </c>
      <c r="AN404" s="1">
        <f>SUMIFS(stock[MT],stock[Bucket],scheduleapr[[#This Row],[Bucket]],stock[CTL Bucket],scheduleapr[[#This Row],[CTL Bucket]],stock[Plant],"0789")</f>
        <v>0.101371</v>
      </c>
      <c r="AO404" s="1"/>
      <c r="AP404" s="1">
        <f>SUMIFS(stock[MT],stock[Bucket],scheduleapr[[#This Row],[Bucket]],stock[LL or CTL],"LL")</f>
        <v>0</v>
      </c>
      <c r="AQ404" s="1">
        <f>+SUMIFS(wip[Stock(Net Wt)],wip[Bucket],scheduleapr[[#This Row],[Bucket]])/1000</f>
        <v>11.189</v>
      </c>
      <c r="AR404" s="1">
        <f t="shared" si="14"/>
        <v>1.3308936536</v>
      </c>
      <c r="AS404" s="118"/>
    </row>
    <row r="405" spans="1:45" x14ac:dyDescent="0.25">
      <c r="A405" s="30">
        <v>374</v>
      </c>
      <c r="B405" s="5" t="s">
        <v>1816</v>
      </c>
      <c r="C405" s="2" t="s">
        <v>296</v>
      </c>
      <c r="D405" s="2" t="s">
        <v>2002</v>
      </c>
      <c r="E405" s="2" t="s">
        <v>292</v>
      </c>
      <c r="F405" s="2">
        <v>1940269</v>
      </c>
      <c r="G405" s="2" t="str">
        <f>_xlfn.CONCAT(scheduleapr[[#This Row],[CUSTOMER CODE]],"-",scheduleapr[[#This Row],[MATERIAL NO]])</f>
        <v>129695|187884|188415|189239|189240-1940269</v>
      </c>
      <c r="H405" s="2" t="s">
        <v>2013</v>
      </c>
      <c r="I405" s="2" t="s">
        <v>962</v>
      </c>
      <c r="J405" s="2"/>
      <c r="K405" s="2" t="s">
        <v>963</v>
      </c>
      <c r="L405" s="2" t="s">
        <v>239</v>
      </c>
      <c r="M405" s="2"/>
      <c r="N405" s="2"/>
      <c r="O405" s="2"/>
      <c r="P405" s="2"/>
      <c r="Q405" s="557" t="str">
        <f>CONCATENATE(scheduleapr[[#This Row],[OD]],"-",scheduleapr[[#This Row],[ID]],"-",scheduleapr[[#This Row],[TICKNESS]],"-",scheduleapr[[#This Row],[Grade]],"-",scheduleapr[[#This Row],[FC/NFC]])</f>
        <v>19.05-0-2-ERW 1-PE</v>
      </c>
      <c r="R405" s="557" t="str">
        <f>_xlfn.CONCAT(scheduleapr[[#This Row],[Bucket]],"-",scheduleapr[[#This Row],[LENGTH]]/1000)</f>
        <v>19.05-0-2-ERW 1-PE-0.24</v>
      </c>
      <c r="S405" s="557">
        <f>COUNTIF(scheduleapr[CTL Bucket],scheduleapr[[#This Row],[CTL Bucket]])</f>
        <v>1</v>
      </c>
      <c r="T405" s="2" t="s">
        <v>1816</v>
      </c>
      <c r="U405" s="2">
        <f>_xlfn.IFNA(VLOOKUP(scheduleapr[[#This Row],[Bucket]],salesforecast[[#All],[Bucket2]:[8406 Stock]],19,0),0)</f>
        <v>0</v>
      </c>
      <c r="V405" s="562">
        <f>_xlfn.IFNA(VLOOKUP(scheduleapr[[#This Row],[Bucket]],salesforecast[[#All],[Bucket2]:[8406 Stock]],20,0),0)+_xlfn.IFNA(VLOOKUP(scheduleapr[[#This Row],[Bucket]],salesforecast[[#All],[Bucket2]:[8406 Stock]],17,0),0)</f>
        <v>0</v>
      </c>
      <c r="W405" s="557"/>
      <c r="X405" s="1">
        <v>19.05</v>
      </c>
      <c r="Y405" s="1">
        <v>19.05</v>
      </c>
      <c r="Z405" s="1">
        <v>0</v>
      </c>
      <c r="AA405" s="1">
        <v>2</v>
      </c>
      <c r="AB405" s="24">
        <v>240</v>
      </c>
      <c r="AC405" s="24" t="s">
        <v>397</v>
      </c>
      <c r="AD405" s="24"/>
      <c r="AE405" s="24"/>
      <c r="AF405" s="2">
        <v>8000</v>
      </c>
      <c r="AG405" s="2"/>
      <c r="AH405" s="2" cm="1">
        <f t="array" ref="AH4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5" s="4">
        <f>scheduleapr[[#This Row],[SCHEDULE in nos]]-scheduleapr[[#This Row],[DISPATCH]]</f>
        <v>8000</v>
      </c>
      <c r="AJ405" s="1">
        <f>(3.14*(scheduleapr[[#This Row],[ACTUAL OD]]-scheduleapr[[#This Row],[TICKNESS]])*scheduleapr[[#This Row],[TICKNESS]]*scheduleapr[[#This Row],[LENGTH]]*7.85)/1000000*scheduleapr[[#This Row],[SCHEDULE in nos]]/1000</f>
        <v>1.6138193279999999</v>
      </c>
      <c r="AK405" s="1">
        <f>(3.14*(scheduleapr[[#This Row],[ACTUAL OD]]-scheduleapr[[#This Row],[TICKNESS]])*scheduleapr[[#This Row],[TICKNESS]]*scheduleapr[[#This Row],[LENGTH]]*7.85)/1000000*scheduleapr[[#This Row],[DISPATCH]]/1000</f>
        <v>0</v>
      </c>
      <c r="AL405" s="1">
        <f t="shared" si="15"/>
        <v>1.6138193279999999</v>
      </c>
      <c r="AM405" s="1">
        <f>scheduleapr[[#This Row],[SCHEDULE in nos]]/scheduleapr[[#This Row],[SCHEDULE IN MT]]*scheduleapr[[#This Row],[CTL Stock]]</f>
        <v>280.40809286924093</v>
      </c>
      <c r="AN405" s="1">
        <f>SUMIFS(stock[MT],stock[Bucket],scheduleapr[[#This Row],[Bucket]],stock[CTL Bucket],scheduleapr[[#This Row],[CTL Bucket]],stock[Plant],"0789")</f>
        <v>5.6566000000000005E-2</v>
      </c>
      <c r="AO405" s="1"/>
      <c r="AP405" s="1">
        <f>SUMIFS(stock[MT],stock[Bucket],scheduleapr[[#This Row],[Bucket]],stock[LL or CTL],"LL")</f>
        <v>0</v>
      </c>
      <c r="AQ405" s="1">
        <f>+SUMIFS(wip[Stock(Net Wt)],wip[Bucket],scheduleapr[[#This Row],[Bucket]])/1000</f>
        <v>11.189</v>
      </c>
      <c r="AR405" s="1">
        <f t="shared" si="14"/>
        <v>1.5572533279999998</v>
      </c>
      <c r="AS405" s="118"/>
    </row>
    <row r="406" spans="1:45" x14ac:dyDescent="0.25">
      <c r="A406" s="30">
        <v>375</v>
      </c>
      <c r="B406" s="5" t="s">
        <v>1816</v>
      </c>
      <c r="C406" s="2" t="s">
        <v>296</v>
      </c>
      <c r="D406" s="2" t="s">
        <v>2002</v>
      </c>
      <c r="E406" s="2" t="s">
        <v>292</v>
      </c>
      <c r="F406" s="2">
        <v>1940272</v>
      </c>
      <c r="G406" s="2" t="str">
        <f>_xlfn.CONCAT(scheduleapr[[#This Row],[CUSTOMER CODE]],"-",scheduleapr[[#This Row],[MATERIAL NO]])</f>
        <v>129695|187884|188415|189239|189240-1940272</v>
      </c>
      <c r="H406" s="2" t="s">
        <v>2014</v>
      </c>
      <c r="I406" s="2" t="s">
        <v>962</v>
      </c>
      <c r="J406" s="2"/>
      <c r="K406" s="2" t="s">
        <v>963</v>
      </c>
      <c r="L406" s="2" t="s">
        <v>239</v>
      </c>
      <c r="M406" s="2"/>
      <c r="N406" s="2"/>
      <c r="O406" s="2"/>
      <c r="P406" s="2"/>
      <c r="Q406" s="557" t="str">
        <f>CONCATENATE(scheduleapr[[#This Row],[OD]],"-",scheduleapr[[#This Row],[ID]],"-",scheduleapr[[#This Row],[TICKNESS]],"-",scheduleapr[[#This Row],[Grade]],"-",scheduleapr[[#This Row],[FC/NFC]])</f>
        <v>19.05-0-2-ERW 1-PE</v>
      </c>
      <c r="R406" s="557" t="str">
        <f>_xlfn.CONCAT(scheduleapr[[#This Row],[Bucket]],"-",scheduleapr[[#This Row],[LENGTH]]/1000)</f>
        <v>19.05-0-2-ERW 1-PE-0.259</v>
      </c>
      <c r="S406" s="557">
        <f>COUNTIF(scheduleapr[CTL Bucket],scheduleapr[[#This Row],[CTL Bucket]])</f>
        <v>1</v>
      </c>
      <c r="T406" s="2" t="s">
        <v>1816</v>
      </c>
      <c r="U406" s="2">
        <f>_xlfn.IFNA(VLOOKUP(scheduleapr[[#This Row],[Bucket]],salesforecast[[#All],[Bucket2]:[8406 Stock]],19,0),0)</f>
        <v>0</v>
      </c>
      <c r="V406" s="562">
        <f>_xlfn.IFNA(VLOOKUP(scheduleapr[[#This Row],[Bucket]],salesforecast[[#All],[Bucket2]:[8406 Stock]],20,0),0)+_xlfn.IFNA(VLOOKUP(scheduleapr[[#This Row],[Bucket]],salesforecast[[#All],[Bucket2]:[8406 Stock]],17,0),0)</f>
        <v>0</v>
      </c>
      <c r="W406" s="557"/>
      <c r="X406" s="1">
        <v>19.05</v>
      </c>
      <c r="Y406" s="1">
        <v>19.05</v>
      </c>
      <c r="Z406" s="1">
        <v>0</v>
      </c>
      <c r="AA406" s="1">
        <v>2</v>
      </c>
      <c r="AB406" s="24">
        <v>259</v>
      </c>
      <c r="AC406" s="24" t="s">
        <v>397</v>
      </c>
      <c r="AD406" s="24"/>
      <c r="AE406" s="24"/>
      <c r="AF406" s="2">
        <v>8000</v>
      </c>
      <c r="AG406" s="2"/>
      <c r="AH406" s="2" cm="1">
        <f t="array" ref="AH4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6" s="4">
        <f>scheduleapr[[#This Row],[SCHEDULE in nos]]-scheduleapr[[#This Row],[DISPATCH]]</f>
        <v>8000</v>
      </c>
      <c r="AJ406" s="1">
        <f>(3.14*(scheduleapr[[#This Row],[ACTUAL OD]]-scheduleapr[[#This Row],[TICKNESS]])*scheduleapr[[#This Row],[TICKNESS]]*scheduleapr[[#This Row],[LENGTH]]*7.85)/1000000*scheduleapr[[#This Row],[SCHEDULE in nos]]/1000</f>
        <v>1.7415800248000002</v>
      </c>
      <c r="AK406" s="1">
        <f>(3.14*(scheduleapr[[#This Row],[ACTUAL OD]]-scheduleapr[[#This Row],[TICKNESS]])*scheduleapr[[#This Row],[TICKNESS]]*scheduleapr[[#This Row],[LENGTH]]*7.85)/1000000*scheduleapr[[#This Row],[DISPATCH]]/1000</f>
        <v>0</v>
      </c>
      <c r="AL406" s="1">
        <f t="shared" si="15"/>
        <v>1.7415800248000002</v>
      </c>
      <c r="AM406" s="1">
        <f>scheduleapr[[#This Row],[SCHEDULE in nos]]/scheduleapr[[#This Row],[SCHEDULE IN MT]]*scheduleapr[[#This Row],[CTL Stock]]</f>
        <v>43.307800345643926</v>
      </c>
      <c r="AN406" s="1">
        <f>SUMIFS(stock[MT],stock[Bucket],scheduleapr[[#This Row],[Bucket]],stock[CTL Bucket],scheduleapr[[#This Row],[CTL Bucket]],stock[Plant],"0789")</f>
        <v>9.4280000000000006E-3</v>
      </c>
      <c r="AO406" s="1"/>
      <c r="AP406" s="1">
        <f>SUMIFS(stock[MT],stock[Bucket],scheduleapr[[#This Row],[Bucket]],stock[LL or CTL],"LL")</f>
        <v>0</v>
      </c>
      <c r="AQ406" s="1">
        <f>+SUMIFS(wip[Stock(Net Wt)],wip[Bucket],scheduleapr[[#This Row],[Bucket]])/1000</f>
        <v>11.189</v>
      </c>
      <c r="AR406" s="1">
        <f t="shared" si="14"/>
        <v>1.7321520248000002</v>
      </c>
      <c r="AS406" s="118"/>
    </row>
    <row r="407" spans="1:45" x14ac:dyDescent="0.25">
      <c r="A407" s="30">
        <v>381</v>
      </c>
      <c r="B407" s="5" t="s">
        <v>1816</v>
      </c>
      <c r="C407" s="2" t="s">
        <v>295</v>
      </c>
      <c r="D407" s="2" t="s">
        <v>2002</v>
      </c>
      <c r="E407" s="2" t="s">
        <v>292</v>
      </c>
      <c r="F407" s="557">
        <v>2422190</v>
      </c>
      <c r="G407" s="2" t="str">
        <f>_xlfn.CONCAT(scheduleapr[[#This Row],[CUSTOMER CODE]],"-",scheduleapr[[#This Row],[MATERIAL NO]])</f>
        <v>129695|187884|188415|189239|189240-2422190</v>
      </c>
      <c r="H407" s="557" t="s">
        <v>2015</v>
      </c>
      <c r="I407" s="2" t="s">
        <v>962</v>
      </c>
      <c r="J407" s="557"/>
      <c r="K407" s="2" t="s">
        <v>963</v>
      </c>
      <c r="L407" s="2" t="s">
        <v>239</v>
      </c>
      <c r="M407" s="557"/>
      <c r="N407" s="557"/>
      <c r="O407" s="557"/>
      <c r="P407" s="557"/>
      <c r="Q407" s="557" t="str">
        <f>CONCATENATE(scheduleapr[[#This Row],[OD]],"-",scheduleapr[[#This Row],[ID]],"-",scheduleapr[[#This Row],[TICKNESS]],"-",scheduleapr[[#This Row],[Grade]],"-",scheduleapr[[#This Row],[FC/NFC]])</f>
        <v>19.05-0-2-ERW 1-PE</v>
      </c>
      <c r="R407" s="557" t="str">
        <f>_xlfn.CONCAT(scheduleapr[[#This Row],[Bucket]],"-",scheduleapr[[#This Row],[LENGTH]]/1000)</f>
        <v>19.05-0-2-ERW 1-PE-0.265</v>
      </c>
      <c r="S407" s="557" t="e" vm="2">
        <f>COUNTIF([2]!buckets[CTL Bucket],[2]!scheduleapr[[#This Row],[CTL Bucket]])</f>
        <v>#REF!</v>
      </c>
      <c r="T407" s="2" t="s">
        <v>1816</v>
      </c>
      <c r="U407" s="2">
        <f>_xlfn.IFNA(VLOOKUP(scheduleapr[[#This Row],[Bucket]],salesforecast[[#All],[Bucket2]:[8406 Stock]],19,0),0)</f>
        <v>0</v>
      </c>
      <c r="V407" s="562">
        <f>_xlfn.IFNA(VLOOKUP(scheduleapr[[#This Row],[Bucket]],salesforecast[[#All],[Bucket2]:[8406 Stock]],20,0),0)+_xlfn.IFNA(VLOOKUP(scheduleapr[[#This Row],[Bucket]],salesforecast[[#All],[Bucket2]:[8406 Stock]],17,0),0)</f>
        <v>0</v>
      </c>
      <c r="W407" s="2"/>
      <c r="X407" s="1">
        <v>19.05</v>
      </c>
      <c r="Y407" s="1">
        <v>19.05</v>
      </c>
      <c r="Z407" s="1">
        <v>0</v>
      </c>
      <c r="AA407" s="1">
        <v>2</v>
      </c>
      <c r="AB407" s="24">
        <v>265</v>
      </c>
      <c r="AC407" s="24" t="s">
        <v>397</v>
      </c>
      <c r="AD407" s="24"/>
      <c r="AE407" s="24"/>
      <c r="AF407" s="2">
        <v>20000</v>
      </c>
      <c r="AG407" s="2"/>
      <c r="AH407" s="2" cm="1">
        <f t="array" ref="AH4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7" s="4">
        <f>scheduleapr[[#This Row],[SCHEDULE in nos]]-scheduleapr[[#This Row],[DISPATCH]]</f>
        <v>20000</v>
      </c>
      <c r="AJ407" s="1">
        <f>(3.14*(scheduleapr[[#This Row],[ACTUAL OD]]-scheduleapr[[#This Row],[TICKNESS]])*scheduleapr[[#This Row],[TICKNESS]]*scheduleapr[[#This Row],[LENGTH]]*7.85)/1000000*scheduleapr[[#This Row],[SCHEDULE in nos]]/1000</f>
        <v>4.4548137699999995</v>
      </c>
      <c r="AK407" s="1">
        <f>(3.14*(scheduleapr[[#This Row],[ACTUAL OD]]-scheduleapr[[#This Row],[TICKNESS]])*scheduleapr[[#This Row],[TICKNESS]]*scheduleapr[[#This Row],[LENGTH]]*7.85)/1000000*scheduleapr[[#This Row],[DISPATCH]]/1000</f>
        <v>0</v>
      </c>
      <c r="AL407" s="1">
        <f t="shared" si="15"/>
        <v>4.4548137699999995</v>
      </c>
      <c r="AM407" s="1">
        <f>scheduleapr[[#This Row],[SCHEDULE in nos]]/scheduleapr[[#This Row],[SCHEDULE IN MT]]*scheduleapr[[#This Row],[CTL Stock]]</f>
        <v>47.3824520839622</v>
      </c>
      <c r="AN407" s="1">
        <f>SUMIFS(stock[MT],stock[Bucket],scheduleapr[[#This Row],[Bucket]],stock[CTL Bucket],scheduleapr[[#This Row],[CTL Bucket]],stock[Plant],"0789")</f>
        <v>1.0553999999999999E-2</v>
      </c>
      <c r="AO407" s="1"/>
      <c r="AP407" s="1">
        <f>SUMIFS(stock[MT],stock[Bucket],scheduleapr[[#This Row],[Bucket]],stock[LL or CTL],"LL")</f>
        <v>0</v>
      </c>
      <c r="AQ407" s="1">
        <f>+SUMIFS(wip[Stock(Net Wt)],wip[Bucket],scheduleapr[[#This Row],[Bucket]])/1000</f>
        <v>11.189</v>
      </c>
      <c r="AR407" s="1">
        <f t="shared" si="14"/>
        <v>4.4442597699999995</v>
      </c>
      <c r="AS407" s="118"/>
    </row>
    <row r="408" spans="1:45" x14ac:dyDescent="0.25">
      <c r="A408" s="30">
        <v>306</v>
      </c>
      <c r="B408" s="5" t="s">
        <v>1816</v>
      </c>
      <c r="C408" s="2" t="s">
        <v>298</v>
      </c>
      <c r="D408" s="2" t="s">
        <v>2002</v>
      </c>
      <c r="E408" s="2" t="s">
        <v>292</v>
      </c>
      <c r="F408" s="2">
        <v>2403386</v>
      </c>
      <c r="G408" s="2" t="str">
        <f>_xlfn.CONCAT(scheduleapr[[#This Row],[CUSTOMER CODE]],"-",scheduleapr[[#This Row],[MATERIAL NO]])</f>
        <v>129695|187884|188415|189239|189240-2403386</v>
      </c>
      <c r="H408" s="2" t="s">
        <v>2016</v>
      </c>
      <c r="I408" s="2" t="s">
        <v>962</v>
      </c>
      <c r="J408" s="2"/>
      <c r="K408" s="2" t="s">
        <v>963</v>
      </c>
      <c r="L408" s="2" t="s">
        <v>239</v>
      </c>
      <c r="M408" s="2"/>
      <c r="N408" s="2"/>
      <c r="O408" s="2"/>
      <c r="P408" s="2"/>
      <c r="Q408" s="557" t="str">
        <f>CONCATENATE(scheduleapr[[#This Row],[OD]],"-",scheduleapr[[#This Row],[ID]],"-",scheduleapr[[#This Row],[TICKNESS]],"-",scheduleapr[[#This Row],[Grade]],"-",scheduleapr[[#This Row],[FC/NFC]])</f>
        <v>19.05-0-2-ERW 1-PE</v>
      </c>
      <c r="R408" s="557" t="str">
        <f>_xlfn.CONCAT(scheduleapr[[#This Row],[Bucket]],"-",scheduleapr[[#This Row],[LENGTH]]/1000)</f>
        <v>19.05-0-2-ERW 1-PE-0.358</v>
      </c>
      <c r="S408" s="557">
        <f>COUNTIF(scheduleapr[CTL Bucket],scheduleapr[[#This Row],[CTL Bucket]])</f>
        <v>2</v>
      </c>
      <c r="T408" s="557"/>
      <c r="U408" s="2">
        <f>_xlfn.IFNA(VLOOKUP(scheduleapr[[#This Row],[Bucket]],salesforecast[[#All],[Bucket2]:[8406 Stock]],19,0),0)</f>
        <v>0</v>
      </c>
      <c r="V408" s="562">
        <f>_xlfn.IFNA(VLOOKUP(scheduleapr[[#This Row],[Bucket]],salesforecast[[#All],[Bucket2]:[8406 Stock]],20,0),0)+_xlfn.IFNA(VLOOKUP(scheduleapr[[#This Row],[Bucket]],salesforecast[[#All],[Bucket2]:[8406 Stock]],17,0),0)</f>
        <v>0</v>
      </c>
      <c r="W408" s="557"/>
      <c r="X408" s="1">
        <v>19.05</v>
      </c>
      <c r="Y408" s="1">
        <v>19.05</v>
      </c>
      <c r="Z408" s="1">
        <v>0</v>
      </c>
      <c r="AA408" s="1">
        <v>2</v>
      </c>
      <c r="AB408" s="24">
        <v>358</v>
      </c>
      <c r="AC408" s="24" t="s">
        <v>397</v>
      </c>
      <c r="AD408" s="24"/>
      <c r="AE408" s="24"/>
      <c r="AF408" s="2">
        <v>10000</v>
      </c>
      <c r="AG408" s="2"/>
      <c r="AH408" s="2" cm="1">
        <f t="array" ref="AH4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8" s="4">
        <f>scheduleapr[[#This Row],[SCHEDULE in nos]]-scheduleapr[[#This Row],[DISPATCH]]</f>
        <v>10000</v>
      </c>
      <c r="AJ408" s="1">
        <f>(3.14*(scheduleapr[[#This Row],[ACTUAL OD]]-scheduleapr[[#This Row],[TICKNESS]])*scheduleapr[[#This Row],[TICKNESS]]*scheduleapr[[#This Row],[LENGTH]]*7.85)/1000000*scheduleapr[[#This Row],[SCHEDULE in nos]]/1000</f>
        <v>3.0091006220000005</v>
      </c>
      <c r="AK408" s="1">
        <f>(3.14*(scheduleapr[[#This Row],[ACTUAL OD]]-scheduleapr[[#This Row],[TICKNESS]])*scheduleapr[[#This Row],[TICKNESS]]*scheduleapr[[#This Row],[LENGTH]]*7.85)/1000000*scheduleapr[[#This Row],[DISPATCH]]/1000</f>
        <v>0</v>
      </c>
      <c r="AL408" s="1">
        <f t="shared" si="15"/>
        <v>3.0091006220000005</v>
      </c>
      <c r="AM408" s="1">
        <f>scheduleapr[[#This Row],[SCHEDULE in nos]]/scheduleapr[[#This Row],[SCHEDULE IN MT]]*scheduleapr[[#This Row],[CTL Stock]]</f>
        <v>69.61548526109739</v>
      </c>
      <c r="AN408" s="1">
        <f>SUMIFS(stock[MT],stock[Bucket],scheduleapr[[#This Row],[Bucket]],stock[CTL Bucket],scheduleapr[[#This Row],[CTL Bucket]],stock[Plant],"0789")</f>
        <v>2.0948000000000001E-2</v>
      </c>
      <c r="AO408" s="1"/>
      <c r="AP408" s="1">
        <f>SUMIFS(stock[MT],stock[Bucket],scheduleapr[[#This Row],[Bucket]],stock[LL or CTL],"LL")</f>
        <v>0</v>
      </c>
      <c r="AQ408" s="1">
        <f>+SUMIFS(wip[Stock(Net Wt)],wip[Bucket],scheduleapr[[#This Row],[Bucket]])/1000</f>
        <v>11.189</v>
      </c>
      <c r="AR408" s="1">
        <f t="shared" si="14"/>
        <v>2.9881526220000003</v>
      </c>
      <c r="AS408" s="118"/>
    </row>
    <row r="409" spans="1:45" x14ac:dyDescent="0.25">
      <c r="A409" s="30">
        <v>307</v>
      </c>
      <c r="B409" s="5" t="s">
        <v>1816</v>
      </c>
      <c r="C409" s="2" t="s">
        <v>291</v>
      </c>
      <c r="D409" s="2" t="s">
        <v>2002</v>
      </c>
      <c r="E409" s="2" t="s">
        <v>292</v>
      </c>
      <c r="F409" s="2">
        <v>1432169</v>
      </c>
      <c r="G409" s="2" t="str">
        <f>_xlfn.CONCAT(scheduleapr[[#This Row],[CUSTOMER CODE]],"-",scheduleapr[[#This Row],[MATERIAL NO]])</f>
        <v>129695|187884|188415|189239|189240-1432169</v>
      </c>
      <c r="H409" s="2" t="s">
        <v>2017</v>
      </c>
      <c r="I409" s="2" t="s">
        <v>962</v>
      </c>
      <c r="J409" s="2"/>
      <c r="K409" s="2"/>
      <c r="L409" s="2" t="s">
        <v>239</v>
      </c>
      <c r="M409" s="2"/>
      <c r="N409" s="2"/>
      <c r="O409" s="2"/>
      <c r="P409" s="2"/>
      <c r="Q409" s="557" t="str">
        <f>CONCATENATE(scheduleapr[[#This Row],[OD]],"-",scheduleapr[[#This Row],[ID]],"-",scheduleapr[[#This Row],[TICKNESS]],"-",scheduleapr[[#This Row],[Grade]],"-",scheduleapr[[#This Row],[FC/NFC]])</f>
        <v>19.05-0-2-ERW 1-</v>
      </c>
      <c r="R409" s="557" t="str">
        <f>_xlfn.CONCAT(scheduleapr[[#This Row],[Bucket]],"-",scheduleapr[[#This Row],[LENGTH]]/1000)</f>
        <v>19.05-0-2-ERW 1--0.43</v>
      </c>
      <c r="S409" s="557" t="e" vm="2">
        <f>COUNTIF([2]!buckets[CTL Bucket],[2]!scheduleapr[[#This Row],[CTL Bucket]])</f>
        <v>#REF!</v>
      </c>
      <c r="T409" s="557"/>
      <c r="U409" s="557"/>
      <c r="V409" s="557"/>
      <c r="W409" s="557"/>
      <c r="X409" s="1">
        <v>19.05</v>
      </c>
      <c r="Y409" s="1">
        <v>19.05</v>
      </c>
      <c r="Z409" s="1">
        <v>0</v>
      </c>
      <c r="AA409" s="1">
        <v>2</v>
      </c>
      <c r="AB409" s="24">
        <v>430</v>
      </c>
      <c r="AC409" s="24"/>
      <c r="AD409" s="24"/>
      <c r="AE409" s="24"/>
      <c r="AF409" s="2"/>
      <c r="AG409" s="2"/>
      <c r="AH409" s="2" t="e" cm="1">
        <f t="array" ref="AH4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09" s="4" t="e">
        <f>scheduleapr[[#This Row],[SCHEDULE in nos]]-scheduleapr[[#This Row],[DISPATCH]]</f>
        <v>#N/A</v>
      </c>
      <c r="AJ409" s="1">
        <f>(3.14*(scheduleapr[[#This Row],[ACTUAL OD]]-scheduleapr[[#This Row],[TICKNESS]])*scheduleapr[[#This Row],[TICKNESS]]*scheduleapr[[#This Row],[LENGTH]]*7.85)/1000000*scheduleapr[[#This Row],[SCHEDULE in nos]]/1000</f>
        <v>0</v>
      </c>
      <c r="AK409" s="1" t="e">
        <f>(3.14*(scheduleapr[[#This Row],[ACTUAL OD]]-scheduleapr[[#This Row],[TICKNESS]])*scheduleapr[[#This Row],[TICKNESS]]*scheduleapr[[#This Row],[LENGTH]]*7.85)/1000000*scheduleapr[[#This Row],[DISPATCH]]/1000</f>
        <v>#N/A</v>
      </c>
      <c r="AL409" s="1" t="e">
        <f t="shared" si="15"/>
        <v>#N/A</v>
      </c>
      <c r="AM409" s="1" t="e">
        <f>scheduleapr[[#This Row],[SCHEDULE in nos]]/scheduleapr[[#This Row],[SCHEDULE IN MT]]*scheduleapr[[#This Row],[CTL Stock]]</f>
        <v>#DIV/0!</v>
      </c>
      <c r="AN409" s="1">
        <f>SUMIFS(stock[MT],stock[Bucket],scheduleapr[[#This Row],[Bucket]],stock[CTL Bucket],scheduleapr[[#This Row],[CTL Bucket]],stock[Plant],"0789")</f>
        <v>0</v>
      </c>
      <c r="AO409" s="1"/>
      <c r="AP409" s="1">
        <f>SUMIFS(stock[MT],stock[Bucket],scheduleapr[[#This Row],[Bucket]],stock[LL or CTL],"LL")</f>
        <v>0</v>
      </c>
      <c r="AQ409" s="1">
        <f>+SUMIFS(wip[Stock(Net Wt)],wip[Bucket],scheduleapr[[#This Row],[Bucket]])/1000</f>
        <v>0</v>
      </c>
      <c r="AR409" s="1">
        <f t="shared" si="14"/>
        <v>0</v>
      </c>
      <c r="AS409" s="118"/>
    </row>
    <row r="410" spans="1:45" x14ac:dyDescent="0.25">
      <c r="A410" s="30">
        <v>308</v>
      </c>
      <c r="B410" s="5" t="s">
        <v>1816</v>
      </c>
      <c r="C410" s="2" t="s">
        <v>291</v>
      </c>
      <c r="D410" s="2" t="s">
        <v>2002</v>
      </c>
      <c r="E410" s="2" t="s">
        <v>292</v>
      </c>
      <c r="F410" s="2">
        <v>2403384</v>
      </c>
      <c r="G410" s="2" t="str">
        <f>_xlfn.CONCAT(scheduleapr[[#This Row],[CUSTOMER CODE]],"-",scheduleapr[[#This Row],[MATERIAL NO]])</f>
        <v>129695|187884|188415|189239|189240-2403384</v>
      </c>
      <c r="H410" s="2" t="s">
        <v>1365</v>
      </c>
      <c r="I410" s="2" t="s">
        <v>962</v>
      </c>
      <c r="J410" s="2"/>
      <c r="K410" s="2"/>
      <c r="L410" s="2" t="s">
        <v>239</v>
      </c>
      <c r="M410" s="2"/>
      <c r="N410" s="2"/>
      <c r="O410" s="2"/>
      <c r="P410" s="2"/>
      <c r="Q410" s="557" t="str">
        <f>CONCATENATE(scheduleapr[[#This Row],[OD]],"-",scheduleapr[[#This Row],[ID]],"-",scheduleapr[[#This Row],[TICKNESS]],"-",scheduleapr[[#This Row],[Grade]],"-",scheduleapr[[#This Row],[FC/NFC]])</f>
        <v>19.05-0-2-ERW 1-</v>
      </c>
      <c r="R410" s="557" t="str">
        <f>_xlfn.CONCAT(scheduleapr[[#This Row],[Bucket]],"-",scheduleapr[[#This Row],[LENGTH]]/1000)</f>
        <v>19.05-0-2-ERW 1--0.449</v>
      </c>
      <c r="S410" s="557" t="e" vm="2">
        <f>COUNTIF([2]!buckets[CTL Bucket],[2]!scheduleapr[[#This Row],[CTL Bucket]])</f>
        <v>#REF!</v>
      </c>
      <c r="T410" s="557"/>
      <c r="U410" s="557"/>
      <c r="V410" s="557"/>
      <c r="W410" s="557"/>
      <c r="X410" s="1">
        <v>19.05</v>
      </c>
      <c r="Y410" s="1">
        <v>19.05</v>
      </c>
      <c r="Z410" s="1">
        <v>0</v>
      </c>
      <c r="AA410" s="1">
        <v>2</v>
      </c>
      <c r="AB410" s="24">
        <v>449</v>
      </c>
      <c r="AC410" s="24"/>
      <c r="AD410" s="24"/>
      <c r="AE410" s="24"/>
      <c r="AF410" s="2"/>
      <c r="AG410" s="2"/>
      <c r="AH410" s="2" t="e" cm="1">
        <f t="array" ref="AH4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10" s="4" t="e">
        <f>scheduleapr[[#This Row],[SCHEDULE in nos]]-scheduleapr[[#This Row],[DISPATCH]]</f>
        <v>#N/A</v>
      </c>
      <c r="AJ410" s="1">
        <f>(3.14*(scheduleapr[[#This Row],[ACTUAL OD]]-scheduleapr[[#This Row],[TICKNESS]])*scheduleapr[[#This Row],[TICKNESS]]*scheduleapr[[#This Row],[LENGTH]]*7.85)/1000000*scheduleapr[[#This Row],[SCHEDULE in nos]]/1000</f>
        <v>0</v>
      </c>
      <c r="AK410" s="1" t="e">
        <f>(3.14*(scheduleapr[[#This Row],[ACTUAL OD]]-scheduleapr[[#This Row],[TICKNESS]])*scheduleapr[[#This Row],[TICKNESS]]*scheduleapr[[#This Row],[LENGTH]]*7.85)/1000000*scheduleapr[[#This Row],[DISPATCH]]/1000</f>
        <v>#N/A</v>
      </c>
      <c r="AL410" s="1" t="e">
        <f t="shared" si="15"/>
        <v>#N/A</v>
      </c>
      <c r="AM410" s="1" t="e">
        <f>scheduleapr[[#This Row],[SCHEDULE in nos]]/scheduleapr[[#This Row],[SCHEDULE IN MT]]*scheduleapr[[#This Row],[CTL Stock]]</f>
        <v>#DIV/0!</v>
      </c>
      <c r="AN410" s="1">
        <f>SUMIFS(stock[MT],stock[Bucket],scheduleapr[[#This Row],[Bucket]],stock[CTL Bucket],scheduleapr[[#This Row],[CTL Bucket]],stock[Plant],"0789")</f>
        <v>0</v>
      </c>
      <c r="AO410" s="1"/>
      <c r="AP410" s="1">
        <f>SUMIFS(stock[MT],stock[Bucket],scheduleapr[[#This Row],[Bucket]],stock[LL or CTL],"LL")</f>
        <v>0</v>
      </c>
      <c r="AQ410" s="1">
        <f>+SUMIFS(wip[Stock(Net Wt)],wip[Bucket],scheduleapr[[#This Row],[Bucket]])/1000</f>
        <v>0</v>
      </c>
      <c r="AR410" s="1">
        <f t="shared" si="14"/>
        <v>0</v>
      </c>
      <c r="AS410" s="118"/>
    </row>
    <row r="411" spans="1:45" x14ac:dyDescent="0.25">
      <c r="A411" s="30">
        <v>378</v>
      </c>
      <c r="B411" s="5" t="s">
        <v>1816</v>
      </c>
      <c r="C411" s="2" t="s">
        <v>298</v>
      </c>
      <c r="D411" s="2" t="s">
        <v>2002</v>
      </c>
      <c r="E411" s="2" t="s">
        <v>292</v>
      </c>
      <c r="F411" s="2">
        <v>2403383</v>
      </c>
      <c r="G411" s="2" t="str">
        <f>_xlfn.CONCAT(scheduleapr[[#This Row],[CUSTOMER CODE]],"-",scheduleapr[[#This Row],[MATERIAL NO]])</f>
        <v>129695|187884|188415|189239|189240-2403383</v>
      </c>
      <c r="H411" s="2" t="s">
        <v>2018</v>
      </c>
      <c r="I411" s="2" t="s">
        <v>962</v>
      </c>
      <c r="J411" s="2"/>
      <c r="K411" s="2" t="s">
        <v>963</v>
      </c>
      <c r="L411" s="2" t="s">
        <v>239</v>
      </c>
      <c r="M411" s="2"/>
      <c r="N411" s="2"/>
      <c r="O411" s="2"/>
      <c r="P411" s="2"/>
      <c r="Q411" s="557" t="str">
        <f>CONCATENATE(scheduleapr[[#This Row],[OD]],"-",scheduleapr[[#This Row],[ID]],"-",scheduleapr[[#This Row],[TICKNESS]],"-",scheduleapr[[#This Row],[Grade]],"-",scheduleapr[[#This Row],[FC/NFC]])</f>
        <v>19.05-0-2-ERW 1-PE</v>
      </c>
      <c r="R411" s="557" t="str">
        <f>_xlfn.CONCAT(scheduleapr[[#This Row],[Bucket]],"-",scheduleapr[[#This Row],[LENGTH]]/1000)</f>
        <v>19.05-0-2-ERW 1-PE-0.475</v>
      </c>
      <c r="S411" s="557">
        <f>COUNTIF(scheduleapr[CTL Bucket],scheduleapr[[#This Row],[CTL Bucket]])</f>
        <v>2</v>
      </c>
      <c r="T411" s="2" t="s">
        <v>1816</v>
      </c>
      <c r="U411" s="2">
        <f>_xlfn.IFNA(VLOOKUP(scheduleapr[[#This Row],[Bucket]],salesforecast[[#All],[Bucket2]:[8406 Stock]],19,0),0)</f>
        <v>0</v>
      </c>
      <c r="V411" s="562">
        <f>_xlfn.IFNA(VLOOKUP(scheduleapr[[#This Row],[Bucket]],salesforecast[[#All],[Bucket2]:[8406 Stock]],20,0),0)+_xlfn.IFNA(VLOOKUP(scheduleapr[[#This Row],[Bucket]],salesforecast[[#All],[Bucket2]:[8406 Stock]],17,0),0)</f>
        <v>0</v>
      </c>
      <c r="W411" s="557"/>
      <c r="X411" s="1">
        <v>19.05</v>
      </c>
      <c r="Y411" s="1">
        <v>19.05</v>
      </c>
      <c r="Z411" s="1">
        <v>0</v>
      </c>
      <c r="AA411" s="1">
        <v>2</v>
      </c>
      <c r="AB411" s="24">
        <v>475</v>
      </c>
      <c r="AC411" s="24" t="s">
        <v>397</v>
      </c>
      <c r="AD411" s="24"/>
      <c r="AE411" s="24"/>
      <c r="AF411" s="2">
        <v>20000</v>
      </c>
      <c r="AG411" s="2"/>
      <c r="AH411" s="2" cm="1">
        <f t="array" ref="AH4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1" s="4">
        <f>scheduleapr[[#This Row],[SCHEDULE in nos]]-scheduleapr[[#This Row],[DISPATCH]]</f>
        <v>20000</v>
      </c>
      <c r="AJ411" s="1">
        <f>(3.14*(scheduleapr[[#This Row],[ACTUAL OD]]-scheduleapr[[#This Row],[TICKNESS]])*scheduleapr[[#This Row],[TICKNESS]]*scheduleapr[[#This Row],[LENGTH]]*7.85)/1000000*scheduleapr[[#This Row],[SCHEDULE in nos]]/1000</f>
        <v>7.9850435500000003</v>
      </c>
      <c r="AK411" s="1">
        <f>(3.14*(scheduleapr[[#This Row],[ACTUAL OD]]-scheduleapr[[#This Row],[TICKNESS]])*scheduleapr[[#This Row],[TICKNESS]]*scheduleapr[[#This Row],[LENGTH]]*7.85)/1000000*scheduleapr[[#This Row],[DISPATCH]]/1000</f>
        <v>0</v>
      </c>
      <c r="AL411" s="1">
        <f t="shared" si="15"/>
        <v>7.9850435500000003</v>
      </c>
      <c r="AM411" s="1">
        <f>scheduleapr[[#This Row],[SCHEDULE in nos]]/scheduleapr[[#This Row],[SCHEDULE IN MT]]*scheduleapr[[#This Row],[CTL Stock]]</f>
        <v>22.041207276821929</v>
      </c>
      <c r="AN411" s="1">
        <f>SUMIFS(stock[MT],stock[Bucket],scheduleapr[[#This Row],[Bucket]],stock[CTL Bucket],scheduleapr[[#This Row],[CTL Bucket]],stock[Plant],"0789")</f>
        <v>8.8000000000000005E-3</v>
      </c>
      <c r="AO411" s="1"/>
      <c r="AP411" s="1">
        <f>SUMIFS(stock[MT],stock[Bucket],scheduleapr[[#This Row],[Bucket]],stock[LL or CTL],"LL")</f>
        <v>0</v>
      </c>
      <c r="AQ411" s="1">
        <f>+SUMIFS(wip[Stock(Net Wt)],wip[Bucket],scheduleapr[[#This Row],[Bucket]])/1000</f>
        <v>11.189</v>
      </c>
      <c r="AR411" s="1">
        <f t="shared" si="14"/>
        <v>7.9762435500000004</v>
      </c>
      <c r="AS411" s="118"/>
    </row>
    <row r="412" spans="1:45" x14ac:dyDescent="0.25">
      <c r="A412" s="30">
        <v>369</v>
      </c>
      <c r="B412" s="5" t="s">
        <v>1816</v>
      </c>
      <c r="C412" s="2" t="s">
        <v>299</v>
      </c>
      <c r="D412" s="2" t="s">
        <v>2002</v>
      </c>
      <c r="E412" s="2" t="s">
        <v>292</v>
      </c>
      <c r="F412" s="2"/>
      <c r="G412" s="2" t="str">
        <f>_xlfn.CONCAT(scheduleapr[[#This Row],[CUSTOMER CODE]],"-",scheduleapr[[#This Row],[MATERIAL NO]])</f>
        <v>129695|187884|188415|189239|189240-</v>
      </c>
      <c r="H412" s="2" t="s">
        <v>2019</v>
      </c>
      <c r="I412" s="2" t="s">
        <v>962</v>
      </c>
      <c r="J412" s="2"/>
      <c r="K412" s="2" t="s">
        <v>963</v>
      </c>
      <c r="L412" s="2" t="s">
        <v>239</v>
      </c>
      <c r="M412" s="44" t="s">
        <v>1924</v>
      </c>
      <c r="N412" s="2"/>
      <c r="O412" s="2" t="s">
        <v>1895</v>
      </c>
      <c r="P412" s="2"/>
      <c r="Q412" s="557" t="str">
        <f>CONCATENATE(scheduleapr[[#This Row],[OD]],"-",scheduleapr[[#This Row],[ID]],"-",scheduleapr[[#This Row],[TICKNESS]],"-",scheduleapr[[#This Row],[Grade]],"-",scheduleapr[[#This Row],[FC/NFC]])</f>
        <v>19.05-0-2-ERW 1-PE</v>
      </c>
      <c r="R412" s="557" t="str">
        <f>_xlfn.CONCAT(scheduleapr[[#This Row],[Bucket]],"-",scheduleapr[[#This Row],[LENGTH]]/1000)</f>
        <v>19.05-0-2-ERW 1-PE-0.775</v>
      </c>
      <c r="S412" s="557">
        <f>COUNTIF(scheduleapr[CTL Bucket],scheduleapr[[#This Row],[CTL Bucket]])</f>
        <v>1</v>
      </c>
      <c r="T412" s="2" t="s">
        <v>1816</v>
      </c>
      <c r="U412" s="2">
        <f>_xlfn.IFNA(VLOOKUP(scheduleapr[[#This Row],[Bucket]],salesforecast[[#All],[Bucket2]:[8406 Stock]],19,0),0)</f>
        <v>0</v>
      </c>
      <c r="V412" s="562">
        <f>_xlfn.IFNA(VLOOKUP(scheduleapr[[#This Row],[Bucket]],salesforecast[[#All],[Bucket2]:[8406 Stock]],20,0),0)+_xlfn.IFNA(VLOOKUP(scheduleapr[[#This Row],[Bucket]],salesforecast[[#All],[Bucket2]:[8406 Stock]],17,0),0)</f>
        <v>0</v>
      </c>
      <c r="W412" s="557"/>
      <c r="X412" s="1">
        <v>19.05</v>
      </c>
      <c r="Y412" s="1">
        <v>19.05</v>
      </c>
      <c r="Z412" s="1">
        <v>0</v>
      </c>
      <c r="AA412" s="1">
        <v>2</v>
      </c>
      <c r="AB412" s="81">
        <v>775</v>
      </c>
      <c r="AC412" s="24" t="s">
        <v>397</v>
      </c>
      <c r="AD412" s="24"/>
      <c r="AE412" s="24"/>
      <c r="AF412" s="2">
        <v>5000</v>
      </c>
      <c r="AG412" s="2"/>
      <c r="AH412" s="2" cm="1">
        <f t="array" ref="AH4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2" s="4">
        <f>scheduleapr[[#This Row],[SCHEDULE in nos]]-scheduleapr[[#This Row],[DISPATCH]]</f>
        <v>5000</v>
      </c>
      <c r="AJ412" s="1">
        <f>(3.14*(scheduleapr[[#This Row],[ACTUAL OD]]-scheduleapr[[#This Row],[TICKNESS]])*scheduleapr[[#This Row],[TICKNESS]]*scheduleapr[[#This Row],[LENGTH]]*7.85)/1000000*scheduleapr[[#This Row],[SCHEDULE in nos]]/1000</f>
        <v>3.2570572375000002</v>
      </c>
      <c r="AK412" s="1">
        <f>(3.14*(scheduleapr[[#This Row],[ACTUAL OD]]-scheduleapr[[#This Row],[TICKNESS]])*scheduleapr[[#This Row],[TICKNESS]]*scheduleapr[[#This Row],[LENGTH]]*7.85)/1000000*scheduleapr[[#This Row],[DISPATCH]]/1000</f>
        <v>0</v>
      </c>
      <c r="AL412" s="1">
        <f t="shared" si="15"/>
        <v>3.2570572375000002</v>
      </c>
      <c r="AM412" s="1">
        <f>scheduleapr[[#This Row],[SCHEDULE in nos]]/scheduleapr[[#This Row],[SCHEDULE IN MT]]*scheduleapr[[#This Row],[CTL Stock]]</f>
        <v>415.47934264695277</v>
      </c>
      <c r="AN412" s="1">
        <f>SUMIFS(stock[MT],stock[Bucket],scheduleapr[[#This Row],[Bucket]],stock[CTL Bucket],scheduleapr[[#This Row],[CTL Bucket]],stock[Plant],"0789")</f>
        <v>0.270648</v>
      </c>
      <c r="AO412" s="1"/>
      <c r="AP412" s="1">
        <f>SUMIFS(stock[MT],stock[Bucket],scheduleapr[[#This Row],[Bucket]],stock[LL or CTL],"LL")</f>
        <v>0</v>
      </c>
      <c r="AQ412" s="1">
        <f>+SUMIFS(wip[Stock(Net Wt)],wip[Bucket],scheduleapr[[#This Row],[Bucket]])/1000</f>
        <v>11.189</v>
      </c>
      <c r="AR412" s="1">
        <f t="shared" si="14"/>
        <v>2.9864092375000002</v>
      </c>
      <c r="AS412" s="118"/>
    </row>
    <row r="413" spans="1:45" x14ac:dyDescent="0.25">
      <c r="A413" s="30">
        <v>383</v>
      </c>
      <c r="B413" s="5" t="s">
        <v>1816</v>
      </c>
      <c r="C413" s="2" t="s">
        <v>296</v>
      </c>
      <c r="D413" s="2" t="s">
        <v>2002</v>
      </c>
      <c r="E413" s="2" t="s">
        <v>292</v>
      </c>
      <c r="F413" s="2">
        <v>1940302</v>
      </c>
      <c r="G413" s="2" t="str">
        <f>_xlfn.CONCAT(scheduleapr[[#This Row],[CUSTOMER CODE]],"-",scheduleapr[[#This Row],[MATERIAL NO]])</f>
        <v>129695|187884|188415|189239|189240-1940302</v>
      </c>
      <c r="H413" s="2" t="s">
        <v>1390</v>
      </c>
      <c r="I413" s="2" t="s">
        <v>962</v>
      </c>
      <c r="J413" s="2"/>
      <c r="K413" s="2" t="s">
        <v>963</v>
      </c>
      <c r="L413" s="2" t="s">
        <v>239</v>
      </c>
      <c r="M413" s="2"/>
      <c r="N413" s="2"/>
      <c r="O413" s="2"/>
      <c r="P413" s="2"/>
      <c r="Q413" s="557" t="str">
        <f>CONCATENATE(scheduleapr[[#This Row],[OD]],"-",scheduleapr[[#This Row],[ID]],"-",scheduleapr[[#This Row],[TICKNESS]],"-",scheduleapr[[#This Row],[Grade]],"-",scheduleapr[[#This Row],[FC/NFC]])</f>
        <v>19.05-0-2.3-ERW 1-PE</v>
      </c>
      <c r="R413" s="557" t="str">
        <f>_xlfn.CONCAT(scheduleapr[[#This Row],[Bucket]],"-",scheduleapr[[#This Row],[LENGTH]]/1000)</f>
        <v>19.05-0-2.3-ERW 1-PE-0.195</v>
      </c>
      <c r="S413" s="557">
        <f>COUNTIF(scheduleapr[CTL Bucket],scheduleapr[[#This Row],[CTL Bucket]])</f>
        <v>1</v>
      </c>
      <c r="T413" s="2" t="s">
        <v>1816</v>
      </c>
      <c r="U413" s="2">
        <f>_xlfn.IFNA(VLOOKUP(scheduleapr[[#This Row],[Bucket]],salesforecast[[#All],[Bucket2]:[8406 Stock]],19,0),0)</f>
        <v>24.635752000000004</v>
      </c>
      <c r="V413" s="562">
        <f>_xlfn.IFNA(VLOOKUP(scheduleapr[[#This Row],[Bucket]],salesforecast[[#All],[Bucket2]:[8406 Stock]],20,0),0)+_xlfn.IFNA(VLOOKUP(scheduleapr[[#This Row],[Bucket]],salesforecast[[#All],[Bucket2]:[8406 Stock]],17,0),0)</f>
        <v>38.357093999999996</v>
      </c>
      <c r="W413" s="557"/>
      <c r="X413" s="1">
        <v>19.05</v>
      </c>
      <c r="Y413" s="1">
        <v>19.05</v>
      </c>
      <c r="Z413" s="1">
        <v>0</v>
      </c>
      <c r="AA413" s="1">
        <v>2.2999999999999998</v>
      </c>
      <c r="AB413" s="24">
        <v>195</v>
      </c>
      <c r="AC413" s="24" t="s">
        <v>397</v>
      </c>
      <c r="AD413" s="24"/>
      <c r="AE413" s="24"/>
      <c r="AF413" s="2">
        <v>5000</v>
      </c>
      <c r="AG413" s="2"/>
      <c r="AH413" s="2" cm="1">
        <f t="array" ref="AH4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3" s="4">
        <f>scheduleapr[[#This Row],[SCHEDULE in nos]]-scheduleapr[[#This Row],[DISPATCH]]</f>
        <v>5000</v>
      </c>
      <c r="AJ413" s="1">
        <f>(3.14*(scheduleapr[[#This Row],[ACTUAL OD]]-scheduleapr[[#This Row],[TICKNESS]])*scheduleapr[[#This Row],[TICKNESS]]*scheduleapr[[#This Row],[LENGTH]]*7.85)/1000000*scheduleapr[[#This Row],[SCHEDULE in nos]]/1000</f>
        <v>0.92586265687500002</v>
      </c>
      <c r="AK413" s="1">
        <f>(3.14*(scheduleapr[[#This Row],[ACTUAL OD]]-scheduleapr[[#This Row],[TICKNESS]])*scheduleapr[[#This Row],[TICKNESS]]*scheduleapr[[#This Row],[LENGTH]]*7.85)/1000000*scheduleapr[[#This Row],[DISPATCH]]/1000</f>
        <v>0</v>
      </c>
      <c r="AL413" s="1">
        <f t="shared" si="15"/>
        <v>0.92586265687500002</v>
      </c>
      <c r="AM413" s="1">
        <f>scheduleapr[[#This Row],[SCHEDULE in nos]]/scheduleapr[[#This Row],[SCHEDULE IN MT]]*scheduleapr[[#This Row],[CTL Stock]]</f>
        <v>0</v>
      </c>
      <c r="AN413" s="1">
        <f>SUMIFS(stock[MT],stock[Bucket],scheduleapr[[#This Row],[Bucket]],stock[CTL Bucket],scheduleapr[[#This Row],[CTL Bucket]],stock[Plant],"0789")</f>
        <v>0</v>
      </c>
      <c r="AO413" s="1"/>
      <c r="AP413" s="1">
        <f>SUMIFS(stock[MT],stock[Bucket],scheduleapr[[#This Row],[Bucket]],stock[LL or CTL],"LL")</f>
        <v>73.955845999999994</v>
      </c>
      <c r="AQ413" s="1">
        <f>+SUMIFS(wip[Stock(Net Wt)],wip[Bucket],scheduleapr[[#This Row],[Bucket]])/1000</f>
        <v>6.0149999999999997</v>
      </c>
      <c r="AR413" s="1">
        <f t="shared" si="14"/>
        <v>0.92586265687500002</v>
      </c>
      <c r="AS413" s="118"/>
    </row>
    <row r="414" spans="1:45" x14ac:dyDescent="0.25">
      <c r="A414" s="30">
        <v>309</v>
      </c>
      <c r="B414" s="5" t="s">
        <v>1816</v>
      </c>
      <c r="C414" s="2" t="s">
        <v>298</v>
      </c>
      <c r="D414" s="2" t="s">
        <v>2002</v>
      </c>
      <c r="E414" s="2" t="s">
        <v>292</v>
      </c>
      <c r="F414" s="2">
        <v>508988</v>
      </c>
      <c r="G414" s="2" t="str">
        <f>_xlfn.CONCAT(scheduleapr[[#This Row],[CUSTOMER CODE]],"-",scheduleapr[[#This Row],[MATERIAL NO]])</f>
        <v>129695|187884|188415|189239|189240-508988</v>
      </c>
      <c r="H414" s="2" t="s">
        <v>1409</v>
      </c>
      <c r="I414" s="2" t="s">
        <v>962</v>
      </c>
      <c r="J414" s="2"/>
      <c r="K414" s="2" t="s">
        <v>963</v>
      </c>
      <c r="L414" s="2" t="s">
        <v>239</v>
      </c>
      <c r="M414" s="2"/>
      <c r="N414" s="2"/>
      <c r="O414" s="2"/>
      <c r="P414" s="2"/>
      <c r="Q414" s="557" t="str">
        <f>CONCATENATE(scheduleapr[[#This Row],[OD]],"-",scheduleapr[[#This Row],[ID]],"-",scheduleapr[[#This Row],[TICKNESS]],"-",scheduleapr[[#This Row],[Grade]],"-",scheduleapr[[#This Row],[FC/NFC]])</f>
        <v>19.05-0-2.3-ERW 1-PE</v>
      </c>
      <c r="R414" s="557" t="str">
        <f>_xlfn.CONCAT(scheduleapr[[#This Row],[Bucket]],"-",scheduleapr[[#This Row],[LENGTH]]/1000)</f>
        <v>19.05-0-2.3-ERW 1-PE-0.303</v>
      </c>
      <c r="S414" s="557" t="e" vm="2">
        <f>COUNTIF([2]!buckets[CTL Bucket],[2]!scheduleapr[[#This Row],[CTL Bucket]])</f>
        <v>#REF!</v>
      </c>
      <c r="T414" s="557"/>
      <c r="U414" s="2">
        <f>_xlfn.IFNA(VLOOKUP(scheduleapr[[#This Row],[Bucket]],salesforecast[[#All],[Bucket2]:[8406 Stock]],19,0),0)</f>
        <v>24.635752000000004</v>
      </c>
      <c r="V414" s="562">
        <f>_xlfn.IFNA(VLOOKUP(scheduleapr[[#This Row],[Bucket]],salesforecast[[#All],[Bucket2]:[8406 Stock]],20,0),0)+_xlfn.IFNA(VLOOKUP(scheduleapr[[#This Row],[Bucket]],salesforecast[[#All],[Bucket2]:[8406 Stock]],17,0),0)</f>
        <v>38.357093999999996</v>
      </c>
      <c r="W414" s="557"/>
      <c r="X414" s="1">
        <v>19.05</v>
      </c>
      <c r="Y414" s="1">
        <v>19.05</v>
      </c>
      <c r="Z414" s="1">
        <v>0</v>
      </c>
      <c r="AA414" s="1">
        <v>2.2999999999999998</v>
      </c>
      <c r="AB414" s="24">
        <v>303</v>
      </c>
      <c r="AC414" s="24" t="s">
        <v>397</v>
      </c>
      <c r="AD414" s="24"/>
      <c r="AE414" s="24"/>
      <c r="AF414" s="2">
        <v>8000</v>
      </c>
      <c r="AG414" s="2"/>
      <c r="AH414" s="2" cm="1">
        <f t="array" ref="AH4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4" s="4">
        <f>scheduleapr[[#This Row],[SCHEDULE in nos]]-scheduleapr[[#This Row],[DISPATCH]]</f>
        <v>8000</v>
      </c>
      <c r="AJ414" s="1">
        <f>(3.14*(scheduleapr[[#This Row],[ACTUAL OD]]-scheduleapr[[#This Row],[TICKNESS]])*scheduleapr[[#This Row],[TICKNESS]]*scheduleapr[[#This Row],[LENGTH]]*7.85)/1000000*scheduleapr[[#This Row],[SCHEDULE in nos]]/1000</f>
        <v>2.3018370053999995</v>
      </c>
      <c r="AK414" s="1">
        <f>(3.14*(scheduleapr[[#This Row],[ACTUAL OD]]-scheduleapr[[#This Row],[TICKNESS]])*scheduleapr[[#This Row],[TICKNESS]]*scheduleapr[[#This Row],[LENGTH]]*7.85)/1000000*scheduleapr[[#This Row],[DISPATCH]]/1000</f>
        <v>0</v>
      </c>
      <c r="AL414" s="1">
        <f t="shared" si="15"/>
        <v>2.3018370053999995</v>
      </c>
      <c r="AM414" s="1">
        <f>scheduleapr[[#This Row],[SCHEDULE in nos]]/scheduleapr[[#This Row],[SCHEDULE IN MT]]*scheduleapr[[#This Row],[CTL Stock]]</f>
        <v>234.80376704869187</v>
      </c>
      <c r="AN414" s="1">
        <f>SUMIFS(stock[MT],stock[Bucket],scheduleapr[[#This Row],[Bucket]],stock[CTL Bucket],scheduleapr[[#This Row],[CTL Bucket]],stock[Plant],"0789")</f>
        <v>6.7559999999999995E-2</v>
      </c>
      <c r="AO414" s="1"/>
      <c r="AP414" s="1">
        <f>SUMIFS(stock[MT],stock[Bucket],scheduleapr[[#This Row],[Bucket]],stock[LL or CTL],"LL")</f>
        <v>73.955845999999994</v>
      </c>
      <c r="AQ414" s="1">
        <f>+SUMIFS(wip[Stock(Net Wt)],wip[Bucket],scheduleapr[[#This Row],[Bucket]])/1000</f>
        <v>6.0149999999999997</v>
      </c>
      <c r="AR414" s="1">
        <f t="shared" si="14"/>
        <v>2.2342770053999996</v>
      </c>
      <c r="AS414" s="118"/>
    </row>
    <row r="415" spans="1:45" x14ac:dyDescent="0.25">
      <c r="A415" s="30">
        <v>310</v>
      </c>
      <c r="B415" s="5" t="s">
        <v>1816</v>
      </c>
      <c r="C415" s="2" t="s">
        <v>291</v>
      </c>
      <c r="D415" s="48" t="s">
        <v>2002</v>
      </c>
      <c r="E415" s="2" t="s">
        <v>292</v>
      </c>
      <c r="F415" s="2">
        <v>508992</v>
      </c>
      <c r="G415" s="2" t="str">
        <f>_xlfn.CONCAT(scheduleapr[[#This Row],[CUSTOMER CODE]],"-",scheduleapr[[#This Row],[MATERIAL NO]])</f>
        <v>129695|187884|188415|189239|189240-508992</v>
      </c>
      <c r="H415" s="2" t="s">
        <v>2020</v>
      </c>
      <c r="I415" s="2" t="s">
        <v>962</v>
      </c>
      <c r="J415" s="2"/>
      <c r="K415" s="2"/>
      <c r="L415" s="2" t="s">
        <v>239</v>
      </c>
      <c r="M415" s="2"/>
      <c r="N415" s="2"/>
      <c r="O415" s="2"/>
      <c r="P415" s="2"/>
      <c r="Q415" s="557" t="str">
        <f>CONCATENATE(scheduleapr[[#This Row],[OD]],"-",scheduleapr[[#This Row],[ID]],"-",scheduleapr[[#This Row],[TICKNESS]],"-",scheduleapr[[#This Row],[Grade]],"-",scheduleapr[[#This Row],[FC/NFC]])</f>
        <v>19.05-0-2.3-ERW 1-</v>
      </c>
      <c r="R415" s="557" t="str">
        <f>_xlfn.CONCAT(scheduleapr[[#This Row],[Bucket]],"-",scheduleapr[[#This Row],[LENGTH]]/1000)</f>
        <v>19.05-0-2.3-ERW 1--0.459</v>
      </c>
      <c r="S415" s="557" t="e" vm="2">
        <f>COUNTIF([2]!buckets[CTL Bucket],[2]!scheduleapr[[#This Row],[CTL Bucket]])</f>
        <v>#REF!</v>
      </c>
      <c r="T415" s="557"/>
      <c r="U415" s="557"/>
      <c r="V415" s="557"/>
      <c r="W415" s="557"/>
      <c r="X415" s="1">
        <v>19.05</v>
      </c>
      <c r="Y415" s="1">
        <v>19.05</v>
      </c>
      <c r="Z415" s="1">
        <v>0</v>
      </c>
      <c r="AA415" s="1">
        <v>2.2999999999999998</v>
      </c>
      <c r="AB415" s="24">
        <v>459</v>
      </c>
      <c r="AC415" s="24"/>
      <c r="AD415" s="24"/>
      <c r="AE415" s="24"/>
      <c r="AF415" s="2"/>
      <c r="AG415" s="2"/>
      <c r="AH415" s="2" t="e" cm="1">
        <f t="array" ref="AH4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15" s="4" t="e">
        <f>scheduleapr[[#This Row],[SCHEDULE in nos]]-scheduleapr[[#This Row],[DISPATCH]]</f>
        <v>#N/A</v>
      </c>
      <c r="AJ415" s="1">
        <f>(3.14*(scheduleapr[[#This Row],[ACTUAL OD]]-scheduleapr[[#This Row],[TICKNESS]])*scheduleapr[[#This Row],[TICKNESS]]*scheduleapr[[#This Row],[LENGTH]]*7.85)/1000000*scheduleapr[[#This Row],[SCHEDULE in nos]]/1000</f>
        <v>0</v>
      </c>
      <c r="AK415" s="1" t="e">
        <f>(3.14*(scheduleapr[[#This Row],[ACTUAL OD]]-scheduleapr[[#This Row],[TICKNESS]])*scheduleapr[[#This Row],[TICKNESS]]*scheduleapr[[#This Row],[LENGTH]]*7.85)/1000000*scheduleapr[[#This Row],[DISPATCH]]/1000</f>
        <v>#N/A</v>
      </c>
      <c r="AL415" s="1" t="e">
        <f t="shared" si="15"/>
        <v>#N/A</v>
      </c>
      <c r="AM415" s="1" t="e">
        <f>scheduleapr[[#This Row],[SCHEDULE in nos]]/scheduleapr[[#This Row],[SCHEDULE IN MT]]*scheduleapr[[#This Row],[CTL Stock]]</f>
        <v>#DIV/0!</v>
      </c>
      <c r="AN415" s="1">
        <f>SUMIFS(stock[MT],stock[Bucket],scheduleapr[[#This Row],[Bucket]],stock[CTL Bucket],scheduleapr[[#This Row],[CTL Bucket]],stock[Plant],"0789")</f>
        <v>0</v>
      </c>
      <c r="AO415" s="1"/>
      <c r="AP415" s="1">
        <f>SUMIFS(stock[MT],stock[Bucket],scheduleapr[[#This Row],[Bucket]],stock[LL or CTL],"LL")</f>
        <v>0</v>
      </c>
      <c r="AQ415" s="1">
        <f>+SUMIFS(wip[Stock(Net Wt)],wip[Bucket],scheduleapr[[#This Row],[Bucket]])/1000</f>
        <v>0</v>
      </c>
      <c r="AR415" s="1">
        <f t="shared" si="14"/>
        <v>0</v>
      </c>
      <c r="AS415" s="118"/>
    </row>
    <row r="416" spans="1:45" x14ac:dyDescent="0.25">
      <c r="A416" s="30">
        <v>384</v>
      </c>
      <c r="B416" s="5" t="s">
        <v>1816</v>
      </c>
      <c r="C416" s="2" t="s">
        <v>298</v>
      </c>
      <c r="D416" s="2" t="s">
        <v>2002</v>
      </c>
      <c r="E416" s="2" t="s">
        <v>292</v>
      </c>
      <c r="F416" s="2">
        <v>1940324</v>
      </c>
      <c r="G416" s="2" t="str">
        <f>_xlfn.CONCAT(scheduleapr[[#This Row],[CUSTOMER CODE]],"-",scheduleapr[[#This Row],[MATERIAL NO]])</f>
        <v>129695|187884|188415|189239|189240-1940324</v>
      </c>
      <c r="H416" s="2" t="s">
        <v>2021</v>
      </c>
      <c r="I416" s="2" t="s">
        <v>962</v>
      </c>
      <c r="J416" s="2"/>
      <c r="K416" s="2" t="s">
        <v>963</v>
      </c>
      <c r="L416" s="2" t="s">
        <v>239</v>
      </c>
      <c r="M416" s="2"/>
      <c r="N416" s="2"/>
      <c r="O416" s="2"/>
      <c r="P416" s="2"/>
      <c r="Q416" s="557" t="str">
        <f>CONCATENATE(scheduleapr[[#This Row],[OD]],"-",scheduleapr[[#This Row],[ID]],"-",scheduleapr[[#This Row],[TICKNESS]],"-",scheduleapr[[#This Row],[Grade]],"-",scheduleapr[[#This Row],[FC/NFC]])</f>
        <v>19.05-0-2.3-ERW 1-PE</v>
      </c>
      <c r="R416" s="557" t="str">
        <f>_xlfn.CONCAT(scheduleapr[[#This Row],[Bucket]],"-",scheduleapr[[#This Row],[LENGTH]]/1000)</f>
        <v>19.05-0-2.3-ERW 1-PE-0.554</v>
      </c>
      <c r="S416" s="557" t="e" vm="2">
        <f>COUNTIF([2]!buckets[CTL Bucket],[2]!scheduleapr[[#This Row],[CTL Bucket]])</f>
        <v>#REF!</v>
      </c>
      <c r="T416" s="2" t="s">
        <v>1816</v>
      </c>
      <c r="U416" s="2">
        <f>_xlfn.IFNA(VLOOKUP(scheduleapr[[#This Row],[Bucket]],salesforecast[[#All],[Bucket2]:[8406 Stock]],19,0),0)</f>
        <v>24.635752000000004</v>
      </c>
      <c r="V416" s="562">
        <f>_xlfn.IFNA(VLOOKUP(scheduleapr[[#This Row],[Bucket]],salesforecast[[#All],[Bucket2]:[8406 Stock]],20,0),0)+_xlfn.IFNA(VLOOKUP(scheduleapr[[#This Row],[Bucket]],salesforecast[[#All],[Bucket2]:[8406 Stock]],17,0),0)</f>
        <v>38.357093999999996</v>
      </c>
      <c r="W416" s="557"/>
      <c r="X416" s="1">
        <v>19.05</v>
      </c>
      <c r="Y416" s="1">
        <v>19.05</v>
      </c>
      <c r="Z416" s="1">
        <v>0</v>
      </c>
      <c r="AA416" s="1">
        <v>2.2999999999999998</v>
      </c>
      <c r="AB416" s="24">
        <v>554</v>
      </c>
      <c r="AC416" s="24" t="s">
        <v>397</v>
      </c>
      <c r="AD416" s="24"/>
      <c r="AE416" s="24"/>
      <c r="AF416" s="2">
        <v>8000</v>
      </c>
      <c r="AG416" s="2"/>
      <c r="AH416" s="2" cm="1">
        <f t="array" ref="AH4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6" s="4">
        <f>scheduleapr[[#This Row],[SCHEDULE in nos]]-scheduleapr[[#This Row],[DISPATCH]]</f>
        <v>8000</v>
      </c>
      <c r="AJ416" s="1">
        <f>(3.14*(scheduleapr[[#This Row],[ACTUAL OD]]-scheduleapr[[#This Row],[TICKNESS]])*scheduleapr[[#This Row],[TICKNESS]]*scheduleapr[[#This Row],[LENGTH]]*7.85)/1000000*scheduleapr[[#This Row],[SCHEDULE in nos]]/1000</f>
        <v>4.2086392771999996</v>
      </c>
      <c r="AK416" s="1">
        <f>(3.14*(scheduleapr[[#This Row],[ACTUAL OD]]-scheduleapr[[#This Row],[TICKNESS]])*scheduleapr[[#This Row],[TICKNESS]]*scheduleapr[[#This Row],[LENGTH]]*7.85)/1000000*scheduleapr[[#This Row],[DISPATCH]]/1000</f>
        <v>0</v>
      </c>
      <c r="AL416" s="1">
        <f t="shared" si="15"/>
        <v>4.2086392771999996</v>
      </c>
      <c r="AM416" s="1">
        <f>scheduleapr[[#This Row],[SCHEDULE in nos]]/scheduleapr[[#This Row],[SCHEDULE IN MT]]*scheduleapr[[#This Row],[CTL Stock]]</f>
        <v>0</v>
      </c>
      <c r="AN416" s="1">
        <f>SUMIFS(stock[MT],stock[Bucket],scheduleapr[[#This Row],[Bucket]],stock[CTL Bucket],scheduleapr[[#This Row],[CTL Bucket]],stock[Plant],"0789")</f>
        <v>0</v>
      </c>
      <c r="AO416" s="1"/>
      <c r="AP416" s="1">
        <f>SUMIFS(stock[MT],stock[Bucket],scheduleapr[[#This Row],[Bucket]],stock[LL or CTL],"LL")</f>
        <v>73.955845999999994</v>
      </c>
      <c r="AQ416" s="1">
        <f>+SUMIFS(wip[Stock(Net Wt)],wip[Bucket],scheduleapr[[#This Row],[Bucket]])/1000</f>
        <v>6.0149999999999997</v>
      </c>
      <c r="AR416" s="1">
        <f t="shared" si="14"/>
        <v>4.2086392771999996</v>
      </c>
      <c r="AS416" s="118"/>
    </row>
    <row r="417" spans="1:45" x14ac:dyDescent="0.25">
      <c r="A417" s="30">
        <v>311</v>
      </c>
      <c r="B417" s="5" t="s">
        <v>1816</v>
      </c>
      <c r="C417" s="2" t="s">
        <v>291</v>
      </c>
      <c r="D417" s="2" t="s">
        <v>2002</v>
      </c>
      <c r="E417" s="2" t="s">
        <v>292</v>
      </c>
      <c r="F417" s="2">
        <v>437150</v>
      </c>
      <c r="G417" s="2" t="str">
        <f>_xlfn.CONCAT(scheduleapr[[#This Row],[CUSTOMER CODE]],"-",scheduleapr[[#This Row],[MATERIAL NO]])</f>
        <v>129695|187884|188415|189239|189240-437150</v>
      </c>
      <c r="H417" s="2" t="s">
        <v>2022</v>
      </c>
      <c r="I417" s="2" t="s">
        <v>962</v>
      </c>
      <c r="J417" s="2"/>
      <c r="K417" s="2"/>
      <c r="L417" s="2" t="s">
        <v>239</v>
      </c>
      <c r="M417" s="2"/>
      <c r="N417" s="2"/>
      <c r="O417" s="2"/>
      <c r="P417" s="2"/>
      <c r="Q417" s="557" t="str">
        <f>CONCATENATE(scheduleapr[[#This Row],[OD]],"-",scheduleapr[[#This Row],[ID]],"-",scheduleapr[[#This Row],[TICKNESS]],"-",scheduleapr[[#This Row],[Grade]],"-",scheduleapr[[#This Row],[FC/NFC]])</f>
        <v>19.05-0-2.3-ERW 1-</v>
      </c>
      <c r="R417" s="557" t="str">
        <f>_xlfn.CONCAT(scheduleapr[[#This Row],[Bucket]],"-",scheduleapr[[#This Row],[LENGTH]]/1000)</f>
        <v>19.05-0-2.3-ERW 1--0.555</v>
      </c>
      <c r="S417" s="557" t="e" vm="2">
        <f>COUNTIF([2]!buckets[CTL Bucket],[2]!scheduleapr[[#This Row],[CTL Bucket]])</f>
        <v>#REF!</v>
      </c>
      <c r="T417" s="557"/>
      <c r="U417" s="557"/>
      <c r="V417" s="557"/>
      <c r="W417" s="557"/>
      <c r="X417" s="1">
        <v>19.05</v>
      </c>
      <c r="Y417" s="1">
        <v>19.05</v>
      </c>
      <c r="Z417" s="1">
        <v>0</v>
      </c>
      <c r="AA417" s="1">
        <v>2.2999999999999998</v>
      </c>
      <c r="AB417" s="24">
        <v>555</v>
      </c>
      <c r="AC417" s="24"/>
      <c r="AD417" s="24"/>
      <c r="AE417" s="24"/>
      <c r="AF417" s="2"/>
      <c r="AG417" s="2"/>
      <c r="AH417" s="2" t="e" cm="1">
        <f t="array" ref="AH4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17" s="4" t="e">
        <f>scheduleapr[[#This Row],[SCHEDULE in nos]]-scheduleapr[[#This Row],[DISPATCH]]</f>
        <v>#N/A</v>
      </c>
      <c r="AJ417" s="1">
        <f>(3.14*(scheduleapr[[#This Row],[ACTUAL OD]]-scheduleapr[[#This Row],[TICKNESS]])*scheduleapr[[#This Row],[TICKNESS]]*scheduleapr[[#This Row],[LENGTH]]*7.85)/1000000*scheduleapr[[#This Row],[SCHEDULE in nos]]/1000</f>
        <v>0</v>
      </c>
      <c r="AK417" s="1" t="e">
        <f>(3.14*(scheduleapr[[#This Row],[ACTUAL OD]]-scheduleapr[[#This Row],[TICKNESS]])*scheduleapr[[#This Row],[TICKNESS]]*scheduleapr[[#This Row],[LENGTH]]*7.85)/1000000*scheduleapr[[#This Row],[DISPATCH]]/1000</f>
        <v>#N/A</v>
      </c>
      <c r="AL417" s="1" t="e">
        <f t="shared" si="15"/>
        <v>#N/A</v>
      </c>
      <c r="AM417" s="1" t="e">
        <f>scheduleapr[[#This Row],[SCHEDULE in nos]]/scheduleapr[[#This Row],[SCHEDULE IN MT]]*scheduleapr[[#This Row],[CTL Stock]]</f>
        <v>#DIV/0!</v>
      </c>
      <c r="AN417" s="1">
        <f>SUMIFS(stock[MT],stock[Bucket],scheduleapr[[#This Row],[Bucket]],stock[CTL Bucket],scheduleapr[[#This Row],[CTL Bucket]],stock[Plant],"0789")</f>
        <v>0</v>
      </c>
      <c r="AO417" s="1"/>
      <c r="AP417" s="1">
        <f>SUMIFS(stock[MT],stock[Bucket],scheduleapr[[#This Row],[Bucket]],stock[LL or CTL],"LL")</f>
        <v>0</v>
      </c>
      <c r="AQ417" s="1">
        <f>+SUMIFS(wip[Stock(Net Wt)],wip[Bucket],scheduleapr[[#This Row],[Bucket]])/1000</f>
        <v>0</v>
      </c>
      <c r="AR417" s="1">
        <f t="shared" si="14"/>
        <v>0</v>
      </c>
      <c r="AS417" s="118"/>
    </row>
    <row r="418" spans="1:45" x14ac:dyDescent="0.25">
      <c r="A418" s="30">
        <v>387</v>
      </c>
      <c r="B418" s="5" t="s">
        <v>1816</v>
      </c>
      <c r="C418" s="2" t="s">
        <v>296</v>
      </c>
      <c r="D418" s="2" t="s">
        <v>2002</v>
      </c>
      <c r="E418" s="2" t="s">
        <v>292</v>
      </c>
      <c r="F418" s="2">
        <v>1940325</v>
      </c>
      <c r="G418" s="2" t="str">
        <f>_xlfn.CONCAT(scheduleapr[[#This Row],[CUSTOMER CODE]],"-",scheduleapr[[#This Row],[MATERIAL NO]])</f>
        <v>129695|187884|188415|189239|189240-1940325</v>
      </c>
      <c r="H418" s="2" t="s">
        <v>715</v>
      </c>
      <c r="I418" s="2" t="s">
        <v>962</v>
      </c>
      <c r="J418" s="2"/>
      <c r="K418" s="2" t="s">
        <v>963</v>
      </c>
      <c r="L418" s="2" t="s">
        <v>239</v>
      </c>
      <c r="M418" s="2"/>
      <c r="N418" s="2"/>
      <c r="O418" s="2"/>
      <c r="P418" s="2"/>
      <c r="Q418" s="557" t="str">
        <f>CONCATENATE(scheduleapr[[#This Row],[OD]],"-",scheduleapr[[#This Row],[ID]],"-",scheduleapr[[#This Row],[TICKNESS]],"-",scheduleapr[[#This Row],[Grade]],"-",scheduleapr[[#This Row],[FC/NFC]])</f>
        <v>19.05-0-2.3-ERW 1-PE</v>
      </c>
      <c r="R418" s="557" t="str">
        <f>_xlfn.CONCAT(scheduleapr[[#This Row],[Bucket]],"-",scheduleapr[[#This Row],[LENGTH]]/1000)</f>
        <v>19.05-0-2.3-ERW 1-PE-0.57</v>
      </c>
      <c r="S418" s="557" t="e" vm="2">
        <f>COUNTIF([2]!buckets[CTL Bucket],[2]!scheduleapr[[#This Row],[CTL Bucket]])</f>
        <v>#REF!</v>
      </c>
      <c r="T418" s="2" t="s">
        <v>1816</v>
      </c>
      <c r="U418" s="2">
        <f>_xlfn.IFNA(VLOOKUP(scheduleapr[[#This Row],[Bucket]],salesforecast[[#All],[Bucket2]:[8406 Stock]],19,0),0)</f>
        <v>24.635752000000004</v>
      </c>
      <c r="V418" s="562">
        <f>_xlfn.IFNA(VLOOKUP(scheduleapr[[#This Row],[Bucket]],salesforecast[[#All],[Bucket2]:[8406 Stock]],20,0),0)+_xlfn.IFNA(VLOOKUP(scheduleapr[[#This Row],[Bucket]],salesforecast[[#All],[Bucket2]:[8406 Stock]],17,0),0)</f>
        <v>38.357093999999996</v>
      </c>
      <c r="W418" s="557"/>
      <c r="X418" s="1">
        <v>19.05</v>
      </c>
      <c r="Y418" s="1">
        <v>19.05</v>
      </c>
      <c r="Z418" s="1">
        <v>0</v>
      </c>
      <c r="AA418" s="1">
        <v>2.2999999999999998</v>
      </c>
      <c r="AB418" s="24">
        <v>570</v>
      </c>
      <c r="AC418" s="24" t="s">
        <v>397</v>
      </c>
      <c r="AD418" s="24"/>
      <c r="AE418" s="24"/>
      <c r="AF418" s="2">
        <v>5000</v>
      </c>
      <c r="AG418" s="2"/>
      <c r="AH418" s="2" cm="1">
        <f t="array" ref="AH4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4835</v>
      </c>
      <c r="AI418" s="4">
        <f>scheduleapr[[#This Row],[SCHEDULE in nos]]-scheduleapr[[#This Row],[DISPATCH]]</f>
        <v>165</v>
      </c>
      <c r="AJ418" s="1">
        <f>(3.14*(scheduleapr[[#This Row],[ACTUAL OD]]-scheduleapr[[#This Row],[TICKNESS]])*scheduleapr[[#This Row],[TICKNESS]]*scheduleapr[[#This Row],[LENGTH]]*7.85)/1000000*scheduleapr[[#This Row],[SCHEDULE in nos]]/1000</f>
        <v>2.7063677662500005</v>
      </c>
      <c r="AK418" s="1">
        <f>(3.14*(scheduleapr[[#This Row],[ACTUAL OD]]-scheduleapr[[#This Row],[TICKNESS]])*scheduleapr[[#This Row],[TICKNESS]]*scheduleapr[[#This Row],[LENGTH]]*7.85)/1000000*scheduleapr[[#This Row],[DISPATCH]]/1000</f>
        <v>2.61705762996375</v>
      </c>
      <c r="AL418" s="1">
        <f t="shared" si="15"/>
        <v>8.9310136286250508E-2</v>
      </c>
      <c r="AM418" s="1">
        <f>scheduleapr[[#This Row],[SCHEDULE in nos]]/scheduleapr[[#This Row],[SCHEDULE IN MT]]*scheduleapr[[#This Row],[CTL Stock]]</f>
        <v>689.3002581777256</v>
      </c>
      <c r="AN418" s="1">
        <f>SUMIFS(stock[MT],stock[Bucket],scheduleapr[[#This Row],[Bucket]],stock[CTL Bucket],scheduleapr[[#This Row],[CTL Bucket]],stock[Plant],"0789")</f>
        <v>0.37309999999999999</v>
      </c>
      <c r="AO418" s="1"/>
      <c r="AP418" s="1">
        <f>SUMIFS(stock[MT],stock[Bucket],scheduleapr[[#This Row],[Bucket]],stock[LL or CTL],"LL")</f>
        <v>73.955845999999994</v>
      </c>
      <c r="AQ418" s="1">
        <f>+SUMIFS(wip[Stock(Net Wt)],wip[Bucket],scheduleapr[[#This Row],[Bucket]])/1000</f>
        <v>6.0149999999999997</v>
      </c>
      <c r="AR418" s="1">
        <f t="shared" si="14"/>
        <v>2.3332677662500005</v>
      </c>
      <c r="AS418" s="118"/>
    </row>
    <row r="419" spans="1:45" x14ac:dyDescent="0.25">
      <c r="A419" s="30">
        <v>388</v>
      </c>
      <c r="B419" s="5" t="s">
        <v>1816</v>
      </c>
      <c r="C419" s="2" t="s">
        <v>296</v>
      </c>
      <c r="D419" s="2" t="s">
        <v>2002</v>
      </c>
      <c r="E419" s="2" t="s">
        <v>292</v>
      </c>
      <c r="F419" s="2">
        <v>1940327</v>
      </c>
      <c r="G419" s="2" t="str">
        <f>_xlfn.CONCAT(scheduleapr[[#This Row],[CUSTOMER CODE]],"-",scheduleapr[[#This Row],[MATERIAL NO]])</f>
        <v>129695|187884|188415|189239|189240-1940327</v>
      </c>
      <c r="H419" s="2" t="s">
        <v>719</v>
      </c>
      <c r="I419" s="2" t="s">
        <v>962</v>
      </c>
      <c r="J419" s="2"/>
      <c r="K419" s="2" t="s">
        <v>963</v>
      </c>
      <c r="L419" s="2" t="s">
        <v>239</v>
      </c>
      <c r="M419" s="2"/>
      <c r="N419" s="2"/>
      <c r="O419" s="2"/>
      <c r="P419" s="2"/>
      <c r="Q419" s="557" t="str">
        <f>CONCATENATE(scheduleapr[[#This Row],[OD]],"-",scheduleapr[[#This Row],[ID]],"-",scheduleapr[[#This Row],[TICKNESS]],"-",scheduleapr[[#This Row],[Grade]],"-",scheduleapr[[#This Row],[FC/NFC]])</f>
        <v>19.05-0-2.3-ERW 1-PE</v>
      </c>
      <c r="R419" s="557" t="str">
        <f>_xlfn.CONCAT(scheduleapr[[#This Row],[Bucket]],"-",scheduleapr[[#This Row],[LENGTH]]/1000)</f>
        <v>19.05-0-2.3-ERW 1-PE-0.585</v>
      </c>
      <c r="S419" s="557">
        <f>COUNTIF(scheduleapr[CTL Bucket],scheduleapr[[#This Row],[CTL Bucket]])</f>
        <v>1</v>
      </c>
      <c r="T419" s="2" t="s">
        <v>1816</v>
      </c>
      <c r="U419" s="2">
        <f>_xlfn.IFNA(VLOOKUP(scheduleapr[[#This Row],[Bucket]],salesforecast[[#All],[Bucket2]:[8406 Stock]],19,0),0)</f>
        <v>24.635752000000004</v>
      </c>
      <c r="V419" s="562">
        <f>_xlfn.IFNA(VLOOKUP(scheduleapr[[#This Row],[Bucket]],salesforecast[[#All],[Bucket2]:[8406 Stock]],20,0),0)+_xlfn.IFNA(VLOOKUP(scheduleapr[[#This Row],[Bucket]],salesforecast[[#All],[Bucket2]:[8406 Stock]],17,0),0)</f>
        <v>38.357093999999996</v>
      </c>
      <c r="W419" s="557"/>
      <c r="X419" s="1">
        <v>19.05</v>
      </c>
      <c r="Y419" s="1">
        <v>19.05</v>
      </c>
      <c r="Z419" s="1">
        <v>0</v>
      </c>
      <c r="AA419" s="1">
        <v>2.2999999999999998</v>
      </c>
      <c r="AB419" s="24">
        <v>585</v>
      </c>
      <c r="AC419" s="24" t="s">
        <v>397</v>
      </c>
      <c r="AD419" s="24"/>
      <c r="AE419" s="24"/>
      <c r="AF419" s="2">
        <v>4000</v>
      </c>
      <c r="AG419" s="2"/>
      <c r="AH419" s="2" cm="1">
        <f t="array" ref="AH4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419" s="4">
        <f>scheduleapr[[#This Row],[SCHEDULE in nos]]-scheduleapr[[#This Row],[DISPATCH]]</f>
        <v>-3000</v>
      </c>
      <c r="AJ419" s="1">
        <f>(3.14*(scheduleapr[[#This Row],[ACTUAL OD]]-scheduleapr[[#This Row],[TICKNESS]])*scheduleapr[[#This Row],[TICKNESS]]*scheduleapr[[#This Row],[LENGTH]]*7.85)/1000000*scheduleapr[[#This Row],[SCHEDULE in nos]]/1000</f>
        <v>2.2220703765000001</v>
      </c>
      <c r="AK419" s="1">
        <f>(3.14*(scheduleapr[[#This Row],[ACTUAL OD]]-scheduleapr[[#This Row],[TICKNESS]])*scheduleapr[[#This Row],[TICKNESS]]*scheduleapr[[#This Row],[LENGTH]]*7.85)/1000000*scheduleapr[[#This Row],[DISPATCH]]/1000</f>
        <v>3.8886231588749993</v>
      </c>
      <c r="AL419" s="1">
        <f t="shared" si="15"/>
        <v>-1.6665527823749993</v>
      </c>
      <c r="AM419" s="1">
        <f>scheduleapr[[#This Row],[SCHEDULE in nos]]/scheduleapr[[#This Row],[SCHEDULE IN MT]]*scheduleapr[[#This Row],[CTL Stock]]</f>
        <v>0</v>
      </c>
      <c r="AN419" s="1">
        <f>SUMIFS(stock[MT],stock[Bucket],scheduleapr[[#This Row],[Bucket]],stock[CTL Bucket],scheduleapr[[#This Row],[CTL Bucket]],stock[Plant],"0789")</f>
        <v>0</v>
      </c>
      <c r="AO419" s="1"/>
      <c r="AP419" s="1">
        <f>SUMIFS(stock[MT],stock[Bucket],scheduleapr[[#This Row],[Bucket]],stock[LL or CTL],"LL")</f>
        <v>73.955845999999994</v>
      </c>
      <c r="AQ419" s="1">
        <f>+SUMIFS(wip[Stock(Net Wt)],wip[Bucket],scheduleapr[[#This Row],[Bucket]])/1000</f>
        <v>6.0149999999999997</v>
      </c>
      <c r="AR419" s="1">
        <f t="shared" si="14"/>
        <v>2.2220703765000001</v>
      </c>
      <c r="AS419" s="118"/>
    </row>
    <row r="420" spans="1:45" x14ac:dyDescent="0.25">
      <c r="A420" s="30">
        <v>389</v>
      </c>
      <c r="B420" s="5" t="s">
        <v>1816</v>
      </c>
      <c r="C420" s="2" t="s">
        <v>295</v>
      </c>
      <c r="D420" s="2" t="s">
        <v>2002</v>
      </c>
      <c r="E420" s="2" t="s">
        <v>292</v>
      </c>
      <c r="F420" s="2">
        <v>3535743</v>
      </c>
      <c r="G420" s="2" t="str">
        <f>_xlfn.CONCAT(scheduleapr[[#This Row],[CUSTOMER CODE]],"-",scheduleapr[[#This Row],[MATERIAL NO]])</f>
        <v>129695|187884|188415|189239|189240-3535743</v>
      </c>
      <c r="H420" s="2" t="s">
        <v>2023</v>
      </c>
      <c r="I420" s="2" t="s">
        <v>962</v>
      </c>
      <c r="J420" s="2"/>
      <c r="K420" s="2" t="s">
        <v>963</v>
      </c>
      <c r="L420" s="2" t="s">
        <v>239</v>
      </c>
      <c r="M420" s="2"/>
      <c r="N420" s="2"/>
      <c r="O420" s="2"/>
      <c r="P420" s="2"/>
      <c r="Q420" s="557" t="str">
        <f>CONCATENATE(scheduleapr[[#This Row],[OD]],"-",scheduleapr[[#This Row],[ID]],"-",scheduleapr[[#This Row],[TICKNESS]],"-",scheduleapr[[#This Row],[Grade]],"-",scheduleapr[[#This Row],[FC/NFC]])</f>
        <v>19.05-0-2.3-ERW 1-PE</v>
      </c>
      <c r="R420" s="557" t="str">
        <f>_xlfn.CONCAT(scheduleapr[[#This Row],[Bucket]],"-",scheduleapr[[#This Row],[LENGTH]]/1000)</f>
        <v>19.05-0-2.3-ERW 1-PE-0.6</v>
      </c>
      <c r="S420" s="557" t="e" vm="2">
        <f>COUNTIF([2]!buckets[CTL Bucket],[2]!scheduleapr[[#This Row],[CTL Bucket]])</f>
        <v>#REF!</v>
      </c>
      <c r="T420" s="2" t="s">
        <v>1816</v>
      </c>
      <c r="U420" s="2">
        <f>_xlfn.IFNA(VLOOKUP(scheduleapr[[#This Row],[Bucket]],salesforecast[[#All],[Bucket2]:[8406 Stock]],19,0),0)</f>
        <v>24.635752000000004</v>
      </c>
      <c r="V420" s="562">
        <f>_xlfn.IFNA(VLOOKUP(scheduleapr[[#This Row],[Bucket]],salesforecast[[#All],[Bucket2]:[8406 Stock]],20,0),0)+_xlfn.IFNA(VLOOKUP(scheduleapr[[#This Row],[Bucket]],salesforecast[[#All],[Bucket2]:[8406 Stock]],17,0),0)</f>
        <v>38.357093999999996</v>
      </c>
      <c r="W420" s="557"/>
      <c r="X420" s="1">
        <v>19.05</v>
      </c>
      <c r="Y420" s="1">
        <v>19.05</v>
      </c>
      <c r="Z420" s="1">
        <v>0</v>
      </c>
      <c r="AA420" s="1">
        <v>2.2999999999999998</v>
      </c>
      <c r="AB420" s="24">
        <v>600</v>
      </c>
      <c r="AC420" s="24" t="s">
        <v>397</v>
      </c>
      <c r="AD420" s="24"/>
      <c r="AE420" s="24"/>
      <c r="AF420" s="2">
        <v>6000</v>
      </c>
      <c r="AG420" s="2"/>
      <c r="AH420" s="2" cm="1">
        <f t="array" ref="AH4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0" s="4">
        <f>scheduleapr[[#This Row],[SCHEDULE in nos]]-scheduleapr[[#This Row],[DISPATCH]]</f>
        <v>6000</v>
      </c>
      <c r="AJ420" s="1">
        <f>(3.14*(scheduleapr[[#This Row],[ACTUAL OD]]-scheduleapr[[#This Row],[TICKNESS]])*scheduleapr[[#This Row],[TICKNESS]]*scheduleapr[[#This Row],[LENGTH]]*7.85)/1000000*scheduleapr[[#This Row],[SCHEDULE in nos]]/1000</f>
        <v>3.4185698099999993</v>
      </c>
      <c r="AK420" s="1">
        <f>(3.14*(scheduleapr[[#This Row],[ACTUAL OD]]-scheduleapr[[#This Row],[TICKNESS]])*scheduleapr[[#This Row],[TICKNESS]]*scheduleapr[[#This Row],[LENGTH]]*7.85)/1000000*scheduleapr[[#This Row],[DISPATCH]]/1000</f>
        <v>0</v>
      </c>
      <c r="AL420" s="1">
        <f t="shared" si="15"/>
        <v>3.4185698099999993</v>
      </c>
      <c r="AM420" s="1">
        <f>scheduleapr[[#This Row],[SCHEDULE in nos]]/scheduleapr[[#This Row],[SCHEDULE IN MT]]*scheduleapr[[#This Row],[CTL Stock]]</f>
        <v>0</v>
      </c>
      <c r="AN420" s="1">
        <f>SUMIFS(stock[MT],stock[Bucket],scheduleapr[[#This Row],[Bucket]],stock[CTL Bucket],scheduleapr[[#This Row],[CTL Bucket]],stock[Plant],"0789")</f>
        <v>0</v>
      </c>
      <c r="AO420" s="1"/>
      <c r="AP420" s="1">
        <f>SUMIFS(stock[MT],stock[Bucket],scheduleapr[[#This Row],[Bucket]],stock[LL or CTL],"LL")</f>
        <v>73.955845999999994</v>
      </c>
      <c r="AQ420" s="1">
        <f>+SUMIFS(wip[Stock(Net Wt)],wip[Bucket],scheduleapr[[#This Row],[Bucket]])/1000</f>
        <v>6.0149999999999997</v>
      </c>
      <c r="AR420" s="1">
        <f t="shared" si="14"/>
        <v>3.4185698099999993</v>
      </c>
      <c r="AS420" s="118"/>
    </row>
    <row r="421" spans="1:45" x14ac:dyDescent="0.25">
      <c r="A421" s="30">
        <v>391</v>
      </c>
      <c r="B421" s="5" t="s">
        <v>1816</v>
      </c>
      <c r="C421" s="2" t="s">
        <v>296</v>
      </c>
      <c r="D421" s="2" t="s">
        <v>2002</v>
      </c>
      <c r="E421" s="2" t="s">
        <v>292</v>
      </c>
      <c r="F421" s="2">
        <v>1268694</v>
      </c>
      <c r="G421" s="2" t="str">
        <f>_xlfn.CONCAT(scheduleapr[[#This Row],[CUSTOMER CODE]],"-",scheduleapr[[#This Row],[MATERIAL NO]])</f>
        <v>129695|187884|188415|189239|189240-1268694</v>
      </c>
      <c r="H421" s="2" t="s">
        <v>1423</v>
      </c>
      <c r="I421" s="2" t="s">
        <v>962</v>
      </c>
      <c r="J421" s="2"/>
      <c r="K421" s="2" t="s">
        <v>963</v>
      </c>
      <c r="L421" s="2" t="s">
        <v>239</v>
      </c>
      <c r="M421" s="2"/>
      <c r="N421" s="2"/>
      <c r="O421" s="2"/>
      <c r="P421" s="2"/>
      <c r="Q421" s="557" t="str">
        <f>CONCATENATE(scheduleapr[[#This Row],[OD]],"-",scheduleapr[[#This Row],[ID]],"-",scheduleapr[[#This Row],[TICKNESS]],"-",scheduleapr[[#This Row],[Grade]],"-",scheduleapr[[#This Row],[FC/NFC]])</f>
        <v>19.05-0-2.3-ERW 1-PE</v>
      </c>
      <c r="R421" s="557" t="str">
        <f>_xlfn.CONCAT(scheduleapr[[#This Row],[Bucket]],"-",scheduleapr[[#This Row],[LENGTH]]/1000)</f>
        <v>19.05-0-2.3-ERW 1-PE-1</v>
      </c>
      <c r="S421" s="2" t="e" vm="2">
        <f>COUNTIF([2]!buckets[CTL Bucket],[2]!scheduleapr[[#This Row],[CTL Bucket]])</f>
        <v>#REF!</v>
      </c>
      <c r="T421" s="2" t="s">
        <v>1816</v>
      </c>
      <c r="U421" s="2">
        <f>_xlfn.IFNA(VLOOKUP(scheduleapr[[#This Row],[Bucket]],salesforecast[[#All],[Bucket2]:[8406 Stock]],19,0),0)</f>
        <v>24.635752000000004</v>
      </c>
      <c r="V421" s="562">
        <f>_xlfn.IFNA(VLOOKUP(scheduleapr[[#This Row],[Bucket]],salesforecast[[#All],[Bucket2]:[8406 Stock]],20,0),0)+_xlfn.IFNA(VLOOKUP(scheduleapr[[#This Row],[Bucket]],salesforecast[[#All],[Bucket2]:[8406 Stock]],17,0),0)</f>
        <v>38.357093999999996</v>
      </c>
      <c r="W421" s="2"/>
      <c r="X421" s="1">
        <v>19.05</v>
      </c>
      <c r="Y421" s="1">
        <v>19.05</v>
      </c>
      <c r="Z421" s="1">
        <v>0</v>
      </c>
      <c r="AA421" s="1">
        <v>2.2999999999999998</v>
      </c>
      <c r="AB421" s="24">
        <v>1000</v>
      </c>
      <c r="AC421" s="24" t="s">
        <v>444</v>
      </c>
      <c r="AD421" s="24"/>
      <c r="AE421" s="24"/>
      <c r="AF421" s="2">
        <v>2000</v>
      </c>
      <c r="AG421" s="2"/>
      <c r="AH421" s="2" cm="1">
        <f t="array" ref="AH4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1" s="4">
        <f>scheduleapr[[#This Row],[SCHEDULE in nos]]-scheduleapr[[#This Row],[DISPATCH]]</f>
        <v>2000</v>
      </c>
      <c r="AJ421" s="1">
        <f>(3.14*(scheduleapr[[#This Row],[ACTUAL OD]]-scheduleapr[[#This Row],[TICKNESS]])*scheduleapr[[#This Row],[TICKNESS]]*scheduleapr[[#This Row],[LENGTH]]*7.85)/1000000*scheduleapr[[#This Row],[SCHEDULE in nos]]/1000</f>
        <v>1.8992054499999997</v>
      </c>
      <c r="AK421" s="1">
        <f>(3.14*(scheduleapr[[#This Row],[ACTUAL OD]]-scheduleapr[[#This Row],[TICKNESS]])*scheduleapr[[#This Row],[TICKNESS]]*scheduleapr[[#This Row],[LENGTH]]*7.85)/1000000*scheduleapr[[#This Row],[DISPATCH]]/1000</f>
        <v>0</v>
      </c>
      <c r="AL421" s="1">
        <f t="shared" si="15"/>
        <v>1.8992054499999997</v>
      </c>
      <c r="AM421" s="1">
        <f>scheduleapr[[#This Row],[SCHEDULE in nos]]/scheduleapr[[#This Row],[SCHEDULE IN MT]]*scheduleapr[[#This Row],[CTL Stock]]</f>
        <v>11544.827864726276</v>
      </c>
      <c r="AN421" s="1">
        <f>SUMIFS(stock[MT],stock[Bucket],scheduleapr[[#This Row],[Bucket]],stock[CTL Bucket],scheduleapr[[#This Row],[CTL Bucket]],stock[Plant],"0789")</f>
        <v>10.963000000000001</v>
      </c>
      <c r="AO421" s="1"/>
      <c r="AP421" s="1">
        <f>SUMIFS(stock[MT],stock[Bucket],scheduleapr[[#This Row],[Bucket]],stock[LL or CTL],"LL")</f>
        <v>73.955845999999994</v>
      </c>
      <c r="AQ421" s="1">
        <f>+SUMIFS(wip[Stock(Net Wt)],wip[Bucket],scheduleapr[[#This Row],[Bucket]])/1000</f>
        <v>6.0149999999999997</v>
      </c>
      <c r="AR421" s="1">
        <f t="shared" si="14"/>
        <v>-9.0637945500000008</v>
      </c>
      <c r="AS421" s="118"/>
    </row>
    <row r="422" spans="1:45" x14ac:dyDescent="0.25">
      <c r="A422" s="30">
        <v>390</v>
      </c>
      <c r="B422" s="5" t="s">
        <v>1816</v>
      </c>
      <c r="C422" s="2" t="s">
        <v>291</v>
      </c>
      <c r="D422" s="2" t="s">
        <v>2002</v>
      </c>
      <c r="E422" s="2" t="s">
        <v>292</v>
      </c>
      <c r="F422" s="2">
        <v>1268694</v>
      </c>
      <c r="G422" s="2" t="str">
        <f>_xlfn.CONCAT(scheduleapr[[#This Row],[CUSTOMER CODE]],"-",scheduleapr[[#This Row],[MATERIAL NO]])</f>
        <v>129695|187884|188415|189239|189240-1268694</v>
      </c>
      <c r="H422" s="2" t="s">
        <v>1423</v>
      </c>
      <c r="I422" s="2" t="s">
        <v>962</v>
      </c>
      <c r="J422" s="2"/>
      <c r="K422" s="2" t="s">
        <v>963</v>
      </c>
      <c r="L422" s="2" t="s">
        <v>239</v>
      </c>
      <c r="M422" s="2"/>
      <c r="N422" s="2"/>
      <c r="O422" s="2"/>
      <c r="P422" s="2"/>
      <c r="Q422" s="557" t="str">
        <f>CONCATENATE(scheduleapr[[#This Row],[OD]],"-",scheduleapr[[#This Row],[ID]],"-",scheduleapr[[#This Row],[TICKNESS]],"-",scheduleapr[[#This Row],[Grade]],"-",scheduleapr[[#This Row],[FC/NFC]])</f>
        <v>19.05-0-2.3-ERW 1-PE</v>
      </c>
      <c r="R422" s="557" t="str">
        <f>_xlfn.CONCAT(scheduleapr[[#This Row],[Bucket]],"-",scheduleapr[[#This Row],[LENGTH]]/1000)</f>
        <v>19.05-0-2.3-ERW 1-PE-1</v>
      </c>
      <c r="S422" s="557" t="e" vm="2">
        <f>COUNTIF([2]!buckets[CTL Bucket],[2]!scheduleapr[[#This Row],[CTL Bucket]])</f>
        <v>#REF!</v>
      </c>
      <c r="T422" s="2" t="s">
        <v>1816</v>
      </c>
      <c r="U422" s="2"/>
      <c r="V422" s="557"/>
      <c r="W422" s="557"/>
      <c r="X422" s="1">
        <v>19.05</v>
      </c>
      <c r="Y422" s="1">
        <v>19.05</v>
      </c>
      <c r="Z422" s="1">
        <v>0</v>
      </c>
      <c r="AA422" s="1">
        <v>2.2999999999999998</v>
      </c>
      <c r="AB422" s="24">
        <v>1000</v>
      </c>
      <c r="AC422" s="24" t="s">
        <v>444</v>
      </c>
      <c r="AD422" s="24"/>
      <c r="AE422" s="24"/>
      <c r="AF422" s="2"/>
      <c r="AG422" s="2"/>
      <c r="AH422" s="2" cm="1">
        <f t="array" ref="AH4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2" s="4">
        <f>scheduleapr[[#This Row],[SCHEDULE in nos]]-scheduleapr[[#This Row],[DISPATCH]]</f>
        <v>0</v>
      </c>
      <c r="AJ422" s="1">
        <f>(3.14*(scheduleapr[[#This Row],[ACTUAL OD]]-scheduleapr[[#This Row],[TICKNESS]])*scheduleapr[[#This Row],[TICKNESS]]*scheduleapr[[#This Row],[LENGTH]]*7.85)/1000000*scheduleapr[[#This Row],[SCHEDULE in nos]]/1000</f>
        <v>0</v>
      </c>
      <c r="AK422" s="1">
        <f>(3.14*(scheduleapr[[#This Row],[ACTUAL OD]]-scheduleapr[[#This Row],[TICKNESS]])*scheduleapr[[#This Row],[TICKNESS]]*scheduleapr[[#This Row],[LENGTH]]*7.85)/1000000*scheduleapr[[#This Row],[DISPATCH]]/1000</f>
        <v>0</v>
      </c>
      <c r="AL422" s="1">
        <f t="shared" si="15"/>
        <v>0</v>
      </c>
      <c r="AM422" s="1" t="e">
        <f>scheduleapr[[#This Row],[SCHEDULE in nos]]/scheduleapr[[#This Row],[SCHEDULE IN MT]]*scheduleapr[[#This Row],[CTL Stock]]</f>
        <v>#DIV/0!</v>
      </c>
      <c r="AN422" s="1">
        <f>SUMIFS(stock[MT],stock[Bucket],scheduleapr[[#This Row],[Bucket]],stock[CTL Bucket],scheduleapr[[#This Row],[CTL Bucket]],stock[Plant],"0789")</f>
        <v>10.963000000000001</v>
      </c>
      <c r="AO422" s="1"/>
      <c r="AP422" s="1">
        <f>SUMIFS(stock[MT],stock[Bucket],scheduleapr[[#This Row],[Bucket]],stock[LL or CTL],"LL")</f>
        <v>73.955845999999994</v>
      </c>
      <c r="AQ422" s="1">
        <f>+SUMIFS(wip[Stock(Net Wt)],wip[Bucket],scheduleapr[[#This Row],[Bucket]])/1000</f>
        <v>6.0149999999999997</v>
      </c>
      <c r="AR422" s="1">
        <f t="shared" si="14"/>
        <v>-10.963000000000001</v>
      </c>
      <c r="AS422" s="118"/>
    </row>
    <row r="423" spans="1:45" x14ac:dyDescent="0.25">
      <c r="A423" s="30">
        <v>312</v>
      </c>
      <c r="B423" s="5" t="s">
        <v>1816</v>
      </c>
      <c r="C423" s="2" t="s">
        <v>291</v>
      </c>
      <c r="D423" s="2" t="s">
        <v>2002</v>
      </c>
      <c r="E423" s="2" t="s">
        <v>292</v>
      </c>
      <c r="F423" s="2">
        <v>2332783</v>
      </c>
      <c r="G423" s="2" t="str">
        <f>_xlfn.CONCAT(scheduleapr[[#This Row],[CUSTOMER CODE]],"-",scheduleapr[[#This Row],[MATERIAL NO]])</f>
        <v>129695|187884|188415|189239|189240-2332783</v>
      </c>
      <c r="H423" s="2" t="s">
        <v>2024</v>
      </c>
      <c r="I423" s="2" t="s">
        <v>962</v>
      </c>
      <c r="J423" s="2"/>
      <c r="K423" s="2"/>
      <c r="L423" s="2" t="s">
        <v>239</v>
      </c>
      <c r="M423" s="2"/>
      <c r="N423" s="2"/>
      <c r="O423" s="2"/>
      <c r="P423" s="2"/>
      <c r="Q423" s="557" t="str">
        <f>CONCATENATE(scheduleapr[[#This Row],[OD]],"-",scheduleapr[[#This Row],[ID]],"-",scheduleapr[[#This Row],[TICKNESS]],"-",scheduleapr[[#This Row],[Grade]],"-",scheduleapr[[#This Row],[FC/NFC]])</f>
        <v>19.05-0-2.34-ERW 1-</v>
      </c>
      <c r="R423" s="557" t="str">
        <f>_xlfn.CONCAT(scheduleapr[[#This Row],[Bucket]],"-",scheduleapr[[#This Row],[LENGTH]]/1000)</f>
        <v>19.05-0-2.34-ERW 1--0.55</v>
      </c>
      <c r="S423" s="557" t="e" vm="2">
        <f>COUNTIF([2]!buckets[CTL Bucket],[2]!scheduleapr[[#This Row],[CTL Bucket]])</f>
        <v>#REF!</v>
      </c>
      <c r="T423" s="557"/>
      <c r="U423" s="557"/>
      <c r="V423" s="557"/>
      <c r="W423" s="557"/>
      <c r="X423" s="1">
        <v>19.05</v>
      </c>
      <c r="Y423" s="1">
        <v>19.05</v>
      </c>
      <c r="Z423" s="1">
        <v>0</v>
      </c>
      <c r="AA423" s="1">
        <v>2.34</v>
      </c>
      <c r="AB423" s="24">
        <v>550</v>
      </c>
      <c r="AC423" s="24"/>
      <c r="AD423" s="24"/>
      <c r="AE423" s="24"/>
      <c r="AF423" s="2"/>
      <c r="AG423" s="2"/>
      <c r="AH423" s="2" t="e" cm="1">
        <f t="array" ref="AH4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23" s="4" t="e">
        <f>scheduleapr[[#This Row],[SCHEDULE in nos]]-scheduleapr[[#This Row],[DISPATCH]]</f>
        <v>#N/A</v>
      </c>
      <c r="AJ423" s="1">
        <f>(3.14*(scheduleapr[[#This Row],[ACTUAL OD]]-scheduleapr[[#This Row],[TICKNESS]])*scheduleapr[[#This Row],[TICKNESS]]*scheduleapr[[#This Row],[LENGTH]]*7.85)/1000000*scheduleapr[[#This Row],[SCHEDULE in nos]]/1000</f>
        <v>0</v>
      </c>
      <c r="AK423" s="1" t="e">
        <f>(3.14*(scheduleapr[[#This Row],[ACTUAL OD]]-scheduleapr[[#This Row],[TICKNESS]])*scheduleapr[[#This Row],[TICKNESS]]*scheduleapr[[#This Row],[LENGTH]]*7.85)/1000000*scheduleapr[[#This Row],[DISPATCH]]/1000</f>
        <v>#N/A</v>
      </c>
      <c r="AL423" s="1" t="e">
        <f t="shared" si="15"/>
        <v>#N/A</v>
      </c>
      <c r="AM423" s="1" t="e">
        <f>scheduleapr[[#This Row],[SCHEDULE in nos]]/scheduleapr[[#This Row],[SCHEDULE IN MT]]*scheduleapr[[#This Row],[CTL Stock]]</f>
        <v>#DIV/0!</v>
      </c>
      <c r="AN423" s="1">
        <f>SUMIFS(stock[MT],stock[Bucket],scheduleapr[[#This Row],[Bucket]],stock[CTL Bucket],scheduleapr[[#This Row],[CTL Bucket]],stock[Plant],"0789")</f>
        <v>0</v>
      </c>
      <c r="AO423" s="1"/>
      <c r="AP423" s="1">
        <f>SUMIFS(stock[MT],stock[Bucket],scheduleapr[[#This Row],[Bucket]],stock[LL or CTL],"LL")</f>
        <v>0</v>
      </c>
      <c r="AQ423" s="1">
        <f>+SUMIFS(wip[Stock(Net Wt)],wip[Bucket],scheduleapr[[#This Row],[Bucket]])/1000</f>
        <v>0</v>
      </c>
      <c r="AR423" s="1">
        <f t="shared" si="14"/>
        <v>0</v>
      </c>
      <c r="AS423" s="118"/>
    </row>
    <row r="424" spans="1:45" x14ac:dyDescent="0.25">
      <c r="A424" s="30">
        <v>395</v>
      </c>
      <c r="B424" s="5" t="s">
        <v>1816</v>
      </c>
      <c r="C424" s="2" t="s">
        <v>297</v>
      </c>
      <c r="D424" s="2" t="s">
        <v>2002</v>
      </c>
      <c r="E424" s="2" t="s">
        <v>292</v>
      </c>
      <c r="F424" s="127">
        <v>4083986</v>
      </c>
      <c r="G424" s="2" t="str">
        <f>_xlfn.CONCAT(scheduleapr[[#This Row],[CUSTOMER CODE]],"-",scheduleapr[[#This Row],[MATERIAL NO]])</f>
        <v>129695|187884|188415|189239|189240-4083986</v>
      </c>
      <c r="H424" s="2" t="s">
        <v>2025</v>
      </c>
      <c r="I424" s="2" t="s">
        <v>962</v>
      </c>
      <c r="J424" s="2"/>
      <c r="K424" s="2" t="s">
        <v>963</v>
      </c>
      <c r="L424" s="2" t="s">
        <v>1867</v>
      </c>
      <c r="M424" s="2"/>
      <c r="N424" s="2"/>
      <c r="O424" s="2"/>
      <c r="P424" s="2"/>
      <c r="Q424" s="557" t="str">
        <f>CONCATENATE(scheduleapr[[#This Row],[OD]],"-",scheduleapr[[#This Row],[ID]],"-",scheduleapr[[#This Row],[TICKNESS]],"-",scheduleapr[[#This Row],[Grade]],"-",scheduleapr[[#This Row],[FC/NFC]])</f>
        <v>22.23-0-1.2-ERW 1-PE</v>
      </c>
      <c r="R424" s="557" t="str">
        <f>_xlfn.CONCAT(scheduleapr[[#This Row],[Bucket]],"-",scheduleapr[[#This Row],[LENGTH]]/1000)</f>
        <v>22.23-0-1.2-ERW 1-PE-0.297</v>
      </c>
      <c r="S424" s="557">
        <f>COUNTIF(scheduleapr[CTL Bucket],scheduleapr[[#This Row],[CTL Bucket]])</f>
        <v>1</v>
      </c>
      <c r="T424" s="2" t="s">
        <v>1816</v>
      </c>
      <c r="U424" s="2">
        <f>_xlfn.IFNA(VLOOKUP(scheduleapr[[#This Row],[Bucket]],salesforecast[[#All],[Bucket2]:[8406 Stock]],19,0),0)</f>
        <v>0</v>
      </c>
      <c r="V424" s="562">
        <f>_xlfn.IFNA(VLOOKUP(scheduleapr[[#This Row],[Bucket]],salesforecast[[#All],[Bucket2]:[8406 Stock]],20,0),0)+_xlfn.IFNA(VLOOKUP(scheduleapr[[#This Row],[Bucket]],salesforecast[[#All],[Bucket2]:[8406 Stock]],17,0),0)</f>
        <v>0.24293999999999999</v>
      </c>
      <c r="W424" s="557"/>
      <c r="X424" s="1">
        <v>22.23</v>
      </c>
      <c r="Y424" s="1">
        <v>22.23</v>
      </c>
      <c r="Z424" s="1">
        <v>0</v>
      </c>
      <c r="AA424" s="1">
        <v>1.2</v>
      </c>
      <c r="AB424" s="24">
        <v>297</v>
      </c>
      <c r="AC424" s="24" t="s">
        <v>397</v>
      </c>
      <c r="AD424" s="24"/>
      <c r="AE424" s="24"/>
      <c r="AF424" s="2">
        <v>8000</v>
      </c>
      <c r="AG424" s="2"/>
      <c r="AH424" s="2" cm="1">
        <f t="array" ref="AH4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4" s="4">
        <f>scheduleapr[[#This Row],[SCHEDULE in nos]]-scheduleapr[[#This Row],[DISPATCH]]</f>
        <v>8000</v>
      </c>
      <c r="AJ424" s="1">
        <f>(3.14*(scheduleapr[[#This Row],[ACTUAL OD]]-scheduleapr[[#This Row],[TICKNESS]])*scheduleapr[[#This Row],[TICKNESS]]*scheduleapr[[#This Row],[LENGTH]]*7.85)/1000000*scheduleapr[[#This Row],[SCHEDULE in nos]]/1000</f>
        <v>1.4779721816640001</v>
      </c>
      <c r="AK424" s="1">
        <f>(3.14*(scheduleapr[[#This Row],[ACTUAL OD]]-scheduleapr[[#This Row],[TICKNESS]])*scheduleapr[[#This Row],[TICKNESS]]*scheduleapr[[#This Row],[LENGTH]]*7.85)/1000000*scheduleapr[[#This Row],[DISPATCH]]/1000</f>
        <v>0</v>
      </c>
      <c r="AL424" s="1">
        <f t="shared" si="15"/>
        <v>1.4779721816640001</v>
      </c>
      <c r="AM424" s="1">
        <f>scheduleapr[[#This Row],[SCHEDULE in nos]]/scheduleapr[[#This Row],[SCHEDULE IN MT]]*scheduleapr[[#This Row],[CTL Stock]]</f>
        <v>0</v>
      </c>
      <c r="AN424" s="1">
        <f>SUMIFS(stock[MT],stock[Bucket],scheduleapr[[#This Row],[Bucket]],stock[CTL Bucket],scheduleapr[[#This Row],[CTL Bucket]],stock[Plant],"0789")</f>
        <v>0</v>
      </c>
      <c r="AO424" s="1"/>
      <c r="AP424" s="1">
        <f>SUMIFS(stock[MT],stock[Bucket],scheduleapr[[#This Row],[Bucket]],stock[LL or CTL],"LL")</f>
        <v>8.5000000000000006E-2</v>
      </c>
      <c r="AQ424" s="1">
        <f>+SUMIFS(wip[Stock(Net Wt)],wip[Bucket],scheduleapr[[#This Row],[Bucket]])/1000</f>
        <v>3.1040000000000001</v>
      </c>
      <c r="AR424" s="1">
        <f t="shared" si="14"/>
        <v>1.4779721816640001</v>
      </c>
      <c r="AS424" s="118"/>
    </row>
    <row r="425" spans="1:45" x14ac:dyDescent="0.25">
      <c r="A425" s="30">
        <v>315</v>
      </c>
      <c r="B425" s="5" t="s">
        <v>1816</v>
      </c>
      <c r="C425" s="2" t="s">
        <v>296</v>
      </c>
      <c r="D425" s="2" t="s">
        <v>2002</v>
      </c>
      <c r="E425" s="2" t="s">
        <v>292</v>
      </c>
      <c r="F425" s="2">
        <v>1940360</v>
      </c>
      <c r="G425" s="2" t="str">
        <f>_xlfn.CONCAT(scheduleapr[[#This Row],[CUSTOMER CODE]],"-",scheduleapr[[#This Row],[MATERIAL NO]])</f>
        <v>129695|187884|188415|189239|189240-1940360</v>
      </c>
      <c r="H425" s="2" t="s">
        <v>2026</v>
      </c>
      <c r="I425" s="2" t="s">
        <v>962</v>
      </c>
      <c r="J425" s="2"/>
      <c r="K425" s="2" t="s">
        <v>963</v>
      </c>
      <c r="L425" s="2" t="s">
        <v>239</v>
      </c>
      <c r="M425" s="2"/>
      <c r="N425" s="2"/>
      <c r="O425" s="2"/>
      <c r="P425" s="2"/>
      <c r="Q425" s="557" t="str">
        <f>CONCATENATE(scheduleapr[[#This Row],[OD]],"-",scheduleapr[[#This Row],[ID]],"-",scheduleapr[[#This Row],[TICKNESS]],"-",scheduleapr[[#This Row],[Grade]],"-",scheduleapr[[#This Row],[FC/NFC]])</f>
        <v>22.23-0-1.2-ERW 1-PE</v>
      </c>
      <c r="R425" s="557" t="str">
        <f>_xlfn.CONCAT(scheduleapr[[#This Row],[Bucket]],"-",scheduleapr[[#This Row],[LENGTH]]/1000)</f>
        <v>22.23-0-1.2-ERW 1-PE-0.6</v>
      </c>
      <c r="S425" s="557">
        <f>COUNTIF(scheduleapr[CTL Bucket],scheduleapr[[#This Row],[CTL Bucket]])</f>
        <v>1</v>
      </c>
      <c r="T425" s="557"/>
      <c r="U425" s="557"/>
      <c r="V425" s="557"/>
      <c r="W425" s="557"/>
      <c r="X425" s="1">
        <v>22.23</v>
      </c>
      <c r="Y425" s="1">
        <v>22.23</v>
      </c>
      <c r="Z425" s="1">
        <v>0</v>
      </c>
      <c r="AA425" s="1">
        <v>1.2</v>
      </c>
      <c r="AB425" s="24">
        <v>600</v>
      </c>
      <c r="AC425" s="24" t="s">
        <v>397</v>
      </c>
      <c r="AD425" s="24"/>
      <c r="AE425" s="24"/>
      <c r="AF425" s="2"/>
      <c r="AG425" s="2"/>
      <c r="AH425" s="2" cm="1">
        <f t="array" ref="AH4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5" s="4">
        <f>scheduleapr[[#This Row],[SCHEDULE in nos]]-scheduleapr[[#This Row],[DISPATCH]]</f>
        <v>0</v>
      </c>
      <c r="AJ425" s="1">
        <f>(3.14*(scheduleapr[[#This Row],[ACTUAL OD]]-scheduleapr[[#This Row],[TICKNESS]])*scheduleapr[[#This Row],[TICKNESS]]*scheduleapr[[#This Row],[LENGTH]]*7.85)/1000000*scheduleapr[[#This Row],[SCHEDULE in nos]]/1000</f>
        <v>0</v>
      </c>
      <c r="AK425" s="1">
        <f>(3.14*(scheduleapr[[#This Row],[ACTUAL OD]]-scheduleapr[[#This Row],[TICKNESS]])*scheduleapr[[#This Row],[TICKNESS]]*scheduleapr[[#This Row],[LENGTH]]*7.85)/1000000*scheduleapr[[#This Row],[DISPATCH]]/1000</f>
        <v>0</v>
      </c>
      <c r="AL425" s="1">
        <f t="shared" si="15"/>
        <v>0</v>
      </c>
      <c r="AM425" s="1" t="e">
        <f>scheduleapr[[#This Row],[SCHEDULE in nos]]/scheduleapr[[#This Row],[SCHEDULE IN MT]]*scheduleapr[[#This Row],[CTL Stock]]</f>
        <v>#DIV/0!</v>
      </c>
      <c r="AN425" s="1">
        <f>SUMIFS(stock[MT],stock[Bucket],scheduleapr[[#This Row],[Bucket]],stock[CTL Bucket],scheduleapr[[#This Row],[CTL Bucket]],stock[Plant],"0789")</f>
        <v>0</v>
      </c>
      <c r="AO425" s="1"/>
      <c r="AP425" s="1">
        <f>SUMIFS(stock[MT],stock[Bucket],scheduleapr[[#This Row],[Bucket]],stock[LL or CTL],"LL")</f>
        <v>8.5000000000000006E-2</v>
      </c>
      <c r="AQ425" s="1">
        <f>+SUMIFS(wip[Stock(Net Wt)],wip[Bucket],scheduleapr[[#This Row],[Bucket]])/1000</f>
        <v>3.1040000000000001</v>
      </c>
      <c r="AR425" s="1">
        <f t="shared" si="14"/>
        <v>0</v>
      </c>
      <c r="AS425" s="118"/>
    </row>
    <row r="426" spans="1:45" x14ac:dyDescent="0.25">
      <c r="A426" s="30">
        <v>398</v>
      </c>
      <c r="B426" s="5" t="s">
        <v>1816</v>
      </c>
      <c r="C426" s="2" t="s">
        <v>297</v>
      </c>
      <c r="D426" s="2" t="s">
        <v>2002</v>
      </c>
      <c r="E426" s="2" t="s">
        <v>292</v>
      </c>
      <c r="F426" s="2">
        <v>3507568</v>
      </c>
      <c r="G426" s="2" t="str">
        <f>_xlfn.CONCAT(scheduleapr[[#This Row],[CUSTOMER CODE]],"-",scheduleapr[[#This Row],[MATERIAL NO]])</f>
        <v>129695|187884|188415|189239|189240-3507568</v>
      </c>
      <c r="H426" s="2" t="s">
        <v>2027</v>
      </c>
      <c r="I426" s="2" t="s">
        <v>962</v>
      </c>
      <c r="J426" s="2"/>
      <c r="K426" s="2" t="s">
        <v>963</v>
      </c>
      <c r="L426" s="2" t="s">
        <v>1867</v>
      </c>
      <c r="M426" s="2"/>
      <c r="N426" s="2"/>
      <c r="O426" s="2"/>
      <c r="P426" s="2"/>
      <c r="Q426" s="557" t="str">
        <f>CONCATENATE(scheduleapr[[#This Row],[OD]],"-",scheduleapr[[#This Row],[ID]],"-",scheduleapr[[#This Row],[TICKNESS]],"-",scheduleapr[[#This Row],[Grade]],"-",scheduleapr[[#This Row],[FC/NFC]])</f>
        <v>22.23-0-1.2-ERW 1-PE</v>
      </c>
      <c r="R426" s="557" t="str">
        <f>_xlfn.CONCAT(scheduleapr[[#This Row],[Bucket]],"-",scheduleapr[[#This Row],[LENGTH]]/1000)</f>
        <v>22.23-0-1.2-ERW 1-PE-0.681</v>
      </c>
      <c r="S426" s="557">
        <f>COUNTIF(scheduleapr[CTL Bucket],scheduleapr[[#This Row],[CTL Bucket]])</f>
        <v>1</v>
      </c>
      <c r="T426" s="2" t="s">
        <v>1816</v>
      </c>
      <c r="U426" s="2">
        <f>_xlfn.IFNA(VLOOKUP(scheduleapr[[#This Row],[Bucket]],salesforecast[[#All],[Bucket2]:[8406 Stock]],19,0),0)</f>
        <v>0</v>
      </c>
      <c r="V426" s="562">
        <f>_xlfn.IFNA(VLOOKUP(scheduleapr[[#This Row],[Bucket]],salesforecast[[#All],[Bucket2]:[8406 Stock]],20,0),0)+_xlfn.IFNA(VLOOKUP(scheduleapr[[#This Row],[Bucket]],salesforecast[[#All],[Bucket2]:[8406 Stock]],17,0),0)</f>
        <v>0.24293999999999999</v>
      </c>
      <c r="W426" s="557"/>
      <c r="X426" s="1">
        <v>22.23</v>
      </c>
      <c r="Y426" s="1">
        <v>22.23</v>
      </c>
      <c r="Z426" s="1">
        <v>0</v>
      </c>
      <c r="AA426" s="1">
        <v>1.2</v>
      </c>
      <c r="AB426" s="24">
        <v>681</v>
      </c>
      <c r="AC426" s="24" t="s">
        <v>397</v>
      </c>
      <c r="AD426" s="24"/>
      <c r="AE426" s="24"/>
      <c r="AF426" s="2">
        <v>5000</v>
      </c>
      <c r="AG426" s="2"/>
      <c r="AH426" s="2" cm="1">
        <f t="array" ref="AH4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6" s="4">
        <f>scheduleapr[[#This Row],[SCHEDULE in nos]]-scheduleapr[[#This Row],[DISPATCH]]</f>
        <v>5000</v>
      </c>
      <c r="AJ426" s="1">
        <f>(3.14*(scheduleapr[[#This Row],[ACTUAL OD]]-scheduleapr[[#This Row],[TICKNESS]])*scheduleapr[[#This Row],[TICKNESS]]*scheduleapr[[#This Row],[LENGTH]]*7.85)/1000000*scheduleapr[[#This Row],[SCHEDULE in nos]]/1000</f>
        <v>2.1180535684200006</v>
      </c>
      <c r="AK426" s="1">
        <f>(3.14*(scheduleapr[[#This Row],[ACTUAL OD]]-scheduleapr[[#This Row],[TICKNESS]])*scheduleapr[[#This Row],[TICKNESS]]*scheduleapr[[#This Row],[LENGTH]]*7.85)/1000000*scheduleapr[[#This Row],[DISPATCH]]/1000</f>
        <v>0</v>
      </c>
      <c r="AL426" s="1">
        <f t="shared" si="15"/>
        <v>2.1180535684200006</v>
      </c>
      <c r="AM426" s="1">
        <f>scheduleapr[[#This Row],[SCHEDULE in nos]]/scheduleapr[[#This Row],[SCHEDULE IN MT]]*scheduleapr[[#This Row],[CTL Stock]]</f>
        <v>470.23362149568715</v>
      </c>
      <c r="AN426" s="1">
        <f>SUMIFS(stock[MT],stock[Bucket],scheduleapr[[#This Row],[Bucket]],stock[CTL Bucket],scheduleapr[[#This Row],[CTL Bucket]],stock[Plant],"0789")</f>
        <v>0.19919600000000001</v>
      </c>
      <c r="AO426" s="1"/>
      <c r="AP426" s="1">
        <f>SUMIFS(stock[MT],stock[Bucket],scheduleapr[[#This Row],[Bucket]],stock[LL or CTL],"LL")</f>
        <v>8.5000000000000006E-2</v>
      </c>
      <c r="AQ426" s="1">
        <f>+SUMIFS(wip[Stock(Net Wt)],wip[Bucket],scheduleapr[[#This Row],[Bucket]])/1000</f>
        <v>3.1040000000000001</v>
      </c>
      <c r="AR426" s="1">
        <f t="shared" si="14"/>
        <v>1.9188575684200007</v>
      </c>
      <c r="AS426" s="118"/>
    </row>
    <row r="427" spans="1:45" x14ac:dyDescent="0.25">
      <c r="A427" s="30">
        <v>316</v>
      </c>
      <c r="B427" s="5" t="s">
        <v>1816</v>
      </c>
      <c r="C427" s="2" t="s">
        <v>291</v>
      </c>
      <c r="D427" s="2" t="s">
        <v>2002</v>
      </c>
      <c r="E427" s="2" t="s">
        <v>292</v>
      </c>
      <c r="F427" s="2">
        <v>3747395</v>
      </c>
      <c r="G427" s="2" t="str">
        <f>_xlfn.CONCAT(scheduleapr[[#This Row],[CUSTOMER CODE]],"-",scheduleapr[[#This Row],[MATERIAL NO]])</f>
        <v>129695|187884|188415|189239|189240-3747395</v>
      </c>
      <c r="H427" s="2" t="s">
        <v>2028</v>
      </c>
      <c r="I427" s="2" t="s">
        <v>962</v>
      </c>
      <c r="J427" s="2"/>
      <c r="K427" s="2"/>
      <c r="L427" s="2" t="s">
        <v>239</v>
      </c>
      <c r="M427" s="2"/>
      <c r="N427" s="2"/>
      <c r="O427" s="2"/>
      <c r="P427" s="2"/>
      <c r="Q427" s="557" t="str">
        <f>CONCATENATE(scheduleapr[[#This Row],[OD]],"-",scheduleapr[[#This Row],[ID]],"-",scheduleapr[[#This Row],[TICKNESS]],"-",scheduleapr[[#This Row],[Grade]],"-",scheduleapr[[#This Row],[FC/NFC]])</f>
        <v>22.23-0-1.6-ERW 1-</v>
      </c>
      <c r="R427" s="557" t="str">
        <f>_xlfn.CONCAT(scheduleapr[[#This Row],[Bucket]],"-",scheduleapr[[#This Row],[LENGTH]]/1000)</f>
        <v>22.23-0-1.6-ERW 1--0.361</v>
      </c>
      <c r="S427" s="557" t="e" vm="2">
        <f>COUNTIF([2]!buckets[CTL Bucket],[2]!scheduleapr[[#This Row],[CTL Bucket]])</f>
        <v>#REF!</v>
      </c>
      <c r="T427" s="557"/>
      <c r="U427" s="557"/>
      <c r="V427" s="557"/>
      <c r="W427" s="557"/>
      <c r="X427" s="1">
        <v>22.23</v>
      </c>
      <c r="Y427" s="1">
        <v>22.23</v>
      </c>
      <c r="Z427" s="1">
        <v>0</v>
      </c>
      <c r="AA427" s="1">
        <v>1.6</v>
      </c>
      <c r="AB427" s="24">
        <v>361</v>
      </c>
      <c r="AC427" s="24"/>
      <c r="AD427" s="24"/>
      <c r="AE427" s="24"/>
      <c r="AF427" s="2"/>
      <c r="AG427" s="2"/>
      <c r="AH427" s="2" t="e" cm="1">
        <f t="array" ref="AH4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27" s="4" t="e">
        <f>scheduleapr[[#This Row],[SCHEDULE in nos]]-scheduleapr[[#This Row],[DISPATCH]]</f>
        <v>#N/A</v>
      </c>
      <c r="AJ427" s="1">
        <f>(3.14*(scheduleapr[[#This Row],[ACTUAL OD]]-scheduleapr[[#This Row],[TICKNESS]])*scheduleapr[[#This Row],[TICKNESS]]*scheduleapr[[#This Row],[LENGTH]]*7.85)/1000000*scheduleapr[[#This Row],[SCHEDULE in nos]]/1000</f>
        <v>0</v>
      </c>
      <c r="AK427" s="1" t="e">
        <f>(3.14*(scheduleapr[[#This Row],[ACTUAL OD]]-scheduleapr[[#This Row],[TICKNESS]])*scheduleapr[[#This Row],[TICKNESS]]*scheduleapr[[#This Row],[LENGTH]]*7.85)/1000000*scheduleapr[[#This Row],[DISPATCH]]/1000</f>
        <v>#N/A</v>
      </c>
      <c r="AL427" s="1" t="e">
        <f t="shared" si="15"/>
        <v>#N/A</v>
      </c>
      <c r="AM427" s="1" t="e">
        <f>scheduleapr[[#This Row],[SCHEDULE in nos]]/scheduleapr[[#This Row],[SCHEDULE IN MT]]*scheduleapr[[#This Row],[CTL Stock]]</f>
        <v>#DIV/0!</v>
      </c>
      <c r="AN427" s="1">
        <f>SUMIFS(stock[MT],stock[Bucket],scheduleapr[[#This Row],[Bucket]],stock[CTL Bucket],scheduleapr[[#This Row],[CTL Bucket]],stock[Plant],"0789")</f>
        <v>0</v>
      </c>
      <c r="AO427" s="1"/>
      <c r="AP427" s="1">
        <f>SUMIFS(stock[MT],stock[Bucket],scheduleapr[[#This Row],[Bucket]],stock[LL or CTL],"LL")</f>
        <v>0</v>
      </c>
      <c r="AQ427" s="1">
        <f>+SUMIFS(wip[Stock(Net Wt)],wip[Bucket],scheduleapr[[#This Row],[Bucket]])/1000</f>
        <v>0</v>
      </c>
      <c r="AR427" s="1">
        <f t="shared" si="14"/>
        <v>0</v>
      </c>
      <c r="AS427" s="118"/>
    </row>
    <row r="428" spans="1:45" x14ac:dyDescent="0.25">
      <c r="A428" s="30">
        <v>400</v>
      </c>
      <c r="B428" s="5" t="s">
        <v>1816</v>
      </c>
      <c r="C428" s="2" t="s">
        <v>296</v>
      </c>
      <c r="D428" s="2" t="s">
        <v>2002</v>
      </c>
      <c r="E428" s="2" t="s">
        <v>292</v>
      </c>
      <c r="F428" s="2">
        <v>1940399</v>
      </c>
      <c r="G428" s="2" t="str">
        <f>_xlfn.CONCAT(scheduleapr[[#This Row],[CUSTOMER CODE]],"-",scheduleapr[[#This Row],[MATERIAL NO]])</f>
        <v>129695|187884|188415|189239|189240-1940399</v>
      </c>
      <c r="H428" s="2" t="s">
        <v>598</v>
      </c>
      <c r="I428" s="2" t="s">
        <v>962</v>
      </c>
      <c r="J428" s="2"/>
      <c r="K428" s="2" t="s">
        <v>963</v>
      </c>
      <c r="L428" s="2" t="s">
        <v>1867</v>
      </c>
      <c r="M428" s="2" t="s">
        <v>1881</v>
      </c>
      <c r="N428" s="2"/>
      <c r="O428" s="2"/>
      <c r="P428" s="2"/>
      <c r="Q428" s="557" t="str">
        <f>CONCATENATE(scheduleapr[[#This Row],[OD]],"-",scheduleapr[[#This Row],[ID]],"-",scheduleapr[[#This Row],[TICKNESS]],"-",scheduleapr[[#This Row],[Grade]],"-",scheduleapr[[#This Row],[FC/NFC]])</f>
        <v>22.23-0-1.6-ERW 1-PE</v>
      </c>
      <c r="R428" s="557" t="str">
        <f>_xlfn.CONCAT(scheduleapr[[#This Row],[Bucket]],"-",scheduleapr[[#This Row],[LENGTH]]/1000)</f>
        <v>22.23-0-1.6-ERW 1-PE-0.401</v>
      </c>
      <c r="S428" s="557">
        <f>COUNTIF(scheduleapr[CTL Bucket],scheduleapr[[#This Row],[CTL Bucket]])</f>
        <v>1</v>
      </c>
      <c r="T428" s="2" t="s">
        <v>1816</v>
      </c>
      <c r="U428" s="2">
        <f>_xlfn.IFNA(VLOOKUP(scheduleapr[[#This Row],[Bucket]],salesforecast[[#All],[Bucket2]:[8406 Stock]],19,0),0)</f>
        <v>5.9161999999999937E-2</v>
      </c>
      <c r="V428" s="562">
        <f>_xlfn.IFNA(VLOOKUP(scheduleapr[[#This Row],[Bucket]],salesforecast[[#All],[Bucket2]:[8406 Stock]],20,0),0)+_xlfn.IFNA(VLOOKUP(scheduleapr[[#This Row],[Bucket]],salesforecast[[#All],[Bucket2]:[8406 Stock]],17,0),0)</f>
        <v>0</v>
      </c>
      <c r="W428" s="557"/>
      <c r="X428" s="1">
        <v>22.23</v>
      </c>
      <c r="Y428" s="1">
        <v>22.23</v>
      </c>
      <c r="Z428" s="1">
        <v>0</v>
      </c>
      <c r="AA428" s="1">
        <v>1.6</v>
      </c>
      <c r="AB428" s="24">
        <v>401</v>
      </c>
      <c r="AC428" s="24" t="s">
        <v>397</v>
      </c>
      <c r="AD428" s="24"/>
      <c r="AE428" s="24"/>
      <c r="AF428" s="2">
        <v>6000</v>
      </c>
      <c r="AG428" s="2"/>
      <c r="AH428" s="2" cm="1">
        <f t="array" ref="AH4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8300</v>
      </c>
      <c r="AI428" s="4">
        <f>scheduleapr[[#This Row],[SCHEDULE in nos]]-scheduleapr[[#This Row],[DISPATCH]]</f>
        <v>-2300</v>
      </c>
      <c r="AJ428" s="1">
        <f>(3.14*(scheduleapr[[#This Row],[ACTUAL OD]]-scheduleapr[[#This Row],[TICKNESS]])*scheduleapr[[#This Row],[TICKNESS]]*scheduleapr[[#This Row],[LENGTH]]*7.85)/1000000*scheduleapr[[#This Row],[SCHEDULE in nos]]/1000</f>
        <v>1.9575557459520001</v>
      </c>
      <c r="AK428" s="1">
        <f>(3.14*(scheduleapr[[#This Row],[ACTUAL OD]]-scheduleapr[[#This Row],[TICKNESS]])*scheduleapr[[#This Row],[TICKNESS]]*scheduleapr[[#This Row],[LENGTH]]*7.85)/1000000*scheduleapr[[#This Row],[DISPATCH]]/1000</f>
        <v>2.7079521152336001</v>
      </c>
      <c r="AL428" s="1">
        <f t="shared" si="15"/>
        <v>-0.75039636928160003</v>
      </c>
      <c r="AM428" s="1">
        <f>scheduleapr[[#This Row],[SCHEDULE in nos]]/scheduleapr[[#This Row],[SCHEDULE IN MT]]*scheduleapr[[#This Row],[CTL Stock]]</f>
        <v>73.757286503114656</v>
      </c>
      <c r="AN428" s="1">
        <f>SUMIFS(stock[MT],stock[Bucket],scheduleapr[[#This Row],[Bucket]],stock[CTL Bucket],scheduleapr[[#This Row],[CTL Bucket]],stock[Plant],"0789")</f>
        <v>2.4063999999999999E-2</v>
      </c>
      <c r="AO428" s="1"/>
      <c r="AP428" s="1">
        <f>SUMIFS(stock[MT],stock[Bucket],scheduleapr[[#This Row],[Bucket]],stock[LL or CTL],"LL")</f>
        <v>62.742162000000008</v>
      </c>
      <c r="AQ428" s="1">
        <f>+SUMIFS(wip[Stock(Net Wt)],wip[Bucket],scheduleapr[[#This Row],[Bucket]])/1000</f>
        <v>0</v>
      </c>
      <c r="AR428" s="1">
        <f t="shared" si="14"/>
        <v>1.933491745952</v>
      </c>
      <c r="AS428" s="118"/>
    </row>
    <row r="429" spans="1:45" x14ac:dyDescent="0.25">
      <c r="A429" s="30">
        <v>402</v>
      </c>
      <c r="B429" s="5" t="s">
        <v>1816</v>
      </c>
      <c r="C429" s="2" t="s">
        <v>296</v>
      </c>
      <c r="D429" s="2" t="s">
        <v>2002</v>
      </c>
      <c r="E429" s="2" t="s">
        <v>292</v>
      </c>
      <c r="F429" s="2">
        <v>3556680</v>
      </c>
      <c r="G429" s="2" t="str">
        <f>_xlfn.CONCAT(scheduleapr[[#This Row],[CUSTOMER CODE]],"-",scheduleapr[[#This Row],[MATERIAL NO]])</f>
        <v>129695|187884|188415|189239|189240-3556680</v>
      </c>
      <c r="H429" s="2" t="s">
        <v>2029</v>
      </c>
      <c r="I429" s="2" t="s">
        <v>962</v>
      </c>
      <c r="J429" s="2"/>
      <c r="K429" s="2" t="s">
        <v>963</v>
      </c>
      <c r="L429" s="2" t="s">
        <v>1867</v>
      </c>
      <c r="M429" s="44" t="s">
        <v>1891</v>
      </c>
      <c r="N429" s="2"/>
      <c r="O429" s="2"/>
      <c r="P429" s="2"/>
      <c r="Q429" s="557" t="str">
        <f>CONCATENATE(scheduleapr[[#This Row],[OD]],"-",scheduleapr[[#This Row],[ID]],"-",scheduleapr[[#This Row],[TICKNESS]],"-",scheduleapr[[#This Row],[Grade]],"-",scheduleapr[[#This Row],[FC/NFC]])</f>
        <v>22.23-0-1.6-ERW 1-PE</v>
      </c>
      <c r="R429" s="557" t="str">
        <f>_xlfn.CONCAT(scheduleapr[[#This Row],[Bucket]],"-",scheduleapr[[#This Row],[LENGTH]]/1000)</f>
        <v>22.23-0-1.6-ERW 1-PE-0.64</v>
      </c>
      <c r="S429" s="557">
        <f>COUNTIF(scheduleapr[CTL Bucket],scheduleapr[[#This Row],[CTL Bucket]])</f>
        <v>1</v>
      </c>
      <c r="T429" s="2" t="s">
        <v>1816</v>
      </c>
      <c r="U429" s="2">
        <f>_xlfn.IFNA(VLOOKUP(scheduleapr[[#This Row],[Bucket]],salesforecast[[#All],[Bucket2]:[8406 Stock]],19,0),0)</f>
        <v>5.9161999999999937E-2</v>
      </c>
      <c r="V429" s="562">
        <f>_xlfn.IFNA(VLOOKUP(scheduleapr[[#This Row],[Bucket]],salesforecast[[#All],[Bucket2]:[8406 Stock]],20,0),0)+_xlfn.IFNA(VLOOKUP(scheduleapr[[#This Row],[Bucket]],salesforecast[[#All],[Bucket2]:[8406 Stock]],17,0),0)</f>
        <v>0</v>
      </c>
      <c r="W429" s="557"/>
      <c r="X429" s="1">
        <v>22.23</v>
      </c>
      <c r="Y429" s="1">
        <v>22.23</v>
      </c>
      <c r="Z429" s="1">
        <v>0</v>
      </c>
      <c r="AA429" s="1">
        <v>1.6</v>
      </c>
      <c r="AB429" s="24">
        <v>640</v>
      </c>
      <c r="AC429" s="24" t="s">
        <v>397</v>
      </c>
      <c r="AD429" s="24"/>
      <c r="AE429" s="24"/>
      <c r="AF429" s="2">
        <v>12000</v>
      </c>
      <c r="AG429" s="2"/>
      <c r="AH429" s="2" cm="1">
        <f t="array" ref="AH4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3025</v>
      </c>
      <c r="AI429" s="4">
        <f>scheduleapr[[#This Row],[SCHEDULE in nos]]-scheduleapr[[#This Row],[DISPATCH]]</f>
        <v>8975</v>
      </c>
      <c r="AJ429" s="1">
        <f>(3.14*(scheduleapr[[#This Row],[ACTUAL OD]]-scheduleapr[[#This Row],[TICKNESS]])*scheduleapr[[#This Row],[TICKNESS]]*scheduleapr[[#This Row],[LENGTH]]*7.85)/1000000*scheduleapr[[#This Row],[SCHEDULE in nos]]/1000</f>
        <v>6.2485569945599995</v>
      </c>
      <c r="AK429" s="1">
        <f>(3.14*(scheduleapr[[#This Row],[ACTUAL OD]]-scheduleapr[[#This Row],[TICKNESS]])*scheduleapr[[#This Row],[TICKNESS]]*scheduleapr[[#This Row],[LENGTH]]*7.85)/1000000*scheduleapr[[#This Row],[DISPATCH]]/1000</f>
        <v>1.5751570757119999</v>
      </c>
      <c r="AL429" s="1">
        <f t="shared" si="15"/>
        <v>4.6733999188479993</v>
      </c>
      <c r="AM429" s="1">
        <f>scheduleapr[[#This Row],[SCHEDULE in nos]]/scheduleapr[[#This Row],[SCHEDULE IN MT]]*scheduleapr[[#This Row],[CTL Stock]]</f>
        <v>17.072741769479855</v>
      </c>
      <c r="AN429" s="1">
        <f>SUMIFS(stock[MT],stock[Bucket],scheduleapr[[#This Row],[Bucket]],stock[CTL Bucket],scheduleapr[[#This Row],[CTL Bucket]],stock[Plant],"0789")</f>
        <v>8.8900000000000003E-3</v>
      </c>
      <c r="AO429" s="1"/>
      <c r="AP429" s="1">
        <f>SUMIFS(stock[MT],stock[Bucket],scheduleapr[[#This Row],[Bucket]],stock[LL or CTL],"LL")</f>
        <v>62.742162000000008</v>
      </c>
      <c r="AQ429" s="1">
        <f>+SUMIFS(wip[Stock(Net Wt)],wip[Bucket],scheduleapr[[#This Row],[Bucket]])/1000</f>
        <v>0</v>
      </c>
      <c r="AR429" s="1">
        <f t="shared" si="14"/>
        <v>6.2396669945599994</v>
      </c>
      <c r="AS429" s="118"/>
    </row>
    <row r="430" spans="1:45" x14ac:dyDescent="0.25">
      <c r="A430" s="30">
        <v>405</v>
      </c>
      <c r="B430" s="5" t="s">
        <v>1816</v>
      </c>
      <c r="C430" s="2" t="s">
        <v>298</v>
      </c>
      <c r="D430" s="2" t="s">
        <v>2002</v>
      </c>
      <c r="E430" s="2" t="s">
        <v>292</v>
      </c>
      <c r="F430" s="2">
        <v>1940420</v>
      </c>
      <c r="G430" s="2" t="str">
        <f>_xlfn.CONCAT(scheduleapr[[#This Row],[CUSTOMER CODE]],"-",scheduleapr[[#This Row],[MATERIAL NO]])</f>
        <v>129695|187884|188415|189239|189240-1940420</v>
      </c>
      <c r="H430" s="2" t="s">
        <v>1519</v>
      </c>
      <c r="I430" s="2" t="s">
        <v>962</v>
      </c>
      <c r="J430" s="2"/>
      <c r="K430" s="2" t="s">
        <v>963</v>
      </c>
      <c r="L430" s="2" t="s">
        <v>1867</v>
      </c>
      <c r="M430" s="44" t="s">
        <v>1891</v>
      </c>
      <c r="N430" s="2"/>
      <c r="O430" s="2"/>
      <c r="P430" s="2"/>
      <c r="Q430" s="557" t="str">
        <f>CONCATENATE(scheduleapr[[#This Row],[OD]],"-",scheduleapr[[#This Row],[ID]],"-",scheduleapr[[#This Row],[TICKNESS]],"-",scheduleapr[[#This Row],[Grade]],"-",scheduleapr[[#This Row],[FC/NFC]])</f>
        <v>22.23-0-1.6-ERW 1-PE</v>
      </c>
      <c r="R430" s="557" t="str">
        <f>_xlfn.CONCAT(scheduleapr[[#This Row],[Bucket]],"-",scheduleapr[[#This Row],[LENGTH]]/1000)</f>
        <v>22.23-0-1.6-ERW 1-PE-1.175</v>
      </c>
      <c r="S430" s="557">
        <f>COUNTIF(scheduleapr[CTL Bucket],scheduleapr[[#This Row],[CTL Bucket]])</f>
        <v>1</v>
      </c>
      <c r="T430" s="2" t="s">
        <v>1816</v>
      </c>
      <c r="U430" s="2">
        <f>_xlfn.IFNA(VLOOKUP(scheduleapr[[#This Row],[Bucket]],salesforecast[[#All],[Bucket2]:[8406 Stock]],19,0),0)</f>
        <v>5.9161999999999937E-2</v>
      </c>
      <c r="V430" s="562">
        <f>_xlfn.IFNA(VLOOKUP(scheduleapr[[#This Row],[Bucket]],salesforecast[[#All],[Bucket2]:[8406 Stock]],20,0),0)+_xlfn.IFNA(VLOOKUP(scheduleapr[[#This Row],[Bucket]],salesforecast[[#All],[Bucket2]:[8406 Stock]],17,0),0)</f>
        <v>0</v>
      </c>
      <c r="W430" s="557"/>
      <c r="X430" s="1">
        <v>22.23</v>
      </c>
      <c r="Y430" s="1">
        <v>22.23</v>
      </c>
      <c r="Z430" s="1">
        <v>0</v>
      </c>
      <c r="AA430" s="1">
        <v>1.6</v>
      </c>
      <c r="AB430" s="24">
        <v>1175</v>
      </c>
      <c r="AC430" s="24" t="s">
        <v>397</v>
      </c>
      <c r="AD430" s="24"/>
      <c r="AE430" s="24"/>
      <c r="AF430" s="2">
        <v>15000</v>
      </c>
      <c r="AG430" s="2"/>
      <c r="AH430" s="2" cm="1">
        <f t="array" ref="AH4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2077</v>
      </c>
      <c r="AI430" s="4">
        <f>scheduleapr[[#This Row],[SCHEDULE in nos]]-scheduleapr[[#This Row],[DISPATCH]]</f>
        <v>12923</v>
      </c>
      <c r="AJ430" s="1">
        <f>(3.14*(scheduleapr[[#This Row],[ACTUAL OD]]-scheduleapr[[#This Row],[TICKNESS]])*scheduleapr[[#This Row],[TICKNESS]]*scheduleapr[[#This Row],[LENGTH]]*7.85)/1000000*scheduleapr[[#This Row],[SCHEDULE in nos]]/1000</f>
        <v>14.339950134</v>
      </c>
      <c r="AK430" s="1">
        <f>(3.14*(scheduleapr[[#This Row],[ACTUAL OD]]-scheduleapr[[#This Row],[TICKNESS]])*scheduleapr[[#This Row],[TICKNESS]]*scheduleapr[[#This Row],[LENGTH]]*7.85)/1000000*scheduleapr[[#This Row],[DISPATCH]]/1000</f>
        <v>1.9856050952211999</v>
      </c>
      <c r="AL430" s="1">
        <f t="shared" si="15"/>
        <v>12.354345038778801</v>
      </c>
      <c r="AM430" s="1">
        <f>scheduleapr[[#This Row],[SCHEDULE in nos]]/scheduleapr[[#This Row],[SCHEDULE IN MT]]*scheduleapr[[#This Row],[CTL Stock]]</f>
        <v>64.018005043363971</v>
      </c>
      <c r="AN430" s="1">
        <f>SUMIFS(stock[MT],stock[Bucket],scheduleapr[[#This Row],[Bucket]],stock[CTL Bucket],scheduleapr[[#This Row],[CTL Bucket]],stock[Plant],"0789")</f>
        <v>6.1200999999999998E-2</v>
      </c>
      <c r="AO430" s="1"/>
      <c r="AP430" s="1">
        <f>SUMIFS(stock[MT],stock[Bucket],scheduleapr[[#This Row],[Bucket]],stock[LL or CTL],"LL")</f>
        <v>62.742162000000008</v>
      </c>
      <c r="AQ430" s="1">
        <f>+SUMIFS(wip[Stock(Net Wt)],wip[Bucket],scheduleapr[[#This Row],[Bucket]])/1000</f>
        <v>0</v>
      </c>
      <c r="AR430" s="1">
        <f t="shared" si="14"/>
        <v>14.278749134</v>
      </c>
      <c r="AS430" s="118"/>
    </row>
    <row r="431" spans="1:45" x14ac:dyDescent="0.25">
      <c r="A431" s="30">
        <v>406</v>
      </c>
      <c r="B431" s="5" t="s">
        <v>1816</v>
      </c>
      <c r="C431" s="2" t="s">
        <v>296</v>
      </c>
      <c r="D431" s="2" t="s">
        <v>2002</v>
      </c>
      <c r="E431" s="2" t="s">
        <v>292</v>
      </c>
      <c r="F431" s="2">
        <v>3509824</v>
      </c>
      <c r="G431" s="2" t="str">
        <f>_xlfn.CONCAT(scheduleapr[[#This Row],[CUSTOMER CODE]],"-",scheduleapr[[#This Row],[MATERIAL NO]])</f>
        <v>129695|187884|188415|189239|189240-3509824</v>
      </c>
      <c r="H431" s="2" t="s">
        <v>2030</v>
      </c>
      <c r="I431" s="2" t="s">
        <v>962</v>
      </c>
      <c r="J431" s="2"/>
      <c r="K431" s="2" t="s">
        <v>963</v>
      </c>
      <c r="L431" s="2" t="s">
        <v>1867</v>
      </c>
      <c r="M431" s="44" t="s">
        <v>1914</v>
      </c>
      <c r="N431" s="2"/>
      <c r="O431" s="2"/>
      <c r="P431" s="2"/>
      <c r="Q431" s="557" t="str">
        <f>CONCATENATE(scheduleapr[[#This Row],[OD]],"-",scheduleapr[[#This Row],[ID]],"-",scheduleapr[[#This Row],[TICKNESS]],"-",scheduleapr[[#This Row],[Grade]],"-",scheduleapr[[#This Row],[FC/NFC]])</f>
        <v>22.23-0-1.6-ERW 1-PE</v>
      </c>
      <c r="R431" s="557" t="str">
        <f>_xlfn.CONCAT(scheduleapr[[#This Row],[Bucket]],"-",scheduleapr[[#This Row],[LENGTH]]/1000)</f>
        <v>22.23-0-1.6-ERW 1-PE-1.21</v>
      </c>
      <c r="S431" s="557">
        <f>COUNTIF(scheduleapr[CTL Bucket],scheduleapr[[#This Row],[CTL Bucket]])</f>
        <v>1</v>
      </c>
      <c r="T431" s="2" t="s">
        <v>1816</v>
      </c>
      <c r="U431" s="2">
        <f>_xlfn.IFNA(VLOOKUP(scheduleapr[[#This Row],[Bucket]],salesforecast[[#All],[Bucket2]:[8406 Stock]],19,0),0)</f>
        <v>5.9161999999999937E-2</v>
      </c>
      <c r="V431" s="562">
        <f>_xlfn.IFNA(VLOOKUP(scheduleapr[[#This Row],[Bucket]],salesforecast[[#All],[Bucket2]:[8406 Stock]],20,0),0)+_xlfn.IFNA(VLOOKUP(scheduleapr[[#This Row],[Bucket]],salesforecast[[#All],[Bucket2]:[8406 Stock]],17,0),0)</f>
        <v>0</v>
      </c>
      <c r="W431" s="557"/>
      <c r="X431" s="1">
        <v>22.23</v>
      </c>
      <c r="Y431" s="1">
        <v>22.23</v>
      </c>
      <c r="Z431" s="1">
        <v>0</v>
      </c>
      <c r="AA431" s="1">
        <v>1.6</v>
      </c>
      <c r="AB431" s="24">
        <v>1210</v>
      </c>
      <c r="AC431" s="24" t="s">
        <v>397</v>
      </c>
      <c r="AD431" s="24"/>
      <c r="AE431" s="24"/>
      <c r="AF431" s="2">
        <v>6000</v>
      </c>
      <c r="AG431" s="2"/>
      <c r="AH431" s="2" cm="1">
        <f t="array" ref="AH4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1" s="4">
        <f>scheduleapr[[#This Row],[SCHEDULE in nos]]-scheduleapr[[#This Row],[DISPATCH]]</f>
        <v>6000</v>
      </c>
      <c r="AJ431" s="1">
        <f>(3.14*(scheduleapr[[#This Row],[ACTUAL OD]]-scheduleapr[[#This Row],[TICKNESS]])*scheduleapr[[#This Row],[TICKNESS]]*scheduleapr[[#This Row],[LENGTH]]*7.85)/1000000*scheduleapr[[#This Row],[SCHEDULE in nos]]/1000</f>
        <v>5.9068390339199999</v>
      </c>
      <c r="AK431" s="1">
        <f>(3.14*(scheduleapr[[#This Row],[ACTUAL OD]]-scheduleapr[[#This Row],[TICKNESS]])*scheduleapr[[#This Row],[TICKNESS]]*scheduleapr[[#This Row],[LENGTH]]*7.85)/1000000*scheduleapr[[#This Row],[DISPATCH]]/1000</f>
        <v>0</v>
      </c>
      <c r="AL431" s="1">
        <f t="shared" si="15"/>
        <v>5.9068390339199999</v>
      </c>
      <c r="AM431" s="1">
        <f>scheduleapr[[#This Row],[SCHEDULE in nos]]/scheduleapr[[#This Row],[SCHEDULE IN MT]]*scheduleapr[[#This Row],[CTL Stock]]</f>
        <v>3.9046264622338738</v>
      </c>
      <c r="AN431" s="1">
        <f>SUMIFS(stock[MT],stock[Bucket],scheduleapr[[#This Row],[Bucket]],stock[CTL Bucket],scheduleapr[[#This Row],[CTL Bucket]],stock[Plant],"0789")</f>
        <v>3.8440000000000002E-3</v>
      </c>
      <c r="AO431" s="1"/>
      <c r="AP431" s="1">
        <f>SUMIFS(stock[MT],stock[Bucket],scheduleapr[[#This Row],[Bucket]],stock[LL or CTL],"LL")</f>
        <v>62.742162000000008</v>
      </c>
      <c r="AQ431" s="1">
        <f>+SUMIFS(wip[Stock(Net Wt)],wip[Bucket],scheduleapr[[#This Row],[Bucket]])/1000</f>
        <v>0</v>
      </c>
      <c r="AR431" s="1">
        <f t="shared" si="14"/>
        <v>5.9029950339199999</v>
      </c>
      <c r="AS431" s="118"/>
    </row>
    <row r="432" spans="1:45" x14ac:dyDescent="0.25">
      <c r="A432" s="30">
        <v>408</v>
      </c>
      <c r="B432" s="5" t="s">
        <v>1816</v>
      </c>
      <c r="C432" s="2" t="s">
        <v>296</v>
      </c>
      <c r="D432" s="2" t="s">
        <v>2002</v>
      </c>
      <c r="E432" s="2" t="s">
        <v>292</v>
      </c>
      <c r="F432" s="2">
        <v>1940430</v>
      </c>
      <c r="G432" s="2" t="str">
        <f>_xlfn.CONCAT(scheduleapr[[#This Row],[CUSTOMER CODE]],"-",scheduleapr[[#This Row],[MATERIAL NO]])</f>
        <v>129695|187884|188415|189239|189240-1940430</v>
      </c>
      <c r="H432" s="2" t="s">
        <v>762</v>
      </c>
      <c r="I432" s="2" t="s">
        <v>962</v>
      </c>
      <c r="J432" s="2"/>
      <c r="K432" s="2" t="s">
        <v>963</v>
      </c>
      <c r="L432" s="2" t="s">
        <v>239</v>
      </c>
      <c r="M432" s="2"/>
      <c r="N432" s="2"/>
      <c r="O432" s="2"/>
      <c r="P432" s="2"/>
      <c r="Q432" s="557" t="str">
        <f>CONCATENATE(scheduleapr[[#This Row],[OD]],"-",scheduleapr[[#This Row],[ID]],"-",scheduleapr[[#This Row],[TICKNESS]],"-",scheduleapr[[#This Row],[Grade]],"-",scheduleapr[[#This Row],[FC/NFC]])</f>
        <v>22.23-0-2-ERW 1-PE</v>
      </c>
      <c r="R432" s="557" t="str">
        <f>_xlfn.CONCAT(scheduleapr[[#This Row],[Bucket]],"-",scheduleapr[[#This Row],[LENGTH]]/1000)</f>
        <v>22.23-0-2-ERW 1-PE-0.22</v>
      </c>
      <c r="S432" s="557">
        <f>COUNTIF(scheduleapr[CTL Bucket],scheduleapr[[#This Row],[CTL Bucket]])</f>
        <v>2</v>
      </c>
      <c r="T432" s="2" t="s">
        <v>1816</v>
      </c>
      <c r="U432" s="2">
        <f>_xlfn.IFNA(VLOOKUP(scheduleapr[[#This Row],[Bucket]],salesforecast[[#All],[Bucket2]:[8406 Stock]],19,0),0)</f>
        <v>5.5039059999999997</v>
      </c>
      <c r="V432" s="562">
        <f>_xlfn.IFNA(VLOOKUP(scheduleapr[[#This Row],[Bucket]],salesforecast[[#All],[Bucket2]:[8406 Stock]],20,0),0)+_xlfn.IFNA(VLOOKUP(scheduleapr[[#This Row],[Bucket]],salesforecast[[#All],[Bucket2]:[8406 Stock]],17,0),0)</f>
        <v>1.0470000000000002</v>
      </c>
      <c r="W432" s="557"/>
      <c r="X432" s="1">
        <v>22.23</v>
      </c>
      <c r="Y432" s="1">
        <v>22.23</v>
      </c>
      <c r="Z432" s="1">
        <v>0</v>
      </c>
      <c r="AA432" s="1">
        <v>2</v>
      </c>
      <c r="AB432" s="24">
        <v>220</v>
      </c>
      <c r="AC432" s="24" t="s">
        <v>397</v>
      </c>
      <c r="AD432" s="24"/>
      <c r="AE432" s="24"/>
      <c r="AF432" s="2">
        <v>10000</v>
      </c>
      <c r="AG432" s="2"/>
      <c r="AH432" s="2" cm="1">
        <f t="array" ref="AH4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2" s="4">
        <f>scheduleapr[[#This Row],[SCHEDULE in nos]]-scheduleapr[[#This Row],[DISPATCH]]</f>
        <v>10000</v>
      </c>
      <c r="AJ432" s="1">
        <f>(3.14*(scheduleapr[[#This Row],[ACTUAL OD]]-scheduleapr[[#This Row],[TICKNESS]])*scheduleapr[[#This Row],[TICKNESS]]*scheduleapr[[#This Row],[LENGTH]]*7.85)/1000000*scheduleapr[[#This Row],[SCHEDULE in nos]]/1000</f>
        <v>2.1940567880000001</v>
      </c>
      <c r="AK432" s="1">
        <f>(3.14*(scheduleapr[[#This Row],[ACTUAL OD]]-scheduleapr[[#This Row],[TICKNESS]])*scheduleapr[[#This Row],[TICKNESS]]*scheduleapr[[#This Row],[LENGTH]]*7.85)/1000000*scheduleapr[[#This Row],[DISPATCH]]/1000</f>
        <v>0</v>
      </c>
      <c r="AL432" s="1">
        <f t="shared" si="15"/>
        <v>2.1940567880000001</v>
      </c>
      <c r="AM432" s="1">
        <f>scheduleapr[[#This Row],[SCHEDULE in nos]]/scheduleapr[[#This Row],[SCHEDULE IN MT]]*scheduleapr[[#This Row],[CTL Stock]]</f>
        <v>75.244178228626595</v>
      </c>
      <c r="AN432" s="1">
        <f>SUMIFS(stock[MT],stock[Bucket],scheduleapr[[#This Row],[Bucket]],stock[CTL Bucket],scheduleapr[[#This Row],[CTL Bucket]],stock[Plant],"0789")</f>
        <v>1.6508999999999999E-2</v>
      </c>
      <c r="AO432" s="1"/>
      <c r="AP432" s="1">
        <f>SUMIFS(stock[MT],stock[Bucket],scheduleapr[[#This Row],[Bucket]],stock[LL or CTL],"LL")</f>
        <v>11.690147</v>
      </c>
      <c r="AQ432" s="1">
        <f>+SUMIFS(wip[Stock(Net Wt)],wip[Bucket],scheduleapr[[#This Row],[Bucket]])/1000</f>
        <v>1.629</v>
      </c>
      <c r="AR432" s="1">
        <f t="shared" si="14"/>
        <v>2.177547788</v>
      </c>
      <c r="AS432" s="118"/>
    </row>
    <row r="433" spans="1:45" x14ac:dyDescent="0.25">
      <c r="A433" s="30">
        <v>409</v>
      </c>
      <c r="B433" s="5" t="s">
        <v>1816</v>
      </c>
      <c r="C433" s="2" t="s">
        <v>298</v>
      </c>
      <c r="D433" s="2" t="s">
        <v>2002</v>
      </c>
      <c r="E433" s="2" t="s">
        <v>292</v>
      </c>
      <c r="F433" s="2">
        <v>1905990</v>
      </c>
      <c r="G433" s="2" t="str">
        <f>_xlfn.CONCAT(scheduleapr[[#This Row],[CUSTOMER CODE]],"-",scheduleapr[[#This Row],[MATERIAL NO]])</f>
        <v>129695|187884|188415|189239|189240-1905990</v>
      </c>
      <c r="H433" s="2" t="s">
        <v>2031</v>
      </c>
      <c r="I433" s="2" t="s">
        <v>962</v>
      </c>
      <c r="J433" s="2"/>
      <c r="K433" s="2" t="s">
        <v>963</v>
      </c>
      <c r="L433" s="2" t="s">
        <v>239</v>
      </c>
      <c r="M433" s="2"/>
      <c r="N433" s="2"/>
      <c r="O433" s="2"/>
      <c r="P433" s="2"/>
      <c r="Q433" s="557" t="str">
        <f>CONCATENATE(scheduleapr[[#This Row],[OD]],"-",scheduleapr[[#This Row],[ID]],"-",scheduleapr[[#This Row],[TICKNESS]],"-",scheduleapr[[#This Row],[Grade]],"-",scheduleapr[[#This Row],[FC/NFC]])</f>
        <v>22.23-0-2-ERW 1-PE</v>
      </c>
      <c r="R433" s="557" t="str">
        <f>_xlfn.CONCAT(scheduleapr[[#This Row],[Bucket]],"-",scheduleapr[[#This Row],[LENGTH]]/1000)</f>
        <v>22.23-0-2-ERW 1-PE-0.236</v>
      </c>
      <c r="S433" s="557" t="e" vm="2">
        <f>COUNTIF([2]!buckets[CTL Bucket],[2]!scheduleapr[[#This Row],[CTL Bucket]])</f>
        <v>#REF!</v>
      </c>
      <c r="T433" s="2" t="s">
        <v>1816</v>
      </c>
      <c r="U433" s="2">
        <f>_xlfn.IFNA(VLOOKUP(scheduleapr[[#This Row],[Bucket]],salesforecast[[#All],[Bucket2]:[8406 Stock]],19,0),0)</f>
        <v>5.5039059999999997</v>
      </c>
      <c r="V433" s="562">
        <f>_xlfn.IFNA(VLOOKUP(scheduleapr[[#This Row],[Bucket]],salesforecast[[#All],[Bucket2]:[8406 Stock]],20,0),0)+_xlfn.IFNA(VLOOKUP(scheduleapr[[#This Row],[Bucket]],salesforecast[[#All],[Bucket2]:[8406 Stock]],17,0),0)</f>
        <v>1.0470000000000002</v>
      </c>
      <c r="W433" s="557"/>
      <c r="X433" s="1">
        <v>22.23</v>
      </c>
      <c r="Y433" s="1">
        <v>22.23</v>
      </c>
      <c r="Z433" s="1">
        <v>0</v>
      </c>
      <c r="AA433" s="1">
        <v>2</v>
      </c>
      <c r="AB433" s="24">
        <v>236</v>
      </c>
      <c r="AC433" s="24" t="s">
        <v>397</v>
      </c>
      <c r="AD433" s="24"/>
      <c r="AE433" s="24"/>
      <c r="AF433" s="2">
        <v>8000</v>
      </c>
      <c r="AG433" s="2"/>
      <c r="AH433" s="2" cm="1">
        <f t="array" ref="AH4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3" s="4">
        <f>scheduleapr[[#This Row],[SCHEDULE in nos]]-scheduleapr[[#This Row],[DISPATCH]]</f>
        <v>8000</v>
      </c>
      <c r="AJ433" s="1">
        <f>(3.14*(scheduleapr[[#This Row],[ACTUAL OD]]-scheduleapr[[#This Row],[TICKNESS]])*scheduleapr[[#This Row],[TICKNESS]]*scheduleapr[[#This Row],[LENGTH]]*7.85)/1000000*scheduleapr[[#This Row],[SCHEDULE in nos]]/1000</f>
        <v>1.8828996435200001</v>
      </c>
      <c r="AK433" s="1">
        <f>(3.14*(scheduleapr[[#This Row],[ACTUAL OD]]-scheduleapr[[#This Row],[TICKNESS]])*scheduleapr[[#This Row],[TICKNESS]]*scheduleapr[[#This Row],[LENGTH]]*7.85)/1000000*scheduleapr[[#This Row],[DISPATCH]]/1000</f>
        <v>0</v>
      </c>
      <c r="AL433" s="1">
        <f t="shared" si="15"/>
        <v>1.8828996435200001</v>
      </c>
      <c r="AM433" s="1">
        <f>scheduleapr[[#This Row],[SCHEDULE in nos]]/scheduleapr[[#This Row],[SCHEDULE IN MT]]*scheduleapr[[#This Row],[CTL Stock]]</f>
        <v>0</v>
      </c>
      <c r="AN433" s="1">
        <f>SUMIFS(stock[MT],stock[Bucket],scheduleapr[[#This Row],[Bucket]],stock[CTL Bucket],scheduleapr[[#This Row],[CTL Bucket]],stock[Plant],"0789")</f>
        <v>0</v>
      </c>
      <c r="AO433" s="1"/>
      <c r="AP433" s="1">
        <f>SUMIFS(stock[MT],stock[Bucket],scheduleapr[[#This Row],[Bucket]],stock[LL or CTL],"LL")</f>
        <v>11.690147</v>
      </c>
      <c r="AQ433" s="1">
        <f>+SUMIFS(wip[Stock(Net Wt)],wip[Bucket],scheduleapr[[#This Row],[Bucket]])/1000</f>
        <v>1.629</v>
      </c>
      <c r="AR433" s="1">
        <f t="shared" si="14"/>
        <v>1.8828996435200001</v>
      </c>
      <c r="AS433" s="118"/>
    </row>
    <row r="434" spans="1:45" x14ac:dyDescent="0.25">
      <c r="A434" s="30">
        <v>319</v>
      </c>
      <c r="B434" s="5" t="s">
        <v>1816</v>
      </c>
      <c r="C434" s="2" t="s">
        <v>291</v>
      </c>
      <c r="D434" s="2" t="s">
        <v>2002</v>
      </c>
      <c r="E434" s="2" t="s">
        <v>292</v>
      </c>
      <c r="F434" s="2">
        <v>1174856</v>
      </c>
      <c r="G434" s="2" t="str">
        <f>_xlfn.CONCAT(scheduleapr[[#This Row],[CUSTOMER CODE]],"-",scheduleapr[[#This Row],[MATERIAL NO]])</f>
        <v>129695|187884|188415|189239|189240-1174856</v>
      </c>
      <c r="H434" s="2" t="s">
        <v>2032</v>
      </c>
      <c r="I434" s="2" t="s">
        <v>962</v>
      </c>
      <c r="J434" s="2"/>
      <c r="K434" s="2"/>
      <c r="L434" s="2" t="s">
        <v>239</v>
      </c>
      <c r="M434" s="2"/>
      <c r="N434" s="2"/>
      <c r="O434" s="2"/>
      <c r="P434" s="2"/>
      <c r="Q434" s="557" t="str">
        <f>CONCATENATE(scheduleapr[[#This Row],[OD]],"-",scheduleapr[[#This Row],[ID]],"-",scheduleapr[[#This Row],[TICKNESS]],"-",scheduleapr[[#This Row],[Grade]],"-",scheduleapr[[#This Row],[FC/NFC]])</f>
        <v>22.23-0-2-ERW 1-</v>
      </c>
      <c r="R434" s="557" t="str">
        <f>_xlfn.CONCAT(scheduleapr[[#This Row],[Bucket]],"-",scheduleapr[[#This Row],[LENGTH]]/1000)</f>
        <v>22.23-0-2-ERW 1--0.505</v>
      </c>
      <c r="S434" s="557" t="e" vm="2">
        <f>COUNTIF([2]!buckets[CTL Bucket],[2]!scheduleapr[[#This Row],[CTL Bucket]])</f>
        <v>#REF!</v>
      </c>
      <c r="T434" s="557"/>
      <c r="U434" s="557"/>
      <c r="V434" s="557"/>
      <c r="W434" s="557"/>
      <c r="X434" s="1">
        <v>22.23</v>
      </c>
      <c r="Y434" s="1">
        <v>22.23</v>
      </c>
      <c r="Z434" s="1">
        <v>0</v>
      </c>
      <c r="AA434" s="1">
        <v>2</v>
      </c>
      <c r="AB434" s="24">
        <v>505</v>
      </c>
      <c r="AC434" s="24"/>
      <c r="AD434" s="24"/>
      <c r="AE434" s="24"/>
      <c r="AF434" s="2"/>
      <c r="AG434" s="2"/>
      <c r="AH434" s="2" t="e" cm="1">
        <f t="array" ref="AH4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34" s="4" t="e">
        <f>scheduleapr[[#This Row],[SCHEDULE in nos]]-scheduleapr[[#This Row],[DISPATCH]]</f>
        <v>#N/A</v>
      </c>
      <c r="AJ434" s="1">
        <f>(3.14*(scheduleapr[[#This Row],[ACTUAL OD]]-scheduleapr[[#This Row],[TICKNESS]])*scheduleapr[[#This Row],[TICKNESS]]*scheduleapr[[#This Row],[LENGTH]]*7.85)/1000000*scheduleapr[[#This Row],[SCHEDULE in nos]]/1000</f>
        <v>0</v>
      </c>
      <c r="AK434" s="1" t="e">
        <f>(3.14*(scheduleapr[[#This Row],[ACTUAL OD]]-scheduleapr[[#This Row],[TICKNESS]])*scheduleapr[[#This Row],[TICKNESS]]*scheduleapr[[#This Row],[LENGTH]]*7.85)/1000000*scheduleapr[[#This Row],[DISPATCH]]/1000</f>
        <v>#N/A</v>
      </c>
      <c r="AL434" s="1" t="e">
        <f t="shared" si="15"/>
        <v>#N/A</v>
      </c>
      <c r="AM434" s="1" t="e">
        <f>scheduleapr[[#This Row],[SCHEDULE in nos]]/scheduleapr[[#This Row],[SCHEDULE IN MT]]*scheduleapr[[#This Row],[CTL Stock]]</f>
        <v>#DIV/0!</v>
      </c>
      <c r="AN434" s="1">
        <f>SUMIFS(stock[MT],stock[Bucket],scheduleapr[[#This Row],[Bucket]],stock[CTL Bucket],scheduleapr[[#This Row],[CTL Bucket]],stock[Plant],"0789")</f>
        <v>0</v>
      </c>
      <c r="AO434" s="1"/>
      <c r="AP434" s="1">
        <f>SUMIFS(stock[MT],stock[Bucket],scheduleapr[[#This Row],[Bucket]],stock[LL or CTL],"LL")</f>
        <v>0</v>
      </c>
      <c r="AQ434" s="1">
        <f>+SUMIFS(wip[Stock(Net Wt)],wip[Bucket],scheduleapr[[#This Row],[Bucket]])/1000</f>
        <v>0</v>
      </c>
      <c r="AR434" s="1">
        <f t="shared" si="14"/>
        <v>0</v>
      </c>
      <c r="AS434" s="118"/>
    </row>
    <row r="435" spans="1:45" x14ac:dyDescent="0.25">
      <c r="A435" s="30">
        <v>320</v>
      </c>
      <c r="B435" s="5" t="s">
        <v>1816</v>
      </c>
      <c r="C435" s="2" t="s">
        <v>291</v>
      </c>
      <c r="D435" s="2" t="s">
        <v>2002</v>
      </c>
      <c r="E435" s="2" t="s">
        <v>292</v>
      </c>
      <c r="F435" s="2">
        <v>1140411</v>
      </c>
      <c r="G435" s="2" t="str">
        <f>_xlfn.CONCAT(scheduleapr[[#This Row],[CUSTOMER CODE]],"-",scheduleapr[[#This Row],[MATERIAL NO]])</f>
        <v>129695|187884|188415|189239|189240-1140411</v>
      </c>
      <c r="H435" s="2" t="s">
        <v>2033</v>
      </c>
      <c r="I435" s="2" t="s">
        <v>962</v>
      </c>
      <c r="J435" s="2"/>
      <c r="K435" s="2"/>
      <c r="L435" s="2" t="s">
        <v>239</v>
      </c>
      <c r="M435" s="2"/>
      <c r="N435" s="2"/>
      <c r="O435" s="2"/>
      <c r="P435" s="2"/>
      <c r="Q435" s="557" t="str">
        <f>CONCATENATE(scheduleapr[[#This Row],[OD]],"-",scheduleapr[[#This Row],[ID]],"-",scheduleapr[[#This Row],[TICKNESS]],"-",scheduleapr[[#This Row],[Grade]],"-",scheduleapr[[#This Row],[FC/NFC]])</f>
        <v>22.23-0-2-ERW 1-</v>
      </c>
      <c r="R435" s="557" t="str">
        <f>_xlfn.CONCAT(scheduleapr[[#This Row],[Bucket]],"-",scheduleapr[[#This Row],[LENGTH]]/1000)</f>
        <v>22.23-0-2-ERW 1--0.851</v>
      </c>
      <c r="S435" s="557" t="e" vm="2">
        <f>COUNTIF([2]!buckets[CTL Bucket],[2]!scheduleapr[[#This Row],[CTL Bucket]])</f>
        <v>#REF!</v>
      </c>
      <c r="T435" s="557"/>
      <c r="U435" s="557"/>
      <c r="V435" s="557"/>
      <c r="W435" s="557"/>
      <c r="X435" s="1">
        <v>22.23</v>
      </c>
      <c r="Y435" s="1">
        <v>22.23</v>
      </c>
      <c r="Z435" s="1">
        <v>0</v>
      </c>
      <c r="AA435" s="1">
        <v>2</v>
      </c>
      <c r="AB435" s="24">
        <v>851</v>
      </c>
      <c r="AC435" s="24"/>
      <c r="AD435" s="24"/>
      <c r="AE435" s="24"/>
      <c r="AF435" s="2"/>
      <c r="AG435" s="2"/>
      <c r="AH435" s="2" t="e" cm="1">
        <f t="array" ref="AH4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35" s="4" t="e">
        <f>scheduleapr[[#This Row],[SCHEDULE in nos]]-scheduleapr[[#This Row],[DISPATCH]]</f>
        <v>#N/A</v>
      </c>
      <c r="AJ435" s="1">
        <f>(3.14*(scheduleapr[[#This Row],[ACTUAL OD]]-scheduleapr[[#This Row],[TICKNESS]])*scheduleapr[[#This Row],[TICKNESS]]*scheduleapr[[#This Row],[LENGTH]]*7.85)/1000000*scheduleapr[[#This Row],[SCHEDULE in nos]]/1000</f>
        <v>0</v>
      </c>
      <c r="AK435" s="1" t="e">
        <f>(3.14*(scheduleapr[[#This Row],[ACTUAL OD]]-scheduleapr[[#This Row],[TICKNESS]])*scheduleapr[[#This Row],[TICKNESS]]*scheduleapr[[#This Row],[LENGTH]]*7.85)/1000000*scheduleapr[[#This Row],[DISPATCH]]/1000</f>
        <v>#N/A</v>
      </c>
      <c r="AL435" s="1" t="e">
        <f t="shared" si="15"/>
        <v>#N/A</v>
      </c>
      <c r="AM435" s="1" t="e">
        <f>scheduleapr[[#This Row],[SCHEDULE in nos]]/scheduleapr[[#This Row],[SCHEDULE IN MT]]*scheduleapr[[#This Row],[CTL Stock]]</f>
        <v>#DIV/0!</v>
      </c>
      <c r="AN435" s="1">
        <f>SUMIFS(stock[MT],stock[Bucket],scheduleapr[[#This Row],[Bucket]],stock[CTL Bucket],scheduleapr[[#This Row],[CTL Bucket]],stock[Plant],"0789")</f>
        <v>0</v>
      </c>
      <c r="AO435" s="1"/>
      <c r="AP435" s="1">
        <f>SUMIFS(stock[MT],stock[Bucket],scheduleapr[[#This Row],[Bucket]],stock[LL or CTL],"LL")</f>
        <v>0</v>
      </c>
      <c r="AQ435" s="1">
        <f>+SUMIFS(wip[Stock(Net Wt)],wip[Bucket],scheduleapr[[#This Row],[Bucket]])/1000</f>
        <v>0</v>
      </c>
      <c r="AR435" s="1">
        <f t="shared" si="14"/>
        <v>0</v>
      </c>
      <c r="AS435" s="118"/>
    </row>
    <row r="436" spans="1:45" x14ac:dyDescent="0.25">
      <c r="A436" s="30">
        <v>321</v>
      </c>
      <c r="B436" s="5" t="s">
        <v>1816</v>
      </c>
      <c r="C436" s="2" t="s">
        <v>291</v>
      </c>
      <c r="D436" s="2" t="s">
        <v>2002</v>
      </c>
      <c r="E436" s="2" t="s">
        <v>292</v>
      </c>
      <c r="F436" s="2">
        <v>1361680</v>
      </c>
      <c r="G436" s="2" t="str">
        <f>_xlfn.CONCAT(scheduleapr[[#This Row],[CUSTOMER CODE]],"-",scheduleapr[[#This Row],[MATERIAL NO]])</f>
        <v>129695|187884|188415|189239|189240-1361680</v>
      </c>
      <c r="H436" s="2" t="s">
        <v>2034</v>
      </c>
      <c r="I436" s="2" t="s">
        <v>962</v>
      </c>
      <c r="J436" s="2"/>
      <c r="K436" s="2"/>
      <c r="L436" s="2" t="s">
        <v>239</v>
      </c>
      <c r="M436" s="2"/>
      <c r="N436" s="2"/>
      <c r="O436" s="2"/>
      <c r="P436" s="2"/>
      <c r="Q436" s="557" t="str">
        <f>CONCATENATE(scheduleapr[[#This Row],[OD]],"-",scheduleapr[[#This Row],[ID]],"-",scheduleapr[[#This Row],[TICKNESS]],"-",scheduleapr[[#This Row],[Grade]],"-",scheduleapr[[#This Row],[FC/NFC]])</f>
        <v>22.23-0-2-ERW 1-</v>
      </c>
      <c r="R436" s="557" t="str">
        <f>_xlfn.CONCAT(scheduleapr[[#This Row],[Bucket]],"-",scheduleapr[[#This Row],[LENGTH]]/1000)</f>
        <v>22.23-0-2-ERW 1--0.862</v>
      </c>
      <c r="S436" s="557" t="e" vm="2">
        <f>COUNTIF([2]!buckets[CTL Bucket],[2]!scheduleapr[[#This Row],[CTL Bucket]])</f>
        <v>#REF!</v>
      </c>
      <c r="T436" s="557"/>
      <c r="U436" s="557"/>
      <c r="V436" s="557"/>
      <c r="W436" s="557"/>
      <c r="X436" s="1">
        <v>22.23</v>
      </c>
      <c r="Y436" s="1">
        <v>22.23</v>
      </c>
      <c r="Z436" s="1">
        <v>0</v>
      </c>
      <c r="AA436" s="1">
        <v>2</v>
      </c>
      <c r="AB436" s="24">
        <v>862</v>
      </c>
      <c r="AC436" s="24"/>
      <c r="AD436" s="24"/>
      <c r="AE436" s="24"/>
      <c r="AF436" s="2"/>
      <c r="AG436" s="2"/>
      <c r="AH436" s="2" t="e" cm="1">
        <f t="array" ref="AH4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36" s="4" t="e">
        <f>scheduleapr[[#This Row],[SCHEDULE in nos]]-scheduleapr[[#This Row],[DISPATCH]]</f>
        <v>#N/A</v>
      </c>
      <c r="AJ436" s="1">
        <f>(3.14*(scheduleapr[[#This Row],[ACTUAL OD]]-scheduleapr[[#This Row],[TICKNESS]])*scheduleapr[[#This Row],[TICKNESS]]*scheduleapr[[#This Row],[LENGTH]]*7.85)/1000000*scheduleapr[[#This Row],[SCHEDULE in nos]]/1000</f>
        <v>0</v>
      </c>
      <c r="AK436" s="1" t="e">
        <f>(3.14*(scheduleapr[[#This Row],[ACTUAL OD]]-scheduleapr[[#This Row],[TICKNESS]])*scheduleapr[[#This Row],[TICKNESS]]*scheduleapr[[#This Row],[LENGTH]]*7.85)/1000000*scheduleapr[[#This Row],[DISPATCH]]/1000</f>
        <v>#N/A</v>
      </c>
      <c r="AL436" s="1" t="e">
        <f t="shared" si="15"/>
        <v>#N/A</v>
      </c>
      <c r="AM436" s="1" t="e">
        <f>scheduleapr[[#This Row],[SCHEDULE in nos]]/scheduleapr[[#This Row],[SCHEDULE IN MT]]*scheduleapr[[#This Row],[CTL Stock]]</f>
        <v>#DIV/0!</v>
      </c>
      <c r="AN436" s="1">
        <f>SUMIFS(stock[MT],stock[Bucket],scheduleapr[[#This Row],[Bucket]],stock[CTL Bucket],scheduleapr[[#This Row],[CTL Bucket]],stock[Plant],"0789")</f>
        <v>0</v>
      </c>
      <c r="AO436" s="1"/>
      <c r="AP436" s="1">
        <f>SUMIFS(stock[MT],stock[Bucket],scheduleapr[[#This Row],[Bucket]],stock[LL or CTL],"LL")</f>
        <v>0</v>
      </c>
      <c r="AQ436" s="1">
        <f>+SUMIFS(wip[Stock(Net Wt)],wip[Bucket],scheduleapr[[#This Row],[Bucket]])/1000</f>
        <v>0</v>
      </c>
      <c r="AR436" s="1">
        <f t="shared" si="14"/>
        <v>0</v>
      </c>
      <c r="AS436" s="118"/>
    </row>
    <row r="437" spans="1:45" x14ac:dyDescent="0.25">
      <c r="A437" s="30">
        <v>416</v>
      </c>
      <c r="B437" s="5" t="s">
        <v>1816</v>
      </c>
      <c r="C437" s="2" t="s">
        <v>296</v>
      </c>
      <c r="D437" s="2" t="s">
        <v>2002</v>
      </c>
      <c r="E437" s="2" t="s">
        <v>292</v>
      </c>
      <c r="F437" s="48">
        <v>2420106</v>
      </c>
      <c r="G437" s="2" t="str">
        <f>_xlfn.CONCAT(scheduleapr[[#This Row],[CUSTOMER CODE]],"-",scheduleapr[[#This Row],[MATERIAL NO]])</f>
        <v>129695|187884|188415|189239|189240-2420106</v>
      </c>
      <c r="H437" s="2" t="s">
        <v>775</v>
      </c>
      <c r="I437" s="2" t="s">
        <v>962</v>
      </c>
      <c r="J437" s="2"/>
      <c r="K437" s="2" t="s">
        <v>963</v>
      </c>
      <c r="L437" s="2" t="s">
        <v>239</v>
      </c>
      <c r="M437" s="2"/>
      <c r="N437" s="2"/>
      <c r="O437" s="2"/>
      <c r="P437" s="2"/>
      <c r="Q437" s="557" t="str">
        <f>CONCATENATE(scheduleapr[[#This Row],[OD]],"-",scheduleapr[[#This Row],[ID]],"-",scheduleapr[[#This Row],[TICKNESS]],"-",scheduleapr[[#This Row],[Grade]],"-",scheduleapr[[#This Row],[FC/NFC]])</f>
        <v>22.23-0-2-ERW 1-PE</v>
      </c>
      <c r="R437" s="557" t="str">
        <f>_xlfn.CONCAT(scheduleapr[[#This Row],[Bucket]],"-",scheduleapr[[#This Row],[LENGTH]]/1000)</f>
        <v>22.23-0-2-ERW 1-PE-1.325</v>
      </c>
      <c r="S437" s="557">
        <f>COUNTIF(scheduleapr[CTL Bucket],scheduleapr[[#This Row],[CTL Bucket]])</f>
        <v>1</v>
      </c>
      <c r="T437" s="2" t="s">
        <v>1816</v>
      </c>
      <c r="U437" s="2">
        <f>_xlfn.IFNA(VLOOKUP(scheduleapr[[#This Row],[Bucket]],salesforecast[[#All],[Bucket2]:[8406 Stock]],19,0),0)</f>
        <v>5.5039059999999997</v>
      </c>
      <c r="V437" s="562">
        <f>_xlfn.IFNA(VLOOKUP(scheduleapr[[#This Row],[Bucket]],salesforecast[[#All],[Bucket2]:[8406 Stock]],20,0),0)+_xlfn.IFNA(VLOOKUP(scheduleapr[[#This Row],[Bucket]],salesforecast[[#All],[Bucket2]:[8406 Stock]],17,0),0)</f>
        <v>1.0470000000000002</v>
      </c>
      <c r="W437" s="557"/>
      <c r="X437" s="1">
        <v>22.23</v>
      </c>
      <c r="Y437" s="1">
        <v>22.23</v>
      </c>
      <c r="Z437" s="1">
        <v>0</v>
      </c>
      <c r="AA437" s="1">
        <v>2</v>
      </c>
      <c r="AB437" s="24">
        <v>1325</v>
      </c>
      <c r="AC437" s="24" t="s">
        <v>397</v>
      </c>
      <c r="AD437" s="24"/>
      <c r="AE437" s="24"/>
      <c r="AF437" s="2">
        <v>3000</v>
      </c>
      <c r="AG437" s="2"/>
      <c r="AH437" s="2" cm="1">
        <f t="array" ref="AH4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2340</v>
      </c>
      <c r="AI437" s="4">
        <f>scheduleapr[[#This Row],[SCHEDULE in nos]]-scheduleapr[[#This Row],[DISPATCH]]</f>
        <v>660</v>
      </c>
      <c r="AJ437" s="1">
        <f>(3.14*(scheduleapr[[#This Row],[ACTUAL OD]]-scheduleapr[[#This Row],[TICKNESS]])*scheduleapr[[#This Row],[TICKNESS]]*scheduleapr[[#This Row],[LENGTH]]*7.85)/1000000*scheduleapr[[#This Row],[SCHEDULE in nos]]/1000</f>
        <v>3.9642616964999999</v>
      </c>
      <c r="AK437" s="1">
        <f>(3.14*(scheduleapr[[#This Row],[ACTUAL OD]]-scheduleapr[[#This Row],[TICKNESS]])*scheduleapr[[#This Row],[TICKNESS]]*scheduleapr[[#This Row],[LENGTH]]*7.85)/1000000*scheduleapr[[#This Row],[DISPATCH]]/1000</f>
        <v>3.0921241232700001</v>
      </c>
      <c r="AL437" s="1">
        <f t="shared" si="15"/>
        <v>0.87213757322999985</v>
      </c>
      <c r="AM437" s="1">
        <f>scheduleapr[[#This Row],[SCHEDULE in nos]]/scheduleapr[[#This Row],[SCHEDULE IN MT]]*scheduleapr[[#This Row],[CTL Stock]]</f>
        <v>65.255530488412091</v>
      </c>
      <c r="AN437" s="1">
        <f>SUMIFS(stock[MT],stock[Bucket],scheduleapr[[#This Row],[Bucket]],stock[CTL Bucket],scheduleapr[[#This Row],[CTL Bucket]],stock[Plant],"0789")</f>
        <v>8.6230000000000001E-2</v>
      </c>
      <c r="AO437" s="1"/>
      <c r="AP437" s="1">
        <f>SUMIFS(stock[MT],stock[Bucket],scheduleapr[[#This Row],[Bucket]],stock[LL or CTL],"LL")</f>
        <v>11.690147</v>
      </c>
      <c r="AQ437" s="1">
        <f>+SUMIFS(wip[Stock(Net Wt)],wip[Bucket],scheduleapr[[#This Row],[Bucket]])/1000</f>
        <v>1.629</v>
      </c>
      <c r="AR437" s="1">
        <f t="shared" si="14"/>
        <v>3.8780316964999999</v>
      </c>
      <c r="AS437" s="118"/>
    </row>
    <row r="438" spans="1:45" x14ac:dyDescent="0.25">
      <c r="A438" s="30">
        <v>322</v>
      </c>
      <c r="B438" s="5" t="s">
        <v>1816</v>
      </c>
      <c r="C438" s="2" t="s">
        <v>291</v>
      </c>
      <c r="D438" s="2" t="s">
        <v>2002</v>
      </c>
      <c r="E438" s="2" t="s">
        <v>292</v>
      </c>
      <c r="F438" s="2">
        <v>1940500</v>
      </c>
      <c r="G438" s="2" t="str">
        <f>_xlfn.CONCAT(scheduleapr[[#This Row],[CUSTOMER CODE]],"-",scheduleapr[[#This Row],[MATERIAL NO]])</f>
        <v>129695|187884|188415|189239|189240-1940500</v>
      </c>
      <c r="H438" s="2" t="s">
        <v>2035</v>
      </c>
      <c r="I438" s="2" t="s">
        <v>962</v>
      </c>
      <c r="J438" s="2"/>
      <c r="K438" s="2" t="s">
        <v>963</v>
      </c>
      <c r="L438" s="2" t="s">
        <v>239</v>
      </c>
      <c r="M438" s="2"/>
      <c r="N438" s="2"/>
      <c r="O438" s="2"/>
      <c r="P438" s="2"/>
      <c r="Q438" s="557" t="str">
        <f>CONCATENATE(scheduleapr[[#This Row],[OD]],"-",scheduleapr[[#This Row],[ID]],"-",scheduleapr[[#This Row],[TICKNESS]],"-",scheduleapr[[#This Row],[Grade]],"-",scheduleapr[[#This Row],[FC/NFC]])</f>
        <v>22.23-0-2.3-ERW 1-PE</v>
      </c>
      <c r="R438" s="557" t="str">
        <f>_xlfn.CONCAT(scheduleapr[[#This Row],[Bucket]],"-",scheduleapr[[#This Row],[LENGTH]]/1000)</f>
        <v>22.23-0-2.3-ERW 1-PE-0.35</v>
      </c>
      <c r="S438" s="557" t="e" vm="2">
        <f>COUNTIF([2]!buckets[CTL Bucket],[2]!scheduleapr[[#This Row],[CTL Bucket]])</f>
        <v>#REF!</v>
      </c>
      <c r="T438" s="557"/>
      <c r="U438" s="557"/>
      <c r="V438" s="557"/>
      <c r="W438" s="557"/>
      <c r="X438" s="1">
        <v>22.23</v>
      </c>
      <c r="Y438" s="1">
        <v>22.23</v>
      </c>
      <c r="Z438" s="1">
        <v>0</v>
      </c>
      <c r="AA438" s="1">
        <v>2.2999999999999998</v>
      </c>
      <c r="AB438" s="24">
        <v>350</v>
      </c>
      <c r="AC438" s="24"/>
      <c r="AD438" s="24"/>
      <c r="AE438" s="24"/>
      <c r="AF438" s="2"/>
      <c r="AG438" s="2"/>
      <c r="AH438" s="2" t="e" cm="1">
        <f t="array" ref="AH4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38" s="4" t="e">
        <f>scheduleapr[[#This Row],[SCHEDULE in nos]]-scheduleapr[[#This Row],[DISPATCH]]</f>
        <v>#N/A</v>
      </c>
      <c r="AJ438" s="1">
        <f>(3.14*(scheduleapr[[#This Row],[ACTUAL OD]]-scheduleapr[[#This Row],[TICKNESS]])*scheduleapr[[#This Row],[TICKNESS]]*scheduleapr[[#This Row],[LENGTH]]*7.85)/1000000*scheduleapr[[#This Row],[SCHEDULE in nos]]/1000</f>
        <v>0</v>
      </c>
      <c r="AK438" s="1" t="e">
        <f>(3.14*(scheduleapr[[#This Row],[ACTUAL OD]]-scheduleapr[[#This Row],[TICKNESS]])*scheduleapr[[#This Row],[TICKNESS]]*scheduleapr[[#This Row],[LENGTH]]*7.85)/1000000*scheduleapr[[#This Row],[DISPATCH]]/1000</f>
        <v>#N/A</v>
      </c>
      <c r="AL438" s="1" t="e">
        <f t="shared" si="15"/>
        <v>#N/A</v>
      </c>
      <c r="AM438" s="1" t="e">
        <f>scheduleapr[[#This Row],[SCHEDULE in nos]]/scheduleapr[[#This Row],[SCHEDULE IN MT]]*scheduleapr[[#This Row],[CTL Stock]]</f>
        <v>#DIV/0!</v>
      </c>
      <c r="AN438" s="1">
        <f>SUMIFS(stock[MT],stock[Bucket],scheduleapr[[#This Row],[Bucket]],stock[CTL Bucket],scheduleapr[[#This Row],[CTL Bucket]],stock[Plant],"0789")</f>
        <v>0</v>
      </c>
      <c r="AO438" s="1"/>
      <c r="AP438" s="1">
        <f>SUMIFS(stock[MT],stock[Bucket],scheduleapr[[#This Row],[Bucket]],stock[LL or CTL],"LL")</f>
        <v>6.8109739999999999</v>
      </c>
      <c r="AQ438" s="1">
        <f>+SUMIFS(wip[Stock(Net Wt)],wip[Bucket],scheduleapr[[#This Row],[Bucket]])/1000</f>
        <v>0</v>
      </c>
      <c r="AR438" s="1">
        <f t="shared" si="14"/>
        <v>0</v>
      </c>
      <c r="AS438" s="118"/>
    </row>
    <row r="439" spans="1:45" x14ac:dyDescent="0.25">
      <c r="A439" s="30">
        <v>397</v>
      </c>
      <c r="B439" s="5" t="s">
        <v>1816</v>
      </c>
      <c r="C439" s="2" t="s">
        <v>296</v>
      </c>
      <c r="D439" s="2" t="s">
        <v>2002</v>
      </c>
      <c r="E439" s="2" t="s">
        <v>292</v>
      </c>
      <c r="F439" s="2">
        <v>3087645</v>
      </c>
      <c r="G439" s="2" t="str">
        <f>_xlfn.CONCAT(scheduleapr[[#This Row],[CUSTOMER CODE]],"-",scheduleapr[[#This Row],[MATERIAL NO]])</f>
        <v>129695|187884|188415|189239|189240-3087645</v>
      </c>
      <c r="H439" s="2" t="s">
        <v>1492</v>
      </c>
      <c r="I439" s="2" t="s">
        <v>962</v>
      </c>
      <c r="J439" s="2"/>
      <c r="K439" s="2" t="s">
        <v>963</v>
      </c>
      <c r="L439" s="2" t="s">
        <v>239</v>
      </c>
      <c r="M439" s="2"/>
      <c r="N439" s="2"/>
      <c r="O439" s="2"/>
      <c r="P439" s="2"/>
      <c r="Q439" s="557" t="str">
        <f>CONCATENATE(scheduleapr[[#This Row],[OD]],"-",scheduleapr[[#This Row],[ID]],"-",scheduleapr[[#This Row],[TICKNESS]],"-",scheduleapr[[#This Row],[Grade]],"-",scheduleapr[[#This Row],[FC/NFC]])</f>
        <v>22.23-0-2.3-ERW 1-PE</v>
      </c>
      <c r="R439" s="557" t="str">
        <f>_xlfn.CONCAT(scheduleapr[[#This Row],[Bucket]],"-",scheduleapr[[#This Row],[LENGTH]]/1000)</f>
        <v>22.23-0-2.3-ERW 1-PE-0.425</v>
      </c>
      <c r="S439" s="557" t="e" vm="2">
        <f>COUNTIF([2]!buckets[CTL Bucket],[2]!scheduleapr[[#This Row],[CTL Bucket]])</f>
        <v>#REF!</v>
      </c>
      <c r="T439" s="557"/>
      <c r="U439" s="557"/>
      <c r="V439" s="557"/>
      <c r="W439" s="557"/>
      <c r="X439" s="1">
        <v>22.23</v>
      </c>
      <c r="Y439" s="1">
        <v>22.23</v>
      </c>
      <c r="Z439" s="1">
        <v>0</v>
      </c>
      <c r="AA439" s="1">
        <v>2.2999999999999998</v>
      </c>
      <c r="AB439" s="24">
        <v>425</v>
      </c>
      <c r="AC439" s="24" t="s">
        <v>397</v>
      </c>
      <c r="AD439" s="24"/>
      <c r="AE439" s="24"/>
      <c r="AF439" s="2"/>
      <c r="AG439" s="2"/>
      <c r="AH439" s="2" cm="1">
        <f t="array" ref="AH4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9" s="4">
        <f>scheduleapr[[#This Row],[SCHEDULE in nos]]-scheduleapr[[#This Row],[DISPATCH]]</f>
        <v>0</v>
      </c>
      <c r="AJ439" s="1">
        <f>(3.14*(scheduleapr[[#This Row],[ACTUAL OD]]-scheduleapr[[#This Row],[TICKNESS]])*scheduleapr[[#This Row],[TICKNESS]]*scheduleapr[[#This Row],[LENGTH]]*7.85)/1000000*scheduleapr[[#This Row],[SCHEDULE in nos]]/1000</f>
        <v>0</v>
      </c>
      <c r="AK439" s="1">
        <f>(3.14*(scheduleapr[[#This Row],[ACTUAL OD]]-scheduleapr[[#This Row],[TICKNESS]])*scheduleapr[[#This Row],[TICKNESS]]*scheduleapr[[#This Row],[LENGTH]]*7.85)/1000000*scheduleapr[[#This Row],[DISPATCH]]/1000</f>
        <v>0</v>
      </c>
      <c r="AL439" s="1">
        <f t="shared" si="15"/>
        <v>0</v>
      </c>
      <c r="AM439" s="1" t="e">
        <f>scheduleapr[[#This Row],[SCHEDULE in nos]]/scheduleapr[[#This Row],[SCHEDULE IN MT]]*scheduleapr[[#This Row],[CTL Stock]]</f>
        <v>#DIV/0!</v>
      </c>
      <c r="AN439" s="1">
        <f>SUMIFS(stock[MT],stock[Bucket],scheduleapr[[#This Row],[Bucket]],stock[CTL Bucket],scheduleapr[[#This Row],[CTL Bucket]],stock[Plant],"0789")</f>
        <v>0</v>
      </c>
      <c r="AO439" s="1"/>
      <c r="AP439" s="1">
        <f>SUMIFS(stock[MT],stock[Bucket],scheduleapr[[#This Row],[Bucket]],stock[LL or CTL],"LL")</f>
        <v>6.8109739999999999</v>
      </c>
      <c r="AQ439" s="1">
        <f>+SUMIFS(wip[Stock(Net Wt)],wip[Bucket],scheduleapr[[#This Row],[Bucket]])/1000</f>
        <v>0</v>
      </c>
      <c r="AR439" s="1">
        <f t="shared" si="14"/>
        <v>0</v>
      </c>
      <c r="AS439" s="118"/>
    </row>
    <row r="440" spans="1:45" x14ac:dyDescent="0.25">
      <c r="A440" s="30">
        <v>323</v>
      </c>
      <c r="B440" s="5" t="s">
        <v>1816</v>
      </c>
      <c r="C440" s="2" t="s">
        <v>291</v>
      </c>
      <c r="D440" s="2" t="s">
        <v>2002</v>
      </c>
      <c r="E440" s="2" t="s">
        <v>292</v>
      </c>
      <c r="F440" s="2">
        <v>1940504</v>
      </c>
      <c r="G440" s="2" t="str">
        <f>_xlfn.CONCAT(scheduleapr[[#This Row],[CUSTOMER CODE]],"-",scheduleapr[[#This Row],[MATERIAL NO]])</f>
        <v>129695|187884|188415|189239|189240-1940504</v>
      </c>
      <c r="H440" s="2" t="s">
        <v>2036</v>
      </c>
      <c r="I440" s="2" t="s">
        <v>962</v>
      </c>
      <c r="J440" s="2"/>
      <c r="K440" s="2" t="s">
        <v>963</v>
      </c>
      <c r="L440" s="2" t="s">
        <v>239</v>
      </c>
      <c r="M440" s="2"/>
      <c r="N440" s="2"/>
      <c r="O440" s="2"/>
      <c r="P440" s="2"/>
      <c r="Q440" s="557" t="str">
        <f>CONCATENATE(scheduleapr[[#This Row],[OD]],"-",scheduleapr[[#This Row],[ID]],"-",scheduleapr[[#This Row],[TICKNESS]],"-",scheduleapr[[#This Row],[Grade]],"-",scheduleapr[[#This Row],[FC/NFC]])</f>
        <v>22.23-0-2.3-ERW 1-PE</v>
      </c>
      <c r="R440" s="557" t="str">
        <f>_xlfn.CONCAT(scheduleapr[[#This Row],[Bucket]],"-",scheduleapr[[#This Row],[LENGTH]]/1000)</f>
        <v>22.23-0-2.3-ERW 1-PE-0.499</v>
      </c>
      <c r="S440" s="557" t="e" vm="2">
        <f>COUNTIF([2]!buckets[CTL Bucket],[2]!scheduleapr[[#This Row],[CTL Bucket]])</f>
        <v>#REF!</v>
      </c>
      <c r="T440" s="557"/>
      <c r="U440" s="557"/>
      <c r="V440" s="557"/>
      <c r="W440" s="557"/>
      <c r="X440" s="1">
        <v>22.23</v>
      </c>
      <c r="Y440" s="1">
        <v>22.23</v>
      </c>
      <c r="Z440" s="1">
        <v>0</v>
      </c>
      <c r="AA440" s="1">
        <v>2.2999999999999998</v>
      </c>
      <c r="AB440" s="24">
        <v>499</v>
      </c>
      <c r="AC440" s="24"/>
      <c r="AD440" s="24"/>
      <c r="AE440" s="24"/>
      <c r="AF440" s="2"/>
      <c r="AG440" s="2"/>
      <c r="AH440" s="2" t="e" cm="1">
        <f t="array" ref="AH4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40" s="4" t="e">
        <f>scheduleapr[[#This Row],[SCHEDULE in nos]]-scheduleapr[[#This Row],[DISPATCH]]</f>
        <v>#N/A</v>
      </c>
      <c r="AJ440" s="1">
        <f>(3.14*(scheduleapr[[#This Row],[ACTUAL OD]]-scheduleapr[[#This Row],[TICKNESS]])*scheduleapr[[#This Row],[TICKNESS]]*scheduleapr[[#This Row],[LENGTH]]*7.85)/1000000*scheduleapr[[#This Row],[SCHEDULE in nos]]/1000</f>
        <v>0</v>
      </c>
      <c r="AK440" s="1" t="e">
        <f>(3.14*(scheduleapr[[#This Row],[ACTUAL OD]]-scheduleapr[[#This Row],[TICKNESS]])*scheduleapr[[#This Row],[TICKNESS]]*scheduleapr[[#This Row],[LENGTH]]*7.85)/1000000*scheduleapr[[#This Row],[DISPATCH]]/1000</f>
        <v>#N/A</v>
      </c>
      <c r="AL440" s="1" t="e">
        <f t="shared" si="15"/>
        <v>#N/A</v>
      </c>
      <c r="AM440" s="1" t="e">
        <f>scheduleapr[[#This Row],[SCHEDULE in nos]]/scheduleapr[[#This Row],[SCHEDULE IN MT]]*scheduleapr[[#This Row],[CTL Stock]]</f>
        <v>#DIV/0!</v>
      </c>
      <c r="AN440" s="1">
        <f>SUMIFS(stock[MT],stock[Bucket],scheduleapr[[#This Row],[Bucket]],stock[CTL Bucket],scheduleapr[[#This Row],[CTL Bucket]],stock[Plant],"0789")</f>
        <v>0</v>
      </c>
      <c r="AO440" s="1"/>
      <c r="AP440" s="1">
        <f>SUMIFS(stock[MT],stock[Bucket],scheduleapr[[#This Row],[Bucket]],stock[LL or CTL],"LL")</f>
        <v>6.8109739999999999</v>
      </c>
      <c r="AQ440" s="1">
        <f>+SUMIFS(wip[Stock(Net Wt)],wip[Bucket],scheduleapr[[#This Row],[Bucket]])/1000</f>
        <v>0</v>
      </c>
      <c r="AR440" s="1">
        <f t="shared" si="14"/>
        <v>0</v>
      </c>
      <c r="AS440" s="118"/>
    </row>
    <row r="441" spans="1:45" x14ac:dyDescent="0.25">
      <c r="A441" s="30">
        <v>419</v>
      </c>
      <c r="B441" s="5" t="s">
        <v>1816</v>
      </c>
      <c r="C441" s="2" t="s">
        <v>298</v>
      </c>
      <c r="D441" s="48" t="s">
        <v>2002</v>
      </c>
      <c r="E441" s="2" t="s">
        <v>292</v>
      </c>
      <c r="F441" s="2">
        <v>1940510</v>
      </c>
      <c r="G441" s="2" t="str">
        <f>_xlfn.CONCAT(scheduleapr[[#This Row],[CUSTOMER CODE]],"-",scheduleapr[[#This Row],[MATERIAL NO]])</f>
        <v>129695|187884|188415|189239|189240-1940510</v>
      </c>
      <c r="H441" s="2" t="s">
        <v>1536</v>
      </c>
      <c r="I441" s="2" t="s">
        <v>962</v>
      </c>
      <c r="J441" s="2"/>
      <c r="K441" s="2" t="s">
        <v>963</v>
      </c>
      <c r="L441" s="2" t="s">
        <v>239</v>
      </c>
      <c r="M441" s="2"/>
      <c r="N441" s="2"/>
      <c r="O441" s="2"/>
      <c r="P441" s="2"/>
      <c r="Q441" s="557" t="str">
        <f>CONCATENATE(scheduleapr[[#This Row],[OD]],"-",scheduleapr[[#This Row],[ID]],"-",scheduleapr[[#This Row],[TICKNESS]],"-",scheduleapr[[#This Row],[Grade]],"-",scheduleapr[[#This Row],[FC/NFC]])</f>
        <v>22.23-0-2.3-ERW 1-PE</v>
      </c>
      <c r="R441" s="557" t="str">
        <f>_xlfn.CONCAT(scheduleapr[[#This Row],[Bucket]],"-",scheduleapr[[#This Row],[LENGTH]]/1000)</f>
        <v>22.23-0-2.3-ERW 1-PE-1</v>
      </c>
      <c r="S441" s="557">
        <f>COUNTIF(scheduleapr[CTL Bucket],scheduleapr[[#This Row],[CTL Bucket]])</f>
        <v>2</v>
      </c>
      <c r="T441" s="2" t="s">
        <v>1816</v>
      </c>
      <c r="U441" s="2">
        <f>_xlfn.IFNA(VLOOKUP(scheduleapr[[#This Row],[Bucket]],salesforecast[[#All],[Bucket2]:[8406 Stock]],19,0),0)</f>
        <v>6.8109740000000007</v>
      </c>
      <c r="V441" s="562">
        <f>_xlfn.IFNA(VLOOKUP(scheduleapr[[#This Row],[Bucket]],salesforecast[[#All],[Bucket2]:[8406 Stock]],20,0),0)+_xlfn.IFNA(VLOOKUP(scheduleapr[[#This Row],[Bucket]],salesforecast[[#All],[Bucket2]:[8406 Stock]],17,0),0)</f>
        <v>0</v>
      </c>
      <c r="W441" s="557"/>
      <c r="X441" s="1">
        <v>22.23</v>
      </c>
      <c r="Y441" s="1">
        <v>22.23</v>
      </c>
      <c r="Z441" s="1">
        <v>0</v>
      </c>
      <c r="AA441" s="1">
        <v>2.2999999999999998</v>
      </c>
      <c r="AB441" s="24">
        <v>1000</v>
      </c>
      <c r="AC441" s="24" t="s">
        <v>444</v>
      </c>
      <c r="AD441" s="24"/>
      <c r="AE441" s="24"/>
      <c r="AF441" s="2">
        <v>6000</v>
      </c>
      <c r="AG441" s="2"/>
      <c r="AH441" s="2" cm="1">
        <f t="array" ref="AH4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1" s="4">
        <f>scheduleapr[[#This Row],[SCHEDULE in nos]]-scheduleapr[[#This Row],[DISPATCH]]</f>
        <v>6000</v>
      </c>
      <c r="AJ441" s="1">
        <f>(3.14*(scheduleapr[[#This Row],[ACTUAL OD]]-scheduleapr[[#This Row],[TICKNESS]])*scheduleapr[[#This Row],[TICKNESS]]*scheduleapr[[#This Row],[LENGTH]]*7.85)/1000000*scheduleapr[[#This Row],[SCHEDULE in nos]]/1000</f>
        <v>6.7793130659999994</v>
      </c>
      <c r="AK441" s="1">
        <f>(3.14*(scheduleapr[[#This Row],[ACTUAL OD]]-scheduleapr[[#This Row],[TICKNESS]])*scheduleapr[[#This Row],[TICKNESS]]*scheduleapr[[#This Row],[LENGTH]]*7.85)/1000000*scheduleapr[[#This Row],[DISPATCH]]/1000</f>
        <v>0</v>
      </c>
      <c r="AL441" s="1">
        <f t="shared" si="15"/>
        <v>6.7793130659999994</v>
      </c>
      <c r="AM441" s="1">
        <f>scheduleapr[[#This Row],[SCHEDULE in nos]]/scheduleapr[[#This Row],[SCHEDULE IN MT]]*scheduleapr[[#This Row],[CTL Stock]]</f>
        <v>0</v>
      </c>
      <c r="AN441" s="1">
        <f>SUMIFS(stock[MT],stock[Bucket],scheduleapr[[#This Row],[Bucket]],stock[CTL Bucket],scheduleapr[[#This Row],[CTL Bucket]],stock[Plant],"0789")</f>
        <v>0</v>
      </c>
      <c r="AO441" s="1"/>
      <c r="AP441" s="1">
        <f>SUMIFS(stock[MT],stock[Bucket],scheduleapr[[#This Row],[Bucket]],stock[LL or CTL],"LL")</f>
        <v>6.8109739999999999</v>
      </c>
      <c r="AQ441" s="1">
        <f>+SUMIFS(wip[Stock(Net Wt)],wip[Bucket],scheduleapr[[#This Row],[Bucket]])/1000</f>
        <v>0</v>
      </c>
      <c r="AR441" s="1">
        <f t="shared" si="14"/>
        <v>6.7793130659999994</v>
      </c>
      <c r="AS441" s="118"/>
    </row>
    <row r="442" spans="1:45" x14ac:dyDescent="0.25">
      <c r="A442" s="30">
        <v>324</v>
      </c>
      <c r="B442" s="5" t="s">
        <v>1816</v>
      </c>
      <c r="C442" s="2" t="s">
        <v>291</v>
      </c>
      <c r="D442" s="2" t="s">
        <v>2002</v>
      </c>
      <c r="E442" s="2" t="s">
        <v>292</v>
      </c>
      <c r="F442" s="2">
        <v>1119129</v>
      </c>
      <c r="G442" s="2" t="str">
        <f>_xlfn.CONCAT(scheduleapr[[#This Row],[CUSTOMER CODE]],"-",scheduleapr[[#This Row],[MATERIAL NO]])</f>
        <v>129695|187884|188415|189239|189240-1119129</v>
      </c>
      <c r="H442" s="2" t="s">
        <v>2037</v>
      </c>
      <c r="I442" s="2" t="s">
        <v>962</v>
      </c>
      <c r="J442" s="2"/>
      <c r="K442" s="2" t="s">
        <v>963</v>
      </c>
      <c r="L442" s="2" t="s">
        <v>239</v>
      </c>
      <c r="M442" s="2"/>
      <c r="N442" s="2"/>
      <c r="O442" s="2"/>
      <c r="P442" s="2"/>
      <c r="Q442" s="557" t="str">
        <f>CONCATENATE(scheduleapr[[#This Row],[OD]],"-",scheduleapr[[#This Row],[ID]],"-",scheduleapr[[#This Row],[TICKNESS]],"-",scheduleapr[[#This Row],[Grade]],"-",scheduleapr[[#This Row],[FC/NFC]])</f>
        <v>25.4-0-1.6-ERW 1-PE</v>
      </c>
      <c r="R442" s="557" t="str">
        <f>_xlfn.CONCAT(scheduleapr[[#This Row],[Bucket]],"-",scheduleapr[[#This Row],[LENGTH]]/1000)</f>
        <v>25.4-0-1.6-ERW 1-PE-0.36</v>
      </c>
      <c r="S442" s="557" t="e" vm="2">
        <f>COUNTIF([2]!buckets[CTL Bucket],[2]!scheduleapr[[#This Row],[CTL Bucket]])</f>
        <v>#REF!</v>
      </c>
      <c r="T442" s="557"/>
      <c r="U442" s="557"/>
      <c r="V442" s="557"/>
      <c r="W442" s="557"/>
      <c r="X442" s="1">
        <v>25.4</v>
      </c>
      <c r="Y442" s="1">
        <v>25.4</v>
      </c>
      <c r="Z442" s="1">
        <v>0</v>
      </c>
      <c r="AA442" s="1">
        <v>1.6</v>
      </c>
      <c r="AB442" s="24">
        <v>360</v>
      </c>
      <c r="AC442" s="24"/>
      <c r="AD442" s="24"/>
      <c r="AE442" s="24"/>
      <c r="AF442" s="2"/>
      <c r="AG442" s="2"/>
      <c r="AH442" s="2" t="e" cm="1">
        <f t="array" ref="AH4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42" s="4" t="e">
        <f>scheduleapr[[#This Row],[SCHEDULE in nos]]-scheduleapr[[#This Row],[DISPATCH]]</f>
        <v>#N/A</v>
      </c>
      <c r="AJ442" s="1">
        <f>(3.14*(scheduleapr[[#This Row],[ACTUAL OD]]-scheduleapr[[#This Row],[TICKNESS]])*scheduleapr[[#This Row],[TICKNESS]]*scheduleapr[[#This Row],[LENGTH]]*7.85)/1000000*scheduleapr[[#This Row],[SCHEDULE in nos]]/1000</f>
        <v>0</v>
      </c>
      <c r="AK442" s="1" t="e">
        <f>(3.14*(scheduleapr[[#This Row],[ACTUAL OD]]-scheduleapr[[#This Row],[TICKNESS]])*scheduleapr[[#This Row],[TICKNESS]]*scheduleapr[[#This Row],[LENGTH]]*7.85)/1000000*scheduleapr[[#This Row],[DISPATCH]]/1000</f>
        <v>#N/A</v>
      </c>
      <c r="AL442" s="1" t="e">
        <f t="shared" si="15"/>
        <v>#N/A</v>
      </c>
      <c r="AM442" s="1" t="e">
        <f>scheduleapr[[#This Row],[SCHEDULE in nos]]/scheduleapr[[#This Row],[SCHEDULE IN MT]]*scheduleapr[[#This Row],[CTL Stock]]</f>
        <v>#DIV/0!</v>
      </c>
      <c r="AN442" s="1">
        <f>SUMIFS(stock[MT],stock[Bucket],scheduleapr[[#This Row],[Bucket]],stock[CTL Bucket],scheduleapr[[#This Row],[CTL Bucket]],stock[Plant],"0789")</f>
        <v>0</v>
      </c>
      <c r="AO442" s="1"/>
      <c r="AP442" s="1">
        <f>SUMIFS(stock[MT],stock[Bucket],scheduleapr[[#This Row],[Bucket]],stock[LL or CTL],"LL")</f>
        <v>0</v>
      </c>
      <c r="AQ442" s="1">
        <f>+SUMIFS(wip[Stock(Net Wt)],wip[Bucket],scheduleapr[[#This Row],[Bucket]])/1000</f>
        <v>3.6459999999999999</v>
      </c>
      <c r="AR442" s="1">
        <f t="shared" si="14"/>
        <v>0</v>
      </c>
      <c r="AS442" s="118"/>
    </row>
    <row r="443" spans="1:45" x14ac:dyDescent="0.25">
      <c r="A443" s="556"/>
      <c r="B443" s="5" t="s">
        <v>1816</v>
      </c>
      <c r="C443" s="2" t="s">
        <v>299</v>
      </c>
      <c r="D443" s="2" t="s">
        <v>2002</v>
      </c>
      <c r="E443" s="2" t="s">
        <v>292</v>
      </c>
      <c r="F443" s="557"/>
      <c r="G443" s="2" t="str">
        <f>_xlfn.CONCAT(scheduleapr[[#This Row],[CUSTOMER CODE]],"-",scheduleapr[[#This Row],[MATERIAL NO]])</f>
        <v>129695|187884|188415|189239|189240-</v>
      </c>
      <c r="H443" s="557"/>
      <c r="I443" s="2" t="s">
        <v>962</v>
      </c>
      <c r="J443" s="557"/>
      <c r="K443" s="2" t="s">
        <v>1003</v>
      </c>
      <c r="L443" s="557"/>
      <c r="M443" s="558"/>
      <c r="N443" s="557"/>
      <c r="O443" s="557"/>
      <c r="P443" s="557"/>
      <c r="Q443" s="557"/>
      <c r="R443" s="557"/>
      <c r="S443" s="557"/>
      <c r="T443" s="2"/>
      <c r="U443" s="2">
        <f>_xlfn.IFNA(VLOOKUP(scheduleapr[[#This Row],[Bucket]],salesforecast[[#All],[Bucket2]:[8406 Stock]],19,0),0)</f>
        <v>0</v>
      </c>
      <c r="V443" s="2"/>
      <c r="W443" s="2"/>
      <c r="X443" s="559">
        <v>25.4</v>
      </c>
      <c r="Y443" s="559">
        <v>25.4</v>
      </c>
      <c r="Z443" s="559">
        <v>0</v>
      </c>
      <c r="AA443" s="559">
        <v>2</v>
      </c>
      <c r="AB443" s="24">
        <v>213</v>
      </c>
      <c r="AC443" s="24" t="s">
        <v>397</v>
      </c>
      <c r="AD443" s="24"/>
      <c r="AE443" s="24"/>
      <c r="AF443" s="557">
        <v>3000</v>
      </c>
      <c r="AG443" s="557"/>
      <c r="AH443" s="2" cm="1">
        <f t="array" ref="AH4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3" s="560">
        <f>scheduleapr[[#This Row],[SCHEDULE in nos]]-scheduleapr[[#This Row],[DISPATCH]]</f>
        <v>3000</v>
      </c>
      <c r="AJ443" s="559">
        <f>(3.14*(scheduleapr[[#This Row],[ACTUAL OD]]-scheduleapr[[#This Row],[TICKNESS]])*scheduleapr[[#This Row],[TICKNESS]]*scheduleapr[[#This Row],[LENGTH]]*7.85)/1000000*scheduleapr[[#This Row],[SCHEDULE in nos]]/1000</f>
        <v>0.73713327480000002</v>
      </c>
      <c r="AK443" s="1">
        <f>(3.14*(scheduleapr[[#This Row],[ACTUAL OD]]-scheduleapr[[#This Row],[TICKNESS]])*scheduleapr[[#This Row],[TICKNESS]]*scheduleapr[[#This Row],[LENGTH]]*7.85)/1000000*scheduleapr[[#This Row],[DISPATCH]]/1000</f>
        <v>0</v>
      </c>
      <c r="AL443" s="1">
        <f t="shared" si="15"/>
        <v>0.73713327480000002</v>
      </c>
      <c r="AM443" s="559">
        <f>scheduleapr[[#This Row],[SCHEDULE in nos]]/scheduleapr[[#This Row],[SCHEDULE IN MT]]*scheduleapr[[#This Row],[CTL Stock]]</f>
        <v>0</v>
      </c>
      <c r="AN443" s="1">
        <f>SUMIFS(stock[MT],stock[Bucket],scheduleapr[[#This Row],[Bucket]],stock[CTL Bucket],scheduleapr[[#This Row],[CTL Bucket]],stock[Plant],"0789")</f>
        <v>0</v>
      </c>
      <c r="AO443" s="1"/>
      <c r="AP443" s="1">
        <f>SUMIFS(stock[MT],stock[Bucket],scheduleapr[[#This Row],[Bucket]],stock[LL or CTL],"LL")</f>
        <v>0</v>
      </c>
      <c r="AQ443" s="1">
        <f>+SUMIFS(wip[Stock(Net Wt)],wip[Bucket],scheduleapr[[#This Row],[Bucket]])/1000</f>
        <v>0</v>
      </c>
      <c r="AR443" s="1">
        <f t="shared" si="14"/>
        <v>0.73713327480000002</v>
      </c>
      <c r="AS443" s="118"/>
    </row>
    <row r="444" spans="1:45" x14ac:dyDescent="0.25">
      <c r="A444" s="556"/>
      <c r="B444" s="5" t="s">
        <v>1816</v>
      </c>
      <c r="C444" s="2" t="s">
        <v>299</v>
      </c>
      <c r="D444" s="2" t="s">
        <v>2002</v>
      </c>
      <c r="E444" s="2" t="s">
        <v>292</v>
      </c>
      <c r="F444" s="557"/>
      <c r="G444" s="2" t="str">
        <f>_xlfn.CONCAT(scheduleapr[[#This Row],[CUSTOMER CODE]],"-",scheduleapr[[#This Row],[MATERIAL NO]])</f>
        <v>129695|187884|188415|189239|189240-</v>
      </c>
      <c r="H444" s="557"/>
      <c r="I444" s="2" t="s">
        <v>962</v>
      </c>
      <c r="J444" s="557"/>
      <c r="K444" s="2" t="s">
        <v>1003</v>
      </c>
      <c r="L444" s="557"/>
      <c r="M444" s="558"/>
      <c r="N444" s="557"/>
      <c r="O444" s="557"/>
      <c r="P444" s="557"/>
      <c r="Q444" s="557"/>
      <c r="R444" s="557"/>
      <c r="S444" s="557"/>
      <c r="T444" s="2"/>
      <c r="U444" s="2">
        <f>_xlfn.IFNA(VLOOKUP(scheduleapr[[#This Row],[Bucket]],salesforecast[[#All],[Bucket2]:[8406 Stock]],19,0),0)</f>
        <v>0</v>
      </c>
      <c r="V444" s="2"/>
      <c r="W444" s="2"/>
      <c r="X444" s="559">
        <v>25.4</v>
      </c>
      <c r="Y444" s="559">
        <v>25.4</v>
      </c>
      <c r="Z444" s="559">
        <v>0</v>
      </c>
      <c r="AA444" s="559">
        <v>2</v>
      </c>
      <c r="AB444" s="24">
        <v>310</v>
      </c>
      <c r="AC444" s="24" t="s">
        <v>397</v>
      </c>
      <c r="AD444" s="24"/>
      <c r="AE444" s="24"/>
      <c r="AF444" s="557">
        <v>3000</v>
      </c>
      <c r="AG444" s="557"/>
      <c r="AH444" s="2" cm="1">
        <f t="array" ref="AH4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4" s="560">
        <f>scheduleapr[[#This Row],[SCHEDULE in nos]]-scheduleapr[[#This Row],[DISPATCH]]</f>
        <v>3000</v>
      </c>
      <c r="AJ444" s="559">
        <f>(3.14*(scheduleapr[[#This Row],[ACTUAL OD]]-scheduleapr[[#This Row],[TICKNESS]])*scheduleapr[[#This Row],[TICKNESS]]*scheduleapr[[#This Row],[LENGTH]]*7.85)/1000000*scheduleapr[[#This Row],[SCHEDULE in nos]]/1000</f>
        <v>1.0728230759999999</v>
      </c>
      <c r="AK444" s="1">
        <f>(3.14*(scheduleapr[[#This Row],[ACTUAL OD]]-scheduleapr[[#This Row],[TICKNESS]])*scheduleapr[[#This Row],[TICKNESS]]*scheduleapr[[#This Row],[LENGTH]]*7.85)/1000000*scheduleapr[[#This Row],[DISPATCH]]/1000</f>
        <v>0</v>
      </c>
      <c r="AL444" s="1">
        <f t="shared" si="15"/>
        <v>1.0728230759999999</v>
      </c>
      <c r="AM444" s="559">
        <f>scheduleapr[[#This Row],[SCHEDULE in nos]]/scheduleapr[[#This Row],[SCHEDULE IN MT]]*scheduleapr[[#This Row],[CTL Stock]]</f>
        <v>0</v>
      </c>
      <c r="AN444" s="1">
        <f>SUMIFS(stock[MT],stock[Bucket],scheduleapr[[#This Row],[Bucket]],stock[CTL Bucket],scheduleapr[[#This Row],[CTL Bucket]],stock[Plant],"0789")</f>
        <v>0</v>
      </c>
      <c r="AO444" s="1"/>
      <c r="AP444" s="1">
        <f>SUMIFS(stock[MT],stock[Bucket],scheduleapr[[#This Row],[Bucket]],stock[LL or CTL],"LL")</f>
        <v>0</v>
      </c>
      <c r="AQ444" s="1">
        <f>+SUMIFS(wip[Stock(Net Wt)],wip[Bucket],scheduleapr[[#This Row],[Bucket]])/1000</f>
        <v>0</v>
      </c>
      <c r="AR444" s="1">
        <f t="shared" si="14"/>
        <v>1.0728230759999999</v>
      </c>
      <c r="AS444" s="118"/>
    </row>
    <row r="445" spans="1:45" x14ac:dyDescent="0.25">
      <c r="A445" s="30"/>
      <c r="B445" s="5" t="s">
        <v>1816</v>
      </c>
      <c r="C445" s="2" t="s">
        <v>299</v>
      </c>
      <c r="D445" s="48" t="s">
        <v>2002</v>
      </c>
      <c r="E445" s="2" t="s">
        <v>292</v>
      </c>
      <c r="F445" s="2"/>
      <c r="G445" s="2" t="str">
        <f>_xlfn.CONCAT(scheduleapr[[#This Row],[CUSTOMER CODE]],"-",scheduleapr[[#This Row],[MATERIAL NO]])</f>
        <v>129695|187884|188415|189239|189240-</v>
      </c>
      <c r="H445" s="2"/>
      <c r="I445" s="2" t="s">
        <v>962</v>
      </c>
      <c r="J445" s="2"/>
      <c r="K445" s="2" t="s">
        <v>1003</v>
      </c>
      <c r="L445" s="2"/>
      <c r="M445" s="44"/>
      <c r="N445" s="2"/>
      <c r="O445" s="2"/>
      <c r="P445" s="2"/>
      <c r="Q445" s="557" t="str">
        <f>CONCATENATE(scheduleapr[[#This Row],[OD]],"-",scheduleapr[[#This Row],[ID]],"-",scheduleapr[[#This Row],[TICKNESS]],"-",scheduleapr[[#This Row],[Grade]],"-",scheduleapr[[#This Row],[FC/NFC]])</f>
        <v>25.4-0-2-ERW 1-FC</v>
      </c>
      <c r="R445" s="557" t="str">
        <f>_xlfn.CONCAT(scheduleapr[[#This Row],[Bucket]],"-",scheduleapr[[#This Row],[LENGTH]]/1000)</f>
        <v>25.4-0-2-ERW 1-FC-0.323</v>
      </c>
      <c r="S445" s="2"/>
      <c r="T445" s="2"/>
      <c r="U445" s="2">
        <f>_xlfn.IFNA(VLOOKUP(scheduleapr[[#This Row],[Bucket]],salesforecast[[#All],[Bucket2]:[8406 Stock]],19,0),0)</f>
        <v>10.051000000000002</v>
      </c>
      <c r="V445" s="562">
        <f>_xlfn.IFNA(VLOOKUP(scheduleapr[[#This Row],[Bucket]],salesforecast[[#All],[Bucket2]:[8406 Stock]],20,0),0)+_xlfn.IFNA(VLOOKUP(scheduleapr[[#This Row],[Bucket]],salesforecast[[#All],[Bucket2]:[8406 Stock]],17,0),0)</f>
        <v>1.529582</v>
      </c>
      <c r="W445" s="2"/>
      <c r="X445" s="1">
        <v>25.4</v>
      </c>
      <c r="Y445" s="1">
        <v>25.4</v>
      </c>
      <c r="Z445" s="1">
        <v>0</v>
      </c>
      <c r="AA445" s="1">
        <v>2</v>
      </c>
      <c r="AB445" s="24">
        <v>323</v>
      </c>
      <c r="AC445" s="24" t="s">
        <v>397</v>
      </c>
      <c r="AD445" s="24"/>
      <c r="AE445" s="24"/>
      <c r="AF445" s="2">
        <v>10000</v>
      </c>
      <c r="AG445" s="2"/>
      <c r="AH445" s="2" cm="1">
        <f t="array" ref="AH4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5" s="4">
        <f>scheduleapr[[#This Row],[SCHEDULE in nos]]-scheduleapr[[#This Row],[DISPATCH]]</f>
        <v>10000</v>
      </c>
      <c r="AJ445" s="1">
        <f>(3.14*(scheduleapr[[#This Row],[ACTUAL OD]]-scheduleapr[[#This Row],[TICKNESS]])*scheduleapr[[#This Row],[TICKNESS]]*scheduleapr[[#This Row],[LENGTH]]*7.85)/1000000*scheduleapr[[#This Row],[SCHEDULE in nos]]/1000</f>
        <v>3.7260414359999996</v>
      </c>
      <c r="AK445" s="1">
        <f>(3.14*(scheduleapr[[#This Row],[ACTUAL OD]]-scheduleapr[[#This Row],[TICKNESS]])*scheduleapr[[#This Row],[TICKNESS]]*scheduleapr[[#This Row],[LENGTH]]*7.85)/1000000*scheduleapr[[#This Row],[DISPATCH]]/1000</f>
        <v>0</v>
      </c>
      <c r="AL445" s="1">
        <f t="shared" si="15"/>
        <v>3.7260414359999996</v>
      </c>
      <c r="AM445" s="1">
        <f>scheduleapr[[#This Row],[SCHEDULE in nos]]/scheduleapr[[#This Row],[SCHEDULE IN MT]]*scheduleapr[[#This Row],[CTL Stock]]</f>
        <v>0</v>
      </c>
      <c r="AN445" s="1">
        <f>SUMIFS(stock[MT],stock[Bucket],scheduleapr[[#This Row],[Bucket]],stock[CTL Bucket],scheduleapr[[#This Row],[CTL Bucket]],stock[Plant],"0789")</f>
        <v>0</v>
      </c>
      <c r="AO445" s="1"/>
      <c r="AP445" s="1">
        <f>SUMIFS(stock[MT],stock[Bucket],scheduleapr[[#This Row],[Bucket]],stock[LL or CTL],"LL")</f>
        <v>10.738999999999999</v>
      </c>
      <c r="AQ445" s="1">
        <f>+SUMIFS(wip[Stock(Net Wt)],wip[Bucket],scheduleapr[[#This Row],[Bucket]])/1000</f>
        <v>25.931000000000001</v>
      </c>
      <c r="AR445" s="1">
        <f t="shared" si="14"/>
        <v>3.7260414359999996</v>
      </c>
      <c r="AS445" s="118"/>
    </row>
    <row r="446" spans="1:45" x14ac:dyDescent="0.25">
      <c r="A446" s="30"/>
      <c r="B446" s="5" t="s">
        <v>1816</v>
      </c>
      <c r="C446" s="2" t="s">
        <v>299</v>
      </c>
      <c r="D446" s="2" t="s">
        <v>2002</v>
      </c>
      <c r="E446" s="2" t="s">
        <v>292</v>
      </c>
      <c r="F446" s="2"/>
      <c r="G446" s="2" t="str">
        <f>_xlfn.CONCAT(scheduleapr[[#This Row],[CUSTOMER CODE]],"-",scheduleapr[[#This Row],[MATERIAL NO]])</f>
        <v>129695|187884|188415|189239|189240-</v>
      </c>
      <c r="H446" s="2"/>
      <c r="I446" s="2" t="s">
        <v>962</v>
      </c>
      <c r="J446" s="2"/>
      <c r="K446" s="2" t="s">
        <v>1003</v>
      </c>
      <c r="L446" s="2"/>
      <c r="M446" s="44"/>
      <c r="N446" s="2"/>
      <c r="O446" s="2"/>
      <c r="P446" s="2"/>
      <c r="Q446" s="557" t="str">
        <f>CONCATENATE(scheduleapr[[#This Row],[OD]],"-",scheduleapr[[#This Row],[ID]],"-",scheduleapr[[#This Row],[TICKNESS]],"-",scheduleapr[[#This Row],[Grade]],"-",scheduleapr[[#This Row],[FC/NFC]])</f>
        <v>25.4-0-2-ERW 1-FC</v>
      </c>
      <c r="R446" s="557" t="str">
        <f>_xlfn.CONCAT(scheduleapr[[#This Row],[Bucket]],"-",scheduleapr[[#This Row],[LENGTH]]/1000)</f>
        <v>25.4-0-2-ERW 1-FC-0.355</v>
      </c>
      <c r="S446" s="2"/>
      <c r="T446" s="2"/>
      <c r="U446" s="2">
        <f>_xlfn.IFNA(VLOOKUP(scheduleapr[[#This Row],[Bucket]],salesforecast[[#All],[Bucket2]:[8406 Stock]],19,0),0)</f>
        <v>10.051000000000002</v>
      </c>
      <c r="V446" s="562">
        <f>_xlfn.IFNA(VLOOKUP(scheduleapr[[#This Row],[Bucket]],salesforecast[[#All],[Bucket2]:[8406 Stock]],20,0),0)+_xlfn.IFNA(VLOOKUP(scheduleapr[[#This Row],[Bucket]],salesforecast[[#All],[Bucket2]:[8406 Stock]],17,0),0)</f>
        <v>1.529582</v>
      </c>
      <c r="W446" s="2"/>
      <c r="X446" s="1">
        <v>25.4</v>
      </c>
      <c r="Y446" s="1">
        <v>25.4</v>
      </c>
      <c r="Z446" s="1">
        <v>0</v>
      </c>
      <c r="AA446" s="1">
        <v>2</v>
      </c>
      <c r="AB446" s="24">
        <v>355</v>
      </c>
      <c r="AC446" s="24" t="s">
        <v>397</v>
      </c>
      <c r="AD446" s="24"/>
      <c r="AE446" s="24"/>
      <c r="AF446" s="2">
        <v>10000</v>
      </c>
      <c r="AG446" s="2"/>
      <c r="AH446" s="2" cm="1">
        <f t="array" ref="AH4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6" s="4">
        <f>scheduleapr[[#This Row],[SCHEDULE in nos]]-scheduleapr[[#This Row],[DISPATCH]]</f>
        <v>10000</v>
      </c>
      <c r="AJ446" s="1">
        <f>(3.14*(scheduleapr[[#This Row],[ACTUAL OD]]-scheduleapr[[#This Row],[TICKNESS]])*scheduleapr[[#This Row],[TICKNESS]]*scheduleapr[[#This Row],[LENGTH]]*7.85)/1000000*scheduleapr[[#This Row],[SCHEDULE in nos]]/1000</f>
        <v>4.0951848599999998</v>
      </c>
      <c r="AK446" s="1">
        <f>(3.14*(scheduleapr[[#This Row],[ACTUAL OD]]-scheduleapr[[#This Row],[TICKNESS]])*scheduleapr[[#This Row],[TICKNESS]]*scheduleapr[[#This Row],[LENGTH]]*7.85)/1000000*scheduleapr[[#This Row],[DISPATCH]]/1000</f>
        <v>0</v>
      </c>
      <c r="AL446" s="1">
        <f t="shared" si="15"/>
        <v>4.0951848599999998</v>
      </c>
      <c r="AM446" s="1">
        <f>scheduleapr[[#This Row],[SCHEDULE in nos]]/scheduleapr[[#This Row],[SCHEDULE IN MT]]*scheduleapr[[#This Row],[CTL Stock]]</f>
        <v>4034.1280222451301</v>
      </c>
      <c r="AN446" s="1">
        <f>SUMIFS(stock[MT],stock[Bucket],scheduleapr[[#This Row],[Bucket]],stock[CTL Bucket],scheduleapr[[#This Row],[CTL Bucket]],stock[Plant],"0789")</f>
        <v>1.65205</v>
      </c>
      <c r="AO446" s="1"/>
      <c r="AP446" s="1">
        <f>SUMIFS(stock[MT],stock[Bucket],scheduleapr[[#This Row],[Bucket]],stock[LL or CTL],"LL")</f>
        <v>10.738999999999999</v>
      </c>
      <c r="AQ446" s="1">
        <f>+SUMIFS(wip[Stock(Net Wt)],wip[Bucket],scheduleapr[[#This Row],[Bucket]])/1000</f>
        <v>25.931000000000001</v>
      </c>
      <c r="AR446" s="1">
        <f t="shared" si="14"/>
        <v>2.4431348599999998</v>
      </c>
      <c r="AS446" s="118"/>
    </row>
    <row r="447" spans="1:45" x14ac:dyDescent="0.25">
      <c r="A447" s="30">
        <v>423</v>
      </c>
      <c r="B447" s="5" t="s">
        <v>1816</v>
      </c>
      <c r="C447" s="2" t="s">
        <v>296</v>
      </c>
      <c r="D447" s="2" t="s">
        <v>2002</v>
      </c>
      <c r="E447" s="2" t="s">
        <v>292</v>
      </c>
      <c r="F447" s="2" t="s">
        <v>2038</v>
      </c>
      <c r="G447" s="2" t="str">
        <f>_xlfn.CONCAT(scheduleapr[[#This Row],[CUSTOMER CODE]],"-",scheduleapr[[#This Row],[MATERIAL NO]])</f>
        <v>129695|187884|188415|189239|189240-NEW SIZE</v>
      </c>
      <c r="H447" s="2"/>
      <c r="I447" s="2" t="s">
        <v>962</v>
      </c>
      <c r="J447" s="2"/>
      <c r="K447" s="2" t="s">
        <v>963</v>
      </c>
      <c r="L447" s="2" t="s">
        <v>239</v>
      </c>
      <c r="M447" s="2"/>
      <c r="N447" s="2"/>
      <c r="O447" s="2"/>
      <c r="P447" s="2"/>
      <c r="Q447" s="557" t="str">
        <f>CONCATENATE(scheduleapr[[#This Row],[OD]],"-",scheduleapr[[#This Row],[ID]],"-",scheduleapr[[#This Row],[TICKNESS]],"-",scheduleapr[[#This Row],[Grade]],"-",scheduleapr[[#This Row],[FC/NFC]])</f>
        <v>25.4-0-2-ERW 1-PE</v>
      </c>
      <c r="R447" s="557" t="str">
        <f>_xlfn.CONCAT(scheduleapr[[#This Row],[Bucket]],"-",scheduleapr[[#This Row],[LENGTH]]/1000)</f>
        <v>25.4-0-2-ERW 1-PE-0.567</v>
      </c>
      <c r="S447" s="557">
        <f>COUNTIF(scheduleapr[CTL Bucket],scheduleapr[[#This Row],[CTL Bucket]])</f>
        <v>1</v>
      </c>
      <c r="T447" s="2" t="s">
        <v>1816</v>
      </c>
      <c r="U447" s="2">
        <f>_xlfn.IFNA(VLOOKUP(scheduleapr[[#This Row],[Bucket]],salesforecast[[#All],[Bucket2]:[8406 Stock]],19,0),0)</f>
        <v>1.1482300000000001</v>
      </c>
      <c r="V447" s="562">
        <f>_xlfn.IFNA(VLOOKUP(scheduleapr[[#This Row],[Bucket]],salesforecast[[#All],[Bucket2]:[8406 Stock]],20,0),0)+_xlfn.IFNA(VLOOKUP(scheduleapr[[#This Row],[Bucket]],salesforecast[[#All],[Bucket2]:[8406 Stock]],17,0),0)</f>
        <v>0</v>
      </c>
      <c r="W447" s="557"/>
      <c r="X447" s="1">
        <v>25.4</v>
      </c>
      <c r="Y447" s="1">
        <v>25.4</v>
      </c>
      <c r="Z447" s="1">
        <v>0</v>
      </c>
      <c r="AA447" s="1">
        <v>2</v>
      </c>
      <c r="AB447" s="24">
        <v>567</v>
      </c>
      <c r="AC447" s="24" t="s">
        <v>397</v>
      </c>
      <c r="AD447" s="24"/>
      <c r="AE447" s="24"/>
      <c r="AF447" s="2">
        <v>10000</v>
      </c>
      <c r="AG447" s="2"/>
      <c r="AH447" s="2" cm="1">
        <f t="array" ref="AH4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7" s="4">
        <f>scheduleapr[[#This Row],[SCHEDULE in nos]]-scheduleapr[[#This Row],[DISPATCH]]</f>
        <v>10000</v>
      </c>
      <c r="AJ447" s="1">
        <f>(3.14*(scheduleapr[[#This Row],[ACTUAL OD]]-scheduleapr[[#This Row],[TICKNESS]])*scheduleapr[[#This Row],[TICKNESS]]*scheduleapr[[#This Row],[LENGTH]]*7.85)/1000000*scheduleapr[[#This Row],[SCHEDULE in nos]]/1000</f>
        <v>6.5407600440000007</v>
      </c>
      <c r="AK447" s="1">
        <f>(3.14*(scheduleapr[[#This Row],[ACTUAL OD]]-scheduleapr[[#This Row],[TICKNESS]])*scheduleapr[[#This Row],[TICKNESS]]*scheduleapr[[#This Row],[LENGTH]]*7.85)/1000000*scheduleapr[[#This Row],[DISPATCH]]/1000</f>
        <v>0</v>
      </c>
      <c r="AL447" s="1">
        <f t="shared" si="15"/>
        <v>6.5407600440000007</v>
      </c>
      <c r="AM447" s="1">
        <f>scheduleapr[[#This Row],[SCHEDULE in nos]]/scheduleapr[[#This Row],[SCHEDULE IN MT]]*scheduleapr[[#This Row],[CTL Stock]]</f>
        <v>0</v>
      </c>
      <c r="AN447" s="1">
        <f>SUMIFS(stock[MT],stock[Bucket],scheduleapr[[#This Row],[Bucket]],stock[CTL Bucket],scheduleapr[[#This Row],[CTL Bucket]],stock[Plant],"0789")</f>
        <v>0</v>
      </c>
      <c r="AO447" s="1"/>
      <c r="AP447" s="1">
        <f>SUMIFS(stock[MT],stock[Bucket],scheduleapr[[#This Row],[Bucket]],stock[LL or CTL],"LL")</f>
        <v>1.1482300000000001</v>
      </c>
      <c r="AQ447" s="1">
        <f>+SUMIFS(wip[Stock(Net Wt)],wip[Bucket],scheduleapr[[#This Row],[Bucket]])/1000</f>
        <v>5.56</v>
      </c>
      <c r="AR447" s="1">
        <f t="shared" ref="AR447:AR510" si="16">AJ447-AN447</f>
        <v>6.5407600440000007</v>
      </c>
      <c r="AS447" s="118"/>
    </row>
    <row r="448" spans="1:45" x14ac:dyDescent="0.25">
      <c r="A448" s="30">
        <v>454</v>
      </c>
      <c r="B448" s="5" t="s">
        <v>1816</v>
      </c>
      <c r="C448" s="2" t="s">
        <v>291</v>
      </c>
      <c r="D448" s="2" t="s">
        <v>2002</v>
      </c>
      <c r="E448" s="2" t="s">
        <v>292</v>
      </c>
      <c r="F448" s="2" t="s">
        <v>2038</v>
      </c>
      <c r="G448" s="2" t="str">
        <f>_xlfn.CONCAT(scheduleapr[[#This Row],[CUSTOMER CODE]],"-",scheduleapr[[#This Row],[MATERIAL NO]])</f>
        <v>129695|187884|188415|189239|189240-NEW SIZE</v>
      </c>
      <c r="H448" s="2"/>
      <c r="I448" s="2" t="s">
        <v>962</v>
      </c>
      <c r="J448" s="2"/>
      <c r="K448" s="2" t="s">
        <v>1003</v>
      </c>
      <c r="L448" s="2" t="s">
        <v>239</v>
      </c>
      <c r="M448" s="2"/>
      <c r="N448" s="2"/>
      <c r="O448" s="2"/>
      <c r="P448" s="2"/>
      <c r="Q448" s="557" t="str">
        <f>CONCATENATE(scheduleapr[[#This Row],[OD]],"-",scheduleapr[[#This Row],[ID]],"-",scheduleapr[[#This Row],[TICKNESS]],"-",scheduleapr[[#This Row],[Grade]],"-",scheduleapr[[#This Row],[FC/NFC]])</f>
        <v>25.4-0-2-ERW 1-FC</v>
      </c>
      <c r="R448" s="557" t="str">
        <f>_xlfn.CONCAT(scheduleapr[[#This Row],[Bucket]],"-",scheduleapr[[#This Row],[LENGTH]]/1000)</f>
        <v>25.4-0-2-ERW 1-FC-0.66</v>
      </c>
      <c r="S448" s="557" t="e" vm="2">
        <f>COUNTIF([2]!buckets[CTL Bucket],[2]!scheduleapr[[#This Row],[CTL Bucket]])</f>
        <v>#REF!</v>
      </c>
      <c r="T448" s="2" t="s">
        <v>1816</v>
      </c>
      <c r="U448" s="2" t="s">
        <v>1913</v>
      </c>
      <c r="V448" s="557"/>
      <c r="W448" s="557"/>
      <c r="X448" s="1">
        <v>25.4</v>
      </c>
      <c r="Y448" s="1">
        <v>25.4</v>
      </c>
      <c r="Z448" s="1">
        <v>0</v>
      </c>
      <c r="AA448" s="1">
        <v>2</v>
      </c>
      <c r="AB448" s="24">
        <v>660</v>
      </c>
      <c r="AC448" s="24" t="s">
        <v>397</v>
      </c>
      <c r="AD448" s="24"/>
      <c r="AE448" s="24"/>
      <c r="AF448" s="2"/>
      <c r="AG448" s="2"/>
      <c r="AH448" s="2" cm="1">
        <f t="array" ref="AH4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8" s="4">
        <f>scheduleapr[[#This Row],[SCHEDULE in nos]]-scheduleapr[[#This Row],[DISPATCH]]</f>
        <v>0</v>
      </c>
      <c r="AJ448" s="1">
        <f>(3.14*(scheduleapr[[#This Row],[ACTUAL OD]]-scheduleapr[[#This Row],[TICKNESS]])*scheduleapr[[#This Row],[TICKNESS]]*scheduleapr[[#This Row],[LENGTH]]*7.85)/1000000*scheduleapr[[#This Row],[SCHEDULE in nos]]/1000</f>
        <v>0</v>
      </c>
      <c r="AK448" s="1">
        <f>(3.14*(scheduleapr[[#This Row],[ACTUAL OD]]-scheduleapr[[#This Row],[TICKNESS]])*scheduleapr[[#This Row],[TICKNESS]]*scheduleapr[[#This Row],[LENGTH]]*7.85)/1000000*scheduleapr[[#This Row],[DISPATCH]]/1000</f>
        <v>0</v>
      </c>
      <c r="AL448" s="1">
        <f t="shared" si="15"/>
        <v>0</v>
      </c>
      <c r="AM448" s="1" t="e">
        <f>scheduleapr[[#This Row],[SCHEDULE in nos]]/scheduleapr[[#This Row],[SCHEDULE IN MT]]*scheduleapr[[#This Row],[CTL Stock]]</f>
        <v>#DIV/0!</v>
      </c>
      <c r="AN448" s="1">
        <f>SUMIFS(stock[MT],stock[Bucket],scheduleapr[[#This Row],[Bucket]],stock[CTL Bucket],scheduleapr[[#This Row],[CTL Bucket]],stock[Plant],"0789")</f>
        <v>0</v>
      </c>
      <c r="AO448" s="1"/>
      <c r="AP448" s="1">
        <f>SUMIFS(stock[MT],stock[Bucket],scheduleapr[[#This Row],[Bucket]],stock[LL or CTL],"LL")</f>
        <v>10.738999999999999</v>
      </c>
      <c r="AQ448" s="1">
        <f>+SUMIFS(wip[Stock(Net Wt)],wip[Bucket],scheduleapr[[#This Row],[Bucket]])/1000</f>
        <v>25.931000000000001</v>
      </c>
      <c r="AR448" s="1">
        <f t="shared" si="16"/>
        <v>0</v>
      </c>
      <c r="AS448" s="118"/>
    </row>
    <row r="449" spans="1:45" x14ac:dyDescent="0.25">
      <c r="A449" s="30">
        <v>329</v>
      </c>
      <c r="B449" s="5" t="s">
        <v>1816</v>
      </c>
      <c r="C449" s="2" t="s">
        <v>291</v>
      </c>
      <c r="D449" s="2" t="s">
        <v>2002</v>
      </c>
      <c r="E449" s="2" t="s">
        <v>292</v>
      </c>
      <c r="F449" s="2">
        <v>1140302</v>
      </c>
      <c r="G449" s="2" t="str">
        <f>_xlfn.CONCAT(scheduleapr[[#This Row],[CUSTOMER CODE]],"-",scheduleapr[[#This Row],[MATERIAL NO]])</f>
        <v>129695|187884|188415|189239|189240-1140302</v>
      </c>
      <c r="H449" s="2" t="s">
        <v>2039</v>
      </c>
      <c r="I449" s="2" t="s">
        <v>962</v>
      </c>
      <c r="J449" s="2"/>
      <c r="K449" s="2"/>
      <c r="L449" s="2" t="s">
        <v>239</v>
      </c>
      <c r="M449" s="2"/>
      <c r="N449" s="2"/>
      <c r="O449" s="2"/>
      <c r="P449" s="2"/>
      <c r="Q449" s="557" t="str">
        <f>CONCATENATE(scheduleapr[[#This Row],[OD]],"-",scheduleapr[[#This Row],[ID]],"-",scheduleapr[[#This Row],[TICKNESS]],"-",scheduleapr[[#This Row],[Grade]],"-",scheduleapr[[#This Row],[FC/NFC]])</f>
        <v>25.4-0-2.6-ERW 1-</v>
      </c>
      <c r="R449" s="557" t="str">
        <f>_xlfn.CONCAT(scheduleapr[[#This Row],[Bucket]],"-",scheduleapr[[#This Row],[LENGTH]]/1000)</f>
        <v>25.4-0-2.6-ERW 1--0.36</v>
      </c>
      <c r="S449" s="557" t="e" vm="2">
        <f>COUNTIF([2]!buckets[CTL Bucket],[2]!scheduleapr[[#This Row],[CTL Bucket]])</f>
        <v>#REF!</v>
      </c>
      <c r="T449" s="557"/>
      <c r="U449" s="557"/>
      <c r="V449" s="557"/>
      <c r="W449" s="557"/>
      <c r="X449" s="1">
        <v>25.4</v>
      </c>
      <c r="Y449" s="1">
        <v>25.4</v>
      </c>
      <c r="Z449" s="1">
        <v>0</v>
      </c>
      <c r="AA449" s="1">
        <v>2.6</v>
      </c>
      <c r="AB449" s="24">
        <v>360</v>
      </c>
      <c r="AC449" s="24"/>
      <c r="AD449" s="24"/>
      <c r="AE449" s="24"/>
      <c r="AF449" s="2"/>
      <c r="AG449" s="2"/>
      <c r="AH449" s="2" t="e" cm="1">
        <f t="array" ref="AH4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49" s="4" t="e">
        <f>scheduleapr[[#This Row],[SCHEDULE in nos]]-scheduleapr[[#This Row],[DISPATCH]]</f>
        <v>#N/A</v>
      </c>
      <c r="AJ449" s="1">
        <f>(3.14*(scheduleapr[[#This Row],[ACTUAL OD]]-scheduleapr[[#This Row],[TICKNESS]])*scheduleapr[[#This Row],[TICKNESS]]*scheduleapr[[#This Row],[LENGTH]]*7.85)/1000000*scheduleapr[[#This Row],[SCHEDULE in nos]]/1000</f>
        <v>0</v>
      </c>
      <c r="AK449" s="1" t="e">
        <f>(3.14*(scheduleapr[[#This Row],[ACTUAL OD]]-scheduleapr[[#This Row],[TICKNESS]])*scheduleapr[[#This Row],[TICKNESS]]*scheduleapr[[#This Row],[LENGTH]]*7.85)/1000000*scheduleapr[[#This Row],[DISPATCH]]/1000</f>
        <v>#N/A</v>
      </c>
      <c r="AL449" s="1" t="e">
        <f t="shared" si="15"/>
        <v>#N/A</v>
      </c>
      <c r="AM449" s="1" t="e">
        <f>scheduleapr[[#This Row],[SCHEDULE in nos]]/scheduleapr[[#This Row],[SCHEDULE IN MT]]*scheduleapr[[#This Row],[CTL Stock]]</f>
        <v>#DIV/0!</v>
      </c>
      <c r="AN449" s="1">
        <f>SUMIFS(stock[MT],stock[Bucket],scheduleapr[[#This Row],[Bucket]],stock[CTL Bucket],scheduleapr[[#This Row],[CTL Bucket]],stock[Plant],"0789")</f>
        <v>0</v>
      </c>
      <c r="AO449" s="1"/>
      <c r="AP449" s="1">
        <f>SUMIFS(stock[MT],stock[Bucket],scheduleapr[[#This Row],[Bucket]],stock[LL or CTL],"LL")</f>
        <v>0</v>
      </c>
      <c r="AQ449" s="1">
        <f>+SUMIFS(wip[Stock(Net Wt)],wip[Bucket],scheduleapr[[#This Row],[Bucket]])/1000</f>
        <v>0</v>
      </c>
      <c r="AR449" s="1">
        <f t="shared" si="16"/>
        <v>0</v>
      </c>
      <c r="AS449" s="118"/>
    </row>
    <row r="450" spans="1:45" x14ac:dyDescent="0.25">
      <c r="A450" s="30">
        <v>401</v>
      </c>
      <c r="B450" s="5" t="s">
        <v>1816</v>
      </c>
      <c r="C450" s="2" t="s">
        <v>297</v>
      </c>
      <c r="D450" s="2" t="s">
        <v>2002</v>
      </c>
      <c r="E450" s="2" t="s">
        <v>292</v>
      </c>
      <c r="F450" s="2"/>
      <c r="G450" s="2" t="str">
        <f>_xlfn.CONCAT(scheduleapr[[#This Row],[CUSTOMER CODE]],"-",scheduleapr[[#This Row],[MATERIAL NO]])</f>
        <v>129695|187884|188415|189239|189240-</v>
      </c>
      <c r="H450" s="2"/>
      <c r="I450" s="2" t="s">
        <v>962</v>
      </c>
      <c r="J450" s="2"/>
      <c r="K450" s="2" t="s">
        <v>1003</v>
      </c>
      <c r="L450" s="2" t="s">
        <v>1867</v>
      </c>
      <c r="M450" s="2"/>
      <c r="N450" s="2"/>
      <c r="O450" s="2"/>
      <c r="P450" s="2"/>
      <c r="Q450" s="557" t="str">
        <f>CONCATENATE(scheduleapr[[#This Row],[OD]],"-",scheduleapr[[#This Row],[ID]],"-",scheduleapr[[#This Row],[TICKNESS]],"-",scheduleapr[[#This Row],[Grade]],"-",scheduleapr[[#This Row],[FC/NFC]])</f>
        <v>31.75-0-1.2-ERW 1-FC</v>
      </c>
      <c r="R450" s="557" t="str">
        <f>_xlfn.CONCAT(scheduleapr[[#This Row],[Bucket]],"-",scheduleapr[[#This Row],[LENGTH]]/1000)</f>
        <v>31.75-0-1.2-ERW 1-FC-0.598</v>
      </c>
      <c r="S450" s="557">
        <f>COUNTIF(scheduleapr[CTL Bucket],scheduleapr[[#This Row],[CTL Bucket]])</f>
        <v>1</v>
      </c>
      <c r="T450" s="557"/>
      <c r="U450" s="2">
        <f>_xlfn.IFNA(VLOOKUP(scheduleapr[[#This Row],[Bucket]],salesforecast[[#All],[Bucket2]:[8406 Stock]],19,0),0)</f>
        <v>0</v>
      </c>
      <c r="V450" s="562">
        <f>_xlfn.IFNA(VLOOKUP(scheduleapr[[#This Row],[Bucket]],salesforecast[[#All],[Bucket2]:[8406 Stock]],20,0),0)+_xlfn.IFNA(VLOOKUP(scheduleapr[[#This Row],[Bucket]],salesforecast[[#All],[Bucket2]:[8406 Stock]],17,0),0)</f>
        <v>0</v>
      </c>
      <c r="W450" s="557"/>
      <c r="X450" s="1">
        <v>31.75</v>
      </c>
      <c r="Y450" s="1">
        <v>31.75</v>
      </c>
      <c r="Z450" s="1">
        <v>0</v>
      </c>
      <c r="AA450" s="1">
        <v>1.2</v>
      </c>
      <c r="AB450" s="24">
        <v>598</v>
      </c>
      <c r="AC450" s="24" t="s">
        <v>397</v>
      </c>
      <c r="AD450" s="24"/>
      <c r="AE450" s="24"/>
      <c r="AF450" s="2">
        <v>5000</v>
      </c>
      <c r="AG450" s="2"/>
      <c r="AH450" s="2" cm="1">
        <f t="array" ref="AH4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1723</v>
      </c>
      <c r="AI450" s="4">
        <f>scheduleapr[[#This Row],[SCHEDULE in nos]]-scheduleapr[[#This Row],[DISPATCH]]</f>
        <v>3277</v>
      </c>
      <c r="AJ450" s="1">
        <f>(3.14*(scheduleapr[[#This Row],[ACTUAL OD]]-scheduleapr[[#This Row],[TICKNESS]])*scheduleapr[[#This Row],[TICKNESS]]*scheduleapr[[#This Row],[LENGTH]]*7.85)/1000000*scheduleapr[[#This Row],[SCHEDULE in nos]]/1000</f>
        <v>2.7018606966000003</v>
      </c>
      <c r="AK450" s="1">
        <f>(3.14*(scheduleapr[[#This Row],[ACTUAL OD]]-scheduleapr[[#This Row],[TICKNESS]])*scheduleapr[[#This Row],[TICKNESS]]*scheduleapr[[#This Row],[LENGTH]]*7.85)/1000000*scheduleapr[[#This Row],[DISPATCH]]/1000</f>
        <v>0.93106119604836013</v>
      </c>
      <c r="AL450" s="1">
        <f t="shared" si="15"/>
        <v>1.7707995005516401</v>
      </c>
      <c r="AM450" s="1">
        <f>scheduleapr[[#This Row],[SCHEDULE in nos]]/scheduleapr[[#This Row],[SCHEDULE IN MT]]*scheduleapr[[#This Row],[CTL Stock]]</f>
        <v>1057.6896150109235</v>
      </c>
      <c r="AN450" s="1">
        <f>SUMIFS(stock[MT],stock[Bucket],scheduleapr[[#This Row],[Bucket]],stock[CTL Bucket],scheduleapr[[#This Row],[CTL Bucket]],stock[Plant],"0789")</f>
        <v>0.571546</v>
      </c>
      <c r="AO450" s="1"/>
      <c r="AP450" s="1">
        <f>SUMIFS(stock[MT],stock[Bucket],scheduleapr[[#This Row],[Bucket]],stock[LL or CTL],"LL")</f>
        <v>0</v>
      </c>
      <c r="AQ450" s="1">
        <f>+SUMIFS(wip[Stock(Net Wt)],wip[Bucket],scheduleapr[[#This Row],[Bucket]])/1000</f>
        <v>0</v>
      </c>
      <c r="AR450" s="1">
        <f t="shared" si="16"/>
        <v>2.1303146966000002</v>
      </c>
      <c r="AS450" s="118"/>
    </row>
    <row r="451" spans="1:45" x14ac:dyDescent="0.25">
      <c r="A451" s="30">
        <v>463</v>
      </c>
      <c r="B451" s="5" t="s">
        <v>1816</v>
      </c>
      <c r="C451" s="2" t="s">
        <v>296</v>
      </c>
      <c r="D451" s="2" t="s">
        <v>2002</v>
      </c>
      <c r="E451" s="2" t="s">
        <v>292</v>
      </c>
      <c r="F451" s="2">
        <v>3171772</v>
      </c>
      <c r="G451" s="2" t="str">
        <f>_xlfn.CONCAT(scheduleapr[[#This Row],[CUSTOMER CODE]],"-",scheduleapr[[#This Row],[MATERIAL NO]])</f>
        <v>129695|187884|188415|189239|189240-3171772</v>
      </c>
      <c r="H451" s="2" t="s">
        <v>2040</v>
      </c>
      <c r="I451" s="2" t="s">
        <v>962</v>
      </c>
      <c r="J451" s="2"/>
      <c r="K451" s="2" t="s">
        <v>1003</v>
      </c>
      <c r="L451" s="2" t="s">
        <v>1867</v>
      </c>
      <c r="M451" s="2"/>
      <c r="N451" s="2"/>
      <c r="O451" s="2"/>
      <c r="P451" s="2"/>
      <c r="Q451" s="557" t="str">
        <f>CONCATENATE(scheduleapr[[#This Row],[OD]],"-",scheduleapr[[#This Row],[ID]],"-",scheduleapr[[#This Row],[TICKNESS]],"-",scheduleapr[[#This Row],[Grade]],"-",scheduleapr[[#This Row],[FC/NFC]])</f>
        <v>31.75-0-1.2-ERW 1-FC</v>
      </c>
      <c r="R451" s="557" t="str">
        <f>_xlfn.CONCAT(scheduleapr[[#This Row],[Bucket]],"-",scheduleapr[[#This Row],[LENGTH]]/1000)</f>
        <v>31.75-0-1.2-ERW 1-FC-1</v>
      </c>
      <c r="S451" s="557" t="e" vm="2">
        <f>COUNTIF([2]!buckets[CTL Bucket],[2]!scheduleapr[[#This Row],[CTL Bucket]])</f>
        <v>#REF!</v>
      </c>
      <c r="T451" s="557"/>
      <c r="U451" s="2">
        <f>_xlfn.IFNA(VLOOKUP(scheduleapr[[#This Row],[Bucket]],salesforecast[[#All],[Bucket2]:[8406 Stock]],19,0),0)</f>
        <v>0</v>
      </c>
      <c r="V451" s="562">
        <f>_xlfn.IFNA(VLOOKUP(scheduleapr[[#This Row],[Bucket]],salesforecast[[#All],[Bucket2]:[8406 Stock]],20,0),0)+_xlfn.IFNA(VLOOKUP(scheduleapr[[#This Row],[Bucket]],salesforecast[[#All],[Bucket2]:[8406 Stock]],17,0),0)</f>
        <v>0</v>
      </c>
      <c r="W451" s="557"/>
      <c r="X451" s="1">
        <v>31.75</v>
      </c>
      <c r="Y451" s="1">
        <v>31.75</v>
      </c>
      <c r="Z451" s="1">
        <v>0</v>
      </c>
      <c r="AA451" s="1">
        <v>1.2</v>
      </c>
      <c r="AB451" s="24">
        <v>1000</v>
      </c>
      <c r="AC451" s="24" t="s">
        <v>444</v>
      </c>
      <c r="AD451" s="24"/>
      <c r="AE451" s="24"/>
      <c r="AF451" s="2">
        <v>3000</v>
      </c>
      <c r="AG451" s="2"/>
      <c r="AH451" s="2" cm="1">
        <f t="array" ref="AH4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1" s="4">
        <f>scheduleapr[[#This Row],[SCHEDULE in nos]]-scheduleapr[[#This Row],[DISPATCH]]</f>
        <v>3000</v>
      </c>
      <c r="AJ451" s="1">
        <f>(3.14*(scheduleapr[[#This Row],[ACTUAL OD]]-scheduleapr[[#This Row],[TICKNESS]])*scheduleapr[[#This Row],[TICKNESS]]*scheduleapr[[#This Row],[LENGTH]]*7.85)/1000000*scheduleapr[[#This Row],[SCHEDULE in nos]]/1000</f>
        <v>2.71089702</v>
      </c>
      <c r="AK451" s="1">
        <f>(3.14*(scheduleapr[[#This Row],[ACTUAL OD]]-scheduleapr[[#This Row],[TICKNESS]])*scheduleapr[[#This Row],[TICKNESS]]*scheduleapr[[#This Row],[LENGTH]]*7.85)/1000000*scheduleapr[[#This Row],[DISPATCH]]/1000</f>
        <v>0</v>
      </c>
      <c r="AL451" s="1">
        <f t="shared" si="15"/>
        <v>2.71089702</v>
      </c>
      <c r="AM451" s="1">
        <f>scheduleapr[[#This Row],[SCHEDULE in nos]]/scheduleapr[[#This Row],[SCHEDULE IN MT]]*scheduleapr[[#This Row],[CTL Stock]]</f>
        <v>0</v>
      </c>
      <c r="AN451" s="1">
        <f>SUMIFS(stock[MT],stock[Bucket],scheduleapr[[#This Row],[Bucket]],stock[CTL Bucket],scheduleapr[[#This Row],[CTL Bucket]],stock[Plant],"0789")</f>
        <v>0</v>
      </c>
      <c r="AO451" s="1"/>
      <c r="AP451" s="1">
        <f>SUMIFS(stock[MT],stock[Bucket],scheduleapr[[#This Row],[Bucket]],stock[LL or CTL],"LL")</f>
        <v>0</v>
      </c>
      <c r="AQ451" s="1">
        <f>+SUMIFS(wip[Stock(Net Wt)],wip[Bucket],scheduleapr[[#This Row],[Bucket]])/1000</f>
        <v>0</v>
      </c>
      <c r="AR451" s="1">
        <f t="shared" si="16"/>
        <v>2.71089702</v>
      </c>
      <c r="AS451" s="118"/>
    </row>
    <row r="452" spans="1:45" x14ac:dyDescent="0.25">
      <c r="A452" s="30">
        <v>466</v>
      </c>
      <c r="B452" s="5" t="s">
        <v>1816</v>
      </c>
      <c r="C452" s="2" t="s">
        <v>298</v>
      </c>
      <c r="D452" s="2" t="s">
        <v>2002</v>
      </c>
      <c r="E452" s="2" t="s">
        <v>292</v>
      </c>
      <c r="F452" s="2">
        <v>1940686</v>
      </c>
      <c r="G452" s="2" t="str">
        <f>_xlfn.CONCAT(scheduleapr[[#This Row],[CUSTOMER CODE]],"-",scheduleapr[[#This Row],[MATERIAL NO]])</f>
        <v>129695|187884|188415|189239|189240-1940686</v>
      </c>
      <c r="H452" s="2" t="s">
        <v>2041</v>
      </c>
      <c r="I452" s="2" t="s">
        <v>962</v>
      </c>
      <c r="J452" s="2"/>
      <c r="K452" s="2" t="s">
        <v>1003</v>
      </c>
      <c r="L452" s="2" t="s">
        <v>239</v>
      </c>
      <c r="M452" s="2"/>
      <c r="N452" s="2"/>
      <c r="O452" s="2"/>
      <c r="P452" s="2"/>
      <c r="Q452" s="557" t="str">
        <f>CONCATENATE(scheduleapr[[#This Row],[OD]],"-",scheduleapr[[#This Row],[ID]],"-",scheduleapr[[#This Row],[TICKNESS]],"-",scheduleapr[[#This Row],[Grade]],"-",scheduleapr[[#This Row],[FC/NFC]])</f>
        <v>31.75-0-2.5-ERW 1-FC</v>
      </c>
      <c r="R452" s="557" t="str">
        <f>_xlfn.CONCAT(scheduleapr[[#This Row],[Bucket]],"-",scheduleapr[[#This Row],[LENGTH]]/1000)</f>
        <v>31.75-0-2.5-ERW 1-FC-1</v>
      </c>
      <c r="S452" s="557">
        <f>COUNTIF(scheduleapr[CTL Bucket],scheduleapr[[#This Row],[CTL Bucket]])</f>
        <v>2</v>
      </c>
      <c r="T452" s="2" t="s">
        <v>1816</v>
      </c>
      <c r="U452" s="2">
        <f>_xlfn.IFNA(VLOOKUP(scheduleapr[[#This Row],[Bucket]],salesforecast[[#All],[Bucket2]:[8406 Stock]],19,0),0)</f>
        <v>0.60838099999999995</v>
      </c>
      <c r="V452" s="562">
        <f>_xlfn.IFNA(VLOOKUP(scheduleapr[[#This Row],[Bucket]],salesforecast[[#All],[Bucket2]:[8406 Stock]],20,0),0)+_xlfn.IFNA(VLOOKUP(scheduleapr[[#This Row],[Bucket]],salesforecast[[#All],[Bucket2]:[8406 Stock]],17,0),0)</f>
        <v>4.4313009999999995</v>
      </c>
      <c r="W452" s="557"/>
      <c r="X452" s="1">
        <v>31.75</v>
      </c>
      <c r="Y452" s="1">
        <v>31.75</v>
      </c>
      <c r="Z452" s="1">
        <v>0</v>
      </c>
      <c r="AA452" s="1">
        <v>2.5</v>
      </c>
      <c r="AB452" s="24">
        <v>1000</v>
      </c>
      <c r="AC452" s="24" t="s">
        <v>444</v>
      </c>
      <c r="AD452" s="24"/>
      <c r="AE452" s="24"/>
      <c r="AF452" s="2">
        <v>15000</v>
      </c>
      <c r="AG452" s="2"/>
      <c r="AH452" s="2" cm="1">
        <f t="array" ref="AH4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2" s="4">
        <f>scheduleapr[[#This Row],[SCHEDULE in nos]]-scheduleapr[[#This Row],[DISPATCH]]</f>
        <v>15000</v>
      </c>
      <c r="AJ452" s="1">
        <f>(3.14*(scheduleapr[[#This Row],[ACTUAL OD]]-scheduleapr[[#This Row],[TICKNESS]])*scheduleapr[[#This Row],[TICKNESS]]*scheduleapr[[#This Row],[LENGTH]]*7.85)/1000000*scheduleapr[[#This Row],[SCHEDULE in nos]]/1000</f>
        <v>27.036871874999999</v>
      </c>
      <c r="AK452" s="1">
        <f>(3.14*(scheduleapr[[#This Row],[ACTUAL OD]]-scheduleapr[[#This Row],[TICKNESS]])*scheduleapr[[#This Row],[TICKNESS]]*scheduleapr[[#This Row],[LENGTH]]*7.85)/1000000*scheduleapr[[#This Row],[DISPATCH]]/1000</f>
        <v>0</v>
      </c>
      <c r="AL452" s="1">
        <f t="shared" ref="AL452:AL515" si="17">AJ452-AK452</f>
        <v>27.036871874999999</v>
      </c>
      <c r="AM452" s="1">
        <f>scheduleapr[[#This Row],[SCHEDULE in nos]]/scheduleapr[[#This Row],[SCHEDULE IN MT]]*scheduleapr[[#This Row],[CTL Stock]]</f>
        <v>0</v>
      </c>
      <c r="AN452" s="1">
        <f>SUMIFS(stock[MT],stock[Bucket],scheduleapr[[#This Row],[Bucket]],stock[CTL Bucket],scheduleapr[[#This Row],[CTL Bucket]],stock[Plant],"0789")</f>
        <v>0</v>
      </c>
      <c r="AO452" s="1"/>
      <c r="AP452" s="1">
        <f>SUMIFS(stock[MT],stock[Bucket],scheduleapr[[#This Row],[Bucket]],stock[LL or CTL],"LL")</f>
        <v>5.039682</v>
      </c>
      <c r="AQ452" s="1">
        <f>+SUMIFS(wip[Stock(Net Wt)],wip[Bucket],scheduleapr[[#This Row],[Bucket]])/1000</f>
        <v>0</v>
      </c>
      <c r="AR452" s="1">
        <f t="shared" si="16"/>
        <v>27.036871874999999</v>
      </c>
      <c r="AS452" s="118"/>
    </row>
    <row r="453" spans="1:45" x14ac:dyDescent="0.25">
      <c r="A453" s="30">
        <v>334</v>
      </c>
      <c r="B453" s="5" t="s">
        <v>1816</v>
      </c>
      <c r="C453" s="2" t="s">
        <v>291</v>
      </c>
      <c r="D453" s="2" t="s">
        <v>2002</v>
      </c>
      <c r="E453" s="2" t="s">
        <v>292</v>
      </c>
      <c r="F453" s="2">
        <v>1940745</v>
      </c>
      <c r="G453" s="2" t="str">
        <f>_xlfn.CONCAT(scheduleapr[[#This Row],[CUSTOMER CODE]],"-",scheduleapr[[#This Row],[MATERIAL NO]])</f>
        <v>129695|187884|188415|189239|189240-1940745</v>
      </c>
      <c r="H453" s="2" t="s">
        <v>2042</v>
      </c>
      <c r="I453" s="2" t="s">
        <v>962</v>
      </c>
      <c r="J453" s="2"/>
      <c r="K453" s="2"/>
      <c r="L453" s="2" t="s">
        <v>239</v>
      </c>
      <c r="M453" s="2"/>
      <c r="N453" s="2"/>
      <c r="O453" s="2"/>
      <c r="P453" s="2"/>
      <c r="Q453" s="557" t="str">
        <f>CONCATENATE(scheduleapr[[#This Row],[OD]],"-",scheduleapr[[#This Row],[ID]],"-",scheduleapr[[#This Row],[TICKNESS]],"-",scheduleapr[[#This Row],[Grade]],"-",scheduleapr[[#This Row],[FC/NFC]])</f>
        <v>38.1-0-2-ERW 1-</v>
      </c>
      <c r="R453" s="557" t="str">
        <f>_xlfn.CONCAT(scheduleapr[[#This Row],[Bucket]],"-",scheduleapr[[#This Row],[LENGTH]]/1000)</f>
        <v>38.1-0-2-ERW 1--0.927</v>
      </c>
      <c r="S453" s="557" t="e" vm="2">
        <f>COUNTIF([2]!buckets[CTL Bucket],[2]!scheduleapr[[#This Row],[CTL Bucket]])</f>
        <v>#REF!</v>
      </c>
      <c r="T453" s="557"/>
      <c r="U453" s="557"/>
      <c r="V453" s="557"/>
      <c r="W453" s="557"/>
      <c r="X453" s="1">
        <v>38.1</v>
      </c>
      <c r="Y453" s="1">
        <v>38.1</v>
      </c>
      <c r="Z453" s="1">
        <v>0</v>
      </c>
      <c r="AA453" s="1">
        <v>2</v>
      </c>
      <c r="AB453" s="24">
        <v>927</v>
      </c>
      <c r="AC453" s="24"/>
      <c r="AD453" s="24"/>
      <c r="AE453" s="24"/>
      <c r="AF453" s="2"/>
      <c r="AG453" s="2"/>
      <c r="AH453" s="2" t="e" cm="1">
        <f t="array" ref="AH4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3" s="4" t="e">
        <f>scheduleapr[[#This Row],[SCHEDULE in nos]]-scheduleapr[[#This Row],[DISPATCH]]</f>
        <v>#N/A</v>
      </c>
      <c r="AJ453" s="1">
        <f>(3.14*(scheduleapr[[#This Row],[ACTUAL OD]]-scheduleapr[[#This Row],[TICKNESS]])*scheduleapr[[#This Row],[TICKNESS]]*scheduleapr[[#This Row],[LENGTH]]*7.85)/1000000*scheduleapr[[#This Row],[SCHEDULE in nos]]/1000</f>
        <v>0</v>
      </c>
      <c r="AK453" s="1" t="e">
        <f>(3.14*(scheduleapr[[#This Row],[ACTUAL OD]]-scheduleapr[[#This Row],[TICKNESS]])*scheduleapr[[#This Row],[TICKNESS]]*scheduleapr[[#This Row],[LENGTH]]*7.85)/1000000*scheduleapr[[#This Row],[DISPATCH]]/1000</f>
        <v>#N/A</v>
      </c>
      <c r="AL453" s="1" t="e">
        <f t="shared" si="17"/>
        <v>#N/A</v>
      </c>
      <c r="AM453" s="1" t="e">
        <f>scheduleapr[[#This Row],[SCHEDULE in nos]]/scheduleapr[[#This Row],[SCHEDULE IN MT]]*scheduleapr[[#This Row],[CTL Stock]]</f>
        <v>#DIV/0!</v>
      </c>
      <c r="AN453" s="1">
        <f>SUMIFS(stock[MT],stock[Bucket],scheduleapr[[#This Row],[Bucket]],stock[CTL Bucket],scheduleapr[[#This Row],[CTL Bucket]],stock[Plant],"0789")</f>
        <v>0</v>
      </c>
      <c r="AO453" s="1"/>
      <c r="AP453" s="1">
        <f>SUMIFS(stock[MT],stock[Bucket],scheduleapr[[#This Row],[Bucket]],stock[LL or CTL],"LL")</f>
        <v>0</v>
      </c>
      <c r="AQ453" s="1">
        <f>+SUMIFS(wip[Stock(Net Wt)],wip[Bucket],scheduleapr[[#This Row],[Bucket]])/1000</f>
        <v>0</v>
      </c>
      <c r="AR453" s="1">
        <f t="shared" si="16"/>
        <v>0</v>
      </c>
      <c r="AS453" s="118"/>
    </row>
    <row r="454" spans="1:45" x14ac:dyDescent="0.25">
      <c r="A454" s="556"/>
      <c r="B454" s="5" t="s">
        <v>1816</v>
      </c>
      <c r="C454" s="2" t="s">
        <v>299</v>
      </c>
      <c r="D454" s="48" t="s">
        <v>2002</v>
      </c>
      <c r="E454" s="2" t="s">
        <v>292</v>
      </c>
      <c r="F454" s="557"/>
      <c r="G454" s="2" t="str">
        <f>_xlfn.CONCAT(scheduleapr[[#This Row],[CUSTOMER CODE]],"-",scheduleapr[[#This Row],[MATERIAL NO]])</f>
        <v>129695|187884|188415|189239|189240-</v>
      </c>
      <c r="H454" s="557"/>
      <c r="I454" s="2" t="s">
        <v>962</v>
      </c>
      <c r="J454" s="557"/>
      <c r="K454" s="2" t="s">
        <v>1003</v>
      </c>
      <c r="L454" s="557"/>
      <c r="M454" s="558"/>
      <c r="N454" s="557"/>
      <c r="O454" s="557"/>
      <c r="P454" s="557"/>
      <c r="Q454" s="557"/>
      <c r="R454" s="557"/>
      <c r="S454" s="557"/>
      <c r="T454" s="2"/>
      <c r="U454" s="2">
        <f>_xlfn.IFNA(VLOOKUP(scheduleapr[[#This Row],[Bucket]],salesforecast[[#All],[Bucket2]:[8406 Stock]],19,0),0)</f>
        <v>0</v>
      </c>
      <c r="V454" s="3"/>
      <c r="W454" s="2"/>
      <c r="X454" s="559">
        <v>41.28</v>
      </c>
      <c r="Y454" s="559">
        <v>40</v>
      </c>
      <c r="Z454" s="559">
        <v>25</v>
      </c>
      <c r="AA454" s="559">
        <v>1.6</v>
      </c>
      <c r="AB454" s="24">
        <v>647</v>
      </c>
      <c r="AC454" s="81" t="s">
        <v>397</v>
      </c>
      <c r="AD454" s="24"/>
      <c r="AE454" s="24"/>
      <c r="AF454" s="557">
        <v>8000</v>
      </c>
      <c r="AG454" s="557"/>
      <c r="AH454" s="2" cm="1">
        <f t="array" ref="AH4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4" s="560">
        <f>scheduleapr[[#This Row],[SCHEDULE in nos]]-scheduleapr[[#This Row],[DISPATCH]]</f>
        <v>8000</v>
      </c>
      <c r="AJ454" s="559">
        <f>(3.14*(scheduleapr[[#This Row],[ACTUAL OD]]-scheduleapr[[#This Row],[TICKNESS]])*scheduleapr[[#This Row],[TICKNESS]]*scheduleapr[[#This Row],[LENGTH]]*7.85)/1000000*scheduleapr[[#This Row],[SCHEDULE in nos]]/1000</f>
        <v>8.1000037253119999</v>
      </c>
      <c r="AK454" s="1">
        <f>(3.14*(scheduleapr[[#This Row],[ACTUAL OD]]-scheduleapr[[#This Row],[TICKNESS]])*scheduleapr[[#This Row],[TICKNESS]]*scheduleapr[[#This Row],[LENGTH]]*7.85)/1000000*scheduleapr[[#This Row],[DISPATCH]]/1000</f>
        <v>0</v>
      </c>
      <c r="AL454" s="1">
        <f t="shared" si="17"/>
        <v>8.1000037253119999</v>
      </c>
      <c r="AM454" s="559">
        <f>scheduleapr[[#This Row],[SCHEDULE in nos]]/scheduleapr[[#This Row],[SCHEDULE IN MT]]*scheduleapr[[#This Row],[CTL Stock]]</f>
        <v>0</v>
      </c>
      <c r="AN454" s="1">
        <f>SUMIFS(stock[MT],stock[Bucket],scheduleapr[[#This Row],[Bucket]],stock[CTL Bucket],scheduleapr[[#This Row],[CTL Bucket]],stock[Plant],"0789")</f>
        <v>0</v>
      </c>
      <c r="AO454" s="1"/>
      <c r="AP454" s="1">
        <f>SUMIFS(stock[MT],stock[Bucket],scheduleapr[[#This Row],[Bucket]],stock[LL or CTL],"LL")</f>
        <v>0</v>
      </c>
      <c r="AQ454" s="1">
        <f>+SUMIFS(wip[Stock(Net Wt)],wip[Bucket],scheduleapr[[#This Row],[Bucket]])/1000</f>
        <v>0</v>
      </c>
      <c r="AR454" s="1">
        <f t="shared" si="16"/>
        <v>8.1000037253119999</v>
      </c>
      <c r="AS454" s="118"/>
    </row>
    <row r="455" spans="1:45" x14ac:dyDescent="0.25">
      <c r="A455" s="30">
        <v>335</v>
      </c>
      <c r="B455" s="5" t="s">
        <v>1816</v>
      </c>
      <c r="C455" s="2" t="s">
        <v>291</v>
      </c>
      <c r="D455" s="2" t="s">
        <v>2002</v>
      </c>
      <c r="E455" s="2" t="s">
        <v>292</v>
      </c>
      <c r="F455" s="2">
        <v>3087646</v>
      </c>
      <c r="G455" s="2" t="str">
        <f>_xlfn.CONCAT(scheduleapr[[#This Row],[CUSTOMER CODE]],"-",scheduleapr[[#This Row],[MATERIAL NO]])</f>
        <v>129695|187884|188415|189239|189240-3087646</v>
      </c>
      <c r="H455" s="2" t="s">
        <v>2043</v>
      </c>
      <c r="I455" s="2" t="s">
        <v>962</v>
      </c>
      <c r="J455" s="2"/>
      <c r="K455" s="2" t="s">
        <v>1003</v>
      </c>
      <c r="L455" s="2" t="s">
        <v>239</v>
      </c>
      <c r="M455" s="2"/>
      <c r="N455" s="2"/>
      <c r="O455" s="2"/>
      <c r="P455" s="2"/>
      <c r="Q455" s="563" t="str">
        <f>CONCATENATE(scheduleapr[[#This Row],[OD]],"-",scheduleapr[[#This Row],[ID]],"-",scheduleapr[[#This Row],[TICKNESS]],"-",scheduleapr[[#This Row],[Grade]],"-",scheduleapr[[#This Row],[FC/NFC]])</f>
        <v>41.28-0-2.6-ERW 1-FC</v>
      </c>
      <c r="R455" s="557" t="str">
        <f>_xlfn.CONCAT(scheduleapr[[#This Row],[Bucket]],"-",scheduleapr[[#This Row],[LENGTH]]/1000)</f>
        <v>41.28-0-2.6-ERW 1-FC-0.848</v>
      </c>
      <c r="S455" s="557" t="e" vm="2">
        <f>COUNTIF([2]!buckets[CTL Bucket],[2]!scheduleapr[[#This Row],[CTL Bucket]])</f>
        <v>#REF!</v>
      </c>
      <c r="T455" s="557"/>
      <c r="U455" s="557"/>
      <c r="V455" s="557"/>
      <c r="W455" s="557"/>
      <c r="X455" s="1">
        <v>41.28</v>
      </c>
      <c r="Y455" s="1">
        <v>41.28</v>
      </c>
      <c r="Z455" s="1">
        <v>0</v>
      </c>
      <c r="AA455" s="1">
        <v>2.6</v>
      </c>
      <c r="AB455" s="24">
        <v>848</v>
      </c>
      <c r="AC455" s="24"/>
      <c r="AD455" s="24"/>
      <c r="AE455" s="24"/>
      <c r="AF455" s="2"/>
      <c r="AG455" s="2"/>
      <c r="AH455" s="2" t="e" cm="1">
        <f t="array" ref="AH4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5" s="4" t="e">
        <f>scheduleapr[[#This Row],[SCHEDULE in nos]]-scheduleapr[[#This Row],[DISPATCH]]</f>
        <v>#N/A</v>
      </c>
      <c r="AJ455" s="1">
        <f>(3.14*(scheduleapr[[#This Row],[ACTUAL OD]]-scheduleapr[[#This Row],[TICKNESS]])*scheduleapr[[#This Row],[TICKNESS]]*scheduleapr[[#This Row],[LENGTH]]*7.85)/1000000*scheduleapr[[#This Row],[SCHEDULE in nos]]/1000</f>
        <v>0</v>
      </c>
      <c r="AK455" s="1" t="e">
        <f>(3.14*(scheduleapr[[#This Row],[ACTUAL OD]]-scheduleapr[[#This Row],[TICKNESS]])*scheduleapr[[#This Row],[TICKNESS]]*scheduleapr[[#This Row],[LENGTH]]*7.85)/1000000*scheduleapr[[#This Row],[DISPATCH]]/1000</f>
        <v>#N/A</v>
      </c>
      <c r="AL455" s="1" t="e">
        <f t="shared" si="17"/>
        <v>#N/A</v>
      </c>
      <c r="AM455" s="1" t="e">
        <f>scheduleapr[[#This Row],[SCHEDULE in nos]]/scheduleapr[[#This Row],[SCHEDULE IN MT]]*scheduleapr[[#This Row],[CTL Stock]]</f>
        <v>#DIV/0!</v>
      </c>
      <c r="AN455" s="1">
        <f>SUMIFS(stock[MT],stock[Bucket],scheduleapr[[#This Row],[Bucket]],stock[CTL Bucket],scheduleapr[[#This Row],[CTL Bucket]],stock[Plant],"0789")</f>
        <v>0</v>
      </c>
      <c r="AO455" s="1"/>
      <c r="AP455" s="1">
        <f>SUMIFS(stock[MT],stock[Bucket],scheduleapr[[#This Row],[Bucket]],stock[LL or CTL],"LL")</f>
        <v>0</v>
      </c>
      <c r="AQ455" s="1">
        <f>+SUMIFS(wip[Stock(Net Wt)],wip[Bucket],scheduleapr[[#This Row],[Bucket]])/1000</f>
        <v>0</v>
      </c>
      <c r="AR455" s="1">
        <f t="shared" si="16"/>
        <v>0</v>
      </c>
      <c r="AS455" s="118"/>
    </row>
    <row r="456" spans="1:45" x14ac:dyDescent="0.25">
      <c r="A456" s="30">
        <v>476</v>
      </c>
      <c r="B456" s="5" t="s">
        <v>1872</v>
      </c>
      <c r="C456" s="2" t="s">
        <v>299</v>
      </c>
      <c r="D456" s="48" t="s">
        <v>2002</v>
      </c>
      <c r="E456" s="2" t="s">
        <v>292</v>
      </c>
      <c r="F456" s="2">
        <v>3605867</v>
      </c>
      <c r="G456" s="2" t="str">
        <f>_xlfn.CONCAT(scheduleapr[[#This Row],[CUSTOMER CODE]],"-",scheduleapr[[#This Row],[MATERIAL NO]])</f>
        <v>129695|187884|188415|189239|189240-3605867</v>
      </c>
      <c r="H456" s="2" t="s">
        <v>2044</v>
      </c>
      <c r="I456" s="2" t="s">
        <v>962</v>
      </c>
      <c r="J456" s="2"/>
      <c r="K456" s="2" t="s">
        <v>1003</v>
      </c>
      <c r="L456" s="2" t="s">
        <v>239</v>
      </c>
      <c r="M456" s="2"/>
      <c r="N456" s="2" t="s">
        <v>1516</v>
      </c>
      <c r="O456" s="2"/>
      <c r="P456" s="2"/>
      <c r="Q456" s="557" t="str">
        <f>CONCATENATE(scheduleapr[[#This Row],[OD]],"-",scheduleapr[[#This Row],[ID]],"-",scheduleapr[[#This Row],[TICKNESS]],"-",scheduleapr[[#This Row],[Grade]],"-",scheduleapr[[#This Row],[FC/NFC]])</f>
        <v>41.28-0-3.2-ERW 1-FC</v>
      </c>
      <c r="R456" s="557" t="str">
        <f>_xlfn.CONCAT(scheduleapr[[#This Row],[Bucket]],"-",scheduleapr[[#This Row],[LENGTH]]/1000)</f>
        <v>41.28-0-3.2-ERW 1-FC-0.23</v>
      </c>
      <c r="S456" s="557">
        <f>COUNTIF(scheduleapr[CTL Bucket],scheduleapr[[#This Row],[CTL Bucket]])</f>
        <v>1</v>
      </c>
      <c r="T456" s="2" t="s">
        <v>1816</v>
      </c>
      <c r="U456" s="2">
        <f>_xlfn.IFNA(VLOOKUP(scheduleapr[[#This Row],[Bucket]],salesforecast[[#All],[Bucket2]:[8406 Stock]],19,0),0)</f>
        <v>0</v>
      </c>
      <c r="V456" s="562">
        <f>_xlfn.IFNA(VLOOKUP(scheduleapr[[#This Row],[Bucket]],salesforecast[[#All],[Bucket2]:[8406 Stock]],20,0),0)+_xlfn.IFNA(VLOOKUP(scheduleapr[[#This Row],[Bucket]],salesforecast[[#All],[Bucket2]:[8406 Stock]],17,0),0)</f>
        <v>0</v>
      </c>
      <c r="W456" s="557"/>
      <c r="X456" s="1">
        <v>41.28</v>
      </c>
      <c r="Y456" s="1">
        <v>41.28</v>
      </c>
      <c r="Z456" s="1">
        <v>0</v>
      </c>
      <c r="AA456" s="1">
        <v>3.2</v>
      </c>
      <c r="AB456" s="81">
        <v>230</v>
      </c>
      <c r="AC456" s="24" t="s">
        <v>397</v>
      </c>
      <c r="AD456" s="24"/>
      <c r="AE456" s="24"/>
      <c r="AF456" s="2">
        <v>10000</v>
      </c>
      <c r="AG456" s="2"/>
      <c r="AH456" s="2" cm="1">
        <f t="array" ref="AH4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11196</v>
      </c>
      <c r="AI456" s="4">
        <f>scheduleapr[[#This Row],[SCHEDULE in nos]]-scheduleapr[[#This Row],[DISPATCH]]</f>
        <v>-1196</v>
      </c>
      <c r="AJ456" s="1">
        <f>(3.14*(scheduleapr[[#This Row],[ACTUAL OD]]-scheduleapr[[#This Row],[TICKNESS]])*scheduleapr[[#This Row],[TICKNESS]]*scheduleapr[[#This Row],[LENGTH]]*7.85)/1000000*scheduleapr[[#This Row],[SCHEDULE in nos]]/1000</f>
        <v>6.9083456512000012</v>
      </c>
      <c r="AK456" s="1">
        <f>(3.14*(scheduleapr[[#This Row],[ACTUAL OD]]-scheduleapr[[#This Row],[TICKNESS]])*scheduleapr[[#This Row],[TICKNESS]]*scheduleapr[[#This Row],[LENGTH]]*7.85)/1000000*scheduleapr[[#This Row],[DISPATCH]]/1000</f>
        <v>7.7345837910835211</v>
      </c>
      <c r="AL456" s="1">
        <f t="shared" si="17"/>
        <v>-0.82623813988351991</v>
      </c>
      <c r="AM456" s="1">
        <f>scheduleapr[[#This Row],[SCHEDULE in nos]]/scheduleapr[[#This Row],[SCHEDULE IN MT]]*scheduleapr[[#This Row],[CTL Stock]]</f>
        <v>59.248627770803786</v>
      </c>
      <c r="AN456" s="1">
        <f>SUMIFS(stock[MT],stock[Bucket],scheduleapr[[#This Row],[Bucket]],stock[CTL Bucket],scheduleapr[[#This Row],[CTL Bucket]],stock[Plant],"0789")</f>
        <v>4.0930999999999995E-2</v>
      </c>
      <c r="AO456" s="1"/>
      <c r="AP456" s="1">
        <f>SUMIFS(stock[MT],stock[Bucket],scheduleapr[[#This Row],[Bucket]],stock[LL or CTL],"LL")</f>
        <v>0</v>
      </c>
      <c r="AQ456" s="1">
        <f>+SUMIFS(wip[Stock(Net Wt)],wip[Bucket],scheduleapr[[#This Row],[Bucket]])/1000</f>
        <v>7.141</v>
      </c>
      <c r="AR456" s="1">
        <f t="shared" si="16"/>
        <v>6.8674146512000016</v>
      </c>
      <c r="AS456" s="118"/>
    </row>
    <row r="457" spans="1:45" x14ac:dyDescent="0.25">
      <c r="A457" s="30">
        <v>336</v>
      </c>
      <c r="B457" s="5" t="s">
        <v>1816</v>
      </c>
      <c r="C457" s="2" t="s">
        <v>291</v>
      </c>
      <c r="D457" s="48" t="s">
        <v>2002</v>
      </c>
      <c r="E457" s="2" t="s">
        <v>292</v>
      </c>
      <c r="F457" s="2">
        <v>3605867</v>
      </c>
      <c r="G457" s="2" t="str">
        <f>_xlfn.CONCAT(scheduleapr[[#This Row],[CUSTOMER CODE]],"-",scheduleapr[[#This Row],[MATERIAL NO]])</f>
        <v>129695|187884|188415|189239|189240-3605867</v>
      </c>
      <c r="H457" s="2" t="s">
        <v>2044</v>
      </c>
      <c r="I457" s="2" t="s">
        <v>962</v>
      </c>
      <c r="J457" s="2"/>
      <c r="K457" s="2"/>
      <c r="L457" s="2" t="s">
        <v>239</v>
      </c>
      <c r="M457" s="2"/>
      <c r="N457" s="2"/>
      <c r="O457" s="2"/>
      <c r="P457" s="2"/>
      <c r="Q457" s="557" t="str">
        <f>CONCATENATE(scheduleapr[[#This Row],[OD]],"-",scheduleapr[[#This Row],[ID]],"-",scheduleapr[[#This Row],[TICKNESS]],"-",scheduleapr[[#This Row],[Grade]],"-",scheduleapr[[#This Row],[FC/NFC]])</f>
        <v>41.28-0-3.2-ERW 1-</v>
      </c>
      <c r="R457" s="557" t="str">
        <f>_xlfn.CONCAT(scheduleapr[[#This Row],[Bucket]],"-",scheduleapr[[#This Row],[LENGTH]]/1000)</f>
        <v>41.28-0-3.2-ERW 1--0.235</v>
      </c>
      <c r="S457" s="557" t="e" vm="2">
        <f>COUNTIF([2]!buckets[CTL Bucket],[2]!scheduleapr[[#This Row],[CTL Bucket]])</f>
        <v>#REF!</v>
      </c>
      <c r="T457" s="557"/>
      <c r="U457" s="557"/>
      <c r="V457" s="557"/>
      <c r="W457" s="557"/>
      <c r="X457" s="1">
        <v>41.28</v>
      </c>
      <c r="Y457" s="1">
        <v>41.28</v>
      </c>
      <c r="Z457" s="1">
        <v>0</v>
      </c>
      <c r="AA457" s="1">
        <v>3.2</v>
      </c>
      <c r="AB457" s="24">
        <v>235</v>
      </c>
      <c r="AC457" s="24"/>
      <c r="AD457" s="24"/>
      <c r="AE457" s="24"/>
      <c r="AF457" s="2"/>
      <c r="AG457" s="2"/>
      <c r="AH457" s="2" t="e" cm="1">
        <f t="array" ref="AH4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7" s="4" t="e">
        <f>scheduleapr[[#This Row],[SCHEDULE in nos]]-scheduleapr[[#This Row],[DISPATCH]]</f>
        <v>#N/A</v>
      </c>
      <c r="AJ457" s="1">
        <f>(3.14*(scheduleapr[[#This Row],[ACTUAL OD]]-scheduleapr[[#This Row],[TICKNESS]])*scheduleapr[[#This Row],[TICKNESS]]*scheduleapr[[#This Row],[LENGTH]]*7.85)/1000000*scheduleapr[[#This Row],[SCHEDULE in nos]]/1000</f>
        <v>0</v>
      </c>
      <c r="AK457" s="1" t="e">
        <f>(3.14*(scheduleapr[[#This Row],[ACTUAL OD]]-scheduleapr[[#This Row],[TICKNESS]])*scheduleapr[[#This Row],[TICKNESS]]*scheduleapr[[#This Row],[LENGTH]]*7.85)/1000000*scheduleapr[[#This Row],[DISPATCH]]/1000</f>
        <v>#N/A</v>
      </c>
      <c r="AL457" s="1" t="e">
        <f t="shared" si="17"/>
        <v>#N/A</v>
      </c>
      <c r="AM457" s="1" t="e">
        <f>scheduleapr[[#This Row],[SCHEDULE in nos]]/scheduleapr[[#This Row],[SCHEDULE IN MT]]*scheduleapr[[#This Row],[CTL Stock]]</f>
        <v>#DIV/0!</v>
      </c>
      <c r="AN457" s="1">
        <f>SUMIFS(stock[MT],stock[Bucket],scheduleapr[[#This Row],[Bucket]],stock[CTL Bucket],scheduleapr[[#This Row],[CTL Bucket]],stock[Plant],"0789")</f>
        <v>0</v>
      </c>
      <c r="AO457" s="1"/>
      <c r="AP457" s="1">
        <f>SUMIFS(stock[MT],stock[Bucket],scheduleapr[[#This Row],[Bucket]],stock[LL or CTL],"LL")</f>
        <v>0</v>
      </c>
      <c r="AQ457" s="1">
        <f>+SUMIFS(wip[Stock(Net Wt)],wip[Bucket],scheduleapr[[#This Row],[Bucket]])/1000</f>
        <v>0</v>
      </c>
      <c r="AR457" s="1">
        <f t="shared" si="16"/>
        <v>0</v>
      </c>
      <c r="AS457" s="118"/>
    </row>
    <row r="458" spans="1:45" x14ac:dyDescent="0.25">
      <c r="A458" s="30">
        <v>337</v>
      </c>
      <c r="B458" s="5" t="s">
        <v>1816</v>
      </c>
      <c r="C458" s="2" t="s">
        <v>291</v>
      </c>
      <c r="D458" s="48" t="s">
        <v>2002</v>
      </c>
      <c r="E458" s="2" t="s">
        <v>292</v>
      </c>
      <c r="F458" s="2">
        <v>1511515</v>
      </c>
      <c r="G458" s="2" t="str">
        <f>_xlfn.CONCAT(scheduleapr[[#This Row],[CUSTOMER CODE]],"-",scheduleapr[[#This Row],[MATERIAL NO]])</f>
        <v>129695|187884|188415|189239|189240-1511515</v>
      </c>
      <c r="H458" s="2" t="s">
        <v>2045</v>
      </c>
      <c r="I458" s="2" t="s">
        <v>962</v>
      </c>
      <c r="J458" s="2" t="s">
        <v>1894</v>
      </c>
      <c r="K458" s="2"/>
      <c r="L458" s="2" t="s">
        <v>239</v>
      </c>
      <c r="M458" s="2"/>
      <c r="N458" s="2"/>
      <c r="O458" s="2"/>
      <c r="P458" s="2"/>
      <c r="Q458" s="557" t="str">
        <f>CONCATENATE(scheduleapr[[#This Row],[OD]],"-",scheduleapr[[#This Row],[ID]],"-",scheduleapr[[#This Row],[TICKNESS]],"-",scheduleapr[[#This Row],[Grade]],"-",scheduleapr[[#This Row],[FC/NFC]])</f>
        <v>42.7-0-4-ERW 1-</v>
      </c>
      <c r="R458" s="557" t="str">
        <f>_xlfn.CONCAT(scheduleapr[[#This Row],[Bucket]],"-",scheduleapr[[#This Row],[LENGTH]]/1000)</f>
        <v>42.7-0-4-ERW 1--0.208</v>
      </c>
      <c r="S458" s="557" t="e" vm="2">
        <f>COUNTIF([2]!buckets[CTL Bucket],[2]!scheduleapr[[#This Row],[CTL Bucket]])</f>
        <v>#REF!</v>
      </c>
      <c r="T458" s="557"/>
      <c r="U458" s="557"/>
      <c r="V458" s="557"/>
      <c r="W458" s="557"/>
      <c r="X458" s="1">
        <v>42.7</v>
      </c>
      <c r="Y458" s="1">
        <v>42.7</v>
      </c>
      <c r="Z458" s="1">
        <v>0</v>
      </c>
      <c r="AA458" s="1">
        <v>4</v>
      </c>
      <c r="AB458" s="24">
        <v>208</v>
      </c>
      <c r="AC458" s="24"/>
      <c r="AD458" s="24"/>
      <c r="AE458" s="24"/>
      <c r="AF458" s="2"/>
      <c r="AG458" s="2"/>
      <c r="AH458" s="2" t="e" cm="1">
        <f t="array" ref="AH4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8" s="4" t="e">
        <f>scheduleapr[[#This Row],[SCHEDULE in nos]]-scheduleapr[[#This Row],[DISPATCH]]</f>
        <v>#N/A</v>
      </c>
      <c r="AJ458" s="1">
        <f>(3.14*(scheduleapr[[#This Row],[ACTUAL OD]]-scheduleapr[[#This Row],[TICKNESS]])*scheduleapr[[#This Row],[TICKNESS]]*scheduleapr[[#This Row],[LENGTH]]*7.85)/1000000*scheduleapr[[#This Row],[SCHEDULE in nos]]/1000</f>
        <v>0</v>
      </c>
      <c r="AK458" s="1" t="e">
        <f>(3.14*(scheduleapr[[#This Row],[ACTUAL OD]]-scheduleapr[[#This Row],[TICKNESS]])*scheduleapr[[#This Row],[TICKNESS]]*scheduleapr[[#This Row],[LENGTH]]*7.85)/1000000*scheduleapr[[#This Row],[DISPATCH]]/1000</f>
        <v>#N/A</v>
      </c>
      <c r="AL458" s="1" t="e">
        <f t="shared" si="17"/>
        <v>#N/A</v>
      </c>
      <c r="AM458" s="1" t="e">
        <f>scheduleapr[[#This Row],[SCHEDULE in nos]]/scheduleapr[[#This Row],[SCHEDULE IN MT]]*scheduleapr[[#This Row],[CTL Stock]]</f>
        <v>#DIV/0!</v>
      </c>
      <c r="AN458" s="1">
        <f>SUMIFS(stock[MT],stock[Bucket],scheduleapr[[#This Row],[Bucket]],stock[CTL Bucket],scheduleapr[[#This Row],[CTL Bucket]],stock[Plant],"0789")</f>
        <v>0</v>
      </c>
      <c r="AO458" s="1"/>
      <c r="AP458" s="1">
        <f>SUMIFS(stock[MT],stock[Bucket],scheduleapr[[#This Row],[Bucket]],stock[LL or CTL],"LL")</f>
        <v>0</v>
      </c>
      <c r="AQ458" s="1">
        <f>+SUMIFS(wip[Stock(Net Wt)],wip[Bucket],scheduleapr[[#This Row],[Bucket]])/1000</f>
        <v>0</v>
      </c>
      <c r="AR458" s="1">
        <f t="shared" si="16"/>
        <v>0</v>
      </c>
      <c r="AS458" s="118"/>
    </row>
    <row r="459" spans="1:45" x14ac:dyDescent="0.25">
      <c r="A459" s="30">
        <v>482</v>
      </c>
      <c r="B459" s="5" t="s">
        <v>1872</v>
      </c>
      <c r="C459" s="2" t="s">
        <v>299</v>
      </c>
      <c r="D459" s="2" t="s">
        <v>2002</v>
      </c>
      <c r="E459" s="2" t="s">
        <v>292</v>
      </c>
      <c r="F459" s="2">
        <v>1938358</v>
      </c>
      <c r="G459" s="2" t="str">
        <f>_xlfn.CONCAT(scheduleapr[[#This Row],[CUSTOMER CODE]],"-",scheduleapr[[#This Row],[MATERIAL NO]])</f>
        <v>129695|187884|188415|189239|189240-1938358</v>
      </c>
      <c r="H459" s="2" t="s">
        <v>892</v>
      </c>
      <c r="I459" s="2" t="s">
        <v>962</v>
      </c>
      <c r="J459" s="2" t="s">
        <v>1894</v>
      </c>
      <c r="K459" s="2" t="s">
        <v>1003</v>
      </c>
      <c r="L459" s="2" t="s">
        <v>239</v>
      </c>
      <c r="M459" s="2"/>
      <c r="N459" s="2" t="s">
        <v>1516</v>
      </c>
      <c r="O459" s="2"/>
      <c r="P459" s="2"/>
      <c r="Q459" s="557" t="str">
        <f>CONCATENATE(scheduleapr[[#This Row],[OD]],"-",scheduleapr[[#This Row],[ID]],"-",scheduleapr[[#This Row],[TICKNESS]],"-",scheduleapr[[#This Row],[Grade]],"-",scheduleapr[[#This Row],[FC/NFC]])</f>
        <v>42.7-0-4-ERW 1-FC</v>
      </c>
      <c r="R459" s="557" t="str">
        <f>_xlfn.CONCAT(scheduleapr[[#This Row],[Bucket]],"-",scheduleapr[[#This Row],[LENGTH]]/1000)</f>
        <v>42.7-0-4-ERW 1-FC-0.254</v>
      </c>
      <c r="S459" s="557">
        <f>COUNTIF(scheduleapr[CTL Bucket],scheduleapr[[#This Row],[CTL Bucket]])</f>
        <v>2</v>
      </c>
      <c r="T459" s="2" t="s">
        <v>1817</v>
      </c>
      <c r="U459" s="2">
        <f>_xlfn.IFNA(VLOOKUP(scheduleapr[[#This Row],[Bucket]],salesforecast[[#All],[Bucket2]:[8406 Stock]],19,0),0)</f>
        <v>0.28338300000000016</v>
      </c>
      <c r="V459" s="562">
        <f>_xlfn.IFNA(VLOOKUP(scheduleapr[[#This Row],[Bucket]],salesforecast[[#All],[Bucket2]:[8406 Stock]],20,0),0)+_xlfn.IFNA(VLOOKUP(scheduleapr[[#This Row],[Bucket]],salesforecast[[#All],[Bucket2]:[8406 Stock]],17,0),0)</f>
        <v>29.067884000000003</v>
      </c>
      <c r="W459" s="557"/>
      <c r="X459" s="1">
        <v>42.7</v>
      </c>
      <c r="Y459" s="1">
        <v>42.7</v>
      </c>
      <c r="Z459" s="1">
        <v>0</v>
      </c>
      <c r="AA459" s="1">
        <v>4</v>
      </c>
      <c r="AB459" s="24">
        <v>254</v>
      </c>
      <c r="AC459" s="24" t="s">
        <v>397</v>
      </c>
      <c r="AD459" s="24"/>
      <c r="AE459" s="24"/>
      <c r="AF459" s="2">
        <v>7000</v>
      </c>
      <c r="AG459" s="2"/>
      <c r="AH459" s="2" cm="1">
        <f t="array" ref="AH4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760</v>
      </c>
      <c r="AI459" s="4">
        <f>scheduleapr[[#This Row],[SCHEDULE in nos]]-scheduleapr[[#This Row],[DISPATCH]]</f>
        <v>6240</v>
      </c>
      <c r="AJ459" s="1">
        <f>(3.14*(scheduleapr[[#This Row],[ACTUAL OD]]-scheduleapr[[#This Row],[TICKNESS]])*scheduleapr[[#This Row],[TICKNESS]]*scheduleapr[[#This Row],[LENGTH]]*7.85)/1000000*scheduleapr[[#This Row],[SCHEDULE in nos]]/1000</f>
        <v>6.7842527256</v>
      </c>
      <c r="AK459" s="1">
        <f>(3.14*(scheduleapr[[#This Row],[ACTUAL OD]]-scheduleapr[[#This Row],[TICKNESS]])*scheduleapr[[#This Row],[TICKNESS]]*scheduleapr[[#This Row],[LENGTH]]*7.85)/1000000*scheduleapr[[#This Row],[DISPATCH]]/1000</f>
        <v>0.73657601020800012</v>
      </c>
      <c r="AL459" s="1">
        <f t="shared" si="17"/>
        <v>6.0476767153919999</v>
      </c>
      <c r="AM459" s="1">
        <f>scheduleapr[[#This Row],[SCHEDULE in nos]]/scheduleapr[[#This Row],[SCHEDULE IN MT]]*scheduleapr[[#This Row],[CTL Stock]]</f>
        <v>0</v>
      </c>
      <c r="AN459" s="1">
        <f>SUMIFS(stock[MT],stock[Bucket],scheduleapr[[#This Row],[Bucket]],stock[CTL Bucket],scheduleapr[[#This Row],[CTL Bucket]],stock[Plant],"0789")</f>
        <v>0</v>
      </c>
      <c r="AO459" s="1"/>
      <c r="AP459" s="1">
        <f>SUMIFS(stock[MT],stock[Bucket],scheduleapr[[#This Row],[Bucket]],stock[LL or CTL],"LL")</f>
        <v>215.60048700000004</v>
      </c>
      <c r="AQ459" s="1">
        <f>+SUMIFS(wip[Stock(Net Wt)],wip[Bucket],scheduleapr[[#This Row],[Bucket]])/1000</f>
        <v>0</v>
      </c>
      <c r="AR459" s="1">
        <f t="shared" si="16"/>
        <v>6.7842527256</v>
      </c>
      <c r="AS459" s="118"/>
    </row>
    <row r="460" spans="1:45" x14ac:dyDescent="0.25">
      <c r="A460" s="30">
        <v>339</v>
      </c>
      <c r="B460" s="5" t="s">
        <v>1816</v>
      </c>
      <c r="C460" s="2" t="s">
        <v>291</v>
      </c>
      <c r="D460" s="48" t="s">
        <v>2002</v>
      </c>
      <c r="E460" s="2" t="s">
        <v>292</v>
      </c>
      <c r="F460" s="2">
        <v>1940829</v>
      </c>
      <c r="G460" s="2" t="str">
        <f>_xlfn.CONCAT(scheduleapr[[#This Row],[CUSTOMER CODE]],"-",scheduleapr[[#This Row],[MATERIAL NO]])</f>
        <v>129695|187884|188415|189239|189240-1940829</v>
      </c>
      <c r="H460" s="2" t="s">
        <v>1956</v>
      </c>
      <c r="I460" s="2" t="s">
        <v>962</v>
      </c>
      <c r="J460" s="2"/>
      <c r="K460" s="2"/>
      <c r="L460" s="2" t="s">
        <v>239</v>
      </c>
      <c r="M460" s="2"/>
      <c r="N460" s="2"/>
      <c r="O460" s="2"/>
      <c r="P460" s="2"/>
      <c r="Q460" s="557" t="str">
        <f>CONCATENATE(scheduleapr[[#This Row],[OD]],"-",scheduleapr[[#This Row],[ID]],"-",scheduleapr[[#This Row],[TICKNESS]],"-",scheduleapr[[#This Row],[Grade]],"-",scheduleapr[[#This Row],[FC/NFC]])</f>
        <v>40-30-1.6-ERW 1-</v>
      </c>
      <c r="R460" s="557" t="str">
        <f>_xlfn.CONCAT(scheduleapr[[#This Row],[Bucket]],"-",scheduleapr[[#This Row],[LENGTH]]/1000)</f>
        <v>40-30-1.6-ERW 1--0.314</v>
      </c>
      <c r="S460" s="557">
        <f>COUNTIF(scheduleapr[CTL Bucket],scheduleapr[[#This Row],[CTL Bucket]])</f>
        <v>2</v>
      </c>
      <c r="T460" s="557"/>
      <c r="U460" s="557"/>
      <c r="V460" s="557"/>
      <c r="W460" s="557"/>
      <c r="X460" s="1">
        <v>44.45</v>
      </c>
      <c r="Y460" s="1">
        <v>40</v>
      </c>
      <c r="Z460" s="1">
        <v>30</v>
      </c>
      <c r="AA460" s="1">
        <v>1.6</v>
      </c>
      <c r="AB460" s="24">
        <v>314</v>
      </c>
      <c r="AC460" s="24"/>
      <c r="AD460" s="24"/>
      <c r="AE460" s="24"/>
      <c r="AF460" s="2"/>
      <c r="AG460" s="2"/>
      <c r="AH460" s="2" t="e" cm="1">
        <f t="array" ref="AH4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60" s="4" t="e">
        <f>scheduleapr[[#This Row],[SCHEDULE in nos]]-scheduleapr[[#This Row],[DISPATCH]]</f>
        <v>#N/A</v>
      </c>
      <c r="AJ460" s="1">
        <f>(3.14*(scheduleapr[[#This Row],[ACTUAL OD]]-scheduleapr[[#This Row],[TICKNESS]])*scheduleapr[[#This Row],[TICKNESS]]*scheduleapr[[#This Row],[LENGTH]]*7.85)/1000000*scheduleapr[[#This Row],[SCHEDULE in nos]]/1000</f>
        <v>0</v>
      </c>
      <c r="AK460" s="1" t="e">
        <f>(3.14*(scheduleapr[[#This Row],[ACTUAL OD]]-scheduleapr[[#This Row],[TICKNESS]])*scheduleapr[[#This Row],[TICKNESS]]*scheduleapr[[#This Row],[LENGTH]]*7.85)/1000000*scheduleapr[[#This Row],[DISPATCH]]/1000</f>
        <v>#N/A</v>
      </c>
      <c r="AL460" s="1" t="e">
        <f t="shared" si="17"/>
        <v>#N/A</v>
      </c>
      <c r="AM460" s="1" t="e">
        <f>scheduleapr[[#This Row],[SCHEDULE in nos]]/scheduleapr[[#This Row],[SCHEDULE IN MT]]*scheduleapr[[#This Row],[CTL Stock]]</f>
        <v>#DIV/0!</v>
      </c>
      <c r="AN460" s="1">
        <f>SUMIFS(stock[MT],stock[Bucket],scheduleapr[[#This Row],[Bucket]],stock[CTL Bucket],scheduleapr[[#This Row],[CTL Bucket]],stock[Plant],"0789")</f>
        <v>0</v>
      </c>
      <c r="AO460" s="1"/>
      <c r="AP460" s="1">
        <f>SUMIFS(stock[MT],stock[Bucket],scheduleapr[[#This Row],[Bucket]],stock[LL or CTL],"LL")</f>
        <v>0</v>
      </c>
      <c r="AQ460" s="1">
        <f>+SUMIFS(wip[Stock(Net Wt)],wip[Bucket],scheduleapr[[#This Row],[Bucket]])/1000</f>
        <v>0</v>
      </c>
      <c r="AR460" s="1">
        <f t="shared" si="16"/>
        <v>0</v>
      </c>
      <c r="AS460" s="118"/>
    </row>
    <row r="461" spans="1:45" x14ac:dyDescent="0.25">
      <c r="A461" s="30">
        <v>483</v>
      </c>
      <c r="B461" s="5" t="s">
        <v>1816</v>
      </c>
      <c r="C461" s="2" t="s">
        <v>299</v>
      </c>
      <c r="D461" s="2" t="s">
        <v>2002</v>
      </c>
      <c r="E461" s="2" t="s">
        <v>292</v>
      </c>
      <c r="F461" s="2">
        <v>3712521</v>
      </c>
      <c r="G461" s="2" t="str">
        <f>_xlfn.CONCAT(scheduleapr[[#This Row],[CUSTOMER CODE]],"-",scheduleapr[[#This Row],[MATERIAL NO]])</f>
        <v>129695|187884|188415|189239|189240-3712521</v>
      </c>
      <c r="H461" s="2" t="s">
        <v>631</v>
      </c>
      <c r="I461" s="2" t="s">
        <v>962</v>
      </c>
      <c r="J461" s="2"/>
      <c r="K461" s="2" t="s">
        <v>1003</v>
      </c>
      <c r="L461" s="2" t="s">
        <v>1867</v>
      </c>
      <c r="M461" s="44" t="s">
        <v>1868</v>
      </c>
      <c r="N461" s="2"/>
      <c r="O461" s="2"/>
      <c r="P461" s="2"/>
      <c r="Q461" s="557" t="str">
        <f>CONCATENATE(scheduleapr[[#This Row],[OD]],"-",scheduleapr[[#This Row],[ID]],"-",scheduleapr[[#This Row],[TICKNESS]],"-",scheduleapr[[#This Row],[Grade]],"-",scheduleapr[[#This Row],[FC/NFC]])</f>
        <v>40-30-1.6-ERW 1-FC</v>
      </c>
      <c r="R461" s="557" t="str">
        <f>_xlfn.CONCAT(scheduleapr[[#This Row],[Bucket]],"-",scheduleapr[[#This Row],[LENGTH]]/1000)</f>
        <v>40-30-1.6-ERW 1-FC-0.835</v>
      </c>
      <c r="S461" s="557">
        <f>COUNTIF(scheduleapr[CTL Bucket],scheduleapr[[#This Row],[CTL Bucket]])</f>
        <v>2</v>
      </c>
      <c r="T461" s="2" t="s">
        <v>1816</v>
      </c>
      <c r="U461" s="2">
        <f>_xlfn.IFNA(VLOOKUP(scheduleapr[[#This Row],[Bucket]],salesforecast[[#All],[Bucket2]:[8406 Stock]],19,0),0)</f>
        <v>0.95786300000000013</v>
      </c>
      <c r="V461" s="562">
        <f>_xlfn.IFNA(VLOOKUP(scheduleapr[[#This Row],[Bucket]],salesforecast[[#All],[Bucket2]:[8406 Stock]],20,0),0)+_xlfn.IFNA(VLOOKUP(scheduleapr[[#This Row],[Bucket]],salesforecast[[#All],[Bucket2]:[8406 Stock]],17,0),0)</f>
        <v>0</v>
      </c>
      <c r="W461" s="557"/>
      <c r="X461" s="1">
        <v>44.45</v>
      </c>
      <c r="Y461" s="1">
        <v>40</v>
      </c>
      <c r="Z461" s="1">
        <v>30</v>
      </c>
      <c r="AA461" s="1">
        <v>1.6</v>
      </c>
      <c r="AB461" s="81">
        <v>835</v>
      </c>
      <c r="AC461" s="24" t="s">
        <v>397</v>
      </c>
      <c r="AD461" s="24"/>
      <c r="AE461" s="24"/>
      <c r="AF461" s="2">
        <v>40000</v>
      </c>
      <c r="AG461" s="2"/>
      <c r="AH461" s="2" cm="1">
        <f t="array" ref="AH4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19751</v>
      </c>
      <c r="AI461" s="4">
        <f>scheduleapr[[#This Row],[SCHEDULE in nos]]-scheduleapr[[#This Row],[DISPATCH]]</f>
        <v>20249</v>
      </c>
      <c r="AJ461" s="1">
        <f>(3.14*(scheduleapr[[#This Row],[ACTUAL OD]]-scheduleapr[[#This Row],[TICKNESS]])*scheduleapr[[#This Row],[TICKNESS]]*scheduleapr[[#This Row],[LENGTH]]*7.85)/1000000*scheduleapr[[#This Row],[SCHEDULE in nos]]/1000</f>
        <v>56.443843696000009</v>
      </c>
      <c r="AK461" s="1">
        <f>(3.14*(scheduleapr[[#This Row],[ACTUAL OD]]-scheduleapr[[#This Row],[TICKNESS]])*scheduleapr[[#This Row],[TICKNESS]]*scheduleapr[[#This Row],[LENGTH]]*7.85)/1000000*scheduleapr[[#This Row],[DISPATCH]]/1000</f>
        <v>27.870558920992405</v>
      </c>
      <c r="AL461" s="1">
        <f t="shared" si="17"/>
        <v>28.573284775007604</v>
      </c>
      <c r="AM461" s="1">
        <f>scheduleapr[[#This Row],[SCHEDULE in nos]]/scheduleapr[[#This Row],[SCHEDULE IN MT]]*scheduleapr[[#This Row],[CTL Stock]]</f>
        <v>24.12592606793898</v>
      </c>
      <c r="AN461" s="1">
        <f>SUMIFS(stock[MT],stock[Bucket],scheduleapr[[#This Row],[Bucket]],stock[CTL Bucket],scheduleapr[[#This Row],[CTL Bucket]],stock[Plant],"0789")</f>
        <v>3.4043999999999998E-2</v>
      </c>
      <c r="AO461" s="1"/>
      <c r="AP461" s="1">
        <f>SUMIFS(stock[MT],stock[Bucket],scheduleapr[[#This Row],[Bucket]],stock[LL or CTL],"LL")</f>
        <v>0.95786300000000002</v>
      </c>
      <c r="AQ461" s="1">
        <f>+SUMIFS(wip[Stock(Net Wt)],wip[Bucket],scheduleapr[[#This Row],[Bucket]])/1000</f>
        <v>0</v>
      </c>
      <c r="AR461" s="1">
        <f t="shared" si="16"/>
        <v>56.409799696000007</v>
      </c>
      <c r="AS461" s="118"/>
    </row>
    <row r="462" spans="1:45" x14ac:dyDescent="0.25">
      <c r="A462" s="30">
        <v>340</v>
      </c>
      <c r="B462" s="5" t="s">
        <v>1816</v>
      </c>
      <c r="C462" s="2" t="s">
        <v>291</v>
      </c>
      <c r="D462" s="2" t="s">
        <v>2002</v>
      </c>
      <c r="E462" s="2" t="s">
        <v>292</v>
      </c>
      <c r="F462" s="2">
        <v>3616912</v>
      </c>
      <c r="G462" s="2" t="str">
        <f>_xlfn.CONCAT(scheduleapr[[#This Row],[CUSTOMER CODE]],"-",scheduleapr[[#This Row],[MATERIAL NO]])</f>
        <v>129695|187884|188415|189239|189240-3616912</v>
      </c>
      <c r="H462" s="2" t="s">
        <v>2046</v>
      </c>
      <c r="I462" s="2" t="s">
        <v>962</v>
      </c>
      <c r="J462" s="2"/>
      <c r="K462" s="2"/>
      <c r="L462" s="2" t="s">
        <v>239</v>
      </c>
      <c r="M462" s="2"/>
      <c r="N462" s="2"/>
      <c r="O462" s="2"/>
      <c r="P462" s="2"/>
      <c r="Q462" s="557" t="str">
        <f>CONCATENATE(scheduleapr[[#This Row],[OD]],"-",scheduleapr[[#This Row],[ID]],"-",scheduleapr[[#This Row],[TICKNESS]],"-",scheduleapr[[#This Row],[Grade]],"-",scheduleapr[[#This Row],[FC/NFC]])</f>
        <v>40-30-1.6-ERW 1-</v>
      </c>
      <c r="R462" s="557" t="str">
        <f>_xlfn.CONCAT(scheduleapr[[#This Row],[Bucket]],"-",scheduleapr[[#This Row],[LENGTH]]/1000)</f>
        <v>40-30-1.6-ERW 1--0.852</v>
      </c>
      <c r="S462" s="557">
        <f>COUNTIF(scheduleapr[CTL Bucket],scheduleapr[[#This Row],[CTL Bucket]])</f>
        <v>1</v>
      </c>
      <c r="T462" s="557"/>
      <c r="U462" s="557"/>
      <c r="V462" s="557"/>
      <c r="W462" s="557"/>
      <c r="X462" s="1">
        <v>44.45</v>
      </c>
      <c r="Y462" s="1">
        <v>40</v>
      </c>
      <c r="Z462" s="6">
        <v>30</v>
      </c>
      <c r="AA462" s="1">
        <v>1.6</v>
      </c>
      <c r="AB462" s="24">
        <v>852</v>
      </c>
      <c r="AC462" s="24"/>
      <c r="AD462" s="24"/>
      <c r="AE462" s="24"/>
      <c r="AF462" s="2"/>
      <c r="AG462" s="2"/>
      <c r="AH462" s="2" t="e" cm="1">
        <f t="array" ref="AH4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62" s="4" t="e">
        <f>scheduleapr[[#This Row],[SCHEDULE in nos]]-scheduleapr[[#This Row],[DISPATCH]]</f>
        <v>#N/A</v>
      </c>
      <c r="AJ462" s="1">
        <f>(3.14*(scheduleapr[[#This Row],[ACTUAL OD]]-scheduleapr[[#This Row],[TICKNESS]])*scheduleapr[[#This Row],[TICKNESS]]*scheduleapr[[#This Row],[LENGTH]]*7.85)/1000000*scheduleapr[[#This Row],[SCHEDULE in nos]]/1000</f>
        <v>0</v>
      </c>
      <c r="AK462" s="1" t="e">
        <f>(3.14*(scheduleapr[[#This Row],[ACTUAL OD]]-scheduleapr[[#This Row],[TICKNESS]])*scheduleapr[[#This Row],[TICKNESS]]*scheduleapr[[#This Row],[LENGTH]]*7.85)/1000000*scheduleapr[[#This Row],[DISPATCH]]/1000</f>
        <v>#N/A</v>
      </c>
      <c r="AL462" s="1" t="e">
        <f t="shared" si="17"/>
        <v>#N/A</v>
      </c>
      <c r="AM462" s="1" t="e">
        <f>scheduleapr[[#This Row],[SCHEDULE in nos]]/scheduleapr[[#This Row],[SCHEDULE IN MT]]*scheduleapr[[#This Row],[CTL Stock]]</f>
        <v>#DIV/0!</v>
      </c>
      <c r="AN462" s="1">
        <f>SUMIFS(stock[MT],stock[Bucket],scheduleapr[[#This Row],[Bucket]],stock[CTL Bucket],scheduleapr[[#This Row],[CTL Bucket]],stock[Plant],"0789")</f>
        <v>0</v>
      </c>
      <c r="AO462" s="1"/>
      <c r="AP462" s="1">
        <f>SUMIFS(stock[MT],stock[Bucket],scheduleapr[[#This Row],[Bucket]],stock[LL or CTL],"LL")</f>
        <v>0</v>
      </c>
      <c r="AQ462" s="1">
        <f>+SUMIFS(wip[Stock(Net Wt)],wip[Bucket],scheduleapr[[#This Row],[Bucket]])/1000</f>
        <v>0</v>
      </c>
      <c r="AR462" s="1">
        <f t="shared" si="16"/>
        <v>0</v>
      </c>
      <c r="AS462" s="118"/>
    </row>
    <row r="463" spans="1:45" x14ac:dyDescent="0.25">
      <c r="A463" s="30">
        <v>487</v>
      </c>
      <c r="B463" s="5" t="s">
        <v>1816</v>
      </c>
      <c r="C463" s="2" t="s">
        <v>299</v>
      </c>
      <c r="D463" s="2" t="s">
        <v>2002</v>
      </c>
      <c r="E463" s="2" t="s">
        <v>292</v>
      </c>
      <c r="F463" s="2">
        <v>1940830</v>
      </c>
      <c r="G463" s="2" t="str">
        <f>_xlfn.CONCAT(scheduleapr[[#This Row],[CUSTOMER CODE]],"-",scheduleapr[[#This Row],[MATERIAL NO]])</f>
        <v>129695|187884|188415|189239|189240-1940830</v>
      </c>
      <c r="H463" s="2" t="s">
        <v>587</v>
      </c>
      <c r="I463" s="2" t="s">
        <v>962</v>
      </c>
      <c r="J463" s="2"/>
      <c r="K463" s="2" t="s">
        <v>1003</v>
      </c>
      <c r="L463" s="2" t="s">
        <v>1867</v>
      </c>
      <c r="M463" s="44" t="s">
        <v>1891</v>
      </c>
      <c r="N463" s="2"/>
      <c r="O463" s="2"/>
      <c r="P463" s="2"/>
      <c r="Q463" s="557" t="str">
        <f>CONCATENATE(scheduleapr[[#This Row],[OD]],"-",scheduleapr[[#This Row],[ID]],"-",scheduleapr[[#This Row],[TICKNESS]],"-",scheduleapr[[#This Row],[Grade]],"-",scheduleapr[[#This Row],[FC/NFC]])</f>
        <v>40-30-1.6-ERW 1-FC</v>
      </c>
      <c r="R463" s="557" t="str">
        <f>_xlfn.CONCAT(scheduleapr[[#This Row],[Bucket]],"-",scheduleapr[[#This Row],[LENGTH]]/1000)</f>
        <v>40-30-1.6-ERW 1-FC-0.86</v>
      </c>
      <c r="S463" s="557">
        <f>COUNTIF(scheduleapr[CTL Bucket],scheduleapr[[#This Row],[CTL Bucket]])</f>
        <v>2</v>
      </c>
      <c r="T463" s="2" t="s">
        <v>1816</v>
      </c>
      <c r="U463" s="2">
        <f>_xlfn.IFNA(VLOOKUP(scheduleapr[[#This Row],[Bucket]],salesforecast[[#All],[Bucket2]:[8406 Stock]],19,0),0)</f>
        <v>0.95786300000000013</v>
      </c>
      <c r="V463" s="562">
        <f>_xlfn.IFNA(VLOOKUP(scheduleapr[[#This Row],[Bucket]],salesforecast[[#All],[Bucket2]:[8406 Stock]],20,0),0)+_xlfn.IFNA(VLOOKUP(scheduleapr[[#This Row],[Bucket]],salesforecast[[#All],[Bucket2]:[8406 Stock]],17,0),0)</f>
        <v>0</v>
      </c>
      <c r="W463" s="557"/>
      <c r="X463" s="1">
        <v>44.45</v>
      </c>
      <c r="Y463" s="1">
        <v>40</v>
      </c>
      <c r="Z463" s="6">
        <v>30</v>
      </c>
      <c r="AA463" s="1">
        <v>1.6</v>
      </c>
      <c r="AB463" s="24">
        <v>860</v>
      </c>
      <c r="AC463" s="24" t="s">
        <v>397</v>
      </c>
      <c r="AD463" s="24"/>
      <c r="AE463" s="24"/>
      <c r="AF463" s="2">
        <v>5000</v>
      </c>
      <c r="AG463" s="2"/>
      <c r="AH463" s="2" cm="1">
        <f t="array" ref="AH4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7920</v>
      </c>
      <c r="AI463" s="4">
        <f>scheduleapr[[#This Row],[SCHEDULE in nos]]-scheduleapr[[#This Row],[DISPATCH]]</f>
        <v>-2920</v>
      </c>
      <c r="AJ463" s="1">
        <f>(3.14*(scheduleapr[[#This Row],[ACTUAL OD]]-scheduleapr[[#This Row],[TICKNESS]])*scheduleapr[[#This Row],[TICKNESS]]*scheduleapr[[#This Row],[LENGTH]]*7.85)/1000000*scheduleapr[[#This Row],[SCHEDULE in nos]]/1000</f>
        <v>7.2667223920000001</v>
      </c>
      <c r="AK463" s="1">
        <f>(3.14*(scheduleapr[[#This Row],[ACTUAL OD]]-scheduleapr[[#This Row],[TICKNESS]])*scheduleapr[[#This Row],[TICKNESS]]*scheduleapr[[#This Row],[LENGTH]]*7.85)/1000000*scheduleapr[[#This Row],[DISPATCH]]/1000</f>
        <v>11.510488268928</v>
      </c>
      <c r="AL463" s="1">
        <f t="shared" si="17"/>
        <v>-4.2437658769280002</v>
      </c>
      <c r="AM463" s="1">
        <f>scheduleapr[[#This Row],[SCHEDULE in nos]]/scheduleapr[[#This Row],[SCHEDULE IN MT]]*scheduleapr[[#This Row],[CTL Stock]]</f>
        <v>9.6673570573356233</v>
      </c>
      <c r="AN463" s="1">
        <f>SUMIFS(stock[MT],stock[Bucket],scheduleapr[[#This Row],[Bucket]],stock[CTL Bucket],scheduleapr[[#This Row],[CTL Bucket]],stock[Plant],"0789")</f>
        <v>1.405E-2</v>
      </c>
      <c r="AO463" s="1"/>
      <c r="AP463" s="1">
        <f>SUMIFS(stock[MT],stock[Bucket],scheduleapr[[#This Row],[Bucket]],stock[LL or CTL],"LL")</f>
        <v>0.95786300000000002</v>
      </c>
      <c r="AQ463" s="1">
        <f>+SUMIFS(wip[Stock(Net Wt)],wip[Bucket],scheduleapr[[#This Row],[Bucket]])/1000</f>
        <v>0</v>
      </c>
      <c r="AR463" s="1">
        <f t="shared" si="16"/>
        <v>7.252672392</v>
      </c>
      <c r="AS463" s="118"/>
    </row>
    <row r="464" spans="1:45" x14ac:dyDescent="0.25">
      <c r="A464" s="30">
        <v>421</v>
      </c>
      <c r="B464" s="5" t="s">
        <v>1816</v>
      </c>
      <c r="C464" s="2" t="s">
        <v>299</v>
      </c>
      <c r="D464" s="2" t="s">
        <v>2002</v>
      </c>
      <c r="E464" s="2" t="s">
        <v>292</v>
      </c>
      <c r="F464" s="2">
        <v>1940837</v>
      </c>
      <c r="G464" s="2" t="str">
        <f>_xlfn.CONCAT(scheduleapr[[#This Row],[CUSTOMER CODE]],"-",scheduleapr[[#This Row],[MATERIAL NO]])</f>
        <v>129695|187884|188415|189239|189240-1940837</v>
      </c>
      <c r="H464" s="2" t="s">
        <v>593</v>
      </c>
      <c r="I464" s="2" t="s">
        <v>962</v>
      </c>
      <c r="J464" s="2"/>
      <c r="K464" s="2" t="s">
        <v>1003</v>
      </c>
      <c r="L464" s="2" t="s">
        <v>239</v>
      </c>
      <c r="M464" s="2"/>
      <c r="N464" s="2"/>
      <c r="O464" s="2"/>
      <c r="P464" s="2"/>
      <c r="Q464" s="557" t="str">
        <f>CONCATENATE(scheduleapr[[#This Row],[OD]],"-",scheduleapr[[#This Row],[ID]],"-",scheduleapr[[#This Row],[TICKNESS]],"-",scheduleapr[[#This Row],[Grade]],"-",scheduleapr[[#This Row],[FC/NFC]])</f>
        <v>40-30-2-ERW 1-FC</v>
      </c>
      <c r="R464" s="557" t="str">
        <f>_xlfn.CONCAT(scheduleapr[[#This Row],[Bucket]],"-",scheduleapr[[#This Row],[LENGTH]]/1000)</f>
        <v>40-30-2-ERW 1-FC-0.87</v>
      </c>
      <c r="S464" s="557">
        <f>COUNTIF(scheduleapr[CTL Bucket],scheduleapr[[#This Row],[CTL Bucket]])</f>
        <v>2</v>
      </c>
      <c r="T464" s="2" t="s">
        <v>1816</v>
      </c>
      <c r="U464" s="2">
        <f>_xlfn.IFNA(VLOOKUP(scheduleapr[[#This Row],[Bucket]],salesforecast[[#All],[Bucket2]:[8406 Stock]],19,0),0)</f>
        <v>0</v>
      </c>
      <c r="V464" s="562">
        <f>_xlfn.IFNA(VLOOKUP(scheduleapr[[#This Row],[Bucket]],salesforecast[[#All],[Bucket2]:[8406 Stock]],20,0),0)+_xlfn.IFNA(VLOOKUP(scheduleapr[[#This Row],[Bucket]],salesforecast[[#All],[Bucket2]:[8406 Stock]],17,0),0)</f>
        <v>0</v>
      </c>
      <c r="W464" s="557"/>
      <c r="X464" s="1">
        <v>44.45</v>
      </c>
      <c r="Y464" s="1">
        <v>40</v>
      </c>
      <c r="Z464" s="6">
        <v>30</v>
      </c>
      <c r="AA464" s="1">
        <v>2</v>
      </c>
      <c r="AB464" s="81">
        <v>870</v>
      </c>
      <c r="AC464" s="24" t="s">
        <v>397</v>
      </c>
      <c r="AD464" s="24"/>
      <c r="AE464" s="24"/>
      <c r="AF464" s="2">
        <v>4000</v>
      </c>
      <c r="AG464" s="2"/>
      <c r="AH464" s="2" cm="1">
        <f t="array" ref="AH4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3000</v>
      </c>
      <c r="AI464" s="4">
        <f>scheduleapr[[#This Row],[SCHEDULE in nos]]-scheduleapr[[#This Row],[DISPATCH]]</f>
        <v>1000</v>
      </c>
      <c r="AJ464" s="1">
        <f>(3.14*(scheduleapr[[#This Row],[ACTUAL OD]]-scheduleapr[[#This Row],[TICKNESS]])*scheduleapr[[#This Row],[TICKNESS]]*scheduleapr[[#This Row],[LENGTH]]*7.85)/1000000*scheduleapr[[#This Row],[SCHEDULE in nos]]/1000</f>
        <v>7.2825963480000002</v>
      </c>
      <c r="AK464" s="1">
        <f>(3.14*(scheduleapr[[#This Row],[ACTUAL OD]]-scheduleapr[[#This Row],[TICKNESS]])*scheduleapr[[#This Row],[TICKNESS]]*scheduleapr[[#This Row],[LENGTH]]*7.85)/1000000*scheduleapr[[#This Row],[DISPATCH]]/1000</f>
        <v>5.4619472610000006</v>
      </c>
      <c r="AL464" s="1">
        <f t="shared" si="17"/>
        <v>1.8206490869999996</v>
      </c>
      <c r="AM464" s="1">
        <f>scheduleapr[[#This Row],[SCHEDULE in nos]]/scheduleapr[[#This Row],[SCHEDULE IN MT]]*scheduleapr[[#This Row],[CTL Stock]]</f>
        <v>5677.4663903148949</v>
      </c>
      <c r="AN464" s="1">
        <f>SUMIFS(stock[MT],stock[Bucket],scheduleapr[[#This Row],[Bucket]],stock[CTL Bucket],scheduleapr[[#This Row],[CTL Bucket]],stock[Plant],"0789")</f>
        <v>10.336673999999999</v>
      </c>
      <c r="AO464" s="1"/>
      <c r="AP464" s="1">
        <f>SUMIFS(stock[MT],stock[Bucket],scheduleapr[[#This Row],[Bucket]],stock[LL or CTL],"LL")</f>
        <v>0</v>
      </c>
      <c r="AQ464" s="1">
        <f>+SUMIFS(wip[Stock(Net Wt)],wip[Bucket],scheduleapr[[#This Row],[Bucket]])/1000</f>
        <v>26.635999999999999</v>
      </c>
      <c r="AR464" s="1">
        <f t="shared" si="16"/>
        <v>-3.0540776519999984</v>
      </c>
      <c r="AS464" s="118"/>
    </row>
    <row r="465" spans="1:45" x14ac:dyDescent="0.25">
      <c r="A465" s="556"/>
      <c r="B465" s="5" t="s">
        <v>1816</v>
      </c>
      <c r="C465" s="2" t="s">
        <v>299</v>
      </c>
      <c r="D465" s="2" t="s">
        <v>2002</v>
      </c>
      <c r="E465" s="2" t="s">
        <v>292</v>
      </c>
      <c r="F465" s="477">
        <v>4141595</v>
      </c>
      <c r="G465" s="2" t="str">
        <f>_xlfn.CONCAT(scheduleapr[[#This Row],[CUSTOMER CODE]],"-",scheduleapr[[#This Row],[MATERIAL NO]])</f>
        <v>129695|187884|188415|189239|189240-4141595</v>
      </c>
      <c r="H465" s="557"/>
      <c r="I465" s="2" t="s">
        <v>962</v>
      </c>
      <c r="J465" s="557"/>
      <c r="K465" s="557"/>
      <c r="L465" s="557"/>
      <c r="M465" s="558"/>
      <c r="N465" s="557"/>
      <c r="O465" s="557"/>
      <c r="P465" s="557"/>
      <c r="Q465" s="557"/>
      <c r="R465" s="557"/>
      <c r="S465" s="557"/>
      <c r="T465" s="2"/>
      <c r="U465" s="2"/>
      <c r="V465" s="3"/>
      <c r="W465" s="2"/>
      <c r="X465" s="559">
        <v>50.8</v>
      </c>
      <c r="Y465" s="559">
        <v>50</v>
      </c>
      <c r="Z465" s="559">
        <v>30</v>
      </c>
      <c r="AA465" s="559">
        <v>2</v>
      </c>
      <c r="AB465" s="24">
        <v>770</v>
      </c>
      <c r="AC465" s="24" t="s">
        <v>397</v>
      </c>
      <c r="AD465" s="24"/>
      <c r="AE465" s="24"/>
      <c r="AF465" s="557">
        <v>5000</v>
      </c>
      <c r="AG465" s="557"/>
      <c r="AH465" s="557" cm="1">
        <f t="array" ref="AH4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5" s="560">
        <f>scheduleapr[[#This Row],[SCHEDULE in nos]]-scheduleapr[[#This Row],[DISPATCH]]</f>
        <v>5000</v>
      </c>
      <c r="AJ465" s="559">
        <f>(3.14*(scheduleapr[[#This Row],[ACTUAL OD]]-scheduleapr[[#This Row],[TICKNESS]])*scheduleapr[[#This Row],[TICKNESS]]*scheduleapr[[#This Row],[LENGTH]]*7.85)/1000000*scheduleapr[[#This Row],[SCHEDULE in nos]]/1000</f>
        <v>9.2621082399999999</v>
      </c>
      <c r="AK465" s="1">
        <f>(3.14*(scheduleapr[[#This Row],[ACTUAL OD]]-scheduleapr[[#This Row],[TICKNESS]])*scheduleapr[[#This Row],[TICKNESS]]*scheduleapr[[#This Row],[LENGTH]]*7.85)/1000000*scheduleapr[[#This Row],[DISPATCH]]/1000</f>
        <v>0</v>
      </c>
      <c r="AL465" s="1">
        <f t="shared" si="17"/>
        <v>9.2621082399999999</v>
      </c>
      <c r="AM465" s="559">
        <f>scheduleapr[[#This Row],[SCHEDULE in nos]]/scheduleapr[[#This Row],[SCHEDULE IN MT]]*scheduleapr[[#This Row],[CTL Stock]]</f>
        <v>0</v>
      </c>
      <c r="AN465" s="1">
        <f>SUMIFS(stock[MT],stock[Bucket],scheduleapr[[#This Row],[Bucket]],stock[CTL Bucket],scheduleapr[[#This Row],[CTL Bucket]],stock[Plant],"0789")</f>
        <v>0</v>
      </c>
      <c r="AO465" s="1"/>
      <c r="AP465" s="1">
        <f>SUMIFS(stock[MT],stock[Bucket],scheduleapr[[#This Row],[Bucket]],stock[LL or CTL],"LL")</f>
        <v>0</v>
      </c>
      <c r="AQ465" s="1">
        <f>+SUMIFS(wip[Stock(Net Wt)],wip[Bucket],scheduleapr[[#This Row],[Bucket]])/1000</f>
        <v>0</v>
      </c>
      <c r="AR465" s="1">
        <f t="shared" si="16"/>
        <v>9.2621082399999999</v>
      </c>
      <c r="AS465" s="118"/>
    </row>
    <row r="466" spans="1:45" x14ac:dyDescent="0.25">
      <c r="A466" s="30">
        <v>341</v>
      </c>
      <c r="B466" s="5" t="s">
        <v>1816</v>
      </c>
      <c r="C466" s="2" t="s">
        <v>299</v>
      </c>
      <c r="D466" s="2" t="s">
        <v>2002</v>
      </c>
      <c r="E466" s="2" t="s">
        <v>292</v>
      </c>
      <c r="F466" s="2"/>
      <c r="G466" s="2" t="str">
        <f>_xlfn.CONCAT(scheduleapr[[#This Row],[CUSTOMER CODE]],"-",scheduleapr[[#This Row],[MATERIAL NO]])</f>
        <v>129695|187884|188415|189239|189240-</v>
      </c>
      <c r="H466" s="2" t="s">
        <v>2047</v>
      </c>
      <c r="I466" s="2" t="s">
        <v>962</v>
      </c>
      <c r="J466" s="2"/>
      <c r="K466" s="2" t="s">
        <v>1003</v>
      </c>
      <c r="L466" s="2" t="s">
        <v>239</v>
      </c>
      <c r="M466" s="2"/>
      <c r="N466" s="2"/>
      <c r="O466" s="2"/>
      <c r="P466" s="2"/>
      <c r="Q466" s="557" t="str">
        <f>CONCATENATE(scheduleapr[[#This Row],[OD]],"-",scheduleapr[[#This Row],[ID]],"-",scheduleapr[[#This Row],[TICKNESS]],"-",scheduleapr[[#This Row],[Grade]],"-",scheduleapr[[#This Row],[FC/NFC]])</f>
        <v>57.15-0-2-ERW 1-FC</v>
      </c>
      <c r="R466" s="557" t="str">
        <f>_xlfn.CONCAT(scheduleapr[[#This Row],[Bucket]],"-",scheduleapr[[#This Row],[LENGTH]]/1000)</f>
        <v>57.15-0-2-ERW 1-FC-0.409</v>
      </c>
      <c r="S466" s="557">
        <f>COUNTIF(scheduleapr[CTL Bucket],scheduleapr[[#This Row],[CTL Bucket]])</f>
        <v>1</v>
      </c>
      <c r="T466" s="557"/>
      <c r="U466" s="2">
        <f>_xlfn.IFNA(VLOOKUP(scheduleapr[[#This Row],[Bucket]],salesforecast[[#All],[Bucket2]:[8406 Stock]],19,0),0)</f>
        <v>2.455098</v>
      </c>
      <c r="V466" s="562">
        <f>_xlfn.IFNA(VLOOKUP(scheduleapr[[#This Row],[Bucket]],salesforecast[[#All],[Bucket2]:[8406 Stock]],20,0),0)+_xlfn.IFNA(VLOOKUP(scheduleapr[[#This Row],[Bucket]],salesforecast[[#All],[Bucket2]:[8406 Stock]],17,0),0)</f>
        <v>0.125917</v>
      </c>
      <c r="W466" s="557"/>
      <c r="X466" s="1">
        <v>57.15</v>
      </c>
      <c r="Y466" s="1">
        <v>57.15</v>
      </c>
      <c r="Z466" s="1">
        <v>0</v>
      </c>
      <c r="AA466" s="1">
        <v>2</v>
      </c>
      <c r="AB466" s="24">
        <v>409</v>
      </c>
      <c r="AC466" s="24" t="s">
        <v>397</v>
      </c>
      <c r="AD466" s="24"/>
      <c r="AE466" s="24"/>
      <c r="AF466" s="2">
        <v>15000</v>
      </c>
      <c r="AG466" s="2"/>
      <c r="AH466" s="2" cm="1">
        <f t="array" ref="AH4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5271</v>
      </c>
      <c r="AI466" s="4">
        <f>scheduleapr[[#This Row],[SCHEDULE in nos]]-scheduleapr[[#This Row],[DISPATCH]]</f>
        <v>9729</v>
      </c>
      <c r="AJ466" s="1">
        <f>(3.14*(scheduleapr[[#This Row],[ACTUAL OD]]-scheduleapr[[#This Row],[TICKNESS]])*scheduleapr[[#This Row],[TICKNESS]]*scheduleapr[[#This Row],[LENGTH]]*7.85)/1000000*scheduleapr[[#This Row],[SCHEDULE in nos]]/1000</f>
        <v>16.679744134500002</v>
      </c>
      <c r="AK466" s="1">
        <f>(3.14*(scheduleapr[[#This Row],[ACTUAL OD]]-scheduleapr[[#This Row],[TICKNESS]])*scheduleapr[[#This Row],[TICKNESS]]*scheduleapr[[#This Row],[LENGTH]]*7.85)/1000000*scheduleapr[[#This Row],[DISPATCH]]/1000</f>
        <v>5.8612620888632998</v>
      </c>
      <c r="AL466" s="1">
        <f t="shared" si="17"/>
        <v>10.818482045636703</v>
      </c>
      <c r="AM466" s="1">
        <f>scheduleapr[[#This Row],[SCHEDULE in nos]]/scheduleapr[[#This Row],[SCHEDULE IN MT]]*scheduleapr[[#This Row],[CTL Stock]]</f>
        <v>1031.948383692396</v>
      </c>
      <c r="AN466" s="1">
        <f>SUMIFS(stock[MT],stock[Bucket],scheduleapr[[#This Row],[Bucket]],stock[CTL Bucket],scheduleapr[[#This Row],[CTL Bucket]],stock[Plant],"0789")</f>
        <v>1.1475089999999999</v>
      </c>
      <c r="AO466" s="1"/>
      <c r="AP466" s="1">
        <f>SUMIFS(stock[MT],stock[Bucket],scheduleapr[[#This Row],[Bucket]],stock[LL or CTL],"LL")</f>
        <v>2.455098</v>
      </c>
      <c r="AQ466" s="1">
        <f>+SUMIFS(wip[Stock(Net Wt)],wip[Bucket],scheduleapr[[#This Row],[Bucket]])/1000</f>
        <v>0</v>
      </c>
      <c r="AR466" s="1">
        <f t="shared" si="16"/>
        <v>15.532235134500002</v>
      </c>
      <c r="AS466" s="118"/>
    </row>
    <row r="467" spans="1:45" x14ac:dyDescent="0.25">
      <c r="A467" s="30">
        <v>342</v>
      </c>
      <c r="B467" s="5" t="s">
        <v>1816</v>
      </c>
      <c r="C467" s="2" t="s">
        <v>291</v>
      </c>
      <c r="D467" s="2" t="s">
        <v>2002</v>
      </c>
      <c r="E467" s="2" t="s">
        <v>292</v>
      </c>
      <c r="F467" s="9">
        <v>3727461</v>
      </c>
      <c r="G467" s="2" t="str">
        <f>_xlfn.CONCAT(scheduleapr[[#This Row],[CUSTOMER CODE]],"-",scheduleapr[[#This Row],[MATERIAL NO]])</f>
        <v>129695|187884|188415|189239|189240-3727461</v>
      </c>
      <c r="H467" s="9" t="s">
        <v>2048</v>
      </c>
      <c r="I467" s="2" t="s">
        <v>962</v>
      </c>
      <c r="J467" s="2"/>
      <c r="K467" s="2"/>
      <c r="L467" s="2" t="s">
        <v>239</v>
      </c>
      <c r="M467" s="2"/>
      <c r="N467" s="2"/>
      <c r="O467" s="2"/>
      <c r="P467" s="2"/>
      <c r="Q467" s="557" t="str">
        <f>CONCATENATE(scheduleapr[[#This Row],[OD]],"-",scheduleapr[[#This Row],[ID]],"-",scheduleapr[[#This Row],[TICKNESS]],"-",scheduleapr[[#This Row],[Grade]],"-",scheduleapr[[#This Row],[FC/NFC]])</f>
        <v>57.15-0-2-ERW 1-</v>
      </c>
      <c r="R467" s="557" t="str">
        <f>_xlfn.CONCAT(scheduleapr[[#This Row],[Bucket]],"-",scheduleapr[[#This Row],[LENGTH]]/1000)</f>
        <v>57.15-0-2-ERW 1--0.413</v>
      </c>
      <c r="S467" s="557" t="e" vm="2">
        <f>COUNTIF([2]!buckets[CTL Bucket],[2]!scheduleapr[[#This Row],[CTL Bucket]])</f>
        <v>#REF!</v>
      </c>
      <c r="T467" s="557"/>
      <c r="U467" s="557"/>
      <c r="V467" s="557"/>
      <c r="W467" s="557"/>
      <c r="X467" s="1">
        <v>57.15</v>
      </c>
      <c r="Y467" s="1">
        <v>57.15</v>
      </c>
      <c r="Z467" s="1">
        <v>0</v>
      </c>
      <c r="AA467" s="1">
        <v>2</v>
      </c>
      <c r="AB467" s="24">
        <v>413</v>
      </c>
      <c r="AC467" s="24"/>
      <c r="AD467" s="24"/>
      <c r="AE467" s="24"/>
      <c r="AF467" s="2"/>
      <c r="AG467" s="2"/>
      <c r="AH467" s="2" t="e" cm="1">
        <f t="array" ref="AH4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67" s="4" t="e">
        <f>scheduleapr[[#This Row],[SCHEDULE in nos]]-scheduleapr[[#This Row],[DISPATCH]]</f>
        <v>#N/A</v>
      </c>
      <c r="AJ467" s="1">
        <f>(3.14*(scheduleapr[[#This Row],[ACTUAL OD]]-scheduleapr[[#This Row],[TICKNESS]])*scheduleapr[[#This Row],[TICKNESS]]*scheduleapr[[#This Row],[LENGTH]]*7.85)/1000000*scheduleapr[[#This Row],[SCHEDULE in nos]]/1000</f>
        <v>0</v>
      </c>
      <c r="AK467" s="1" t="e">
        <f>(3.14*(scheduleapr[[#This Row],[ACTUAL OD]]-scheduleapr[[#This Row],[TICKNESS]])*scheduleapr[[#This Row],[TICKNESS]]*scheduleapr[[#This Row],[LENGTH]]*7.85)/1000000*scheduleapr[[#This Row],[DISPATCH]]/1000</f>
        <v>#N/A</v>
      </c>
      <c r="AL467" s="1" t="e">
        <f t="shared" si="17"/>
        <v>#N/A</v>
      </c>
      <c r="AM467" s="1" t="e">
        <f>scheduleapr[[#This Row],[SCHEDULE in nos]]/scheduleapr[[#This Row],[SCHEDULE IN MT]]*scheduleapr[[#This Row],[CTL Stock]]</f>
        <v>#DIV/0!</v>
      </c>
      <c r="AN467" s="1">
        <f>SUMIFS(stock[MT],stock[Bucket],scheduleapr[[#This Row],[Bucket]],stock[CTL Bucket],scheduleapr[[#This Row],[CTL Bucket]],stock[Plant],"0789")</f>
        <v>0</v>
      </c>
      <c r="AO467" s="1"/>
      <c r="AP467" s="1">
        <f>SUMIFS(stock[MT],stock[Bucket],scheduleapr[[#This Row],[Bucket]],stock[LL or CTL],"LL")</f>
        <v>0</v>
      </c>
      <c r="AQ467" s="1">
        <f>+SUMIFS(wip[Stock(Net Wt)],wip[Bucket],scheduleapr[[#This Row],[Bucket]])/1000</f>
        <v>0</v>
      </c>
      <c r="AR467" s="1">
        <f t="shared" si="16"/>
        <v>0</v>
      </c>
      <c r="AS467" s="118"/>
    </row>
    <row r="468" spans="1:45" x14ac:dyDescent="0.25">
      <c r="A468" s="30">
        <v>343</v>
      </c>
      <c r="B468" s="5" t="s">
        <v>1816</v>
      </c>
      <c r="C468" s="2" t="s">
        <v>299</v>
      </c>
      <c r="D468" s="2" t="s">
        <v>2002</v>
      </c>
      <c r="E468" s="2" t="s">
        <v>292</v>
      </c>
      <c r="F468" s="2" t="s">
        <v>1878</v>
      </c>
      <c r="G468" s="2" t="str">
        <f>_xlfn.CONCAT(scheduleapr[[#This Row],[CUSTOMER CODE]],"-",scheduleapr[[#This Row],[MATERIAL NO]])</f>
        <v>129695|187884|188415|189239|189240-NO MATERIAL CODE</v>
      </c>
      <c r="H468" s="2" t="s">
        <v>2049</v>
      </c>
      <c r="I468" s="2" t="s">
        <v>962</v>
      </c>
      <c r="J468" s="2"/>
      <c r="K468" s="2" t="s">
        <v>1003</v>
      </c>
      <c r="L468" s="2" t="s">
        <v>239</v>
      </c>
      <c r="M468" s="2"/>
      <c r="N468" s="2"/>
      <c r="O468" s="2" t="s">
        <v>1895</v>
      </c>
      <c r="P468" s="2"/>
      <c r="Q468" s="557" t="str">
        <f>CONCATENATE(scheduleapr[[#This Row],[OD]],"-",scheduleapr[[#This Row],[ID]],"-",scheduleapr[[#This Row],[TICKNESS]],"-",scheduleapr[[#This Row],[Grade]],"-",scheduleapr[[#This Row],[FC/NFC]])</f>
        <v>57.15-0-2.5-ERW 1-FC</v>
      </c>
      <c r="R468" s="557" t="str">
        <f>_xlfn.CONCAT(scheduleapr[[#This Row],[Bucket]],"-",scheduleapr[[#This Row],[LENGTH]]/1000)</f>
        <v>57.15-0-2.5-ERW 1-FC-0.376</v>
      </c>
      <c r="S468" s="557">
        <f>COUNTIF(scheduleapr[CTL Bucket],scheduleapr[[#This Row],[CTL Bucket]])</f>
        <v>1</v>
      </c>
      <c r="T468" s="557"/>
      <c r="U468" s="2">
        <f>_xlfn.IFNA(VLOOKUP(scheduleapr[[#This Row],[Bucket]],salesforecast[[#All],[Bucket2]:[8406 Stock]],19,0),0)</f>
        <v>0.80610400000000004</v>
      </c>
      <c r="V468" s="562">
        <f>_xlfn.IFNA(VLOOKUP(scheduleapr[[#This Row],[Bucket]],salesforecast[[#All],[Bucket2]:[8406 Stock]],20,0),0)+_xlfn.IFNA(VLOOKUP(scheduleapr[[#This Row],[Bucket]],salesforecast[[#All],[Bucket2]:[8406 Stock]],17,0),0)</f>
        <v>5.0208180000000002</v>
      </c>
      <c r="W468" s="557"/>
      <c r="X468" s="1">
        <v>57.15</v>
      </c>
      <c r="Y468" s="1">
        <v>57.15</v>
      </c>
      <c r="Z468" s="1">
        <v>0</v>
      </c>
      <c r="AA468" s="1">
        <v>2.5</v>
      </c>
      <c r="AB468" s="81">
        <v>376</v>
      </c>
      <c r="AC468" s="24" t="s">
        <v>397</v>
      </c>
      <c r="AD468" s="24"/>
      <c r="AE468" s="24"/>
      <c r="AF468" s="2"/>
      <c r="AG468" s="2"/>
      <c r="AH468" s="2" cm="1">
        <f t="array" ref="AH4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8" s="4">
        <f>scheduleapr[[#This Row],[SCHEDULE in nos]]-scheduleapr[[#This Row],[DISPATCH]]</f>
        <v>0</v>
      </c>
      <c r="AJ468" s="1">
        <f>(3.14*(scheduleapr[[#This Row],[ACTUAL OD]]-scheduleapr[[#This Row],[TICKNESS]])*scheduleapr[[#This Row],[TICKNESS]]*scheduleapr[[#This Row],[LENGTH]]*7.85)/1000000*scheduleapr[[#This Row],[SCHEDULE in nos]]/1000</f>
        <v>0</v>
      </c>
      <c r="AK468" s="1">
        <f>(3.14*(scheduleapr[[#This Row],[ACTUAL OD]]-scheduleapr[[#This Row],[TICKNESS]])*scheduleapr[[#This Row],[TICKNESS]]*scheduleapr[[#This Row],[LENGTH]]*7.85)/1000000*scheduleapr[[#This Row],[DISPATCH]]/1000</f>
        <v>0</v>
      </c>
      <c r="AL468" s="1">
        <f t="shared" si="17"/>
        <v>0</v>
      </c>
      <c r="AM468" s="1" t="e">
        <f>scheduleapr[[#This Row],[SCHEDULE in nos]]/scheduleapr[[#This Row],[SCHEDULE IN MT]]*scheduleapr[[#This Row],[CTL Stock]]</f>
        <v>#DIV/0!</v>
      </c>
      <c r="AN468" s="1">
        <f>SUMIFS(stock[MT],stock[Bucket],scheduleapr[[#This Row],[Bucket]],stock[CTL Bucket],scheduleapr[[#This Row],[CTL Bucket]],stock[Plant],"0789")</f>
        <v>0</v>
      </c>
      <c r="AO468" s="1"/>
      <c r="AP468" s="1">
        <f>SUMIFS(stock[MT],stock[Bucket],scheduleapr[[#This Row],[Bucket]],stock[LL or CTL],"LL")</f>
        <v>18.554921999999998</v>
      </c>
      <c r="AQ468" s="1">
        <f>+SUMIFS(wip[Stock(Net Wt)],wip[Bucket],scheduleapr[[#This Row],[Bucket]])/1000</f>
        <v>0</v>
      </c>
      <c r="AR468" s="1">
        <f t="shared" si="16"/>
        <v>0</v>
      </c>
      <c r="AS468" s="118"/>
    </row>
    <row r="469" spans="1:45" x14ac:dyDescent="0.25">
      <c r="A469" s="30">
        <v>499</v>
      </c>
      <c r="B469" s="5" t="s">
        <v>1816</v>
      </c>
      <c r="C469" s="2" t="s">
        <v>299</v>
      </c>
      <c r="D469" s="2" t="s">
        <v>2002</v>
      </c>
      <c r="E469" s="2" t="s">
        <v>292</v>
      </c>
      <c r="F469" s="2">
        <v>1940911</v>
      </c>
      <c r="G469" s="2" t="str">
        <f>_xlfn.CONCAT(scheduleapr[[#This Row],[CUSTOMER CODE]],"-",scheduleapr[[#This Row],[MATERIAL NO]])</f>
        <v>129695|187884|188415|189239|189240-1940911</v>
      </c>
      <c r="H469" s="2" t="s">
        <v>2050</v>
      </c>
      <c r="I469" s="2" t="s">
        <v>962</v>
      </c>
      <c r="J469" s="2"/>
      <c r="K469" s="2" t="s">
        <v>1003</v>
      </c>
      <c r="L469" s="2" t="s">
        <v>239</v>
      </c>
      <c r="M469" s="2"/>
      <c r="N469" s="2"/>
      <c r="O469" s="2" t="s">
        <v>1895</v>
      </c>
      <c r="P469" s="2"/>
      <c r="Q469" s="557" t="str">
        <f>CONCATENATE(scheduleapr[[#This Row],[OD]],"-",scheduleapr[[#This Row],[ID]],"-",scheduleapr[[#This Row],[TICKNESS]],"-",scheduleapr[[#This Row],[Grade]],"-",scheduleapr[[#This Row],[FC/NFC]])</f>
        <v>57.15-0-2.5-ERW 1-FC</v>
      </c>
      <c r="R469" s="557" t="str">
        <f>_xlfn.CONCAT(scheduleapr[[#This Row],[Bucket]],"-",scheduleapr[[#This Row],[LENGTH]]/1000)</f>
        <v>57.15-0-2.5-ERW 1-FC-0.772</v>
      </c>
      <c r="S469" s="557">
        <f>COUNTIF(scheduleapr[CTL Bucket],scheduleapr[[#This Row],[CTL Bucket]])</f>
        <v>2</v>
      </c>
      <c r="T469" s="2" t="s">
        <v>1816</v>
      </c>
      <c r="U469" s="2">
        <f>_xlfn.IFNA(VLOOKUP(scheduleapr[[#This Row],[Bucket]],salesforecast[[#All],[Bucket2]:[8406 Stock]],19,0),0)</f>
        <v>0.80610400000000004</v>
      </c>
      <c r="V469" s="562">
        <f>_xlfn.IFNA(VLOOKUP(scheduleapr[[#This Row],[Bucket]],salesforecast[[#All],[Bucket2]:[8406 Stock]],20,0),0)+_xlfn.IFNA(VLOOKUP(scheduleapr[[#This Row],[Bucket]],salesforecast[[#All],[Bucket2]:[8406 Stock]],17,0),0)</f>
        <v>5.0208180000000002</v>
      </c>
      <c r="W469" s="557"/>
      <c r="X469" s="1">
        <v>57.15</v>
      </c>
      <c r="Y469" s="1">
        <v>57.15</v>
      </c>
      <c r="Z469" s="1">
        <v>0</v>
      </c>
      <c r="AA469" s="1">
        <v>2.5</v>
      </c>
      <c r="AB469" s="81">
        <v>772</v>
      </c>
      <c r="AC469" s="24" t="s">
        <v>397</v>
      </c>
      <c r="AD469" s="24"/>
      <c r="AE469" s="24"/>
      <c r="AF469" s="2">
        <v>5000</v>
      </c>
      <c r="AG469" s="2"/>
      <c r="AH469" s="2" cm="1">
        <f t="array" ref="AH4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9" s="4">
        <f>scheduleapr[[#This Row],[SCHEDULE in nos]]-scheduleapr[[#This Row],[DISPATCH]]</f>
        <v>5000</v>
      </c>
      <c r="AJ469" s="1">
        <f>(3.14*(scheduleapr[[#This Row],[ACTUAL OD]]-scheduleapr[[#This Row],[TICKNESS]])*scheduleapr[[#This Row],[TICKNESS]]*scheduleapr[[#This Row],[LENGTH]]*7.85)/1000000*scheduleapr[[#This Row],[SCHEDULE in nos]]/1000</f>
        <v>12.999204752499999</v>
      </c>
      <c r="AK469" s="1">
        <f>(3.14*(scheduleapr[[#This Row],[ACTUAL OD]]-scheduleapr[[#This Row],[TICKNESS]])*scheduleapr[[#This Row],[TICKNESS]]*scheduleapr[[#This Row],[LENGTH]]*7.85)/1000000*scheduleapr[[#This Row],[DISPATCH]]/1000</f>
        <v>0</v>
      </c>
      <c r="AL469" s="1">
        <f t="shared" si="17"/>
        <v>12.999204752499999</v>
      </c>
      <c r="AM469" s="1">
        <f>scheduleapr[[#This Row],[SCHEDULE in nos]]/scheduleapr[[#This Row],[SCHEDULE IN MT]]*scheduleapr[[#This Row],[CTL Stock]]</f>
        <v>6.0095983936998927</v>
      </c>
      <c r="AN469" s="1">
        <f>SUMIFS(stock[MT],stock[Bucket],scheduleapr[[#This Row],[Bucket]],stock[CTL Bucket],scheduleapr[[#This Row],[CTL Bucket]],stock[Plant],"0789")</f>
        <v>1.5624000000000001E-2</v>
      </c>
      <c r="AO469" s="1"/>
      <c r="AP469" s="1">
        <f>SUMIFS(stock[MT],stock[Bucket],scheduleapr[[#This Row],[Bucket]],stock[LL or CTL],"LL")</f>
        <v>18.554921999999998</v>
      </c>
      <c r="AQ469" s="1">
        <f>+SUMIFS(wip[Stock(Net Wt)],wip[Bucket],scheduleapr[[#This Row],[Bucket]])/1000</f>
        <v>0</v>
      </c>
      <c r="AR469" s="1">
        <f t="shared" si="16"/>
        <v>12.983580752499998</v>
      </c>
      <c r="AS469" s="118"/>
    </row>
    <row r="470" spans="1:45" x14ac:dyDescent="0.25">
      <c r="A470" s="30">
        <v>500</v>
      </c>
      <c r="B470" s="5" t="s">
        <v>1872</v>
      </c>
      <c r="C470" s="2" t="s">
        <v>299</v>
      </c>
      <c r="D470" s="2" t="s">
        <v>2002</v>
      </c>
      <c r="E470" s="2" t="s">
        <v>292</v>
      </c>
      <c r="F470" s="2" t="s">
        <v>1878</v>
      </c>
      <c r="G470" s="2" t="str">
        <f>_xlfn.CONCAT(scheduleapr[[#This Row],[CUSTOMER CODE]],"-",scheduleapr[[#This Row],[MATERIAL NO]])</f>
        <v>129695|187884|188415|189239|189240-NO MATERIAL CODE</v>
      </c>
      <c r="H470" s="2"/>
      <c r="I470" s="2" t="s">
        <v>962</v>
      </c>
      <c r="J470" s="2"/>
      <c r="K470" s="2" t="s">
        <v>1003</v>
      </c>
      <c r="L470" s="2" t="s">
        <v>239</v>
      </c>
      <c r="M470" s="2"/>
      <c r="N470" s="2"/>
      <c r="O470" s="2" t="s">
        <v>1895</v>
      </c>
      <c r="P470" s="2"/>
      <c r="Q470" s="557" t="str">
        <f>CONCATENATE(scheduleapr[[#This Row],[OD]],"-",scheduleapr[[#This Row],[ID]],"-",scheduleapr[[#This Row],[TICKNESS]],"-",scheduleapr[[#This Row],[Grade]],"-",scheduleapr[[#This Row],[FC/NFC]])</f>
        <v>60.3-0-2-ERW 1-FC</v>
      </c>
      <c r="R470" s="557" t="str">
        <f>_xlfn.CONCAT(scheduleapr[[#This Row],[Bucket]],"-",scheduleapr[[#This Row],[LENGTH]]/1000)</f>
        <v>60.3-0-2-ERW 1-FC-0.491</v>
      </c>
      <c r="S470" s="557">
        <f>COUNTIF(scheduleapr[CTL Bucket],scheduleapr[[#This Row],[CTL Bucket]])</f>
        <v>1</v>
      </c>
      <c r="T470" s="2" t="s">
        <v>1817</v>
      </c>
      <c r="U470" s="2">
        <f>_xlfn.IFNA(VLOOKUP(scheduleapr[[#This Row],[Bucket]],salesforecast[[#All],[Bucket2]:[8406 Stock]],19,0),0)</f>
        <v>8.9056999999999997E-2</v>
      </c>
      <c r="V470" s="562">
        <f>_xlfn.IFNA(VLOOKUP(scheduleapr[[#This Row],[Bucket]],salesforecast[[#All],[Bucket2]:[8406 Stock]],20,0),0)+_xlfn.IFNA(VLOOKUP(scheduleapr[[#This Row],[Bucket]],salesforecast[[#All],[Bucket2]:[8406 Stock]],17,0),0)</f>
        <v>15.964999999999998</v>
      </c>
      <c r="W470" s="557"/>
      <c r="X470" s="1">
        <v>60.3</v>
      </c>
      <c r="Y470" s="1">
        <v>60.3</v>
      </c>
      <c r="Z470" s="1">
        <v>0</v>
      </c>
      <c r="AA470" s="1">
        <v>2</v>
      </c>
      <c r="AB470" s="81">
        <v>491</v>
      </c>
      <c r="AC470" s="24" t="s">
        <v>397</v>
      </c>
      <c r="AD470" s="24"/>
      <c r="AE470" s="24"/>
      <c r="AF470" s="2"/>
      <c r="AG470" s="2"/>
      <c r="AH470" s="2" cm="1">
        <f t="array" ref="AH4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0" s="4">
        <f>scheduleapr[[#This Row],[SCHEDULE in nos]]-scheduleapr[[#This Row],[DISPATCH]]</f>
        <v>0</v>
      </c>
      <c r="AJ470" s="1">
        <f>(3.14*(scheduleapr[[#This Row],[ACTUAL OD]]-scheduleapr[[#This Row],[TICKNESS]])*scheduleapr[[#This Row],[TICKNESS]]*scheduleapr[[#This Row],[LENGTH]]*7.85)/1000000*scheduleapr[[#This Row],[SCHEDULE in nos]]/1000</f>
        <v>0</v>
      </c>
      <c r="AK470" s="1">
        <f>(3.14*(scheduleapr[[#This Row],[ACTUAL OD]]-scheduleapr[[#This Row],[TICKNESS]])*scheduleapr[[#This Row],[TICKNESS]]*scheduleapr[[#This Row],[LENGTH]]*7.85)/1000000*scheduleapr[[#This Row],[DISPATCH]]/1000</f>
        <v>0</v>
      </c>
      <c r="AL470" s="1">
        <f t="shared" si="17"/>
        <v>0</v>
      </c>
      <c r="AM470" s="1" t="e">
        <f>scheduleapr[[#This Row],[SCHEDULE in nos]]/scheduleapr[[#This Row],[SCHEDULE IN MT]]*scheduleapr[[#This Row],[CTL Stock]]</f>
        <v>#DIV/0!</v>
      </c>
      <c r="AN470" s="1">
        <f>SUMIFS(stock[MT],stock[Bucket],scheduleapr[[#This Row],[Bucket]],stock[CTL Bucket],scheduleapr[[#This Row],[CTL Bucket]],stock[Plant],"0789")</f>
        <v>0</v>
      </c>
      <c r="AO470" s="1"/>
      <c r="AP470" s="1">
        <f>SUMIFS(stock[MT],stock[Bucket],scheduleapr[[#This Row],[Bucket]],stock[LL or CTL],"LL")</f>
        <v>28.386056999999997</v>
      </c>
      <c r="AQ470" s="1">
        <f>+SUMIFS(wip[Stock(Net Wt)],wip[Bucket],scheduleapr[[#This Row],[Bucket]])/1000</f>
        <v>0</v>
      </c>
      <c r="AR470" s="1">
        <f t="shared" si="16"/>
        <v>0</v>
      </c>
      <c r="AS470" s="118"/>
    </row>
    <row r="471" spans="1:45" x14ac:dyDescent="0.25">
      <c r="A471" s="30">
        <v>313</v>
      </c>
      <c r="B471" s="5" t="s">
        <v>1816</v>
      </c>
      <c r="C471" s="2" t="s">
        <v>291</v>
      </c>
      <c r="D471" s="2" t="s">
        <v>2002</v>
      </c>
      <c r="E471" s="2" t="s">
        <v>292</v>
      </c>
      <c r="F471" s="2"/>
      <c r="G471" s="2" t="str">
        <f>_xlfn.CONCAT(scheduleapr[[#This Row],[CUSTOMER CODE]],"-",scheduleapr[[#This Row],[MATERIAL NO]])</f>
        <v>129695|187884|188415|189239|189240-</v>
      </c>
      <c r="H471" s="2"/>
      <c r="I471" s="2" t="s">
        <v>993</v>
      </c>
      <c r="J471" s="2"/>
      <c r="K471" s="2"/>
      <c r="L471" s="2" t="s">
        <v>239</v>
      </c>
      <c r="M471" s="2"/>
      <c r="N471" s="2"/>
      <c r="O471" s="2"/>
      <c r="P471" s="2"/>
      <c r="Q471" s="557" t="str">
        <f>CONCATENATE(scheduleapr[[#This Row],[OD]],"-",scheduleapr[[#This Row],[ID]],"-",scheduleapr[[#This Row],[TICKNESS]],"-",scheduleapr[[#This Row],[Grade]],"-",scheduleapr[[#This Row],[FC/NFC]])</f>
        <v>19.05-0-2.5-ERW 2-</v>
      </c>
      <c r="R471" s="557" t="str">
        <f>_xlfn.CONCAT(scheduleapr[[#This Row],[Bucket]],"-",scheduleapr[[#This Row],[LENGTH]]/1000)</f>
        <v>19.05-0-2.5-ERW 2--0.319</v>
      </c>
      <c r="S471" s="557" t="e" vm="2">
        <f>COUNTIF([2]!buckets[CTL Bucket],[2]!scheduleapr[[#This Row],[CTL Bucket]])</f>
        <v>#REF!</v>
      </c>
      <c r="T471" s="557"/>
      <c r="U471" s="557"/>
      <c r="V471" s="557"/>
      <c r="W471" s="557"/>
      <c r="X471" s="1">
        <v>19.05</v>
      </c>
      <c r="Y471" s="1">
        <v>19.05</v>
      </c>
      <c r="Z471" s="1">
        <v>0</v>
      </c>
      <c r="AA471" s="1">
        <v>2.5</v>
      </c>
      <c r="AB471" s="24">
        <v>319</v>
      </c>
      <c r="AC471" s="24"/>
      <c r="AD471" s="24"/>
      <c r="AE471" s="24"/>
      <c r="AF471" s="2"/>
      <c r="AG471" s="2"/>
      <c r="AH471" s="2" t="e" cm="1">
        <f t="array" ref="AH4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1" s="4" t="e">
        <f>scheduleapr[[#This Row],[SCHEDULE in nos]]-scheduleapr[[#This Row],[DISPATCH]]</f>
        <v>#N/A</v>
      </c>
      <c r="AJ471" s="1">
        <f>(3.14*(scheduleapr[[#This Row],[ACTUAL OD]]-scheduleapr[[#This Row],[TICKNESS]])*scheduleapr[[#This Row],[TICKNESS]]*scheduleapr[[#This Row],[LENGTH]]*7.85)/1000000*scheduleapr[[#This Row],[SCHEDULE in nos]]/1000</f>
        <v>0</v>
      </c>
      <c r="AK471" s="1" t="e">
        <f>(3.14*(scheduleapr[[#This Row],[ACTUAL OD]]-scheduleapr[[#This Row],[TICKNESS]])*scheduleapr[[#This Row],[TICKNESS]]*scheduleapr[[#This Row],[LENGTH]]*7.85)/1000000*scheduleapr[[#This Row],[DISPATCH]]/1000</f>
        <v>#N/A</v>
      </c>
      <c r="AL471" s="1" t="e">
        <f t="shared" si="17"/>
        <v>#N/A</v>
      </c>
      <c r="AM471" s="1" t="e">
        <f>scheduleapr[[#This Row],[SCHEDULE in nos]]/scheduleapr[[#This Row],[SCHEDULE IN MT]]*scheduleapr[[#This Row],[CTL Stock]]</f>
        <v>#DIV/0!</v>
      </c>
      <c r="AN471" s="1">
        <f>SUMIFS(stock[MT],stock[Bucket],scheduleapr[[#This Row],[Bucket]],stock[CTL Bucket],scheduleapr[[#This Row],[CTL Bucket]],stock[Plant],"0789")</f>
        <v>0</v>
      </c>
      <c r="AO471" s="1"/>
      <c r="AP471" s="1">
        <f>SUMIFS(stock[MT],stock[Bucket],scheduleapr[[#This Row],[Bucket]],stock[LL or CTL],"LL")</f>
        <v>0</v>
      </c>
      <c r="AQ471" s="1">
        <f>+SUMIFS(wip[Stock(Net Wt)],wip[Bucket],scheduleapr[[#This Row],[Bucket]])/1000</f>
        <v>0</v>
      </c>
      <c r="AR471" s="1">
        <f t="shared" si="16"/>
        <v>0</v>
      </c>
      <c r="AS471" s="118"/>
    </row>
    <row r="472" spans="1:45" x14ac:dyDescent="0.25">
      <c r="A472" s="556"/>
      <c r="B472" s="5" t="s">
        <v>1816</v>
      </c>
      <c r="C472" s="2" t="s">
        <v>298</v>
      </c>
      <c r="D472" s="2" t="s">
        <v>2002</v>
      </c>
      <c r="E472" s="2" t="s">
        <v>285</v>
      </c>
      <c r="F472" s="477">
        <v>4228296</v>
      </c>
      <c r="G472" s="2" t="str">
        <f>_xlfn.CONCAT(scheduleapr[[#This Row],[CUSTOMER CODE]],"-",scheduleapr[[#This Row],[MATERIAL NO]])</f>
        <v>129663|948721-4228296</v>
      </c>
      <c r="H472" s="557"/>
      <c r="I472" s="2" t="s">
        <v>993</v>
      </c>
      <c r="J472" s="557"/>
      <c r="K472" s="557"/>
      <c r="L472" s="557"/>
      <c r="M472" s="558"/>
      <c r="N472" s="557"/>
      <c r="O472" s="557"/>
      <c r="P472" s="557"/>
      <c r="Q472" s="557"/>
      <c r="R472" s="557"/>
      <c r="S472" s="557"/>
      <c r="T472" s="2"/>
      <c r="U472" s="2"/>
      <c r="V472" s="3"/>
      <c r="W472" s="2"/>
      <c r="X472" s="559">
        <v>22.23</v>
      </c>
      <c r="Y472" s="559">
        <v>22.23</v>
      </c>
      <c r="Z472" s="559">
        <v>0</v>
      </c>
      <c r="AA472" s="559">
        <v>2</v>
      </c>
      <c r="AB472" s="24">
        <v>865</v>
      </c>
      <c r="AC472" s="81" t="s">
        <v>397</v>
      </c>
      <c r="AD472" s="24"/>
      <c r="AE472" s="24"/>
      <c r="AF472" s="557">
        <v>10000</v>
      </c>
      <c r="AG472" s="557"/>
      <c r="AH472" s="557" cm="1">
        <f t="array" ref="AH4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2" s="560">
        <f>scheduleapr[[#This Row],[SCHEDULE in nos]]-scheduleapr[[#This Row],[DISPATCH]]</f>
        <v>10000</v>
      </c>
      <c r="AJ472" s="559">
        <f>(3.14*(scheduleapr[[#This Row],[ACTUAL OD]]-scheduleapr[[#This Row],[TICKNESS]])*scheduleapr[[#This Row],[TICKNESS]]*scheduleapr[[#This Row],[LENGTH]]*7.85)/1000000*scheduleapr[[#This Row],[SCHEDULE in nos]]/1000</f>
        <v>8.6266323709999995</v>
      </c>
      <c r="AK472" s="1">
        <f>(3.14*(scheduleapr[[#This Row],[ACTUAL OD]]-scheduleapr[[#This Row],[TICKNESS]])*scheduleapr[[#This Row],[TICKNESS]]*scheduleapr[[#This Row],[LENGTH]]*7.85)/1000000*scheduleapr[[#This Row],[DISPATCH]]/1000</f>
        <v>0</v>
      </c>
      <c r="AL472" s="1">
        <f t="shared" si="17"/>
        <v>8.6266323709999995</v>
      </c>
      <c r="AM472" s="559">
        <f>scheduleapr[[#This Row],[SCHEDULE in nos]]/scheduleapr[[#This Row],[SCHEDULE IN MT]]*scheduleapr[[#This Row],[CTL Stock]]</f>
        <v>0</v>
      </c>
      <c r="AN472" s="1">
        <f>SUMIFS(stock[MT],stock[Bucket],scheduleapr[[#This Row],[Bucket]],stock[CTL Bucket],scheduleapr[[#This Row],[CTL Bucket]],stock[Plant],"0789")</f>
        <v>0</v>
      </c>
      <c r="AO472" s="1"/>
      <c r="AP472" s="1">
        <f>SUMIFS(stock[MT],stock[Bucket],scheduleapr[[#This Row],[Bucket]],stock[LL or CTL],"LL")</f>
        <v>0</v>
      </c>
      <c r="AQ472" s="1">
        <f>+SUMIFS(wip[Stock(Net Wt)],wip[Bucket],scheduleapr[[#This Row],[Bucket]])/1000</f>
        <v>0</v>
      </c>
      <c r="AR472" s="1">
        <f t="shared" si="16"/>
        <v>8.6266323709999995</v>
      </c>
      <c r="AS472" s="118"/>
    </row>
    <row r="473" spans="1:45" x14ac:dyDescent="0.25">
      <c r="A473" s="30">
        <v>414</v>
      </c>
      <c r="B473" s="5" t="s">
        <v>1816</v>
      </c>
      <c r="C473" s="2" t="s">
        <v>299</v>
      </c>
      <c r="D473" s="2" t="s">
        <v>2002</v>
      </c>
      <c r="E473" s="2" t="s">
        <v>292</v>
      </c>
      <c r="F473" s="2">
        <v>3122347</v>
      </c>
      <c r="G473" s="2" t="str">
        <f>_xlfn.CONCAT(scheduleapr[[#This Row],[CUSTOMER CODE]],"-",scheduleapr[[#This Row],[MATERIAL NO]])</f>
        <v>129695|187884|188415|189239|189240-3122347</v>
      </c>
      <c r="H473" s="2" t="s">
        <v>1347</v>
      </c>
      <c r="I473" s="2" t="s">
        <v>985</v>
      </c>
      <c r="J473" s="2"/>
      <c r="K473" s="2" t="s">
        <v>963</v>
      </c>
      <c r="L473" s="2" t="s">
        <v>1867</v>
      </c>
      <c r="M473" s="44" t="s">
        <v>1924</v>
      </c>
      <c r="N473" s="2"/>
      <c r="O473" s="2" t="s">
        <v>1895</v>
      </c>
      <c r="P473" s="2"/>
      <c r="Q473" s="557" t="str">
        <f>CONCATENATE(scheduleapr[[#This Row],[OD]],"-",scheduleapr[[#This Row],[ID]],"-",scheduleapr[[#This Row],[TICKNESS]],"-",scheduleapr[[#This Row],[Grade]],"-",scheduleapr[[#This Row],[FC/NFC]])</f>
        <v>19.05-0-1.6-ERW 2 MAHS-PE</v>
      </c>
      <c r="R473" s="557" t="str">
        <f>_xlfn.CONCAT(scheduleapr[[#This Row],[Bucket]],"-",scheduleapr[[#This Row],[LENGTH]]/1000)</f>
        <v>19.05-0-1.6-ERW 2 MAHS-PE-0.394</v>
      </c>
      <c r="S473" s="557" t="e" vm="2">
        <f>COUNTIF([2]!buckets[CTL Bucket],[2]!scheduleapr[[#This Row],[CTL Bucket]])</f>
        <v>#REF!</v>
      </c>
      <c r="T473" s="557"/>
      <c r="U473" s="557"/>
      <c r="V473" s="557"/>
      <c r="W473" s="557"/>
      <c r="X473" s="1">
        <v>19.05</v>
      </c>
      <c r="Y473" s="1">
        <v>19.05</v>
      </c>
      <c r="Z473" s="1">
        <v>0</v>
      </c>
      <c r="AA473" s="1">
        <v>1.6</v>
      </c>
      <c r="AB473" s="24">
        <v>394</v>
      </c>
      <c r="AC473" s="24" t="s">
        <v>397</v>
      </c>
      <c r="AD473" s="24"/>
      <c r="AE473" s="24"/>
      <c r="AF473" s="2"/>
      <c r="AG473" s="2"/>
      <c r="AH473" s="2" cm="1">
        <f t="array" ref="AH4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3" s="4">
        <f>scheduleapr[[#This Row],[SCHEDULE in nos]]-scheduleapr[[#This Row],[DISPATCH]]</f>
        <v>0</v>
      </c>
      <c r="AJ473" s="1">
        <f>(3.14*(scheduleapr[[#This Row],[ACTUAL OD]]-scheduleapr[[#This Row],[TICKNESS]])*scheduleapr[[#This Row],[TICKNESS]]*scheduleapr[[#This Row],[LENGTH]]*7.85)/1000000*scheduleapr[[#This Row],[SCHEDULE in nos]]/1000</f>
        <v>0</v>
      </c>
      <c r="AK473" s="1">
        <f>(3.14*(scheduleapr[[#This Row],[ACTUAL OD]]-scheduleapr[[#This Row],[TICKNESS]])*scheduleapr[[#This Row],[TICKNESS]]*scheduleapr[[#This Row],[LENGTH]]*7.85)/1000000*scheduleapr[[#This Row],[DISPATCH]]/1000</f>
        <v>0</v>
      </c>
      <c r="AL473" s="1">
        <f t="shared" si="17"/>
        <v>0</v>
      </c>
      <c r="AM473" s="1" t="e">
        <f>scheduleapr[[#This Row],[SCHEDULE in nos]]/scheduleapr[[#This Row],[SCHEDULE IN MT]]*scheduleapr[[#This Row],[CTL Stock]]</f>
        <v>#DIV/0!</v>
      </c>
      <c r="AN473" s="1">
        <f>SUMIFS(stock[MT],stock[Bucket],scheduleapr[[#This Row],[Bucket]],stock[CTL Bucket],scheduleapr[[#This Row],[CTL Bucket]],stock[Plant],"0789")</f>
        <v>1.8818079999999999</v>
      </c>
      <c r="AO473" s="1"/>
      <c r="AP473" s="1">
        <f>SUMIFS(stock[MT],stock[Bucket],scheduleapr[[#This Row],[Bucket]],stock[LL or CTL],"LL")</f>
        <v>0</v>
      </c>
      <c r="AQ473" s="1">
        <f>+SUMIFS(wip[Stock(Net Wt)],wip[Bucket],scheduleapr[[#This Row],[Bucket]])/1000</f>
        <v>2.9860000000000002</v>
      </c>
      <c r="AR473" s="1">
        <f t="shared" si="16"/>
        <v>-1.8818079999999999</v>
      </c>
      <c r="AS473" s="118"/>
    </row>
    <row r="474" spans="1:45" x14ac:dyDescent="0.25">
      <c r="A474" s="30">
        <v>314</v>
      </c>
      <c r="B474" s="5" t="s">
        <v>1816</v>
      </c>
      <c r="C474" s="2" t="s">
        <v>291</v>
      </c>
      <c r="D474" s="2" t="s">
        <v>2002</v>
      </c>
      <c r="E474" s="2" t="s">
        <v>292</v>
      </c>
      <c r="F474" s="2">
        <v>314118</v>
      </c>
      <c r="G474" s="2" t="str">
        <f>_xlfn.CONCAT(scheduleapr[[#This Row],[CUSTOMER CODE]],"-",scheduleapr[[#This Row],[MATERIAL NO]])</f>
        <v>129695|187884|188415|189239|189240-314118</v>
      </c>
      <c r="H474" s="2" t="s">
        <v>1445</v>
      </c>
      <c r="I474" s="2"/>
      <c r="J474" s="2"/>
      <c r="K474" s="2"/>
      <c r="L474" s="2" t="s">
        <v>239</v>
      </c>
      <c r="M474" s="2"/>
      <c r="N474" s="2"/>
      <c r="O474" s="2"/>
      <c r="P474" s="2"/>
      <c r="Q474" s="557" t="str">
        <f>CONCATENATE(scheduleapr[[#This Row],[OD]],"-",scheduleapr[[#This Row],[ID]],"-",scheduleapr[[#This Row],[TICKNESS]],"-",scheduleapr[[#This Row],[Grade]],"-",scheduleapr[[#This Row],[FC/NFC]])</f>
        <v>22.2-0-1.2--</v>
      </c>
      <c r="R474" s="557" t="str">
        <f>_xlfn.CONCAT(scheduleapr[[#This Row],[Bucket]],"-",scheduleapr[[#This Row],[LENGTH]]/1000)</f>
        <v>22.2-0-1.2---0.3</v>
      </c>
      <c r="S474" s="557" t="e" vm="2">
        <f>COUNTIF([2]!buckets[CTL Bucket],[2]!scheduleapr[[#This Row],[CTL Bucket]])</f>
        <v>#REF!</v>
      </c>
      <c r="T474" s="557"/>
      <c r="U474" s="557"/>
      <c r="V474" s="557"/>
      <c r="W474" s="557"/>
      <c r="X474" s="1">
        <v>22.23</v>
      </c>
      <c r="Y474" s="1">
        <v>22.2</v>
      </c>
      <c r="Z474" s="1">
        <v>0</v>
      </c>
      <c r="AA474" s="1">
        <v>1.2</v>
      </c>
      <c r="AB474" s="24">
        <v>300</v>
      </c>
      <c r="AC474" s="24"/>
      <c r="AD474" s="24"/>
      <c r="AE474" s="24"/>
      <c r="AF474" s="2"/>
      <c r="AG474" s="2"/>
      <c r="AH474" s="2" t="e" cm="1">
        <f t="array" ref="AH4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4" s="4" t="e">
        <f>scheduleapr[[#This Row],[SCHEDULE in nos]]-scheduleapr[[#This Row],[DISPATCH]]</f>
        <v>#N/A</v>
      </c>
      <c r="AJ474" s="1">
        <f>(3.14*(scheduleapr[[#This Row],[ACTUAL OD]]-scheduleapr[[#This Row],[TICKNESS]])*scheduleapr[[#This Row],[TICKNESS]]*scheduleapr[[#This Row],[LENGTH]]*7.85)/1000000*scheduleapr[[#This Row],[SCHEDULE in nos]]/1000</f>
        <v>0</v>
      </c>
      <c r="AK474" s="1" t="e">
        <f>(3.14*(scheduleapr[[#This Row],[ACTUAL OD]]-scheduleapr[[#This Row],[TICKNESS]])*scheduleapr[[#This Row],[TICKNESS]]*scheduleapr[[#This Row],[LENGTH]]*7.85)/1000000*scheduleapr[[#This Row],[DISPATCH]]/1000</f>
        <v>#N/A</v>
      </c>
      <c r="AL474" s="1" t="e">
        <f t="shared" si="17"/>
        <v>#N/A</v>
      </c>
      <c r="AM474" s="1" t="e">
        <f>scheduleapr[[#This Row],[SCHEDULE in nos]]/scheduleapr[[#This Row],[SCHEDULE IN MT]]*scheduleapr[[#This Row],[CTL Stock]]</f>
        <v>#DIV/0!</v>
      </c>
      <c r="AN474" s="1">
        <f>SUMIFS(stock[MT],stock[Bucket],scheduleapr[[#This Row],[Bucket]],stock[CTL Bucket],scheduleapr[[#This Row],[CTL Bucket]],stock[Plant],"0789")</f>
        <v>0</v>
      </c>
      <c r="AO474" s="1"/>
      <c r="AP474" s="1">
        <f>SUMIFS(stock[MT],stock[Bucket],scheduleapr[[#This Row],[Bucket]],stock[LL or CTL],"LL")</f>
        <v>0</v>
      </c>
      <c r="AQ474" s="1">
        <f>+SUMIFS(wip[Stock(Net Wt)],wip[Bucket],scheduleapr[[#This Row],[Bucket]])/1000</f>
        <v>0</v>
      </c>
      <c r="AR474" s="1">
        <f t="shared" si="16"/>
        <v>0</v>
      </c>
      <c r="AS474" s="118"/>
    </row>
    <row r="475" spans="1:45" x14ac:dyDescent="0.25">
      <c r="A475" s="30">
        <v>326</v>
      </c>
      <c r="B475" s="5" t="s">
        <v>1816</v>
      </c>
      <c r="C475" s="2" t="s">
        <v>291</v>
      </c>
      <c r="D475" s="2" t="s">
        <v>2002</v>
      </c>
      <c r="E475" s="2" t="s">
        <v>292</v>
      </c>
      <c r="F475" s="2">
        <v>1531609</v>
      </c>
      <c r="G475" s="2" t="str">
        <f>_xlfn.CONCAT(scheduleapr[[#This Row],[CUSTOMER CODE]],"-",scheduleapr[[#This Row],[MATERIAL NO]])</f>
        <v>129695|187884|188415|189239|189240-1531609</v>
      </c>
      <c r="H475" s="2" t="s">
        <v>2051</v>
      </c>
      <c r="I475" s="2"/>
      <c r="J475" s="2"/>
      <c r="K475" s="2"/>
      <c r="L475" s="2" t="s">
        <v>239</v>
      </c>
      <c r="M475" s="2"/>
      <c r="N475" s="2"/>
      <c r="O475" s="2"/>
      <c r="P475" s="2"/>
      <c r="Q475" s="557" t="str">
        <f>CONCATENATE(scheduleapr[[#This Row],[OD]],"-",scheduleapr[[#This Row],[ID]],"-",scheduleapr[[#This Row],[TICKNESS]],"-",scheduleapr[[#This Row],[Grade]],"-",scheduleapr[[#This Row],[FC/NFC]])</f>
        <v>25.4-0-2--</v>
      </c>
      <c r="R475" s="557" t="str">
        <f>_xlfn.CONCAT(scheduleapr[[#This Row],[Bucket]],"-",scheduleapr[[#This Row],[LENGTH]]/1000)</f>
        <v>25.4-0-2---0.6</v>
      </c>
      <c r="S475" s="557" t="e" vm="2">
        <f>COUNTIF([2]!buckets[CTL Bucket],[2]!scheduleapr[[#This Row],[CTL Bucket]])</f>
        <v>#REF!</v>
      </c>
      <c r="T475" s="557"/>
      <c r="U475" s="557"/>
      <c r="V475" s="557"/>
      <c r="W475" s="557"/>
      <c r="X475" s="1">
        <v>25.4</v>
      </c>
      <c r="Y475" s="1">
        <v>25.4</v>
      </c>
      <c r="Z475" s="1">
        <v>0</v>
      </c>
      <c r="AA475" s="1">
        <v>2</v>
      </c>
      <c r="AB475" s="24">
        <v>600</v>
      </c>
      <c r="AC475" s="24"/>
      <c r="AD475" s="24"/>
      <c r="AE475" s="24"/>
      <c r="AF475" s="2"/>
      <c r="AG475" s="2"/>
      <c r="AH475" s="2" t="e" cm="1">
        <f t="array" ref="AH4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5" s="4" t="e">
        <f>scheduleapr[[#This Row],[SCHEDULE in nos]]-scheduleapr[[#This Row],[DISPATCH]]</f>
        <v>#N/A</v>
      </c>
      <c r="AJ475" s="1">
        <f>(3.14*(scheduleapr[[#This Row],[ACTUAL OD]]-scheduleapr[[#This Row],[TICKNESS]])*scheduleapr[[#This Row],[TICKNESS]]*scheduleapr[[#This Row],[LENGTH]]*7.85)/1000000*scheduleapr[[#This Row],[SCHEDULE in nos]]/1000</f>
        <v>0</v>
      </c>
      <c r="AK475" s="1" t="e">
        <f>(3.14*(scheduleapr[[#This Row],[ACTUAL OD]]-scheduleapr[[#This Row],[TICKNESS]])*scheduleapr[[#This Row],[TICKNESS]]*scheduleapr[[#This Row],[LENGTH]]*7.85)/1000000*scheduleapr[[#This Row],[DISPATCH]]/1000</f>
        <v>#N/A</v>
      </c>
      <c r="AL475" s="1" t="e">
        <f t="shared" si="17"/>
        <v>#N/A</v>
      </c>
      <c r="AM475" s="1" t="e">
        <f>scheduleapr[[#This Row],[SCHEDULE in nos]]/scheduleapr[[#This Row],[SCHEDULE IN MT]]*scheduleapr[[#This Row],[CTL Stock]]</f>
        <v>#DIV/0!</v>
      </c>
      <c r="AN475" s="1">
        <f>SUMIFS(stock[MT],stock[Bucket],scheduleapr[[#This Row],[Bucket]],stock[CTL Bucket],scheduleapr[[#This Row],[CTL Bucket]],stock[Plant],"0789")</f>
        <v>0</v>
      </c>
      <c r="AO475" s="1"/>
      <c r="AP475" s="1">
        <f>SUMIFS(stock[MT],stock[Bucket],scheduleapr[[#This Row],[Bucket]],stock[LL or CTL],"LL")</f>
        <v>0</v>
      </c>
      <c r="AQ475" s="1">
        <f>+SUMIFS(wip[Stock(Net Wt)],wip[Bucket],scheduleapr[[#This Row],[Bucket]])/1000</f>
        <v>0</v>
      </c>
      <c r="AR475" s="1">
        <f t="shared" si="16"/>
        <v>0</v>
      </c>
      <c r="AS475" s="118"/>
    </row>
    <row r="476" spans="1:45" x14ac:dyDescent="0.25">
      <c r="A476" s="30">
        <v>327</v>
      </c>
      <c r="B476" s="5" t="s">
        <v>1816</v>
      </c>
      <c r="C476" s="2" t="s">
        <v>291</v>
      </c>
      <c r="D476" s="2" t="s">
        <v>2002</v>
      </c>
      <c r="E476" s="2" t="s">
        <v>292</v>
      </c>
      <c r="F476" s="2">
        <v>1190412</v>
      </c>
      <c r="G476" s="2" t="str">
        <f>_xlfn.CONCAT(scheduleapr[[#This Row],[CUSTOMER CODE]],"-",scheduleapr[[#This Row],[MATERIAL NO]])</f>
        <v>129695|187884|188415|189239|189240-1190412</v>
      </c>
      <c r="H476" s="2" t="s">
        <v>2052</v>
      </c>
      <c r="I476" s="2"/>
      <c r="J476" s="2"/>
      <c r="K476" s="2"/>
      <c r="L476" s="2" t="s">
        <v>239</v>
      </c>
      <c r="M476" s="2"/>
      <c r="N476" s="2"/>
      <c r="O476" s="2"/>
      <c r="P476" s="2"/>
      <c r="Q476" s="557" t="str">
        <f>CONCATENATE(scheduleapr[[#This Row],[OD]],"-",scheduleapr[[#This Row],[ID]],"-",scheduleapr[[#This Row],[TICKNESS]],"-",scheduleapr[[#This Row],[Grade]],"-",scheduleapr[[#This Row],[FC/NFC]])</f>
        <v>25.4-0-2--</v>
      </c>
      <c r="R476" s="557" t="str">
        <f>_xlfn.CONCAT(scheduleapr[[#This Row],[Bucket]],"-",scheduleapr[[#This Row],[LENGTH]]/1000)</f>
        <v>25.4-0-2---0.657</v>
      </c>
      <c r="S476" s="557" t="e" vm="2">
        <f>COUNTIF([2]!buckets[CTL Bucket],[2]!scheduleapr[[#This Row],[CTL Bucket]])</f>
        <v>#REF!</v>
      </c>
      <c r="T476" s="557"/>
      <c r="U476" s="557"/>
      <c r="V476" s="557"/>
      <c r="W476" s="557"/>
      <c r="X476" s="1">
        <v>25.4</v>
      </c>
      <c r="Y476" s="1">
        <v>25.4</v>
      </c>
      <c r="Z476" s="1">
        <v>0</v>
      </c>
      <c r="AA476" s="1">
        <v>2</v>
      </c>
      <c r="AB476" s="24">
        <v>657</v>
      </c>
      <c r="AC476" s="24"/>
      <c r="AD476" s="24"/>
      <c r="AE476" s="24"/>
      <c r="AF476" s="2"/>
      <c r="AG476" s="2"/>
      <c r="AH476" s="2" t="e" cm="1">
        <f t="array" ref="AH4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6" s="4" t="e">
        <f>scheduleapr[[#This Row],[SCHEDULE in nos]]-scheduleapr[[#This Row],[DISPATCH]]</f>
        <v>#N/A</v>
      </c>
      <c r="AJ476" s="1">
        <f>(3.14*(scheduleapr[[#This Row],[ACTUAL OD]]-scheduleapr[[#This Row],[TICKNESS]])*scheduleapr[[#This Row],[TICKNESS]]*scheduleapr[[#This Row],[LENGTH]]*7.85)/1000000*scheduleapr[[#This Row],[SCHEDULE in nos]]/1000</f>
        <v>0</v>
      </c>
      <c r="AK476" s="1" t="e">
        <f>(3.14*(scheduleapr[[#This Row],[ACTUAL OD]]-scheduleapr[[#This Row],[TICKNESS]])*scheduleapr[[#This Row],[TICKNESS]]*scheduleapr[[#This Row],[LENGTH]]*7.85)/1000000*scheduleapr[[#This Row],[DISPATCH]]/1000</f>
        <v>#N/A</v>
      </c>
      <c r="AL476" s="1" t="e">
        <f t="shared" si="17"/>
        <v>#N/A</v>
      </c>
      <c r="AM476" s="1" t="e">
        <f>scheduleapr[[#This Row],[SCHEDULE in nos]]/scheduleapr[[#This Row],[SCHEDULE IN MT]]*scheduleapr[[#This Row],[CTL Stock]]</f>
        <v>#DIV/0!</v>
      </c>
      <c r="AN476" s="1">
        <f>SUMIFS(stock[MT],stock[Bucket],scheduleapr[[#This Row],[Bucket]],stock[CTL Bucket],scheduleapr[[#This Row],[CTL Bucket]],stock[Plant],"0789")</f>
        <v>0</v>
      </c>
      <c r="AO476" s="1"/>
      <c r="AP476" s="1">
        <f>SUMIFS(stock[MT],stock[Bucket],scheduleapr[[#This Row],[Bucket]],stock[LL or CTL],"LL")</f>
        <v>0</v>
      </c>
      <c r="AQ476" s="1">
        <f>+SUMIFS(wip[Stock(Net Wt)],wip[Bucket],scheduleapr[[#This Row],[Bucket]])/1000</f>
        <v>0</v>
      </c>
      <c r="AR476" s="1">
        <f t="shared" si="16"/>
        <v>0</v>
      </c>
      <c r="AS476" s="118"/>
    </row>
    <row r="477" spans="1:45" x14ac:dyDescent="0.25">
      <c r="A477" s="30">
        <v>332</v>
      </c>
      <c r="B477" s="5" t="s">
        <v>1816</v>
      </c>
      <c r="C477" s="2" t="s">
        <v>291</v>
      </c>
      <c r="D477" s="2" t="s">
        <v>2002</v>
      </c>
      <c r="E477" s="2" t="s">
        <v>292</v>
      </c>
      <c r="F477" s="2">
        <v>444028</v>
      </c>
      <c r="G477" s="2" t="str">
        <f>_xlfn.CONCAT(scheduleapr[[#This Row],[CUSTOMER CODE]],"-",scheduleapr[[#This Row],[MATERIAL NO]])</f>
        <v>129695|187884|188415|189239|189240-444028</v>
      </c>
      <c r="H477" s="2" t="s">
        <v>2053</v>
      </c>
      <c r="I477" s="2" t="s">
        <v>962</v>
      </c>
      <c r="J477" s="2"/>
      <c r="K477" s="2" t="s">
        <v>1003</v>
      </c>
      <c r="L477" s="2" t="s">
        <v>239</v>
      </c>
      <c r="M477" s="2"/>
      <c r="N477" s="2"/>
      <c r="O477" s="2"/>
      <c r="P477" s="2"/>
      <c r="Q477" s="557" t="str">
        <f>CONCATENATE(scheduleapr[[#This Row],[OD]],"-",scheduleapr[[#This Row],[ID]],"-",scheduleapr[[#This Row],[TICKNESS]],"-",scheduleapr[[#This Row],[Grade]],"-",scheduleapr[[#This Row],[FC/NFC]])</f>
        <v>31.75-0-1.2-ERW 1-FC</v>
      </c>
      <c r="R477" s="557" t="str">
        <f>_xlfn.CONCAT(scheduleapr[[#This Row],[Bucket]],"-",scheduleapr[[#This Row],[LENGTH]]/1000)</f>
        <v>31.75-0-1.2-ERW 1-FC-0.6</v>
      </c>
      <c r="S477" s="557" t="e" vm="2">
        <f>COUNTIF([2]!buckets[CTL Bucket],[2]!scheduleapr[[#This Row],[CTL Bucket]])</f>
        <v>#REF!</v>
      </c>
      <c r="T477" s="557"/>
      <c r="U477" s="557"/>
      <c r="V477" s="557"/>
      <c r="W477" s="557"/>
      <c r="X477" s="1">
        <v>31.75</v>
      </c>
      <c r="Y477" s="1">
        <v>31.75</v>
      </c>
      <c r="Z477" s="1">
        <v>0</v>
      </c>
      <c r="AA477" s="1">
        <v>1.2</v>
      </c>
      <c r="AB477" s="24">
        <v>600</v>
      </c>
      <c r="AC477" s="24"/>
      <c r="AD477" s="24"/>
      <c r="AE477" s="24"/>
      <c r="AF477" s="2"/>
      <c r="AG477" s="2"/>
      <c r="AH477" s="2" t="e" cm="1">
        <f t="array" ref="AH4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7" s="4" t="e">
        <f>scheduleapr[[#This Row],[SCHEDULE in nos]]-scheduleapr[[#This Row],[DISPATCH]]</f>
        <v>#N/A</v>
      </c>
      <c r="AJ477" s="1">
        <f>(3.14*(scheduleapr[[#This Row],[ACTUAL OD]]-scheduleapr[[#This Row],[TICKNESS]])*scheduleapr[[#This Row],[TICKNESS]]*scheduleapr[[#This Row],[LENGTH]]*7.85)/1000000*scheduleapr[[#This Row],[SCHEDULE in nos]]/1000</f>
        <v>0</v>
      </c>
      <c r="AK477" s="1" t="e">
        <f>(3.14*(scheduleapr[[#This Row],[ACTUAL OD]]-scheduleapr[[#This Row],[TICKNESS]])*scheduleapr[[#This Row],[TICKNESS]]*scheduleapr[[#This Row],[LENGTH]]*7.85)/1000000*scheduleapr[[#This Row],[DISPATCH]]/1000</f>
        <v>#N/A</v>
      </c>
      <c r="AL477" s="1" t="e">
        <f t="shared" si="17"/>
        <v>#N/A</v>
      </c>
      <c r="AM477" s="1" t="e">
        <f>scheduleapr[[#This Row],[SCHEDULE in nos]]/scheduleapr[[#This Row],[SCHEDULE IN MT]]*scheduleapr[[#This Row],[CTL Stock]]</f>
        <v>#DIV/0!</v>
      </c>
      <c r="AN477" s="1">
        <f>SUMIFS(stock[MT],stock[Bucket],scheduleapr[[#This Row],[Bucket]],stock[CTL Bucket],scheduleapr[[#This Row],[CTL Bucket]],stock[Plant],"0789")</f>
        <v>0</v>
      </c>
      <c r="AO477" s="1"/>
      <c r="AP477" s="1">
        <f>SUMIFS(stock[MT],stock[Bucket],scheduleapr[[#This Row],[Bucket]],stock[LL or CTL],"LL")</f>
        <v>0</v>
      </c>
      <c r="AQ477" s="1">
        <f>+SUMIFS(wip[Stock(Net Wt)],wip[Bucket],scheduleapr[[#This Row],[Bucket]])/1000</f>
        <v>0</v>
      </c>
      <c r="AR477" s="1">
        <f t="shared" si="16"/>
        <v>0</v>
      </c>
      <c r="AS477" s="118"/>
    </row>
    <row r="478" spans="1:45" x14ac:dyDescent="0.25">
      <c r="A478" s="30">
        <v>344</v>
      </c>
      <c r="B478" s="5" t="s">
        <v>1816</v>
      </c>
      <c r="C478" s="2" t="s">
        <v>291</v>
      </c>
      <c r="D478" s="2" t="s">
        <v>2002</v>
      </c>
      <c r="E478" s="2" t="s">
        <v>292</v>
      </c>
      <c r="F478" s="2">
        <v>1940913</v>
      </c>
      <c r="G478" s="2" t="str">
        <f>_xlfn.CONCAT(scheduleapr[[#This Row],[CUSTOMER CODE]],"-",scheduleapr[[#This Row],[MATERIAL NO]])</f>
        <v>129695|187884|188415|189239|189240-1940913</v>
      </c>
      <c r="H478" s="2" t="s">
        <v>2054</v>
      </c>
      <c r="I478" s="2"/>
      <c r="J478" s="2"/>
      <c r="K478" s="2"/>
      <c r="L478" s="2" t="s">
        <v>239</v>
      </c>
      <c r="M478" s="2"/>
      <c r="N478" s="2"/>
      <c r="O478" s="2"/>
      <c r="P478" s="2"/>
      <c r="Q478" s="557" t="str">
        <f>CONCATENATE(scheduleapr[[#This Row],[OD]],"-",scheduleapr[[#This Row],[ID]],"-",scheduleapr[[#This Row],[TICKNESS]],"-",scheduleapr[[#This Row],[Grade]],"-",scheduleapr[[#This Row],[FC/NFC]])</f>
        <v>57.15-0-2.5--</v>
      </c>
      <c r="R478" s="557" t="str">
        <f>_xlfn.CONCAT(scheduleapr[[#This Row],[Bucket]],"-",scheduleapr[[#This Row],[LENGTH]]/1000)</f>
        <v>57.15-0-2.5---0.812</v>
      </c>
      <c r="S478" s="557" t="e" vm="2">
        <f>COUNTIF([2]!buckets[CTL Bucket],[2]!scheduleapr[[#This Row],[CTL Bucket]])</f>
        <v>#REF!</v>
      </c>
      <c r="T478" s="557"/>
      <c r="U478" s="557"/>
      <c r="V478" s="557"/>
      <c r="W478" s="557"/>
      <c r="X478" s="1">
        <v>57.15</v>
      </c>
      <c r="Y478" s="1">
        <v>57.15</v>
      </c>
      <c r="Z478" s="1">
        <v>0</v>
      </c>
      <c r="AA478" s="1">
        <v>2.5</v>
      </c>
      <c r="AB478" s="24">
        <v>812</v>
      </c>
      <c r="AC478" s="24"/>
      <c r="AD478" s="24"/>
      <c r="AE478" s="24"/>
      <c r="AF478" s="2"/>
      <c r="AG478" s="2"/>
      <c r="AH478" s="2" t="e" cm="1">
        <f t="array" ref="AH4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8" s="4" t="e">
        <f>scheduleapr[[#This Row],[SCHEDULE in nos]]-scheduleapr[[#This Row],[DISPATCH]]</f>
        <v>#N/A</v>
      </c>
      <c r="AJ478" s="1">
        <f>(3.14*(scheduleapr[[#This Row],[ACTUAL OD]]-scheduleapr[[#This Row],[TICKNESS]])*scheduleapr[[#This Row],[TICKNESS]]*scheduleapr[[#This Row],[LENGTH]]*7.85)/1000000*scheduleapr[[#This Row],[SCHEDULE in nos]]/1000</f>
        <v>0</v>
      </c>
      <c r="AK478" s="1" t="e">
        <f>(3.14*(scheduleapr[[#This Row],[ACTUAL OD]]-scheduleapr[[#This Row],[TICKNESS]])*scheduleapr[[#This Row],[TICKNESS]]*scheduleapr[[#This Row],[LENGTH]]*7.85)/1000000*scheduleapr[[#This Row],[DISPATCH]]/1000</f>
        <v>#N/A</v>
      </c>
      <c r="AL478" s="1" t="e">
        <f t="shared" si="17"/>
        <v>#N/A</v>
      </c>
      <c r="AM478" s="1" t="e">
        <f>scheduleapr[[#This Row],[SCHEDULE in nos]]/scheduleapr[[#This Row],[SCHEDULE IN MT]]*scheduleapr[[#This Row],[CTL Stock]]</f>
        <v>#DIV/0!</v>
      </c>
      <c r="AN478" s="1">
        <f>SUMIFS(stock[MT],stock[Bucket],scheduleapr[[#This Row],[Bucket]],stock[CTL Bucket],scheduleapr[[#This Row],[CTL Bucket]],stock[Plant],"0789")</f>
        <v>0</v>
      </c>
      <c r="AO478" s="1"/>
      <c r="AP478" s="1">
        <f>SUMIFS(stock[MT],stock[Bucket],scheduleapr[[#This Row],[Bucket]],stock[LL or CTL],"LL")</f>
        <v>0</v>
      </c>
      <c r="AQ478" s="1">
        <f>+SUMIFS(wip[Stock(Net Wt)],wip[Bucket],scheduleapr[[#This Row],[Bucket]])/1000</f>
        <v>0</v>
      </c>
      <c r="AR478" s="1">
        <f t="shared" si="16"/>
        <v>0</v>
      </c>
      <c r="AS478" s="118"/>
    </row>
    <row r="479" spans="1:45" x14ac:dyDescent="0.25">
      <c r="A479" s="30">
        <v>345</v>
      </c>
      <c r="B479" s="5" t="s">
        <v>1872</v>
      </c>
      <c r="C479" s="2" t="s">
        <v>291</v>
      </c>
      <c r="D479" s="2" t="s">
        <v>2002</v>
      </c>
      <c r="E479" s="2" t="s">
        <v>292</v>
      </c>
      <c r="F479" s="2">
        <v>3662752</v>
      </c>
      <c r="G479" s="2" t="str">
        <f>_xlfn.CONCAT(scheduleapr[[#This Row],[CUSTOMER CODE]],"-",scheduleapr[[#This Row],[MATERIAL NO]])</f>
        <v>129695|187884|188415|189239|189240-3662752</v>
      </c>
      <c r="H479" s="2" t="s">
        <v>2055</v>
      </c>
      <c r="I479" s="2"/>
      <c r="J479" s="2"/>
      <c r="K479" s="2"/>
      <c r="L479" s="2" t="s">
        <v>239</v>
      </c>
      <c r="M479" s="2"/>
      <c r="N479" s="2"/>
      <c r="O479" s="2"/>
      <c r="P479" s="2"/>
      <c r="Q479" s="557" t="str">
        <f>CONCATENATE(scheduleapr[[#This Row],[OD]],"-",scheduleapr[[#This Row],[ID]],"-",scheduleapr[[#This Row],[TICKNESS]],"-",scheduleapr[[#This Row],[Grade]],"-",scheduleapr[[#This Row],[FC/NFC]])</f>
        <v>60.3-0-2--</v>
      </c>
      <c r="R479" s="557" t="str">
        <f>_xlfn.CONCAT(scheduleapr[[#This Row],[Bucket]],"-",scheduleapr[[#This Row],[LENGTH]]/1000)</f>
        <v>60.3-0-2---0.493</v>
      </c>
      <c r="S479" s="557" t="e" vm="2">
        <f>COUNTIF([2]!buckets[CTL Bucket],[2]!scheduleapr[[#This Row],[CTL Bucket]])</f>
        <v>#REF!</v>
      </c>
      <c r="T479" s="557"/>
      <c r="U479" s="557"/>
      <c r="V479" s="557"/>
      <c r="W479" s="557"/>
      <c r="X479" s="1">
        <v>60.3</v>
      </c>
      <c r="Y479" s="1">
        <v>60.3</v>
      </c>
      <c r="Z479" s="1">
        <v>0</v>
      </c>
      <c r="AA479" s="1">
        <v>2</v>
      </c>
      <c r="AB479" s="24">
        <v>493</v>
      </c>
      <c r="AC479" s="24"/>
      <c r="AD479" s="24"/>
      <c r="AE479" s="24"/>
      <c r="AF479" s="2"/>
      <c r="AG479" s="2"/>
      <c r="AH479" s="2" t="e" cm="1">
        <f t="array" ref="AH4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9" s="4" t="e">
        <f>scheduleapr[[#This Row],[SCHEDULE in nos]]-scheduleapr[[#This Row],[DISPATCH]]</f>
        <v>#N/A</v>
      </c>
      <c r="AJ479" s="1">
        <f>(3.14*(scheduleapr[[#This Row],[ACTUAL OD]]-scheduleapr[[#This Row],[TICKNESS]])*scheduleapr[[#This Row],[TICKNESS]]*scheduleapr[[#This Row],[LENGTH]]*7.85)/1000000*scheduleapr[[#This Row],[SCHEDULE in nos]]/1000</f>
        <v>0</v>
      </c>
      <c r="AK479" s="1" t="e">
        <f>(3.14*(scheduleapr[[#This Row],[ACTUAL OD]]-scheduleapr[[#This Row],[TICKNESS]])*scheduleapr[[#This Row],[TICKNESS]]*scheduleapr[[#This Row],[LENGTH]]*7.85)/1000000*scheduleapr[[#This Row],[DISPATCH]]/1000</f>
        <v>#N/A</v>
      </c>
      <c r="AL479" s="1" t="e">
        <f t="shared" si="17"/>
        <v>#N/A</v>
      </c>
      <c r="AM479" s="1" t="e">
        <f>scheduleapr[[#This Row],[SCHEDULE in nos]]/scheduleapr[[#This Row],[SCHEDULE IN MT]]*scheduleapr[[#This Row],[CTL Stock]]</f>
        <v>#DIV/0!</v>
      </c>
      <c r="AN479" s="1">
        <f>SUMIFS(stock[MT],stock[Bucket],scheduleapr[[#This Row],[Bucket]],stock[CTL Bucket],scheduleapr[[#This Row],[CTL Bucket]],stock[Plant],"0789")</f>
        <v>0</v>
      </c>
      <c r="AO479" s="1"/>
      <c r="AP479" s="1">
        <f>SUMIFS(stock[MT],stock[Bucket],scheduleapr[[#This Row],[Bucket]],stock[LL or CTL],"LL")</f>
        <v>0</v>
      </c>
      <c r="AQ479" s="1">
        <f>+SUMIFS(wip[Stock(Net Wt)],wip[Bucket],scheduleapr[[#This Row],[Bucket]])/1000</f>
        <v>0</v>
      </c>
      <c r="AR479" s="1">
        <f t="shared" si="16"/>
        <v>0</v>
      </c>
      <c r="AS479" s="118"/>
    </row>
    <row r="480" spans="1:45" x14ac:dyDescent="0.25">
      <c r="A480" s="30">
        <v>350</v>
      </c>
      <c r="B480" s="5" t="s">
        <v>1872</v>
      </c>
      <c r="C480" s="2" t="s">
        <v>293</v>
      </c>
      <c r="D480" s="2" t="s">
        <v>2056</v>
      </c>
      <c r="E480" s="2" t="s">
        <v>294</v>
      </c>
      <c r="F480" s="9">
        <v>2363145</v>
      </c>
      <c r="G480" s="2" t="str">
        <f>_xlfn.CONCAT(scheduleapr[[#This Row],[CUSTOMER CODE]],"-",scheduleapr[[#This Row],[MATERIAL NO]])</f>
        <v>930883|189481-2363145</v>
      </c>
      <c r="H480" s="9" t="s">
        <v>1946</v>
      </c>
      <c r="I480" s="2" t="s">
        <v>357</v>
      </c>
      <c r="J480" s="2"/>
      <c r="K480" s="2"/>
      <c r="L480" s="2" t="s">
        <v>239</v>
      </c>
      <c r="M480" s="2"/>
      <c r="N480" s="2"/>
      <c r="O480" s="2"/>
      <c r="P480" s="2"/>
      <c r="Q480" s="557" t="str">
        <f>CONCATENATE(scheduleapr[[#This Row],[OD]],"-",scheduleapr[[#This Row],[ID]],"-",scheduleapr[[#This Row],[TICKNESS]],"-",scheduleapr[[#This Row],[Grade]],"-",scheduleapr[[#This Row],[FC/NFC]])</f>
        <v>14-0-2.45-CEW-</v>
      </c>
      <c r="R480" s="557" t="str">
        <f>_xlfn.CONCAT(scheduleapr[[#This Row],[Bucket]],"-",scheduleapr[[#This Row],[LENGTH]]/1000)</f>
        <v>14-0-2.45-CEW--5</v>
      </c>
      <c r="S480" s="557" t="e" vm="2">
        <f>COUNTIF([2]!buckets[CTL Bucket],[2]!scheduleapr[[#This Row],[CTL Bucket]])</f>
        <v>#REF!</v>
      </c>
      <c r="T480" s="557"/>
      <c r="U480" s="557"/>
      <c r="V480" s="557"/>
      <c r="W480" s="557"/>
      <c r="X480" s="1">
        <v>14</v>
      </c>
      <c r="Y480" s="1">
        <v>14</v>
      </c>
      <c r="Z480" s="1">
        <v>0</v>
      </c>
      <c r="AA480" s="1">
        <v>2.4500000000000002</v>
      </c>
      <c r="AB480" s="24">
        <v>5000</v>
      </c>
      <c r="AC480" s="24" t="s">
        <v>444</v>
      </c>
      <c r="AD480" s="24"/>
      <c r="AE480" s="24"/>
      <c r="AF480" s="2"/>
      <c r="AG480" s="2"/>
      <c r="AH480" s="2" cm="1">
        <f t="array" ref="AH4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0" s="4">
        <f>scheduleapr[[#This Row],[SCHEDULE in nos]]-scheduleapr[[#This Row],[DISPATCH]]</f>
        <v>0</v>
      </c>
      <c r="AJ480" s="1">
        <f>(3.14*(scheduleapr[[#This Row],[ACTUAL OD]]-scheduleapr[[#This Row],[TICKNESS]])*scheduleapr[[#This Row],[TICKNESS]]*scheduleapr[[#This Row],[LENGTH]]*7.85)/1000000*scheduleapr[[#This Row],[SCHEDULE in nos]]/1000</f>
        <v>0</v>
      </c>
      <c r="AK480" s="1">
        <f>(3.14*(scheduleapr[[#This Row],[ACTUAL OD]]-scheduleapr[[#This Row],[TICKNESS]])*scheduleapr[[#This Row],[TICKNESS]]*scheduleapr[[#This Row],[LENGTH]]*7.85)/1000000*scheduleapr[[#This Row],[DISPATCH]]/1000</f>
        <v>0</v>
      </c>
      <c r="AL480" s="1">
        <f t="shared" si="17"/>
        <v>0</v>
      </c>
      <c r="AM480" s="1" t="e">
        <f>scheduleapr[[#This Row],[SCHEDULE in nos]]/scheduleapr[[#This Row],[SCHEDULE IN MT]]*scheduleapr[[#This Row],[CTL Stock]]</f>
        <v>#DIV/0!</v>
      </c>
      <c r="AN480" s="1">
        <f>SUMIFS(stock[MT],stock[Bucket],scheduleapr[[#This Row],[Bucket]],stock[CTL Bucket],scheduleapr[[#This Row],[CTL Bucket]],stock[Plant],"0789")</f>
        <v>0</v>
      </c>
      <c r="AO480" s="1"/>
      <c r="AP480" s="1">
        <f>SUMIFS(stock[MT],stock[Bucket],scheduleapr[[#This Row],[Bucket]],stock[LL or CTL],"LL")</f>
        <v>0</v>
      </c>
      <c r="AQ480" s="1">
        <f>+SUMIFS(wip[Stock(Net Wt)],wip[Bucket],scheduleapr[[#This Row],[Bucket]])/1000</f>
        <v>0</v>
      </c>
      <c r="AR480" s="1">
        <f t="shared" si="16"/>
        <v>0</v>
      </c>
      <c r="AS480" s="118"/>
    </row>
    <row r="481" spans="1:45" x14ac:dyDescent="0.25">
      <c r="A481" s="30">
        <v>348</v>
      </c>
      <c r="B481" s="5" t="s">
        <v>1872</v>
      </c>
      <c r="C481" s="2" t="s">
        <v>293</v>
      </c>
      <c r="D481" s="2" t="s">
        <v>2056</v>
      </c>
      <c r="E481" s="2" t="s">
        <v>294</v>
      </c>
      <c r="F481" s="2" t="e">
        <f>_xlfn.CONCAT([2]!scheduleapr[[#This Row],[OD]],"-",[2]!scheduleapr[[#This Row],[ID]],"-",[2]!scheduleapr[[#This Row],[TICKNESS]],"-",[2]!scheduleapr[[#This Row],[LENGTH]])</f>
        <v>#REF!</v>
      </c>
      <c r="G481" s="2" t="e">
        <f>_xlfn.CONCAT(scheduleapr[[#This Row],[CUSTOMER CODE]],"-",scheduleapr[[#This Row],[MATERIAL NO]])</f>
        <v>#REF!</v>
      </c>
      <c r="H481" s="2"/>
      <c r="I481" s="2" t="s">
        <v>357</v>
      </c>
      <c r="J481" s="2"/>
      <c r="K481" s="2" t="s">
        <v>357</v>
      </c>
      <c r="L481" s="2" t="s">
        <v>239</v>
      </c>
      <c r="M481" s="2"/>
      <c r="N481" s="2"/>
      <c r="O481" s="2"/>
      <c r="P481" s="2"/>
      <c r="Q481" s="557" t="str">
        <f>CONCATENATE(scheduleapr[[#This Row],[OD]],"-",scheduleapr[[#This Row],[ID]],"-",scheduleapr[[#This Row],[TICKNESS]],"-",scheduleapr[[#This Row],[Grade]],"-",scheduleapr[[#This Row],[FC/NFC]])</f>
        <v>16.1-10.4-2.7-CEW-CEW</v>
      </c>
      <c r="R481" s="557" t="str">
        <f>_xlfn.CONCAT(scheduleapr[[#This Row],[Bucket]],"-",scheduleapr[[#This Row],[LENGTH]]/1000)</f>
        <v>16.1-10.4-2.7-CEW-CEW-1</v>
      </c>
      <c r="S481" s="557">
        <f>COUNTIF(scheduleapr[CTL Bucket],scheduleapr[[#This Row],[CTL Bucket]])</f>
        <v>2</v>
      </c>
      <c r="T481" s="2" t="s">
        <v>1817</v>
      </c>
      <c r="U481" s="2">
        <f>_xlfn.IFNA(VLOOKUP(scheduleapr[[#This Row],[Bucket]],salesforecast[[#All],[Bucket2]:[8406 Stock]],19,0),0)</f>
        <v>6.2502170000000001</v>
      </c>
      <c r="V481" s="557"/>
      <c r="W481" s="557"/>
      <c r="X481" s="1">
        <v>16.100000000000001</v>
      </c>
      <c r="Y481" s="1">
        <v>16.100000000000001</v>
      </c>
      <c r="Z481" s="1">
        <v>10.4</v>
      </c>
      <c r="AA481" s="1">
        <v>2.7</v>
      </c>
      <c r="AB481" s="24">
        <v>1000</v>
      </c>
      <c r="AC481" s="24" t="s">
        <v>444</v>
      </c>
      <c r="AD481" s="24"/>
      <c r="AE481" s="24"/>
      <c r="AF481" s="2">
        <v>3000</v>
      </c>
      <c r="AG481" s="2"/>
      <c r="AH481" s="2" cm="1">
        <f t="array" ref="AH4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1" s="4">
        <f>scheduleapr[[#This Row],[SCHEDULE in nos]]-scheduleapr[[#This Row],[DISPATCH]]</f>
        <v>3000</v>
      </c>
      <c r="AJ481" s="1">
        <f>(3.14*(scheduleapr[[#This Row],[ACTUAL OD]]-scheduleapr[[#This Row],[TICKNESS]])*scheduleapr[[#This Row],[TICKNESS]]*scheduleapr[[#This Row],[LENGTH]]*7.85)/1000000*scheduleapr[[#This Row],[SCHEDULE in nos]]/1000</f>
        <v>2.6754024600000008</v>
      </c>
      <c r="AK481" s="1">
        <f>(3.14*(scheduleapr[[#This Row],[ACTUAL OD]]-scheduleapr[[#This Row],[TICKNESS]])*scheduleapr[[#This Row],[TICKNESS]]*scheduleapr[[#This Row],[LENGTH]]*7.85)/1000000*scheduleapr[[#This Row],[DISPATCH]]/1000</f>
        <v>0</v>
      </c>
      <c r="AL481" s="1">
        <f t="shared" si="17"/>
        <v>2.6754024600000008</v>
      </c>
      <c r="AM481" s="1">
        <f>scheduleapr[[#This Row],[SCHEDULE in nos]]/scheduleapr[[#This Row],[SCHEDULE IN MT]]*scheduleapr[[#This Row],[CTL Stock]]</f>
        <v>0</v>
      </c>
      <c r="AN481" s="1">
        <f>SUMIFS(stock[MT],stock[Bucket],scheduleapr[[#This Row],[Bucket]],stock[CTL Bucket],scheduleapr[[#This Row],[CTL Bucket]],stock[Plant],"0789")</f>
        <v>0</v>
      </c>
      <c r="AO481" s="1"/>
      <c r="AP481" s="1">
        <f>SUMIFS(stock[MT],stock[Bucket],scheduleapr[[#This Row],[Bucket]],stock[LL or CTL],"LL")</f>
        <v>7.4622169999999999</v>
      </c>
      <c r="AQ481" s="1">
        <f>+SUMIFS(wip[Stock(Net Wt)],wip[Bucket],scheduleapr[[#This Row],[Bucket]])/1000</f>
        <v>0</v>
      </c>
      <c r="AR481" s="1">
        <f t="shared" si="16"/>
        <v>2.6754024600000008</v>
      </c>
      <c r="AS481" s="118"/>
    </row>
    <row r="482" spans="1:45" x14ac:dyDescent="0.25">
      <c r="A482" s="30">
        <v>355</v>
      </c>
      <c r="B482" s="5" t="s">
        <v>1816</v>
      </c>
      <c r="C482" s="2" t="s">
        <v>293</v>
      </c>
      <c r="D482" s="2" t="s">
        <v>2056</v>
      </c>
      <c r="E482" s="2" t="s">
        <v>294</v>
      </c>
      <c r="F482" s="2">
        <v>2410998</v>
      </c>
      <c r="G482" s="2" t="str">
        <f>_xlfn.CONCAT(scheduleapr[[#This Row],[CUSTOMER CODE]],"-",scheduleapr[[#This Row],[MATERIAL NO]])</f>
        <v>930883|189481-2410998</v>
      </c>
      <c r="H482" s="2" t="s">
        <v>2003</v>
      </c>
      <c r="I482" s="2" t="s">
        <v>357</v>
      </c>
      <c r="J482" s="2"/>
      <c r="K482" s="2" t="s">
        <v>357</v>
      </c>
      <c r="L482" s="2" t="s">
        <v>239</v>
      </c>
      <c r="M482" s="2"/>
      <c r="N482" s="2"/>
      <c r="O482" s="2"/>
      <c r="P482" s="2"/>
      <c r="Q482" s="557" t="str">
        <f>CONCATENATE(scheduleapr[[#This Row],[OD]],"-",scheduleapr[[#This Row],[ID]],"-",scheduleapr[[#This Row],[TICKNESS]],"-",scheduleapr[[#This Row],[Grade]],"-",scheduleapr[[#This Row],[FC/NFC]])</f>
        <v>18.2-12.3-2.95-CEW-CEW</v>
      </c>
      <c r="R482" s="557" t="str">
        <f>_xlfn.CONCAT(scheduleapr[[#This Row],[Bucket]],"-",scheduleapr[[#This Row],[LENGTH]]/1000)</f>
        <v>18.2-12.3-2.95-CEW-CEW-4.5</v>
      </c>
      <c r="S482" s="557" t="e" vm="2">
        <f>COUNTIF([2]!buckets[CTL Bucket],[2]!scheduleapr[[#This Row],[CTL Bucket]])</f>
        <v>#REF!</v>
      </c>
      <c r="T482" s="557"/>
      <c r="U482" s="557"/>
      <c r="V482" s="557"/>
      <c r="W482" s="557"/>
      <c r="X482" s="1">
        <v>18.2</v>
      </c>
      <c r="Y482" s="1">
        <v>18.2</v>
      </c>
      <c r="Z482" s="1">
        <v>12.3</v>
      </c>
      <c r="AA482" s="1">
        <v>2.95</v>
      </c>
      <c r="AB482" s="24">
        <v>4500</v>
      </c>
      <c r="AC482" s="24" t="s">
        <v>444</v>
      </c>
      <c r="AD482" s="24"/>
      <c r="AE482" s="24"/>
      <c r="AF482" s="2"/>
      <c r="AG482" s="2"/>
      <c r="AH482" s="2" cm="1">
        <f t="array" ref="AH4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2" s="4">
        <f>scheduleapr[[#This Row],[SCHEDULE in nos]]-scheduleapr[[#This Row],[DISPATCH]]</f>
        <v>0</v>
      </c>
      <c r="AJ482" s="1">
        <f>(3.14*(scheduleapr[[#This Row],[ACTUAL OD]]-scheduleapr[[#This Row],[TICKNESS]])*scheduleapr[[#This Row],[TICKNESS]]*scheduleapr[[#This Row],[LENGTH]]*7.85)/1000000*scheduleapr[[#This Row],[SCHEDULE in nos]]/1000</f>
        <v>0</v>
      </c>
      <c r="AK482" s="1">
        <f>(3.14*(scheduleapr[[#This Row],[ACTUAL OD]]-scheduleapr[[#This Row],[TICKNESS]])*scheduleapr[[#This Row],[TICKNESS]]*scheduleapr[[#This Row],[LENGTH]]*7.85)/1000000*scheduleapr[[#This Row],[DISPATCH]]/1000</f>
        <v>0</v>
      </c>
      <c r="AL482" s="1">
        <f t="shared" si="17"/>
        <v>0</v>
      </c>
      <c r="AM482" s="1" t="e">
        <f>scheduleapr[[#This Row],[SCHEDULE in nos]]/scheduleapr[[#This Row],[SCHEDULE IN MT]]*scheduleapr[[#This Row],[CTL Stock]]</f>
        <v>#DIV/0!</v>
      </c>
      <c r="AN482" s="1">
        <f>SUMIFS(stock[MT],stock[Bucket],scheduleapr[[#This Row],[Bucket]],stock[CTL Bucket],scheduleapr[[#This Row],[CTL Bucket]],stock[Plant],"0789")</f>
        <v>0</v>
      </c>
      <c r="AO482" s="1"/>
      <c r="AP482" s="1">
        <f>SUMIFS(stock[MT],stock[Bucket],scheduleapr[[#This Row],[Bucket]],stock[LL or CTL],"LL")</f>
        <v>0</v>
      </c>
      <c r="AQ482" s="1">
        <f>+SUMIFS(wip[Stock(Net Wt)],wip[Bucket],scheduleapr[[#This Row],[Bucket]])/1000</f>
        <v>0</v>
      </c>
      <c r="AR482" s="1">
        <f t="shared" si="16"/>
        <v>0</v>
      </c>
      <c r="AS482" s="118"/>
    </row>
    <row r="483" spans="1:45" x14ac:dyDescent="0.25">
      <c r="A483" s="30">
        <v>360</v>
      </c>
      <c r="B483" s="5" t="s">
        <v>1872</v>
      </c>
      <c r="C483" s="2" t="s">
        <v>293</v>
      </c>
      <c r="D483" s="2" t="s">
        <v>2056</v>
      </c>
      <c r="E483" s="2" t="s">
        <v>294</v>
      </c>
      <c r="F483" s="2">
        <v>234926</v>
      </c>
      <c r="G483" s="2" t="str">
        <f>_xlfn.CONCAT(scheduleapr[[#This Row],[CUSTOMER CODE]],"-",scheduleapr[[#This Row],[MATERIAL NO]])</f>
        <v>930883|189481-234926</v>
      </c>
      <c r="H483" s="2" t="s">
        <v>2057</v>
      </c>
      <c r="I483" s="2" t="s">
        <v>357</v>
      </c>
      <c r="J483" s="2"/>
      <c r="K483" s="2"/>
      <c r="L483" s="2" t="s">
        <v>239</v>
      </c>
      <c r="M483" s="2"/>
      <c r="N483" s="2"/>
      <c r="O483" s="2"/>
      <c r="P483" s="2"/>
      <c r="Q483" s="557" t="str">
        <f>CONCATENATE(scheduleapr[[#This Row],[OD]],"-",scheduleapr[[#This Row],[ID]],"-",scheduleapr[[#This Row],[TICKNESS]],"-",scheduleapr[[#This Row],[Grade]],"-",scheduleapr[[#This Row],[FC/NFC]])</f>
        <v>21.75-0-3.5-CEW-</v>
      </c>
      <c r="R483" s="557" t="str">
        <f>_xlfn.CONCAT(scheduleapr[[#This Row],[Bucket]],"-",scheduleapr[[#This Row],[LENGTH]]/1000)</f>
        <v>21.75-0-3.5-CEW--5</v>
      </c>
      <c r="S483" s="557" t="e" vm="2">
        <f>COUNTIF([2]!buckets[CTL Bucket],[2]!scheduleapr[[#This Row],[CTL Bucket]])</f>
        <v>#REF!</v>
      </c>
      <c r="T483" s="557"/>
      <c r="U483" s="557"/>
      <c r="V483" s="557"/>
      <c r="W483" s="557"/>
      <c r="X483" s="1">
        <v>21.75</v>
      </c>
      <c r="Y483" s="1">
        <v>21.75</v>
      </c>
      <c r="Z483" s="1">
        <v>0</v>
      </c>
      <c r="AA483" s="1">
        <v>3.5</v>
      </c>
      <c r="AB483" s="24">
        <v>5000</v>
      </c>
      <c r="AC483" s="24" t="s">
        <v>444</v>
      </c>
      <c r="AD483" s="24"/>
      <c r="AE483" s="24"/>
      <c r="AF483" s="2"/>
      <c r="AG483" s="2"/>
      <c r="AH483" s="2" cm="1">
        <f t="array" ref="AH4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3" s="4">
        <f>scheduleapr[[#This Row],[SCHEDULE in nos]]-scheduleapr[[#This Row],[DISPATCH]]</f>
        <v>0</v>
      </c>
      <c r="AJ483" s="1">
        <f>(3.14*(scheduleapr[[#This Row],[ACTUAL OD]]-scheduleapr[[#This Row],[TICKNESS]])*scheduleapr[[#This Row],[TICKNESS]]*scheduleapr[[#This Row],[LENGTH]]*7.85)/1000000*scheduleapr[[#This Row],[SCHEDULE in nos]]/1000</f>
        <v>0</v>
      </c>
      <c r="AK483" s="1">
        <f>(3.14*(scheduleapr[[#This Row],[ACTUAL OD]]-scheduleapr[[#This Row],[TICKNESS]])*scheduleapr[[#This Row],[TICKNESS]]*scheduleapr[[#This Row],[LENGTH]]*7.85)/1000000*scheduleapr[[#This Row],[DISPATCH]]/1000</f>
        <v>0</v>
      </c>
      <c r="AL483" s="1">
        <f t="shared" si="17"/>
        <v>0</v>
      </c>
      <c r="AM483" s="1" t="e">
        <f>scheduleapr[[#This Row],[SCHEDULE in nos]]/scheduleapr[[#This Row],[SCHEDULE IN MT]]*scheduleapr[[#This Row],[CTL Stock]]</f>
        <v>#DIV/0!</v>
      </c>
      <c r="AN483" s="1">
        <f>SUMIFS(stock[MT],stock[Bucket],scheduleapr[[#This Row],[Bucket]],stock[CTL Bucket],scheduleapr[[#This Row],[CTL Bucket]],stock[Plant],"0789")</f>
        <v>0</v>
      </c>
      <c r="AO483" s="1"/>
      <c r="AP483" s="1">
        <f>SUMIFS(stock[MT],stock[Bucket],scheduleapr[[#This Row],[Bucket]],stock[LL or CTL],"LL")</f>
        <v>0</v>
      </c>
      <c r="AQ483" s="1">
        <f>+SUMIFS(wip[Stock(Net Wt)],wip[Bucket],scheduleapr[[#This Row],[Bucket]])/1000</f>
        <v>0</v>
      </c>
      <c r="AR483" s="1">
        <f t="shared" si="16"/>
        <v>0</v>
      </c>
      <c r="AS483" s="118"/>
    </row>
    <row r="484" spans="1:45" x14ac:dyDescent="0.25">
      <c r="A484" s="30">
        <v>368</v>
      </c>
      <c r="B484" s="5" t="s">
        <v>1872</v>
      </c>
      <c r="C484" s="2" t="s">
        <v>293</v>
      </c>
      <c r="D484" s="2" t="s">
        <v>2056</v>
      </c>
      <c r="E484" s="2" t="s">
        <v>294</v>
      </c>
      <c r="F484" s="2">
        <v>2410997</v>
      </c>
      <c r="G484" s="2" t="str">
        <f>_xlfn.CONCAT(scheduleapr[[#This Row],[CUSTOMER CODE]],"-",scheduleapr[[#This Row],[MATERIAL NO]])</f>
        <v>930883|189481-2410997</v>
      </c>
      <c r="H484" s="2" t="s">
        <v>814</v>
      </c>
      <c r="I484" s="2" t="s">
        <v>357</v>
      </c>
      <c r="J484" s="2"/>
      <c r="K484" s="2"/>
      <c r="L484" s="2" t="s">
        <v>239</v>
      </c>
      <c r="M484" s="2"/>
      <c r="N484" s="2"/>
      <c r="O484" s="2"/>
      <c r="P484" s="2"/>
      <c r="Q484" s="557" t="str">
        <f>CONCATENATE(scheduleapr[[#This Row],[OD]],"-",scheduleapr[[#This Row],[ID]],"-",scheduleapr[[#This Row],[TICKNESS]],"-",scheduleapr[[#This Row],[Grade]],"-",scheduleapr[[#This Row],[FC/NFC]])</f>
        <v>25.4-19-3.2-CEW-</v>
      </c>
      <c r="R484" s="557" t="str">
        <f>_xlfn.CONCAT(scheduleapr[[#This Row],[Bucket]],"-",scheduleapr[[#This Row],[LENGTH]]/1000)</f>
        <v>25.4-19-3.2-CEW--4.5</v>
      </c>
      <c r="S484" s="557" t="e" vm="2">
        <f>COUNTIF([2]!buckets[CTL Bucket],[2]!scheduleapr[[#This Row],[CTL Bucket]])</f>
        <v>#REF!</v>
      </c>
      <c r="T484" s="557"/>
      <c r="U484" s="557"/>
      <c r="V484" s="557"/>
      <c r="W484" s="557"/>
      <c r="X484" s="1">
        <v>25.4</v>
      </c>
      <c r="Y484" s="1">
        <v>25.4</v>
      </c>
      <c r="Z484" s="1">
        <v>19</v>
      </c>
      <c r="AA484" s="1">
        <v>3.2</v>
      </c>
      <c r="AB484" s="24">
        <v>4500</v>
      </c>
      <c r="AC484" s="24" t="s">
        <v>444</v>
      </c>
      <c r="AD484" s="24"/>
      <c r="AE484" s="24"/>
      <c r="AF484" s="2"/>
      <c r="AG484" s="2"/>
      <c r="AH484" s="2" cm="1">
        <f t="array" ref="AH4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4" s="4">
        <f>scheduleapr[[#This Row],[SCHEDULE in nos]]-scheduleapr[[#This Row],[DISPATCH]]</f>
        <v>0</v>
      </c>
      <c r="AJ484" s="1">
        <f>(3.14*(scheduleapr[[#This Row],[ACTUAL OD]]-scheduleapr[[#This Row],[TICKNESS]])*scheduleapr[[#This Row],[TICKNESS]]*scheduleapr[[#This Row],[LENGTH]]*7.85)/1000000*scheduleapr[[#This Row],[SCHEDULE in nos]]/1000</f>
        <v>0</v>
      </c>
      <c r="AK484" s="1">
        <f>(3.14*(scheduleapr[[#This Row],[ACTUAL OD]]-scheduleapr[[#This Row],[TICKNESS]])*scheduleapr[[#This Row],[TICKNESS]]*scheduleapr[[#This Row],[LENGTH]]*7.85)/1000000*scheduleapr[[#This Row],[DISPATCH]]/1000</f>
        <v>0</v>
      </c>
      <c r="AL484" s="1">
        <f t="shared" si="17"/>
        <v>0</v>
      </c>
      <c r="AM484" s="1" t="e">
        <f>scheduleapr[[#This Row],[SCHEDULE in nos]]/scheduleapr[[#This Row],[SCHEDULE IN MT]]*scheduleapr[[#This Row],[CTL Stock]]</f>
        <v>#DIV/0!</v>
      </c>
      <c r="AN484" s="1">
        <f>SUMIFS(stock[MT],stock[Bucket],scheduleapr[[#This Row],[Bucket]],stock[CTL Bucket],scheduleapr[[#This Row],[CTL Bucket]],stock[Plant],"0789")</f>
        <v>0</v>
      </c>
      <c r="AO484" s="1"/>
      <c r="AP484" s="1">
        <f>SUMIFS(stock[MT],stock[Bucket],scheduleapr[[#This Row],[Bucket]],stock[LL or CTL],"LL")</f>
        <v>0</v>
      </c>
      <c r="AQ484" s="1">
        <f>+SUMIFS(wip[Stock(Net Wt)],wip[Bucket],scheduleapr[[#This Row],[Bucket]])/1000</f>
        <v>0</v>
      </c>
      <c r="AR484" s="1">
        <f t="shared" si="16"/>
        <v>0</v>
      </c>
      <c r="AS484" s="118"/>
    </row>
    <row r="485" spans="1:45" x14ac:dyDescent="0.25">
      <c r="A485" s="30">
        <v>371</v>
      </c>
      <c r="B485" s="5" t="s">
        <v>1872</v>
      </c>
      <c r="C485" s="2" t="s">
        <v>293</v>
      </c>
      <c r="D485" s="2" t="s">
        <v>2056</v>
      </c>
      <c r="E485" s="2" t="s">
        <v>294</v>
      </c>
      <c r="F485" s="2">
        <v>2422135</v>
      </c>
      <c r="G485" s="2" t="str">
        <f>_xlfn.CONCAT(scheduleapr[[#This Row],[CUSTOMER CODE]],"-",scheduleapr[[#This Row],[MATERIAL NO]])</f>
        <v>930883|189481-2422135</v>
      </c>
      <c r="H485" s="2" t="s">
        <v>2058</v>
      </c>
      <c r="I485" s="2" t="s">
        <v>357</v>
      </c>
      <c r="J485" s="2" t="s">
        <v>1894</v>
      </c>
      <c r="K485" s="2"/>
      <c r="L485" s="2" t="s">
        <v>239</v>
      </c>
      <c r="M485" s="2"/>
      <c r="N485" s="2"/>
      <c r="O485" s="2"/>
      <c r="P485" s="2"/>
      <c r="Q485" s="557" t="str">
        <f>CONCATENATE(scheduleapr[[#This Row],[OD]],"-",scheduleapr[[#This Row],[ID]],"-",scheduleapr[[#This Row],[TICKNESS]],"-",scheduleapr[[#This Row],[Grade]],"-",scheduleapr[[#This Row],[FC/NFC]])</f>
        <v>42.7-0-4-CEW-</v>
      </c>
      <c r="R485" s="557" t="str">
        <f>_xlfn.CONCAT(scheduleapr[[#This Row],[Bucket]],"-",scheduleapr[[#This Row],[LENGTH]]/1000)</f>
        <v>42.7-0-4-CEW--0.208</v>
      </c>
      <c r="S485" s="557" t="e" vm="2">
        <f>COUNTIF([2]!buckets[CTL Bucket],[2]!scheduleapr[[#This Row],[CTL Bucket]])</f>
        <v>#REF!</v>
      </c>
      <c r="T485" s="557"/>
      <c r="U485" s="557"/>
      <c r="V485" s="557"/>
      <c r="W485" s="557"/>
      <c r="X485" s="1">
        <v>42.7</v>
      </c>
      <c r="Y485" s="1">
        <v>42.7</v>
      </c>
      <c r="Z485" s="1">
        <v>0</v>
      </c>
      <c r="AA485" s="1">
        <v>4</v>
      </c>
      <c r="AB485" s="24">
        <v>208</v>
      </c>
      <c r="AC485" s="24" t="s">
        <v>397</v>
      </c>
      <c r="AD485" s="24"/>
      <c r="AE485" s="24"/>
      <c r="AF485" s="2"/>
      <c r="AG485" s="2"/>
      <c r="AH485" s="2" cm="1">
        <f t="array" ref="AH4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5" s="4">
        <f>scheduleapr[[#This Row],[SCHEDULE in nos]]-scheduleapr[[#This Row],[DISPATCH]]</f>
        <v>0</v>
      </c>
      <c r="AJ485" s="1">
        <f>(3.14*(scheduleapr[[#This Row],[ACTUAL OD]]-scheduleapr[[#This Row],[TICKNESS]])*scheduleapr[[#This Row],[TICKNESS]]*scheduleapr[[#This Row],[LENGTH]]*7.85)/1000000*scheduleapr[[#This Row],[SCHEDULE in nos]]/1000</f>
        <v>0</v>
      </c>
      <c r="AK485" s="1">
        <f>(3.14*(scheduleapr[[#This Row],[ACTUAL OD]]-scheduleapr[[#This Row],[TICKNESS]])*scheduleapr[[#This Row],[TICKNESS]]*scheduleapr[[#This Row],[LENGTH]]*7.85)/1000000*scheduleapr[[#This Row],[DISPATCH]]/1000</f>
        <v>0</v>
      </c>
      <c r="AL485" s="1">
        <f t="shared" si="17"/>
        <v>0</v>
      </c>
      <c r="AM485" s="1" t="e">
        <f>scheduleapr[[#This Row],[SCHEDULE in nos]]/scheduleapr[[#This Row],[SCHEDULE IN MT]]*scheduleapr[[#This Row],[CTL Stock]]</f>
        <v>#DIV/0!</v>
      </c>
      <c r="AN485" s="1">
        <f>SUMIFS(stock[MT],stock[Bucket],scheduleapr[[#This Row],[Bucket]],stock[CTL Bucket],scheduleapr[[#This Row],[CTL Bucket]],stock[Plant],"0789")</f>
        <v>0</v>
      </c>
      <c r="AO485" s="1"/>
      <c r="AP485" s="1">
        <f>SUMIFS(stock[MT],stock[Bucket],scheduleapr[[#This Row],[Bucket]],stock[LL or CTL],"LL")</f>
        <v>0</v>
      </c>
      <c r="AQ485" s="1">
        <f>+SUMIFS(wip[Stock(Net Wt)],wip[Bucket],scheduleapr[[#This Row],[Bucket]])/1000</f>
        <v>0</v>
      </c>
      <c r="AR485" s="1">
        <f t="shared" si="16"/>
        <v>0</v>
      </c>
      <c r="AS485" s="118"/>
    </row>
    <row r="486" spans="1:45" x14ac:dyDescent="0.25">
      <c r="A486" s="30">
        <v>317</v>
      </c>
      <c r="B486" s="5" t="s">
        <v>1816</v>
      </c>
      <c r="C486" s="2" t="s">
        <v>293</v>
      </c>
      <c r="D486" s="2" t="s">
        <v>2056</v>
      </c>
      <c r="E486" s="2" t="s">
        <v>294</v>
      </c>
      <c r="F486" s="2">
        <v>1939993</v>
      </c>
      <c r="G486" s="2" t="str">
        <f>_xlfn.CONCAT(scheduleapr[[#This Row],[CUSTOMER CODE]],"-",scheduleapr[[#This Row],[MATERIAL NO]])</f>
        <v>930883|189481-1939993</v>
      </c>
      <c r="H486" s="2" t="s">
        <v>420</v>
      </c>
      <c r="I486" s="2" t="s">
        <v>962</v>
      </c>
      <c r="J486" s="2"/>
      <c r="K486" s="2" t="s">
        <v>963</v>
      </c>
      <c r="L486" s="2" t="s">
        <v>239</v>
      </c>
      <c r="M486" s="2"/>
      <c r="N486" s="2"/>
      <c r="O486" s="2"/>
      <c r="P486" s="2"/>
      <c r="Q486" s="557" t="str">
        <f>CONCATENATE(scheduleapr[[#This Row],[OD]],"-",scheduleapr[[#This Row],[ID]],"-",scheduleapr[[#This Row],[TICKNESS]],"-",scheduleapr[[#This Row],[Grade]],"-",scheduleapr[[#This Row],[FC/NFC]])</f>
        <v>12.7-0-1.6-ERW 1-PE</v>
      </c>
      <c r="R486" s="557" t="str">
        <f>_xlfn.CONCAT(scheduleapr[[#This Row],[Bucket]],"-",scheduleapr[[#This Row],[LENGTH]]/1000)</f>
        <v>12.7-0-1.6-ERW 1-PE-0.25</v>
      </c>
      <c r="S486" s="557">
        <f>COUNTIF(scheduleapr[CTL Bucket],scheduleapr[[#This Row],[CTL Bucket]])</f>
        <v>1</v>
      </c>
      <c r="T486" s="2" t="s">
        <v>1816</v>
      </c>
      <c r="U486" s="2">
        <f>_xlfn.IFNA(VLOOKUP(scheduleapr[[#This Row],[Bucket]],salesforecast[[#All],[Bucket2]:[8406 Stock]],19,0),0)</f>
        <v>0</v>
      </c>
      <c r="V486" s="562">
        <f>_xlfn.IFNA(VLOOKUP(scheduleapr[[#This Row],[Bucket]],salesforecast[[#All],[Bucket2]:[8406 Stock]],20,0),0)+_xlfn.IFNA(VLOOKUP(scheduleapr[[#This Row],[Bucket]],salesforecast[[#All],[Bucket2]:[8406 Stock]],17,0),0)</f>
        <v>0</v>
      </c>
      <c r="W486" s="557"/>
      <c r="X486" s="1">
        <v>12.7</v>
      </c>
      <c r="Y486" s="1">
        <v>12.7</v>
      </c>
      <c r="Z486" s="1">
        <v>0</v>
      </c>
      <c r="AA486" s="1">
        <v>1.6</v>
      </c>
      <c r="AB486" s="24">
        <v>250</v>
      </c>
      <c r="AC486" s="24" t="s">
        <v>397</v>
      </c>
      <c r="AD486" s="24"/>
      <c r="AE486" s="24"/>
      <c r="AF486" s="2">
        <v>20000</v>
      </c>
      <c r="AG486" s="2"/>
      <c r="AH486" s="2" cm="1">
        <f t="array" ref="AH4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20900</v>
      </c>
      <c r="AI486" s="4">
        <f>scheduleapr[[#This Row],[SCHEDULE in nos]]-scheduleapr[[#This Row],[DISPATCH]]</f>
        <v>-900</v>
      </c>
      <c r="AJ486" s="1">
        <f>(3.14*(scheduleapr[[#This Row],[ACTUAL OD]]-scheduleapr[[#This Row],[TICKNESS]])*scheduleapr[[#This Row],[TICKNESS]]*scheduleapr[[#This Row],[LENGTH]]*7.85)/1000000*scheduleapr[[#This Row],[SCHEDULE in nos]]/1000</f>
        <v>2.1888312000000001</v>
      </c>
      <c r="AK486" s="1">
        <f>(3.14*(scheduleapr[[#This Row],[ACTUAL OD]]-scheduleapr[[#This Row],[TICKNESS]])*scheduleapr[[#This Row],[TICKNESS]]*scheduleapr[[#This Row],[LENGTH]]*7.85)/1000000*scheduleapr[[#This Row],[DISPATCH]]/1000</f>
        <v>2.2873286039999998</v>
      </c>
      <c r="AL486" s="1">
        <f t="shared" si="17"/>
        <v>-9.8497403999999733E-2</v>
      </c>
      <c r="AM486" s="1">
        <f>scheduleapr[[#This Row],[SCHEDULE in nos]]/scheduleapr[[#This Row],[SCHEDULE IN MT]]*scheduleapr[[#This Row],[CTL Stock]]</f>
        <v>2643.7854138775069</v>
      </c>
      <c r="AN486" s="1">
        <f>SUMIFS(stock[MT],stock[Bucket],scheduleapr[[#This Row],[Bucket]],stock[CTL Bucket],scheduleapr[[#This Row],[CTL Bucket]],stock[Plant],"0789")</f>
        <v>0.28934000000000004</v>
      </c>
      <c r="AO486" s="1"/>
      <c r="AP486" s="1">
        <f>SUMIFS(stock[MT],stock[Bucket],scheduleapr[[#This Row],[Bucket]],stock[LL or CTL],"LL")</f>
        <v>6.5656999999999993E-2</v>
      </c>
      <c r="AQ486" s="1">
        <f>+SUMIFS(wip[Stock(Net Wt)],wip[Bucket],scheduleapr[[#This Row],[Bucket]])/1000</f>
        <v>8.9860000000000007</v>
      </c>
      <c r="AR486" s="1">
        <f t="shared" si="16"/>
        <v>1.8994911999999999</v>
      </c>
      <c r="AS486" s="118"/>
    </row>
    <row r="487" spans="1:45" x14ac:dyDescent="0.25">
      <c r="A487" s="30">
        <v>325</v>
      </c>
      <c r="B487" s="5" t="s">
        <v>1816</v>
      </c>
      <c r="C487" s="2" t="s">
        <v>293</v>
      </c>
      <c r="D487" s="2" t="s">
        <v>2056</v>
      </c>
      <c r="E487" s="2" t="s">
        <v>294</v>
      </c>
      <c r="F487" s="2">
        <v>1939996</v>
      </c>
      <c r="G487" s="2" t="str">
        <f>_xlfn.CONCAT(scheduleapr[[#This Row],[CUSTOMER CODE]],"-",scheduleapr[[#This Row],[MATERIAL NO]])</f>
        <v>930883|189481-1939996</v>
      </c>
      <c r="H487" s="2" t="s">
        <v>433</v>
      </c>
      <c r="I487" s="2" t="s">
        <v>962</v>
      </c>
      <c r="J487" s="2"/>
      <c r="K487" s="2" t="s">
        <v>963</v>
      </c>
      <c r="L487" s="2" t="s">
        <v>239</v>
      </c>
      <c r="M487" s="2"/>
      <c r="N487" s="2"/>
      <c r="O487" s="2"/>
      <c r="P487" s="2"/>
      <c r="Q487" s="557" t="str">
        <f>CONCATENATE(scheduleapr[[#This Row],[OD]],"-",scheduleapr[[#This Row],[ID]],"-",scheduleapr[[#This Row],[TICKNESS]],"-",scheduleapr[[#This Row],[Grade]],"-",scheduleapr[[#This Row],[FC/NFC]])</f>
        <v>12.7-0-1.6-ERW 1-PE</v>
      </c>
      <c r="R487" s="557" t="str">
        <f>_xlfn.CONCAT(scheduleapr[[#This Row],[Bucket]],"-",scheduleapr[[#This Row],[LENGTH]]/1000)</f>
        <v>12.7-0-1.6-ERW 1-PE-0.295</v>
      </c>
      <c r="S487" s="557">
        <f>COUNTIF(scheduleapr[CTL Bucket],scheduleapr[[#This Row],[CTL Bucket]])</f>
        <v>1</v>
      </c>
      <c r="T487" s="2" t="s">
        <v>1816</v>
      </c>
      <c r="U487" s="2">
        <f>_xlfn.IFNA(VLOOKUP(scheduleapr[[#This Row],[Bucket]],salesforecast[[#All],[Bucket2]:[8406 Stock]],19,0),0)</f>
        <v>0</v>
      </c>
      <c r="V487" s="562">
        <f>_xlfn.IFNA(VLOOKUP(scheduleapr[[#This Row],[Bucket]],salesforecast[[#All],[Bucket2]:[8406 Stock]],20,0),0)+_xlfn.IFNA(VLOOKUP(scheduleapr[[#This Row],[Bucket]],salesforecast[[#All],[Bucket2]:[8406 Stock]],17,0),0)</f>
        <v>0</v>
      </c>
      <c r="W487" s="557"/>
      <c r="X487" s="1">
        <v>12.7</v>
      </c>
      <c r="Y487" s="1">
        <v>12.7</v>
      </c>
      <c r="Z487" s="1">
        <v>0</v>
      </c>
      <c r="AA487" s="1">
        <v>1.6</v>
      </c>
      <c r="AB487" s="24">
        <v>295</v>
      </c>
      <c r="AC487" s="24" t="s">
        <v>397</v>
      </c>
      <c r="AD487" s="24"/>
      <c r="AE487" s="24"/>
      <c r="AF487" s="2">
        <v>20000</v>
      </c>
      <c r="AG487" s="2"/>
      <c r="AH487" s="2" cm="1">
        <f t="array" ref="AH4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11000</v>
      </c>
      <c r="AI487" s="4">
        <f>scheduleapr[[#This Row],[SCHEDULE in nos]]-scheduleapr[[#This Row],[DISPATCH]]</f>
        <v>9000</v>
      </c>
      <c r="AJ487" s="1">
        <f>(3.14*(scheduleapr[[#This Row],[ACTUAL OD]]-scheduleapr[[#This Row],[TICKNESS]])*scheduleapr[[#This Row],[TICKNESS]]*scheduleapr[[#This Row],[LENGTH]]*7.85)/1000000*scheduleapr[[#This Row],[SCHEDULE in nos]]/1000</f>
        <v>2.5828208159999999</v>
      </c>
      <c r="AK487" s="1">
        <f>(3.14*(scheduleapr[[#This Row],[ACTUAL OD]]-scheduleapr[[#This Row],[TICKNESS]])*scheduleapr[[#This Row],[TICKNESS]]*scheduleapr[[#This Row],[LENGTH]]*7.85)/1000000*scheduleapr[[#This Row],[DISPATCH]]/1000</f>
        <v>1.4205514487999999</v>
      </c>
      <c r="AL487" s="1">
        <f t="shared" si="17"/>
        <v>1.1622693672</v>
      </c>
      <c r="AM487" s="1">
        <f>scheduleapr[[#This Row],[SCHEDULE in nos]]/scheduleapr[[#This Row],[SCHEDULE IN MT]]*scheduleapr[[#This Row],[CTL Stock]]</f>
        <v>22198.218182550067</v>
      </c>
      <c r="AN487" s="1">
        <f>SUMIFS(stock[MT],stock[Bucket],scheduleapr[[#This Row],[Bucket]],stock[CTL Bucket],scheduleapr[[#This Row],[CTL Bucket]],stock[Plant],"0789")</f>
        <v>2.8667009999999999</v>
      </c>
      <c r="AO487" s="1"/>
      <c r="AP487" s="1">
        <f>SUMIFS(stock[MT],stock[Bucket],scheduleapr[[#This Row],[Bucket]],stock[LL or CTL],"LL")</f>
        <v>6.5656999999999993E-2</v>
      </c>
      <c r="AQ487" s="1">
        <f>+SUMIFS(wip[Stock(Net Wt)],wip[Bucket],scheduleapr[[#This Row],[Bucket]])/1000</f>
        <v>8.9860000000000007</v>
      </c>
      <c r="AR487" s="1">
        <f t="shared" si="16"/>
        <v>-0.28388018400000004</v>
      </c>
      <c r="AS487" s="118"/>
    </row>
    <row r="488" spans="1:45" x14ac:dyDescent="0.25">
      <c r="A488" s="30">
        <v>347</v>
      </c>
      <c r="B488" s="5" t="s">
        <v>1816</v>
      </c>
      <c r="C488" s="2" t="s">
        <v>293</v>
      </c>
      <c r="D488" s="2" t="s">
        <v>2056</v>
      </c>
      <c r="E488" s="2" t="s">
        <v>294</v>
      </c>
      <c r="F488" s="2">
        <v>1940090</v>
      </c>
      <c r="G488" s="2" t="str">
        <f>_xlfn.CONCAT(scheduleapr[[#This Row],[CUSTOMER CODE]],"-",scheduleapr[[#This Row],[MATERIAL NO]])</f>
        <v>930883|189481-1940090</v>
      </c>
      <c r="H488" s="2" t="s">
        <v>538</v>
      </c>
      <c r="I488" s="2" t="s">
        <v>962</v>
      </c>
      <c r="J488" s="2"/>
      <c r="K488" s="2" t="s">
        <v>963</v>
      </c>
      <c r="L488" s="2" t="s">
        <v>239</v>
      </c>
      <c r="M488" s="2"/>
      <c r="N488" s="2"/>
      <c r="O488" s="2"/>
      <c r="P488" s="2"/>
      <c r="Q488" s="557" t="str">
        <f>CONCATENATE(scheduleapr[[#This Row],[OD]],"-",scheduleapr[[#This Row],[ID]],"-",scheduleapr[[#This Row],[TICKNESS]],"-",scheduleapr[[#This Row],[Grade]],"-",scheduleapr[[#This Row],[FC/NFC]])</f>
        <v>15.88-0-2-ERW 1-PE</v>
      </c>
      <c r="R488" s="557" t="str">
        <f>_xlfn.CONCAT(scheduleapr[[#This Row],[Bucket]],"-",scheduleapr[[#This Row],[LENGTH]]/1000)</f>
        <v>15.88-0-2-ERW 1-PE-0.291</v>
      </c>
      <c r="S488" s="557">
        <f>COUNTIF(scheduleapr[CTL Bucket],scheduleapr[[#This Row],[CTL Bucket]])</f>
        <v>5</v>
      </c>
      <c r="T488" s="2" t="s">
        <v>1816</v>
      </c>
      <c r="U488" s="2">
        <f>_xlfn.IFNA(VLOOKUP(scheduleapr[[#This Row],[Bucket]],salesforecast[[#All],[Bucket2]:[8406 Stock]],19,0),0)</f>
        <v>0</v>
      </c>
      <c r="V488" s="562">
        <f>_xlfn.IFNA(VLOOKUP(scheduleapr[[#This Row],[Bucket]],salesforecast[[#All],[Bucket2]:[8406 Stock]],20,0),0)+_xlfn.IFNA(VLOOKUP(scheduleapr[[#This Row],[Bucket]],salesforecast[[#All],[Bucket2]:[8406 Stock]],17,0),0)</f>
        <v>0</v>
      </c>
      <c r="W488" s="557"/>
      <c r="X488" s="1">
        <v>15.88</v>
      </c>
      <c r="Y488" s="1">
        <v>15.88</v>
      </c>
      <c r="Z488" s="1">
        <v>0</v>
      </c>
      <c r="AA488" s="1">
        <v>2</v>
      </c>
      <c r="AB488" s="24">
        <v>291</v>
      </c>
      <c r="AC488" s="24" t="s">
        <v>397</v>
      </c>
      <c r="AD488" s="24"/>
      <c r="AE488" s="24"/>
      <c r="AF488" s="24">
        <v>20000</v>
      </c>
      <c r="AG488" s="24"/>
      <c r="AH488" s="2" cm="1">
        <f t="array" ref="AH4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15250</v>
      </c>
      <c r="AI488" s="4">
        <f>scheduleapr[[#This Row],[SCHEDULE in nos]]-scheduleapr[[#This Row],[DISPATCH]]</f>
        <v>4750</v>
      </c>
      <c r="AJ488" s="1">
        <f>(3.14*(scheduleapr[[#This Row],[ACTUAL OD]]-scheduleapr[[#This Row],[TICKNESS]])*scheduleapr[[#This Row],[TICKNESS]]*scheduleapr[[#This Row],[LENGTH]]*7.85)/1000000*scheduleapr[[#This Row],[SCHEDULE in nos]]/1000</f>
        <v>3.9823713168000006</v>
      </c>
      <c r="AK488" s="1">
        <f>(3.14*(scheduleapr[[#This Row],[ACTUAL OD]]-scheduleapr[[#This Row],[TICKNESS]])*scheduleapr[[#This Row],[TICKNESS]]*scheduleapr[[#This Row],[LENGTH]]*7.85)/1000000*scheduleapr[[#This Row],[DISPATCH]]/1000</f>
        <v>3.0365581290600003</v>
      </c>
      <c r="AL488" s="1">
        <f t="shared" si="17"/>
        <v>0.94581318774000023</v>
      </c>
      <c r="AM488" s="1">
        <f>scheduleapr[[#This Row],[SCHEDULE in nos]]/scheduleapr[[#This Row],[SCHEDULE IN MT]]*scheduleapr[[#This Row],[CTL Stock]]</f>
        <v>1474.6691186795058</v>
      </c>
      <c r="AN488" s="1">
        <f>SUMIFS(stock[MT],stock[Bucket],scheduleapr[[#This Row],[Bucket]],stock[CTL Bucket],scheduleapr[[#This Row],[CTL Bucket]],stock[Plant],"0789")</f>
        <v>0.29363400000000001</v>
      </c>
      <c r="AO488" s="1"/>
      <c r="AP488" s="1">
        <f>SUMIFS(stock[MT],stock[Bucket],scheduleapr[[#This Row],[Bucket]],stock[LL or CTL],"LL")</f>
        <v>0</v>
      </c>
      <c r="AQ488" s="1">
        <f>+SUMIFS(wip[Stock(Net Wt)],wip[Bucket],scheduleapr[[#This Row],[Bucket]])/1000</f>
        <v>0.24399999999999999</v>
      </c>
      <c r="AR488" s="1">
        <f t="shared" si="16"/>
        <v>3.6887373168000006</v>
      </c>
      <c r="AS488" s="118"/>
    </row>
    <row r="489" spans="1:45" x14ac:dyDescent="0.25">
      <c r="A489" s="30">
        <v>352</v>
      </c>
      <c r="B489" s="5" t="s">
        <v>1816</v>
      </c>
      <c r="C489" s="2" t="s">
        <v>293</v>
      </c>
      <c r="D489" s="2" t="s">
        <v>2056</v>
      </c>
      <c r="E489" s="2" t="s">
        <v>294</v>
      </c>
      <c r="F489" s="2">
        <v>2243845</v>
      </c>
      <c r="G489" s="2" t="str">
        <f>_xlfn.CONCAT(scheduleapr[[#This Row],[CUSTOMER CODE]],"-",scheduleapr[[#This Row],[MATERIAL NO]])</f>
        <v>930883|189481-2243845</v>
      </c>
      <c r="H489" s="2" t="s">
        <v>1207</v>
      </c>
      <c r="I489" s="2" t="s">
        <v>962</v>
      </c>
      <c r="J489" s="2"/>
      <c r="K489" s="2" t="s">
        <v>963</v>
      </c>
      <c r="L489" s="2" t="s">
        <v>239</v>
      </c>
      <c r="M489" s="2"/>
      <c r="N489" s="2"/>
      <c r="O489" s="2"/>
      <c r="P489" s="2"/>
      <c r="Q489" s="557" t="str">
        <f>CONCATENATE(scheduleapr[[#This Row],[OD]],"-",scheduleapr[[#This Row],[ID]],"-",scheduleapr[[#This Row],[TICKNESS]],"-",scheduleapr[[#This Row],[Grade]],"-",scheduleapr[[#This Row],[FC/NFC]])</f>
        <v>15.88-0-2-ERW 1-PE</v>
      </c>
      <c r="R489" s="557" t="str">
        <f>_xlfn.CONCAT(scheduleapr[[#This Row],[Bucket]],"-",scheduleapr[[#This Row],[LENGTH]]/1000)</f>
        <v>15.88-0-2-ERW 1-PE-0.442</v>
      </c>
      <c r="S489" s="557">
        <f>COUNTIF(scheduleapr[CTL Bucket],scheduleapr[[#This Row],[CTL Bucket]])</f>
        <v>1</v>
      </c>
      <c r="T489" s="2" t="s">
        <v>1816</v>
      </c>
      <c r="U489" s="557"/>
      <c r="V489" s="557"/>
      <c r="W489" s="557"/>
      <c r="X489" s="1">
        <v>15.88</v>
      </c>
      <c r="Y489" s="1">
        <v>15.88</v>
      </c>
      <c r="Z489" s="1">
        <v>0</v>
      </c>
      <c r="AA489" s="1">
        <v>2</v>
      </c>
      <c r="AB489" s="24">
        <v>442</v>
      </c>
      <c r="AC489" s="24" t="s">
        <v>397</v>
      </c>
      <c r="AD489" s="24"/>
      <c r="AE489" s="24"/>
      <c r="AF489" s="2"/>
      <c r="AG489" s="2"/>
      <c r="AH489" s="2" cm="1">
        <f t="array" ref="AH4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9" s="4">
        <f>scheduleapr[[#This Row],[SCHEDULE in nos]]-scheduleapr[[#This Row],[DISPATCH]]</f>
        <v>0</v>
      </c>
      <c r="AJ489" s="1">
        <f>(3.14*(scheduleapr[[#This Row],[ACTUAL OD]]-scheduleapr[[#This Row],[TICKNESS]])*scheduleapr[[#This Row],[TICKNESS]]*scheduleapr[[#This Row],[LENGTH]]*7.85)/1000000*scheduleapr[[#This Row],[SCHEDULE in nos]]/1000</f>
        <v>0</v>
      </c>
      <c r="AK489" s="1">
        <f>(3.14*(scheduleapr[[#This Row],[ACTUAL OD]]-scheduleapr[[#This Row],[TICKNESS]])*scheduleapr[[#This Row],[TICKNESS]]*scheduleapr[[#This Row],[LENGTH]]*7.85)/1000000*scheduleapr[[#This Row],[DISPATCH]]/1000</f>
        <v>0</v>
      </c>
      <c r="AL489" s="1">
        <f t="shared" si="17"/>
        <v>0</v>
      </c>
      <c r="AM489" s="1" t="e">
        <f>scheduleapr[[#This Row],[SCHEDULE in nos]]/scheduleapr[[#This Row],[SCHEDULE IN MT]]*scheduleapr[[#This Row],[CTL Stock]]</f>
        <v>#DIV/0!</v>
      </c>
      <c r="AN489" s="1">
        <f>SUMIFS(stock[MT],stock[Bucket],scheduleapr[[#This Row],[Bucket]],stock[CTL Bucket],scheduleapr[[#This Row],[CTL Bucket]],stock[Plant],"0789")</f>
        <v>0</v>
      </c>
      <c r="AO489" s="1"/>
      <c r="AP489" s="1">
        <f>SUMIFS(stock[MT],stock[Bucket],scheduleapr[[#This Row],[Bucket]],stock[LL or CTL],"LL")</f>
        <v>0</v>
      </c>
      <c r="AQ489" s="1">
        <f>+SUMIFS(wip[Stock(Net Wt)],wip[Bucket],scheduleapr[[#This Row],[Bucket]])/1000</f>
        <v>0.24399999999999999</v>
      </c>
      <c r="AR489" s="1">
        <f t="shared" si="16"/>
        <v>0</v>
      </c>
      <c r="AS489" s="118"/>
    </row>
    <row r="490" spans="1:45" x14ac:dyDescent="0.25">
      <c r="A490" s="30">
        <v>354</v>
      </c>
      <c r="B490" s="5" t="s">
        <v>1872</v>
      </c>
      <c r="C490" s="2" t="s">
        <v>293</v>
      </c>
      <c r="D490" s="2" t="s">
        <v>2056</v>
      </c>
      <c r="E490" s="2" t="s">
        <v>294</v>
      </c>
      <c r="F490" s="2">
        <v>1931824</v>
      </c>
      <c r="G490" s="2" t="str">
        <f>_xlfn.CONCAT(scheduleapr[[#This Row],[CUSTOMER CODE]],"-",scheduleapr[[#This Row],[MATERIAL NO]])</f>
        <v>930883|189481-1931824</v>
      </c>
      <c r="H490" s="2" t="s">
        <v>1968</v>
      </c>
      <c r="I490" s="2" t="s">
        <v>962</v>
      </c>
      <c r="J490" s="2"/>
      <c r="K490" s="2"/>
      <c r="L490" s="2" t="s">
        <v>239</v>
      </c>
      <c r="M490" s="2"/>
      <c r="N490" s="2"/>
      <c r="O490" s="2"/>
      <c r="P490" s="2"/>
      <c r="Q490" s="557" t="str">
        <f>CONCATENATE(scheduleapr[[#This Row],[OD]],"-",scheduleapr[[#This Row],[ID]],"-",scheduleapr[[#This Row],[TICKNESS]],"-",scheduleapr[[#This Row],[Grade]],"-",scheduleapr[[#This Row],[FC/NFC]])</f>
        <v>17.3-0-1.2-ERW 1-</v>
      </c>
      <c r="R490" s="557" t="str">
        <f>_xlfn.CONCAT(scheduleapr[[#This Row],[Bucket]],"-",scheduleapr[[#This Row],[LENGTH]]/1000)</f>
        <v>17.3-0-1.2-ERW 1--6</v>
      </c>
      <c r="S490" s="557" t="e" vm="2">
        <f>COUNTIF([2]!buckets[CTL Bucket],[2]!scheduleapr[[#This Row],[CTL Bucket]])</f>
        <v>#REF!</v>
      </c>
      <c r="T490" s="557"/>
      <c r="U490" s="557"/>
      <c r="V490" s="557"/>
      <c r="W490" s="557"/>
      <c r="X490" s="1">
        <v>17.3</v>
      </c>
      <c r="Y490" s="1">
        <v>17.3</v>
      </c>
      <c r="Z490" s="1">
        <v>0</v>
      </c>
      <c r="AA490" s="1">
        <v>1.2</v>
      </c>
      <c r="AB490" s="24">
        <v>6000</v>
      </c>
      <c r="AC490" s="24" t="s">
        <v>444</v>
      </c>
      <c r="AD490" s="24"/>
      <c r="AE490" s="24"/>
      <c r="AF490" s="2"/>
      <c r="AG490" s="2"/>
      <c r="AH490" s="2" cm="1">
        <f t="array" ref="AH4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0" s="4">
        <f>scheduleapr[[#This Row],[SCHEDULE in nos]]-scheduleapr[[#This Row],[DISPATCH]]</f>
        <v>0</v>
      </c>
      <c r="AJ490" s="1">
        <f>(3.14*(scheduleapr[[#This Row],[ACTUAL OD]]-scheduleapr[[#This Row],[TICKNESS]])*scheduleapr[[#This Row],[TICKNESS]]*scheduleapr[[#This Row],[LENGTH]]*7.85)/1000000*scheduleapr[[#This Row],[SCHEDULE in nos]]/1000</f>
        <v>0</v>
      </c>
      <c r="AK490" s="1">
        <f>(3.14*(scheduleapr[[#This Row],[ACTUAL OD]]-scheduleapr[[#This Row],[TICKNESS]])*scheduleapr[[#This Row],[TICKNESS]]*scheduleapr[[#This Row],[LENGTH]]*7.85)/1000000*scheduleapr[[#This Row],[DISPATCH]]/1000</f>
        <v>0</v>
      </c>
      <c r="AL490" s="1">
        <f t="shared" si="17"/>
        <v>0</v>
      </c>
      <c r="AM490" s="1" t="e">
        <f>scheduleapr[[#This Row],[SCHEDULE in nos]]/scheduleapr[[#This Row],[SCHEDULE IN MT]]*scheduleapr[[#This Row],[CTL Stock]]</f>
        <v>#DIV/0!</v>
      </c>
      <c r="AN490" s="1">
        <f>SUMIFS(stock[MT],stock[Bucket],scheduleapr[[#This Row],[Bucket]],stock[CTL Bucket],scheduleapr[[#This Row],[CTL Bucket]],stock[Plant],"0789")</f>
        <v>0</v>
      </c>
      <c r="AO490" s="1"/>
      <c r="AP490" s="1">
        <f>SUMIFS(stock[MT],stock[Bucket],scheduleapr[[#This Row],[Bucket]],stock[LL or CTL],"LL")</f>
        <v>0</v>
      </c>
      <c r="AQ490" s="1">
        <f>+SUMIFS(wip[Stock(Net Wt)],wip[Bucket],scheduleapr[[#This Row],[Bucket]])/1000</f>
        <v>0</v>
      </c>
      <c r="AR490" s="1">
        <f t="shared" si="16"/>
        <v>0</v>
      </c>
      <c r="AS490" s="118"/>
    </row>
    <row r="491" spans="1:45" x14ac:dyDescent="0.25">
      <c r="A491" s="30">
        <v>357</v>
      </c>
      <c r="B491" s="5" t="s">
        <v>1816</v>
      </c>
      <c r="C491" s="2" t="s">
        <v>293</v>
      </c>
      <c r="D491" s="2" t="s">
        <v>2056</v>
      </c>
      <c r="E491" s="2" t="s">
        <v>294</v>
      </c>
      <c r="F491" s="2">
        <v>3122348</v>
      </c>
      <c r="G491" s="2" t="str">
        <f>_xlfn.CONCAT(scheduleapr[[#This Row],[CUSTOMER CODE]],"-",scheduleapr[[#This Row],[MATERIAL NO]])</f>
        <v>930883|189481-3122348</v>
      </c>
      <c r="H491" s="2" t="s">
        <v>2059</v>
      </c>
      <c r="I491" s="2" t="s">
        <v>962</v>
      </c>
      <c r="J491" s="2"/>
      <c r="K491" s="2"/>
      <c r="L491" s="2" t="s">
        <v>239</v>
      </c>
      <c r="M491" s="2"/>
      <c r="N491" s="2"/>
      <c r="O491" s="2"/>
      <c r="P491" s="2"/>
      <c r="Q491" s="557" t="str">
        <f>CONCATENATE(scheduleapr[[#This Row],[OD]],"-",scheduleapr[[#This Row],[ID]],"-",scheduleapr[[#This Row],[TICKNESS]],"-",scheduleapr[[#This Row],[Grade]],"-",scheduleapr[[#This Row],[FC/NFC]])</f>
        <v>19.05-0-2-ERW 1-</v>
      </c>
      <c r="R491" s="557" t="str">
        <f>_xlfn.CONCAT(scheduleapr[[#This Row],[Bucket]],"-",scheduleapr[[#This Row],[LENGTH]]/1000)</f>
        <v>19.05-0-2-ERW 1--0.2385</v>
      </c>
      <c r="S491" s="557" t="e" vm="2">
        <f>COUNTIF([2]!buckets[CTL Bucket],[2]!scheduleapr[[#This Row],[CTL Bucket]])</f>
        <v>#REF!</v>
      </c>
      <c r="T491" s="557"/>
      <c r="U491" s="557"/>
      <c r="V491" s="557"/>
      <c r="W491" s="557"/>
      <c r="X491" s="1">
        <v>19.05</v>
      </c>
      <c r="Y491" s="1">
        <v>19.05</v>
      </c>
      <c r="Z491" s="1">
        <v>0</v>
      </c>
      <c r="AA491" s="1">
        <v>2</v>
      </c>
      <c r="AB491" s="24">
        <v>238.5</v>
      </c>
      <c r="AC491" s="24" t="s">
        <v>397</v>
      </c>
      <c r="AD491" s="24"/>
      <c r="AE491" s="24"/>
      <c r="AF491" s="2"/>
      <c r="AG491" s="2"/>
      <c r="AH491" s="2" cm="1">
        <f t="array" ref="AH4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1" s="4">
        <f>scheduleapr[[#This Row],[SCHEDULE in nos]]-scheduleapr[[#This Row],[DISPATCH]]</f>
        <v>0</v>
      </c>
      <c r="AJ491" s="1">
        <f>(3.14*(scheduleapr[[#This Row],[ACTUAL OD]]-scheduleapr[[#This Row],[TICKNESS]])*scheduleapr[[#This Row],[TICKNESS]]*scheduleapr[[#This Row],[LENGTH]]*7.85)/1000000*scheduleapr[[#This Row],[SCHEDULE in nos]]/1000</f>
        <v>0</v>
      </c>
      <c r="AK491" s="1">
        <f>(3.14*(scheduleapr[[#This Row],[ACTUAL OD]]-scheduleapr[[#This Row],[TICKNESS]])*scheduleapr[[#This Row],[TICKNESS]]*scheduleapr[[#This Row],[LENGTH]]*7.85)/1000000*scheduleapr[[#This Row],[DISPATCH]]/1000</f>
        <v>0</v>
      </c>
      <c r="AL491" s="1">
        <f t="shared" si="17"/>
        <v>0</v>
      </c>
      <c r="AM491" s="1" t="e">
        <f>scheduleapr[[#This Row],[SCHEDULE in nos]]/scheduleapr[[#This Row],[SCHEDULE IN MT]]*scheduleapr[[#This Row],[CTL Stock]]</f>
        <v>#DIV/0!</v>
      </c>
      <c r="AN491" s="1">
        <f>SUMIFS(stock[MT],stock[Bucket],scheduleapr[[#This Row],[Bucket]],stock[CTL Bucket],scheduleapr[[#This Row],[CTL Bucket]],stock[Plant],"0789")</f>
        <v>0</v>
      </c>
      <c r="AO491" s="1"/>
      <c r="AP491" s="1">
        <f>SUMIFS(stock[MT],stock[Bucket],scheduleapr[[#This Row],[Bucket]],stock[LL or CTL],"LL")</f>
        <v>0</v>
      </c>
      <c r="AQ491" s="1">
        <f>+SUMIFS(wip[Stock(Net Wt)],wip[Bucket],scheduleapr[[#This Row],[Bucket]])/1000</f>
        <v>0</v>
      </c>
      <c r="AR491" s="1">
        <f t="shared" si="16"/>
        <v>0</v>
      </c>
      <c r="AS491" s="118"/>
    </row>
    <row r="492" spans="1:45" x14ac:dyDescent="0.25">
      <c r="A492" s="30">
        <v>376</v>
      </c>
      <c r="B492" s="5" t="s">
        <v>1816</v>
      </c>
      <c r="C492" s="2" t="s">
        <v>293</v>
      </c>
      <c r="D492" s="48" t="s">
        <v>2056</v>
      </c>
      <c r="E492" s="2" t="s">
        <v>294</v>
      </c>
      <c r="F492" s="2">
        <v>2403386</v>
      </c>
      <c r="G492" s="2" t="str">
        <f>_xlfn.CONCAT(scheduleapr[[#This Row],[CUSTOMER CODE]],"-",scheduleapr[[#This Row],[MATERIAL NO]])</f>
        <v>930883|189481-2403386</v>
      </c>
      <c r="H492" s="2" t="s">
        <v>2016</v>
      </c>
      <c r="I492" s="2" t="s">
        <v>962</v>
      </c>
      <c r="J492" s="2"/>
      <c r="K492" s="2" t="s">
        <v>963</v>
      </c>
      <c r="L492" s="2" t="s">
        <v>239</v>
      </c>
      <c r="M492" s="2"/>
      <c r="N492" s="2"/>
      <c r="O492" s="2"/>
      <c r="P492" s="2"/>
      <c r="Q492" s="557" t="str">
        <f>CONCATENATE(scheduleapr[[#This Row],[OD]],"-",scheduleapr[[#This Row],[ID]],"-",scheduleapr[[#This Row],[TICKNESS]],"-",scheduleapr[[#This Row],[Grade]],"-",scheduleapr[[#This Row],[FC/NFC]])</f>
        <v>19.05-0-2-ERW 1-PE</v>
      </c>
      <c r="R492" s="557" t="str">
        <f>_xlfn.CONCAT(scheduleapr[[#This Row],[Bucket]],"-",scheduleapr[[#This Row],[LENGTH]]/1000)</f>
        <v>19.05-0-2-ERW 1-PE-0.358</v>
      </c>
      <c r="S492" s="557" t="e" vm="2">
        <f>COUNTIF([2]!buckets[CTL Bucket],[2]!scheduleapr[[#This Row],[CTL Bucket]])</f>
        <v>#REF!</v>
      </c>
      <c r="T492" s="2" t="s">
        <v>1816</v>
      </c>
      <c r="U492" s="2">
        <f>_xlfn.IFNA(VLOOKUP(scheduleapr[[#This Row],[Bucket]],salesforecast[[#All],[Bucket2]:[8406 Stock]],19,0),0)</f>
        <v>0</v>
      </c>
      <c r="V492" s="562">
        <f>_xlfn.IFNA(VLOOKUP(scheduleapr[[#This Row],[Bucket]],salesforecast[[#All],[Bucket2]:[8406 Stock]],20,0),0)+_xlfn.IFNA(VLOOKUP(scheduleapr[[#This Row],[Bucket]],salesforecast[[#All],[Bucket2]:[8406 Stock]],17,0),0)</f>
        <v>0</v>
      </c>
      <c r="W492" s="557"/>
      <c r="X492" s="1">
        <v>19.05</v>
      </c>
      <c r="Y492" s="1">
        <v>19.05</v>
      </c>
      <c r="Z492" s="1">
        <v>0</v>
      </c>
      <c r="AA492" s="1">
        <v>2</v>
      </c>
      <c r="AB492" s="24">
        <v>358</v>
      </c>
      <c r="AC492" s="24" t="s">
        <v>397</v>
      </c>
      <c r="AD492" s="24"/>
      <c r="AE492" s="24"/>
      <c r="AF492" s="2">
        <v>10000</v>
      </c>
      <c r="AG492" s="2"/>
      <c r="AH492" s="2" cm="1">
        <f t="array" ref="AH4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2" s="4">
        <f>scheduleapr[[#This Row],[SCHEDULE in nos]]-scheduleapr[[#This Row],[DISPATCH]]</f>
        <v>10000</v>
      </c>
      <c r="AJ492" s="1">
        <f>(3.14*(scheduleapr[[#This Row],[ACTUAL OD]]-scheduleapr[[#This Row],[TICKNESS]])*scheduleapr[[#This Row],[TICKNESS]]*scheduleapr[[#This Row],[LENGTH]]*7.85)/1000000*scheduleapr[[#This Row],[SCHEDULE in nos]]/1000</f>
        <v>3.0091006220000005</v>
      </c>
      <c r="AK492" s="1">
        <f>(3.14*(scheduleapr[[#This Row],[ACTUAL OD]]-scheduleapr[[#This Row],[TICKNESS]])*scheduleapr[[#This Row],[TICKNESS]]*scheduleapr[[#This Row],[LENGTH]]*7.85)/1000000*scheduleapr[[#This Row],[DISPATCH]]/1000</f>
        <v>0</v>
      </c>
      <c r="AL492" s="1">
        <f t="shared" si="17"/>
        <v>3.0091006220000005</v>
      </c>
      <c r="AM492" s="1">
        <f>scheduleapr[[#This Row],[SCHEDULE in nos]]/scheduleapr[[#This Row],[SCHEDULE IN MT]]*scheduleapr[[#This Row],[CTL Stock]]</f>
        <v>69.61548526109739</v>
      </c>
      <c r="AN492" s="1">
        <f>SUMIFS(stock[MT],stock[Bucket],scheduleapr[[#This Row],[Bucket]],stock[CTL Bucket],scheduleapr[[#This Row],[CTL Bucket]],stock[Plant],"0789")</f>
        <v>2.0948000000000001E-2</v>
      </c>
      <c r="AO492" s="1"/>
      <c r="AP492" s="1">
        <f>SUMIFS(stock[MT],stock[Bucket],scheduleapr[[#This Row],[Bucket]],stock[LL or CTL],"LL")</f>
        <v>0</v>
      </c>
      <c r="AQ492" s="1">
        <f>+SUMIFS(wip[Stock(Net Wt)],wip[Bucket],scheduleapr[[#This Row],[Bucket]])/1000</f>
        <v>11.189</v>
      </c>
      <c r="AR492" s="1">
        <f t="shared" si="16"/>
        <v>2.9881526220000003</v>
      </c>
      <c r="AS492" s="118"/>
    </row>
    <row r="493" spans="1:45" x14ac:dyDescent="0.25">
      <c r="A493" s="30">
        <v>365</v>
      </c>
      <c r="B493" s="5" t="s">
        <v>1816</v>
      </c>
      <c r="C493" s="2" t="s">
        <v>293</v>
      </c>
      <c r="D493" s="2" t="s">
        <v>2056</v>
      </c>
      <c r="E493" s="2" t="s">
        <v>294</v>
      </c>
      <c r="F493" s="2"/>
      <c r="G493" s="2" t="str">
        <f>_xlfn.CONCAT(scheduleapr[[#This Row],[CUSTOMER CODE]],"-",scheduleapr[[#This Row],[MATERIAL NO]])</f>
        <v>930883|189481-</v>
      </c>
      <c r="H493" s="2" t="s">
        <v>2060</v>
      </c>
      <c r="I493" s="2" t="s">
        <v>962</v>
      </c>
      <c r="J493" s="2"/>
      <c r="K493" s="2" t="s">
        <v>963</v>
      </c>
      <c r="L493" s="2" t="s">
        <v>1867</v>
      </c>
      <c r="M493" s="44" t="s">
        <v>1924</v>
      </c>
      <c r="N493" s="2"/>
      <c r="O493" s="2" t="s">
        <v>1895</v>
      </c>
      <c r="P493" s="2"/>
      <c r="Q493" s="557" t="str">
        <f>CONCATENATE(scheduleapr[[#This Row],[OD]],"-",scheduleapr[[#This Row],[ID]],"-",scheduleapr[[#This Row],[TICKNESS]],"-",scheduleapr[[#This Row],[Grade]],"-",scheduleapr[[#This Row],[FC/NFC]])</f>
        <v>19.05-0-2-ERW 1-PE</v>
      </c>
      <c r="R493" s="557" t="str">
        <f>_xlfn.CONCAT(scheduleapr[[#This Row],[Bucket]],"-",scheduleapr[[#This Row],[LENGTH]]/1000)</f>
        <v>19.05-0-2-ERW 1-PE-0.394</v>
      </c>
      <c r="S493" s="557">
        <f>COUNTIF(scheduleapr[CTL Bucket],scheduleapr[[#This Row],[CTL Bucket]])</f>
        <v>1</v>
      </c>
      <c r="T493" s="2" t="s">
        <v>1816</v>
      </c>
      <c r="U493" s="2">
        <f>_xlfn.IFNA(VLOOKUP(scheduleapr[[#This Row],[Bucket]],salesforecast[[#All],[Bucket2]:[8406 Stock]],19,0),0)</f>
        <v>0</v>
      </c>
      <c r="V493" s="562">
        <f>_xlfn.IFNA(VLOOKUP(scheduleapr[[#This Row],[Bucket]],salesforecast[[#All],[Bucket2]:[8406 Stock]],20,0),0)+_xlfn.IFNA(VLOOKUP(scheduleapr[[#This Row],[Bucket]],salesforecast[[#All],[Bucket2]:[8406 Stock]],17,0),0)</f>
        <v>0</v>
      </c>
      <c r="W493" s="557"/>
      <c r="X493" s="1">
        <v>19.05</v>
      </c>
      <c r="Y493" s="1">
        <v>19.05</v>
      </c>
      <c r="Z493" s="1">
        <v>0</v>
      </c>
      <c r="AA493" s="1">
        <v>2</v>
      </c>
      <c r="AB493" s="24">
        <v>394</v>
      </c>
      <c r="AC493" s="24" t="s">
        <v>397</v>
      </c>
      <c r="AD493" s="24"/>
      <c r="AE493" s="24"/>
      <c r="AF493" s="2"/>
      <c r="AG493" s="2"/>
      <c r="AH493" s="2" cm="1">
        <f t="array" ref="AH4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3" s="4">
        <f>scheduleapr[[#This Row],[SCHEDULE in nos]]-scheduleapr[[#This Row],[DISPATCH]]</f>
        <v>0</v>
      </c>
      <c r="AJ493" s="1">
        <f>(3.14*(scheduleapr[[#This Row],[ACTUAL OD]]-scheduleapr[[#This Row],[TICKNESS]])*scheduleapr[[#This Row],[TICKNESS]]*scheduleapr[[#This Row],[LENGTH]]*7.85)/1000000*scheduleapr[[#This Row],[SCHEDULE in nos]]/1000</f>
        <v>0</v>
      </c>
      <c r="AK493" s="1">
        <f>(3.14*(scheduleapr[[#This Row],[ACTUAL OD]]-scheduleapr[[#This Row],[TICKNESS]])*scheduleapr[[#This Row],[TICKNESS]]*scheduleapr[[#This Row],[LENGTH]]*7.85)/1000000*scheduleapr[[#This Row],[DISPATCH]]/1000</f>
        <v>0</v>
      </c>
      <c r="AL493" s="1">
        <f t="shared" si="17"/>
        <v>0</v>
      </c>
      <c r="AM493" s="1" t="e">
        <f>scheduleapr[[#This Row],[SCHEDULE in nos]]/scheduleapr[[#This Row],[SCHEDULE IN MT]]*scheduleapr[[#This Row],[CTL Stock]]</f>
        <v>#DIV/0!</v>
      </c>
      <c r="AN493" s="1">
        <f>SUMIFS(stock[MT],stock[Bucket],scheduleapr[[#This Row],[Bucket]],stock[CTL Bucket],scheduleapr[[#This Row],[CTL Bucket]],stock[Plant],"0789")</f>
        <v>0</v>
      </c>
      <c r="AO493" s="1"/>
      <c r="AP493" s="1">
        <f>SUMIFS(stock[MT],stock[Bucket],scheduleapr[[#This Row],[Bucket]],stock[LL or CTL],"LL")</f>
        <v>0</v>
      </c>
      <c r="AQ493" s="1">
        <f>+SUMIFS(wip[Stock(Net Wt)],wip[Bucket],scheduleapr[[#This Row],[Bucket]])/1000</f>
        <v>11.189</v>
      </c>
      <c r="AR493" s="1">
        <f t="shared" si="16"/>
        <v>0</v>
      </c>
      <c r="AS493" s="118"/>
    </row>
    <row r="494" spans="1:45" x14ac:dyDescent="0.25">
      <c r="A494" s="30">
        <v>377</v>
      </c>
      <c r="B494" s="5" t="s">
        <v>1816</v>
      </c>
      <c r="C494" s="2" t="s">
        <v>293</v>
      </c>
      <c r="D494" s="48" t="s">
        <v>2056</v>
      </c>
      <c r="E494" s="2" t="s">
        <v>294</v>
      </c>
      <c r="F494" s="2">
        <v>2403383</v>
      </c>
      <c r="G494" s="2" t="str">
        <f>_xlfn.CONCAT(scheduleapr[[#This Row],[CUSTOMER CODE]],"-",scheduleapr[[#This Row],[MATERIAL NO]])</f>
        <v>930883|189481-2403383</v>
      </c>
      <c r="H494" s="2" t="s">
        <v>2018</v>
      </c>
      <c r="I494" s="2" t="s">
        <v>962</v>
      </c>
      <c r="J494" s="2"/>
      <c r="K494" s="2" t="s">
        <v>963</v>
      </c>
      <c r="L494" s="2" t="s">
        <v>239</v>
      </c>
      <c r="M494" s="2"/>
      <c r="N494" s="2"/>
      <c r="O494" s="2"/>
      <c r="P494" s="2"/>
      <c r="Q494" s="557" t="str">
        <f>CONCATENATE(scheduleapr[[#This Row],[OD]],"-",scheduleapr[[#This Row],[ID]],"-",scheduleapr[[#This Row],[TICKNESS]],"-",scheduleapr[[#This Row],[Grade]],"-",scheduleapr[[#This Row],[FC/NFC]])</f>
        <v>19.05-0-2-ERW 1-PE</v>
      </c>
      <c r="R494" s="557" t="str">
        <f>_xlfn.CONCAT(scheduleapr[[#This Row],[Bucket]],"-",scheduleapr[[#This Row],[LENGTH]]/1000)</f>
        <v>19.05-0-2-ERW 1-PE-0.475</v>
      </c>
      <c r="S494" s="557">
        <f>COUNTIF(scheduleapr[CTL Bucket],scheduleapr[[#This Row],[CTL Bucket]])</f>
        <v>2</v>
      </c>
      <c r="T494" s="2" t="s">
        <v>1816</v>
      </c>
      <c r="U494" s="2">
        <f>_xlfn.IFNA(VLOOKUP(scheduleapr[[#This Row],[Bucket]],salesforecast[[#All],[Bucket2]:[8406 Stock]],19,0),0)</f>
        <v>0</v>
      </c>
      <c r="V494" s="562">
        <f>_xlfn.IFNA(VLOOKUP(scheduleapr[[#This Row],[Bucket]],salesforecast[[#All],[Bucket2]:[8406 Stock]],20,0),0)+_xlfn.IFNA(VLOOKUP(scheduleapr[[#This Row],[Bucket]],salesforecast[[#All],[Bucket2]:[8406 Stock]],17,0),0)</f>
        <v>0</v>
      </c>
      <c r="W494" s="557"/>
      <c r="X494" s="1">
        <v>19.05</v>
      </c>
      <c r="Y494" s="1">
        <v>19.05</v>
      </c>
      <c r="Z494" s="1">
        <v>0</v>
      </c>
      <c r="AA494" s="1">
        <v>2</v>
      </c>
      <c r="AB494" s="24">
        <v>475</v>
      </c>
      <c r="AC494" s="24" t="s">
        <v>397</v>
      </c>
      <c r="AD494" s="24"/>
      <c r="AE494" s="24"/>
      <c r="AF494" s="2">
        <v>20000</v>
      </c>
      <c r="AG494" s="2"/>
      <c r="AH494" s="2" cm="1">
        <f t="array" ref="AH4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4" s="4">
        <f>scheduleapr[[#This Row],[SCHEDULE in nos]]-scheduleapr[[#This Row],[DISPATCH]]</f>
        <v>20000</v>
      </c>
      <c r="AJ494" s="1">
        <f>(3.14*(scheduleapr[[#This Row],[ACTUAL OD]]-scheduleapr[[#This Row],[TICKNESS]])*scheduleapr[[#This Row],[TICKNESS]]*scheduleapr[[#This Row],[LENGTH]]*7.85)/1000000*scheduleapr[[#This Row],[SCHEDULE in nos]]/1000</f>
        <v>7.9850435500000003</v>
      </c>
      <c r="AK494" s="1">
        <f>(3.14*(scheduleapr[[#This Row],[ACTUAL OD]]-scheduleapr[[#This Row],[TICKNESS]])*scheduleapr[[#This Row],[TICKNESS]]*scheduleapr[[#This Row],[LENGTH]]*7.85)/1000000*scheduleapr[[#This Row],[DISPATCH]]/1000</f>
        <v>0</v>
      </c>
      <c r="AL494" s="1">
        <f t="shared" si="17"/>
        <v>7.9850435500000003</v>
      </c>
      <c r="AM494" s="1">
        <f>scheduleapr[[#This Row],[SCHEDULE in nos]]/scheduleapr[[#This Row],[SCHEDULE IN MT]]*scheduleapr[[#This Row],[CTL Stock]]</f>
        <v>22.041207276821929</v>
      </c>
      <c r="AN494" s="1">
        <f>SUMIFS(stock[MT],stock[Bucket],scheduleapr[[#This Row],[Bucket]],stock[CTL Bucket],scheduleapr[[#This Row],[CTL Bucket]],stock[Plant],"0789")</f>
        <v>8.8000000000000005E-3</v>
      </c>
      <c r="AO494" s="1"/>
      <c r="AP494" s="1">
        <f>SUMIFS(stock[MT],stock[Bucket],scheduleapr[[#This Row],[Bucket]],stock[LL or CTL],"LL")</f>
        <v>0</v>
      </c>
      <c r="AQ494" s="1">
        <f>+SUMIFS(wip[Stock(Net Wt)],wip[Bucket],scheduleapr[[#This Row],[Bucket]])/1000</f>
        <v>11.189</v>
      </c>
      <c r="AR494" s="1">
        <f t="shared" si="16"/>
        <v>7.9762435500000004</v>
      </c>
      <c r="AS494" s="118"/>
    </row>
    <row r="495" spans="1:45" x14ac:dyDescent="0.25">
      <c r="A495" s="556"/>
      <c r="B495" s="5" t="s">
        <v>1816</v>
      </c>
      <c r="C495" s="2" t="s">
        <v>293</v>
      </c>
      <c r="D495" s="2" t="s">
        <v>2056</v>
      </c>
      <c r="E495" s="2" t="s">
        <v>294</v>
      </c>
      <c r="F495" s="557"/>
      <c r="G495" s="2" t="str">
        <f>_xlfn.CONCAT(scheduleapr[[#This Row],[CUSTOMER CODE]],"-",scheduleapr[[#This Row],[MATERIAL NO]])</f>
        <v>930883|189481-</v>
      </c>
      <c r="H495" s="557"/>
      <c r="I495" s="2" t="s">
        <v>962</v>
      </c>
      <c r="J495" s="557"/>
      <c r="K495" s="557"/>
      <c r="L495" s="557"/>
      <c r="M495" s="558"/>
      <c r="N495" s="557"/>
      <c r="O495" s="557"/>
      <c r="P495" s="557"/>
      <c r="Q495" s="557"/>
      <c r="R495" s="557"/>
      <c r="S495" s="557"/>
      <c r="T495" s="2"/>
      <c r="U495" s="2"/>
      <c r="V495" s="3"/>
      <c r="W495" s="2"/>
      <c r="X495" s="559">
        <v>19.05</v>
      </c>
      <c r="Y495" s="559">
        <v>19.05</v>
      </c>
      <c r="Z495" s="559">
        <v>0</v>
      </c>
      <c r="AA495" s="559">
        <v>2</v>
      </c>
      <c r="AB495" s="24">
        <v>775</v>
      </c>
      <c r="AC495" s="81" t="s">
        <v>397</v>
      </c>
      <c r="AD495" s="24"/>
      <c r="AE495" s="24"/>
      <c r="AF495" s="557">
        <v>10000</v>
      </c>
      <c r="AG495" s="557"/>
      <c r="AH495" s="557" cm="1">
        <f t="array" ref="AH4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5" s="560">
        <f>scheduleapr[[#This Row],[SCHEDULE in nos]]-scheduleapr[[#This Row],[DISPATCH]]</f>
        <v>10000</v>
      </c>
      <c r="AJ495" s="559">
        <f>(3.14*(scheduleapr[[#This Row],[ACTUAL OD]]-scheduleapr[[#This Row],[TICKNESS]])*scheduleapr[[#This Row],[TICKNESS]]*scheduleapr[[#This Row],[LENGTH]]*7.85)/1000000*scheduleapr[[#This Row],[SCHEDULE in nos]]/1000</f>
        <v>6.5141144750000004</v>
      </c>
      <c r="AK495" s="1">
        <f>(3.14*(scheduleapr[[#This Row],[ACTUAL OD]]-scheduleapr[[#This Row],[TICKNESS]])*scheduleapr[[#This Row],[TICKNESS]]*scheduleapr[[#This Row],[LENGTH]]*7.85)/1000000*scheduleapr[[#This Row],[DISPATCH]]/1000</f>
        <v>0</v>
      </c>
      <c r="AL495" s="1">
        <f t="shared" si="17"/>
        <v>6.5141144750000004</v>
      </c>
      <c r="AM495" s="559">
        <f>scheduleapr[[#This Row],[SCHEDULE in nos]]/scheduleapr[[#This Row],[SCHEDULE IN MT]]*scheduleapr[[#This Row],[CTL Stock]]</f>
        <v>0</v>
      </c>
      <c r="AN495" s="1">
        <f>SUMIFS(stock[MT],stock[Bucket],scheduleapr[[#This Row],[Bucket]],stock[CTL Bucket],scheduleapr[[#This Row],[CTL Bucket]],stock[Plant],"0789")</f>
        <v>0</v>
      </c>
      <c r="AO495" s="1"/>
      <c r="AP495" s="1">
        <f>SUMIFS(stock[MT],stock[Bucket],scheduleapr[[#This Row],[Bucket]],stock[LL or CTL],"LL")</f>
        <v>0</v>
      </c>
      <c r="AQ495" s="1">
        <f>+SUMIFS(wip[Stock(Net Wt)],wip[Bucket],scheduleapr[[#This Row],[Bucket]])/1000</f>
        <v>0</v>
      </c>
      <c r="AR495" s="1">
        <f t="shared" si="16"/>
        <v>6.5141144750000004</v>
      </c>
      <c r="AS495" s="118"/>
    </row>
    <row r="496" spans="1:45" x14ac:dyDescent="0.25">
      <c r="A496" s="30">
        <v>361</v>
      </c>
      <c r="B496" s="5" t="s">
        <v>1816</v>
      </c>
      <c r="C496" s="2" t="s">
        <v>293</v>
      </c>
      <c r="D496" s="2" t="s">
        <v>2056</v>
      </c>
      <c r="E496" s="2" t="s">
        <v>294</v>
      </c>
      <c r="F496" s="2">
        <v>3747395</v>
      </c>
      <c r="G496" s="2" t="str">
        <f>_xlfn.CONCAT(scheduleapr[[#This Row],[CUSTOMER CODE]],"-",scheduleapr[[#This Row],[MATERIAL NO]])</f>
        <v>930883|189481-3747395</v>
      </c>
      <c r="H496" s="2" t="s">
        <v>2028</v>
      </c>
      <c r="I496" s="2" t="s">
        <v>962</v>
      </c>
      <c r="J496" s="2"/>
      <c r="K496" s="2"/>
      <c r="L496" s="2" t="s">
        <v>239</v>
      </c>
      <c r="M496" s="2"/>
      <c r="N496" s="2"/>
      <c r="O496" s="2"/>
      <c r="P496" s="2"/>
      <c r="Q496" s="557" t="str">
        <f>CONCATENATE(scheduleapr[[#This Row],[OD]],"-",scheduleapr[[#This Row],[ID]],"-",scheduleapr[[#This Row],[TICKNESS]],"-",scheduleapr[[#This Row],[Grade]],"-",scheduleapr[[#This Row],[FC/NFC]])</f>
        <v>22.23-0-1.6-ERW 1-</v>
      </c>
      <c r="R496" s="557" t="str">
        <f>_xlfn.CONCAT(scheduleapr[[#This Row],[Bucket]],"-",scheduleapr[[#This Row],[LENGTH]]/1000)</f>
        <v>22.23-0-1.6-ERW 1--0.361</v>
      </c>
      <c r="S496" s="557" t="e" vm="2">
        <f>COUNTIF([2]!buckets[CTL Bucket],[2]!scheduleapr[[#This Row],[CTL Bucket]])</f>
        <v>#REF!</v>
      </c>
      <c r="T496" s="557"/>
      <c r="U496" s="557"/>
      <c r="V496" s="557"/>
      <c r="W496" s="557"/>
      <c r="X496" s="1">
        <v>22.23</v>
      </c>
      <c r="Y496" s="1">
        <v>22.23</v>
      </c>
      <c r="Z496" s="1">
        <v>0</v>
      </c>
      <c r="AA496" s="1">
        <v>1.6</v>
      </c>
      <c r="AB496" s="24">
        <v>361</v>
      </c>
      <c r="AC496" s="24" t="s">
        <v>397</v>
      </c>
      <c r="AD496" s="24"/>
      <c r="AE496" s="24"/>
      <c r="AF496" s="2"/>
      <c r="AG496" s="2"/>
      <c r="AH496" s="2" cm="1">
        <f t="array" ref="AH4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6" s="4">
        <f>scheduleapr[[#This Row],[SCHEDULE in nos]]-scheduleapr[[#This Row],[DISPATCH]]</f>
        <v>0</v>
      </c>
      <c r="AJ496" s="1">
        <f>(3.14*(scheduleapr[[#This Row],[ACTUAL OD]]-scheduleapr[[#This Row],[TICKNESS]])*scheduleapr[[#This Row],[TICKNESS]]*scheduleapr[[#This Row],[LENGTH]]*7.85)/1000000*scheduleapr[[#This Row],[SCHEDULE in nos]]/1000</f>
        <v>0</v>
      </c>
      <c r="AK496" s="1">
        <f>(3.14*(scheduleapr[[#This Row],[ACTUAL OD]]-scheduleapr[[#This Row],[TICKNESS]])*scheduleapr[[#This Row],[TICKNESS]]*scheduleapr[[#This Row],[LENGTH]]*7.85)/1000000*scheduleapr[[#This Row],[DISPATCH]]/1000</f>
        <v>0</v>
      </c>
      <c r="AL496" s="1">
        <f t="shared" si="17"/>
        <v>0</v>
      </c>
      <c r="AM496" s="1" t="e">
        <f>scheduleapr[[#This Row],[SCHEDULE in nos]]/scheduleapr[[#This Row],[SCHEDULE IN MT]]*scheduleapr[[#This Row],[CTL Stock]]</f>
        <v>#DIV/0!</v>
      </c>
      <c r="AN496" s="1">
        <f>SUMIFS(stock[MT],stock[Bucket],scheduleapr[[#This Row],[Bucket]],stock[CTL Bucket],scheduleapr[[#This Row],[CTL Bucket]],stock[Plant],"0789")</f>
        <v>0</v>
      </c>
      <c r="AO496" s="1"/>
      <c r="AP496" s="1">
        <f>SUMIFS(stock[MT],stock[Bucket],scheduleapr[[#This Row],[Bucket]],stock[LL or CTL],"LL")</f>
        <v>0</v>
      </c>
      <c r="AQ496" s="1">
        <f>+SUMIFS(wip[Stock(Net Wt)],wip[Bucket],scheduleapr[[#This Row],[Bucket]])/1000</f>
        <v>0</v>
      </c>
      <c r="AR496" s="1">
        <f t="shared" si="16"/>
        <v>0</v>
      </c>
      <c r="AS496" s="118"/>
    </row>
    <row r="497" spans="1:45" x14ac:dyDescent="0.25">
      <c r="A497" s="30">
        <v>362</v>
      </c>
      <c r="B497" s="5" t="s">
        <v>1816</v>
      </c>
      <c r="C497" s="2" t="s">
        <v>293</v>
      </c>
      <c r="D497" s="2" t="s">
        <v>2056</v>
      </c>
      <c r="E497" s="2" t="s">
        <v>294</v>
      </c>
      <c r="F497" s="2">
        <v>1940445</v>
      </c>
      <c r="G497" s="2" t="str">
        <f>_xlfn.CONCAT(scheduleapr[[#This Row],[CUSTOMER CODE]],"-",scheduleapr[[#This Row],[MATERIAL NO]])</f>
        <v>930883|189481-1940445</v>
      </c>
      <c r="H497" s="2" t="s">
        <v>2061</v>
      </c>
      <c r="I497" s="2" t="s">
        <v>962</v>
      </c>
      <c r="J497" s="2"/>
      <c r="K497" s="2"/>
      <c r="L497" s="2" t="s">
        <v>239</v>
      </c>
      <c r="M497" s="2"/>
      <c r="N497" s="2"/>
      <c r="O497" s="2"/>
      <c r="P497" s="2"/>
      <c r="Q497" s="557" t="str">
        <f>CONCATENATE(scheduleapr[[#This Row],[OD]],"-",scheduleapr[[#This Row],[ID]],"-",scheduleapr[[#This Row],[TICKNESS]],"-",scheduleapr[[#This Row],[Grade]],"-",scheduleapr[[#This Row],[FC/NFC]])</f>
        <v>22.23-0-2-ERW 1-</v>
      </c>
      <c r="R497" s="557" t="str">
        <f>_xlfn.CONCAT(scheduleapr[[#This Row],[Bucket]],"-",scheduleapr[[#This Row],[LENGTH]]/1000)</f>
        <v>22.23-0-2-ERW 1--0.505</v>
      </c>
      <c r="S497" s="557" t="e" vm="2">
        <f>COUNTIF([2]!buckets[CTL Bucket],[2]!scheduleapr[[#This Row],[CTL Bucket]])</f>
        <v>#REF!</v>
      </c>
      <c r="T497" s="557"/>
      <c r="U497" s="557"/>
      <c r="V497" s="557"/>
      <c r="W497" s="557"/>
      <c r="X497" s="1">
        <v>22.23</v>
      </c>
      <c r="Y497" s="1">
        <v>22.23</v>
      </c>
      <c r="Z497" s="1">
        <v>0</v>
      </c>
      <c r="AA497" s="1">
        <v>2</v>
      </c>
      <c r="AB497" s="24">
        <v>505</v>
      </c>
      <c r="AC497" s="24" t="s">
        <v>397</v>
      </c>
      <c r="AD497" s="24"/>
      <c r="AE497" s="24"/>
      <c r="AF497" s="2"/>
      <c r="AG497" s="2"/>
      <c r="AH497" s="2" cm="1">
        <f t="array" ref="AH4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7" s="4">
        <f>scheduleapr[[#This Row],[SCHEDULE in nos]]-scheduleapr[[#This Row],[DISPATCH]]</f>
        <v>0</v>
      </c>
      <c r="AJ497" s="1">
        <f>(3.14*(scheduleapr[[#This Row],[ACTUAL OD]]-scheduleapr[[#This Row],[TICKNESS]])*scheduleapr[[#This Row],[TICKNESS]]*scheduleapr[[#This Row],[LENGTH]]*7.85)/1000000*scheduleapr[[#This Row],[SCHEDULE in nos]]/1000</f>
        <v>0</v>
      </c>
      <c r="AK497" s="1">
        <f>(3.14*(scheduleapr[[#This Row],[ACTUAL OD]]-scheduleapr[[#This Row],[TICKNESS]])*scheduleapr[[#This Row],[TICKNESS]]*scheduleapr[[#This Row],[LENGTH]]*7.85)/1000000*scheduleapr[[#This Row],[DISPATCH]]/1000</f>
        <v>0</v>
      </c>
      <c r="AL497" s="1">
        <f t="shared" si="17"/>
        <v>0</v>
      </c>
      <c r="AM497" s="1" t="e">
        <f>scheduleapr[[#This Row],[SCHEDULE in nos]]/scheduleapr[[#This Row],[SCHEDULE IN MT]]*scheduleapr[[#This Row],[CTL Stock]]</f>
        <v>#DIV/0!</v>
      </c>
      <c r="AN497" s="1">
        <f>SUMIFS(stock[MT],stock[Bucket],scheduleapr[[#This Row],[Bucket]],stock[CTL Bucket],scheduleapr[[#This Row],[CTL Bucket]],stock[Plant],"0789")</f>
        <v>0</v>
      </c>
      <c r="AO497" s="1"/>
      <c r="AP497" s="1">
        <f>SUMIFS(stock[MT],stock[Bucket],scheduleapr[[#This Row],[Bucket]],stock[LL or CTL],"LL")</f>
        <v>0</v>
      </c>
      <c r="AQ497" s="1">
        <f>+SUMIFS(wip[Stock(Net Wt)],wip[Bucket],scheduleapr[[#This Row],[Bucket]])/1000</f>
        <v>0</v>
      </c>
      <c r="AR497" s="1">
        <f t="shared" si="16"/>
        <v>0</v>
      </c>
      <c r="AS497" s="118"/>
    </row>
    <row r="498" spans="1:45" x14ac:dyDescent="0.25">
      <c r="A498" s="30">
        <v>363</v>
      </c>
      <c r="B498" s="5" t="s">
        <v>1816</v>
      </c>
      <c r="C498" s="2" t="s">
        <v>293</v>
      </c>
      <c r="D498" s="2" t="s">
        <v>2056</v>
      </c>
      <c r="E498" s="2" t="s">
        <v>294</v>
      </c>
      <c r="F498" s="2">
        <v>1940470</v>
      </c>
      <c r="G498" s="2" t="str">
        <f>_xlfn.CONCAT(scheduleapr[[#This Row],[CUSTOMER CODE]],"-",scheduleapr[[#This Row],[MATERIAL NO]])</f>
        <v>930883|189481-1940470</v>
      </c>
      <c r="H498" s="2" t="s">
        <v>2062</v>
      </c>
      <c r="I498" s="2" t="s">
        <v>962</v>
      </c>
      <c r="J498" s="2"/>
      <c r="K498" s="2"/>
      <c r="L498" s="2" t="s">
        <v>239</v>
      </c>
      <c r="M498" s="2"/>
      <c r="N498" s="2"/>
      <c r="O498" s="2"/>
      <c r="P498" s="2"/>
      <c r="Q498" s="557" t="str">
        <f>CONCATENATE(scheduleapr[[#This Row],[OD]],"-",scheduleapr[[#This Row],[ID]],"-",scheduleapr[[#This Row],[TICKNESS]],"-",scheduleapr[[#This Row],[Grade]],"-",scheduleapr[[#This Row],[FC/NFC]])</f>
        <v>22.23-0-2-ERW 1-</v>
      </c>
      <c r="R498" s="557" t="str">
        <f>_xlfn.CONCAT(scheduleapr[[#This Row],[Bucket]],"-",scheduleapr[[#This Row],[LENGTH]]/1000)</f>
        <v>22.23-0-2-ERW 1--0.851</v>
      </c>
      <c r="S498" s="557" t="e" vm="2">
        <f>COUNTIF([2]!buckets[CTL Bucket],[2]!scheduleapr[[#This Row],[CTL Bucket]])</f>
        <v>#REF!</v>
      </c>
      <c r="T498" s="557"/>
      <c r="U498" s="557"/>
      <c r="V498" s="557"/>
      <c r="W498" s="557"/>
      <c r="X498" s="1">
        <v>22.23</v>
      </c>
      <c r="Y498" s="1">
        <v>22.23</v>
      </c>
      <c r="Z498" s="1">
        <v>0</v>
      </c>
      <c r="AA498" s="1">
        <v>2</v>
      </c>
      <c r="AB498" s="24">
        <v>851</v>
      </c>
      <c r="AC498" s="24" t="s">
        <v>397</v>
      </c>
      <c r="AD498" s="24"/>
      <c r="AE498" s="24"/>
      <c r="AF498" s="2"/>
      <c r="AG498" s="2"/>
      <c r="AH498" s="2" cm="1">
        <f t="array" ref="AH4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8" s="4">
        <f>scheduleapr[[#This Row],[SCHEDULE in nos]]-scheduleapr[[#This Row],[DISPATCH]]</f>
        <v>0</v>
      </c>
      <c r="AJ498" s="1">
        <f>(3.14*(scheduleapr[[#This Row],[ACTUAL OD]]-scheduleapr[[#This Row],[TICKNESS]])*scheduleapr[[#This Row],[TICKNESS]]*scheduleapr[[#This Row],[LENGTH]]*7.85)/1000000*scheduleapr[[#This Row],[SCHEDULE in nos]]/1000</f>
        <v>0</v>
      </c>
      <c r="AK498" s="1">
        <f>(3.14*(scheduleapr[[#This Row],[ACTUAL OD]]-scheduleapr[[#This Row],[TICKNESS]])*scheduleapr[[#This Row],[TICKNESS]]*scheduleapr[[#This Row],[LENGTH]]*7.85)/1000000*scheduleapr[[#This Row],[DISPATCH]]/1000</f>
        <v>0</v>
      </c>
      <c r="AL498" s="1">
        <f t="shared" si="17"/>
        <v>0</v>
      </c>
      <c r="AM498" s="1" t="e">
        <f>scheduleapr[[#This Row],[SCHEDULE in nos]]/scheduleapr[[#This Row],[SCHEDULE IN MT]]*scheduleapr[[#This Row],[CTL Stock]]</f>
        <v>#DIV/0!</v>
      </c>
      <c r="AN498" s="1">
        <f>SUMIFS(stock[MT],stock[Bucket],scheduleapr[[#This Row],[Bucket]],stock[CTL Bucket],scheduleapr[[#This Row],[CTL Bucket]],stock[Plant],"0789")</f>
        <v>0</v>
      </c>
      <c r="AO498" s="1"/>
      <c r="AP498" s="1">
        <f>SUMIFS(stock[MT],stock[Bucket],scheduleapr[[#This Row],[Bucket]],stock[LL or CTL],"LL")</f>
        <v>0</v>
      </c>
      <c r="AQ498" s="1">
        <f>+SUMIFS(wip[Stock(Net Wt)],wip[Bucket],scheduleapr[[#This Row],[Bucket]])/1000</f>
        <v>0</v>
      </c>
      <c r="AR498" s="1">
        <f t="shared" si="16"/>
        <v>0</v>
      </c>
      <c r="AS498" s="118"/>
    </row>
    <row r="499" spans="1:45" x14ac:dyDescent="0.25">
      <c r="A499" s="30">
        <v>364</v>
      </c>
      <c r="B499" s="5" t="s">
        <v>1816</v>
      </c>
      <c r="C499" s="2" t="s">
        <v>293</v>
      </c>
      <c r="D499" s="2" t="s">
        <v>2056</v>
      </c>
      <c r="E499" s="2" t="s">
        <v>294</v>
      </c>
      <c r="F499" s="2">
        <v>1940472</v>
      </c>
      <c r="G499" s="2" t="str">
        <f>_xlfn.CONCAT(scheduleapr[[#This Row],[CUSTOMER CODE]],"-",scheduleapr[[#This Row],[MATERIAL NO]])</f>
        <v>930883|189481-1940472</v>
      </c>
      <c r="H499" s="2" t="s">
        <v>2063</v>
      </c>
      <c r="I499" s="2" t="s">
        <v>962</v>
      </c>
      <c r="J499" s="2"/>
      <c r="K499" s="2"/>
      <c r="L499" s="2" t="s">
        <v>239</v>
      </c>
      <c r="M499" s="2"/>
      <c r="N499" s="2"/>
      <c r="O499" s="2"/>
      <c r="P499" s="2"/>
      <c r="Q499" s="557" t="str">
        <f>CONCATENATE(scheduleapr[[#This Row],[OD]],"-",scheduleapr[[#This Row],[ID]],"-",scheduleapr[[#This Row],[TICKNESS]],"-",scheduleapr[[#This Row],[Grade]],"-",scheduleapr[[#This Row],[FC/NFC]])</f>
        <v>22.23-0-2-ERW 1-</v>
      </c>
      <c r="R499" s="557" t="str">
        <f>_xlfn.CONCAT(scheduleapr[[#This Row],[Bucket]],"-",scheduleapr[[#This Row],[LENGTH]]/1000)</f>
        <v>22.23-0-2-ERW 1--0.862</v>
      </c>
      <c r="S499" s="557" t="e" vm="2">
        <f>COUNTIF([2]!buckets[CTL Bucket],[2]!scheduleapr[[#This Row],[CTL Bucket]])</f>
        <v>#REF!</v>
      </c>
      <c r="T499" s="557"/>
      <c r="U499" s="557"/>
      <c r="V499" s="557"/>
      <c r="W499" s="557"/>
      <c r="X499" s="1">
        <v>22.23</v>
      </c>
      <c r="Y499" s="1">
        <v>22.23</v>
      </c>
      <c r="Z499" s="1">
        <v>0</v>
      </c>
      <c r="AA499" s="1">
        <v>2</v>
      </c>
      <c r="AB499" s="24">
        <v>862</v>
      </c>
      <c r="AC499" s="24" t="s">
        <v>397</v>
      </c>
      <c r="AD499" s="24"/>
      <c r="AE499" s="24"/>
      <c r="AF499" s="2"/>
      <c r="AG499" s="2"/>
      <c r="AH499" s="2" cm="1">
        <f t="array" ref="AH4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9" s="4">
        <f>scheduleapr[[#This Row],[SCHEDULE in nos]]-scheduleapr[[#This Row],[DISPATCH]]</f>
        <v>0</v>
      </c>
      <c r="AJ499" s="1">
        <f>(3.14*(scheduleapr[[#This Row],[ACTUAL OD]]-scheduleapr[[#This Row],[TICKNESS]])*scheduleapr[[#This Row],[TICKNESS]]*scheduleapr[[#This Row],[LENGTH]]*7.85)/1000000*scheduleapr[[#This Row],[SCHEDULE in nos]]/1000</f>
        <v>0</v>
      </c>
      <c r="AK499" s="1">
        <f>(3.14*(scheduleapr[[#This Row],[ACTUAL OD]]-scheduleapr[[#This Row],[TICKNESS]])*scheduleapr[[#This Row],[TICKNESS]]*scheduleapr[[#This Row],[LENGTH]]*7.85)/1000000*scheduleapr[[#This Row],[DISPATCH]]/1000</f>
        <v>0</v>
      </c>
      <c r="AL499" s="1">
        <f t="shared" si="17"/>
        <v>0</v>
      </c>
      <c r="AM499" s="1" t="e">
        <f>scheduleapr[[#This Row],[SCHEDULE in nos]]/scheduleapr[[#This Row],[SCHEDULE IN MT]]*scheduleapr[[#This Row],[CTL Stock]]</f>
        <v>#DIV/0!</v>
      </c>
      <c r="AN499" s="1">
        <f>SUMIFS(stock[MT],stock[Bucket],scheduleapr[[#This Row],[Bucket]],stock[CTL Bucket],scheduleapr[[#This Row],[CTL Bucket]],stock[Plant],"0789")</f>
        <v>0</v>
      </c>
      <c r="AO499" s="1"/>
      <c r="AP499" s="1">
        <f>SUMIFS(stock[MT],stock[Bucket],scheduleapr[[#This Row],[Bucket]],stock[LL or CTL],"LL")</f>
        <v>0</v>
      </c>
      <c r="AQ499" s="1">
        <f>+SUMIFS(wip[Stock(Net Wt)],wip[Bucket],scheduleapr[[#This Row],[Bucket]])/1000</f>
        <v>0</v>
      </c>
      <c r="AR499" s="1">
        <f t="shared" si="16"/>
        <v>0</v>
      </c>
      <c r="AS499" s="118"/>
    </row>
    <row r="500" spans="1:45" x14ac:dyDescent="0.25">
      <c r="A500" s="30">
        <v>417</v>
      </c>
      <c r="B500" s="5" t="s">
        <v>1816</v>
      </c>
      <c r="C500" s="2" t="s">
        <v>293</v>
      </c>
      <c r="D500" s="2" t="s">
        <v>2056</v>
      </c>
      <c r="E500" s="2" t="s">
        <v>294</v>
      </c>
      <c r="F500" s="2">
        <v>3087645</v>
      </c>
      <c r="G500" s="2" t="str">
        <f>_xlfn.CONCAT(scheduleapr[[#This Row],[CUSTOMER CODE]],"-",scheduleapr[[#This Row],[MATERIAL NO]])</f>
        <v>930883|189481-3087645</v>
      </c>
      <c r="H500" s="2" t="s">
        <v>2064</v>
      </c>
      <c r="I500" s="2" t="s">
        <v>962</v>
      </c>
      <c r="J500" s="2"/>
      <c r="K500" s="2" t="s">
        <v>963</v>
      </c>
      <c r="L500" s="2" t="s">
        <v>239</v>
      </c>
      <c r="M500" s="2"/>
      <c r="N500" s="2"/>
      <c r="O500" s="2"/>
      <c r="P500" s="2"/>
      <c r="Q500" s="557" t="str">
        <f>CONCATENATE(scheduleapr[[#This Row],[OD]],"-",scheduleapr[[#This Row],[ID]],"-",scheduleapr[[#This Row],[TICKNESS]],"-",scheduleapr[[#This Row],[Grade]],"-",scheduleapr[[#This Row],[FC/NFC]])</f>
        <v>22.23-0-2.3-ERW 1-PE</v>
      </c>
      <c r="R500" s="557" t="str">
        <f>_xlfn.CONCAT(scheduleapr[[#This Row],[Bucket]],"-",scheduleapr[[#This Row],[LENGTH]]/1000)</f>
        <v>22.23-0-2.3-ERW 1-PE-0.425</v>
      </c>
      <c r="S500" s="557">
        <f>COUNTIF(scheduleapr[CTL Bucket],scheduleapr[[#This Row],[CTL Bucket]])</f>
        <v>2</v>
      </c>
      <c r="T500" s="2"/>
      <c r="U500" s="2">
        <f>_xlfn.IFNA(VLOOKUP(scheduleapr[[#This Row],[Bucket]],salesforecast[[#All],[Bucket2]:[8406 Stock]],19,0),0)</f>
        <v>6.8109740000000007</v>
      </c>
      <c r="V500" s="562">
        <f>_xlfn.IFNA(VLOOKUP(scheduleapr[[#This Row],[Bucket]],salesforecast[[#All],[Bucket2]:[8406 Stock]],20,0),0)+_xlfn.IFNA(VLOOKUP(scheduleapr[[#This Row],[Bucket]],salesforecast[[#All],[Bucket2]:[8406 Stock]],17,0),0)</f>
        <v>0</v>
      </c>
      <c r="W500" s="2"/>
      <c r="X500" s="1">
        <v>22.23</v>
      </c>
      <c r="Y500" s="1">
        <v>22.23</v>
      </c>
      <c r="Z500" s="1">
        <v>0</v>
      </c>
      <c r="AA500" s="1">
        <v>2.2999999999999998</v>
      </c>
      <c r="AB500" s="24">
        <v>425</v>
      </c>
      <c r="AC500" s="24" t="s">
        <v>397</v>
      </c>
      <c r="AD500" s="24"/>
      <c r="AE500" s="24"/>
      <c r="AF500" s="2">
        <v>10000</v>
      </c>
      <c r="AG500" s="2"/>
      <c r="AH500" s="2" cm="1">
        <f t="array" ref="AH5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0" s="4">
        <f>scheduleapr[[#This Row],[SCHEDULE in nos]]-scheduleapr[[#This Row],[DISPATCH]]</f>
        <v>10000</v>
      </c>
      <c r="AJ500" s="1">
        <f>(3.14*(scheduleapr[[#This Row],[ACTUAL OD]]-scheduleapr[[#This Row],[TICKNESS]])*scheduleapr[[#This Row],[TICKNESS]]*scheduleapr[[#This Row],[LENGTH]]*7.85)/1000000*scheduleapr[[#This Row],[SCHEDULE in nos]]/1000</f>
        <v>4.802013421749999</v>
      </c>
      <c r="AK500" s="1">
        <f>(3.14*(scheduleapr[[#This Row],[ACTUAL OD]]-scheduleapr[[#This Row],[TICKNESS]])*scheduleapr[[#This Row],[TICKNESS]]*scheduleapr[[#This Row],[LENGTH]]*7.85)/1000000*scheduleapr[[#This Row],[DISPATCH]]/1000</f>
        <v>0</v>
      </c>
      <c r="AL500" s="1">
        <f t="shared" si="17"/>
        <v>4.802013421749999</v>
      </c>
      <c r="AM500" s="1">
        <f>scheduleapr[[#This Row],[SCHEDULE in nos]]/scheduleapr[[#This Row],[SCHEDULE IN MT]]*scheduleapr[[#This Row],[CTL Stock]]</f>
        <v>0</v>
      </c>
      <c r="AN500" s="1">
        <f>SUMIFS(stock[MT],stock[Bucket],scheduleapr[[#This Row],[Bucket]],stock[CTL Bucket],scheduleapr[[#This Row],[CTL Bucket]],stock[Plant],"0789")</f>
        <v>0</v>
      </c>
      <c r="AO500" s="1"/>
      <c r="AP500" s="1">
        <f>SUMIFS(stock[MT],stock[Bucket],scheduleapr[[#This Row],[Bucket]],stock[LL or CTL],"LL")</f>
        <v>6.8109739999999999</v>
      </c>
      <c r="AQ500" s="1">
        <f>+SUMIFS(wip[Stock(Net Wt)],wip[Bucket],scheduleapr[[#This Row],[Bucket]])/1000</f>
        <v>0</v>
      </c>
      <c r="AR500" s="1">
        <f t="shared" si="16"/>
        <v>4.802013421749999</v>
      </c>
      <c r="AS500" s="118"/>
    </row>
    <row r="501" spans="1:45" x14ac:dyDescent="0.25">
      <c r="A501" s="30">
        <v>418</v>
      </c>
      <c r="B501" s="5" t="s">
        <v>1816</v>
      </c>
      <c r="C501" s="2" t="s">
        <v>293</v>
      </c>
      <c r="D501" s="2" t="s">
        <v>2056</v>
      </c>
      <c r="E501" s="2" t="s">
        <v>294</v>
      </c>
      <c r="F501" s="2">
        <v>1940510</v>
      </c>
      <c r="G501" s="2" t="str">
        <f>_xlfn.CONCAT(scheduleapr[[#This Row],[CUSTOMER CODE]],"-",scheduleapr[[#This Row],[MATERIAL NO]])</f>
        <v>930883|189481-1940510</v>
      </c>
      <c r="H501" s="2" t="s">
        <v>1536</v>
      </c>
      <c r="I501" s="2" t="s">
        <v>962</v>
      </c>
      <c r="J501" s="2"/>
      <c r="K501" s="2" t="s">
        <v>963</v>
      </c>
      <c r="L501" s="2" t="s">
        <v>239</v>
      </c>
      <c r="M501" s="2"/>
      <c r="N501" s="2"/>
      <c r="O501" s="2"/>
      <c r="P501" s="2"/>
      <c r="Q501" s="557" t="str">
        <f>CONCATENATE(scheduleapr[[#This Row],[OD]],"-",scheduleapr[[#This Row],[ID]],"-",scheduleapr[[#This Row],[TICKNESS]],"-",scheduleapr[[#This Row],[Grade]],"-",scheduleapr[[#This Row],[FC/NFC]])</f>
        <v>22.23-0-2.3-ERW 1-PE</v>
      </c>
      <c r="R501" s="557" t="str">
        <f>_xlfn.CONCAT(scheduleapr[[#This Row],[Bucket]],"-",scheduleapr[[#This Row],[LENGTH]]/1000)</f>
        <v>22.23-0-2.3-ERW 1-PE-1</v>
      </c>
      <c r="S501" s="557" t="e" vm="2">
        <f>COUNTIF([2]!buckets[CTL Bucket],[2]!scheduleapr[[#This Row],[CTL Bucket]])</f>
        <v>#REF!</v>
      </c>
      <c r="T501" s="557"/>
      <c r="U501" s="2">
        <f>_xlfn.IFNA(VLOOKUP(scheduleapr[[#This Row],[Bucket]],salesforecast[[#All],[Bucket2]:[8406 Stock]],19,0),0)</f>
        <v>6.8109740000000007</v>
      </c>
      <c r="V501" s="562">
        <f>_xlfn.IFNA(VLOOKUP(scheduleapr[[#This Row],[Bucket]],salesforecast[[#All],[Bucket2]:[8406 Stock]],20,0),0)+_xlfn.IFNA(VLOOKUP(scheduleapr[[#This Row],[Bucket]],salesforecast[[#All],[Bucket2]:[8406 Stock]],17,0),0)</f>
        <v>0</v>
      </c>
      <c r="W501" s="557"/>
      <c r="X501" s="1">
        <v>22.23</v>
      </c>
      <c r="Y501" s="1">
        <v>22.23</v>
      </c>
      <c r="Z501" s="1">
        <v>0</v>
      </c>
      <c r="AA501" s="1">
        <v>2.2999999999999998</v>
      </c>
      <c r="AB501" s="24">
        <v>1000</v>
      </c>
      <c r="AC501" s="24" t="s">
        <v>444</v>
      </c>
      <c r="AD501" s="24"/>
      <c r="AE501" s="24"/>
      <c r="AF501" s="2">
        <v>5000</v>
      </c>
      <c r="AG501" s="2"/>
      <c r="AH501" s="2" cm="1">
        <f t="array" ref="AH5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2550</v>
      </c>
      <c r="AI501" s="4">
        <f>scheduleapr[[#This Row],[SCHEDULE in nos]]-scheduleapr[[#This Row],[DISPATCH]]</f>
        <v>2450</v>
      </c>
      <c r="AJ501" s="1">
        <f>(3.14*(scheduleapr[[#This Row],[ACTUAL OD]]-scheduleapr[[#This Row],[TICKNESS]])*scheduleapr[[#This Row],[TICKNESS]]*scheduleapr[[#This Row],[LENGTH]]*7.85)/1000000*scheduleapr[[#This Row],[SCHEDULE in nos]]/1000</f>
        <v>5.649427554999999</v>
      </c>
      <c r="AK501" s="1">
        <f>(3.14*(scheduleapr[[#This Row],[ACTUAL OD]]-scheduleapr[[#This Row],[TICKNESS]])*scheduleapr[[#This Row],[TICKNESS]]*scheduleapr[[#This Row],[LENGTH]]*7.85)/1000000*scheduleapr[[#This Row],[DISPATCH]]/1000</f>
        <v>2.8812080530499999</v>
      </c>
      <c r="AL501" s="1">
        <f t="shared" si="17"/>
        <v>2.7682195019499991</v>
      </c>
      <c r="AM501" s="1">
        <f>scheduleapr[[#This Row],[SCHEDULE in nos]]/scheduleapr[[#This Row],[SCHEDULE IN MT]]*scheduleapr[[#This Row],[CTL Stock]]</f>
        <v>0</v>
      </c>
      <c r="AN501" s="1">
        <f>SUMIFS(stock[MT],stock[Bucket],scheduleapr[[#This Row],[Bucket]],stock[CTL Bucket],scheduleapr[[#This Row],[CTL Bucket]],stock[Plant],"0789")</f>
        <v>0</v>
      </c>
      <c r="AO501" s="1"/>
      <c r="AP501" s="1">
        <f>SUMIFS(stock[MT],stock[Bucket],scheduleapr[[#This Row],[Bucket]],stock[LL or CTL],"LL")</f>
        <v>6.8109739999999999</v>
      </c>
      <c r="AQ501" s="1">
        <f>+SUMIFS(wip[Stock(Net Wt)],wip[Bucket],scheduleapr[[#This Row],[Bucket]])/1000</f>
        <v>0</v>
      </c>
      <c r="AR501" s="1">
        <f t="shared" si="16"/>
        <v>5.649427554999999</v>
      </c>
      <c r="AS501" s="118"/>
    </row>
    <row r="502" spans="1:45" x14ac:dyDescent="0.25">
      <c r="A502" s="30">
        <v>366</v>
      </c>
      <c r="B502" s="5" t="s">
        <v>1816</v>
      </c>
      <c r="C502" s="2" t="s">
        <v>293</v>
      </c>
      <c r="D502" s="2" t="s">
        <v>2056</v>
      </c>
      <c r="E502" s="2" t="s">
        <v>294</v>
      </c>
      <c r="F502" s="2">
        <v>1940562</v>
      </c>
      <c r="G502" s="2" t="str">
        <f>_xlfn.CONCAT(scheduleapr[[#This Row],[CUSTOMER CODE]],"-",scheduleapr[[#This Row],[MATERIAL NO]])</f>
        <v>930883|189481-1940562</v>
      </c>
      <c r="H502" s="2" t="s">
        <v>2065</v>
      </c>
      <c r="I502" s="2" t="s">
        <v>962</v>
      </c>
      <c r="J502" s="2"/>
      <c r="K502" s="2" t="s">
        <v>1003</v>
      </c>
      <c r="L502" s="2" t="s">
        <v>239</v>
      </c>
      <c r="M502" s="2"/>
      <c r="N502" s="2"/>
      <c r="O502" s="2"/>
      <c r="P502" s="2"/>
      <c r="Q502" s="557" t="str">
        <f>CONCATENATE(scheduleapr[[#This Row],[OD]],"-",scheduleapr[[#This Row],[ID]],"-",scheduleapr[[#This Row],[TICKNESS]],"-",scheduleapr[[#This Row],[Grade]],"-",scheduleapr[[#This Row],[FC/NFC]])</f>
        <v>25.4-0-1.6-ERW 1-FC</v>
      </c>
      <c r="R502" s="557" t="str">
        <f>_xlfn.CONCAT(scheduleapr[[#This Row],[Bucket]],"-",scheduleapr[[#This Row],[LENGTH]]/1000)</f>
        <v>25.4-0-1.6-ERW 1-FC-0.36</v>
      </c>
      <c r="S502" s="557" t="e" vm="2">
        <f>COUNTIF([2]!buckets[CTL Bucket],[2]!scheduleapr[[#This Row],[CTL Bucket]])</f>
        <v>#REF!</v>
      </c>
      <c r="T502" s="557"/>
      <c r="U502" s="557"/>
      <c r="V502" s="557"/>
      <c r="W502" s="557"/>
      <c r="X502" s="1">
        <v>25.4</v>
      </c>
      <c r="Y502" s="1">
        <v>25.4</v>
      </c>
      <c r="Z502" s="1">
        <v>0</v>
      </c>
      <c r="AA502" s="1">
        <v>1.6</v>
      </c>
      <c r="AB502" s="24">
        <v>360</v>
      </c>
      <c r="AC502" s="24" t="s">
        <v>397</v>
      </c>
      <c r="AD502" s="24"/>
      <c r="AE502" s="24"/>
      <c r="AF502" s="2"/>
      <c r="AG502" s="2"/>
      <c r="AH502" s="2" cm="1">
        <f t="array" ref="AH5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2" s="4">
        <f>scheduleapr[[#This Row],[SCHEDULE in nos]]-scheduleapr[[#This Row],[DISPATCH]]</f>
        <v>0</v>
      </c>
      <c r="AJ502" s="1">
        <f>(3.14*(scheduleapr[[#This Row],[ACTUAL OD]]-scheduleapr[[#This Row],[TICKNESS]])*scheduleapr[[#This Row],[TICKNESS]]*scheduleapr[[#This Row],[LENGTH]]*7.85)/1000000*scheduleapr[[#This Row],[SCHEDULE in nos]]/1000</f>
        <v>0</v>
      </c>
      <c r="AK502" s="1">
        <f>(3.14*(scheduleapr[[#This Row],[ACTUAL OD]]-scheduleapr[[#This Row],[TICKNESS]])*scheduleapr[[#This Row],[TICKNESS]]*scheduleapr[[#This Row],[LENGTH]]*7.85)/1000000*scheduleapr[[#This Row],[DISPATCH]]/1000</f>
        <v>0</v>
      </c>
      <c r="AL502" s="1">
        <f t="shared" si="17"/>
        <v>0</v>
      </c>
      <c r="AM502" s="1" t="e">
        <f>scheduleapr[[#This Row],[SCHEDULE in nos]]/scheduleapr[[#This Row],[SCHEDULE IN MT]]*scheduleapr[[#This Row],[CTL Stock]]</f>
        <v>#DIV/0!</v>
      </c>
      <c r="AN502" s="1">
        <f>SUMIFS(stock[MT],stock[Bucket],scheduleapr[[#This Row],[Bucket]],stock[CTL Bucket],scheduleapr[[#This Row],[CTL Bucket]],stock[Plant],"0789")</f>
        <v>0</v>
      </c>
      <c r="AO502" s="1"/>
      <c r="AP502" s="1">
        <f>SUMIFS(stock[MT],stock[Bucket],scheduleapr[[#This Row],[Bucket]],stock[LL or CTL],"LL")</f>
        <v>0</v>
      </c>
      <c r="AQ502" s="1">
        <f>+SUMIFS(wip[Stock(Net Wt)],wip[Bucket],scheduleapr[[#This Row],[Bucket]])/1000</f>
        <v>0</v>
      </c>
      <c r="AR502" s="1">
        <f t="shared" si="16"/>
        <v>0</v>
      </c>
      <c r="AS502" s="118"/>
    </row>
    <row r="503" spans="1:45" x14ac:dyDescent="0.25">
      <c r="A503" s="30">
        <v>367</v>
      </c>
      <c r="B503" s="5" t="s">
        <v>1816</v>
      </c>
      <c r="C503" s="2" t="s">
        <v>293</v>
      </c>
      <c r="D503" s="2" t="s">
        <v>2056</v>
      </c>
      <c r="E503" s="2" t="s">
        <v>294</v>
      </c>
      <c r="F503" s="2">
        <v>1940603</v>
      </c>
      <c r="G503" s="2" t="str">
        <f>_xlfn.CONCAT(scheduleapr[[#This Row],[CUSTOMER CODE]],"-",scheduleapr[[#This Row],[MATERIAL NO]])</f>
        <v>930883|189481-1940603</v>
      </c>
      <c r="H503" s="2" t="s">
        <v>2066</v>
      </c>
      <c r="I503" s="2" t="s">
        <v>962</v>
      </c>
      <c r="J503" s="2"/>
      <c r="K503" s="2"/>
      <c r="L503" s="2" t="s">
        <v>239</v>
      </c>
      <c r="M503" s="2"/>
      <c r="N503" s="2"/>
      <c r="O503" s="2"/>
      <c r="P503" s="2"/>
      <c r="Q503" s="557" t="str">
        <f>CONCATENATE(scheduleapr[[#This Row],[OD]],"-",scheduleapr[[#This Row],[ID]],"-",scheduleapr[[#This Row],[TICKNESS]],"-",scheduleapr[[#This Row],[Grade]],"-",scheduleapr[[#This Row],[FC/NFC]])</f>
        <v>25.4-0-2.6-ERW 1-</v>
      </c>
      <c r="R503" s="557" t="str">
        <f>_xlfn.CONCAT(scheduleapr[[#This Row],[Bucket]],"-",scheduleapr[[#This Row],[LENGTH]]/1000)</f>
        <v>25.4-0-2.6-ERW 1--0.36</v>
      </c>
      <c r="S503" s="557" t="e" vm="2">
        <f>COUNTIF([2]!buckets[CTL Bucket],[2]!scheduleapr[[#This Row],[CTL Bucket]])</f>
        <v>#REF!</v>
      </c>
      <c r="T503" s="557"/>
      <c r="U503" s="557"/>
      <c r="V503" s="557"/>
      <c r="W503" s="557"/>
      <c r="X503" s="1">
        <v>25.4</v>
      </c>
      <c r="Y503" s="1">
        <v>25.4</v>
      </c>
      <c r="Z503" s="1">
        <v>0</v>
      </c>
      <c r="AA503" s="1">
        <v>2.6</v>
      </c>
      <c r="AB503" s="24">
        <v>360</v>
      </c>
      <c r="AC503" s="24" t="s">
        <v>397</v>
      </c>
      <c r="AD503" s="24"/>
      <c r="AE503" s="24"/>
      <c r="AF503" s="2"/>
      <c r="AG503" s="2"/>
      <c r="AH503" s="2" cm="1">
        <f t="array" ref="AH5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3" s="4">
        <f>scheduleapr[[#This Row],[SCHEDULE in nos]]-scheduleapr[[#This Row],[DISPATCH]]</f>
        <v>0</v>
      </c>
      <c r="AJ503" s="1">
        <f>(3.14*(scheduleapr[[#This Row],[ACTUAL OD]]-scheduleapr[[#This Row],[TICKNESS]])*scheduleapr[[#This Row],[TICKNESS]]*scheduleapr[[#This Row],[LENGTH]]*7.85)/1000000*scheduleapr[[#This Row],[SCHEDULE in nos]]/1000</f>
        <v>0</v>
      </c>
      <c r="AK503" s="1">
        <f>(3.14*(scheduleapr[[#This Row],[ACTUAL OD]]-scheduleapr[[#This Row],[TICKNESS]])*scheduleapr[[#This Row],[TICKNESS]]*scheduleapr[[#This Row],[LENGTH]]*7.85)/1000000*scheduleapr[[#This Row],[DISPATCH]]/1000</f>
        <v>0</v>
      </c>
      <c r="AL503" s="1">
        <f t="shared" si="17"/>
        <v>0</v>
      </c>
      <c r="AM503" s="1" t="e">
        <f>scheduleapr[[#This Row],[SCHEDULE in nos]]/scheduleapr[[#This Row],[SCHEDULE IN MT]]*scheduleapr[[#This Row],[CTL Stock]]</f>
        <v>#DIV/0!</v>
      </c>
      <c r="AN503" s="1">
        <f>SUMIFS(stock[MT],stock[Bucket],scheduleapr[[#This Row],[Bucket]],stock[CTL Bucket],scheduleapr[[#This Row],[CTL Bucket]],stock[Plant],"0789")</f>
        <v>0</v>
      </c>
      <c r="AO503" s="1"/>
      <c r="AP503" s="1">
        <f>SUMIFS(stock[MT],stock[Bucket],scheduleapr[[#This Row],[Bucket]],stock[LL or CTL],"LL")</f>
        <v>0</v>
      </c>
      <c r="AQ503" s="1">
        <f>+SUMIFS(wip[Stock(Net Wt)],wip[Bucket],scheduleapr[[#This Row],[Bucket]])/1000</f>
        <v>0</v>
      </c>
      <c r="AR503" s="1">
        <f t="shared" si="16"/>
        <v>0</v>
      </c>
      <c r="AS503" s="118"/>
    </row>
    <row r="504" spans="1:45" x14ac:dyDescent="0.25">
      <c r="A504" s="30">
        <v>465</v>
      </c>
      <c r="B504" s="5" t="s">
        <v>1816</v>
      </c>
      <c r="C504" s="2" t="s">
        <v>293</v>
      </c>
      <c r="D504" s="2" t="s">
        <v>2056</v>
      </c>
      <c r="E504" s="2" t="s">
        <v>294</v>
      </c>
      <c r="F504" s="2">
        <v>1941840</v>
      </c>
      <c r="G504" s="2" t="str">
        <f>_xlfn.CONCAT(scheduleapr[[#This Row],[CUSTOMER CODE]],"-",scheduleapr[[#This Row],[MATERIAL NO]])</f>
        <v>930883|189481-1941840</v>
      </c>
      <c r="H504" s="2" t="s">
        <v>2067</v>
      </c>
      <c r="I504" s="2" t="s">
        <v>962</v>
      </c>
      <c r="J504" s="2"/>
      <c r="K504" s="2" t="s">
        <v>1003</v>
      </c>
      <c r="L504" s="2" t="s">
        <v>239</v>
      </c>
      <c r="M504" s="2"/>
      <c r="N504" s="2"/>
      <c r="O504" s="2"/>
      <c r="P504" s="2"/>
      <c r="Q504" s="557" t="str">
        <f>CONCATENATE(scheduleapr[[#This Row],[OD]],"-",scheduleapr[[#This Row],[ID]],"-",scheduleapr[[#This Row],[TICKNESS]],"-",scheduleapr[[#This Row],[Grade]],"-",scheduleapr[[#This Row],[FC/NFC]])</f>
        <v>31.75-0-2.5-ERW 1-FC</v>
      </c>
      <c r="R504" s="557" t="str">
        <f>_xlfn.CONCAT(scheduleapr[[#This Row],[Bucket]],"-",scheduleapr[[#This Row],[LENGTH]]/1000)</f>
        <v>31.75-0-2.5-ERW 1-FC-1</v>
      </c>
      <c r="S504" s="557" t="e" vm="2">
        <f>COUNTIF([2]!buckets[CTL Bucket],[2]!scheduleapr[[#This Row],[CTL Bucket]])</f>
        <v>#REF!</v>
      </c>
      <c r="T504" s="2" t="s">
        <v>1816</v>
      </c>
      <c r="U504" s="2">
        <f>_xlfn.IFNA(VLOOKUP(scheduleapr[[#This Row],[Bucket]],salesforecast[[#All],[Bucket2]:[8406 Stock]],19,0),0)</f>
        <v>0.60838099999999995</v>
      </c>
      <c r="V504" s="557"/>
      <c r="W504" s="557"/>
      <c r="X504" s="1">
        <v>31.75</v>
      </c>
      <c r="Y504" s="1">
        <v>31.75</v>
      </c>
      <c r="Z504" s="1">
        <v>0</v>
      </c>
      <c r="AA504" s="1">
        <v>2.5</v>
      </c>
      <c r="AB504" s="24">
        <v>1000</v>
      </c>
      <c r="AC504" s="24" t="s">
        <v>444</v>
      </c>
      <c r="AD504" s="24"/>
      <c r="AE504" s="24"/>
      <c r="AF504" s="2">
        <v>3000</v>
      </c>
      <c r="AG504" s="2"/>
      <c r="AH504" s="2" cm="1">
        <f t="array" ref="AH5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1775</v>
      </c>
      <c r="AI504" s="4">
        <f>scheduleapr[[#This Row],[SCHEDULE in nos]]-scheduleapr[[#This Row],[DISPATCH]]</f>
        <v>1225</v>
      </c>
      <c r="AJ504" s="1">
        <f>(3.14*(scheduleapr[[#This Row],[ACTUAL OD]]-scheduleapr[[#This Row],[TICKNESS]])*scheduleapr[[#This Row],[TICKNESS]]*scheduleapr[[#This Row],[LENGTH]]*7.85)/1000000*scheduleapr[[#This Row],[SCHEDULE in nos]]/1000</f>
        <v>5.4073743750000007</v>
      </c>
      <c r="AK504" s="1">
        <f>(3.14*(scheduleapr[[#This Row],[ACTUAL OD]]-scheduleapr[[#This Row],[TICKNESS]])*scheduleapr[[#This Row],[TICKNESS]]*scheduleapr[[#This Row],[LENGTH]]*7.85)/1000000*scheduleapr[[#This Row],[DISPATCH]]/1000</f>
        <v>3.1993631718750004</v>
      </c>
      <c r="AL504" s="1">
        <f t="shared" si="17"/>
        <v>2.2080112031250003</v>
      </c>
      <c r="AM504" s="1">
        <f>scheduleapr[[#This Row],[SCHEDULE in nos]]/scheduleapr[[#This Row],[SCHEDULE IN MT]]*scheduleapr[[#This Row],[CTL Stock]]</f>
        <v>0</v>
      </c>
      <c r="AN504" s="1">
        <f>SUMIFS(stock[MT],stock[Bucket],scheduleapr[[#This Row],[Bucket]],stock[CTL Bucket],scheduleapr[[#This Row],[CTL Bucket]],stock[Plant],"0789")</f>
        <v>0</v>
      </c>
      <c r="AO504" s="1"/>
      <c r="AP504" s="1">
        <f>SUMIFS(stock[MT],stock[Bucket],scheduleapr[[#This Row],[Bucket]],stock[LL or CTL],"LL")</f>
        <v>5.039682</v>
      </c>
      <c r="AQ504" s="1">
        <f>+SUMIFS(wip[Stock(Net Wt)],wip[Bucket],scheduleapr[[#This Row],[Bucket]])/1000</f>
        <v>0</v>
      </c>
      <c r="AR504" s="1">
        <f t="shared" si="16"/>
        <v>5.4073743750000007</v>
      </c>
      <c r="AS504" s="118"/>
    </row>
    <row r="505" spans="1:45" x14ac:dyDescent="0.25">
      <c r="A505" s="30">
        <v>370</v>
      </c>
      <c r="B505" s="5" t="s">
        <v>1816</v>
      </c>
      <c r="C505" s="2" t="s">
        <v>293</v>
      </c>
      <c r="D505" s="2" t="s">
        <v>2056</v>
      </c>
      <c r="E505" s="2" t="s">
        <v>294</v>
      </c>
      <c r="F505" s="2">
        <v>3186831</v>
      </c>
      <c r="G505" s="2" t="str">
        <f>_xlfn.CONCAT(scheduleapr[[#This Row],[CUSTOMER CODE]],"-",scheduleapr[[#This Row],[MATERIAL NO]])</f>
        <v>930883|189481-3186831</v>
      </c>
      <c r="H505" s="2" t="s">
        <v>2068</v>
      </c>
      <c r="I505" s="2" t="s">
        <v>962</v>
      </c>
      <c r="J505" s="2"/>
      <c r="K505" s="2" t="s">
        <v>1003</v>
      </c>
      <c r="L505" s="2" t="s">
        <v>239</v>
      </c>
      <c r="M505" s="2"/>
      <c r="N505" s="2"/>
      <c r="O505" s="2"/>
      <c r="P505" s="2"/>
      <c r="Q505" s="557" t="str">
        <f>CONCATENATE(scheduleapr[[#This Row],[OD]],"-",scheduleapr[[#This Row],[ID]],"-",scheduleapr[[#This Row],[TICKNESS]],"-",scheduleapr[[#This Row],[Grade]],"-",scheduleapr[[#This Row],[FC/NFC]])</f>
        <v>41.28-0-2.6-ERW 1-FC</v>
      </c>
      <c r="R505" s="557" t="str">
        <f>_xlfn.CONCAT(scheduleapr[[#This Row],[Bucket]],"-",scheduleapr[[#This Row],[LENGTH]]/1000)</f>
        <v>41.28-0-2.6-ERW 1-FC-0.848</v>
      </c>
      <c r="S505" s="557" t="e" vm="2">
        <f>COUNTIF([2]!buckets[CTL Bucket],[2]!scheduleapr[[#This Row],[CTL Bucket]])</f>
        <v>#REF!</v>
      </c>
      <c r="T505" s="557"/>
      <c r="U505" s="557"/>
      <c r="V505" s="557"/>
      <c r="W505" s="557"/>
      <c r="X505" s="1">
        <v>41.28</v>
      </c>
      <c r="Y505" s="1">
        <v>41.28</v>
      </c>
      <c r="Z505" s="1">
        <v>0</v>
      </c>
      <c r="AA505" s="1">
        <v>2.6</v>
      </c>
      <c r="AB505" s="24">
        <v>848</v>
      </c>
      <c r="AC505" s="24" t="s">
        <v>397</v>
      </c>
      <c r="AD505" s="24"/>
      <c r="AE505" s="24"/>
      <c r="AF505" s="2"/>
      <c r="AG505" s="2"/>
      <c r="AH505" s="2" cm="1">
        <f t="array" ref="AH5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5" s="4">
        <f>scheduleapr[[#This Row],[SCHEDULE in nos]]-scheduleapr[[#This Row],[DISPATCH]]</f>
        <v>0</v>
      </c>
      <c r="AJ505" s="1">
        <f>(3.14*(scheduleapr[[#This Row],[ACTUAL OD]]-scheduleapr[[#This Row],[TICKNESS]])*scheduleapr[[#This Row],[TICKNESS]]*scheduleapr[[#This Row],[LENGTH]]*7.85)/1000000*scheduleapr[[#This Row],[SCHEDULE in nos]]/1000</f>
        <v>0</v>
      </c>
      <c r="AK505" s="1">
        <f>(3.14*(scheduleapr[[#This Row],[ACTUAL OD]]-scheduleapr[[#This Row],[TICKNESS]])*scheduleapr[[#This Row],[TICKNESS]]*scheduleapr[[#This Row],[LENGTH]]*7.85)/1000000*scheduleapr[[#This Row],[DISPATCH]]/1000</f>
        <v>0</v>
      </c>
      <c r="AL505" s="1">
        <f t="shared" si="17"/>
        <v>0</v>
      </c>
      <c r="AM505" s="1" t="e">
        <f>scheduleapr[[#This Row],[SCHEDULE in nos]]/scheduleapr[[#This Row],[SCHEDULE IN MT]]*scheduleapr[[#This Row],[CTL Stock]]</f>
        <v>#DIV/0!</v>
      </c>
      <c r="AN505" s="1">
        <f>SUMIFS(stock[MT],stock[Bucket],scheduleapr[[#This Row],[Bucket]],stock[CTL Bucket],scheduleapr[[#This Row],[CTL Bucket]],stock[Plant],"0789")</f>
        <v>0</v>
      </c>
      <c r="AO505" s="1"/>
      <c r="AP505" s="1">
        <f>SUMIFS(stock[MT],stock[Bucket],scheduleapr[[#This Row],[Bucket]],stock[LL or CTL],"LL")</f>
        <v>0</v>
      </c>
      <c r="AQ505" s="1">
        <f>+SUMIFS(wip[Stock(Net Wt)],wip[Bucket],scheduleapr[[#This Row],[Bucket]])/1000</f>
        <v>0</v>
      </c>
      <c r="AR505" s="1">
        <f t="shared" si="16"/>
        <v>0</v>
      </c>
      <c r="AS505" s="118"/>
    </row>
    <row r="506" spans="1:45" x14ac:dyDescent="0.25">
      <c r="A506" s="30">
        <v>372</v>
      </c>
      <c r="B506" s="5" t="s">
        <v>1872</v>
      </c>
      <c r="C506" s="2" t="s">
        <v>293</v>
      </c>
      <c r="D506" s="2" t="s">
        <v>2056</v>
      </c>
      <c r="E506" s="2" t="s">
        <v>294</v>
      </c>
      <c r="F506" s="2">
        <v>1938358</v>
      </c>
      <c r="G506" s="2" t="str">
        <f>_xlfn.CONCAT(scheduleapr[[#This Row],[CUSTOMER CODE]],"-",scheduleapr[[#This Row],[MATERIAL NO]])</f>
        <v>930883|189481-1938358</v>
      </c>
      <c r="H506" s="2" t="s">
        <v>892</v>
      </c>
      <c r="I506" s="2" t="s">
        <v>962</v>
      </c>
      <c r="J506" s="2" t="s">
        <v>1894</v>
      </c>
      <c r="K506" s="2" t="s">
        <v>1003</v>
      </c>
      <c r="L506" s="2" t="s">
        <v>239</v>
      </c>
      <c r="M506" s="2"/>
      <c r="N506" s="2" t="s">
        <v>1516</v>
      </c>
      <c r="O506" s="2"/>
      <c r="P506" s="2"/>
      <c r="Q506" s="557" t="str">
        <f>CONCATENATE(scheduleapr[[#This Row],[OD]],"-",scheduleapr[[#This Row],[ID]],"-",scheduleapr[[#This Row],[TICKNESS]],"-",scheduleapr[[#This Row],[Grade]],"-",scheduleapr[[#This Row],[FC/NFC]])</f>
        <v>42.7-0-4-ERW 1-FC</v>
      </c>
      <c r="R506" s="557" t="str">
        <f>_xlfn.CONCAT(scheduleapr[[#This Row],[Bucket]],"-",scheduleapr[[#This Row],[LENGTH]]/1000)</f>
        <v>42.7-0-4-ERW 1-FC-0.254</v>
      </c>
      <c r="S506" s="557" t="e" vm="2">
        <f>COUNTIF([2]!buckets[CTL Bucket],[2]!scheduleapr[[#This Row],[CTL Bucket]])</f>
        <v>#REF!</v>
      </c>
      <c r="T506" s="2" t="s">
        <v>1817</v>
      </c>
      <c r="U506" s="2">
        <f>_xlfn.IFNA(VLOOKUP(scheduleapr[[#This Row],[Bucket]],salesforecast[[#All],[Bucket2]:[8406 Stock]],19,0),0)</f>
        <v>0.28338300000000016</v>
      </c>
      <c r="V506" s="562">
        <f>_xlfn.IFNA(VLOOKUP(scheduleapr[[#This Row],[Bucket]],salesforecast[[#All],[Bucket2]:[8406 Stock]],20,0),0)+_xlfn.IFNA(VLOOKUP(scheduleapr[[#This Row],[Bucket]],salesforecast[[#All],[Bucket2]:[8406 Stock]],17,0),0)</f>
        <v>29.067884000000003</v>
      </c>
      <c r="W506" s="557"/>
      <c r="X506" s="1">
        <v>42.7</v>
      </c>
      <c r="Y506" s="1">
        <v>42.7</v>
      </c>
      <c r="Z506" s="1">
        <v>0</v>
      </c>
      <c r="AA506" s="1">
        <v>4</v>
      </c>
      <c r="AB506" s="24">
        <v>254</v>
      </c>
      <c r="AC506" s="24" t="s">
        <v>397</v>
      </c>
      <c r="AD506" s="24"/>
      <c r="AE506" s="24"/>
      <c r="AF506" s="2">
        <v>10000</v>
      </c>
      <c r="AG506" s="2"/>
      <c r="AH506" s="2" cm="1">
        <f t="array" ref="AH5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1855</v>
      </c>
      <c r="AI506" s="4">
        <f>scheduleapr[[#This Row],[SCHEDULE in nos]]-scheduleapr[[#This Row],[DISPATCH]]</f>
        <v>8145</v>
      </c>
      <c r="AJ506" s="1">
        <f>(3.14*(scheduleapr[[#This Row],[ACTUAL OD]]-scheduleapr[[#This Row],[TICKNESS]])*scheduleapr[[#This Row],[TICKNESS]]*scheduleapr[[#This Row],[LENGTH]]*7.85)/1000000*scheduleapr[[#This Row],[SCHEDULE in nos]]/1000</f>
        <v>9.6917896080000006</v>
      </c>
      <c r="AK506" s="1">
        <f>(3.14*(scheduleapr[[#This Row],[ACTUAL OD]]-scheduleapr[[#This Row],[TICKNESS]])*scheduleapr[[#This Row],[TICKNESS]]*scheduleapr[[#This Row],[LENGTH]]*7.85)/1000000*scheduleapr[[#This Row],[DISPATCH]]/1000</f>
        <v>1.7978269722840003</v>
      </c>
      <c r="AL506" s="1">
        <f t="shared" si="17"/>
        <v>7.893962635716</v>
      </c>
      <c r="AM506" s="1">
        <f>scheduleapr[[#This Row],[SCHEDULE in nos]]/scheduleapr[[#This Row],[SCHEDULE IN MT]]*scheduleapr[[#This Row],[CTL Stock]]</f>
        <v>0</v>
      </c>
      <c r="AN506" s="1">
        <f>SUMIFS(stock[MT],stock[Bucket],scheduleapr[[#This Row],[Bucket]],stock[CTL Bucket],scheduleapr[[#This Row],[CTL Bucket]],stock[Plant],"0789")</f>
        <v>0</v>
      </c>
      <c r="AO506" s="1"/>
      <c r="AP506" s="1">
        <f>SUMIFS(stock[MT],stock[Bucket],scheduleapr[[#This Row],[Bucket]],stock[LL or CTL],"LL")</f>
        <v>215.60048700000004</v>
      </c>
      <c r="AQ506" s="1">
        <f>+SUMIFS(wip[Stock(Net Wt)],wip[Bucket],scheduleapr[[#This Row],[Bucket]])/1000</f>
        <v>0</v>
      </c>
      <c r="AR506" s="1">
        <f t="shared" si="16"/>
        <v>9.6917896080000006</v>
      </c>
      <c r="AS506" s="118"/>
    </row>
    <row r="507" spans="1:45" x14ac:dyDescent="0.25">
      <c r="A507" s="30">
        <v>486</v>
      </c>
      <c r="B507" s="5" t="s">
        <v>1816</v>
      </c>
      <c r="C507" s="2" t="s">
        <v>293</v>
      </c>
      <c r="D507" s="2" t="s">
        <v>2056</v>
      </c>
      <c r="E507" s="2" t="s">
        <v>294</v>
      </c>
      <c r="F507" s="2">
        <v>1940830</v>
      </c>
      <c r="G507" s="2" t="str">
        <f>_xlfn.CONCAT(scheduleapr[[#This Row],[CUSTOMER CODE]],"-",scheduleapr[[#This Row],[MATERIAL NO]])</f>
        <v>930883|189481-1940830</v>
      </c>
      <c r="H507" s="2" t="s">
        <v>587</v>
      </c>
      <c r="I507" s="2" t="s">
        <v>962</v>
      </c>
      <c r="J507" s="2"/>
      <c r="K507" s="2" t="s">
        <v>1003</v>
      </c>
      <c r="L507" s="2" t="s">
        <v>1867</v>
      </c>
      <c r="M507" s="44" t="s">
        <v>1891</v>
      </c>
      <c r="N507" s="2"/>
      <c r="O507" s="2"/>
      <c r="P507" s="2"/>
      <c r="Q507" s="557" t="str">
        <f>CONCATENATE(scheduleapr[[#This Row],[OD]],"-",scheduleapr[[#This Row],[ID]],"-",scheduleapr[[#This Row],[TICKNESS]],"-",scheduleapr[[#This Row],[Grade]],"-",scheduleapr[[#This Row],[FC/NFC]])</f>
        <v>40-30-1.6-ERW 1-FC</v>
      </c>
      <c r="R507" s="557" t="str">
        <f>_xlfn.CONCAT(scheduleapr[[#This Row],[Bucket]],"-",scheduleapr[[#This Row],[LENGTH]]/1000)</f>
        <v>40-30-1.6-ERW 1-FC-0.86</v>
      </c>
      <c r="S507" s="557">
        <f>COUNTIF(scheduleapr[CTL Bucket],scheduleapr[[#This Row],[CTL Bucket]])</f>
        <v>2</v>
      </c>
      <c r="T507" s="557"/>
      <c r="U507" s="2">
        <f>_xlfn.IFNA(VLOOKUP(scheduleapr[[#This Row],[Bucket]],salesforecast[[#All],[Bucket2]:[8406 Stock]],19,0),0)</f>
        <v>0.95786300000000013</v>
      </c>
      <c r="V507" s="562">
        <f>_xlfn.IFNA(VLOOKUP(scheduleapr[[#This Row],[Bucket]],salesforecast[[#All],[Bucket2]:[8406 Stock]],20,0),0)+_xlfn.IFNA(VLOOKUP(scheduleapr[[#This Row],[Bucket]],salesforecast[[#All],[Bucket2]:[8406 Stock]],17,0),0)</f>
        <v>0</v>
      </c>
      <c r="W507" s="557"/>
      <c r="X507" s="1">
        <v>44.45</v>
      </c>
      <c r="Y507" s="1">
        <v>40</v>
      </c>
      <c r="Z507" s="6">
        <v>30</v>
      </c>
      <c r="AA507" s="1">
        <v>1.6</v>
      </c>
      <c r="AB507" s="24">
        <v>860</v>
      </c>
      <c r="AC507" s="24" t="s">
        <v>397</v>
      </c>
      <c r="AD507" s="24"/>
      <c r="AE507" s="24"/>
      <c r="AF507" s="2">
        <v>8000</v>
      </c>
      <c r="AG507" s="2"/>
      <c r="AH507" s="2" cm="1">
        <f t="array" ref="AH5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7" s="4">
        <f>scheduleapr[[#This Row],[SCHEDULE in nos]]-scheduleapr[[#This Row],[DISPATCH]]</f>
        <v>8000</v>
      </c>
      <c r="AJ507" s="1">
        <f>(3.14*(scheduleapr[[#This Row],[ACTUAL OD]]-scheduleapr[[#This Row],[TICKNESS]])*scheduleapr[[#This Row],[TICKNESS]]*scheduleapr[[#This Row],[LENGTH]]*7.85)/1000000*scheduleapr[[#This Row],[SCHEDULE in nos]]/1000</f>
        <v>11.6267558272</v>
      </c>
      <c r="AK507" s="1">
        <f>(3.14*(scheduleapr[[#This Row],[ACTUAL OD]]-scheduleapr[[#This Row],[TICKNESS]])*scheduleapr[[#This Row],[TICKNESS]]*scheduleapr[[#This Row],[LENGTH]]*7.85)/1000000*scheduleapr[[#This Row],[DISPATCH]]/1000</f>
        <v>0</v>
      </c>
      <c r="AL507" s="1">
        <f t="shared" si="17"/>
        <v>11.6267558272</v>
      </c>
      <c r="AM507" s="1">
        <f>scheduleapr[[#This Row],[SCHEDULE in nos]]/scheduleapr[[#This Row],[SCHEDULE IN MT]]*scheduleapr[[#This Row],[CTL Stock]]</f>
        <v>9.6673570573356233</v>
      </c>
      <c r="AN507" s="1">
        <f>SUMIFS(stock[MT],stock[Bucket],scheduleapr[[#This Row],[Bucket]],stock[CTL Bucket],scheduleapr[[#This Row],[CTL Bucket]],stock[Plant],"0789")</f>
        <v>1.405E-2</v>
      </c>
      <c r="AO507" s="1"/>
      <c r="AP507" s="1">
        <f>SUMIFS(stock[MT],stock[Bucket],scheduleapr[[#This Row],[Bucket]],stock[LL or CTL],"LL")</f>
        <v>0.95786300000000002</v>
      </c>
      <c r="AQ507" s="1">
        <f>+SUMIFS(wip[Stock(Net Wt)],wip[Bucket],scheduleapr[[#This Row],[Bucket]])/1000</f>
        <v>0</v>
      </c>
      <c r="AR507" s="1">
        <f t="shared" si="16"/>
        <v>11.612705827200001</v>
      </c>
      <c r="AS507" s="118"/>
    </row>
    <row r="508" spans="1:45" x14ac:dyDescent="0.25">
      <c r="A508" s="30">
        <v>488</v>
      </c>
      <c r="B508" s="5" t="s">
        <v>1816</v>
      </c>
      <c r="C508" s="2" t="s">
        <v>293</v>
      </c>
      <c r="D508" s="2" t="s">
        <v>2056</v>
      </c>
      <c r="E508" s="2" t="s">
        <v>294</v>
      </c>
      <c r="F508" s="2">
        <v>1940837</v>
      </c>
      <c r="G508" s="2" t="str">
        <f>_xlfn.CONCAT(scheduleapr[[#This Row],[CUSTOMER CODE]],"-",scheduleapr[[#This Row],[MATERIAL NO]])</f>
        <v>930883|189481-1940837</v>
      </c>
      <c r="H508" s="2" t="s">
        <v>593</v>
      </c>
      <c r="I508" s="2" t="s">
        <v>962</v>
      </c>
      <c r="J508" s="2"/>
      <c r="K508" s="2" t="s">
        <v>1003</v>
      </c>
      <c r="L508" s="2" t="s">
        <v>239</v>
      </c>
      <c r="M508" s="2"/>
      <c r="N508" s="2"/>
      <c r="O508" s="2"/>
      <c r="P508" s="2"/>
      <c r="Q508" s="557" t="str">
        <f>CONCATENATE(scheduleapr[[#This Row],[OD]],"-",scheduleapr[[#This Row],[ID]],"-",scheduleapr[[#This Row],[TICKNESS]],"-",scheduleapr[[#This Row],[Grade]],"-",scheduleapr[[#This Row],[FC/NFC]])</f>
        <v>40-30-2-ERW 1-FC</v>
      </c>
      <c r="R508" s="557" t="str">
        <f>_xlfn.CONCAT(scheduleapr[[#This Row],[Bucket]],"-",scheduleapr[[#This Row],[LENGTH]]/1000)</f>
        <v>40-30-2-ERW 1-FC-0.87</v>
      </c>
      <c r="S508" s="557" t="e" vm="2">
        <f>COUNTIF([2]!buckets[CTL Bucket],[2]!scheduleapr[[#This Row],[CTL Bucket]])</f>
        <v>#REF!</v>
      </c>
      <c r="T508" s="2" t="s">
        <v>1816</v>
      </c>
      <c r="U508" s="2">
        <f>_xlfn.IFNA(VLOOKUP(scheduleapr[[#This Row],[Bucket]],salesforecast[[#All],[Bucket2]:[8406 Stock]],19,0),0)</f>
        <v>0</v>
      </c>
      <c r="V508" s="562">
        <f>_xlfn.IFNA(VLOOKUP(scheduleapr[[#This Row],[Bucket]],salesforecast[[#All],[Bucket2]:[8406 Stock]],20,0),0)+_xlfn.IFNA(VLOOKUP(scheduleapr[[#This Row],[Bucket]],salesforecast[[#All],[Bucket2]:[8406 Stock]],17,0),0)</f>
        <v>0</v>
      </c>
      <c r="W508" s="557"/>
      <c r="X508" s="1">
        <v>44.45</v>
      </c>
      <c r="Y508" s="1">
        <v>40</v>
      </c>
      <c r="Z508" s="6">
        <v>30</v>
      </c>
      <c r="AA508" s="1">
        <v>2</v>
      </c>
      <c r="AB508" s="81">
        <v>870</v>
      </c>
      <c r="AC508" s="24" t="s">
        <v>397</v>
      </c>
      <c r="AD508" s="24"/>
      <c r="AE508" s="24"/>
      <c r="AF508" s="2">
        <v>8000</v>
      </c>
      <c r="AG508" s="2"/>
      <c r="AH508" s="2" cm="1">
        <f t="array" ref="AH5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6984</v>
      </c>
      <c r="AI508" s="4">
        <f>scheduleapr[[#This Row],[SCHEDULE in nos]]-scheduleapr[[#This Row],[DISPATCH]]</f>
        <v>1016</v>
      </c>
      <c r="AJ508" s="1">
        <f>(3.14*(scheduleapr[[#This Row],[ACTUAL OD]]-scheduleapr[[#This Row],[TICKNESS]])*scheduleapr[[#This Row],[TICKNESS]]*scheduleapr[[#This Row],[LENGTH]]*7.85)/1000000*scheduleapr[[#This Row],[SCHEDULE in nos]]/1000</f>
        <v>14.565192696</v>
      </c>
      <c r="AK508" s="1">
        <f>(3.14*(scheduleapr[[#This Row],[ACTUAL OD]]-scheduleapr[[#This Row],[TICKNESS]])*scheduleapr[[#This Row],[TICKNESS]]*scheduleapr[[#This Row],[LENGTH]]*7.85)/1000000*scheduleapr[[#This Row],[DISPATCH]]/1000</f>
        <v>12.715413223608</v>
      </c>
      <c r="AL508" s="1">
        <f t="shared" si="17"/>
        <v>1.8497794723920009</v>
      </c>
      <c r="AM508" s="1">
        <f>scheduleapr[[#This Row],[SCHEDULE in nos]]/scheduleapr[[#This Row],[SCHEDULE IN MT]]*scheduleapr[[#This Row],[CTL Stock]]</f>
        <v>5677.4663903148949</v>
      </c>
      <c r="AN508" s="1">
        <f>SUMIFS(stock[MT],stock[Bucket],scheduleapr[[#This Row],[Bucket]],stock[CTL Bucket],scheduleapr[[#This Row],[CTL Bucket]],stock[Plant],"0789")</f>
        <v>10.336673999999999</v>
      </c>
      <c r="AO508" s="1"/>
      <c r="AP508" s="1">
        <f>SUMIFS(stock[MT],stock[Bucket],scheduleapr[[#This Row],[Bucket]],stock[LL or CTL],"LL")</f>
        <v>0</v>
      </c>
      <c r="AQ508" s="1">
        <f>+SUMIFS(wip[Stock(Net Wt)],wip[Bucket],scheduleapr[[#This Row],[Bucket]])/1000</f>
        <v>26.635999999999999</v>
      </c>
      <c r="AR508" s="1">
        <f t="shared" si="16"/>
        <v>4.2285186960000019</v>
      </c>
      <c r="AS508" s="118"/>
    </row>
    <row r="509" spans="1:45" x14ac:dyDescent="0.25">
      <c r="A509" s="30">
        <v>498</v>
      </c>
      <c r="B509" s="5" t="s">
        <v>1816</v>
      </c>
      <c r="C509" s="2" t="s">
        <v>293</v>
      </c>
      <c r="D509" s="48" t="s">
        <v>2056</v>
      </c>
      <c r="E509" s="2" t="s">
        <v>294</v>
      </c>
      <c r="F509" s="2">
        <v>1940911</v>
      </c>
      <c r="G509" s="2" t="str">
        <f>_xlfn.CONCAT(scheduleapr[[#This Row],[CUSTOMER CODE]],"-",scheduleapr[[#This Row],[MATERIAL NO]])</f>
        <v>930883|189481-1940911</v>
      </c>
      <c r="H509" s="2" t="s">
        <v>2050</v>
      </c>
      <c r="I509" s="2" t="s">
        <v>962</v>
      </c>
      <c r="J509" s="2"/>
      <c r="K509" s="2" t="s">
        <v>1003</v>
      </c>
      <c r="L509" s="2" t="s">
        <v>239</v>
      </c>
      <c r="M509" s="2"/>
      <c r="N509" s="2"/>
      <c r="O509" s="2" t="s">
        <v>1895</v>
      </c>
      <c r="P509" s="2"/>
      <c r="Q509" s="557" t="str">
        <f>CONCATENATE(scheduleapr[[#This Row],[OD]],"-",scheduleapr[[#This Row],[ID]],"-",scheduleapr[[#This Row],[TICKNESS]],"-",scheduleapr[[#This Row],[Grade]],"-",scheduleapr[[#This Row],[FC/NFC]])</f>
        <v>57.15-0-2.5-ERW 1-FC</v>
      </c>
      <c r="R509" s="557" t="str">
        <f>_xlfn.CONCAT(scheduleapr[[#This Row],[Bucket]],"-",scheduleapr[[#This Row],[LENGTH]]/1000)</f>
        <v>57.15-0-2.5-ERW 1-FC-0.772</v>
      </c>
      <c r="S509" s="557">
        <f>COUNTIF(scheduleapr[CTL Bucket],scheduleapr[[#This Row],[CTL Bucket]])</f>
        <v>2</v>
      </c>
      <c r="T509" s="2" t="s">
        <v>1816</v>
      </c>
      <c r="U509" s="2">
        <f>_xlfn.IFNA(VLOOKUP(scheduleapr[[#This Row],[Bucket]],salesforecast[[#All],[Bucket2]:[8406 Stock]],19,0),0)</f>
        <v>0.80610400000000004</v>
      </c>
      <c r="V509" s="562">
        <f>_xlfn.IFNA(VLOOKUP(scheduleapr[[#This Row],[Bucket]],salesforecast[[#All],[Bucket2]:[8406 Stock]],20,0),0)+_xlfn.IFNA(VLOOKUP(scheduleapr[[#This Row],[Bucket]],salesforecast[[#All],[Bucket2]:[8406 Stock]],17,0),0)</f>
        <v>5.0208180000000002</v>
      </c>
      <c r="W509" s="557"/>
      <c r="X509" s="1">
        <v>57.15</v>
      </c>
      <c r="Y509" s="1">
        <v>57.15</v>
      </c>
      <c r="Z509" s="1">
        <v>0</v>
      </c>
      <c r="AA509" s="1">
        <v>2.5</v>
      </c>
      <c r="AB509" s="81">
        <v>772</v>
      </c>
      <c r="AC509" s="24" t="s">
        <v>397</v>
      </c>
      <c r="AD509" s="24"/>
      <c r="AE509" s="24"/>
      <c r="AF509" s="2"/>
      <c r="AG509" s="2"/>
      <c r="AH509" s="2" cm="1">
        <f t="array" ref="AH5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1799</v>
      </c>
      <c r="AI509" s="4">
        <f>scheduleapr[[#This Row],[SCHEDULE in nos]]-scheduleapr[[#This Row],[DISPATCH]]</f>
        <v>-1799</v>
      </c>
      <c r="AJ509" s="1">
        <f>(3.14*(scheduleapr[[#This Row],[ACTUAL OD]]-scheduleapr[[#This Row],[TICKNESS]])*scheduleapr[[#This Row],[TICKNESS]]*scheduleapr[[#This Row],[LENGTH]]*7.85)/1000000*scheduleapr[[#This Row],[SCHEDULE in nos]]/1000</f>
        <v>0</v>
      </c>
      <c r="AK509" s="1">
        <f>(3.14*(scheduleapr[[#This Row],[ACTUAL OD]]-scheduleapr[[#This Row],[TICKNESS]])*scheduleapr[[#This Row],[TICKNESS]]*scheduleapr[[#This Row],[LENGTH]]*7.85)/1000000*scheduleapr[[#This Row],[DISPATCH]]/1000</f>
        <v>4.6771138699494994</v>
      </c>
      <c r="AL509" s="1">
        <f t="shared" si="17"/>
        <v>-4.6771138699494994</v>
      </c>
      <c r="AM509" s="1" t="e">
        <f>scheduleapr[[#This Row],[SCHEDULE in nos]]/scheduleapr[[#This Row],[SCHEDULE IN MT]]*scheduleapr[[#This Row],[CTL Stock]]</f>
        <v>#DIV/0!</v>
      </c>
      <c r="AN509" s="1">
        <f>SUMIFS(stock[MT],stock[Bucket],scheduleapr[[#This Row],[Bucket]],stock[CTL Bucket],scheduleapr[[#This Row],[CTL Bucket]],stock[Plant],"0789")</f>
        <v>1.5624000000000001E-2</v>
      </c>
      <c r="AO509" s="1"/>
      <c r="AP509" s="1">
        <f>SUMIFS(stock[MT],stock[Bucket],scheduleapr[[#This Row],[Bucket]],stock[LL or CTL],"LL")</f>
        <v>18.554921999999998</v>
      </c>
      <c r="AQ509" s="1">
        <f>+SUMIFS(wip[Stock(Net Wt)],wip[Bucket],scheduleapr[[#This Row],[Bucket]])/1000</f>
        <v>0</v>
      </c>
      <c r="AR509" s="1">
        <f t="shared" si="16"/>
        <v>-1.5624000000000001E-2</v>
      </c>
      <c r="AS509" s="118"/>
    </row>
    <row r="510" spans="1:45" x14ac:dyDescent="0.25">
      <c r="A510" s="30">
        <v>424</v>
      </c>
      <c r="B510" s="5" t="s">
        <v>1816</v>
      </c>
      <c r="C510" s="2" t="s">
        <v>116</v>
      </c>
      <c r="D510" s="2" t="s">
        <v>2069</v>
      </c>
      <c r="E510" s="2">
        <v>188534</v>
      </c>
      <c r="F510" s="2">
        <v>1940043</v>
      </c>
      <c r="G510" s="2" t="str">
        <f>_xlfn.CONCAT(scheduleapr[[#This Row],[CUSTOMER CODE]],"-",scheduleapr[[#This Row],[MATERIAL NO]])</f>
        <v>188534-1940043</v>
      </c>
      <c r="H510" s="2" t="s">
        <v>486</v>
      </c>
      <c r="I510" s="2" t="s">
        <v>962</v>
      </c>
      <c r="J510" s="2"/>
      <c r="K510" s="2" t="s">
        <v>963</v>
      </c>
      <c r="L510" s="2" t="s">
        <v>239</v>
      </c>
      <c r="M510" s="2"/>
      <c r="N510" s="2"/>
      <c r="O510" s="2"/>
      <c r="P510" s="2"/>
      <c r="Q510" s="557" t="str">
        <f>CONCATENATE(scheduleapr[[#This Row],[OD]],"-",scheduleapr[[#This Row],[ID]],"-",scheduleapr[[#This Row],[TICKNESS]],"-",scheduleapr[[#This Row],[Grade]],"-",scheduleapr[[#This Row],[FC/NFC]])</f>
        <v>15.88-0-1.2-ERW 1-PE</v>
      </c>
      <c r="R510" s="557" t="str">
        <f>_xlfn.CONCAT(scheduleapr[[#This Row],[Bucket]],"-",scheduleapr[[#This Row],[LENGTH]]/1000)</f>
        <v>15.88-0-1.2-ERW 1-PE-0.888</v>
      </c>
      <c r="S510" s="557">
        <f>COUNTIF(scheduleapr[CTL Bucket],scheduleapr[[#This Row],[CTL Bucket]])</f>
        <v>2</v>
      </c>
      <c r="T510" s="2" t="s">
        <v>1816</v>
      </c>
      <c r="U510" s="557"/>
      <c r="V510" s="557"/>
      <c r="W510" s="557"/>
      <c r="X510" s="1">
        <v>15.88</v>
      </c>
      <c r="Y510" s="1">
        <v>15.88</v>
      </c>
      <c r="Z510" s="1">
        <v>0</v>
      </c>
      <c r="AA510" s="1">
        <v>1.2</v>
      </c>
      <c r="AB510" s="24">
        <v>888</v>
      </c>
      <c r="AC510" s="24" t="s">
        <v>397</v>
      </c>
      <c r="AD510" s="24"/>
      <c r="AE510" s="24"/>
      <c r="AF510" s="2"/>
      <c r="AG510" s="2"/>
      <c r="AH510" s="2" cm="1">
        <f t="array" ref="AH5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0" s="4">
        <f>scheduleapr[[#This Row],[SCHEDULE in nos]]-scheduleapr[[#This Row],[DISPATCH]]</f>
        <v>0</v>
      </c>
      <c r="AJ510" s="1">
        <f>(3.14*(scheduleapr[[#This Row],[ACTUAL OD]]-scheduleapr[[#This Row],[TICKNESS]])*scheduleapr[[#This Row],[TICKNESS]]*scheduleapr[[#This Row],[LENGTH]]*7.85)/1000000*scheduleapr[[#This Row],[SCHEDULE in nos]]/1000</f>
        <v>0</v>
      </c>
      <c r="AK510" s="1">
        <f>(3.14*(scheduleapr[[#This Row],[ACTUAL OD]]-scheduleapr[[#This Row],[TICKNESS]])*scheduleapr[[#This Row],[TICKNESS]]*scheduleapr[[#This Row],[LENGTH]]*7.85)/1000000*scheduleapr[[#This Row],[DISPATCH]]/1000</f>
        <v>0</v>
      </c>
      <c r="AL510" s="1">
        <f t="shared" si="17"/>
        <v>0</v>
      </c>
      <c r="AM510" s="1" t="e">
        <f>scheduleapr[[#This Row],[SCHEDULE in nos]]/scheduleapr[[#This Row],[SCHEDULE IN MT]]*scheduleapr[[#This Row],[CTL Stock]]</f>
        <v>#DIV/0!</v>
      </c>
      <c r="AN510" s="1">
        <f>SUMIFS(stock[MT],stock[Bucket],scheduleapr[[#This Row],[Bucket]],stock[CTL Bucket],scheduleapr[[#This Row],[CTL Bucket]],stock[Plant],"0789")</f>
        <v>1.41873</v>
      </c>
      <c r="AO510" s="1"/>
      <c r="AP510" s="1">
        <f>SUMIFS(stock[MT],stock[Bucket],scheduleapr[[#This Row],[Bucket]],stock[LL or CTL],"LL")</f>
        <v>6.069591</v>
      </c>
      <c r="AQ510" s="1">
        <f>+SUMIFS(wip[Stock(Net Wt)],wip[Bucket],scheduleapr[[#This Row],[Bucket]])/1000</f>
        <v>7.3860000000000001</v>
      </c>
      <c r="AR510" s="1">
        <f t="shared" si="16"/>
        <v>-1.41873</v>
      </c>
      <c r="AS510" s="118"/>
    </row>
    <row r="511" spans="1:45" x14ac:dyDescent="0.25">
      <c r="A511" s="30">
        <v>425</v>
      </c>
      <c r="B511" s="5" t="s">
        <v>1816</v>
      </c>
      <c r="C511" s="2" t="s">
        <v>116</v>
      </c>
      <c r="D511" s="2" t="s">
        <v>2069</v>
      </c>
      <c r="E511" s="2">
        <v>188534</v>
      </c>
      <c r="F511" s="2">
        <v>3506797</v>
      </c>
      <c r="G511" s="2" t="str">
        <f>_xlfn.CONCAT(scheduleapr[[#This Row],[CUSTOMER CODE]],"-",scheduleapr[[#This Row],[MATERIAL NO]])</f>
        <v>188534-3506797</v>
      </c>
      <c r="H511" s="2" t="s">
        <v>2070</v>
      </c>
      <c r="I511" s="2" t="s">
        <v>962</v>
      </c>
      <c r="J511" s="2"/>
      <c r="K511" s="2" t="s">
        <v>963</v>
      </c>
      <c r="L511" s="2" t="s">
        <v>239</v>
      </c>
      <c r="M511" s="2"/>
      <c r="N511" s="2"/>
      <c r="O511" s="2"/>
      <c r="P511" s="2"/>
      <c r="Q511" s="557" t="str">
        <f>CONCATENATE(scheduleapr[[#This Row],[OD]],"-",scheduleapr[[#This Row],[ID]],"-",scheduleapr[[#This Row],[TICKNESS]],"-",scheduleapr[[#This Row],[Grade]],"-",scheduleapr[[#This Row],[FC/NFC]])</f>
        <v>15.88-0-2-ERW 1-PE</v>
      </c>
      <c r="R511" s="557" t="str">
        <f>_xlfn.CONCAT(scheduleapr[[#This Row],[Bucket]],"-",scheduleapr[[#This Row],[LENGTH]]/1000)</f>
        <v>15.88-0-2-ERW 1-PE-0.291</v>
      </c>
      <c r="S511" s="557">
        <f>COUNTIF(scheduleapr[CTL Bucket],scheduleapr[[#This Row],[CTL Bucket]])</f>
        <v>5</v>
      </c>
      <c r="T511" s="2" t="s">
        <v>1816</v>
      </c>
      <c r="U511" s="557"/>
      <c r="V511" s="557"/>
      <c r="W511" s="557"/>
      <c r="X511" s="1">
        <v>15.88</v>
      </c>
      <c r="Y511" s="1">
        <v>15.88</v>
      </c>
      <c r="Z511" s="1">
        <v>0</v>
      </c>
      <c r="AA511" s="1">
        <v>2</v>
      </c>
      <c r="AB511" s="24">
        <v>291</v>
      </c>
      <c r="AC511" s="24" t="s">
        <v>397</v>
      </c>
      <c r="AD511" s="24"/>
      <c r="AE511" s="24"/>
      <c r="AF511" s="2"/>
      <c r="AG511" s="2"/>
      <c r="AH511" s="2" cm="1">
        <f t="array" ref="AH5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1" s="4">
        <f>scheduleapr[[#This Row],[SCHEDULE in nos]]-scheduleapr[[#This Row],[DISPATCH]]</f>
        <v>0</v>
      </c>
      <c r="AJ511" s="1">
        <f>(3.14*(scheduleapr[[#This Row],[ACTUAL OD]]-scheduleapr[[#This Row],[TICKNESS]])*scheduleapr[[#This Row],[TICKNESS]]*scheduleapr[[#This Row],[LENGTH]]*7.85)/1000000*scheduleapr[[#This Row],[SCHEDULE in nos]]/1000</f>
        <v>0</v>
      </c>
      <c r="AK511" s="1">
        <f>(3.14*(scheduleapr[[#This Row],[ACTUAL OD]]-scheduleapr[[#This Row],[TICKNESS]])*scheduleapr[[#This Row],[TICKNESS]]*scheduleapr[[#This Row],[LENGTH]]*7.85)/1000000*scheduleapr[[#This Row],[DISPATCH]]/1000</f>
        <v>0</v>
      </c>
      <c r="AL511" s="1">
        <f t="shared" si="17"/>
        <v>0</v>
      </c>
      <c r="AM511" s="1" t="e">
        <f>scheduleapr[[#This Row],[SCHEDULE in nos]]/scheduleapr[[#This Row],[SCHEDULE IN MT]]*scheduleapr[[#This Row],[CTL Stock]]</f>
        <v>#DIV/0!</v>
      </c>
      <c r="AN511" s="1">
        <f>SUMIFS(stock[MT],stock[Bucket],scheduleapr[[#This Row],[Bucket]],stock[CTL Bucket],scheduleapr[[#This Row],[CTL Bucket]],stock[Plant],"0789")</f>
        <v>0.29363400000000001</v>
      </c>
      <c r="AO511" s="1"/>
      <c r="AP511" s="1">
        <f>SUMIFS(stock[MT],stock[Bucket],scheduleapr[[#This Row],[Bucket]],stock[LL or CTL],"LL")</f>
        <v>0</v>
      </c>
      <c r="AQ511" s="1">
        <f>+SUMIFS(wip[Stock(Net Wt)],wip[Bucket],scheduleapr[[#This Row],[Bucket]])/1000</f>
        <v>0.24399999999999999</v>
      </c>
      <c r="AR511" s="1">
        <f t="shared" ref="AR511:AR574" si="18">AJ511-AN511</f>
        <v>-0.29363400000000001</v>
      </c>
      <c r="AS511" s="118"/>
    </row>
    <row r="512" spans="1:45" x14ac:dyDescent="0.25">
      <c r="A512" s="30">
        <v>427</v>
      </c>
      <c r="B512" s="5" t="s">
        <v>1816</v>
      </c>
      <c r="C512" s="2" t="s">
        <v>116</v>
      </c>
      <c r="D512" s="48" t="s">
        <v>2069</v>
      </c>
      <c r="E512" s="2">
        <v>188534</v>
      </c>
      <c r="F512" s="2">
        <v>3732182</v>
      </c>
      <c r="G512" s="2" t="str">
        <f>_xlfn.CONCAT(scheduleapr[[#This Row],[CUSTOMER CODE]],"-",scheduleapr[[#This Row],[MATERIAL NO]])</f>
        <v>188534-3732182</v>
      </c>
      <c r="H512" s="2" t="s">
        <v>2071</v>
      </c>
      <c r="I512" s="2" t="s">
        <v>962</v>
      </c>
      <c r="J512" s="2"/>
      <c r="K512" s="2" t="s">
        <v>963</v>
      </c>
      <c r="L512" s="2" t="s">
        <v>239</v>
      </c>
      <c r="M512" s="2"/>
      <c r="N512" s="2"/>
      <c r="O512" s="2"/>
      <c r="P512" s="2"/>
      <c r="Q512" s="557" t="str">
        <f>CONCATENATE(scheduleapr[[#This Row],[OD]],"-",scheduleapr[[#This Row],[ID]],"-",scheduleapr[[#This Row],[TICKNESS]],"-",scheduleapr[[#This Row],[Grade]],"-",scheduleapr[[#This Row],[FC/NFC]])</f>
        <v>19.05-0-2-ERW 1-PE</v>
      </c>
      <c r="R512" s="557" t="str">
        <f>_xlfn.CONCAT(scheduleapr[[#This Row],[Bucket]],"-",scheduleapr[[#This Row],[LENGTH]]/1000)</f>
        <v>19.05-0-2-ERW 1-PE-0.82</v>
      </c>
      <c r="S512" s="557" t="e" vm="2">
        <f>COUNTIF([2]!buckets[CTL Bucket],[2]!scheduleapr[[#This Row],[CTL Bucket]])</f>
        <v>#REF!</v>
      </c>
      <c r="T512" s="2" t="s">
        <v>1816</v>
      </c>
      <c r="U512" s="2" t="s">
        <v>1913</v>
      </c>
      <c r="V512" s="557"/>
      <c r="W512" s="557"/>
      <c r="X512" s="1">
        <v>19.05</v>
      </c>
      <c r="Y512" s="1">
        <v>19.05</v>
      </c>
      <c r="Z512" s="1">
        <v>0</v>
      </c>
      <c r="AA512" s="1">
        <v>2</v>
      </c>
      <c r="AB512" s="24">
        <v>820</v>
      </c>
      <c r="AC512" s="24" t="s">
        <v>397</v>
      </c>
      <c r="AD512" s="24"/>
      <c r="AE512" s="24"/>
      <c r="AF512" s="2"/>
      <c r="AG512" s="2"/>
      <c r="AH512" s="2" cm="1">
        <f t="array" ref="AH5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2" s="4">
        <f>scheduleapr[[#This Row],[SCHEDULE in nos]]-scheduleapr[[#This Row],[DISPATCH]]</f>
        <v>0</v>
      </c>
      <c r="AJ512" s="1">
        <f>(3.14*(scheduleapr[[#This Row],[ACTUAL OD]]-scheduleapr[[#This Row],[TICKNESS]])*scheduleapr[[#This Row],[TICKNESS]]*scheduleapr[[#This Row],[LENGTH]]*7.85)/1000000*scheduleapr[[#This Row],[SCHEDULE in nos]]/1000</f>
        <v>0</v>
      </c>
      <c r="AK512" s="1">
        <f>(3.14*(scheduleapr[[#This Row],[ACTUAL OD]]-scheduleapr[[#This Row],[TICKNESS]])*scheduleapr[[#This Row],[TICKNESS]]*scheduleapr[[#This Row],[LENGTH]]*7.85)/1000000*scheduleapr[[#This Row],[DISPATCH]]/1000</f>
        <v>0</v>
      </c>
      <c r="AL512" s="1">
        <f t="shared" si="17"/>
        <v>0</v>
      </c>
      <c r="AM512" s="1" t="e">
        <f>scheduleapr[[#This Row],[SCHEDULE in nos]]/scheduleapr[[#This Row],[SCHEDULE IN MT]]*scheduleapr[[#This Row],[CTL Stock]]</f>
        <v>#DIV/0!</v>
      </c>
      <c r="AN512" s="1">
        <f>SUMIFS(stock[MT],stock[Bucket],scheduleapr[[#This Row],[Bucket]],stock[CTL Bucket],scheduleapr[[#This Row],[CTL Bucket]],stock[Plant],"0789")</f>
        <v>0</v>
      </c>
      <c r="AO512" s="1"/>
      <c r="AP512" s="1">
        <f>SUMIFS(stock[MT],stock[Bucket],scheduleapr[[#This Row],[Bucket]],stock[LL or CTL],"LL")</f>
        <v>0</v>
      </c>
      <c r="AQ512" s="1">
        <f>+SUMIFS(wip[Stock(Net Wt)],wip[Bucket],scheduleapr[[#This Row],[Bucket]])/1000</f>
        <v>11.189</v>
      </c>
      <c r="AR512" s="1">
        <f t="shared" si="18"/>
        <v>0</v>
      </c>
      <c r="AS512" s="118"/>
    </row>
    <row r="513" spans="1:45" x14ac:dyDescent="0.25">
      <c r="A513" s="30">
        <v>428</v>
      </c>
      <c r="B513" s="5" t="s">
        <v>1816</v>
      </c>
      <c r="C513" s="2" t="s">
        <v>116</v>
      </c>
      <c r="D513" s="2" t="s">
        <v>2069</v>
      </c>
      <c r="E513" s="2">
        <v>188534</v>
      </c>
      <c r="F513" s="2"/>
      <c r="G513" s="2" t="str">
        <f>_xlfn.CONCAT(scheduleapr[[#This Row],[CUSTOMER CODE]],"-",scheduleapr[[#This Row],[MATERIAL NO]])</f>
        <v>188534-</v>
      </c>
      <c r="H513" s="2"/>
      <c r="I513" s="2" t="s">
        <v>962</v>
      </c>
      <c r="J513" s="2"/>
      <c r="K513" s="2" t="s">
        <v>963</v>
      </c>
      <c r="L513" s="2" t="s">
        <v>239</v>
      </c>
      <c r="M513" s="2"/>
      <c r="N513" s="2"/>
      <c r="O513" s="2"/>
      <c r="P513" s="2"/>
      <c r="Q513" s="557" t="str">
        <f>CONCATENATE(scheduleapr[[#This Row],[OD]],"-",scheduleapr[[#This Row],[ID]],"-",scheduleapr[[#This Row],[TICKNESS]],"-",scheduleapr[[#This Row],[Grade]],"-",scheduleapr[[#This Row],[FC/NFC]])</f>
        <v>19.05-0-2.3-ERW 1-PE</v>
      </c>
      <c r="R513" s="557" t="str">
        <f>_xlfn.CONCAT(scheduleapr[[#This Row],[Bucket]],"-",scheduleapr[[#This Row],[LENGTH]]/1000)</f>
        <v>19.05-0-2.3-ERW 1-PE-0.25</v>
      </c>
      <c r="S513" s="557" t="e" vm="2">
        <f>COUNTIF([2]!buckets[CTL Bucket],[2]!scheduleapr[[#This Row],[CTL Bucket]])</f>
        <v>#REF!</v>
      </c>
      <c r="T513" s="557"/>
      <c r="U513" s="557"/>
      <c r="V513" s="557"/>
      <c r="W513" s="557"/>
      <c r="X513" s="1">
        <v>19.05</v>
      </c>
      <c r="Y513" s="1">
        <v>19.05</v>
      </c>
      <c r="Z513" s="1">
        <v>0</v>
      </c>
      <c r="AA513" s="1">
        <v>2.2999999999999998</v>
      </c>
      <c r="AB513" s="24">
        <v>250</v>
      </c>
      <c r="AC513" s="24" t="s">
        <v>397</v>
      </c>
      <c r="AD513" s="24"/>
      <c r="AE513" s="24"/>
      <c r="AF513" s="2"/>
      <c r="AG513" s="2"/>
      <c r="AH513" s="2" cm="1">
        <f t="array" ref="AH5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3" s="4">
        <f>scheduleapr[[#This Row],[SCHEDULE in nos]]-scheduleapr[[#This Row],[DISPATCH]]</f>
        <v>0</v>
      </c>
      <c r="AJ513" s="1">
        <f>(3.14*(scheduleapr[[#This Row],[ACTUAL OD]]-scheduleapr[[#This Row],[TICKNESS]])*scheduleapr[[#This Row],[TICKNESS]]*scheduleapr[[#This Row],[LENGTH]]*7.85)/1000000*scheduleapr[[#This Row],[SCHEDULE in nos]]/1000</f>
        <v>0</v>
      </c>
      <c r="AK513" s="1">
        <f>(3.14*(scheduleapr[[#This Row],[ACTUAL OD]]-scheduleapr[[#This Row],[TICKNESS]])*scheduleapr[[#This Row],[TICKNESS]]*scheduleapr[[#This Row],[LENGTH]]*7.85)/1000000*scheduleapr[[#This Row],[DISPATCH]]/1000</f>
        <v>0</v>
      </c>
      <c r="AL513" s="1">
        <f t="shared" si="17"/>
        <v>0</v>
      </c>
      <c r="AM513" s="1" t="e">
        <f>scheduleapr[[#This Row],[SCHEDULE in nos]]/scheduleapr[[#This Row],[SCHEDULE IN MT]]*scheduleapr[[#This Row],[CTL Stock]]</f>
        <v>#DIV/0!</v>
      </c>
      <c r="AN513" s="1">
        <f>SUMIFS(stock[MT],stock[Bucket],scheduleapr[[#This Row],[Bucket]],stock[CTL Bucket],scheduleapr[[#This Row],[CTL Bucket]],stock[Plant],"0789")</f>
        <v>0</v>
      </c>
      <c r="AO513" s="1"/>
      <c r="AP513" s="1">
        <f>SUMIFS(stock[MT],stock[Bucket],scheduleapr[[#This Row],[Bucket]],stock[LL or CTL],"LL")</f>
        <v>73.955845999999994</v>
      </c>
      <c r="AQ513" s="1">
        <f>+SUMIFS(wip[Stock(Net Wt)],wip[Bucket],scheduleapr[[#This Row],[Bucket]])/1000</f>
        <v>6.0149999999999997</v>
      </c>
      <c r="AR513" s="1">
        <f t="shared" si="18"/>
        <v>0</v>
      </c>
      <c r="AS513" s="118"/>
    </row>
    <row r="514" spans="1:45" x14ac:dyDescent="0.25">
      <c r="A514" s="30">
        <v>429</v>
      </c>
      <c r="B514" s="5" t="s">
        <v>1816</v>
      </c>
      <c r="C514" s="2" t="s">
        <v>116</v>
      </c>
      <c r="D514" s="2" t="s">
        <v>2069</v>
      </c>
      <c r="E514" s="2">
        <v>188534</v>
      </c>
      <c r="F514" s="2">
        <v>2427712</v>
      </c>
      <c r="G514" s="2" t="str">
        <f>_xlfn.CONCAT(scheduleapr[[#This Row],[CUSTOMER CODE]],"-",scheduleapr[[#This Row],[MATERIAL NO]])</f>
        <v>188534-2427712</v>
      </c>
      <c r="H514" s="2" t="s">
        <v>700</v>
      </c>
      <c r="I514" s="2" t="s">
        <v>962</v>
      </c>
      <c r="J514" s="2"/>
      <c r="K514" s="2"/>
      <c r="L514" s="2" t="s">
        <v>239</v>
      </c>
      <c r="M514" s="2"/>
      <c r="N514" s="2"/>
      <c r="O514" s="2"/>
      <c r="P514" s="2"/>
      <c r="Q514" s="557" t="str">
        <f>CONCATENATE(scheduleapr[[#This Row],[OD]],"-",scheduleapr[[#This Row],[ID]],"-",scheduleapr[[#This Row],[TICKNESS]],"-",scheduleapr[[#This Row],[Grade]],"-",scheduleapr[[#This Row],[FC/NFC]])</f>
        <v>19.05-0-2.3-ERW 1-</v>
      </c>
      <c r="R514" s="557" t="str">
        <f>_xlfn.CONCAT(scheduleapr[[#This Row],[Bucket]],"-",scheduleapr[[#This Row],[LENGTH]]/1000)</f>
        <v>19.05-0-2.3-ERW 1--0.255</v>
      </c>
      <c r="S514" s="557" t="e" vm="2">
        <f>COUNTIF([2]!buckets[CTL Bucket],[2]!scheduleapr[[#This Row],[CTL Bucket]])</f>
        <v>#REF!</v>
      </c>
      <c r="T514" s="557"/>
      <c r="U514" s="557"/>
      <c r="V514" s="557"/>
      <c r="W514" s="557"/>
      <c r="X514" s="1">
        <v>19.05</v>
      </c>
      <c r="Y514" s="1">
        <v>19.05</v>
      </c>
      <c r="Z514" s="1">
        <v>0</v>
      </c>
      <c r="AA514" s="1">
        <v>2.2999999999999998</v>
      </c>
      <c r="AB514" s="24">
        <v>255</v>
      </c>
      <c r="AC514" s="24" t="s">
        <v>397</v>
      </c>
      <c r="AD514" s="24"/>
      <c r="AE514" s="24"/>
      <c r="AF514" s="2"/>
      <c r="AG514" s="2"/>
      <c r="AH514" s="2" cm="1">
        <f t="array" ref="AH5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4" s="4">
        <f>scheduleapr[[#This Row],[SCHEDULE in nos]]-scheduleapr[[#This Row],[DISPATCH]]</f>
        <v>0</v>
      </c>
      <c r="AJ514" s="1">
        <f>(3.14*(scheduleapr[[#This Row],[ACTUAL OD]]-scheduleapr[[#This Row],[TICKNESS]])*scheduleapr[[#This Row],[TICKNESS]]*scheduleapr[[#This Row],[LENGTH]]*7.85)/1000000*scheduleapr[[#This Row],[SCHEDULE in nos]]/1000</f>
        <v>0</v>
      </c>
      <c r="AK514" s="1">
        <f>(3.14*(scheduleapr[[#This Row],[ACTUAL OD]]-scheduleapr[[#This Row],[TICKNESS]])*scheduleapr[[#This Row],[TICKNESS]]*scheduleapr[[#This Row],[LENGTH]]*7.85)/1000000*scheduleapr[[#This Row],[DISPATCH]]/1000</f>
        <v>0</v>
      </c>
      <c r="AL514" s="1">
        <f t="shared" si="17"/>
        <v>0</v>
      </c>
      <c r="AM514" s="1" t="e">
        <f>scheduleapr[[#This Row],[SCHEDULE in nos]]/scheduleapr[[#This Row],[SCHEDULE IN MT]]*scheduleapr[[#This Row],[CTL Stock]]</f>
        <v>#DIV/0!</v>
      </c>
      <c r="AN514" s="1">
        <f>SUMIFS(stock[MT],stock[Bucket],scheduleapr[[#This Row],[Bucket]],stock[CTL Bucket],scheduleapr[[#This Row],[CTL Bucket]],stock[Plant],"0789")</f>
        <v>0</v>
      </c>
      <c r="AO514" s="1"/>
      <c r="AP514" s="1">
        <f>SUMIFS(stock[MT],stock[Bucket],scheduleapr[[#This Row],[Bucket]],stock[LL or CTL],"LL")</f>
        <v>0</v>
      </c>
      <c r="AQ514" s="1">
        <f>+SUMIFS(wip[Stock(Net Wt)],wip[Bucket],scheduleapr[[#This Row],[Bucket]])/1000</f>
        <v>0</v>
      </c>
      <c r="AR514" s="1">
        <f t="shared" si="18"/>
        <v>0</v>
      </c>
      <c r="AS514" s="118"/>
    </row>
    <row r="515" spans="1:45" x14ac:dyDescent="0.25">
      <c r="A515" s="30">
        <v>430</v>
      </c>
      <c r="B515" s="5" t="s">
        <v>1816</v>
      </c>
      <c r="C515" s="2" t="s">
        <v>116</v>
      </c>
      <c r="D515" s="2" t="s">
        <v>2069</v>
      </c>
      <c r="E515" s="2">
        <v>188534</v>
      </c>
      <c r="F515" s="2"/>
      <c r="G515" s="2" t="str">
        <f>_xlfn.CONCAT(scheduleapr[[#This Row],[CUSTOMER CODE]],"-",scheduleapr[[#This Row],[MATERIAL NO]])</f>
        <v>188534-</v>
      </c>
      <c r="H515" s="2"/>
      <c r="I515" s="2" t="s">
        <v>962</v>
      </c>
      <c r="J515" s="2"/>
      <c r="K515" s="2" t="s">
        <v>963</v>
      </c>
      <c r="L515" s="2" t="s">
        <v>239</v>
      </c>
      <c r="M515" s="2"/>
      <c r="N515" s="2"/>
      <c r="O515" s="2"/>
      <c r="P515" s="2"/>
      <c r="Q515" s="557" t="str">
        <f>CONCATENATE(scheduleapr[[#This Row],[OD]],"-",scheduleapr[[#This Row],[ID]],"-",scheduleapr[[#This Row],[TICKNESS]],"-",scheduleapr[[#This Row],[Grade]],"-",scheduleapr[[#This Row],[FC/NFC]])</f>
        <v>19.05-0-2.3-ERW 1-PE</v>
      </c>
      <c r="R515" s="557" t="str">
        <f>_xlfn.CONCAT(scheduleapr[[#This Row],[Bucket]],"-",scheduleapr[[#This Row],[LENGTH]]/1000)</f>
        <v>19.05-0-2.3-ERW 1-PE-0.278</v>
      </c>
      <c r="S515" s="557" t="e" vm="2">
        <f>COUNTIF([2]!buckets[CTL Bucket],[2]!scheduleapr[[#This Row],[CTL Bucket]])</f>
        <v>#REF!</v>
      </c>
      <c r="T515" s="557"/>
      <c r="U515" s="557"/>
      <c r="V515" s="557"/>
      <c r="W515" s="557"/>
      <c r="X515" s="1">
        <v>19.05</v>
      </c>
      <c r="Y515" s="1">
        <v>19.05</v>
      </c>
      <c r="Z515" s="1">
        <v>0</v>
      </c>
      <c r="AA515" s="1">
        <v>2.2999999999999998</v>
      </c>
      <c r="AB515" s="24">
        <v>278</v>
      </c>
      <c r="AC515" s="24" t="s">
        <v>397</v>
      </c>
      <c r="AD515" s="24"/>
      <c r="AE515" s="24"/>
      <c r="AF515" s="2"/>
      <c r="AG515" s="2"/>
      <c r="AH515" s="2" cm="1">
        <f t="array" ref="AH5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5" s="4">
        <f>scheduleapr[[#This Row],[SCHEDULE in nos]]-scheduleapr[[#This Row],[DISPATCH]]</f>
        <v>0</v>
      </c>
      <c r="AJ515" s="1">
        <f>(3.14*(scheduleapr[[#This Row],[ACTUAL OD]]-scheduleapr[[#This Row],[TICKNESS]])*scheduleapr[[#This Row],[TICKNESS]]*scheduleapr[[#This Row],[LENGTH]]*7.85)/1000000*scheduleapr[[#This Row],[SCHEDULE in nos]]/1000</f>
        <v>0</v>
      </c>
      <c r="AK515" s="1">
        <f>(3.14*(scheduleapr[[#This Row],[ACTUAL OD]]-scheduleapr[[#This Row],[TICKNESS]])*scheduleapr[[#This Row],[TICKNESS]]*scheduleapr[[#This Row],[LENGTH]]*7.85)/1000000*scheduleapr[[#This Row],[DISPATCH]]/1000</f>
        <v>0</v>
      </c>
      <c r="AL515" s="1">
        <f t="shared" si="17"/>
        <v>0</v>
      </c>
      <c r="AM515" s="1" t="e">
        <f>scheduleapr[[#This Row],[SCHEDULE in nos]]/scheduleapr[[#This Row],[SCHEDULE IN MT]]*scheduleapr[[#This Row],[CTL Stock]]</f>
        <v>#DIV/0!</v>
      </c>
      <c r="AN515" s="1">
        <f>SUMIFS(stock[MT],stock[Bucket],scheduleapr[[#This Row],[Bucket]],stock[CTL Bucket],scheduleapr[[#This Row],[CTL Bucket]],stock[Plant],"0789")</f>
        <v>0</v>
      </c>
      <c r="AO515" s="1"/>
      <c r="AP515" s="1">
        <f>SUMIFS(stock[MT],stock[Bucket],scheduleapr[[#This Row],[Bucket]],stock[LL or CTL],"LL")</f>
        <v>73.955845999999994</v>
      </c>
      <c r="AQ515" s="1">
        <f>+SUMIFS(wip[Stock(Net Wt)],wip[Bucket],scheduleapr[[#This Row],[Bucket]])/1000</f>
        <v>6.0149999999999997</v>
      </c>
      <c r="AR515" s="1">
        <f t="shared" si="18"/>
        <v>0</v>
      </c>
      <c r="AS515" s="118"/>
    </row>
    <row r="516" spans="1:45" x14ac:dyDescent="0.25">
      <c r="A516" s="30">
        <v>431</v>
      </c>
      <c r="B516" s="5" t="s">
        <v>1816</v>
      </c>
      <c r="C516" s="2" t="s">
        <v>116</v>
      </c>
      <c r="D516" s="2" t="s">
        <v>2069</v>
      </c>
      <c r="E516" s="2">
        <v>188534</v>
      </c>
      <c r="F516" s="2">
        <v>1940312</v>
      </c>
      <c r="G516" s="2" t="str">
        <f>_xlfn.CONCAT(scheduleapr[[#This Row],[CUSTOMER CODE]],"-",scheduleapr[[#This Row],[MATERIAL NO]])</f>
        <v>188534-1940312</v>
      </c>
      <c r="H516" s="2" t="s">
        <v>410</v>
      </c>
      <c r="I516" s="2" t="s">
        <v>962</v>
      </c>
      <c r="J516" s="2"/>
      <c r="K516" s="2" t="s">
        <v>963</v>
      </c>
      <c r="L516" s="2" t="s">
        <v>239</v>
      </c>
      <c r="M516" s="2"/>
      <c r="N516" s="2"/>
      <c r="O516" s="2"/>
      <c r="P516" s="2"/>
      <c r="Q516" s="557" t="str">
        <f>CONCATENATE(scheduleapr[[#This Row],[OD]],"-",scheduleapr[[#This Row],[ID]],"-",scheduleapr[[#This Row],[TICKNESS]],"-",scheduleapr[[#This Row],[Grade]],"-",scheduleapr[[#This Row],[FC/NFC]])</f>
        <v>19.05-0-2.3-ERW 1-PE</v>
      </c>
      <c r="R516" s="557" t="str">
        <f>_xlfn.CONCAT(scheduleapr[[#This Row],[Bucket]],"-",scheduleapr[[#This Row],[LENGTH]]/1000)</f>
        <v>19.05-0-2.3-ERW 1-PE-0.295</v>
      </c>
      <c r="S516" s="557" t="e" vm="2">
        <f>COUNTIF([2]!buckets[CTL Bucket],[2]!scheduleapr[[#This Row],[CTL Bucket]])</f>
        <v>#REF!</v>
      </c>
      <c r="T516" s="2" t="s">
        <v>1816</v>
      </c>
      <c r="U516" s="2" t="s">
        <v>1913</v>
      </c>
      <c r="V516" s="557"/>
      <c r="W516" s="557"/>
      <c r="X516" s="1">
        <v>19.05</v>
      </c>
      <c r="Y516" s="1">
        <v>19.05</v>
      </c>
      <c r="Z516" s="1">
        <v>0</v>
      </c>
      <c r="AA516" s="1">
        <v>2.2999999999999998</v>
      </c>
      <c r="AB516" s="24">
        <v>295</v>
      </c>
      <c r="AC516" s="24" t="s">
        <v>397</v>
      </c>
      <c r="AD516" s="24"/>
      <c r="AE516" s="24"/>
      <c r="AF516" s="2"/>
      <c r="AG516" s="2"/>
      <c r="AH516" s="2" cm="1">
        <f t="array" ref="AH5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6" s="4">
        <f>scheduleapr[[#This Row],[SCHEDULE in nos]]-scheduleapr[[#This Row],[DISPATCH]]</f>
        <v>0</v>
      </c>
      <c r="AJ516" s="1">
        <f>(3.14*(scheduleapr[[#This Row],[ACTUAL OD]]-scheduleapr[[#This Row],[TICKNESS]])*scheduleapr[[#This Row],[TICKNESS]]*scheduleapr[[#This Row],[LENGTH]]*7.85)/1000000*scheduleapr[[#This Row],[SCHEDULE in nos]]/1000</f>
        <v>0</v>
      </c>
      <c r="AK516" s="1">
        <f>(3.14*(scheduleapr[[#This Row],[ACTUAL OD]]-scheduleapr[[#This Row],[TICKNESS]])*scheduleapr[[#This Row],[TICKNESS]]*scheduleapr[[#This Row],[LENGTH]]*7.85)/1000000*scheduleapr[[#This Row],[DISPATCH]]/1000</f>
        <v>0</v>
      </c>
      <c r="AL516" s="1">
        <f t="shared" ref="AL516:AL579" si="19">AJ516-AK516</f>
        <v>0</v>
      </c>
      <c r="AM516" s="1" t="e">
        <f>scheduleapr[[#This Row],[SCHEDULE in nos]]/scheduleapr[[#This Row],[SCHEDULE IN MT]]*scheduleapr[[#This Row],[CTL Stock]]</f>
        <v>#DIV/0!</v>
      </c>
      <c r="AN516" s="1">
        <f>SUMIFS(stock[MT],stock[Bucket],scheduleapr[[#This Row],[Bucket]],stock[CTL Bucket],scheduleapr[[#This Row],[CTL Bucket]],stock[Plant],"0789")</f>
        <v>2.0640399999999999</v>
      </c>
      <c r="AO516" s="1"/>
      <c r="AP516" s="1">
        <f>SUMIFS(stock[MT],stock[Bucket],scheduleapr[[#This Row],[Bucket]],stock[LL or CTL],"LL")</f>
        <v>73.955845999999994</v>
      </c>
      <c r="AQ516" s="1">
        <f>+SUMIFS(wip[Stock(Net Wt)],wip[Bucket],scheduleapr[[#This Row],[Bucket]])/1000</f>
        <v>6.0149999999999997</v>
      </c>
      <c r="AR516" s="1">
        <f t="shared" si="18"/>
        <v>-2.0640399999999999</v>
      </c>
      <c r="AS516" s="118"/>
    </row>
    <row r="517" spans="1:45" x14ac:dyDescent="0.25">
      <c r="A517" s="30">
        <v>432</v>
      </c>
      <c r="B517" s="5" t="s">
        <v>1816</v>
      </c>
      <c r="C517" s="2" t="s">
        <v>116</v>
      </c>
      <c r="D517" s="2" t="s">
        <v>2069</v>
      </c>
      <c r="E517" s="2">
        <v>188534</v>
      </c>
      <c r="F517" s="2">
        <v>3732180</v>
      </c>
      <c r="G517" s="2" t="str">
        <f>_xlfn.CONCAT(scheduleapr[[#This Row],[CUSTOMER CODE]],"-",scheduleapr[[#This Row],[MATERIAL NO]])</f>
        <v>188534-3732180</v>
      </c>
      <c r="H517" s="2" t="s">
        <v>1566</v>
      </c>
      <c r="I517" s="2" t="s">
        <v>962</v>
      </c>
      <c r="J517" s="2"/>
      <c r="K517" s="2" t="s">
        <v>1003</v>
      </c>
      <c r="L517" s="2" t="s">
        <v>1867</v>
      </c>
      <c r="M517" s="44" t="s">
        <v>1952</v>
      </c>
      <c r="N517" s="2"/>
      <c r="O517" s="2"/>
      <c r="P517" s="2"/>
      <c r="Q517" s="557" t="str">
        <f>CONCATENATE(scheduleapr[[#This Row],[OD]],"-",scheduleapr[[#This Row],[ID]],"-",scheduleapr[[#This Row],[TICKNESS]],"-",scheduleapr[[#This Row],[Grade]],"-",scheduleapr[[#This Row],[FC/NFC]])</f>
        <v>25.4-0-1.6-ERW 1-FC</v>
      </c>
      <c r="R517" s="557" t="str">
        <f>_xlfn.CONCAT(scheduleapr[[#This Row],[Bucket]],"-",scheduleapr[[#This Row],[LENGTH]]/1000)</f>
        <v>25.4-0-1.6-ERW 1-FC-0.208</v>
      </c>
      <c r="S517" s="557" t="e" vm="2">
        <f>COUNTIF([2]!buckets[CTL Bucket],[2]!scheduleapr[[#This Row],[CTL Bucket]])</f>
        <v>#REF!</v>
      </c>
      <c r="T517" s="2" t="s">
        <v>1816</v>
      </c>
      <c r="U517" s="2"/>
      <c r="V517" s="557"/>
      <c r="W517" s="557"/>
      <c r="X517" s="1">
        <v>25.4</v>
      </c>
      <c r="Y517" s="1">
        <v>25.4</v>
      </c>
      <c r="Z517" s="1">
        <v>0</v>
      </c>
      <c r="AA517" s="1">
        <v>1.6</v>
      </c>
      <c r="AB517" s="24">
        <v>208</v>
      </c>
      <c r="AC517" s="24" t="s">
        <v>397</v>
      </c>
      <c r="AD517" s="24"/>
      <c r="AE517" s="24"/>
      <c r="AF517" s="2"/>
      <c r="AG517" s="2"/>
      <c r="AH517" s="2" cm="1">
        <f t="array" ref="AH5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7" s="4">
        <f>scheduleapr[[#This Row],[SCHEDULE in nos]]-scheduleapr[[#This Row],[DISPATCH]]</f>
        <v>0</v>
      </c>
      <c r="AJ517" s="1">
        <f>(3.14*(scheduleapr[[#This Row],[ACTUAL OD]]-scheduleapr[[#This Row],[TICKNESS]])*scheduleapr[[#This Row],[TICKNESS]]*scheduleapr[[#This Row],[LENGTH]]*7.85)/1000000*scheduleapr[[#This Row],[SCHEDULE in nos]]/1000</f>
        <v>0</v>
      </c>
      <c r="AK517" s="1">
        <f>(3.14*(scheduleapr[[#This Row],[ACTUAL OD]]-scheduleapr[[#This Row],[TICKNESS]])*scheduleapr[[#This Row],[TICKNESS]]*scheduleapr[[#This Row],[LENGTH]]*7.85)/1000000*scheduleapr[[#This Row],[DISPATCH]]/1000</f>
        <v>0</v>
      </c>
      <c r="AL517" s="1">
        <f t="shared" si="19"/>
        <v>0</v>
      </c>
      <c r="AM517" s="1" t="e">
        <f>scheduleapr[[#This Row],[SCHEDULE in nos]]/scheduleapr[[#This Row],[SCHEDULE IN MT]]*scheduleapr[[#This Row],[CTL Stock]]</f>
        <v>#DIV/0!</v>
      </c>
      <c r="AN517" s="1">
        <f>SUMIFS(stock[MT],stock[Bucket],scheduleapr[[#This Row],[Bucket]],stock[CTL Bucket],scheduleapr[[#This Row],[CTL Bucket]],stock[Plant],"0789")</f>
        <v>1.075E-3</v>
      </c>
      <c r="AO517" s="1"/>
      <c r="AP517" s="1">
        <f>SUMIFS(stock[MT],stock[Bucket],scheduleapr[[#This Row],[Bucket]],stock[LL or CTL],"LL")</f>
        <v>0</v>
      </c>
      <c r="AQ517" s="1">
        <f>+SUMIFS(wip[Stock(Net Wt)],wip[Bucket],scheduleapr[[#This Row],[Bucket]])/1000</f>
        <v>0</v>
      </c>
      <c r="AR517" s="1">
        <f t="shared" si="18"/>
        <v>-1.075E-3</v>
      </c>
      <c r="AS517" s="118"/>
    </row>
    <row r="518" spans="1:45" x14ac:dyDescent="0.25">
      <c r="A518" s="30">
        <v>433</v>
      </c>
      <c r="B518" s="5" t="s">
        <v>1816</v>
      </c>
      <c r="C518" s="2" t="s">
        <v>116</v>
      </c>
      <c r="D518" s="2" t="s">
        <v>2069</v>
      </c>
      <c r="E518" s="2">
        <v>188534</v>
      </c>
      <c r="F518" s="2">
        <v>3732181</v>
      </c>
      <c r="G518" s="2" t="str">
        <f>_xlfn.CONCAT(scheduleapr[[#This Row],[CUSTOMER CODE]],"-",scheduleapr[[#This Row],[MATERIAL NO]])</f>
        <v>188534-3732181</v>
      </c>
      <c r="H518" s="2" t="s">
        <v>2072</v>
      </c>
      <c r="I518" s="2" t="s">
        <v>962</v>
      </c>
      <c r="J518" s="2"/>
      <c r="K518" s="2"/>
      <c r="L518" s="2" t="s">
        <v>239</v>
      </c>
      <c r="M518" s="2"/>
      <c r="N518" s="2"/>
      <c r="O518" s="2"/>
      <c r="P518" s="2"/>
      <c r="Q518" s="557" t="str">
        <f>CONCATENATE(scheduleapr[[#This Row],[OD]],"-",scheduleapr[[#This Row],[ID]],"-",scheduleapr[[#This Row],[TICKNESS]],"-",scheduleapr[[#This Row],[Grade]],"-",scheduleapr[[#This Row],[FC/NFC]])</f>
        <v>25.4-0-2-ERW 1-</v>
      </c>
      <c r="R518" s="557" t="str">
        <f>_xlfn.CONCAT(scheduleapr[[#This Row],[Bucket]],"-",scheduleapr[[#This Row],[LENGTH]]/1000)</f>
        <v>25.4-0-2-ERW 1--0.283</v>
      </c>
      <c r="S518" s="557" t="e" vm="2">
        <f>COUNTIF([2]!buckets[CTL Bucket],[2]!scheduleapr[[#This Row],[CTL Bucket]])</f>
        <v>#REF!</v>
      </c>
      <c r="T518" s="557"/>
      <c r="U518" s="557"/>
      <c r="V518" s="557"/>
      <c r="W518" s="557"/>
      <c r="X518" s="1">
        <v>25.4</v>
      </c>
      <c r="Y518" s="1">
        <v>25.4</v>
      </c>
      <c r="Z518" s="1">
        <v>0</v>
      </c>
      <c r="AA518" s="1">
        <v>2</v>
      </c>
      <c r="AB518" s="24">
        <v>283</v>
      </c>
      <c r="AC518" s="24" t="s">
        <v>397</v>
      </c>
      <c r="AD518" s="24"/>
      <c r="AE518" s="24"/>
      <c r="AF518" s="2"/>
      <c r="AG518" s="2"/>
      <c r="AH518" s="2" cm="1">
        <f t="array" ref="AH5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8" s="4">
        <f>scheduleapr[[#This Row],[SCHEDULE in nos]]-scheduleapr[[#This Row],[DISPATCH]]</f>
        <v>0</v>
      </c>
      <c r="AJ518" s="1">
        <f>(3.14*(scheduleapr[[#This Row],[ACTUAL OD]]-scheduleapr[[#This Row],[TICKNESS]])*scheduleapr[[#This Row],[TICKNESS]]*scheduleapr[[#This Row],[LENGTH]]*7.85)/1000000*scheduleapr[[#This Row],[SCHEDULE in nos]]/1000</f>
        <v>0</v>
      </c>
      <c r="AK518" s="1">
        <f>(3.14*(scheduleapr[[#This Row],[ACTUAL OD]]-scheduleapr[[#This Row],[TICKNESS]])*scheduleapr[[#This Row],[TICKNESS]]*scheduleapr[[#This Row],[LENGTH]]*7.85)/1000000*scheduleapr[[#This Row],[DISPATCH]]/1000</f>
        <v>0</v>
      </c>
      <c r="AL518" s="1">
        <f t="shared" si="19"/>
        <v>0</v>
      </c>
      <c r="AM518" s="1" t="e">
        <f>scheduleapr[[#This Row],[SCHEDULE in nos]]/scheduleapr[[#This Row],[SCHEDULE IN MT]]*scheduleapr[[#This Row],[CTL Stock]]</f>
        <v>#DIV/0!</v>
      </c>
      <c r="AN518" s="1">
        <f>SUMIFS(stock[MT],stock[Bucket],scheduleapr[[#This Row],[Bucket]],stock[CTL Bucket],scheduleapr[[#This Row],[CTL Bucket]],stock[Plant],"0789")</f>
        <v>0</v>
      </c>
      <c r="AO518" s="1"/>
      <c r="AP518" s="1">
        <f>SUMIFS(stock[MT],stock[Bucket],scheduleapr[[#This Row],[Bucket]],stock[LL or CTL],"LL")</f>
        <v>0</v>
      </c>
      <c r="AQ518" s="1">
        <f>+SUMIFS(wip[Stock(Net Wt)],wip[Bucket],scheduleapr[[#This Row],[Bucket]])/1000</f>
        <v>0</v>
      </c>
      <c r="AR518" s="1">
        <f t="shared" si="18"/>
        <v>0</v>
      </c>
      <c r="AS518" s="118"/>
    </row>
    <row r="519" spans="1:45" x14ac:dyDescent="0.25">
      <c r="A519" s="30">
        <v>434</v>
      </c>
      <c r="B519" s="5" t="s">
        <v>1816</v>
      </c>
      <c r="C519" s="2" t="s">
        <v>343</v>
      </c>
      <c r="D519" s="2" t="s">
        <v>2069</v>
      </c>
      <c r="E519" s="2">
        <v>188534</v>
      </c>
      <c r="F519" s="2"/>
      <c r="G519" s="2" t="str">
        <f>_xlfn.CONCAT(scheduleapr[[#This Row],[CUSTOMER CODE]],"-",scheduleapr[[#This Row],[MATERIAL NO]])</f>
        <v>188534-</v>
      </c>
      <c r="H519" s="2"/>
      <c r="I519" s="2" t="s">
        <v>962</v>
      </c>
      <c r="J519" s="2"/>
      <c r="K519" s="2" t="s">
        <v>1003</v>
      </c>
      <c r="L519" s="2" t="s">
        <v>239</v>
      </c>
      <c r="M519" s="2"/>
      <c r="N519" s="2"/>
      <c r="O519" s="2"/>
      <c r="P519" s="2"/>
      <c r="Q519" s="557" t="str">
        <f>CONCATENATE(scheduleapr[[#This Row],[OD]],"-",scheduleapr[[#This Row],[ID]],"-",scheduleapr[[#This Row],[TICKNESS]],"-",scheduleapr[[#This Row],[Grade]],"-",scheduleapr[[#This Row],[FC/NFC]])</f>
        <v>31.75-0-2.3-ERW 1-FC</v>
      </c>
      <c r="R519" s="557" t="str">
        <f>_xlfn.CONCAT(scheduleapr[[#This Row],[Bucket]],"-",scheduleapr[[#This Row],[LENGTH]]/1000)</f>
        <v>31.75-0-2.3-ERW 1-FC-0.193</v>
      </c>
      <c r="S519" s="557" t="e" vm="2">
        <f>COUNTIF([2]!buckets[CTL Bucket],[2]!scheduleapr[[#This Row],[CTL Bucket]])</f>
        <v>#REF!</v>
      </c>
      <c r="T519" s="557"/>
      <c r="U519" s="2">
        <f>_xlfn.IFNA(VLOOKUP(scheduleapr[[#This Row],[Bucket]],salesforecast[[#All],[Bucket2]:[8406 Stock]],19,0),0)</f>
        <v>1.83</v>
      </c>
      <c r="V519" s="562">
        <f>_xlfn.IFNA(VLOOKUP(scheduleapr[[#This Row],[Bucket]],salesforecast[[#All],[Bucket2]:[8406 Stock]],20,0),0)+_xlfn.IFNA(VLOOKUP(scheduleapr[[#This Row],[Bucket]],salesforecast[[#All],[Bucket2]:[8406 Stock]],17,0),0)</f>
        <v>0</v>
      </c>
      <c r="W519" s="557"/>
      <c r="X519" s="1">
        <v>31.75</v>
      </c>
      <c r="Y519" s="1">
        <v>31.75</v>
      </c>
      <c r="Z519" s="1">
        <v>0</v>
      </c>
      <c r="AA519" s="1">
        <v>2.2999999999999998</v>
      </c>
      <c r="AB519" s="24">
        <v>193</v>
      </c>
      <c r="AC519" s="24" t="s">
        <v>397</v>
      </c>
      <c r="AD519" s="24"/>
      <c r="AE519" s="24"/>
      <c r="AF519" s="2"/>
      <c r="AG519" s="2"/>
      <c r="AH519" s="2" cm="1">
        <f t="array" ref="AH5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9" s="4">
        <f>scheduleapr[[#This Row],[SCHEDULE in nos]]-scheduleapr[[#This Row],[DISPATCH]]</f>
        <v>0</v>
      </c>
      <c r="AJ519" s="1">
        <f>(3.14*(scheduleapr[[#This Row],[ACTUAL OD]]-scheduleapr[[#This Row],[TICKNESS]])*scheduleapr[[#This Row],[TICKNESS]]*scheduleapr[[#This Row],[LENGTH]]*7.85)/1000000*scheduleapr[[#This Row],[SCHEDULE in nos]]/1000</f>
        <v>0</v>
      </c>
      <c r="AK519" s="1">
        <f>(3.14*(scheduleapr[[#This Row],[ACTUAL OD]]-scheduleapr[[#This Row],[TICKNESS]])*scheduleapr[[#This Row],[TICKNESS]]*scheduleapr[[#This Row],[LENGTH]]*7.85)/1000000*scheduleapr[[#This Row],[DISPATCH]]/1000</f>
        <v>0</v>
      </c>
      <c r="AL519" s="1">
        <f t="shared" si="19"/>
        <v>0</v>
      </c>
      <c r="AM519" s="1" t="e">
        <f>scheduleapr[[#This Row],[SCHEDULE in nos]]/scheduleapr[[#This Row],[SCHEDULE IN MT]]*scheduleapr[[#This Row],[CTL Stock]]</f>
        <v>#DIV/0!</v>
      </c>
      <c r="AN519" s="1">
        <f>SUMIFS(stock[MT],stock[Bucket],scheduleapr[[#This Row],[Bucket]],stock[CTL Bucket],scheduleapr[[#This Row],[CTL Bucket]],stock[Plant],"0789")</f>
        <v>0</v>
      </c>
      <c r="AO519" s="1"/>
      <c r="AP519" s="1">
        <f>SUMIFS(stock[MT],stock[Bucket],scheduleapr[[#This Row],[Bucket]],stock[LL or CTL],"LL")</f>
        <v>1.83</v>
      </c>
      <c r="AQ519" s="1">
        <f>+SUMIFS(wip[Stock(Net Wt)],wip[Bucket],scheduleapr[[#This Row],[Bucket]])/1000</f>
        <v>0</v>
      </c>
      <c r="AR519" s="1">
        <f t="shared" si="18"/>
        <v>0</v>
      </c>
      <c r="AS519" s="118"/>
    </row>
    <row r="520" spans="1:45" x14ac:dyDescent="0.25">
      <c r="A520" s="30">
        <v>436</v>
      </c>
      <c r="B520" s="5" t="s">
        <v>2073</v>
      </c>
      <c r="C520" s="2" t="s">
        <v>116</v>
      </c>
      <c r="D520" s="2" t="s">
        <v>2069</v>
      </c>
      <c r="E520" s="2">
        <v>188534</v>
      </c>
      <c r="F520" s="2">
        <v>3767397</v>
      </c>
      <c r="G520" s="2" t="str">
        <f>_xlfn.CONCAT(scheduleapr[[#This Row],[CUSTOMER CODE]],"-",scheduleapr[[#This Row],[MATERIAL NO]])</f>
        <v>188534-3767397</v>
      </c>
      <c r="H520" s="2"/>
      <c r="I520" s="2" t="s">
        <v>962</v>
      </c>
      <c r="J520" s="2"/>
      <c r="K520" s="2" t="s">
        <v>1003</v>
      </c>
      <c r="L520" s="2" t="s">
        <v>239</v>
      </c>
      <c r="M520" s="2"/>
      <c r="N520" s="2"/>
      <c r="O520" s="2"/>
      <c r="P520" s="2"/>
      <c r="Q520" s="557" t="str">
        <f>CONCATENATE(scheduleapr[[#This Row],[OD]],"-",scheduleapr[[#This Row],[ID]],"-",scheduleapr[[#This Row],[TICKNESS]],"-",scheduleapr[[#This Row],[Grade]],"-",scheduleapr[[#This Row],[FC/NFC]])</f>
        <v>38.1-0-2-ERW 1-FC</v>
      </c>
      <c r="R520" s="557" t="str">
        <f>_xlfn.CONCAT(scheduleapr[[#This Row],[Bucket]],"-",scheduleapr[[#This Row],[LENGTH]]/1000)</f>
        <v>38.1-0-2-ERW 1-FC-0.278</v>
      </c>
      <c r="S520" s="557" t="e" vm="2">
        <f>COUNTIF([2]!buckets[CTL Bucket],[2]!scheduleapr[[#This Row],[CTL Bucket]])</f>
        <v>#REF!</v>
      </c>
      <c r="T520" s="557"/>
      <c r="U520" s="557"/>
      <c r="V520" s="557"/>
      <c r="W520" s="557"/>
      <c r="X520" s="1">
        <v>38.1</v>
      </c>
      <c r="Y520" s="1">
        <v>38.1</v>
      </c>
      <c r="Z520" s="1">
        <v>0</v>
      </c>
      <c r="AA520" s="1">
        <v>2</v>
      </c>
      <c r="AB520" s="24">
        <v>278</v>
      </c>
      <c r="AC520" s="24" t="s">
        <v>397</v>
      </c>
      <c r="AD520" s="24"/>
      <c r="AE520" s="24"/>
      <c r="AF520" s="2"/>
      <c r="AG520" s="2"/>
      <c r="AH520" s="2" cm="1">
        <f t="array" ref="AH5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0" s="4">
        <f>scheduleapr[[#This Row],[SCHEDULE in nos]]-scheduleapr[[#This Row],[DISPATCH]]</f>
        <v>0</v>
      </c>
      <c r="AJ520" s="1">
        <f>(3.14*(scheduleapr[[#This Row],[ACTUAL OD]]-scheduleapr[[#This Row],[TICKNESS]])*scheduleapr[[#This Row],[TICKNESS]]*scheduleapr[[#This Row],[LENGTH]]*7.85)/1000000*scheduleapr[[#This Row],[SCHEDULE in nos]]/1000</f>
        <v>0</v>
      </c>
      <c r="AK520" s="1">
        <f>(3.14*(scheduleapr[[#This Row],[ACTUAL OD]]-scheduleapr[[#This Row],[TICKNESS]])*scheduleapr[[#This Row],[TICKNESS]]*scheduleapr[[#This Row],[LENGTH]]*7.85)/1000000*scheduleapr[[#This Row],[DISPATCH]]/1000</f>
        <v>0</v>
      </c>
      <c r="AL520" s="1">
        <f t="shared" si="19"/>
        <v>0</v>
      </c>
      <c r="AM520" s="1" t="e">
        <f>scheduleapr[[#This Row],[SCHEDULE in nos]]/scheduleapr[[#This Row],[SCHEDULE IN MT]]*scheduleapr[[#This Row],[CTL Stock]]</f>
        <v>#DIV/0!</v>
      </c>
      <c r="AN520" s="1">
        <f>SUMIFS(stock[MT],stock[Bucket],scheduleapr[[#This Row],[Bucket]],stock[CTL Bucket],scheduleapr[[#This Row],[CTL Bucket]],stock[Plant],"0789")</f>
        <v>0</v>
      </c>
      <c r="AO520" s="1"/>
      <c r="AP520" s="1">
        <f>SUMIFS(stock[MT],stock[Bucket],scheduleapr[[#This Row],[Bucket]],stock[LL or CTL],"LL")</f>
        <v>85.281796</v>
      </c>
      <c r="AQ520" s="1">
        <f>+SUMIFS(wip[Stock(Net Wt)],wip[Bucket],scheduleapr[[#This Row],[Bucket]])/1000</f>
        <v>1.9950000000000001</v>
      </c>
      <c r="AR520" s="1">
        <f t="shared" si="18"/>
        <v>0</v>
      </c>
      <c r="AS520" s="118"/>
    </row>
    <row r="521" spans="1:45" x14ac:dyDescent="0.25">
      <c r="A521" s="30">
        <v>438</v>
      </c>
      <c r="B521" s="5" t="s">
        <v>1816</v>
      </c>
      <c r="C521" s="2" t="s">
        <v>116</v>
      </c>
      <c r="D521" s="2" t="s">
        <v>2069</v>
      </c>
      <c r="E521" s="2">
        <v>188534</v>
      </c>
      <c r="F521" s="2">
        <v>2440971</v>
      </c>
      <c r="G521" s="2" t="str">
        <f>_xlfn.CONCAT(scheduleapr[[#This Row],[CUSTOMER CODE]],"-",scheduleapr[[#This Row],[MATERIAL NO]])</f>
        <v>188534-2440971</v>
      </c>
      <c r="H521" s="2" t="s">
        <v>1676</v>
      </c>
      <c r="I521" s="2" t="s">
        <v>962</v>
      </c>
      <c r="J521" s="2"/>
      <c r="K521" s="2" t="s">
        <v>1003</v>
      </c>
      <c r="L521" s="2" t="s">
        <v>1867</v>
      </c>
      <c r="M521" s="44" t="s">
        <v>1868</v>
      </c>
      <c r="N521" s="2"/>
      <c r="O521" s="2"/>
      <c r="P521" s="2"/>
      <c r="Q521" s="557" t="str">
        <f>CONCATENATE(scheduleapr[[#This Row],[OD]],"-",scheduleapr[[#This Row],[ID]],"-",scheduleapr[[#This Row],[TICKNESS]],"-",scheduleapr[[#This Row],[Grade]],"-",scheduleapr[[#This Row],[FC/NFC]])</f>
        <v>40-25-1.6-ERW 1-FC</v>
      </c>
      <c r="R521" s="557" t="str">
        <f>_xlfn.CONCAT(scheduleapr[[#This Row],[Bucket]],"-",scheduleapr[[#This Row],[LENGTH]]/1000)</f>
        <v>40-25-1.6-ERW 1-FC-0.318</v>
      </c>
      <c r="S521" s="557">
        <f>COUNTIF(scheduleapr[CTL Bucket],scheduleapr[[#This Row],[CTL Bucket]])</f>
        <v>1</v>
      </c>
      <c r="T521" s="2" t="s">
        <v>1816</v>
      </c>
      <c r="U521" s="2"/>
      <c r="V521" s="557"/>
      <c r="W521" s="557"/>
      <c r="X521" s="1">
        <v>41.28</v>
      </c>
      <c r="Y521" s="1">
        <v>40</v>
      </c>
      <c r="Z521" s="1">
        <v>25</v>
      </c>
      <c r="AA521" s="1">
        <v>1.6</v>
      </c>
      <c r="AB521" s="24">
        <v>318</v>
      </c>
      <c r="AC521" s="24" t="s">
        <v>397</v>
      </c>
      <c r="AD521" s="24"/>
      <c r="AE521" s="24"/>
      <c r="AF521" s="2"/>
      <c r="AG521" s="2"/>
      <c r="AH521" s="2" cm="1">
        <f t="array" ref="AH5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1" s="4">
        <f>scheduleapr[[#This Row],[SCHEDULE in nos]]-scheduleapr[[#This Row],[DISPATCH]]</f>
        <v>0</v>
      </c>
      <c r="AJ521" s="1">
        <f>(3.14*(scheduleapr[[#This Row],[ACTUAL OD]]-scheduleapr[[#This Row],[TICKNESS]])*scheduleapr[[#This Row],[TICKNESS]]*scheduleapr[[#This Row],[LENGTH]]*7.85)/1000000*scheduleapr[[#This Row],[SCHEDULE in nos]]/1000</f>
        <v>0</v>
      </c>
      <c r="AK521" s="1">
        <f>(3.14*(scheduleapr[[#This Row],[ACTUAL OD]]-scheduleapr[[#This Row],[TICKNESS]])*scheduleapr[[#This Row],[TICKNESS]]*scheduleapr[[#This Row],[LENGTH]]*7.85)/1000000*scheduleapr[[#This Row],[DISPATCH]]/1000</f>
        <v>0</v>
      </c>
      <c r="AL521" s="1">
        <f t="shared" si="19"/>
        <v>0</v>
      </c>
      <c r="AM521" s="1" t="e">
        <f>scheduleapr[[#This Row],[SCHEDULE in nos]]/scheduleapr[[#This Row],[SCHEDULE IN MT]]*scheduleapr[[#This Row],[CTL Stock]]</f>
        <v>#DIV/0!</v>
      </c>
      <c r="AN521" s="1">
        <f>SUMIFS(stock[MT],stock[Bucket],scheduleapr[[#This Row],[Bucket]],stock[CTL Bucket],scheduleapr[[#This Row],[CTL Bucket]],stock[Plant],"0789")</f>
        <v>0</v>
      </c>
      <c r="AO521" s="1"/>
      <c r="AP521" s="1">
        <f>SUMIFS(stock[MT],stock[Bucket],scheduleapr[[#This Row],[Bucket]],stock[LL or CTL],"LL")</f>
        <v>0.61827399999999999</v>
      </c>
      <c r="AQ521" s="1">
        <f>+SUMIFS(wip[Stock(Net Wt)],wip[Bucket],scheduleapr[[#This Row],[Bucket]])/1000</f>
        <v>0</v>
      </c>
      <c r="AR521" s="1">
        <f t="shared" si="18"/>
        <v>0</v>
      </c>
      <c r="AS521" s="118"/>
    </row>
    <row r="522" spans="1:45" x14ac:dyDescent="0.25">
      <c r="A522" s="30">
        <v>439</v>
      </c>
      <c r="B522" s="5" t="s">
        <v>1872</v>
      </c>
      <c r="C522" s="2" t="s">
        <v>116</v>
      </c>
      <c r="D522" s="2" t="s">
        <v>2069</v>
      </c>
      <c r="E522" s="2">
        <v>188534</v>
      </c>
      <c r="F522" s="2">
        <v>3433148</v>
      </c>
      <c r="G522" s="2" t="str">
        <f>_xlfn.CONCAT(scheduleapr[[#This Row],[CUSTOMER CODE]],"-",scheduleapr[[#This Row],[MATERIAL NO]])</f>
        <v>188534-3433148</v>
      </c>
      <c r="H522" s="2" t="s">
        <v>1693</v>
      </c>
      <c r="I522" s="2" t="s">
        <v>962</v>
      </c>
      <c r="J522" s="2" t="s">
        <v>1894</v>
      </c>
      <c r="K522" s="2" t="s">
        <v>1003</v>
      </c>
      <c r="L522" s="2" t="s">
        <v>239</v>
      </c>
      <c r="M522" s="2"/>
      <c r="N522" s="2" t="s">
        <v>1516</v>
      </c>
      <c r="O522" s="2"/>
      <c r="P522" s="2"/>
      <c r="Q522" s="557" t="str">
        <f>CONCATENATE(scheduleapr[[#This Row],[OD]],"-",scheduleapr[[#This Row],[ID]],"-",scheduleapr[[#This Row],[TICKNESS]],"-",scheduleapr[[#This Row],[Grade]],"-",scheduleapr[[#This Row],[FC/NFC]])</f>
        <v>42.7-0-3.5-ERW 1-FC</v>
      </c>
      <c r="R522" s="557" t="str">
        <f>_xlfn.CONCAT(scheduleapr[[#This Row],[Bucket]],"-",scheduleapr[[#This Row],[LENGTH]]/1000)</f>
        <v>42.7-0-3.5-ERW 1-FC-0.247</v>
      </c>
      <c r="S522" s="557" t="e" vm="2">
        <f>COUNTIF([2]!buckets[CTL Bucket],[2]!scheduleapr[[#This Row],[CTL Bucket]])</f>
        <v>#REF!</v>
      </c>
      <c r="T522" s="2" t="s">
        <v>1817</v>
      </c>
      <c r="U522" s="2" t="s">
        <v>1913</v>
      </c>
      <c r="V522" s="557"/>
      <c r="W522" s="557"/>
      <c r="X522" s="1">
        <v>42.7</v>
      </c>
      <c r="Y522" s="1">
        <v>42.7</v>
      </c>
      <c r="Z522" s="1">
        <v>0</v>
      </c>
      <c r="AA522" s="1">
        <v>3.5</v>
      </c>
      <c r="AB522" s="24">
        <v>247</v>
      </c>
      <c r="AC522" s="24" t="s">
        <v>397</v>
      </c>
      <c r="AD522" s="24"/>
      <c r="AE522" s="24"/>
      <c r="AF522" s="2"/>
      <c r="AG522" s="2"/>
      <c r="AH522" s="2" cm="1">
        <f t="array" ref="AH5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2" s="4">
        <f>scheduleapr[[#This Row],[SCHEDULE in nos]]-scheduleapr[[#This Row],[DISPATCH]]</f>
        <v>0</v>
      </c>
      <c r="AJ522" s="1">
        <f>(3.14*(scheduleapr[[#This Row],[ACTUAL OD]]-scheduleapr[[#This Row],[TICKNESS]])*scheduleapr[[#This Row],[TICKNESS]]*scheduleapr[[#This Row],[LENGTH]]*7.85)/1000000*scheduleapr[[#This Row],[SCHEDULE in nos]]/1000</f>
        <v>0</v>
      </c>
      <c r="AK522" s="1">
        <f>(3.14*(scheduleapr[[#This Row],[ACTUAL OD]]-scheduleapr[[#This Row],[TICKNESS]])*scheduleapr[[#This Row],[TICKNESS]]*scheduleapr[[#This Row],[LENGTH]]*7.85)/1000000*scheduleapr[[#This Row],[DISPATCH]]/1000</f>
        <v>0</v>
      </c>
      <c r="AL522" s="1">
        <f t="shared" si="19"/>
        <v>0</v>
      </c>
      <c r="AM522" s="1" t="e">
        <f>scheduleapr[[#This Row],[SCHEDULE in nos]]/scheduleapr[[#This Row],[SCHEDULE IN MT]]*scheduleapr[[#This Row],[CTL Stock]]</f>
        <v>#DIV/0!</v>
      </c>
      <c r="AN522" s="1">
        <f>SUMIFS(stock[MT],stock[Bucket],scheduleapr[[#This Row],[Bucket]],stock[CTL Bucket],scheduleapr[[#This Row],[CTL Bucket]],stock[Plant],"0789")</f>
        <v>0</v>
      </c>
      <c r="AO522" s="1"/>
      <c r="AP522" s="1">
        <f>SUMIFS(stock[MT],stock[Bucket],scheduleapr[[#This Row],[Bucket]],stock[LL or CTL],"LL")</f>
        <v>9.465421000000001</v>
      </c>
      <c r="AQ522" s="1">
        <f>+SUMIFS(wip[Stock(Net Wt)],wip[Bucket],scheduleapr[[#This Row],[Bucket]])/1000</f>
        <v>0</v>
      </c>
      <c r="AR522" s="1">
        <f t="shared" si="18"/>
        <v>0</v>
      </c>
      <c r="AS522" s="118"/>
    </row>
    <row r="523" spans="1:45" x14ac:dyDescent="0.25">
      <c r="A523" s="30">
        <v>441</v>
      </c>
      <c r="B523" s="5" t="s">
        <v>1816</v>
      </c>
      <c r="C523" s="2" t="s">
        <v>116</v>
      </c>
      <c r="D523" s="48" t="s">
        <v>2069</v>
      </c>
      <c r="E523" s="2">
        <v>188534</v>
      </c>
      <c r="F523" s="2">
        <v>3732177</v>
      </c>
      <c r="G523" s="2" t="str">
        <f>_xlfn.CONCAT(scheduleapr[[#This Row],[CUSTOMER CODE]],"-",scheduleapr[[#This Row],[MATERIAL NO]])</f>
        <v>188534-3732177</v>
      </c>
      <c r="H523" s="2" t="s">
        <v>1746</v>
      </c>
      <c r="I523" s="2" t="s">
        <v>962</v>
      </c>
      <c r="J523" s="2"/>
      <c r="K523" s="2" t="s">
        <v>1003</v>
      </c>
      <c r="L523" s="2" t="s">
        <v>239</v>
      </c>
      <c r="M523" s="2"/>
      <c r="N523" s="2"/>
      <c r="O523" s="2" t="s">
        <v>1895</v>
      </c>
      <c r="P523" s="2"/>
      <c r="Q523" s="557" t="str">
        <f>CONCATENATE(scheduleapr[[#This Row],[OD]],"-",scheduleapr[[#This Row],[ID]],"-",scheduleapr[[#This Row],[TICKNESS]],"-",scheduleapr[[#This Row],[Grade]],"-",scheduleapr[[#This Row],[FC/NFC]])</f>
        <v>57.15-0-2.5-ERW 1-FC</v>
      </c>
      <c r="R523" s="557" t="str">
        <f>_xlfn.CONCAT(scheduleapr[[#This Row],[Bucket]],"-",scheduleapr[[#This Row],[LENGTH]]/1000)</f>
        <v>57.15-0-2.5-ERW 1-FC-0.326</v>
      </c>
      <c r="S523" s="557" t="e" vm="2">
        <f>COUNTIF([2]!buckets[CTL Bucket],[2]!scheduleapr[[#This Row],[CTL Bucket]])</f>
        <v>#REF!</v>
      </c>
      <c r="T523" s="2" t="s">
        <v>1816</v>
      </c>
      <c r="U523" s="2" t="s">
        <v>1913</v>
      </c>
      <c r="V523" s="557"/>
      <c r="W523" s="557"/>
      <c r="X523" s="1">
        <v>57.15</v>
      </c>
      <c r="Y523" s="1">
        <v>57.15</v>
      </c>
      <c r="Z523" s="1">
        <v>0</v>
      </c>
      <c r="AA523" s="1">
        <v>2.5</v>
      </c>
      <c r="AB523" s="24">
        <v>326</v>
      </c>
      <c r="AC523" s="24" t="s">
        <v>397</v>
      </c>
      <c r="AD523" s="24"/>
      <c r="AE523" s="24"/>
      <c r="AF523" s="2"/>
      <c r="AG523" s="2"/>
      <c r="AH523" s="2" cm="1">
        <f t="array" ref="AH5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3" s="4">
        <f>scheduleapr[[#This Row],[SCHEDULE in nos]]-scheduleapr[[#This Row],[DISPATCH]]</f>
        <v>0</v>
      </c>
      <c r="AJ523" s="1">
        <f>(3.14*(scheduleapr[[#This Row],[ACTUAL OD]]-scheduleapr[[#This Row],[TICKNESS]])*scheduleapr[[#This Row],[TICKNESS]]*scheduleapr[[#This Row],[LENGTH]]*7.85)/1000000*scheduleapr[[#This Row],[SCHEDULE in nos]]/1000</f>
        <v>0</v>
      </c>
      <c r="AK523" s="1">
        <f>(3.14*(scheduleapr[[#This Row],[ACTUAL OD]]-scheduleapr[[#This Row],[TICKNESS]])*scheduleapr[[#This Row],[TICKNESS]]*scheduleapr[[#This Row],[LENGTH]]*7.85)/1000000*scheduleapr[[#This Row],[DISPATCH]]/1000</f>
        <v>0</v>
      </c>
      <c r="AL523" s="1">
        <f t="shared" si="19"/>
        <v>0</v>
      </c>
      <c r="AM523" s="1" t="e">
        <f>scheduleapr[[#This Row],[SCHEDULE in nos]]/scheduleapr[[#This Row],[SCHEDULE IN MT]]*scheduleapr[[#This Row],[CTL Stock]]</f>
        <v>#DIV/0!</v>
      </c>
      <c r="AN523" s="1">
        <f>SUMIFS(stock[MT],stock[Bucket],scheduleapr[[#This Row],[Bucket]],stock[CTL Bucket],scheduleapr[[#This Row],[CTL Bucket]],stock[Plant],"0789")</f>
        <v>0</v>
      </c>
      <c r="AO523" s="1"/>
      <c r="AP523" s="1">
        <f>SUMIFS(stock[MT],stock[Bucket],scheduleapr[[#This Row],[Bucket]],stock[LL or CTL],"LL")</f>
        <v>18.554921999999998</v>
      </c>
      <c r="AQ523" s="1">
        <f>+SUMIFS(wip[Stock(Net Wt)],wip[Bucket],scheduleapr[[#This Row],[Bucket]])/1000</f>
        <v>0</v>
      </c>
      <c r="AR523" s="1">
        <f t="shared" si="18"/>
        <v>0</v>
      </c>
      <c r="AS523" s="118"/>
    </row>
    <row r="524" spans="1:45" x14ac:dyDescent="0.25">
      <c r="A524" s="30">
        <v>442</v>
      </c>
      <c r="B524" s="5" t="s">
        <v>1816</v>
      </c>
      <c r="C524" s="2" t="s">
        <v>116</v>
      </c>
      <c r="D524" s="2" t="s">
        <v>2069</v>
      </c>
      <c r="E524" s="2">
        <v>188534</v>
      </c>
      <c r="F524" s="2">
        <v>2440972</v>
      </c>
      <c r="G524" s="2" t="str">
        <f>_xlfn.CONCAT(scheduleapr[[#This Row],[CUSTOMER CODE]],"-",scheduleapr[[#This Row],[MATERIAL NO]])</f>
        <v>188534-2440972</v>
      </c>
      <c r="H524" s="2" t="s">
        <v>1747</v>
      </c>
      <c r="I524" s="2" t="s">
        <v>962</v>
      </c>
      <c r="J524" s="2"/>
      <c r="K524" s="2" t="s">
        <v>1003</v>
      </c>
      <c r="L524" s="2" t="s">
        <v>239</v>
      </c>
      <c r="M524" s="2"/>
      <c r="N524" s="2"/>
      <c r="O524" s="2"/>
      <c r="P524" s="2"/>
      <c r="Q524" s="557" t="str">
        <f>CONCATENATE(scheduleapr[[#This Row],[OD]],"-",scheduleapr[[#This Row],[ID]],"-",scheduleapr[[#This Row],[TICKNESS]],"-",scheduleapr[[#This Row],[Grade]],"-",scheduleapr[[#This Row],[FC/NFC]])</f>
        <v>57.15-0-2.5-ERW 1-FC</v>
      </c>
      <c r="R524" s="557" t="str">
        <f>_xlfn.CONCAT(scheduleapr[[#This Row],[Bucket]],"-",scheduleapr[[#This Row],[LENGTH]]/1000)</f>
        <v>57.15-0-2.5-ERW 1-FC-0.375</v>
      </c>
      <c r="S524" s="557" t="e" vm="2">
        <f>COUNTIF([2]!buckets[CTL Bucket],[2]!scheduleapr[[#This Row],[CTL Bucket]])</f>
        <v>#REF!</v>
      </c>
      <c r="T524" s="2" t="s">
        <v>1816</v>
      </c>
      <c r="U524" s="2" t="s">
        <v>1913</v>
      </c>
      <c r="V524" s="557"/>
      <c r="W524" s="557"/>
      <c r="X524" s="1">
        <v>57.15</v>
      </c>
      <c r="Y524" s="1">
        <v>57.15</v>
      </c>
      <c r="Z524" s="1">
        <v>0</v>
      </c>
      <c r="AA524" s="1">
        <v>2.5</v>
      </c>
      <c r="AB524" s="24">
        <v>375</v>
      </c>
      <c r="AC524" s="24" t="s">
        <v>397</v>
      </c>
      <c r="AD524" s="24"/>
      <c r="AE524" s="24"/>
      <c r="AF524" s="2"/>
      <c r="AG524" s="2"/>
      <c r="AH524" s="2" cm="1">
        <f t="array" ref="AH5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4" s="4">
        <f>scheduleapr[[#This Row],[SCHEDULE in nos]]-scheduleapr[[#This Row],[DISPATCH]]</f>
        <v>0</v>
      </c>
      <c r="AJ524" s="1">
        <f>(3.14*(scheduleapr[[#This Row],[ACTUAL OD]]-scheduleapr[[#This Row],[TICKNESS]])*scheduleapr[[#This Row],[TICKNESS]]*scheduleapr[[#This Row],[LENGTH]]*7.85)/1000000*scheduleapr[[#This Row],[SCHEDULE in nos]]/1000</f>
        <v>0</v>
      </c>
      <c r="AK524" s="1">
        <f>(3.14*(scheduleapr[[#This Row],[ACTUAL OD]]-scheduleapr[[#This Row],[TICKNESS]])*scheduleapr[[#This Row],[TICKNESS]]*scheduleapr[[#This Row],[LENGTH]]*7.85)/1000000*scheduleapr[[#This Row],[DISPATCH]]/1000</f>
        <v>0</v>
      </c>
      <c r="AL524" s="1">
        <f t="shared" si="19"/>
        <v>0</v>
      </c>
      <c r="AM524" s="1" t="e">
        <f>scheduleapr[[#This Row],[SCHEDULE in nos]]/scheduleapr[[#This Row],[SCHEDULE IN MT]]*scheduleapr[[#This Row],[CTL Stock]]</f>
        <v>#DIV/0!</v>
      </c>
      <c r="AN524" s="1">
        <f>SUMIFS(stock[MT],stock[Bucket],scheduleapr[[#This Row],[Bucket]],stock[CTL Bucket],scheduleapr[[#This Row],[CTL Bucket]],stock[Plant],"0789")</f>
        <v>0</v>
      </c>
      <c r="AO524" s="1"/>
      <c r="AP524" s="1">
        <f>SUMIFS(stock[MT],stock[Bucket],scheduleapr[[#This Row],[Bucket]],stock[LL or CTL],"LL")</f>
        <v>18.554921999999998</v>
      </c>
      <c r="AQ524" s="1">
        <f>+SUMIFS(wip[Stock(Net Wt)],wip[Bucket],scheduleapr[[#This Row],[Bucket]])/1000</f>
        <v>0</v>
      </c>
      <c r="AR524" s="1">
        <f t="shared" si="18"/>
        <v>0</v>
      </c>
      <c r="AS524" s="118"/>
    </row>
    <row r="525" spans="1:45" x14ac:dyDescent="0.25">
      <c r="A525" s="30">
        <v>443</v>
      </c>
      <c r="B525" s="5" t="s">
        <v>1816</v>
      </c>
      <c r="C525" s="2" t="s">
        <v>116</v>
      </c>
      <c r="D525" s="2" t="s">
        <v>2069</v>
      </c>
      <c r="E525" s="2">
        <v>188534</v>
      </c>
      <c r="F525" s="2">
        <v>3731697</v>
      </c>
      <c r="G525" s="2" t="str">
        <f>_xlfn.CONCAT(scheduleapr[[#This Row],[CUSTOMER CODE]],"-",scheduleapr[[#This Row],[MATERIAL NO]])</f>
        <v>188534-3731697</v>
      </c>
      <c r="H525" s="2" t="s">
        <v>1748</v>
      </c>
      <c r="I525" s="2" t="s">
        <v>962</v>
      </c>
      <c r="J525" s="2"/>
      <c r="K525" s="2" t="s">
        <v>1003</v>
      </c>
      <c r="L525" s="2" t="s">
        <v>239</v>
      </c>
      <c r="M525" s="2"/>
      <c r="N525" s="2"/>
      <c r="O525" s="2" t="s">
        <v>1895</v>
      </c>
      <c r="P525" s="2"/>
      <c r="Q525" s="557" t="str">
        <f>CONCATENATE(scheduleapr[[#This Row],[OD]],"-",scheduleapr[[#This Row],[ID]],"-",scheduleapr[[#This Row],[TICKNESS]],"-",scheduleapr[[#This Row],[Grade]],"-",scheduleapr[[#This Row],[FC/NFC]])</f>
        <v>57.15-0-2.5-ERW 1-FC</v>
      </c>
      <c r="R525" s="557" t="str">
        <f>_xlfn.CONCAT(scheduleapr[[#This Row],[Bucket]],"-",scheduleapr[[#This Row],[LENGTH]]/1000)</f>
        <v>57.15-0-2.5-ERW 1-FC-0.526</v>
      </c>
      <c r="S525" s="557" t="e" vm="2">
        <f>COUNTIF([2]!buckets[CTL Bucket],[2]!scheduleapr[[#This Row],[CTL Bucket]])</f>
        <v>#REF!</v>
      </c>
      <c r="T525" s="2" t="s">
        <v>1816</v>
      </c>
      <c r="U525" s="2" t="s">
        <v>1913</v>
      </c>
      <c r="V525" s="557"/>
      <c r="W525" s="557"/>
      <c r="X525" s="1">
        <v>57.15</v>
      </c>
      <c r="Y525" s="1">
        <v>57.15</v>
      </c>
      <c r="Z525" s="1">
        <v>0</v>
      </c>
      <c r="AA525" s="1">
        <v>2.5</v>
      </c>
      <c r="AB525" s="24">
        <v>526</v>
      </c>
      <c r="AC525" s="24" t="s">
        <v>397</v>
      </c>
      <c r="AD525" s="24"/>
      <c r="AE525" s="24"/>
      <c r="AF525" s="2"/>
      <c r="AG525" s="2"/>
      <c r="AH525" s="2" cm="1">
        <f t="array" ref="AH5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5" s="4">
        <f>scheduleapr[[#This Row],[SCHEDULE in nos]]-scheduleapr[[#This Row],[DISPATCH]]</f>
        <v>0</v>
      </c>
      <c r="AJ525" s="1">
        <f>(3.14*(scheduleapr[[#This Row],[ACTUAL OD]]-scheduleapr[[#This Row],[TICKNESS]])*scheduleapr[[#This Row],[TICKNESS]]*scheduleapr[[#This Row],[LENGTH]]*7.85)/1000000*scheduleapr[[#This Row],[SCHEDULE in nos]]/1000</f>
        <v>0</v>
      </c>
      <c r="AK525" s="1">
        <f>(3.14*(scheduleapr[[#This Row],[ACTUAL OD]]-scheduleapr[[#This Row],[TICKNESS]])*scheduleapr[[#This Row],[TICKNESS]]*scheduleapr[[#This Row],[LENGTH]]*7.85)/1000000*scheduleapr[[#This Row],[DISPATCH]]/1000</f>
        <v>0</v>
      </c>
      <c r="AL525" s="1">
        <f t="shared" si="19"/>
        <v>0</v>
      </c>
      <c r="AM525" s="1" t="e">
        <f>scheduleapr[[#This Row],[SCHEDULE in nos]]/scheduleapr[[#This Row],[SCHEDULE IN MT]]*scheduleapr[[#This Row],[CTL Stock]]</f>
        <v>#DIV/0!</v>
      </c>
      <c r="AN525" s="1">
        <f>SUMIFS(stock[MT],stock[Bucket],scheduleapr[[#This Row],[Bucket]],stock[CTL Bucket],scheduleapr[[#This Row],[CTL Bucket]],stock[Plant],"0789")</f>
        <v>0</v>
      </c>
      <c r="AO525" s="1"/>
      <c r="AP525" s="1">
        <f>SUMIFS(stock[MT],stock[Bucket],scheduleapr[[#This Row],[Bucket]],stock[LL or CTL],"LL")</f>
        <v>18.554921999999998</v>
      </c>
      <c r="AQ525" s="1">
        <f>+SUMIFS(wip[Stock(Net Wt)],wip[Bucket],scheduleapr[[#This Row],[Bucket]])/1000</f>
        <v>0</v>
      </c>
      <c r="AR525" s="1">
        <f t="shared" si="18"/>
        <v>0</v>
      </c>
      <c r="AS525" s="118"/>
    </row>
    <row r="526" spans="1:45" x14ac:dyDescent="0.25">
      <c r="A526" s="30">
        <v>435</v>
      </c>
      <c r="B526" s="5" t="s">
        <v>1816</v>
      </c>
      <c r="C526" s="2" t="s">
        <v>116</v>
      </c>
      <c r="D526" s="2" t="s">
        <v>2069</v>
      </c>
      <c r="E526" s="2">
        <v>188534</v>
      </c>
      <c r="F526" s="9">
        <v>3841884</v>
      </c>
      <c r="G526" s="2" t="str">
        <f>_xlfn.CONCAT(scheduleapr[[#This Row],[CUSTOMER CODE]],"-",scheduleapr[[#This Row],[MATERIAL NO]])</f>
        <v>188534-3841884</v>
      </c>
      <c r="H526" s="2" t="s">
        <v>1643</v>
      </c>
      <c r="I526" s="2" t="s">
        <v>985</v>
      </c>
      <c r="J526" s="2"/>
      <c r="K526" s="2" t="s">
        <v>1003</v>
      </c>
      <c r="L526" s="2" t="s">
        <v>1867</v>
      </c>
      <c r="M526" s="44" t="s">
        <v>1924</v>
      </c>
      <c r="N526" s="2"/>
      <c r="O526" s="2"/>
      <c r="P526" s="2"/>
      <c r="Q526" s="557" t="str">
        <f>CONCATENATE(scheduleapr[[#This Row],[OD]],"-",scheduleapr[[#This Row],[ID]],"-",scheduleapr[[#This Row],[TICKNESS]],"-",scheduleapr[[#This Row],[Grade]],"-",scheduleapr[[#This Row],[FC/NFC]])</f>
        <v>38.1-0-1.6-ERW 2 MAHS-FC</v>
      </c>
      <c r="R526" s="557" t="str">
        <f>_xlfn.CONCAT(scheduleapr[[#This Row],[Bucket]],"-",scheduleapr[[#This Row],[LENGTH]]/1000)</f>
        <v>38.1-0-1.6-ERW 2 MAHS-FC-0.875</v>
      </c>
      <c r="S526" s="557" t="e" vm="2">
        <f>COUNTIF([2]!buckets[CTL Bucket],[2]!scheduleapr[[#This Row],[CTL Bucket]])</f>
        <v>#REF!</v>
      </c>
      <c r="T526" s="2" t="s">
        <v>1928</v>
      </c>
      <c r="U526" s="2"/>
      <c r="V526" s="557"/>
      <c r="W526" s="557"/>
      <c r="X526" s="1">
        <v>38.1</v>
      </c>
      <c r="Y526" s="1">
        <v>38.1</v>
      </c>
      <c r="Z526" s="1">
        <v>0</v>
      </c>
      <c r="AA526" s="1">
        <v>1.6</v>
      </c>
      <c r="AB526" s="24">
        <v>875</v>
      </c>
      <c r="AC526" s="24" t="s">
        <v>397</v>
      </c>
      <c r="AD526" s="24"/>
      <c r="AE526" s="24"/>
      <c r="AF526" s="2"/>
      <c r="AG526" s="2"/>
      <c r="AH526" s="2" cm="1">
        <f t="array" ref="AH5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6" s="4">
        <f>scheduleapr[[#This Row],[SCHEDULE in nos]]-scheduleapr[[#This Row],[DISPATCH]]</f>
        <v>0</v>
      </c>
      <c r="AJ526" s="1">
        <f>(3.14*(scheduleapr[[#This Row],[ACTUAL OD]]-scheduleapr[[#This Row],[TICKNESS]])*scheduleapr[[#This Row],[TICKNESS]]*scheduleapr[[#This Row],[LENGTH]]*7.85)/1000000*scheduleapr[[#This Row],[SCHEDULE in nos]]/1000</f>
        <v>0</v>
      </c>
      <c r="AK526" s="1">
        <f>(3.14*(scheduleapr[[#This Row],[ACTUAL OD]]-scheduleapr[[#This Row],[TICKNESS]])*scheduleapr[[#This Row],[TICKNESS]]*scheduleapr[[#This Row],[LENGTH]]*7.85)/1000000*scheduleapr[[#This Row],[DISPATCH]]/1000</f>
        <v>0</v>
      </c>
      <c r="AL526" s="1">
        <f t="shared" si="19"/>
        <v>0</v>
      </c>
      <c r="AM526" s="1" t="e">
        <f>scheduleapr[[#This Row],[SCHEDULE in nos]]/scheduleapr[[#This Row],[SCHEDULE IN MT]]*scheduleapr[[#This Row],[CTL Stock]]</f>
        <v>#DIV/0!</v>
      </c>
      <c r="AN526" s="1">
        <f>SUMIFS(stock[MT],stock[Bucket],scheduleapr[[#This Row],[Bucket]],stock[CTL Bucket],scheduleapr[[#This Row],[CTL Bucket]],stock[Plant],"0789")</f>
        <v>0</v>
      </c>
      <c r="AO526" s="1"/>
      <c r="AP526" s="1">
        <f>SUMIFS(stock[MT],stock[Bucket],scheduleapr[[#This Row],[Bucket]],stock[LL or CTL],"LL")</f>
        <v>0.37121100000000001</v>
      </c>
      <c r="AQ526" s="1">
        <f>+SUMIFS(wip[Stock(Net Wt)],wip[Bucket],scheduleapr[[#This Row],[Bucket]])/1000</f>
        <v>3.1419999999999999</v>
      </c>
      <c r="AR526" s="1">
        <f t="shared" si="18"/>
        <v>0</v>
      </c>
      <c r="AS526" s="118"/>
    </row>
    <row r="527" spans="1:45" x14ac:dyDescent="0.25">
      <c r="A527" s="30">
        <v>437</v>
      </c>
      <c r="B527" s="5" t="s">
        <v>1928</v>
      </c>
      <c r="C527" s="2" t="s">
        <v>116</v>
      </c>
      <c r="D527" s="48" t="s">
        <v>2069</v>
      </c>
      <c r="E527" s="2">
        <v>188534</v>
      </c>
      <c r="F527" s="2">
        <v>2436343</v>
      </c>
      <c r="G527" s="2" t="str">
        <f>_xlfn.CONCAT(scheduleapr[[#This Row],[CUSTOMER CODE]],"-",scheduleapr[[#This Row],[MATERIAL NO]])</f>
        <v>188534-2436343</v>
      </c>
      <c r="H527" s="86" t="s">
        <v>2074</v>
      </c>
      <c r="I527" s="2" t="s">
        <v>985</v>
      </c>
      <c r="J527" s="2"/>
      <c r="K527" s="2" t="s">
        <v>1003</v>
      </c>
      <c r="L527" s="2" t="s">
        <v>239</v>
      </c>
      <c r="M527" s="44" t="s">
        <v>1924</v>
      </c>
      <c r="N527" s="2"/>
      <c r="O527" s="2"/>
      <c r="P527" s="2"/>
      <c r="Q527" s="557" t="str">
        <f>CONCATENATE(scheduleapr[[#This Row],[OD]],"-",scheduleapr[[#This Row],[ID]],"-",scheduleapr[[#This Row],[TICKNESS]],"-",scheduleapr[[#This Row],[Grade]],"-",scheduleapr[[#This Row],[FC/NFC]])</f>
        <v>38.1-0-2.5-ERW 2 MAHS-FC</v>
      </c>
      <c r="R527" s="557" t="str">
        <f>_xlfn.CONCAT(scheduleapr[[#This Row],[Bucket]],"-",scheduleapr[[#This Row],[LENGTH]]/1000)</f>
        <v>38.1-0-2.5-ERW 2 MAHS-FC-0.875</v>
      </c>
      <c r="S527" s="557" t="e" vm="2">
        <f>COUNTIF([2]!buckets[CTL Bucket],[2]!scheduleapr[[#This Row],[CTL Bucket]])</f>
        <v>#REF!</v>
      </c>
      <c r="T527" s="2" t="s">
        <v>1928</v>
      </c>
      <c r="U527" s="2"/>
      <c r="V527" s="557"/>
      <c r="W527" s="557"/>
      <c r="X527" s="1">
        <v>38.1</v>
      </c>
      <c r="Y527" s="1">
        <v>38.1</v>
      </c>
      <c r="Z527" s="1">
        <v>0</v>
      </c>
      <c r="AA527" s="1">
        <v>2.5</v>
      </c>
      <c r="AB527" s="24">
        <v>875</v>
      </c>
      <c r="AC527" s="24" t="s">
        <v>397</v>
      </c>
      <c r="AD527" s="24"/>
      <c r="AE527" s="24"/>
      <c r="AF527" s="2"/>
      <c r="AG527" s="2"/>
      <c r="AH527" s="2" cm="1">
        <f t="array" ref="AH5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7" s="4">
        <f>scheduleapr[[#This Row],[SCHEDULE in nos]]-scheduleapr[[#This Row],[DISPATCH]]</f>
        <v>0</v>
      </c>
      <c r="AJ527" s="1">
        <f>(3.14*(scheduleapr[[#This Row],[ACTUAL OD]]-scheduleapr[[#This Row],[TICKNESS]])*scheduleapr[[#This Row],[TICKNESS]]*scheduleapr[[#This Row],[LENGTH]]*7.85)/1000000*scheduleapr[[#This Row],[SCHEDULE in nos]]/1000</f>
        <v>0</v>
      </c>
      <c r="AK527" s="1">
        <f>(3.14*(scheduleapr[[#This Row],[ACTUAL OD]]-scheduleapr[[#This Row],[TICKNESS]])*scheduleapr[[#This Row],[TICKNESS]]*scheduleapr[[#This Row],[LENGTH]]*7.85)/1000000*scheduleapr[[#This Row],[DISPATCH]]/1000</f>
        <v>0</v>
      </c>
      <c r="AL527" s="1">
        <f t="shared" si="19"/>
        <v>0</v>
      </c>
      <c r="AM527" s="1" t="e">
        <f>scheduleapr[[#This Row],[SCHEDULE in nos]]/scheduleapr[[#This Row],[SCHEDULE IN MT]]*scheduleapr[[#This Row],[CTL Stock]]</f>
        <v>#DIV/0!</v>
      </c>
      <c r="AN527" s="1">
        <f>SUMIFS(stock[MT],stock[Bucket],scheduleapr[[#This Row],[Bucket]],stock[CTL Bucket],scheduleapr[[#This Row],[CTL Bucket]],stock[Plant],"0789")</f>
        <v>0</v>
      </c>
      <c r="AO527" s="1"/>
      <c r="AP527" s="1">
        <f>SUMIFS(stock[MT],stock[Bucket],scheduleapr[[#This Row],[Bucket]],stock[LL or CTL],"LL")</f>
        <v>0.57999999999999996</v>
      </c>
      <c r="AQ527" s="1">
        <f>+SUMIFS(wip[Stock(Net Wt)],wip[Bucket],scheduleapr[[#This Row],[Bucket]])/1000</f>
        <v>0</v>
      </c>
      <c r="AR527" s="1">
        <f t="shared" si="18"/>
        <v>0</v>
      </c>
      <c r="AS527" s="118"/>
    </row>
    <row r="528" spans="1:45" x14ac:dyDescent="0.25">
      <c r="A528" s="30">
        <v>426</v>
      </c>
      <c r="B528" s="5" t="s">
        <v>1816</v>
      </c>
      <c r="C528" s="2" t="s">
        <v>116</v>
      </c>
      <c r="D528" s="2" t="s">
        <v>2069</v>
      </c>
      <c r="E528" s="2">
        <v>188534</v>
      </c>
      <c r="F528" s="2">
        <v>2384088</v>
      </c>
      <c r="G528" s="2" t="str">
        <f>_xlfn.CONCAT(scheduleapr[[#This Row],[CUSTOMER CODE]],"-",scheduleapr[[#This Row],[MATERIAL NO]])</f>
        <v>188534-2384088</v>
      </c>
      <c r="H528" s="2" t="s">
        <v>2075</v>
      </c>
      <c r="I528" s="2"/>
      <c r="J528" s="2"/>
      <c r="K528" s="2"/>
      <c r="L528" s="2" t="s">
        <v>239</v>
      </c>
      <c r="M528" s="2"/>
      <c r="N528" s="2"/>
      <c r="O528" s="2"/>
      <c r="P528" s="2"/>
      <c r="Q528" s="557" t="str">
        <f>CONCATENATE(scheduleapr[[#This Row],[OD]],"-",scheduleapr[[#This Row],[ID]],"-",scheduleapr[[#This Row],[TICKNESS]],"-",scheduleapr[[#This Row],[Grade]],"-",scheduleapr[[#This Row],[FC/NFC]])</f>
        <v>19.05-0-1.6--</v>
      </c>
      <c r="R528" s="557" t="str">
        <f>_xlfn.CONCAT(scheduleapr[[#This Row],[Bucket]],"-",scheduleapr[[#This Row],[LENGTH]]/1000)</f>
        <v>19.05-0-1.6---0.355</v>
      </c>
      <c r="S528" s="557" t="e" vm="2">
        <f>COUNTIF([2]!buckets[CTL Bucket],[2]!scheduleapr[[#This Row],[CTL Bucket]])</f>
        <v>#REF!</v>
      </c>
      <c r="T528" s="557"/>
      <c r="U528" s="557"/>
      <c r="V528" s="557"/>
      <c r="W528" s="557"/>
      <c r="X528" s="1">
        <v>19.05</v>
      </c>
      <c r="Y528" s="1">
        <v>19.05</v>
      </c>
      <c r="Z528" s="1">
        <v>0</v>
      </c>
      <c r="AA528" s="1">
        <v>1.6</v>
      </c>
      <c r="AB528" s="24">
        <v>355</v>
      </c>
      <c r="AC528" s="24" t="s">
        <v>397</v>
      </c>
      <c r="AD528" s="24"/>
      <c r="AE528" s="24"/>
      <c r="AF528" s="2"/>
      <c r="AG528" s="2"/>
      <c r="AH528" s="2" cm="1">
        <f t="array" ref="AH5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8" s="4">
        <f>scheduleapr[[#This Row],[SCHEDULE in nos]]-scheduleapr[[#This Row],[DISPATCH]]</f>
        <v>0</v>
      </c>
      <c r="AJ528" s="1">
        <f>(3.14*(scheduleapr[[#This Row],[ACTUAL OD]]-scheduleapr[[#This Row],[TICKNESS]])*scheduleapr[[#This Row],[TICKNESS]]*scheduleapr[[#This Row],[LENGTH]]*7.85)/1000000*scheduleapr[[#This Row],[SCHEDULE in nos]]/1000</f>
        <v>0</v>
      </c>
      <c r="AK528" s="1">
        <f>(3.14*(scheduleapr[[#This Row],[ACTUAL OD]]-scheduleapr[[#This Row],[TICKNESS]])*scheduleapr[[#This Row],[TICKNESS]]*scheduleapr[[#This Row],[LENGTH]]*7.85)/1000000*scheduleapr[[#This Row],[DISPATCH]]/1000</f>
        <v>0</v>
      </c>
      <c r="AL528" s="1">
        <f t="shared" si="19"/>
        <v>0</v>
      </c>
      <c r="AM528" s="1" t="e">
        <f>scheduleapr[[#This Row],[SCHEDULE in nos]]/scheduleapr[[#This Row],[SCHEDULE IN MT]]*scheduleapr[[#This Row],[CTL Stock]]</f>
        <v>#DIV/0!</v>
      </c>
      <c r="AN528" s="1">
        <f>SUMIFS(stock[MT],stock[Bucket],scheduleapr[[#This Row],[Bucket]],stock[CTL Bucket],scheduleapr[[#This Row],[CTL Bucket]],stock[Plant],"0789")</f>
        <v>0</v>
      </c>
      <c r="AO528" s="1"/>
      <c r="AP528" s="1">
        <f>SUMIFS(stock[MT],stock[Bucket],scheduleapr[[#This Row],[Bucket]],stock[LL or CTL],"LL")</f>
        <v>0</v>
      </c>
      <c r="AQ528" s="1">
        <f>+SUMIFS(wip[Stock(Net Wt)],wip[Bucket],scheduleapr[[#This Row],[Bucket]])/1000</f>
        <v>0</v>
      </c>
      <c r="AR528" s="1">
        <f t="shared" si="18"/>
        <v>0</v>
      </c>
      <c r="AS528" s="118"/>
    </row>
    <row r="529" spans="1:45" x14ac:dyDescent="0.25">
      <c r="A529" s="30">
        <v>440</v>
      </c>
      <c r="B529" s="5" t="s">
        <v>1816</v>
      </c>
      <c r="C529" s="2" t="s">
        <v>116</v>
      </c>
      <c r="D529" s="48" t="s">
        <v>2069</v>
      </c>
      <c r="E529" s="2">
        <v>188534</v>
      </c>
      <c r="F529" s="2">
        <v>3732176</v>
      </c>
      <c r="G529" s="2" t="str">
        <f>_xlfn.CONCAT(scheduleapr[[#This Row],[CUSTOMER CODE]],"-",scheduleapr[[#This Row],[MATERIAL NO]])</f>
        <v>188534-3732176</v>
      </c>
      <c r="H529" s="2" t="s">
        <v>2076</v>
      </c>
      <c r="I529" s="2"/>
      <c r="J529" s="2"/>
      <c r="K529" s="2"/>
      <c r="L529" s="2" t="s">
        <v>239</v>
      </c>
      <c r="M529" s="2"/>
      <c r="N529" s="2"/>
      <c r="O529" s="2"/>
      <c r="P529" s="2"/>
      <c r="Q529" s="557" t="str">
        <f>CONCATENATE(scheduleapr[[#This Row],[OD]],"-",scheduleapr[[#This Row],[ID]],"-",scheduleapr[[#This Row],[TICKNESS]],"-",scheduleapr[[#This Row],[Grade]],"-",scheduleapr[[#This Row],[FC/NFC]])</f>
        <v>57.15-0-2.5--</v>
      </c>
      <c r="R529" s="557" t="str">
        <f>_xlfn.CONCAT(scheduleapr[[#This Row],[Bucket]],"-",scheduleapr[[#This Row],[LENGTH]]/1000)</f>
        <v>57.15-0-2.5---0.295</v>
      </c>
      <c r="S529" s="557" t="e" vm="2">
        <f>COUNTIF([2]!buckets[CTL Bucket],[2]!scheduleapr[[#This Row],[CTL Bucket]])</f>
        <v>#REF!</v>
      </c>
      <c r="T529" s="557"/>
      <c r="U529" s="557"/>
      <c r="V529" s="557"/>
      <c r="W529" s="557"/>
      <c r="X529" s="1">
        <v>57.15</v>
      </c>
      <c r="Y529" s="1">
        <v>57.15</v>
      </c>
      <c r="Z529" s="1">
        <v>0</v>
      </c>
      <c r="AA529" s="1">
        <v>2.5</v>
      </c>
      <c r="AB529" s="24">
        <v>295</v>
      </c>
      <c r="AC529" s="24"/>
      <c r="AD529" s="24"/>
      <c r="AE529" s="24"/>
      <c r="AF529" s="2"/>
      <c r="AG529" s="2"/>
      <c r="AH529" s="2" t="e" cm="1">
        <f t="array" ref="AH5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29" s="4" t="e">
        <f>scheduleapr[[#This Row],[SCHEDULE in nos]]-scheduleapr[[#This Row],[DISPATCH]]</f>
        <v>#N/A</v>
      </c>
      <c r="AJ529" s="1">
        <f>(3.14*(scheduleapr[[#This Row],[ACTUAL OD]]-scheduleapr[[#This Row],[TICKNESS]])*scheduleapr[[#This Row],[TICKNESS]]*scheduleapr[[#This Row],[LENGTH]]*7.85)/1000000*scheduleapr[[#This Row],[SCHEDULE in nos]]/1000</f>
        <v>0</v>
      </c>
      <c r="AK529" s="1" t="e">
        <f>(3.14*(scheduleapr[[#This Row],[ACTUAL OD]]-scheduleapr[[#This Row],[TICKNESS]])*scheduleapr[[#This Row],[TICKNESS]]*scheduleapr[[#This Row],[LENGTH]]*7.85)/1000000*scheduleapr[[#This Row],[DISPATCH]]/1000</f>
        <v>#N/A</v>
      </c>
      <c r="AL529" s="1" t="e">
        <f t="shared" si="19"/>
        <v>#N/A</v>
      </c>
      <c r="AM529" s="1" t="e">
        <f>scheduleapr[[#This Row],[SCHEDULE in nos]]/scheduleapr[[#This Row],[SCHEDULE IN MT]]*scheduleapr[[#This Row],[CTL Stock]]</f>
        <v>#DIV/0!</v>
      </c>
      <c r="AN529" s="1">
        <f>SUMIFS(stock[MT],stock[Bucket],scheduleapr[[#This Row],[Bucket]],stock[CTL Bucket],scheduleapr[[#This Row],[CTL Bucket]],stock[Plant],"0789")</f>
        <v>0</v>
      </c>
      <c r="AO529" s="1"/>
      <c r="AP529" s="1">
        <f>SUMIFS(stock[MT],stock[Bucket],scheduleapr[[#This Row],[Bucket]],stock[LL or CTL],"LL")</f>
        <v>0</v>
      </c>
      <c r="AQ529" s="1">
        <f>+SUMIFS(wip[Stock(Net Wt)],wip[Bucket],scheduleapr[[#This Row],[Bucket]])/1000</f>
        <v>0</v>
      </c>
      <c r="AR529" s="1">
        <f t="shared" si="18"/>
        <v>0</v>
      </c>
      <c r="AS529" s="118"/>
    </row>
    <row r="530" spans="1:45" x14ac:dyDescent="0.25">
      <c r="A530" s="30">
        <v>480</v>
      </c>
      <c r="B530" s="5" t="s">
        <v>1872</v>
      </c>
      <c r="C530" s="2" t="s">
        <v>95</v>
      </c>
      <c r="D530" t="s">
        <v>2077</v>
      </c>
      <c r="E530" s="2">
        <v>941496</v>
      </c>
      <c r="F530" s="2">
        <v>2412748</v>
      </c>
      <c r="G530" s="2" t="str">
        <f>_xlfn.CONCAT(scheduleapr[[#This Row],[CUSTOMER CODE]],"-",scheduleapr[[#This Row],[MATERIAL NO]])</f>
        <v>941496-2412748</v>
      </c>
      <c r="H530" s="2" t="s">
        <v>1969</v>
      </c>
      <c r="I530" s="2" t="s">
        <v>357</v>
      </c>
      <c r="J530" s="2"/>
      <c r="K530" s="2" t="s">
        <v>357</v>
      </c>
      <c r="L530" s="2" t="s">
        <v>239</v>
      </c>
      <c r="M530" s="2"/>
      <c r="N530" s="2"/>
      <c r="O530" s="2"/>
      <c r="P530" s="2"/>
      <c r="Q530" s="557" t="str">
        <f>CONCATENATE(scheduleapr[[#This Row],[OD]],"-",scheduleapr[[#This Row],[ID]],"-",scheduleapr[[#This Row],[TICKNESS]],"-",scheduleapr[[#This Row],[Grade]],"-",scheduleapr[[#This Row],[FC/NFC]])</f>
        <v>33.3-29.3-2-CEW-CEW</v>
      </c>
      <c r="R530" s="557" t="str">
        <f>_xlfn.CONCAT(scheduleapr[[#This Row],[Bucket]],"-",scheduleapr[[#This Row],[LENGTH]]/1000)</f>
        <v>33.3-29.3-2-CEW-CEW-1</v>
      </c>
      <c r="S530" s="557">
        <f>COUNTIF(scheduleapr[CTL Bucket],scheduleapr[[#This Row],[CTL Bucket]])</f>
        <v>1</v>
      </c>
      <c r="T530" s="2" t="s">
        <v>1817</v>
      </c>
      <c r="U530" s="2"/>
      <c r="V530" s="557"/>
      <c r="W530" s="557"/>
      <c r="X530" s="1">
        <v>33.299999999999997</v>
      </c>
      <c r="Y530" s="1">
        <v>33.299999999999997</v>
      </c>
      <c r="Z530" s="1">
        <v>29.3</v>
      </c>
      <c r="AA530" s="1">
        <v>2</v>
      </c>
      <c r="AB530" s="24">
        <v>1000</v>
      </c>
      <c r="AC530" s="24" t="s">
        <v>444</v>
      </c>
      <c r="AD530" s="24"/>
      <c r="AE530" s="24"/>
      <c r="AF530" s="2">
        <v>1000</v>
      </c>
      <c r="AG530" s="2"/>
      <c r="AH530" s="2" cm="1">
        <f t="array" ref="AH5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0" s="4">
        <f>scheduleapr[[#This Row],[SCHEDULE in nos]]-scheduleapr[[#This Row],[DISPATCH]]</f>
        <v>1000</v>
      </c>
      <c r="AJ530" s="1">
        <f>(3.14*(scheduleapr[[#This Row],[ACTUAL OD]]-scheduleapr[[#This Row],[TICKNESS]])*scheduleapr[[#This Row],[TICKNESS]]*scheduleapr[[#This Row],[LENGTH]]*7.85)/1000000*scheduleapr[[#This Row],[SCHEDULE in nos]]/1000</f>
        <v>1.5430273999999999</v>
      </c>
      <c r="AK530" s="1">
        <f>(3.14*(scheduleapr[[#This Row],[ACTUAL OD]]-scheduleapr[[#This Row],[TICKNESS]])*scheduleapr[[#This Row],[TICKNESS]]*scheduleapr[[#This Row],[LENGTH]]*7.85)/1000000*scheduleapr[[#This Row],[DISPATCH]]/1000</f>
        <v>0</v>
      </c>
      <c r="AL530" s="1">
        <f t="shared" si="19"/>
        <v>1.5430273999999999</v>
      </c>
      <c r="AM530" s="1">
        <f>scheduleapr[[#This Row],[SCHEDULE in nos]]/scheduleapr[[#This Row],[SCHEDULE IN MT]]*scheduleapr[[#This Row],[CTL Stock]]</f>
        <v>0</v>
      </c>
      <c r="AN530" s="1">
        <f>SUMIFS(stock[MT],stock[Bucket],scheduleapr[[#This Row],[Bucket]],stock[CTL Bucket],scheduleapr[[#This Row],[CTL Bucket]],stock[Plant],"0789")</f>
        <v>0</v>
      </c>
      <c r="AO530" s="1"/>
      <c r="AP530" s="1">
        <f>SUMIFS(stock[MT],stock[Bucket],scheduleapr[[#This Row],[Bucket]],stock[LL or CTL],"LL")</f>
        <v>0</v>
      </c>
      <c r="AQ530" s="1">
        <f>+SUMIFS(wip[Stock(Net Wt)],wip[Bucket],scheduleapr[[#This Row],[Bucket]])/1000</f>
        <v>0</v>
      </c>
      <c r="AR530" s="1">
        <f t="shared" si="18"/>
        <v>1.5430273999999999</v>
      </c>
      <c r="AS530" s="118"/>
    </row>
    <row r="531" spans="1:45" x14ac:dyDescent="0.25">
      <c r="A531" s="30">
        <v>351</v>
      </c>
      <c r="B531" s="5" t="s">
        <v>1872</v>
      </c>
      <c r="C531" s="2" t="s">
        <v>95</v>
      </c>
      <c r="D531" s="15" t="s">
        <v>2077</v>
      </c>
      <c r="E531" s="2">
        <v>941496</v>
      </c>
      <c r="F531" s="2">
        <v>1938118</v>
      </c>
      <c r="G531" s="2" t="str">
        <f>_xlfn.CONCAT(scheduleapr[[#This Row],[CUSTOMER CODE]],"-",scheduleapr[[#This Row],[MATERIAL NO]])</f>
        <v>941496-1938118</v>
      </c>
      <c r="H531" s="2" t="s">
        <v>1233</v>
      </c>
      <c r="I531" s="2" t="s">
        <v>962</v>
      </c>
      <c r="J531" s="2"/>
      <c r="K531" s="2" t="s">
        <v>963</v>
      </c>
      <c r="L531" s="2" t="s">
        <v>1867</v>
      </c>
      <c r="M531" s="2" t="s">
        <v>1883</v>
      </c>
      <c r="N531" s="2"/>
      <c r="O531" s="2"/>
      <c r="P531" s="2"/>
      <c r="Q531" s="557" t="str">
        <f>CONCATENATE(scheduleapr[[#This Row],[OD]],"-",scheduleapr[[#This Row],[ID]],"-",scheduleapr[[#This Row],[TICKNESS]],"-",scheduleapr[[#This Row],[Grade]],"-",scheduleapr[[#This Row],[FC/NFC]])</f>
        <v>17.3-0-1.6-ERW 1-PE</v>
      </c>
      <c r="R531" s="557" t="str">
        <f>_xlfn.CONCAT(scheduleapr[[#This Row],[Bucket]],"-",scheduleapr[[#This Row],[LENGTH]]/1000)</f>
        <v>17.3-0-1.6-ERW 1-PE-0.355</v>
      </c>
      <c r="S531" s="557">
        <f>COUNTIF(scheduleapr[CTL Bucket],scheduleapr[[#This Row],[CTL Bucket]])</f>
        <v>2</v>
      </c>
      <c r="T531" s="2" t="s">
        <v>1817</v>
      </c>
      <c r="U531" s="2">
        <f>_xlfn.IFNA(VLOOKUP(scheduleapr[[#This Row],[Bucket]],salesforecast[[#All],[Bucket2]:[8406 Stock]],19,0),0)</f>
        <v>9.3040000000000012E-2</v>
      </c>
      <c r="V531" s="557"/>
      <c r="W531" s="557"/>
      <c r="X531" s="1">
        <v>17.3</v>
      </c>
      <c r="Y531" s="1">
        <v>17.3</v>
      </c>
      <c r="Z531" s="1">
        <v>0</v>
      </c>
      <c r="AA531" s="1">
        <v>1.6</v>
      </c>
      <c r="AB531" s="24">
        <v>355</v>
      </c>
      <c r="AC531" s="24" t="s">
        <v>397</v>
      </c>
      <c r="AD531" s="24"/>
      <c r="AE531" s="24"/>
      <c r="AF531" s="2">
        <v>20000</v>
      </c>
      <c r="AG531" s="2"/>
      <c r="AH531" s="2" cm="1">
        <f t="array" ref="AH5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1" s="4">
        <f>scheduleapr[[#This Row],[SCHEDULE in nos]]-scheduleapr[[#This Row],[DISPATCH]]</f>
        <v>20000</v>
      </c>
      <c r="AJ531" s="1">
        <f>(3.14*(scheduleapr[[#This Row],[ACTUAL OD]]-scheduleapr[[#This Row],[TICKNESS]])*scheduleapr[[#This Row],[TICKNESS]]*scheduleapr[[#This Row],[LENGTH]]*7.85)/1000000*scheduleapr[[#This Row],[SCHEDULE in nos]]/1000</f>
        <v>4.3961984479999998</v>
      </c>
      <c r="AK531" s="1">
        <f>(3.14*(scheduleapr[[#This Row],[ACTUAL OD]]-scheduleapr[[#This Row],[TICKNESS]])*scheduleapr[[#This Row],[TICKNESS]]*scheduleapr[[#This Row],[LENGTH]]*7.85)/1000000*scheduleapr[[#This Row],[DISPATCH]]/1000</f>
        <v>0</v>
      </c>
      <c r="AL531" s="1">
        <f t="shared" si="19"/>
        <v>4.3961984479999998</v>
      </c>
      <c r="AM531" s="1">
        <f>scheduleapr[[#This Row],[SCHEDULE in nos]]/scheduleapr[[#This Row],[SCHEDULE IN MT]]*scheduleapr[[#This Row],[CTL Stock]]</f>
        <v>0</v>
      </c>
      <c r="AN531" s="1">
        <f>SUMIFS(stock[MT],stock[Bucket],scheduleapr[[#This Row],[Bucket]],stock[CTL Bucket],scheduleapr[[#This Row],[CTL Bucket]],stock[Plant],"0789")</f>
        <v>0</v>
      </c>
      <c r="AO531" s="1"/>
      <c r="AP531" s="1">
        <f>SUMIFS(stock[MT],stock[Bucket],scheduleapr[[#This Row],[Bucket]],stock[LL or CTL],"LL")</f>
        <v>9.3040000000000012E-2</v>
      </c>
      <c r="AQ531" s="1">
        <f>+SUMIFS(wip[Stock(Net Wt)],wip[Bucket],scheduleapr[[#This Row],[Bucket]])/1000</f>
        <v>0</v>
      </c>
      <c r="AR531" s="1">
        <f t="shared" si="18"/>
        <v>4.3961984479999998</v>
      </c>
      <c r="AS531" s="118"/>
    </row>
    <row r="532" spans="1:45" x14ac:dyDescent="0.25">
      <c r="A532" s="30">
        <v>353</v>
      </c>
      <c r="B532" s="5" t="s">
        <v>1872</v>
      </c>
      <c r="C532" s="2" t="s">
        <v>95</v>
      </c>
      <c r="D532" s="15" t="s">
        <v>2077</v>
      </c>
      <c r="E532" s="2">
        <v>941496</v>
      </c>
      <c r="F532" s="2">
        <v>1938119</v>
      </c>
      <c r="G532" s="2" t="str">
        <f>_xlfn.CONCAT(scheduleapr[[#This Row],[CUSTOMER CODE]],"-",scheduleapr[[#This Row],[MATERIAL NO]])</f>
        <v>941496-1938119</v>
      </c>
      <c r="H532" s="2" t="s">
        <v>1235</v>
      </c>
      <c r="I532" s="2" t="s">
        <v>962</v>
      </c>
      <c r="J532" s="2"/>
      <c r="K532" s="2" t="s">
        <v>963</v>
      </c>
      <c r="L532" s="2" t="s">
        <v>239</v>
      </c>
      <c r="M532" s="2"/>
      <c r="N532" s="2"/>
      <c r="O532" s="2"/>
      <c r="P532" s="2"/>
      <c r="Q532" s="557" t="str">
        <f>CONCATENATE(scheduleapr[[#This Row],[OD]],"-",scheduleapr[[#This Row],[ID]],"-",scheduleapr[[#This Row],[TICKNESS]],"-",scheduleapr[[#This Row],[Grade]],"-",scheduleapr[[#This Row],[FC/NFC]])</f>
        <v>17.3-0-1.6-ERW 1-PE</v>
      </c>
      <c r="R532" s="557" t="str">
        <f>_xlfn.CONCAT(scheduleapr[[#This Row],[Bucket]],"-",scheduleapr[[#This Row],[LENGTH]]/1000)</f>
        <v>17.3-0-1.6-ERW 1-PE-0.4</v>
      </c>
      <c r="S532" s="557">
        <f>COUNTIF(scheduleapr[CTL Bucket],scheduleapr[[#This Row],[CTL Bucket]])</f>
        <v>3</v>
      </c>
      <c r="T532" s="2" t="s">
        <v>1817</v>
      </c>
      <c r="U532" s="2"/>
      <c r="V532" s="557"/>
      <c r="W532" s="557"/>
      <c r="X532" s="1">
        <v>17.3</v>
      </c>
      <c r="Y532" s="1">
        <v>17.3</v>
      </c>
      <c r="Z532" s="1">
        <v>0</v>
      </c>
      <c r="AA532" s="1">
        <v>1.6</v>
      </c>
      <c r="AB532" s="24">
        <v>400</v>
      </c>
      <c r="AC532" s="24" t="s">
        <v>397</v>
      </c>
      <c r="AD532" s="24"/>
      <c r="AE532" s="24"/>
      <c r="AF532" s="2"/>
      <c r="AG532" s="2"/>
      <c r="AH532" s="2" cm="1">
        <f t="array" ref="AH5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2" s="4">
        <f>scheduleapr[[#This Row],[SCHEDULE in nos]]-scheduleapr[[#This Row],[DISPATCH]]</f>
        <v>0</v>
      </c>
      <c r="AJ532" s="1">
        <f>(3.14*(scheduleapr[[#This Row],[ACTUAL OD]]-scheduleapr[[#This Row],[TICKNESS]])*scheduleapr[[#This Row],[TICKNESS]]*scheduleapr[[#This Row],[LENGTH]]*7.85)/1000000*scheduleapr[[#This Row],[SCHEDULE in nos]]/1000</f>
        <v>0</v>
      </c>
      <c r="AK532" s="1">
        <f>(3.14*(scheduleapr[[#This Row],[ACTUAL OD]]-scheduleapr[[#This Row],[TICKNESS]])*scheduleapr[[#This Row],[TICKNESS]]*scheduleapr[[#This Row],[LENGTH]]*7.85)/1000000*scheduleapr[[#This Row],[DISPATCH]]/1000</f>
        <v>0</v>
      </c>
      <c r="AL532" s="1">
        <f t="shared" si="19"/>
        <v>0</v>
      </c>
      <c r="AM532" s="1" t="e">
        <f>scheduleapr[[#This Row],[SCHEDULE in nos]]/scheduleapr[[#This Row],[SCHEDULE IN MT]]*scheduleapr[[#This Row],[CTL Stock]]</f>
        <v>#DIV/0!</v>
      </c>
      <c r="AN532" s="1">
        <f>SUMIFS(stock[MT],stock[Bucket],scheduleapr[[#This Row],[Bucket]],stock[CTL Bucket],scheduleapr[[#This Row],[CTL Bucket]],stock[Plant],"0789")</f>
        <v>0</v>
      </c>
      <c r="AO532" s="1"/>
      <c r="AP532" s="1">
        <f>SUMIFS(stock[MT],stock[Bucket],scheduleapr[[#This Row],[Bucket]],stock[LL or CTL],"LL")</f>
        <v>9.3040000000000012E-2</v>
      </c>
      <c r="AQ532" s="1">
        <f>+SUMIFS(wip[Stock(Net Wt)],wip[Bucket],scheduleapr[[#This Row],[Bucket]])/1000</f>
        <v>0</v>
      </c>
      <c r="AR532" s="1">
        <f t="shared" si="18"/>
        <v>0</v>
      </c>
      <c r="AS532" s="118"/>
    </row>
    <row r="533" spans="1:45" x14ac:dyDescent="0.25">
      <c r="A533" s="30">
        <v>351</v>
      </c>
      <c r="B533" s="5" t="s">
        <v>1872</v>
      </c>
      <c r="C533" s="2" t="s">
        <v>95</v>
      </c>
      <c r="D533" s="15" t="s">
        <v>2077</v>
      </c>
      <c r="E533" s="2">
        <v>941496</v>
      </c>
      <c r="F533" s="2">
        <v>1938118</v>
      </c>
      <c r="G533" s="2" t="s">
        <v>2078</v>
      </c>
      <c r="H533" s="2" t="s">
        <v>1233</v>
      </c>
      <c r="I533" s="2" t="s">
        <v>962</v>
      </c>
      <c r="J533" s="2"/>
      <c r="K533" s="2" t="s">
        <v>963</v>
      </c>
      <c r="L533" s="2" t="s">
        <v>1867</v>
      </c>
      <c r="M533" s="2" t="s">
        <v>1883</v>
      </c>
      <c r="N533" s="2"/>
      <c r="O533" s="2"/>
      <c r="P533" s="2"/>
      <c r="Q533" s="557" t="str">
        <f>CONCATENATE(scheduleapr[[#This Row],[OD]],"-",scheduleapr[[#This Row],[ID]],"-",scheduleapr[[#This Row],[TICKNESS]],"-",scheduleapr[[#This Row],[Grade]],"-",scheduleapr[[#This Row],[FC/NFC]])</f>
        <v>17.3-0-1.6-ERW 1-PE</v>
      </c>
      <c r="R533" s="557" t="str">
        <f>_xlfn.CONCAT(scheduleapr[[#This Row],[Bucket]],"-",scheduleapr[[#This Row],[LENGTH]]/1000)</f>
        <v>17.3-0-1.6-ERW 1-PE-0.4</v>
      </c>
      <c r="S533" s="557">
        <f>COUNTIF(scheduleapr[CTL Bucket],scheduleapr[[#This Row],[CTL Bucket]])</f>
        <v>3</v>
      </c>
      <c r="T533" s="2" t="s">
        <v>1817</v>
      </c>
      <c r="U533" s="2"/>
      <c r="V533" s="557"/>
      <c r="W533" s="557"/>
      <c r="X533" s="1">
        <v>17.3</v>
      </c>
      <c r="Y533" s="1">
        <v>17.3</v>
      </c>
      <c r="Z533" s="1">
        <v>0</v>
      </c>
      <c r="AA533" s="1">
        <v>1.6</v>
      </c>
      <c r="AB533" s="24">
        <v>400</v>
      </c>
      <c r="AC533" s="24" t="s">
        <v>397</v>
      </c>
      <c r="AD533" s="24"/>
      <c r="AE533" s="24"/>
      <c r="AF533" s="2"/>
      <c r="AG533" s="2"/>
      <c r="AH533" s="2" cm="1">
        <f t="array" ref="AH5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3" s="4">
        <f>scheduleapr[[#This Row],[SCHEDULE in nos]]-scheduleapr[[#This Row],[DISPATCH]]</f>
        <v>0</v>
      </c>
      <c r="AJ533" s="1">
        <f>(3.14*(scheduleapr[[#This Row],[ACTUAL OD]]-scheduleapr[[#This Row],[TICKNESS]])*scheduleapr[[#This Row],[TICKNESS]]*scheduleapr[[#This Row],[LENGTH]]*7.85)/1000000*scheduleapr[[#This Row],[SCHEDULE in nos]]/1000</f>
        <v>0</v>
      </c>
      <c r="AK533" s="1">
        <f>(3.14*(scheduleapr[[#This Row],[ACTUAL OD]]-scheduleapr[[#This Row],[TICKNESS]])*scheduleapr[[#This Row],[TICKNESS]]*scheduleapr[[#This Row],[LENGTH]]*7.85)/1000000*scheduleapr[[#This Row],[DISPATCH]]/1000</f>
        <v>0</v>
      </c>
      <c r="AL533" s="1">
        <f t="shared" si="19"/>
        <v>0</v>
      </c>
      <c r="AM533" s="1" t="e">
        <f>scheduleapr[[#This Row],[SCHEDULE in nos]]/scheduleapr[[#This Row],[SCHEDULE IN MT]]*scheduleapr[[#This Row],[CTL Stock]]</f>
        <v>#DIV/0!</v>
      </c>
      <c r="AN533" s="1">
        <f>SUMIFS(stock[MT],stock[Bucket],scheduleapr[[#This Row],[Bucket]],stock[CTL Bucket],scheduleapr[[#This Row],[CTL Bucket]],stock[Plant],"0789")</f>
        <v>0</v>
      </c>
      <c r="AO533" s="1"/>
      <c r="AP533" s="1">
        <f>SUMIFS(stock[MT],stock[Bucket],scheduleapr[[#This Row],[Bucket]],stock[LL or CTL],"LL")</f>
        <v>9.3040000000000012E-2</v>
      </c>
      <c r="AQ533" s="1">
        <f>+SUMIFS(wip[Stock(Net Wt)],wip[Bucket],scheduleapr[[#This Row],[Bucket]])/1000</f>
        <v>0</v>
      </c>
      <c r="AR533" s="1">
        <f t="shared" si="18"/>
        <v>0</v>
      </c>
      <c r="AS533" s="118"/>
    </row>
    <row r="534" spans="1:45" x14ac:dyDescent="0.25">
      <c r="A534" s="30">
        <v>359</v>
      </c>
      <c r="B534" s="5" t="s">
        <v>1816</v>
      </c>
      <c r="C534" s="2" t="s">
        <v>95</v>
      </c>
      <c r="D534" s="15" t="s">
        <v>2077</v>
      </c>
      <c r="E534" s="2">
        <v>941496</v>
      </c>
      <c r="F534" s="2">
        <v>1937022</v>
      </c>
      <c r="G534" s="2" t="str">
        <f>_xlfn.CONCAT(scheduleapr[[#This Row],[CUSTOMER CODE]],"-",scheduleapr[[#This Row],[MATERIAL NO]])</f>
        <v>941496-1937022</v>
      </c>
      <c r="H534" s="2" t="s">
        <v>2079</v>
      </c>
      <c r="I534" s="2" t="s">
        <v>962</v>
      </c>
      <c r="J534" s="2"/>
      <c r="K534" s="2" t="s">
        <v>963</v>
      </c>
      <c r="L534" s="2" t="s">
        <v>1867</v>
      </c>
      <c r="M534" s="2"/>
      <c r="N534" s="2"/>
      <c r="O534" s="2"/>
      <c r="P534" s="2"/>
      <c r="Q534" s="557" t="str">
        <f>CONCATENATE(scheduleapr[[#This Row],[OD]],"-",scheduleapr[[#This Row],[ID]],"-",scheduleapr[[#This Row],[TICKNESS]],"-",scheduleapr[[#This Row],[Grade]],"-",scheduleapr[[#This Row],[FC/NFC]])</f>
        <v>19.05-0-1.2-ERW 1-PE</v>
      </c>
      <c r="R534" s="557" t="str">
        <f>_xlfn.CONCAT(scheduleapr[[#This Row],[Bucket]],"-",scheduleapr[[#This Row],[LENGTH]]/1000)</f>
        <v>19.05-0-1.2-ERW 1-PE-0.65</v>
      </c>
      <c r="S534" s="557">
        <f>COUNTIF(scheduleapr[CTL Bucket],scheduleapr[[#This Row],[CTL Bucket]])</f>
        <v>1</v>
      </c>
      <c r="T534" s="2" t="s">
        <v>1816</v>
      </c>
      <c r="U534" s="2">
        <f>_xlfn.IFNA(VLOOKUP(scheduleapr[[#This Row],[Bucket]],salesforecast[[#All],[Bucket2]:[8406 Stock]],19,0),0)</f>
        <v>0</v>
      </c>
      <c r="V534" s="562">
        <f>_xlfn.IFNA(VLOOKUP(scheduleapr[[#This Row],[Bucket]],salesforecast[[#All],[Bucket2]:[8406 Stock]],20,0),0)+_xlfn.IFNA(VLOOKUP(scheduleapr[[#This Row],[Bucket]],salesforecast[[#All],[Bucket2]:[8406 Stock]],17,0),0)</f>
        <v>0</v>
      </c>
      <c r="W534" s="557"/>
      <c r="X534" s="1">
        <v>19.05</v>
      </c>
      <c r="Y534" s="1">
        <v>19.05</v>
      </c>
      <c r="Z534" s="1">
        <v>0</v>
      </c>
      <c r="AA534" s="1">
        <v>1.2</v>
      </c>
      <c r="AB534" s="81">
        <v>650</v>
      </c>
      <c r="AC534" s="24" t="s">
        <v>397</v>
      </c>
      <c r="AD534" s="24"/>
      <c r="AE534" s="24"/>
      <c r="AF534" s="2">
        <v>25000</v>
      </c>
      <c r="AG534" s="2"/>
      <c r="AH534" s="2" cm="1">
        <f t="array" ref="AH5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4000</v>
      </c>
      <c r="AI534" s="4">
        <f>scheduleapr[[#This Row],[SCHEDULE in nos]]-scheduleapr[[#This Row],[DISPATCH]]</f>
        <v>21000</v>
      </c>
      <c r="AJ534" s="1">
        <f>(3.14*(scheduleapr[[#This Row],[ACTUAL OD]]-scheduleapr[[#This Row],[TICKNESS]])*scheduleapr[[#This Row],[TICKNESS]]*scheduleapr[[#This Row],[LENGTH]]*7.85)/1000000*scheduleapr[[#This Row],[SCHEDULE in nos]]/1000</f>
        <v>8.5797006750000016</v>
      </c>
      <c r="AK534" s="1">
        <f>(3.14*(scheduleapr[[#This Row],[ACTUAL OD]]-scheduleapr[[#This Row],[TICKNESS]])*scheduleapr[[#This Row],[TICKNESS]]*scheduleapr[[#This Row],[LENGTH]]*7.85)/1000000*scheduleapr[[#This Row],[DISPATCH]]/1000</f>
        <v>1.372752108</v>
      </c>
      <c r="AL534" s="1">
        <f t="shared" si="19"/>
        <v>7.2069485670000013</v>
      </c>
      <c r="AM534" s="1">
        <f>scheduleapr[[#This Row],[SCHEDULE in nos]]/scheduleapr[[#This Row],[SCHEDULE IN MT]]*scheduleapr[[#This Row],[CTL Stock]]</f>
        <v>10495.389455996376</v>
      </c>
      <c r="AN534" s="1">
        <f>SUMIFS(stock[MT],stock[Bucket],scheduleapr[[#This Row],[Bucket]],stock[CTL Bucket],scheduleapr[[#This Row],[CTL Bucket]],stock[Plant],"0789")</f>
        <v>3.6018920000000003</v>
      </c>
      <c r="AO534" s="1"/>
      <c r="AP534" s="1">
        <f>SUMIFS(stock[MT],stock[Bucket],scheduleapr[[#This Row],[Bucket]],stock[LL or CTL],"LL")</f>
        <v>0</v>
      </c>
      <c r="AQ534" s="1">
        <f>+SUMIFS(wip[Stock(Net Wt)],wip[Bucket],scheduleapr[[#This Row],[Bucket]])/1000</f>
        <v>20.588000000000001</v>
      </c>
      <c r="AR534" s="1">
        <f t="shared" si="18"/>
        <v>4.9778086750000012</v>
      </c>
      <c r="AS534" s="118"/>
    </row>
    <row r="535" spans="1:45" x14ac:dyDescent="0.25">
      <c r="A535" s="30">
        <v>396</v>
      </c>
      <c r="B535" s="5" t="s">
        <v>1816</v>
      </c>
      <c r="C535" s="2" t="s">
        <v>95</v>
      </c>
      <c r="D535" s="15" t="s">
        <v>2077</v>
      </c>
      <c r="E535" s="2">
        <v>941496</v>
      </c>
      <c r="F535" s="2">
        <v>1940247</v>
      </c>
      <c r="G535" s="2" t="str">
        <f>_xlfn.CONCAT(scheduleapr[[#This Row],[CUSTOMER CODE]],"-",scheduleapr[[#This Row],[MATERIAL NO]])</f>
        <v>941496-1940247</v>
      </c>
      <c r="H535" s="2" t="s">
        <v>1349</v>
      </c>
      <c r="I535" s="2" t="s">
        <v>962</v>
      </c>
      <c r="J535" s="2"/>
      <c r="K535" s="2" t="s">
        <v>963</v>
      </c>
      <c r="L535" s="2" t="s">
        <v>1867</v>
      </c>
      <c r="M535" s="44" t="s">
        <v>1891</v>
      </c>
      <c r="N535" s="2"/>
      <c r="O535" s="2"/>
      <c r="P535" s="2"/>
      <c r="Q535" s="557" t="str">
        <f>CONCATENATE(scheduleapr[[#This Row],[OD]],"-",scheduleapr[[#This Row],[ID]],"-",scheduleapr[[#This Row],[TICKNESS]],"-",scheduleapr[[#This Row],[Grade]],"-",scheduleapr[[#This Row],[FC/NFC]])</f>
        <v>19.05-0-1.6-ERW 1-PE</v>
      </c>
      <c r="R535" s="557" t="str">
        <f>_xlfn.CONCAT(scheduleapr[[#This Row],[Bucket]],"-",scheduleapr[[#This Row],[LENGTH]]/1000)</f>
        <v>19.05-0-1.6-ERW 1-PE-0.595</v>
      </c>
      <c r="S535" s="557">
        <f>COUNTIF(scheduleapr[CTL Bucket],scheduleapr[[#This Row],[CTL Bucket]])</f>
        <v>1</v>
      </c>
      <c r="T535" s="2" t="s">
        <v>1816</v>
      </c>
      <c r="U535" s="2">
        <f>_xlfn.IFNA(VLOOKUP(scheduleapr[[#This Row],[Bucket]],salesforecast[[#All],[Bucket2]:[8406 Stock]],19,0),0)</f>
        <v>0</v>
      </c>
      <c r="V535" s="562">
        <f>_xlfn.IFNA(VLOOKUP(scheduleapr[[#This Row],[Bucket]],salesforecast[[#All],[Bucket2]:[8406 Stock]],20,0),0)+_xlfn.IFNA(VLOOKUP(scheduleapr[[#This Row],[Bucket]],salesforecast[[#All],[Bucket2]:[8406 Stock]],17,0),0)</f>
        <v>0</v>
      </c>
      <c r="W535" s="2" t="s">
        <v>2080</v>
      </c>
      <c r="X535" s="1">
        <v>19.05</v>
      </c>
      <c r="Y535" s="1">
        <v>19.05</v>
      </c>
      <c r="Z535" s="1">
        <v>0</v>
      </c>
      <c r="AA535" s="1">
        <v>1.6</v>
      </c>
      <c r="AB535" s="24">
        <v>595</v>
      </c>
      <c r="AC535" s="24" t="s">
        <v>397</v>
      </c>
      <c r="AD535" s="24"/>
      <c r="AE535" s="24"/>
      <c r="AF535" s="2">
        <v>8000</v>
      </c>
      <c r="AG535" s="2"/>
      <c r="AH535" s="2" cm="1">
        <f t="array" ref="AH5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4300</v>
      </c>
      <c r="AI535" s="4">
        <f>scheduleapr[[#This Row],[SCHEDULE in nos]]-scheduleapr[[#This Row],[DISPATCH]]</f>
        <v>3700</v>
      </c>
      <c r="AJ535" s="1">
        <f>(3.14*(scheduleapr[[#This Row],[ACTUAL OD]]-scheduleapr[[#This Row],[TICKNESS]])*scheduleapr[[#This Row],[TICKNESS]]*scheduleapr[[#This Row],[LENGTH]]*7.85)/1000000*scheduleapr[[#This Row],[SCHEDULE in nos]]/1000</f>
        <v>3.2758323807999998</v>
      </c>
      <c r="AK535" s="1">
        <f>(3.14*(scheduleapr[[#This Row],[ACTUAL OD]]-scheduleapr[[#This Row],[TICKNESS]])*scheduleapr[[#This Row],[TICKNESS]]*scheduleapr[[#This Row],[LENGTH]]*7.85)/1000000*scheduleapr[[#This Row],[DISPATCH]]/1000</f>
        <v>1.7607599046799998</v>
      </c>
      <c r="AL535" s="1">
        <f t="shared" si="19"/>
        <v>1.5150724761200001</v>
      </c>
      <c r="AM535" s="1">
        <f>scheduleapr[[#This Row],[SCHEDULE in nos]]/scheduleapr[[#This Row],[SCHEDULE IN MT]]*scheduleapr[[#This Row],[CTL Stock]]</f>
        <v>3146.7299915640424</v>
      </c>
      <c r="AN535" s="1">
        <f>SUMIFS(stock[MT],stock[Bucket],scheduleapr[[#This Row],[Bucket]],stock[CTL Bucket],scheduleapr[[#This Row],[CTL Bucket]],stock[Plant],"0789")</f>
        <v>1.2885200000000001</v>
      </c>
      <c r="AO535" s="1"/>
      <c r="AP535" s="1">
        <f>SUMIFS(stock[MT],stock[Bucket],scheduleapr[[#This Row],[Bucket]],stock[LL or CTL],"LL")</f>
        <v>0</v>
      </c>
      <c r="AQ535" s="1">
        <f>+SUMIFS(wip[Stock(Net Wt)],wip[Bucket],scheduleapr[[#This Row],[Bucket]])/1000</f>
        <v>2.8860000000000001</v>
      </c>
      <c r="AR535" s="1">
        <f t="shared" si="18"/>
        <v>1.9873123807999997</v>
      </c>
      <c r="AS535" s="118"/>
    </row>
    <row r="536" spans="1:45" x14ac:dyDescent="0.25">
      <c r="A536" s="30">
        <v>399</v>
      </c>
      <c r="B536" s="5" t="s">
        <v>1816</v>
      </c>
      <c r="C536" s="2" t="s">
        <v>95</v>
      </c>
      <c r="D536" s="15" t="s">
        <v>2077</v>
      </c>
      <c r="E536" s="2">
        <v>941496</v>
      </c>
      <c r="F536" s="9">
        <v>2320564</v>
      </c>
      <c r="G536" s="2" t="str">
        <f>_xlfn.CONCAT(scheduleapr[[#This Row],[CUSTOMER CODE]],"-",scheduleapr[[#This Row],[MATERIAL NO]])</f>
        <v>941496-2320564</v>
      </c>
      <c r="H536" s="9" t="s">
        <v>1414</v>
      </c>
      <c r="I536" s="2" t="s">
        <v>962</v>
      </c>
      <c r="J536" s="2"/>
      <c r="K536" s="2" t="s">
        <v>963</v>
      </c>
      <c r="L536" s="2" t="s">
        <v>239</v>
      </c>
      <c r="M536" s="2"/>
      <c r="N536" s="2"/>
      <c r="O536" s="2"/>
      <c r="P536" s="2"/>
      <c r="Q536" s="557" t="str">
        <f>CONCATENATE(scheduleapr[[#This Row],[OD]],"-",scheduleapr[[#This Row],[ID]],"-",scheduleapr[[#This Row],[TICKNESS]],"-",scheduleapr[[#This Row],[Grade]],"-",scheduleapr[[#This Row],[FC/NFC]])</f>
        <v>19.05-0-2.3-ERW 1-PE</v>
      </c>
      <c r="R536" s="557" t="str">
        <f>_xlfn.CONCAT(scheduleapr[[#This Row],[Bucket]],"-",scheduleapr[[#This Row],[LENGTH]]/1000)</f>
        <v>19.05-0-2.3-ERW 1-PE-0.4</v>
      </c>
      <c r="S536" s="557" t="e" vm="2">
        <f>COUNTIF([2]!buckets[CTL Bucket],[2]!scheduleapr[[#This Row],[CTL Bucket]])</f>
        <v>#REF!</v>
      </c>
      <c r="T536" s="557"/>
      <c r="U536" s="557"/>
      <c r="V536" s="557"/>
      <c r="W536" s="557"/>
      <c r="X536" s="1">
        <v>19.05</v>
      </c>
      <c r="Y536" s="1">
        <v>19.05</v>
      </c>
      <c r="Z536" s="1">
        <v>0</v>
      </c>
      <c r="AA536" s="1">
        <v>2.2999999999999998</v>
      </c>
      <c r="AB536" s="24">
        <v>400</v>
      </c>
      <c r="AC536" s="24" t="s">
        <v>397</v>
      </c>
      <c r="AD536" s="24"/>
      <c r="AE536" s="24"/>
      <c r="AF536" s="2">
        <v>10000</v>
      </c>
      <c r="AG536" s="2"/>
      <c r="AH536" s="2" cm="1">
        <f t="array" ref="AH5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6" s="4">
        <f>scheduleapr[[#This Row],[SCHEDULE in nos]]-scheduleapr[[#This Row],[DISPATCH]]</f>
        <v>10000</v>
      </c>
      <c r="AJ536" s="1">
        <f>(3.14*(scheduleapr[[#This Row],[ACTUAL OD]]-scheduleapr[[#This Row],[TICKNESS]])*scheduleapr[[#This Row],[TICKNESS]]*scheduleapr[[#This Row],[LENGTH]]*7.85)/1000000*scheduleapr[[#This Row],[SCHEDULE in nos]]/1000</f>
        <v>3.7984108999999995</v>
      </c>
      <c r="AK536" s="1">
        <f>(3.14*(scheduleapr[[#This Row],[ACTUAL OD]]-scheduleapr[[#This Row],[TICKNESS]])*scheduleapr[[#This Row],[TICKNESS]]*scheduleapr[[#This Row],[LENGTH]]*7.85)/1000000*scheduleapr[[#This Row],[DISPATCH]]/1000</f>
        <v>0</v>
      </c>
      <c r="AL536" s="1">
        <f t="shared" si="19"/>
        <v>3.7984108999999995</v>
      </c>
      <c r="AM536" s="1">
        <f>scheduleapr[[#This Row],[SCHEDULE in nos]]/scheduleapr[[#This Row],[SCHEDULE IN MT]]*scheduleapr[[#This Row],[CTL Stock]]</f>
        <v>0</v>
      </c>
      <c r="AN536" s="1">
        <f>SUMIFS(stock[MT],stock[Bucket],scheduleapr[[#This Row],[Bucket]],stock[CTL Bucket],scheduleapr[[#This Row],[CTL Bucket]],stock[Plant],"0789")</f>
        <v>0</v>
      </c>
      <c r="AO536" s="1"/>
      <c r="AP536" s="1">
        <f>SUMIFS(stock[MT],stock[Bucket],scheduleapr[[#This Row],[Bucket]],stock[LL or CTL],"LL")</f>
        <v>73.955845999999994</v>
      </c>
      <c r="AQ536" s="1">
        <f>+SUMIFS(wip[Stock(Net Wt)],wip[Bucket],scheduleapr[[#This Row],[Bucket]])/1000</f>
        <v>6.0149999999999997</v>
      </c>
      <c r="AR536" s="1">
        <f t="shared" si="18"/>
        <v>3.7984108999999995</v>
      </c>
      <c r="AS536" s="118"/>
    </row>
    <row r="537" spans="1:45" x14ac:dyDescent="0.25">
      <c r="A537" s="30">
        <v>410</v>
      </c>
      <c r="B537" s="5" t="s">
        <v>1816</v>
      </c>
      <c r="C537" s="2" t="s">
        <v>95</v>
      </c>
      <c r="D537" t="s">
        <v>2077</v>
      </c>
      <c r="E537" s="2">
        <v>941496</v>
      </c>
      <c r="F537" s="2">
        <v>3718926</v>
      </c>
      <c r="G537" s="2" t="str">
        <f>_xlfn.CONCAT(scheduleapr[[#This Row],[CUSTOMER CODE]],"-",scheduleapr[[#This Row],[MATERIAL NO]])</f>
        <v>941496-3718926</v>
      </c>
      <c r="H537" s="2" t="s">
        <v>2081</v>
      </c>
      <c r="I537" s="2" t="s">
        <v>962</v>
      </c>
      <c r="J537" s="2"/>
      <c r="K537" s="2"/>
      <c r="L537" s="2" t="s">
        <v>239</v>
      </c>
      <c r="M537" s="2"/>
      <c r="N537" s="2"/>
      <c r="O537" s="2"/>
      <c r="P537" s="2"/>
      <c r="Q537" s="557" t="str">
        <f>CONCATENATE(scheduleapr[[#This Row],[OD]],"-",scheduleapr[[#This Row],[ID]],"-",scheduleapr[[#This Row],[TICKNESS]],"-",scheduleapr[[#This Row],[Grade]],"-",scheduleapr[[#This Row],[FC/NFC]])</f>
        <v>19.05-0-2.3-ERW 1-</v>
      </c>
      <c r="R537" s="557" t="str">
        <f>_xlfn.CONCAT(scheduleapr[[#This Row],[Bucket]],"-",scheduleapr[[#This Row],[LENGTH]]/1000)</f>
        <v>19.05-0-2.3-ERW 1--0.402</v>
      </c>
      <c r="S537" s="557" t="e" vm="2">
        <f>COUNTIF([2]!buckets[CTL Bucket],[2]!scheduleapr[[#This Row],[CTL Bucket]])</f>
        <v>#REF!</v>
      </c>
      <c r="T537" s="557"/>
      <c r="U537" s="557"/>
      <c r="V537" s="557"/>
      <c r="W537" s="557"/>
      <c r="X537" s="1">
        <v>19.05</v>
      </c>
      <c r="Y537" s="1">
        <v>19.05</v>
      </c>
      <c r="Z537" s="1">
        <v>0</v>
      </c>
      <c r="AA537" s="1">
        <v>2.2999999999999998</v>
      </c>
      <c r="AB537" s="24">
        <v>402</v>
      </c>
      <c r="AC537" s="24" t="s">
        <v>397</v>
      </c>
      <c r="AD537" s="24"/>
      <c r="AE537" s="24"/>
      <c r="AF537" s="2"/>
      <c r="AG537" s="2"/>
      <c r="AH537" s="2" cm="1">
        <f t="array" ref="AH5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7" s="4">
        <f>scheduleapr[[#This Row],[SCHEDULE in nos]]-scheduleapr[[#This Row],[DISPATCH]]</f>
        <v>0</v>
      </c>
      <c r="AJ537" s="1">
        <f>(3.14*(scheduleapr[[#This Row],[ACTUAL OD]]-scheduleapr[[#This Row],[TICKNESS]])*scheduleapr[[#This Row],[TICKNESS]]*scheduleapr[[#This Row],[LENGTH]]*7.85)/1000000*scheduleapr[[#This Row],[SCHEDULE in nos]]/1000</f>
        <v>0</v>
      </c>
      <c r="AK537" s="1">
        <f>(3.14*(scheduleapr[[#This Row],[ACTUAL OD]]-scheduleapr[[#This Row],[TICKNESS]])*scheduleapr[[#This Row],[TICKNESS]]*scheduleapr[[#This Row],[LENGTH]]*7.85)/1000000*scheduleapr[[#This Row],[DISPATCH]]/1000</f>
        <v>0</v>
      </c>
      <c r="AL537" s="1">
        <f t="shared" si="19"/>
        <v>0</v>
      </c>
      <c r="AM537" s="1" t="e">
        <f>scheduleapr[[#This Row],[SCHEDULE in nos]]/scheduleapr[[#This Row],[SCHEDULE IN MT]]*scheduleapr[[#This Row],[CTL Stock]]</f>
        <v>#DIV/0!</v>
      </c>
      <c r="AN537" s="1">
        <f>SUMIFS(stock[MT],stock[Bucket],scheduleapr[[#This Row],[Bucket]],stock[CTL Bucket],scheduleapr[[#This Row],[CTL Bucket]],stock[Plant],"0789")</f>
        <v>0</v>
      </c>
      <c r="AO537" s="1"/>
      <c r="AP537" s="1">
        <f>SUMIFS(stock[MT],stock[Bucket],scheduleapr[[#This Row],[Bucket]],stock[LL or CTL],"LL")</f>
        <v>0</v>
      </c>
      <c r="AQ537" s="1">
        <f>+SUMIFS(wip[Stock(Net Wt)],wip[Bucket],scheduleapr[[#This Row],[Bucket]])/1000</f>
        <v>0</v>
      </c>
      <c r="AR537" s="1">
        <f t="shared" si="18"/>
        <v>0</v>
      </c>
      <c r="AS537" s="118"/>
    </row>
    <row r="538" spans="1:45" x14ac:dyDescent="0.25">
      <c r="A538" s="30">
        <v>411</v>
      </c>
      <c r="B538" s="5" t="s">
        <v>1816</v>
      </c>
      <c r="C538" s="2" t="s">
        <v>95</v>
      </c>
      <c r="D538" s="15" t="s">
        <v>2077</v>
      </c>
      <c r="E538" s="2">
        <v>941496</v>
      </c>
      <c r="F538" s="2">
        <v>3667938</v>
      </c>
      <c r="G538" s="2" t="str">
        <f>_xlfn.CONCAT(scheduleapr[[#This Row],[CUSTOMER CODE]],"-",scheduleapr[[#This Row],[MATERIAL NO]])</f>
        <v>941496-3667938</v>
      </c>
      <c r="H538" s="2" t="s">
        <v>639</v>
      </c>
      <c r="I538" s="2" t="s">
        <v>962</v>
      </c>
      <c r="J538" s="2"/>
      <c r="K538" s="2" t="s">
        <v>963</v>
      </c>
      <c r="L538" s="2" t="s">
        <v>239</v>
      </c>
      <c r="M538" s="2"/>
      <c r="N538" s="2"/>
      <c r="O538" s="2"/>
      <c r="P538" s="2"/>
      <c r="Q538" s="557" t="str">
        <f>CONCATENATE(scheduleapr[[#This Row],[OD]],"-",scheduleapr[[#This Row],[ID]],"-",scheduleapr[[#This Row],[TICKNESS]],"-",scheduleapr[[#This Row],[Grade]],"-",scheduleapr[[#This Row],[FC/NFC]])</f>
        <v>22.23-0-1.2-ERW 1-PE</v>
      </c>
      <c r="R538" s="557" t="str">
        <f>_xlfn.CONCAT(scheduleapr[[#This Row],[Bucket]],"-",scheduleapr[[#This Row],[LENGTH]]/1000)</f>
        <v>22.23-0-1.2-ERW 1-PE-0.673</v>
      </c>
      <c r="S538" s="557">
        <f>COUNTIF(scheduleapr[CTL Bucket],scheduleapr[[#This Row],[CTL Bucket]])</f>
        <v>1</v>
      </c>
      <c r="T538" s="2" t="s">
        <v>1816</v>
      </c>
      <c r="U538" s="2"/>
      <c r="V538" s="557"/>
      <c r="W538" s="557"/>
      <c r="X538" s="1">
        <v>22.23</v>
      </c>
      <c r="Y538" s="1">
        <v>22.23</v>
      </c>
      <c r="Z538" s="1">
        <v>0</v>
      </c>
      <c r="AA538" s="1">
        <v>1.2</v>
      </c>
      <c r="AB538" s="24">
        <v>673</v>
      </c>
      <c r="AC538" s="24" t="s">
        <v>397</v>
      </c>
      <c r="AD538" s="24"/>
      <c r="AE538" s="24"/>
      <c r="AF538" s="2"/>
      <c r="AG538" s="2"/>
      <c r="AH538" s="2" cm="1">
        <f t="array" ref="AH5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400</v>
      </c>
      <c r="AI538" s="4">
        <f>scheduleapr[[#This Row],[SCHEDULE in nos]]-scheduleapr[[#This Row],[DISPATCH]]</f>
        <v>-400</v>
      </c>
      <c r="AJ538" s="1">
        <f>(3.14*(scheduleapr[[#This Row],[ACTUAL OD]]-scheduleapr[[#This Row],[TICKNESS]])*scheduleapr[[#This Row],[TICKNESS]]*scheduleapr[[#This Row],[LENGTH]]*7.85)/1000000*scheduleapr[[#This Row],[SCHEDULE in nos]]/1000</f>
        <v>0</v>
      </c>
      <c r="AK538" s="1">
        <f>(3.14*(scheduleapr[[#This Row],[ACTUAL OD]]-scheduleapr[[#This Row],[TICKNESS]])*scheduleapr[[#This Row],[TICKNESS]]*scheduleapr[[#This Row],[LENGTH]]*7.85)/1000000*scheduleapr[[#This Row],[DISPATCH]]/1000</f>
        <v>0.16745375054880002</v>
      </c>
      <c r="AL538" s="1">
        <f t="shared" si="19"/>
        <v>-0.16745375054880002</v>
      </c>
      <c r="AM538" s="1" t="e">
        <f>scheduleapr[[#This Row],[SCHEDULE in nos]]/scheduleapr[[#This Row],[SCHEDULE IN MT]]*scheduleapr[[#This Row],[CTL Stock]]</f>
        <v>#DIV/0!</v>
      </c>
      <c r="AN538" s="1">
        <f>SUMIFS(stock[MT],stock[Bucket],scheduleapr[[#This Row],[Bucket]],stock[CTL Bucket],scheduleapr[[#This Row],[CTL Bucket]],stock[Plant],"0789")</f>
        <v>1.3569999999999999E-3</v>
      </c>
      <c r="AO538" s="1"/>
      <c r="AP538" s="1">
        <f>SUMIFS(stock[MT],stock[Bucket],scheduleapr[[#This Row],[Bucket]],stock[LL or CTL],"LL")</f>
        <v>8.5000000000000006E-2</v>
      </c>
      <c r="AQ538" s="1">
        <f>+SUMIFS(wip[Stock(Net Wt)],wip[Bucket],scheduleapr[[#This Row],[Bucket]])/1000</f>
        <v>3.1040000000000001</v>
      </c>
      <c r="AR538" s="1">
        <f t="shared" si="18"/>
        <v>-1.3569999999999999E-3</v>
      </c>
      <c r="AS538" s="118"/>
    </row>
    <row r="539" spans="1:45" x14ac:dyDescent="0.25">
      <c r="A539" s="30">
        <v>420</v>
      </c>
      <c r="B539" s="5" t="s">
        <v>1816</v>
      </c>
      <c r="C539" s="2" t="s">
        <v>95</v>
      </c>
      <c r="D539" s="15" t="s">
        <v>2077</v>
      </c>
      <c r="E539" s="2">
        <v>941496</v>
      </c>
      <c r="F539" s="2">
        <v>3553684</v>
      </c>
      <c r="G539" s="2" t="str">
        <f>_xlfn.CONCAT(scheduleapr[[#This Row],[CUSTOMER CODE]],"-",scheduleapr[[#This Row],[MATERIAL NO]])</f>
        <v>941496-3553684</v>
      </c>
      <c r="H539" s="2" t="s">
        <v>1505</v>
      </c>
      <c r="I539" s="2" t="s">
        <v>962</v>
      </c>
      <c r="J539" s="2"/>
      <c r="K539" s="2" t="s">
        <v>963</v>
      </c>
      <c r="L539" s="2" t="s">
        <v>1867</v>
      </c>
      <c r="M539" s="44" t="s">
        <v>1868</v>
      </c>
      <c r="N539" s="2"/>
      <c r="O539" s="2"/>
      <c r="P539" s="2"/>
      <c r="Q539" s="557" t="str">
        <f>CONCATENATE(scheduleapr[[#This Row],[OD]],"-",scheduleapr[[#This Row],[ID]],"-",scheduleapr[[#This Row],[TICKNESS]],"-",scheduleapr[[#This Row],[Grade]],"-",scheduleapr[[#This Row],[FC/NFC]])</f>
        <v>22.23-0-1.6-ERW 1-PE</v>
      </c>
      <c r="R539" s="557" t="str">
        <f>_xlfn.CONCAT(scheduleapr[[#This Row],[Bucket]],"-",scheduleapr[[#This Row],[LENGTH]]/1000)</f>
        <v>22.23-0-1.6-ERW 1-PE-0.274</v>
      </c>
      <c r="S539" s="557">
        <f>COUNTIF(scheduleapr[CTL Bucket],scheduleapr[[#This Row],[CTL Bucket]])</f>
        <v>1</v>
      </c>
      <c r="T539" s="2" t="s">
        <v>1816</v>
      </c>
      <c r="U539" s="2">
        <f>_xlfn.IFNA(VLOOKUP(scheduleapr[[#This Row],[Bucket]],salesforecast[[#All],[Bucket2]:[8406 Stock]],19,0),0)</f>
        <v>5.9161999999999937E-2</v>
      </c>
      <c r="V539" s="562">
        <f>_xlfn.IFNA(VLOOKUP(scheduleapr[[#This Row],[Bucket]],salesforecast[[#All],[Bucket2]:[8406 Stock]],20,0),0)+_xlfn.IFNA(VLOOKUP(scheduleapr[[#This Row],[Bucket]],salesforecast[[#All],[Bucket2]:[8406 Stock]],17,0),0)</f>
        <v>0</v>
      </c>
      <c r="W539" s="557"/>
      <c r="X539" s="1">
        <v>22.23</v>
      </c>
      <c r="Y539" s="1">
        <v>22.23</v>
      </c>
      <c r="Z539" s="1">
        <v>0</v>
      </c>
      <c r="AA539" s="1">
        <v>1.6</v>
      </c>
      <c r="AB539" s="24">
        <v>274</v>
      </c>
      <c r="AC539" s="24" t="s">
        <v>397</v>
      </c>
      <c r="AD539" s="24"/>
      <c r="AE539" s="24"/>
      <c r="AF539" s="2">
        <v>10000</v>
      </c>
      <c r="AG539" s="2"/>
      <c r="AH539" s="2" cm="1">
        <f t="array" ref="AH5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v>
      </c>
      <c r="AI539" s="4">
        <f>scheduleapr[[#This Row],[SCHEDULE in nos]]-scheduleapr[[#This Row],[DISPATCH]]</f>
        <v>9400</v>
      </c>
      <c r="AJ539" s="1">
        <f>(3.14*(scheduleapr[[#This Row],[ACTUAL OD]]-scheduleapr[[#This Row],[TICKNESS]])*scheduleapr[[#This Row],[TICKNESS]]*scheduleapr[[#This Row],[LENGTH]]*7.85)/1000000*scheduleapr[[#This Row],[SCHEDULE in nos]]/1000</f>
        <v>2.2293028860800002</v>
      </c>
      <c r="AK539" s="1">
        <f>(3.14*(scheduleapr[[#This Row],[ACTUAL OD]]-scheduleapr[[#This Row],[TICKNESS]])*scheduleapr[[#This Row],[TICKNESS]]*scheduleapr[[#This Row],[LENGTH]]*7.85)/1000000*scheduleapr[[#This Row],[DISPATCH]]/1000</f>
        <v>0.13375817316480001</v>
      </c>
      <c r="AL539" s="1">
        <f t="shared" si="19"/>
        <v>2.0955447129152001</v>
      </c>
      <c r="AM539" s="1">
        <f>scheduleapr[[#This Row],[SCHEDULE in nos]]/scheduleapr[[#This Row],[SCHEDULE IN MT]]*scheduleapr[[#This Row],[CTL Stock]]</f>
        <v>3.4450231271644252</v>
      </c>
      <c r="AN539" s="1">
        <f>SUMIFS(stock[MT],stock[Bucket],scheduleapr[[#This Row],[Bucket]],stock[CTL Bucket],scheduleapr[[#This Row],[CTL Bucket]],stock[Plant],"0789")</f>
        <v>7.6800000000000002E-4</v>
      </c>
      <c r="AO539" s="1"/>
      <c r="AP539" s="1">
        <f>SUMIFS(stock[MT],stock[Bucket],scheduleapr[[#This Row],[Bucket]],stock[LL or CTL],"LL")</f>
        <v>62.742162000000008</v>
      </c>
      <c r="AQ539" s="1">
        <f>+SUMIFS(wip[Stock(Net Wt)],wip[Bucket],scheduleapr[[#This Row],[Bucket]])/1000</f>
        <v>0</v>
      </c>
      <c r="AR539" s="1">
        <f t="shared" si="18"/>
        <v>2.2285348860800003</v>
      </c>
      <c r="AS539" s="118"/>
    </row>
    <row r="540" spans="1:45" x14ac:dyDescent="0.25">
      <c r="A540" s="30">
        <v>458</v>
      </c>
      <c r="B540" s="5" t="s">
        <v>1816</v>
      </c>
      <c r="C540" s="2" t="s">
        <v>95</v>
      </c>
      <c r="D540" s="15" t="s">
        <v>2077</v>
      </c>
      <c r="E540" s="2">
        <v>941496</v>
      </c>
      <c r="F540" s="2">
        <v>1940437</v>
      </c>
      <c r="G540" s="2" t="str">
        <f>_xlfn.CONCAT(scheduleapr[[#This Row],[CUSTOMER CODE]],"-",scheduleapr[[#This Row],[MATERIAL NO]])</f>
        <v>941496-1940437</v>
      </c>
      <c r="H540" s="2" t="s">
        <v>637</v>
      </c>
      <c r="I540" s="2" t="s">
        <v>962</v>
      </c>
      <c r="J540" s="2"/>
      <c r="K540" s="2" t="s">
        <v>963</v>
      </c>
      <c r="L540" s="2" t="s">
        <v>239</v>
      </c>
      <c r="M540" s="2"/>
      <c r="N540" s="2"/>
      <c r="O540" s="2"/>
      <c r="P540" s="2"/>
      <c r="Q540" s="557" t="str">
        <f>CONCATENATE(scheduleapr[[#This Row],[OD]],"-",scheduleapr[[#This Row],[ID]],"-",scheduleapr[[#This Row],[TICKNESS]],"-",scheduleapr[[#This Row],[Grade]],"-",scheduleapr[[#This Row],[FC/NFC]])</f>
        <v>22.23-0-2-ERW 1-PE</v>
      </c>
      <c r="R540" s="557" t="str">
        <f>_xlfn.CONCAT(scheduleapr[[#This Row],[Bucket]],"-",scheduleapr[[#This Row],[LENGTH]]/1000)</f>
        <v>22.23-0-2-ERW 1-PE-0.394</v>
      </c>
      <c r="S540" s="557">
        <f>COUNTIF(scheduleapr[CTL Bucket],scheduleapr[[#This Row],[CTL Bucket]])</f>
        <v>2</v>
      </c>
      <c r="T540" s="2" t="s">
        <v>1816</v>
      </c>
      <c r="U540" s="2">
        <f>_xlfn.IFNA(VLOOKUP(scheduleapr[[#This Row],[Bucket]],salesforecast[[#All],[Bucket2]:[8406 Stock]],19,0),0)</f>
        <v>5.5039059999999997</v>
      </c>
      <c r="V540" s="562">
        <f>_xlfn.IFNA(VLOOKUP(scheduleapr[[#This Row],[Bucket]],salesforecast[[#All],[Bucket2]:[8406 Stock]],20,0),0)+_xlfn.IFNA(VLOOKUP(scheduleapr[[#This Row],[Bucket]],salesforecast[[#All],[Bucket2]:[8406 Stock]],17,0),0)</f>
        <v>1.0470000000000002</v>
      </c>
      <c r="W540" s="557"/>
      <c r="X540" s="1">
        <v>22.23</v>
      </c>
      <c r="Y540" s="1">
        <v>22.23</v>
      </c>
      <c r="Z540" s="1">
        <v>0</v>
      </c>
      <c r="AA540" s="1">
        <v>2</v>
      </c>
      <c r="AB540" s="24">
        <v>394</v>
      </c>
      <c r="AC540" s="24" t="s">
        <v>397</v>
      </c>
      <c r="AD540" s="24"/>
      <c r="AE540" s="24"/>
      <c r="AF540" s="2">
        <v>20000</v>
      </c>
      <c r="AG540" s="2"/>
      <c r="AH540" s="2" cm="1">
        <f t="array" ref="AH5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7350</v>
      </c>
      <c r="AI540" s="4">
        <f>scheduleapr[[#This Row],[SCHEDULE in nos]]-scheduleapr[[#This Row],[DISPATCH]]</f>
        <v>12650</v>
      </c>
      <c r="AJ540" s="1">
        <f>(3.14*(scheduleapr[[#This Row],[ACTUAL OD]]-scheduleapr[[#This Row],[TICKNESS]])*scheduleapr[[#This Row],[TICKNESS]]*scheduleapr[[#This Row],[LENGTH]]*7.85)/1000000*scheduleapr[[#This Row],[SCHEDULE in nos]]/1000</f>
        <v>7.8587124951999998</v>
      </c>
      <c r="AK540" s="1">
        <f>(3.14*(scheduleapr[[#This Row],[ACTUAL OD]]-scheduleapr[[#This Row],[TICKNESS]])*scheduleapr[[#This Row],[TICKNESS]]*scheduleapr[[#This Row],[LENGTH]]*7.85)/1000000*scheduleapr[[#This Row],[DISPATCH]]/1000</f>
        <v>2.8880768419859999</v>
      </c>
      <c r="AL540" s="1">
        <f t="shared" si="19"/>
        <v>4.9706356532139999</v>
      </c>
      <c r="AM540" s="1">
        <f>scheduleapr[[#This Row],[SCHEDULE in nos]]/scheduleapr[[#This Row],[SCHEDULE IN MT]]*scheduleapr[[#This Row],[CTL Stock]]</f>
        <v>5.9755335277480324</v>
      </c>
      <c r="AN540" s="1">
        <f>SUMIFS(stock[MT],stock[Bucket],scheduleapr[[#This Row],[Bucket]],stock[CTL Bucket],scheduleapr[[#This Row],[CTL Bucket]],stock[Plant],"0789")</f>
        <v>2.3479999999999998E-3</v>
      </c>
      <c r="AO540" s="1"/>
      <c r="AP540" s="1">
        <f>SUMIFS(stock[MT],stock[Bucket],scheduleapr[[#This Row],[Bucket]],stock[LL or CTL],"LL")</f>
        <v>11.690147</v>
      </c>
      <c r="AQ540" s="1">
        <f>+SUMIFS(wip[Stock(Net Wt)],wip[Bucket],scheduleapr[[#This Row],[Bucket]])/1000</f>
        <v>1.629</v>
      </c>
      <c r="AR540" s="1">
        <f t="shared" si="18"/>
        <v>7.8563644952000002</v>
      </c>
      <c r="AS540" s="118"/>
    </row>
    <row r="541" spans="1:45" x14ac:dyDescent="0.25">
      <c r="A541" s="30"/>
      <c r="B541" s="5" t="s">
        <v>1816</v>
      </c>
      <c r="C541" s="2" t="s">
        <v>95</v>
      </c>
      <c r="D541" t="s">
        <v>2077</v>
      </c>
      <c r="E541" s="2">
        <v>941496</v>
      </c>
      <c r="F541" s="2"/>
      <c r="G541" s="2" t="str">
        <f>_xlfn.CONCAT(scheduleapr[[#This Row],[CUSTOMER CODE]],"-",scheduleapr[[#This Row],[MATERIAL NO]])</f>
        <v>941496-</v>
      </c>
      <c r="H541" s="2"/>
      <c r="I541" s="2" t="s">
        <v>962</v>
      </c>
      <c r="J541" s="2"/>
      <c r="K541" s="2" t="s">
        <v>963</v>
      </c>
      <c r="L541" s="2"/>
      <c r="M541" s="44"/>
      <c r="N541" s="2"/>
      <c r="O541" s="2"/>
      <c r="P541" s="2"/>
      <c r="Q541" s="15" t="s">
        <v>633</v>
      </c>
      <c r="R541" s="557" t="str">
        <f>_xlfn.CONCAT(scheduleapr[[#This Row],[Bucket]],"-",scheduleapr[[#This Row],[LENGTH]]/1000)</f>
        <v>22.23-0-2-ERW 1-PE-0.805</v>
      </c>
      <c r="S541" s="2"/>
      <c r="T541" s="2"/>
      <c r="U541" s="2">
        <f>_xlfn.IFNA(VLOOKUP(scheduleapr[[#This Row],[Bucket]],salesforecast[[#All],[Bucket2]:[8406 Stock]],19,0),0)</f>
        <v>5.5039059999999997</v>
      </c>
      <c r="V541" s="562">
        <f>_xlfn.IFNA(VLOOKUP(scheduleapr[[#This Row],[Bucket]],salesforecast[[#All],[Bucket2]:[8406 Stock]],20,0),0)+_xlfn.IFNA(VLOOKUP(scheduleapr[[#This Row],[Bucket]],salesforecast[[#All],[Bucket2]:[8406 Stock]],17,0),0)</f>
        <v>1.0470000000000002</v>
      </c>
      <c r="W541" s="2"/>
      <c r="X541" s="1">
        <v>22.23</v>
      </c>
      <c r="Y541" s="1">
        <v>22.23</v>
      </c>
      <c r="Z541" s="1">
        <v>0</v>
      </c>
      <c r="AA541" s="1">
        <v>2</v>
      </c>
      <c r="AB541" s="24">
        <v>805</v>
      </c>
      <c r="AC541" s="24" t="s">
        <v>397</v>
      </c>
      <c r="AD541" s="24"/>
      <c r="AE541" s="24"/>
      <c r="AF541" s="2">
        <v>10000</v>
      </c>
      <c r="AG541" s="2"/>
      <c r="AH541" s="2" cm="1">
        <f t="array" ref="AH5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4078</v>
      </c>
      <c r="AI541" s="4">
        <f>scheduleapr[[#This Row],[SCHEDULE in nos]]-scheduleapr[[#This Row],[DISPATCH]]</f>
        <v>5922</v>
      </c>
      <c r="AJ541" s="1">
        <f>(3.14*(scheduleapr[[#This Row],[ACTUAL OD]]-scheduleapr[[#This Row],[TICKNESS]])*scheduleapr[[#This Row],[TICKNESS]]*scheduleapr[[#This Row],[LENGTH]]*7.85)/1000000*scheduleapr[[#This Row],[SCHEDULE in nos]]/1000</f>
        <v>8.0282532470000021</v>
      </c>
      <c r="AK541" s="1">
        <f>(3.14*(scheduleapr[[#This Row],[ACTUAL OD]]-scheduleapr[[#This Row],[TICKNESS]])*scheduleapr[[#This Row],[TICKNESS]]*scheduleapr[[#This Row],[LENGTH]]*7.85)/1000000*scheduleapr[[#This Row],[DISPATCH]]/1000</f>
        <v>3.2739216741266004</v>
      </c>
      <c r="AL541" s="1">
        <f t="shared" si="19"/>
        <v>4.7543315728734017</v>
      </c>
      <c r="AM541" s="1">
        <f>scheduleapr[[#This Row],[SCHEDULE in nos]]/scheduleapr[[#This Row],[SCHEDULE IN MT]]*scheduleapr[[#This Row],[CTL Stock]]</f>
        <v>0</v>
      </c>
      <c r="AN541" s="1">
        <f>SUMIFS(stock[MT],stock[Bucket],scheduleapr[[#This Row],[Bucket]],stock[CTL Bucket],scheduleapr[[#This Row],[CTL Bucket]],stock[Plant],"0789")</f>
        <v>0</v>
      </c>
      <c r="AO541" s="1"/>
      <c r="AP541" s="1">
        <f>SUMIFS(stock[MT],stock[Bucket],scheduleapr[[#This Row],[Bucket]],stock[LL or CTL],"LL")</f>
        <v>11.690147</v>
      </c>
      <c r="AQ541" s="1">
        <f>+SUMIFS(wip[Stock(Net Wt)],wip[Bucket],scheduleapr[[#This Row],[Bucket]])/1000</f>
        <v>1.629</v>
      </c>
      <c r="AR541" s="1">
        <f t="shared" si="18"/>
        <v>8.0282532470000021</v>
      </c>
      <c r="AS541" s="118"/>
    </row>
    <row r="542" spans="1:45" x14ac:dyDescent="0.25">
      <c r="A542" s="30">
        <v>460</v>
      </c>
      <c r="B542" s="5" t="s">
        <v>1816</v>
      </c>
      <c r="C542" s="2" t="s">
        <v>95</v>
      </c>
      <c r="D542" s="15" t="s">
        <v>2077</v>
      </c>
      <c r="E542" s="2">
        <v>941496</v>
      </c>
      <c r="F542" s="2">
        <v>2413708</v>
      </c>
      <c r="G542" s="2" t="str">
        <f>_xlfn.CONCAT(scheduleapr[[#This Row],[CUSTOMER CODE]],"-",scheduleapr[[#This Row],[MATERIAL NO]])</f>
        <v>941496-2413708</v>
      </c>
      <c r="H542" s="2" t="s">
        <v>634</v>
      </c>
      <c r="I542" s="2" t="s">
        <v>962</v>
      </c>
      <c r="J542" s="2"/>
      <c r="K542" s="2" t="s">
        <v>963</v>
      </c>
      <c r="L542" s="2" t="s">
        <v>239</v>
      </c>
      <c r="M542" s="2"/>
      <c r="N542" s="2"/>
      <c r="O542" s="2"/>
      <c r="P542" s="2"/>
      <c r="Q542" s="557" t="str">
        <f>CONCATENATE(scheduleapr[[#This Row],[OD]],"-",scheduleapr[[#This Row],[ID]],"-",scheduleapr[[#This Row],[TICKNESS]],"-",scheduleapr[[#This Row],[Grade]],"-",scheduleapr[[#This Row],[FC/NFC]])</f>
        <v>22.23-0-2-ERW 1-PE</v>
      </c>
      <c r="R542" s="557" t="str">
        <f>_xlfn.CONCAT(scheduleapr[[#This Row],[Bucket]],"-",scheduleapr[[#This Row],[LENGTH]]/1000)</f>
        <v>22.23-0-2-ERW 1-PE-0.815</v>
      </c>
      <c r="S542" s="557">
        <f>COUNTIF(scheduleapr[CTL Bucket],scheduleapr[[#This Row],[CTL Bucket]])</f>
        <v>2</v>
      </c>
      <c r="T542" s="2" t="s">
        <v>1816</v>
      </c>
      <c r="U542" s="2">
        <f>_xlfn.IFNA(VLOOKUP(scheduleapr[[#This Row],[Bucket]],salesforecast[[#All],[Bucket2]:[8406 Stock]],19,0),0)</f>
        <v>5.5039059999999997</v>
      </c>
      <c r="V542" s="562">
        <f>_xlfn.IFNA(VLOOKUP(scheduleapr[[#This Row],[Bucket]],salesforecast[[#All],[Bucket2]:[8406 Stock]],20,0),0)+_xlfn.IFNA(VLOOKUP(scheduleapr[[#This Row],[Bucket]],salesforecast[[#All],[Bucket2]:[8406 Stock]],17,0),0)</f>
        <v>1.0470000000000002</v>
      </c>
      <c r="W542" s="557"/>
      <c r="X542" s="1">
        <v>22.23</v>
      </c>
      <c r="Y542" s="1">
        <v>22.23</v>
      </c>
      <c r="Z542" s="1">
        <v>0</v>
      </c>
      <c r="AA542" s="1">
        <v>2</v>
      </c>
      <c r="AB542" s="24">
        <v>815</v>
      </c>
      <c r="AC542" s="24" t="s">
        <v>397</v>
      </c>
      <c r="AD542" s="24"/>
      <c r="AE542" s="24"/>
      <c r="AF542" s="2">
        <v>15000</v>
      </c>
      <c r="AG542" s="2"/>
      <c r="AH542" s="2" cm="1">
        <f t="array" ref="AH5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11492</v>
      </c>
      <c r="AI542" s="4">
        <f>scheduleapr[[#This Row],[SCHEDULE in nos]]-scheduleapr[[#This Row],[DISPATCH]]</f>
        <v>3508</v>
      </c>
      <c r="AJ542" s="1">
        <f>(3.14*(scheduleapr[[#This Row],[ACTUAL OD]]-scheduleapr[[#This Row],[TICKNESS]])*scheduleapr[[#This Row],[TICKNESS]]*scheduleapr[[#This Row],[LENGTH]]*7.85)/1000000*scheduleapr[[#This Row],[SCHEDULE in nos]]/1000</f>
        <v>12.191974651500001</v>
      </c>
      <c r="AK542" s="1">
        <f>(3.14*(scheduleapr[[#This Row],[ACTUAL OD]]-scheduleapr[[#This Row],[TICKNESS]])*scheduleapr[[#This Row],[TICKNESS]]*scheduleapr[[#This Row],[LENGTH]]*7.85)/1000000*scheduleapr[[#This Row],[DISPATCH]]/1000</f>
        <v>9.3406781796692009</v>
      </c>
      <c r="AL542" s="1">
        <f t="shared" si="19"/>
        <v>2.8512964718307998</v>
      </c>
      <c r="AM542" s="1">
        <f>scheduleapr[[#This Row],[SCHEDULE in nos]]/scheduleapr[[#This Row],[SCHEDULE IN MT]]*scheduleapr[[#This Row],[CTL Stock]]</f>
        <v>17.042358267570417</v>
      </c>
      <c r="AN542" s="1">
        <f>SUMIFS(stock[MT],stock[Bucket],scheduleapr[[#This Row],[Bucket]],stock[CTL Bucket],scheduleapr[[#This Row],[CTL Bucket]],stock[Plant],"0789")</f>
        <v>1.3852E-2</v>
      </c>
      <c r="AO542" s="1"/>
      <c r="AP542" s="1">
        <f>SUMIFS(stock[MT],stock[Bucket],scheduleapr[[#This Row],[Bucket]],stock[LL or CTL],"LL")</f>
        <v>11.690147</v>
      </c>
      <c r="AQ542" s="1">
        <f>+SUMIFS(wip[Stock(Net Wt)],wip[Bucket],scheduleapr[[#This Row],[Bucket]])/1000</f>
        <v>1.629</v>
      </c>
      <c r="AR542" s="1">
        <f t="shared" si="18"/>
        <v>12.178122651500001</v>
      </c>
      <c r="AS542" s="118"/>
    </row>
    <row r="543" spans="1:45" x14ac:dyDescent="0.25">
      <c r="A543" s="30">
        <v>469</v>
      </c>
      <c r="B543" s="5" t="s">
        <v>1816</v>
      </c>
      <c r="C543" s="2" t="s">
        <v>95</v>
      </c>
      <c r="D543" s="15" t="s">
        <v>2077</v>
      </c>
      <c r="E543" s="2">
        <v>941496</v>
      </c>
      <c r="F543" s="2">
        <v>1940588</v>
      </c>
      <c r="G543" s="2" t="str">
        <f>_xlfn.CONCAT(scheduleapr[[#This Row],[CUSTOMER CODE]],"-",scheduleapr[[#This Row],[MATERIAL NO]])</f>
        <v>941496-1940588</v>
      </c>
      <c r="H543" s="2" t="s">
        <v>797</v>
      </c>
      <c r="I543" s="2" t="s">
        <v>962</v>
      </c>
      <c r="J543" s="2"/>
      <c r="K543" s="2" t="s">
        <v>1003</v>
      </c>
      <c r="L543" s="2" t="s">
        <v>239</v>
      </c>
      <c r="M543" s="2"/>
      <c r="N543" s="2"/>
      <c r="O543" s="2"/>
      <c r="P543" s="2"/>
      <c r="Q543" s="557" t="str">
        <f>CONCATENATE(scheduleapr[[#This Row],[OD]],"-",scheduleapr[[#This Row],[ID]],"-",scheduleapr[[#This Row],[TICKNESS]],"-",scheduleapr[[#This Row],[Grade]],"-",scheduleapr[[#This Row],[FC/NFC]])</f>
        <v>25.4-0-2-ERW 1-FC</v>
      </c>
      <c r="R543" s="557" t="str">
        <f>_xlfn.CONCAT(scheduleapr[[#This Row],[Bucket]],"-",scheduleapr[[#This Row],[LENGTH]]/1000)</f>
        <v>25.4-0-2-ERW 1-FC-0.355</v>
      </c>
      <c r="S543" s="557">
        <f>COUNTIF(scheduleapr[CTL Bucket],scheduleapr[[#This Row],[CTL Bucket]])</f>
        <v>3</v>
      </c>
      <c r="T543" s="2" t="s">
        <v>1816</v>
      </c>
      <c r="U543" s="2">
        <f>_xlfn.IFNA(VLOOKUP(scheduleapr[[#This Row],[Bucket]],salesforecast[[#All],[Bucket2]:[8406 Stock]],19,0),0)</f>
        <v>10.051000000000002</v>
      </c>
      <c r="V543" s="562">
        <f>_xlfn.IFNA(VLOOKUP(scheduleapr[[#This Row],[Bucket]],salesforecast[[#All],[Bucket2]:[8406 Stock]],20,0),0)+_xlfn.IFNA(VLOOKUP(scheduleapr[[#This Row],[Bucket]],salesforecast[[#All],[Bucket2]:[8406 Stock]],17,0),0)</f>
        <v>1.529582</v>
      </c>
      <c r="W543" s="557"/>
      <c r="X543" s="1">
        <v>25.4</v>
      </c>
      <c r="Y543" s="1">
        <v>25.4</v>
      </c>
      <c r="Z543" s="1">
        <v>0</v>
      </c>
      <c r="AA543" s="1">
        <v>2</v>
      </c>
      <c r="AB543" s="24">
        <v>355</v>
      </c>
      <c r="AC543" s="24" t="s">
        <v>397</v>
      </c>
      <c r="AD543" s="24"/>
      <c r="AE543" s="24"/>
      <c r="AF543" s="2"/>
      <c r="AG543" s="2"/>
      <c r="AH543" s="2" cm="1">
        <f t="array" ref="AH5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8504</v>
      </c>
      <c r="AI543" s="4">
        <f>scheduleapr[[#This Row],[SCHEDULE in nos]]-scheduleapr[[#This Row],[DISPATCH]]</f>
        <v>-8504</v>
      </c>
      <c r="AJ543" s="1">
        <f>(3.14*(scheduleapr[[#This Row],[ACTUAL OD]]-scheduleapr[[#This Row],[TICKNESS]])*scheduleapr[[#This Row],[TICKNESS]]*scheduleapr[[#This Row],[LENGTH]]*7.85)/1000000*scheduleapr[[#This Row],[SCHEDULE in nos]]/1000</f>
        <v>0</v>
      </c>
      <c r="AK543" s="1">
        <f>(3.14*(scheduleapr[[#This Row],[ACTUAL OD]]-scheduleapr[[#This Row],[TICKNESS]])*scheduleapr[[#This Row],[TICKNESS]]*scheduleapr[[#This Row],[LENGTH]]*7.85)/1000000*scheduleapr[[#This Row],[DISPATCH]]/1000</f>
        <v>3.4825452049439996</v>
      </c>
      <c r="AL543" s="1">
        <f t="shared" si="19"/>
        <v>-3.4825452049439996</v>
      </c>
      <c r="AM543" s="1" t="e">
        <f>scheduleapr[[#This Row],[SCHEDULE in nos]]/scheduleapr[[#This Row],[SCHEDULE IN MT]]*scheduleapr[[#This Row],[CTL Stock]]</f>
        <v>#DIV/0!</v>
      </c>
      <c r="AN543" s="1">
        <f>SUMIFS(stock[MT],stock[Bucket],scheduleapr[[#This Row],[Bucket]],stock[CTL Bucket],scheduleapr[[#This Row],[CTL Bucket]],stock[Plant],"0789")</f>
        <v>1.65205</v>
      </c>
      <c r="AO543" s="1"/>
      <c r="AP543" s="1">
        <f>SUMIFS(stock[MT],stock[Bucket],scheduleapr[[#This Row],[Bucket]],stock[LL or CTL],"LL")</f>
        <v>10.738999999999999</v>
      </c>
      <c r="AQ543" s="1">
        <f>+SUMIFS(wip[Stock(Net Wt)],wip[Bucket],scheduleapr[[#This Row],[Bucket]])/1000</f>
        <v>25.931000000000001</v>
      </c>
      <c r="AR543" s="1">
        <f t="shared" si="18"/>
        <v>-1.65205</v>
      </c>
      <c r="AS543" s="118"/>
    </row>
    <row r="544" spans="1:45" x14ac:dyDescent="0.25">
      <c r="A544" s="30">
        <v>470</v>
      </c>
      <c r="B544" s="5" t="s">
        <v>1816</v>
      </c>
      <c r="C544" s="2" t="s">
        <v>95</v>
      </c>
      <c r="D544" s="15" t="s">
        <v>2077</v>
      </c>
      <c r="E544" s="2">
        <v>941496</v>
      </c>
      <c r="F544" s="2">
        <v>1940614</v>
      </c>
      <c r="G544" s="2" t="str">
        <f>_xlfn.CONCAT(scheduleapr[[#This Row],[CUSTOMER CODE]],"-",scheduleapr[[#This Row],[MATERIAL NO]])</f>
        <v>941496-1940614</v>
      </c>
      <c r="H544" s="2" t="s">
        <v>693</v>
      </c>
      <c r="I544" s="2" t="s">
        <v>962</v>
      </c>
      <c r="J544" s="2"/>
      <c r="K544" s="2" t="s">
        <v>963</v>
      </c>
      <c r="L544" s="2" t="s">
        <v>1867</v>
      </c>
      <c r="M544" s="2"/>
      <c r="N544" s="2"/>
      <c r="O544" s="2"/>
      <c r="P544" s="2"/>
      <c r="Q544" s="557" t="str">
        <f>CONCATENATE(scheduleapr[[#This Row],[OD]],"-",scheduleapr[[#This Row],[ID]],"-",scheduleapr[[#This Row],[TICKNESS]],"-",scheduleapr[[#This Row],[Grade]],"-",scheduleapr[[#This Row],[FC/NFC]])</f>
        <v>28.58-0-1.2-ERW 1-PE</v>
      </c>
      <c r="R544" s="557" t="str">
        <f>_xlfn.CONCAT(scheduleapr[[#This Row],[Bucket]],"-",scheduleapr[[#This Row],[LENGTH]]/1000)</f>
        <v>28.58-0-1.2-ERW 1-PE-0.595</v>
      </c>
      <c r="S544" s="557">
        <f>COUNTIF(scheduleapr[CTL Bucket],scheduleapr[[#This Row],[CTL Bucket]])</f>
        <v>1</v>
      </c>
      <c r="T544" s="2" t="s">
        <v>1816</v>
      </c>
      <c r="U544" s="2">
        <f>_xlfn.IFNA(VLOOKUP(scheduleapr[[#This Row],[Bucket]],salesforecast[[#All],[Bucket2]:[8406 Stock]],19,0),0)</f>
        <v>0.10089999999999999</v>
      </c>
      <c r="V544" s="562">
        <f>_xlfn.IFNA(VLOOKUP(scheduleapr[[#This Row],[Bucket]],salesforecast[[#All],[Bucket2]:[8406 Stock]],20,0),0)+_xlfn.IFNA(VLOOKUP(scheduleapr[[#This Row],[Bucket]],salesforecast[[#All],[Bucket2]:[8406 Stock]],17,0),0)</f>
        <v>0</v>
      </c>
      <c r="W544" s="557"/>
      <c r="X544" s="1">
        <v>28.58</v>
      </c>
      <c r="Y544" s="1">
        <v>28.58</v>
      </c>
      <c r="Z544" s="1">
        <v>0</v>
      </c>
      <c r="AA544" s="1">
        <v>1.2</v>
      </c>
      <c r="AB544" s="24">
        <v>595</v>
      </c>
      <c r="AC544" s="24" t="s">
        <v>397</v>
      </c>
      <c r="AD544" s="24"/>
      <c r="AE544" s="24"/>
      <c r="AF544" s="2">
        <v>8000</v>
      </c>
      <c r="AG544" s="2"/>
      <c r="AH544" s="2" cm="1">
        <f t="array" ref="AH5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5550</v>
      </c>
      <c r="AI544" s="4">
        <f>scheduleapr[[#This Row],[SCHEDULE in nos]]-scheduleapr[[#This Row],[DISPATCH]]</f>
        <v>2450</v>
      </c>
      <c r="AJ544" s="1">
        <f>(3.14*(scheduleapr[[#This Row],[ACTUAL OD]]-scheduleapr[[#This Row],[TICKNESS]])*scheduleapr[[#This Row],[TICKNESS]]*scheduleapr[[#This Row],[LENGTH]]*7.85)/1000000*scheduleapr[[#This Row],[SCHEDULE in nos]]/1000</f>
        <v>3.8549695094399996</v>
      </c>
      <c r="AK544" s="1">
        <f>(3.14*(scheduleapr[[#This Row],[ACTUAL OD]]-scheduleapr[[#This Row],[TICKNESS]])*scheduleapr[[#This Row],[TICKNESS]]*scheduleapr[[#This Row],[LENGTH]]*7.85)/1000000*scheduleapr[[#This Row],[DISPATCH]]/1000</f>
        <v>2.674385097174</v>
      </c>
      <c r="AL544" s="1">
        <f t="shared" si="19"/>
        <v>1.1805844122659996</v>
      </c>
      <c r="AM544" s="1">
        <f>scheduleapr[[#This Row],[SCHEDULE in nos]]/scheduleapr[[#This Row],[SCHEDULE IN MT]]*scheduleapr[[#This Row],[CTL Stock]]</f>
        <v>5.3852566016834063</v>
      </c>
      <c r="AN544" s="1">
        <f>SUMIFS(stock[MT],stock[Bucket],scheduleapr[[#This Row],[Bucket]],stock[CTL Bucket],scheduleapr[[#This Row],[CTL Bucket]],stock[Plant],"0789")</f>
        <v>2.5950000000000001E-3</v>
      </c>
      <c r="AO544" s="1"/>
      <c r="AP544" s="1">
        <f>SUMIFS(stock[MT],stock[Bucket],scheduleapr[[#This Row],[Bucket]],stock[LL or CTL],"LL")</f>
        <v>0.1009</v>
      </c>
      <c r="AQ544" s="1">
        <f>+SUMIFS(wip[Stock(Net Wt)],wip[Bucket],scheduleapr[[#This Row],[Bucket]])/1000</f>
        <v>5.8879999999999999</v>
      </c>
      <c r="AR544" s="1">
        <f t="shared" si="18"/>
        <v>3.8523745094399997</v>
      </c>
      <c r="AS544" s="118"/>
    </row>
    <row r="545" spans="1:45" x14ac:dyDescent="0.25">
      <c r="A545" s="30">
        <v>473</v>
      </c>
      <c r="B545" s="5" t="s">
        <v>1816</v>
      </c>
      <c r="C545" s="2" t="s">
        <v>95</v>
      </c>
      <c r="D545" s="15" t="s">
        <v>2077</v>
      </c>
      <c r="E545" s="2">
        <v>941496</v>
      </c>
      <c r="F545" s="2">
        <v>2256593</v>
      </c>
      <c r="G545" s="2" t="str">
        <f>_xlfn.CONCAT(scheduleapr[[#This Row],[CUSTOMER CODE]],"-",scheduleapr[[#This Row],[MATERIAL NO]])</f>
        <v>941496-2256593</v>
      </c>
      <c r="H545" s="2" t="s">
        <v>1598</v>
      </c>
      <c r="I545" s="2" t="s">
        <v>962</v>
      </c>
      <c r="J545" s="2"/>
      <c r="K545" s="2" t="s">
        <v>1003</v>
      </c>
      <c r="L545" s="2" t="s">
        <v>1867</v>
      </c>
      <c r="M545" s="2"/>
      <c r="N545" s="2"/>
      <c r="O545" s="2"/>
      <c r="P545" s="2"/>
      <c r="Q545" s="557" t="str">
        <f>CONCATENATE(scheduleapr[[#This Row],[OD]],"-",scheduleapr[[#This Row],[ID]],"-",scheduleapr[[#This Row],[TICKNESS]],"-",scheduleapr[[#This Row],[Grade]],"-",scheduleapr[[#This Row],[FC/NFC]])</f>
        <v>31.75-0-1.2-ERW 1-FC</v>
      </c>
      <c r="R545" s="557" t="str">
        <f>_xlfn.CONCAT(scheduleapr[[#This Row],[Bucket]],"-",scheduleapr[[#This Row],[LENGTH]]/1000)</f>
        <v>31.75-0-1.2-ERW 1-FC-0.21</v>
      </c>
      <c r="S545" s="557">
        <f>COUNTIF(scheduleapr[CTL Bucket],scheduleapr[[#This Row],[CTL Bucket]])</f>
        <v>1</v>
      </c>
      <c r="T545" s="2" t="s">
        <v>1816</v>
      </c>
      <c r="U545" s="2">
        <f>_xlfn.IFNA(VLOOKUP(scheduleapr[[#This Row],[Bucket]],salesforecast[[#All],[Bucket2]:[8406 Stock]],19,0),0)</f>
        <v>0</v>
      </c>
      <c r="V545" s="562">
        <f>_xlfn.IFNA(VLOOKUP(scheduleapr[[#This Row],[Bucket]],salesforecast[[#All],[Bucket2]:[8406 Stock]],20,0),0)+_xlfn.IFNA(VLOOKUP(scheduleapr[[#This Row],[Bucket]],salesforecast[[#All],[Bucket2]:[8406 Stock]],17,0),0)</f>
        <v>0</v>
      </c>
      <c r="W545" s="557"/>
      <c r="X545" s="1">
        <v>31.75</v>
      </c>
      <c r="Y545" s="1">
        <v>31.75</v>
      </c>
      <c r="Z545" s="1">
        <v>0</v>
      </c>
      <c r="AA545" s="1">
        <v>1.2</v>
      </c>
      <c r="AB545" s="24">
        <v>210</v>
      </c>
      <c r="AC545" s="24" t="s">
        <v>397</v>
      </c>
      <c r="AD545" s="24"/>
      <c r="AE545" s="24"/>
      <c r="AF545" s="2">
        <v>8000</v>
      </c>
      <c r="AG545" s="2"/>
      <c r="AH545" s="2" cm="1">
        <f t="array" ref="AH5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650</v>
      </c>
      <c r="AI545" s="4">
        <f>scheduleapr[[#This Row],[SCHEDULE in nos]]-scheduleapr[[#This Row],[DISPATCH]]</f>
        <v>7350</v>
      </c>
      <c r="AJ545" s="1">
        <f>(3.14*(scheduleapr[[#This Row],[ACTUAL OD]]-scheduleapr[[#This Row],[TICKNESS]])*scheduleapr[[#This Row],[TICKNESS]]*scheduleapr[[#This Row],[LENGTH]]*7.85)/1000000*scheduleapr[[#This Row],[SCHEDULE in nos]]/1000</f>
        <v>1.5181023312000002</v>
      </c>
      <c r="AK545" s="1">
        <f>(3.14*(scheduleapr[[#This Row],[ACTUAL OD]]-scheduleapr[[#This Row],[TICKNESS]])*scheduleapr[[#This Row],[TICKNESS]]*scheduleapr[[#This Row],[LENGTH]]*7.85)/1000000*scheduleapr[[#This Row],[DISPATCH]]/1000</f>
        <v>0.12334581441000002</v>
      </c>
      <c r="AL545" s="1">
        <f t="shared" si="19"/>
        <v>1.3947565167900002</v>
      </c>
      <c r="AM545" s="1">
        <f>scheduleapr[[#This Row],[SCHEDULE in nos]]/scheduleapr[[#This Row],[SCHEDULE IN MT]]*scheduleapr[[#This Row],[CTL Stock]]</f>
        <v>1688.7399138459343</v>
      </c>
      <c r="AN545" s="1">
        <f>SUMIFS(stock[MT],stock[Bucket],scheduleapr[[#This Row],[Bucket]],stock[CTL Bucket],scheduleapr[[#This Row],[CTL Bucket]],stock[Plant],"0789")</f>
        <v>0.32046000000000002</v>
      </c>
      <c r="AO545" s="1"/>
      <c r="AP545" s="1">
        <f>SUMIFS(stock[MT],stock[Bucket],scheduleapr[[#This Row],[Bucket]],stock[LL or CTL],"LL")</f>
        <v>0</v>
      </c>
      <c r="AQ545" s="1">
        <f>+SUMIFS(wip[Stock(Net Wt)],wip[Bucket],scheduleapr[[#This Row],[Bucket]])/1000</f>
        <v>0</v>
      </c>
      <c r="AR545" s="1">
        <f t="shared" si="18"/>
        <v>1.1976423312000002</v>
      </c>
      <c r="AS545" s="118"/>
    </row>
    <row r="546" spans="1:45" x14ac:dyDescent="0.25">
      <c r="A546" s="30">
        <v>477</v>
      </c>
      <c r="B546" s="5" t="s">
        <v>1816</v>
      </c>
      <c r="C546" s="2" t="s">
        <v>95</v>
      </c>
      <c r="D546" s="15" t="s">
        <v>2077</v>
      </c>
      <c r="E546" s="2">
        <v>941496</v>
      </c>
      <c r="F546" s="2">
        <v>3507795</v>
      </c>
      <c r="G546" s="2" t="str">
        <f>_xlfn.CONCAT(scheduleapr[[#This Row],[CUSTOMER CODE]],"-",scheduleapr[[#This Row],[MATERIAL NO]])</f>
        <v>941496-3507795</v>
      </c>
      <c r="H546" s="2" t="s">
        <v>2082</v>
      </c>
      <c r="I546" s="2" t="s">
        <v>962</v>
      </c>
      <c r="J546" s="2"/>
      <c r="K546" s="2" t="s">
        <v>1003</v>
      </c>
      <c r="L546" s="2" t="s">
        <v>239</v>
      </c>
      <c r="M546" s="2"/>
      <c r="N546" s="2"/>
      <c r="O546" s="2"/>
      <c r="P546" s="2"/>
      <c r="Q546" s="557" t="str">
        <f>CONCATENATE(scheduleapr[[#This Row],[OD]],"-",scheduleapr[[#This Row],[ID]],"-",scheduleapr[[#This Row],[TICKNESS]],"-",scheduleapr[[#This Row],[Grade]],"-",scheduleapr[[#This Row],[FC/NFC]])</f>
        <v>31.75-0-1.2-ERW 1-FC</v>
      </c>
      <c r="R546" s="557" t="str">
        <f>_xlfn.CONCAT(scheduleapr[[#This Row],[Bucket]],"-",scheduleapr[[#This Row],[LENGTH]]/1000)</f>
        <v>31.75-0-1.2-ERW 1-FC-0.657</v>
      </c>
      <c r="S546" s="557" t="e" vm="2">
        <f>COUNTIF([2]!buckets[CTL Bucket],[2]!scheduleapr[[#This Row],[CTL Bucket]])</f>
        <v>#REF!</v>
      </c>
      <c r="T546" s="557"/>
      <c r="U546" s="557"/>
      <c r="V546" s="557"/>
      <c r="W546" s="557"/>
      <c r="X546" s="1">
        <v>31.75</v>
      </c>
      <c r="Y546" s="1">
        <v>31.75</v>
      </c>
      <c r="Z546" s="1">
        <v>0</v>
      </c>
      <c r="AA546" s="1">
        <v>1.2</v>
      </c>
      <c r="AB546" s="24">
        <v>657</v>
      </c>
      <c r="AC546" s="24" t="s">
        <v>397</v>
      </c>
      <c r="AD546" s="24"/>
      <c r="AE546" s="24"/>
      <c r="AF546" s="2"/>
      <c r="AG546" s="2"/>
      <c r="AH546" s="2" cm="1">
        <f t="array" ref="AH5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6" s="4">
        <f>scheduleapr[[#This Row],[SCHEDULE in nos]]-scheduleapr[[#This Row],[DISPATCH]]</f>
        <v>0</v>
      </c>
      <c r="AJ546" s="1">
        <f>(3.14*(scheduleapr[[#This Row],[ACTUAL OD]]-scheduleapr[[#This Row],[TICKNESS]])*scheduleapr[[#This Row],[TICKNESS]]*scheduleapr[[#This Row],[LENGTH]]*7.85)/1000000*scheduleapr[[#This Row],[SCHEDULE in nos]]/1000</f>
        <v>0</v>
      </c>
      <c r="AK546" s="1">
        <f>(3.14*(scheduleapr[[#This Row],[ACTUAL OD]]-scheduleapr[[#This Row],[TICKNESS]])*scheduleapr[[#This Row],[TICKNESS]]*scheduleapr[[#This Row],[LENGTH]]*7.85)/1000000*scheduleapr[[#This Row],[DISPATCH]]/1000</f>
        <v>0</v>
      </c>
      <c r="AL546" s="1">
        <f t="shared" si="19"/>
        <v>0</v>
      </c>
      <c r="AM546" s="1" t="e">
        <f>scheduleapr[[#This Row],[SCHEDULE in nos]]/scheduleapr[[#This Row],[SCHEDULE IN MT]]*scheduleapr[[#This Row],[CTL Stock]]</f>
        <v>#DIV/0!</v>
      </c>
      <c r="AN546" s="1">
        <f>SUMIFS(stock[MT],stock[Bucket],scheduleapr[[#This Row],[Bucket]],stock[CTL Bucket],scheduleapr[[#This Row],[CTL Bucket]],stock[Plant],"0789")</f>
        <v>0</v>
      </c>
      <c r="AO546" s="1"/>
      <c r="AP546" s="1">
        <f>SUMIFS(stock[MT],stock[Bucket],scheduleapr[[#This Row],[Bucket]],stock[LL or CTL],"LL")</f>
        <v>0</v>
      </c>
      <c r="AQ546" s="1">
        <f>+SUMIFS(wip[Stock(Net Wt)],wip[Bucket],scheduleapr[[#This Row],[Bucket]])/1000</f>
        <v>0</v>
      </c>
      <c r="AR546" s="1">
        <f t="shared" si="18"/>
        <v>0</v>
      </c>
      <c r="AS546" s="118"/>
    </row>
    <row r="547" spans="1:45" x14ac:dyDescent="0.25">
      <c r="A547" s="30">
        <v>478</v>
      </c>
      <c r="B547" s="5" t="s">
        <v>1816</v>
      </c>
      <c r="C547" s="2" t="s">
        <v>95</v>
      </c>
      <c r="D547" s="15" t="s">
        <v>2077</v>
      </c>
      <c r="E547" s="2">
        <v>941496</v>
      </c>
      <c r="F547" s="2">
        <v>3819143</v>
      </c>
      <c r="G547" s="2" t="str">
        <f>_xlfn.CONCAT(scheduleapr[[#This Row],[CUSTOMER CODE]],"-",scheduleapr[[#This Row],[MATERIAL NO]])</f>
        <v>941496-3819143</v>
      </c>
      <c r="H547" s="2" t="s">
        <v>2083</v>
      </c>
      <c r="I547" s="2" t="s">
        <v>962</v>
      </c>
      <c r="J547" s="2"/>
      <c r="K547" s="2" t="s">
        <v>1003</v>
      </c>
      <c r="L547" s="2" t="s">
        <v>1867</v>
      </c>
      <c r="M547" s="2"/>
      <c r="N547" s="2"/>
      <c r="O547" s="2"/>
      <c r="P547" s="2"/>
      <c r="Q547" s="557" t="str">
        <f>CONCATENATE(scheduleapr[[#This Row],[OD]],"-",scheduleapr[[#This Row],[ID]],"-",scheduleapr[[#This Row],[TICKNESS]],"-",scheduleapr[[#This Row],[Grade]],"-",scheduleapr[[#This Row],[FC/NFC]])</f>
        <v>31.75-0-1.2-ERW 1-FC</v>
      </c>
      <c r="R547" s="557" t="str">
        <f>_xlfn.CONCAT(scheduleapr[[#This Row],[Bucket]],"-",scheduleapr[[#This Row],[LENGTH]]/1000)</f>
        <v>31.75-0-1.2-ERW 1-FC-0.68</v>
      </c>
      <c r="S547" s="557">
        <f>COUNTIF(scheduleapr[CTL Bucket],scheduleapr[[#This Row],[CTL Bucket]])</f>
        <v>1</v>
      </c>
      <c r="T547" s="2" t="s">
        <v>1816</v>
      </c>
      <c r="U547" s="2">
        <f>_xlfn.IFNA(VLOOKUP(scheduleapr[[#This Row],[Bucket]],salesforecast[[#All],[Bucket2]:[8406 Stock]],19,0),0)</f>
        <v>0</v>
      </c>
      <c r="V547" s="562">
        <f>_xlfn.IFNA(VLOOKUP(scheduleapr[[#This Row],[Bucket]],salesforecast[[#All],[Bucket2]:[8406 Stock]],20,0),0)+_xlfn.IFNA(VLOOKUP(scheduleapr[[#This Row],[Bucket]],salesforecast[[#All],[Bucket2]:[8406 Stock]],17,0),0)</f>
        <v>0</v>
      </c>
      <c r="W547" s="557"/>
      <c r="X547" s="1">
        <v>31.75</v>
      </c>
      <c r="Y547" s="1">
        <v>31.75</v>
      </c>
      <c r="Z547" s="1">
        <v>0</v>
      </c>
      <c r="AA547" s="1">
        <v>1.2</v>
      </c>
      <c r="AB547" s="24">
        <v>680</v>
      </c>
      <c r="AC547" s="24" t="s">
        <v>397</v>
      </c>
      <c r="AD547" s="24"/>
      <c r="AE547" s="24"/>
      <c r="AF547" s="2">
        <v>15000</v>
      </c>
      <c r="AG547" s="2"/>
      <c r="AH547" s="2" cm="1">
        <f t="array" ref="AH5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7" s="4">
        <f>scheduleapr[[#This Row],[SCHEDULE in nos]]-scheduleapr[[#This Row],[DISPATCH]]</f>
        <v>15000</v>
      </c>
      <c r="AJ547" s="1">
        <f>(3.14*(scheduleapr[[#This Row],[ACTUAL OD]]-scheduleapr[[#This Row],[TICKNESS]])*scheduleapr[[#This Row],[TICKNESS]]*scheduleapr[[#This Row],[LENGTH]]*7.85)/1000000*scheduleapr[[#This Row],[SCHEDULE in nos]]/1000</f>
        <v>9.2170498679999984</v>
      </c>
      <c r="AK547" s="1">
        <f>(3.14*(scheduleapr[[#This Row],[ACTUAL OD]]-scheduleapr[[#This Row],[TICKNESS]])*scheduleapr[[#This Row],[TICKNESS]]*scheduleapr[[#This Row],[LENGTH]]*7.85)/1000000*scheduleapr[[#This Row],[DISPATCH]]/1000</f>
        <v>0</v>
      </c>
      <c r="AL547" s="1">
        <f t="shared" si="19"/>
        <v>9.2170498679999984</v>
      </c>
      <c r="AM547" s="1">
        <f>scheduleapr[[#This Row],[SCHEDULE in nos]]/scheduleapr[[#This Row],[SCHEDULE IN MT]]*scheduleapr[[#This Row],[CTL Stock]]</f>
        <v>0</v>
      </c>
      <c r="AN547" s="1">
        <f>SUMIFS(stock[MT],stock[Bucket],scheduleapr[[#This Row],[Bucket]],stock[CTL Bucket],scheduleapr[[#This Row],[CTL Bucket]],stock[Plant],"0789")</f>
        <v>0</v>
      </c>
      <c r="AO547" s="1"/>
      <c r="AP547" s="1">
        <f>SUMIFS(stock[MT],stock[Bucket],scheduleapr[[#This Row],[Bucket]],stock[LL or CTL],"LL")</f>
        <v>0</v>
      </c>
      <c r="AQ547" s="1">
        <f>+SUMIFS(wip[Stock(Net Wt)],wip[Bucket],scheduleapr[[#This Row],[Bucket]])/1000</f>
        <v>0</v>
      </c>
      <c r="AR547" s="1">
        <f t="shared" si="18"/>
        <v>9.2170498679999984</v>
      </c>
      <c r="AS547" s="118"/>
    </row>
    <row r="548" spans="1:45" x14ac:dyDescent="0.25">
      <c r="A548" s="30">
        <v>479</v>
      </c>
      <c r="B548" s="5" t="s">
        <v>1816</v>
      </c>
      <c r="C548" s="2" t="s">
        <v>95</v>
      </c>
      <c r="D548" s="15" t="s">
        <v>2077</v>
      </c>
      <c r="E548" s="2">
        <v>941496</v>
      </c>
      <c r="F548" s="2">
        <v>3715133</v>
      </c>
      <c r="G548" s="2" t="str">
        <f>_xlfn.CONCAT(scheduleapr[[#This Row],[CUSTOMER CODE]],"-",scheduleapr[[#This Row],[MATERIAL NO]])</f>
        <v>941496-3715133</v>
      </c>
      <c r="H548" s="2" t="s">
        <v>2084</v>
      </c>
      <c r="I548" s="2" t="s">
        <v>962</v>
      </c>
      <c r="J548" s="2"/>
      <c r="K548" s="2" t="s">
        <v>1003</v>
      </c>
      <c r="L548" s="2" t="s">
        <v>239</v>
      </c>
      <c r="M548" s="2"/>
      <c r="N548" s="2"/>
      <c r="O548" s="2"/>
      <c r="P548" s="2"/>
      <c r="Q548" s="557" t="str">
        <f>CONCATENATE(scheduleapr[[#This Row],[OD]],"-",scheduleapr[[#This Row],[ID]],"-",scheduleapr[[#This Row],[TICKNESS]],"-",scheduleapr[[#This Row],[Grade]],"-",scheduleapr[[#This Row],[FC/NFC]])</f>
        <v>31.75-0-1.6-ERW 1-FC</v>
      </c>
      <c r="R548" s="557" t="str">
        <f>_xlfn.CONCAT(scheduleapr[[#This Row],[Bucket]],"-",scheduleapr[[#This Row],[LENGTH]]/1000)</f>
        <v>31.75-0-1.6-ERW 1-FC-0.658</v>
      </c>
      <c r="S548" s="557" t="e" vm="2">
        <f>COUNTIF([2]!buckets[CTL Bucket],[2]!scheduleapr[[#This Row],[CTL Bucket]])</f>
        <v>#REF!</v>
      </c>
      <c r="T548" s="2" t="s">
        <v>1816</v>
      </c>
      <c r="U548" s="2"/>
      <c r="V548" s="557"/>
      <c r="W548" s="557"/>
      <c r="X548" s="79">
        <v>31.75</v>
      </c>
      <c r="Y548" s="1">
        <v>31.75</v>
      </c>
      <c r="Z548" s="1">
        <v>0</v>
      </c>
      <c r="AA548" s="1">
        <v>1.6</v>
      </c>
      <c r="AB548" s="24">
        <v>658</v>
      </c>
      <c r="AC548" s="24" t="s">
        <v>397</v>
      </c>
      <c r="AD548" s="24"/>
      <c r="AE548" s="24"/>
      <c r="AF548" s="2"/>
      <c r="AG548" s="2"/>
      <c r="AH548" s="2" cm="1">
        <f t="array" ref="AH5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8" s="4">
        <f>scheduleapr[[#This Row],[SCHEDULE in nos]]-scheduleapr[[#This Row],[DISPATCH]]</f>
        <v>0</v>
      </c>
      <c r="AJ548" s="1">
        <f>(3.14*(scheduleapr[[#This Row],[ACTUAL OD]]-scheduleapr[[#This Row],[TICKNESS]])*scheduleapr[[#This Row],[TICKNESS]]*scheduleapr[[#This Row],[LENGTH]]*7.85)/1000000*scheduleapr[[#This Row],[SCHEDULE in nos]]/1000</f>
        <v>0</v>
      </c>
      <c r="AK548" s="1">
        <f>(3.14*(scheduleapr[[#This Row],[ACTUAL OD]]-scheduleapr[[#This Row],[TICKNESS]])*scheduleapr[[#This Row],[TICKNESS]]*scheduleapr[[#This Row],[LENGTH]]*7.85)/1000000*scheduleapr[[#This Row],[DISPATCH]]/1000</f>
        <v>0</v>
      </c>
      <c r="AL548" s="1">
        <f t="shared" si="19"/>
        <v>0</v>
      </c>
      <c r="AM548" s="1" t="e">
        <f>scheduleapr[[#This Row],[SCHEDULE in nos]]/scheduleapr[[#This Row],[SCHEDULE IN MT]]*scheduleapr[[#This Row],[CTL Stock]]</f>
        <v>#DIV/0!</v>
      </c>
      <c r="AN548" s="1">
        <f>SUMIFS(stock[MT],stock[Bucket],scheduleapr[[#This Row],[Bucket]],stock[CTL Bucket],scheduleapr[[#This Row],[CTL Bucket]],stock[Plant],"0789")</f>
        <v>1.3464E-2</v>
      </c>
      <c r="AO548" s="1"/>
      <c r="AP548" s="1">
        <f>SUMIFS(stock[MT],stock[Bucket],scheduleapr[[#This Row],[Bucket]],stock[LL or CTL],"LL")</f>
        <v>0</v>
      </c>
      <c r="AQ548" s="1">
        <f>+SUMIFS(wip[Stock(Net Wt)],wip[Bucket],scheduleapr[[#This Row],[Bucket]])/1000</f>
        <v>1.9610000000000001</v>
      </c>
      <c r="AR548" s="1">
        <f t="shared" si="18"/>
        <v>-1.3464E-2</v>
      </c>
      <c r="AS548" s="118"/>
    </row>
    <row r="549" spans="1:45" x14ac:dyDescent="0.25">
      <c r="A549" s="30">
        <v>484</v>
      </c>
      <c r="B549" s="5" t="s">
        <v>1816</v>
      </c>
      <c r="C549" s="2" t="s">
        <v>95</v>
      </c>
      <c r="D549" s="15" t="s">
        <v>2077</v>
      </c>
      <c r="E549" s="2">
        <v>941496</v>
      </c>
      <c r="F549" s="2">
        <v>1903849</v>
      </c>
      <c r="G549" s="2" t="str">
        <f>_xlfn.CONCAT(scheduleapr[[#This Row],[CUSTOMER CODE]],"-",scheduleapr[[#This Row],[MATERIAL NO]])</f>
        <v>941496-1903849</v>
      </c>
      <c r="H549" s="2" t="s">
        <v>865</v>
      </c>
      <c r="I549" s="2" t="s">
        <v>962</v>
      </c>
      <c r="J549" s="2"/>
      <c r="K549" s="2" t="s">
        <v>1003</v>
      </c>
      <c r="L549" s="2" t="s">
        <v>239</v>
      </c>
      <c r="M549" s="2"/>
      <c r="N549" s="2"/>
      <c r="O549" s="2"/>
      <c r="P549" s="2"/>
      <c r="Q549" s="557" t="str">
        <f>CONCATENATE(scheduleapr[[#This Row],[OD]],"-",scheduleapr[[#This Row],[ID]],"-",scheduleapr[[#This Row],[TICKNESS]],"-",scheduleapr[[#This Row],[Grade]],"-",scheduleapr[[#This Row],[FC/NFC]])</f>
        <v>38.1-0-2-ERW 1-FC</v>
      </c>
      <c r="R549" s="557" t="str">
        <f>_xlfn.CONCAT(scheduleapr[[#This Row],[Bucket]],"-",scheduleapr[[#This Row],[LENGTH]]/1000)</f>
        <v>38.1-0-2-ERW 1-FC-0.432</v>
      </c>
      <c r="S549" s="557">
        <f>COUNTIF(scheduleapr[CTL Bucket],scheduleapr[[#This Row],[CTL Bucket]])</f>
        <v>1</v>
      </c>
      <c r="T549" s="2" t="s">
        <v>1816</v>
      </c>
      <c r="U549" s="2">
        <f>_xlfn.IFNA(VLOOKUP(scheduleapr[[#This Row],[Bucket]],salesforecast[[#All],[Bucket2]:[8406 Stock]],19,0),0)</f>
        <v>30.650651000000007</v>
      </c>
      <c r="V549" s="562">
        <f>_xlfn.IFNA(VLOOKUP(scheduleapr[[#This Row],[Bucket]],salesforecast[[#All],[Bucket2]:[8406 Stock]],20,0),0)+_xlfn.IFNA(VLOOKUP(scheduleapr[[#This Row],[Bucket]],salesforecast[[#All],[Bucket2]:[8406 Stock]],17,0),0)</f>
        <v>56.27259699999999</v>
      </c>
      <c r="W549" s="557"/>
      <c r="X549" s="1">
        <v>38.1</v>
      </c>
      <c r="Y549" s="1">
        <v>38.1</v>
      </c>
      <c r="Z549" s="1">
        <v>0</v>
      </c>
      <c r="AA549" s="1">
        <v>2</v>
      </c>
      <c r="AB549" s="24">
        <v>432</v>
      </c>
      <c r="AC549" s="24" t="s">
        <v>397</v>
      </c>
      <c r="AD549" s="24"/>
      <c r="AE549" s="24"/>
      <c r="AF549" s="2">
        <v>15000</v>
      </c>
      <c r="AG549" s="2"/>
      <c r="AH549" s="2" cm="1">
        <f t="array" ref="AH5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8741</v>
      </c>
      <c r="AI549" s="4">
        <f>scheduleapr[[#This Row],[SCHEDULE in nos]]-scheduleapr[[#This Row],[DISPATCH]]</f>
        <v>6259</v>
      </c>
      <c r="AJ549" s="1">
        <f>(3.14*(scheduleapr[[#This Row],[ACTUAL OD]]-scheduleapr[[#This Row],[TICKNESS]])*scheduleapr[[#This Row],[TICKNESS]]*scheduleapr[[#This Row],[LENGTH]]*7.85)/1000000*scheduleapr[[#This Row],[SCHEDULE in nos]]/1000</f>
        <v>11.532182543999999</v>
      </c>
      <c r="AK549" s="1">
        <f>(3.14*(scheduleapr[[#This Row],[ACTUAL OD]]-scheduleapr[[#This Row],[TICKNESS]])*scheduleapr[[#This Row],[TICKNESS]]*scheduleapr[[#This Row],[LENGTH]]*7.85)/1000000*scheduleapr[[#This Row],[DISPATCH]]/1000</f>
        <v>6.7201871744736001</v>
      </c>
      <c r="AL549" s="1">
        <f t="shared" si="19"/>
        <v>4.8119953695263993</v>
      </c>
      <c r="AM549" s="1">
        <f>scheduleapr[[#This Row],[SCHEDULE in nos]]/scheduleapr[[#This Row],[SCHEDULE IN MT]]*scheduleapr[[#This Row],[CTL Stock]]</f>
        <v>1.9861808389355655</v>
      </c>
      <c r="AN549" s="1">
        <f>SUMIFS(stock[MT],stock[Bucket],scheduleapr[[#This Row],[Bucket]],stock[CTL Bucket],scheduleapr[[#This Row],[CTL Bucket]],stock[Plant],"0789")</f>
        <v>1.5270000000000001E-3</v>
      </c>
      <c r="AO549" s="1"/>
      <c r="AP549" s="1">
        <f>SUMIFS(stock[MT],stock[Bucket],scheduleapr[[#This Row],[Bucket]],stock[LL or CTL],"LL")</f>
        <v>85.281796</v>
      </c>
      <c r="AQ549" s="1">
        <f>+SUMIFS(wip[Stock(Net Wt)],wip[Bucket],scheduleapr[[#This Row],[Bucket]])/1000</f>
        <v>1.9950000000000001</v>
      </c>
      <c r="AR549" s="1">
        <f t="shared" si="18"/>
        <v>11.530655544</v>
      </c>
      <c r="AS549" s="118"/>
    </row>
    <row r="550" spans="1:45" x14ac:dyDescent="0.25">
      <c r="A550" s="30">
        <v>485</v>
      </c>
      <c r="B550" s="5" t="s">
        <v>1816</v>
      </c>
      <c r="C550" s="2" t="s">
        <v>95</v>
      </c>
      <c r="D550" s="15" t="s">
        <v>2077</v>
      </c>
      <c r="E550" s="2">
        <v>941496</v>
      </c>
      <c r="F550" s="2">
        <v>3516769</v>
      </c>
      <c r="G550" s="2" t="str">
        <f>_xlfn.CONCAT(scheduleapr[[#This Row],[CUSTOMER CODE]],"-",scheduleapr[[#This Row],[MATERIAL NO]])</f>
        <v>941496-3516769</v>
      </c>
      <c r="H550" s="2" t="s">
        <v>1650</v>
      </c>
      <c r="I550" s="2" t="s">
        <v>962</v>
      </c>
      <c r="J550" s="2"/>
      <c r="K550" s="2" t="s">
        <v>1003</v>
      </c>
      <c r="L550" s="2" t="s">
        <v>239</v>
      </c>
      <c r="M550" s="2"/>
      <c r="N550" s="2"/>
      <c r="O550" s="2"/>
      <c r="P550" s="2"/>
      <c r="Q550" s="557" t="str">
        <f>CONCATENATE(scheduleapr[[#This Row],[OD]],"-",scheduleapr[[#This Row],[ID]],"-",scheduleapr[[#This Row],[TICKNESS]],"-",scheduleapr[[#This Row],[Grade]],"-",scheduleapr[[#This Row],[FC/NFC]])</f>
        <v>38.1-0-2-ERW 1-FC</v>
      </c>
      <c r="R550" s="557" t="str">
        <f>_xlfn.CONCAT(scheduleapr[[#This Row],[Bucket]],"-",scheduleapr[[#This Row],[LENGTH]]/1000)</f>
        <v>38.1-0-2-ERW 1-FC-0.494</v>
      </c>
      <c r="S550" s="557" t="e" vm="2">
        <f>COUNTIF([2]!buckets[CTL Bucket],[2]!scheduleapr[[#This Row],[CTL Bucket]])</f>
        <v>#REF!</v>
      </c>
      <c r="T550" s="557"/>
      <c r="U550" s="557"/>
      <c r="V550" s="557"/>
      <c r="W550" s="557"/>
      <c r="X550" s="1">
        <v>38.1</v>
      </c>
      <c r="Y550" s="1">
        <v>38.1</v>
      </c>
      <c r="Z550" s="1">
        <v>0</v>
      </c>
      <c r="AA550" s="1">
        <v>2</v>
      </c>
      <c r="AB550" s="24">
        <v>494</v>
      </c>
      <c r="AC550" s="24" t="s">
        <v>397</v>
      </c>
      <c r="AD550" s="24"/>
      <c r="AE550" s="24"/>
      <c r="AF550" s="2"/>
      <c r="AG550" s="2"/>
      <c r="AH550" s="2" cm="1">
        <f t="array" ref="AH5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0" s="4">
        <f>scheduleapr[[#This Row],[SCHEDULE in nos]]-scheduleapr[[#This Row],[DISPATCH]]</f>
        <v>0</v>
      </c>
      <c r="AJ550" s="1">
        <f>(3.14*(scheduleapr[[#This Row],[ACTUAL OD]]-scheduleapr[[#This Row],[TICKNESS]])*scheduleapr[[#This Row],[TICKNESS]]*scheduleapr[[#This Row],[LENGTH]]*7.85)/1000000*scheduleapr[[#This Row],[SCHEDULE in nos]]/1000</f>
        <v>0</v>
      </c>
      <c r="AK550" s="1">
        <f>(3.14*(scheduleapr[[#This Row],[ACTUAL OD]]-scheduleapr[[#This Row],[TICKNESS]])*scheduleapr[[#This Row],[TICKNESS]]*scheduleapr[[#This Row],[LENGTH]]*7.85)/1000000*scheduleapr[[#This Row],[DISPATCH]]/1000</f>
        <v>0</v>
      </c>
      <c r="AL550" s="1">
        <f t="shared" si="19"/>
        <v>0</v>
      </c>
      <c r="AM550" s="1" t="e">
        <f>scheduleapr[[#This Row],[SCHEDULE in nos]]/scheduleapr[[#This Row],[SCHEDULE IN MT]]*scheduleapr[[#This Row],[CTL Stock]]</f>
        <v>#DIV/0!</v>
      </c>
      <c r="AN550" s="1">
        <f>SUMIFS(stock[MT],stock[Bucket],scheduleapr[[#This Row],[Bucket]],stock[CTL Bucket],scheduleapr[[#This Row],[CTL Bucket]],stock[Plant],"0789")</f>
        <v>0</v>
      </c>
      <c r="AO550" s="1"/>
      <c r="AP550" s="1">
        <f>SUMIFS(stock[MT],stock[Bucket],scheduleapr[[#This Row],[Bucket]],stock[LL or CTL],"LL")</f>
        <v>85.281796</v>
      </c>
      <c r="AQ550" s="1">
        <f>+SUMIFS(wip[Stock(Net Wt)],wip[Bucket],scheduleapr[[#This Row],[Bucket]])/1000</f>
        <v>1.9950000000000001</v>
      </c>
      <c r="AR550" s="1">
        <f t="shared" si="18"/>
        <v>0</v>
      </c>
      <c r="AS550" s="118"/>
    </row>
    <row r="551" spans="1:45" x14ac:dyDescent="0.25">
      <c r="A551" s="30">
        <v>489</v>
      </c>
      <c r="B551" s="5" t="s">
        <v>1816</v>
      </c>
      <c r="C551" s="2" t="s">
        <v>95</v>
      </c>
      <c r="D551" s="15" t="s">
        <v>2077</v>
      </c>
      <c r="E551" s="2">
        <v>941496</v>
      </c>
      <c r="F551" s="2">
        <v>1940743</v>
      </c>
      <c r="G551" s="2" t="str">
        <f>_xlfn.CONCAT(scheduleapr[[#This Row],[CUSTOMER CODE]],"-",scheduleapr[[#This Row],[MATERIAL NO]])</f>
        <v>941496-1940743</v>
      </c>
      <c r="H551" s="2" t="s">
        <v>867</v>
      </c>
      <c r="I551" s="2" t="s">
        <v>962</v>
      </c>
      <c r="J551" s="2"/>
      <c r="K551" s="2" t="s">
        <v>1003</v>
      </c>
      <c r="L551" s="2" t="s">
        <v>239</v>
      </c>
      <c r="M551" s="2"/>
      <c r="N551" s="2"/>
      <c r="O551" s="2"/>
      <c r="P551" s="2"/>
      <c r="Q551" s="557" t="str">
        <f>CONCATENATE(scheduleapr[[#This Row],[OD]],"-",scheduleapr[[#This Row],[ID]],"-",scheduleapr[[#This Row],[TICKNESS]],"-",scheduleapr[[#This Row],[Grade]],"-",scheduleapr[[#This Row],[FC/NFC]])</f>
        <v>38.1-0-2-ERW 1-FC</v>
      </c>
      <c r="R551" s="557" t="str">
        <f>_xlfn.CONCAT(scheduleapr[[#This Row],[Bucket]],"-",scheduleapr[[#This Row],[LENGTH]]/1000)</f>
        <v>38.1-0-2-ERW 1-FC-0.812</v>
      </c>
      <c r="S551" s="557">
        <f>COUNTIF(scheduleapr[CTL Bucket],scheduleapr[[#This Row],[CTL Bucket]])</f>
        <v>3</v>
      </c>
      <c r="T551" s="2" t="s">
        <v>1816</v>
      </c>
      <c r="U551" s="2">
        <f>_xlfn.IFNA(VLOOKUP(scheduleapr[[#This Row],[Bucket]],salesforecast[[#All],[Bucket2]:[8406 Stock]],19,0),0)</f>
        <v>30.650651000000007</v>
      </c>
      <c r="V551" s="562">
        <f>_xlfn.IFNA(VLOOKUP(scheduleapr[[#This Row],[Bucket]],salesforecast[[#All],[Bucket2]:[8406 Stock]],20,0),0)+_xlfn.IFNA(VLOOKUP(scheduleapr[[#This Row],[Bucket]],salesforecast[[#All],[Bucket2]:[8406 Stock]],17,0),0)</f>
        <v>56.27259699999999</v>
      </c>
      <c r="W551" s="557"/>
      <c r="X551" s="1">
        <v>38.1</v>
      </c>
      <c r="Y551" s="1">
        <v>38.1</v>
      </c>
      <c r="Z551" s="1">
        <v>0</v>
      </c>
      <c r="AA551" s="1">
        <v>2</v>
      </c>
      <c r="AB551" s="24">
        <v>812</v>
      </c>
      <c r="AC551" s="24" t="s">
        <v>397</v>
      </c>
      <c r="AD551" s="24"/>
      <c r="AE551" s="24"/>
      <c r="AF551" s="2">
        <v>15000</v>
      </c>
      <c r="AG551" s="2"/>
      <c r="AH551" s="2" cm="1">
        <f t="array" ref="AH5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14120</v>
      </c>
      <c r="AI551" s="4">
        <f>scheduleapr[[#This Row],[SCHEDULE in nos]]-scheduleapr[[#This Row],[DISPATCH]]</f>
        <v>880</v>
      </c>
      <c r="AJ551" s="1">
        <f>(3.14*(scheduleapr[[#This Row],[ACTUAL OD]]-scheduleapr[[#This Row],[TICKNESS]])*scheduleapr[[#This Row],[TICKNESS]]*scheduleapr[[#This Row],[LENGTH]]*7.85)/1000000*scheduleapr[[#This Row],[SCHEDULE in nos]]/1000</f>
        <v>21.676232004000003</v>
      </c>
      <c r="AK551" s="1">
        <f>(3.14*(scheduleapr[[#This Row],[ACTUAL OD]]-scheduleapr[[#This Row],[TICKNESS]])*scheduleapr[[#This Row],[TICKNESS]]*scheduleapr[[#This Row],[LENGTH]]*7.85)/1000000*scheduleapr[[#This Row],[DISPATCH]]/1000</f>
        <v>20.404559726432002</v>
      </c>
      <c r="AL551" s="1">
        <f t="shared" si="19"/>
        <v>1.2716722775680012</v>
      </c>
      <c r="AM551" s="1">
        <f>scheduleapr[[#This Row],[SCHEDULE in nos]]/scheduleapr[[#This Row],[SCHEDULE IN MT]]*scheduleapr[[#This Row],[CTL Stock]]</f>
        <v>0</v>
      </c>
      <c r="AN551" s="1">
        <f>SUMIFS(stock[MT],stock[Bucket],scheduleapr[[#This Row],[Bucket]],stock[CTL Bucket],scheduleapr[[#This Row],[CTL Bucket]],stock[Plant],"0789")</f>
        <v>0</v>
      </c>
      <c r="AO551" s="1"/>
      <c r="AP551" s="1">
        <f>SUMIFS(stock[MT],stock[Bucket],scheduleapr[[#This Row],[Bucket]],stock[LL or CTL],"LL")</f>
        <v>85.281796</v>
      </c>
      <c r="AQ551" s="1">
        <f>+SUMIFS(wip[Stock(Net Wt)],wip[Bucket],scheduleapr[[#This Row],[Bucket]])/1000</f>
        <v>1.9950000000000001</v>
      </c>
      <c r="AR551" s="1">
        <f t="shared" si="18"/>
        <v>21.676232004000003</v>
      </c>
      <c r="AS551" s="118"/>
    </row>
    <row r="552" spans="1:45" x14ac:dyDescent="0.25">
      <c r="A552" s="30">
        <v>490</v>
      </c>
      <c r="B552" s="5" t="s">
        <v>1816</v>
      </c>
      <c r="C552" s="2" t="s">
        <v>95</v>
      </c>
      <c r="D552" s="15" t="s">
        <v>2077</v>
      </c>
      <c r="E552" s="2">
        <v>941496</v>
      </c>
      <c r="F552" s="2">
        <v>2399718</v>
      </c>
      <c r="G552" s="2" t="str">
        <f>_xlfn.CONCAT(scheduleapr[[#This Row],[CUSTOMER CODE]],"-",scheduleapr[[#This Row],[MATERIAL NO]])</f>
        <v>941496-2399718</v>
      </c>
      <c r="H552" s="2" t="s">
        <v>2085</v>
      </c>
      <c r="I552" s="2" t="s">
        <v>962</v>
      </c>
      <c r="J552" s="2"/>
      <c r="K552" s="44" t="s">
        <v>963</v>
      </c>
      <c r="L552" s="2" t="s">
        <v>239</v>
      </c>
      <c r="M552" s="2"/>
      <c r="N552" s="2"/>
      <c r="O552" s="2"/>
      <c r="P552" s="2"/>
      <c r="Q552" s="557" t="str">
        <f>CONCATENATE(scheduleapr[[#This Row],[OD]],"-",scheduleapr[[#This Row],[ID]],"-",scheduleapr[[#This Row],[TICKNESS]],"-",scheduleapr[[#This Row],[Grade]],"-",scheduleapr[[#This Row],[FC/NFC]])</f>
        <v>40-40-1.2-ERW 1-PE</v>
      </c>
      <c r="R552" s="557" t="str">
        <f>_xlfn.CONCAT(scheduleapr[[#This Row],[Bucket]],"-",scheduleapr[[#This Row],[LENGTH]]/1000)</f>
        <v>40-40-1.2-ERW 1-PE-0.45</v>
      </c>
      <c r="S552" s="557" t="e" vm="2">
        <f>COUNTIF([2]!buckets[CTL Bucket],[2]!scheduleapr[[#This Row],[CTL Bucket]])</f>
        <v>#REF!</v>
      </c>
      <c r="T552" s="557"/>
      <c r="U552" s="2">
        <f>_xlfn.IFNA(VLOOKUP(scheduleapr[[#This Row],[Bucket]],salesforecast[[#All],[Bucket2]:[8406 Stock]],19,0),0)</f>
        <v>0</v>
      </c>
      <c r="V552" s="557"/>
      <c r="W552" s="557"/>
      <c r="X552" s="1">
        <v>40</v>
      </c>
      <c r="Y552" s="1">
        <v>40</v>
      </c>
      <c r="Z552" s="1">
        <v>40</v>
      </c>
      <c r="AA552" s="1">
        <v>1.2</v>
      </c>
      <c r="AB552" s="24">
        <v>450</v>
      </c>
      <c r="AC552" s="24" t="s">
        <v>397</v>
      </c>
      <c r="AD552" s="24"/>
      <c r="AE552" s="24"/>
      <c r="AF552" s="2"/>
      <c r="AG552" s="2"/>
      <c r="AH552" s="2" cm="1">
        <f t="array" ref="AH5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2" s="4">
        <f>scheduleapr[[#This Row],[SCHEDULE in nos]]-scheduleapr[[#This Row],[DISPATCH]]</f>
        <v>0</v>
      </c>
      <c r="AJ552" s="1">
        <f>(3.14*(scheduleapr[[#This Row],[ACTUAL OD]]-scheduleapr[[#This Row],[TICKNESS]])*scheduleapr[[#This Row],[TICKNESS]]*scheduleapr[[#This Row],[LENGTH]]*7.85)/1000000*scheduleapr[[#This Row],[SCHEDULE in nos]]/1000</f>
        <v>0</v>
      </c>
      <c r="AK552" s="1">
        <f>(3.14*(scheduleapr[[#This Row],[ACTUAL OD]]-scheduleapr[[#This Row],[TICKNESS]])*scheduleapr[[#This Row],[TICKNESS]]*scheduleapr[[#This Row],[LENGTH]]*7.85)/1000000*scheduleapr[[#This Row],[DISPATCH]]/1000</f>
        <v>0</v>
      </c>
      <c r="AL552" s="1">
        <f t="shared" si="19"/>
        <v>0</v>
      </c>
      <c r="AM552" s="1" t="e">
        <f>scheduleapr[[#This Row],[SCHEDULE in nos]]/scheduleapr[[#This Row],[SCHEDULE IN MT]]*scheduleapr[[#This Row],[CTL Stock]]</f>
        <v>#DIV/0!</v>
      </c>
      <c r="AN552" s="1">
        <f>SUMIFS(stock[MT],stock[Bucket],scheduleapr[[#This Row],[Bucket]],stock[CTL Bucket],scheduleapr[[#This Row],[CTL Bucket]],stock[Plant],"0789")</f>
        <v>0</v>
      </c>
      <c r="AO552" s="1"/>
      <c r="AP552" s="1">
        <f>SUMIFS(stock[MT],stock[Bucket],scheduleapr[[#This Row],[Bucket]],stock[LL or CTL],"LL")</f>
        <v>0</v>
      </c>
      <c r="AQ552" s="1">
        <f>+SUMIFS(wip[Stock(Net Wt)],wip[Bucket],scheduleapr[[#This Row],[Bucket]])/1000</f>
        <v>0</v>
      </c>
      <c r="AR552" s="1">
        <f t="shared" si="18"/>
        <v>0</v>
      </c>
      <c r="AS552" s="118"/>
    </row>
    <row r="553" spans="1:45" x14ac:dyDescent="0.25">
      <c r="A553" s="30">
        <v>492</v>
      </c>
      <c r="B553" s="5" t="s">
        <v>1816</v>
      </c>
      <c r="C553" s="2" t="s">
        <v>95</v>
      </c>
      <c r="D553" s="15" t="s">
        <v>2077</v>
      </c>
      <c r="E553" s="2">
        <v>941496</v>
      </c>
      <c r="F553" s="2">
        <v>1940821</v>
      </c>
      <c r="G553" s="2" t="str">
        <f>_xlfn.CONCAT(scheduleapr[[#This Row],[CUSTOMER CODE]],"-",scheduleapr[[#This Row],[MATERIAL NO]])</f>
        <v>941496-1940821</v>
      </c>
      <c r="H553" s="2" t="s">
        <v>571</v>
      </c>
      <c r="I553" s="2" t="s">
        <v>962</v>
      </c>
      <c r="J553" s="2"/>
      <c r="K553" s="2" t="s">
        <v>1003</v>
      </c>
      <c r="L553" s="2" t="s">
        <v>239</v>
      </c>
      <c r="M553" s="2"/>
      <c r="N553" s="2"/>
      <c r="O553" s="2"/>
      <c r="P553" s="2"/>
      <c r="Q553" s="557" t="str">
        <f>CONCATENATE(scheduleapr[[#This Row],[OD]],"-",scheduleapr[[#This Row],[ID]],"-",scheduleapr[[#This Row],[TICKNESS]],"-",scheduleapr[[#This Row],[Grade]],"-",scheduleapr[[#This Row],[FC/NFC]])</f>
        <v>40-25-1.6-ERW 1-FC</v>
      </c>
      <c r="R553" s="557" t="str">
        <f>_xlfn.CONCAT(scheduleapr[[#This Row],[Bucket]],"-",scheduleapr[[#This Row],[LENGTH]]/1000)</f>
        <v>40-25-1.6-ERW 1-FC-0.513</v>
      </c>
      <c r="S553" s="557">
        <f>COUNTIF(scheduleapr[CTL Bucket],scheduleapr[[#This Row],[CTL Bucket]])</f>
        <v>2</v>
      </c>
      <c r="T553" s="557"/>
      <c r="U553" s="2">
        <f>_xlfn.IFNA(VLOOKUP(scheduleapr[[#This Row],[Bucket]],salesforecast[[#All],[Bucket2]:[8406 Stock]],19,0),0)</f>
        <v>0.61827399999999999</v>
      </c>
      <c r="V553" s="562">
        <f>_xlfn.IFNA(VLOOKUP(scheduleapr[[#This Row],[Bucket]],salesforecast[[#All],[Bucket2]:[8406 Stock]],20,0),0)+_xlfn.IFNA(VLOOKUP(scheduleapr[[#This Row],[Bucket]],salesforecast[[#All],[Bucket2]:[8406 Stock]],17,0),0)</f>
        <v>0</v>
      </c>
      <c r="W553" s="557"/>
      <c r="X553" s="1">
        <v>41.28</v>
      </c>
      <c r="Y553" s="1">
        <v>40</v>
      </c>
      <c r="Z553" s="1">
        <v>25</v>
      </c>
      <c r="AA553" s="1">
        <v>1.6</v>
      </c>
      <c r="AB553" s="24">
        <v>513</v>
      </c>
      <c r="AC553" s="24" t="s">
        <v>397</v>
      </c>
      <c r="AD553" s="24"/>
      <c r="AE553" s="24"/>
      <c r="AF553" s="2">
        <v>15000</v>
      </c>
      <c r="AG553" s="2"/>
      <c r="AH553" s="2" cm="1">
        <f t="array" ref="AH5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7507</v>
      </c>
      <c r="AI553" s="4">
        <f>scheduleapr[[#This Row],[SCHEDULE in nos]]-scheduleapr[[#This Row],[DISPATCH]]</f>
        <v>7493</v>
      </c>
      <c r="AJ553" s="1">
        <f>(3.14*(scheduleapr[[#This Row],[ACTUAL OD]]-scheduleapr[[#This Row],[TICKNESS]])*scheduleapr[[#This Row],[TICKNESS]]*scheduleapr[[#This Row],[LENGTH]]*7.85)/1000000*scheduleapr[[#This Row],[SCHEDULE in nos]]/1000</f>
        <v>12.042026403840001</v>
      </c>
      <c r="AK553" s="1">
        <f>(3.14*(scheduleapr[[#This Row],[ACTUAL OD]]-scheduleapr[[#This Row],[TICKNESS]])*scheduleapr[[#This Row],[TICKNESS]]*scheduleapr[[#This Row],[LENGTH]]*7.85)/1000000*scheduleapr[[#This Row],[DISPATCH]]/1000</f>
        <v>6.0266328142417933</v>
      </c>
      <c r="AL553" s="1">
        <f t="shared" si="19"/>
        <v>6.015393589598208</v>
      </c>
      <c r="AM553" s="1">
        <f>scheduleapr[[#This Row],[SCHEDULE in nos]]/scheduleapr[[#This Row],[SCHEDULE IN MT]]*scheduleapr[[#This Row],[CTL Stock]]</f>
        <v>92.392672353318545</v>
      </c>
      <c r="AN553" s="1">
        <f>SUMIFS(stock[MT],stock[Bucket],scheduleapr[[#This Row],[Bucket]],stock[CTL Bucket],scheduleapr[[#This Row],[CTL Bucket]],stock[Plant],"0789")</f>
        <v>7.4173000000000003E-2</v>
      </c>
      <c r="AO553" s="1"/>
      <c r="AP553" s="1">
        <f>SUMIFS(stock[MT],stock[Bucket],scheduleapr[[#This Row],[Bucket]],stock[LL or CTL],"LL")</f>
        <v>0.61827399999999999</v>
      </c>
      <c r="AQ553" s="1">
        <f>+SUMIFS(wip[Stock(Net Wt)],wip[Bucket],scheduleapr[[#This Row],[Bucket]])/1000</f>
        <v>0</v>
      </c>
      <c r="AR553" s="1">
        <f t="shared" si="18"/>
        <v>11.967853403840001</v>
      </c>
      <c r="AS553" s="118"/>
    </row>
    <row r="554" spans="1:45" x14ac:dyDescent="0.25">
      <c r="A554" s="30">
        <v>494</v>
      </c>
      <c r="B554" s="5" t="s">
        <v>1816</v>
      </c>
      <c r="C554" s="2" t="s">
        <v>95</v>
      </c>
      <c r="D554" s="15" t="s">
        <v>2077</v>
      </c>
      <c r="E554" s="2">
        <v>941496</v>
      </c>
      <c r="F554" s="2">
        <v>1940822</v>
      </c>
      <c r="G554" s="2" t="str">
        <f>_xlfn.CONCAT(scheduleapr[[#This Row],[CUSTOMER CODE]],"-",scheduleapr[[#This Row],[MATERIAL NO]])</f>
        <v>941496-1940822</v>
      </c>
      <c r="H554" s="2" t="s">
        <v>574</v>
      </c>
      <c r="I554" s="2" t="s">
        <v>962</v>
      </c>
      <c r="J554" s="2"/>
      <c r="K554" s="2" t="s">
        <v>1003</v>
      </c>
      <c r="L554" s="2" t="s">
        <v>239</v>
      </c>
      <c r="M554" s="2"/>
      <c r="N554" s="2"/>
      <c r="O554" s="2"/>
      <c r="P554" s="2"/>
      <c r="Q554" s="557" t="str">
        <f>CONCATENATE(scheduleapr[[#This Row],[OD]],"-",scheduleapr[[#This Row],[ID]],"-",scheduleapr[[#This Row],[TICKNESS]],"-",scheduleapr[[#This Row],[Grade]],"-",scheduleapr[[#This Row],[FC/NFC]])</f>
        <v>40-25-1.6-ERW 1-FC</v>
      </c>
      <c r="R554" s="557" t="str">
        <f>_xlfn.CONCAT(scheduleapr[[#This Row],[Bucket]],"-",scheduleapr[[#This Row],[LENGTH]]/1000)</f>
        <v>40-25-1.6-ERW 1-FC-0.536</v>
      </c>
      <c r="S554" s="557">
        <f>COUNTIF(scheduleapr[CTL Bucket],scheduleapr[[#This Row],[CTL Bucket]])</f>
        <v>2</v>
      </c>
      <c r="T554" s="557"/>
      <c r="U554" s="2">
        <f>_xlfn.IFNA(VLOOKUP(scheduleapr[[#This Row],[Bucket]],salesforecast[[#All],[Bucket2]:[8406 Stock]],19,0),0)</f>
        <v>0.61827399999999999</v>
      </c>
      <c r="V554" s="562">
        <f>_xlfn.IFNA(VLOOKUP(scheduleapr[[#This Row],[Bucket]],salesforecast[[#All],[Bucket2]:[8406 Stock]],20,0),0)+_xlfn.IFNA(VLOOKUP(scheduleapr[[#This Row],[Bucket]],salesforecast[[#All],[Bucket2]:[8406 Stock]],17,0),0)</f>
        <v>0</v>
      </c>
      <c r="W554" s="557"/>
      <c r="X554" s="1">
        <v>41.28</v>
      </c>
      <c r="Y554" s="1">
        <v>40</v>
      </c>
      <c r="Z554" s="1">
        <v>25</v>
      </c>
      <c r="AA554" s="1">
        <v>1.6</v>
      </c>
      <c r="AB554" s="24">
        <v>536</v>
      </c>
      <c r="AC554" s="24" t="s">
        <v>397</v>
      </c>
      <c r="AD554" s="24"/>
      <c r="AE554" s="24"/>
      <c r="AF554" s="2">
        <v>15000</v>
      </c>
      <c r="AG554" s="2"/>
      <c r="AH554" s="2" cm="1">
        <f t="array" ref="AH5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5450</v>
      </c>
      <c r="AI554" s="4">
        <f>scheduleapr[[#This Row],[SCHEDULE in nos]]-scheduleapr[[#This Row],[DISPATCH]]</f>
        <v>9550</v>
      </c>
      <c r="AJ554" s="1">
        <f>(3.14*(scheduleapr[[#This Row],[ACTUAL OD]]-scheduleapr[[#This Row],[TICKNESS]])*scheduleapr[[#This Row],[TICKNESS]]*scheduleapr[[#This Row],[LENGTH]]*7.85)/1000000*scheduleapr[[#This Row],[SCHEDULE in nos]]/1000</f>
        <v>12.581922324479999</v>
      </c>
      <c r="AK554" s="1">
        <f>(3.14*(scheduleapr[[#This Row],[ACTUAL OD]]-scheduleapr[[#This Row],[TICKNESS]])*scheduleapr[[#This Row],[TICKNESS]]*scheduleapr[[#This Row],[LENGTH]]*7.85)/1000000*scheduleapr[[#This Row],[DISPATCH]]/1000</f>
        <v>4.5714317778944009</v>
      </c>
      <c r="AL554" s="1">
        <f t="shared" si="19"/>
        <v>8.0104905465855971</v>
      </c>
      <c r="AM554" s="1">
        <f>scheduleapr[[#This Row],[SCHEDULE in nos]]/scheduleapr[[#This Row],[SCHEDULE IN MT]]*scheduleapr[[#This Row],[CTL Stock]]</f>
        <v>194.66023846250565</v>
      </c>
      <c r="AN554" s="1">
        <f>SUMIFS(stock[MT],stock[Bucket],scheduleapr[[#This Row],[Bucket]],stock[CTL Bucket],scheduleapr[[#This Row],[CTL Bucket]],stock[Plant],"0789")</f>
        <v>0.16327999999999998</v>
      </c>
      <c r="AO554" s="1"/>
      <c r="AP554" s="1">
        <f>SUMIFS(stock[MT],stock[Bucket],scheduleapr[[#This Row],[Bucket]],stock[LL or CTL],"LL")</f>
        <v>0.61827399999999999</v>
      </c>
      <c r="AQ554" s="1">
        <f>+SUMIFS(wip[Stock(Net Wt)],wip[Bucket],scheduleapr[[#This Row],[Bucket]])/1000</f>
        <v>0</v>
      </c>
      <c r="AR554" s="1">
        <f t="shared" si="18"/>
        <v>12.418642324479999</v>
      </c>
      <c r="AS554" s="118"/>
    </row>
    <row r="555" spans="1:45" x14ac:dyDescent="0.25">
      <c r="A555" s="30">
        <v>496</v>
      </c>
      <c r="B555" s="5" t="s">
        <v>1872</v>
      </c>
      <c r="C555" s="2" t="s">
        <v>95</v>
      </c>
      <c r="D555" s="15" t="s">
        <v>2077</v>
      </c>
      <c r="E555" s="2">
        <v>941496</v>
      </c>
      <c r="F555" s="2"/>
      <c r="G555" s="2" t="str">
        <f>_xlfn.CONCAT(scheduleapr[[#This Row],[CUSTOMER CODE]],"-",scheduleapr[[#This Row],[MATERIAL NO]])</f>
        <v>941496-</v>
      </c>
      <c r="H555" s="2" t="s">
        <v>2086</v>
      </c>
      <c r="I555" s="2" t="s">
        <v>962</v>
      </c>
      <c r="J555" s="2" t="s">
        <v>1894</v>
      </c>
      <c r="K555" s="2" t="s">
        <v>1003</v>
      </c>
      <c r="L555" s="2" t="s">
        <v>239</v>
      </c>
      <c r="M555" s="2"/>
      <c r="N555" s="2" t="s">
        <v>1516</v>
      </c>
      <c r="O555" s="2"/>
      <c r="P555" s="2"/>
      <c r="Q555" s="557" t="str">
        <f>CONCATENATE(scheduleapr[[#This Row],[OD]],"-",scheduleapr[[#This Row],[ID]],"-",scheduleapr[[#This Row],[TICKNESS]],"-",scheduleapr[[#This Row],[Grade]],"-",scheduleapr[[#This Row],[FC/NFC]])</f>
        <v>42.7-0-3.5-ERW 1-FC</v>
      </c>
      <c r="R555" s="557" t="str">
        <f>_xlfn.CONCAT(scheduleapr[[#This Row],[Bucket]],"-",scheduleapr[[#This Row],[LENGTH]]/1000)</f>
        <v>42.7-0-3.5-ERW 1-FC-0.208</v>
      </c>
      <c r="S555" s="557">
        <f>COUNTIF(scheduleapr[CTL Bucket],scheduleapr[[#This Row],[CTL Bucket]])</f>
        <v>1</v>
      </c>
      <c r="T555" s="2" t="s">
        <v>1817</v>
      </c>
      <c r="U555" s="2">
        <f>_xlfn.IFNA(VLOOKUP(scheduleapr[[#This Row],[Bucket]],salesforecast[[#All],[Bucket2]:[8406 Stock]],19,0),0)</f>
        <v>4.8184210000000007</v>
      </c>
      <c r="V555" s="562">
        <f>_xlfn.IFNA(VLOOKUP(scheduleapr[[#This Row],[Bucket]],salesforecast[[#All],[Bucket2]:[8406 Stock]],20,0),0)+_xlfn.IFNA(VLOOKUP(scheduleapr[[#This Row],[Bucket]],salesforecast[[#All],[Bucket2]:[8406 Stock]],17,0),0)</f>
        <v>5.208107</v>
      </c>
      <c r="W555" s="557"/>
      <c r="X555" s="1">
        <v>42.7</v>
      </c>
      <c r="Y555" s="1">
        <v>42.7</v>
      </c>
      <c r="Z555" s="1">
        <v>0</v>
      </c>
      <c r="AA555" s="1">
        <v>3.5</v>
      </c>
      <c r="AB555" s="24">
        <v>208</v>
      </c>
      <c r="AC555" s="24" t="s">
        <v>397</v>
      </c>
      <c r="AD555" s="24"/>
      <c r="AE555" s="24"/>
      <c r="AF555" s="2">
        <v>35000</v>
      </c>
      <c r="AG555" s="2"/>
      <c r="AH555" s="2" cm="1">
        <f t="array" ref="AH5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18714</v>
      </c>
      <c r="AI555" s="4">
        <f>scheduleapr[[#This Row],[SCHEDULE in nos]]-scheduleapr[[#This Row],[DISPATCH]]</f>
        <v>16286</v>
      </c>
      <c r="AJ555" s="1">
        <f>(3.14*(scheduleapr[[#This Row],[ACTUAL OD]]-scheduleapr[[#This Row],[TICKNESS]])*scheduleapr[[#This Row],[TICKNESS]]*scheduleapr[[#This Row],[LENGTH]]*7.85)/1000000*scheduleapr[[#This Row],[SCHEDULE in nos]]/1000</f>
        <v>24.619815584000005</v>
      </c>
      <c r="AK555" s="1">
        <f>(3.14*(scheduleapr[[#This Row],[ACTUAL OD]]-scheduleapr[[#This Row],[TICKNESS]])*scheduleapr[[#This Row],[TICKNESS]]*scheduleapr[[#This Row],[LENGTH]]*7.85)/1000000*scheduleapr[[#This Row],[DISPATCH]]/1000</f>
        <v>13.1638636811136</v>
      </c>
      <c r="AL555" s="1">
        <f t="shared" si="19"/>
        <v>11.455951902886405</v>
      </c>
      <c r="AM555" s="1">
        <f>scheduleapr[[#This Row],[SCHEDULE in nos]]/scheduleapr[[#This Row],[SCHEDULE IN MT]]*scheduleapr[[#This Row],[CTL Stock]]</f>
        <v>0</v>
      </c>
      <c r="AN555" s="1">
        <f>SUMIFS(stock[MT],stock[Bucket],scheduleapr[[#This Row],[Bucket]],stock[CTL Bucket],scheduleapr[[#This Row],[CTL Bucket]],stock[Plant],"0789")</f>
        <v>0</v>
      </c>
      <c r="AO555" s="1"/>
      <c r="AP555" s="1">
        <f>SUMIFS(stock[MT],stock[Bucket],scheduleapr[[#This Row],[Bucket]],stock[LL or CTL],"LL")</f>
        <v>9.465421000000001</v>
      </c>
      <c r="AQ555" s="1">
        <f>+SUMIFS(wip[Stock(Net Wt)],wip[Bucket],scheduleapr[[#This Row],[Bucket]])/1000</f>
        <v>0</v>
      </c>
      <c r="AR555" s="1">
        <f t="shared" si="18"/>
        <v>24.619815584000005</v>
      </c>
      <c r="AS555" s="118"/>
    </row>
    <row r="556" spans="1:45" x14ac:dyDescent="0.25">
      <c r="A556" s="30">
        <v>497</v>
      </c>
      <c r="B556" s="5" t="s">
        <v>1816</v>
      </c>
      <c r="C556" s="2" t="s">
        <v>95</v>
      </c>
      <c r="D556" s="15" t="s">
        <v>2077</v>
      </c>
      <c r="E556" s="2">
        <v>941496</v>
      </c>
      <c r="F556" s="2">
        <v>2325421</v>
      </c>
      <c r="G556" s="2" t="str">
        <f>_xlfn.CONCAT(scheduleapr[[#This Row],[CUSTOMER CODE]],"-",scheduleapr[[#This Row],[MATERIAL NO]])</f>
        <v>941496-2325421</v>
      </c>
      <c r="H556" s="2" t="s">
        <v>795</v>
      </c>
      <c r="I556" s="2" t="s">
        <v>962</v>
      </c>
      <c r="J556" s="2"/>
      <c r="K556" s="2" t="s">
        <v>1003</v>
      </c>
      <c r="L556" s="2" t="s">
        <v>1867</v>
      </c>
      <c r="M556" s="2"/>
      <c r="N556" s="2"/>
      <c r="O556" s="2"/>
      <c r="P556" s="2"/>
      <c r="Q556" s="557" t="str">
        <f>CONCATENATE(scheduleapr[[#This Row],[OD]],"-",scheduleapr[[#This Row],[ID]],"-",scheduleapr[[#This Row],[TICKNESS]],"-",scheduleapr[[#This Row],[Grade]],"-",scheduleapr[[#This Row],[FC/NFC]])</f>
        <v>48.6-0-1.2-ERW 1-FC</v>
      </c>
      <c r="R556" s="557" t="str">
        <f>_xlfn.CONCAT(scheduleapr[[#This Row],[Bucket]],"-",scheduleapr[[#This Row],[LENGTH]]/1000)</f>
        <v>48.6-0-1.2-ERW 1-FC-0.336</v>
      </c>
      <c r="S556" s="557">
        <f>COUNTIF(scheduleapr[CTL Bucket],scheduleapr[[#This Row],[CTL Bucket]])</f>
        <v>2</v>
      </c>
      <c r="T556" s="2" t="s">
        <v>1816</v>
      </c>
      <c r="U556" s="2">
        <f>_xlfn.IFNA(VLOOKUP(scheduleapr[[#This Row],[Bucket]],salesforecast[[#All],[Bucket2]:[8406 Stock]],19,0),0)</f>
        <v>3.9467829999999999</v>
      </c>
      <c r="V556" s="562">
        <f>_xlfn.IFNA(VLOOKUP(scheduleapr[[#This Row],[Bucket]],salesforecast[[#All],[Bucket2]:[8406 Stock]],20,0),0)+_xlfn.IFNA(VLOOKUP(scheduleapr[[#This Row],[Bucket]],salesforecast[[#All],[Bucket2]:[8406 Stock]],17,0),0)</f>
        <v>0</v>
      </c>
      <c r="W556" s="557"/>
      <c r="X556" s="1">
        <v>48.6</v>
      </c>
      <c r="Y556" s="1">
        <v>48.6</v>
      </c>
      <c r="Z556" s="1">
        <v>0</v>
      </c>
      <c r="AA556" s="1">
        <v>1.2</v>
      </c>
      <c r="AB556" s="24">
        <v>336</v>
      </c>
      <c r="AC556" s="24" t="s">
        <v>397</v>
      </c>
      <c r="AD556" s="24"/>
      <c r="AE556" s="24"/>
      <c r="AF556" s="2">
        <v>12000</v>
      </c>
      <c r="AG556" s="2"/>
      <c r="AH556" s="2" cm="1">
        <f t="array" ref="AH5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6" s="4">
        <f>scheduleapr[[#This Row],[SCHEDULE in nos]]-scheduleapr[[#This Row],[DISPATCH]]</f>
        <v>12000</v>
      </c>
      <c r="AJ556" s="1">
        <f>(3.14*(scheduleapr[[#This Row],[ACTUAL OD]]-scheduleapr[[#This Row],[TICKNESS]])*scheduleapr[[#This Row],[TICKNESS]]*scheduleapr[[#This Row],[LENGTH]]*7.85)/1000000*scheduleapr[[#This Row],[SCHEDULE in nos]]/1000</f>
        <v>5.6530056038400005</v>
      </c>
      <c r="AK556" s="1">
        <f>(3.14*(scheduleapr[[#This Row],[ACTUAL OD]]-scheduleapr[[#This Row],[TICKNESS]])*scheduleapr[[#This Row],[TICKNESS]]*scheduleapr[[#This Row],[LENGTH]]*7.85)/1000000*scheduleapr[[#This Row],[DISPATCH]]/1000</f>
        <v>0</v>
      </c>
      <c r="AL556" s="1">
        <f t="shared" si="19"/>
        <v>5.6530056038400005</v>
      </c>
      <c r="AM556" s="1">
        <f>scheduleapr[[#This Row],[SCHEDULE in nos]]/scheduleapr[[#This Row],[SCHEDULE IN MT]]*scheduleapr[[#This Row],[CTL Stock]]</f>
        <v>5901.4383388083816</v>
      </c>
      <c r="AN556" s="1">
        <f>SUMIFS(stock[MT],stock[Bucket],scheduleapr[[#This Row],[Bucket]],stock[CTL Bucket],scheduleapr[[#This Row],[CTL Bucket]],stock[Plant],"0789")</f>
        <v>2.7800720000000001</v>
      </c>
      <c r="AO556" s="1"/>
      <c r="AP556" s="1">
        <f>SUMIFS(stock[MT],stock[Bucket],scheduleapr[[#This Row],[Bucket]],stock[LL or CTL],"LL")</f>
        <v>3.9467830000000004</v>
      </c>
      <c r="AQ556" s="1">
        <f>+SUMIFS(wip[Stock(Net Wt)],wip[Bucket],scheduleapr[[#This Row],[Bucket]])/1000</f>
        <v>17.024000000000001</v>
      </c>
      <c r="AR556" s="1">
        <f t="shared" si="18"/>
        <v>2.8729336038400004</v>
      </c>
      <c r="AS556" s="118"/>
    </row>
    <row r="557" spans="1:45" x14ac:dyDescent="0.25">
      <c r="A557" s="30">
        <v>461</v>
      </c>
      <c r="B557" s="5" t="s">
        <v>1816</v>
      </c>
      <c r="C557" s="2" t="s">
        <v>95</v>
      </c>
      <c r="D557" s="15" t="s">
        <v>2077</v>
      </c>
      <c r="E557" s="2">
        <v>941496</v>
      </c>
      <c r="F557" s="2">
        <v>3910650</v>
      </c>
      <c r="G557" s="2" t="str">
        <f>_xlfn.CONCAT(scheduleapr[[#This Row],[CUSTOMER CODE]],"-",scheduleapr[[#This Row],[MATERIAL NO]])</f>
        <v>941496-3910650</v>
      </c>
      <c r="H557" s="2" t="s">
        <v>2087</v>
      </c>
      <c r="I557" s="2" t="s">
        <v>993</v>
      </c>
      <c r="J557" s="2"/>
      <c r="K557" s="2" t="s">
        <v>1003</v>
      </c>
      <c r="L557" s="2" t="s">
        <v>239</v>
      </c>
      <c r="M557" s="2" t="s">
        <v>2088</v>
      </c>
      <c r="N557" s="2"/>
      <c r="O557" s="2"/>
      <c r="P557" s="2"/>
      <c r="Q557" s="557" t="str">
        <f>CONCATENATE(scheduleapr[[#This Row],[OD]],"-",scheduleapr[[#This Row],[ID]],"-",scheduleapr[[#This Row],[TICKNESS]],"-",scheduleapr[[#This Row],[Grade]],"-",scheduleapr[[#This Row],[FC/NFC]])</f>
        <v>22.23-0-2-ERW 2-FC</v>
      </c>
      <c r="R557" s="557" t="str">
        <f>_xlfn.CONCAT(scheduleapr[[#This Row],[Bucket]],"-",scheduleapr[[#This Row],[LENGTH]]/1000)</f>
        <v>22.23-0-2-ERW 2-FC-0.855</v>
      </c>
      <c r="S557" s="557" t="e" vm="2">
        <f>COUNTIF([2]!buckets[CTL Bucket],[2]!scheduleapr[[#This Row],[CTL Bucket]])</f>
        <v>#REF!</v>
      </c>
      <c r="T557" s="557"/>
      <c r="U557" s="557"/>
      <c r="V557" s="557"/>
      <c r="W557" s="557"/>
      <c r="X557" s="1">
        <v>22.23</v>
      </c>
      <c r="Y557" s="1">
        <v>22.23</v>
      </c>
      <c r="Z557" s="1">
        <v>0</v>
      </c>
      <c r="AA557" s="1">
        <v>2</v>
      </c>
      <c r="AB557" s="24">
        <v>855</v>
      </c>
      <c r="AC557" s="24" t="s">
        <v>397</v>
      </c>
      <c r="AD557" s="24"/>
      <c r="AE557" s="24"/>
      <c r="AF557" s="2"/>
      <c r="AG557" s="2"/>
      <c r="AH557" s="2" cm="1">
        <f t="array" ref="AH5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7" s="4">
        <f>scheduleapr[[#This Row],[SCHEDULE in nos]]-scheduleapr[[#This Row],[DISPATCH]]</f>
        <v>0</v>
      </c>
      <c r="AJ557" s="1">
        <f>(3.14*(scheduleapr[[#This Row],[ACTUAL OD]]-scheduleapr[[#This Row],[TICKNESS]])*scheduleapr[[#This Row],[TICKNESS]]*scheduleapr[[#This Row],[LENGTH]]*7.85)/1000000*scheduleapr[[#This Row],[SCHEDULE in nos]]/1000</f>
        <v>0</v>
      </c>
      <c r="AK557" s="1">
        <f>(3.14*(scheduleapr[[#This Row],[ACTUAL OD]]-scheduleapr[[#This Row],[TICKNESS]])*scheduleapr[[#This Row],[TICKNESS]]*scheduleapr[[#This Row],[LENGTH]]*7.85)/1000000*scheduleapr[[#This Row],[DISPATCH]]/1000</f>
        <v>0</v>
      </c>
      <c r="AL557" s="1">
        <f t="shared" si="19"/>
        <v>0</v>
      </c>
      <c r="AM557" s="1" t="e">
        <f>scheduleapr[[#This Row],[SCHEDULE in nos]]/scheduleapr[[#This Row],[SCHEDULE IN MT]]*scheduleapr[[#This Row],[CTL Stock]]</f>
        <v>#DIV/0!</v>
      </c>
      <c r="AN557" s="1">
        <f>SUMIFS(stock[MT],stock[Bucket],scheduleapr[[#This Row],[Bucket]],stock[CTL Bucket],scheduleapr[[#This Row],[CTL Bucket]],stock[Plant],"0789")</f>
        <v>0</v>
      </c>
      <c r="AO557" s="1"/>
      <c r="AP557" s="1">
        <f>SUMIFS(stock[MT],stock[Bucket],scheduleapr[[#This Row],[Bucket]],stock[LL or CTL],"LL")</f>
        <v>0</v>
      </c>
      <c r="AQ557" s="1">
        <f>+SUMIFS(wip[Stock(Net Wt)],wip[Bucket],scheduleapr[[#This Row],[Bucket]])/1000</f>
        <v>15.21</v>
      </c>
      <c r="AR557" s="1">
        <f t="shared" si="18"/>
        <v>0</v>
      </c>
      <c r="AS557" s="118"/>
    </row>
    <row r="558" spans="1:45" x14ac:dyDescent="0.25">
      <c r="A558" s="30">
        <v>464</v>
      </c>
      <c r="B558" s="5" t="s">
        <v>1816</v>
      </c>
      <c r="C558" s="2" t="s">
        <v>95</v>
      </c>
      <c r="D558" s="15" t="s">
        <v>2077</v>
      </c>
      <c r="E558" s="2">
        <v>941496</v>
      </c>
      <c r="F558" s="2">
        <v>3910649</v>
      </c>
      <c r="G558" s="2" t="str">
        <f>_xlfn.CONCAT(scheduleapr[[#This Row],[CUSTOMER CODE]],"-",scheduleapr[[#This Row],[MATERIAL NO]])</f>
        <v>941496-3910649</v>
      </c>
      <c r="H558" s="2" t="s">
        <v>773</v>
      </c>
      <c r="I558" s="2" t="s">
        <v>993</v>
      </c>
      <c r="J558" s="2"/>
      <c r="K558" s="2" t="s">
        <v>1003</v>
      </c>
      <c r="L558" s="2" t="s">
        <v>239</v>
      </c>
      <c r="M558" s="2" t="s">
        <v>2088</v>
      </c>
      <c r="N558" s="2"/>
      <c r="O558" s="2"/>
      <c r="P558" s="2"/>
      <c r="Q558" s="557" t="str">
        <f>CONCATENATE(scheduleapr[[#This Row],[OD]],"-",scheduleapr[[#This Row],[ID]],"-",scheduleapr[[#This Row],[TICKNESS]],"-",scheduleapr[[#This Row],[Grade]],"-",scheduleapr[[#This Row],[FC/NFC]])</f>
        <v>22.23-0-2-ERW 2-FC</v>
      </c>
      <c r="R558" s="557" t="str">
        <f>_xlfn.CONCAT(scheduleapr[[#This Row],[Bucket]],"-",scheduleapr[[#This Row],[LENGTH]]/1000)</f>
        <v>22.23-0-2-ERW 2-FC-0.863</v>
      </c>
      <c r="S558" s="557" t="e" vm="2">
        <f>COUNTIF([2]!buckets[CTL Bucket],[2]!scheduleapr[[#This Row],[CTL Bucket]])</f>
        <v>#REF!</v>
      </c>
      <c r="T558" s="557"/>
      <c r="U558" s="557"/>
      <c r="V558" s="557"/>
      <c r="W558" s="557"/>
      <c r="X558" s="1">
        <v>22.23</v>
      </c>
      <c r="Y558" s="1">
        <v>22.23</v>
      </c>
      <c r="Z558" s="1">
        <v>0</v>
      </c>
      <c r="AA558" s="1">
        <v>2</v>
      </c>
      <c r="AB558" s="24">
        <v>863</v>
      </c>
      <c r="AC558" s="24" t="s">
        <v>397</v>
      </c>
      <c r="AD558" s="24"/>
      <c r="AE558" s="24"/>
      <c r="AF558" s="2"/>
      <c r="AG558" s="2"/>
      <c r="AH558" s="2" cm="1">
        <f t="array" ref="AH5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8" s="4">
        <f>scheduleapr[[#This Row],[SCHEDULE in nos]]-scheduleapr[[#This Row],[DISPATCH]]</f>
        <v>0</v>
      </c>
      <c r="AJ558" s="1">
        <f>(3.14*(scheduleapr[[#This Row],[ACTUAL OD]]-scheduleapr[[#This Row],[TICKNESS]])*scheduleapr[[#This Row],[TICKNESS]]*scheduleapr[[#This Row],[LENGTH]]*7.85)/1000000*scheduleapr[[#This Row],[SCHEDULE in nos]]/1000</f>
        <v>0</v>
      </c>
      <c r="AK558" s="1">
        <f>(3.14*(scheduleapr[[#This Row],[ACTUAL OD]]-scheduleapr[[#This Row],[TICKNESS]])*scheduleapr[[#This Row],[TICKNESS]]*scheduleapr[[#This Row],[LENGTH]]*7.85)/1000000*scheduleapr[[#This Row],[DISPATCH]]/1000</f>
        <v>0</v>
      </c>
      <c r="AL558" s="1">
        <f t="shared" si="19"/>
        <v>0</v>
      </c>
      <c r="AM558" s="1" t="e">
        <f>scheduleapr[[#This Row],[SCHEDULE in nos]]/scheduleapr[[#This Row],[SCHEDULE IN MT]]*scheduleapr[[#This Row],[CTL Stock]]</f>
        <v>#DIV/0!</v>
      </c>
      <c r="AN558" s="1">
        <f>SUMIFS(stock[MT],stock[Bucket],scheduleapr[[#This Row],[Bucket]],stock[CTL Bucket],scheduleapr[[#This Row],[CTL Bucket]],stock[Plant],"0789")</f>
        <v>0.02</v>
      </c>
      <c r="AO558" s="1"/>
      <c r="AP558" s="1">
        <f>SUMIFS(stock[MT],stock[Bucket],scheduleapr[[#This Row],[Bucket]],stock[LL or CTL],"LL")</f>
        <v>0</v>
      </c>
      <c r="AQ558" s="1">
        <f>+SUMIFS(wip[Stock(Net Wt)],wip[Bucket],scheduleapr[[#This Row],[Bucket]])/1000</f>
        <v>15.21</v>
      </c>
      <c r="AR558" s="1">
        <f t="shared" si="18"/>
        <v>-0.02</v>
      </c>
      <c r="AS558" s="118"/>
    </row>
    <row r="559" spans="1:45" x14ac:dyDescent="0.25">
      <c r="A559" s="30">
        <v>328</v>
      </c>
      <c r="B559" s="5" t="s">
        <v>1872</v>
      </c>
      <c r="C559" s="2" t="s">
        <v>300</v>
      </c>
      <c r="D559" s="2" t="s">
        <v>2089</v>
      </c>
      <c r="E559" s="2">
        <v>945539</v>
      </c>
      <c r="F559" s="2" t="e">
        <f>_xlfn.CONCAT([2]!scheduleapr[[#This Row],[OD]],"-",[2]!scheduleapr[[#This Row],[ID]],"-",[2]!scheduleapr[[#This Row],[TICKNESS]],"-",[2]!scheduleapr[[#This Row],[LENGTH]])</f>
        <v>#REF!</v>
      </c>
      <c r="G559" s="2" t="e">
        <f>_xlfn.CONCAT(scheduleapr[[#This Row],[CUSTOMER CODE]],"-",scheduleapr[[#This Row],[MATERIAL NO]])</f>
        <v>#REF!</v>
      </c>
      <c r="H559" s="2"/>
      <c r="I559" s="2" t="s">
        <v>357</v>
      </c>
      <c r="J559" s="2"/>
      <c r="K559" s="2" t="s">
        <v>357</v>
      </c>
      <c r="L559" s="2" t="s">
        <v>239</v>
      </c>
      <c r="M559" s="2"/>
      <c r="N559" s="2"/>
      <c r="O559" s="2"/>
      <c r="P559" s="2"/>
      <c r="Q559" s="557" t="str">
        <f>CONCATENATE(scheduleapr[[#This Row],[OD]],"-",scheduleapr[[#This Row],[ID]],"-",scheduleapr[[#This Row],[TICKNESS]],"-",scheduleapr[[#This Row],[Grade]],"-",scheduleapr[[#This Row],[FC/NFC]])</f>
        <v>14-0-2.45-CEW-CEW</v>
      </c>
      <c r="R559" s="557" t="str">
        <f>_xlfn.CONCAT(scheduleapr[[#This Row],[Bucket]],"-",scheduleapr[[#This Row],[LENGTH]]/1000)</f>
        <v>14-0-2.45-CEW-CEW-1</v>
      </c>
      <c r="S559" s="557">
        <f>COUNTIF(scheduleapr[CTL Bucket],scheduleapr[[#This Row],[CTL Bucket]])</f>
        <v>1</v>
      </c>
      <c r="T559" s="2" t="s">
        <v>1817</v>
      </c>
      <c r="U559" s="2">
        <f>_xlfn.IFNA(VLOOKUP(scheduleapr[[#This Row],[Bucket]],salesforecast[[#All],[Bucket2]:[8406 Stock]],19,0),0)</f>
        <v>0</v>
      </c>
      <c r="V559" s="562">
        <f>_xlfn.IFNA(VLOOKUP(scheduleapr[[#This Row],[Bucket]],salesforecast[[#All],[Bucket2]:[8406 Stock]],20,0),0)+_xlfn.IFNA(VLOOKUP(scheduleapr[[#This Row],[Bucket]],salesforecast[[#All],[Bucket2]:[8406 Stock]],17,0),0)</f>
        <v>0</v>
      </c>
      <c r="W559" s="557"/>
      <c r="X559" s="1">
        <v>14</v>
      </c>
      <c r="Y559" s="1">
        <v>14</v>
      </c>
      <c r="Z559" s="1">
        <v>0</v>
      </c>
      <c r="AA559" s="1">
        <v>2.4500000000000002</v>
      </c>
      <c r="AB559" s="24">
        <v>1000</v>
      </c>
      <c r="AC559" s="24" t="s">
        <v>444</v>
      </c>
      <c r="AD559" s="24"/>
      <c r="AE559" s="24"/>
      <c r="AF559" s="2"/>
      <c r="AG559" s="2"/>
      <c r="AH559" s="2" cm="1">
        <f t="array" ref="AH5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9" s="4">
        <f>scheduleapr[[#This Row],[SCHEDULE in nos]]-scheduleapr[[#This Row],[DISPATCH]]</f>
        <v>0</v>
      </c>
      <c r="AJ559" s="1">
        <f>(3.14*(scheduleapr[[#This Row],[ACTUAL OD]]-scheduleapr[[#This Row],[TICKNESS]])*scheduleapr[[#This Row],[TICKNESS]]*scheduleapr[[#This Row],[LENGTH]]*7.85)/1000000*scheduleapr[[#This Row],[SCHEDULE in nos]]/1000</f>
        <v>0</v>
      </c>
      <c r="AK559" s="1">
        <f>(3.14*(scheduleapr[[#This Row],[ACTUAL OD]]-scheduleapr[[#This Row],[TICKNESS]])*scheduleapr[[#This Row],[TICKNESS]]*scheduleapr[[#This Row],[LENGTH]]*7.85)/1000000*scheduleapr[[#This Row],[DISPATCH]]/1000</f>
        <v>0</v>
      </c>
      <c r="AL559" s="1">
        <f t="shared" si="19"/>
        <v>0</v>
      </c>
      <c r="AM559" s="1" t="e">
        <f>scheduleapr[[#This Row],[SCHEDULE in nos]]/scheduleapr[[#This Row],[SCHEDULE IN MT]]*scheduleapr[[#This Row],[CTL Stock]]</f>
        <v>#DIV/0!</v>
      </c>
      <c r="AN559" s="1">
        <f>SUMIFS(stock[MT],stock[Bucket],scheduleapr[[#This Row],[Bucket]],stock[CTL Bucket],scheduleapr[[#This Row],[CTL Bucket]],stock[Plant],"0789")</f>
        <v>0</v>
      </c>
      <c r="AO559" s="1"/>
      <c r="AP559" s="1">
        <f>SUMIFS(stock[MT],stock[Bucket],scheduleapr[[#This Row],[Bucket]],stock[LL or CTL],"LL")</f>
        <v>2.0270000000000001</v>
      </c>
      <c r="AQ559" s="1">
        <f>+SUMIFS(wip[Stock(Net Wt)],wip[Bucket],scheduleapr[[#This Row],[Bucket]])/1000</f>
        <v>0</v>
      </c>
      <c r="AR559" s="1">
        <f t="shared" si="18"/>
        <v>0</v>
      </c>
      <c r="AS559" s="118"/>
    </row>
    <row r="560" spans="1:45" x14ac:dyDescent="0.25">
      <c r="A560" s="30">
        <v>392</v>
      </c>
      <c r="B560" s="5" t="s">
        <v>1872</v>
      </c>
      <c r="C560" s="2" t="s">
        <v>300</v>
      </c>
      <c r="D560" s="2" t="s">
        <v>2089</v>
      </c>
      <c r="E560" s="2">
        <v>945539</v>
      </c>
      <c r="F560" s="2" t="e">
        <f>_xlfn.CONCAT([2]!scheduleapr[[#This Row],[OD]],"-",[2]!scheduleapr[[#This Row],[ID]],"-",[2]!scheduleapr[[#This Row],[TICKNESS]],"-",[2]!scheduleapr[[#This Row],[LENGTH]])</f>
        <v>#REF!</v>
      </c>
      <c r="G560" s="2" t="e">
        <f>_xlfn.CONCAT(scheduleapr[[#This Row],[CUSTOMER CODE]],"-",scheduleapr[[#This Row],[MATERIAL NO]])</f>
        <v>#REF!</v>
      </c>
      <c r="H560" s="2"/>
      <c r="I560" s="2" t="s">
        <v>357</v>
      </c>
      <c r="J560" s="2"/>
      <c r="K560" s="2" t="s">
        <v>357</v>
      </c>
      <c r="L560" s="2" t="s">
        <v>239</v>
      </c>
      <c r="M560" s="2"/>
      <c r="N560" s="2"/>
      <c r="O560" s="2"/>
      <c r="P560" s="2"/>
      <c r="Q560" s="557" t="str">
        <f>CONCATENATE(scheduleapr[[#This Row],[OD]],"-",scheduleapr[[#This Row],[ID]],"-",scheduleapr[[#This Row],[TICKNESS]],"-",scheduleapr[[#This Row],[Grade]],"-",scheduleapr[[#This Row],[FC/NFC]])</f>
        <v>20-12.4-3.8-CEW-CEW</v>
      </c>
      <c r="R560" s="557" t="str">
        <f>_xlfn.CONCAT(scheduleapr[[#This Row],[Bucket]],"-",scheduleapr[[#This Row],[LENGTH]]/1000)</f>
        <v>20-12.4-3.8-CEW-CEW-1</v>
      </c>
      <c r="S560" s="557">
        <f>COUNTIF(scheduleapr[CTL Bucket],scheduleapr[[#This Row],[CTL Bucket]])</f>
        <v>1</v>
      </c>
      <c r="T560" s="2" t="s">
        <v>1817</v>
      </c>
      <c r="U560" s="2">
        <f>_xlfn.IFNA(VLOOKUP(scheduleapr[[#This Row],[Bucket]],salesforecast[[#All],[Bucket2]:[8406 Stock]],19,0),0)</f>
        <v>0</v>
      </c>
      <c r="V560" s="562">
        <f>_xlfn.IFNA(VLOOKUP(scheduleapr[[#This Row],[Bucket]],salesforecast[[#All],[Bucket2]:[8406 Stock]],20,0),0)+_xlfn.IFNA(VLOOKUP(scheduleapr[[#This Row],[Bucket]],salesforecast[[#All],[Bucket2]:[8406 Stock]],17,0),0)</f>
        <v>0</v>
      </c>
      <c r="W560" s="557"/>
      <c r="X560" s="1">
        <v>20</v>
      </c>
      <c r="Y560" s="1">
        <v>20</v>
      </c>
      <c r="Z560" s="1">
        <v>12.4</v>
      </c>
      <c r="AA560" s="1">
        <v>3.8</v>
      </c>
      <c r="AB560" s="24">
        <v>1000</v>
      </c>
      <c r="AC560" s="24" t="s">
        <v>444</v>
      </c>
      <c r="AD560" s="24"/>
      <c r="AE560" s="24"/>
      <c r="AF560" s="2"/>
      <c r="AG560" s="2"/>
      <c r="AH560" s="2" cm="1">
        <f t="array" ref="AH5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0" s="4">
        <f>scheduleapr[[#This Row],[SCHEDULE in nos]]-scheduleapr[[#This Row],[DISPATCH]]</f>
        <v>0</v>
      </c>
      <c r="AJ560" s="1">
        <f>(3.14*(scheduleapr[[#This Row],[ACTUAL OD]]-scheduleapr[[#This Row],[TICKNESS]])*scheduleapr[[#This Row],[TICKNESS]]*scheduleapr[[#This Row],[LENGTH]]*7.85)/1000000*scheduleapr[[#This Row],[SCHEDULE in nos]]/1000</f>
        <v>0</v>
      </c>
      <c r="AK560" s="1">
        <f>(3.14*(scheduleapr[[#This Row],[ACTUAL OD]]-scheduleapr[[#This Row],[TICKNESS]])*scheduleapr[[#This Row],[TICKNESS]]*scheduleapr[[#This Row],[LENGTH]]*7.85)/1000000*scheduleapr[[#This Row],[DISPATCH]]/1000</f>
        <v>0</v>
      </c>
      <c r="AL560" s="1">
        <f t="shared" si="19"/>
        <v>0</v>
      </c>
      <c r="AM560" s="1" t="e">
        <f>scheduleapr[[#This Row],[SCHEDULE in nos]]/scheduleapr[[#This Row],[SCHEDULE IN MT]]*scheduleapr[[#This Row],[CTL Stock]]</f>
        <v>#DIV/0!</v>
      </c>
      <c r="AN560" s="1">
        <f>SUMIFS(stock[MT],stock[Bucket],scheduleapr[[#This Row],[Bucket]],stock[CTL Bucket],scheduleapr[[#This Row],[CTL Bucket]],stock[Plant],"0789")</f>
        <v>0</v>
      </c>
      <c r="AO560" s="1"/>
      <c r="AP560" s="1">
        <f>SUMIFS(stock[MT],stock[Bucket],scheduleapr[[#This Row],[Bucket]],stock[LL or CTL],"LL")</f>
        <v>0</v>
      </c>
      <c r="AQ560" s="1">
        <f>+SUMIFS(wip[Stock(Net Wt)],wip[Bucket],scheduleapr[[#This Row],[Bucket]])/1000</f>
        <v>0</v>
      </c>
      <c r="AR560" s="1">
        <f t="shared" si="18"/>
        <v>0</v>
      </c>
      <c r="AS560" s="118"/>
    </row>
    <row r="561" spans="1:45" x14ac:dyDescent="0.25">
      <c r="A561" s="30">
        <v>393</v>
      </c>
      <c r="B561" s="5" t="s">
        <v>1872</v>
      </c>
      <c r="C561" s="2" t="s">
        <v>300</v>
      </c>
      <c r="D561" s="2" t="s">
        <v>2089</v>
      </c>
      <c r="E561" s="2">
        <v>945539</v>
      </c>
      <c r="F561" s="2" t="e">
        <f>_xlfn.CONCAT([2]!scheduleapr[[#This Row],[OD]],"-",[2]!scheduleapr[[#This Row],[ID]],"-",[2]!scheduleapr[[#This Row],[TICKNESS]],"-",[2]!scheduleapr[[#This Row],[LENGTH]])</f>
        <v>#REF!</v>
      </c>
      <c r="G561" s="2" t="e">
        <f>_xlfn.CONCAT(scheduleapr[[#This Row],[CUSTOMER CODE]],"-",scheduleapr[[#This Row],[MATERIAL NO]])</f>
        <v>#REF!</v>
      </c>
      <c r="H561" s="2"/>
      <c r="I561" s="2" t="s">
        <v>357</v>
      </c>
      <c r="J561" s="2"/>
      <c r="K561" s="2" t="s">
        <v>357</v>
      </c>
      <c r="L561" s="2" t="s">
        <v>239</v>
      </c>
      <c r="M561" s="2"/>
      <c r="N561" s="2"/>
      <c r="O561" s="2"/>
      <c r="P561" s="2"/>
      <c r="Q561" s="557" t="str">
        <f>CONCATENATE(scheduleapr[[#This Row],[OD]],"-",scheduleapr[[#This Row],[ID]],"-",scheduleapr[[#This Row],[TICKNESS]],"-",scheduleapr[[#This Row],[Grade]],"-",scheduleapr[[#This Row],[FC/NFC]])</f>
        <v>20-12.4-4.5-CEW-CEW</v>
      </c>
      <c r="R561" s="557" t="str">
        <f>_xlfn.CONCAT(scheduleapr[[#This Row],[Bucket]],"-",scheduleapr[[#This Row],[LENGTH]]/1000)</f>
        <v>20-12.4-4.5-CEW-CEW-1</v>
      </c>
      <c r="S561" s="557">
        <f>COUNTIF(scheduleapr[CTL Bucket],scheduleapr[[#This Row],[CTL Bucket]])</f>
        <v>2</v>
      </c>
      <c r="T561" s="2" t="s">
        <v>1817</v>
      </c>
      <c r="U561" s="2">
        <f>_xlfn.IFNA(VLOOKUP(scheduleapr[[#This Row],[Bucket]],salesforecast[[#All],[Bucket2]:[8406 Stock]],19,0),0)</f>
        <v>0</v>
      </c>
      <c r="V561" s="562">
        <f>_xlfn.IFNA(VLOOKUP(scheduleapr[[#This Row],[Bucket]],salesforecast[[#All],[Bucket2]:[8406 Stock]],20,0),0)+_xlfn.IFNA(VLOOKUP(scheduleapr[[#This Row],[Bucket]],salesforecast[[#All],[Bucket2]:[8406 Stock]],17,0),0)</f>
        <v>0</v>
      </c>
      <c r="W561" s="557"/>
      <c r="X561" s="1">
        <v>20</v>
      </c>
      <c r="Y561" s="1">
        <v>20</v>
      </c>
      <c r="Z561" s="1">
        <v>12.4</v>
      </c>
      <c r="AA561" s="1">
        <v>4.5</v>
      </c>
      <c r="AB561" s="24">
        <v>1000</v>
      </c>
      <c r="AC561" s="24" t="s">
        <v>444</v>
      </c>
      <c r="AD561" s="24"/>
      <c r="AE561" s="24"/>
      <c r="AF561" s="2"/>
      <c r="AG561" s="2"/>
      <c r="AH561" s="2" cm="1">
        <f t="array" ref="AH5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1" s="4">
        <f>scheduleapr[[#This Row],[SCHEDULE in nos]]-scheduleapr[[#This Row],[DISPATCH]]</f>
        <v>0</v>
      </c>
      <c r="AJ561" s="1">
        <f>(3.14*(scheduleapr[[#This Row],[ACTUAL OD]]-scheduleapr[[#This Row],[TICKNESS]])*scheduleapr[[#This Row],[TICKNESS]]*scheduleapr[[#This Row],[LENGTH]]*7.85)/1000000*scheduleapr[[#This Row],[SCHEDULE in nos]]/1000</f>
        <v>0</v>
      </c>
      <c r="AK561" s="1">
        <f>(3.14*(scheduleapr[[#This Row],[ACTUAL OD]]-scheduleapr[[#This Row],[TICKNESS]])*scheduleapr[[#This Row],[TICKNESS]]*scheduleapr[[#This Row],[LENGTH]]*7.85)/1000000*scheduleapr[[#This Row],[DISPATCH]]/1000</f>
        <v>0</v>
      </c>
      <c r="AL561" s="1">
        <f t="shared" si="19"/>
        <v>0</v>
      </c>
      <c r="AM561" s="1" t="e">
        <f>scheduleapr[[#This Row],[SCHEDULE in nos]]/scheduleapr[[#This Row],[SCHEDULE IN MT]]*scheduleapr[[#This Row],[CTL Stock]]</f>
        <v>#DIV/0!</v>
      </c>
      <c r="AN561" s="1">
        <f>SUMIFS(stock[MT],stock[Bucket],scheduleapr[[#This Row],[Bucket]],stock[CTL Bucket],scheduleapr[[#This Row],[CTL Bucket]],stock[Plant],"0789")</f>
        <v>0</v>
      </c>
      <c r="AO561" s="1"/>
      <c r="AP561" s="1">
        <f>SUMIFS(stock[MT],stock[Bucket],scheduleapr[[#This Row],[Bucket]],stock[LL or CTL],"LL")</f>
        <v>0</v>
      </c>
      <c r="AQ561" s="1">
        <f>+SUMIFS(wip[Stock(Net Wt)],wip[Bucket],scheduleapr[[#This Row],[Bucket]])/1000</f>
        <v>0</v>
      </c>
      <c r="AR561" s="1">
        <f t="shared" si="18"/>
        <v>0</v>
      </c>
      <c r="AS561" s="118"/>
    </row>
    <row r="562" spans="1:45" x14ac:dyDescent="0.25">
      <c r="A562" s="30">
        <v>394</v>
      </c>
      <c r="B562" s="5" t="s">
        <v>1872</v>
      </c>
      <c r="C562" s="2" t="s">
        <v>300</v>
      </c>
      <c r="D562" s="2" t="s">
        <v>2089</v>
      </c>
      <c r="E562" s="2">
        <v>945539</v>
      </c>
      <c r="F562" s="2" t="e">
        <f>_xlfn.CONCAT([2]!scheduleapr[[#This Row],[OD]],"-",[2]!scheduleapr[[#This Row],[ID]],"-",[2]!scheduleapr[[#This Row],[TICKNESS]],"-",[2]!scheduleapr[[#This Row],[LENGTH]])</f>
        <v>#REF!</v>
      </c>
      <c r="G562" s="2" t="e">
        <f>_xlfn.CONCAT(scheduleapr[[#This Row],[CUSTOMER CODE]],"-",scheduleapr[[#This Row],[MATERIAL NO]])</f>
        <v>#REF!</v>
      </c>
      <c r="H562" s="2" t="e">
        <v>#REF!</v>
      </c>
      <c r="I562" s="2" t="s">
        <v>357</v>
      </c>
      <c r="J562" s="2"/>
      <c r="K562" s="2" t="s">
        <v>357</v>
      </c>
      <c r="L562" s="2" t="s">
        <v>239</v>
      </c>
      <c r="M562" s="2"/>
      <c r="N562" s="2"/>
      <c r="O562" s="2"/>
      <c r="P562" s="2"/>
      <c r="Q562" s="557" t="str">
        <f>CONCATENATE(scheduleapr[[#This Row],[OD]],"-",scheduleapr[[#This Row],[ID]],"-",scheduleapr[[#This Row],[TICKNESS]],"-",scheduleapr[[#This Row],[Grade]],"-",scheduleapr[[#This Row],[FC/NFC]])</f>
        <v>21.75-0-3.5-CEW-CEW</v>
      </c>
      <c r="R562" s="557" t="str">
        <f>_xlfn.CONCAT(scheduleapr[[#This Row],[Bucket]],"-",scheduleapr[[#This Row],[LENGTH]]/1000)</f>
        <v>21.75-0-3.5-CEW-CEW-1</v>
      </c>
      <c r="S562" s="557">
        <f>COUNTIF(scheduleapr[CTL Bucket],scheduleapr[[#This Row],[CTL Bucket]])</f>
        <v>2</v>
      </c>
      <c r="T562" s="2" t="s">
        <v>1817</v>
      </c>
      <c r="U562" s="2">
        <f>_xlfn.IFNA(VLOOKUP(scheduleapr[[#This Row],[Bucket]],salesforecast[[#All],[Bucket2]:[8406 Stock]],19,0),0)</f>
        <v>0</v>
      </c>
      <c r="V562" s="562">
        <f>_xlfn.IFNA(VLOOKUP(scheduleapr[[#This Row],[Bucket]],salesforecast[[#All],[Bucket2]:[8406 Stock]],20,0),0)+_xlfn.IFNA(VLOOKUP(scheduleapr[[#This Row],[Bucket]],salesforecast[[#All],[Bucket2]:[8406 Stock]],17,0),0)</f>
        <v>0</v>
      </c>
      <c r="W562" s="557"/>
      <c r="X562" s="1">
        <v>21.75</v>
      </c>
      <c r="Y562" s="1">
        <v>21.75</v>
      </c>
      <c r="Z562" s="1">
        <v>0</v>
      </c>
      <c r="AA562" s="1">
        <v>3.5</v>
      </c>
      <c r="AB562" s="24">
        <v>1000</v>
      </c>
      <c r="AC562" s="24" t="s">
        <v>444</v>
      </c>
      <c r="AD562" s="24"/>
      <c r="AE562" s="24"/>
      <c r="AF562" s="2"/>
      <c r="AG562" s="2"/>
      <c r="AH562" s="2" cm="1">
        <f t="array" ref="AH5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2" s="4">
        <f>scheduleapr[[#This Row],[SCHEDULE in nos]]-scheduleapr[[#This Row],[DISPATCH]]</f>
        <v>0</v>
      </c>
      <c r="AJ562" s="79">
        <f>(3.14*(scheduleapr[[#This Row],[ACTUAL OD]]-scheduleapr[[#This Row],[TICKNESS]])*scheduleapr[[#This Row],[TICKNESS]]*scheduleapr[[#This Row],[LENGTH]]*7.85)/1000000*scheduleapr[[#This Row],[SCHEDULE in nos]]/1000</f>
        <v>0</v>
      </c>
      <c r="AK562" s="1">
        <f>(3.14*(scheduleapr[[#This Row],[ACTUAL OD]]-scheduleapr[[#This Row],[TICKNESS]])*scheduleapr[[#This Row],[TICKNESS]]*scheduleapr[[#This Row],[LENGTH]]*7.85)/1000000*scheduleapr[[#This Row],[DISPATCH]]/1000</f>
        <v>0</v>
      </c>
      <c r="AL562" s="1">
        <f t="shared" si="19"/>
        <v>0</v>
      </c>
      <c r="AM562" s="1" t="e">
        <f>scheduleapr[[#This Row],[SCHEDULE in nos]]/scheduleapr[[#This Row],[SCHEDULE IN MT]]*scheduleapr[[#This Row],[CTL Stock]]</f>
        <v>#DIV/0!</v>
      </c>
      <c r="AN562" s="1">
        <f>SUMIFS(stock[MT],stock[Bucket],scheduleapr[[#This Row],[Bucket]],stock[CTL Bucket],scheduleapr[[#This Row],[CTL Bucket]],stock[Plant],"0789")</f>
        <v>0</v>
      </c>
      <c r="AO562" s="1"/>
      <c r="AP562" s="1">
        <f>SUMIFS(stock[MT],stock[Bucket],scheduleapr[[#This Row],[Bucket]],stock[LL or CTL],"LL")</f>
        <v>0</v>
      </c>
      <c r="AQ562" s="1">
        <f>+SUMIFS(wip[Stock(Net Wt)],wip[Bucket],scheduleapr[[#This Row],[Bucket]])/1000</f>
        <v>0</v>
      </c>
      <c r="AR562" s="1">
        <f t="shared" si="18"/>
        <v>0</v>
      </c>
      <c r="AS562" s="118"/>
    </row>
    <row r="563" spans="1:45" x14ac:dyDescent="0.25">
      <c r="A563" s="30">
        <v>457</v>
      </c>
      <c r="B563" s="5" t="s">
        <v>1872</v>
      </c>
      <c r="C563" s="2" t="s">
        <v>300</v>
      </c>
      <c r="D563" s="48" t="s">
        <v>2089</v>
      </c>
      <c r="E563" s="2">
        <v>945539</v>
      </c>
      <c r="F563" s="2">
        <v>2410997</v>
      </c>
      <c r="G563" s="2" t="str">
        <f>_xlfn.CONCAT(scheduleapr[[#This Row],[CUSTOMER CODE]],"-",scheduleapr[[#This Row],[MATERIAL NO]])</f>
        <v>945539-2410997</v>
      </c>
      <c r="H563" s="2" t="s">
        <v>814</v>
      </c>
      <c r="I563" s="2" t="s">
        <v>357</v>
      </c>
      <c r="J563" s="2"/>
      <c r="K563" s="2" t="s">
        <v>357</v>
      </c>
      <c r="L563" s="2" t="s">
        <v>239</v>
      </c>
      <c r="M563" s="2"/>
      <c r="N563" s="2"/>
      <c r="O563" s="2"/>
      <c r="P563" s="2"/>
      <c r="Q563" s="557" t="str">
        <f>CONCATENATE(scheduleapr[[#This Row],[OD]],"-",scheduleapr[[#This Row],[ID]],"-",scheduleapr[[#This Row],[TICKNESS]],"-",scheduleapr[[#This Row],[Grade]],"-",scheduleapr[[#This Row],[FC/NFC]])</f>
        <v>25.4-19-3.2-CEW-CEW</v>
      </c>
      <c r="R563" s="557" t="str">
        <f>_xlfn.CONCAT(scheduleapr[[#This Row],[Bucket]],"-",scheduleapr[[#This Row],[LENGTH]]/1000)</f>
        <v>25.4-19-3.2-CEW-CEW-1</v>
      </c>
      <c r="S563" s="557">
        <f>COUNTIF(scheduleapr[CTL Bucket],scheduleapr[[#This Row],[CTL Bucket]])</f>
        <v>3</v>
      </c>
      <c r="T563" s="2" t="s">
        <v>1817</v>
      </c>
      <c r="U563" s="2"/>
      <c r="V563" s="557"/>
      <c r="W563" s="557"/>
      <c r="X563" s="1">
        <v>25.4</v>
      </c>
      <c r="Y563" s="1">
        <v>25.4</v>
      </c>
      <c r="Z563" s="6">
        <v>19</v>
      </c>
      <c r="AA563" s="1">
        <v>3.2</v>
      </c>
      <c r="AB563" s="24">
        <v>1000</v>
      </c>
      <c r="AC563" s="24" t="s">
        <v>444</v>
      </c>
      <c r="AD563" s="24"/>
      <c r="AE563" s="24"/>
      <c r="AF563" s="2"/>
      <c r="AG563" s="2"/>
      <c r="AH563" s="2" cm="1">
        <f t="array" ref="AH5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3" s="4">
        <f>scheduleapr[[#This Row],[SCHEDULE in nos]]-scheduleapr[[#This Row],[DISPATCH]]</f>
        <v>0</v>
      </c>
      <c r="AJ563" s="1">
        <f>(3.14*(scheduleapr[[#This Row],[ACTUAL OD]]-scheduleapr[[#This Row],[TICKNESS]])*scheduleapr[[#This Row],[TICKNESS]]*scheduleapr[[#This Row],[LENGTH]]*7.85)/1000000*scheduleapr[[#This Row],[SCHEDULE in nos]]/1000</f>
        <v>0</v>
      </c>
      <c r="AK563" s="1">
        <f>(3.14*(scheduleapr[[#This Row],[ACTUAL OD]]-scheduleapr[[#This Row],[TICKNESS]])*scheduleapr[[#This Row],[TICKNESS]]*scheduleapr[[#This Row],[LENGTH]]*7.85)/1000000*scheduleapr[[#This Row],[DISPATCH]]/1000</f>
        <v>0</v>
      </c>
      <c r="AL563" s="1">
        <f t="shared" si="19"/>
        <v>0</v>
      </c>
      <c r="AM563" s="1" t="e">
        <f>scheduleapr[[#This Row],[SCHEDULE in nos]]/scheduleapr[[#This Row],[SCHEDULE IN MT]]*scheduleapr[[#This Row],[CTL Stock]]</f>
        <v>#DIV/0!</v>
      </c>
      <c r="AN563" s="1">
        <f>SUMIFS(stock[MT],stock[Bucket],scheduleapr[[#This Row],[Bucket]],stock[CTL Bucket],scheduleapr[[#This Row],[CTL Bucket]],stock[Plant],"0789")</f>
        <v>0</v>
      </c>
      <c r="AO563" s="1"/>
      <c r="AP563" s="1">
        <f>SUMIFS(stock[MT],stock[Bucket],scheduleapr[[#This Row],[Bucket]],stock[LL or CTL],"LL")</f>
        <v>0.19838500000000001</v>
      </c>
      <c r="AQ563" s="1">
        <f>+SUMIFS(wip[Stock(Net Wt)],wip[Bucket],scheduleapr[[#This Row],[Bucket]])/1000</f>
        <v>0</v>
      </c>
      <c r="AR563" s="1">
        <f t="shared" si="18"/>
        <v>0</v>
      </c>
      <c r="AS563" s="118"/>
    </row>
    <row r="564" spans="1:45" x14ac:dyDescent="0.25">
      <c r="A564" s="30">
        <v>467</v>
      </c>
      <c r="B564" s="5" t="s">
        <v>1872</v>
      </c>
      <c r="C564" s="2" t="s">
        <v>300</v>
      </c>
      <c r="D564" s="2" t="s">
        <v>2089</v>
      </c>
      <c r="E564" s="2">
        <v>945539</v>
      </c>
      <c r="F564" s="2" t="e">
        <f>_xlfn.CONCAT([2]!scheduleapr[[#This Row],[OD]],"-",[2]!scheduleapr[[#This Row],[ID]],"-",[2]!scheduleapr[[#This Row],[TICKNESS]],"-",[2]!scheduleapr[[#This Row],[LENGTH]])</f>
        <v>#REF!</v>
      </c>
      <c r="G564" s="2" t="e">
        <f>_xlfn.CONCAT(scheduleapr[[#This Row],[CUSTOMER CODE]],"-",scheduleapr[[#This Row],[MATERIAL NO]])</f>
        <v>#REF!</v>
      </c>
      <c r="H564" s="2"/>
      <c r="I564" s="2" t="s">
        <v>357</v>
      </c>
      <c r="J564" s="2"/>
      <c r="K564" s="2" t="s">
        <v>357</v>
      </c>
      <c r="L564" s="2" t="s">
        <v>239</v>
      </c>
      <c r="M564" s="2"/>
      <c r="N564" s="2"/>
      <c r="O564" s="2"/>
      <c r="P564" s="2"/>
      <c r="Q564" s="557" t="str">
        <f>CONCATENATE(scheduleapr[[#This Row],[OD]],"-",scheduleapr[[#This Row],[ID]],"-",scheduleapr[[#This Row],[TICKNESS]],"-",scheduleapr[[#This Row],[Grade]],"-",scheduleapr[[#This Row],[FC/NFC]])</f>
        <v>31.75-25-3.37-CEW-CEW</v>
      </c>
      <c r="R564" s="557" t="str">
        <f>_xlfn.CONCAT(scheduleapr[[#This Row],[Bucket]],"-",scheduleapr[[#This Row],[LENGTH]]/1000)</f>
        <v>31.75-25-3.37-CEW-CEW-1</v>
      </c>
      <c r="S564" s="557" t="e" vm="2">
        <f>COUNTIF([2]!buckets[CTL Bucket],[2]!scheduleapr[[#This Row],[CTL Bucket]])</f>
        <v>#REF!</v>
      </c>
      <c r="T564" s="2" t="s">
        <v>1817</v>
      </c>
      <c r="U564" s="2">
        <f>_xlfn.IFNA(VLOOKUP(scheduleapr[[#This Row],[Bucket]],salesforecast[[#All],[Bucket2]:[8406 Stock]],19,0),0)</f>
        <v>5.3088999999999997E-2</v>
      </c>
      <c r="V564" s="562">
        <f>_xlfn.IFNA(VLOOKUP(scheduleapr[[#This Row],[Bucket]],salesforecast[[#All],[Bucket2]:[8406 Stock]],20,0),0)+_xlfn.IFNA(VLOOKUP(scheduleapr[[#This Row],[Bucket]],salesforecast[[#All],[Bucket2]:[8406 Stock]],17,0),0)</f>
        <v>0</v>
      </c>
      <c r="W564" s="557"/>
      <c r="X564" s="1">
        <v>31.75</v>
      </c>
      <c r="Y564" s="1">
        <v>31.75</v>
      </c>
      <c r="Z564" s="1">
        <v>25</v>
      </c>
      <c r="AA564" s="1">
        <v>3.37</v>
      </c>
      <c r="AB564" s="24">
        <v>1000</v>
      </c>
      <c r="AC564" s="24" t="s">
        <v>444</v>
      </c>
      <c r="AD564" s="24"/>
      <c r="AE564" s="24"/>
      <c r="AF564" s="2"/>
      <c r="AG564" s="2"/>
      <c r="AH564" s="2" cm="1">
        <f t="array" ref="AH5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4" s="4">
        <f>scheduleapr[[#This Row],[SCHEDULE in nos]]-scheduleapr[[#This Row],[DISPATCH]]</f>
        <v>0</v>
      </c>
      <c r="AJ564" s="1">
        <f>(3.14*(scheduleapr[[#This Row],[ACTUAL OD]]-scheduleapr[[#This Row],[TICKNESS]])*scheduleapr[[#This Row],[TICKNESS]]*scheduleapr[[#This Row],[LENGTH]]*7.85)/1000000*scheduleapr[[#This Row],[SCHEDULE in nos]]/1000</f>
        <v>0</v>
      </c>
      <c r="AK564" s="1">
        <f>(3.14*(scheduleapr[[#This Row],[ACTUAL OD]]-scheduleapr[[#This Row],[TICKNESS]])*scheduleapr[[#This Row],[TICKNESS]]*scheduleapr[[#This Row],[LENGTH]]*7.85)/1000000*scheduleapr[[#This Row],[DISPATCH]]/1000</f>
        <v>0</v>
      </c>
      <c r="AL564" s="1">
        <f t="shared" si="19"/>
        <v>0</v>
      </c>
      <c r="AM564" s="1" t="e">
        <f>scheduleapr[[#This Row],[SCHEDULE in nos]]/scheduleapr[[#This Row],[SCHEDULE IN MT]]*scheduleapr[[#This Row],[CTL Stock]]</f>
        <v>#DIV/0!</v>
      </c>
      <c r="AN564" s="1">
        <f>SUMIFS(stock[MT],stock[Bucket],scheduleapr[[#This Row],[Bucket]],stock[CTL Bucket],scheduleapr[[#This Row],[CTL Bucket]],stock[Plant],"0789")</f>
        <v>0</v>
      </c>
      <c r="AO564" s="1"/>
      <c r="AP564" s="1">
        <f>SUMIFS(stock[MT],stock[Bucket],scheduleapr[[#This Row],[Bucket]],stock[LL or CTL],"LL")</f>
        <v>5.3088999999999997E-2</v>
      </c>
      <c r="AQ564" s="1">
        <f>+SUMIFS(wip[Stock(Net Wt)],wip[Bucket],scheduleapr[[#This Row],[Bucket]])/1000</f>
        <v>0</v>
      </c>
      <c r="AR564" s="1">
        <f t="shared" si="18"/>
        <v>0</v>
      </c>
      <c r="AS564" s="118"/>
    </row>
    <row r="565" spans="1:45" x14ac:dyDescent="0.25">
      <c r="A565" s="30">
        <v>403</v>
      </c>
      <c r="B565" s="5" t="s">
        <v>1816</v>
      </c>
      <c r="C565" s="2" t="s">
        <v>300</v>
      </c>
      <c r="D565" s="2" t="s">
        <v>2089</v>
      </c>
      <c r="E565" s="2">
        <v>945539</v>
      </c>
      <c r="F565" s="2">
        <v>3714733</v>
      </c>
      <c r="G565" s="2" t="str">
        <f>_xlfn.CONCAT(scheduleapr[[#This Row],[CUSTOMER CODE]],"-",scheduleapr[[#This Row],[MATERIAL NO]])</f>
        <v>945539-3714733</v>
      </c>
      <c r="H565" s="2" t="s">
        <v>758</v>
      </c>
      <c r="I565" s="2" t="s">
        <v>962</v>
      </c>
      <c r="J565" s="2"/>
      <c r="K565" s="2" t="s">
        <v>963</v>
      </c>
      <c r="L565" s="2" t="s">
        <v>1867</v>
      </c>
      <c r="M565" s="44" t="s">
        <v>1952</v>
      </c>
      <c r="N565" s="2" t="s">
        <v>1839</v>
      </c>
      <c r="O565" s="2"/>
      <c r="P565" s="2"/>
      <c r="Q565" s="557" t="str">
        <f>CONCATENATE(scheduleapr[[#This Row],[OD]],"-",scheduleapr[[#This Row],[ID]],"-",scheduleapr[[#This Row],[TICKNESS]],"-",scheduleapr[[#This Row],[Grade]],"-",scheduleapr[[#This Row],[FC/NFC]])</f>
        <v>22.23-0-1.6-ERW 1-PE</v>
      </c>
      <c r="R565" s="557" t="str">
        <f>_xlfn.CONCAT(scheduleapr[[#This Row],[Bucket]],"-",scheduleapr[[#This Row],[LENGTH]]/1000)</f>
        <v>22.23-0-1.6-ERW 1-PE-0.69</v>
      </c>
      <c r="S565" s="557">
        <f>COUNTIF(scheduleapr[CTL Bucket],scheduleapr[[#This Row],[CTL Bucket]])</f>
        <v>2</v>
      </c>
      <c r="T565" s="2" t="s">
        <v>1816</v>
      </c>
      <c r="U565" s="2">
        <f>_xlfn.IFNA(VLOOKUP(scheduleapr[[#This Row],[Bucket]],salesforecast[[#All],[Bucket2]:[8406 Stock]],19,0),0)</f>
        <v>5.9161999999999937E-2</v>
      </c>
      <c r="V565" s="562">
        <f>_xlfn.IFNA(VLOOKUP(scheduleapr[[#This Row],[Bucket]],salesforecast[[#All],[Bucket2]:[8406 Stock]],20,0),0)+_xlfn.IFNA(VLOOKUP(scheduleapr[[#This Row],[Bucket]],salesforecast[[#All],[Bucket2]:[8406 Stock]],17,0),0)</f>
        <v>0</v>
      </c>
      <c r="W565" s="557"/>
      <c r="X565" s="1">
        <v>22.23</v>
      </c>
      <c r="Y565" s="1">
        <v>22.23</v>
      </c>
      <c r="Z565" s="1">
        <v>0</v>
      </c>
      <c r="AA565" s="1">
        <v>1.6</v>
      </c>
      <c r="AB565" s="24">
        <v>690</v>
      </c>
      <c r="AC565" s="24" t="s">
        <v>397</v>
      </c>
      <c r="AD565" s="24"/>
      <c r="AE565" s="24"/>
      <c r="AF565" s="2">
        <v>40000</v>
      </c>
      <c r="AG565" s="2"/>
      <c r="AH565" s="2" cm="1">
        <f t="array" ref="AH5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9900</v>
      </c>
      <c r="AI565" s="4">
        <f>scheduleapr[[#This Row],[SCHEDULE in nos]]-scheduleapr[[#This Row],[DISPATCH]]</f>
        <v>30100</v>
      </c>
      <c r="AJ565" s="1">
        <f>(3.14*(scheduleapr[[#This Row],[ACTUAL OD]]-scheduleapr[[#This Row],[TICKNESS]])*scheduleapr[[#This Row],[TICKNESS]]*scheduleapr[[#This Row],[LENGTH]]*7.85)/1000000*scheduleapr[[#This Row],[SCHEDULE in nos]]/1000</f>
        <v>22.455751699200004</v>
      </c>
      <c r="AK565" s="1">
        <f>(3.14*(scheduleapr[[#This Row],[ACTUAL OD]]-scheduleapr[[#This Row],[TICKNESS]])*scheduleapr[[#This Row],[TICKNESS]]*scheduleapr[[#This Row],[LENGTH]]*7.85)/1000000*scheduleapr[[#This Row],[DISPATCH]]/1000</f>
        <v>5.5577985455520009</v>
      </c>
      <c r="AL565" s="1">
        <f t="shared" si="19"/>
        <v>16.897953153648004</v>
      </c>
      <c r="AM565" s="1">
        <f>scheduleapr[[#This Row],[SCHEDULE in nos]]/scheduleapr[[#This Row],[SCHEDULE IN MT]]*scheduleapr[[#This Row],[CTL Stock]]</f>
        <v>22.632954211820319</v>
      </c>
      <c r="AN565" s="1">
        <f>SUMIFS(stock[MT],stock[Bucket],scheduleapr[[#This Row],[Bucket]],stock[CTL Bucket],scheduleapr[[#This Row],[CTL Bucket]],stock[Plant],"0789")</f>
        <v>1.2706E-2</v>
      </c>
      <c r="AO565" s="1"/>
      <c r="AP565" s="1">
        <f>SUMIFS(stock[MT],stock[Bucket],scheduleapr[[#This Row],[Bucket]],stock[LL or CTL],"LL")</f>
        <v>62.742162000000008</v>
      </c>
      <c r="AQ565" s="1">
        <f>+SUMIFS(wip[Stock(Net Wt)],wip[Bucket],scheduleapr[[#This Row],[Bucket]])/1000</f>
        <v>0</v>
      </c>
      <c r="AR565" s="1">
        <f t="shared" si="18"/>
        <v>22.443045699200002</v>
      </c>
      <c r="AS565" s="118"/>
    </row>
    <row r="566" spans="1:45" x14ac:dyDescent="0.25">
      <c r="A566" s="30">
        <v>413</v>
      </c>
      <c r="B566" s="78" t="s">
        <v>1816</v>
      </c>
      <c r="C566" s="44" t="s">
        <v>300</v>
      </c>
      <c r="D566" s="2" t="s">
        <v>2089</v>
      </c>
      <c r="E566" s="2">
        <v>945539</v>
      </c>
      <c r="F566" s="87">
        <v>3910650</v>
      </c>
      <c r="G566" s="2" t="str">
        <f>_xlfn.CONCAT(scheduleapr[[#This Row],[CUSTOMER CODE]],"-",scheduleapr[[#This Row],[MATERIAL NO]])</f>
        <v>945539-3910650</v>
      </c>
      <c r="H566" s="2" t="s">
        <v>2087</v>
      </c>
      <c r="I566" s="2" t="s">
        <v>962</v>
      </c>
      <c r="J566" s="557"/>
      <c r="K566" s="557" t="s">
        <v>1003</v>
      </c>
      <c r="L566" s="2" t="s">
        <v>239</v>
      </c>
      <c r="M566" s="557"/>
      <c r="N566" s="557"/>
      <c r="O566" s="557"/>
      <c r="P566" s="557"/>
      <c r="Q566" s="557" t="str">
        <f>CONCATENATE(scheduleapr[[#This Row],[OD]],"-",scheduleapr[[#This Row],[ID]],"-",scheduleapr[[#This Row],[TICKNESS]],"-",scheduleapr[[#This Row],[Grade]],"-",scheduleapr[[#This Row],[FC/NFC]])</f>
        <v>22.23-0-2-ERW 1-FC</v>
      </c>
      <c r="R566" s="557" t="str">
        <f>_xlfn.CONCAT(scheduleapr[[#This Row],[Bucket]],"-",scheduleapr[[#This Row],[LENGTH]]/1000)</f>
        <v>22.23-0-2-ERW 1-FC-0.855</v>
      </c>
      <c r="S566" s="557">
        <f>COUNTIF(scheduleapr[CTL Bucket],scheduleapr[[#This Row],[CTL Bucket]])</f>
        <v>1</v>
      </c>
      <c r="T566" s="2" t="s">
        <v>1816</v>
      </c>
      <c r="U566" s="2">
        <f>_xlfn.IFNA(VLOOKUP(scheduleapr[[#This Row],[Bucket]],salesforecast[[#All],[Bucket2]:[8406 Stock]],19,0),0)</f>
        <v>7.6364609999999988</v>
      </c>
      <c r="V566" s="562">
        <f>_xlfn.IFNA(VLOOKUP(scheduleapr[[#This Row],[Bucket]],salesforecast[[#All],[Bucket2]:[8406 Stock]],20,0),0)+_xlfn.IFNA(VLOOKUP(scheduleapr[[#This Row],[Bucket]],salesforecast[[#All],[Bucket2]:[8406 Stock]],17,0),0)</f>
        <v>0</v>
      </c>
      <c r="W566" s="557"/>
      <c r="X566" s="1">
        <v>22.23</v>
      </c>
      <c r="Y566" s="1">
        <v>22.23</v>
      </c>
      <c r="Z566" s="1">
        <v>0</v>
      </c>
      <c r="AA566" s="1">
        <v>2</v>
      </c>
      <c r="AB566" s="24">
        <v>855</v>
      </c>
      <c r="AC566" s="24" t="s">
        <v>397</v>
      </c>
      <c r="AD566" s="24"/>
      <c r="AE566" s="24"/>
      <c r="AF566" s="2">
        <v>50350</v>
      </c>
      <c r="AG566" s="2"/>
      <c r="AH566" s="2" cm="1">
        <f t="array" ref="AH5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6" s="4">
        <f>scheduleapr[[#This Row],[SCHEDULE in nos]]-scheduleapr[[#This Row],[DISPATCH]]</f>
        <v>50350</v>
      </c>
      <c r="AJ566" s="1">
        <f>(3.14*(scheduleapr[[#This Row],[ACTUAL OD]]-scheduleapr[[#This Row],[TICKNESS]])*scheduleapr[[#This Row],[TICKNESS]]*scheduleapr[[#This Row],[LENGTH]]*7.85)/1000000*scheduleapr[[#This Row],[SCHEDULE in nos]]/1000</f>
        <v>42.932954173094998</v>
      </c>
      <c r="AK566" s="1">
        <f>(3.14*(scheduleapr[[#This Row],[ACTUAL OD]]-scheduleapr[[#This Row],[TICKNESS]])*scheduleapr[[#This Row],[TICKNESS]]*scheduleapr[[#This Row],[LENGTH]]*7.85)/1000000*scheduleapr[[#This Row],[DISPATCH]]/1000</f>
        <v>0</v>
      </c>
      <c r="AL566" s="1">
        <f t="shared" si="19"/>
        <v>42.932954173094998</v>
      </c>
      <c r="AM566" s="1">
        <f>scheduleapr[[#This Row],[SCHEDULE in nos]]/scheduleapr[[#This Row],[SCHEDULE IN MT]]*scheduleapr[[#This Row],[CTL Stock]]</f>
        <v>0</v>
      </c>
      <c r="AN566" s="1">
        <f>SUMIFS(stock[MT],stock[Bucket],scheduleapr[[#This Row],[Bucket]],stock[CTL Bucket],scheduleapr[[#This Row],[CTL Bucket]],stock[Plant],"0789")</f>
        <v>0</v>
      </c>
      <c r="AO566" s="1"/>
      <c r="AP566" s="1">
        <f>SUMIFS(stock[MT],stock[Bucket],scheduleapr[[#This Row],[Bucket]],stock[LL or CTL],"LL")</f>
        <v>7.6364609999999988</v>
      </c>
      <c r="AQ566" s="1">
        <f>+SUMIFS(wip[Stock(Net Wt)],wip[Bucket],scheduleapr[[#This Row],[Bucket]])/1000</f>
        <v>2.7130000000000001</v>
      </c>
      <c r="AR566" s="1">
        <f t="shared" si="18"/>
        <v>42.932954173094998</v>
      </c>
      <c r="AS566" s="118"/>
    </row>
    <row r="567" spans="1:45" x14ac:dyDescent="0.25">
      <c r="A567" s="30">
        <v>415</v>
      </c>
      <c r="B567" s="78" t="s">
        <v>1816</v>
      </c>
      <c r="C567" s="44" t="s">
        <v>300</v>
      </c>
      <c r="D567" s="2" t="s">
        <v>2089</v>
      </c>
      <c r="E567" s="2">
        <v>945539</v>
      </c>
      <c r="F567" s="87">
        <v>3910649</v>
      </c>
      <c r="G567" s="2" t="str">
        <f>_xlfn.CONCAT(scheduleapr[[#This Row],[CUSTOMER CODE]],"-",scheduleapr[[#This Row],[MATERIAL NO]])</f>
        <v>945539-3910649</v>
      </c>
      <c r="H567" s="2" t="s">
        <v>2090</v>
      </c>
      <c r="I567" s="2" t="s">
        <v>962</v>
      </c>
      <c r="J567" s="557"/>
      <c r="K567" s="557" t="s">
        <v>1003</v>
      </c>
      <c r="L567" s="2" t="s">
        <v>239</v>
      </c>
      <c r="M567" s="557"/>
      <c r="N567" s="557"/>
      <c r="O567" s="557"/>
      <c r="P567" s="557"/>
      <c r="Q567" s="557" t="str">
        <f>CONCATENATE(scheduleapr[[#This Row],[OD]],"-",scheduleapr[[#This Row],[ID]],"-",scheduleapr[[#This Row],[TICKNESS]],"-",scheduleapr[[#This Row],[Grade]],"-",scheduleapr[[#This Row],[FC/NFC]])</f>
        <v>22.23-0-2-ERW 1-FC</v>
      </c>
      <c r="R567" s="557" t="str">
        <f>_xlfn.CONCAT(scheduleapr[[#This Row],[Bucket]],"-",scheduleapr[[#This Row],[LENGTH]]/1000)</f>
        <v>22.23-0-2-ERW 1-FC-0.863</v>
      </c>
      <c r="S567" s="557">
        <f>COUNTIF(scheduleapr[CTL Bucket],scheduleapr[[#This Row],[CTL Bucket]])</f>
        <v>1</v>
      </c>
      <c r="T567" s="2" t="s">
        <v>1816</v>
      </c>
      <c r="U567" s="2">
        <f>_xlfn.IFNA(VLOOKUP(scheduleapr[[#This Row],[Bucket]],salesforecast[[#All],[Bucket2]:[8406 Stock]],19,0),0)</f>
        <v>7.6364609999999988</v>
      </c>
      <c r="V567" s="562">
        <f>_xlfn.IFNA(VLOOKUP(scheduleapr[[#This Row],[Bucket]],salesforecast[[#All],[Bucket2]:[8406 Stock]],20,0),0)+_xlfn.IFNA(VLOOKUP(scheduleapr[[#This Row],[Bucket]],salesforecast[[#All],[Bucket2]:[8406 Stock]],17,0),0)</f>
        <v>0</v>
      </c>
      <c r="W567" s="557"/>
      <c r="X567" s="1">
        <v>22.23</v>
      </c>
      <c r="Y567" s="1">
        <v>22.23</v>
      </c>
      <c r="Z567" s="1">
        <v>0</v>
      </c>
      <c r="AA567" s="1">
        <v>2</v>
      </c>
      <c r="AB567" s="24">
        <v>863</v>
      </c>
      <c r="AC567" s="24" t="s">
        <v>397</v>
      </c>
      <c r="AD567" s="24"/>
      <c r="AE567" s="24"/>
      <c r="AF567" s="2">
        <v>24797</v>
      </c>
      <c r="AG567" s="2"/>
      <c r="AH567" s="2" cm="1">
        <f t="array" ref="AH5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7" s="4">
        <f>scheduleapr[[#This Row],[SCHEDULE in nos]]-scheduleapr[[#This Row],[DISPATCH]]</f>
        <v>24797</v>
      </c>
      <c r="AJ567" s="1">
        <f>(3.14*(scheduleapr[[#This Row],[ACTUAL OD]]-scheduleapr[[#This Row],[TICKNESS]])*scheduleapr[[#This Row],[TICKNESS]]*scheduleapr[[#This Row],[LENGTH]]*7.85)/1000000*scheduleapr[[#This Row],[SCHEDULE in nos]]/1000</f>
        <v>21.342000266575941</v>
      </c>
      <c r="AK567" s="1">
        <f>(3.14*(scheduleapr[[#This Row],[ACTUAL OD]]-scheduleapr[[#This Row],[TICKNESS]])*scheduleapr[[#This Row],[TICKNESS]]*scheduleapr[[#This Row],[LENGTH]]*7.85)/1000000*scheduleapr[[#This Row],[DISPATCH]]/1000</f>
        <v>0</v>
      </c>
      <c r="AL567" s="1">
        <f t="shared" si="19"/>
        <v>21.342000266575941</v>
      </c>
      <c r="AM567" s="1">
        <f>scheduleapr[[#This Row],[SCHEDULE in nos]]/scheduleapr[[#This Row],[SCHEDULE IN MT]]*scheduleapr[[#This Row],[CTL Stock]]</f>
        <v>0</v>
      </c>
      <c r="AN567" s="1">
        <f>SUMIFS(stock[MT],stock[Bucket],scheduleapr[[#This Row],[Bucket]],stock[CTL Bucket],scheduleapr[[#This Row],[CTL Bucket]],stock[Plant],"0789")</f>
        <v>0</v>
      </c>
      <c r="AO567" s="1"/>
      <c r="AP567" s="1">
        <f>SUMIFS(stock[MT],stock[Bucket],scheduleapr[[#This Row],[Bucket]],stock[LL or CTL],"LL")</f>
        <v>7.6364609999999988</v>
      </c>
      <c r="AQ567" s="1">
        <f>+SUMIFS(wip[Stock(Net Wt)],wip[Bucket],scheduleapr[[#This Row],[Bucket]])/1000</f>
        <v>2.7130000000000001</v>
      </c>
      <c r="AR567" s="1">
        <f t="shared" si="18"/>
        <v>21.342000266575941</v>
      </c>
      <c r="AS567" s="118"/>
    </row>
    <row r="568" spans="1:45" x14ac:dyDescent="0.25">
      <c r="A568" s="30">
        <v>422</v>
      </c>
      <c r="B568" s="78" t="s">
        <v>1816</v>
      </c>
      <c r="C568" s="44" t="s">
        <v>300</v>
      </c>
      <c r="D568" s="2" t="s">
        <v>2089</v>
      </c>
      <c r="E568" s="2">
        <v>945539</v>
      </c>
      <c r="F568" s="56">
        <v>3926270</v>
      </c>
      <c r="G568" s="2" t="str">
        <f>_xlfn.CONCAT(scheduleapr[[#This Row],[CUSTOMER CODE]],"-",scheduleapr[[#This Row],[MATERIAL NO]])</f>
        <v>945539-3926270</v>
      </c>
      <c r="H568" s="2" t="s">
        <v>804</v>
      </c>
      <c r="I568" s="2" t="s">
        <v>962</v>
      </c>
      <c r="J568" s="557"/>
      <c r="K568" s="557" t="s">
        <v>1003</v>
      </c>
      <c r="L568" s="2" t="s">
        <v>239</v>
      </c>
      <c r="M568" s="557"/>
      <c r="N568" s="557"/>
      <c r="O568" s="557"/>
      <c r="P568" s="557"/>
      <c r="Q568" s="557" t="str">
        <f>CONCATENATE(scheduleapr[[#This Row],[OD]],"-",scheduleapr[[#This Row],[ID]],"-",scheduleapr[[#This Row],[TICKNESS]],"-",scheduleapr[[#This Row],[Grade]],"-",scheduleapr[[#This Row],[FC/NFC]])</f>
        <v>25.4-0-2-ERW 1-FC</v>
      </c>
      <c r="R568" s="557" t="str">
        <f>_xlfn.CONCAT(scheduleapr[[#This Row],[Bucket]],"-",scheduleapr[[#This Row],[LENGTH]]/1000)</f>
        <v>25.4-0-2-ERW 1-FC-0.418</v>
      </c>
      <c r="S568" s="557">
        <f>COUNTIF(scheduleapr[CTL Bucket],scheduleapr[[#This Row],[CTL Bucket]])</f>
        <v>1</v>
      </c>
      <c r="T568" s="2" t="s">
        <v>1816</v>
      </c>
      <c r="U568" s="2">
        <f>_xlfn.IFNA(VLOOKUP(scheduleapr[[#This Row],[Bucket]],salesforecast[[#All],[Bucket2]:[8406 Stock]],19,0),0)</f>
        <v>10.051000000000002</v>
      </c>
      <c r="V568" s="562">
        <f>_xlfn.IFNA(VLOOKUP(scheduleapr[[#This Row],[Bucket]],salesforecast[[#All],[Bucket2]:[8406 Stock]],20,0),0)+_xlfn.IFNA(VLOOKUP(scheduleapr[[#This Row],[Bucket]],salesforecast[[#All],[Bucket2]:[8406 Stock]],17,0),0)</f>
        <v>1.529582</v>
      </c>
      <c r="W568" s="557"/>
      <c r="X568" s="1">
        <v>25.4</v>
      </c>
      <c r="Y568" s="1">
        <v>25.4</v>
      </c>
      <c r="Z568" s="1">
        <v>0</v>
      </c>
      <c r="AA568" s="1">
        <v>2</v>
      </c>
      <c r="AB568" s="24">
        <v>418</v>
      </c>
      <c r="AC568" s="24" t="s">
        <v>397</v>
      </c>
      <c r="AD568" s="24"/>
      <c r="AE568" s="24"/>
      <c r="AF568" s="2">
        <v>21168</v>
      </c>
      <c r="AG568" s="2"/>
      <c r="AH568" s="2" cm="1">
        <f t="array" ref="AH5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10499</v>
      </c>
      <c r="AI568" s="4">
        <f>scheduleapr[[#This Row],[SCHEDULE in nos]]-scheduleapr[[#This Row],[DISPATCH]]</f>
        <v>10669</v>
      </c>
      <c r="AJ568" s="1">
        <f>(3.14*(scheduleapr[[#This Row],[ACTUAL OD]]-scheduleapr[[#This Row],[TICKNESS]])*scheduleapr[[#This Row],[TICKNESS]]*scheduleapr[[#This Row],[LENGTH]]*7.85)/1000000*scheduleapr[[#This Row],[SCHEDULE in nos]]/1000</f>
        <v>10.207074073996798</v>
      </c>
      <c r="AK568" s="1">
        <f>(3.14*(scheduleapr[[#This Row],[ACTUAL OD]]-scheduleapr[[#This Row],[TICKNESS]])*scheduleapr[[#This Row],[TICKNESS]]*scheduleapr[[#This Row],[LENGTH]]*7.85)/1000000*scheduleapr[[#This Row],[DISPATCH]]/1000</f>
        <v>5.062550581202399</v>
      </c>
      <c r="AL568" s="1">
        <f t="shared" si="19"/>
        <v>5.1445234927943995</v>
      </c>
      <c r="AM568" s="1">
        <f>scheduleapr[[#This Row],[SCHEDULE in nos]]/scheduleapr[[#This Row],[SCHEDULE IN MT]]*scheduleapr[[#This Row],[CTL Stock]]</f>
        <v>12362.254558479024</v>
      </c>
      <c r="AN568" s="1">
        <f>SUMIFS(stock[MT],stock[Bucket],scheduleapr[[#This Row],[Bucket]],stock[CTL Bucket],scheduleapr[[#This Row],[CTL Bucket]],stock[Plant],"0789")</f>
        <v>5.9609999999999994</v>
      </c>
      <c r="AO568" s="1"/>
      <c r="AP568" s="1">
        <f>SUMIFS(stock[MT],stock[Bucket],scheduleapr[[#This Row],[Bucket]],stock[LL or CTL],"LL")</f>
        <v>10.738999999999999</v>
      </c>
      <c r="AQ568" s="1">
        <f>+SUMIFS(wip[Stock(Net Wt)],wip[Bucket],scheduleapr[[#This Row],[Bucket]])/1000</f>
        <v>25.931000000000001</v>
      </c>
      <c r="AR568" s="1">
        <f t="shared" si="18"/>
        <v>4.246074073996799</v>
      </c>
      <c r="AS568" s="118"/>
    </row>
    <row r="569" spans="1:45" x14ac:dyDescent="0.25">
      <c r="A569" s="30">
        <v>462</v>
      </c>
      <c r="B569" s="5" t="s">
        <v>1816</v>
      </c>
      <c r="C569" s="2" t="s">
        <v>300</v>
      </c>
      <c r="D569" s="2" t="s">
        <v>2089</v>
      </c>
      <c r="E569" s="2">
        <v>945539</v>
      </c>
      <c r="F569" s="2">
        <v>2400891</v>
      </c>
      <c r="G569" s="2" t="str">
        <f>_xlfn.CONCAT(scheduleapr[[#This Row],[CUSTOMER CODE]],"-",scheduleapr[[#This Row],[MATERIAL NO]])</f>
        <v>945539-2400891</v>
      </c>
      <c r="H569" s="2" t="s">
        <v>2091</v>
      </c>
      <c r="I569" s="2" t="s">
        <v>962</v>
      </c>
      <c r="J569" s="2"/>
      <c r="K569" s="2" t="s">
        <v>963</v>
      </c>
      <c r="L569" s="2" t="s">
        <v>239</v>
      </c>
      <c r="M569" s="2"/>
      <c r="N569" s="2"/>
      <c r="O569" s="2"/>
      <c r="P569" s="2"/>
      <c r="Q569" s="557" t="str">
        <f>CONCATENATE(scheduleapr[[#This Row],[OD]],"-",scheduleapr[[#This Row],[ID]],"-",scheduleapr[[#This Row],[TICKNESS]],"-",scheduleapr[[#This Row],[Grade]],"-",scheduleapr[[#This Row],[FC/NFC]])</f>
        <v>25.4-0-2-ERW 1-PE</v>
      </c>
      <c r="R569" s="557" t="str">
        <f>_xlfn.CONCAT(scheduleapr[[#This Row],[Bucket]],"-",scheduleapr[[#This Row],[LENGTH]]/1000)</f>
        <v>25.4-0-2-ERW 1-PE-0.47</v>
      </c>
      <c r="S569" s="557" t="e" vm="2">
        <f>COUNTIF([2]!buckets[CTL Bucket],[2]!scheduleapr[[#This Row],[CTL Bucket]])</f>
        <v>#REF!</v>
      </c>
      <c r="T569" s="557"/>
      <c r="U569" s="557"/>
      <c r="V569" s="557"/>
      <c r="W569" s="557"/>
      <c r="X569" s="1">
        <v>25.4</v>
      </c>
      <c r="Y569" s="1">
        <v>25.4</v>
      </c>
      <c r="Z569" s="1">
        <v>0</v>
      </c>
      <c r="AA569" s="1">
        <v>2</v>
      </c>
      <c r="AB569" s="24">
        <v>470</v>
      </c>
      <c r="AC569" s="24" t="s">
        <v>397</v>
      </c>
      <c r="AD569" s="24"/>
      <c r="AE569" s="24"/>
      <c r="AF569" s="2"/>
      <c r="AG569" s="2"/>
      <c r="AH569" s="2" cm="1">
        <f t="array" ref="AH5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9" s="4">
        <f>scheduleapr[[#This Row],[SCHEDULE in nos]]-scheduleapr[[#This Row],[DISPATCH]]</f>
        <v>0</v>
      </c>
      <c r="AJ569" s="1">
        <f>(3.14*(scheduleapr[[#This Row],[ACTUAL OD]]-scheduleapr[[#This Row],[TICKNESS]])*scheduleapr[[#This Row],[TICKNESS]]*scheduleapr[[#This Row],[LENGTH]]*7.85)/1000000*scheduleapr[[#This Row],[SCHEDULE in nos]]/1000</f>
        <v>0</v>
      </c>
      <c r="AK569" s="1">
        <f>(3.14*(scheduleapr[[#This Row],[ACTUAL OD]]-scheduleapr[[#This Row],[TICKNESS]])*scheduleapr[[#This Row],[TICKNESS]]*scheduleapr[[#This Row],[LENGTH]]*7.85)/1000000*scheduleapr[[#This Row],[DISPATCH]]/1000</f>
        <v>0</v>
      </c>
      <c r="AL569" s="1">
        <f t="shared" si="19"/>
        <v>0</v>
      </c>
      <c r="AM569" s="1" t="e">
        <f>scheduleapr[[#This Row],[SCHEDULE in nos]]/scheduleapr[[#This Row],[SCHEDULE IN MT]]*scheduleapr[[#This Row],[CTL Stock]]</f>
        <v>#DIV/0!</v>
      </c>
      <c r="AN569" s="1">
        <f>SUMIFS(stock[MT],stock[Bucket],scheduleapr[[#This Row],[Bucket]],stock[CTL Bucket],scheduleapr[[#This Row],[CTL Bucket]],stock[Plant],"0789")</f>
        <v>0</v>
      </c>
      <c r="AO569" s="1"/>
      <c r="AP569" s="1">
        <f>SUMIFS(stock[MT],stock[Bucket],scheduleapr[[#This Row],[Bucket]],stock[LL or CTL],"LL")</f>
        <v>1.1482300000000001</v>
      </c>
      <c r="AQ569" s="1">
        <f>+SUMIFS(wip[Stock(Net Wt)],wip[Bucket],scheduleapr[[#This Row],[Bucket]])/1000</f>
        <v>5.56</v>
      </c>
      <c r="AR569" s="1">
        <f t="shared" si="18"/>
        <v>0</v>
      </c>
      <c r="AS569" s="118"/>
    </row>
    <row r="570" spans="1:45" x14ac:dyDescent="0.25">
      <c r="A570" s="30">
        <v>456</v>
      </c>
      <c r="B570" s="5" t="s">
        <v>1816</v>
      </c>
      <c r="C570" s="2" t="s">
        <v>300</v>
      </c>
      <c r="D570" s="2" t="s">
        <v>2089</v>
      </c>
      <c r="E570" s="2">
        <v>945539</v>
      </c>
      <c r="F570" s="2">
        <v>3775636</v>
      </c>
      <c r="G570" s="2" t="str">
        <f>_xlfn.CONCAT(scheduleapr[[#This Row],[CUSTOMER CODE]],"-",scheduleapr[[#This Row],[MATERIAL NO]])</f>
        <v>945539-3775636</v>
      </c>
      <c r="H570" s="2" t="s">
        <v>811</v>
      </c>
      <c r="I570" s="2" t="s">
        <v>962</v>
      </c>
      <c r="J570" s="2"/>
      <c r="K570" s="2" t="s">
        <v>1003</v>
      </c>
      <c r="L570" s="2" t="s">
        <v>239</v>
      </c>
      <c r="M570" s="2"/>
      <c r="N570" s="2"/>
      <c r="O570" s="2"/>
      <c r="P570" s="2"/>
      <c r="Q570" s="557" t="str">
        <f>CONCATENATE(scheduleapr[[#This Row],[OD]],"-",scheduleapr[[#This Row],[ID]],"-",scheduleapr[[#This Row],[TICKNESS]],"-",scheduleapr[[#This Row],[Grade]],"-",scheduleapr[[#This Row],[FC/NFC]])</f>
        <v>25.4-0-2.5-ERW 1-FC</v>
      </c>
      <c r="R570" s="557" t="str">
        <f>_xlfn.CONCAT(scheduleapr[[#This Row],[Bucket]],"-",scheduleapr[[#This Row],[LENGTH]]/1000)</f>
        <v>25.4-0-2.5-ERW 1-FC-0.783</v>
      </c>
      <c r="S570" s="557">
        <f>COUNTIF(scheduleapr[CTL Bucket],scheduleapr[[#This Row],[CTL Bucket]])</f>
        <v>1</v>
      </c>
      <c r="T570" s="2" t="s">
        <v>1816</v>
      </c>
      <c r="U570" s="2">
        <f>_xlfn.IFNA(VLOOKUP(scheduleapr[[#This Row],[Bucket]],salesforecast[[#All],[Bucket2]:[8406 Stock]],19,0),0)</f>
        <v>8.2275150000000004</v>
      </c>
      <c r="V570" s="562">
        <f>_xlfn.IFNA(VLOOKUP(scheduleapr[[#This Row],[Bucket]],salesforecast[[#All],[Bucket2]:[8406 Stock]],20,0),0)+_xlfn.IFNA(VLOOKUP(scheduleapr[[#This Row],[Bucket]],salesforecast[[#All],[Bucket2]:[8406 Stock]],17,0),0)</f>
        <v>0</v>
      </c>
      <c r="W570" s="557"/>
      <c r="X570" s="1">
        <v>25.4</v>
      </c>
      <c r="Y570" s="1">
        <v>25.4</v>
      </c>
      <c r="Z570" s="1">
        <v>0</v>
      </c>
      <c r="AA570" s="1">
        <v>2.5</v>
      </c>
      <c r="AB570" s="24">
        <v>783</v>
      </c>
      <c r="AC570" s="24" t="s">
        <v>397</v>
      </c>
      <c r="AD570" s="24"/>
      <c r="AE570" s="24"/>
      <c r="AF570" s="2">
        <v>29371</v>
      </c>
      <c r="AG570" s="2"/>
      <c r="AH570" s="2" cm="1">
        <f t="array" ref="AH5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22070</v>
      </c>
      <c r="AI570" s="4">
        <f>scheduleapr[[#This Row],[SCHEDULE in nos]]-scheduleapr[[#This Row],[DISPATCH]]</f>
        <v>7301</v>
      </c>
      <c r="AJ570" s="1">
        <f>(3.14*(scheduleapr[[#This Row],[ACTUAL OD]]-scheduleapr[[#This Row],[TICKNESS]])*scheduleapr[[#This Row],[TICKNESS]]*scheduleapr[[#This Row],[LENGTH]]*7.85)/1000000*scheduleapr[[#This Row],[SCHEDULE in nos]]/1000</f>
        <v>32.453032983788248</v>
      </c>
      <c r="AK570" s="1">
        <f>(3.14*(scheduleapr[[#This Row],[ACTUAL OD]]-scheduleapr[[#This Row],[TICKNESS]])*scheduleapr[[#This Row],[TICKNESS]]*scheduleapr[[#This Row],[LENGTH]]*7.85)/1000000*scheduleapr[[#This Row],[DISPATCH]]/1000</f>
        <v>24.385905755752496</v>
      </c>
      <c r="AL570" s="1">
        <f t="shared" si="19"/>
        <v>8.0671272280357513</v>
      </c>
      <c r="AM570" s="1">
        <f>scheduleapr[[#This Row],[SCHEDULE in nos]]/scheduleapr[[#This Row],[SCHEDULE IN MT]]*scheduleapr[[#This Row],[CTL Stock]]</f>
        <v>8250.9474532245513</v>
      </c>
      <c r="AN570" s="1">
        <f>SUMIFS(stock[MT],stock[Bucket],scheduleapr[[#This Row],[Bucket]],stock[CTL Bucket],scheduleapr[[#This Row],[CTL Bucket]],stock[Plant],"0789")</f>
        <v>9.1167569999999998</v>
      </c>
      <c r="AO570" s="1"/>
      <c r="AP570" s="1">
        <f>SUMIFS(stock[MT],stock[Bucket],scheduleapr[[#This Row],[Bucket]],stock[LL or CTL],"LL")</f>
        <v>8.0263779999999993</v>
      </c>
      <c r="AQ570" s="1">
        <f>+SUMIFS(wip[Stock(Net Wt)],wip[Bucket],scheduleapr[[#This Row],[Bucket]])/1000</f>
        <v>11.911</v>
      </c>
      <c r="AR570" s="1">
        <f t="shared" si="18"/>
        <v>23.336275983788248</v>
      </c>
      <c r="AS570" s="118"/>
    </row>
    <row r="571" spans="1:45" x14ac:dyDescent="0.25">
      <c r="A571" s="30">
        <v>468</v>
      </c>
      <c r="B571" s="5" t="s">
        <v>1816</v>
      </c>
      <c r="C571" s="2" t="s">
        <v>300</v>
      </c>
      <c r="D571" s="2" t="s">
        <v>2089</v>
      </c>
      <c r="E571" s="2">
        <v>945539</v>
      </c>
      <c r="F571" s="2">
        <v>3508742</v>
      </c>
      <c r="G571" s="2" t="str">
        <f>_xlfn.CONCAT(scheduleapr[[#This Row],[CUSTOMER CODE]],"-",scheduleapr[[#This Row],[MATERIAL NO]])</f>
        <v>945539-3508742</v>
      </c>
      <c r="H571" s="2" t="s">
        <v>861</v>
      </c>
      <c r="I571" s="2" t="s">
        <v>962</v>
      </c>
      <c r="J571" s="2"/>
      <c r="K571" s="2" t="s">
        <v>1003</v>
      </c>
      <c r="L571" s="2" t="s">
        <v>239</v>
      </c>
      <c r="M571" s="2"/>
      <c r="N571" s="2"/>
      <c r="O571" s="2"/>
      <c r="P571" s="2"/>
      <c r="Q571" s="557" t="str">
        <f>CONCATENATE(scheduleapr[[#This Row],[OD]],"-",scheduleapr[[#This Row],[ID]],"-",scheduleapr[[#This Row],[TICKNESS]],"-",scheduleapr[[#This Row],[Grade]],"-",scheduleapr[[#This Row],[FC/NFC]])</f>
        <v>38.1-0-2-ERW 1-FC</v>
      </c>
      <c r="R571" s="557" t="str">
        <f>_xlfn.CONCAT(scheduleapr[[#This Row],[Bucket]],"-",scheduleapr[[#This Row],[LENGTH]]/1000)</f>
        <v>38.1-0-2-ERW 1-FC-0.41</v>
      </c>
      <c r="S571" s="557">
        <f>COUNTIF(scheduleapr[CTL Bucket],scheduleapr[[#This Row],[CTL Bucket]])</f>
        <v>1</v>
      </c>
      <c r="T571" s="2" t="s">
        <v>1816</v>
      </c>
      <c r="U571" s="2">
        <f>_xlfn.IFNA(VLOOKUP(scheduleapr[[#This Row],[Bucket]],salesforecast[[#All],[Bucket2]:[8406 Stock]],19,0),0)</f>
        <v>30.650651000000007</v>
      </c>
      <c r="V571" s="562">
        <f>_xlfn.IFNA(VLOOKUP(scheduleapr[[#This Row],[Bucket]],salesforecast[[#All],[Bucket2]:[8406 Stock]],20,0),0)+_xlfn.IFNA(VLOOKUP(scheduleapr[[#This Row],[Bucket]],salesforecast[[#All],[Bucket2]:[8406 Stock]],17,0),0)</f>
        <v>56.27259699999999</v>
      </c>
      <c r="W571" s="557"/>
      <c r="X571" s="1">
        <v>38.1</v>
      </c>
      <c r="Y571" s="1">
        <v>38.1</v>
      </c>
      <c r="Z571" s="1">
        <v>0</v>
      </c>
      <c r="AA571" s="1">
        <v>2</v>
      </c>
      <c r="AB571" s="24">
        <v>410</v>
      </c>
      <c r="AC571" s="24" t="s">
        <v>397</v>
      </c>
      <c r="AD571" s="24"/>
      <c r="AE571" s="24"/>
      <c r="AF571" s="2">
        <v>8467</v>
      </c>
      <c r="AG571" s="2"/>
      <c r="AH571" s="2" cm="1">
        <f t="array" ref="AH5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2064</v>
      </c>
      <c r="AI571" s="4">
        <f>scheduleapr[[#This Row],[SCHEDULE in nos]]-scheduleapr[[#This Row],[DISPATCH]]</f>
        <v>6403</v>
      </c>
      <c r="AJ571" s="1">
        <f>(3.14*(scheduleapr[[#This Row],[ACTUAL OD]]-scheduleapr[[#This Row],[TICKNESS]])*scheduleapr[[#This Row],[TICKNESS]]*scheduleapr[[#This Row],[LENGTH]]*7.85)/1000000*scheduleapr[[#This Row],[SCHEDULE in nos]]/1000</f>
        <v>6.1780286629660006</v>
      </c>
      <c r="AK571" s="1">
        <f>(3.14*(scheduleapr[[#This Row],[ACTUAL OD]]-scheduleapr[[#This Row],[TICKNESS]])*scheduleapr[[#This Row],[TICKNESS]]*scheduleapr[[#This Row],[LENGTH]]*7.85)/1000000*scheduleapr[[#This Row],[DISPATCH]]/1000</f>
        <v>1.5060176166720003</v>
      </c>
      <c r="AL571" s="1">
        <f t="shared" si="19"/>
        <v>4.6720110462940001</v>
      </c>
      <c r="AM571" s="1">
        <f>scheduleapr[[#This Row],[SCHEDULE in nos]]/scheduleapr[[#This Row],[SCHEDULE IN MT]]*scheduleapr[[#This Row],[CTL Stock]]</f>
        <v>13.913335254539437</v>
      </c>
      <c r="AN571" s="1">
        <f>SUMIFS(stock[MT],stock[Bucket],scheduleapr[[#This Row],[Bucket]],stock[CTL Bucket],scheduleapr[[#This Row],[CTL Bucket]],stock[Plant],"0789")</f>
        <v>1.0152E-2</v>
      </c>
      <c r="AO571" s="1"/>
      <c r="AP571" s="1">
        <f>SUMIFS(stock[MT],stock[Bucket],scheduleapr[[#This Row],[Bucket]],stock[LL or CTL],"LL")</f>
        <v>85.281796</v>
      </c>
      <c r="AQ571" s="1">
        <f>+SUMIFS(wip[Stock(Net Wt)],wip[Bucket],scheduleapr[[#This Row],[Bucket]])/1000</f>
        <v>1.9950000000000001</v>
      </c>
      <c r="AR571" s="1">
        <f t="shared" si="18"/>
        <v>6.1678766629660009</v>
      </c>
      <c r="AS571" s="118"/>
    </row>
    <row r="572" spans="1:45" x14ac:dyDescent="0.25">
      <c r="A572" s="30">
        <v>474</v>
      </c>
      <c r="B572" s="5" t="s">
        <v>1816</v>
      </c>
      <c r="C572" s="2" t="s">
        <v>300</v>
      </c>
      <c r="D572" s="2" t="s">
        <v>2089</v>
      </c>
      <c r="E572" s="2">
        <v>945539</v>
      </c>
      <c r="F572" s="18">
        <v>3801265</v>
      </c>
      <c r="G572" s="2" t="str">
        <f>_xlfn.CONCAT(scheduleapr[[#This Row],[CUSTOMER CODE]],"-",scheduleapr[[#This Row],[MATERIAL NO]])</f>
        <v>945539-3801265</v>
      </c>
      <c r="H572" s="2" t="s">
        <v>2092</v>
      </c>
      <c r="I572" s="2" t="s">
        <v>962</v>
      </c>
      <c r="J572" s="2"/>
      <c r="K572" s="2" t="s">
        <v>1003</v>
      </c>
      <c r="L572" s="2" t="s">
        <v>1867</v>
      </c>
      <c r="M572" s="44" t="s">
        <v>2088</v>
      </c>
      <c r="N572" s="2"/>
      <c r="O572" s="2"/>
      <c r="P572" s="2"/>
      <c r="Q572" s="557" t="str">
        <f>CONCATENATE(scheduleapr[[#This Row],[OD]],"-",scheduleapr[[#This Row],[ID]],"-",scheduleapr[[#This Row],[TICKNESS]],"-",scheduleapr[[#This Row],[Grade]],"-",scheduleapr[[#This Row],[FC/NFC]])</f>
        <v>40-25-1.6-ERW 1-FC</v>
      </c>
      <c r="R572" s="557" t="str">
        <f>_xlfn.CONCAT(scheduleapr[[#This Row],[Bucket]],"-",scheduleapr[[#This Row],[LENGTH]]/1000)</f>
        <v>40-25-1.6-ERW 1-FC-0.561</v>
      </c>
      <c r="S572" s="557">
        <f>COUNTIF(scheduleapr[CTL Bucket],scheduleapr[[#This Row],[CTL Bucket]])</f>
        <v>1</v>
      </c>
      <c r="T572" s="2" t="s">
        <v>1816</v>
      </c>
      <c r="U572" s="2">
        <f>_xlfn.IFNA(VLOOKUP(scheduleapr[[#This Row],[Bucket]],salesforecast[[#All],[Bucket2]:[8406 Stock]],19,0),0)</f>
        <v>0.61827399999999999</v>
      </c>
      <c r="V572" s="562">
        <f>_xlfn.IFNA(VLOOKUP(scheduleapr[[#This Row],[Bucket]],salesforecast[[#All],[Bucket2]:[8406 Stock]],20,0),0)+_xlfn.IFNA(VLOOKUP(scheduleapr[[#This Row],[Bucket]],salesforecast[[#All],[Bucket2]:[8406 Stock]],17,0),0)</f>
        <v>0</v>
      </c>
      <c r="W572" s="557"/>
      <c r="X572" s="1">
        <v>41.28</v>
      </c>
      <c r="Y572" s="1">
        <v>40</v>
      </c>
      <c r="Z572" s="1">
        <v>25</v>
      </c>
      <c r="AA572" s="1">
        <v>1.6</v>
      </c>
      <c r="AB572" s="24">
        <v>561</v>
      </c>
      <c r="AC572" s="24" t="s">
        <v>397</v>
      </c>
      <c r="AD572" s="24"/>
      <c r="AE572" s="24"/>
      <c r="AF572" s="2">
        <v>36036</v>
      </c>
      <c r="AG572" s="2"/>
      <c r="AH572" s="2" cm="1">
        <f t="array" ref="AH5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2880</v>
      </c>
      <c r="AI572" s="4">
        <f>scheduleapr[[#This Row],[SCHEDULE in nos]]-scheduleapr[[#This Row],[DISPATCH]]</f>
        <v>33156</v>
      </c>
      <c r="AJ572" s="1">
        <f>(3.14*(scheduleapr[[#This Row],[ACTUAL OD]]-scheduleapr[[#This Row],[TICKNESS]])*scheduleapr[[#This Row],[TICKNESS]]*scheduleapr[[#This Row],[LENGTH]]*7.85)/1000000*scheduleapr[[#This Row],[SCHEDULE in nos]]/1000</f>
        <v>31.636642757271556</v>
      </c>
      <c r="AK572" s="1">
        <f>(3.14*(scheduleapr[[#This Row],[ACTUAL OD]]-scheduleapr[[#This Row],[TICKNESS]])*scheduleapr[[#This Row],[TICKNESS]]*scheduleapr[[#This Row],[LENGTH]]*7.85)/1000000*scheduleapr[[#This Row],[DISPATCH]]/1000</f>
        <v>2.5284030175641603</v>
      </c>
      <c r="AL572" s="1">
        <f t="shared" si="19"/>
        <v>29.108239739707397</v>
      </c>
      <c r="AM572" s="1">
        <f>scheduleapr[[#This Row],[SCHEDULE in nos]]/scheduleapr[[#This Row],[SCHEDULE IN MT]]*scheduleapr[[#This Row],[CTL Stock]]</f>
        <v>7.3264269467001366</v>
      </c>
      <c r="AN572" s="1">
        <f>SUMIFS(stock[MT],stock[Bucket],scheduleapr[[#This Row],[Bucket]],stock[CTL Bucket],scheduleapr[[#This Row],[CTL Bucket]],stock[Plant],"0789")</f>
        <v>6.4320000000000002E-3</v>
      </c>
      <c r="AO572" s="1"/>
      <c r="AP572" s="1">
        <f>SUMIFS(stock[MT],stock[Bucket],scheduleapr[[#This Row],[Bucket]],stock[LL or CTL],"LL")</f>
        <v>0.61827399999999999</v>
      </c>
      <c r="AQ572" s="1">
        <f>+SUMIFS(wip[Stock(Net Wt)],wip[Bucket],scheduleapr[[#This Row],[Bucket]])/1000</f>
        <v>0</v>
      </c>
      <c r="AR572" s="1">
        <f t="shared" si="18"/>
        <v>31.630210757271556</v>
      </c>
      <c r="AS572" s="118"/>
    </row>
    <row r="573" spans="1:45" x14ac:dyDescent="0.25">
      <c r="A573" s="30">
        <v>475</v>
      </c>
      <c r="B573" s="5" t="s">
        <v>1872</v>
      </c>
      <c r="C573" s="44" t="s">
        <v>300</v>
      </c>
      <c r="D573" s="2" t="s">
        <v>2089</v>
      </c>
      <c r="E573" s="2">
        <v>945539</v>
      </c>
      <c r="F573" s="9">
        <v>3910648</v>
      </c>
      <c r="G573" s="2" t="str">
        <f>_xlfn.CONCAT(scheduleapr[[#This Row],[CUSTOMER CODE]],"-",scheduleapr[[#This Row],[MATERIAL NO]])</f>
        <v>945539-3910648</v>
      </c>
      <c r="H573" s="2" t="s">
        <v>2093</v>
      </c>
      <c r="I573" s="2" t="s">
        <v>962</v>
      </c>
      <c r="J573" s="2"/>
      <c r="K573" s="2" t="s">
        <v>1003</v>
      </c>
      <c r="L573" s="2"/>
      <c r="M573" s="2"/>
      <c r="N573" s="2"/>
      <c r="O573" s="2"/>
      <c r="P573" s="2"/>
      <c r="Q573" s="557" t="str">
        <f>CONCATENATE(scheduleapr[[#This Row],[OD]],"-",scheduleapr[[#This Row],[ID]],"-",scheduleapr[[#This Row],[TICKNESS]],"-",scheduleapr[[#This Row],[Grade]],"-",scheduleapr[[#This Row],[FC/NFC]])</f>
        <v>41.28-0-2.6-ERW 1-FC</v>
      </c>
      <c r="R573" s="557" t="str">
        <f>_xlfn.CONCAT(scheduleapr[[#This Row],[Bucket]],"-",scheduleapr[[#This Row],[LENGTH]]/1000)</f>
        <v>41.28-0-2.6-ERW 1-FC-0.85</v>
      </c>
      <c r="S573" s="557">
        <f>COUNTIF(scheduleapr[CTL Bucket],scheduleapr[[#This Row],[CTL Bucket]])</f>
        <v>1</v>
      </c>
      <c r="T573" s="2" t="s">
        <v>1816</v>
      </c>
      <c r="U573" s="2">
        <f>_xlfn.IFNA(VLOOKUP(scheduleapr[[#This Row],[Bucket]],salesforecast[[#All],[Bucket2]:[8406 Stock]],19,0),0)</f>
        <v>0</v>
      </c>
      <c r="V573" s="562">
        <f>_xlfn.IFNA(VLOOKUP(scheduleapr[[#This Row],[Bucket]],salesforecast[[#All],[Bucket2]:[8406 Stock]],20,0),0)+_xlfn.IFNA(VLOOKUP(scheduleapr[[#This Row],[Bucket]],salesforecast[[#All],[Bucket2]:[8406 Stock]],17,0),0)</f>
        <v>4.2558500000000006</v>
      </c>
      <c r="W573" s="557"/>
      <c r="X573" s="1">
        <v>41.28</v>
      </c>
      <c r="Y573" s="1">
        <v>41.28</v>
      </c>
      <c r="Z573" s="1">
        <v>0</v>
      </c>
      <c r="AA573" s="1">
        <v>2.6</v>
      </c>
      <c r="AB573" s="24">
        <v>850</v>
      </c>
      <c r="AC573" s="24" t="s">
        <v>397</v>
      </c>
      <c r="AD573" s="24"/>
      <c r="AE573" s="24"/>
      <c r="AF573" s="2">
        <v>31658</v>
      </c>
      <c r="AG573" s="2"/>
      <c r="AH573" s="2" cm="1">
        <f t="array" ref="AH5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9140</v>
      </c>
      <c r="AI573" s="4">
        <f>scheduleapr[[#This Row],[SCHEDULE in nos]]-scheduleapr[[#This Row],[DISPATCH]]</f>
        <v>22518</v>
      </c>
      <c r="AJ573" s="1">
        <f>(3.14*(scheduleapr[[#This Row],[ACTUAL OD]]-scheduleapr[[#This Row],[TICKNESS]])*scheduleapr[[#This Row],[TICKNESS]]*scheduleapr[[#This Row],[LENGTH]]*7.85)/1000000*scheduleapr[[#This Row],[SCHEDULE in nos]]/1000</f>
        <v>66.705480776677604</v>
      </c>
      <c r="AK573" s="1">
        <f>(3.14*(scheduleapr[[#This Row],[ACTUAL OD]]-scheduleapr[[#This Row],[TICKNESS]])*scheduleapr[[#This Row],[TICKNESS]]*scheduleapr[[#This Row],[LENGTH]]*7.85)/1000000*scheduleapr[[#This Row],[DISPATCH]]/1000</f>
        <v>19.258579010008003</v>
      </c>
      <c r="AL573" s="1">
        <f t="shared" si="19"/>
        <v>47.446901766669598</v>
      </c>
      <c r="AM573" s="1">
        <f>scheduleapr[[#This Row],[SCHEDULE in nos]]/scheduleapr[[#This Row],[SCHEDULE IN MT]]*scheduleapr[[#This Row],[CTL Stock]]</f>
        <v>420.49000581983415</v>
      </c>
      <c r="AN573" s="1">
        <f>SUMIFS(stock[MT],stock[Bucket],scheduleapr[[#This Row],[Bucket]],stock[CTL Bucket],scheduleapr[[#This Row],[CTL Bucket]],stock[Plant],"0789")</f>
        <v>0.88600000000000001</v>
      </c>
      <c r="AO573" s="1"/>
      <c r="AP573" s="1">
        <f>SUMIFS(stock[MT],stock[Bucket],scheduleapr[[#This Row],[Bucket]],stock[LL or CTL],"LL")</f>
        <v>0</v>
      </c>
      <c r="AQ573" s="1">
        <f>+SUMIFS(wip[Stock(Net Wt)],wip[Bucket],scheduleapr[[#This Row],[Bucket]])/1000</f>
        <v>0</v>
      </c>
      <c r="AR573" s="1">
        <f t="shared" si="18"/>
        <v>65.819480776677608</v>
      </c>
      <c r="AS573" s="118"/>
    </row>
    <row r="574" spans="1:45" x14ac:dyDescent="0.25">
      <c r="A574" s="30">
        <v>481</v>
      </c>
      <c r="B574" s="5" t="s">
        <v>1928</v>
      </c>
      <c r="C574" s="2" t="s">
        <v>300</v>
      </c>
      <c r="D574" s="2" t="s">
        <v>2089</v>
      </c>
      <c r="E574" s="2">
        <v>945539</v>
      </c>
      <c r="F574" s="9">
        <v>3901714</v>
      </c>
      <c r="G574" s="2" t="str">
        <f>_xlfn.CONCAT(scheduleapr[[#This Row],[CUSTOMER CODE]],"-",scheduleapr[[#This Row],[MATERIAL NO]])</f>
        <v>945539-3901714</v>
      </c>
      <c r="H574" s="2" t="s">
        <v>902</v>
      </c>
      <c r="I574" s="2" t="s">
        <v>962</v>
      </c>
      <c r="J574" s="2" t="s">
        <v>1894</v>
      </c>
      <c r="K574" s="2" t="s">
        <v>1003</v>
      </c>
      <c r="L574" s="2" t="s">
        <v>239</v>
      </c>
      <c r="M574" s="2"/>
      <c r="N574" s="2" t="s">
        <v>1516</v>
      </c>
      <c r="O574" s="2"/>
      <c r="P574" s="2"/>
      <c r="Q574" s="557" t="str">
        <f>CONCATENATE(scheduleapr[[#This Row],[OD]],"-",scheduleapr[[#This Row],[ID]],"-",scheduleapr[[#This Row],[TICKNESS]],"-",scheduleapr[[#This Row],[Grade]],"-",scheduleapr[[#This Row],[FC/NFC]])</f>
        <v>42.7-0-4-ERW 1-FC</v>
      </c>
      <c r="R574" s="557" t="str">
        <f>_xlfn.CONCAT(scheduleapr[[#This Row],[Bucket]],"-",scheduleapr[[#This Row],[LENGTH]]/1000)</f>
        <v>42.7-0-4-ERW 1-FC-0.215</v>
      </c>
      <c r="S574" s="557">
        <f>COUNTIF(scheduleapr[CTL Bucket],scheduleapr[[#This Row],[CTL Bucket]])</f>
        <v>1</v>
      </c>
      <c r="T574" s="2" t="s">
        <v>1817</v>
      </c>
      <c r="U574" s="2">
        <f>_xlfn.IFNA(VLOOKUP(scheduleapr[[#This Row],[Bucket]],salesforecast[[#All],[Bucket2]:[8406 Stock]],19,0),0)</f>
        <v>0.28338300000000016</v>
      </c>
      <c r="V574" s="562">
        <f>_xlfn.IFNA(VLOOKUP(scheduleapr[[#This Row],[Bucket]],salesforecast[[#All],[Bucket2]:[8406 Stock]],20,0),0)+_xlfn.IFNA(VLOOKUP(scheduleapr[[#This Row],[Bucket]],salesforecast[[#All],[Bucket2]:[8406 Stock]],17,0),0)</f>
        <v>29.067884000000003</v>
      </c>
      <c r="W574" s="557"/>
      <c r="X574" s="1">
        <v>42.7</v>
      </c>
      <c r="Y574" s="1">
        <v>42.7</v>
      </c>
      <c r="Z574" s="1">
        <v>0</v>
      </c>
      <c r="AA574" s="1">
        <v>4</v>
      </c>
      <c r="AB574" s="24">
        <v>215</v>
      </c>
      <c r="AC574" s="24" t="s">
        <v>397</v>
      </c>
      <c r="AD574" s="24"/>
      <c r="AE574" s="24"/>
      <c r="AF574" s="2">
        <v>63315</v>
      </c>
      <c r="AG574" s="2"/>
      <c r="AH574" s="2" cm="1">
        <f t="array" ref="AH5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15725</v>
      </c>
      <c r="AI574" s="4">
        <f>scheduleapr[[#This Row],[SCHEDULE in nos]]-scheduleapr[[#This Row],[DISPATCH]]</f>
        <v>47590</v>
      </c>
      <c r="AJ574" s="1">
        <f>(3.14*(scheduleapr[[#This Row],[ACTUAL OD]]-scheduleapr[[#This Row],[TICKNESS]])*scheduleapr[[#This Row],[TICKNESS]]*scheduleapr[[#This Row],[LENGTH]]*7.85)/1000000*scheduleapr[[#This Row],[SCHEDULE in nos]]/1000</f>
        <v>51.941601059669999</v>
      </c>
      <c r="AK574" s="1">
        <f>(3.14*(scheduleapr[[#This Row],[ACTUAL OD]]-scheduleapr[[#This Row],[TICKNESS]])*scheduleapr[[#This Row],[TICKNESS]]*scheduleapr[[#This Row],[LENGTH]]*7.85)/1000000*scheduleapr[[#This Row],[DISPATCH]]/1000</f>
        <v>12.900287083049999</v>
      </c>
      <c r="AL574" s="1">
        <f t="shared" si="19"/>
        <v>39.041313976620003</v>
      </c>
      <c r="AM574" s="1">
        <f>scheduleapr[[#This Row],[SCHEDULE in nos]]/scheduleapr[[#This Row],[SCHEDULE IN MT]]*scheduleapr[[#This Row],[CTL Stock]]</f>
        <v>0</v>
      </c>
      <c r="AN574" s="1">
        <f>SUMIFS(stock[MT],stock[Bucket],scheduleapr[[#This Row],[Bucket]],stock[CTL Bucket],scheduleapr[[#This Row],[CTL Bucket]],stock[Plant],"0789")</f>
        <v>0</v>
      </c>
      <c r="AO574" s="1"/>
      <c r="AP574" s="1">
        <f>SUMIFS(stock[MT],stock[Bucket],scheduleapr[[#This Row],[Bucket]],stock[LL or CTL],"LL")</f>
        <v>215.60048700000004</v>
      </c>
      <c r="AQ574" s="1">
        <f>+SUMIFS(wip[Stock(Net Wt)],wip[Bucket],scheduleapr[[#This Row],[Bucket]])/1000</f>
        <v>0</v>
      </c>
      <c r="AR574" s="1">
        <f t="shared" si="18"/>
        <v>51.941601059669999</v>
      </c>
      <c r="AS574" s="118"/>
    </row>
    <row r="575" spans="1:45" x14ac:dyDescent="0.25">
      <c r="A575" s="30">
        <v>491</v>
      </c>
      <c r="B575" s="5" t="s">
        <v>1872</v>
      </c>
      <c r="C575" s="2" t="s">
        <v>300</v>
      </c>
      <c r="D575" s="2" t="s">
        <v>2089</v>
      </c>
      <c r="E575" s="2">
        <v>945539</v>
      </c>
      <c r="F575" s="2" t="e">
        <f>_xlfn.CONCAT([2]!scheduleapr[[#This Row],[OD]],"-",[2]!scheduleapr[[#This Row],[ID]],"-",[2]!scheduleapr[[#This Row],[TICKNESS]],"-",[2]!scheduleapr[[#This Row],[LENGTH]])</f>
        <v>#REF!</v>
      </c>
      <c r="G575" s="2" t="e">
        <f>_xlfn.CONCAT(scheduleapr[[#This Row],[CUSTOMER CODE]],"-",scheduleapr[[#This Row],[MATERIAL NO]])</f>
        <v>#REF!</v>
      </c>
      <c r="H575" s="2" t="s">
        <v>2094</v>
      </c>
      <c r="I575" s="2" t="s">
        <v>962</v>
      </c>
      <c r="J575" s="2"/>
      <c r="K575" s="2" t="s">
        <v>1003</v>
      </c>
      <c r="L575" s="2" t="s">
        <v>239</v>
      </c>
      <c r="M575" s="2"/>
      <c r="N575" s="2" t="s">
        <v>1516</v>
      </c>
      <c r="O575" s="2"/>
      <c r="P575" s="2"/>
      <c r="Q575" s="557" t="str">
        <f>CONCATENATE(scheduleapr[[#This Row],[OD]],"-",scheduleapr[[#This Row],[ID]],"-",scheduleapr[[#This Row],[TICKNESS]],"-",scheduleapr[[#This Row],[Grade]],"-",scheduleapr[[#This Row],[FC/NFC]])</f>
        <v>48.6-0-3.5-ERW 1-FC</v>
      </c>
      <c r="R575" s="557" t="str">
        <f>_xlfn.CONCAT(scheduleapr[[#This Row],[Bucket]],"-",scheduleapr[[#This Row],[LENGTH]]/1000)</f>
        <v>48.6-0-3.5-ERW 1-FC-0.2025</v>
      </c>
      <c r="S575" s="557" t="e" vm="2">
        <f>COUNTIF([2]!buckets[CTL Bucket],[2]!scheduleapr[[#This Row],[CTL Bucket]])</f>
        <v>#REF!</v>
      </c>
      <c r="T575" s="2" t="s">
        <v>1816</v>
      </c>
      <c r="U575" s="2" t="s">
        <v>1913</v>
      </c>
      <c r="V575" s="557"/>
      <c r="W575" s="557"/>
      <c r="X575" s="1">
        <v>48.6</v>
      </c>
      <c r="Y575" s="1">
        <v>48.6</v>
      </c>
      <c r="Z575" s="1">
        <v>0</v>
      </c>
      <c r="AA575" s="1">
        <v>3.5</v>
      </c>
      <c r="AB575" s="24">
        <v>202.5</v>
      </c>
      <c r="AC575" s="24" t="s">
        <v>397</v>
      </c>
      <c r="AD575" s="24"/>
      <c r="AE575" s="24"/>
      <c r="AF575" s="2"/>
      <c r="AG575" s="2"/>
      <c r="AH575" s="2" cm="1">
        <f t="array" ref="AH5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5" s="4">
        <f>scheduleapr[[#This Row],[SCHEDULE in nos]]-scheduleapr[[#This Row],[DISPATCH]]</f>
        <v>0</v>
      </c>
      <c r="AJ575" s="1">
        <f>(3.14*(scheduleapr[[#This Row],[ACTUAL OD]]-scheduleapr[[#This Row],[TICKNESS]])*scheduleapr[[#This Row],[TICKNESS]]*scheduleapr[[#This Row],[LENGTH]]*7.85)/1000000*scheduleapr[[#This Row],[SCHEDULE in nos]]/1000</f>
        <v>0</v>
      </c>
      <c r="AK575" s="1">
        <f>(3.14*(scheduleapr[[#This Row],[ACTUAL OD]]-scheduleapr[[#This Row],[TICKNESS]])*scheduleapr[[#This Row],[TICKNESS]]*scheduleapr[[#This Row],[LENGTH]]*7.85)/1000000*scheduleapr[[#This Row],[DISPATCH]]/1000</f>
        <v>0</v>
      </c>
      <c r="AL575" s="1">
        <f t="shared" si="19"/>
        <v>0</v>
      </c>
      <c r="AM575" s="1" t="e">
        <f>scheduleapr[[#This Row],[SCHEDULE in nos]]/scheduleapr[[#This Row],[SCHEDULE IN MT]]*scheduleapr[[#This Row],[CTL Stock]]</f>
        <v>#DIV/0!</v>
      </c>
      <c r="AN575" s="1">
        <f>SUMIFS(stock[MT],stock[Bucket],scheduleapr[[#This Row],[Bucket]],stock[CTL Bucket],scheduleapr[[#This Row],[CTL Bucket]],stock[Plant],"0789")</f>
        <v>0</v>
      </c>
      <c r="AO575" s="1"/>
      <c r="AP575" s="1">
        <f>SUMIFS(stock[MT],stock[Bucket],scheduleapr[[#This Row],[Bucket]],stock[LL or CTL],"LL")</f>
        <v>8.7743120000000001</v>
      </c>
      <c r="AQ575" s="1">
        <f>+SUMIFS(wip[Stock(Net Wt)],wip[Bucket],scheduleapr[[#This Row],[Bucket]])/1000</f>
        <v>0</v>
      </c>
      <c r="AR575" s="1">
        <f t="shared" ref="AR575:AR638" si="20">AJ575-AN575</f>
        <v>0</v>
      </c>
      <c r="AS575" s="118"/>
    </row>
    <row r="576" spans="1:45" x14ac:dyDescent="0.25">
      <c r="A576" s="30">
        <v>493</v>
      </c>
      <c r="B576" s="5" t="s">
        <v>1816</v>
      </c>
      <c r="C576" s="2" t="s">
        <v>300</v>
      </c>
      <c r="D576" s="2" t="s">
        <v>2089</v>
      </c>
      <c r="E576" s="2">
        <v>945539</v>
      </c>
      <c r="F576" s="18">
        <v>3780004</v>
      </c>
      <c r="G576" s="2" t="str">
        <f>_xlfn.CONCAT(scheduleapr[[#This Row],[CUSTOMER CODE]],"-",scheduleapr[[#This Row],[MATERIAL NO]])</f>
        <v>945539-3780004</v>
      </c>
      <c r="H576" s="2" t="s">
        <v>1730</v>
      </c>
      <c r="I576" s="2" t="s">
        <v>962</v>
      </c>
      <c r="J576" s="2"/>
      <c r="K576" s="2" t="s">
        <v>1003</v>
      </c>
      <c r="L576" s="2" t="s">
        <v>1867</v>
      </c>
      <c r="M576" s="44" t="s">
        <v>2088</v>
      </c>
      <c r="N576" s="2"/>
      <c r="O576" s="2"/>
      <c r="P576" s="2"/>
      <c r="Q576" s="557" t="str">
        <f>CONCATENATE(scheduleapr[[#This Row],[OD]],"-",scheduleapr[[#This Row],[ID]],"-",scheduleapr[[#This Row],[TICKNESS]],"-",scheduleapr[[#This Row],[Grade]],"-",scheduleapr[[#This Row],[FC/NFC]])</f>
        <v>50-30-1.6-ERW 1-FC</v>
      </c>
      <c r="R576" s="557" t="str">
        <f>_xlfn.CONCAT(scheduleapr[[#This Row],[Bucket]],"-",scheduleapr[[#This Row],[LENGTH]]/1000)</f>
        <v>50-30-1.6-ERW 1-FC-0.607</v>
      </c>
      <c r="S576" s="557">
        <f>COUNTIF(scheduleapr[CTL Bucket],scheduleapr[[#This Row],[CTL Bucket]])</f>
        <v>1</v>
      </c>
      <c r="T576" s="2" t="s">
        <v>1816</v>
      </c>
      <c r="U576" s="2">
        <f>_xlfn.IFNA(VLOOKUP(scheduleapr[[#This Row],[Bucket]],salesforecast[[#All],[Bucket2]:[8406 Stock]],19,0),0)</f>
        <v>0</v>
      </c>
      <c r="V576" s="562">
        <f>_xlfn.IFNA(VLOOKUP(scheduleapr[[#This Row],[Bucket]],salesforecast[[#All],[Bucket2]:[8406 Stock]],20,0),0)+_xlfn.IFNA(VLOOKUP(scheduleapr[[#This Row],[Bucket]],salesforecast[[#All],[Bucket2]:[8406 Stock]],17,0),0)</f>
        <v>0</v>
      </c>
      <c r="W576" s="557"/>
      <c r="X576" s="1">
        <v>50.8</v>
      </c>
      <c r="Y576" s="1">
        <v>50</v>
      </c>
      <c r="Z576" s="1">
        <v>30</v>
      </c>
      <c r="AA576" s="1">
        <v>1.6</v>
      </c>
      <c r="AB576" s="24">
        <v>607</v>
      </c>
      <c r="AC576" s="24" t="s">
        <v>397</v>
      </c>
      <c r="AD576" s="24"/>
      <c r="AE576" s="24"/>
      <c r="AF576" s="2">
        <v>17136</v>
      </c>
      <c r="AG576" s="2"/>
      <c r="AH576" s="2" cm="1">
        <f t="array" ref="AH5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3600</v>
      </c>
      <c r="AI576" s="4">
        <f>scheduleapr[[#This Row],[SCHEDULE in nos]]-scheduleapr[[#This Row],[DISPATCH]]</f>
        <v>13536</v>
      </c>
      <c r="AJ576" s="1">
        <f>(3.14*(scheduleapr[[#This Row],[ACTUAL OD]]-scheduleapr[[#This Row],[TICKNESS]])*scheduleapr[[#This Row],[TICKNESS]]*scheduleapr[[#This Row],[LENGTH]]*7.85)/1000000*scheduleapr[[#This Row],[SCHEDULE in nos]]/1000</f>
        <v>20.182851965122559</v>
      </c>
      <c r="AK576" s="1">
        <f>(3.14*(scheduleapr[[#This Row],[ACTUAL OD]]-scheduleapr[[#This Row],[TICKNESS]])*scheduleapr[[#This Row],[TICKNESS]]*scheduleapr[[#This Row],[LENGTH]]*7.85)/1000000*scheduleapr[[#This Row],[DISPATCH]]/1000</f>
        <v>4.2400949506559993</v>
      </c>
      <c r="AL576" s="1">
        <f t="shared" si="19"/>
        <v>15.94275701446656</v>
      </c>
      <c r="AM576" s="1">
        <f>scheduleapr[[#This Row],[SCHEDULE in nos]]/scheduleapr[[#This Row],[SCHEDULE IN MT]]*scheduleapr[[#This Row],[CTL Stock]]</f>
        <v>3437.7532035561685</v>
      </c>
      <c r="AN576" s="1">
        <f>SUMIFS(stock[MT],stock[Bucket],scheduleapr[[#This Row],[Bucket]],stock[CTL Bucket],scheduleapr[[#This Row],[CTL Bucket]],stock[Plant],"0789")</f>
        <v>4.0489999999999995</v>
      </c>
      <c r="AO576" s="1"/>
      <c r="AP576" s="1">
        <f>SUMIFS(stock[MT],stock[Bucket],scheduleapr[[#This Row],[Bucket]],stock[LL or CTL],"LL")</f>
        <v>0</v>
      </c>
      <c r="AQ576" s="1">
        <f>+SUMIFS(wip[Stock(Net Wt)],wip[Bucket],scheduleapr[[#This Row],[Bucket]])/1000</f>
        <v>24.911000000000001</v>
      </c>
      <c r="AR576" s="1">
        <f t="shared" si="20"/>
        <v>16.13385196512256</v>
      </c>
      <c r="AS576" s="118"/>
    </row>
    <row r="577" spans="1:45" x14ac:dyDescent="0.25">
      <c r="A577" s="30">
        <v>472</v>
      </c>
      <c r="B577" s="5" t="s">
        <v>1816</v>
      </c>
      <c r="C577" s="2" t="s">
        <v>300</v>
      </c>
      <c r="D577" s="2" t="s">
        <v>2089</v>
      </c>
      <c r="E577" s="2">
        <v>945539</v>
      </c>
      <c r="F577" s="18">
        <v>3780005</v>
      </c>
      <c r="G577" s="2" t="str">
        <f>_xlfn.CONCAT(scheduleapr[[#This Row],[CUSTOMER CODE]],"-",scheduleapr[[#This Row],[MATERIAL NO]])</f>
        <v>945539-3780005</v>
      </c>
      <c r="H577" s="2" t="s">
        <v>2095</v>
      </c>
      <c r="I577" s="2" t="s">
        <v>962</v>
      </c>
      <c r="J577" s="2"/>
      <c r="K577" s="2" t="s">
        <v>1003</v>
      </c>
      <c r="L577" s="2" t="s">
        <v>1867</v>
      </c>
      <c r="M577" s="44" t="s">
        <v>2088</v>
      </c>
      <c r="N577" s="2"/>
      <c r="O577" s="2"/>
      <c r="P577" s="2"/>
      <c r="Q577" s="557" t="str">
        <f>CONCATENATE(scheduleapr[[#This Row],[OD]],"-",scheduleapr[[#This Row],[ID]],"-",scheduleapr[[#This Row],[TICKNESS]],"-",scheduleapr[[#This Row],[Grade]],"-",scheduleapr[[#This Row],[FC/NFC]])</f>
        <v>50-30-1.6-ERW 1-FC</v>
      </c>
      <c r="R577" s="557" t="str">
        <f>_xlfn.CONCAT(scheduleapr[[#This Row],[Bucket]],"-",scheduleapr[[#This Row],[LENGTH]]/1000)</f>
        <v>50-30-1.6-ERW 1-FC-0.638</v>
      </c>
      <c r="S577" s="557" t="e" vm="2">
        <f>COUNTIF([2]!buckets[CTL Bucket],[2]!scheduleapr[[#This Row],[CTL Bucket]])</f>
        <v>#REF!</v>
      </c>
      <c r="T577" s="2" t="s">
        <v>1816</v>
      </c>
      <c r="U577" s="2">
        <f>_xlfn.IFNA(VLOOKUP(scheduleapr[[#This Row],[Bucket]],salesforecast[[#All],[Bucket2]:[8406 Stock]],19,0),0)</f>
        <v>0</v>
      </c>
      <c r="V577" s="562">
        <f>_xlfn.IFNA(VLOOKUP(scheduleapr[[#This Row],[Bucket]],salesforecast[[#All],[Bucket2]:[8406 Stock]],20,0),0)+_xlfn.IFNA(VLOOKUP(scheduleapr[[#This Row],[Bucket]],salesforecast[[#All],[Bucket2]:[8406 Stock]],17,0),0)</f>
        <v>0</v>
      </c>
      <c r="W577" s="557"/>
      <c r="X577" s="1">
        <v>50.8</v>
      </c>
      <c r="Y577" s="1">
        <v>50</v>
      </c>
      <c r="Z577" s="1">
        <v>30</v>
      </c>
      <c r="AA577" s="1">
        <v>1.6</v>
      </c>
      <c r="AB577" s="24">
        <v>638</v>
      </c>
      <c r="AC577" s="24" t="s">
        <v>397</v>
      </c>
      <c r="AD577" s="24"/>
      <c r="AE577" s="24"/>
      <c r="AF577" s="2">
        <v>5242</v>
      </c>
      <c r="AG577" s="2"/>
      <c r="AH577" s="2" cm="1">
        <f t="array" ref="AH5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7" s="4">
        <f>scheduleapr[[#This Row],[SCHEDULE in nos]]-scheduleapr[[#This Row],[DISPATCH]]</f>
        <v>5242</v>
      </c>
      <c r="AJ577" s="1">
        <f>(3.14*(scheduleapr[[#This Row],[ACTUAL OD]]-scheduleapr[[#This Row],[TICKNESS]])*scheduleapr[[#This Row],[TICKNESS]]*scheduleapr[[#This Row],[LENGTH]]*7.85)/1000000*scheduleapr[[#This Row],[SCHEDULE in nos]]/1000</f>
        <v>6.4893632585548797</v>
      </c>
      <c r="AK577" s="1">
        <f>(3.14*(scheduleapr[[#This Row],[ACTUAL OD]]-scheduleapr[[#This Row],[TICKNESS]])*scheduleapr[[#This Row],[TICKNESS]]*scheduleapr[[#This Row],[LENGTH]]*7.85)/1000000*scheduleapr[[#This Row],[DISPATCH]]/1000</f>
        <v>0</v>
      </c>
      <c r="AL577" s="1">
        <f t="shared" si="19"/>
        <v>6.4893632585548797</v>
      </c>
      <c r="AM577" s="1">
        <f>scheduleapr[[#This Row],[SCHEDULE in nos]]/scheduleapr[[#This Row],[SCHEDULE IN MT]]*scheduleapr[[#This Row],[CTL Stock]]</f>
        <v>0</v>
      </c>
      <c r="AN577" s="1">
        <f>SUMIFS(stock[MT],stock[Bucket],scheduleapr[[#This Row],[Bucket]],stock[CTL Bucket],scheduleapr[[#This Row],[CTL Bucket]],stock[Plant],"0789")</f>
        <v>0</v>
      </c>
      <c r="AO577" s="1"/>
      <c r="AP577" s="1">
        <f>SUMIFS(stock[MT],stock[Bucket],scheduleapr[[#This Row],[Bucket]],stock[LL or CTL],"LL")</f>
        <v>0</v>
      </c>
      <c r="AQ577" s="1">
        <f>+SUMIFS(wip[Stock(Net Wt)],wip[Bucket],scheduleapr[[#This Row],[Bucket]])/1000</f>
        <v>24.911000000000001</v>
      </c>
      <c r="AR577" s="1">
        <f t="shared" si="20"/>
        <v>6.4893632585548797</v>
      </c>
      <c r="AS577" s="118"/>
    </row>
    <row r="578" spans="1:45" x14ac:dyDescent="0.25">
      <c r="A578" s="30">
        <v>495</v>
      </c>
      <c r="B578" s="5" t="s">
        <v>1816</v>
      </c>
      <c r="C578" s="2" t="s">
        <v>300</v>
      </c>
      <c r="D578" s="2" t="s">
        <v>2089</v>
      </c>
      <c r="E578" s="2">
        <v>945539</v>
      </c>
      <c r="F578" s="2" t="e">
        <f>_xlfn.CONCAT([2]!scheduleapr[[#This Row],[OD]],"-",[2]!scheduleapr[[#This Row],[ID]],"-",[2]!scheduleapr[[#This Row],[TICKNESS]],"-",[2]!scheduleapr[[#This Row],[LENGTH]])</f>
        <v>#REF!</v>
      </c>
      <c r="G578" s="2" t="e">
        <f>_xlfn.CONCAT(scheduleapr[[#This Row],[CUSTOMER CODE]],"-",scheduleapr[[#This Row],[MATERIAL NO]])</f>
        <v>#REF!</v>
      </c>
      <c r="H578" s="2"/>
      <c r="I578" s="2" t="s">
        <v>962</v>
      </c>
      <c r="J578" s="2"/>
      <c r="K578" s="2" t="s">
        <v>1003</v>
      </c>
      <c r="L578" s="2" t="s">
        <v>239</v>
      </c>
      <c r="M578" s="2"/>
      <c r="N578" s="2"/>
      <c r="O578" s="2"/>
      <c r="P578" s="2"/>
      <c r="Q578" s="557" t="str">
        <f>CONCATENATE(scheduleapr[[#This Row],[OD]],"-",scheduleapr[[#This Row],[ID]],"-",scheduleapr[[#This Row],[TICKNESS]],"-",scheduleapr[[#This Row],[Grade]],"-",scheduleapr[[#This Row],[FC/NFC]])</f>
        <v>50.8-0-1.6-ERW 1-FC</v>
      </c>
      <c r="R578" s="557" t="str">
        <f>_xlfn.CONCAT(scheduleapr[[#This Row],[Bucket]],"-",scheduleapr[[#This Row],[LENGTH]]/1000)</f>
        <v>50.8-0-1.6-ERW 1-FC-0.753</v>
      </c>
      <c r="S578" s="557" t="e" vm="2">
        <f>COUNTIF([2]!buckets[CTL Bucket],[2]!scheduleapr[[#This Row],[CTL Bucket]])</f>
        <v>#REF!</v>
      </c>
      <c r="T578" s="557"/>
      <c r="U578" s="557"/>
      <c r="V578" s="557"/>
      <c r="W578" s="557"/>
      <c r="X578" s="1">
        <v>50.8</v>
      </c>
      <c r="Y578" s="1">
        <v>50.8</v>
      </c>
      <c r="Z578" s="1">
        <v>0</v>
      </c>
      <c r="AA578" s="1">
        <v>1.6</v>
      </c>
      <c r="AB578" s="24">
        <v>753</v>
      </c>
      <c r="AC578" s="24" t="s">
        <v>397</v>
      </c>
      <c r="AD578" s="24"/>
      <c r="AE578" s="24"/>
      <c r="AF578" s="2"/>
      <c r="AG578" s="2"/>
      <c r="AH578" s="2" cm="1">
        <f t="array" ref="AH5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8" s="4">
        <f>scheduleapr[[#This Row],[SCHEDULE in nos]]-scheduleapr[[#This Row],[DISPATCH]]</f>
        <v>0</v>
      </c>
      <c r="AJ578" s="1">
        <f>(3.14*(scheduleapr[[#This Row],[ACTUAL OD]]-scheduleapr[[#This Row],[TICKNESS]])*scheduleapr[[#This Row],[TICKNESS]]*scheduleapr[[#This Row],[LENGTH]]*7.85)/1000000*scheduleapr[[#This Row],[SCHEDULE in nos]]/1000</f>
        <v>0</v>
      </c>
      <c r="AK578" s="1">
        <f>(3.14*(scheduleapr[[#This Row],[ACTUAL OD]]-scheduleapr[[#This Row],[TICKNESS]])*scheduleapr[[#This Row],[TICKNESS]]*scheduleapr[[#This Row],[LENGTH]]*7.85)/1000000*scheduleapr[[#This Row],[DISPATCH]]/1000</f>
        <v>0</v>
      </c>
      <c r="AL578" s="1">
        <f t="shared" si="19"/>
        <v>0</v>
      </c>
      <c r="AM578" s="1" t="e">
        <f>scheduleapr[[#This Row],[SCHEDULE in nos]]/scheduleapr[[#This Row],[SCHEDULE IN MT]]*scheduleapr[[#This Row],[CTL Stock]]</f>
        <v>#DIV/0!</v>
      </c>
      <c r="AN578" s="1">
        <f>SUMIFS(stock[MT],stock[Bucket],scheduleapr[[#This Row],[Bucket]],stock[CTL Bucket],scheduleapr[[#This Row],[CTL Bucket]],stock[Plant],"0789")</f>
        <v>0</v>
      </c>
      <c r="AO578" s="1"/>
      <c r="AP578" s="1">
        <f>SUMIFS(stock[MT],stock[Bucket],scheduleapr[[#This Row],[Bucket]],stock[LL or CTL],"LL")</f>
        <v>0</v>
      </c>
      <c r="AQ578" s="1">
        <f>+SUMIFS(wip[Stock(Net Wt)],wip[Bucket],scheduleapr[[#This Row],[Bucket]])/1000</f>
        <v>1.456</v>
      </c>
      <c r="AR578" s="1">
        <f t="shared" si="20"/>
        <v>0</v>
      </c>
      <c r="AS578" s="118"/>
    </row>
    <row r="579" spans="1:45" x14ac:dyDescent="0.25">
      <c r="A579" s="30">
        <v>444</v>
      </c>
      <c r="B579" s="5" t="s">
        <v>1816</v>
      </c>
      <c r="C579" s="2" t="s">
        <v>91</v>
      </c>
      <c r="D579" s="2" t="s">
        <v>956</v>
      </c>
      <c r="E579" s="2">
        <v>187702</v>
      </c>
      <c r="F579" s="2">
        <v>2386074</v>
      </c>
      <c r="G579" s="2" t="str">
        <f>_xlfn.CONCAT(scheduleapr[[#This Row],[CUSTOMER CODE]],"-",scheduleapr[[#This Row],[MATERIAL NO]])</f>
        <v>187702-2386074</v>
      </c>
      <c r="H579" s="2" t="s">
        <v>2096</v>
      </c>
      <c r="I579" s="2" t="s">
        <v>962</v>
      </c>
      <c r="J579" s="2"/>
      <c r="K579" s="2" t="s">
        <v>963</v>
      </c>
      <c r="L579" s="2" t="s">
        <v>239</v>
      </c>
      <c r="M579" s="2"/>
      <c r="N579" s="2"/>
      <c r="O579" s="2"/>
      <c r="P579" s="2"/>
      <c r="Q579" s="557" t="str">
        <f>CONCATENATE(scheduleapr[[#This Row],[OD]],"-",scheduleapr[[#This Row],[ID]],"-",scheduleapr[[#This Row],[TICKNESS]],"-",scheduleapr[[#This Row],[Grade]],"-",scheduleapr[[#This Row],[FC/NFC]])</f>
        <v>12.7-0-1.2-ERW 1-PE</v>
      </c>
      <c r="R579" s="557" t="str">
        <f>_xlfn.CONCAT(scheduleapr[[#This Row],[Bucket]],"-",scheduleapr[[#This Row],[LENGTH]]/1000)</f>
        <v>12.7-0-1.2-ERW 1-PE-0.6</v>
      </c>
      <c r="S579" s="557" t="e" vm="2">
        <f>COUNTIF([2]!buckets[CTL Bucket],[2]!scheduleapr[[#This Row],[CTL Bucket]])</f>
        <v>#REF!</v>
      </c>
      <c r="T579" s="2" t="s">
        <v>1816</v>
      </c>
      <c r="U579" s="557"/>
      <c r="V579" s="557"/>
      <c r="W579" s="557"/>
      <c r="X579" s="1">
        <v>12.7</v>
      </c>
      <c r="Y579" s="1">
        <v>12.7</v>
      </c>
      <c r="Z579" s="1">
        <v>0</v>
      </c>
      <c r="AA579" s="1">
        <v>1.2</v>
      </c>
      <c r="AB579" s="24">
        <v>600</v>
      </c>
      <c r="AC579" s="24" t="s">
        <v>397</v>
      </c>
      <c r="AD579" s="24"/>
      <c r="AE579" s="24"/>
      <c r="AF579" s="2"/>
      <c r="AG579" s="2"/>
      <c r="AH579" s="2" cm="1">
        <f t="array" ref="AH5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9" s="4">
        <f>scheduleapr[[#This Row],[SCHEDULE in nos]]-scheduleapr[[#This Row],[DISPATCH]]</f>
        <v>0</v>
      </c>
      <c r="AJ579" s="1">
        <f>(3.14*(scheduleapr[[#This Row],[ACTUAL OD]]-scheduleapr[[#This Row],[TICKNESS]])*scheduleapr[[#This Row],[TICKNESS]]*scheduleapr[[#This Row],[LENGTH]]*7.85)/1000000*scheduleapr[[#This Row],[SCHEDULE in nos]]/1000</f>
        <v>0</v>
      </c>
      <c r="AK579" s="1">
        <f>(3.14*(scheduleapr[[#This Row],[ACTUAL OD]]-scheduleapr[[#This Row],[TICKNESS]])*scheduleapr[[#This Row],[TICKNESS]]*scheduleapr[[#This Row],[LENGTH]]*7.85)/1000000*scheduleapr[[#This Row],[DISPATCH]]/1000</f>
        <v>0</v>
      </c>
      <c r="AL579" s="1">
        <f t="shared" si="19"/>
        <v>0</v>
      </c>
      <c r="AM579" s="1" t="e">
        <f>scheduleapr[[#This Row],[SCHEDULE in nos]]/scheduleapr[[#This Row],[SCHEDULE IN MT]]*scheduleapr[[#This Row],[CTL Stock]]</f>
        <v>#DIV/0!</v>
      </c>
      <c r="AN579" s="1">
        <f>SUMIFS(stock[MT],stock[Bucket],scheduleapr[[#This Row],[Bucket]],stock[CTL Bucket],scheduleapr[[#This Row],[CTL Bucket]],stock[Plant],"0789")</f>
        <v>0</v>
      </c>
      <c r="AO579" s="1"/>
      <c r="AP579" s="1">
        <f>SUMIFS(stock[MT],stock[Bucket],scheduleapr[[#This Row],[Bucket]],stock[LL or CTL],"LL")</f>
        <v>20.176452999999999</v>
      </c>
      <c r="AQ579" s="1">
        <f>+SUMIFS(wip[Stock(Net Wt)],wip[Bucket],scheduleapr[[#This Row],[Bucket]])/1000</f>
        <v>0</v>
      </c>
      <c r="AR579" s="1">
        <f t="shared" si="20"/>
        <v>0</v>
      </c>
      <c r="AS579" s="118"/>
    </row>
    <row r="580" spans="1:45" x14ac:dyDescent="0.25">
      <c r="A580" s="30">
        <v>445</v>
      </c>
      <c r="B580" s="5" t="s">
        <v>1816</v>
      </c>
      <c r="C580" s="2" t="s">
        <v>91</v>
      </c>
      <c r="D580" s="2" t="s">
        <v>956</v>
      </c>
      <c r="E580" s="2">
        <v>187702</v>
      </c>
      <c r="F580" s="2">
        <v>2423535</v>
      </c>
      <c r="G580" s="2" t="str">
        <f>_xlfn.CONCAT(scheduleapr[[#This Row],[CUSTOMER CODE]],"-",scheduleapr[[#This Row],[MATERIAL NO]])</f>
        <v>187702-2423535</v>
      </c>
      <c r="H580" s="2" t="s">
        <v>2097</v>
      </c>
      <c r="I580" s="2" t="s">
        <v>962</v>
      </c>
      <c r="J580" s="2"/>
      <c r="K580" s="2" t="s">
        <v>963</v>
      </c>
      <c r="L580" s="2" t="s">
        <v>239</v>
      </c>
      <c r="M580" s="2"/>
      <c r="N580" s="2"/>
      <c r="O580" s="2"/>
      <c r="P580" s="2"/>
      <c r="Q580" s="557" t="str">
        <f>CONCATENATE(scheduleapr[[#This Row],[OD]],"-",scheduleapr[[#This Row],[ID]],"-",scheduleapr[[#This Row],[TICKNESS]],"-",scheduleapr[[#This Row],[Grade]],"-",scheduleapr[[#This Row],[FC/NFC]])</f>
        <v>22.23-0-1.2-ERW 1-PE</v>
      </c>
      <c r="R580" s="557" t="str">
        <f>_xlfn.CONCAT(scheduleapr[[#This Row],[Bucket]],"-",scheduleapr[[#This Row],[LENGTH]]/1000)</f>
        <v>22.23-0-1.2-ERW 1-PE-1.328</v>
      </c>
      <c r="S580" s="557">
        <f>COUNTIF(scheduleapr[CTL Bucket],scheduleapr[[#This Row],[CTL Bucket]])</f>
        <v>1</v>
      </c>
      <c r="T580" s="557"/>
      <c r="U580" s="557"/>
      <c r="V580" s="557"/>
      <c r="W580" s="557"/>
      <c r="X580" s="1">
        <v>22.23</v>
      </c>
      <c r="Y580" s="1">
        <v>22.23</v>
      </c>
      <c r="Z580" s="1">
        <v>0</v>
      </c>
      <c r="AA580" s="1">
        <v>1.2</v>
      </c>
      <c r="AB580" s="24">
        <v>1328</v>
      </c>
      <c r="AC580" s="24" t="s">
        <v>397</v>
      </c>
      <c r="AD580" s="24"/>
      <c r="AE580" s="24"/>
      <c r="AF580" s="2">
        <v>3000</v>
      </c>
      <c r="AG580" s="2"/>
      <c r="AH580" s="2" cm="1">
        <f t="array" ref="AH5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0" s="4">
        <f>scheduleapr[[#This Row],[SCHEDULE in nos]]-scheduleapr[[#This Row],[DISPATCH]]</f>
        <v>3000</v>
      </c>
      <c r="AJ580" s="1">
        <f>(3.14*(scheduleapr[[#This Row],[ACTUAL OD]]-scheduleapr[[#This Row],[TICKNESS]])*scheduleapr[[#This Row],[TICKNESS]]*scheduleapr[[#This Row],[LENGTH]]*7.85)/1000000*scheduleapr[[#This Row],[SCHEDULE in nos]]/1000</f>
        <v>2.4782159813760005</v>
      </c>
      <c r="AK580" s="1">
        <f>(3.14*(scheduleapr[[#This Row],[ACTUAL OD]]-scheduleapr[[#This Row],[TICKNESS]])*scheduleapr[[#This Row],[TICKNESS]]*scheduleapr[[#This Row],[LENGTH]]*7.85)/1000000*scheduleapr[[#This Row],[DISPATCH]]/1000</f>
        <v>0</v>
      </c>
      <c r="AL580" s="1">
        <f t="shared" ref="AL580:AL643" si="21">AJ580-AK580</f>
        <v>2.4782159813760005</v>
      </c>
      <c r="AM580" s="1">
        <f>scheduleapr[[#This Row],[SCHEDULE in nos]]/scheduleapr[[#This Row],[SCHEDULE IN MT]]*scheduleapr[[#This Row],[CTL Stock]]</f>
        <v>27.684027750441174</v>
      </c>
      <c r="AN580" s="1">
        <f>SUMIFS(stock[MT],stock[Bucket],scheduleapr[[#This Row],[Bucket]],stock[CTL Bucket],scheduleapr[[#This Row],[CTL Bucket]],stock[Plant],"0789")</f>
        <v>2.2869E-2</v>
      </c>
      <c r="AO580" s="1"/>
      <c r="AP580" s="1">
        <f>SUMIFS(stock[MT],stock[Bucket],scheduleapr[[#This Row],[Bucket]],stock[LL or CTL],"LL")</f>
        <v>8.5000000000000006E-2</v>
      </c>
      <c r="AQ580" s="1">
        <f>+SUMIFS(wip[Stock(Net Wt)],wip[Bucket],scheduleapr[[#This Row],[Bucket]])/1000</f>
        <v>3.1040000000000001</v>
      </c>
      <c r="AR580" s="1">
        <f t="shared" si="20"/>
        <v>2.4553469813760005</v>
      </c>
      <c r="AS580" s="118"/>
    </row>
    <row r="581" spans="1:45" x14ac:dyDescent="0.25">
      <c r="A581" s="30">
        <v>447</v>
      </c>
      <c r="B581" s="5" t="s">
        <v>1816</v>
      </c>
      <c r="C581" s="2" t="s">
        <v>91</v>
      </c>
      <c r="D581" s="2" t="s">
        <v>956</v>
      </c>
      <c r="E581" s="2">
        <v>187702</v>
      </c>
      <c r="F581" s="2">
        <v>2422186</v>
      </c>
      <c r="G581" s="2" t="str">
        <f>_xlfn.CONCAT(scheduleapr[[#This Row],[CUSTOMER CODE]],"-",scheduleapr[[#This Row],[MATERIAL NO]])</f>
        <v>187702-2422186</v>
      </c>
      <c r="H581" s="2" t="s">
        <v>2098</v>
      </c>
      <c r="I581" s="2" t="s">
        <v>962</v>
      </c>
      <c r="J581" s="2"/>
      <c r="K581" s="2" t="s">
        <v>963</v>
      </c>
      <c r="L581" s="2" t="s">
        <v>239</v>
      </c>
      <c r="M581" s="2"/>
      <c r="N581" s="2"/>
      <c r="O581" s="2"/>
      <c r="P581" s="2"/>
      <c r="Q581" s="557" t="str">
        <f>CONCATENATE(scheduleapr[[#This Row],[OD]],"-",scheduleapr[[#This Row],[ID]],"-",scheduleapr[[#This Row],[TICKNESS]],"-",scheduleapr[[#This Row],[Grade]],"-",scheduleapr[[#This Row],[FC/NFC]])</f>
        <v>22.23-0-2-ERW 1-PE</v>
      </c>
      <c r="R581" s="557" t="str">
        <f>_xlfn.CONCAT(scheduleapr[[#This Row],[Bucket]],"-",scheduleapr[[#This Row],[LENGTH]]/1000)</f>
        <v>22.23-0-2-ERW 1-PE-0.775</v>
      </c>
      <c r="S581" s="557">
        <f>COUNTIF(scheduleapr[CTL Bucket],scheduleapr[[#This Row],[CTL Bucket]])</f>
        <v>1</v>
      </c>
      <c r="T581" s="557"/>
      <c r="U581" s="557"/>
      <c r="V581" s="557"/>
      <c r="W581" s="557"/>
      <c r="X581" s="1">
        <v>22.23</v>
      </c>
      <c r="Y581" s="1">
        <v>22.23</v>
      </c>
      <c r="Z581" s="1">
        <v>0</v>
      </c>
      <c r="AA581" s="1">
        <v>2</v>
      </c>
      <c r="AB581" s="24">
        <v>775</v>
      </c>
      <c r="AC581" s="24" t="s">
        <v>397</v>
      </c>
      <c r="AD581" s="24"/>
      <c r="AE581" s="24"/>
      <c r="AF581" s="2"/>
      <c r="AG581" s="2"/>
      <c r="AH581" s="2" cm="1">
        <f t="array" ref="AH5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1" s="4">
        <f>scheduleapr[[#This Row],[SCHEDULE in nos]]-scheduleapr[[#This Row],[DISPATCH]]</f>
        <v>0</v>
      </c>
      <c r="AJ581" s="1">
        <f>(3.14*(scheduleapr[[#This Row],[ACTUAL OD]]-scheduleapr[[#This Row],[TICKNESS]])*scheduleapr[[#This Row],[TICKNESS]]*scheduleapr[[#This Row],[LENGTH]]*7.85)/1000000*scheduleapr[[#This Row],[SCHEDULE in nos]]/1000</f>
        <v>0</v>
      </c>
      <c r="AK581" s="1">
        <f>(3.14*(scheduleapr[[#This Row],[ACTUAL OD]]-scheduleapr[[#This Row],[TICKNESS]])*scheduleapr[[#This Row],[TICKNESS]]*scheduleapr[[#This Row],[LENGTH]]*7.85)/1000000*scheduleapr[[#This Row],[DISPATCH]]/1000</f>
        <v>0</v>
      </c>
      <c r="AL581" s="1">
        <f t="shared" si="21"/>
        <v>0</v>
      </c>
      <c r="AM581" s="1" t="e">
        <f>scheduleapr[[#This Row],[SCHEDULE in nos]]/scheduleapr[[#This Row],[SCHEDULE IN MT]]*scheduleapr[[#This Row],[CTL Stock]]</f>
        <v>#DIV/0!</v>
      </c>
      <c r="AN581" s="1">
        <f>SUMIFS(stock[MT],stock[Bucket],scheduleapr[[#This Row],[Bucket]],stock[CTL Bucket],scheduleapr[[#This Row],[CTL Bucket]],stock[Plant],"0789")</f>
        <v>0.52628799999999998</v>
      </c>
      <c r="AO581" s="1"/>
      <c r="AP581" s="1">
        <f>SUMIFS(stock[MT],stock[Bucket],scheduleapr[[#This Row],[Bucket]],stock[LL or CTL],"LL")</f>
        <v>11.690147</v>
      </c>
      <c r="AQ581" s="1">
        <f>+SUMIFS(wip[Stock(Net Wt)],wip[Bucket],scheduleapr[[#This Row],[Bucket]])/1000</f>
        <v>1.629</v>
      </c>
      <c r="AR581" s="1">
        <f t="shared" si="20"/>
        <v>-0.52628799999999998</v>
      </c>
      <c r="AS581" s="118"/>
    </row>
    <row r="582" spans="1:45" x14ac:dyDescent="0.25">
      <c r="A582" s="30">
        <v>453</v>
      </c>
      <c r="B582" s="5" t="s">
        <v>1816</v>
      </c>
      <c r="C582" s="2" t="s">
        <v>91</v>
      </c>
      <c r="D582" s="2" t="s">
        <v>956</v>
      </c>
      <c r="E582" s="2">
        <v>187702</v>
      </c>
      <c r="F582" s="539">
        <v>3697417</v>
      </c>
      <c r="G582" s="2" t="str">
        <f>_xlfn.CONCAT(scheduleapr[[#This Row],[CUSTOMER CODE]],"-",scheduleapr[[#This Row],[MATERIAL NO]])</f>
        <v>187702-3697417</v>
      </c>
      <c r="H582" s="2" t="s">
        <v>2099</v>
      </c>
      <c r="I582" s="2" t="s">
        <v>962</v>
      </c>
      <c r="J582" s="2"/>
      <c r="K582" s="2" t="s">
        <v>963</v>
      </c>
      <c r="L582" s="2" t="s">
        <v>239</v>
      </c>
      <c r="M582" s="2"/>
      <c r="N582" s="2"/>
      <c r="O582" s="2"/>
      <c r="P582" s="2"/>
      <c r="Q582" s="557" t="str">
        <f>CONCATENATE(scheduleapr[[#This Row],[OD]],"-",scheduleapr[[#This Row],[ID]],"-",scheduleapr[[#This Row],[TICKNESS]],"-",scheduleapr[[#This Row],[Grade]],"-",scheduleapr[[#This Row],[FC/NFC]])</f>
        <v>22.23-0-2-ERW 1-PE</v>
      </c>
      <c r="R582" s="557" t="str">
        <f>_xlfn.CONCAT(scheduleapr[[#This Row],[Bucket]],"-",scheduleapr[[#This Row],[LENGTH]]/1000)</f>
        <v>22.23-0-2-ERW 1-PE-1.385</v>
      </c>
      <c r="S582" s="557">
        <f>COUNTIF(scheduleapr[CTL Bucket],scheduleapr[[#This Row],[CTL Bucket]])</f>
        <v>1</v>
      </c>
      <c r="T582" s="557"/>
      <c r="U582" s="557"/>
      <c r="V582" s="557"/>
      <c r="W582" s="557"/>
      <c r="X582" s="1">
        <v>22.23</v>
      </c>
      <c r="Y582" s="1">
        <v>22.23</v>
      </c>
      <c r="Z582" s="1">
        <v>0</v>
      </c>
      <c r="AA582" s="1">
        <v>2</v>
      </c>
      <c r="AB582" s="24">
        <v>1385</v>
      </c>
      <c r="AC582" s="24" t="s">
        <v>397</v>
      </c>
      <c r="AD582" s="24"/>
      <c r="AE582" s="24"/>
      <c r="AF582" s="2"/>
      <c r="AG582" s="2"/>
      <c r="AH582" s="2" cm="1">
        <f t="array" ref="AH5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2" s="4">
        <f>scheduleapr[[#This Row],[SCHEDULE in nos]]-scheduleapr[[#This Row],[DISPATCH]]</f>
        <v>0</v>
      </c>
      <c r="AJ582" s="1">
        <f>(3.14*(scheduleapr[[#This Row],[ACTUAL OD]]-scheduleapr[[#This Row],[TICKNESS]])*scheduleapr[[#This Row],[TICKNESS]]*scheduleapr[[#This Row],[LENGTH]]*7.85)/1000000*scheduleapr[[#This Row],[SCHEDULE in nos]]/1000</f>
        <v>0</v>
      </c>
      <c r="AK582" s="1">
        <f>(3.14*(scheduleapr[[#This Row],[ACTUAL OD]]-scheduleapr[[#This Row],[TICKNESS]])*scheduleapr[[#This Row],[TICKNESS]]*scheduleapr[[#This Row],[LENGTH]]*7.85)/1000000*scheduleapr[[#This Row],[DISPATCH]]/1000</f>
        <v>0</v>
      </c>
      <c r="AL582" s="1">
        <f t="shared" si="21"/>
        <v>0</v>
      </c>
      <c r="AM582" s="1" t="e">
        <f>scheduleapr[[#This Row],[SCHEDULE in nos]]/scheduleapr[[#This Row],[SCHEDULE IN MT]]*scheduleapr[[#This Row],[CTL Stock]]</f>
        <v>#DIV/0!</v>
      </c>
      <c r="AN582" s="1">
        <f>SUMIFS(stock[MT],stock[Bucket],scheduleapr[[#This Row],[Bucket]],stock[CTL Bucket],scheduleapr[[#This Row],[CTL Bucket]],stock[Plant],"0789")</f>
        <v>0</v>
      </c>
      <c r="AO582" s="1"/>
      <c r="AP582" s="1">
        <f>SUMIFS(stock[MT],stock[Bucket],scheduleapr[[#This Row],[Bucket]],stock[LL or CTL],"LL")</f>
        <v>11.690147</v>
      </c>
      <c r="AQ582" s="1">
        <f>+SUMIFS(wip[Stock(Net Wt)],wip[Bucket],scheduleapr[[#This Row],[Bucket]])/1000</f>
        <v>1.629</v>
      </c>
      <c r="AR582" s="1">
        <f t="shared" si="20"/>
        <v>0</v>
      </c>
      <c r="AS582" s="118"/>
    </row>
    <row r="583" spans="1:45" x14ac:dyDescent="0.25">
      <c r="A583" s="30">
        <v>446</v>
      </c>
      <c r="B583" s="5" t="s">
        <v>1816</v>
      </c>
      <c r="C583" s="2" t="s">
        <v>91</v>
      </c>
      <c r="D583" s="2" t="s">
        <v>956</v>
      </c>
      <c r="E583" s="2">
        <v>187702</v>
      </c>
      <c r="F583" s="2">
        <v>1940416</v>
      </c>
      <c r="G583" s="2" t="str">
        <f>_xlfn.CONCAT(scheduleapr[[#This Row],[CUSTOMER CODE]],"-",scheduleapr[[#This Row],[MATERIAL NO]])</f>
        <v>187702-1940416</v>
      </c>
      <c r="H583" s="2" t="s">
        <v>2100</v>
      </c>
      <c r="I583" s="2" t="s">
        <v>985</v>
      </c>
      <c r="J583" s="2"/>
      <c r="K583" s="2" t="s">
        <v>963</v>
      </c>
      <c r="L583" s="2" t="s">
        <v>1867</v>
      </c>
      <c r="M583" s="44" t="s">
        <v>1924</v>
      </c>
      <c r="N583" s="2" t="s">
        <v>1516</v>
      </c>
      <c r="O583" s="2"/>
      <c r="P583" s="2" t="s">
        <v>1892</v>
      </c>
      <c r="Q583" s="557" t="str">
        <f>CONCATENATE(scheduleapr[[#This Row],[OD]],"-",scheduleapr[[#This Row],[ID]],"-",scheduleapr[[#This Row],[TICKNESS]],"-",scheduleapr[[#This Row],[Grade]],"-",scheduleapr[[#This Row],[FC/NFC]])</f>
        <v>22.23-0-1.6-ERW 2 MAHS-PE</v>
      </c>
      <c r="R583" s="557" t="str">
        <f>_xlfn.CONCAT(scheduleapr[[#This Row],[Bucket]],"-",scheduleapr[[#This Row],[LENGTH]]/1000)</f>
        <v>22.23-0-1.6-ERW 2 MAHS-PE-0.935</v>
      </c>
      <c r="S583" s="557">
        <f>COUNTIF(scheduleapr[CTL Bucket],scheduleapr[[#This Row],[CTL Bucket]])</f>
        <v>1</v>
      </c>
      <c r="T583" s="2" t="s">
        <v>1816</v>
      </c>
      <c r="U583" s="2"/>
      <c r="V583" s="557"/>
      <c r="W583" s="557"/>
      <c r="X583" s="1">
        <v>22.23</v>
      </c>
      <c r="Y583" s="1">
        <v>22.23</v>
      </c>
      <c r="Z583" s="1">
        <v>0</v>
      </c>
      <c r="AA583" s="1">
        <v>1.6</v>
      </c>
      <c r="AB583" s="24">
        <v>935</v>
      </c>
      <c r="AC583" s="24" t="s">
        <v>397</v>
      </c>
      <c r="AD583" s="24"/>
      <c r="AE583" s="24"/>
      <c r="AF583" s="2">
        <v>30000</v>
      </c>
      <c r="AG583" s="2"/>
      <c r="AH583" s="2" cm="1">
        <f t="array" ref="AH5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3" s="4">
        <f>scheduleapr[[#This Row],[SCHEDULE in nos]]-scheduleapr[[#This Row],[DISPATCH]]</f>
        <v>30000</v>
      </c>
      <c r="AJ583" s="1">
        <f>(3.14*(scheduleapr[[#This Row],[ACTUAL OD]]-scheduleapr[[#This Row],[TICKNESS]])*scheduleapr[[#This Row],[TICKNESS]]*scheduleapr[[#This Row],[LENGTH]]*7.85)/1000000*scheduleapr[[#This Row],[SCHEDULE in nos]]/1000</f>
        <v>22.821878085599998</v>
      </c>
      <c r="AK583" s="1">
        <f>(3.14*(scheduleapr[[#This Row],[ACTUAL OD]]-scheduleapr[[#This Row],[TICKNESS]])*scheduleapr[[#This Row],[TICKNESS]]*scheduleapr[[#This Row],[LENGTH]]*7.85)/1000000*scheduleapr[[#This Row],[DISPATCH]]/1000</f>
        <v>0</v>
      </c>
      <c r="AL583" s="1">
        <f t="shared" si="21"/>
        <v>22.821878085599998</v>
      </c>
      <c r="AM583" s="1">
        <f>scheduleapr[[#This Row],[SCHEDULE in nos]]/scheduleapr[[#This Row],[SCHEDULE IN MT]]*scheduleapr[[#This Row],[CTL Stock]]</f>
        <v>839.92955917571862</v>
      </c>
      <c r="AN583" s="1">
        <f>SUMIFS(stock[MT],stock[Bucket],scheduleapr[[#This Row],[Bucket]],stock[CTL Bucket],scheduleapr[[#This Row],[CTL Bucket]],stock[Plant],"0789")</f>
        <v>0.63895899999999994</v>
      </c>
      <c r="AO583" s="1"/>
      <c r="AP583" s="1">
        <f>SUMIFS(stock[MT],stock[Bucket],scheduleapr[[#This Row],[Bucket]],stock[LL or CTL],"LL")</f>
        <v>0</v>
      </c>
      <c r="AQ583" s="1">
        <f>+SUMIFS(wip[Stock(Net Wt)],wip[Bucket],scheduleapr[[#This Row],[Bucket]])/1000</f>
        <v>0</v>
      </c>
      <c r="AR583" s="1">
        <f t="shared" si="20"/>
        <v>22.182919085599998</v>
      </c>
      <c r="AS583" s="118"/>
    </row>
    <row r="584" spans="1:45" x14ac:dyDescent="0.25">
      <c r="A584" s="30">
        <v>448</v>
      </c>
      <c r="B584" s="78" t="s">
        <v>1816</v>
      </c>
      <c r="C584" s="44" t="s">
        <v>91</v>
      </c>
      <c r="D584" s="2" t="s">
        <v>956</v>
      </c>
      <c r="E584" s="44">
        <v>187702</v>
      </c>
      <c r="F584" s="9">
        <v>3943202</v>
      </c>
      <c r="G584" s="2" t="str">
        <f>_xlfn.CONCAT(scheduleapr[[#This Row],[CUSTOMER CODE]],"-",scheduleapr[[#This Row],[MATERIAL NO]])</f>
        <v>187702-3943202</v>
      </c>
      <c r="H584" s="9" t="s">
        <v>768</v>
      </c>
      <c r="I584" s="2" t="s">
        <v>985</v>
      </c>
      <c r="J584" s="557"/>
      <c r="K584" s="557" t="s">
        <v>1003</v>
      </c>
      <c r="L584" s="557"/>
      <c r="M584" s="557"/>
      <c r="N584" s="557"/>
      <c r="O584" s="557"/>
      <c r="P584" s="557"/>
      <c r="Q584" s="557" t="str">
        <f>CONCATENATE(scheduleapr[[#This Row],[OD]],"-",scheduleapr[[#This Row],[ID]],"-",scheduleapr[[#This Row],[TICKNESS]],"-",scheduleapr[[#This Row],[Grade]],"-",scheduleapr[[#This Row],[FC/NFC]])</f>
        <v>22.23-0-2-ERW 2 MAHS-FC</v>
      </c>
      <c r="R584" s="557" t="str">
        <f>_xlfn.CONCAT(scheduleapr[[#This Row],[Bucket]],"-",scheduleapr[[#This Row],[LENGTH]]/1000)</f>
        <v>22.23-0-2-ERW 2 MAHS-FC-0.84</v>
      </c>
      <c r="S584" s="557" t="e" vm="2">
        <f>COUNTIF([2]!buckets[CTL Bucket],[2]!scheduleapr[[#This Row],[CTL Bucket]])</f>
        <v>#REF!</v>
      </c>
      <c r="T584" s="557"/>
      <c r="U584" s="557"/>
      <c r="V584" s="557"/>
      <c r="W584" s="557"/>
      <c r="X584" s="79">
        <v>22.23</v>
      </c>
      <c r="Y584" s="79">
        <v>22.23</v>
      </c>
      <c r="Z584" s="79">
        <v>0</v>
      </c>
      <c r="AA584" s="1">
        <v>2</v>
      </c>
      <c r="AB584" s="24">
        <v>840</v>
      </c>
      <c r="AC584" s="24" t="s">
        <v>397</v>
      </c>
      <c r="AD584" s="24"/>
      <c r="AE584" s="24"/>
      <c r="AF584" s="2">
        <v>15000</v>
      </c>
      <c r="AG584" s="2"/>
      <c r="AH584" s="2" cm="1">
        <f t="array" ref="AH5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4" s="4">
        <f>scheduleapr[[#This Row],[SCHEDULE in nos]]-scheduleapr[[#This Row],[DISPATCH]]</f>
        <v>15000</v>
      </c>
      <c r="AJ584" s="1">
        <f>(3.14*(scheduleapr[[#This Row],[ACTUAL OD]]-scheduleapr[[#This Row],[TICKNESS]])*scheduleapr[[#This Row],[TICKNESS]]*scheduleapr[[#This Row],[LENGTH]]*7.85)/1000000*scheduleapr[[#This Row],[SCHEDULE in nos]]/1000</f>
        <v>12.565961603999998</v>
      </c>
      <c r="AK584" s="1">
        <f>(3.14*(scheduleapr[[#This Row],[ACTUAL OD]]-scheduleapr[[#This Row],[TICKNESS]])*scheduleapr[[#This Row],[TICKNESS]]*scheduleapr[[#This Row],[LENGTH]]*7.85)/1000000*scheduleapr[[#This Row],[DISPATCH]]/1000</f>
        <v>0</v>
      </c>
      <c r="AL584" s="1">
        <f t="shared" si="21"/>
        <v>12.565961603999998</v>
      </c>
      <c r="AM584" s="1">
        <f>scheduleapr[[#This Row],[SCHEDULE in nos]]/scheduleapr[[#This Row],[SCHEDULE IN MT]]*scheduleapr[[#This Row],[CTL Stock]]</f>
        <v>601.70166345193945</v>
      </c>
      <c r="AN584" s="1">
        <f>SUMIFS(stock[MT],stock[Bucket],scheduleapr[[#This Row],[Bucket]],stock[CTL Bucket],scheduleapr[[#This Row],[CTL Bucket]],stock[Plant],"0789")</f>
        <v>0.50406399999999996</v>
      </c>
      <c r="AO584" s="1"/>
      <c r="AP584" s="1">
        <f>SUMIFS(stock[MT],stock[Bucket],scheduleapr[[#This Row],[Bucket]],stock[LL or CTL],"LL")</f>
        <v>0</v>
      </c>
      <c r="AQ584" s="1">
        <f>+SUMIFS(wip[Stock(Net Wt)],wip[Bucket],scheduleapr[[#This Row],[Bucket]])/1000</f>
        <v>0</v>
      </c>
      <c r="AR584" s="1">
        <f t="shared" si="20"/>
        <v>12.061897603999999</v>
      </c>
      <c r="AS584" s="118"/>
    </row>
    <row r="585" spans="1:45" x14ac:dyDescent="0.25">
      <c r="A585" s="30">
        <v>449</v>
      </c>
      <c r="B585" s="78" t="s">
        <v>1816</v>
      </c>
      <c r="C585" s="44" t="s">
        <v>91</v>
      </c>
      <c r="D585" s="2" t="s">
        <v>956</v>
      </c>
      <c r="E585" s="44">
        <v>187702</v>
      </c>
      <c r="F585" s="9">
        <v>3943203</v>
      </c>
      <c r="G585" s="2" t="str">
        <f>_xlfn.CONCAT(scheduleapr[[#This Row],[CUSTOMER CODE]],"-",scheduleapr[[#This Row],[MATERIAL NO]])</f>
        <v>187702-3943203</v>
      </c>
      <c r="H585" s="9" t="s">
        <v>680</v>
      </c>
      <c r="I585" s="2" t="s">
        <v>985</v>
      </c>
      <c r="J585" s="557"/>
      <c r="K585" s="557" t="s">
        <v>1003</v>
      </c>
      <c r="L585" s="557"/>
      <c r="M585" s="557"/>
      <c r="N585" s="557"/>
      <c r="O585" s="557"/>
      <c r="P585" s="557"/>
      <c r="Q585" s="557" t="str">
        <f>CONCATENATE(scheduleapr[[#This Row],[OD]],"-",scheduleapr[[#This Row],[ID]],"-",scheduleapr[[#This Row],[TICKNESS]],"-",scheduleapr[[#This Row],[Grade]],"-",scheduleapr[[#This Row],[FC/NFC]])</f>
        <v>22.23-0-2-ERW 2 MAHS-FC</v>
      </c>
      <c r="R585" s="557" t="str">
        <f>_xlfn.CONCAT(scheduleapr[[#This Row],[Bucket]],"-",scheduleapr[[#This Row],[LENGTH]]/1000)</f>
        <v>22.23-0-2-ERW 2 MAHS-FC-0.855</v>
      </c>
      <c r="S585" s="557" t="e" vm="2">
        <f>COUNTIF([2]!buckets[CTL Bucket],[2]!scheduleapr[[#This Row],[CTL Bucket]])</f>
        <v>#REF!</v>
      </c>
      <c r="T585" s="557"/>
      <c r="U585" s="557"/>
      <c r="V585" s="557"/>
      <c r="W585" s="557"/>
      <c r="X585" s="79">
        <v>22.23</v>
      </c>
      <c r="Y585" s="79">
        <v>22.23</v>
      </c>
      <c r="Z585" s="79">
        <v>0</v>
      </c>
      <c r="AA585" s="1">
        <v>2</v>
      </c>
      <c r="AB585" s="24">
        <v>855</v>
      </c>
      <c r="AC585" s="24" t="s">
        <v>397</v>
      </c>
      <c r="AD585" s="24"/>
      <c r="AE585" s="24"/>
      <c r="AF585" s="2">
        <v>30000</v>
      </c>
      <c r="AG585" s="2"/>
      <c r="AH585" s="2" cm="1">
        <f t="array" ref="AH5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5" s="4">
        <f>scheduleapr[[#This Row],[SCHEDULE in nos]]-scheduleapr[[#This Row],[DISPATCH]]</f>
        <v>30000</v>
      </c>
      <c r="AJ585" s="1">
        <f>(3.14*(scheduleapr[[#This Row],[ACTUAL OD]]-scheduleapr[[#This Row],[TICKNESS]])*scheduleapr[[#This Row],[TICKNESS]]*scheduleapr[[#This Row],[LENGTH]]*7.85)/1000000*scheduleapr[[#This Row],[SCHEDULE in nos]]/1000</f>
        <v>25.580707551</v>
      </c>
      <c r="AK585" s="1">
        <f>(3.14*(scheduleapr[[#This Row],[ACTUAL OD]]-scheduleapr[[#This Row],[TICKNESS]])*scheduleapr[[#This Row],[TICKNESS]]*scheduleapr[[#This Row],[LENGTH]]*7.85)/1000000*scheduleapr[[#This Row],[DISPATCH]]/1000</f>
        <v>0</v>
      </c>
      <c r="AL585" s="1">
        <f t="shared" si="21"/>
        <v>25.580707551</v>
      </c>
      <c r="AM585" s="1">
        <f>scheduleapr[[#This Row],[SCHEDULE in nos]]/scheduleapr[[#This Row],[SCHEDULE IN MT]]*scheduleapr[[#This Row],[CTL Stock]]</f>
        <v>1325.6924161456318</v>
      </c>
      <c r="AN585" s="1">
        <f>SUMIFS(stock[MT],stock[Bucket],scheduleapr[[#This Row],[Bucket]],stock[CTL Bucket],scheduleapr[[#This Row],[CTL Bucket]],stock[Plant],"0789")</f>
        <v>1.1304049999999999</v>
      </c>
      <c r="AO585" s="1"/>
      <c r="AP585" s="1">
        <f>SUMIFS(stock[MT],stock[Bucket],scheduleapr[[#This Row],[Bucket]],stock[LL or CTL],"LL")</f>
        <v>0</v>
      </c>
      <c r="AQ585" s="1">
        <f>+SUMIFS(wip[Stock(Net Wt)],wip[Bucket],scheduleapr[[#This Row],[Bucket]])/1000</f>
        <v>0</v>
      </c>
      <c r="AR585" s="1">
        <f t="shared" si="20"/>
        <v>24.450302551</v>
      </c>
      <c r="AS585" s="118"/>
    </row>
    <row r="586" spans="1:45" x14ac:dyDescent="0.25">
      <c r="A586" s="30">
        <v>450</v>
      </c>
      <c r="B586" s="5" t="s">
        <v>1816</v>
      </c>
      <c r="C586" s="2" t="s">
        <v>91</v>
      </c>
      <c r="D586" s="2" t="s">
        <v>956</v>
      </c>
      <c r="E586" s="2">
        <v>187702</v>
      </c>
      <c r="F586" s="2">
        <v>1940474</v>
      </c>
      <c r="G586" s="2" t="str">
        <f>_xlfn.CONCAT(scheduleapr[[#This Row],[CUSTOMER CODE]],"-",scheduleapr[[#This Row],[MATERIAL NO]])</f>
        <v>187702-1940474</v>
      </c>
      <c r="H586" s="2" t="s">
        <v>2101</v>
      </c>
      <c r="I586" s="2" t="s">
        <v>985</v>
      </c>
      <c r="J586" s="2"/>
      <c r="K586" s="2" t="s">
        <v>1003</v>
      </c>
      <c r="L586" s="2" t="s">
        <v>239</v>
      </c>
      <c r="M586" s="44" t="s">
        <v>1924</v>
      </c>
      <c r="N586" s="2"/>
      <c r="O586" s="2"/>
      <c r="P586" s="2"/>
      <c r="Q586" s="557" t="str">
        <f>CONCATENATE(scheduleapr[[#This Row],[OD]],"-",scheduleapr[[#This Row],[ID]],"-",scheduleapr[[#This Row],[TICKNESS]],"-",scheduleapr[[#This Row],[Grade]],"-",scheduleapr[[#This Row],[FC/NFC]])</f>
        <v>22.23-0-2-ERW 2 MAHS-FC</v>
      </c>
      <c r="R586" s="557" t="str">
        <f>_xlfn.CONCAT(scheduleapr[[#This Row],[Bucket]],"-",scheduleapr[[#This Row],[LENGTH]]/1000)</f>
        <v>22.23-0-2-ERW 2 MAHS-FC-0.865</v>
      </c>
      <c r="S586" s="557" t="e" vm="2">
        <f>COUNTIF([2]!buckets[CTL Bucket],[2]!scheduleapr[[#This Row],[CTL Bucket]])</f>
        <v>#REF!</v>
      </c>
      <c r="T586" s="557"/>
      <c r="U586" s="557"/>
      <c r="V586" s="557"/>
      <c r="W586" s="557"/>
      <c r="X586" s="1">
        <v>22.23</v>
      </c>
      <c r="Y586" s="1">
        <v>22.23</v>
      </c>
      <c r="Z586" s="1">
        <v>0</v>
      </c>
      <c r="AA586" s="1">
        <v>2</v>
      </c>
      <c r="AB586" s="24">
        <v>865</v>
      </c>
      <c r="AC586" s="24" t="s">
        <v>397</v>
      </c>
      <c r="AD586" s="24"/>
      <c r="AE586" s="24"/>
      <c r="AF586" s="2">
        <v>4000</v>
      </c>
      <c r="AG586" s="2"/>
      <c r="AH586" s="2" cm="1">
        <f t="array" ref="AH5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6" s="4">
        <f>scheduleapr[[#This Row],[SCHEDULE in nos]]-scheduleapr[[#This Row],[DISPATCH]]</f>
        <v>4000</v>
      </c>
      <c r="AJ586" s="1">
        <f>(3.14*(scheduleapr[[#This Row],[ACTUAL OD]]-scheduleapr[[#This Row],[TICKNESS]])*scheduleapr[[#This Row],[TICKNESS]]*scheduleapr[[#This Row],[LENGTH]]*7.85)/1000000*scheduleapr[[#This Row],[SCHEDULE in nos]]/1000</f>
        <v>3.4506529484000001</v>
      </c>
      <c r="AK586" s="1">
        <f>(3.14*(scheduleapr[[#This Row],[ACTUAL OD]]-scheduleapr[[#This Row],[TICKNESS]])*scheduleapr[[#This Row],[TICKNESS]]*scheduleapr[[#This Row],[LENGTH]]*7.85)/1000000*scheduleapr[[#This Row],[DISPATCH]]/1000</f>
        <v>0</v>
      </c>
      <c r="AL586" s="1">
        <f t="shared" si="21"/>
        <v>3.4506529484000001</v>
      </c>
      <c r="AM586" s="1">
        <f>scheduleapr[[#This Row],[SCHEDULE in nos]]/scheduleapr[[#This Row],[SCHEDULE IN MT]]*scheduleapr[[#This Row],[CTL Stock]]</f>
        <v>0</v>
      </c>
      <c r="AN586" s="1">
        <f>SUMIFS(stock[MT],stock[Bucket],scheduleapr[[#This Row],[Bucket]],stock[CTL Bucket],scheduleapr[[#This Row],[CTL Bucket]],stock[Plant],"0789")</f>
        <v>0</v>
      </c>
      <c r="AO586" s="1"/>
      <c r="AP586" s="1">
        <f>SUMIFS(stock[MT],stock[Bucket],scheduleapr[[#This Row],[Bucket]],stock[LL or CTL],"LL")</f>
        <v>0</v>
      </c>
      <c r="AQ586" s="1">
        <f>+SUMIFS(wip[Stock(Net Wt)],wip[Bucket],scheduleapr[[#This Row],[Bucket]])/1000</f>
        <v>0</v>
      </c>
      <c r="AR586" s="1">
        <f t="shared" si="20"/>
        <v>3.4506529484000001</v>
      </c>
      <c r="AS586" s="118"/>
    </row>
    <row r="587" spans="1:45" x14ac:dyDescent="0.25">
      <c r="A587" s="30">
        <v>451</v>
      </c>
      <c r="B587" s="5" t="s">
        <v>1816</v>
      </c>
      <c r="C587" s="2" t="s">
        <v>91</v>
      </c>
      <c r="D587" s="2" t="s">
        <v>956</v>
      </c>
      <c r="E587" s="2">
        <v>187702</v>
      </c>
      <c r="F587" s="2">
        <v>1940478</v>
      </c>
      <c r="G587" s="2" t="str">
        <f>_xlfn.CONCAT(scheduleapr[[#This Row],[CUSTOMER CODE]],"-",scheduleapr[[#This Row],[MATERIAL NO]])</f>
        <v>187702-1940478</v>
      </c>
      <c r="H587" s="2" t="s">
        <v>2102</v>
      </c>
      <c r="I587" s="2" t="s">
        <v>985</v>
      </c>
      <c r="J587" s="2"/>
      <c r="K587" s="2" t="s">
        <v>963</v>
      </c>
      <c r="L587" s="2" t="s">
        <v>1867</v>
      </c>
      <c r="M587" s="2"/>
      <c r="N587" s="2" t="s">
        <v>1516</v>
      </c>
      <c r="O587" s="2"/>
      <c r="P587" s="2" t="s">
        <v>1892</v>
      </c>
      <c r="Q587" s="557" t="str">
        <f>CONCATENATE(scheduleapr[[#This Row],[OD]],"-",scheduleapr[[#This Row],[ID]],"-",scheduleapr[[#This Row],[TICKNESS]],"-",scheduleapr[[#This Row],[Grade]],"-",scheduleapr[[#This Row],[FC/NFC]])</f>
        <v>22.23-0-2-ERW 2 MAHS-PE</v>
      </c>
      <c r="R587" s="557" t="str">
        <f>_xlfn.CONCAT(scheduleapr[[#This Row],[Bucket]],"-",scheduleapr[[#This Row],[LENGTH]]/1000)</f>
        <v>22.23-0-2-ERW 2 MAHS-PE-0.905</v>
      </c>
      <c r="S587" s="557">
        <f>COUNTIF(scheduleapr[CTL Bucket],scheduleapr[[#This Row],[CTL Bucket]])</f>
        <v>1</v>
      </c>
      <c r="T587" s="2" t="s">
        <v>1816</v>
      </c>
      <c r="U587" s="2"/>
      <c r="V587" s="557"/>
      <c r="W587" s="557"/>
      <c r="X587" s="1">
        <v>22.23</v>
      </c>
      <c r="Y587" s="1">
        <v>22.23</v>
      </c>
      <c r="Z587" s="1">
        <v>0</v>
      </c>
      <c r="AA587" s="1">
        <v>2</v>
      </c>
      <c r="AB587" s="24">
        <v>905</v>
      </c>
      <c r="AC587" s="24" t="s">
        <v>397</v>
      </c>
      <c r="AD587" s="24"/>
      <c r="AE587" s="24"/>
      <c r="AF587" s="2">
        <v>70000</v>
      </c>
      <c r="AG587" s="2"/>
      <c r="AH587" s="2" cm="1">
        <f t="array" ref="AH5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7" s="4">
        <f>scheduleapr[[#This Row],[SCHEDULE in nos]]-scheduleapr[[#This Row],[DISPATCH]]</f>
        <v>70000</v>
      </c>
      <c r="AJ587" s="1">
        <f>(3.14*(scheduleapr[[#This Row],[ACTUAL OD]]-scheduleapr[[#This Row],[TICKNESS]])*scheduleapr[[#This Row],[TICKNESS]]*scheduleapr[[#This Row],[LENGTH]]*7.85)/1000000*scheduleapr[[#This Row],[SCHEDULE in nos]]/1000</f>
        <v>63.178862508999998</v>
      </c>
      <c r="AK587" s="1">
        <f>(3.14*(scheduleapr[[#This Row],[ACTUAL OD]]-scheduleapr[[#This Row],[TICKNESS]])*scheduleapr[[#This Row],[TICKNESS]]*scheduleapr[[#This Row],[LENGTH]]*7.85)/1000000*scheduleapr[[#This Row],[DISPATCH]]/1000</f>
        <v>0</v>
      </c>
      <c r="AL587" s="1">
        <f t="shared" si="21"/>
        <v>63.178862508999998</v>
      </c>
      <c r="AM587" s="1">
        <f>scheduleapr[[#This Row],[SCHEDULE in nos]]/scheduleapr[[#This Row],[SCHEDULE IN MT]]*scheduleapr[[#This Row],[CTL Stock]]</f>
        <v>534.28533942331489</v>
      </c>
      <c r="AN587" s="1">
        <f>SUMIFS(stock[MT],stock[Bucket],scheduleapr[[#This Row],[Bucket]],stock[CTL Bucket],scheduleapr[[#This Row],[CTL Bucket]],stock[Plant],"0789")</f>
        <v>0.48222200000000004</v>
      </c>
      <c r="AO587" s="1"/>
      <c r="AP587" s="1">
        <f>SUMIFS(stock[MT],stock[Bucket],scheduleapr[[#This Row],[Bucket]],stock[LL or CTL],"LL")</f>
        <v>5.8279100000000001</v>
      </c>
      <c r="AQ587" s="1">
        <f>+SUMIFS(wip[Stock(Net Wt)],wip[Bucket],scheduleapr[[#This Row],[Bucket]])/1000</f>
        <v>0</v>
      </c>
      <c r="AR587" s="1">
        <f t="shared" si="20"/>
        <v>62.696640508999998</v>
      </c>
      <c r="AS587" s="118"/>
    </row>
    <row r="588" spans="1:45" x14ac:dyDescent="0.25">
      <c r="A588" s="30">
        <v>452</v>
      </c>
      <c r="B588" s="5" t="s">
        <v>1816</v>
      </c>
      <c r="C588" s="2" t="s">
        <v>91</v>
      </c>
      <c r="D588" s="2" t="s">
        <v>956</v>
      </c>
      <c r="E588" s="2">
        <v>187702</v>
      </c>
      <c r="F588" s="2"/>
      <c r="G588" s="2" t="str">
        <f>_xlfn.CONCAT(scheduleapr[[#This Row],[CUSTOMER CODE]],"-",scheduleapr[[#This Row],[MATERIAL NO]])</f>
        <v>187702-</v>
      </c>
      <c r="H588" s="2" t="s">
        <v>2103</v>
      </c>
      <c r="I588" s="2" t="s">
        <v>985</v>
      </c>
      <c r="J588" s="2"/>
      <c r="K588" s="2" t="s">
        <v>963</v>
      </c>
      <c r="L588" s="2" t="s">
        <v>239</v>
      </c>
      <c r="M588" s="2"/>
      <c r="N588" s="2"/>
      <c r="O588" s="2"/>
      <c r="P588" s="2"/>
      <c r="Q588" s="557" t="str">
        <f>CONCATENATE(scheduleapr[[#This Row],[OD]],"-",scheduleapr[[#This Row],[ID]],"-",scheduleapr[[#This Row],[TICKNESS]],"-",scheduleapr[[#This Row],[Grade]],"-",scheduleapr[[#This Row],[FC/NFC]])</f>
        <v>22.23-0-2-ERW 2 MAHS-PE</v>
      </c>
      <c r="R588" s="557" t="str">
        <f>_xlfn.CONCAT(scheduleapr[[#This Row],[Bucket]],"-",scheduleapr[[#This Row],[LENGTH]]/1000)</f>
        <v>22.23-0-2-ERW 2 MAHS-PE-0.925</v>
      </c>
      <c r="S588" s="557" t="e" vm="2">
        <f>COUNTIF([2]!buckets[CTL Bucket],[2]!scheduleapr[[#This Row],[CTL Bucket]])</f>
        <v>#REF!</v>
      </c>
      <c r="T588" s="557"/>
      <c r="U588" s="557"/>
      <c r="V588" s="557"/>
      <c r="W588" s="557"/>
      <c r="X588" s="1">
        <v>22.23</v>
      </c>
      <c r="Y588" s="1">
        <v>22.23</v>
      </c>
      <c r="Z588" s="1">
        <v>0</v>
      </c>
      <c r="AA588" s="1">
        <v>2</v>
      </c>
      <c r="AB588" s="24">
        <v>925</v>
      </c>
      <c r="AC588" s="24" t="s">
        <v>397</v>
      </c>
      <c r="AD588" s="24"/>
      <c r="AE588" s="24"/>
      <c r="AF588" s="2"/>
      <c r="AG588" s="2"/>
      <c r="AH588" s="2" cm="1">
        <f t="array" ref="AH5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8" s="4">
        <f>scheduleapr[[#This Row],[SCHEDULE in nos]]-scheduleapr[[#This Row],[DISPATCH]]</f>
        <v>0</v>
      </c>
      <c r="AJ588" s="1">
        <f>(3.14*(scheduleapr[[#This Row],[ACTUAL OD]]-scheduleapr[[#This Row],[TICKNESS]])*scheduleapr[[#This Row],[TICKNESS]]*scheduleapr[[#This Row],[LENGTH]]*7.85)/1000000*scheduleapr[[#This Row],[SCHEDULE in nos]]/1000</f>
        <v>0</v>
      </c>
      <c r="AK588" s="1">
        <f>(3.14*(scheduleapr[[#This Row],[ACTUAL OD]]-scheduleapr[[#This Row],[TICKNESS]])*scheduleapr[[#This Row],[TICKNESS]]*scheduleapr[[#This Row],[LENGTH]]*7.85)/1000000*scheduleapr[[#This Row],[DISPATCH]]/1000</f>
        <v>0</v>
      </c>
      <c r="AL588" s="1">
        <f t="shared" si="21"/>
        <v>0</v>
      </c>
      <c r="AM588" s="1" t="e">
        <f>scheduleapr[[#This Row],[SCHEDULE in nos]]/scheduleapr[[#This Row],[SCHEDULE IN MT]]*scheduleapr[[#This Row],[CTL Stock]]</f>
        <v>#DIV/0!</v>
      </c>
      <c r="AN588" s="1">
        <f>SUMIFS(stock[MT],stock[Bucket],scheduleapr[[#This Row],[Bucket]],stock[CTL Bucket],scheduleapr[[#This Row],[CTL Bucket]],stock[Plant],"0789")</f>
        <v>0</v>
      </c>
      <c r="AO588" s="1"/>
      <c r="AP588" s="1">
        <f>SUMIFS(stock[MT],stock[Bucket],scheduleapr[[#This Row],[Bucket]],stock[LL or CTL],"LL")</f>
        <v>5.8279100000000001</v>
      </c>
      <c r="AQ588" s="1">
        <f>+SUMIFS(wip[Stock(Net Wt)],wip[Bucket],scheduleapr[[#This Row],[Bucket]])/1000</f>
        <v>0</v>
      </c>
      <c r="AR588" s="1">
        <f t="shared" si="20"/>
        <v>0</v>
      </c>
      <c r="AS588" s="118"/>
    </row>
    <row r="589" spans="1:45" x14ac:dyDescent="0.25">
      <c r="A589" s="556"/>
      <c r="B589" s="78" t="s">
        <v>1816</v>
      </c>
      <c r="C589" s="44" t="s">
        <v>91</v>
      </c>
      <c r="D589" s="2" t="s">
        <v>956</v>
      </c>
      <c r="E589" s="44">
        <v>187702</v>
      </c>
      <c r="F589" s="557"/>
      <c r="G589" s="2" t="str">
        <f>_xlfn.CONCAT(scheduleapr[[#This Row],[CUSTOMER CODE]],"-",scheduleapr[[#This Row],[MATERIAL NO]])</f>
        <v>187702-</v>
      </c>
      <c r="H589" s="557"/>
      <c r="I589" s="2" t="s">
        <v>985</v>
      </c>
      <c r="J589" s="557"/>
      <c r="K589" s="557"/>
      <c r="L589" s="557"/>
      <c r="M589" s="558"/>
      <c r="N589" s="557"/>
      <c r="O589" s="557"/>
      <c r="P589" s="557"/>
      <c r="Q589" s="557"/>
      <c r="R589" s="557"/>
      <c r="S589" s="557"/>
      <c r="T589" s="2"/>
      <c r="U589" s="2"/>
      <c r="V589" s="2"/>
      <c r="W589" s="2"/>
      <c r="X589" s="559">
        <v>22.23</v>
      </c>
      <c r="Y589" s="559">
        <v>22.23</v>
      </c>
      <c r="Z589" s="559">
        <v>0</v>
      </c>
      <c r="AA589" s="559">
        <v>2</v>
      </c>
      <c r="AB589" s="24">
        <v>930</v>
      </c>
      <c r="AC589" s="24" t="s">
        <v>397</v>
      </c>
      <c r="AD589" s="24"/>
      <c r="AE589" s="24"/>
      <c r="AF589" s="557">
        <v>15000</v>
      </c>
      <c r="AG589" s="557"/>
      <c r="AH589" s="557" cm="1">
        <f t="array" ref="AH5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9" s="560">
        <f>scheduleapr[[#This Row],[SCHEDULE in nos]]-scheduleapr[[#This Row],[DISPATCH]]</f>
        <v>15000</v>
      </c>
      <c r="AJ589" s="559">
        <f>(3.14*(scheduleapr[[#This Row],[ACTUAL OD]]-scheduleapr[[#This Row],[TICKNESS]])*scheduleapr[[#This Row],[TICKNESS]]*scheduleapr[[#This Row],[LENGTH]]*7.85)/1000000*scheduleapr[[#This Row],[SCHEDULE in nos]]/1000</f>
        <v>13.912314633000001</v>
      </c>
      <c r="AK589" s="1">
        <f>(3.14*(scheduleapr[[#This Row],[ACTUAL OD]]-scheduleapr[[#This Row],[TICKNESS]])*scheduleapr[[#This Row],[TICKNESS]]*scheduleapr[[#This Row],[LENGTH]]*7.85)/1000000*scheduleapr[[#This Row],[DISPATCH]]/1000</f>
        <v>0</v>
      </c>
      <c r="AL589" s="1">
        <f t="shared" si="21"/>
        <v>13.912314633000001</v>
      </c>
      <c r="AM589" s="559">
        <f>scheduleapr[[#This Row],[SCHEDULE in nos]]/scheduleapr[[#This Row],[SCHEDULE IN MT]]*scheduleapr[[#This Row],[CTL Stock]]</f>
        <v>0</v>
      </c>
      <c r="AN589" s="1">
        <f>SUMIFS(stock[MT],stock[Bucket],scheduleapr[[#This Row],[Bucket]],stock[CTL Bucket],scheduleapr[[#This Row],[CTL Bucket]],stock[Plant],"0789")</f>
        <v>0</v>
      </c>
      <c r="AO589" s="1"/>
      <c r="AP589" s="1">
        <f>SUMIFS(stock[MT],stock[Bucket],scheduleapr[[#This Row],[Bucket]],stock[LL or CTL],"LL")</f>
        <v>0</v>
      </c>
      <c r="AQ589" s="1">
        <f>+SUMIFS(wip[Stock(Net Wt)],wip[Bucket],scheduleapr[[#This Row],[Bucket]])/1000</f>
        <v>0</v>
      </c>
      <c r="AR589" s="1">
        <f t="shared" si="20"/>
        <v>13.912314633000001</v>
      </c>
      <c r="AS589" s="118"/>
    </row>
    <row r="590" spans="1:45" x14ac:dyDescent="0.25">
      <c r="A590" s="30">
        <v>531</v>
      </c>
      <c r="B590" s="5" t="s">
        <v>1816</v>
      </c>
      <c r="C590" s="2" t="s">
        <v>301</v>
      </c>
      <c r="D590" s="2" t="s">
        <v>2104</v>
      </c>
      <c r="E590" s="2">
        <v>188595</v>
      </c>
      <c r="F590" s="9">
        <v>3929691</v>
      </c>
      <c r="G590" s="2" t="str">
        <f>_xlfn.CONCAT(scheduleapr[[#This Row],[CUSTOMER CODE]],"-",scheduleapr[[#This Row],[MATERIAL NO]])</f>
        <v>188595-3929691</v>
      </c>
      <c r="H590" s="2" t="s">
        <v>535</v>
      </c>
      <c r="I590" s="44" t="s">
        <v>229</v>
      </c>
      <c r="J590" s="44"/>
      <c r="K590" s="44" t="s">
        <v>963</v>
      </c>
      <c r="L590" s="44"/>
      <c r="M590" s="44"/>
      <c r="N590" s="44"/>
      <c r="O590" s="44"/>
      <c r="P590" s="44"/>
      <c r="Q590" s="557" t="str">
        <f>CONCATENATE(scheduleapr[[#This Row],[OD]],"-",scheduleapr[[#This Row],[ID]],"-",scheduleapr[[#This Row],[TICKNESS]],"-",scheduleapr[[#This Row],[Grade]],"-",scheduleapr[[#This Row],[FC/NFC]])</f>
        <v>19.05-0-1.2-CRFH-PE</v>
      </c>
      <c r="R590" s="557" t="str">
        <f>_xlfn.CONCAT(scheduleapr[[#This Row],[Bucket]],"-",scheduleapr[[#This Row],[LENGTH]]/1000)</f>
        <v>19.05-0-1.2-CRFH-PE-0.2</v>
      </c>
      <c r="S590" s="557">
        <f>COUNTIF(scheduleapr[CTL Bucket],scheduleapr[[#This Row],[CTL Bucket]])</f>
        <v>2</v>
      </c>
      <c r="T590" s="2" t="s">
        <v>1816</v>
      </c>
      <c r="U590" s="2">
        <f>_xlfn.IFNA(VLOOKUP(scheduleapr[[#This Row],[Bucket]],salesforecast[[#All],[Bucket2]:[8406 Stock]],19,0),0)</f>
        <v>0</v>
      </c>
      <c r="V590" s="562">
        <f>_xlfn.IFNA(VLOOKUP(scheduleapr[[#This Row],[Bucket]],salesforecast[[#All],[Bucket2]:[8406 Stock]],20,0),0)+_xlfn.IFNA(VLOOKUP(scheduleapr[[#This Row],[Bucket]],salesforecast[[#All],[Bucket2]:[8406 Stock]],17,0),0)</f>
        <v>0</v>
      </c>
      <c r="W590" s="557"/>
      <c r="X590" s="1">
        <v>19.05</v>
      </c>
      <c r="Y590" s="1">
        <v>19.05</v>
      </c>
      <c r="Z590" s="1">
        <v>0</v>
      </c>
      <c r="AA590" s="1">
        <v>1.2</v>
      </c>
      <c r="AB590" s="24">
        <v>200</v>
      </c>
      <c r="AC590" s="24" t="s">
        <v>397</v>
      </c>
      <c r="AD590" s="24"/>
      <c r="AE590" s="24"/>
      <c r="AF590" s="2">
        <v>2000</v>
      </c>
      <c r="AG590" s="2"/>
      <c r="AH590" s="2" cm="1">
        <f t="array" ref="AH5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32000</v>
      </c>
      <c r="AI590" s="4">
        <f>scheduleapr[[#This Row],[SCHEDULE in nos]]-scheduleapr[[#This Row],[DISPATCH]]</f>
        <v>-30000</v>
      </c>
      <c r="AJ590" s="1">
        <f>(3.14*(scheduleapr[[#This Row],[ACTUAL OD]]-scheduleapr[[#This Row],[TICKNESS]])*scheduleapr[[#This Row],[TICKNESS]]*scheduleapr[[#This Row],[LENGTH]]*7.85)/1000000*scheduleapr[[#This Row],[SCHEDULE in nos]]/1000</f>
        <v>0.21119263200000002</v>
      </c>
      <c r="AK590" s="1">
        <f>(3.14*(scheduleapr[[#This Row],[ACTUAL OD]]-scheduleapr[[#This Row],[TICKNESS]])*scheduleapr[[#This Row],[TICKNESS]]*scheduleapr[[#This Row],[LENGTH]]*7.85)/1000000*scheduleapr[[#This Row],[DISPATCH]]/1000</f>
        <v>3.3790821120000003</v>
      </c>
      <c r="AL590" s="1">
        <f t="shared" si="21"/>
        <v>-3.1678894800000004</v>
      </c>
      <c r="AM590" s="1">
        <f>scheduleapr[[#This Row],[SCHEDULE in nos]]/scheduleapr[[#This Row],[SCHEDULE IN MT]]*scheduleapr[[#This Row],[CTL Stock]]</f>
        <v>6730.5473043207303</v>
      </c>
      <c r="AN590" s="1">
        <f>SUMIFS(stock[MT],stock[Bucket],scheduleapr[[#This Row],[Bucket]],stock[CTL Bucket],scheduleapr[[#This Row],[CTL Bucket]],stock[Plant],"0789")</f>
        <v>0.71072100000000005</v>
      </c>
      <c r="AO590" s="1"/>
      <c r="AP590" s="1">
        <f>SUMIFS(stock[MT],stock[Bucket],scheduleapr[[#This Row],[Bucket]],stock[LL or CTL],"LL")</f>
        <v>0</v>
      </c>
      <c r="AQ590" s="1">
        <f>+SUMIFS(wip[Stock(Net Wt)],wip[Bucket],scheduleapr[[#This Row],[Bucket]])/1000</f>
        <v>16.085999999999999</v>
      </c>
      <c r="AR590" s="1">
        <f t="shared" si="20"/>
        <v>-0.499528368</v>
      </c>
      <c r="AS590" s="118"/>
    </row>
    <row r="591" spans="1:45" x14ac:dyDescent="0.25">
      <c r="A591" s="30">
        <v>503</v>
      </c>
      <c r="B591" s="78" t="s">
        <v>1816</v>
      </c>
      <c r="C591" s="44" t="s">
        <v>304</v>
      </c>
      <c r="D591" s="2" t="s">
        <v>2104</v>
      </c>
      <c r="E591" s="44">
        <v>188595</v>
      </c>
      <c r="F591" s="523">
        <v>3929691</v>
      </c>
      <c r="G591" s="2" t="str">
        <f>_xlfn.CONCAT(scheduleapr[[#This Row],[CUSTOMER CODE]],"-",scheduleapr[[#This Row],[MATERIAL NO]])</f>
        <v>188595-3929691</v>
      </c>
      <c r="H591" s="2" t="s">
        <v>2105</v>
      </c>
      <c r="I591" s="44" t="s">
        <v>229</v>
      </c>
      <c r="J591" s="44"/>
      <c r="K591" s="44" t="s">
        <v>963</v>
      </c>
      <c r="L591" s="44"/>
      <c r="M591" s="44"/>
      <c r="N591" s="44"/>
      <c r="O591" s="44"/>
      <c r="P591" s="44"/>
      <c r="Q591" s="557" t="str">
        <f>CONCATENATE(scheduleapr[[#This Row],[OD]],"-",scheduleapr[[#This Row],[ID]],"-",scheduleapr[[#This Row],[TICKNESS]],"-",scheduleapr[[#This Row],[Grade]],"-",scheduleapr[[#This Row],[FC/NFC]])</f>
        <v>19.05-0-1.2-CRFH-PE</v>
      </c>
      <c r="R591" s="557" t="str">
        <f>_xlfn.CONCAT(scheduleapr[[#This Row],[Bucket]],"-",scheduleapr[[#This Row],[LENGTH]]/1000)</f>
        <v>19.05-0-1.2-CRFH-PE-0.2</v>
      </c>
      <c r="S591" s="557">
        <f>COUNTIF(scheduleapr[CTL Bucket],scheduleapr[[#This Row],[CTL Bucket]])</f>
        <v>2</v>
      </c>
      <c r="T591" s="2" t="s">
        <v>1816</v>
      </c>
      <c r="U591" s="2">
        <f>_xlfn.IFNA(VLOOKUP(scheduleapr[[#This Row],[Bucket]],salesforecast[[#All],[Bucket2]:[8406 Stock]],19,0),0)</f>
        <v>0</v>
      </c>
      <c r="V591" s="562">
        <f>_xlfn.IFNA(VLOOKUP(scheduleapr[[#This Row],[Bucket]],salesforecast[[#All],[Bucket2]:[8406 Stock]],20,0),0)+_xlfn.IFNA(VLOOKUP(scheduleapr[[#This Row],[Bucket]],salesforecast[[#All],[Bucket2]:[8406 Stock]],17,0),0)</f>
        <v>0</v>
      </c>
      <c r="W591" s="557"/>
      <c r="X591" s="79">
        <v>19.05</v>
      </c>
      <c r="Y591" s="79">
        <v>19.05</v>
      </c>
      <c r="Z591" s="79">
        <v>0</v>
      </c>
      <c r="AA591" s="1">
        <v>1.2</v>
      </c>
      <c r="AB591" s="24">
        <v>200</v>
      </c>
      <c r="AC591" s="24" t="s">
        <v>397</v>
      </c>
      <c r="AD591" s="24"/>
      <c r="AE591" s="24"/>
      <c r="AF591" s="4">
        <v>36000</v>
      </c>
      <c r="AG591" s="4"/>
      <c r="AH591" s="2" cm="1">
        <f t="array" ref="AH5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32000</v>
      </c>
      <c r="AI591" s="4">
        <f>scheduleapr[[#This Row],[SCHEDULE in nos]]-scheduleapr[[#This Row],[DISPATCH]]</f>
        <v>4000</v>
      </c>
      <c r="AJ591" s="1">
        <f>(3.14*(scheduleapr[[#This Row],[ACTUAL OD]]-scheduleapr[[#This Row],[TICKNESS]])*scheduleapr[[#This Row],[TICKNESS]]*scheduleapr[[#This Row],[LENGTH]]*7.85)/1000000*scheduleapr[[#This Row],[SCHEDULE in nos]]/1000</f>
        <v>3.8014673760000006</v>
      </c>
      <c r="AK591" s="1">
        <f>(3.14*(scheduleapr[[#This Row],[ACTUAL OD]]-scheduleapr[[#This Row],[TICKNESS]])*scheduleapr[[#This Row],[TICKNESS]]*scheduleapr[[#This Row],[LENGTH]]*7.85)/1000000*scheduleapr[[#This Row],[DISPATCH]]/1000</f>
        <v>3.3790821120000003</v>
      </c>
      <c r="AL591" s="1">
        <f t="shared" si="21"/>
        <v>0.42238526400000032</v>
      </c>
      <c r="AM591" s="1">
        <f>scheduleapr[[#This Row],[SCHEDULE in nos]]/scheduleapr[[#This Row],[SCHEDULE IN MT]]*scheduleapr[[#This Row],[CTL Stock]]</f>
        <v>6730.5473043207303</v>
      </c>
      <c r="AN591" s="1">
        <f>SUMIFS(stock[MT],stock[Bucket],scheduleapr[[#This Row],[Bucket]],stock[CTL Bucket],scheduleapr[[#This Row],[CTL Bucket]],stock[Plant],"0789")</f>
        <v>0.71072100000000005</v>
      </c>
      <c r="AO591" s="1"/>
      <c r="AP591" s="1">
        <f>SUMIFS(stock[MT],stock[Bucket],scheduleapr[[#This Row],[Bucket]],stock[LL or CTL],"LL")</f>
        <v>0</v>
      </c>
      <c r="AQ591" s="1">
        <f>+SUMIFS(wip[Stock(Net Wt)],wip[Bucket],scheduleapr[[#This Row],[Bucket]])/1000</f>
        <v>16.085999999999999</v>
      </c>
      <c r="AR591" s="1">
        <f t="shared" si="20"/>
        <v>3.0907463760000007</v>
      </c>
      <c r="AS591" s="118"/>
    </row>
    <row r="592" spans="1:45" x14ac:dyDescent="0.25">
      <c r="A592" s="30">
        <v>532</v>
      </c>
      <c r="B592" s="5" t="s">
        <v>1816</v>
      </c>
      <c r="C592" s="44" t="s">
        <v>301</v>
      </c>
      <c r="D592" s="2" t="s">
        <v>2104</v>
      </c>
      <c r="E592" s="44">
        <v>188595</v>
      </c>
      <c r="F592" s="87">
        <v>3938681</v>
      </c>
      <c r="G592" s="2" t="str">
        <f>_xlfn.CONCAT(scheduleapr[[#This Row],[CUSTOMER CODE]],"-",scheduleapr[[#This Row],[MATERIAL NO]])</f>
        <v>188595-3938681</v>
      </c>
      <c r="H592" s="2" t="s">
        <v>2106</v>
      </c>
      <c r="I592" s="44" t="s">
        <v>229</v>
      </c>
      <c r="J592" s="44"/>
      <c r="K592" s="44" t="s">
        <v>963</v>
      </c>
      <c r="L592" s="44"/>
      <c r="M592" s="44"/>
      <c r="N592" s="44"/>
      <c r="O592" s="44"/>
      <c r="P592" s="44"/>
      <c r="Q592" s="557" t="str">
        <f>CONCATENATE(scheduleapr[[#This Row],[OD]],"-",scheduleapr[[#This Row],[ID]],"-",scheduleapr[[#This Row],[TICKNESS]],"-",scheduleapr[[#This Row],[Grade]],"-",scheduleapr[[#This Row],[FC/NFC]])</f>
        <v>19.05-0-1.2-CRFH-PE</v>
      </c>
      <c r="R592" s="557" t="str">
        <f>_xlfn.CONCAT(scheduleapr[[#This Row],[Bucket]],"-",scheduleapr[[#This Row],[LENGTH]]/1000)</f>
        <v>19.05-0-1.2-CRFH-PE-0.22</v>
      </c>
      <c r="S592" s="557">
        <f>COUNTIF(scheduleapr[CTL Bucket],scheduleapr[[#This Row],[CTL Bucket]])</f>
        <v>1</v>
      </c>
      <c r="T592" s="2" t="s">
        <v>1816</v>
      </c>
      <c r="U592" s="2">
        <f>_xlfn.IFNA(VLOOKUP(scheduleapr[[#This Row],[Bucket]],salesforecast[[#All],[Bucket2]:[8406 Stock]],19,0),0)</f>
        <v>0</v>
      </c>
      <c r="V592" s="562">
        <f>_xlfn.IFNA(VLOOKUP(scheduleapr[[#This Row],[Bucket]],salesforecast[[#All],[Bucket2]:[8406 Stock]],20,0),0)+_xlfn.IFNA(VLOOKUP(scheduleapr[[#This Row],[Bucket]],salesforecast[[#All],[Bucket2]:[8406 Stock]],17,0),0)</f>
        <v>0</v>
      </c>
      <c r="W592" s="557"/>
      <c r="X592" s="1">
        <v>19.05</v>
      </c>
      <c r="Y592" s="1">
        <v>19.05</v>
      </c>
      <c r="Z592" s="1">
        <v>0</v>
      </c>
      <c r="AA592" s="1">
        <v>1.2</v>
      </c>
      <c r="AB592" s="24">
        <v>220</v>
      </c>
      <c r="AC592" s="24" t="s">
        <v>397</v>
      </c>
      <c r="AD592" s="24"/>
      <c r="AE592" s="24"/>
      <c r="AF592" s="2">
        <v>1500</v>
      </c>
      <c r="AG592" s="2"/>
      <c r="AH592" s="2" cm="1">
        <f t="array" ref="AH5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2" s="4">
        <f>scheduleapr[[#This Row],[SCHEDULE in nos]]-scheduleapr[[#This Row],[DISPATCH]]</f>
        <v>1500</v>
      </c>
      <c r="AJ592" s="1">
        <f>(3.14*(scheduleapr[[#This Row],[ACTUAL OD]]-scheduleapr[[#This Row],[TICKNESS]])*scheduleapr[[#This Row],[TICKNESS]]*scheduleapr[[#This Row],[LENGTH]]*7.85)/1000000*scheduleapr[[#This Row],[SCHEDULE in nos]]/1000</f>
        <v>0.17423392140000002</v>
      </c>
      <c r="AK592" s="1">
        <f>(3.14*(scheduleapr[[#This Row],[ACTUAL OD]]-scheduleapr[[#This Row],[TICKNESS]])*scheduleapr[[#This Row],[TICKNESS]]*scheduleapr[[#This Row],[LENGTH]]*7.85)/1000000*scheduleapr[[#This Row],[DISPATCH]]/1000</f>
        <v>0</v>
      </c>
      <c r="AL592" s="1">
        <f t="shared" si="21"/>
        <v>0.17423392140000002</v>
      </c>
      <c r="AM592" s="1">
        <f>scheduleapr[[#This Row],[SCHEDULE in nos]]/scheduleapr[[#This Row],[SCHEDULE IN MT]]*scheduleapr[[#This Row],[CTL Stock]]</f>
        <v>3010.4614290108025</v>
      </c>
      <c r="AN592" s="1">
        <f>SUMIFS(stock[MT],stock[Bucket],scheduleapr[[#This Row],[Bucket]],stock[CTL Bucket],scheduleapr[[#This Row],[CTL Bucket]],stock[Plant],"0789")</f>
        <v>0.34968299999999997</v>
      </c>
      <c r="AO592" s="1"/>
      <c r="AP592" s="1">
        <f>SUMIFS(stock[MT],stock[Bucket],scheduleapr[[#This Row],[Bucket]],stock[LL or CTL],"LL")</f>
        <v>0</v>
      </c>
      <c r="AQ592" s="1">
        <f>+SUMIFS(wip[Stock(Net Wt)],wip[Bucket],scheduleapr[[#This Row],[Bucket]])/1000</f>
        <v>16.085999999999999</v>
      </c>
      <c r="AR592" s="1">
        <f t="shared" si="20"/>
        <v>-0.17544907859999995</v>
      </c>
      <c r="AS592" s="118"/>
    </row>
    <row r="593" spans="1:45" x14ac:dyDescent="0.25">
      <c r="A593" s="30">
        <v>533</v>
      </c>
      <c r="B593" s="5" t="s">
        <v>1816</v>
      </c>
      <c r="C593" s="44" t="s">
        <v>301</v>
      </c>
      <c r="D593" s="2" t="s">
        <v>2104</v>
      </c>
      <c r="E593" s="44">
        <v>188595</v>
      </c>
      <c r="F593" s="87">
        <v>3938682</v>
      </c>
      <c r="G593" s="2" t="str">
        <f>_xlfn.CONCAT(scheduleapr[[#This Row],[CUSTOMER CODE]],"-",scheduleapr[[#This Row],[MATERIAL NO]])</f>
        <v>188595-3938682</v>
      </c>
      <c r="H593" s="2" t="s">
        <v>2107</v>
      </c>
      <c r="I593" s="44" t="s">
        <v>229</v>
      </c>
      <c r="J593" s="44"/>
      <c r="K593" s="44" t="s">
        <v>963</v>
      </c>
      <c r="L593" s="44"/>
      <c r="M593" s="44"/>
      <c r="N593" s="44"/>
      <c r="O593" s="44"/>
      <c r="P593" s="44"/>
      <c r="Q593" s="557" t="str">
        <f>CONCATENATE(scheduleapr[[#This Row],[OD]],"-",scheduleapr[[#This Row],[ID]],"-",scheduleapr[[#This Row],[TICKNESS]],"-",scheduleapr[[#This Row],[Grade]],"-",scheduleapr[[#This Row],[FC/NFC]])</f>
        <v>19.05-0-1.2-CRFH-PE</v>
      </c>
      <c r="R593" s="557" t="str">
        <f>_xlfn.CONCAT(scheduleapr[[#This Row],[Bucket]],"-",scheduleapr[[#This Row],[LENGTH]]/1000)</f>
        <v>19.05-0-1.2-CRFH-PE-0.32</v>
      </c>
      <c r="S593" s="557">
        <f>COUNTIF(scheduleapr[CTL Bucket],scheduleapr[[#This Row],[CTL Bucket]])</f>
        <v>1</v>
      </c>
      <c r="T593" s="2" t="s">
        <v>1816</v>
      </c>
      <c r="U593" s="2">
        <f>_xlfn.IFNA(VLOOKUP(scheduleapr[[#This Row],[Bucket]],salesforecast[[#All],[Bucket2]:[8406 Stock]],19,0),0)</f>
        <v>0</v>
      </c>
      <c r="V593" s="562">
        <f>_xlfn.IFNA(VLOOKUP(scheduleapr[[#This Row],[Bucket]],salesforecast[[#All],[Bucket2]:[8406 Stock]],20,0),0)+_xlfn.IFNA(VLOOKUP(scheduleapr[[#This Row],[Bucket]],salesforecast[[#All],[Bucket2]:[8406 Stock]],17,0),0)</f>
        <v>0</v>
      </c>
      <c r="W593" s="557"/>
      <c r="X593" s="1">
        <v>19.05</v>
      </c>
      <c r="Y593" s="1">
        <v>19.05</v>
      </c>
      <c r="Z593" s="1">
        <v>0</v>
      </c>
      <c r="AA593" s="1">
        <v>1.2</v>
      </c>
      <c r="AB593" s="24">
        <v>320</v>
      </c>
      <c r="AC593" s="24" t="s">
        <v>397</v>
      </c>
      <c r="AD593" s="24"/>
      <c r="AE593" s="24"/>
      <c r="AF593" s="2">
        <v>500</v>
      </c>
      <c r="AG593" s="2"/>
      <c r="AH593" s="2" cm="1">
        <f t="array" ref="AH5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3" s="4">
        <f>scheduleapr[[#This Row],[SCHEDULE in nos]]-scheduleapr[[#This Row],[DISPATCH]]</f>
        <v>500</v>
      </c>
      <c r="AJ593" s="1">
        <f>(3.14*(scheduleapr[[#This Row],[ACTUAL OD]]-scheduleapr[[#This Row],[TICKNESS]])*scheduleapr[[#This Row],[TICKNESS]]*scheduleapr[[#This Row],[LENGTH]]*7.85)/1000000*scheduleapr[[#This Row],[SCHEDULE in nos]]/1000</f>
        <v>8.4477052800000008E-2</v>
      </c>
      <c r="AK593" s="1">
        <f>(3.14*(scheduleapr[[#This Row],[ACTUAL OD]]-scheduleapr[[#This Row],[TICKNESS]])*scheduleapr[[#This Row],[TICKNESS]]*scheduleapr[[#This Row],[LENGTH]]*7.85)/1000000*scheduleapr[[#This Row],[DISPATCH]]/1000</f>
        <v>0</v>
      </c>
      <c r="AL593" s="1">
        <f t="shared" si="21"/>
        <v>8.4477052800000008E-2</v>
      </c>
      <c r="AM593" s="1">
        <f>scheduleapr[[#This Row],[SCHEDULE in nos]]/scheduleapr[[#This Row],[SCHEDULE IN MT]]*scheduleapr[[#This Row],[CTL Stock]]</f>
        <v>2100.9018913121931</v>
      </c>
      <c r="AN593" s="1">
        <f>SUMIFS(stock[MT],stock[Bucket],scheduleapr[[#This Row],[Bucket]],stock[CTL Bucket],scheduleapr[[#This Row],[CTL Bucket]],stock[Plant],"0789")</f>
        <v>0.35495599999999999</v>
      </c>
      <c r="AO593" s="1"/>
      <c r="AP593" s="1">
        <f>SUMIFS(stock[MT],stock[Bucket],scheduleapr[[#This Row],[Bucket]],stock[LL or CTL],"LL")</f>
        <v>0</v>
      </c>
      <c r="AQ593" s="1">
        <f>+SUMIFS(wip[Stock(Net Wt)],wip[Bucket],scheduleapr[[#This Row],[Bucket]])/1000</f>
        <v>16.085999999999999</v>
      </c>
      <c r="AR593" s="1">
        <f t="shared" si="20"/>
        <v>-0.27047894719999999</v>
      </c>
      <c r="AS593" s="118"/>
    </row>
    <row r="594" spans="1:45" ht="15.75" x14ac:dyDescent="0.25">
      <c r="A594" s="30">
        <v>502</v>
      </c>
      <c r="B594" s="78" t="s">
        <v>1816</v>
      </c>
      <c r="C594" s="44" t="s">
        <v>304</v>
      </c>
      <c r="D594" s="2" t="s">
        <v>2104</v>
      </c>
      <c r="E594" s="44">
        <v>188595</v>
      </c>
      <c r="F594" s="88">
        <v>3935313</v>
      </c>
      <c r="G594" s="2" t="str">
        <f>_xlfn.CONCAT(scheduleapr[[#This Row],[CUSTOMER CODE]],"-",scheduleapr[[#This Row],[MATERIAL NO]])</f>
        <v>188595-3935313</v>
      </c>
      <c r="H594" s="2" t="s">
        <v>560</v>
      </c>
      <c r="I594" s="44" t="s">
        <v>229</v>
      </c>
      <c r="J594" s="44"/>
      <c r="K594" s="44" t="s">
        <v>963</v>
      </c>
      <c r="L594" s="44"/>
      <c r="M594" s="44"/>
      <c r="N594" s="44"/>
      <c r="O594" s="44"/>
      <c r="P594" s="44"/>
      <c r="Q594" s="557" t="str">
        <f>CONCATENATE(scheduleapr[[#This Row],[OD]],"-",scheduleapr[[#This Row],[ID]],"-",scheduleapr[[#This Row],[TICKNESS]],"-",scheduleapr[[#This Row],[Grade]],"-",scheduleapr[[#This Row],[FC/NFC]])</f>
        <v>19.05-0-1.2-CRFH-PE</v>
      </c>
      <c r="R594" s="557" t="str">
        <f>_xlfn.CONCAT(scheduleapr[[#This Row],[Bucket]],"-",scheduleapr[[#This Row],[LENGTH]]/1000)</f>
        <v>19.05-0-1.2-CRFH-PE-0.33</v>
      </c>
      <c r="S594" s="557">
        <f>COUNTIF(scheduleapr[CTL Bucket],scheduleapr[[#This Row],[CTL Bucket]])</f>
        <v>2</v>
      </c>
      <c r="T594" s="2" t="s">
        <v>1816</v>
      </c>
      <c r="U594" s="2">
        <f>_xlfn.IFNA(VLOOKUP(scheduleapr[[#This Row],[Bucket]],salesforecast[[#All],[Bucket2]:[8406 Stock]],19,0),0)</f>
        <v>0</v>
      </c>
      <c r="V594" s="562">
        <f>_xlfn.IFNA(VLOOKUP(scheduleapr[[#This Row],[Bucket]],salesforecast[[#All],[Bucket2]:[8406 Stock]],20,0),0)+_xlfn.IFNA(VLOOKUP(scheduleapr[[#This Row],[Bucket]],salesforecast[[#All],[Bucket2]:[8406 Stock]],17,0),0)</f>
        <v>0</v>
      </c>
      <c r="W594" s="557"/>
      <c r="X594" s="79">
        <v>19.05</v>
      </c>
      <c r="Y594" s="79">
        <v>19.05</v>
      </c>
      <c r="Z594" s="79">
        <v>0</v>
      </c>
      <c r="AA594" s="1">
        <v>1.2</v>
      </c>
      <c r="AB594" s="24">
        <v>330</v>
      </c>
      <c r="AC594" s="24" t="s">
        <v>397</v>
      </c>
      <c r="AD594" s="24"/>
      <c r="AE594" s="24"/>
      <c r="AF594" s="4">
        <v>6000</v>
      </c>
      <c r="AG594" s="4"/>
      <c r="AH594" s="2" cm="1">
        <f t="array" ref="AH5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5500</v>
      </c>
      <c r="AI594" s="4">
        <f>scheduleapr[[#This Row],[SCHEDULE in nos]]-scheduleapr[[#This Row],[DISPATCH]]</f>
        <v>500</v>
      </c>
      <c r="AJ594" s="1">
        <f>(3.14*(scheduleapr[[#This Row],[ACTUAL OD]]-scheduleapr[[#This Row],[TICKNESS]])*scheduleapr[[#This Row],[TICKNESS]]*scheduleapr[[#This Row],[LENGTH]]*7.85)/1000000*scheduleapr[[#This Row],[SCHEDULE in nos]]/1000</f>
        <v>1.0454035284000001</v>
      </c>
      <c r="AK594" s="1">
        <f>(3.14*(scheduleapr[[#This Row],[ACTUAL OD]]-scheduleapr[[#This Row],[TICKNESS]])*scheduleapr[[#This Row],[TICKNESS]]*scheduleapr[[#This Row],[LENGTH]]*7.85)/1000000*scheduleapr[[#This Row],[DISPATCH]]/1000</f>
        <v>0.95828656770000009</v>
      </c>
      <c r="AL594" s="1">
        <f t="shared" si="21"/>
        <v>8.7116960699999968E-2</v>
      </c>
      <c r="AM594" s="1">
        <f>scheduleapr[[#This Row],[SCHEDULE in nos]]/scheduleapr[[#This Row],[SCHEDULE IN MT]]*scheduleapr[[#This Row],[CTL Stock]]</f>
        <v>1219.1368838697329</v>
      </c>
      <c r="AN594" s="1">
        <f>SUMIFS(stock[MT],stock[Bucket],scheduleapr[[#This Row],[Bucket]],stock[CTL Bucket],scheduleapr[[#This Row],[CTL Bucket]],stock[Plant],"0789")</f>
        <v>0.21241499999999999</v>
      </c>
      <c r="AO594" s="1"/>
      <c r="AP594" s="1">
        <f>SUMIFS(stock[MT],stock[Bucket],scheduleapr[[#This Row],[Bucket]],stock[LL or CTL],"LL")</f>
        <v>0</v>
      </c>
      <c r="AQ594" s="1">
        <f>+SUMIFS(wip[Stock(Net Wt)],wip[Bucket],scheduleapr[[#This Row],[Bucket]])/1000</f>
        <v>16.085999999999999</v>
      </c>
      <c r="AR594" s="1">
        <f t="shared" si="20"/>
        <v>0.83298852840000004</v>
      </c>
      <c r="AS594" s="118"/>
    </row>
    <row r="595" spans="1:45" x14ac:dyDescent="0.25">
      <c r="A595" s="30">
        <v>534</v>
      </c>
      <c r="B595" s="5" t="s">
        <v>1816</v>
      </c>
      <c r="C595" s="44" t="s">
        <v>301</v>
      </c>
      <c r="D595" s="2" t="s">
        <v>2104</v>
      </c>
      <c r="E595" s="44">
        <v>188595</v>
      </c>
      <c r="F595" s="87">
        <v>3938683</v>
      </c>
      <c r="G595" s="2" t="str">
        <f>_xlfn.CONCAT(scheduleapr[[#This Row],[CUSTOMER CODE]],"-",scheduleapr[[#This Row],[MATERIAL NO]])</f>
        <v>188595-3938683</v>
      </c>
      <c r="H595" s="2" t="s">
        <v>2108</v>
      </c>
      <c r="I595" s="44" t="s">
        <v>229</v>
      </c>
      <c r="J595" s="44"/>
      <c r="K595" s="44" t="s">
        <v>963</v>
      </c>
      <c r="L595" s="44"/>
      <c r="M595" s="44"/>
      <c r="N595" s="44"/>
      <c r="O595" s="44"/>
      <c r="P595" s="44"/>
      <c r="Q595" s="557" t="str">
        <f>CONCATENATE(scheduleapr[[#This Row],[OD]],"-",scheduleapr[[#This Row],[ID]],"-",scheduleapr[[#This Row],[TICKNESS]],"-",scheduleapr[[#This Row],[Grade]],"-",scheduleapr[[#This Row],[FC/NFC]])</f>
        <v>19.05-0-1.2-CRFH-PE</v>
      </c>
      <c r="R595" s="557" t="str">
        <f>_xlfn.CONCAT(scheduleapr[[#This Row],[Bucket]],"-",scheduleapr[[#This Row],[LENGTH]]/1000)</f>
        <v>19.05-0-1.2-CRFH-PE-0.377</v>
      </c>
      <c r="S595" s="557">
        <f>COUNTIF(scheduleapr[CTL Bucket],scheduleapr[[#This Row],[CTL Bucket]])</f>
        <v>1</v>
      </c>
      <c r="T595" s="2" t="s">
        <v>1816</v>
      </c>
      <c r="U595" s="2">
        <f>_xlfn.IFNA(VLOOKUP(scheduleapr[[#This Row],[Bucket]],salesforecast[[#All],[Bucket2]:[8406 Stock]],19,0),0)</f>
        <v>0</v>
      </c>
      <c r="V595" s="562">
        <f>_xlfn.IFNA(VLOOKUP(scheduleapr[[#This Row],[Bucket]],salesforecast[[#All],[Bucket2]:[8406 Stock]],20,0),0)+_xlfn.IFNA(VLOOKUP(scheduleapr[[#This Row],[Bucket]],salesforecast[[#All],[Bucket2]:[8406 Stock]],17,0),0)</f>
        <v>0</v>
      </c>
      <c r="W595" s="557"/>
      <c r="X595" s="1">
        <v>19.05</v>
      </c>
      <c r="Y595" s="1">
        <v>19.05</v>
      </c>
      <c r="Z595" s="1">
        <v>0</v>
      </c>
      <c r="AA595" s="1">
        <v>1.2</v>
      </c>
      <c r="AB595" s="24">
        <v>377</v>
      </c>
      <c r="AC595" s="24" t="s">
        <v>397</v>
      </c>
      <c r="AD595" s="24"/>
      <c r="AE595" s="24"/>
      <c r="AF595" s="2">
        <v>500</v>
      </c>
      <c r="AG595" s="2"/>
      <c r="AH595" s="2" cm="1">
        <f t="array" ref="AH5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5" s="4">
        <f>scheduleapr[[#This Row],[SCHEDULE in nos]]-scheduleapr[[#This Row],[DISPATCH]]</f>
        <v>500</v>
      </c>
      <c r="AJ595" s="1">
        <f>(3.14*(scheduleapr[[#This Row],[ACTUAL OD]]-scheduleapr[[#This Row],[TICKNESS]])*scheduleapr[[#This Row],[TICKNESS]]*scheduleapr[[#This Row],[LENGTH]]*7.85)/1000000*scheduleapr[[#This Row],[SCHEDULE in nos]]/1000</f>
        <v>9.9524527830000001E-2</v>
      </c>
      <c r="AK595" s="1">
        <f>(3.14*(scheduleapr[[#This Row],[ACTUAL OD]]-scheduleapr[[#This Row],[TICKNESS]])*scheduleapr[[#This Row],[TICKNESS]]*scheduleapr[[#This Row],[LENGTH]]*7.85)/1000000*scheduleapr[[#This Row],[DISPATCH]]/1000</f>
        <v>0</v>
      </c>
      <c r="AL595" s="1">
        <f t="shared" si="21"/>
        <v>9.9524527830000001E-2</v>
      </c>
      <c r="AM595" s="1">
        <f>scheduleapr[[#This Row],[SCHEDULE in nos]]/scheduleapr[[#This Row],[SCHEDULE IN MT]]*scheduleapr[[#This Row],[CTL Stock]]</f>
        <v>564.61458522048429</v>
      </c>
      <c r="AN595" s="1">
        <f>SUMIFS(stock[MT],stock[Bucket],scheduleapr[[#This Row],[Bucket]],stock[CTL Bucket],scheduleapr[[#This Row],[CTL Bucket]],stock[Plant],"0789")</f>
        <v>0.112386</v>
      </c>
      <c r="AO595" s="1"/>
      <c r="AP595" s="1">
        <f>SUMIFS(stock[MT],stock[Bucket],scheduleapr[[#This Row],[Bucket]],stock[LL or CTL],"LL")</f>
        <v>0</v>
      </c>
      <c r="AQ595" s="1">
        <f>+SUMIFS(wip[Stock(Net Wt)],wip[Bucket],scheduleapr[[#This Row],[Bucket]])/1000</f>
        <v>16.085999999999999</v>
      </c>
      <c r="AR595" s="1">
        <f t="shared" si="20"/>
        <v>-1.2861472169999999E-2</v>
      </c>
      <c r="AS595" s="118"/>
    </row>
    <row r="596" spans="1:45" x14ac:dyDescent="0.25">
      <c r="A596" s="30">
        <v>535</v>
      </c>
      <c r="B596" s="5" t="s">
        <v>1816</v>
      </c>
      <c r="C596" s="2" t="s">
        <v>301</v>
      </c>
      <c r="D596" s="2" t="s">
        <v>2104</v>
      </c>
      <c r="E596" s="2">
        <v>188595</v>
      </c>
      <c r="F596" s="9">
        <v>3929692</v>
      </c>
      <c r="G596" s="2" t="str">
        <f>_xlfn.CONCAT(scheduleapr[[#This Row],[CUSTOMER CODE]],"-",scheduleapr[[#This Row],[MATERIAL NO]])</f>
        <v>188595-3929692</v>
      </c>
      <c r="H596" s="2" t="s">
        <v>533</v>
      </c>
      <c r="I596" s="44" t="s">
        <v>229</v>
      </c>
      <c r="J596" s="44"/>
      <c r="K596" s="44" t="s">
        <v>963</v>
      </c>
      <c r="L596" s="44"/>
      <c r="M596" s="44"/>
      <c r="N596" s="44"/>
      <c r="O596" s="44"/>
      <c r="P596" s="44"/>
      <c r="Q596" s="557" t="str">
        <f>CONCATENATE(scheduleapr[[#This Row],[OD]],"-",scheduleapr[[#This Row],[ID]],"-",scheduleapr[[#This Row],[TICKNESS]],"-",scheduleapr[[#This Row],[Grade]],"-",scheduleapr[[#This Row],[FC/NFC]])</f>
        <v>19.05-0-1.2-CRFH-PE</v>
      </c>
      <c r="R596" s="557" t="str">
        <f>_xlfn.CONCAT(scheduleapr[[#This Row],[Bucket]],"-",scheduleapr[[#This Row],[LENGTH]]/1000)</f>
        <v>19.05-0-1.2-CRFH-PE-1.23</v>
      </c>
      <c r="S596" s="557">
        <f>COUNTIF(scheduleapr[CTL Bucket],scheduleapr[[#This Row],[CTL Bucket]])</f>
        <v>3</v>
      </c>
      <c r="T596" s="2" t="s">
        <v>1816</v>
      </c>
      <c r="U596" s="2">
        <f>_xlfn.IFNA(VLOOKUP(scheduleapr[[#This Row],[Bucket]],salesforecast[[#All],[Bucket2]:[8406 Stock]],19,0),0)</f>
        <v>0</v>
      </c>
      <c r="V596" s="562">
        <f>_xlfn.IFNA(VLOOKUP(scheduleapr[[#This Row],[Bucket]],salesforecast[[#All],[Bucket2]:[8406 Stock]],20,0),0)+_xlfn.IFNA(VLOOKUP(scheduleapr[[#This Row],[Bucket]],salesforecast[[#All],[Bucket2]:[8406 Stock]],17,0),0)</f>
        <v>0</v>
      </c>
      <c r="W596" s="557"/>
      <c r="X596" s="1">
        <v>19.05</v>
      </c>
      <c r="Y596" s="1">
        <v>19.05</v>
      </c>
      <c r="Z596" s="1">
        <v>0</v>
      </c>
      <c r="AA596" s="1">
        <v>1.2</v>
      </c>
      <c r="AB596" s="24">
        <v>1230</v>
      </c>
      <c r="AC596" s="24" t="s">
        <v>397</v>
      </c>
      <c r="AD596" s="24"/>
      <c r="AE596" s="24"/>
      <c r="AF596" s="2">
        <v>500</v>
      </c>
      <c r="AG596" s="2"/>
      <c r="AH596" s="2" cm="1">
        <f t="array" ref="AH5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5500</v>
      </c>
      <c r="AI596" s="4">
        <f>scheduleapr[[#This Row],[SCHEDULE in nos]]-scheduleapr[[#This Row],[DISPATCH]]</f>
        <v>-5000</v>
      </c>
      <c r="AJ596" s="1">
        <f>(3.14*(scheduleapr[[#This Row],[ACTUAL OD]]-scheduleapr[[#This Row],[TICKNESS]])*scheduleapr[[#This Row],[TICKNESS]]*scheduleapr[[#This Row],[LENGTH]]*7.85)/1000000*scheduleapr[[#This Row],[SCHEDULE in nos]]/1000</f>
        <v>0.32470867170000001</v>
      </c>
      <c r="AK596" s="1">
        <f>(3.14*(scheduleapr[[#This Row],[ACTUAL OD]]-scheduleapr[[#This Row],[TICKNESS]])*scheduleapr[[#This Row],[TICKNESS]]*scheduleapr[[#This Row],[LENGTH]]*7.85)/1000000*scheduleapr[[#This Row],[DISPATCH]]/1000</f>
        <v>3.5717953887</v>
      </c>
      <c r="AL596" s="1">
        <f t="shared" si="21"/>
        <v>-3.2470867170000002</v>
      </c>
      <c r="AM596" s="1">
        <f>scheduleapr[[#This Row],[SCHEDULE in nos]]/scheduleapr[[#This Row],[SCHEDULE IN MT]]*scheduleapr[[#This Row],[CTL Stock]]</f>
        <v>783.6794092000838</v>
      </c>
      <c r="AN596" s="1">
        <f>SUMIFS(stock[MT],stock[Bucket],scheduleapr[[#This Row],[Bucket]],stock[CTL Bucket],scheduleapr[[#This Row],[CTL Bucket]],stock[Plant],"0789")</f>
        <v>0.50893499999999992</v>
      </c>
      <c r="AO596" s="1"/>
      <c r="AP596" s="1">
        <f>SUMIFS(stock[MT],stock[Bucket],scheduleapr[[#This Row],[Bucket]],stock[LL or CTL],"LL")</f>
        <v>0</v>
      </c>
      <c r="AQ596" s="1">
        <f>+SUMIFS(wip[Stock(Net Wt)],wip[Bucket],scheduleapr[[#This Row],[Bucket]])/1000</f>
        <v>16.085999999999999</v>
      </c>
      <c r="AR596" s="1">
        <f t="shared" si="20"/>
        <v>-0.18422632829999991</v>
      </c>
      <c r="AS596" s="118"/>
    </row>
    <row r="597" spans="1:45" x14ac:dyDescent="0.25">
      <c r="A597" s="30">
        <v>504</v>
      </c>
      <c r="B597" s="78" t="s">
        <v>1816</v>
      </c>
      <c r="C597" s="44" t="s">
        <v>304</v>
      </c>
      <c r="D597" s="2" t="s">
        <v>2104</v>
      </c>
      <c r="E597" s="44">
        <v>188595</v>
      </c>
      <c r="F597" s="87">
        <v>3929692</v>
      </c>
      <c r="G597" s="2" t="str">
        <f>_xlfn.CONCAT(scheduleapr[[#This Row],[CUSTOMER CODE]],"-",scheduleapr[[#This Row],[MATERIAL NO]])</f>
        <v>188595-3929692</v>
      </c>
      <c r="H597" s="2" t="s">
        <v>533</v>
      </c>
      <c r="I597" s="44" t="s">
        <v>229</v>
      </c>
      <c r="J597" s="44"/>
      <c r="K597" s="44" t="s">
        <v>963</v>
      </c>
      <c r="L597" s="44"/>
      <c r="M597" s="44"/>
      <c r="N597" s="44"/>
      <c r="O597" s="44"/>
      <c r="P597" s="44"/>
      <c r="Q597" s="557" t="str">
        <f>CONCATENATE(scheduleapr[[#This Row],[OD]],"-",scheduleapr[[#This Row],[ID]],"-",scheduleapr[[#This Row],[TICKNESS]],"-",scheduleapr[[#This Row],[Grade]],"-",scheduleapr[[#This Row],[FC/NFC]])</f>
        <v>19.05-0-1.2-CRFH-PE</v>
      </c>
      <c r="R597" s="557" t="str">
        <f>_xlfn.CONCAT(scheduleapr[[#This Row],[Bucket]],"-",scheduleapr[[#This Row],[LENGTH]]/1000)</f>
        <v>19.05-0-1.2-CRFH-PE-1.23</v>
      </c>
      <c r="S597" s="557">
        <f>COUNTIF(scheduleapr[CTL Bucket],scheduleapr[[#This Row],[CTL Bucket]])</f>
        <v>3</v>
      </c>
      <c r="T597" s="2" t="s">
        <v>1816</v>
      </c>
      <c r="U597" s="2">
        <f>_xlfn.IFNA(VLOOKUP(scheduleapr[[#This Row],[Bucket]],salesforecast[[#All],[Bucket2]:[8406 Stock]],19,0),0)</f>
        <v>0</v>
      </c>
      <c r="V597" s="562">
        <f>_xlfn.IFNA(VLOOKUP(scheduleapr[[#This Row],[Bucket]],salesforecast[[#All],[Bucket2]:[8406 Stock]],20,0),0)+_xlfn.IFNA(VLOOKUP(scheduleapr[[#This Row],[Bucket]],salesforecast[[#All],[Bucket2]:[8406 Stock]],17,0),0)</f>
        <v>0</v>
      </c>
      <c r="W597" s="557"/>
      <c r="X597" s="79">
        <v>19.05</v>
      </c>
      <c r="Y597" s="79">
        <v>19.05</v>
      </c>
      <c r="Z597" s="79">
        <v>0</v>
      </c>
      <c r="AA597" s="1">
        <v>1.2</v>
      </c>
      <c r="AB597" s="24">
        <v>1230</v>
      </c>
      <c r="AC597" s="24" t="s">
        <v>397</v>
      </c>
      <c r="AD597" s="24"/>
      <c r="AE597" s="24"/>
      <c r="AF597" s="4">
        <v>6000</v>
      </c>
      <c r="AG597" s="4"/>
      <c r="AH597" s="2" cm="1">
        <f t="array" ref="AH5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5500</v>
      </c>
      <c r="AI597" s="4">
        <f>scheduleapr[[#This Row],[SCHEDULE in nos]]-scheduleapr[[#This Row],[DISPATCH]]</f>
        <v>500</v>
      </c>
      <c r="AJ597" s="1">
        <f>(3.14*(scheduleapr[[#This Row],[ACTUAL OD]]-scheduleapr[[#This Row],[TICKNESS]])*scheduleapr[[#This Row],[TICKNESS]]*scheduleapr[[#This Row],[LENGTH]]*7.85)/1000000*scheduleapr[[#This Row],[SCHEDULE in nos]]/1000</f>
        <v>3.8965040603999999</v>
      </c>
      <c r="AK597" s="1">
        <f>(3.14*(scheduleapr[[#This Row],[ACTUAL OD]]-scheduleapr[[#This Row],[TICKNESS]])*scheduleapr[[#This Row],[TICKNESS]]*scheduleapr[[#This Row],[LENGTH]]*7.85)/1000000*scheduleapr[[#This Row],[DISPATCH]]/1000</f>
        <v>3.5717953887</v>
      </c>
      <c r="AL597" s="1">
        <f t="shared" si="21"/>
        <v>0.32470867169999984</v>
      </c>
      <c r="AM597" s="1">
        <f>scheduleapr[[#This Row],[SCHEDULE in nos]]/scheduleapr[[#This Row],[SCHEDULE IN MT]]*scheduleapr[[#This Row],[CTL Stock]]</f>
        <v>783.6794092000838</v>
      </c>
      <c r="AN597" s="1">
        <f>SUMIFS(stock[MT],stock[Bucket],scheduleapr[[#This Row],[Bucket]],stock[CTL Bucket],scheduleapr[[#This Row],[CTL Bucket]],stock[Plant],"0789")</f>
        <v>0.50893499999999992</v>
      </c>
      <c r="AO597" s="1"/>
      <c r="AP597" s="1">
        <f>SUMIFS(stock[MT],stock[Bucket],scheduleapr[[#This Row],[Bucket]],stock[LL or CTL],"LL")</f>
        <v>0</v>
      </c>
      <c r="AQ597" s="1">
        <f>+SUMIFS(wip[Stock(Net Wt)],wip[Bucket],scheduleapr[[#This Row],[Bucket]])/1000</f>
        <v>16.085999999999999</v>
      </c>
      <c r="AR597" s="1">
        <f t="shared" si="20"/>
        <v>3.3875690603999997</v>
      </c>
      <c r="AS597" s="118"/>
    </row>
    <row r="598" spans="1:45" x14ac:dyDescent="0.25">
      <c r="A598" s="30">
        <v>505</v>
      </c>
      <c r="B598" s="5" t="s">
        <v>1816</v>
      </c>
      <c r="C598" s="44" t="s">
        <v>304</v>
      </c>
      <c r="D598" s="2" t="s">
        <v>2104</v>
      </c>
      <c r="E598" s="2">
        <v>188595</v>
      </c>
      <c r="F598" s="9">
        <v>3931834</v>
      </c>
      <c r="G598" s="2" t="str">
        <f>_xlfn.CONCAT(scheduleapr[[#This Row],[CUSTOMER CODE]],"-",scheduleapr[[#This Row],[MATERIAL NO]])</f>
        <v>188595-3931834</v>
      </c>
      <c r="H598" s="2" t="s">
        <v>2109</v>
      </c>
      <c r="I598" s="44" t="s">
        <v>229</v>
      </c>
      <c r="J598" s="1"/>
      <c r="K598" s="44" t="s">
        <v>963</v>
      </c>
      <c r="L598" s="2" t="s">
        <v>1867</v>
      </c>
      <c r="M598" s="1"/>
      <c r="N598" s="24"/>
      <c r="O598" s="2"/>
      <c r="P598" s="2"/>
      <c r="Q598" s="557" t="str">
        <f>CONCATENATE(scheduleapr[[#This Row],[OD]],"-",scheduleapr[[#This Row],[ID]],"-",scheduleapr[[#This Row],[TICKNESS]],"-",scheduleapr[[#This Row],[Grade]],"-",scheduleapr[[#This Row],[FC/NFC]])</f>
        <v>19-19-1-CRFH-PE</v>
      </c>
      <c r="R598" s="557" t="str">
        <f>_xlfn.CONCAT(scheduleapr[[#This Row],[Bucket]],"-",scheduleapr[[#This Row],[LENGTH]]/1000)</f>
        <v>19-19-1-CRFH-PE-0.1</v>
      </c>
      <c r="S598" s="557">
        <f>COUNTIF(scheduleapr[CTL Bucket],scheduleapr[[#This Row],[CTL Bucket]])</f>
        <v>3</v>
      </c>
      <c r="T598" s="2" t="s">
        <v>1816</v>
      </c>
      <c r="U598" s="2">
        <f>_xlfn.IFNA(VLOOKUP(scheduleapr[[#This Row],[Bucket]],salesforecast[[#All],[Bucket2]:[8406 Stock]],19,0),0)</f>
        <v>0</v>
      </c>
      <c r="V598" s="562">
        <f>_xlfn.IFNA(VLOOKUP(scheduleapr[[#This Row],[Bucket]],salesforecast[[#All],[Bucket2]:[8406 Stock]],20,0),0)+_xlfn.IFNA(VLOOKUP(scheduleapr[[#This Row],[Bucket]],salesforecast[[#All],[Bucket2]:[8406 Stock]],17,0),0)</f>
        <v>0</v>
      </c>
      <c r="W598" s="557"/>
      <c r="X598" s="1">
        <v>23.42</v>
      </c>
      <c r="Y598" s="1">
        <v>19</v>
      </c>
      <c r="Z598" s="1">
        <v>19</v>
      </c>
      <c r="AA598" s="1">
        <v>1</v>
      </c>
      <c r="AB598" s="24">
        <v>100</v>
      </c>
      <c r="AC598" s="24" t="s">
        <v>397</v>
      </c>
      <c r="AD598" s="24"/>
      <c r="AE598" s="24"/>
      <c r="AF598" s="4">
        <v>24000</v>
      </c>
      <c r="AG598" s="4"/>
      <c r="AH598" s="2" cm="1">
        <f t="array" ref="AH5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12000</v>
      </c>
      <c r="AI598" s="4">
        <f>scheduleapr[[#This Row],[SCHEDULE in nos]]-scheduleapr[[#This Row],[DISPATCH]]</f>
        <v>12000</v>
      </c>
      <c r="AJ598" s="1">
        <f>(3.14*(scheduleapr[[#This Row],[ACTUAL OD]]-scheduleapr[[#This Row],[TICKNESS]])*scheduleapr[[#This Row],[TICKNESS]]*scheduleapr[[#This Row],[LENGTH]]*7.85)/1000000*scheduleapr[[#This Row],[SCHEDULE in nos]]/1000</f>
        <v>1.3263133920000001</v>
      </c>
      <c r="AK598" s="1">
        <f>(3.14*(scheduleapr[[#This Row],[ACTUAL OD]]-scheduleapr[[#This Row],[TICKNESS]])*scheduleapr[[#This Row],[TICKNESS]]*scheduleapr[[#This Row],[LENGTH]]*7.85)/1000000*scheduleapr[[#This Row],[DISPATCH]]/1000</f>
        <v>0.66315669600000005</v>
      </c>
      <c r="AL598" s="1">
        <f t="shared" si="21"/>
        <v>0.66315669600000005</v>
      </c>
      <c r="AM598" s="1">
        <f>scheduleapr[[#This Row],[SCHEDULE in nos]]/scheduleapr[[#This Row],[SCHEDULE IN MT]]*scheduleapr[[#This Row],[CTL Stock]]</f>
        <v>2137.2505300014341</v>
      </c>
      <c r="AN598" s="1">
        <f>SUMIFS(stock[MT],stock[Bucket],scheduleapr[[#This Row],[Bucket]],stock[CTL Bucket],scheduleapr[[#This Row],[CTL Bucket]],stock[Plant],"0789")</f>
        <v>0.11811100000000001</v>
      </c>
      <c r="AO598" s="1"/>
      <c r="AP598" s="1">
        <f>SUMIFS(stock[MT],stock[Bucket],scheduleapr[[#This Row],[Bucket]],stock[LL or CTL],"LL")</f>
        <v>15.867808</v>
      </c>
      <c r="AQ598" s="1">
        <f>+SUMIFS(wip[Stock(Net Wt)],wip[Bucket],scheduleapr[[#This Row],[Bucket]])/1000</f>
        <v>41.765000000000001</v>
      </c>
      <c r="AR598" s="1">
        <f t="shared" si="20"/>
        <v>1.208202392</v>
      </c>
      <c r="AS598" s="118"/>
    </row>
    <row r="599" spans="1:45" x14ac:dyDescent="0.25">
      <c r="A599" s="30">
        <v>536</v>
      </c>
      <c r="B599" s="5" t="s">
        <v>1816</v>
      </c>
      <c r="C599" s="2" t="s">
        <v>301</v>
      </c>
      <c r="D599" s="2" t="s">
        <v>2104</v>
      </c>
      <c r="E599" s="2">
        <v>188595</v>
      </c>
      <c r="F599" s="9">
        <v>3931834</v>
      </c>
      <c r="G599" s="2" t="str">
        <f>_xlfn.CONCAT(scheduleapr[[#This Row],[CUSTOMER CODE]],"-",scheduleapr[[#This Row],[MATERIAL NO]])</f>
        <v>188595-3931834</v>
      </c>
      <c r="H599" s="2" t="s">
        <v>2109</v>
      </c>
      <c r="I599" s="44" t="s">
        <v>229</v>
      </c>
      <c r="J599" s="1"/>
      <c r="K599" s="44" t="s">
        <v>963</v>
      </c>
      <c r="L599" s="2" t="s">
        <v>1867</v>
      </c>
      <c r="M599" s="1"/>
      <c r="N599" s="24"/>
      <c r="O599" s="2"/>
      <c r="P599" s="2"/>
      <c r="Q599" s="557" t="str">
        <f>CONCATENATE(scheduleapr[[#This Row],[OD]],"-",scheduleapr[[#This Row],[ID]],"-",scheduleapr[[#This Row],[TICKNESS]],"-",scheduleapr[[#This Row],[Grade]],"-",scheduleapr[[#This Row],[FC/NFC]])</f>
        <v>19-19-1-CRFH-PE</v>
      </c>
      <c r="R599" s="557" t="str">
        <f>_xlfn.CONCAT(scheduleapr[[#This Row],[Bucket]],"-",scheduleapr[[#This Row],[LENGTH]]/1000)</f>
        <v>19-19-1-CRFH-PE-0.1</v>
      </c>
      <c r="S599" s="557">
        <f>COUNTIF(scheduleapr[CTL Bucket],scheduleapr[[#This Row],[CTL Bucket]])</f>
        <v>3</v>
      </c>
      <c r="T599" s="2" t="s">
        <v>1816</v>
      </c>
      <c r="U599" s="2"/>
      <c r="V599" s="557"/>
      <c r="W599" s="557"/>
      <c r="X599" s="1">
        <v>23.42</v>
      </c>
      <c r="Y599" s="1">
        <v>19</v>
      </c>
      <c r="Z599" s="1">
        <v>19</v>
      </c>
      <c r="AA599" s="1">
        <v>1</v>
      </c>
      <c r="AB599" s="24">
        <v>100</v>
      </c>
      <c r="AC599" s="24" t="s">
        <v>397</v>
      </c>
      <c r="AD599" s="24"/>
      <c r="AE599" s="24"/>
      <c r="AF599" s="2"/>
      <c r="AG599" s="2"/>
      <c r="AH599" s="2" cm="1">
        <f t="array" ref="AH5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12000</v>
      </c>
      <c r="AI599" s="4">
        <f>scheduleapr[[#This Row],[SCHEDULE in nos]]-scheduleapr[[#This Row],[DISPATCH]]</f>
        <v>-12000</v>
      </c>
      <c r="AJ599" s="1">
        <f>(3.14*(scheduleapr[[#This Row],[ACTUAL OD]]-scheduleapr[[#This Row],[TICKNESS]])*scheduleapr[[#This Row],[TICKNESS]]*scheduleapr[[#This Row],[LENGTH]]*7.85)/1000000*scheduleapr[[#This Row],[SCHEDULE in nos]]/1000</f>
        <v>0</v>
      </c>
      <c r="AK599" s="1">
        <f>(3.14*(scheduleapr[[#This Row],[ACTUAL OD]]-scheduleapr[[#This Row],[TICKNESS]])*scheduleapr[[#This Row],[TICKNESS]]*scheduleapr[[#This Row],[LENGTH]]*7.85)/1000000*scheduleapr[[#This Row],[DISPATCH]]/1000</f>
        <v>0.66315669600000005</v>
      </c>
      <c r="AL599" s="1">
        <f t="shared" si="21"/>
        <v>-0.66315669600000005</v>
      </c>
      <c r="AM599" s="1" t="e">
        <f>scheduleapr[[#This Row],[SCHEDULE in nos]]/scheduleapr[[#This Row],[SCHEDULE IN MT]]*scheduleapr[[#This Row],[CTL Stock]]</f>
        <v>#DIV/0!</v>
      </c>
      <c r="AN599" s="1">
        <f>SUMIFS(stock[MT],stock[Bucket],scheduleapr[[#This Row],[Bucket]],stock[CTL Bucket],scheduleapr[[#This Row],[CTL Bucket]],stock[Plant],"0789")</f>
        <v>0.11811100000000001</v>
      </c>
      <c r="AO599" s="1"/>
      <c r="AP599" s="1">
        <f>SUMIFS(stock[MT],stock[Bucket],scheduleapr[[#This Row],[Bucket]],stock[LL or CTL],"LL")</f>
        <v>15.867808</v>
      </c>
      <c r="AQ599" s="1">
        <f>+SUMIFS(wip[Stock(Net Wt)],wip[Bucket],scheduleapr[[#This Row],[Bucket]])/1000</f>
        <v>41.765000000000001</v>
      </c>
      <c r="AR599" s="1">
        <f t="shared" si="20"/>
        <v>-0.11811100000000001</v>
      </c>
      <c r="AS599" s="118"/>
    </row>
    <row r="600" spans="1:45" x14ac:dyDescent="0.25">
      <c r="A600" s="30">
        <v>506</v>
      </c>
      <c r="B600" s="5" t="s">
        <v>1816</v>
      </c>
      <c r="C600" s="44" t="s">
        <v>304</v>
      </c>
      <c r="D600" s="2" t="s">
        <v>2104</v>
      </c>
      <c r="E600" s="2">
        <v>188595</v>
      </c>
      <c r="F600" s="9">
        <v>3931835</v>
      </c>
      <c r="G600" s="2" t="str">
        <f>_xlfn.CONCAT(scheduleapr[[#This Row],[CUSTOMER CODE]],"-",scheduleapr[[#This Row],[MATERIAL NO]])</f>
        <v>188595-3931835</v>
      </c>
      <c r="H600" s="2" t="s">
        <v>527</v>
      </c>
      <c r="I600" s="44" t="s">
        <v>229</v>
      </c>
      <c r="J600" s="1"/>
      <c r="K600" s="44" t="s">
        <v>963</v>
      </c>
      <c r="L600" s="2" t="s">
        <v>1867</v>
      </c>
      <c r="M600" s="1"/>
      <c r="N600" s="24"/>
      <c r="O600" s="2"/>
      <c r="P600" s="2"/>
      <c r="Q600" s="557" t="str">
        <f>CONCATENATE(scheduleapr[[#This Row],[OD]],"-",scheduleapr[[#This Row],[ID]],"-",scheduleapr[[#This Row],[TICKNESS]],"-",scheduleapr[[#This Row],[Grade]],"-",scheduleapr[[#This Row],[FC/NFC]])</f>
        <v>19-19-1-CRFH-PE</v>
      </c>
      <c r="R600" s="557" t="str">
        <f>_xlfn.CONCAT(scheduleapr[[#This Row],[Bucket]],"-",scheduleapr[[#This Row],[LENGTH]]/1000)</f>
        <v>19-19-1-CRFH-PE-0.11</v>
      </c>
      <c r="S600" s="557">
        <f>COUNTIF(scheduleapr[CTL Bucket],scheduleapr[[#This Row],[CTL Bucket]])</f>
        <v>4</v>
      </c>
      <c r="T600" s="2" t="s">
        <v>1816</v>
      </c>
      <c r="U600" s="2">
        <f>_xlfn.IFNA(VLOOKUP(scheduleapr[[#This Row],[Bucket]],salesforecast[[#All],[Bucket2]:[8406 Stock]],19,0),0)</f>
        <v>0</v>
      </c>
      <c r="V600" s="562">
        <f>_xlfn.IFNA(VLOOKUP(scheduleapr[[#This Row],[Bucket]],salesforecast[[#All],[Bucket2]:[8406 Stock]],20,0),0)+_xlfn.IFNA(VLOOKUP(scheduleapr[[#This Row],[Bucket]],salesforecast[[#All],[Bucket2]:[8406 Stock]],17,0),0)</f>
        <v>0</v>
      </c>
      <c r="W600" s="557"/>
      <c r="X600" s="1">
        <v>23.42</v>
      </c>
      <c r="Y600" s="1">
        <v>19</v>
      </c>
      <c r="Z600" s="1">
        <v>19</v>
      </c>
      <c r="AA600" s="1">
        <v>1</v>
      </c>
      <c r="AB600" s="24">
        <v>110</v>
      </c>
      <c r="AC600" s="24" t="s">
        <v>397</v>
      </c>
      <c r="AD600" s="24"/>
      <c r="AE600" s="24"/>
      <c r="AF600" s="4">
        <v>12000</v>
      </c>
      <c r="AG600" s="4"/>
      <c r="AH600" s="2" cm="1">
        <f t="array" ref="AH6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00" s="4">
        <f>scheduleapr[[#This Row],[SCHEDULE in nos]]-scheduleapr[[#This Row],[DISPATCH]]</f>
        <v>5000</v>
      </c>
      <c r="AJ600" s="1">
        <f>(3.14*(scheduleapr[[#This Row],[ACTUAL OD]]-scheduleapr[[#This Row],[TICKNESS]])*scheduleapr[[#This Row],[TICKNESS]]*scheduleapr[[#This Row],[LENGTH]]*7.85)/1000000*scheduleapr[[#This Row],[SCHEDULE in nos]]/1000</f>
        <v>0.72947236560000006</v>
      </c>
      <c r="AK600" s="1">
        <f>(3.14*(scheduleapr[[#This Row],[ACTUAL OD]]-scheduleapr[[#This Row],[TICKNESS]])*scheduleapr[[#This Row],[TICKNESS]]*scheduleapr[[#This Row],[LENGTH]]*7.85)/1000000*scheduleapr[[#This Row],[DISPATCH]]/1000</f>
        <v>0.42552554660000003</v>
      </c>
      <c r="AL600" s="1">
        <f t="shared" si="21"/>
        <v>0.30394681900000003</v>
      </c>
      <c r="AM600" s="1">
        <f>scheduleapr[[#This Row],[SCHEDULE in nos]]/scheduleapr[[#This Row],[SCHEDULE IN MT]]*scheduleapr[[#This Row],[CTL Stock]]</f>
        <v>1802.3876736147056</v>
      </c>
      <c r="AN600" s="1">
        <f>SUMIFS(stock[MT],stock[Bucket],scheduleapr[[#This Row],[Bucket]],stock[CTL Bucket],scheduleapr[[#This Row],[CTL Bucket]],stock[Plant],"0789")</f>
        <v>0.109566</v>
      </c>
      <c r="AO600" s="1"/>
      <c r="AP600" s="1">
        <f>SUMIFS(stock[MT],stock[Bucket],scheduleapr[[#This Row],[Bucket]],stock[LL or CTL],"LL")</f>
        <v>15.867808</v>
      </c>
      <c r="AQ600" s="1">
        <f>+SUMIFS(wip[Stock(Net Wt)],wip[Bucket],scheduleapr[[#This Row],[Bucket]])/1000</f>
        <v>41.765000000000001</v>
      </c>
      <c r="AR600" s="1">
        <f t="shared" si="20"/>
        <v>0.61990636560000012</v>
      </c>
      <c r="AS600" s="118"/>
    </row>
    <row r="601" spans="1:45" x14ac:dyDescent="0.25">
      <c r="A601" s="30">
        <v>537</v>
      </c>
      <c r="B601" s="5" t="s">
        <v>1816</v>
      </c>
      <c r="C601" s="2" t="s">
        <v>301</v>
      </c>
      <c r="D601" s="2" t="s">
        <v>2104</v>
      </c>
      <c r="E601" s="2">
        <v>188595</v>
      </c>
      <c r="F601" s="575">
        <v>3931835</v>
      </c>
      <c r="G601" s="2" t="str">
        <f>_xlfn.CONCAT(scheduleapr[[#This Row],[CUSTOMER CODE]],"-",scheduleapr[[#This Row],[MATERIAL NO]])</f>
        <v>188595-3931835</v>
      </c>
      <c r="H601" s="2" t="s">
        <v>527</v>
      </c>
      <c r="I601" s="44" t="s">
        <v>229</v>
      </c>
      <c r="J601" s="1"/>
      <c r="K601" s="44" t="s">
        <v>963</v>
      </c>
      <c r="L601" s="2" t="s">
        <v>1867</v>
      </c>
      <c r="M601" s="1"/>
      <c r="N601" s="24"/>
      <c r="O601" s="2"/>
      <c r="P601" s="2"/>
      <c r="Q601" s="557" t="str">
        <f>CONCATENATE(scheduleapr[[#This Row],[OD]],"-",scheduleapr[[#This Row],[ID]],"-",scheduleapr[[#This Row],[TICKNESS]],"-",scheduleapr[[#This Row],[Grade]],"-",scheduleapr[[#This Row],[FC/NFC]])</f>
        <v>19-19-1-CRFH-PE</v>
      </c>
      <c r="R601" s="557" t="str">
        <f>_xlfn.CONCAT(scheduleapr[[#This Row],[Bucket]],"-",scheduleapr[[#This Row],[LENGTH]]/1000)</f>
        <v>19-19-1-CRFH-PE-0.11</v>
      </c>
      <c r="S601" s="557">
        <f>COUNTIF(scheduleapr[CTL Bucket],scheduleapr[[#This Row],[CTL Bucket]])</f>
        <v>4</v>
      </c>
      <c r="T601" s="2" t="s">
        <v>1816</v>
      </c>
      <c r="U601" s="2">
        <f>_xlfn.IFNA(VLOOKUP(scheduleapr[[#This Row],[Bucket]],salesforecast[[#All],[Bucket2]:[8406 Stock]],19,0),0)</f>
        <v>0</v>
      </c>
      <c r="V601" s="562">
        <f>_xlfn.IFNA(VLOOKUP(scheduleapr[[#This Row],[Bucket]],salesforecast[[#All],[Bucket2]:[8406 Stock]],20,0),0)+_xlfn.IFNA(VLOOKUP(scheduleapr[[#This Row],[Bucket]],salesforecast[[#All],[Bucket2]:[8406 Stock]],17,0),0)</f>
        <v>0</v>
      </c>
      <c r="W601" s="557"/>
      <c r="X601" s="1">
        <v>23.42</v>
      </c>
      <c r="Y601" s="1">
        <v>19</v>
      </c>
      <c r="Z601" s="1">
        <v>19</v>
      </c>
      <c r="AA601" s="1">
        <v>1</v>
      </c>
      <c r="AB601" s="24">
        <v>110</v>
      </c>
      <c r="AC601" s="24" t="s">
        <v>397</v>
      </c>
      <c r="AD601" s="24"/>
      <c r="AE601" s="24"/>
      <c r="AF601" s="2">
        <v>1000</v>
      </c>
      <c r="AG601" s="2"/>
      <c r="AH601" s="2" cm="1">
        <f t="array" ref="AH6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01" s="4">
        <f>scheduleapr[[#This Row],[SCHEDULE in nos]]-scheduleapr[[#This Row],[DISPATCH]]</f>
        <v>-6000</v>
      </c>
      <c r="AJ601" s="1">
        <f>(3.14*(scheduleapr[[#This Row],[ACTUAL OD]]-scheduleapr[[#This Row],[TICKNESS]])*scheduleapr[[#This Row],[TICKNESS]]*scheduleapr[[#This Row],[LENGTH]]*7.85)/1000000*scheduleapr[[#This Row],[SCHEDULE in nos]]/1000</f>
        <v>6.078936380000001E-2</v>
      </c>
      <c r="AK601" s="1">
        <f>(3.14*(scheduleapr[[#This Row],[ACTUAL OD]]-scheduleapr[[#This Row],[TICKNESS]])*scheduleapr[[#This Row],[TICKNESS]]*scheduleapr[[#This Row],[LENGTH]]*7.85)/1000000*scheduleapr[[#This Row],[DISPATCH]]/1000</f>
        <v>0.42552554660000003</v>
      </c>
      <c r="AL601" s="1">
        <f t="shared" si="21"/>
        <v>-0.36473618280000003</v>
      </c>
      <c r="AM601" s="1">
        <f>scheduleapr[[#This Row],[SCHEDULE in nos]]/scheduleapr[[#This Row],[SCHEDULE IN MT]]*scheduleapr[[#This Row],[CTL Stock]]</f>
        <v>1802.3876736147051</v>
      </c>
      <c r="AN601" s="1">
        <f>SUMIFS(stock[MT],stock[Bucket],scheduleapr[[#This Row],[Bucket]],stock[CTL Bucket],scheduleapr[[#This Row],[CTL Bucket]],stock[Plant],"0789")</f>
        <v>0.109566</v>
      </c>
      <c r="AO601" s="1"/>
      <c r="AP601" s="1">
        <f>SUMIFS(stock[MT],stock[Bucket],scheduleapr[[#This Row],[Bucket]],stock[LL or CTL],"LL")</f>
        <v>15.867808</v>
      </c>
      <c r="AQ601" s="1">
        <f>+SUMIFS(wip[Stock(Net Wt)],wip[Bucket],scheduleapr[[#This Row],[Bucket]])/1000</f>
        <v>41.765000000000001</v>
      </c>
      <c r="AR601" s="1">
        <f t="shared" si="20"/>
        <v>-4.8776636199999987E-2</v>
      </c>
      <c r="AS601" s="118"/>
    </row>
    <row r="602" spans="1:45" x14ac:dyDescent="0.25">
      <c r="A602" s="30">
        <v>648</v>
      </c>
      <c r="B602" s="5" t="s">
        <v>1816</v>
      </c>
      <c r="C602" s="2" t="s">
        <v>306</v>
      </c>
      <c r="D602" s="2" t="s">
        <v>2104</v>
      </c>
      <c r="E602" s="2">
        <v>188595</v>
      </c>
      <c r="F602" s="523">
        <v>3931835</v>
      </c>
      <c r="G602" s="2" t="str">
        <f>_xlfn.CONCAT(scheduleapr[[#This Row],[CUSTOMER CODE]],"-",scheduleapr[[#This Row],[MATERIAL NO]])</f>
        <v>188595-3931835</v>
      </c>
      <c r="H602" s="523" t="s">
        <v>527</v>
      </c>
      <c r="I602" s="2" t="s">
        <v>229</v>
      </c>
      <c r="J602" s="2"/>
      <c r="K602" s="44" t="s">
        <v>963</v>
      </c>
      <c r="L602" s="2"/>
      <c r="M602" s="44"/>
      <c r="N602" s="2"/>
      <c r="O602" s="2"/>
      <c r="P602" s="2"/>
      <c r="Q602" s="557" t="str">
        <f>CONCATENATE(scheduleapr[[#This Row],[OD]],"-",scheduleapr[[#This Row],[ID]],"-",scheduleapr[[#This Row],[TICKNESS]],"-",scheduleapr[[#This Row],[Grade]],"-",scheduleapr[[#This Row],[FC/NFC]])</f>
        <v>19-19-1-CRFH-PE</v>
      </c>
      <c r="R602" s="557" t="str">
        <f>_xlfn.CONCAT(scheduleapr[[#This Row],[Bucket]],"-",scheduleapr[[#This Row],[LENGTH]]/1000)</f>
        <v>19-19-1-CRFH-PE-0.11</v>
      </c>
      <c r="S602" s="2"/>
      <c r="T602" s="2"/>
      <c r="U602" s="2">
        <f>_xlfn.IFNA(VLOOKUP(scheduleapr[[#This Row],[Bucket]],salesforecast[[#All],[Bucket2]:[8406 Stock]],19,0),0)</f>
        <v>0</v>
      </c>
      <c r="V602" s="562">
        <f>_xlfn.IFNA(VLOOKUP(scheduleapr[[#This Row],[Bucket]],salesforecast[[#All],[Bucket2]:[8406 Stock]],20,0),0)+_xlfn.IFNA(VLOOKUP(scheduleapr[[#This Row],[Bucket]],salesforecast[[#All],[Bucket2]:[8406 Stock]],17,0),0)</f>
        <v>0</v>
      </c>
      <c r="W602" s="2"/>
      <c r="X602" s="1">
        <v>23.42</v>
      </c>
      <c r="Y602" s="1">
        <v>19</v>
      </c>
      <c r="Z602" s="1">
        <v>19</v>
      </c>
      <c r="AA602" s="1">
        <v>1</v>
      </c>
      <c r="AB602" s="24">
        <v>110</v>
      </c>
      <c r="AC602" s="24" t="s">
        <v>397</v>
      </c>
      <c r="AD602" s="24"/>
      <c r="AE602" s="24"/>
      <c r="AF602" s="2">
        <v>1000</v>
      </c>
      <c r="AG602" s="2"/>
      <c r="AH602" s="2" cm="1">
        <f t="array" ref="AH6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02" s="4">
        <f>scheduleapr[[#This Row],[SCHEDULE in nos]]-scheduleapr[[#This Row],[DISPATCH]]</f>
        <v>-6000</v>
      </c>
      <c r="AJ602" s="1">
        <f>(3.14*(scheduleapr[[#This Row],[ACTUAL OD]]-scheduleapr[[#This Row],[TICKNESS]])*scheduleapr[[#This Row],[TICKNESS]]*scheduleapr[[#This Row],[LENGTH]]*7.85)/1000000*scheduleapr[[#This Row],[SCHEDULE in nos]]/1000</f>
        <v>6.078936380000001E-2</v>
      </c>
      <c r="AK602" s="1">
        <f>(3.14*(scheduleapr[[#This Row],[ACTUAL OD]]-scheduleapr[[#This Row],[TICKNESS]])*scheduleapr[[#This Row],[TICKNESS]]*scheduleapr[[#This Row],[LENGTH]]*7.85)/1000000*scheduleapr[[#This Row],[DISPATCH]]/1000</f>
        <v>0.42552554660000003</v>
      </c>
      <c r="AL602" s="1">
        <f t="shared" si="21"/>
        <v>-0.36473618280000003</v>
      </c>
      <c r="AM602" s="1">
        <f>scheduleapr[[#This Row],[SCHEDULE in nos]]/scheduleapr[[#This Row],[SCHEDULE IN MT]]*scheduleapr[[#This Row],[CTL Stock]]</f>
        <v>1802.3876736147051</v>
      </c>
      <c r="AN602" s="1">
        <f>SUMIFS(stock[MT],stock[Bucket],scheduleapr[[#This Row],[Bucket]],stock[CTL Bucket],scheduleapr[[#This Row],[CTL Bucket]],stock[Plant],"0789")</f>
        <v>0.109566</v>
      </c>
      <c r="AO602" s="1"/>
      <c r="AP602" s="1">
        <f>SUMIFS(stock[MT],stock[Bucket],scheduleapr[[#This Row],[Bucket]],stock[LL or CTL],"LL")</f>
        <v>15.867808</v>
      </c>
      <c r="AQ602" s="1">
        <f>+SUMIFS(wip[Stock(Net Wt)],wip[Bucket],scheduleapr[[#This Row],[Bucket]])/1000</f>
        <v>41.765000000000001</v>
      </c>
      <c r="AR602" s="1">
        <f t="shared" si="20"/>
        <v>-4.8776636199999987E-2</v>
      </c>
      <c r="AS602" s="118"/>
    </row>
    <row r="603" spans="1:45" x14ac:dyDescent="0.25">
      <c r="A603" s="30">
        <v>512</v>
      </c>
      <c r="B603" s="5" t="s">
        <v>1816</v>
      </c>
      <c r="C603" s="44" t="s">
        <v>304</v>
      </c>
      <c r="D603" s="2" t="s">
        <v>2104</v>
      </c>
      <c r="E603" s="2">
        <v>188595</v>
      </c>
      <c r="F603" s="523">
        <v>4151428</v>
      </c>
      <c r="G603" s="2" t="str">
        <f>_xlfn.CONCAT(scheduleapr[[#This Row],[CUSTOMER CODE]],"-",scheduleapr[[#This Row],[MATERIAL NO]])</f>
        <v>188595-4151428</v>
      </c>
      <c r="H603" s="2" t="s">
        <v>2110</v>
      </c>
      <c r="I603" s="44" t="s">
        <v>229</v>
      </c>
      <c r="J603" s="1"/>
      <c r="K603" s="44" t="s">
        <v>963</v>
      </c>
      <c r="L603" s="2" t="s">
        <v>1867</v>
      </c>
      <c r="M603" s="1"/>
      <c r="N603" s="24"/>
      <c r="O603" s="2"/>
      <c r="P603" s="2"/>
      <c r="Q603" s="557" t="str">
        <f>CONCATENATE(scheduleapr[[#This Row],[OD]],"-",scheduleapr[[#This Row],[ID]],"-",scheduleapr[[#This Row],[TICKNESS]],"-",scheduleapr[[#This Row],[Grade]],"-",scheduleapr[[#This Row],[FC/NFC]])</f>
        <v>19-19-1-CRFH-PE</v>
      </c>
      <c r="R603" s="557" t="str">
        <f>_xlfn.CONCAT(scheduleapr[[#This Row],[Bucket]],"-",scheduleapr[[#This Row],[LENGTH]]/1000)</f>
        <v>19-19-1-CRFH-PE-0.115</v>
      </c>
      <c r="S603" s="557">
        <f>COUNTIF(scheduleapr[CTL Bucket],scheduleapr[[#This Row],[CTL Bucket]])</f>
        <v>2</v>
      </c>
      <c r="T603" s="2" t="s">
        <v>1816</v>
      </c>
      <c r="U603" s="2">
        <f>_xlfn.IFNA(VLOOKUP(scheduleapr[[#This Row],[Bucket]],salesforecast[[#All],[Bucket2]:[8406 Stock]],19,0),0)</f>
        <v>0</v>
      </c>
      <c r="V603" s="562">
        <f>_xlfn.IFNA(VLOOKUP(scheduleapr[[#This Row],[Bucket]],salesforecast[[#All],[Bucket2]:[8406 Stock]],20,0),0)+_xlfn.IFNA(VLOOKUP(scheduleapr[[#This Row],[Bucket]],salesforecast[[#All],[Bucket2]:[8406 Stock]],17,0),0)</f>
        <v>0</v>
      </c>
      <c r="W603" s="557"/>
      <c r="X603" s="1">
        <v>23.42</v>
      </c>
      <c r="Y603" s="1">
        <v>19</v>
      </c>
      <c r="Z603" s="1">
        <v>19</v>
      </c>
      <c r="AA603" s="1">
        <v>1</v>
      </c>
      <c r="AB603" s="24">
        <v>115</v>
      </c>
      <c r="AC603" s="24" t="s">
        <v>397</v>
      </c>
      <c r="AD603" s="24"/>
      <c r="AE603" s="24"/>
      <c r="AF603" s="4">
        <v>12000</v>
      </c>
      <c r="AG603" s="4"/>
      <c r="AH603" s="2" cm="1">
        <f t="array" ref="AH6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03" s="4">
        <f>scheduleapr[[#This Row],[SCHEDULE in nos]]-scheduleapr[[#This Row],[DISPATCH]]</f>
        <v>6000</v>
      </c>
      <c r="AJ603" s="1">
        <f>(3.14*(scheduleapr[[#This Row],[ACTUAL OD]]-scheduleapr[[#This Row],[TICKNESS]])*scheduleapr[[#This Row],[TICKNESS]]*scheduleapr[[#This Row],[LENGTH]]*7.85)/1000000*scheduleapr[[#This Row],[SCHEDULE in nos]]/1000</f>
        <v>0.76263020040000007</v>
      </c>
      <c r="AK603" s="1">
        <f>(3.14*(scheduleapr[[#This Row],[ACTUAL OD]]-scheduleapr[[#This Row],[TICKNESS]])*scheduleapr[[#This Row],[TICKNESS]]*scheduleapr[[#This Row],[LENGTH]]*7.85)/1000000*scheduleapr[[#This Row],[DISPATCH]]/1000</f>
        <v>0.38131510020000003</v>
      </c>
      <c r="AL603" s="1">
        <f t="shared" si="21"/>
        <v>0.38131510020000003</v>
      </c>
      <c r="AM603" s="1">
        <f>scheduleapr[[#This Row],[SCHEDULE in nos]]/scheduleapr[[#This Row],[SCHEDULE IN MT]]*scheduleapr[[#This Row],[CTL Stock]]</f>
        <v>5.7275465851063609</v>
      </c>
      <c r="AN603" s="1">
        <f>SUMIFS(stock[MT],stock[Bucket],scheduleapr[[#This Row],[Bucket]],stock[CTL Bucket],scheduleapr[[#This Row],[CTL Bucket]],stock[Plant],"0789")</f>
        <v>3.6400000000000001E-4</v>
      </c>
      <c r="AO603" s="1"/>
      <c r="AP603" s="1">
        <f>SUMIFS(stock[MT],stock[Bucket],scheduleapr[[#This Row],[Bucket]],stock[LL or CTL],"LL")</f>
        <v>15.867808</v>
      </c>
      <c r="AQ603" s="1">
        <f>+SUMIFS(wip[Stock(Net Wt)],wip[Bucket],scheduleapr[[#This Row],[Bucket]])/1000</f>
        <v>41.765000000000001</v>
      </c>
      <c r="AR603" s="1">
        <f t="shared" si="20"/>
        <v>0.76226620040000004</v>
      </c>
      <c r="AS603" s="118"/>
    </row>
    <row r="604" spans="1:45" x14ac:dyDescent="0.25">
      <c r="A604" s="30">
        <v>647</v>
      </c>
      <c r="B604" s="5" t="s">
        <v>1816</v>
      </c>
      <c r="C604" s="2" t="s">
        <v>306</v>
      </c>
      <c r="D604" s="2" t="s">
        <v>2104</v>
      </c>
      <c r="E604" s="2">
        <v>188595</v>
      </c>
      <c r="F604" s="523">
        <v>3938687</v>
      </c>
      <c r="G604" s="2" t="str">
        <f>_xlfn.CONCAT(scheduleapr[[#This Row],[CUSTOMER CODE]],"-",scheduleapr[[#This Row],[MATERIAL NO]])</f>
        <v>188595-3938687</v>
      </c>
      <c r="H604" s="523" t="s">
        <v>554</v>
      </c>
      <c r="I604" s="2" t="s">
        <v>229</v>
      </c>
      <c r="J604" s="2"/>
      <c r="K604" s="44" t="s">
        <v>963</v>
      </c>
      <c r="L604" s="2"/>
      <c r="M604" s="44"/>
      <c r="N604" s="2"/>
      <c r="O604" s="2"/>
      <c r="P604" s="2"/>
      <c r="Q604" s="557" t="str">
        <f>CONCATENATE(scheduleapr[[#This Row],[OD]],"-",scheduleapr[[#This Row],[ID]],"-",scheduleapr[[#This Row],[TICKNESS]],"-",scheduleapr[[#This Row],[Grade]],"-",scheduleapr[[#This Row],[FC/NFC]])</f>
        <v>19-19-1-CRFH-PE</v>
      </c>
      <c r="R604" s="557" t="str">
        <f>_xlfn.CONCAT(scheduleapr[[#This Row],[Bucket]],"-",scheduleapr[[#This Row],[LENGTH]]/1000)</f>
        <v>19-19-1-CRFH-PE-0.129</v>
      </c>
      <c r="S604" s="2"/>
      <c r="T604" s="2"/>
      <c r="U604" s="2">
        <f>_xlfn.IFNA(VLOOKUP(scheduleapr[[#This Row],[Bucket]],salesforecast[[#All],[Bucket2]:[8406 Stock]],19,0),0)</f>
        <v>0</v>
      </c>
      <c r="V604" s="562">
        <f>_xlfn.IFNA(VLOOKUP(scheduleapr[[#This Row],[Bucket]],salesforecast[[#All],[Bucket2]:[8406 Stock]],20,0),0)+_xlfn.IFNA(VLOOKUP(scheduleapr[[#This Row],[Bucket]],salesforecast[[#All],[Bucket2]:[8406 Stock]],17,0),0)</f>
        <v>0</v>
      </c>
      <c r="W604" s="2"/>
      <c r="X604" s="1">
        <v>23.42</v>
      </c>
      <c r="Y604" s="1">
        <v>19</v>
      </c>
      <c r="Z604" s="1">
        <v>19</v>
      </c>
      <c r="AA604" s="1">
        <v>1</v>
      </c>
      <c r="AB604" s="24">
        <v>129</v>
      </c>
      <c r="AC604" s="24" t="s">
        <v>397</v>
      </c>
      <c r="AD604" s="24"/>
      <c r="AE604" s="24"/>
      <c r="AF604" s="2">
        <v>1000</v>
      </c>
      <c r="AG604" s="2"/>
      <c r="AH604" s="2" cm="1">
        <f t="array" ref="AH6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04" s="4">
        <f>scheduleapr[[#This Row],[SCHEDULE in nos]]-scheduleapr[[#This Row],[DISPATCH]]</f>
        <v>-6000</v>
      </c>
      <c r="AJ604" s="1">
        <f>(3.14*(scheduleapr[[#This Row],[ACTUAL OD]]-scheduleapr[[#This Row],[TICKNESS]])*scheduleapr[[#This Row],[TICKNESS]]*scheduleapr[[#This Row],[LENGTH]]*7.85)/1000000*scheduleapr[[#This Row],[SCHEDULE in nos]]/1000</f>
        <v>7.1289344820000017E-2</v>
      </c>
      <c r="AK604" s="1">
        <f>(3.14*(scheduleapr[[#This Row],[ACTUAL OD]]-scheduleapr[[#This Row],[TICKNESS]])*scheduleapr[[#This Row],[TICKNESS]]*scheduleapr[[#This Row],[LENGTH]]*7.85)/1000000*scheduleapr[[#This Row],[DISPATCH]]/1000</f>
        <v>0.49902541374000009</v>
      </c>
      <c r="AL604" s="1">
        <f t="shared" si="21"/>
        <v>-0.42773606892000005</v>
      </c>
      <c r="AM604" s="1">
        <f>scheduleapr[[#This Row],[SCHEDULE in nos]]/scheduleapr[[#This Row],[SCHEDULE IN MT]]*scheduleapr[[#This Row],[CTL Stock]]</f>
        <v>7019.3519278860431</v>
      </c>
      <c r="AN604" s="1">
        <f>SUMIFS(stock[MT],stock[Bucket],scheduleapr[[#This Row],[Bucket]],stock[CTL Bucket],scheduleapr[[#This Row],[CTL Bucket]],stock[Plant],"0789")</f>
        <v>0.50040499999999999</v>
      </c>
      <c r="AO604" s="1"/>
      <c r="AP604" s="1">
        <f>SUMIFS(stock[MT],stock[Bucket],scheduleapr[[#This Row],[Bucket]],stock[LL or CTL],"LL")</f>
        <v>15.867808</v>
      </c>
      <c r="AQ604" s="1">
        <f>+SUMIFS(wip[Stock(Net Wt)],wip[Bucket],scheduleapr[[#This Row],[Bucket]])/1000</f>
        <v>41.765000000000001</v>
      </c>
      <c r="AR604" s="1">
        <f t="shared" si="20"/>
        <v>-0.42911565517999994</v>
      </c>
      <c r="AS604" s="118"/>
    </row>
    <row r="605" spans="1:45" x14ac:dyDescent="0.25">
      <c r="A605" s="30">
        <v>538</v>
      </c>
      <c r="B605" s="5" t="s">
        <v>1816</v>
      </c>
      <c r="C605" s="44" t="s">
        <v>301</v>
      </c>
      <c r="D605" s="2" t="s">
        <v>2104</v>
      </c>
      <c r="E605" s="44">
        <v>188595</v>
      </c>
      <c r="F605" s="87">
        <v>3938687</v>
      </c>
      <c r="G605" s="2" t="str">
        <f>_xlfn.CONCAT(scheduleapr[[#This Row],[CUSTOMER CODE]],"-",scheduleapr[[#This Row],[MATERIAL NO]])</f>
        <v>188595-3938687</v>
      </c>
      <c r="H605" s="2" t="s">
        <v>554</v>
      </c>
      <c r="I605" s="44" t="s">
        <v>229</v>
      </c>
      <c r="J605" s="1"/>
      <c r="K605" s="44" t="s">
        <v>963</v>
      </c>
      <c r="L605" s="2" t="s">
        <v>1867</v>
      </c>
      <c r="M605" s="1"/>
      <c r="N605" s="24"/>
      <c r="O605" s="2"/>
      <c r="P605" s="2"/>
      <c r="Q605" s="557" t="str">
        <f>CONCATENATE(scheduleapr[[#This Row],[OD]],"-",scheduleapr[[#This Row],[ID]],"-",scheduleapr[[#This Row],[TICKNESS]],"-",scheduleapr[[#This Row],[Grade]],"-",scheduleapr[[#This Row],[FC/NFC]])</f>
        <v>19-19-1-CRFH-PE</v>
      </c>
      <c r="R605" s="557" t="str">
        <f>_xlfn.CONCAT(scheduleapr[[#This Row],[Bucket]],"-",scheduleapr[[#This Row],[LENGTH]]/1000)</f>
        <v>19-19-1-CRFH-PE-0.129</v>
      </c>
      <c r="S605" s="557">
        <f>COUNTIF(scheduleapr[CTL Bucket],scheduleapr[[#This Row],[CTL Bucket]])</f>
        <v>4</v>
      </c>
      <c r="T605" s="2" t="s">
        <v>1816</v>
      </c>
      <c r="U605" s="2">
        <f>_xlfn.IFNA(VLOOKUP(scheduleapr[[#This Row],[Bucket]],salesforecast[[#All],[Bucket2]:[8406 Stock]],19,0),0)</f>
        <v>0</v>
      </c>
      <c r="V605" s="562">
        <f>_xlfn.IFNA(VLOOKUP(scheduleapr[[#This Row],[Bucket]],salesforecast[[#All],[Bucket2]:[8406 Stock]],20,0),0)+_xlfn.IFNA(VLOOKUP(scheduleapr[[#This Row],[Bucket]],salesforecast[[#All],[Bucket2]:[8406 Stock]],17,0),0)</f>
        <v>0</v>
      </c>
      <c r="W605" s="557"/>
      <c r="X605" s="1">
        <v>23.42</v>
      </c>
      <c r="Y605" s="1">
        <v>19</v>
      </c>
      <c r="Z605" s="1">
        <v>19</v>
      </c>
      <c r="AA605" s="1">
        <v>1</v>
      </c>
      <c r="AB605" s="24">
        <v>129</v>
      </c>
      <c r="AC605" s="24" t="s">
        <v>397</v>
      </c>
      <c r="AD605" s="24"/>
      <c r="AE605" s="24"/>
      <c r="AF605" s="2">
        <v>1000</v>
      </c>
      <c r="AG605" s="2"/>
      <c r="AH605" s="2" cm="1">
        <f t="array" ref="AH6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05" s="4">
        <f>scheduleapr[[#This Row],[SCHEDULE in nos]]-scheduleapr[[#This Row],[DISPATCH]]</f>
        <v>-6000</v>
      </c>
      <c r="AJ605" s="1">
        <f>(3.14*(scheduleapr[[#This Row],[ACTUAL OD]]-scheduleapr[[#This Row],[TICKNESS]])*scheduleapr[[#This Row],[TICKNESS]]*scheduleapr[[#This Row],[LENGTH]]*7.85)/1000000*scheduleapr[[#This Row],[SCHEDULE in nos]]/1000</f>
        <v>7.1289344820000017E-2</v>
      </c>
      <c r="AK605" s="1">
        <f>(3.14*(scheduleapr[[#This Row],[ACTUAL OD]]-scheduleapr[[#This Row],[TICKNESS]])*scheduleapr[[#This Row],[TICKNESS]]*scheduleapr[[#This Row],[LENGTH]]*7.85)/1000000*scheduleapr[[#This Row],[DISPATCH]]/1000</f>
        <v>0.49902541374000009</v>
      </c>
      <c r="AL605" s="1">
        <f t="shared" si="21"/>
        <v>-0.42773606892000005</v>
      </c>
      <c r="AM605" s="1">
        <f>scheduleapr[[#This Row],[SCHEDULE in nos]]/scheduleapr[[#This Row],[SCHEDULE IN MT]]*scheduleapr[[#This Row],[CTL Stock]]</f>
        <v>7019.3519278860431</v>
      </c>
      <c r="AN605" s="1">
        <f>SUMIFS(stock[MT],stock[Bucket],scheduleapr[[#This Row],[Bucket]],stock[CTL Bucket],scheduleapr[[#This Row],[CTL Bucket]],stock[Plant],"0789")</f>
        <v>0.50040499999999999</v>
      </c>
      <c r="AO605" s="1"/>
      <c r="AP605" s="1">
        <f>SUMIFS(stock[MT],stock[Bucket],scheduleapr[[#This Row],[Bucket]],stock[LL or CTL],"LL")</f>
        <v>15.867808</v>
      </c>
      <c r="AQ605" s="1">
        <f>+SUMIFS(wip[Stock(Net Wt)],wip[Bucket],scheduleapr[[#This Row],[Bucket]])/1000</f>
        <v>41.765000000000001</v>
      </c>
      <c r="AR605" s="1">
        <f t="shared" si="20"/>
        <v>-0.42911565517999994</v>
      </c>
      <c r="AS605" s="118"/>
    </row>
    <row r="606" spans="1:45" x14ac:dyDescent="0.25">
      <c r="A606" s="30">
        <v>507</v>
      </c>
      <c r="B606" s="78" t="s">
        <v>1816</v>
      </c>
      <c r="C606" s="44" t="s">
        <v>304</v>
      </c>
      <c r="D606" s="2" t="s">
        <v>2104</v>
      </c>
      <c r="E606" s="44">
        <v>188595</v>
      </c>
      <c r="F606" s="87">
        <v>3938687</v>
      </c>
      <c r="G606" s="2" t="str">
        <f>_xlfn.CONCAT(scheduleapr[[#This Row],[CUSTOMER CODE]],"-",scheduleapr[[#This Row],[MATERIAL NO]])</f>
        <v>188595-3938687</v>
      </c>
      <c r="H606" s="2" t="s">
        <v>554</v>
      </c>
      <c r="I606" s="44" t="s">
        <v>229</v>
      </c>
      <c r="J606" s="1"/>
      <c r="K606" s="44" t="s">
        <v>963</v>
      </c>
      <c r="L606" s="2" t="s">
        <v>1867</v>
      </c>
      <c r="M606" s="1"/>
      <c r="N606" s="24"/>
      <c r="O606" s="2"/>
      <c r="P606" s="2"/>
      <c r="Q606" s="557" t="str">
        <f>CONCATENATE(scheduleapr[[#This Row],[OD]],"-",scheduleapr[[#This Row],[ID]],"-",scheduleapr[[#This Row],[TICKNESS]],"-",scheduleapr[[#This Row],[Grade]],"-",scheduleapr[[#This Row],[FC/NFC]])</f>
        <v>19-19-1-CRFH-PE</v>
      </c>
      <c r="R606" s="557" t="str">
        <f>_xlfn.CONCAT(scheduleapr[[#This Row],[Bucket]],"-",scheduleapr[[#This Row],[LENGTH]]/1000)</f>
        <v>19-19-1-CRFH-PE-0.129</v>
      </c>
      <c r="S606" s="557">
        <f>COUNTIF(scheduleapr[CTL Bucket],scheduleapr[[#This Row],[CTL Bucket]])</f>
        <v>4</v>
      </c>
      <c r="T606" s="2" t="s">
        <v>1816</v>
      </c>
      <c r="U606" s="2">
        <f>_xlfn.IFNA(VLOOKUP(scheduleapr[[#This Row],[Bucket]],salesforecast[[#All],[Bucket2]:[8406 Stock]],19,0),0)</f>
        <v>0</v>
      </c>
      <c r="V606" s="562">
        <f>_xlfn.IFNA(VLOOKUP(scheduleapr[[#This Row],[Bucket]],salesforecast[[#All],[Bucket2]:[8406 Stock]],20,0),0)+_xlfn.IFNA(VLOOKUP(scheduleapr[[#This Row],[Bucket]],salesforecast[[#All],[Bucket2]:[8406 Stock]],17,0),0)</f>
        <v>0</v>
      </c>
      <c r="W606" s="557"/>
      <c r="X606" s="79">
        <v>23.42</v>
      </c>
      <c r="Y606" s="79">
        <v>19</v>
      </c>
      <c r="Z606" s="79">
        <v>19</v>
      </c>
      <c r="AA606" s="1">
        <v>1</v>
      </c>
      <c r="AB606" s="24">
        <v>129</v>
      </c>
      <c r="AC606" s="24" t="s">
        <v>397</v>
      </c>
      <c r="AD606" s="24"/>
      <c r="AE606" s="24"/>
      <c r="AF606" s="4">
        <v>12000</v>
      </c>
      <c r="AG606" s="4"/>
      <c r="AH606" s="2" cm="1">
        <f t="array" ref="AH6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06" s="4">
        <f>scheduleapr[[#This Row],[SCHEDULE in nos]]-scheduleapr[[#This Row],[DISPATCH]]</f>
        <v>5000</v>
      </c>
      <c r="AJ606" s="1">
        <f>(3.14*(scheduleapr[[#This Row],[ACTUAL OD]]-scheduleapr[[#This Row],[TICKNESS]])*scheduleapr[[#This Row],[TICKNESS]]*scheduleapr[[#This Row],[LENGTH]]*7.85)/1000000*scheduleapr[[#This Row],[SCHEDULE in nos]]/1000</f>
        <v>0.8554721378400002</v>
      </c>
      <c r="AK606" s="1">
        <f>(3.14*(scheduleapr[[#This Row],[ACTUAL OD]]-scheduleapr[[#This Row],[TICKNESS]])*scheduleapr[[#This Row],[TICKNESS]]*scheduleapr[[#This Row],[LENGTH]]*7.85)/1000000*scheduleapr[[#This Row],[DISPATCH]]/1000</f>
        <v>0.49902541374000009</v>
      </c>
      <c r="AL606" s="1">
        <f t="shared" si="21"/>
        <v>0.35644672410000011</v>
      </c>
      <c r="AM606" s="1">
        <f>scheduleapr[[#This Row],[SCHEDULE in nos]]/scheduleapr[[#This Row],[SCHEDULE IN MT]]*scheduleapr[[#This Row],[CTL Stock]]</f>
        <v>7019.3519278860431</v>
      </c>
      <c r="AN606" s="1">
        <f>SUMIFS(stock[MT],stock[Bucket],scheduleapr[[#This Row],[Bucket]],stock[CTL Bucket],scheduleapr[[#This Row],[CTL Bucket]],stock[Plant],"0789")</f>
        <v>0.50040499999999999</v>
      </c>
      <c r="AO606" s="1"/>
      <c r="AP606" s="1">
        <f>SUMIFS(stock[MT],stock[Bucket],scheduleapr[[#This Row],[Bucket]],stock[LL or CTL],"LL")</f>
        <v>15.867808</v>
      </c>
      <c r="AQ606" s="1">
        <f>+SUMIFS(wip[Stock(Net Wt)],wip[Bucket],scheduleapr[[#This Row],[Bucket]])/1000</f>
        <v>41.765000000000001</v>
      </c>
      <c r="AR606" s="1">
        <f t="shared" si="20"/>
        <v>0.35506713784000021</v>
      </c>
      <c r="AS606" s="118"/>
    </row>
    <row r="607" spans="1:45" x14ac:dyDescent="0.25">
      <c r="A607" s="30">
        <v>646</v>
      </c>
      <c r="B607" s="5" t="s">
        <v>1816</v>
      </c>
      <c r="C607" s="2" t="s">
        <v>306</v>
      </c>
      <c r="D607" s="2" t="s">
        <v>2104</v>
      </c>
      <c r="E607" s="2">
        <v>188595</v>
      </c>
      <c r="F607" s="523">
        <v>3230486</v>
      </c>
      <c r="G607" s="2" t="str">
        <f>_xlfn.CONCAT(scheduleapr[[#This Row],[CUSTOMER CODE]],"-",scheduleapr[[#This Row],[MATERIAL NO]])</f>
        <v>188595-3230486</v>
      </c>
      <c r="H607" s="523" t="s">
        <v>602</v>
      </c>
      <c r="I607" s="2" t="s">
        <v>229</v>
      </c>
      <c r="J607" s="2"/>
      <c r="K607" s="44" t="s">
        <v>963</v>
      </c>
      <c r="L607" s="2"/>
      <c r="M607" s="44"/>
      <c r="N607" s="2"/>
      <c r="O607" s="2"/>
      <c r="P607" s="2"/>
      <c r="Q607" s="557" t="str">
        <f>CONCATENATE(scheduleapr[[#This Row],[OD]],"-",scheduleapr[[#This Row],[ID]],"-",scheduleapr[[#This Row],[TICKNESS]],"-",scheduleapr[[#This Row],[Grade]],"-",scheduleapr[[#This Row],[FC/NFC]])</f>
        <v>19-19-1-CRFH-PE</v>
      </c>
      <c r="R607" s="557" t="str">
        <f>_xlfn.CONCAT(scheduleapr[[#This Row],[Bucket]],"-",scheduleapr[[#This Row],[LENGTH]]/1000)</f>
        <v>19-19-1-CRFH-PE-0.15</v>
      </c>
      <c r="S607" s="2"/>
      <c r="T607" s="2"/>
      <c r="U607" s="2">
        <f>_xlfn.IFNA(VLOOKUP(scheduleapr[[#This Row],[Bucket]],salesforecast[[#All],[Bucket2]:[8406 Stock]],19,0),0)</f>
        <v>0</v>
      </c>
      <c r="V607" s="562">
        <f>_xlfn.IFNA(VLOOKUP(scheduleapr[[#This Row],[Bucket]],salesforecast[[#All],[Bucket2]:[8406 Stock]],20,0),0)+_xlfn.IFNA(VLOOKUP(scheduleapr[[#This Row],[Bucket]],salesforecast[[#All],[Bucket2]:[8406 Stock]],17,0),0)</f>
        <v>0</v>
      </c>
      <c r="W607" s="2"/>
      <c r="X607" s="1">
        <v>23.42</v>
      </c>
      <c r="Y607" s="1">
        <v>19</v>
      </c>
      <c r="Z607" s="1">
        <v>19</v>
      </c>
      <c r="AA607" s="1">
        <v>1</v>
      </c>
      <c r="AB607" s="24">
        <v>150</v>
      </c>
      <c r="AC607" s="24" t="s">
        <v>397</v>
      </c>
      <c r="AD607" s="24"/>
      <c r="AE607" s="24"/>
      <c r="AF607" s="2">
        <v>2000</v>
      </c>
      <c r="AG607" s="2"/>
      <c r="AH607" s="2" cm="1">
        <f t="array" ref="AH6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607" s="4">
        <f>scheduleapr[[#This Row],[SCHEDULE in nos]]-scheduleapr[[#This Row],[DISPATCH]]</f>
        <v>0</v>
      </c>
      <c r="AJ607" s="1">
        <f>(3.14*(scheduleapr[[#This Row],[ACTUAL OD]]-scheduleapr[[#This Row],[TICKNESS]])*scheduleapr[[#This Row],[TICKNESS]]*scheduleapr[[#This Row],[LENGTH]]*7.85)/1000000*scheduleapr[[#This Row],[SCHEDULE in nos]]/1000</f>
        <v>0.16578917400000004</v>
      </c>
      <c r="AK607" s="1">
        <f>(3.14*(scheduleapr[[#This Row],[ACTUAL OD]]-scheduleapr[[#This Row],[TICKNESS]])*scheduleapr[[#This Row],[TICKNESS]]*scheduleapr[[#This Row],[LENGTH]]*7.85)/1000000*scheduleapr[[#This Row],[DISPATCH]]/1000</f>
        <v>0.16578917400000004</v>
      </c>
      <c r="AL607" s="1">
        <f t="shared" si="21"/>
        <v>0</v>
      </c>
      <c r="AM607" s="1">
        <f>scheduleapr[[#This Row],[SCHEDULE in nos]]/scheduleapr[[#This Row],[SCHEDULE IN MT]]*scheduleapr[[#This Row],[CTL Stock]]</f>
        <v>6141.7761813566904</v>
      </c>
      <c r="AN607" s="1">
        <f>SUMIFS(stock[MT],stock[Bucket],scheduleapr[[#This Row],[Bucket]],stock[CTL Bucket],scheduleapr[[#This Row],[CTL Bucket]],stock[Plant],"0789")</f>
        <v>0.50912000000000002</v>
      </c>
      <c r="AO607" s="1"/>
      <c r="AP607" s="1">
        <f>SUMIFS(stock[MT],stock[Bucket],scheduleapr[[#This Row],[Bucket]],stock[LL or CTL],"LL")</f>
        <v>15.867808</v>
      </c>
      <c r="AQ607" s="1">
        <f>+SUMIFS(wip[Stock(Net Wt)],wip[Bucket],scheduleapr[[#This Row],[Bucket]])/1000</f>
        <v>41.765000000000001</v>
      </c>
      <c r="AR607" s="1">
        <f t="shared" si="20"/>
        <v>-0.34333082599999998</v>
      </c>
      <c r="AS607" s="118"/>
    </row>
    <row r="608" spans="1:45" x14ac:dyDescent="0.25">
      <c r="A608" s="30">
        <v>539</v>
      </c>
      <c r="B608" s="5" t="s">
        <v>1816</v>
      </c>
      <c r="C608" s="2" t="s">
        <v>301</v>
      </c>
      <c r="D608" s="2" t="s">
        <v>2104</v>
      </c>
      <c r="E608" s="2">
        <v>188595</v>
      </c>
      <c r="F608" s="9">
        <v>3230486</v>
      </c>
      <c r="G608" s="2" t="str">
        <f>_xlfn.CONCAT(scheduleapr[[#This Row],[CUSTOMER CODE]],"-",scheduleapr[[#This Row],[MATERIAL NO]])</f>
        <v>188595-3230486</v>
      </c>
      <c r="H608" s="2" t="s">
        <v>602</v>
      </c>
      <c r="I608" s="44" t="s">
        <v>229</v>
      </c>
      <c r="J608" s="1"/>
      <c r="K608" s="44" t="s">
        <v>963</v>
      </c>
      <c r="L608" s="2" t="s">
        <v>1867</v>
      </c>
      <c r="M608" s="1"/>
      <c r="N608" s="24"/>
      <c r="O608" s="2"/>
      <c r="P608" s="2"/>
      <c r="Q608" s="557" t="str">
        <f>CONCATENATE(scheduleapr[[#This Row],[OD]],"-",scheduleapr[[#This Row],[ID]],"-",scheduleapr[[#This Row],[TICKNESS]],"-",scheduleapr[[#This Row],[Grade]],"-",scheduleapr[[#This Row],[FC/NFC]])</f>
        <v>19-19-1-CRFH-PE</v>
      </c>
      <c r="R608" s="557" t="str">
        <f>_xlfn.CONCAT(scheduleapr[[#This Row],[Bucket]],"-",scheduleapr[[#This Row],[LENGTH]]/1000)</f>
        <v>19-19-1-CRFH-PE-0.15</v>
      </c>
      <c r="S608" s="557">
        <f>COUNTIF(scheduleapr[CTL Bucket],scheduleapr[[#This Row],[CTL Bucket]])</f>
        <v>2</v>
      </c>
      <c r="T608" s="2" t="s">
        <v>1816</v>
      </c>
      <c r="U608" s="2">
        <f>_xlfn.IFNA(VLOOKUP(scheduleapr[[#This Row],[Bucket]],salesforecast[[#All],[Bucket2]:[8406 Stock]],19,0),0)</f>
        <v>0</v>
      </c>
      <c r="V608" s="562">
        <f>_xlfn.IFNA(VLOOKUP(scheduleapr[[#This Row],[Bucket]],salesforecast[[#All],[Bucket2]:[8406 Stock]],20,0),0)+_xlfn.IFNA(VLOOKUP(scheduleapr[[#This Row],[Bucket]],salesforecast[[#All],[Bucket2]:[8406 Stock]],17,0),0)</f>
        <v>0</v>
      </c>
      <c r="W608" s="557"/>
      <c r="X608" s="1">
        <v>23.42</v>
      </c>
      <c r="Y608" s="1">
        <v>19</v>
      </c>
      <c r="Z608" s="1">
        <v>19</v>
      </c>
      <c r="AA608" s="1">
        <v>1</v>
      </c>
      <c r="AB608" s="24">
        <v>150</v>
      </c>
      <c r="AC608" s="24" t="s">
        <v>397</v>
      </c>
      <c r="AD608" s="24"/>
      <c r="AE608" s="24"/>
      <c r="AF608" s="2">
        <v>500</v>
      </c>
      <c r="AG608" s="2"/>
      <c r="AH608" s="2" cm="1">
        <f t="array" ref="AH6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608" s="4">
        <f>scheduleapr[[#This Row],[SCHEDULE in nos]]-scheduleapr[[#This Row],[DISPATCH]]</f>
        <v>-1500</v>
      </c>
      <c r="AJ608" s="1">
        <f>(3.14*(scheduleapr[[#This Row],[ACTUAL OD]]-scheduleapr[[#This Row],[TICKNESS]])*scheduleapr[[#This Row],[TICKNESS]]*scheduleapr[[#This Row],[LENGTH]]*7.85)/1000000*scheduleapr[[#This Row],[SCHEDULE in nos]]/1000</f>
        <v>4.144729350000001E-2</v>
      </c>
      <c r="AK608" s="1">
        <f>(3.14*(scheduleapr[[#This Row],[ACTUAL OD]]-scheduleapr[[#This Row],[TICKNESS]])*scheduleapr[[#This Row],[TICKNESS]]*scheduleapr[[#This Row],[LENGTH]]*7.85)/1000000*scheduleapr[[#This Row],[DISPATCH]]/1000</f>
        <v>0.16578917400000004</v>
      </c>
      <c r="AL608" s="1">
        <f t="shared" si="21"/>
        <v>-0.12434188050000003</v>
      </c>
      <c r="AM608" s="1">
        <f>scheduleapr[[#This Row],[SCHEDULE in nos]]/scheduleapr[[#This Row],[SCHEDULE IN MT]]*scheduleapr[[#This Row],[CTL Stock]]</f>
        <v>6141.7761813566904</v>
      </c>
      <c r="AN608" s="1">
        <f>SUMIFS(stock[MT],stock[Bucket],scheduleapr[[#This Row],[Bucket]],stock[CTL Bucket],scheduleapr[[#This Row],[CTL Bucket]],stock[Plant],"0789")</f>
        <v>0.50912000000000002</v>
      </c>
      <c r="AO608" s="1"/>
      <c r="AP608" s="1">
        <f>SUMIFS(stock[MT],stock[Bucket],scheduleapr[[#This Row],[Bucket]],stock[LL or CTL],"LL")</f>
        <v>15.867808</v>
      </c>
      <c r="AQ608" s="1">
        <f>+SUMIFS(wip[Stock(Net Wt)],wip[Bucket],scheduleapr[[#This Row],[Bucket]])/1000</f>
        <v>41.765000000000001</v>
      </c>
      <c r="AR608" s="1">
        <f t="shared" si="20"/>
        <v>-0.46767270650000003</v>
      </c>
      <c r="AS608" s="118"/>
    </row>
    <row r="609" spans="1:45" x14ac:dyDescent="0.25">
      <c r="A609" s="30">
        <v>540</v>
      </c>
      <c r="B609" s="5" t="s">
        <v>1816</v>
      </c>
      <c r="C609" s="2" t="s">
        <v>301</v>
      </c>
      <c r="D609" s="2" t="s">
        <v>2104</v>
      </c>
      <c r="E609" s="2">
        <v>188595</v>
      </c>
      <c r="F609" s="9">
        <v>3571864</v>
      </c>
      <c r="G609" s="2" t="str">
        <f>_xlfn.CONCAT(scheduleapr[[#This Row],[CUSTOMER CODE]],"-",scheduleapr[[#This Row],[MATERIAL NO]])</f>
        <v>188595-3571864</v>
      </c>
      <c r="H609" s="2" t="s">
        <v>1252</v>
      </c>
      <c r="I609" s="44" t="s">
        <v>229</v>
      </c>
      <c r="J609" s="1"/>
      <c r="K609" s="44" t="s">
        <v>963</v>
      </c>
      <c r="L609" s="2" t="s">
        <v>1867</v>
      </c>
      <c r="M609" s="1"/>
      <c r="N609" s="24"/>
      <c r="O609" s="2"/>
      <c r="P609" s="2"/>
      <c r="Q609" s="557" t="str">
        <f>CONCATENATE(scheduleapr[[#This Row],[OD]],"-",scheduleapr[[#This Row],[ID]],"-",scheduleapr[[#This Row],[TICKNESS]],"-",scheduleapr[[#This Row],[Grade]],"-",scheduleapr[[#This Row],[FC/NFC]])</f>
        <v>19-19-1-CRFH-PE</v>
      </c>
      <c r="R609" s="557" t="str">
        <f>_xlfn.CONCAT(scheduleapr[[#This Row],[Bucket]],"-",scheduleapr[[#This Row],[LENGTH]]/1000)</f>
        <v>19-19-1-CRFH-PE-0.29</v>
      </c>
      <c r="S609" s="557">
        <f>COUNTIF(scheduleapr[CTL Bucket],scheduleapr[[#This Row],[CTL Bucket]])</f>
        <v>1</v>
      </c>
      <c r="T609" s="2" t="s">
        <v>1816</v>
      </c>
      <c r="U609" s="2">
        <f>_xlfn.IFNA(VLOOKUP(scheduleapr[[#This Row],[Bucket]],salesforecast[[#All],[Bucket2]:[8406 Stock]],19,0),0)</f>
        <v>0</v>
      </c>
      <c r="V609" s="562">
        <f>_xlfn.IFNA(VLOOKUP(scheduleapr[[#This Row],[Bucket]],salesforecast[[#All],[Bucket2]:[8406 Stock]],20,0),0)+_xlfn.IFNA(VLOOKUP(scheduleapr[[#This Row],[Bucket]],salesforecast[[#All],[Bucket2]:[8406 Stock]],17,0),0)</f>
        <v>0</v>
      </c>
      <c r="W609" s="557"/>
      <c r="X609" s="1">
        <v>23.42</v>
      </c>
      <c r="Y609" s="1">
        <v>19</v>
      </c>
      <c r="Z609" s="1">
        <v>19</v>
      </c>
      <c r="AA609" s="1">
        <v>1</v>
      </c>
      <c r="AB609" s="24">
        <v>290</v>
      </c>
      <c r="AC609" s="24" t="s">
        <v>397</v>
      </c>
      <c r="AD609" s="24"/>
      <c r="AE609" s="24"/>
      <c r="AF609" s="2">
        <v>1000</v>
      </c>
      <c r="AG609" s="2"/>
      <c r="AH609" s="2" cm="1">
        <f t="array" ref="AH6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9" s="4">
        <f>scheduleapr[[#This Row],[SCHEDULE in nos]]-scheduleapr[[#This Row],[DISPATCH]]</f>
        <v>1000</v>
      </c>
      <c r="AJ609" s="1">
        <f>(3.14*(scheduleapr[[#This Row],[ACTUAL OD]]-scheduleapr[[#This Row],[TICKNESS]])*scheduleapr[[#This Row],[TICKNESS]]*scheduleapr[[#This Row],[LENGTH]]*7.85)/1000000*scheduleapr[[#This Row],[SCHEDULE in nos]]/1000</f>
        <v>0.16026286819999999</v>
      </c>
      <c r="AK609" s="1">
        <f>(3.14*(scheduleapr[[#This Row],[ACTUAL OD]]-scheduleapr[[#This Row],[TICKNESS]])*scheduleapr[[#This Row],[TICKNESS]]*scheduleapr[[#This Row],[LENGTH]]*7.85)/1000000*scheduleapr[[#This Row],[DISPATCH]]/1000</f>
        <v>0</v>
      </c>
      <c r="AL609" s="1">
        <f t="shared" si="21"/>
        <v>0.16026286819999999</v>
      </c>
      <c r="AM609" s="1">
        <f>scheduleapr[[#This Row],[SCHEDULE in nos]]/scheduleapr[[#This Row],[SCHEDULE IN MT]]*scheduleapr[[#This Row],[CTL Stock]]</f>
        <v>399.34390741173576</v>
      </c>
      <c r="AN609" s="1">
        <f>SUMIFS(stock[MT],stock[Bucket],scheduleapr[[#This Row],[Bucket]],stock[CTL Bucket],scheduleapr[[#This Row],[CTL Bucket]],stock[Plant],"0789")</f>
        <v>6.4000000000000001E-2</v>
      </c>
      <c r="AO609" s="1"/>
      <c r="AP609" s="1">
        <f>SUMIFS(stock[MT],stock[Bucket],scheduleapr[[#This Row],[Bucket]],stock[LL or CTL],"LL")</f>
        <v>15.867808</v>
      </c>
      <c r="AQ609" s="1">
        <f>+SUMIFS(wip[Stock(Net Wt)],wip[Bucket],scheduleapr[[#This Row],[Bucket]])/1000</f>
        <v>41.765000000000001</v>
      </c>
      <c r="AR609" s="1">
        <f t="shared" si="20"/>
        <v>9.626286819999999E-2</v>
      </c>
      <c r="AS609" s="118"/>
    </row>
    <row r="610" spans="1:45" x14ac:dyDescent="0.25">
      <c r="A610" s="30">
        <v>509</v>
      </c>
      <c r="B610" s="5" t="s">
        <v>1816</v>
      </c>
      <c r="C610" s="44" t="s">
        <v>304</v>
      </c>
      <c r="D610" s="2" t="s">
        <v>2104</v>
      </c>
      <c r="E610" s="2">
        <v>188595</v>
      </c>
      <c r="F610" s="9">
        <v>3230490</v>
      </c>
      <c r="G610" s="2" t="str">
        <f>_xlfn.CONCAT(scheduleapr[[#This Row],[CUSTOMER CODE]],"-",scheduleapr[[#This Row],[MATERIAL NO]])</f>
        <v>188595-3230490</v>
      </c>
      <c r="H610" s="2" t="s">
        <v>515</v>
      </c>
      <c r="I610" s="44" t="s">
        <v>229</v>
      </c>
      <c r="J610" s="1"/>
      <c r="K610" s="44" t="s">
        <v>963</v>
      </c>
      <c r="L610" s="2" t="s">
        <v>1867</v>
      </c>
      <c r="M610" s="1"/>
      <c r="N610" s="24"/>
      <c r="O610" s="2"/>
      <c r="P610" s="2"/>
      <c r="Q610" s="557" t="str">
        <f>CONCATENATE(scheduleapr[[#This Row],[OD]],"-",scheduleapr[[#This Row],[ID]],"-",scheduleapr[[#This Row],[TICKNESS]],"-",scheduleapr[[#This Row],[Grade]],"-",scheduleapr[[#This Row],[FC/NFC]])</f>
        <v>19-19-1-CRFH-PE</v>
      </c>
      <c r="R610" s="557" t="str">
        <f>_xlfn.CONCAT(scheduleapr[[#This Row],[Bucket]],"-",scheduleapr[[#This Row],[LENGTH]]/1000)</f>
        <v>19-19-1-CRFH-PE-0.355</v>
      </c>
      <c r="S610" s="557">
        <f>COUNTIF(scheduleapr[CTL Bucket],scheduleapr[[#This Row],[CTL Bucket]])</f>
        <v>5</v>
      </c>
      <c r="T610" s="2" t="s">
        <v>1816</v>
      </c>
      <c r="U610" s="2">
        <f>_xlfn.IFNA(VLOOKUP(scheduleapr[[#This Row],[Bucket]],salesforecast[[#All],[Bucket2]:[8406 Stock]],19,0),0)</f>
        <v>0</v>
      </c>
      <c r="V610" s="562">
        <f>_xlfn.IFNA(VLOOKUP(scheduleapr[[#This Row],[Bucket]],salesforecast[[#All],[Bucket2]:[8406 Stock]],20,0),0)+_xlfn.IFNA(VLOOKUP(scheduleapr[[#This Row],[Bucket]],salesforecast[[#All],[Bucket2]:[8406 Stock]],17,0),0)</f>
        <v>0</v>
      </c>
      <c r="W610" s="557"/>
      <c r="X610" s="1">
        <v>23.42</v>
      </c>
      <c r="Y610" s="1">
        <v>19</v>
      </c>
      <c r="Z610" s="1">
        <v>19</v>
      </c>
      <c r="AA610" s="1">
        <v>1</v>
      </c>
      <c r="AB610" s="24">
        <v>355</v>
      </c>
      <c r="AC610" s="24" t="s">
        <v>397</v>
      </c>
      <c r="AD610" s="24"/>
      <c r="AE610" s="24"/>
      <c r="AF610" s="4">
        <v>12000</v>
      </c>
      <c r="AG610" s="4"/>
      <c r="AH610" s="2" cm="1">
        <f t="array" ref="AH6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10" s="4">
        <f>scheduleapr[[#This Row],[SCHEDULE in nos]]-scheduleapr[[#This Row],[DISPATCH]]</f>
        <v>5000</v>
      </c>
      <c r="AJ610" s="1">
        <f>(3.14*(scheduleapr[[#This Row],[ACTUAL OD]]-scheduleapr[[#This Row],[TICKNESS]])*scheduleapr[[#This Row],[TICKNESS]]*scheduleapr[[#This Row],[LENGTH]]*7.85)/1000000*scheduleapr[[#This Row],[SCHEDULE in nos]]/1000</f>
        <v>2.3542062708000002</v>
      </c>
      <c r="AK610" s="1">
        <f>(3.14*(scheduleapr[[#This Row],[ACTUAL OD]]-scheduleapr[[#This Row],[TICKNESS]])*scheduleapr[[#This Row],[TICKNESS]]*scheduleapr[[#This Row],[LENGTH]]*7.85)/1000000*scheduleapr[[#This Row],[DISPATCH]]/1000</f>
        <v>1.3732869913000001</v>
      </c>
      <c r="AL610" s="1">
        <f t="shared" si="21"/>
        <v>0.98091927950000013</v>
      </c>
      <c r="AM610" s="1">
        <f>scheduleapr[[#This Row],[SCHEDULE in nos]]/scheduleapr[[#This Row],[SCHEDULE IN MT]]*scheduleapr[[#This Row],[CTL Stock]]</f>
        <v>3205.4013675852107</v>
      </c>
      <c r="AN610" s="1">
        <f>SUMIFS(stock[MT],stock[Bucket],scheduleapr[[#This Row],[Bucket]],stock[CTL Bucket],scheduleapr[[#This Row],[CTL Bucket]],stock[Plant],"0789")</f>
        <v>0.62884799999999996</v>
      </c>
      <c r="AO610" s="1"/>
      <c r="AP610" s="1">
        <f>SUMIFS(stock[MT],stock[Bucket],scheduleapr[[#This Row],[Bucket]],stock[LL or CTL],"LL")</f>
        <v>15.867808</v>
      </c>
      <c r="AQ610" s="1">
        <f>+SUMIFS(wip[Stock(Net Wt)],wip[Bucket],scheduleapr[[#This Row],[Bucket]])/1000</f>
        <v>41.765000000000001</v>
      </c>
      <c r="AR610" s="1">
        <f t="shared" si="20"/>
        <v>1.7253582708000001</v>
      </c>
      <c r="AS610" s="118"/>
    </row>
    <row r="611" spans="1:45" x14ac:dyDescent="0.25">
      <c r="A611" s="30">
        <v>645</v>
      </c>
      <c r="B611" s="5" t="s">
        <v>1816</v>
      </c>
      <c r="C611" s="2" t="s">
        <v>306</v>
      </c>
      <c r="D611" s="2" t="s">
        <v>2104</v>
      </c>
      <c r="E611" s="2">
        <v>188595</v>
      </c>
      <c r="F611" s="523">
        <v>3230490</v>
      </c>
      <c r="G611" s="2" t="str">
        <f>_xlfn.CONCAT(scheduleapr[[#This Row],[CUSTOMER CODE]],"-",scheduleapr[[#This Row],[MATERIAL NO]])</f>
        <v>188595-3230490</v>
      </c>
      <c r="H611" s="523" t="s">
        <v>515</v>
      </c>
      <c r="I611" s="2" t="s">
        <v>229</v>
      </c>
      <c r="J611" s="2"/>
      <c r="K611" s="44" t="s">
        <v>963</v>
      </c>
      <c r="L611" s="2"/>
      <c r="M611" s="44"/>
      <c r="N611" s="2"/>
      <c r="O611" s="2"/>
      <c r="P611" s="2"/>
      <c r="Q611" s="557" t="str">
        <f>CONCATENATE(scheduleapr[[#This Row],[OD]],"-",scheduleapr[[#This Row],[ID]],"-",scheduleapr[[#This Row],[TICKNESS]],"-",scheduleapr[[#This Row],[Grade]],"-",scheduleapr[[#This Row],[FC/NFC]])</f>
        <v>19-19-1-CRFH-PE</v>
      </c>
      <c r="R611" s="557" t="str">
        <f>_xlfn.CONCAT(scheduleapr[[#This Row],[Bucket]],"-",scheduleapr[[#This Row],[LENGTH]]/1000)</f>
        <v>19-19-1-CRFH-PE-0.355</v>
      </c>
      <c r="S611" s="2"/>
      <c r="T611" s="2"/>
      <c r="U611" s="2">
        <f>_xlfn.IFNA(VLOOKUP(scheduleapr[[#This Row],[Bucket]],salesforecast[[#All],[Bucket2]:[8406 Stock]],19,0),0)</f>
        <v>0</v>
      </c>
      <c r="V611" s="562">
        <f>_xlfn.IFNA(VLOOKUP(scheduleapr[[#This Row],[Bucket]],salesforecast[[#All],[Bucket2]:[8406 Stock]],20,0),0)+_xlfn.IFNA(VLOOKUP(scheduleapr[[#This Row],[Bucket]],salesforecast[[#All],[Bucket2]:[8406 Stock]],17,0),0)</f>
        <v>0</v>
      </c>
      <c r="W611" s="2"/>
      <c r="X611" s="1">
        <v>23.42</v>
      </c>
      <c r="Y611" s="1">
        <v>19</v>
      </c>
      <c r="Z611" s="1">
        <v>19</v>
      </c>
      <c r="AA611" s="1">
        <v>1</v>
      </c>
      <c r="AB611" s="24">
        <v>355</v>
      </c>
      <c r="AC611" s="24" t="s">
        <v>397</v>
      </c>
      <c r="AD611" s="24"/>
      <c r="AE611" s="24"/>
      <c r="AF611" s="2">
        <v>1000</v>
      </c>
      <c r="AG611" s="2"/>
      <c r="AH611" s="2" cm="1">
        <f t="array" ref="AH6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11" s="4">
        <f>scheduleapr[[#This Row],[SCHEDULE in nos]]-scheduleapr[[#This Row],[DISPATCH]]</f>
        <v>-6000</v>
      </c>
      <c r="AJ611" s="1">
        <f>(3.14*(scheduleapr[[#This Row],[ACTUAL OD]]-scheduleapr[[#This Row],[TICKNESS]])*scheduleapr[[#This Row],[TICKNESS]]*scheduleapr[[#This Row],[LENGTH]]*7.85)/1000000*scheduleapr[[#This Row],[SCHEDULE in nos]]/1000</f>
        <v>0.19618385590000004</v>
      </c>
      <c r="AK611" s="1">
        <f>(3.14*(scheduleapr[[#This Row],[ACTUAL OD]]-scheduleapr[[#This Row],[TICKNESS]])*scheduleapr[[#This Row],[TICKNESS]]*scheduleapr[[#This Row],[LENGTH]]*7.85)/1000000*scheduleapr[[#This Row],[DISPATCH]]/1000</f>
        <v>1.3732869913000001</v>
      </c>
      <c r="AL611" s="1">
        <f t="shared" si="21"/>
        <v>-1.1771031354000001</v>
      </c>
      <c r="AM611" s="1">
        <f>scheduleapr[[#This Row],[SCHEDULE in nos]]/scheduleapr[[#This Row],[SCHEDULE IN MT]]*scheduleapr[[#This Row],[CTL Stock]]</f>
        <v>3205.4013675852107</v>
      </c>
      <c r="AN611" s="1">
        <f>SUMIFS(stock[MT],stock[Bucket],scheduleapr[[#This Row],[Bucket]],stock[CTL Bucket],scheduleapr[[#This Row],[CTL Bucket]],stock[Plant],"0789")</f>
        <v>0.62884799999999996</v>
      </c>
      <c r="AO611" s="1"/>
      <c r="AP611" s="1">
        <f>SUMIFS(stock[MT],stock[Bucket],scheduleapr[[#This Row],[Bucket]],stock[LL or CTL],"LL")</f>
        <v>15.867808</v>
      </c>
      <c r="AQ611" s="1">
        <f>+SUMIFS(wip[Stock(Net Wt)],wip[Bucket],scheduleapr[[#This Row],[Bucket]])/1000</f>
        <v>41.765000000000001</v>
      </c>
      <c r="AR611" s="1">
        <f t="shared" si="20"/>
        <v>-0.43266414409999993</v>
      </c>
      <c r="AS611" s="118"/>
    </row>
    <row r="612" spans="1:45" x14ac:dyDescent="0.25">
      <c r="A612" s="30">
        <v>541</v>
      </c>
      <c r="B612" s="5" t="s">
        <v>1816</v>
      </c>
      <c r="C612" s="2" t="s">
        <v>301</v>
      </c>
      <c r="D612" s="2" t="s">
        <v>2104</v>
      </c>
      <c r="E612" s="2">
        <v>188595</v>
      </c>
      <c r="F612" s="9">
        <v>3571868</v>
      </c>
      <c r="G612" s="2" t="str">
        <f>_xlfn.CONCAT(scheduleapr[[#This Row],[CUSTOMER CODE]],"-",scheduleapr[[#This Row],[MATERIAL NO]])</f>
        <v>188595-3571868</v>
      </c>
      <c r="H612" s="2" t="s">
        <v>1261</v>
      </c>
      <c r="I612" s="44" t="s">
        <v>229</v>
      </c>
      <c r="J612" s="1"/>
      <c r="K612" s="44" t="s">
        <v>963</v>
      </c>
      <c r="L612" s="2" t="s">
        <v>1867</v>
      </c>
      <c r="M612" s="1"/>
      <c r="N612" s="24"/>
      <c r="O612" s="2"/>
      <c r="P612" s="2"/>
      <c r="Q612" s="557" t="str">
        <f>CONCATENATE(scheduleapr[[#This Row],[OD]],"-",scheduleapr[[#This Row],[ID]],"-",scheduleapr[[#This Row],[TICKNESS]],"-",scheduleapr[[#This Row],[Grade]],"-",scheduleapr[[#This Row],[FC/NFC]])</f>
        <v>19-19-1-CRFH-PE</v>
      </c>
      <c r="R612" s="557" t="str">
        <f>_xlfn.CONCAT(scheduleapr[[#This Row],[Bucket]],"-",scheduleapr[[#This Row],[LENGTH]]/1000)</f>
        <v>19-19-1-CRFH-PE-0.392</v>
      </c>
      <c r="S612" s="557">
        <f>COUNTIF(scheduleapr[CTL Bucket],scheduleapr[[#This Row],[CTL Bucket]])</f>
        <v>1</v>
      </c>
      <c r="T612" s="2" t="s">
        <v>1816</v>
      </c>
      <c r="U612" s="2">
        <f>_xlfn.IFNA(VLOOKUP(scheduleapr[[#This Row],[Bucket]],salesforecast[[#All],[Bucket2]:[8406 Stock]],19,0),0)</f>
        <v>0</v>
      </c>
      <c r="V612" s="562">
        <f>_xlfn.IFNA(VLOOKUP(scheduleapr[[#This Row],[Bucket]],salesforecast[[#All],[Bucket2]:[8406 Stock]],20,0),0)+_xlfn.IFNA(VLOOKUP(scheduleapr[[#This Row],[Bucket]],salesforecast[[#All],[Bucket2]:[8406 Stock]],17,0),0)</f>
        <v>0</v>
      </c>
      <c r="W612" s="557"/>
      <c r="X612" s="1">
        <v>23.42</v>
      </c>
      <c r="Y612" s="1">
        <v>19</v>
      </c>
      <c r="Z612" s="1">
        <v>19</v>
      </c>
      <c r="AA612" s="1">
        <v>1</v>
      </c>
      <c r="AB612" s="24">
        <v>392</v>
      </c>
      <c r="AC612" s="24" t="s">
        <v>397</v>
      </c>
      <c r="AD612" s="24"/>
      <c r="AE612" s="24"/>
      <c r="AF612" s="2">
        <v>1000</v>
      </c>
      <c r="AG612" s="2"/>
      <c r="AH612" s="2" cm="1">
        <f t="array" ref="AH6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2" s="4">
        <f>scheduleapr[[#This Row],[SCHEDULE in nos]]-scheduleapr[[#This Row],[DISPATCH]]</f>
        <v>1000</v>
      </c>
      <c r="AJ612" s="1">
        <f>(3.14*(scheduleapr[[#This Row],[ACTUAL OD]]-scheduleapr[[#This Row],[TICKNESS]])*scheduleapr[[#This Row],[TICKNESS]]*scheduleapr[[#This Row],[LENGTH]]*7.85)/1000000*scheduleapr[[#This Row],[SCHEDULE in nos]]/1000</f>
        <v>0.21663118736000003</v>
      </c>
      <c r="AK612" s="1">
        <f>(3.14*(scheduleapr[[#This Row],[ACTUAL OD]]-scheduleapr[[#This Row],[TICKNESS]])*scheduleapr[[#This Row],[TICKNESS]]*scheduleapr[[#This Row],[LENGTH]]*7.85)/1000000*scheduleapr[[#This Row],[DISPATCH]]/1000</f>
        <v>0</v>
      </c>
      <c r="AL612" s="1">
        <f t="shared" si="21"/>
        <v>0.21663118736000003</v>
      </c>
      <c r="AM612" s="1">
        <f>scheduleapr[[#This Row],[SCHEDULE in nos]]/scheduleapr[[#This Row],[SCHEDULE IN MT]]*scheduleapr[[#This Row],[CTL Stock]]</f>
        <v>0</v>
      </c>
      <c r="AN612" s="1">
        <f>SUMIFS(stock[MT],stock[Bucket],scheduleapr[[#This Row],[Bucket]],stock[CTL Bucket],scheduleapr[[#This Row],[CTL Bucket]],stock[Plant],"0789")</f>
        <v>0</v>
      </c>
      <c r="AO612" s="1"/>
      <c r="AP612" s="1">
        <f>SUMIFS(stock[MT],stock[Bucket],scheduleapr[[#This Row],[Bucket]],stock[LL or CTL],"LL")</f>
        <v>15.867808</v>
      </c>
      <c r="AQ612" s="1">
        <f>+SUMIFS(wip[Stock(Net Wt)],wip[Bucket],scheduleapr[[#This Row],[Bucket]])/1000</f>
        <v>41.765000000000001</v>
      </c>
      <c r="AR612" s="1">
        <f t="shared" si="20"/>
        <v>0.21663118736000003</v>
      </c>
      <c r="AS612" s="118"/>
    </row>
    <row r="613" spans="1:45" x14ac:dyDescent="0.25">
      <c r="A613" s="30">
        <v>510</v>
      </c>
      <c r="B613" s="5" t="s">
        <v>1816</v>
      </c>
      <c r="C613" s="44" t="s">
        <v>304</v>
      </c>
      <c r="D613" s="2" t="s">
        <v>2104</v>
      </c>
      <c r="E613" s="2">
        <v>188595</v>
      </c>
      <c r="F613" s="9">
        <v>3230487</v>
      </c>
      <c r="G613" s="2" t="str">
        <f>_xlfn.CONCAT(scheduleapr[[#This Row],[CUSTOMER CODE]],"-",scheduleapr[[#This Row],[MATERIAL NO]])</f>
        <v>188595-3230487</v>
      </c>
      <c r="H613" s="2" t="s">
        <v>498</v>
      </c>
      <c r="I613" s="44" t="s">
        <v>229</v>
      </c>
      <c r="J613" s="1"/>
      <c r="K613" s="44" t="s">
        <v>963</v>
      </c>
      <c r="L613" s="2" t="s">
        <v>1867</v>
      </c>
      <c r="M613" s="1"/>
      <c r="N613" s="24"/>
      <c r="O613" s="2"/>
      <c r="P613" s="2"/>
      <c r="Q613" s="557" t="str">
        <f>CONCATENATE(scheduleapr[[#This Row],[OD]],"-",scheduleapr[[#This Row],[ID]],"-",scheduleapr[[#This Row],[TICKNESS]],"-",scheduleapr[[#This Row],[Grade]],"-",scheduleapr[[#This Row],[FC/NFC]])</f>
        <v>19-19-1-CRFH-PE</v>
      </c>
      <c r="R613" s="557" t="str">
        <f>_xlfn.CONCAT(scheduleapr[[#This Row],[Bucket]],"-",scheduleapr[[#This Row],[LENGTH]]/1000)</f>
        <v>19-19-1-CRFH-PE-0.4</v>
      </c>
      <c r="S613" s="557">
        <f>COUNTIF(scheduleapr[CTL Bucket],scheduleapr[[#This Row],[CTL Bucket]])</f>
        <v>4</v>
      </c>
      <c r="T613" s="2" t="s">
        <v>1816</v>
      </c>
      <c r="U613" s="2">
        <f>_xlfn.IFNA(VLOOKUP(scheduleapr[[#This Row],[Bucket]],salesforecast[[#All],[Bucket2]:[8406 Stock]],19,0),0)</f>
        <v>0</v>
      </c>
      <c r="V613" s="562">
        <f>_xlfn.IFNA(VLOOKUP(scheduleapr[[#This Row],[Bucket]],salesforecast[[#All],[Bucket2]:[8406 Stock]],20,0),0)+_xlfn.IFNA(VLOOKUP(scheduleapr[[#This Row],[Bucket]],salesforecast[[#All],[Bucket2]:[8406 Stock]],17,0),0)</f>
        <v>0</v>
      </c>
      <c r="W613" s="557"/>
      <c r="X613" s="1">
        <v>23.42</v>
      </c>
      <c r="Y613" s="1">
        <v>19</v>
      </c>
      <c r="Z613" s="1">
        <v>19</v>
      </c>
      <c r="AA613" s="1">
        <v>1</v>
      </c>
      <c r="AB613" s="24">
        <v>400</v>
      </c>
      <c r="AC613" s="24" t="s">
        <v>397</v>
      </c>
      <c r="AD613" s="24"/>
      <c r="AE613" s="24"/>
      <c r="AF613" s="4">
        <v>48000</v>
      </c>
      <c r="AG613" s="4"/>
      <c r="AH613" s="2" cm="1">
        <f t="array" ref="AH6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27000</v>
      </c>
      <c r="AI613" s="4">
        <f>scheduleapr[[#This Row],[SCHEDULE in nos]]-scheduleapr[[#This Row],[DISPATCH]]</f>
        <v>21000</v>
      </c>
      <c r="AJ613" s="1">
        <f>(3.14*(scheduleapr[[#This Row],[ACTUAL OD]]-scheduleapr[[#This Row],[TICKNESS]])*scheduleapr[[#This Row],[TICKNESS]]*scheduleapr[[#This Row],[LENGTH]]*7.85)/1000000*scheduleapr[[#This Row],[SCHEDULE in nos]]/1000</f>
        <v>10.610507136000001</v>
      </c>
      <c r="AK613" s="1">
        <f>(3.14*(scheduleapr[[#This Row],[ACTUAL OD]]-scheduleapr[[#This Row],[TICKNESS]])*scheduleapr[[#This Row],[TICKNESS]]*scheduleapr[[#This Row],[LENGTH]]*7.85)/1000000*scheduleapr[[#This Row],[DISPATCH]]/1000</f>
        <v>5.9684102640000001</v>
      </c>
      <c r="AL613" s="1">
        <f t="shared" si="21"/>
        <v>4.6420968720000007</v>
      </c>
      <c r="AM613" s="1">
        <f>scheduleapr[[#This Row],[SCHEDULE in nos]]/scheduleapr[[#This Row],[SCHEDULE IN MT]]*scheduleapr[[#This Row],[CTL Stock]]</f>
        <v>3684.5771365022902</v>
      </c>
      <c r="AN613" s="1">
        <f>SUMIFS(stock[MT],stock[Bucket],scheduleapr[[#This Row],[Bucket]],stock[CTL Bucket],scheduleapr[[#This Row],[CTL Bucket]],stock[Plant],"0789")</f>
        <v>0.81448399999999999</v>
      </c>
      <c r="AO613" s="1"/>
      <c r="AP613" s="1">
        <f>SUMIFS(stock[MT],stock[Bucket],scheduleapr[[#This Row],[Bucket]],stock[LL or CTL],"LL")</f>
        <v>15.867808</v>
      </c>
      <c r="AQ613" s="1">
        <f>+SUMIFS(wip[Stock(Net Wt)],wip[Bucket],scheduleapr[[#This Row],[Bucket]])/1000</f>
        <v>41.765000000000001</v>
      </c>
      <c r="AR613" s="1">
        <f t="shared" si="20"/>
        <v>9.7960231360000005</v>
      </c>
      <c r="AS613" s="118"/>
    </row>
    <row r="614" spans="1:45" x14ac:dyDescent="0.25">
      <c r="A614" s="30">
        <v>644</v>
      </c>
      <c r="B614" s="5" t="s">
        <v>1816</v>
      </c>
      <c r="C614" s="2" t="s">
        <v>306</v>
      </c>
      <c r="D614" s="2" t="s">
        <v>2104</v>
      </c>
      <c r="E614" s="2">
        <v>188595</v>
      </c>
      <c r="F614" s="523">
        <v>3230487</v>
      </c>
      <c r="G614" s="2" t="str">
        <f>_xlfn.CONCAT(scheduleapr[[#This Row],[CUSTOMER CODE]],"-",scheduleapr[[#This Row],[MATERIAL NO]])</f>
        <v>188595-3230487</v>
      </c>
      <c r="H614" s="523" t="s">
        <v>498</v>
      </c>
      <c r="I614" s="2" t="s">
        <v>229</v>
      </c>
      <c r="J614" s="2"/>
      <c r="K614" s="44" t="s">
        <v>963</v>
      </c>
      <c r="L614" s="2"/>
      <c r="M614" s="44"/>
      <c r="N614" s="2"/>
      <c r="O614" s="2"/>
      <c r="P614" s="2"/>
      <c r="Q614" s="557" t="str">
        <f>CONCATENATE(scheduleapr[[#This Row],[OD]],"-",scheduleapr[[#This Row],[ID]],"-",scheduleapr[[#This Row],[TICKNESS]],"-",scheduleapr[[#This Row],[Grade]],"-",scheduleapr[[#This Row],[FC/NFC]])</f>
        <v>19-19-1-CRFH-PE</v>
      </c>
      <c r="R614" s="557" t="str">
        <f>_xlfn.CONCAT(scheduleapr[[#This Row],[Bucket]],"-",scheduleapr[[#This Row],[LENGTH]]/1000)</f>
        <v>19-19-1-CRFH-PE-0.4</v>
      </c>
      <c r="S614" s="2"/>
      <c r="T614" s="2"/>
      <c r="U614" s="2">
        <f>_xlfn.IFNA(VLOOKUP(scheduleapr[[#This Row],[Bucket]],salesforecast[[#All],[Bucket2]:[8406 Stock]],19,0),0)</f>
        <v>0</v>
      </c>
      <c r="V614" s="562">
        <f>_xlfn.IFNA(VLOOKUP(scheduleapr[[#This Row],[Bucket]],salesforecast[[#All],[Bucket2]:[8406 Stock]],20,0),0)+_xlfn.IFNA(VLOOKUP(scheduleapr[[#This Row],[Bucket]],salesforecast[[#All],[Bucket2]:[8406 Stock]],17,0),0)</f>
        <v>0</v>
      </c>
      <c r="W614" s="2"/>
      <c r="X614" s="1">
        <v>23.42</v>
      </c>
      <c r="Y614" s="1">
        <v>19</v>
      </c>
      <c r="Z614" s="1">
        <v>19</v>
      </c>
      <c r="AA614" s="1">
        <v>1</v>
      </c>
      <c r="AB614" s="24">
        <v>400</v>
      </c>
      <c r="AC614" s="24" t="s">
        <v>397</v>
      </c>
      <c r="AD614" s="24"/>
      <c r="AE614" s="24"/>
      <c r="AF614" s="2">
        <v>3000</v>
      </c>
      <c r="AG614" s="2"/>
      <c r="AH614" s="2" cm="1">
        <f t="array" ref="AH6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27000</v>
      </c>
      <c r="AI614" s="4">
        <f>scheduleapr[[#This Row],[SCHEDULE in nos]]-scheduleapr[[#This Row],[DISPATCH]]</f>
        <v>-24000</v>
      </c>
      <c r="AJ614" s="1">
        <f>(3.14*(scheduleapr[[#This Row],[ACTUAL OD]]-scheduleapr[[#This Row],[TICKNESS]])*scheduleapr[[#This Row],[TICKNESS]]*scheduleapr[[#This Row],[LENGTH]]*7.85)/1000000*scheduleapr[[#This Row],[SCHEDULE in nos]]/1000</f>
        <v>0.66315669600000005</v>
      </c>
      <c r="AK614" s="1">
        <f>(3.14*(scheduleapr[[#This Row],[ACTUAL OD]]-scheduleapr[[#This Row],[TICKNESS]])*scheduleapr[[#This Row],[TICKNESS]]*scheduleapr[[#This Row],[LENGTH]]*7.85)/1000000*scheduleapr[[#This Row],[DISPATCH]]/1000</f>
        <v>5.9684102640000001</v>
      </c>
      <c r="AL614" s="1">
        <f t="shared" si="21"/>
        <v>-5.3052535680000004</v>
      </c>
      <c r="AM614" s="1">
        <f>scheduleapr[[#This Row],[SCHEDULE in nos]]/scheduleapr[[#This Row],[SCHEDULE IN MT]]*scheduleapr[[#This Row],[CTL Stock]]</f>
        <v>3684.5771365022902</v>
      </c>
      <c r="AN614" s="1">
        <f>SUMIFS(stock[MT],stock[Bucket],scheduleapr[[#This Row],[Bucket]],stock[CTL Bucket],scheduleapr[[#This Row],[CTL Bucket]],stock[Plant],"0789")</f>
        <v>0.81448399999999999</v>
      </c>
      <c r="AO614" s="1"/>
      <c r="AP614" s="1">
        <f>SUMIFS(stock[MT],stock[Bucket],scheduleapr[[#This Row],[Bucket]],stock[LL or CTL],"LL")</f>
        <v>15.867808</v>
      </c>
      <c r="AQ614" s="1">
        <f>+SUMIFS(wip[Stock(Net Wt)],wip[Bucket],scheduleapr[[#This Row],[Bucket]])/1000</f>
        <v>41.765000000000001</v>
      </c>
      <c r="AR614" s="1">
        <f t="shared" si="20"/>
        <v>-0.15132730399999994</v>
      </c>
      <c r="AS614" s="118"/>
    </row>
    <row r="615" spans="1:45" x14ac:dyDescent="0.25">
      <c r="A615" s="30">
        <v>511</v>
      </c>
      <c r="B615" s="5" t="s">
        <v>1816</v>
      </c>
      <c r="C615" s="44" t="s">
        <v>304</v>
      </c>
      <c r="D615" s="2" t="s">
        <v>2104</v>
      </c>
      <c r="E615" s="2">
        <v>188595</v>
      </c>
      <c r="F615" s="575">
        <v>3230488</v>
      </c>
      <c r="G615" s="2" t="str">
        <f>_xlfn.CONCAT(scheduleapr[[#This Row],[CUSTOMER CODE]],"-",scheduleapr[[#This Row],[MATERIAL NO]])</f>
        <v>188595-3230488</v>
      </c>
      <c r="H615" s="2" t="s">
        <v>496</v>
      </c>
      <c r="I615" s="44" t="s">
        <v>229</v>
      </c>
      <c r="J615" s="1"/>
      <c r="K615" s="44" t="s">
        <v>963</v>
      </c>
      <c r="L615" s="2" t="s">
        <v>1867</v>
      </c>
      <c r="M615" s="1"/>
      <c r="N615" s="24"/>
      <c r="O615" s="2"/>
      <c r="P615" s="2"/>
      <c r="Q615" s="557" t="str">
        <f>CONCATENATE(scheduleapr[[#This Row],[OD]],"-",scheduleapr[[#This Row],[ID]],"-",scheduleapr[[#This Row],[TICKNESS]],"-",scheduleapr[[#This Row],[Grade]],"-",scheduleapr[[#This Row],[FC/NFC]])</f>
        <v>19-19-1-CRFH-PE</v>
      </c>
      <c r="R615" s="557" t="str">
        <f>_xlfn.CONCAT(scheduleapr[[#This Row],[Bucket]],"-",scheduleapr[[#This Row],[LENGTH]]/1000)</f>
        <v>19-19-1-CRFH-PE-0.47</v>
      </c>
      <c r="S615" s="557">
        <f>COUNTIF(scheduleapr[CTL Bucket],scheduleapr[[#This Row],[CTL Bucket]])</f>
        <v>4</v>
      </c>
      <c r="T615" s="2" t="s">
        <v>1816</v>
      </c>
      <c r="U615" s="2">
        <f>_xlfn.IFNA(VLOOKUP(scheduleapr[[#This Row],[Bucket]],salesforecast[[#All],[Bucket2]:[8406 Stock]],19,0),0)</f>
        <v>0</v>
      </c>
      <c r="V615" s="562">
        <f>_xlfn.IFNA(VLOOKUP(scheduleapr[[#This Row],[Bucket]],salesforecast[[#All],[Bucket2]:[8406 Stock]],20,0),0)+_xlfn.IFNA(VLOOKUP(scheduleapr[[#This Row],[Bucket]],salesforecast[[#All],[Bucket2]:[8406 Stock]],17,0),0)</f>
        <v>0</v>
      </c>
      <c r="W615" s="557"/>
      <c r="X615" s="1">
        <v>23.42</v>
      </c>
      <c r="Y615" s="1">
        <v>19</v>
      </c>
      <c r="Z615" s="1">
        <v>19</v>
      </c>
      <c r="AA615" s="1">
        <v>1</v>
      </c>
      <c r="AB615" s="24">
        <v>470</v>
      </c>
      <c r="AC615" s="24" t="s">
        <v>397</v>
      </c>
      <c r="AD615" s="24"/>
      <c r="AE615" s="24"/>
      <c r="AF615" s="4">
        <v>12000</v>
      </c>
      <c r="AG615" s="4"/>
      <c r="AH615" s="2" cm="1">
        <f t="array" ref="AH6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15" s="4">
        <f>scheduleapr[[#This Row],[SCHEDULE in nos]]-scheduleapr[[#This Row],[DISPATCH]]</f>
        <v>5000</v>
      </c>
      <c r="AJ615" s="1">
        <f>(3.14*(scheduleapr[[#This Row],[ACTUAL OD]]-scheduleapr[[#This Row],[TICKNESS]])*scheduleapr[[#This Row],[TICKNESS]]*scheduleapr[[#This Row],[LENGTH]]*7.85)/1000000*scheduleapr[[#This Row],[SCHEDULE in nos]]/1000</f>
        <v>3.1168364711999996</v>
      </c>
      <c r="AK615" s="1">
        <f>(3.14*(scheduleapr[[#This Row],[ACTUAL OD]]-scheduleapr[[#This Row],[TICKNESS]])*scheduleapr[[#This Row],[TICKNESS]]*scheduleapr[[#This Row],[LENGTH]]*7.85)/1000000*scheduleapr[[#This Row],[DISPATCH]]/1000</f>
        <v>1.8181546082</v>
      </c>
      <c r="AL615" s="1">
        <f t="shared" si="21"/>
        <v>1.2986818629999997</v>
      </c>
      <c r="AM615" s="1">
        <f>scheduleapr[[#This Row],[SCHEDULE in nos]]/scheduleapr[[#This Row],[SCHEDULE IN MT]]*scheduleapr[[#This Row],[CTL Stock]]</f>
        <v>993.23786429132576</v>
      </c>
      <c r="AN615" s="1">
        <f>SUMIFS(stock[MT],stock[Bucket],scheduleapr[[#This Row],[Bucket]],stock[CTL Bucket],scheduleapr[[#This Row],[CTL Bucket]],stock[Plant],"0789")</f>
        <v>0.25797999999999999</v>
      </c>
      <c r="AO615" s="1"/>
      <c r="AP615" s="1">
        <f>SUMIFS(stock[MT],stock[Bucket],scheduleapr[[#This Row],[Bucket]],stock[LL or CTL],"LL")</f>
        <v>15.867808</v>
      </c>
      <c r="AQ615" s="1">
        <f>+SUMIFS(wip[Stock(Net Wt)],wip[Bucket],scheduleapr[[#This Row],[Bucket]])/1000</f>
        <v>41.765000000000001</v>
      </c>
      <c r="AR615" s="1">
        <f t="shared" si="20"/>
        <v>2.8588564711999997</v>
      </c>
      <c r="AS615" s="118"/>
    </row>
    <row r="616" spans="1:45" x14ac:dyDescent="0.25">
      <c r="A616" s="30">
        <v>643</v>
      </c>
      <c r="B616" s="5" t="s">
        <v>1816</v>
      </c>
      <c r="C616" s="2" t="s">
        <v>306</v>
      </c>
      <c r="D616" s="2" t="s">
        <v>2104</v>
      </c>
      <c r="E616" s="2">
        <v>188595</v>
      </c>
      <c r="F616" s="523">
        <v>3230488</v>
      </c>
      <c r="G616" s="2" t="str">
        <f>_xlfn.CONCAT(scheduleapr[[#This Row],[CUSTOMER CODE]],"-",scheduleapr[[#This Row],[MATERIAL NO]])</f>
        <v>188595-3230488</v>
      </c>
      <c r="H616" s="523" t="s">
        <v>496</v>
      </c>
      <c r="I616" s="2" t="s">
        <v>229</v>
      </c>
      <c r="J616" s="2"/>
      <c r="K616" s="44" t="s">
        <v>963</v>
      </c>
      <c r="L616" s="2"/>
      <c r="M616" s="44"/>
      <c r="N616" s="2"/>
      <c r="O616" s="2"/>
      <c r="P616" s="2"/>
      <c r="Q616" s="557" t="str">
        <f>CONCATENATE(scheduleapr[[#This Row],[OD]],"-",scheduleapr[[#This Row],[ID]],"-",scheduleapr[[#This Row],[TICKNESS]],"-",scheduleapr[[#This Row],[Grade]],"-",scheduleapr[[#This Row],[FC/NFC]])</f>
        <v>19-19-1-CRFH-PE</v>
      </c>
      <c r="R616" s="557" t="str">
        <f>_xlfn.CONCAT(scheduleapr[[#This Row],[Bucket]],"-",scheduleapr[[#This Row],[LENGTH]]/1000)</f>
        <v>19-19-1-CRFH-PE-0.47</v>
      </c>
      <c r="S616" s="2"/>
      <c r="T616" s="2"/>
      <c r="U616" s="2">
        <f>_xlfn.IFNA(VLOOKUP(scheduleapr[[#This Row],[Bucket]],salesforecast[[#All],[Bucket2]:[8406 Stock]],19,0),0)</f>
        <v>0</v>
      </c>
      <c r="V616" s="562">
        <f>_xlfn.IFNA(VLOOKUP(scheduleapr[[#This Row],[Bucket]],salesforecast[[#All],[Bucket2]:[8406 Stock]],20,0),0)+_xlfn.IFNA(VLOOKUP(scheduleapr[[#This Row],[Bucket]],salesforecast[[#All],[Bucket2]:[8406 Stock]],17,0),0)</f>
        <v>0</v>
      </c>
      <c r="W616" s="2"/>
      <c r="X616" s="1">
        <v>23.42</v>
      </c>
      <c r="Y616" s="1">
        <v>19</v>
      </c>
      <c r="Z616" s="1">
        <v>19</v>
      </c>
      <c r="AA616" s="1">
        <v>1</v>
      </c>
      <c r="AB616" s="24">
        <v>470</v>
      </c>
      <c r="AC616" s="24" t="s">
        <v>397</v>
      </c>
      <c r="AD616" s="24"/>
      <c r="AE616" s="24"/>
      <c r="AF616" s="2">
        <v>1000</v>
      </c>
      <c r="AG616" s="2"/>
      <c r="AH616" s="2" cm="1">
        <f t="array" ref="AH6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16" s="4">
        <f>scheduleapr[[#This Row],[SCHEDULE in nos]]-scheduleapr[[#This Row],[DISPATCH]]</f>
        <v>-6000</v>
      </c>
      <c r="AJ616" s="1">
        <f>(3.14*(scheduleapr[[#This Row],[ACTUAL OD]]-scheduleapr[[#This Row],[TICKNESS]])*scheduleapr[[#This Row],[TICKNESS]]*scheduleapr[[#This Row],[LENGTH]]*7.85)/1000000*scheduleapr[[#This Row],[SCHEDULE in nos]]/1000</f>
        <v>0.25973637259999999</v>
      </c>
      <c r="AK616" s="1">
        <f>(3.14*(scheduleapr[[#This Row],[ACTUAL OD]]-scheduleapr[[#This Row],[TICKNESS]])*scheduleapr[[#This Row],[TICKNESS]]*scheduleapr[[#This Row],[LENGTH]]*7.85)/1000000*scheduleapr[[#This Row],[DISPATCH]]/1000</f>
        <v>1.8181546082</v>
      </c>
      <c r="AL616" s="1">
        <f t="shared" si="21"/>
        <v>-1.5584182356</v>
      </c>
      <c r="AM616" s="1">
        <f>scheduleapr[[#This Row],[SCHEDULE in nos]]/scheduleapr[[#This Row],[SCHEDULE IN MT]]*scheduleapr[[#This Row],[CTL Stock]]</f>
        <v>993.23786429132565</v>
      </c>
      <c r="AN616" s="1">
        <f>SUMIFS(stock[MT],stock[Bucket],scheduleapr[[#This Row],[Bucket]],stock[CTL Bucket],scheduleapr[[#This Row],[CTL Bucket]],stock[Plant],"0789")</f>
        <v>0.25797999999999999</v>
      </c>
      <c r="AO616" s="1"/>
      <c r="AP616" s="1">
        <f>SUMIFS(stock[MT],stock[Bucket],scheduleapr[[#This Row],[Bucket]],stock[LL or CTL],"LL")</f>
        <v>15.867808</v>
      </c>
      <c r="AQ616" s="1">
        <f>+SUMIFS(wip[Stock(Net Wt)],wip[Bucket],scheduleapr[[#This Row],[Bucket]])/1000</f>
        <v>41.765000000000001</v>
      </c>
      <c r="AR616" s="1">
        <f t="shared" si="20"/>
        <v>1.7563726000000002E-3</v>
      </c>
      <c r="AS616" s="118"/>
    </row>
    <row r="617" spans="1:45" x14ac:dyDescent="0.25">
      <c r="A617" s="30">
        <v>542</v>
      </c>
      <c r="B617" s="5" t="s">
        <v>1816</v>
      </c>
      <c r="C617" s="2" t="s">
        <v>301</v>
      </c>
      <c r="D617" s="2" t="s">
        <v>2104</v>
      </c>
      <c r="E617" s="2">
        <v>188595</v>
      </c>
      <c r="F617" s="9">
        <v>3571869</v>
      </c>
      <c r="G617" s="2" t="str">
        <f>_xlfn.CONCAT(scheduleapr[[#This Row],[CUSTOMER CODE]],"-",scheduleapr[[#This Row],[MATERIAL NO]])</f>
        <v>188595-3571869</v>
      </c>
      <c r="H617" s="2" t="s">
        <v>1267</v>
      </c>
      <c r="I617" s="44" t="s">
        <v>229</v>
      </c>
      <c r="J617" s="1"/>
      <c r="K617" s="44" t="s">
        <v>963</v>
      </c>
      <c r="L617" s="2" t="s">
        <v>1867</v>
      </c>
      <c r="M617" s="1"/>
      <c r="N617" s="24"/>
      <c r="O617" s="2"/>
      <c r="P617" s="2"/>
      <c r="Q617" s="557" t="str">
        <f>CONCATENATE(scheduleapr[[#This Row],[OD]],"-",scheduleapr[[#This Row],[ID]],"-",scheduleapr[[#This Row],[TICKNESS]],"-",scheduleapr[[#This Row],[Grade]],"-",scheduleapr[[#This Row],[FC/NFC]])</f>
        <v>19-19-1-CRFH-PE</v>
      </c>
      <c r="R617" s="557" t="str">
        <f>_xlfn.CONCAT(scheduleapr[[#This Row],[Bucket]],"-",scheduleapr[[#This Row],[LENGTH]]/1000)</f>
        <v>19-19-1-CRFH-PE-0.486</v>
      </c>
      <c r="S617" s="557">
        <f>COUNTIF(scheduleapr[CTL Bucket],scheduleapr[[#This Row],[CTL Bucket]])</f>
        <v>1</v>
      </c>
      <c r="T617" s="2" t="s">
        <v>1816</v>
      </c>
      <c r="U617" s="2">
        <f>_xlfn.IFNA(VLOOKUP(scheduleapr[[#This Row],[Bucket]],salesforecast[[#All],[Bucket2]:[8406 Stock]],19,0),0)</f>
        <v>0</v>
      </c>
      <c r="V617" s="562">
        <f>_xlfn.IFNA(VLOOKUP(scheduleapr[[#This Row],[Bucket]],salesforecast[[#All],[Bucket2]:[8406 Stock]],20,0),0)+_xlfn.IFNA(VLOOKUP(scheduleapr[[#This Row],[Bucket]],salesforecast[[#All],[Bucket2]:[8406 Stock]],17,0),0)</f>
        <v>0</v>
      </c>
      <c r="W617" s="557"/>
      <c r="X617" s="1">
        <v>23.42</v>
      </c>
      <c r="Y617" s="1">
        <v>19</v>
      </c>
      <c r="Z617" s="1">
        <v>19</v>
      </c>
      <c r="AA617" s="1">
        <v>1</v>
      </c>
      <c r="AB617" s="24">
        <v>486</v>
      </c>
      <c r="AC617" s="24" t="s">
        <v>397</v>
      </c>
      <c r="AD617" s="24"/>
      <c r="AE617" s="24"/>
      <c r="AF617" s="2">
        <v>500</v>
      </c>
      <c r="AG617" s="2"/>
      <c r="AH617" s="2" cm="1">
        <f t="array" ref="AH6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7" s="4">
        <f>scheduleapr[[#This Row],[SCHEDULE in nos]]-scheduleapr[[#This Row],[DISPATCH]]</f>
        <v>500</v>
      </c>
      <c r="AJ617" s="1">
        <f>(3.14*(scheduleapr[[#This Row],[ACTUAL OD]]-scheduleapr[[#This Row],[TICKNESS]])*scheduleapr[[#This Row],[TICKNESS]]*scheduleapr[[#This Row],[LENGTH]]*7.85)/1000000*scheduleapr[[#This Row],[SCHEDULE in nos]]/1000</f>
        <v>0.13428923094</v>
      </c>
      <c r="AK617" s="1">
        <f>(3.14*(scheduleapr[[#This Row],[ACTUAL OD]]-scheduleapr[[#This Row],[TICKNESS]])*scheduleapr[[#This Row],[TICKNESS]]*scheduleapr[[#This Row],[LENGTH]]*7.85)/1000000*scheduleapr[[#This Row],[DISPATCH]]/1000</f>
        <v>0</v>
      </c>
      <c r="AL617" s="1">
        <f t="shared" si="21"/>
        <v>0.13428923094</v>
      </c>
      <c r="AM617" s="1">
        <f>scheduleapr[[#This Row],[SCHEDULE in nos]]/scheduleapr[[#This Row],[SCHEDULE IN MT]]*scheduleapr[[#This Row],[CTL Stock]]</f>
        <v>1302.4127011207977</v>
      </c>
      <c r="AN617" s="1">
        <f>SUMIFS(stock[MT],stock[Bucket],scheduleapr[[#This Row],[Bucket]],stock[CTL Bucket],scheduleapr[[#This Row],[CTL Bucket]],stock[Plant],"0789")</f>
        <v>0.3498</v>
      </c>
      <c r="AO617" s="1"/>
      <c r="AP617" s="1">
        <f>SUMIFS(stock[MT],stock[Bucket],scheduleapr[[#This Row],[Bucket]],stock[LL or CTL],"LL")</f>
        <v>15.867808</v>
      </c>
      <c r="AQ617" s="1">
        <f>+SUMIFS(wip[Stock(Net Wt)],wip[Bucket],scheduleapr[[#This Row],[Bucket]])/1000</f>
        <v>41.765000000000001</v>
      </c>
      <c r="AR617" s="1">
        <f t="shared" si="20"/>
        <v>-0.21551076906</v>
      </c>
      <c r="AS617" s="118"/>
    </row>
    <row r="618" spans="1:45" x14ac:dyDescent="0.25">
      <c r="A618" s="30">
        <v>520</v>
      </c>
      <c r="B618" s="5" t="s">
        <v>1816</v>
      </c>
      <c r="C618" s="44" t="s">
        <v>304</v>
      </c>
      <c r="D618" s="2" t="s">
        <v>2104</v>
      </c>
      <c r="E618" s="2">
        <v>188595</v>
      </c>
      <c r="F618" s="523">
        <v>3571870</v>
      </c>
      <c r="G618" s="2" t="str">
        <f>_xlfn.CONCAT(scheduleapr[[#This Row],[CUSTOMER CODE]],"-",scheduleapr[[#This Row],[MATERIAL NO]])</f>
        <v>188595-3571870</v>
      </c>
      <c r="H618" s="2" t="s">
        <v>525</v>
      </c>
      <c r="I618" s="44" t="s">
        <v>229</v>
      </c>
      <c r="J618" s="1"/>
      <c r="K618" s="44" t="s">
        <v>963</v>
      </c>
      <c r="L618" s="2" t="s">
        <v>1867</v>
      </c>
      <c r="M618" s="1"/>
      <c r="N618" s="24"/>
      <c r="O618" s="2"/>
      <c r="P618" s="2"/>
      <c r="Q618" s="557" t="str">
        <f>CONCATENATE(scheduleapr[[#This Row],[OD]],"-",scheduleapr[[#This Row],[ID]],"-",scheduleapr[[#This Row],[TICKNESS]],"-",scheduleapr[[#This Row],[Grade]],"-",scheduleapr[[#This Row],[FC/NFC]])</f>
        <v>19-19-1-CRFH-PE</v>
      </c>
      <c r="R618" s="557" t="str">
        <f>_xlfn.CONCAT(scheduleapr[[#This Row],[Bucket]],"-",scheduleapr[[#This Row],[LENGTH]]/1000)</f>
        <v>19-19-1-CRFH-PE-0.54</v>
      </c>
      <c r="S618" s="557">
        <f>COUNTIF(scheduleapr[CTL Bucket],scheduleapr[[#This Row],[CTL Bucket]])</f>
        <v>5</v>
      </c>
      <c r="T618" s="2" t="s">
        <v>1816</v>
      </c>
      <c r="U618" s="2">
        <f>_xlfn.IFNA(VLOOKUP(scheduleapr[[#This Row],[Bucket]],salesforecast[[#All],[Bucket2]:[8406 Stock]],19,0),0)</f>
        <v>0</v>
      </c>
      <c r="V618" s="562">
        <f>_xlfn.IFNA(VLOOKUP(scheduleapr[[#This Row],[Bucket]],salesforecast[[#All],[Bucket2]:[8406 Stock]],20,0),0)+_xlfn.IFNA(VLOOKUP(scheduleapr[[#This Row],[Bucket]],salesforecast[[#All],[Bucket2]:[8406 Stock]],17,0),0)</f>
        <v>0</v>
      </c>
      <c r="W618" s="557"/>
      <c r="X618" s="1">
        <v>23.42</v>
      </c>
      <c r="Y618" s="1">
        <v>19</v>
      </c>
      <c r="Z618" s="1">
        <v>19</v>
      </c>
      <c r="AA618" s="1">
        <v>1</v>
      </c>
      <c r="AB618" s="24">
        <v>540</v>
      </c>
      <c r="AC618" s="24" t="s">
        <v>397</v>
      </c>
      <c r="AD618" s="24"/>
      <c r="AE618" s="24"/>
      <c r="AF618" s="4">
        <v>12000</v>
      </c>
      <c r="AG618" s="4"/>
      <c r="AH618" s="2" cm="1">
        <f t="array" ref="AH6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18" s="4">
        <f>scheduleapr[[#This Row],[SCHEDULE in nos]]-scheduleapr[[#This Row],[DISPATCH]]</f>
        <v>5000</v>
      </c>
      <c r="AJ618" s="1">
        <f>(3.14*(scheduleapr[[#This Row],[ACTUAL OD]]-scheduleapr[[#This Row],[TICKNESS]])*scheduleapr[[#This Row],[TICKNESS]]*scheduleapr[[#This Row],[LENGTH]]*7.85)/1000000*scheduleapr[[#This Row],[SCHEDULE in nos]]/1000</f>
        <v>3.5810461584000008</v>
      </c>
      <c r="AK618" s="1">
        <f>(3.14*(scheduleapr[[#This Row],[ACTUAL OD]]-scheduleapr[[#This Row],[TICKNESS]])*scheduleapr[[#This Row],[TICKNESS]]*scheduleapr[[#This Row],[LENGTH]]*7.85)/1000000*scheduleapr[[#This Row],[DISPATCH]]/1000</f>
        <v>2.0889435924000006</v>
      </c>
      <c r="AL618" s="1">
        <f t="shared" si="21"/>
        <v>1.4921025660000002</v>
      </c>
      <c r="AM618" s="1">
        <f>scheduleapr[[#This Row],[SCHEDULE in nos]]/scheduleapr[[#This Row],[SCHEDULE IN MT]]*scheduleapr[[#This Row],[CTL Stock]]</f>
        <v>996.67746298882764</v>
      </c>
      <c r="AN618" s="1">
        <f>SUMIFS(stock[MT],stock[Bucket],scheduleapr[[#This Row],[Bucket]],stock[CTL Bucket],scheduleapr[[#This Row],[CTL Bucket]],stock[Plant],"0789")</f>
        <v>0.297429</v>
      </c>
      <c r="AO618" s="1"/>
      <c r="AP618" s="1">
        <f>SUMIFS(stock[MT],stock[Bucket],scheduleapr[[#This Row],[Bucket]],stock[LL or CTL],"LL")</f>
        <v>15.867808</v>
      </c>
      <c r="AQ618" s="1">
        <f>+SUMIFS(wip[Stock(Net Wt)],wip[Bucket],scheduleapr[[#This Row],[Bucket]])/1000</f>
        <v>41.765000000000001</v>
      </c>
      <c r="AR618" s="1">
        <f t="shared" si="20"/>
        <v>3.2836171584000007</v>
      </c>
      <c r="AS618" s="118"/>
    </row>
    <row r="619" spans="1:45" x14ac:dyDescent="0.25">
      <c r="A619" s="30">
        <v>543</v>
      </c>
      <c r="B619" s="5" t="s">
        <v>1816</v>
      </c>
      <c r="C619" s="2" t="s">
        <v>301</v>
      </c>
      <c r="D619" s="2" t="s">
        <v>2104</v>
      </c>
      <c r="E619" s="2">
        <v>188595</v>
      </c>
      <c r="F619" s="9">
        <v>3571870</v>
      </c>
      <c r="G619" s="2" t="str">
        <f>_xlfn.CONCAT(scheduleapr[[#This Row],[CUSTOMER CODE]],"-",scheduleapr[[#This Row],[MATERIAL NO]])</f>
        <v>188595-3571870</v>
      </c>
      <c r="H619" s="2" t="s">
        <v>525</v>
      </c>
      <c r="I619" s="44" t="s">
        <v>229</v>
      </c>
      <c r="J619" s="1"/>
      <c r="K619" s="44" t="s">
        <v>963</v>
      </c>
      <c r="L619" s="2" t="s">
        <v>1867</v>
      </c>
      <c r="M619" s="1"/>
      <c r="N619" s="24"/>
      <c r="O619" s="2"/>
      <c r="P619" s="2"/>
      <c r="Q619" s="557" t="str">
        <f>CONCATENATE(scheduleapr[[#This Row],[OD]],"-",scheduleapr[[#This Row],[ID]],"-",scheduleapr[[#This Row],[TICKNESS]],"-",scheduleapr[[#This Row],[Grade]],"-",scheduleapr[[#This Row],[FC/NFC]])</f>
        <v>19-19-1-CRFH-PE</v>
      </c>
      <c r="R619" s="557" t="str">
        <f>_xlfn.CONCAT(scheduleapr[[#This Row],[Bucket]],"-",scheduleapr[[#This Row],[LENGTH]]/1000)</f>
        <v>19-19-1-CRFH-PE-0.54</v>
      </c>
      <c r="S619" s="557">
        <f>COUNTIF(scheduleapr[CTL Bucket],scheduleapr[[#This Row],[CTL Bucket]])</f>
        <v>5</v>
      </c>
      <c r="T619" s="2" t="s">
        <v>1816</v>
      </c>
      <c r="U619" s="2">
        <f>_xlfn.IFNA(VLOOKUP(scheduleapr[[#This Row],[Bucket]],salesforecast[[#All],[Bucket2]:[8406 Stock]],19,0),0)</f>
        <v>0</v>
      </c>
      <c r="V619" s="562">
        <f>_xlfn.IFNA(VLOOKUP(scheduleapr[[#This Row],[Bucket]],salesforecast[[#All],[Bucket2]:[8406 Stock]],20,0),0)+_xlfn.IFNA(VLOOKUP(scheduleapr[[#This Row],[Bucket]],salesforecast[[#All],[Bucket2]:[8406 Stock]],17,0),0)</f>
        <v>0</v>
      </c>
      <c r="W619" s="557"/>
      <c r="X619" s="1">
        <v>23.42</v>
      </c>
      <c r="Y619" s="1">
        <v>19</v>
      </c>
      <c r="Z619" s="1">
        <v>19</v>
      </c>
      <c r="AA619" s="1">
        <v>1</v>
      </c>
      <c r="AB619" s="24">
        <v>540</v>
      </c>
      <c r="AC619" s="24" t="s">
        <v>397</v>
      </c>
      <c r="AD619" s="24"/>
      <c r="AE619" s="24"/>
      <c r="AF619" s="2">
        <v>1000</v>
      </c>
      <c r="AG619" s="2"/>
      <c r="AH619" s="2" cm="1">
        <f t="array" ref="AH6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19" s="4">
        <f>scheduleapr[[#This Row],[SCHEDULE in nos]]-scheduleapr[[#This Row],[DISPATCH]]</f>
        <v>-6000</v>
      </c>
      <c r="AJ619" s="1">
        <f>(3.14*(scheduleapr[[#This Row],[ACTUAL OD]]-scheduleapr[[#This Row],[TICKNESS]])*scheduleapr[[#This Row],[TICKNESS]]*scheduleapr[[#This Row],[LENGTH]]*7.85)/1000000*scheduleapr[[#This Row],[SCHEDULE in nos]]/1000</f>
        <v>0.29842051320000007</v>
      </c>
      <c r="AK619" s="1">
        <f>(3.14*(scheduleapr[[#This Row],[ACTUAL OD]]-scheduleapr[[#This Row],[TICKNESS]])*scheduleapr[[#This Row],[TICKNESS]]*scheduleapr[[#This Row],[LENGTH]]*7.85)/1000000*scheduleapr[[#This Row],[DISPATCH]]/1000</f>
        <v>2.0889435924000006</v>
      </c>
      <c r="AL619" s="1">
        <f t="shared" si="21"/>
        <v>-1.7905230792000006</v>
      </c>
      <c r="AM619" s="1">
        <f>scheduleapr[[#This Row],[SCHEDULE in nos]]/scheduleapr[[#This Row],[SCHEDULE IN MT]]*scheduleapr[[#This Row],[CTL Stock]]</f>
        <v>996.67746298882764</v>
      </c>
      <c r="AN619" s="1">
        <f>SUMIFS(stock[MT],stock[Bucket],scheduleapr[[#This Row],[Bucket]],stock[CTL Bucket],scheduleapr[[#This Row],[CTL Bucket]],stock[Plant],"0789")</f>
        <v>0.297429</v>
      </c>
      <c r="AO619" s="1"/>
      <c r="AP619" s="1">
        <f>SUMIFS(stock[MT],stock[Bucket],scheduleapr[[#This Row],[Bucket]],stock[LL or CTL],"LL")</f>
        <v>15.867808</v>
      </c>
      <c r="AQ619" s="1">
        <f>+SUMIFS(wip[Stock(Net Wt)],wip[Bucket],scheduleapr[[#This Row],[Bucket]])/1000</f>
        <v>41.765000000000001</v>
      </c>
      <c r="AR619" s="1">
        <f t="shared" si="20"/>
        <v>9.9151320000007148E-4</v>
      </c>
      <c r="AS619" s="118"/>
    </row>
    <row r="620" spans="1:45" x14ac:dyDescent="0.25">
      <c r="A620" s="30">
        <v>659</v>
      </c>
      <c r="B620" s="5" t="s">
        <v>1816</v>
      </c>
      <c r="C620" s="2" t="s">
        <v>306</v>
      </c>
      <c r="D620" s="2" t="s">
        <v>2104</v>
      </c>
      <c r="E620" s="2">
        <v>188595</v>
      </c>
      <c r="F620" s="523">
        <v>3571870</v>
      </c>
      <c r="G620" s="2" t="str">
        <f>_xlfn.CONCAT(scheduleapr[[#This Row],[CUSTOMER CODE]],"-",scheduleapr[[#This Row],[MATERIAL NO]])</f>
        <v>188595-3571870</v>
      </c>
      <c r="H620" s="523" t="s">
        <v>525</v>
      </c>
      <c r="I620" s="2" t="s">
        <v>229</v>
      </c>
      <c r="J620" s="2"/>
      <c r="K620" s="44" t="s">
        <v>963</v>
      </c>
      <c r="L620" s="2"/>
      <c r="M620" s="44"/>
      <c r="N620" s="2"/>
      <c r="O620" s="2"/>
      <c r="P620" s="2"/>
      <c r="Q620" s="557" t="str">
        <f>CONCATENATE(scheduleapr[[#This Row],[OD]],"-",scheduleapr[[#This Row],[ID]],"-",scheduleapr[[#This Row],[TICKNESS]],"-",scheduleapr[[#This Row],[Grade]],"-",scheduleapr[[#This Row],[FC/NFC]])</f>
        <v>19-19-1-CRFH-PE</v>
      </c>
      <c r="R620" s="557" t="str">
        <f>_xlfn.CONCAT(scheduleapr[[#This Row],[Bucket]],"-",scheduleapr[[#This Row],[LENGTH]]/1000)</f>
        <v>19-19-1-CRFH-PE-0.54</v>
      </c>
      <c r="S620" s="2"/>
      <c r="T620" s="2"/>
      <c r="U620" s="2">
        <f>_xlfn.IFNA(VLOOKUP(scheduleapr[[#This Row],[Bucket]],salesforecast[[#All],[Bucket2]:[8406 Stock]],19,0),0)</f>
        <v>0</v>
      </c>
      <c r="V620" s="562">
        <f>_xlfn.IFNA(VLOOKUP(scheduleapr[[#This Row],[Bucket]],salesforecast[[#All],[Bucket2]:[8406 Stock]],20,0),0)+_xlfn.IFNA(VLOOKUP(scheduleapr[[#This Row],[Bucket]],salesforecast[[#All],[Bucket2]:[8406 Stock]],17,0),0)</f>
        <v>0</v>
      </c>
      <c r="W620" s="2"/>
      <c r="X620" s="1">
        <v>23.42</v>
      </c>
      <c r="Y620" s="1">
        <v>19</v>
      </c>
      <c r="Z620" s="1">
        <v>19</v>
      </c>
      <c r="AA620" s="1">
        <v>1</v>
      </c>
      <c r="AB620" s="24">
        <v>540</v>
      </c>
      <c r="AC620" s="24" t="s">
        <v>397</v>
      </c>
      <c r="AD620" s="24"/>
      <c r="AE620" s="24"/>
      <c r="AF620" s="2">
        <v>1000</v>
      </c>
      <c r="AG620" s="2"/>
      <c r="AH620" s="2" cm="1">
        <f t="array" ref="AH6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20" s="4">
        <f>scheduleapr[[#This Row],[SCHEDULE in nos]]-scheduleapr[[#This Row],[DISPATCH]]</f>
        <v>-6000</v>
      </c>
      <c r="AJ620" s="1">
        <f>(3.14*(scheduleapr[[#This Row],[ACTUAL OD]]-scheduleapr[[#This Row],[TICKNESS]])*scheduleapr[[#This Row],[TICKNESS]]*scheduleapr[[#This Row],[LENGTH]]*7.85)/1000000*scheduleapr[[#This Row],[SCHEDULE in nos]]/1000</f>
        <v>0.29842051320000007</v>
      </c>
      <c r="AK620" s="1">
        <f>(3.14*(scheduleapr[[#This Row],[ACTUAL OD]]-scheduleapr[[#This Row],[TICKNESS]])*scheduleapr[[#This Row],[TICKNESS]]*scheduleapr[[#This Row],[LENGTH]]*7.85)/1000000*scheduleapr[[#This Row],[DISPATCH]]/1000</f>
        <v>2.0889435924000006</v>
      </c>
      <c r="AL620" s="1">
        <f t="shared" si="21"/>
        <v>-1.7905230792000006</v>
      </c>
      <c r="AM620" s="1">
        <f>scheduleapr[[#This Row],[SCHEDULE in nos]]/scheduleapr[[#This Row],[SCHEDULE IN MT]]*scheduleapr[[#This Row],[CTL Stock]]</f>
        <v>996.67746298882764</v>
      </c>
      <c r="AN620" s="1">
        <f>SUMIFS(stock[MT],stock[Bucket],scheduleapr[[#This Row],[Bucket]],stock[CTL Bucket],scheduleapr[[#This Row],[CTL Bucket]],stock[Plant],"0789")</f>
        <v>0.297429</v>
      </c>
      <c r="AO620" s="1"/>
      <c r="AP620" s="1">
        <f>SUMIFS(stock[MT],stock[Bucket],scheduleapr[[#This Row],[Bucket]],stock[LL or CTL],"LL")</f>
        <v>15.867808</v>
      </c>
      <c r="AQ620" s="1">
        <f>+SUMIFS(wip[Stock(Net Wt)],wip[Bucket],scheduleapr[[#This Row],[Bucket]])/1000</f>
        <v>41.765000000000001</v>
      </c>
      <c r="AR620" s="1">
        <f t="shared" si="20"/>
        <v>9.9151320000007148E-4</v>
      </c>
      <c r="AS620" s="118"/>
    </row>
    <row r="621" spans="1:45" x14ac:dyDescent="0.25">
      <c r="A621" s="30">
        <v>544</v>
      </c>
      <c r="B621" s="5" t="s">
        <v>1816</v>
      </c>
      <c r="C621" s="2" t="s">
        <v>301</v>
      </c>
      <c r="D621" s="2" t="s">
        <v>2104</v>
      </c>
      <c r="E621" s="2">
        <v>188595</v>
      </c>
      <c r="F621" s="9">
        <v>3572031</v>
      </c>
      <c r="G621" s="2" t="str">
        <f>_xlfn.CONCAT(scheduleapr[[#This Row],[CUSTOMER CODE]],"-",scheduleapr[[#This Row],[MATERIAL NO]])</f>
        <v>188595-3572031</v>
      </c>
      <c r="H621" s="2" t="s">
        <v>1272</v>
      </c>
      <c r="I621" s="44" t="s">
        <v>229</v>
      </c>
      <c r="J621" s="1"/>
      <c r="K621" s="44" t="s">
        <v>963</v>
      </c>
      <c r="L621" s="2" t="s">
        <v>1867</v>
      </c>
      <c r="M621" s="1"/>
      <c r="N621" s="24"/>
      <c r="O621" s="2"/>
      <c r="P621" s="2"/>
      <c r="Q621" s="557" t="str">
        <f>CONCATENATE(scheduleapr[[#This Row],[OD]],"-",scheduleapr[[#This Row],[ID]],"-",scheduleapr[[#This Row],[TICKNESS]],"-",scheduleapr[[#This Row],[Grade]],"-",scheduleapr[[#This Row],[FC/NFC]])</f>
        <v>19-19-1-CRFH-PE</v>
      </c>
      <c r="R621" s="557" t="str">
        <f>_xlfn.CONCAT(scheduleapr[[#This Row],[Bucket]],"-",scheduleapr[[#This Row],[LENGTH]]/1000)</f>
        <v>19-19-1-CRFH-PE-0.71</v>
      </c>
      <c r="S621" s="557">
        <f>COUNTIF(scheduleapr[CTL Bucket],scheduleapr[[#This Row],[CTL Bucket]])</f>
        <v>1</v>
      </c>
      <c r="T621" s="2" t="s">
        <v>1816</v>
      </c>
      <c r="U621" s="2">
        <f>_xlfn.IFNA(VLOOKUP(scheduleapr[[#This Row],[Bucket]],salesforecast[[#All],[Bucket2]:[8406 Stock]],19,0),0)</f>
        <v>0</v>
      </c>
      <c r="V621" s="562">
        <f>_xlfn.IFNA(VLOOKUP(scheduleapr[[#This Row],[Bucket]],salesforecast[[#All],[Bucket2]:[8406 Stock]],20,0),0)+_xlfn.IFNA(VLOOKUP(scheduleapr[[#This Row],[Bucket]],salesforecast[[#All],[Bucket2]:[8406 Stock]],17,0),0)</f>
        <v>0</v>
      </c>
      <c r="W621" s="557"/>
      <c r="X621" s="1">
        <v>23.42</v>
      </c>
      <c r="Y621" s="1">
        <v>19</v>
      </c>
      <c r="Z621" s="1">
        <v>19</v>
      </c>
      <c r="AA621" s="1">
        <v>1</v>
      </c>
      <c r="AB621" s="24">
        <v>710</v>
      </c>
      <c r="AC621" s="24" t="s">
        <v>397</v>
      </c>
      <c r="AD621" s="24"/>
      <c r="AE621" s="24"/>
      <c r="AF621" s="2">
        <v>1000</v>
      </c>
      <c r="AG621" s="2"/>
      <c r="AH621" s="2" cm="1">
        <f t="array" ref="AH6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1" s="4">
        <f>scheduleapr[[#This Row],[SCHEDULE in nos]]-scheduleapr[[#This Row],[DISPATCH]]</f>
        <v>1000</v>
      </c>
      <c r="AJ621" s="1">
        <f>(3.14*(scheduleapr[[#This Row],[ACTUAL OD]]-scheduleapr[[#This Row],[TICKNESS]])*scheduleapr[[#This Row],[TICKNESS]]*scheduleapr[[#This Row],[LENGTH]]*7.85)/1000000*scheduleapr[[#This Row],[SCHEDULE in nos]]/1000</f>
        <v>0.39236771180000007</v>
      </c>
      <c r="AK621" s="1">
        <f>(3.14*(scheduleapr[[#This Row],[ACTUAL OD]]-scheduleapr[[#This Row],[TICKNESS]])*scheduleapr[[#This Row],[TICKNESS]]*scheduleapr[[#This Row],[LENGTH]]*7.85)/1000000*scheduleapr[[#This Row],[DISPATCH]]/1000</f>
        <v>0</v>
      </c>
      <c r="AL621" s="1">
        <f t="shared" si="21"/>
        <v>0.39236771180000007</v>
      </c>
      <c r="AM621" s="1">
        <f>scheduleapr[[#This Row],[SCHEDULE in nos]]/scheduleapr[[#This Row],[SCHEDULE IN MT]]*scheduleapr[[#This Row],[CTL Stock]]</f>
        <v>2599.602284603684</v>
      </c>
      <c r="AN621" s="1">
        <f>SUMIFS(stock[MT],stock[Bucket],scheduleapr[[#This Row],[Bucket]],stock[CTL Bucket],scheduleapr[[#This Row],[CTL Bucket]],stock[Plant],"0789")</f>
        <v>1.02</v>
      </c>
      <c r="AO621" s="1"/>
      <c r="AP621" s="1">
        <f>SUMIFS(stock[MT],stock[Bucket],scheduleapr[[#This Row],[Bucket]],stock[LL or CTL],"LL")</f>
        <v>15.867808</v>
      </c>
      <c r="AQ621" s="1">
        <f>+SUMIFS(wip[Stock(Net Wt)],wip[Bucket],scheduleapr[[#This Row],[Bucket]])/1000</f>
        <v>41.765000000000001</v>
      </c>
      <c r="AR621" s="1">
        <f t="shared" si="20"/>
        <v>-0.62763228819999994</v>
      </c>
      <c r="AS621" s="118"/>
    </row>
    <row r="622" spans="1:45" x14ac:dyDescent="0.25">
      <c r="A622" s="30">
        <v>545</v>
      </c>
      <c r="B622" s="5" t="s">
        <v>1816</v>
      </c>
      <c r="C622" s="2" t="s">
        <v>301</v>
      </c>
      <c r="D622" s="2" t="s">
        <v>2104</v>
      </c>
      <c r="E622" s="2">
        <v>188595</v>
      </c>
      <c r="F622" s="9">
        <v>3572032</v>
      </c>
      <c r="G622" s="2" t="str">
        <f>_xlfn.CONCAT(scheduleapr[[#This Row],[CUSTOMER CODE]],"-",scheduleapr[[#This Row],[MATERIAL NO]])</f>
        <v>188595-3572032</v>
      </c>
      <c r="H622" s="2" t="s">
        <v>1274</v>
      </c>
      <c r="I622" s="44" t="s">
        <v>229</v>
      </c>
      <c r="J622" s="1"/>
      <c r="K622" s="44" t="s">
        <v>963</v>
      </c>
      <c r="L622" s="2" t="s">
        <v>1867</v>
      </c>
      <c r="M622" s="1"/>
      <c r="N622" s="24"/>
      <c r="O622" s="2"/>
      <c r="P622" s="2"/>
      <c r="Q622" s="557" t="str">
        <f>CONCATENATE(scheduleapr[[#This Row],[OD]],"-",scheduleapr[[#This Row],[ID]],"-",scheduleapr[[#This Row],[TICKNESS]],"-",scheduleapr[[#This Row],[Grade]],"-",scheduleapr[[#This Row],[FC/NFC]])</f>
        <v>19-19-1-CRFH-PE</v>
      </c>
      <c r="R622" s="557" t="str">
        <f>_xlfn.CONCAT(scheduleapr[[#This Row],[Bucket]],"-",scheduleapr[[#This Row],[LENGTH]]/1000)</f>
        <v>19-19-1-CRFH-PE-0.75</v>
      </c>
      <c r="S622" s="557">
        <f>COUNTIF(scheduleapr[CTL Bucket],scheduleapr[[#This Row],[CTL Bucket]])</f>
        <v>1</v>
      </c>
      <c r="T622" s="2" t="s">
        <v>1816</v>
      </c>
      <c r="U622" s="2">
        <f>_xlfn.IFNA(VLOOKUP(scheduleapr[[#This Row],[Bucket]],salesforecast[[#All],[Bucket2]:[8406 Stock]],19,0),0)</f>
        <v>0</v>
      </c>
      <c r="V622" s="562">
        <f>_xlfn.IFNA(VLOOKUP(scheduleapr[[#This Row],[Bucket]],salesforecast[[#All],[Bucket2]:[8406 Stock]],20,0),0)+_xlfn.IFNA(VLOOKUP(scheduleapr[[#This Row],[Bucket]],salesforecast[[#All],[Bucket2]:[8406 Stock]],17,0),0)</f>
        <v>0</v>
      </c>
      <c r="W622" s="557"/>
      <c r="X622" s="1">
        <v>23.42</v>
      </c>
      <c r="Y622" s="1">
        <v>19</v>
      </c>
      <c r="Z622" s="1">
        <v>19</v>
      </c>
      <c r="AA622" s="1">
        <v>1</v>
      </c>
      <c r="AB622" s="24">
        <v>750</v>
      </c>
      <c r="AC622" s="24" t="s">
        <v>397</v>
      </c>
      <c r="AD622" s="24"/>
      <c r="AE622" s="24"/>
      <c r="AF622" s="2">
        <v>1000</v>
      </c>
      <c r="AG622" s="2"/>
      <c r="AH622" s="2" cm="1">
        <f t="array" ref="AH6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2" s="4">
        <f>scheduleapr[[#This Row],[SCHEDULE in nos]]-scheduleapr[[#This Row],[DISPATCH]]</f>
        <v>1000</v>
      </c>
      <c r="AJ622" s="1">
        <f>(3.14*(scheduleapr[[#This Row],[ACTUAL OD]]-scheduleapr[[#This Row],[TICKNESS]])*scheduleapr[[#This Row],[TICKNESS]]*scheduleapr[[#This Row],[LENGTH]]*7.85)/1000000*scheduleapr[[#This Row],[SCHEDULE in nos]]/1000</f>
        <v>0.41447293500000004</v>
      </c>
      <c r="AK622" s="1">
        <f>(3.14*(scheduleapr[[#This Row],[ACTUAL OD]]-scheduleapr[[#This Row],[TICKNESS]])*scheduleapr[[#This Row],[TICKNESS]]*scheduleapr[[#This Row],[LENGTH]]*7.85)/1000000*scheduleapr[[#This Row],[DISPATCH]]/1000</f>
        <v>0</v>
      </c>
      <c r="AL622" s="1">
        <f t="shared" si="21"/>
        <v>0.41447293500000004</v>
      </c>
      <c r="AM622" s="1">
        <f>scheduleapr[[#This Row],[SCHEDULE in nos]]/scheduleapr[[#This Row],[SCHEDULE IN MT]]*scheduleapr[[#This Row],[CTL Stock]]</f>
        <v>2651.560348566547</v>
      </c>
      <c r="AN622" s="1">
        <f>SUMIFS(stock[MT],stock[Bucket],scheduleapr[[#This Row],[Bucket]],stock[CTL Bucket],scheduleapr[[#This Row],[CTL Bucket]],stock[Plant],"0789")</f>
        <v>1.099</v>
      </c>
      <c r="AO622" s="1"/>
      <c r="AP622" s="1">
        <f>SUMIFS(stock[MT],stock[Bucket],scheduleapr[[#This Row],[Bucket]],stock[LL or CTL],"LL")</f>
        <v>15.867808</v>
      </c>
      <c r="AQ622" s="1">
        <f>+SUMIFS(wip[Stock(Net Wt)],wip[Bucket],scheduleapr[[#This Row],[Bucket]])/1000</f>
        <v>41.765000000000001</v>
      </c>
      <c r="AR622" s="1">
        <f t="shared" si="20"/>
        <v>-0.68452706499999993</v>
      </c>
      <c r="AS622" s="118"/>
    </row>
    <row r="623" spans="1:45" x14ac:dyDescent="0.25">
      <c r="A623" s="30">
        <v>514</v>
      </c>
      <c r="B623" s="5" t="s">
        <v>1816</v>
      </c>
      <c r="C623" s="44" t="s">
        <v>304</v>
      </c>
      <c r="D623" s="2" t="s">
        <v>2104</v>
      </c>
      <c r="E623" s="2">
        <v>188595</v>
      </c>
      <c r="F623" s="523">
        <v>4151426</v>
      </c>
      <c r="G623" s="2" t="str">
        <f>_xlfn.CONCAT(scheduleapr[[#This Row],[CUSTOMER CODE]],"-",scheduleapr[[#This Row],[MATERIAL NO]])</f>
        <v>188595-4151426</v>
      </c>
      <c r="H623" s="2" t="s">
        <v>2111</v>
      </c>
      <c r="I623" s="44" t="s">
        <v>229</v>
      </c>
      <c r="J623" s="1"/>
      <c r="K623" s="44" t="s">
        <v>963</v>
      </c>
      <c r="L623" s="2" t="s">
        <v>1867</v>
      </c>
      <c r="M623" s="1"/>
      <c r="N623" s="24"/>
      <c r="O623" s="2"/>
      <c r="P623" s="2"/>
      <c r="Q623" s="557" t="str">
        <f>CONCATENATE(scheduleapr[[#This Row],[OD]],"-",scheduleapr[[#This Row],[ID]],"-",scheduleapr[[#This Row],[TICKNESS]],"-",scheduleapr[[#This Row],[Grade]],"-",scheduleapr[[#This Row],[FC/NFC]])</f>
        <v>19-19-1-CRFH-PE</v>
      </c>
      <c r="R623" s="557" t="str">
        <f>_xlfn.CONCAT(scheduleapr[[#This Row],[Bucket]],"-",scheduleapr[[#This Row],[LENGTH]]/1000)</f>
        <v>19-19-1-CRFH-PE-0.755</v>
      </c>
      <c r="S623" s="557">
        <f>COUNTIF(scheduleapr[CTL Bucket],scheduleapr[[#This Row],[CTL Bucket]])</f>
        <v>2</v>
      </c>
      <c r="T623" s="2" t="s">
        <v>1816</v>
      </c>
      <c r="U623" s="2">
        <f>_xlfn.IFNA(VLOOKUP(scheduleapr[[#This Row],[Bucket]],salesforecast[[#All],[Bucket2]:[8406 Stock]],19,0),0)</f>
        <v>0</v>
      </c>
      <c r="V623" s="562">
        <f>_xlfn.IFNA(VLOOKUP(scheduleapr[[#This Row],[Bucket]],salesforecast[[#All],[Bucket2]:[8406 Stock]],20,0),0)+_xlfn.IFNA(VLOOKUP(scheduleapr[[#This Row],[Bucket]],salesforecast[[#All],[Bucket2]:[8406 Stock]],17,0),0)</f>
        <v>0</v>
      </c>
      <c r="W623" s="557"/>
      <c r="X623" s="1">
        <v>23.42</v>
      </c>
      <c r="Y623" s="1">
        <v>19</v>
      </c>
      <c r="Z623" s="1">
        <v>19</v>
      </c>
      <c r="AA623" s="1">
        <v>1</v>
      </c>
      <c r="AB623" s="24">
        <v>755</v>
      </c>
      <c r="AC623" s="24" t="s">
        <v>397</v>
      </c>
      <c r="AD623" s="24"/>
      <c r="AE623" s="24"/>
      <c r="AF623" s="4">
        <v>12000</v>
      </c>
      <c r="AG623" s="4"/>
      <c r="AH623" s="2" cm="1">
        <f t="array" ref="AH6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23" s="4">
        <f>scheduleapr[[#This Row],[SCHEDULE in nos]]-scheduleapr[[#This Row],[DISPATCH]]</f>
        <v>6000</v>
      </c>
      <c r="AJ623" s="1">
        <f>(3.14*(scheduleapr[[#This Row],[ACTUAL OD]]-scheduleapr[[#This Row],[TICKNESS]])*scheduleapr[[#This Row],[TICKNESS]]*scheduleapr[[#This Row],[LENGTH]]*7.85)/1000000*scheduleapr[[#This Row],[SCHEDULE in nos]]/1000</f>
        <v>5.0068330548000004</v>
      </c>
      <c r="AK623" s="1">
        <f>(3.14*(scheduleapr[[#This Row],[ACTUAL OD]]-scheduleapr[[#This Row],[TICKNESS]])*scheduleapr[[#This Row],[TICKNESS]]*scheduleapr[[#This Row],[LENGTH]]*7.85)/1000000*scheduleapr[[#This Row],[DISPATCH]]/1000</f>
        <v>2.5034165274000002</v>
      </c>
      <c r="AL623" s="1">
        <f t="shared" si="21"/>
        <v>2.5034165274000002</v>
      </c>
      <c r="AM623" s="1">
        <f>scheduleapr[[#This Row],[SCHEDULE in nos]]/scheduleapr[[#This Row],[SCHEDULE IN MT]]*scheduleapr[[#This Row],[CTL Stock]]</f>
        <v>2822.5506713174213</v>
      </c>
      <c r="AN623" s="1">
        <f>SUMIFS(stock[MT],stock[Bucket],scheduleapr[[#This Row],[Bucket]],stock[CTL Bucket],scheduleapr[[#This Row],[CTL Bucket]],stock[Plant],"0789")</f>
        <v>1.1776699999999998</v>
      </c>
      <c r="AO623" s="1"/>
      <c r="AP623" s="1">
        <f>SUMIFS(stock[MT],stock[Bucket],scheduleapr[[#This Row],[Bucket]],stock[LL or CTL],"LL")</f>
        <v>15.867808</v>
      </c>
      <c r="AQ623" s="1">
        <f>+SUMIFS(wip[Stock(Net Wt)],wip[Bucket],scheduleapr[[#This Row],[Bucket]])/1000</f>
        <v>41.765000000000001</v>
      </c>
      <c r="AR623" s="1">
        <f t="shared" si="20"/>
        <v>3.8291630548000004</v>
      </c>
      <c r="AS623" s="118"/>
    </row>
    <row r="624" spans="1:45" x14ac:dyDescent="0.25">
      <c r="A624" s="30">
        <v>546</v>
      </c>
      <c r="B624" s="5" t="s">
        <v>1816</v>
      </c>
      <c r="C624" s="2" t="s">
        <v>301</v>
      </c>
      <c r="D624" s="2" t="s">
        <v>2104</v>
      </c>
      <c r="E624" s="2">
        <v>188595</v>
      </c>
      <c r="F624" s="9">
        <v>3572033</v>
      </c>
      <c r="G624" s="2" t="str">
        <f>_xlfn.CONCAT(scheduleapr[[#This Row],[CUSTOMER CODE]],"-",scheduleapr[[#This Row],[MATERIAL NO]])</f>
        <v>188595-3572033</v>
      </c>
      <c r="H624" s="2" t="s">
        <v>1276</v>
      </c>
      <c r="I624" s="44" t="s">
        <v>229</v>
      </c>
      <c r="J624" s="1"/>
      <c r="K624" s="44" t="s">
        <v>963</v>
      </c>
      <c r="L624" s="2" t="s">
        <v>1867</v>
      </c>
      <c r="M624" s="1"/>
      <c r="N624" s="24"/>
      <c r="O624" s="2"/>
      <c r="P624" s="2"/>
      <c r="Q624" s="557" t="str">
        <f>CONCATENATE(scheduleapr[[#This Row],[OD]],"-",scheduleapr[[#This Row],[ID]],"-",scheduleapr[[#This Row],[TICKNESS]],"-",scheduleapr[[#This Row],[Grade]],"-",scheduleapr[[#This Row],[FC/NFC]])</f>
        <v>19-19-1-CRFH-PE</v>
      </c>
      <c r="R624" s="557" t="str">
        <f>_xlfn.CONCAT(scheduleapr[[#This Row],[Bucket]],"-",scheduleapr[[#This Row],[LENGTH]]/1000)</f>
        <v>19-19-1-CRFH-PE-0.79</v>
      </c>
      <c r="S624" s="557">
        <f>COUNTIF(scheduleapr[CTL Bucket],scheduleapr[[#This Row],[CTL Bucket]])</f>
        <v>1</v>
      </c>
      <c r="T624" s="2" t="s">
        <v>1816</v>
      </c>
      <c r="U624" s="2">
        <f>_xlfn.IFNA(VLOOKUP(scheduleapr[[#This Row],[Bucket]],salesforecast[[#All],[Bucket2]:[8406 Stock]],19,0),0)</f>
        <v>0</v>
      </c>
      <c r="V624" s="562">
        <f>_xlfn.IFNA(VLOOKUP(scheduleapr[[#This Row],[Bucket]],salesforecast[[#All],[Bucket2]:[8406 Stock]],20,0),0)+_xlfn.IFNA(VLOOKUP(scheduleapr[[#This Row],[Bucket]],salesforecast[[#All],[Bucket2]:[8406 Stock]],17,0),0)</f>
        <v>0</v>
      </c>
      <c r="W624" s="557"/>
      <c r="X624" s="1">
        <v>23.42</v>
      </c>
      <c r="Y624" s="1">
        <v>19</v>
      </c>
      <c r="Z624" s="1">
        <v>19</v>
      </c>
      <c r="AA624" s="1">
        <v>1</v>
      </c>
      <c r="AB624" s="24">
        <v>790</v>
      </c>
      <c r="AC624" s="24" t="s">
        <v>397</v>
      </c>
      <c r="AD624" s="24"/>
      <c r="AE624" s="24"/>
      <c r="AF624" s="2">
        <v>1000</v>
      </c>
      <c r="AG624" s="2"/>
      <c r="AH624" s="2" cm="1">
        <f t="array" ref="AH6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4" s="4">
        <f>scheduleapr[[#This Row],[SCHEDULE in nos]]-scheduleapr[[#This Row],[DISPATCH]]</f>
        <v>1000</v>
      </c>
      <c r="AJ624" s="1">
        <f>(3.14*(scheduleapr[[#This Row],[ACTUAL OD]]-scheduleapr[[#This Row],[TICKNESS]])*scheduleapr[[#This Row],[TICKNESS]]*scheduleapr[[#This Row],[LENGTH]]*7.85)/1000000*scheduleapr[[#This Row],[SCHEDULE in nos]]/1000</f>
        <v>0.43657815820000001</v>
      </c>
      <c r="AK624" s="1">
        <f>(3.14*(scheduleapr[[#This Row],[ACTUAL OD]]-scheduleapr[[#This Row],[TICKNESS]])*scheduleapr[[#This Row],[TICKNESS]]*scheduleapr[[#This Row],[LENGTH]]*7.85)/1000000*scheduleapr[[#This Row],[DISPATCH]]/1000</f>
        <v>0</v>
      </c>
      <c r="AL624" s="1">
        <f t="shared" si="21"/>
        <v>0.43657815820000001</v>
      </c>
      <c r="AM624" s="1">
        <f>scheduleapr[[#This Row],[SCHEDULE in nos]]/scheduleapr[[#This Row],[SCHEDULE IN MT]]*scheduleapr[[#This Row],[CTL Stock]]</f>
        <v>151.17568013964836</v>
      </c>
      <c r="AN624" s="1">
        <f>SUMIFS(stock[MT],stock[Bucket],scheduleapr[[#This Row],[Bucket]],stock[CTL Bucket],scheduleapr[[#This Row],[CTL Bucket]],stock[Plant],"0789")</f>
        <v>6.6000000000000003E-2</v>
      </c>
      <c r="AO624" s="1"/>
      <c r="AP624" s="1">
        <f>SUMIFS(stock[MT],stock[Bucket],scheduleapr[[#This Row],[Bucket]],stock[LL or CTL],"LL")</f>
        <v>15.867808</v>
      </c>
      <c r="AQ624" s="1">
        <f>+SUMIFS(wip[Stock(Net Wt)],wip[Bucket],scheduleapr[[#This Row],[Bucket]])/1000</f>
        <v>41.765000000000001</v>
      </c>
      <c r="AR624" s="1">
        <f t="shared" si="20"/>
        <v>0.37057815820000001</v>
      </c>
      <c r="AS624" s="118"/>
    </row>
    <row r="625" spans="1:45" x14ac:dyDescent="0.25">
      <c r="A625" s="30">
        <v>508</v>
      </c>
      <c r="B625" s="5" t="s">
        <v>1816</v>
      </c>
      <c r="C625" s="44" t="s">
        <v>304</v>
      </c>
      <c r="D625" s="2" t="s">
        <v>2104</v>
      </c>
      <c r="E625" s="2">
        <v>188595</v>
      </c>
      <c r="F625" s="523">
        <v>4151429</v>
      </c>
      <c r="G625" s="2" t="str">
        <f>_xlfn.CONCAT(scheduleapr[[#This Row],[CUSTOMER CODE]],"-",scheduleapr[[#This Row],[MATERIAL NO]])</f>
        <v>188595-4151429</v>
      </c>
      <c r="H625" s="2" t="s">
        <v>2112</v>
      </c>
      <c r="I625" s="44" t="s">
        <v>229</v>
      </c>
      <c r="J625" s="1"/>
      <c r="K625" s="44" t="s">
        <v>963</v>
      </c>
      <c r="L625" s="2" t="s">
        <v>1867</v>
      </c>
      <c r="M625" s="1"/>
      <c r="N625" s="24"/>
      <c r="O625" s="2"/>
      <c r="P625" s="2"/>
      <c r="Q625" s="557" t="str">
        <f>CONCATENATE(scheduleapr[[#This Row],[OD]],"-",scheduleapr[[#This Row],[ID]],"-",scheduleapr[[#This Row],[TICKNESS]],"-",scheduleapr[[#This Row],[Grade]],"-",scheduleapr[[#This Row],[FC/NFC]])</f>
        <v>19-19-1-CRFH-PE</v>
      </c>
      <c r="R625" s="557" t="str">
        <f>_xlfn.CONCAT(scheduleapr[[#This Row],[Bucket]],"-",scheduleapr[[#This Row],[LENGTH]]/1000)</f>
        <v>19-19-1-CRFH-PE-0.795</v>
      </c>
      <c r="S625" s="557">
        <f>COUNTIF(scheduleapr[CTL Bucket],scheduleapr[[#This Row],[CTL Bucket]])</f>
        <v>2</v>
      </c>
      <c r="T625" s="2" t="s">
        <v>1816</v>
      </c>
      <c r="U625" s="2">
        <f>_xlfn.IFNA(VLOOKUP(scheduleapr[[#This Row],[Bucket]],salesforecast[[#All],[Bucket2]:[8406 Stock]],19,0),0)</f>
        <v>0</v>
      </c>
      <c r="V625" s="562">
        <f>_xlfn.IFNA(VLOOKUP(scheduleapr[[#This Row],[Bucket]],salesforecast[[#All],[Bucket2]:[8406 Stock]],20,0),0)+_xlfn.IFNA(VLOOKUP(scheduleapr[[#This Row],[Bucket]],salesforecast[[#All],[Bucket2]:[8406 Stock]],17,0),0)</f>
        <v>0</v>
      </c>
      <c r="W625" s="557"/>
      <c r="X625" s="1">
        <v>23.42</v>
      </c>
      <c r="Y625" s="1">
        <v>19</v>
      </c>
      <c r="Z625" s="1">
        <v>19</v>
      </c>
      <c r="AA625" s="1">
        <v>1</v>
      </c>
      <c r="AB625" s="24">
        <v>795</v>
      </c>
      <c r="AC625" s="24" t="s">
        <v>397</v>
      </c>
      <c r="AD625" s="24"/>
      <c r="AE625" s="24"/>
      <c r="AF625" s="4">
        <v>12000</v>
      </c>
      <c r="AG625" s="4"/>
      <c r="AH625" s="2" cm="1">
        <f t="array" ref="AH6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25" s="4">
        <f>scheduleapr[[#This Row],[SCHEDULE in nos]]-scheduleapr[[#This Row],[DISPATCH]]</f>
        <v>6000</v>
      </c>
      <c r="AJ625" s="1">
        <f>(3.14*(scheduleapr[[#This Row],[ACTUAL OD]]-scheduleapr[[#This Row],[TICKNESS]])*scheduleapr[[#This Row],[TICKNESS]]*scheduleapr[[#This Row],[LENGTH]]*7.85)/1000000*scheduleapr[[#This Row],[SCHEDULE in nos]]/1000</f>
        <v>5.2720957332000005</v>
      </c>
      <c r="AK625" s="1">
        <f>(3.14*(scheduleapr[[#This Row],[ACTUAL OD]]-scheduleapr[[#This Row],[TICKNESS]])*scheduleapr[[#This Row],[TICKNESS]]*scheduleapr[[#This Row],[LENGTH]]*7.85)/1000000*scheduleapr[[#This Row],[DISPATCH]]/1000</f>
        <v>2.6360478666000002</v>
      </c>
      <c r="AL625" s="1">
        <f t="shared" si="21"/>
        <v>2.6360478666000002</v>
      </c>
      <c r="AM625" s="1">
        <f>scheduleapr[[#This Row],[SCHEDULE in nos]]/scheduleapr[[#This Row],[SCHEDULE IN MT]]*scheduleapr[[#This Row],[CTL Stock]]</f>
        <v>3719.5568882618559</v>
      </c>
      <c r="AN625" s="1">
        <f>SUMIFS(stock[MT],stock[Bucket],scheduleapr[[#This Row],[Bucket]],stock[CTL Bucket],scheduleapr[[#This Row],[CTL Bucket]],stock[Plant],"0789")</f>
        <v>1.634155</v>
      </c>
      <c r="AO625" s="1"/>
      <c r="AP625" s="1">
        <f>SUMIFS(stock[MT],stock[Bucket],scheduleapr[[#This Row],[Bucket]],stock[LL or CTL],"LL")</f>
        <v>15.867808</v>
      </c>
      <c r="AQ625" s="1">
        <f>+SUMIFS(wip[Stock(Net Wt)],wip[Bucket],scheduleapr[[#This Row],[Bucket]])/1000</f>
        <v>41.765000000000001</v>
      </c>
      <c r="AR625" s="1">
        <f t="shared" si="20"/>
        <v>3.6379407332000007</v>
      </c>
      <c r="AS625" s="118"/>
    </row>
    <row r="626" spans="1:45" x14ac:dyDescent="0.25">
      <c r="A626" s="30">
        <v>642</v>
      </c>
      <c r="B626" s="5" t="s">
        <v>1816</v>
      </c>
      <c r="C626" s="2" t="s">
        <v>306</v>
      </c>
      <c r="D626" s="2" t="s">
        <v>2104</v>
      </c>
      <c r="E626" s="2">
        <v>188595</v>
      </c>
      <c r="F626" s="523">
        <v>3931836</v>
      </c>
      <c r="G626" s="2" t="str">
        <f>_xlfn.CONCAT(scheduleapr[[#This Row],[CUSTOMER CODE]],"-",scheduleapr[[#This Row],[MATERIAL NO]])</f>
        <v>188595-3931836</v>
      </c>
      <c r="H626" s="523" t="s">
        <v>612</v>
      </c>
      <c r="I626" s="2" t="s">
        <v>229</v>
      </c>
      <c r="J626" s="2"/>
      <c r="K626" s="44" t="s">
        <v>963</v>
      </c>
      <c r="L626" s="2"/>
      <c r="M626" s="44"/>
      <c r="N626" s="2"/>
      <c r="O626" s="2"/>
      <c r="P626" s="2"/>
      <c r="Q626" s="557" t="str">
        <f>CONCATENATE(scheduleapr[[#This Row],[OD]],"-",scheduleapr[[#This Row],[ID]],"-",scheduleapr[[#This Row],[TICKNESS]],"-",scheduleapr[[#This Row],[Grade]],"-",scheduleapr[[#This Row],[FC/NFC]])</f>
        <v>19-19-1-CRFH-PE</v>
      </c>
      <c r="R626" s="557" t="str">
        <f>_xlfn.CONCAT(scheduleapr[[#This Row],[Bucket]],"-",scheduleapr[[#This Row],[LENGTH]]/1000)</f>
        <v>19-19-1-CRFH-PE-0.8</v>
      </c>
      <c r="S626" s="2"/>
      <c r="T626" s="2"/>
      <c r="U626" s="2">
        <f>_xlfn.IFNA(VLOOKUP(scheduleapr[[#This Row],[Bucket]],salesforecast[[#All],[Bucket2]:[8406 Stock]],19,0),0)</f>
        <v>0</v>
      </c>
      <c r="V626" s="562">
        <f>_xlfn.IFNA(VLOOKUP(scheduleapr[[#This Row],[Bucket]],salesforecast[[#All],[Bucket2]:[8406 Stock]],20,0),0)+_xlfn.IFNA(VLOOKUP(scheduleapr[[#This Row],[Bucket]],salesforecast[[#All],[Bucket2]:[8406 Stock]],17,0),0)</f>
        <v>0</v>
      </c>
      <c r="W626" s="2"/>
      <c r="X626" s="1">
        <v>23.42</v>
      </c>
      <c r="Y626" s="1">
        <v>19</v>
      </c>
      <c r="Z626" s="1">
        <v>19</v>
      </c>
      <c r="AA626" s="1">
        <v>1</v>
      </c>
      <c r="AB626" s="24">
        <v>800</v>
      </c>
      <c r="AC626" s="24" t="s">
        <v>397</v>
      </c>
      <c r="AD626" s="24"/>
      <c r="AE626" s="24"/>
      <c r="AF626" s="2">
        <v>1000</v>
      </c>
      <c r="AG626" s="2"/>
      <c r="AH626" s="2" cm="1">
        <f t="array" ref="AH6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26" s="4">
        <f>scheduleapr[[#This Row],[SCHEDULE in nos]]-scheduleapr[[#This Row],[DISPATCH]]</f>
        <v>0</v>
      </c>
      <c r="AJ626" s="1">
        <f>(3.14*(scheduleapr[[#This Row],[ACTUAL OD]]-scheduleapr[[#This Row],[TICKNESS]])*scheduleapr[[#This Row],[TICKNESS]]*scheduleapr[[#This Row],[LENGTH]]*7.85)/1000000*scheduleapr[[#This Row],[SCHEDULE in nos]]/1000</f>
        <v>0.44210446400000003</v>
      </c>
      <c r="AK626" s="1">
        <f>(3.14*(scheduleapr[[#This Row],[ACTUAL OD]]-scheduleapr[[#This Row],[TICKNESS]])*scheduleapr[[#This Row],[TICKNESS]]*scheduleapr[[#This Row],[LENGTH]]*7.85)/1000000*scheduleapr[[#This Row],[DISPATCH]]/1000</f>
        <v>0.44210446400000003</v>
      </c>
      <c r="AL626" s="1">
        <f t="shared" si="21"/>
        <v>0</v>
      </c>
      <c r="AM626" s="1">
        <f>scheduleapr[[#This Row],[SCHEDULE in nos]]/scheduleapr[[#This Row],[SCHEDULE IN MT]]*scheduleapr[[#This Row],[CTL Stock]]</f>
        <v>1953.8413889437675</v>
      </c>
      <c r="AN626" s="1">
        <f>SUMIFS(stock[MT],stock[Bucket],scheduleapr[[#This Row],[Bucket]],stock[CTL Bucket],scheduleapr[[#This Row],[CTL Bucket]],stock[Plant],"0789")</f>
        <v>0.86380199999999996</v>
      </c>
      <c r="AO626" s="1"/>
      <c r="AP626" s="1">
        <f>SUMIFS(stock[MT],stock[Bucket],scheduleapr[[#This Row],[Bucket]],stock[LL or CTL],"LL")</f>
        <v>15.867808</v>
      </c>
      <c r="AQ626" s="1">
        <f>+SUMIFS(wip[Stock(Net Wt)],wip[Bucket],scheduleapr[[#This Row],[Bucket]])/1000</f>
        <v>41.765000000000001</v>
      </c>
      <c r="AR626" s="1">
        <f t="shared" si="20"/>
        <v>-0.42169753599999993</v>
      </c>
      <c r="AS626" s="118"/>
    </row>
    <row r="627" spans="1:45" x14ac:dyDescent="0.25">
      <c r="A627" s="30">
        <v>518</v>
      </c>
      <c r="B627" s="5" t="s">
        <v>1816</v>
      </c>
      <c r="C627" s="44" t="s">
        <v>304</v>
      </c>
      <c r="D627" s="2" t="s">
        <v>2104</v>
      </c>
      <c r="E627" s="2">
        <v>188595</v>
      </c>
      <c r="F627" s="523">
        <v>4151425</v>
      </c>
      <c r="G627" s="2" t="str">
        <f>_xlfn.CONCAT(scheduleapr[[#This Row],[CUSTOMER CODE]],"-",scheduleapr[[#This Row],[MATERIAL NO]])</f>
        <v>188595-4151425</v>
      </c>
      <c r="H627" s="2" t="s">
        <v>2113</v>
      </c>
      <c r="I627" s="44" t="s">
        <v>229</v>
      </c>
      <c r="J627" s="1"/>
      <c r="K627" s="44" t="s">
        <v>963</v>
      </c>
      <c r="L627" s="2" t="s">
        <v>1867</v>
      </c>
      <c r="M627" s="1"/>
      <c r="N627" s="24"/>
      <c r="O627" s="2"/>
      <c r="P627" s="2"/>
      <c r="Q627" s="557" t="str">
        <f>CONCATENATE(scheduleapr[[#This Row],[OD]],"-",scheduleapr[[#This Row],[ID]],"-",scheduleapr[[#This Row],[TICKNESS]],"-",scheduleapr[[#This Row],[Grade]],"-",scheduleapr[[#This Row],[FC/NFC]])</f>
        <v>19-19-1-CRFH-PE</v>
      </c>
      <c r="R627" s="557" t="str">
        <f>_xlfn.CONCAT(scheduleapr[[#This Row],[Bucket]],"-",scheduleapr[[#This Row],[LENGTH]]/1000)</f>
        <v>19-19-1-CRFH-PE-0.835</v>
      </c>
      <c r="S627" s="557">
        <f>COUNTIF(scheduleapr[CTL Bucket],scheduleapr[[#This Row],[CTL Bucket]])</f>
        <v>2</v>
      </c>
      <c r="T627" s="2" t="s">
        <v>1816</v>
      </c>
      <c r="U627" s="2">
        <f>_xlfn.IFNA(VLOOKUP(scheduleapr[[#This Row],[Bucket]],salesforecast[[#All],[Bucket2]:[8406 Stock]],19,0),0)</f>
        <v>0</v>
      </c>
      <c r="V627" s="562">
        <f>_xlfn.IFNA(VLOOKUP(scheduleapr[[#This Row],[Bucket]],salesforecast[[#All],[Bucket2]:[8406 Stock]],20,0),0)+_xlfn.IFNA(VLOOKUP(scheduleapr[[#This Row],[Bucket]],salesforecast[[#All],[Bucket2]:[8406 Stock]],17,0),0)</f>
        <v>0</v>
      </c>
      <c r="W627" s="557"/>
      <c r="X627" s="1">
        <v>23.42</v>
      </c>
      <c r="Y627" s="1">
        <v>19</v>
      </c>
      <c r="Z627" s="1">
        <v>19</v>
      </c>
      <c r="AA627" s="1">
        <v>1</v>
      </c>
      <c r="AB627" s="24">
        <v>835</v>
      </c>
      <c r="AC627" s="24" t="s">
        <v>397</v>
      </c>
      <c r="AD627" s="24"/>
      <c r="AE627" s="24"/>
      <c r="AF627" s="4">
        <v>12000</v>
      </c>
      <c r="AG627" s="4"/>
      <c r="AH627" s="2" cm="1">
        <f t="array" ref="AH6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27" s="4">
        <f>scheduleapr[[#This Row],[SCHEDULE in nos]]-scheduleapr[[#This Row],[DISPATCH]]</f>
        <v>6000</v>
      </c>
      <c r="AJ627" s="1">
        <f>(3.14*(scheduleapr[[#This Row],[ACTUAL OD]]-scheduleapr[[#This Row],[TICKNESS]])*scheduleapr[[#This Row],[TICKNESS]]*scheduleapr[[#This Row],[LENGTH]]*7.85)/1000000*scheduleapr[[#This Row],[SCHEDULE in nos]]/1000</f>
        <v>5.5373584116000005</v>
      </c>
      <c r="AK627" s="1">
        <f>(3.14*(scheduleapr[[#This Row],[ACTUAL OD]]-scheduleapr[[#This Row],[TICKNESS]])*scheduleapr[[#This Row],[TICKNESS]]*scheduleapr[[#This Row],[LENGTH]]*7.85)/1000000*scheduleapr[[#This Row],[DISPATCH]]/1000</f>
        <v>2.7686792058000003</v>
      </c>
      <c r="AL627" s="1">
        <f t="shared" si="21"/>
        <v>2.7686792058000003</v>
      </c>
      <c r="AM627" s="1">
        <f>scheduleapr[[#This Row],[SCHEDULE in nos]]/scheduleapr[[#This Row],[SCHEDULE IN MT]]*scheduleapr[[#This Row],[CTL Stock]]</f>
        <v>2.8865749355352781</v>
      </c>
      <c r="AN627" s="1">
        <f>SUMIFS(stock[MT],stock[Bucket],scheduleapr[[#This Row],[Bucket]],stock[CTL Bucket],scheduleapr[[#This Row],[CTL Bucket]],stock[Plant],"0789")</f>
        <v>1.3320000000000001E-3</v>
      </c>
      <c r="AO627" s="1"/>
      <c r="AP627" s="1">
        <f>SUMIFS(stock[MT],stock[Bucket],scheduleapr[[#This Row],[Bucket]],stock[LL or CTL],"LL")</f>
        <v>15.867808</v>
      </c>
      <c r="AQ627" s="1">
        <f>+SUMIFS(wip[Stock(Net Wt)],wip[Bucket],scheduleapr[[#This Row],[Bucket]])/1000</f>
        <v>41.765000000000001</v>
      </c>
      <c r="AR627" s="1">
        <f t="shared" si="20"/>
        <v>5.5360264116000009</v>
      </c>
      <c r="AS627" s="118"/>
    </row>
    <row r="628" spans="1:45" x14ac:dyDescent="0.25">
      <c r="A628" s="30">
        <v>641</v>
      </c>
      <c r="B628" s="5" t="s">
        <v>1816</v>
      </c>
      <c r="C628" s="2" t="s">
        <v>306</v>
      </c>
      <c r="D628" s="2" t="s">
        <v>2104</v>
      </c>
      <c r="E628" s="2">
        <v>188595</v>
      </c>
      <c r="F628" s="523">
        <v>3230485</v>
      </c>
      <c r="G628" s="2" t="str">
        <f>_xlfn.CONCAT(scheduleapr[[#This Row],[CUSTOMER CODE]],"-",scheduleapr[[#This Row],[MATERIAL NO]])</f>
        <v>188595-3230485</v>
      </c>
      <c r="H628" s="523" t="s">
        <v>616</v>
      </c>
      <c r="I628" s="2" t="s">
        <v>229</v>
      </c>
      <c r="J628" s="2"/>
      <c r="K628" s="44" t="s">
        <v>963</v>
      </c>
      <c r="L628" s="2"/>
      <c r="M628" s="44"/>
      <c r="N628" s="2"/>
      <c r="O628" s="2"/>
      <c r="P628" s="2"/>
      <c r="Q628" s="557" t="str">
        <f>CONCATENATE(scheduleapr[[#This Row],[OD]],"-",scheduleapr[[#This Row],[ID]],"-",scheduleapr[[#This Row],[TICKNESS]],"-",scheduleapr[[#This Row],[Grade]],"-",scheduleapr[[#This Row],[FC/NFC]])</f>
        <v>19-19-1-CRFH-PE</v>
      </c>
      <c r="R628" s="557" t="str">
        <f>_xlfn.CONCAT(scheduleapr[[#This Row],[Bucket]],"-",scheduleapr[[#This Row],[LENGTH]]/1000)</f>
        <v>19-19-1-CRFH-PE-0.84</v>
      </c>
      <c r="S628" s="2"/>
      <c r="T628" s="2"/>
      <c r="U628" s="2">
        <f>_xlfn.IFNA(VLOOKUP(scheduleapr[[#This Row],[Bucket]],salesforecast[[#All],[Bucket2]:[8406 Stock]],19,0),0)</f>
        <v>0</v>
      </c>
      <c r="V628" s="562">
        <f>_xlfn.IFNA(VLOOKUP(scheduleapr[[#This Row],[Bucket]],salesforecast[[#All],[Bucket2]:[8406 Stock]],20,0),0)+_xlfn.IFNA(VLOOKUP(scheduleapr[[#This Row],[Bucket]],salesforecast[[#All],[Bucket2]:[8406 Stock]],17,0),0)</f>
        <v>0</v>
      </c>
      <c r="W628" s="2"/>
      <c r="X628" s="1">
        <v>23.42</v>
      </c>
      <c r="Y628" s="1">
        <v>19</v>
      </c>
      <c r="Z628" s="1">
        <v>19</v>
      </c>
      <c r="AA628" s="1">
        <v>1</v>
      </c>
      <c r="AB628" s="24">
        <v>840</v>
      </c>
      <c r="AC628" s="24" t="s">
        <v>397</v>
      </c>
      <c r="AD628" s="24"/>
      <c r="AE628" s="24"/>
      <c r="AF628" s="2">
        <v>1000</v>
      </c>
      <c r="AG628" s="2"/>
      <c r="AH628" s="2" cm="1">
        <f t="array" ref="AH6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28" s="4">
        <f>scheduleapr[[#This Row],[SCHEDULE in nos]]-scheduleapr[[#This Row],[DISPATCH]]</f>
        <v>0</v>
      </c>
      <c r="AJ628" s="1">
        <f>(3.14*(scheduleapr[[#This Row],[ACTUAL OD]]-scheduleapr[[#This Row],[TICKNESS]])*scheduleapr[[#This Row],[TICKNESS]]*scheduleapr[[#This Row],[LENGTH]]*7.85)/1000000*scheduleapr[[#This Row],[SCHEDULE in nos]]/1000</f>
        <v>0.46420968720000005</v>
      </c>
      <c r="AK628" s="1">
        <f>(3.14*(scheduleapr[[#This Row],[ACTUAL OD]]-scheduleapr[[#This Row],[TICKNESS]])*scheduleapr[[#This Row],[TICKNESS]]*scheduleapr[[#This Row],[LENGTH]]*7.85)/1000000*scheduleapr[[#This Row],[DISPATCH]]/1000</f>
        <v>0.46420968720000005</v>
      </c>
      <c r="AL628" s="1">
        <f t="shared" si="21"/>
        <v>0</v>
      </c>
      <c r="AM628" s="1">
        <f>scheduleapr[[#This Row],[SCHEDULE in nos]]/scheduleapr[[#This Row],[SCHEDULE IN MT]]*scheduleapr[[#This Row],[CTL Stock]]</f>
        <v>1812.3813940089613</v>
      </c>
      <c r="AN628" s="1">
        <f>SUMIFS(stock[MT],stock[Bucket],scheduleapr[[#This Row],[Bucket]],stock[CTL Bucket],scheduleapr[[#This Row],[CTL Bucket]],stock[Plant],"0789")</f>
        <v>0.84132499999999999</v>
      </c>
      <c r="AO628" s="1"/>
      <c r="AP628" s="1">
        <f>SUMIFS(stock[MT],stock[Bucket],scheduleapr[[#This Row],[Bucket]],stock[LL or CTL],"LL")</f>
        <v>15.867808</v>
      </c>
      <c r="AQ628" s="1">
        <f>+SUMIFS(wip[Stock(Net Wt)],wip[Bucket],scheduleapr[[#This Row],[Bucket]])/1000</f>
        <v>41.765000000000001</v>
      </c>
      <c r="AR628" s="1">
        <f t="shared" si="20"/>
        <v>-0.37711531279999994</v>
      </c>
      <c r="AS628" s="118"/>
    </row>
    <row r="629" spans="1:45" x14ac:dyDescent="0.25">
      <c r="A629" s="30">
        <v>640</v>
      </c>
      <c r="B629" s="5" t="s">
        <v>1816</v>
      </c>
      <c r="C629" s="2" t="s">
        <v>306</v>
      </c>
      <c r="D629" s="2" t="s">
        <v>2104</v>
      </c>
      <c r="E629" s="2">
        <v>188595</v>
      </c>
      <c r="F629" s="523">
        <v>3233560</v>
      </c>
      <c r="G629" s="2" t="str">
        <f>_xlfn.CONCAT(scheduleapr[[#This Row],[CUSTOMER CODE]],"-",scheduleapr[[#This Row],[MATERIAL NO]])</f>
        <v>188595-3233560</v>
      </c>
      <c r="H629" s="523" t="s">
        <v>618</v>
      </c>
      <c r="I629" s="2" t="s">
        <v>229</v>
      </c>
      <c r="J629" s="2"/>
      <c r="K629" s="44" t="s">
        <v>963</v>
      </c>
      <c r="L629" s="2"/>
      <c r="M629" s="44"/>
      <c r="N629" s="2"/>
      <c r="O629" s="2"/>
      <c r="P629" s="2"/>
      <c r="Q629" s="557" t="str">
        <f>CONCATENATE(scheduleapr[[#This Row],[OD]],"-",scheduleapr[[#This Row],[ID]],"-",scheduleapr[[#This Row],[TICKNESS]],"-",scheduleapr[[#This Row],[Grade]],"-",scheduleapr[[#This Row],[FC/NFC]])</f>
        <v>19-19-1-CRFH-PE</v>
      </c>
      <c r="R629" s="557" t="str">
        <f>_xlfn.CONCAT(scheduleapr[[#This Row],[Bucket]],"-",scheduleapr[[#This Row],[LENGTH]]/1000)</f>
        <v>19-19-1-CRFH-PE-0.875</v>
      </c>
      <c r="S629" s="2"/>
      <c r="T629" s="2"/>
      <c r="U629" s="2">
        <f>_xlfn.IFNA(VLOOKUP(scheduleapr[[#This Row],[Bucket]],salesforecast[[#All],[Bucket2]:[8406 Stock]],19,0),0)</f>
        <v>0</v>
      </c>
      <c r="V629" s="562">
        <f>_xlfn.IFNA(VLOOKUP(scheduleapr[[#This Row],[Bucket]],salesforecast[[#All],[Bucket2]:[8406 Stock]],20,0),0)+_xlfn.IFNA(VLOOKUP(scheduleapr[[#This Row],[Bucket]],salesforecast[[#All],[Bucket2]:[8406 Stock]],17,0),0)</f>
        <v>0</v>
      </c>
      <c r="W629" s="2"/>
      <c r="X629" s="1">
        <v>23.42</v>
      </c>
      <c r="Y629" s="1">
        <v>19</v>
      </c>
      <c r="Z629" s="1">
        <v>19</v>
      </c>
      <c r="AA629" s="1">
        <v>1</v>
      </c>
      <c r="AB629" s="24">
        <v>875</v>
      </c>
      <c r="AC629" s="24" t="s">
        <v>397</v>
      </c>
      <c r="AD629" s="24"/>
      <c r="AE629" s="24"/>
      <c r="AF629" s="2">
        <v>1000</v>
      </c>
      <c r="AG629" s="2"/>
      <c r="AH629" s="2" cm="1">
        <f t="array" ref="AH6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29" s="4">
        <f>scheduleapr[[#This Row],[SCHEDULE in nos]]-scheduleapr[[#This Row],[DISPATCH]]</f>
        <v>0</v>
      </c>
      <c r="AJ629" s="1">
        <f>(3.14*(scheduleapr[[#This Row],[ACTUAL OD]]-scheduleapr[[#This Row],[TICKNESS]])*scheduleapr[[#This Row],[TICKNESS]]*scheduleapr[[#This Row],[LENGTH]]*7.85)/1000000*scheduleapr[[#This Row],[SCHEDULE in nos]]/1000</f>
        <v>0.48355175750000001</v>
      </c>
      <c r="AK629" s="1">
        <f>(3.14*(scheduleapr[[#This Row],[ACTUAL OD]]-scheduleapr[[#This Row],[TICKNESS]])*scheduleapr[[#This Row],[TICKNESS]]*scheduleapr[[#This Row],[LENGTH]]*7.85)/1000000*scheduleapr[[#This Row],[DISPATCH]]/1000</f>
        <v>0.48355175750000001</v>
      </c>
      <c r="AL629" s="1">
        <f t="shared" si="21"/>
        <v>0</v>
      </c>
      <c r="AM629" s="1">
        <f>scheduleapr[[#This Row],[SCHEDULE in nos]]/scheduleapr[[#This Row],[SCHEDULE IN MT]]*scheduleapr[[#This Row],[CTL Stock]]</f>
        <v>0</v>
      </c>
      <c r="AN629" s="1">
        <f>SUMIFS(stock[MT],stock[Bucket],scheduleapr[[#This Row],[Bucket]],stock[CTL Bucket],scheduleapr[[#This Row],[CTL Bucket]],stock[Plant],"0789")</f>
        <v>0</v>
      </c>
      <c r="AO629" s="1"/>
      <c r="AP629" s="1">
        <f>SUMIFS(stock[MT],stock[Bucket],scheduleapr[[#This Row],[Bucket]],stock[LL or CTL],"LL")</f>
        <v>15.867808</v>
      </c>
      <c r="AQ629" s="1">
        <f>+SUMIFS(wip[Stock(Net Wt)],wip[Bucket],scheduleapr[[#This Row],[Bucket]])/1000</f>
        <v>41.765000000000001</v>
      </c>
      <c r="AR629" s="1">
        <f t="shared" si="20"/>
        <v>0.48355175750000001</v>
      </c>
      <c r="AS629" s="118"/>
    </row>
    <row r="630" spans="1:45" x14ac:dyDescent="0.25">
      <c r="A630" s="30">
        <v>639</v>
      </c>
      <c r="B630" s="5" t="s">
        <v>1816</v>
      </c>
      <c r="C630" s="2" t="s">
        <v>306</v>
      </c>
      <c r="D630" s="2" t="s">
        <v>2104</v>
      </c>
      <c r="E630" s="2">
        <v>188595</v>
      </c>
      <c r="F630" s="523">
        <v>3230492</v>
      </c>
      <c r="G630" s="2" t="str">
        <f>_xlfn.CONCAT(scheduleapr[[#This Row],[CUSTOMER CODE]],"-",scheduleapr[[#This Row],[MATERIAL NO]])</f>
        <v>188595-3230492</v>
      </c>
      <c r="H630" s="523" t="s">
        <v>614</v>
      </c>
      <c r="I630" s="2" t="s">
        <v>229</v>
      </c>
      <c r="J630" s="2"/>
      <c r="K630" s="44" t="s">
        <v>963</v>
      </c>
      <c r="L630" s="2"/>
      <c r="M630" s="44"/>
      <c r="N630" s="2"/>
      <c r="O630" s="2"/>
      <c r="P630" s="2"/>
      <c r="Q630" s="557" t="str">
        <f>CONCATENATE(scheduleapr[[#This Row],[OD]],"-",scheduleapr[[#This Row],[ID]],"-",scheduleapr[[#This Row],[TICKNESS]],"-",scheduleapr[[#This Row],[Grade]],"-",scheduleapr[[#This Row],[FC/NFC]])</f>
        <v>19-19-1-CRFH-PE</v>
      </c>
      <c r="R630" s="557" t="str">
        <f>_xlfn.CONCAT(scheduleapr[[#This Row],[Bucket]],"-",scheduleapr[[#This Row],[LENGTH]]/1000)</f>
        <v>19-19-1-CRFH-PE-0.88</v>
      </c>
      <c r="S630" s="2"/>
      <c r="T630" s="2"/>
      <c r="U630" s="2">
        <f>_xlfn.IFNA(VLOOKUP(scheduleapr[[#This Row],[Bucket]],salesforecast[[#All],[Bucket2]:[8406 Stock]],19,0),0)</f>
        <v>0</v>
      </c>
      <c r="V630" s="562">
        <f>_xlfn.IFNA(VLOOKUP(scheduleapr[[#This Row],[Bucket]],salesforecast[[#All],[Bucket2]:[8406 Stock]],20,0),0)+_xlfn.IFNA(VLOOKUP(scheduleapr[[#This Row],[Bucket]],salesforecast[[#All],[Bucket2]:[8406 Stock]],17,0),0)</f>
        <v>0</v>
      </c>
      <c r="W630" s="2"/>
      <c r="X630" s="1">
        <v>23.42</v>
      </c>
      <c r="Y630" s="1">
        <v>19</v>
      </c>
      <c r="Z630" s="1">
        <v>19</v>
      </c>
      <c r="AA630" s="1">
        <v>1</v>
      </c>
      <c r="AB630" s="24">
        <v>880</v>
      </c>
      <c r="AC630" s="24" t="s">
        <v>397</v>
      </c>
      <c r="AD630" s="24"/>
      <c r="AE630" s="24"/>
      <c r="AF630" s="2">
        <v>1000</v>
      </c>
      <c r="AG630" s="2"/>
      <c r="AH630" s="2" cm="1">
        <f t="array" ref="AH6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30" s="4">
        <f>scheduleapr[[#This Row],[SCHEDULE in nos]]-scheduleapr[[#This Row],[DISPATCH]]</f>
        <v>0</v>
      </c>
      <c r="AJ630" s="1">
        <f>(3.14*(scheduleapr[[#This Row],[ACTUAL OD]]-scheduleapr[[#This Row],[TICKNESS]])*scheduleapr[[#This Row],[TICKNESS]]*scheduleapr[[#This Row],[LENGTH]]*7.85)/1000000*scheduleapr[[#This Row],[SCHEDULE in nos]]/1000</f>
        <v>0.48631491040000008</v>
      </c>
      <c r="AK630" s="1">
        <f>(3.14*(scheduleapr[[#This Row],[ACTUAL OD]]-scheduleapr[[#This Row],[TICKNESS]])*scheduleapr[[#This Row],[TICKNESS]]*scheduleapr[[#This Row],[LENGTH]]*7.85)/1000000*scheduleapr[[#This Row],[DISPATCH]]/1000</f>
        <v>0.48631491040000008</v>
      </c>
      <c r="AL630" s="1">
        <f t="shared" si="21"/>
        <v>0</v>
      </c>
      <c r="AM630" s="1">
        <f>scheduleapr[[#This Row],[SCHEDULE in nos]]/scheduleapr[[#This Row],[SCHEDULE IN MT]]*scheduleapr[[#This Row],[CTL Stock]]</f>
        <v>1503.8033676542605</v>
      </c>
      <c r="AN630" s="1">
        <f>SUMIFS(stock[MT],stock[Bucket],scheduleapr[[#This Row],[Bucket]],stock[CTL Bucket],scheduleapr[[#This Row],[CTL Bucket]],stock[Plant],"0789")</f>
        <v>0.73132200000000003</v>
      </c>
      <c r="AO630" s="1"/>
      <c r="AP630" s="1">
        <f>SUMIFS(stock[MT],stock[Bucket],scheduleapr[[#This Row],[Bucket]],stock[LL or CTL],"LL")</f>
        <v>15.867808</v>
      </c>
      <c r="AQ630" s="1">
        <f>+SUMIFS(wip[Stock(Net Wt)],wip[Bucket],scheduleapr[[#This Row],[Bucket]])/1000</f>
        <v>41.765000000000001</v>
      </c>
      <c r="AR630" s="1">
        <f t="shared" si="20"/>
        <v>-0.24500708959999995</v>
      </c>
      <c r="AS630" s="118"/>
    </row>
    <row r="631" spans="1:45" x14ac:dyDescent="0.25">
      <c r="A631" s="30">
        <v>547</v>
      </c>
      <c r="B631" s="5" t="s">
        <v>1816</v>
      </c>
      <c r="C631" s="2" t="s">
        <v>301</v>
      </c>
      <c r="D631" s="48" t="s">
        <v>2104</v>
      </c>
      <c r="E631" s="2">
        <v>188595</v>
      </c>
      <c r="F631" s="9">
        <v>3572035</v>
      </c>
      <c r="G631" s="2" t="str">
        <f>_xlfn.CONCAT(scheduleapr[[#This Row],[CUSTOMER CODE]],"-",scheduleapr[[#This Row],[MATERIAL NO]])</f>
        <v>188595-3572035</v>
      </c>
      <c r="H631" s="2" t="s">
        <v>1283</v>
      </c>
      <c r="I631" s="44" t="s">
        <v>229</v>
      </c>
      <c r="J631" s="1"/>
      <c r="K631" s="44" t="s">
        <v>963</v>
      </c>
      <c r="L631" s="2" t="s">
        <v>1867</v>
      </c>
      <c r="M631" s="1"/>
      <c r="N631" s="24"/>
      <c r="O631" s="2"/>
      <c r="P631" s="2"/>
      <c r="Q631" s="557" t="str">
        <f>CONCATENATE(scheduleapr[[#This Row],[OD]],"-",scheduleapr[[#This Row],[ID]],"-",scheduleapr[[#This Row],[TICKNESS]],"-",scheduleapr[[#This Row],[Grade]],"-",scheduleapr[[#This Row],[FC/NFC]])</f>
        <v>19-19-1-CRFH-PE</v>
      </c>
      <c r="R631" s="557" t="str">
        <f>_xlfn.CONCAT(scheduleapr[[#This Row],[Bucket]],"-",scheduleapr[[#This Row],[LENGTH]]/1000)</f>
        <v>19-19-1-CRFH-PE-0.89</v>
      </c>
      <c r="S631" s="557">
        <f>COUNTIF(scheduleapr[CTL Bucket],scheduleapr[[#This Row],[CTL Bucket]])</f>
        <v>1</v>
      </c>
      <c r="T631" s="2" t="s">
        <v>1816</v>
      </c>
      <c r="U631" s="2">
        <f>_xlfn.IFNA(VLOOKUP(scheduleapr[[#This Row],[Bucket]],salesforecast[[#All],[Bucket2]:[8406 Stock]],19,0),0)</f>
        <v>0</v>
      </c>
      <c r="V631" s="562">
        <f>_xlfn.IFNA(VLOOKUP(scheduleapr[[#This Row],[Bucket]],salesforecast[[#All],[Bucket2]:[8406 Stock]],20,0),0)+_xlfn.IFNA(VLOOKUP(scheduleapr[[#This Row],[Bucket]],salesforecast[[#All],[Bucket2]:[8406 Stock]],17,0),0)</f>
        <v>0</v>
      </c>
      <c r="W631" s="557"/>
      <c r="X631" s="1">
        <v>23.42</v>
      </c>
      <c r="Y631" s="1">
        <v>19</v>
      </c>
      <c r="Z631" s="1">
        <v>19</v>
      </c>
      <c r="AA631" s="1">
        <v>1</v>
      </c>
      <c r="AB631" s="24">
        <v>890</v>
      </c>
      <c r="AC631" s="24" t="s">
        <v>397</v>
      </c>
      <c r="AD631" s="24"/>
      <c r="AE631" s="24"/>
      <c r="AF631" s="2">
        <v>500</v>
      </c>
      <c r="AG631" s="2"/>
      <c r="AH631" s="2" cm="1">
        <f t="array" ref="AH6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1" s="4">
        <f>scheduleapr[[#This Row],[SCHEDULE in nos]]-scheduleapr[[#This Row],[DISPATCH]]</f>
        <v>500</v>
      </c>
      <c r="AJ631" s="1">
        <f>(3.14*(scheduleapr[[#This Row],[ACTUAL OD]]-scheduleapr[[#This Row],[TICKNESS]])*scheduleapr[[#This Row],[TICKNESS]]*scheduleapr[[#This Row],[LENGTH]]*7.85)/1000000*scheduleapr[[#This Row],[SCHEDULE in nos]]/1000</f>
        <v>0.24592060810000002</v>
      </c>
      <c r="AK631" s="1">
        <f>(3.14*(scheduleapr[[#This Row],[ACTUAL OD]]-scheduleapr[[#This Row],[TICKNESS]])*scheduleapr[[#This Row],[TICKNESS]]*scheduleapr[[#This Row],[LENGTH]]*7.85)/1000000*scheduleapr[[#This Row],[DISPATCH]]/1000</f>
        <v>0</v>
      </c>
      <c r="AL631" s="1">
        <f t="shared" si="21"/>
        <v>0.24592060810000002</v>
      </c>
      <c r="AM631" s="1">
        <f>scheduleapr[[#This Row],[SCHEDULE in nos]]/scheduleapr[[#This Row],[SCHEDULE IN MT]]*scheduleapr[[#This Row],[CTL Stock]]</f>
        <v>2602.4659134697381</v>
      </c>
      <c r="AN631" s="1">
        <f>SUMIFS(stock[MT],stock[Bucket],scheduleapr[[#This Row],[Bucket]],stock[CTL Bucket],scheduleapr[[#This Row],[CTL Bucket]],stock[Plant],"0789")</f>
        <v>1.28</v>
      </c>
      <c r="AO631" s="1"/>
      <c r="AP631" s="1">
        <f>SUMIFS(stock[MT],stock[Bucket],scheduleapr[[#This Row],[Bucket]],stock[LL or CTL],"LL")</f>
        <v>15.867808</v>
      </c>
      <c r="AQ631" s="1">
        <f>+SUMIFS(wip[Stock(Net Wt)],wip[Bucket],scheduleapr[[#This Row],[Bucket]])/1000</f>
        <v>41.765000000000001</v>
      </c>
      <c r="AR631" s="1">
        <f t="shared" si="20"/>
        <v>-1.0340793919</v>
      </c>
      <c r="AS631" s="118"/>
    </row>
    <row r="632" spans="1:45" x14ac:dyDescent="0.25">
      <c r="A632" s="30">
        <v>548</v>
      </c>
      <c r="B632" s="5" t="s">
        <v>1816</v>
      </c>
      <c r="C632" s="44" t="s">
        <v>301</v>
      </c>
      <c r="D632" s="2" t="s">
        <v>2104</v>
      </c>
      <c r="E632" s="44">
        <v>188595</v>
      </c>
      <c r="F632" s="87">
        <v>3938684</v>
      </c>
      <c r="G632" s="2" t="str">
        <f>_xlfn.CONCAT(scheduleapr[[#This Row],[CUSTOMER CODE]],"-",scheduleapr[[#This Row],[MATERIAL NO]])</f>
        <v>188595-3938684</v>
      </c>
      <c r="H632" s="2" t="s">
        <v>2114</v>
      </c>
      <c r="I632" s="44" t="s">
        <v>229</v>
      </c>
      <c r="J632" s="1"/>
      <c r="K632" s="44" t="s">
        <v>963</v>
      </c>
      <c r="L632" s="2" t="s">
        <v>1867</v>
      </c>
      <c r="M632" s="1"/>
      <c r="N632" s="24"/>
      <c r="O632" s="2"/>
      <c r="P632" s="2"/>
      <c r="Q632" s="557" t="str">
        <f>CONCATENATE(scheduleapr[[#This Row],[OD]],"-",scheduleapr[[#This Row],[ID]],"-",scheduleapr[[#This Row],[TICKNESS]],"-",scheduleapr[[#This Row],[Grade]],"-",scheduleapr[[#This Row],[FC/NFC]])</f>
        <v>19-19-1-CRFH-PE</v>
      </c>
      <c r="R632" s="557" t="str">
        <f>_xlfn.CONCAT(scheduleapr[[#This Row],[Bucket]],"-",scheduleapr[[#This Row],[LENGTH]]/1000)</f>
        <v>19-19-1-CRFH-PE-0.962</v>
      </c>
      <c r="S632" s="557">
        <f>COUNTIF(scheduleapr[CTL Bucket],scheduleapr[[#This Row],[CTL Bucket]])</f>
        <v>1</v>
      </c>
      <c r="T632" s="2" t="s">
        <v>1816</v>
      </c>
      <c r="U632" s="2">
        <f>_xlfn.IFNA(VLOOKUP(scheduleapr[[#This Row],[Bucket]],salesforecast[[#All],[Bucket2]:[8406 Stock]],19,0),0)</f>
        <v>0</v>
      </c>
      <c r="V632" s="562">
        <f>_xlfn.IFNA(VLOOKUP(scheduleapr[[#This Row],[Bucket]],salesforecast[[#All],[Bucket2]:[8406 Stock]],20,0),0)+_xlfn.IFNA(VLOOKUP(scheduleapr[[#This Row],[Bucket]],salesforecast[[#All],[Bucket2]:[8406 Stock]],17,0),0)</f>
        <v>0</v>
      </c>
      <c r="W632" s="557"/>
      <c r="X632" s="1">
        <v>23.42</v>
      </c>
      <c r="Y632" s="1">
        <v>19</v>
      </c>
      <c r="Z632" s="1">
        <v>19</v>
      </c>
      <c r="AA632" s="1">
        <v>1</v>
      </c>
      <c r="AB632" s="24">
        <v>962</v>
      </c>
      <c r="AC632" s="24" t="s">
        <v>397</v>
      </c>
      <c r="AD632" s="24"/>
      <c r="AE632" s="24"/>
      <c r="AF632" s="2">
        <v>1000</v>
      </c>
      <c r="AG632" s="2"/>
      <c r="AH632" s="2" cm="1">
        <f t="array" ref="AH6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2" s="4">
        <f>scheduleapr[[#This Row],[SCHEDULE in nos]]-scheduleapr[[#This Row],[DISPATCH]]</f>
        <v>1000</v>
      </c>
      <c r="AJ632" s="1">
        <f>(3.14*(scheduleapr[[#This Row],[ACTUAL OD]]-scheduleapr[[#This Row],[TICKNESS]])*scheduleapr[[#This Row],[TICKNESS]]*scheduleapr[[#This Row],[LENGTH]]*7.85)/1000000*scheduleapr[[#This Row],[SCHEDULE in nos]]/1000</f>
        <v>0.53163061796</v>
      </c>
      <c r="AK632" s="1">
        <f>(3.14*(scheduleapr[[#This Row],[ACTUAL OD]]-scheduleapr[[#This Row],[TICKNESS]])*scheduleapr[[#This Row],[TICKNESS]]*scheduleapr[[#This Row],[LENGTH]]*7.85)/1000000*scheduleapr[[#This Row],[DISPATCH]]/1000</f>
        <v>0</v>
      </c>
      <c r="AL632" s="1">
        <f t="shared" si="21"/>
        <v>0.53163061796</v>
      </c>
      <c r="AM632" s="1">
        <f>scheduleapr[[#This Row],[SCHEDULE in nos]]/scheduleapr[[#This Row],[SCHEDULE IN MT]]*scheduleapr[[#This Row],[CTL Stock]]</f>
        <v>2491.2033943455986</v>
      </c>
      <c r="AN632" s="1">
        <f>SUMIFS(stock[MT],stock[Bucket],scheduleapr[[#This Row],[Bucket]],stock[CTL Bucket],scheduleapr[[#This Row],[CTL Bucket]],stock[Plant],"0789")</f>
        <v>1.3244</v>
      </c>
      <c r="AO632" s="1"/>
      <c r="AP632" s="1">
        <f>SUMIFS(stock[MT],stock[Bucket],scheduleapr[[#This Row],[Bucket]],stock[LL or CTL],"LL")</f>
        <v>15.867808</v>
      </c>
      <c r="AQ632" s="1">
        <f>+SUMIFS(wip[Stock(Net Wt)],wip[Bucket],scheduleapr[[#This Row],[Bucket]])/1000</f>
        <v>41.765000000000001</v>
      </c>
      <c r="AR632" s="1">
        <f t="shared" si="20"/>
        <v>-0.79276938204000003</v>
      </c>
      <c r="AS632" s="118"/>
    </row>
    <row r="633" spans="1:45" x14ac:dyDescent="0.25">
      <c r="A633" s="30">
        <v>513</v>
      </c>
      <c r="B633" s="5" t="s">
        <v>1816</v>
      </c>
      <c r="C633" s="44" t="s">
        <v>304</v>
      </c>
      <c r="D633" s="48" t="s">
        <v>2104</v>
      </c>
      <c r="E633" s="2">
        <v>188595</v>
      </c>
      <c r="F633" s="523">
        <v>4151427</v>
      </c>
      <c r="G633" s="2" t="str">
        <f>_xlfn.CONCAT(scheduleapr[[#This Row],[CUSTOMER CODE]],"-",scheduleapr[[#This Row],[MATERIAL NO]])</f>
        <v>188595-4151427</v>
      </c>
      <c r="H633" s="2" t="s">
        <v>2115</v>
      </c>
      <c r="I633" s="44" t="s">
        <v>229</v>
      </c>
      <c r="J633" s="1"/>
      <c r="K633" s="44" t="s">
        <v>963</v>
      </c>
      <c r="L633" s="2" t="s">
        <v>1867</v>
      </c>
      <c r="M633" s="1"/>
      <c r="N633" s="24"/>
      <c r="O633" s="2"/>
      <c r="P633" s="2"/>
      <c r="Q633" s="557" t="str">
        <f>CONCATENATE(scheduleapr[[#This Row],[OD]],"-",scheduleapr[[#This Row],[ID]],"-",scheduleapr[[#This Row],[TICKNESS]],"-",scheduleapr[[#This Row],[Grade]],"-",scheduleapr[[#This Row],[FC/NFC]])</f>
        <v>19-19-1-CRFH-PE</v>
      </c>
      <c r="R633" s="557" t="str">
        <f>_xlfn.CONCAT(scheduleapr[[#This Row],[Bucket]],"-",scheduleapr[[#This Row],[LENGTH]]/1000)</f>
        <v>19-19-1-CRFH-PE-0.963</v>
      </c>
      <c r="S633" s="557">
        <f>COUNTIF(scheduleapr[CTL Bucket],scheduleapr[[#This Row],[CTL Bucket]])</f>
        <v>2</v>
      </c>
      <c r="T633" s="2" t="s">
        <v>1816</v>
      </c>
      <c r="U633" s="2">
        <f>_xlfn.IFNA(VLOOKUP(scheduleapr[[#This Row],[Bucket]],salesforecast[[#All],[Bucket2]:[8406 Stock]],19,0),0)</f>
        <v>0</v>
      </c>
      <c r="V633" s="562">
        <f>_xlfn.IFNA(VLOOKUP(scheduleapr[[#This Row],[Bucket]],salesforecast[[#All],[Bucket2]:[8406 Stock]],20,0),0)+_xlfn.IFNA(VLOOKUP(scheduleapr[[#This Row],[Bucket]],salesforecast[[#All],[Bucket2]:[8406 Stock]],17,0),0)</f>
        <v>0</v>
      </c>
      <c r="W633" s="557"/>
      <c r="X633" s="1">
        <v>23.42</v>
      </c>
      <c r="Y633" s="1">
        <v>19</v>
      </c>
      <c r="Z633" s="1">
        <v>19</v>
      </c>
      <c r="AA633" s="1">
        <v>1</v>
      </c>
      <c r="AB633" s="24">
        <v>963</v>
      </c>
      <c r="AC633" s="24" t="s">
        <v>397</v>
      </c>
      <c r="AD633" s="24"/>
      <c r="AE633" s="24"/>
      <c r="AF633" s="4">
        <v>12000</v>
      </c>
      <c r="AG633" s="4"/>
      <c r="AH633" s="2" cm="1">
        <f t="array" ref="AH6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33" s="4">
        <f>scheduleapr[[#This Row],[SCHEDULE in nos]]-scheduleapr[[#This Row],[DISPATCH]]</f>
        <v>6000</v>
      </c>
      <c r="AJ633" s="1">
        <f>(3.14*(scheduleapr[[#This Row],[ACTUAL OD]]-scheduleapr[[#This Row],[TICKNESS]])*scheduleapr[[#This Row],[TICKNESS]]*scheduleapr[[#This Row],[LENGTH]]*7.85)/1000000*scheduleapr[[#This Row],[SCHEDULE in nos]]/1000</f>
        <v>6.3861989824800016</v>
      </c>
      <c r="AK633" s="1">
        <f>(3.14*(scheduleapr[[#This Row],[ACTUAL OD]]-scheduleapr[[#This Row],[TICKNESS]])*scheduleapr[[#This Row],[TICKNESS]]*scheduleapr[[#This Row],[LENGTH]]*7.85)/1000000*scheduleapr[[#This Row],[DISPATCH]]/1000</f>
        <v>3.1930994912400008</v>
      </c>
      <c r="AL633" s="1">
        <f t="shared" si="21"/>
        <v>3.1930994912400008</v>
      </c>
      <c r="AM633" s="1">
        <f>scheduleapr[[#This Row],[SCHEDULE in nos]]/scheduleapr[[#This Row],[SCHEDULE IN MT]]*scheduleapr[[#This Row],[CTL Stock]]</f>
        <v>1196.8433838295198</v>
      </c>
      <c r="AN633" s="1">
        <f>SUMIFS(stock[MT],stock[Bucket],scheduleapr[[#This Row],[Bucket]],stock[CTL Bucket],scheduleapr[[#This Row],[CTL Bucket]],stock[Plant],"0789")</f>
        <v>0.63694000000000006</v>
      </c>
      <c r="AO633" s="1"/>
      <c r="AP633" s="1">
        <f>SUMIFS(stock[MT],stock[Bucket],scheduleapr[[#This Row],[Bucket]],stock[LL or CTL],"LL")</f>
        <v>15.867808</v>
      </c>
      <c r="AQ633" s="1">
        <f>+SUMIFS(wip[Stock(Net Wt)],wip[Bucket],scheduleapr[[#This Row],[Bucket]])/1000</f>
        <v>41.765000000000001</v>
      </c>
      <c r="AR633" s="1">
        <f t="shared" si="20"/>
        <v>5.7492589824800016</v>
      </c>
      <c r="AS633" s="118"/>
    </row>
    <row r="634" spans="1:45" x14ac:dyDescent="0.25">
      <c r="A634" s="30">
        <v>516</v>
      </c>
      <c r="B634" s="5" t="s">
        <v>1816</v>
      </c>
      <c r="C634" s="44" t="s">
        <v>304</v>
      </c>
      <c r="D634" s="2" t="s">
        <v>2104</v>
      </c>
      <c r="E634" s="2">
        <v>188595</v>
      </c>
      <c r="F634" s="523">
        <v>4100796</v>
      </c>
      <c r="G634" s="2" t="str">
        <f>_xlfn.CONCAT(scheduleapr[[#This Row],[CUSTOMER CODE]],"-",scheduleapr[[#This Row],[MATERIAL NO]])</f>
        <v>188595-4100796</v>
      </c>
      <c r="H634" s="2" t="s">
        <v>2116</v>
      </c>
      <c r="I634" s="44" t="s">
        <v>229</v>
      </c>
      <c r="J634" s="1"/>
      <c r="K634" s="44" t="s">
        <v>963</v>
      </c>
      <c r="L634" s="2" t="s">
        <v>1867</v>
      </c>
      <c r="M634" s="1"/>
      <c r="N634" s="24"/>
      <c r="O634" s="2"/>
      <c r="P634" s="2"/>
      <c r="Q634" s="557" t="str">
        <f>CONCATENATE(scheduleapr[[#This Row],[OD]],"-",scheduleapr[[#This Row],[ID]],"-",scheduleapr[[#This Row],[TICKNESS]],"-",scheduleapr[[#This Row],[Grade]],"-",scheduleapr[[#This Row],[FC/NFC]])</f>
        <v>19-19-1-CRFH-PE</v>
      </c>
      <c r="R634" s="557" t="str">
        <f>_xlfn.CONCAT(scheduleapr[[#This Row],[Bucket]],"-",scheduleapr[[#This Row],[LENGTH]]/1000)</f>
        <v>19-19-1-CRFH-PE-1.007</v>
      </c>
      <c r="S634" s="557">
        <f>COUNTIF(scheduleapr[CTL Bucket],scheduleapr[[#This Row],[CTL Bucket]])</f>
        <v>6</v>
      </c>
      <c r="T634" s="2" t="s">
        <v>1816</v>
      </c>
      <c r="U634" s="2">
        <f>_xlfn.IFNA(VLOOKUP(scheduleapr[[#This Row],[Bucket]],salesforecast[[#All],[Bucket2]:[8406 Stock]],19,0),0)</f>
        <v>0</v>
      </c>
      <c r="V634" s="562">
        <f>_xlfn.IFNA(VLOOKUP(scheduleapr[[#This Row],[Bucket]],salesforecast[[#All],[Bucket2]:[8406 Stock]],20,0),0)+_xlfn.IFNA(VLOOKUP(scheduleapr[[#This Row],[Bucket]],salesforecast[[#All],[Bucket2]:[8406 Stock]],17,0),0)</f>
        <v>0</v>
      </c>
      <c r="W634" s="557"/>
      <c r="X634" s="1">
        <v>23.42</v>
      </c>
      <c r="Y634" s="1">
        <v>19</v>
      </c>
      <c r="Z634" s="1">
        <v>19</v>
      </c>
      <c r="AA634" s="1">
        <v>1</v>
      </c>
      <c r="AB634" s="24">
        <v>1007</v>
      </c>
      <c r="AC634" s="24" t="s">
        <v>397</v>
      </c>
      <c r="AD634" s="24"/>
      <c r="AE634" s="24"/>
      <c r="AF634" s="4">
        <v>6000</v>
      </c>
      <c r="AG634" s="4"/>
      <c r="AH634" s="2" cm="1">
        <f t="array" ref="AH6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34" s="4">
        <f>scheduleapr[[#This Row],[SCHEDULE in nos]]-scheduleapr[[#This Row],[DISPATCH]]</f>
        <v>2500</v>
      </c>
      <c r="AJ634" s="1">
        <f>(3.14*(scheduleapr[[#This Row],[ACTUAL OD]]-scheduleapr[[#This Row],[TICKNESS]])*scheduleapr[[#This Row],[TICKNESS]]*scheduleapr[[#This Row],[LENGTH]]*7.85)/1000000*scheduleapr[[#This Row],[SCHEDULE in nos]]/1000</f>
        <v>3.3389939643600002</v>
      </c>
      <c r="AK634" s="1">
        <f>(3.14*(scheduleapr[[#This Row],[ACTUAL OD]]-scheduleapr[[#This Row],[TICKNESS]])*scheduleapr[[#This Row],[TICKNESS]]*scheduleapr[[#This Row],[LENGTH]]*7.85)/1000000*scheduleapr[[#This Row],[DISPATCH]]/1000</f>
        <v>1.9477464792100001</v>
      </c>
      <c r="AL634" s="1">
        <f t="shared" si="21"/>
        <v>1.3912474851500001</v>
      </c>
      <c r="AM634" s="1">
        <f>scheduleapr[[#This Row],[SCHEDULE in nos]]/scheduleapr[[#This Row],[SCHEDULE IN MT]]*scheduleapr[[#This Row],[CTL Stock]]</f>
        <v>3071.051373393384</v>
      </c>
      <c r="AN634" s="1">
        <f>SUMIFS(stock[MT],stock[Bucket],scheduleapr[[#This Row],[Bucket]],stock[CTL Bucket],scheduleapr[[#This Row],[CTL Bucket]],stock[Plant],"0789")</f>
        <v>1.7090369999999999</v>
      </c>
      <c r="AO634" s="1"/>
      <c r="AP634" s="1">
        <f>SUMIFS(stock[MT],stock[Bucket],scheduleapr[[#This Row],[Bucket]],stock[LL or CTL],"LL")</f>
        <v>15.867808</v>
      </c>
      <c r="AQ634" s="1">
        <f>+SUMIFS(wip[Stock(Net Wt)],wip[Bucket],scheduleapr[[#This Row],[Bucket]])/1000</f>
        <v>41.765000000000001</v>
      </c>
      <c r="AR634" s="1">
        <f t="shared" si="20"/>
        <v>1.6299569643600003</v>
      </c>
      <c r="AS634" s="118"/>
    </row>
    <row r="635" spans="1:45" x14ac:dyDescent="0.25">
      <c r="A635" s="30">
        <v>549</v>
      </c>
      <c r="B635" s="5" t="s">
        <v>1816</v>
      </c>
      <c r="C635" s="2" t="s">
        <v>301</v>
      </c>
      <c r="D635" s="2" t="s">
        <v>2104</v>
      </c>
      <c r="E635" s="2">
        <v>188595</v>
      </c>
      <c r="F635" s="544">
        <v>4100796</v>
      </c>
      <c r="G635" s="2" t="str">
        <f>_xlfn.CONCAT(scheduleapr[[#This Row],[CUSTOMER CODE]],"-",scheduleapr[[#This Row],[MATERIAL NO]])</f>
        <v>188595-4100796</v>
      </c>
      <c r="H635" s="2" t="s">
        <v>2116</v>
      </c>
      <c r="I635" s="44" t="s">
        <v>229</v>
      </c>
      <c r="J635" s="1"/>
      <c r="K635" s="44" t="s">
        <v>963</v>
      </c>
      <c r="L635" s="2" t="s">
        <v>1867</v>
      </c>
      <c r="M635" s="1"/>
      <c r="N635" s="24"/>
      <c r="O635" s="2"/>
      <c r="P635" s="2"/>
      <c r="Q635" s="557" t="str">
        <f>CONCATENATE(scheduleapr[[#This Row],[OD]],"-",scheduleapr[[#This Row],[ID]],"-",scheduleapr[[#This Row],[TICKNESS]],"-",scheduleapr[[#This Row],[Grade]],"-",scheduleapr[[#This Row],[FC/NFC]])</f>
        <v>19-19-1-CRFH-PE</v>
      </c>
      <c r="R635" s="557" t="str">
        <f>_xlfn.CONCAT(scheduleapr[[#This Row],[Bucket]],"-",scheduleapr[[#This Row],[LENGTH]]/1000)</f>
        <v>19-19-1-CRFH-PE-1.007</v>
      </c>
      <c r="S635" s="557">
        <f>COUNTIF(scheduleapr[CTL Bucket],scheduleapr[[#This Row],[CTL Bucket]])</f>
        <v>6</v>
      </c>
      <c r="T635" s="2" t="s">
        <v>1816</v>
      </c>
      <c r="U635" s="2">
        <f>_xlfn.IFNA(VLOOKUP(scheduleapr[[#This Row],[Bucket]],salesforecast[[#All],[Bucket2]:[8406 Stock]],19,0),0)</f>
        <v>0</v>
      </c>
      <c r="V635" s="562">
        <f>_xlfn.IFNA(VLOOKUP(scheduleapr[[#This Row],[Bucket]],salesforecast[[#All],[Bucket2]:[8406 Stock]],20,0),0)+_xlfn.IFNA(VLOOKUP(scheduleapr[[#This Row],[Bucket]],salesforecast[[#All],[Bucket2]:[8406 Stock]],17,0),0)</f>
        <v>0</v>
      </c>
      <c r="W635" s="557"/>
      <c r="X635" s="1">
        <v>23.42</v>
      </c>
      <c r="Y635" s="1">
        <v>19</v>
      </c>
      <c r="Z635" s="1">
        <v>19</v>
      </c>
      <c r="AA635" s="1">
        <v>1</v>
      </c>
      <c r="AB635" s="24">
        <v>1007</v>
      </c>
      <c r="AC635" s="24" t="s">
        <v>397</v>
      </c>
      <c r="AD635" s="24"/>
      <c r="AE635" s="24"/>
      <c r="AF635" s="2">
        <v>500</v>
      </c>
      <c r="AG635" s="2"/>
      <c r="AH635" s="2" cm="1">
        <f t="array" ref="AH6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35" s="4">
        <f>scheduleapr[[#This Row],[SCHEDULE in nos]]-scheduleapr[[#This Row],[DISPATCH]]</f>
        <v>-3000</v>
      </c>
      <c r="AJ635" s="1">
        <f>(3.14*(scheduleapr[[#This Row],[ACTUAL OD]]-scheduleapr[[#This Row],[TICKNESS]])*scheduleapr[[#This Row],[TICKNESS]]*scheduleapr[[#This Row],[LENGTH]]*7.85)/1000000*scheduleapr[[#This Row],[SCHEDULE in nos]]/1000</f>
        <v>0.27824949703000007</v>
      </c>
      <c r="AK635" s="1">
        <f>(3.14*(scheduleapr[[#This Row],[ACTUAL OD]]-scheduleapr[[#This Row],[TICKNESS]])*scheduleapr[[#This Row],[TICKNESS]]*scheduleapr[[#This Row],[LENGTH]]*7.85)/1000000*scheduleapr[[#This Row],[DISPATCH]]/1000</f>
        <v>1.9477464792100001</v>
      </c>
      <c r="AL635" s="1">
        <f t="shared" si="21"/>
        <v>-1.6694969821800001</v>
      </c>
      <c r="AM635" s="1">
        <f>scheduleapr[[#This Row],[SCHEDULE in nos]]/scheduleapr[[#This Row],[SCHEDULE IN MT]]*scheduleapr[[#This Row],[CTL Stock]]</f>
        <v>3071.051373393384</v>
      </c>
      <c r="AN635" s="1">
        <f>SUMIFS(stock[MT],stock[Bucket],scheduleapr[[#This Row],[Bucket]],stock[CTL Bucket],scheduleapr[[#This Row],[CTL Bucket]],stock[Plant],"0789")</f>
        <v>1.7090369999999999</v>
      </c>
      <c r="AO635" s="1"/>
      <c r="AP635" s="1">
        <f>SUMIFS(stock[MT],stock[Bucket],scheduleapr[[#This Row],[Bucket]],stock[LL or CTL],"LL")</f>
        <v>15.867808</v>
      </c>
      <c r="AQ635" s="1">
        <f>+SUMIFS(wip[Stock(Net Wt)],wip[Bucket],scheduleapr[[#This Row],[Bucket]])/1000</f>
        <v>41.765000000000001</v>
      </c>
      <c r="AR635" s="1">
        <f t="shared" si="20"/>
        <v>-1.4307875029699999</v>
      </c>
      <c r="AS635" s="118"/>
    </row>
    <row r="636" spans="1:45" x14ac:dyDescent="0.25">
      <c r="A636" s="30">
        <v>661</v>
      </c>
      <c r="B636" s="5" t="s">
        <v>1816</v>
      </c>
      <c r="C636" s="2" t="s">
        <v>306</v>
      </c>
      <c r="D636" s="2" t="s">
        <v>2104</v>
      </c>
      <c r="E636" s="2">
        <v>188595</v>
      </c>
      <c r="F636" s="523">
        <v>4100796</v>
      </c>
      <c r="G636" s="2" t="str">
        <f>_xlfn.CONCAT(scheduleapr[[#This Row],[CUSTOMER CODE]],"-",scheduleapr[[#This Row],[MATERIAL NO]])</f>
        <v>188595-4100796</v>
      </c>
      <c r="H636" s="523" t="s">
        <v>552</v>
      </c>
      <c r="I636" s="2" t="s">
        <v>229</v>
      </c>
      <c r="J636" s="2"/>
      <c r="K636" s="44" t="s">
        <v>963</v>
      </c>
      <c r="L636" s="2"/>
      <c r="M636" s="44"/>
      <c r="N636" s="2"/>
      <c r="O636" s="2"/>
      <c r="P636" s="2"/>
      <c r="Q636" s="557" t="str">
        <f>CONCATENATE(scheduleapr[[#This Row],[OD]],"-",scheduleapr[[#This Row],[ID]],"-",scheduleapr[[#This Row],[TICKNESS]],"-",scheduleapr[[#This Row],[Grade]],"-",scheduleapr[[#This Row],[FC/NFC]])</f>
        <v>19-19-1-CRFH-PE</v>
      </c>
      <c r="R636" s="557" t="str">
        <f>_xlfn.CONCAT(scheduleapr[[#This Row],[Bucket]],"-",scheduleapr[[#This Row],[LENGTH]]/1000)</f>
        <v>19-19-1-CRFH-PE-1.007</v>
      </c>
      <c r="S636" s="2"/>
      <c r="T636" s="2"/>
      <c r="U636" s="2">
        <f>_xlfn.IFNA(VLOOKUP(scheduleapr[[#This Row],[Bucket]],salesforecast[[#All],[Bucket2]:[8406 Stock]],19,0),0)</f>
        <v>0</v>
      </c>
      <c r="V636" s="562">
        <f>_xlfn.IFNA(VLOOKUP(scheduleapr[[#This Row],[Bucket]],salesforecast[[#All],[Bucket2]:[8406 Stock]],20,0),0)+_xlfn.IFNA(VLOOKUP(scheduleapr[[#This Row],[Bucket]],salesforecast[[#All],[Bucket2]:[8406 Stock]],17,0),0)</f>
        <v>0</v>
      </c>
      <c r="W636" s="2"/>
      <c r="X636" s="1">
        <v>23.42</v>
      </c>
      <c r="Y636" s="1">
        <v>19</v>
      </c>
      <c r="Z636" s="1">
        <v>19</v>
      </c>
      <c r="AA636" s="1">
        <v>1</v>
      </c>
      <c r="AB636" s="24">
        <v>1007</v>
      </c>
      <c r="AC636" s="24" t="s">
        <v>397</v>
      </c>
      <c r="AD636" s="24"/>
      <c r="AE636" s="24"/>
      <c r="AF636" s="2">
        <v>500</v>
      </c>
      <c r="AG636" s="2"/>
      <c r="AH636" s="2" cm="1">
        <f t="array" ref="AH6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36" s="4">
        <f>scheduleapr[[#This Row],[SCHEDULE in nos]]-scheduleapr[[#This Row],[DISPATCH]]</f>
        <v>-3000</v>
      </c>
      <c r="AJ636" s="1">
        <f>(3.14*(scheduleapr[[#This Row],[ACTUAL OD]]-scheduleapr[[#This Row],[TICKNESS]])*scheduleapr[[#This Row],[TICKNESS]]*scheduleapr[[#This Row],[LENGTH]]*7.85)/1000000*scheduleapr[[#This Row],[SCHEDULE in nos]]/1000</f>
        <v>0.27824949703000007</v>
      </c>
      <c r="AK636" s="1">
        <f>(3.14*(scheduleapr[[#This Row],[ACTUAL OD]]-scheduleapr[[#This Row],[TICKNESS]])*scheduleapr[[#This Row],[TICKNESS]]*scheduleapr[[#This Row],[LENGTH]]*7.85)/1000000*scheduleapr[[#This Row],[DISPATCH]]/1000</f>
        <v>1.9477464792100001</v>
      </c>
      <c r="AL636" s="1">
        <f t="shared" si="21"/>
        <v>-1.6694969821800001</v>
      </c>
      <c r="AM636" s="1">
        <f>scheduleapr[[#This Row],[SCHEDULE in nos]]/scheduleapr[[#This Row],[SCHEDULE IN MT]]*scheduleapr[[#This Row],[CTL Stock]]</f>
        <v>3071.051373393384</v>
      </c>
      <c r="AN636" s="1">
        <f>SUMIFS(stock[MT],stock[Bucket],scheduleapr[[#This Row],[Bucket]],stock[CTL Bucket],scheduleapr[[#This Row],[CTL Bucket]],stock[Plant],"0789")</f>
        <v>1.7090369999999999</v>
      </c>
      <c r="AO636" s="1"/>
      <c r="AP636" s="1">
        <f>SUMIFS(stock[MT],stock[Bucket],scheduleapr[[#This Row],[Bucket]],stock[LL or CTL],"LL")</f>
        <v>15.867808</v>
      </c>
      <c r="AQ636" s="1">
        <f>+SUMIFS(wip[Stock(Net Wt)],wip[Bucket],scheduleapr[[#This Row],[Bucket]])/1000</f>
        <v>41.765000000000001</v>
      </c>
      <c r="AR636" s="1">
        <f t="shared" si="20"/>
        <v>-1.4307875029699999</v>
      </c>
      <c r="AS636" s="118"/>
    </row>
    <row r="637" spans="1:45" x14ac:dyDescent="0.25">
      <c r="A637" s="30">
        <v>517</v>
      </c>
      <c r="B637" s="5" t="s">
        <v>1816</v>
      </c>
      <c r="C637" s="44" t="s">
        <v>304</v>
      </c>
      <c r="D637" s="2" t="s">
        <v>2104</v>
      </c>
      <c r="E637" s="2">
        <v>188595</v>
      </c>
      <c r="F637" s="9">
        <v>3572038</v>
      </c>
      <c r="G637" s="2" t="str">
        <f>_xlfn.CONCAT(scheduleapr[[#This Row],[CUSTOMER CODE]],"-",scheduleapr[[#This Row],[MATERIAL NO]])</f>
        <v>188595-3572038</v>
      </c>
      <c r="H637" s="2" t="s">
        <v>521</v>
      </c>
      <c r="I637" s="44" t="s">
        <v>229</v>
      </c>
      <c r="J637" s="1"/>
      <c r="K637" s="44" t="s">
        <v>963</v>
      </c>
      <c r="L637" s="2" t="s">
        <v>1867</v>
      </c>
      <c r="M637" s="1"/>
      <c r="N637" s="24"/>
      <c r="O637" s="2"/>
      <c r="P637" s="2"/>
      <c r="Q637" s="557" t="str">
        <f>CONCATENATE(scheduleapr[[#This Row],[OD]],"-",scheduleapr[[#This Row],[ID]],"-",scheduleapr[[#This Row],[TICKNESS]],"-",scheduleapr[[#This Row],[Grade]],"-",scheduleapr[[#This Row],[FC/NFC]])</f>
        <v>19-19-1-CRFH-PE</v>
      </c>
      <c r="R637" s="557" t="str">
        <f>_xlfn.CONCAT(scheduleapr[[#This Row],[Bucket]],"-",scheduleapr[[#This Row],[LENGTH]]/1000)</f>
        <v>19-19-1-CRFH-PE-1.246</v>
      </c>
      <c r="S637" s="557">
        <f>COUNTIF(scheduleapr[CTL Bucket],scheduleapr[[#This Row],[CTL Bucket]])</f>
        <v>5</v>
      </c>
      <c r="T637" s="2" t="s">
        <v>1816</v>
      </c>
      <c r="U637" s="2">
        <f>_xlfn.IFNA(VLOOKUP(scheduleapr[[#This Row],[Bucket]],salesforecast[[#All],[Bucket2]:[8406 Stock]],19,0),0)</f>
        <v>0</v>
      </c>
      <c r="V637" s="562">
        <f>_xlfn.IFNA(VLOOKUP(scheduleapr[[#This Row],[Bucket]],salesforecast[[#All],[Bucket2]:[8406 Stock]],20,0),0)+_xlfn.IFNA(VLOOKUP(scheduleapr[[#This Row],[Bucket]],salesforecast[[#All],[Bucket2]:[8406 Stock]],17,0),0)</f>
        <v>0</v>
      </c>
      <c r="W637" s="557"/>
      <c r="X637" s="1">
        <v>23.42</v>
      </c>
      <c r="Y637" s="1">
        <v>19</v>
      </c>
      <c r="Z637" s="1">
        <v>19</v>
      </c>
      <c r="AA637" s="1">
        <v>1</v>
      </c>
      <c r="AB637" s="24">
        <v>1246</v>
      </c>
      <c r="AC637" s="24" t="s">
        <v>397</v>
      </c>
      <c r="AD637" s="24"/>
      <c r="AE637" s="24"/>
      <c r="AF637" s="4">
        <v>6000</v>
      </c>
      <c r="AG637" s="4"/>
      <c r="AH637" s="2" cm="1">
        <f t="array" ref="AH6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37" s="4">
        <f>scheduleapr[[#This Row],[SCHEDULE in nos]]-scheduleapr[[#This Row],[DISPATCH]]</f>
        <v>2500</v>
      </c>
      <c r="AJ637" s="1">
        <f>(3.14*(scheduleapr[[#This Row],[ACTUAL OD]]-scheduleapr[[#This Row],[TICKNESS]])*scheduleapr[[#This Row],[TICKNESS]]*scheduleapr[[#This Row],[LENGTH]]*7.85)/1000000*scheduleapr[[#This Row],[SCHEDULE in nos]]/1000</f>
        <v>4.1314662160799998</v>
      </c>
      <c r="AK637" s="1">
        <f>(3.14*(scheduleapr[[#This Row],[ACTUAL OD]]-scheduleapr[[#This Row],[TICKNESS]])*scheduleapr[[#This Row],[TICKNESS]]*scheduleapr[[#This Row],[LENGTH]]*7.85)/1000000*scheduleapr[[#This Row],[DISPATCH]]/1000</f>
        <v>2.4100219593799999</v>
      </c>
      <c r="AL637" s="1">
        <f t="shared" si="21"/>
        <v>1.7214442566999999</v>
      </c>
      <c r="AM637" s="1">
        <f>scheduleapr[[#This Row],[SCHEDULE in nos]]/scheduleapr[[#This Row],[SCHEDULE IN MT]]*scheduleapr[[#This Row],[CTL Stock]]</f>
        <v>830.53807547667896</v>
      </c>
      <c r="AN637" s="1">
        <f>SUMIFS(stock[MT],stock[Bucket],scheduleapr[[#This Row],[Bucket]],stock[CTL Bucket],scheduleapr[[#This Row],[CTL Bucket]],stock[Plant],"0789")</f>
        <v>0.57189000000000001</v>
      </c>
      <c r="AO637" s="1"/>
      <c r="AP637" s="1">
        <f>SUMIFS(stock[MT],stock[Bucket],scheduleapr[[#This Row],[Bucket]],stock[LL or CTL],"LL")</f>
        <v>15.867808</v>
      </c>
      <c r="AQ637" s="1">
        <f>+SUMIFS(wip[Stock(Net Wt)],wip[Bucket],scheduleapr[[#This Row],[Bucket]])/1000</f>
        <v>41.765000000000001</v>
      </c>
      <c r="AR637" s="1">
        <f t="shared" si="20"/>
        <v>3.55957621608</v>
      </c>
      <c r="AS637" s="118"/>
    </row>
    <row r="638" spans="1:45" x14ac:dyDescent="0.25">
      <c r="A638" s="30">
        <v>550</v>
      </c>
      <c r="B638" s="5" t="s">
        <v>1816</v>
      </c>
      <c r="C638" s="2" t="s">
        <v>301</v>
      </c>
      <c r="D638" s="2" t="s">
        <v>2104</v>
      </c>
      <c r="E638" s="2">
        <v>188595</v>
      </c>
      <c r="F638" s="9">
        <v>3572038</v>
      </c>
      <c r="G638" s="2" t="str">
        <f>_xlfn.CONCAT(scheduleapr[[#This Row],[CUSTOMER CODE]],"-",scheduleapr[[#This Row],[MATERIAL NO]])</f>
        <v>188595-3572038</v>
      </c>
      <c r="H638" s="2" t="s">
        <v>521</v>
      </c>
      <c r="I638" s="44" t="s">
        <v>229</v>
      </c>
      <c r="J638" s="1"/>
      <c r="K638" s="44" t="s">
        <v>963</v>
      </c>
      <c r="L638" s="2" t="s">
        <v>1867</v>
      </c>
      <c r="M638" s="1"/>
      <c r="N638" s="24"/>
      <c r="O638" s="2"/>
      <c r="P638" s="2"/>
      <c r="Q638" s="557" t="str">
        <f>CONCATENATE(scheduleapr[[#This Row],[OD]],"-",scheduleapr[[#This Row],[ID]],"-",scheduleapr[[#This Row],[TICKNESS]],"-",scheduleapr[[#This Row],[Grade]],"-",scheduleapr[[#This Row],[FC/NFC]])</f>
        <v>19-19-1-CRFH-PE</v>
      </c>
      <c r="R638" s="557" t="str">
        <f>_xlfn.CONCAT(scheduleapr[[#This Row],[Bucket]],"-",scheduleapr[[#This Row],[LENGTH]]/1000)</f>
        <v>19-19-1-CRFH-PE-1.246</v>
      </c>
      <c r="S638" s="557">
        <f>COUNTIF(scheduleapr[CTL Bucket],scheduleapr[[#This Row],[CTL Bucket]])</f>
        <v>5</v>
      </c>
      <c r="T638" s="2" t="s">
        <v>1816</v>
      </c>
      <c r="U638" s="2">
        <f>_xlfn.IFNA(VLOOKUP(scheduleapr[[#This Row],[Bucket]],salesforecast[[#All],[Bucket2]:[8406 Stock]],19,0),0)</f>
        <v>0</v>
      </c>
      <c r="V638" s="562">
        <f>_xlfn.IFNA(VLOOKUP(scheduleapr[[#This Row],[Bucket]],salesforecast[[#All],[Bucket2]:[8406 Stock]],20,0),0)+_xlfn.IFNA(VLOOKUP(scheduleapr[[#This Row],[Bucket]],salesforecast[[#All],[Bucket2]:[8406 Stock]],17,0),0)</f>
        <v>0</v>
      </c>
      <c r="W638" s="557"/>
      <c r="X638" s="1">
        <v>23.42</v>
      </c>
      <c r="Y638" s="1">
        <v>19</v>
      </c>
      <c r="Z638" s="1">
        <v>19</v>
      </c>
      <c r="AA638" s="1">
        <v>1</v>
      </c>
      <c r="AB638" s="24">
        <v>1246</v>
      </c>
      <c r="AC638" s="24" t="s">
        <v>397</v>
      </c>
      <c r="AD638" s="24"/>
      <c r="AE638" s="24"/>
      <c r="AF638" s="2">
        <v>500</v>
      </c>
      <c r="AG638" s="2"/>
      <c r="AH638" s="2" cm="1">
        <f t="array" ref="AH6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38" s="4">
        <f>scheduleapr[[#This Row],[SCHEDULE in nos]]-scheduleapr[[#This Row],[DISPATCH]]</f>
        <v>-3000</v>
      </c>
      <c r="AJ638" s="1">
        <f>(3.14*(scheduleapr[[#This Row],[ACTUAL OD]]-scheduleapr[[#This Row],[TICKNESS]])*scheduleapr[[#This Row],[TICKNESS]]*scheduleapr[[#This Row],[LENGTH]]*7.85)/1000000*scheduleapr[[#This Row],[SCHEDULE in nos]]/1000</f>
        <v>0.34428885133999992</v>
      </c>
      <c r="AK638" s="1">
        <f>(3.14*(scheduleapr[[#This Row],[ACTUAL OD]]-scheduleapr[[#This Row],[TICKNESS]])*scheduleapr[[#This Row],[TICKNESS]]*scheduleapr[[#This Row],[LENGTH]]*7.85)/1000000*scheduleapr[[#This Row],[DISPATCH]]/1000</f>
        <v>2.4100219593799999</v>
      </c>
      <c r="AL638" s="1">
        <f t="shared" si="21"/>
        <v>-2.0657331080399999</v>
      </c>
      <c r="AM638" s="1">
        <f>scheduleapr[[#This Row],[SCHEDULE in nos]]/scheduleapr[[#This Row],[SCHEDULE IN MT]]*scheduleapr[[#This Row],[CTL Stock]]</f>
        <v>830.53807547667907</v>
      </c>
      <c r="AN638" s="1">
        <f>SUMIFS(stock[MT],stock[Bucket],scheduleapr[[#This Row],[Bucket]],stock[CTL Bucket],scheduleapr[[#This Row],[CTL Bucket]],stock[Plant],"0789")</f>
        <v>0.57189000000000001</v>
      </c>
      <c r="AO638" s="1"/>
      <c r="AP638" s="1">
        <f>SUMIFS(stock[MT],stock[Bucket],scheduleapr[[#This Row],[Bucket]],stock[LL or CTL],"LL")</f>
        <v>15.867808</v>
      </c>
      <c r="AQ638" s="1">
        <f>+SUMIFS(wip[Stock(Net Wt)],wip[Bucket],scheduleapr[[#This Row],[Bucket]])/1000</f>
        <v>41.765000000000001</v>
      </c>
      <c r="AR638" s="1">
        <f t="shared" si="20"/>
        <v>-0.22760114866000009</v>
      </c>
      <c r="AS638" s="118"/>
    </row>
    <row r="639" spans="1:45" x14ac:dyDescent="0.25">
      <c r="A639" s="30">
        <v>638</v>
      </c>
      <c r="B639" s="5" t="s">
        <v>1816</v>
      </c>
      <c r="C639" s="2" t="s">
        <v>306</v>
      </c>
      <c r="D639" s="2" t="s">
        <v>2104</v>
      </c>
      <c r="E639" s="2">
        <v>188595</v>
      </c>
      <c r="F639" s="523">
        <v>3572038</v>
      </c>
      <c r="G639" s="2" t="str">
        <f>_xlfn.CONCAT(scheduleapr[[#This Row],[CUSTOMER CODE]],"-",scheduleapr[[#This Row],[MATERIAL NO]])</f>
        <v>188595-3572038</v>
      </c>
      <c r="H639" s="523" t="s">
        <v>521</v>
      </c>
      <c r="I639" s="2" t="s">
        <v>229</v>
      </c>
      <c r="J639" s="2"/>
      <c r="K639" s="44" t="s">
        <v>963</v>
      </c>
      <c r="L639" s="2"/>
      <c r="M639" s="44"/>
      <c r="N639" s="2"/>
      <c r="O639" s="2"/>
      <c r="P639" s="2"/>
      <c r="Q639" s="557" t="str">
        <f>CONCATENATE(scheduleapr[[#This Row],[OD]],"-",scheduleapr[[#This Row],[ID]],"-",scheduleapr[[#This Row],[TICKNESS]],"-",scheduleapr[[#This Row],[Grade]],"-",scheduleapr[[#This Row],[FC/NFC]])</f>
        <v>19-19-1-CRFH-PE</v>
      </c>
      <c r="R639" s="557" t="str">
        <f>_xlfn.CONCAT(scheduleapr[[#This Row],[Bucket]],"-",scheduleapr[[#This Row],[LENGTH]]/1000)</f>
        <v>19-19-1-CRFH-PE-1.246</v>
      </c>
      <c r="S639" s="2"/>
      <c r="T639" s="2"/>
      <c r="U639" s="2">
        <f>_xlfn.IFNA(VLOOKUP(scheduleapr[[#This Row],[Bucket]],salesforecast[[#All],[Bucket2]:[8406 Stock]],19,0),0)</f>
        <v>0</v>
      </c>
      <c r="V639" s="562">
        <f>_xlfn.IFNA(VLOOKUP(scheduleapr[[#This Row],[Bucket]],salesforecast[[#All],[Bucket2]:[8406 Stock]],20,0),0)+_xlfn.IFNA(VLOOKUP(scheduleapr[[#This Row],[Bucket]],salesforecast[[#All],[Bucket2]:[8406 Stock]],17,0),0)</f>
        <v>0</v>
      </c>
      <c r="W639" s="2"/>
      <c r="X639" s="1">
        <v>23.42</v>
      </c>
      <c r="Y639" s="1">
        <v>19</v>
      </c>
      <c r="Z639" s="1">
        <v>19</v>
      </c>
      <c r="AA639" s="1">
        <v>1</v>
      </c>
      <c r="AB639" s="24">
        <v>1246</v>
      </c>
      <c r="AC639" s="24" t="s">
        <v>397</v>
      </c>
      <c r="AD639" s="24"/>
      <c r="AE639" s="24"/>
      <c r="AF639" s="2">
        <v>500</v>
      </c>
      <c r="AG639" s="2"/>
      <c r="AH639" s="2" cm="1">
        <f t="array" ref="AH6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39" s="4">
        <f>scheduleapr[[#This Row],[SCHEDULE in nos]]-scheduleapr[[#This Row],[DISPATCH]]</f>
        <v>-3000</v>
      </c>
      <c r="AJ639" s="1">
        <f>(3.14*(scheduleapr[[#This Row],[ACTUAL OD]]-scheduleapr[[#This Row],[TICKNESS]])*scheduleapr[[#This Row],[TICKNESS]]*scheduleapr[[#This Row],[LENGTH]]*7.85)/1000000*scheduleapr[[#This Row],[SCHEDULE in nos]]/1000</f>
        <v>0.34428885133999992</v>
      </c>
      <c r="AK639" s="1">
        <f>(3.14*(scheduleapr[[#This Row],[ACTUAL OD]]-scheduleapr[[#This Row],[TICKNESS]])*scheduleapr[[#This Row],[TICKNESS]]*scheduleapr[[#This Row],[LENGTH]]*7.85)/1000000*scheduleapr[[#This Row],[DISPATCH]]/1000</f>
        <v>2.4100219593799999</v>
      </c>
      <c r="AL639" s="1">
        <f t="shared" si="21"/>
        <v>-2.0657331080399999</v>
      </c>
      <c r="AM639" s="1">
        <f>scheduleapr[[#This Row],[SCHEDULE in nos]]/scheduleapr[[#This Row],[SCHEDULE IN MT]]*scheduleapr[[#This Row],[CTL Stock]]</f>
        <v>830.53807547667907</v>
      </c>
      <c r="AN639" s="1">
        <f>SUMIFS(stock[MT],stock[Bucket],scheduleapr[[#This Row],[Bucket]],stock[CTL Bucket],scheduleapr[[#This Row],[CTL Bucket]],stock[Plant],"0789")</f>
        <v>0.57189000000000001</v>
      </c>
      <c r="AO639" s="1"/>
      <c r="AP639" s="1">
        <f>SUMIFS(stock[MT],stock[Bucket],scheduleapr[[#This Row],[Bucket]],stock[LL or CTL],"LL")</f>
        <v>15.867808</v>
      </c>
      <c r="AQ639" s="1">
        <f>+SUMIFS(wip[Stock(Net Wt)],wip[Bucket],scheduleapr[[#This Row],[Bucket]])/1000</f>
        <v>41.765000000000001</v>
      </c>
      <c r="AR639" s="1">
        <f t="shared" ref="AR639:AR702" si="22">AJ639-AN639</f>
        <v>-0.22760114866000009</v>
      </c>
      <c r="AS639" s="118"/>
    </row>
    <row r="640" spans="1:45" x14ac:dyDescent="0.25">
      <c r="A640" s="30">
        <v>515</v>
      </c>
      <c r="B640" s="5" t="s">
        <v>1816</v>
      </c>
      <c r="C640" s="44" t="s">
        <v>304</v>
      </c>
      <c r="D640" s="2" t="s">
        <v>2104</v>
      </c>
      <c r="E640" s="2">
        <v>188595</v>
      </c>
      <c r="F640" s="523">
        <v>3572039</v>
      </c>
      <c r="G640" s="2" t="str">
        <f>_xlfn.CONCAT(scheduleapr[[#This Row],[CUSTOMER CODE]],"-",scheduleapr[[#This Row],[MATERIAL NO]])</f>
        <v>188595-3572039</v>
      </c>
      <c r="H640" s="2" t="s">
        <v>2117</v>
      </c>
      <c r="I640" s="44" t="s">
        <v>229</v>
      </c>
      <c r="J640" s="1"/>
      <c r="K640" s="44" t="s">
        <v>963</v>
      </c>
      <c r="L640" s="2" t="s">
        <v>1867</v>
      </c>
      <c r="M640" s="1"/>
      <c r="N640" s="24"/>
      <c r="O640" s="2"/>
      <c r="P640" s="2"/>
      <c r="Q640" s="557" t="str">
        <f>CONCATENATE(scheduleapr[[#This Row],[OD]],"-",scheduleapr[[#This Row],[ID]],"-",scheduleapr[[#This Row],[TICKNESS]],"-",scheduleapr[[#This Row],[Grade]],"-",scheduleapr[[#This Row],[FC/NFC]])</f>
        <v>19-19-1-CRFH-PE</v>
      </c>
      <c r="R640" s="557" t="str">
        <f>_xlfn.CONCAT(scheduleapr[[#This Row],[Bucket]],"-",scheduleapr[[#This Row],[LENGTH]]/1000)</f>
        <v>19-19-1-CRFH-PE-1.304</v>
      </c>
      <c r="S640" s="557">
        <f>COUNTIF(scheduleapr[CTL Bucket],scheduleapr[[#This Row],[CTL Bucket]])</f>
        <v>3</v>
      </c>
      <c r="T640" s="2" t="s">
        <v>1816</v>
      </c>
      <c r="U640" s="2">
        <f>_xlfn.IFNA(VLOOKUP(scheduleapr[[#This Row],[Bucket]],salesforecast[[#All],[Bucket2]:[8406 Stock]],19,0),0)</f>
        <v>0</v>
      </c>
      <c r="V640" s="562">
        <f>_xlfn.IFNA(VLOOKUP(scheduleapr[[#This Row],[Bucket]],salesforecast[[#All],[Bucket2]:[8406 Stock]],20,0),0)+_xlfn.IFNA(VLOOKUP(scheduleapr[[#This Row],[Bucket]],salesforecast[[#All],[Bucket2]:[8406 Stock]],17,0),0)</f>
        <v>0</v>
      </c>
      <c r="W640" s="557"/>
      <c r="X640" s="1">
        <v>23.42</v>
      </c>
      <c r="Y640" s="1">
        <v>19</v>
      </c>
      <c r="Z640" s="1">
        <v>19</v>
      </c>
      <c r="AA640" s="1">
        <v>1</v>
      </c>
      <c r="AB640" s="24">
        <v>1304</v>
      </c>
      <c r="AC640" s="24" t="s">
        <v>397</v>
      </c>
      <c r="AD640" s="24"/>
      <c r="AE640" s="24"/>
      <c r="AF640" s="4">
        <v>12000</v>
      </c>
      <c r="AG640" s="4"/>
      <c r="AH640" s="2" cm="1">
        <f t="array" ref="AH6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40" s="4">
        <f>scheduleapr[[#This Row],[SCHEDULE in nos]]-scheduleapr[[#This Row],[DISPATCH]]</f>
        <v>6000</v>
      </c>
      <c r="AJ640" s="1">
        <f>(3.14*(scheduleapr[[#This Row],[ACTUAL OD]]-scheduleapr[[#This Row],[TICKNESS]])*scheduleapr[[#This Row],[TICKNESS]]*scheduleapr[[#This Row],[LENGTH]]*7.85)/1000000*scheduleapr[[#This Row],[SCHEDULE in nos]]/1000</f>
        <v>8.6475633158400012</v>
      </c>
      <c r="AK640" s="1">
        <f>(3.14*(scheduleapr[[#This Row],[ACTUAL OD]]-scheduleapr[[#This Row],[TICKNESS]])*scheduleapr[[#This Row],[TICKNESS]]*scheduleapr[[#This Row],[LENGTH]]*7.85)/1000000*scheduleapr[[#This Row],[DISPATCH]]/1000</f>
        <v>4.3237816579200006</v>
      </c>
      <c r="AL640" s="1">
        <f t="shared" si="21"/>
        <v>4.3237816579200006</v>
      </c>
      <c r="AM640" s="1">
        <f>scheduleapr[[#This Row],[SCHEDULE in nos]]/scheduleapr[[#This Row],[SCHEDULE IN MT]]*scheduleapr[[#This Row],[CTL Stock]]</f>
        <v>1088.0586422264353</v>
      </c>
      <c r="AN640" s="1">
        <f>SUMIFS(stock[MT],stock[Bucket],scheduleapr[[#This Row],[Bucket]],stock[CTL Bucket],scheduleapr[[#This Row],[CTL Bucket]],stock[Plant],"0789")</f>
        <v>0.78408800000000012</v>
      </c>
      <c r="AO640" s="1"/>
      <c r="AP640" s="1">
        <f>SUMIFS(stock[MT],stock[Bucket],scheduleapr[[#This Row],[Bucket]],stock[LL or CTL],"LL")</f>
        <v>15.867808</v>
      </c>
      <c r="AQ640" s="1">
        <f>+SUMIFS(wip[Stock(Net Wt)],wip[Bucket],scheduleapr[[#This Row],[Bucket]])/1000</f>
        <v>41.765000000000001</v>
      </c>
      <c r="AR640" s="1">
        <f t="shared" si="22"/>
        <v>7.8634753158400006</v>
      </c>
      <c r="AS640" s="118"/>
    </row>
    <row r="641" spans="1:45" x14ac:dyDescent="0.25">
      <c r="A641" s="30">
        <v>551</v>
      </c>
      <c r="B641" s="5" t="s">
        <v>1816</v>
      </c>
      <c r="C641" s="2" t="s">
        <v>301</v>
      </c>
      <c r="D641" s="48" t="s">
        <v>2104</v>
      </c>
      <c r="E641" s="2">
        <v>188595</v>
      </c>
      <c r="F641" s="9">
        <v>3572039</v>
      </c>
      <c r="G641" s="2" t="str">
        <f>_xlfn.CONCAT(scheduleapr[[#This Row],[CUSTOMER CODE]],"-",scheduleapr[[#This Row],[MATERIAL NO]])</f>
        <v>188595-3572039</v>
      </c>
      <c r="H641" s="2" t="s">
        <v>519</v>
      </c>
      <c r="I641" s="44" t="s">
        <v>229</v>
      </c>
      <c r="J641" s="1"/>
      <c r="K641" s="44" t="s">
        <v>963</v>
      </c>
      <c r="L641" s="2" t="s">
        <v>1867</v>
      </c>
      <c r="M641" s="1"/>
      <c r="N641" s="24"/>
      <c r="O641" s="2"/>
      <c r="P641" s="2"/>
      <c r="Q641" s="557" t="str">
        <f>CONCATENATE(scheduleapr[[#This Row],[OD]],"-",scheduleapr[[#This Row],[ID]],"-",scheduleapr[[#This Row],[TICKNESS]],"-",scheduleapr[[#This Row],[Grade]],"-",scheduleapr[[#This Row],[FC/NFC]])</f>
        <v>19-19-1-CRFH-PE</v>
      </c>
      <c r="R641" s="557" t="str">
        <f>_xlfn.CONCAT(scheduleapr[[#This Row],[Bucket]],"-",scheduleapr[[#This Row],[LENGTH]]/1000)</f>
        <v>19-19-1-CRFH-PE-1.304</v>
      </c>
      <c r="S641" s="557">
        <f>COUNTIF(scheduleapr[CTL Bucket],scheduleapr[[#This Row],[CTL Bucket]])</f>
        <v>3</v>
      </c>
      <c r="T641" s="2" t="s">
        <v>1816</v>
      </c>
      <c r="U641" s="2">
        <f>_xlfn.IFNA(VLOOKUP(scheduleapr[[#This Row],[Bucket]],salesforecast[[#All],[Bucket2]:[8406 Stock]],19,0),0)</f>
        <v>0</v>
      </c>
      <c r="V641" s="562">
        <f>_xlfn.IFNA(VLOOKUP(scheduleapr[[#This Row],[Bucket]],salesforecast[[#All],[Bucket2]:[8406 Stock]],20,0),0)+_xlfn.IFNA(VLOOKUP(scheduleapr[[#This Row],[Bucket]],salesforecast[[#All],[Bucket2]:[8406 Stock]],17,0),0)</f>
        <v>0</v>
      </c>
      <c r="W641" s="557"/>
      <c r="X641" s="1">
        <v>23.42</v>
      </c>
      <c r="Y641" s="1">
        <v>19</v>
      </c>
      <c r="Z641" s="1">
        <v>19</v>
      </c>
      <c r="AA641" s="1">
        <v>1</v>
      </c>
      <c r="AB641" s="24">
        <v>1304</v>
      </c>
      <c r="AC641" s="24" t="s">
        <v>397</v>
      </c>
      <c r="AD641" s="24"/>
      <c r="AE641" s="24"/>
      <c r="AF641" s="2">
        <v>500</v>
      </c>
      <c r="AG641" s="2"/>
      <c r="AH641" s="2" cm="1">
        <f t="array" ref="AH6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41" s="4">
        <f>scheduleapr[[#This Row],[SCHEDULE in nos]]-scheduleapr[[#This Row],[DISPATCH]]</f>
        <v>-5500</v>
      </c>
      <c r="AJ641" s="1">
        <f>(3.14*(scheduleapr[[#This Row],[ACTUAL OD]]-scheduleapr[[#This Row],[TICKNESS]])*scheduleapr[[#This Row],[TICKNESS]]*scheduleapr[[#This Row],[LENGTH]]*7.85)/1000000*scheduleapr[[#This Row],[SCHEDULE in nos]]/1000</f>
        <v>0.36031513816000005</v>
      </c>
      <c r="AK641" s="1">
        <f>(3.14*(scheduleapr[[#This Row],[ACTUAL OD]]-scheduleapr[[#This Row],[TICKNESS]])*scheduleapr[[#This Row],[TICKNESS]]*scheduleapr[[#This Row],[LENGTH]]*7.85)/1000000*scheduleapr[[#This Row],[DISPATCH]]/1000</f>
        <v>4.3237816579200006</v>
      </c>
      <c r="AL641" s="1">
        <f t="shared" si="21"/>
        <v>-3.9634665197600008</v>
      </c>
      <c r="AM641" s="1">
        <f>scheduleapr[[#This Row],[SCHEDULE in nos]]/scheduleapr[[#This Row],[SCHEDULE IN MT]]*scheduleapr[[#This Row],[CTL Stock]]</f>
        <v>1088.0586422264353</v>
      </c>
      <c r="AN641" s="1">
        <f>SUMIFS(stock[MT],stock[Bucket],scheduleapr[[#This Row],[Bucket]],stock[CTL Bucket],scheduleapr[[#This Row],[CTL Bucket]],stock[Plant],"0789")</f>
        <v>0.78408800000000012</v>
      </c>
      <c r="AO641" s="1"/>
      <c r="AP641" s="1">
        <f>SUMIFS(stock[MT],stock[Bucket],scheduleapr[[#This Row],[Bucket]],stock[LL or CTL],"LL")</f>
        <v>15.867808</v>
      </c>
      <c r="AQ641" s="1">
        <f>+SUMIFS(wip[Stock(Net Wt)],wip[Bucket],scheduleapr[[#This Row],[Bucket]])/1000</f>
        <v>41.765000000000001</v>
      </c>
      <c r="AR641" s="1">
        <f t="shared" si="22"/>
        <v>-0.42377286184000007</v>
      </c>
      <c r="AS641" s="118"/>
    </row>
    <row r="642" spans="1:45" x14ac:dyDescent="0.25">
      <c r="A642" s="30">
        <v>519</v>
      </c>
      <c r="B642" s="5" t="s">
        <v>1816</v>
      </c>
      <c r="C642" s="44" t="s">
        <v>304</v>
      </c>
      <c r="D642" s="2" t="s">
        <v>2104</v>
      </c>
      <c r="E642" s="2">
        <v>188595</v>
      </c>
      <c r="F642" s="523">
        <v>4151430</v>
      </c>
      <c r="G642" s="2" t="str">
        <f>_xlfn.CONCAT(scheduleapr[[#This Row],[CUSTOMER CODE]],"-",scheduleapr[[#This Row],[MATERIAL NO]])</f>
        <v>188595-4151430</v>
      </c>
      <c r="H642" s="2" t="s">
        <v>2118</v>
      </c>
      <c r="I642" s="2" t="s">
        <v>229</v>
      </c>
      <c r="J642" s="2"/>
      <c r="K642" s="2" t="s">
        <v>963</v>
      </c>
      <c r="L642" s="2"/>
      <c r="M642" s="2"/>
      <c r="N642" s="2"/>
      <c r="O642" s="2"/>
      <c r="P642" s="2"/>
      <c r="Q642" s="557" t="str">
        <f>CONCATENATE(scheduleapr[[#This Row],[OD]],"-",scheduleapr[[#This Row],[ID]],"-",scheduleapr[[#This Row],[TICKNESS]],"-",scheduleapr[[#This Row],[Grade]],"-",scheduleapr[[#This Row],[FC/NFC]])</f>
        <v>25-25-1.2-CRFH-PE</v>
      </c>
      <c r="R642" s="557" t="str">
        <f>_xlfn.CONCAT(scheduleapr[[#This Row],[Bucket]],"-",scheduleapr[[#This Row],[LENGTH]]/1000)</f>
        <v>25-25-1.2-CRFH-PE-0.64</v>
      </c>
      <c r="S642" s="557">
        <f>COUNTIF(scheduleapr[CTL Bucket],scheduleapr[[#This Row],[CTL Bucket]])</f>
        <v>2</v>
      </c>
      <c r="T642" s="2" t="s">
        <v>1816</v>
      </c>
      <c r="U642" s="2">
        <f>_xlfn.IFNA(VLOOKUP(scheduleapr[[#This Row],[Bucket]],salesforecast[[#All],[Bucket2]:[8406 Stock]],19,0),0)</f>
        <v>2.5459999999999998</v>
      </c>
      <c r="V642" s="562">
        <f>_xlfn.IFNA(VLOOKUP(scheduleapr[[#This Row],[Bucket]],salesforecast[[#All],[Bucket2]:[8406 Stock]],20,0),0)+_xlfn.IFNA(VLOOKUP(scheduleapr[[#This Row],[Bucket]],salesforecast[[#All],[Bucket2]:[8406 Stock]],17,0),0)</f>
        <v>0</v>
      </c>
      <c r="W642" s="557"/>
      <c r="X642" s="1">
        <v>31.75</v>
      </c>
      <c r="Y642" s="1">
        <v>25</v>
      </c>
      <c r="Z642" s="1">
        <v>25</v>
      </c>
      <c r="AA642" s="1">
        <v>1.2</v>
      </c>
      <c r="AB642" s="24">
        <v>640</v>
      </c>
      <c r="AC642" s="24" t="s">
        <v>397</v>
      </c>
      <c r="AD642" s="24"/>
      <c r="AE642" s="24"/>
      <c r="AF642" s="4">
        <v>12000</v>
      </c>
      <c r="AG642" s="4"/>
      <c r="AH642" s="2" cm="1">
        <f t="array" ref="AH6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10000</v>
      </c>
      <c r="AI642" s="4">
        <f>scheduleapr[[#This Row],[SCHEDULE in nos]]-scheduleapr[[#This Row],[DISPATCH]]</f>
        <v>2000</v>
      </c>
      <c r="AJ642" s="1">
        <f>(3.14*(scheduleapr[[#This Row],[ACTUAL OD]]-scheduleapr[[#This Row],[TICKNESS]])*scheduleapr[[#This Row],[TICKNESS]]*scheduleapr[[#This Row],[LENGTH]]*7.85)/1000000*scheduleapr[[#This Row],[SCHEDULE in nos]]/1000</f>
        <v>6.9398963711999997</v>
      </c>
      <c r="AK642" s="1">
        <f>(3.14*(scheduleapr[[#This Row],[ACTUAL OD]]-scheduleapr[[#This Row],[TICKNESS]])*scheduleapr[[#This Row],[TICKNESS]]*scheduleapr[[#This Row],[LENGTH]]*7.85)/1000000*scheduleapr[[#This Row],[DISPATCH]]/1000</f>
        <v>5.7832469759999992</v>
      </c>
      <c r="AL642" s="1">
        <f t="shared" si="21"/>
        <v>1.1566493952000005</v>
      </c>
      <c r="AM642" s="1">
        <f>scheduleapr[[#This Row],[SCHEDULE in nos]]/scheduleapr[[#This Row],[SCHEDULE IN MT]]*scheduleapr[[#This Row],[CTL Stock]]</f>
        <v>45.631805298159215</v>
      </c>
      <c r="AN642" s="1">
        <f>SUMIFS(stock[MT],stock[Bucket],scheduleapr[[#This Row],[Bucket]],stock[CTL Bucket],scheduleapr[[#This Row],[CTL Bucket]],stock[Plant],"0789")</f>
        <v>2.6390000000000004E-2</v>
      </c>
      <c r="AO642" s="1"/>
      <c r="AP642" s="1">
        <f>SUMIFS(stock[MT],stock[Bucket],scheduleapr[[#This Row],[Bucket]],stock[LL or CTL],"LL")</f>
        <v>2.5459999999999998</v>
      </c>
      <c r="AQ642" s="1">
        <f>+SUMIFS(wip[Stock(Net Wt)],wip[Bucket],scheduleapr[[#This Row],[Bucket]])/1000</f>
        <v>25.728999999999999</v>
      </c>
      <c r="AR642" s="1">
        <f t="shared" si="22"/>
        <v>6.9135063711999996</v>
      </c>
      <c r="AS642" s="118"/>
    </row>
    <row r="643" spans="1:45" x14ac:dyDescent="0.25">
      <c r="A643" s="30">
        <v>552</v>
      </c>
      <c r="B643" s="5" t="s">
        <v>1816</v>
      </c>
      <c r="C643" s="2" t="s">
        <v>301</v>
      </c>
      <c r="D643" s="2" t="s">
        <v>2104</v>
      </c>
      <c r="E643" s="2">
        <v>188595</v>
      </c>
      <c r="F643" s="9">
        <v>3572043</v>
      </c>
      <c r="G643" s="2" t="str">
        <f>_xlfn.CONCAT(scheduleapr[[#This Row],[CUSTOMER CODE]],"-",scheduleapr[[#This Row],[MATERIAL NO]])</f>
        <v>188595-3572043</v>
      </c>
      <c r="H643" s="2" t="s">
        <v>1544</v>
      </c>
      <c r="I643" s="2" t="s">
        <v>229</v>
      </c>
      <c r="J643" s="2"/>
      <c r="K643" s="2" t="s">
        <v>963</v>
      </c>
      <c r="L643" s="2"/>
      <c r="M643" s="2"/>
      <c r="N643" s="2"/>
      <c r="O643" s="2"/>
      <c r="P643" s="2"/>
      <c r="Q643" s="557" t="str">
        <f>CONCATENATE(scheduleapr[[#This Row],[OD]],"-",scheduleapr[[#This Row],[ID]],"-",scheduleapr[[#This Row],[TICKNESS]],"-",scheduleapr[[#This Row],[Grade]],"-",scheduleapr[[#This Row],[FC/NFC]])</f>
        <v>25-25-1.2-CRFH-PE</v>
      </c>
      <c r="R643" s="557" t="str">
        <f>_xlfn.CONCAT(scheduleapr[[#This Row],[Bucket]],"-",scheduleapr[[#This Row],[LENGTH]]/1000)</f>
        <v>25-25-1.2-CRFH-PE-0.642</v>
      </c>
      <c r="S643" s="557">
        <f>COUNTIF(scheduleapr[CTL Bucket],scheduleapr[[#This Row],[CTL Bucket]])</f>
        <v>1</v>
      </c>
      <c r="T643" s="2" t="s">
        <v>1816</v>
      </c>
      <c r="U643" s="2">
        <f>_xlfn.IFNA(VLOOKUP(scheduleapr[[#This Row],[Bucket]],salesforecast[[#All],[Bucket2]:[8406 Stock]],19,0),0)</f>
        <v>2.5459999999999998</v>
      </c>
      <c r="V643" s="562">
        <f>_xlfn.IFNA(VLOOKUP(scheduleapr[[#This Row],[Bucket]],salesforecast[[#All],[Bucket2]:[8406 Stock]],20,0),0)+_xlfn.IFNA(VLOOKUP(scheduleapr[[#This Row],[Bucket]],salesforecast[[#All],[Bucket2]:[8406 Stock]],17,0),0)</f>
        <v>0</v>
      </c>
      <c r="W643" s="557"/>
      <c r="X643" s="1">
        <v>31.75</v>
      </c>
      <c r="Y643" s="1">
        <v>25</v>
      </c>
      <c r="Z643" s="1">
        <v>25</v>
      </c>
      <c r="AA643" s="1">
        <v>1.2</v>
      </c>
      <c r="AB643" s="24">
        <v>642</v>
      </c>
      <c r="AC643" s="24" t="s">
        <v>397</v>
      </c>
      <c r="AD643" s="24"/>
      <c r="AE643" s="24"/>
      <c r="AF643" s="2">
        <v>1000</v>
      </c>
      <c r="AG643" s="2"/>
      <c r="AH643" s="2" cm="1">
        <f t="array" ref="AH6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3" s="4">
        <f>scheduleapr[[#This Row],[SCHEDULE in nos]]-scheduleapr[[#This Row],[DISPATCH]]</f>
        <v>1000</v>
      </c>
      <c r="AJ643" s="1">
        <f>(3.14*(scheduleapr[[#This Row],[ACTUAL OD]]-scheduleapr[[#This Row],[TICKNESS]])*scheduleapr[[#This Row],[TICKNESS]]*scheduleapr[[#This Row],[LENGTH]]*7.85)/1000000*scheduleapr[[#This Row],[SCHEDULE in nos]]/1000</f>
        <v>0.58013196228000008</v>
      </c>
      <c r="AK643" s="1">
        <f>(3.14*(scheduleapr[[#This Row],[ACTUAL OD]]-scheduleapr[[#This Row],[TICKNESS]])*scheduleapr[[#This Row],[TICKNESS]]*scheduleapr[[#This Row],[LENGTH]]*7.85)/1000000*scheduleapr[[#This Row],[DISPATCH]]/1000</f>
        <v>0</v>
      </c>
      <c r="AL643" s="1">
        <f t="shared" si="21"/>
        <v>0.58013196228000008</v>
      </c>
      <c r="AM643" s="1">
        <f>scheduleapr[[#This Row],[SCHEDULE in nos]]/scheduleapr[[#This Row],[SCHEDULE IN MT]]*scheduleapr[[#This Row],[CTL Stock]]</f>
        <v>826.50160855743286</v>
      </c>
      <c r="AN643" s="1">
        <f>SUMIFS(stock[MT],stock[Bucket],scheduleapr[[#This Row],[Bucket]],stock[CTL Bucket],scheduleapr[[#This Row],[CTL Bucket]],stock[Plant],"0789")</f>
        <v>0.47948000000000002</v>
      </c>
      <c r="AO643" s="1"/>
      <c r="AP643" s="1">
        <f>SUMIFS(stock[MT],stock[Bucket],scheduleapr[[#This Row],[Bucket]],stock[LL or CTL],"LL")</f>
        <v>2.5459999999999998</v>
      </c>
      <c r="AQ643" s="1">
        <f>+SUMIFS(wip[Stock(Net Wt)],wip[Bucket],scheduleapr[[#This Row],[Bucket]])/1000</f>
        <v>25.728999999999999</v>
      </c>
      <c r="AR643" s="1">
        <f t="shared" si="22"/>
        <v>0.10065196228000006</v>
      </c>
      <c r="AS643" s="118"/>
    </row>
    <row r="644" spans="1:45" x14ac:dyDescent="0.25">
      <c r="A644" s="30">
        <v>650</v>
      </c>
      <c r="B644" s="5" t="s">
        <v>1816</v>
      </c>
      <c r="C644" s="2" t="s">
        <v>306</v>
      </c>
      <c r="D644" s="2" t="s">
        <v>2104</v>
      </c>
      <c r="E644" s="2">
        <v>188595</v>
      </c>
      <c r="F644" s="523">
        <v>3230482</v>
      </c>
      <c r="G644" s="2" t="str">
        <f>_xlfn.CONCAT(scheduleapr[[#This Row],[CUSTOMER CODE]],"-",scheduleapr[[#This Row],[MATERIAL NO]])</f>
        <v>188595-3230482</v>
      </c>
      <c r="H644" s="523" t="s">
        <v>624</v>
      </c>
      <c r="I644" s="2" t="s">
        <v>229</v>
      </c>
      <c r="J644" s="2"/>
      <c r="K644" s="2" t="s">
        <v>963</v>
      </c>
      <c r="L644" s="2"/>
      <c r="M644" s="44"/>
      <c r="N644" s="2"/>
      <c r="O644" s="2"/>
      <c r="P644" s="2"/>
      <c r="Q644" s="557" t="str">
        <f>CONCATENATE(scheduleapr[[#This Row],[OD]],"-",scheduleapr[[#This Row],[ID]],"-",scheduleapr[[#This Row],[TICKNESS]],"-",scheduleapr[[#This Row],[Grade]],"-",scheduleapr[[#This Row],[FC/NFC]])</f>
        <v>25-25-1.2-CRFH-PE</v>
      </c>
      <c r="R644" s="557" t="str">
        <f>_xlfn.CONCAT(scheduleapr[[#This Row],[Bucket]],"-",scheduleapr[[#This Row],[LENGTH]]/1000)</f>
        <v>25-25-1.2-CRFH-PE-0.787</v>
      </c>
      <c r="S644" s="2"/>
      <c r="T644" s="2"/>
      <c r="U644" s="2">
        <f>_xlfn.IFNA(VLOOKUP(scheduleapr[[#This Row],[Bucket]],salesforecast[[#All],[Bucket2]:[8406 Stock]],19,0),0)</f>
        <v>2.5459999999999998</v>
      </c>
      <c r="V644" s="562">
        <f>_xlfn.IFNA(VLOOKUP(scheduleapr[[#This Row],[Bucket]],salesforecast[[#All],[Bucket2]:[8406 Stock]],20,0),0)+_xlfn.IFNA(VLOOKUP(scheduleapr[[#This Row],[Bucket]],salesforecast[[#All],[Bucket2]:[8406 Stock]],17,0),0)</f>
        <v>0</v>
      </c>
      <c r="W644" s="2"/>
      <c r="X644" s="1">
        <v>31.75</v>
      </c>
      <c r="Y644" s="1">
        <v>25</v>
      </c>
      <c r="Z644" s="1">
        <v>25</v>
      </c>
      <c r="AA644" s="1">
        <v>1.2</v>
      </c>
      <c r="AB644" s="24">
        <v>787</v>
      </c>
      <c r="AC644" s="24" t="s">
        <v>397</v>
      </c>
      <c r="AD644" s="24"/>
      <c r="AE644" s="24"/>
      <c r="AF644" s="2">
        <v>1000</v>
      </c>
      <c r="AG644" s="2"/>
      <c r="AH644" s="2" cm="1">
        <f t="array" ref="AH6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44" s="4">
        <f>scheduleapr[[#This Row],[SCHEDULE in nos]]-scheduleapr[[#This Row],[DISPATCH]]</f>
        <v>0</v>
      </c>
      <c r="AJ644" s="1">
        <f>(3.14*(scheduleapr[[#This Row],[ACTUAL OD]]-scheduleapr[[#This Row],[TICKNESS]])*scheduleapr[[#This Row],[TICKNESS]]*scheduleapr[[#This Row],[LENGTH]]*7.85)/1000000*scheduleapr[[#This Row],[SCHEDULE in nos]]/1000</f>
        <v>0.71115865158000002</v>
      </c>
      <c r="AK644" s="1">
        <f>(3.14*(scheduleapr[[#This Row],[ACTUAL OD]]-scheduleapr[[#This Row],[TICKNESS]])*scheduleapr[[#This Row],[TICKNESS]]*scheduleapr[[#This Row],[LENGTH]]*7.85)/1000000*scheduleapr[[#This Row],[DISPATCH]]/1000</f>
        <v>0.71115865158000002</v>
      </c>
      <c r="AL644" s="1">
        <f t="shared" ref="AL644:AL707" si="23">AJ644-AK644</f>
        <v>0</v>
      </c>
      <c r="AM644" s="1">
        <f>scheduleapr[[#This Row],[SCHEDULE in nos]]/scheduleapr[[#This Row],[SCHEDULE IN MT]]*scheduleapr[[#This Row],[CTL Stock]]</f>
        <v>1008.393835055986</v>
      </c>
      <c r="AN644" s="1">
        <f>SUMIFS(stock[MT],stock[Bucket],scheduleapr[[#This Row],[Bucket]],stock[CTL Bucket],scheduleapr[[#This Row],[CTL Bucket]],stock[Plant],"0789")</f>
        <v>0.71712799999999999</v>
      </c>
      <c r="AO644" s="1"/>
      <c r="AP644" s="1">
        <f>SUMIFS(stock[MT],stock[Bucket],scheduleapr[[#This Row],[Bucket]],stock[LL or CTL],"LL")</f>
        <v>2.5459999999999998</v>
      </c>
      <c r="AQ644" s="1">
        <f>+SUMIFS(wip[Stock(Net Wt)],wip[Bucket],scheduleapr[[#This Row],[Bucket]])/1000</f>
        <v>25.728999999999999</v>
      </c>
      <c r="AR644" s="1">
        <f t="shared" si="22"/>
        <v>-5.9693484199999647E-3</v>
      </c>
      <c r="AS644" s="118"/>
    </row>
    <row r="645" spans="1:45" x14ac:dyDescent="0.25">
      <c r="A645" s="30">
        <v>649</v>
      </c>
      <c r="B645" s="5" t="s">
        <v>1816</v>
      </c>
      <c r="C645" s="2" t="s">
        <v>306</v>
      </c>
      <c r="D645" s="2" t="s">
        <v>2104</v>
      </c>
      <c r="E645" s="2">
        <v>188595</v>
      </c>
      <c r="F645" s="523">
        <v>3935311</v>
      </c>
      <c r="G645" s="2" t="str">
        <f>_xlfn.CONCAT(scheduleapr[[#This Row],[CUSTOMER CODE]],"-",scheduleapr[[#This Row],[MATERIAL NO]])</f>
        <v>188595-3935311</v>
      </c>
      <c r="H645" s="523" t="s">
        <v>622</v>
      </c>
      <c r="I645" s="2" t="s">
        <v>229</v>
      </c>
      <c r="J645" s="2"/>
      <c r="K645" s="2" t="s">
        <v>963</v>
      </c>
      <c r="L645" s="2"/>
      <c r="M645" s="44"/>
      <c r="N645" s="2"/>
      <c r="O645" s="2"/>
      <c r="P645" s="2"/>
      <c r="Q645" s="557" t="str">
        <f>CONCATENATE(scheduleapr[[#This Row],[OD]],"-",scheduleapr[[#This Row],[ID]],"-",scheduleapr[[#This Row],[TICKNESS]],"-",scheduleapr[[#This Row],[Grade]],"-",scheduleapr[[#This Row],[FC/NFC]])</f>
        <v>25-25-1.2-CRFH-PE</v>
      </c>
      <c r="R645" s="557" t="str">
        <f>_xlfn.CONCAT(scheduleapr[[#This Row],[Bucket]],"-",scheduleapr[[#This Row],[LENGTH]]/1000)</f>
        <v>25-25-1.2-CRFH-PE-1.298</v>
      </c>
      <c r="S645" s="2"/>
      <c r="T645" s="2"/>
      <c r="U645" s="2">
        <f>_xlfn.IFNA(VLOOKUP(scheduleapr[[#This Row],[Bucket]],salesforecast[[#All],[Bucket2]:[8406 Stock]],19,0),0)</f>
        <v>2.5459999999999998</v>
      </c>
      <c r="V645" s="562">
        <f>_xlfn.IFNA(VLOOKUP(scheduleapr[[#This Row],[Bucket]],salesforecast[[#All],[Bucket2]:[8406 Stock]],20,0),0)+_xlfn.IFNA(VLOOKUP(scheduleapr[[#This Row],[Bucket]],salesforecast[[#All],[Bucket2]:[8406 Stock]],17,0),0)</f>
        <v>0</v>
      </c>
      <c r="W645" s="2"/>
      <c r="X645" s="1">
        <v>31.75</v>
      </c>
      <c r="Y645" s="1">
        <v>25</v>
      </c>
      <c r="Z645" s="1">
        <v>25</v>
      </c>
      <c r="AA645" s="1">
        <v>1.2</v>
      </c>
      <c r="AB645" s="24">
        <v>1298</v>
      </c>
      <c r="AC645" s="24" t="s">
        <v>397</v>
      </c>
      <c r="AD645" s="24"/>
      <c r="AE645" s="24"/>
      <c r="AF645" s="2">
        <v>500</v>
      </c>
      <c r="AG645" s="2"/>
      <c r="AH645" s="2" cm="1">
        <f t="array" ref="AH6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645" s="4">
        <f>scheduleapr[[#This Row],[SCHEDULE in nos]]-scheduleapr[[#This Row],[DISPATCH]]</f>
        <v>0</v>
      </c>
      <c r="AJ645" s="1">
        <f>(3.14*(scheduleapr[[#This Row],[ACTUAL OD]]-scheduleapr[[#This Row],[TICKNESS]])*scheduleapr[[#This Row],[TICKNESS]]*scheduleapr[[#This Row],[LENGTH]]*7.85)/1000000*scheduleapr[[#This Row],[SCHEDULE in nos]]/1000</f>
        <v>0.58645738865999997</v>
      </c>
      <c r="AK645" s="1">
        <f>(3.14*(scheduleapr[[#This Row],[ACTUAL OD]]-scheduleapr[[#This Row],[TICKNESS]])*scheduleapr[[#This Row],[TICKNESS]]*scheduleapr[[#This Row],[LENGTH]]*7.85)/1000000*scheduleapr[[#This Row],[DISPATCH]]/1000</f>
        <v>0.58645738865999997</v>
      </c>
      <c r="AL645" s="1">
        <f t="shared" si="23"/>
        <v>0</v>
      </c>
      <c r="AM645" s="1">
        <f>scheduleapr[[#This Row],[SCHEDULE in nos]]/scheduleapr[[#This Row],[SCHEDULE IN MT]]*scheduleapr[[#This Row],[CTL Stock]]</f>
        <v>659.45285621461232</v>
      </c>
      <c r="AN645" s="1">
        <f>SUMIFS(stock[MT],stock[Bucket],scheduleapr[[#This Row],[Bucket]],stock[CTL Bucket],scheduleapr[[#This Row],[CTL Bucket]],stock[Plant],"0789")</f>
        <v>0.773482</v>
      </c>
      <c r="AO645" s="1"/>
      <c r="AP645" s="1">
        <f>SUMIFS(stock[MT],stock[Bucket],scheduleapr[[#This Row],[Bucket]],stock[LL or CTL],"LL")</f>
        <v>2.5459999999999998</v>
      </c>
      <c r="AQ645" s="1">
        <f>+SUMIFS(wip[Stock(Net Wt)],wip[Bucket],scheduleapr[[#This Row],[Bucket]])/1000</f>
        <v>25.728999999999999</v>
      </c>
      <c r="AR645" s="1">
        <f t="shared" si="22"/>
        <v>-0.18702461134000004</v>
      </c>
      <c r="AS645" s="118"/>
    </row>
    <row r="646" spans="1:45" x14ac:dyDescent="0.25">
      <c r="A646" s="30">
        <v>553</v>
      </c>
      <c r="B646" s="5" t="s">
        <v>1816</v>
      </c>
      <c r="C646" s="2" t="s">
        <v>301</v>
      </c>
      <c r="D646" s="2" t="s">
        <v>2104</v>
      </c>
      <c r="E646" s="2">
        <v>188595</v>
      </c>
      <c r="F646" s="9">
        <v>3572045</v>
      </c>
      <c r="G646" s="2" t="str">
        <f>_xlfn.CONCAT(scheduleapr[[#This Row],[CUSTOMER CODE]],"-",scheduleapr[[#This Row],[MATERIAL NO]])</f>
        <v>188595-3572045</v>
      </c>
      <c r="H646" s="2" t="s">
        <v>1592</v>
      </c>
      <c r="I646" s="2" t="s">
        <v>229</v>
      </c>
      <c r="J646" s="2"/>
      <c r="K646" s="2" t="s">
        <v>963</v>
      </c>
      <c r="L646" s="2"/>
      <c r="M646" s="2"/>
      <c r="N646" s="2"/>
      <c r="O646" s="2"/>
      <c r="P646" s="2"/>
      <c r="Q646" s="557" t="str">
        <f>CONCATENATE(scheduleapr[[#This Row],[OD]],"-",scheduleapr[[#This Row],[ID]],"-",scheduleapr[[#This Row],[TICKNESS]],"-",scheduleapr[[#This Row],[Grade]],"-",scheduleapr[[#This Row],[FC/NFC]])</f>
        <v>30-30-1.2-CRFH-PE</v>
      </c>
      <c r="R646" s="557" t="str">
        <f>_xlfn.CONCAT(scheduleapr[[#This Row],[Bucket]],"-",scheduleapr[[#This Row],[LENGTH]]/1000)</f>
        <v>30-30-1.2-CRFH-PE-0.14</v>
      </c>
      <c r="S646" s="557" t="e" vm="2">
        <f>COUNTIF([2]!buckets[CTL Bucket],[2]!scheduleapr[[#This Row],[CTL Bucket]])</f>
        <v>#REF!</v>
      </c>
      <c r="T646" s="2" t="s">
        <v>1816</v>
      </c>
      <c r="U646" s="2">
        <f>_xlfn.IFNA(VLOOKUP(scheduleapr[[#This Row],[Bucket]],salesforecast[[#All],[Bucket2]:[8406 Stock]],19,0),0)</f>
        <v>0</v>
      </c>
      <c r="V646" s="562">
        <f>_xlfn.IFNA(VLOOKUP(scheduleapr[[#This Row],[Bucket]],salesforecast[[#All],[Bucket2]:[8406 Stock]],20,0),0)+_xlfn.IFNA(VLOOKUP(scheduleapr[[#This Row],[Bucket]],salesforecast[[#All],[Bucket2]:[8406 Stock]],17,0),0)</f>
        <v>0</v>
      </c>
      <c r="W646" s="557"/>
      <c r="X646" s="1">
        <v>38.1</v>
      </c>
      <c r="Y646" s="1">
        <v>30</v>
      </c>
      <c r="Z646" s="1">
        <v>30</v>
      </c>
      <c r="AA646" s="1">
        <v>1.2</v>
      </c>
      <c r="AB646" s="24">
        <v>140</v>
      </c>
      <c r="AC646" s="24" t="s">
        <v>397</v>
      </c>
      <c r="AD646" s="24"/>
      <c r="AE646" s="24"/>
      <c r="AF646" s="2">
        <v>1000</v>
      </c>
      <c r="AG646" s="2"/>
      <c r="AH646" s="2" cm="1">
        <f t="array" ref="AH6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6" s="4">
        <f>scheduleapr[[#This Row],[SCHEDULE in nos]]-scheduleapr[[#This Row],[DISPATCH]]</f>
        <v>1000</v>
      </c>
      <c r="AJ646" s="1">
        <f>(3.14*(scheduleapr[[#This Row],[ACTUAL OD]]-scheduleapr[[#This Row],[TICKNESS]])*scheduleapr[[#This Row],[TICKNESS]]*scheduleapr[[#This Row],[LENGTH]]*7.85)/1000000*scheduleapr[[#This Row],[SCHEDULE in nos]]/1000</f>
        <v>0.15280408079999996</v>
      </c>
      <c r="AK646" s="1">
        <f>(3.14*(scheduleapr[[#This Row],[ACTUAL OD]]-scheduleapr[[#This Row],[TICKNESS]])*scheduleapr[[#This Row],[TICKNESS]]*scheduleapr[[#This Row],[LENGTH]]*7.85)/1000000*scheduleapr[[#This Row],[DISPATCH]]/1000</f>
        <v>0</v>
      </c>
      <c r="AL646" s="1">
        <f t="shared" si="23"/>
        <v>0.15280408079999996</v>
      </c>
      <c r="AM646" s="1">
        <f>scheduleapr[[#This Row],[SCHEDULE in nos]]/scheduleapr[[#This Row],[SCHEDULE IN MT]]*scheduleapr[[#This Row],[CTL Stock]]</f>
        <v>582.44517773376128</v>
      </c>
      <c r="AN646" s="1">
        <f>SUMIFS(stock[MT],stock[Bucket],scheduleapr[[#This Row],[Bucket]],stock[CTL Bucket],scheduleapr[[#This Row],[CTL Bucket]],stock[Plant],"0789")</f>
        <v>8.8999999999999996E-2</v>
      </c>
      <c r="AO646" s="1"/>
      <c r="AP646" s="1">
        <f>SUMIFS(stock[MT],stock[Bucket],scheduleapr[[#This Row],[Bucket]],stock[LL or CTL],"LL")</f>
        <v>0</v>
      </c>
      <c r="AQ646" s="1">
        <f>+SUMIFS(wip[Stock(Net Wt)],wip[Bucket],scheduleapr[[#This Row],[Bucket]])/1000</f>
        <v>22.942</v>
      </c>
      <c r="AR646" s="1">
        <f t="shared" si="22"/>
        <v>6.3804080799999968E-2</v>
      </c>
      <c r="AS646" s="118"/>
    </row>
    <row r="647" spans="1:45" x14ac:dyDescent="0.25">
      <c r="A647" s="30">
        <v>521</v>
      </c>
      <c r="B647" s="5" t="s">
        <v>1816</v>
      </c>
      <c r="C647" s="44" t="s">
        <v>304</v>
      </c>
      <c r="D647" s="2" t="s">
        <v>2104</v>
      </c>
      <c r="E647" s="2">
        <v>188595</v>
      </c>
      <c r="F647" s="523">
        <v>4151424</v>
      </c>
      <c r="G647" s="2" t="str">
        <f>_xlfn.CONCAT(scheduleapr[[#This Row],[CUSTOMER CODE]],"-",scheduleapr[[#This Row],[MATERIAL NO]])</f>
        <v>188595-4151424</v>
      </c>
      <c r="H647" s="2" t="s">
        <v>2119</v>
      </c>
      <c r="I647" s="2" t="s">
        <v>229</v>
      </c>
      <c r="J647" s="2"/>
      <c r="K647" s="2" t="s">
        <v>963</v>
      </c>
      <c r="L647" s="2"/>
      <c r="M647" s="2"/>
      <c r="N647" s="2"/>
      <c r="O647" s="2"/>
      <c r="P647" s="2"/>
      <c r="Q647" s="557" t="str">
        <f>CONCATENATE(scheduleapr[[#This Row],[OD]],"-",scheduleapr[[#This Row],[ID]],"-",scheduleapr[[#This Row],[TICKNESS]],"-",scheduleapr[[#This Row],[Grade]],"-",scheduleapr[[#This Row],[FC/NFC]])</f>
        <v>30-30-1.2-CRFH-PE</v>
      </c>
      <c r="R647" s="557" t="str">
        <f>_xlfn.CONCAT(scheduleapr[[#This Row],[Bucket]],"-",scheduleapr[[#This Row],[LENGTH]]/1000)</f>
        <v>30-30-1.2-CRFH-PE-0.19</v>
      </c>
      <c r="S647" s="557">
        <f>COUNTIF(scheduleapr[CTL Bucket],scheduleapr[[#This Row],[CTL Bucket]])</f>
        <v>2</v>
      </c>
      <c r="T647" s="2" t="s">
        <v>1816</v>
      </c>
      <c r="U647" s="2">
        <f>_xlfn.IFNA(VLOOKUP(scheduleapr[[#This Row],[Bucket]],salesforecast[[#All],[Bucket2]:[8406 Stock]],19,0),0)</f>
        <v>0</v>
      </c>
      <c r="V647" s="562">
        <f>_xlfn.IFNA(VLOOKUP(scheduleapr[[#This Row],[Bucket]],salesforecast[[#All],[Bucket2]:[8406 Stock]],20,0),0)+_xlfn.IFNA(VLOOKUP(scheduleapr[[#This Row],[Bucket]],salesforecast[[#All],[Bucket2]:[8406 Stock]],17,0),0)</f>
        <v>0</v>
      </c>
      <c r="W647" s="557"/>
      <c r="X647" s="1">
        <v>38.1</v>
      </c>
      <c r="Y647" s="1">
        <v>30</v>
      </c>
      <c r="Z647" s="1">
        <v>30</v>
      </c>
      <c r="AA647" s="1">
        <v>1.2</v>
      </c>
      <c r="AB647" s="24">
        <v>190</v>
      </c>
      <c r="AC647" s="24" t="s">
        <v>397</v>
      </c>
      <c r="AD647" s="24"/>
      <c r="AE647" s="24"/>
      <c r="AF647" s="4">
        <v>12000</v>
      </c>
      <c r="AG647" s="4"/>
      <c r="AH647" s="2" cm="1">
        <f t="array" ref="AH6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10000</v>
      </c>
      <c r="AI647" s="4">
        <f>scheduleapr[[#This Row],[SCHEDULE in nos]]-scheduleapr[[#This Row],[DISPATCH]]</f>
        <v>2000</v>
      </c>
      <c r="AJ647" s="1">
        <f>(3.14*(scheduleapr[[#This Row],[ACTUAL OD]]-scheduleapr[[#This Row],[TICKNESS]])*scheduleapr[[#This Row],[TICKNESS]]*scheduleapr[[#This Row],[LENGTH]]*7.85)/1000000*scheduleapr[[#This Row],[SCHEDULE in nos]]/1000</f>
        <v>2.4885236015999999</v>
      </c>
      <c r="AK647" s="1">
        <f>(3.14*(scheduleapr[[#This Row],[ACTUAL OD]]-scheduleapr[[#This Row],[TICKNESS]])*scheduleapr[[#This Row],[TICKNESS]]*scheduleapr[[#This Row],[LENGTH]]*7.85)/1000000*scheduleapr[[#This Row],[DISPATCH]]/1000</f>
        <v>2.0737696679999997</v>
      </c>
      <c r="AL647" s="1">
        <f t="shared" si="23"/>
        <v>0.41475393360000012</v>
      </c>
      <c r="AM647" s="1">
        <f>scheduleapr[[#This Row],[SCHEDULE in nos]]/scheduleapr[[#This Row],[SCHEDULE IN MT]]*scheduleapr[[#This Row],[CTL Stock]]</f>
        <v>6.0276703786758254</v>
      </c>
      <c r="AN647" s="1">
        <f>SUMIFS(stock[MT],stock[Bucket],scheduleapr[[#This Row],[Bucket]],stock[CTL Bucket],scheduleapr[[#This Row],[CTL Bucket]],stock[Plant],"0789")</f>
        <v>1.25E-3</v>
      </c>
      <c r="AO647" s="1"/>
      <c r="AP647" s="1">
        <f>SUMIFS(stock[MT],stock[Bucket],scheduleapr[[#This Row],[Bucket]],stock[LL or CTL],"LL")</f>
        <v>0</v>
      </c>
      <c r="AQ647" s="1">
        <f>+SUMIFS(wip[Stock(Net Wt)],wip[Bucket],scheduleapr[[#This Row],[Bucket]])/1000</f>
        <v>22.942</v>
      </c>
      <c r="AR647" s="1">
        <f t="shared" si="22"/>
        <v>2.4872736015999997</v>
      </c>
      <c r="AS647" s="118"/>
    </row>
    <row r="648" spans="1:45" x14ac:dyDescent="0.25">
      <c r="A648" s="30">
        <v>653</v>
      </c>
      <c r="B648" s="5" t="s">
        <v>1816</v>
      </c>
      <c r="C648" s="2" t="s">
        <v>306</v>
      </c>
      <c r="D648" s="2" t="s">
        <v>2104</v>
      </c>
      <c r="E648" s="2">
        <v>188595</v>
      </c>
      <c r="F648" s="523">
        <v>3230495</v>
      </c>
      <c r="G648" s="2" t="str">
        <f>_xlfn.CONCAT(scheduleapr[[#This Row],[CUSTOMER CODE]],"-",scheduleapr[[#This Row],[MATERIAL NO]])</f>
        <v>188595-3230495</v>
      </c>
      <c r="H648" s="523" t="s">
        <v>629</v>
      </c>
      <c r="I648" s="2" t="s">
        <v>229</v>
      </c>
      <c r="J648" s="2"/>
      <c r="K648" s="2" t="s">
        <v>963</v>
      </c>
      <c r="L648" s="2"/>
      <c r="M648" s="44"/>
      <c r="N648" s="2"/>
      <c r="O648" s="2"/>
      <c r="P648" s="2"/>
      <c r="Q648" s="557" t="str">
        <f>CONCATENATE(scheduleapr[[#This Row],[OD]],"-",scheduleapr[[#This Row],[ID]],"-",scheduleapr[[#This Row],[TICKNESS]],"-",scheduleapr[[#This Row],[Grade]],"-",scheduleapr[[#This Row],[FC/NFC]])</f>
        <v>30-30-1.2-CRFH-PE</v>
      </c>
      <c r="R648" s="557" t="str">
        <f>_xlfn.CONCAT(scheduleapr[[#This Row],[Bucket]],"-",scheduleapr[[#This Row],[LENGTH]]/1000)</f>
        <v>30-30-1.2-CRFH-PE-0.22</v>
      </c>
      <c r="S648" s="2"/>
      <c r="T648" s="2"/>
      <c r="U648" s="2">
        <f>_xlfn.IFNA(VLOOKUP(scheduleapr[[#This Row],[Bucket]],salesforecast[[#All],[Bucket2]:[8406 Stock]],19,0),0)</f>
        <v>0</v>
      </c>
      <c r="V648" s="562">
        <f>_xlfn.IFNA(VLOOKUP(scheduleapr[[#This Row],[Bucket]],salesforecast[[#All],[Bucket2]:[8406 Stock]],20,0),0)+_xlfn.IFNA(VLOOKUP(scheduleapr[[#This Row],[Bucket]],salesforecast[[#All],[Bucket2]:[8406 Stock]],17,0),0)</f>
        <v>0</v>
      </c>
      <c r="W648" s="2"/>
      <c r="X648" s="1">
        <v>38.1</v>
      </c>
      <c r="Y648" s="1">
        <v>30</v>
      </c>
      <c r="Z648" s="1">
        <v>30</v>
      </c>
      <c r="AA648" s="1">
        <v>1.2</v>
      </c>
      <c r="AB648" s="24">
        <v>220</v>
      </c>
      <c r="AC648" s="24" t="s">
        <v>397</v>
      </c>
      <c r="AD648" s="24"/>
      <c r="AE648" s="24"/>
      <c r="AF648" s="2">
        <v>1000</v>
      </c>
      <c r="AG648" s="2"/>
      <c r="AH648" s="2" cm="1">
        <f t="array" ref="AH6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48" s="4">
        <f>scheduleapr[[#This Row],[SCHEDULE in nos]]-scheduleapr[[#This Row],[DISPATCH]]</f>
        <v>0</v>
      </c>
      <c r="AJ648" s="1">
        <f>(3.14*(scheduleapr[[#This Row],[ACTUAL OD]]-scheduleapr[[#This Row],[TICKNESS]])*scheduleapr[[#This Row],[TICKNESS]]*scheduleapr[[#This Row],[LENGTH]]*7.85)/1000000*scheduleapr[[#This Row],[SCHEDULE in nos]]/1000</f>
        <v>0.2401206984</v>
      </c>
      <c r="AK648" s="1">
        <f>(3.14*(scheduleapr[[#This Row],[ACTUAL OD]]-scheduleapr[[#This Row],[TICKNESS]])*scheduleapr[[#This Row],[TICKNESS]]*scheduleapr[[#This Row],[LENGTH]]*7.85)/1000000*scheduleapr[[#This Row],[DISPATCH]]/1000</f>
        <v>0.2401206984</v>
      </c>
      <c r="AL648" s="1">
        <f t="shared" si="23"/>
        <v>0</v>
      </c>
      <c r="AM648" s="1">
        <f>scheduleapr[[#This Row],[SCHEDULE in nos]]/scheduleapr[[#This Row],[SCHEDULE IN MT]]*scheduleapr[[#This Row],[CTL Stock]]</f>
        <v>3803.5579859866011</v>
      </c>
      <c r="AN648" s="1">
        <f>SUMIFS(stock[MT],stock[Bucket],scheduleapr[[#This Row],[Bucket]],stock[CTL Bucket],scheduleapr[[#This Row],[CTL Bucket]],stock[Plant],"0789")</f>
        <v>0.91331300000000004</v>
      </c>
      <c r="AO648" s="1"/>
      <c r="AP648" s="1">
        <f>SUMIFS(stock[MT],stock[Bucket],scheduleapr[[#This Row],[Bucket]],stock[LL or CTL],"LL")</f>
        <v>0</v>
      </c>
      <c r="AQ648" s="1">
        <f>+SUMIFS(wip[Stock(Net Wt)],wip[Bucket],scheduleapr[[#This Row],[Bucket]])/1000</f>
        <v>22.942</v>
      </c>
      <c r="AR648" s="1">
        <f t="shared" si="22"/>
        <v>-0.6731923016000001</v>
      </c>
      <c r="AS648" s="118"/>
    </row>
    <row r="649" spans="1:45" x14ac:dyDescent="0.25">
      <c r="A649" s="30">
        <v>564</v>
      </c>
      <c r="B649" s="5" t="s">
        <v>1816</v>
      </c>
      <c r="C649" s="44" t="s">
        <v>301</v>
      </c>
      <c r="D649" s="2" t="s">
        <v>2104</v>
      </c>
      <c r="E649" s="44">
        <v>188595</v>
      </c>
      <c r="F649" s="523">
        <v>3938688</v>
      </c>
      <c r="G649" s="2" t="str">
        <f>_xlfn.CONCAT(scheduleapr[[#This Row],[CUSTOMER CODE]],"-",scheduleapr[[#This Row],[MATERIAL NO]])</f>
        <v>188595-3938688</v>
      </c>
      <c r="H649" s="2" t="s">
        <v>2120</v>
      </c>
      <c r="I649" s="2" t="s">
        <v>229</v>
      </c>
      <c r="J649" s="44"/>
      <c r="K649" s="44" t="s">
        <v>963</v>
      </c>
      <c r="L649" s="2" t="s">
        <v>1867</v>
      </c>
      <c r="M649" s="44"/>
      <c r="N649" s="44"/>
      <c r="O649" s="44"/>
      <c r="P649" s="44"/>
      <c r="Q649" s="557" t="str">
        <f>CONCATENATE(scheduleapr[[#This Row],[OD]],"-",scheduleapr[[#This Row],[ID]],"-",scheduleapr[[#This Row],[TICKNESS]],"-",scheduleapr[[#This Row],[Grade]],"-",scheduleapr[[#This Row],[FC/NFC]])</f>
        <v>40-20-1.2-CRFH-PE</v>
      </c>
      <c r="R649" s="557" t="str">
        <f>_xlfn.CONCAT(scheduleapr[[#This Row],[Bucket]],"-",scheduleapr[[#This Row],[LENGTH]]/1000)</f>
        <v>40-20-1.2-CRFH-PE-0.095</v>
      </c>
      <c r="S649" s="557">
        <f>COUNTIF(scheduleapr[CTL Bucket],scheduleapr[[#This Row],[CTL Bucket]])</f>
        <v>1</v>
      </c>
      <c r="T649" s="2" t="s">
        <v>1816</v>
      </c>
      <c r="U649" s="2">
        <f>_xlfn.IFNA(VLOOKUP(scheduleapr[[#This Row],[Bucket]],salesforecast[[#All],[Bucket2]:[8406 Stock]],19,0),0)</f>
        <v>5.6431899999999997</v>
      </c>
      <c r="V649" s="562">
        <f>_xlfn.IFNA(VLOOKUP(scheduleapr[[#This Row],[Bucket]],salesforecast[[#All],[Bucket2]:[8406 Stock]],20,0),0)+_xlfn.IFNA(VLOOKUP(scheduleapr[[#This Row],[Bucket]],salesforecast[[#All],[Bucket2]:[8406 Stock]],17,0),0)</f>
        <v>0</v>
      </c>
      <c r="W649" s="557"/>
      <c r="X649" s="1">
        <v>38.1</v>
      </c>
      <c r="Y649" s="1">
        <v>40</v>
      </c>
      <c r="Z649" s="1">
        <v>20</v>
      </c>
      <c r="AA649" s="1">
        <v>1.2</v>
      </c>
      <c r="AB649" s="24">
        <v>95</v>
      </c>
      <c r="AC649" s="24" t="s">
        <v>397</v>
      </c>
      <c r="AD649" s="24"/>
      <c r="AE649" s="24"/>
      <c r="AF649" s="2">
        <v>1000</v>
      </c>
      <c r="AG649" s="2"/>
      <c r="AH649" s="2" cm="1">
        <f t="array" ref="AH6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9" s="4">
        <f>scheduleapr[[#This Row],[SCHEDULE in nos]]-scheduleapr[[#This Row],[DISPATCH]]</f>
        <v>1000</v>
      </c>
      <c r="AJ649" s="1">
        <f>(3.14*(scheduleapr[[#This Row],[ACTUAL OD]]-scheduleapr[[#This Row],[TICKNESS]])*scheduleapr[[#This Row],[TICKNESS]]*scheduleapr[[#This Row],[LENGTH]]*7.85)/1000000*scheduleapr[[#This Row],[SCHEDULE in nos]]/1000</f>
        <v>0.1036884834</v>
      </c>
      <c r="AK649" s="1">
        <f>(3.14*(scheduleapr[[#This Row],[ACTUAL OD]]-scheduleapr[[#This Row],[TICKNESS]])*scheduleapr[[#This Row],[TICKNESS]]*scheduleapr[[#This Row],[LENGTH]]*7.85)/1000000*scheduleapr[[#This Row],[DISPATCH]]/1000</f>
        <v>0</v>
      </c>
      <c r="AL649" s="1">
        <f t="shared" si="23"/>
        <v>0.1036884834</v>
      </c>
      <c r="AM649" s="1">
        <f>scheduleapr[[#This Row],[SCHEDULE in nos]]/scheduleapr[[#This Row],[SCHEDULE IN MT]]*scheduleapr[[#This Row],[CTL Stock]]</f>
        <v>216.05099491695333</v>
      </c>
      <c r="AN649" s="1">
        <f>SUMIFS(stock[MT],stock[Bucket],scheduleapr[[#This Row],[Bucket]],stock[CTL Bucket],scheduleapr[[#This Row],[CTL Bucket]],stock[Plant],"0789")</f>
        <v>2.2401999999999998E-2</v>
      </c>
      <c r="AO649" s="1"/>
      <c r="AP649" s="1">
        <f>SUMIFS(stock[MT],stock[Bucket],scheduleapr[[#This Row],[Bucket]],stock[LL or CTL],"LL")</f>
        <v>31.079670999999998</v>
      </c>
      <c r="AQ649" s="1">
        <f>+SUMIFS(wip[Stock(Net Wt)],wip[Bucket],scheduleapr[[#This Row],[Bucket]])/1000</f>
        <v>129.15199999999999</v>
      </c>
      <c r="AR649" s="1">
        <f t="shared" si="22"/>
        <v>8.1286483399999998E-2</v>
      </c>
      <c r="AS649" s="118"/>
    </row>
    <row r="650" spans="1:45" x14ac:dyDescent="0.25">
      <c r="A650" s="30">
        <v>523</v>
      </c>
      <c r="B650" s="5" t="s">
        <v>1816</v>
      </c>
      <c r="C650" s="44" t="s">
        <v>304</v>
      </c>
      <c r="D650" s="2" t="s">
        <v>2104</v>
      </c>
      <c r="E650" s="2">
        <v>188595</v>
      </c>
      <c r="F650" s="523">
        <v>3572047</v>
      </c>
      <c r="G650" s="2" t="str">
        <f>_xlfn.CONCAT(scheduleapr[[#This Row],[CUSTOMER CODE]],"-",scheduleapr[[#This Row],[MATERIAL NO]])</f>
        <v>188595-3572047</v>
      </c>
      <c r="H650" s="2" t="s">
        <v>2121</v>
      </c>
      <c r="I650" s="2" t="s">
        <v>229</v>
      </c>
      <c r="J650" s="44"/>
      <c r="K650" s="44" t="s">
        <v>963</v>
      </c>
      <c r="L650" s="2" t="s">
        <v>1867</v>
      </c>
      <c r="M650" s="44"/>
      <c r="N650" s="44"/>
      <c r="O650" s="44"/>
      <c r="P650" s="44"/>
      <c r="Q650" s="557" t="str">
        <f>CONCATENATE(scheduleapr[[#This Row],[OD]],"-",scheduleapr[[#This Row],[ID]],"-",scheduleapr[[#This Row],[TICKNESS]],"-",scheduleapr[[#This Row],[Grade]],"-",scheduleapr[[#This Row],[FC/NFC]])</f>
        <v>40-20-1.2-CRFH-PE</v>
      </c>
      <c r="R650" s="557" t="str">
        <f>_xlfn.CONCAT(scheduleapr[[#This Row],[Bucket]],"-",scheduleapr[[#This Row],[LENGTH]]/1000)</f>
        <v>40-20-1.2-CRFH-PE-0.11</v>
      </c>
      <c r="S650" s="557">
        <f>COUNTIF(scheduleapr[CTL Bucket],scheduleapr[[#This Row],[CTL Bucket]])</f>
        <v>3</v>
      </c>
      <c r="T650" s="2" t="s">
        <v>1816</v>
      </c>
      <c r="U650" s="2">
        <f>_xlfn.IFNA(VLOOKUP(scheduleapr[[#This Row],[Bucket]],salesforecast[[#All],[Bucket2]:[8406 Stock]],19,0),0)</f>
        <v>5.6431899999999997</v>
      </c>
      <c r="V650" s="562">
        <f>_xlfn.IFNA(VLOOKUP(scheduleapr[[#This Row],[Bucket]],salesforecast[[#All],[Bucket2]:[8406 Stock]],20,0),0)+_xlfn.IFNA(VLOOKUP(scheduleapr[[#This Row],[Bucket]],salesforecast[[#All],[Bucket2]:[8406 Stock]],17,0),0)</f>
        <v>0</v>
      </c>
      <c r="W650" s="557"/>
      <c r="X650" s="1">
        <v>38.1</v>
      </c>
      <c r="Y650" s="1">
        <v>40</v>
      </c>
      <c r="Z650" s="1">
        <v>20</v>
      </c>
      <c r="AA650" s="1">
        <v>1.2</v>
      </c>
      <c r="AB650" s="24">
        <v>110</v>
      </c>
      <c r="AC650" s="24" t="s">
        <v>397</v>
      </c>
      <c r="AD650" s="24"/>
      <c r="AE650" s="24"/>
      <c r="AF650" s="4">
        <v>12000</v>
      </c>
      <c r="AG650" s="4"/>
      <c r="AH650" s="2" cm="1">
        <f t="array" ref="AH6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50" s="4">
        <f>scheduleapr[[#This Row],[SCHEDULE in nos]]-scheduleapr[[#This Row],[DISPATCH]]</f>
        <v>6000</v>
      </c>
      <c r="AJ650" s="1">
        <f>(3.14*(scheduleapr[[#This Row],[ACTUAL OD]]-scheduleapr[[#This Row],[TICKNESS]])*scheduleapr[[#This Row],[TICKNESS]]*scheduleapr[[#This Row],[LENGTH]]*7.85)/1000000*scheduleapr[[#This Row],[SCHEDULE in nos]]/1000</f>
        <v>1.4407241904000001</v>
      </c>
      <c r="AK650" s="1">
        <f>(3.14*(scheduleapr[[#This Row],[ACTUAL OD]]-scheduleapr[[#This Row],[TICKNESS]])*scheduleapr[[#This Row],[TICKNESS]]*scheduleapr[[#This Row],[LENGTH]]*7.85)/1000000*scheduleapr[[#This Row],[DISPATCH]]/1000</f>
        <v>0.72036209520000005</v>
      </c>
      <c r="AL650" s="1">
        <f t="shared" si="23"/>
        <v>0.72036209520000005</v>
      </c>
      <c r="AM650" s="1">
        <f>scheduleapr[[#This Row],[SCHEDULE in nos]]/scheduleapr[[#This Row],[SCHEDULE IN MT]]*scheduleapr[[#This Row],[CTL Stock]]</f>
        <v>3305.545941224032</v>
      </c>
      <c r="AN650" s="1">
        <f>SUMIFS(stock[MT],stock[Bucket],scheduleapr[[#This Row],[Bucket]],stock[CTL Bucket],scheduleapr[[#This Row],[CTL Bucket]],stock[Plant],"0789")</f>
        <v>0.39686500000000002</v>
      </c>
      <c r="AO650" s="1"/>
      <c r="AP650" s="1">
        <f>SUMIFS(stock[MT],stock[Bucket],scheduleapr[[#This Row],[Bucket]],stock[LL or CTL],"LL")</f>
        <v>31.079670999999998</v>
      </c>
      <c r="AQ650" s="1">
        <f>+SUMIFS(wip[Stock(Net Wt)],wip[Bucket],scheduleapr[[#This Row],[Bucket]])/1000</f>
        <v>129.15199999999999</v>
      </c>
      <c r="AR650" s="1">
        <f t="shared" si="22"/>
        <v>1.0438591904000001</v>
      </c>
      <c r="AS650" s="118"/>
    </row>
    <row r="651" spans="1:45" x14ac:dyDescent="0.25">
      <c r="A651" s="30">
        <v>555</v>
      </c>
      <c r="B651" s="5" t="s">
        <v>1816</v>
      </c>
      <c r="C651" s="2" t="s">
        <v>301</v>
      </c>
      <c r="D651" s="2" t="s">
        <v>2104</v>
      </c>
      <c r="E651" s="2">
        <v>188595</v>
      </c>
      <c r="F651" s="9">
        <v>3572047</v>
      </c>
      <c r="G651" s="2" t="str">
        <f>_xlfn.CONCAT(scheduleapr[[#This Row],[CUSTOMER CODE]],"-",scheduleapr[[#This Row],[MATERIAL NO]])</f>
        <v>188595-3572047</v>
      </c>
      <c r="H651" s="2" t="s">
        <v>492</v>
      </c>
      <c r="I651" s="2" t="s">
        <v>229</v>
      </c>
      <c r="J651" s="44"/>
      <c r="K651" s="44" t="s">
        <v>963</v>
      </c>
      <c r="L651" s="2" t="s">
        <v>1867</v>
      </c>
      <c r="M651" s="44"/>
      <c r="N651" s="44"/>
      <c r="O651" s="44"/>
      <c r="P651" s="44"/>
      <c r="Q651" s="557" t="str">
        <f>CONCATENATE(scheduleapr[[#This Row],[OD]],"-",scheduleapr[[#This Row],[ID]],"-",scheduleapr[[#This Row],[TICKNESS]],"-",scheduleapr[[#This Row],[Grade]],"-",scheduleapr[[#This Row],[FC/NFC]])</f>
        <v>40-20-1.2-CRFH-PE</v>
      </c>
      <c r="R651" s="557" t="str">
        <f>_xlfn.CONCAT(scheduleapr[[#This Row],[Bucket]],"-",scheduleapr[[#This Row],[LENGTH]]/1000)</f>
        <v>40-20-1.2-CRFH-PE-0.11</v>
      </c>
      <c r="S651" s="557">
        <f>COUNTIF(scheduleapr[CTL Bucket],scheduleapr[[#This Row],[CTL Bucket]])</f>
        <v>3</v>
      </c>
      <c r="T651" s="2" t="s">
        <v>1816</v>
      </c>
      <c r="U651" s="2">
        <f>_xlfn.IFNA(VLOOKUP(scheduleapr[[#This Row],[Bucket]],salesforecast[[#All],[Bucket2]:[8406 Stock]],19,0),0)</f>
        <v>5.6431899999999997</v>
      </c>
      <c r="V651" s="562">
        <f>_xlfn.IFNA(VLOOKUP(scheduleapr[[#This Row],[Bucket]],salesforecast[[#All],[Bucket2]:[8406 Stock]],20,0),0)+_xlfn.IFNA(VLOOKUP(scheduleapr[[#This Row],[Bucket]],salesforecast[[#All],[Bucket2]:[8406 Stock]],17,0),0)</f>
        <v>0</v>
      </c>
      <c r="W651" s="557"/>
      <c r="X651" s="1">
        <v>38.1</v>
      </c>
      <c r="Y651" s="1">
        <v>40</v>
      </c>
      <c r="Z651" s="1">
        <v>20</v>
      </c>
      <c r="AA651" s="1">
        <v>1.2</v>
      </c>
      <c r="AB651" s="24">
        <v>110</v>
      </c>
      <c r="AC651" s="24" t="s">
        <v>397</v>
      </c>
      <c r="AD651" s="24"/>
      <c r="AE651" s="24"/>
      <c r="AF651" s="2">
        <v>1000</v>
      </c>
      <c r="AG651" s="2"/>
      <c r="AH651" s="2" cm="1">
        <f t="array" ref="AH6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51" s="4">
        <f>scheduleapr[[#This Row],[SCHEDULE in nos]]-scheduleapr[[#This Row],[DISPATCH]]</f>
        <v>-5000</v>
      </c>
      <c r="AJ651" s="1">
        <f>(3.14*(scheduleapr[[#This Row],[ACTUAL OD]]-scheduleapr[[#This Row],[TICKNESS]])*scheduleapr[[#This Row],[TICKNESS]]*scheduleapr[[#This Row],[LENGTH]]*7.85)/1000000*scheduleapr[[#This Row],[SCHEDULE in nos]]/1000</f>
        <v>0.1200603492</v>
      </c>
      <c r="AK651" s="1">
        <f>(3.14*(scheduleapr[[#This Row],[ACTUAL OD]]-scheduleapr[[#This Row],[TICKNESS]])*scheduleapr[[#This Row],[TICKNESS]]*scheduleapr[[#This Row],[LENGTH]]*7.85)/1000000*scheduleapr[[#This Row],[DISPATCH]]/1000</f>
        <v>0.72036209520000005</v>
      </c>
      <c r="AL651" s="1">
        <f t="shared" si="23"/>
        <v>-0.60030174600000008</v>
      </c>
      <c r="AM651" s="1">
        <f>scheduleapr[[#This Row],[SCHEDULE in nos]]/scheduleapr[[#This Row],[SCHEDULE IN MT]]*scheduleapr[[#This Row],[CTL Stock]]</f>
        <v>3305.5459412240325</v>
      </c>
      <c r="AN651" s="1">
        <f>SUMIFS(stock[MT],stock[Bucket],scheduleapr[[#This Row],[Bucket]],stock[CTL Bucket],scheduleapr[[#This Row],[CTL Bucket]],stock[Plant],"0789")</f>
        <v>0.39686500000000002</v>
      </c>
      <c r="AO651" s="1"/>
      <c r="AP651" s="1">
        <f>SUMIFS(stock[MT],stock[Bucket],scheduleapr[[#This Row],[Bucket]],stock[LL or CTL],"LL")</f>
        <v>31.079670999999998</v>
      </c>
      <c r="AQ651" s="1">
        <f>+SUMIFS(wip[Stock(Net Wt)],wip[Bucket],scheduleapr[[#This Row],[Bucket]])/1000</f>
        <v>129.15199999999999</v>
      </c>
      <c r="AR651" s="1">
        <f t="shared" si="22"/>
        <v>-0.27680465080000005</v>
      </c>
      <c r="AS651" s="118"/>
    </row>
    <row r="652" spans="1:45" x14ac:dyDescent="0.25">
      <c r="A652" s="30">
        <v>637</v>
      </c>
      <c r="B652" s="5" t="s">
        <v>1816</v>
      </c>
      <c r="C652" s="2" t="s">
        <v>306</v>
      </c>
      <c r="D652" s="2" t="s">
        <v>2104</v>
      </c>
      <c r="E652" s="2">
        <v>188595</v>
      </c>
      <c r="F652" s="523">
        <v>3233559</v>
      </c>
      <c r="G652" s="2" t="str">
        <f>_xlfn.CONCAT(scheduleapr[[#This Row],[CUSTOMER CODE]],"-",scheduleapr[[#This Row],[MATERIAL NO]])</f>
        <v>188595-3233559</v>
      </c>
      <c r="H652" s="523" t="s">
        <v>490</v>
      </c>
      <c r="I652" s="2" t="s">
        <v>229</v>
      </c>
      <c r="J652" s="2"/>
      <c r="K652" s="44" t="s">
        <v>963</v>
      </c>
      <c r="L652" s="2"/>
      <c r="M652" s="44"/>
      <c r="N652" s="2"/>
      <c r="O652" s="2"/>
      <c r="P652" s="2"/>
      <c r="Q652" s="557" t="str">
        <f>CONCATENATE(scheduleapr[[#This Row],[OD]],"-",scheduleapr[[#This Row],[ID]],"-",scheduleapr[[#This Row],[TICKNESS]],"-",scheduleapr[[#This Row],[Grade]],"-",scheduleapr[[#This Row],[FC/NFC]])</f>
        <v>40-20-1.2-CRFH-PE</v>
      </c>
      <c r="R652" s="557" t="str">
        <f>_xlfn.CONCAT(scheduleapr[[#This Row],[Bucket]],"-",scheduleapr[[#This Row],[LENGTH]]/1000)</f>
        <v>40-20-1.2-CRFH-PE-0.12</v>
      </c>
      <c r="S652" s="2"/>
      <c r="T652" s="2"/>
      <c r="U652" s="2">
        <f>_xlfn.IFNA(VLOOKUP(scheduleapr[[#This Row],[Bucket]],salesforecast[[#All],[Bucket2]:[8406 Stock]],19,0),0)</f>
        <v>5.6431899999999997</v>
      </c>
      <c r="V652" s="562">
        <f>_xlfn.IFNA(VLOOKUP(scheduleapr[[#This Row],[Bucket]],salesforecast[[#All],[Bucket2]:[8406 Stock]],20,0),0)+_xlfn.IFNA(VLOOKUP(scheduleapr[[#This Row],[Bucket]],salesforecast[[#All],[Bucket2]:[8406 Stock]],17,0),0)</f>
        <v>0</v>
      </c>
      <c r="W652" s="2"/>
      <c r="X652" s="1">
        <v>38.1</v>
      </c>
      <c r="Y652" s="1">
        <v>40</v>
      </c>
      <c r="Z652" s="1">
        <v>20</v>
      </c>
      <c r="AA652" s="1">
        <v>1.2</v>
      </c>
      <c r="AB652" s="24">
        <v>120</v>
      </c>
      <c r="AC652" s="24" t="s">
        <v>397</v>
      </c>
      <c r="AD652" s="24"/>
      <c r="AE652" s="24"/>
      <c r="AF652" s="2">
        <v>1000</v>
      </c>
      <c r="AG652" s="2"/>
      <c r="AH652" s="2" cm="1">
        <f t="array" ref="AH6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52" s="4">
        <f>scheduleapr[[#This Row],[SCHEDULE in nos]]-scheduleapr[[#This Row],[DISPATCH]]</f>
        <v>-6000</v>
      </c>
      <c r="AJ652" s="1">
        <f>(3.14*(scheduleapr[[#This Row],[ACTUAL OD]]-scheduleapr[[#This Row],[TICKNESS]])*scheduleapr[[#This Row],[TICKNESS]]*scheduleapr[[#This Row],[LENGTH]]*7.85)/1000000*scheduleapr[[#This Row],[SCHEDULE in nos]]/1000</f>
        <v>0.13097492639999997</v>
      </c>
      <c r="AK652" s="1">
        <f>(3.14*(scheduleapr[[#This Row],[ACTUAL OD]]-scheduleapr[[#This Row],[TICKNESS]])*scheduleapr[[#This Row],[TICKNESS]]*scheduleapr[[#This Row],[LENGTH]]*7.85)/1000000*scheduleapr[[#This Row],[DISPATCH]]/1000</f>
        <v>0.91682448479999978</v>
      </c>
      <c r="AL652" s="1">
        <f t="shared" si="23"/>
        <v>-0.78584955839999981</v>
      </c>
      <c r="AM652" s="1">
        <f>scheduleapr[[#This Row],[SCHEDULE in nos]]/scheduleapr[[#This Row],[SCHEDULE IN MT]]*scheduleapr[[#This Row],[CTL Stock]]</f>
        <v>7502.1840210784057</v>
      </c>
      <c r="AN652" s="1">
        <f>SUMIFS(stock[MT],stock[Bucket],scheduleapr[[#This Row],[Bucket]],stock[CTL Bucket],scheduleapr[[#This Row],[CTL Bucket]],stock[Plant],"0789")</f>
        <v>0.98259799999999997</v>
      </c>
      <c r="AO652" s="1"/>
      <c r="AP652" s="1">
        <f>SUMIFS(stock[MT],stock[Bucket],scheduleapr[[#This Row],[Bucket]],stock[LL or CTL],"LL")</f>
        <v>31.079670999999998</v>
      </c>
      <c r="AQ652" s="1">
        <f>+SUMIFS(wip[Stock(Net Wt)],wip[Bucket],scheduleapr[[#This Row],[Bucket]])/1000</f>
        <v>129.15199999999999</v>
      </c>
      <c r="AR652" s="1">
        <f t="shared" si="22"/>
        <v>-0.8516230736</v>
      </c>
      <c r="AS652" s="118"/>
    </row>
    <row r="653" spans="1:45" x14ac:dyDescent="0.25">
      <c r="A653" s="30">
        <v>522</v>
      </c>
      <c r="B653" s="5" t="s">
        <v>1816</v>
      </c>
      <c r="C653" s="44" t="s">
        <v>304</v>
      </c>
      <c r="D653" s="2" t="s">
        <v>2104</v>
      </c>
      <c r="E653" s="2">
        <v>188595</v>
      </c>
      <c r="F653" s="9">
        <v>3233559</v>
      </c>
      <c r="G653" s="2" t="str">
        <f>_xlfn.CONCAT(scheduleapr[[#This Row],[CUSTOMER CODE]],"-",scheduleapr[[#This Row],[MATERIAL NO]])</f>
        <v>188595-3233559</v>
      </c>
      <c r="H653" s="2" t="s">
        <v>490</v>
      </c>
      <c r="I653" s="2" t="s">
        <v>229</v>
      </c>
      <c r="J653" s="44"/>
      <c r="K653" s="44" t="s">
        <v>963</v>
      </c>
      <c r="L653" s="2" t="s">
        <v>1867</v>
      </c>
      <c r="M653" s="44"/>
      <c r="N653" s="44"/>
      <c r="O653" s="44"/>
      <c r="P653" s="44"/>
      <c r="Q653" s="557" t="str">
        <f>CONCATENATE(scheduleapr[[#This Row],[OD]],"-",scheduleapr[[#This Row],[ID]],"-",scheduleapr[[#This Row],[TICKNESS]],"-",scheduleapr[[#This Row],[Grade]],"-",scheduleapr[[#This Row],[FC/NFC]])</f>
        <v>40-20-1.2-CRFH-PE</v>
      </c>
      <c r="R653" s="557" t="str">
        <f>_xlfn.CONCAT(scheduleapr[[#This Row],[Bucket]],"-",scheduleapr[[#This Row],[LENGTH]]/1000)</f>
        <v>40-20-1.2-CRFH-PE-0.12</v>
      </c>
      <c r="S653" s="557">
        <f>COUNTIF(scheduleapr[CTL Bucket],scheduleapr[[#This Row],[CTL Bucket]])</f>
        <v>4</v>
      </c>
      <c r="T653" s="2" t="s">
        <v>1816</v>
      </c>
      <c r="U653" s="2">
        <f>_xlfn.IFNA(VLOOKUP(scheduleapr[[#This Row],[Bucket]],salesforecast[[#All],[Bucket2]:[8406 Stock]],19,0),0)</f>
        <v>5.6431899999999997</v>
      </c>
      <c r="V653" s="562">
        <f>_xlfn.IFNA(VLOOKUP(scheduleapr[[#This Row],[Bucket]],salesforecast[[#All],[Bucket2]:[8406 Stock]],20,0),0)+_xlfn.IFNA(VLOOKUP(scheduleapr[[#This Row],[Bucket]],salesforecast[[#All],[Bucket2]:[8406 Stock]],17,0),0)</f>
        <v>0</v>
      </c>
      <c r="W653" s="557"/>
      <c r="X653" s="1">
        <v>38.1</v>
      </c>
      <c r="Y653" s="1">
        <v>40</v>
      </c>
      <c r="Z653" s="1">
        <v>20</v>
      </c>
      <c r="AA653" s="1">
        <v>1.2</v>
      </c>
      <c r="AB653" s="24">
        <v>120</v>
      </c>
      <c r="AC653" s="24" t="s">
        <v>397</v>
      </c>
      <c r="AD653" s="24"/>
      <c r="AE653" s="24"/>
      <c r="AF653" s="4">
        <v>12000</v>
      </c>
      <c r="AG653" s="4"/>
      <c r="AH653" s="2" cm="1">
        <f t="array" ref="AH6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53" s="4">
        <f>scheduleapr[[#This Row],[SCHEDULE in nos]]-scheduleapr[[#This Row],[DISPATCH]]</f>
        <v>5000</v>
      </c>
      <c r="AJ653" s="1">
        <f>(3.14*(scheduleapr[[#This Row],[ACTUAL OD]]-scheduleapr[[#This Row],[TICKNESS]])*scheduleapr[[#This Row],[TICKNESS]]*scheduleapr[[#This Row],[LENGTH]]*7.85)/1000000*scheduleapr[[#This Row],[SCHEDULE in nos]]/1000</f>
        <v>1.5716991167999996</v>
      </c>
      <c r="AK653" s="1">
        <f>(3.14*(scheduleapr[[#This Row],[ACTUAL OD]]-scheduleapr[[#This Row],[TICKNESS]])*scheduleapr[[#This Row],[TICKNESS]]*scheduleapr[[#This Row],[LENGTH]]*7.85)/1000000*scheduleapr[[#This Row],[DISPATCH]]/1000</f>
        <v>0.91682448479999978</v>
      </c>
      <c r="AL653" s="1">
        <f t="shared" si="23"/>
        <v>0.65487463199999985</v>
      </c>
      <c r="AM653" s="1">
        <f>scheduleapr[[#This Row],[SCHEDULE in nos]]/scheduleapr[[#This Row],[SCHEDULE IN MT]]*scheduleapr[[#This Row],[CTL Stock]]</f>
        <v>7502.1840210784057</v>
      </c>
      <c r="AN653" s="1">
        <f>SUMIFS(stock[MT],stock[Bucket],scheduleapr[[#This Row],[Bucket]],stock[CTL Bucket],scheduleapr[[#This Row],[CTL Bucket]],stock[Plant],"0789")</f>
        <v>0.98259799999999997</v>
      </c>
      <c r="AO653" s="1"/>
      <c r="AP653" s="1">
        <f>SUMIFS(stock[MT],stock[Bucket],scheduleapr[[#This Row],[Bucket]],stock[LL or CTL],"LL")</f>
        <v>31.079670999999998</v>
      </c>
      <c r="AQ653" s="1">
        <f>+SUMIFS(wip[Stock(Net Wt)],wip[Bucket],scheduleapr[[#This Row],[Bucket]])/1000</f>
        <v>129.15199999999999</v>
      </c>
      <c r="AR653" s="1">
        <f t="shared" si="22"/>
        <v>0.58910111679999966</v>
      </c>
      <c r="AS653" s="118"/>
    </row>
    <row r="654" spans="1:45" x14ac:dyDescent="0.25">
      <c r="A654" s="30">
        <v>556</v>
      </c>
      <c r="B654" s="5" t="s">
        <v>1816</v>
      </c>
      <c r="C654" s="2" t="s">
        <v>301</v>
      </c>
      <c r="D654" s="2" t="s">
        <v>2104</v>
      </c>
      <c r="E654" s="2">
        <v>188595</v>
      </c>
      <c r="F654" s="9">
        <v>3233559</v>
      </c>
      <c r="G654" s="2" t="str">
        <f>_xlfn.CONCAT(scheduleapr[[#This Row],[CUSTOMER CODE]],"-",scheduleapr[[#This Row],[MATERIAL NO]])</f>
        <v>188595-3233559</v>
      </c>
      <c r="H654" s="2" t="s">
        <v>490</v>
      </c>
      <c r="I654" s="2" t="s">
        <v>229</v>
      </c>
      <c r="J654" s="44"/>
      <c r="K654" s="44" t="s">
        <v>963</v>
      </c>
      <c r="L654" s="2" t="s">
        <v>1867</v>
      </c>
      <c r="M654" s="44"/>
      <c r="N654" s="44"/>
      <c r="O654" s="44"/>
      <c r="P654" s="44"/>
      <c r="Q654" s="557" t="str">
        <f>CONCATENATE(scheduleapr[[#This Row],[OD]],"-",scheduleapr[[#This Row],[ID]],"-",scheduleapr[[#This Row],[TICKNESS]],"-",scheduleapr[[#This Row],[Grade]],"-",scheduleapr[[#This Row],[FC/NFC]])</f>
        <v>40-20-1.2-CRFH-PE</v>
      </c>
      <c r="R654" s="557" t="str">
        <f>_xlfn.CONCAT(scheduleapr[[#This Row],[Bucket]],"-",scheduleapr[[#This Row],[LENGTH]]/1000)</f>
        <v>40-20-1.2-CRFH-PE-0.12</v>
      </c>
      <c r="S654" s="557">
        <f>COUNTIF(scheduleapr[CTL Bucket],scheduleapr[[#This Row],[CTL Bucket]])</f>
        <v>4</v>
      </c>
      <c r="T654" s="2" t="s">
        <v>1816</v>
      </c>
      <c r="U654" s="2">
        <f>_xlfn.IFNA(VLOOKUP(scheduleapr[[#This Row],[Bucket]],salesforecast[[#All],[Bucket2]:[8406 Stock]],19,0),0)</f>
        <v>5.6431899999999997</v>
      </c>
      <c r="V654" s="562">
        <f>_xlfn.IFNA(VLOOKUP(scheduleapr[[#This Row],[Bucket]],salesforecast[[#All],[Bucket2]:[8406 Stock]],20,0),0)+_xlfn.IFNA(VLOOKUP(scheduleapr[[#This Row],[Bucket]],salesforecast[[#All],[Bucket2]:[8406 Stock]],17,0),0)</f>
        <v>0</v>
      </c>
      <c r="W654" s="557"/>
      <c r="X654" s="1">
        <v>38.1</v>
      </c>
      <c r="Y654" s="1">
        <v>40</v>
      </c>
      <c r="Z654" s="1">
        <v>20</v>
      </c>
      <c r="AA654" s="1">
        <v>1.2</v>
      </c>
      <c r="AB654" s="24">
        <v>120</v>
      </c>
      <c r="AC654" s="24" t="s">
        <v>397</v>
      </c>
      <c r="AD654" s="24"/>
      <c r="AE654" s="24"/>
      <c r="AF654" s="2">
        <v>1000</v>
      </c>
      <c r="AG654" s="2"/>
      <c r="AH654" s="2" cm="1">
        <f t="array" ref="AH6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654" s="4">
        <f>scheduleapr[[#This Row],[SCHEDULE in nos]]-scheduleapr[[#This Row],[DISPATCH]]</f>
        <v>-6000</v>
      </c>
      <c r="AJ654" s="1">
        <f>(3.14*(scheduleapr[[#This Row],[ACTUAL OD]]-scheduleapr[[#This Row],[TICKNESS]])*scheduleapr[[#This Row],[TICKNESS]]*scheduleapr[[#This Row],[LENGTH]]*7.85)/1000000*scheduleapr[[#This Row],[SCHEDULE in nos]]/1000</f>
        <v>0.13097492639999997</v>
      </c>
      <c r="AK654" s="1">
        <f>(3.14*(scheduleapr[[#This Row],[ACTUAL OD]]-scheduleapr[[#This Row],[TICKNESS]])*scheduleapr[[#This Row],[TICKNESS]]*scheduleapr[[#This Row],[LENGTH]]*7.85)/1000000*scheduleapr[[#This Row],[DISPATCH]]/1000</f>
        <v>0.91682448479999978</v>
      </c>
      <c r="AL654" s="1">
        <f t="shared" si="23"/>
        <v>-0.78584955839999981</v>
      </c>
      <c r="AM654" s="1">
        <f>scheduleapr[[#This Row],[SCHEDULE in nos]]/scheduleapr[[#This Row],[SCHEDULE IN MT]]*scheduleapr[[#This Row],[CTL Stock]]</f>
        <v>7502.1840210784057</v>
      </c>
      <c r="AN654" s="1">
        <f>SUMIFS(stock[MT],stock[Bucket],scheduleapr[[#This Row],[Bucket]],stock[CTL Bucket],scheduleapr[[#This Row],[CTL Bucket]],stock[Plant],"0789")</f>
        <v>0.98259799999999997</v>
      </c>
      <c r="AO654" s="1"/>
      <c r="AP654" s="1">
        <f>SUMIFS(stock[MT],stock[Bucket],scheduleapr[[#This Row],[Bucket]],stock[LL or CTL],"LL")</f>
        <v>31.079670999999998</v>
      </c>
      <c r="AQ654" s="1">
        <f>+SUMIFS(wip[Stock(Net Wt)],wip[Bucket],scheduleapr[[#This Row],[Bucket]])/1000</f>
        <v>129.15199999999999</v>
      </c>
      <c r="AR654" s="1">
        <f t="shared" si="22"/>
        <v>-0.8516230736</v>
      </c>
      <c r="AS654" s="118"/>
    </row>
    <row r="655" spans="1:45" x14ac:dyDescent="0.25">
      <c r="A655" s="30">
        <v>636</v>
      </c>
      <c r="B655" s="5" t="s">
        <v>1816</v>
      </c>
      <c r="C655" s="2" t="s">
        <v>306</v>
      </c>
      <c r="D655" s="2" t="s">
        <v>2104</v>
      </c>
      <c r="E655" s="2">
        <v>188595</v>
      </c>
      <c r="F655" s="523">
        <v>3584171</v>
      </c>
      <c r="G655" s="2" t="str">
        <f>_xlfn.CONCAT(scheduleapr[[#This Row],[CUSTOMER CODE]],"-",scheduleapr[[#This Row],[MATERIAL NO]])</f>
        <v>188595-3584171</v>
      </c>
      <c r="H655" s="523" t="s">
        <v>686</v>
      </c>
      <c r="I655" s="2" t="s">
        <v>229</v>
      </c>
      <c r="J655" s="2"/>
      <c r="K655" s="44" t="s">
        <v>963</v>
      </c>
      <c r="L655" s="2"/>
      <c r="M655" s="44"/>
      <c r="N655" s="2"/>
      <c r="O655" s="2"/>
      <c r="P655" s="2"/>
      <c r="Q655" s="557" t="str">
        <f>CONCATENATE(scheduleapr[[#This Row],[OD]],"-",scheduleapr[[#This Row],[ID]],"-",scheduleapr[[#This Row],[TICKNESS]],"-",scheduleapr[[#This Row],[Grade]],"-",scheduleapr[[#This Row],[FC/NFC]])</f>
        <v>40-20-1.2-CRFH-PE</v>
      </c>
      <c r="R655" s="557" t="str">
        <f>_xlfn.CONCAT(scheduleapr[[#This Row],[Bucket]],"-",scheduleapr[[#This Row],[LENGTH]]/1000)</f>
        <v>40-20-1.2-CRFH-PE-0.13</v>
      </c>
      <c r="S655" s="2"/>
      <c r="T655" s="2"/>
      <c r="U655" s="2">
        <f>_xlfn.IFNA(VLOOKUP(scheduleapr[[#This Row],[Bucket]],salesforecast[[#All],[Bucket2]:[8406 Stock]],19,0),0)</f>
        <v>5.6431899999999997</v>
      </c>
      <c r="V655" s="562">
        <f>_xlfn.IFNA(VLOOKUP(scheduleapr[[#This Row],[Bucket]],salesforecast[[#All],[Bucket2]:[8406 Stock]],20,0),0)+_xlfn.IFNA(VLOOKUP(scheduleapr[[#This Row],[Bucket]],salesforecast[[#All],[Bucket2]:[8406 Stock]],17,0),0)</f>
        <v>0</v>
      </c>
      <c r="W655" s="2"/>
      <c r="X655" s="1">
        <v>38.1</v>
      </c>
      <c r="Y655" s="1">
        <v>40</v>
      </c>
      <c r="Z655" s="1">
        <v>20</v>
      </c>
      <c r="AA655" s="1">
        <v>1.2</v>
      </c>
      <c r="AB655" s="24">
        <v>130</v>
      </c>
      <c r="AC655" s="24" t="s">
        <v>397</v>
      </c>
      <c r="AD655" s="24"/>
      <c r="AE655" s="24"/>
      <c r="AF655" s="2">
        <v>1000</v>
      </c>
      <c r="AG655" s="2"/>
      <c r="AH655" s="2" cm="1">
        <f t="array" ref="AH6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55" s="4">
        <f>scheduleapr[[#This Row],[SCHEDULE in nos]]-scheduleapr[[#This Row],[DISPATCH]]</f>
        <v>0</v>
      </c>
      <c r="AJ655" s="1">
        <f>(3.14*(scheduleapr[[#This Row],[ACTUAL OD]]-scheduleapr[[#This Row],[TICKNESS]])*scheduleapr[[#This Row],[TICKNESS]]*scheduleapr[[#This Row],[LENGTH]]*7.85)/1000000*scheduleapr[[#This Row],[SCHEDULE in nos]]/1000</f>
        <v>0.14188950359999997</v>
      </c>
      <c r="AK655" s="1">
        <f>(3.14*(scheduleapr[[#This Row],[ACTUAL OD]]-scheduleapr[[#This Row],[TICKNESS]])*scheduleapr[[#This Row],[TICKNESS]]*scheduleapr[[#This Row],[LENGTH]]*7.85)/1000000*scheduleapr[[#This Row],[DISPATCH]]/1000</f>
        <v>0.14188950359999997</v>
      </c>
      <c r="AL655" s="1">
        <f t="shared" si="23"/>
        <v>0</v>
      </c>
      <c r="AM655" s="1">
        <f>scheduleapr[[#This Row],[SCHEDULE in nos]]/scheduleapr[[#This Row],[SCHEDULE IN MT]]*scheduleapr[[#This Row],[CTL Stock]]</f>
        <v>35.238688367643299</v>
      </c>
      <c r="AN655" s="1">
        <f>SUMIFS(stock[MT],stock[Bucket],scheduleapr[[#This Row],[Bucket]],stock[CTL Bucket],scheduleapr[[#This Row],[CTL Bucket]],stock[Plant],"0789")</f>
        <v>5.0000000000000001E-3</v>
      </c>
      <c r="AO655" s="1"/>
      <c r="AP655" s="1">
        <f>SUMIFS(stock[MT],stock[Bucket],scheduleapr[[#This Row],[Bucket]],stock[LL or CTL],"LL")</f>
        <v>31.079670999999998</v>
      </c>
      <c r="AQ655" s="1">
        <f>+SUMIFS(wip[Stock(Net Wt)],wip[Bucket],scheduleapr[[#This Row],[Bucket]])/1000</f>
        <v>129.15199999999999</v>
      </c>
      <c r="AR655" s="1">
        <f t="shared" si="22"/>
        <v>0.13688950359999996</v>
      </c>
      <c r="AS655" s="118"/>
    </row>
    <row r="656" spans="1:45" x14ac:dyDescent="0.25">
      <c r="A656" s="30">
        <v>557</v>
      </c>
      <c r="B656" s="5" t="s">
        <v>1816</v>
      </c>
      <c r="C656" s="2" t="s">
        <v>301</v>
      </c>
      <c r="D656" s="2" t="s">
        <v>2104</v>
      </c>
      <c r="E656" s="2">
        <v>188595</v>
      </c>
      <c r="F656" s="9">
        <v>3572048</v>
      </c>
      <c r="G656" s="2" t="str">
        <f>_xlfn.CONCAT(scheduleapr[[#This Row],[CUSTOMER CODE]],"-",scheduleapr[[#This Row],[MATERIAL NO]])</f>
        <v>188595-3572048</v>
      </c>
      <c r="H656" s="2" t="s">
        <v>1664</v>
      </c>
      <c r="I656" s="2" t="s">
        <v>229</v>
      </c>
      <c r="J656" s="44"/>
      <c r="K656" s="44" t="s">
        <v>963</v>
      </c>
      <c r="L656" s="2" t="s">
        <v>1867</v>
      </c>
      <c r="M656" s="44"/>
      <c r="N656" s="44"/>
      <c r="O656" s="44"/>
      <c r="P656" s="44"/>
      <c r="Q656" s="557" t="str">
        <f>CONCATENATE(scheduleapr[[#This Row],[OD]],"-",scheduleapr[[#This Row],[ID]],"-",scheduleapr[[#This Row],[TICKNESS]],"-",scheduleapr[[#This Row],[Grade]],"-",scheduleapr[[#This Row],[FC/NFC]])</f>
        <v>40-20-1.2-CRFH-PE</v>
      </c>
      <c r="R656" s="557" t="str">
        <f>_xlfn.CONCAT(scheduleapr[[#This Row],[Bucket]],"-",scheduleapr[[#This Row],[LENGTH]]/1000)</f>
        <v>40-20-1.2-CRFH-PE-0.14</v>
      </c>
      <c r="S656" s="557">
        <f>COUNTIF(scheduleapr[CTL Bucket],scheduleapr[[#This Row],[CTL Bucket]])</f>
        <v>1</v>
      </c>
      <c r="T656" s="2" t="s">
        <v>1816</v>
      </c>
      <c r="U656" s="2">
        <f>_xlfn.IFNA(VLOOKUP(scheduleapr[[#This Row],[Bucket]],salesforecast[[#All],[Bucket2]:[8406 Stock]],19,0),0)</f>
        <v>5.6431899999999997</v>
      </c>
      <c r="V656" s="562">
        <f>_xlfn.IFNA(VLOOKUP(scheduleapr[[#This Row],[Bucket]],salesforecast[[#All],[Bucket2]:[8406 Stock]],20,0),0)+_xlfn.IFNA(VLOOKUP(scheduleapr[[#This Row],[Bucket]],salesforecast[[#All],[Bucket2]:[8406 Stock]],17,0),0)</f>
        <v>0</v>
      </c>
      <c r="W656" s="557"/>
      <c r="X656" s="1">
        <v>38.1</v>
      </c>
      <c r="Y656" s="1">
        <v>40</v>
      </c>
      <c r="Z656" s="1">
        <v>20</v>
      </c>
      <c r="AA656" s="1">
        <v>1.2</v>
      </c>
      <c r="AB656" s="24">
        <v>140</v>
      </c>
      <c r="AC656" s="24" t="s">
        <v>397</v>
      </c>
      <c r="AD656" s="24"/>
      <c r="AE656" s="24"/>
      <c r="AF656" s="2">
        <v>1000</v>
      </c>
      <c r="AG656" s="2"/>
      <c r="AH656" s="2" cm="1">
        <f t="array" ref="AH6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6" s="4">
        <f>scheduleapr[[#This Row],[SCHEDULE in nos]]-scheduleapr[[#This Row],[DISPATCH]]</f>
        <v>1000</v>
      </c>
      <c r="AJ656" s="1">
        <f>(3.14*(scheduleapr[[#This Row],[ACTUAL OD]]-scheduleapr[[#This Row],[TICKNESS]])*scheduleapr[[#This Row],[TICKNESS]]*scheduleapr[[#This Row],[LENGTH]]*7.85)/1000000*scheduleapr[[#This Row],[SCHEDULE in nos]]/1000</f>
        <v>0.15280408079999996</v>
      </c>
      <c r="AK656" s="1">
        <f>(3.14*(scheduleapr[[#This Row],[ACTUAL OD]]-scheduleapr[[#This Row],[TICKNESS]])*scheduleapr[[#This Row],[TICKNESS]]*scheduleapr[[#This Row],[LENGTH]]*7.85)/1000000*scheduleapr[[#This Row],[DISPATCH]]/1000</f>
        <v>0</v>
      </c>
      <c r="AL656" s="1">
        <f t="shared" si="23"/>
        <v>0.15280408079999996</v>
      </c>
      <c r="AM656" s="1">
        <f>scheduleapr[[#This Row],[SCHEDULE in nos]]/scheduleapr[[#This Row],[SCHEDULE IN MT]]*scheduleapr[[#This Row],[CTL Stock]]</f>
        <v>0</v>
      </c>
      <c r="AN656" s="1">
        <f>SUMIFS(stock[MT],stock[Bucket],scheduleapr[[#This Row],[Bucket]],stock[CTL Bucket],scheduleapr[[#This Row],[CTL Bucket]],stock[Plant],"0789")</f>
        <v>0</v>
      </c>
      <c r="AO656" s="1"/>
      <c r="AP656" s="1">
        <f>SUMIFS(stock[MT],stock[Bucket],scheduleapr[[#This Row],[Bucket]],stock[LL or CTL],"LL")</f>
        <v>31.079670999999998</v>
      </c>
      <c r="AQ656" s="1">
        <f>+SUMIFS(wip[Stock(Net Wt)],wip[Bucket],scheduleapr[[#This Row],[Bucket]])/1000</f>
        <v>129.15199999999999</v>
      </c>
      <c r="AR656" s="1">
        <f t="shared" si="22"/>
        <v>0.15280408079999996</v>
      </c>
      <c r="AS656" s="118"/>
    </row>
    <row r="657" spans="1:45" x14ac:dyDescent="0.25">
      <c r="A657" s="30">
        <v>558</v>
      </c>
      <c r="B657" s="5" t="s">
        <v>1816</v>
      </c>
      <c r="C657" s="2" t="s">
        <v>301</v>
      </c>
      <c r="D657" s="2" t="s">
        <v>2104</v>
      </c>
      <c r="E657" s="2">
        <v>188595</v>
      </c>
      <c r="F657" s="9">
        <v>3572050</v>
      </c>
      <c r="G657" s="2" t="str">
        <f>_xlfn.CONCAT(scheduleapr[[#This Row],[CUSTOMER CODE]],"-",scheduleapr[[#This Row],[MATERIAL NO]])</f>
        <v>188595-3572050</v>
      </c>
      <c r="H657" s="2" t="s">
        <v>1666</v>
      </c>
      <c r="I657" s="2" t="s">
        <v>229</v>
      </c>
      <c r="J657" s="44"/>
      <c r="K657" s="44" t="s">
        <v>963</v>
      </c>
      <c r="L657" s="2" t="s">
        <v>1867</v>
      </c>
      <c r="M657" s="44"/>
      <c r="N657" s="44"/>
      <c r="O657" s="44"/>
      <c r="P657" s="44"/>
      <c r="Q657" s="557" t="str">
        <f>CONCATENATE(scheduleapr[[#This Row],[OD]],"-",scheduleapr[[#This Row],[ID]],"-",scheduleapr[[#This Row],[TICKNESS]],"-",scheduleapr[[#This Row],[Grade]],"-",scheduleapr[[#This Row],[FC/NFC]])</f>
        <v>40-20-1.2-CRFH-PE</v>
      </c>
      <c r="R657" s="557" t="str">
        <f>_xlfn.CONCAT(scheduleapr[[#This Row],[Bucket]],"-",scheduleapr[[#This Row],[LENGTH]]/1000)</f>
        <v>40-20-1.2-CRFH-PE-0.71</v>
      </c>
      <c r="S657" s="557">
        <f>COUNTIF(scheduleapr[CTL Bucket],scheduleapr[[#This Row],[CTL Bucket]])</f>
        <v>1</v>
      </c>
      <c r="T657" s="2" t="s">
        <v>1816</v>
      </c>
      <c r="U657" s="2">
        <f>_xlfn.IFNA(VLOOKUP(scheduleapr[[#This Row],[Bucket]],salesforecast[[#All],[Bucket2]:[8406 Stock]],19,0),0)</f>
        <v>5.6431899999999997</v>
      </c>
      <c r="V657" s="562">
        <f>_xlfn.IFNA(VLOOKUP(scheduleapr[[#This Row],[Bucket]],salesforecast[[#All],[Bucket2]:[8406 Stock]],20,0),0)+_xlfn.IFNA(VLOOKUP(scheduleapr[[#This Row],[Bucket]],salesforecast[[#All],[Bucket2]:[8406 Stock]],17,0),0)</f>
        <v>0</v>
      </c>
      <c r="W657" s="557"/>
      <c r="X657" s="1">
        <v>38.1</v>
      </c>
      <c r="Y657" s="1">
        <v>40</v>
      </c>
      <c r="Z657" s="1">
        <v>20</v>
      </c>
      <c r="AA657" s="1">
        <v>1.2</v>
      </c>
      <c r="AB657" s="24">
        <v>710</v>
      </c>
      <c r="AC657" s="24" t="s">
        <v>397</v>
      </c>
      <c r="AD657" s="24"/>
      <c r="AE657" s="24"/>
      <c r="AF657" s="2">
        <v>1000</v>
      </c>
      <c r="AG657" s="2"/>
      <c r="AH657" s="2" cm="1">
        <f t="array" ref="AH6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7" s="4">
        <f>scheduleapr[[#This Row],[SCHEDULE in nos]]-scheduleapr[[#This Row],[DISPATCH]]</f>
        <v>1000</v>
      </c>
      <c r="AJ657" s="1">
        <f>(3.14*(scheduleapr[[#This Row],[ACTUAL OD]]-scheduleapr[[#This Row],[TICKNESS]])*scheduleapr[[#This Row],[TICKNESS]]*scheduleapr[[#This Row],[LENGTH]]*7.85)/1000000*scheduleapr[[#This Row],[SCHEDULE in nos]]/1000</f>
        <v>0.77493498119999993</v>
      </c>
      <c r="AK657" s="1">
        <f>(3.14*(scheduleapr[[#This Row],[ACTUAL OD]]-scheduleapr[[#This Row],[TICKNESS]])*scheduleapr[[#This Row],[TICKNESS]]*scheduleapr[[#This Row],[LENGTH]]*7.85)/1000000*scheduleapr[[#This Row],[DISPATCH]]/1000</f>
        <v>0</v>
      </c>
      <c r="AL657" s="1">
        <f t="shared" si="23"/>
        <v>0.77493498119999993</v>
      </c>
      <c r="AM657" s="1">
        <f>scheduleapr[[#This Row],[SCHEDULE in nos]]/scheduleapr[[#This Row],[SCHEDULE IN MT]]*scheduleapr[[#This Row],[CTL Stock]]</f>
        <v>1700.7878492709863</v>
      </c>
      <c r="AN657" s="1">
        <f>SUMIFS(stock[MT],stock[Bucket],scheduleapr[[#This Row],[Bucket]],stock[CTL Bucket],scheduleapr[[#This Row],[CTL Bucket]],stock[Plant],"0789")</f>
        <v>1.3180000000000001</v>
      </c>
      <c r="AO657" s="1"/>
      <c r="AP657" s="1">
        <f>SUMIFS(stock[MT],stock[Bucket],scheduleapr[[#This Row],[Bucket]],stock[LL or CTL],"LL")</f>
        <v>31.079670999999998</v>
      </c>
      <c r="AQ657" s="1">
        <f>+SUMIFS(wip[Stock(Net Wt)],wip[Bucket],scheduleapr[[#This Row],[Bucket]])/1000</f>
        <v>129.15199999999999</v>
      </c>
      <c r="AR657" s="1">
        <f t="shared" si="22"/>
        <v>-0.54306501880000013</v>
      </c>
      <c r="AS657" s="118"/>
    </row>
    <row r="658" spans="1:45" x14ac:dyDescent="0.25">
      <c r="A658" s="30">
        <v>524</v>
      </c>
      <c r="B658" s="5" t="s">
        <v>1816</v>
      </c>
      <c r="C658" s="44" t="s">
        <v>304</v>
      </c>
      <c r="D658" s="2" t="s">
        <v>2104</v>
      </c>
      <c r="E658" s="2">
        <v>188595</v>
      </c>
      <c r="F658" s="523">
        <v>4151472</v>
      </c>
      <c r="G658" s="2" t="str">
        <f>_xlfn.CONCAT(scheduleapr[[#This Row],[CUSTOMER CODE]],"-",scheduleapr[[#This Row],[MATERIAL NO]])</f>
        <v>188595-4151472</v>
      </c>
      <c r="H658" s="2" t="s">
        <v>2122</v>
      </c>
      <c r="I658" s="2" t="s">
        <v>229</v>
      </c>
      <c r="J658" s="44"/>
      <c r="K658" s="44" t="s">
        <v>963</v>
      </c>
      <c r="L658" s="2" t="s">
        <v>1867</v>
      </c>
      <c r="M658" s="44"/>
      <c r="N658" s="44"/>
      <c r="O658" s="44"/>
      <c r="P658" s="44"/>
      <c r="Q658" s="557" t="str">
        <f>CONCATENATE(scheduleapr[[#This Row],[OD]],"-",scheduleapr[[#This Row],[ID]],"-",scheduleapr[[#This Row],[TICKNESS]],"-",scheduleapr[[#This Row],[Grade]],"-",scheduleapr[[#This Row],[FC/NFC]])</f>
        <v>40-20-1.2-CRFH-PE</v>
      </c>
      <c r="R658" s="557" t="str">
        <f>_xlfn.CONCAT(scheduleapr[[#This Row],[Bucket]],"-",scheduleapr[[#This Row],[LENGTH]]/1000)</f>
        <v>40-20-1.2-CRFH-PE-0.755</v>
      </c>
      <c r="S658" s="557">
        <f>COUNTIF(scheduleapr[CTL Bucket],scheduleapr[[#This Row],[CTL Bucket]])</f>
        <v>2</v>
      </c>
      <c r="T658" s="2" t="s">
        <v>1816</v>
      </c>
      <c r="U658" s="2">
        <f>_xlfn.IFNA(VLOOKUP(scheduleapr[[#This Row],[Bucket]],salesforecast[[#All],[Bucket2]:[8406 Stock]],19,0),0)</f>
        <v>5.6431899999999997</v>
      </c>
      <c r="V658" s="562">
        <f>_xlfn.IFNA(VLOOKUP(scheduleapr[[#This Row],[Bucket]],salesforecast[[#All],[Bucket2]:[8406 Stock]],20,0),0)+_xlfn.IFNA(VLOOKUP(scheduleapr[[#This Row],[Bucket]],salesforecast[[#All],[Bucket2]:[8406 Stock]],17,0),0)</f>
        <v>0</v>
      </c>
      <c r="W658" s="557"/>
      <c r="X658" s="1">
        <v>38.1</v>
      </c>
      <c r="Y658" s="1">
        <v>40</v>
      </c>
      <c r="Z658" s="1">
        <v>20</v>
      </c>
      <c r="AA658" s="1">
        <v>1.2</v>
      </c>
      <c r="AB658" s="24">
        <v>755</v>
      </c>
      <c r="AC658" s="24" t="s">
        <v>397</v>
      </c>
      <c r="AD658" s="24"/>
      <c r="AE658" s="24"/>
      <c r="AF658" s="4">
        <v>12000</v>
      </c>
      <c r="AG658" s="4"/>
      <c r="AH658" s="2" cm="1">
        <f t="array" ref="AH6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58" s="4">
        <f>scheduleapr[[#This Row],[SCHEDULE in nos]]-scheduleapr[[#This Row],[DISPATCH]]</f>
        <v>6000</v>
      </c>
      <c r="AJ658" s="1">
        <f>(3.14*(scheduleapr[[#This Row],[ACTUAL OD]]-scheduleapr[[#This Row],[TICKNESS]])*scheduleapr[[#This Row],[TICKNESS]]*scheduleapr[[#This Row],[LENGTH]]*7.85)/1000000*scheduleapr[[#This Row],[SCHEDULE in nos]]/1000</f>
        <v>9.8886069431999992</v>
      </c>
      <c r="AK658" s="1">
        <f>(3.14*(scheduleapr[[#This Row],[ACTUAL OD]]-scheduleapr[[#This Row],[TICKNESS]])*scheduleapr[[#This Row],[TICKNESS]]*scheduleapr[[#This Row],[LENGTH]]*7.85)/1000000*scheduleapr[[#This Row],[DISPATCH]]/1000</f>
        <v>4.9443034715999996</v>
      </c>
      <c r="AL658" s="1">
        <f t="shared" si="23"/>
        <v>4.9443034715999996</v>
      </c>
      <c r="AM658" s="1">
        <f>scheduleapr[[#This Row],[SCHEDULE in nos]]/scheduleapr[[#This Row],[SCHEDULE IN MT]]*scheduleapr[[#This Row],[CTL Stock]]</f>
        <v>7.074808453996515</v>
      </c>
      <c r="AN658" s="1">
        <f>SUMIFS(stock[MT],stock[Bucket],scheduleapr[[#This Row],[Bucket]],stock[CTL Bucket],scheduleapr[[#This Row],[CTL Bucket]],stock[Plant],"0789")</f>
        <v>5.8300000000000001E-3</v>
      </c>
      <c r="AO658" s="1"/>
      <c r="AP658" s="1">
        <f>SUMIFS(stock[MT],stock[Bucket],scheduleapr[[#This Row],[Bucket]],stock[LL or CTL],"LL")</f>
        <v>31.079670999999998</v>
      </c>
      <c r="AQ658" s="1">
        <f>+SUMIFS(wip[Stock(Net Wt)],wip[Bucket],scheduleapr[[#This Row],[Bucket]])/1000</f>
        <v>129.15199999999999</v>
      </c>
      <c r="AR658" s="1">
        <f t="shared" si="22"/>
        <v>9.8827769431999997</v>
      </c>
      <c r="AS658" s="118"/>
    </row>
    <row r="659" spans="1:45" x14ac:dyDescent="0.25">
      <c r="A659" s="30">
        <v>635</v>
      </c>
      <c r="B659" s="5" t="s">
        <v>1816</v>
      </c>
      <c r="C659" s="2" t="s">
        <v>306</v>
      </c>
      <c r="D659" s="2" t="s">
        <v>2104</v>
      </c>
      <c r="E659" s="2">
        <v>188595</v>
      </c>
      <c r="F659" s="523">
        <v>3233557</v>
      </c>
      <c r="G659" s="2" t="str">
        <f>_xlfn.CONCAT(scheduleapr[[#This Row],[CUSTOMER CODE]],"-",scheduleapr[[#This Row],[MATERIAL NO]])</f>
        <v>188595-3233557</v>
      </c>
      <c r="H659" s="523" t="s">
        <v>610</v>
      </c>
      <c r="I659" s="2" t="s">
        <v>229</v>
      </c>
      <c r="J659" s="2"/>
      <c r="K659" s="44" t="s">
        <v>963</v>
      </c>
      <c r="L659" s="2"/>
      <c r="M659" s="44"/>
      <c r="N659" s="2"/>
      <c r="O659" s="2"/>
      <c r="P659" s="2"/>
      <c r="Q659" s="557" t="str">
        <f>CONCATENATE(scheduleapr[[#This Row],[OD]],"-",scheduleapr[[#This Row],[ID]],"-",scheduleapr[[#This Row],[TICKNESS]],"-",scheduleapr[[#This Row],[Grade]],"-",scheduleapr[[#This Row],[FC/NFC]])</f>
        <v>40-20-1.2-CRFH-PE</v>
      </c>
      <c r="R659" s="557" t="str">
        <f>_xlfn.CONCAT(scheduleapr[[#This Row],[Bucket]],"-",scheduleapr[[#This Row],[LENGTH]]/1000)</f>
        <v>40-20-1.2-CRFH-PE-0.8</v>
      </c>
      <c r="S659" s="2"/>
      <c r="T659" s="2"/>
      <c r="U659" s="2">
        <f>_xlfn.IFNA(VLOOKUP(scheduleapr[[#This Row],[Bucket]],salesforecast[[#All],[Bucket2]:[8406 Stock]],19,0),0)</f>
        <v>5.6431899999999997</v>
      </c>
      <c r="V659" s="562">
        <f>_xlfn.IFNA(VLOOKUP(scheduleapr[[#This Row],[Bucket]],salesforecast[[#All],[Bucket2]:[8406 Stock]],20,0),0)+_xlfn.IFNA(VLOOKUP(scheduleapr[[#This Row],[Bucket]],salesforecast[[#All],[Bucket2]:[8406 Stock]],17,0),0)</f>
        <v>0</v>
      </c>
      <c r="W659" s="2"/>
      <c r="X659" s="1">
        <v>38.1</v>
      </c>
      <c r="Y659" s="1">
        <v>40</v>
      </c>
      <c r="Z659" s="1">
        <v>20</v>
      </c>
      <c r="AA659" s="1">
        <v>1.2</v>
      </c>
      <c r="AB659" s="24">
        <v>800</v>
      </c>
      <c r="AC659" s="24" t="s">
        <v>397</v>
      </c>
      <c r="AD659" s="24"/>
      <c r="AE659" s="24"/>
      <c r="AF659" s="2">
        <v>1000</v>
      </c>
      <c r="AG659" s="2"/>
      <c r="AH659" s="2" cm="1">
        <f t="array" ref="AH6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59" s="4">
        <f>scheduleapr[[#This Row],[SCHEDULE in nos]]-scheduleapr[[#This Row],[DISPATCH]]</f>
        <v>0</v>
      </c>
      <c r="AJ659" s="1">
        <f>(3.14*(scheduleapr[[#This Row],[ACTUAL OD]]-scheduleapr[[#This Row],[TICKNESS]])*scheduleapr[[#This Row],[TICKNESS]]*scheduleapr[[#This Row],[LENGTH]]*7.85)/1000000*scheduleapr[[#This Row],[SCHEDULE in nos]]/1000</f>
        <v>0.87316617600000002</v>
      </c>
      <c r="AK659" s="1">
        <f>(3.14*(scheduleapr[[#This Row],[ACTUAL OD]]-scheduleapr[[#This Row],[TICKNESS]])*scheduleapr[[#This Row],[TICKNESS]]*scheduleapr[[#This Row],[LENGTH]]*7.85)/1000000*scheduleapr[[#This Row],[DISPATCH]]/1000</f>
        <v>0.87316617600000002</v>
      </c>
      <c r="AL659" s="1">
        <f t="shared" si="23"/>
        <v>0</v>
      </c>
      <c r="AM659" s="1">
        <f>scheduleapr[[#This Row],[SCHEDULE in nos]]/scheduleapr[[#This Row],[SCHEDULE IN MT]]*scheduleapr[[#This Row],[CTL Stock]]</f>
        <v>3608.1722890741016</v>
      </c>
      <c r="AN659" s="1">
        <f>SUMIFS(stock[MT],stock[Bucket],scheduleapr[[#This Row],[Bucket]],stock[CTL Bucket],scheduleapr[[#This Row],[CTL Bucket]],stock[Plant],"0789")</f>
        <v>3.1505339999999999</v>
      </c>
      <c r="AO659" s="1"/>
      <c r="AP659" s="1">
        <f>SUMIFS(stock[MT],stock[Bucket],scheduleapr[[#This Row],[Bucket]],stock[LL or CTL],"LL")</f>
        <v>31.079670999999998</v>
      </c>
      <c r="AQ659" s="1">
        <f>+SUMIFS(wip[Stock(Net Wt)],wip[Bucket],scheduleapr[[#This Row],[Bucket]])/1000</f>
        <v>129.15199999999999</v>
      </c>
      <c r="AR659" s="1">
        <f t="shared" si="22"/>
        <v>-2.2773678239999997</v>
      </c>
      <c r="AS659" s="118"/>
    </row>
    <row r="660" spans="1:45" x14ac:dyDescent="0.25">
      <c r="A660" s="30">
        <v>525</v>
      </c>
      <c r="B660" s="5" t="s">
        <v>1816</v>
      </c>
      <c r="C660" s="44" t="s">
        <v>304</v>
      </c>
      <c r="D660" s="2" t="s">
        <v>2104</v>
      </c>
      <c r="E660" s="2">
        <v>188595</v>
      </c>
      <c r="F660" s="523">
        <v>3572051</v>
      </c>
      <c r="G660" s="2" t="str">
        <f>_xlfn.CONCAT(scheduleapr[[#This Row],[CUSTOMER CODE]],"-",scheduleapr[[#This Row],[MATERIAL NO]])</f>
        <v>188595-3572051</v>
      </c>
      <c r="H660" s="2" t="s">
        <v>1937</v>
      </c>
      <c r="I660" s="2" t="s">
        <v>229</v>
      </c>
      <c r="J660" s="44"/>
      <c r="K660" s="44" t="s">
        <v>963</v>
      </c>
      <c r="L660" s="2" t="s">
        <v>1867</v>
      </c>
      <c r="M660" s="44"/>
      <c r="N660" s="44"/>
      <c r="O660" s="44"/>
      <c r="P660" s="44"/>
      <c r="Q660" s="557" t="str">
        <f>CONCATENATE(scheduleapr[[#This Row],[OD]],"-",scheduleapr[[#This Row],[ID]],"-",scheduleapr[[#This Row],[TICKNESS]],"-",scheduleapr[[#This Row],[Grade]],"-",scheduleapr[[#This Row],[FC/NFC]])</f>
        <v>40-20-1.2-CRFH-PE</v>
      </c>
      <c r="R660" s="557" t="str">
        <f>_xlfn.CONCAT(scheduleapr[[#This Row],[Bucket]],"-",scheduleapr[[#This Row],[LENGTH]]/1000)</f>
        <v>40-20-1.2-CRFH-PE-0.86</v>
      </c>
      <c r="S660" s="557">
        <f>COUNTIF(scheduleapr[CTL Bucket],scheduleapr[[#This Row],[CTL Bucket]])</f>
        <v>5</v>
      </c>
      <c r="T660" s="2" t="s">
        <v>1816</v>
      </c>
      <c r="U660" s="2">
        <f>_xlfn.IFNA(VLOOKUP(scheduleapr[[#This Row],[Bucket]],salesforecast[[#All],[Bucket2]:[8406 Stock]],19,0),0)</f>
        <v>5.6431899999999997</v>
      </c>
      <c r="V660" s="562">
        <f>_xlfn.IFNA(VLOOKUP(scheduleapr[[#This Row],[Bucket]],salesforecast[[#All],[Bucket2]:[8406 Stock]],20,0),0)+_xlfn.IFNA(VLOOKUP(scheduleapr[[#This Row],[Bucket]],salesforecast[[#All],[Bucket2]:[8406 Stock]],17,0),0)</f>
        <v>0</v>
      </c>
      <c r="W660" s="557"/>
      <c r="X660" s="1">
        <v>38.1</v>
      </c>
      <c r="Y660" s="1">
        <v>40</v>
      </c>
      <c r="Z660" s="1">
        <v>20</v>
      </c>
      <c r="AA660" s="1">
        <v>1.2</v>
      </c>
      <c r="AB660" s="24">
        <v>860</v>
      </c>
      <c r="AC660" s="24" t="s">
        <v>397</v>
      </c>
      <c r="AD660" s="24"/>
      <c r="AE660" s="24"/>
      <c r="AF660" s="4">
        <v>24000</v>
      </c>
      <c r="AG660" s="4"/>
      <c r="AH660" s="2" cm="1">
        <f t="array" ref="AH6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660" s="4">
        <f>scheduleapr[[#This Row],[SCHEDULE in nos]]-scheduleapr[[#This Row],[DISPATCH]]</f>
        <v>10000</v>
      </c>
      <c r="AJ660" s="1">
        <f>(3.14*(scheduleapr[[#This Row],[ACTUAL OD]]-scheduleapr[[#This Row],[TICKNESS]])*scheduleapr[[#This Row],[TICKNESS]]*scheduleapr[[#This Row],[LENGTH]]*7.85)/1000000*scheduleapr[[#This Row],[SCHEDULE in nos]]/1000</f>
        <v>22.5276873408</v>
      </c>
      <c r="AK660" s="1">
        <f>(3.14*(scheduleapr[[#This Row],[ACTUAL OD]]-scheduleapr[[#This Row],[TICKNESS]])*scheduleapr[[#This Row],[TICKNESS]]*scheduleapr[[#This Row],[LENGTH]]*7.85)/1000000*scheduleapr[[#This Row],[DISPATCH]]/1000</f>
        <v>13.1411509488</v>
      </c>
      <c r="AL660" s="1">
        <f t="shared" si="23"/>
        <v>9.386536392</v>
      </c>
      <c r="AM660" s="1">
        <f>scheduleapr[[#This Row],[SCHEDULE in nos]]/scheduleapr[[#This Row],[SCHEDULE IN MT]]*scheduleapr[[#This Row],[CTL Stock]]</f>
        <v>4069.7865969558588</v>
      </c>
      <c r="AN660" s="1">
        <f>SUMIFS(stock[MT],stock[Bucket],scheduleapr[[#This Row],[Bucket]],stock[CTL Bucket],scheduleapr[[#This Row],[CTL Bucket]],stock[Plant],"0789")</f>
        <v>3.8201200000000002</v>
      </c>
      <c r="AO660" s="1"/>
      <c r="AP660" s="1">
        <f>SUMIFS(stock[MT],stock[Bucket],scheduleapr[[#This Row],[Bucket]],stock[LL or CTL],"LL")</f>
        <v>31.079670999999998</v>
      </c>
      <c r="AQ660" s="1">
        <f>+SUMIFS(wip[Stock(Net Wt)],wip[Bucket],scheduleapr[[#This Row],[Bucket]])/1000</f>
        <v>129.15199999999999</v>
      </c>
      <c r="AR660" s="1">
        <f t="shared" si="22"/>
        <v>18.707567340800001</v>
      </c>
      <c r="AS660" s="118"/>
    </row>
    <row r="661" spans="1:45" x14ac:dyDescent="0.25">
      <c r="A661" s="30">
        <v>559</v>
      </c>
      <c r="B661" s="5" t="s">
        <v>1816</v>
      </c>
      <c r="C661" s="2" t="s">
        <v>301</v>
      </c>
      <c r="D661" s="2" t="s">
        <v>2104</v>
      </c>
      <c r="E661" s="2">
        <v>188595</v>
      </c>
      <c r="F661" s="9">
        <v>3572051</v>
      </c>
      <c r="G661" s="2" t="str">
        <f>_xlfn.CONCAT(scheduleapr[[#This Row],[CUSTOMER CODE]],"-",scheduleapr[[#This Row],[MATERIAL NO]])</f>
        <v>188595-3572051</v>
      </c>
      <c r="H661" s="2" t="s">
        <v>484</v>
      </c>
      <c r="I661" s="2" t="s">
        <v>229</v>
      </c>
      <c r="J661" s="44"/>
      <c r="K661" s="44" t="s">
        <v>963</v>
      </c>
      <c r="L661" s="2" t="s">
        <v>1867</v>
      </c>
      <c r="M661" s="44"/>
      <c r="N661" s="44"/>
      <c r="O661" s="44"/>
      <c r="P661" s="44"/>
      <c r="Q661" s="557" t="str">
        <f>CONCATENATE(scheduleapr[[#This Row],[OD]],"-",scheduleapr[[#This Row],[ID]],"-",scheduleapr[[#This Row],[TICKNESS]],"-",scheduleapr[[#This Row],[Grade]],"-",scheduleapr[[#This Row],[FC/NFC]])</f>
        <v>40-20-1.2-CRFH-PE</v>
      </c>
      <c r="R661" s="557" t="str">
        <f>_xlfn.CONCAT(scheduleapr[[#This Row],[Bucket]],"-",scheduleapr[[#This Row],[LENGTH]]/1000)</f>
        <v>40-20-1.2-CRFH-PE-0.86</v>
      </c>
      <c r="S661" s="557">
        <f>COUNTIF(scheduleapr[CTL Bucket],scheduleapr[[#This Row],[CTL Bucket]])</f>
        <v>5</v>
      </c>
      <c r="T661" s="2" t="s">
        <v>1816</v>
      </c>
      <c r="U661" s="2">
        <f>_xlfn.IFNA(VLOOKUP(scheduleapr[[#This Row],[Bucket]],salesforecast[[#All],[Bucket2]:[8406 Stock]],19,0),0)</f>
        <v>5.6431899999999997</v>
      </c>
      <c r="V661" s="562">
        <f>_xlfn.IFNA(VLOOKUP(scheduleapr[[#This Row],[Bucket]],salesforecast[[#All],[Bucket2]:[8406 Stock]],20,0),0)+_xlfn.IFNA(VLOOKUP(scheduleapr[[#This Row],[Bucket]],salesforecast[[#All],[Bucket2]:[8406 Stock]],17,0),0)</f>
        <v>0</v>
      </c>
      <c r="W661" s="557"/>
      <c r="X661" s="1">
        <v>38.1</v>
      </c>
      <c r="Y661" s="1">
        <v>40</v>
      </c>
      <c r="Z661" s="1">
        <v>20</v>
      </c>
      <c r="AA661" s="1">
        <v>1.2</v>
      </c>
      <c r="AB661" s="24">
        <v>860</v>
      </c>
      <c r="AC661" s="24" t="s">
        <v>397</v>
      </c>
      <c r="AD661" s="24"/>
      <c r="AE661" s="24"/>
      <c r="AF661" s="2">
        <v>2000</v>
      </c>
      <c r="AG661" s="2"/>
      <c r="AH661" s="2" cm="1">
        <f t="array" ref="AH6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661" s="4">
        <f>scheduleapr[[#This Row],[SCHEDULE in nos]]-scheduleapr[[#This Row],[DISPATCH]]</f>
        <v>-12000</v>
      </c>
      <c r="AJ661" s="1">
        <f>(3.14*(scheduleapr[[#This Row],[ACTUAL OD]]-scheduleapr[[#This Row],[TICKNESS]])*scheduleapr[[#This Row],[TICKNESS]]*scheduleapr[[#This Row],[LENGTH]]*7.85)/1000000*scheduleapr[[#This Row],[SCHEDULE in nos]]/1000</f>
        <v>1.8773072784</v>
      </c>
      <c r="AK661" s="1">
        <f>(3.14*(scheduleapr[[#This Row],[ACTUAL OD]]-scheduleapr[[#This Row],[TICKNESS]])*scheduleapr[[#This Row],[TICKNESS]]*scheduleapr[[#This Row],[LENGTH]]*7.85)/1000000*scheduleapr[[#This Row],[DISPATCH]]/1000</f>
        <v>13.1411509488</v>
      </c>
      <c r="AL661" s="1">
        <f t="shared" si="23"/>
        <v>-11.2638436704</v>
      </c>
      <c r="AM661" s="1">
        <f>scheduleapr[[#This Row],[SCHEDULE in nos]]/scheduleapr[[#This Row],[SCHEDULE IN MT]]*scheduleapr[[#This Row],[CTL Stock]]</f>
        <v>4069.7865969558588</v>
      </c>
      <c r="AN661" s="1">
        <f>SUMIFS(stock[MT],stock[Bucket],scheduleapr[[#This Row],[Bucket]],stock[CTL Bucket],scheduleapr[[#This Row],[CTL Bucket]],stock[Plant],"0789")</f>
        <v>3.8201200000000002</v>
      </c>
      <c r="AO661" s="1"/>
      <c r="AP661" s="1">
        <f>SUMIFS(stock[MT],stock[Bucket],scheduleapr[[#This Row],[Bucket]],stock[LL or CTL],"LL")</f>
        <v>31.079670999999998</v>
      </c>
      <c r="AQ661" s="1">
        <f>+SUMIFS(wip[Stock(Net Wt)],wip[Bucket],scheduleapr[[#This Row],[Bucket]])/1000</f>
        <v>129.15199999999999</v>
      </c>
      <c r="AR661" s="1">
        <f t="shared" si="22"/>
        <v>-1.9428127216000002</v>
      </c>
      <c r="AS661" s="118"/>
    </row>
    <row r="662" spans="1:45" x14ac:dyDescent="0.25">
      <c r="A662" s="30">
        <v>658</v>
      </c>
      <c r="B662" s="5" t="s">
        <v>1816</v>
      </c>
      <c r="C662" s="2" t="s">
        <v>306</v>
      </c>
      <c r="D662" s="2" t="s">
        <v>2104</v>
      </c>
      <c r="E662" s="2">
        <v>188595</v>
      </c>
      <c r="F662" s="523">
        <v>3572051</v>
      </c>
      <c r="G662" s="2" t="str">
        <f>_xlfn.CONCAT(scheduleapr[[#This Row],[CUSTOMER CODE]],"-",scheduleapr[[#This Row],[MATERIAL NO]])</f>
        <v>188595-3572051</v>
      </c>
      <c r="H662" s="523" t="s">
        <v>484</v>
      </c>
      <c r="I662" s="2" t="s">
        <v>229</v>
      </c>
      <c r="J662" s="2"/>
      <c r="K662" s="44" t="s">
        <v>963</v>
      </c>
      <c r="L662" s="2"/>
      <c r="M662" s="44"/>
      <c r="N662" s="2"/>
      <c r="O662" s="2"/>
      <c r="P662" s="2"/>
      <c r="Q662" s="557" t="str">
        <f>CONCATENATE(scheduleapr[[#This Row],[OD]],"-",scheduleapr[[#This Row],[ID]],"-",scheduleapr[[#This Row],[TICKNESS]],"-",scheduleapr[[#This Row],[Grade]],"-",scheduleapr[[#This Row],[FC/NFC]])</f>
        <v>40-20-1.2-CRFH-PE</v>
      </c>
      <c r="R662" s="557" t="str">
        <f>_xlfn.CONCAT(scheduleapr[[#This Row],[Bucket]],"-",scheduleapr[[#This Row],[LENGTH]]/1000)</f>
        <v>40-20-1.2-CRFH-PE-0.86</v>
      </c>
      <c r="S662" s="2"/>
      <c r="T662" s="2"/>
      <c r="U662" s="2">
        <f>_xlfn.IFNA(VLOOKUP(scheduleapr[[#This Row],[Bucket]],salesforecast[[#All],[Bucket2]:[8406 Stock]],19,0),0)</f>
        <v>5.6431899999999997</v>
      </c>
      <c r="V662" s="562">
        <f>_xlfn.IFNA(VLOOKUP(scheduleapr[[#This Row],[Bucket]],salesforecast[[#All],[Bucket2]:[8406 Stock]],20,0),0)+_xlfn.IFNA(VLOOKUP(scheduleapr[[#This Row],[Bucket]],salesforecast[[#All],[Bucket2]:[8406 Stock]],17,0),0)</f>
        <v>0</v>
      </c>
      <c r="W662" s="2"/>
      <c r="X662" s="1">
        <v>38.1</v>
      </c>
      <c r="Y662" s="1">
        <v>40</v>
      </c>
      <c r="Z662" s="1">
        <v>20</v>
      </c>
      <c r="AA662" s="1">
        <v>1.2</v>
      </c>
      <c r="AB662" s="24">
        <v>860</v>
      </c>
      <c r="AC662" s="24" t="s">
        <v>397</v>
      </c>
      <c r="AD662" s="24"/>
      <c r="AE662" s="24"/>
      <c r="AF662" s="2">
        <v>2000</v>
      </c>
      <c r="AG662" s="2"/>
      <c r="AH662" s="2" cm="1">
        <f t="array" ref="AH6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662" s="4">
        <f>scheduleapr[[#This Row],[SCHEDULE in nos]]-scheduleapr[[#This Row],[DISPATCH]]</f>
        <v>-12000</v>
      </c>
      <c r="AJ662" s="1">
        <f>(3.14*(scheduleapr[[#This Row],[ACTUAL OD]]-scheduleapr[[#This Row],[TICKNESS]])*scheduleapr[[#This Row],[TICKNESS]]*scheduleapr[[#This Row],[LENGTH]]*7.85)/1000000*scheduleapr[[#This Row],[SCHEDULE in nos]]/1000</f>
        <v>1.8773072784</v>
      </c>
      <c r="AK662" s="1">
        <f>(3.14*(scheduleapr[[#This Row],[ACTUAL OD]]-scheduleapr[[#This Row],[TICKNESS]])*scheduleapr[[#This Row],[TICKNESS]]*scheduleapr[[#This Row],[LENGTH]]*7.85)/1000000*scheduleapr[[#This Row],[DISPATCH]]/1000</f>
        <v>13.1411509488</v>
      </c>
      <c r="AL662" s="1">
        <f t="shared" si="23"/>
        <v>-11.2638436704</v>
      </c>
      <c r="AM662" s="1">
        <f>scheduleapr[[#This Row],[SCHEDULE in nos]]/scheduleapr[[#This Row],[SCHEDULE IN MT]]*scheduleapr[[#This Row],[CTL Stock]]</f>
        <v>4069.7865969558588</v>
      </c>
      <c r="AN662" s="1">
        <f>SUMIFS(stock[MT],stock[Bucket],scheduleapr[[#This Row],[Bucket]],stock[CTL Bucket],scheduleapr[[#This Row],[CTL Bucket]],stock[Plant],"0789")</f>
        <v>3.8201200000000002</v>
      </c>
      <c r="AO662" s="1"/>
      <c r="AP662" s="1">
        <f>SUMIFS(stock[MT],stock[Bucket],scheduleapr[[#This Row],[Bucket]],stock[LL or CTL],"LL")</f>
        <v>31.079670999999998</v>
      </c>
      <c r="AQ662" s="1">
        <f>+SUMIFS(wip[Stock(Net Wt)],wip[Bucket],scheduleapr[[#This Row],[Bucket]])/1000</f>
        <v>129.15199999999999</v>
      </c>
      <c r="AR662" s="1">
        <f t="shared" si="22"/>
        <v>-1.9428127216000002</v>
      </c>
      <c r="AS662" s="118"/>
    </row>
    <row r="663" spans="1:45" x14ac:dyDescent="0.25">
      <c r="A663" s="30">
        <v>526</v>
      </c>
      <c r="B663" s="5" t="s">
        <v>1816</v>
      </c>
      <c r="C663" s="44" t="s">
        <v>304</v>
      </c>
      <c r="D663" s="2" t="s">
        <v>2104</v>
      </c>
      <c r="E663" s="2">
        <v>188595</v>
      </c>
      <c r="F663" s="9">
        <v>3233555</v>
      </c>
      <c r="G663" s="2" t="str">
        <f>_xlfn.CONCAT(scheduleapr[[#This Row],[CUSTOMER CODE]],"-",scheduleapr[[#This Row],[MATERIAL NO]])</f>
        <v>188595-3233555</v>
      </c>
      <c r="H663" s="2" t="s">
        <v>482</v>
      </c>
      <c r="I663" s="2" t="s">
        <v>229</v>
      </c>
      <c r="J663" s="44"/>
      <c r="K663" s="44" t="s">
        <v>963</v>
      </c>
      <c r="L663" s="2" t="s">
        <v>1867</v>
      </c>
      <c r="M663" s="44"/>
      <c r="N663" s="44"/>
      <c r="O663" s="44"/>
      <c r="P663" s="44"/>
      <c r="Q663" s="557" t="str">
        <f>CONCATENATE(scheduleapr[[#This Row],[OD]],"-",scheduleapr[[#This Row],[ID]],"-",scheduleapr[[#This Row],[TICKNESS]],"-",scheduleapr[[#This Row],[Grade]],"-",scheduleapr[[#This Row],[FC/NFC]])</f>
        <v>40-20-1.2-CRFH-PE</v>
      </c>
      <c r="R663" s="557" t="str">
        <f>_xlfn.CONCAT(scheduleapr[[#This Row],[Bucket]],"-",scheduleapr[[#This Row],[LENGTH]]/1000)</f>
        <v>40-20-1.2-CRFH-PE-1.12</v>
      </c>
      <c r="S663" s="557">
        <f>COUNTIF(scheduleapr[CTL Bucket],scheduleapr[[#This Row],[CTL Bucket]])</f>
        <v>5</v>
      </c>
      <c r="T663" s="2" t="s">
        <v>1816</v>
      </c>
      <c r="U663" s="2">
        <f>_xlfn.IFNA(VLOOKUP(scheduleapr[[#This Row],[Bucket]],salesforecast[[#All],[Bucket2]:[8406 Stock]],19,0),0)</f>
        <v>5.6431899999999997</v>
      </c>
      <c r="V663" s="562">
        <f>_xlfn.IFNA(VLOOKUP(scheduleapr[[#This Row],[Bucket]],salesforecast[[#All],[Bucket2]:[8406 Stock]],20,0),0)+_xlfn.IFNA(VLOOKUP(scheduleapr[[#This Row],[Bucket]],salesforecast[[#All],[Bucket2]:[8406 Stock]],17,0),0)</f>
        <v>0</v>
      </c>
      <c r="W663" s="557"/>
      <c r="X663" s="1">
        <v>38.1</v>
      </c>
      <c r="Y663" s="1">
        <v>40</v>
      </c>
      <c r="Z663" s="1">
        <v>20</v>
      </c>
      <c r="AA663" s="1">
        <v>1.2</v>
      </c>
      <c r="AB663" s="24">
        <v>1120</v>
      </c>
      <c r="AC663" s="24" t="s">
        <v>397</v>
      </c>
      <c r="AD663" s="24"/>
      <c r="AE663" s="24"/>
      <c r="AF663" s="4">
        <v>24000</v>
      </c>
      <c r="AG663" s="4"/>
      <c r="AH663" s="2" cm="1">
        <f t="array" ref="AH6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663" s="4">
        <f>scheduleapr[[#This Row],[SCHEDULE in nos]]-scheduleapr[[#This Row],[DISPATCH]]</f>
        <v>10000</v>
      </c>
      <c r="AJ663" s="1">
        <f>(3.14*(scheduleapr[[#This Row],[ACTUAL OD]]-scheduleapr[[#This Row],[TICKNESS]])*scheduleapr[[#This Row],[TICKNESS]]*scheduleapr[[#This Row],[LENGTH]]*7.85)/1000000*scheduleapr[[#This Row],[SCHEDULE in nos]]/1000</f>
        <v>29.338383513599993</v>
      </c>
      <c r="AK663" s="1">
        <f>(3.14*(scheduleapr[[#This Row],[ACTUAL OD]]-scheduleapr[[#This Row],[TICKNESS]])*scheduleapr[[#This Row],[TICKNESS]]*scheduleapr[[#This Row],[LENGTH]]*7.85)/1000000*scheduleapr[[#This Row],[DISPATCH]]/1000</f>
        <v>17.114057049599996</v>
      </c>
      <c r="AL663" s="1">
        <f t="shared" si="23"/>
        <v>12.224326463999997</v>
      </c>
      <c r="AM663" s="1">
        <f>scheduleapr[[#This Row],[SCHEDULE in nos]]/scheduleapr[[#This Row],[SCHEDULE IN MT]]*scheduleapr[[#This Row],[CTL Stock]]</f>
        <v>2829.9833207072315</v>
      </c>
      <c r="AN663" s="1">
        <f>SUMIFS(stock[MT],stock[Bucket],scheduleapr[[#This Row],[Bucket]],stock[CTL Bucket],scheduleapr[[#This Row],[CTL Bucket]],stock[Plant],"0789")</f>
        <v>3.4594640000000005</v>
      </c>
      <c r="AO663" s="1"/>
      <c r="AP663" s="1">
        <f>SUMIFS(stock[MT],stock[Bucket],scheduleapr[[#This Row],[Bucket]],stock[LL or CTL],"LL")</f>
        <v>31.079670999999998</v>
      </c>
      <c r="AQ663" s="1">
        <f>+SUMIFS(wip[Stock(Net Wt)],wip[Bucket],scheduleapr[[#This Row],[Bucket]])/1000</f>
        <v>129.15199999999999</v>
      </c>
      <c r="AR663" s="1">
        <f t="shared" si="22"/>
        <v>25.878919513599993</v>
      </c>
      <c r="AS663" s="118"/>
    </row>
    <row r="664" spans="1:45" x14ac:dyDescent="0.25">
      <c r="A664" s="30">
        <v>560</v>
      </c>
      <c r="B664" s="5" t="s">
        <v>1816</v>
      </c>
      <c r="C664" s="2" t="s">
        <v>301</v>
      </c>
      <c r="D664" s="2" t="s">
        <v>2104</v>
      </c>
      <c r="E664" s="2">
        <v>188595</v>
      </c>
      <c r="F664" s="9">
        <v>3233555</v>
      </c>
      <c r="G664" s="2" t="str">
        <f>_xlfn.CONCAT(scheduleapr[[#This Row],[CUSTOMER CODE]],"-",scheduleapr[[#This Row],[MATERIAL NO]])</f>
        <v>188595-3233555</v>
      </c>
      <c r="H664" s="2" t="s">
        <v>482</v>
      </c>
      <c r="I664" s="2" t="s">
        <v>229</v>
      </c>
      <c r="J664" s="44"/>
      <c r="K664" s="44" t="s">
        <v>963</v>
      </c>
      <c r="L664" s="2" t="s">
        <v>1867</v>
      </c>
      <c r="M664" s="44"/>
      <c r="N664" s="44"/>
      <c r="O664" s="44"/>
      <c r="P664" s="44"/>
      <c r="Q664" s="557" t="str">
        <f>CONCATENATE(scheduleapr[[#This Row],[OD]],"-",scheduleapr[[#This Row],[ID]],"-",scheduleapr[[#This Row],[TICKNESS]],"-",scheduleapr[[#This Row],[Grade]],"-",scheduleapr[[#This Row],[FC/NFC]])</f>
        <v>40-20-1.2-CRFH-PE</v>
      </c>
      <c r="R664" s="557" t="str">
        <f>_xlfn.CONCAT(scheduleapr[[#This Row],[Bucket]],"-",scheduleapr[[#This Row],[LENGTH]]/1000)</f>
        <v>40-20-1.2-CRFH-PE-1.12</v>
      </c>
      <c r="S664" s="557">
        <f>COUNTIF(scheduleapr[CTL Bucket],scheduleapr[[#This Row],[CTL Bucket]])</f>
        <v>5</v>
      </c>
      <c r="T664" s="2" t="s">
        <v>1816</v>
      </c>
      <c r="U664" s="2">
        <f>_xlfn.IFNA(VLOOKUP(scheduleapr[[#This Row],[Bucket]],salesforecast[[#All],[Bucket2]:[8406 Stock]],19,0),0)</f>
        <v>5.6431899999999997</v>
      </c>
      <c r="V664" s="562">
        <f>_xlfn.IFNA(VLOOKUP(scheduleapr[[#This Row],[Bucket]],salesforecast[[#All],[Bucket2]:[8406 Stock]],20,0),0)+_xlfn.IFNA(VLOOKUP(scheduleapr[[#This Row],[Bucket]],salesforecast[[#All],[Bucket2]:[8406 Stock]],17,0),0)</f>
        <v>0</v>
      </c>
      <c r="W664" s="557"/>
      <c r="X664" s="1">
        <v>38.1</v>
      </c>
      <c r="Y664" s="1">
        <v>40</v>
      </c>
      <c r="Z664" s="1">
        <v>20</v>
      </c>
      <c r="AA664" s="1">
        <v>1.2</v>
      </c>
      <c r="AB664" s="24">
        <v>1120</v>
      </c>
      <c r="AC664" s="24" t="s">
        <v>397</v>
      </c>
      <c r="AD664" s="24"/>
      <c r="AE664" s="24"/>
      <c r="AF664" s="2">
        <v>2000</v>
      </c>
      <c r="AG664" s="2"/>
      <c r="AH664" s="2" cm="1">
        <f t="array" ref="AH6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664" s="4">
        <f>scheduleapr[[#This Row],[SCHEDULE in nos]]-scheduleapr[[#This Row],[DISPATCH]]</f>
        <v>-12000</v>
      </c>
      <c r="AJ664" s="1">
        <f>(3.14*(scheduleapr[[#This Row],[ACTUAL OD]]-scheduleapr[[#This Row],[TICKNESS]])*scheduleapr[[#This Row],[TICKNESS]]*scheduleapr[[#This Row],[LENGTH]]*7.85)/1000000*scheduleapr[[#This Row],[SCHEDULE in nos]]/1000</f>
        <v>2.4448652927999994</v>
      </c>
      <c r="AK664" s="1">
        <f>(3.14*(scheduleapr[[#This Row],[ACTUAL OD]]-scheduleapr[[#This Row],[TICKNESS]])*scheduleapr[[#This Row],[TICKNESS]]*scheduleapr[[#This Row],[LENGTH]]*7.85)/1000000*scheduleapr[[#This Row],[DISPATCH]]/1000</f>
        <v>17.114057049599996</v>
      </c>
      <c r="AL664" s="1">
        <f t="shared" si="23"/>
        <v>-14.669191756799997</v>
      </c>
      <c r="AM664" s="1">
        <f>scheduleapr[[#This Row],[SCHEDULE in nos]]/scheduleapr[[#This Row],[SCHEDULE IN MT]]*scheduleapr[[#This Row],[CTL Stock]]</f>
        <v>2829.9833207072315</v>
      </c>
      <c r="AN664" s="1">
        <f>SUMIFS(stock[MT],stock[Bucket],scheduleapr[[#This Row],[Bucket]],stock[CTL Bucket],scheduleapr[[#This Row],[CTL Bucket]],stock[Plant],"0789")</f>
        <v>3.4594640000000005</v>
      </c>
      <c r="AO664" s="1"/>
      <c r="AP664" s="1">
        <f>SUMIFS(stock[MT],stock[Bucket],scheduleapr[[#This Row],[Bucket]],stock[LL or CTL],"LL")</f>
        <v>31.079670999999998</v>
      </c>
      <c r="AQ664" s="1">
        <f>+SUMIFS(wip[Stock(Net Wt)],wip[Bucket],scheduleapr[[#This Row],[Bucket]])/1000</f>
        <v>129.15199999999999</v>
      </c>
      <c r="AR664" s="1">
        <f t="shared" si="22"/>
        <v>-1.0145987072000011</v>
      </c>
      <c r="AS664" s="118"/>
    </row>
    <row r="665" spans="1:45" x14ac:dyDescent="0.25">
      <c r="A665" s="30">
        <v>634</v>
      </c>
      <c r="B665" s="5" t="s">
        <v>1816</v>
      </c>
      <c r="C665" s="2" t="s">
        <v>306</v>
      </c>
      <c r="D665" s="2" t="s">
        <v>2104</v>
      </c>
      <c r="E665" s="2">
        <v>188595</v>
      </c>
      <c r="F665" s="523">
        <v>3233555</v>
      </c>
      <c r="G665" s="2" t="str">
        <f>_xlfn.CONCAT(scheduleapr[[#This Row],[CUSTOMER CODE]],"-",scheduleapr[[#This Row],[MATERIAL NO]])</f>
        <v>188595-3233555</v>
      </c>
      <c r="H665" s="523" t="s">
        <v>482</v>
      </c>
      <c r="I665" s="2" t="s">
        <v>229</v>
      </c>
      <c r="J665" s="2"/>
      <c r="K665" s="44" t="s">
        <v>963</v>
      </c>
      <c r="L665" s="2"/>
      <c r="M665" s="44"/>
      <c r="N665" s="2"/>
      <c r="O665" s="2"/>
      <c r="P665" s="2"/>
      <c r="Q665" s="557" t="str">
        <f>CONCATENATE(scheduleapr[[#This Row],[OD]],"-",scheduleapr[[#This Row],[ID]],"-",scheduleapr[[#This Row],[TICKNESS]],"-",scheduleapr[[#This Row],[Grade]],"-",scheduleapr[[#This Row],[FC/NFC]])</f>
        <v>40-20-1.2-CRFH-PE</v>
      </c>
      <c r="R665" s="557" t="str">
        <f>_xlfn.CONCAT(scheduleapr[[#This Row],[Bucket]],"-",scheduleapr[[#This Row],[LENGTH]]/1000)</f>
        <v>40-20-1.2-CRFH-PE-1.12</v>
      </c>
      <c r="S665" s="2"/>
      <c r="T665" s="2"/>
      <c r="U665" s="2">
        <f>_xlfn.IFNA(VLOOKUP(scheduleapr[[#This Row],[Bucket]],salesforecast[[#All],[Bucket2]:[8406 Stock]],19,0),0)</f>
        <v>5.6431899999999997</v>
      </c>
      <c r="V665" s="562">
        <f>_xlfn.IFNA(VLOOKUP(scheduleapr[[#This Row],[Bucket]],salesforecast[[#All],[Bucket2]:[8406 Stock]],20,0),0)+_xlfn.IFNA(VLOOKUP(scheduleapr[[#This Row],[Bucket]],salesforecast[[#All],[Bucket2]:[8406 Stock]],17,0),0)</f>
        <v>0</v>
      </c>
      <c r="W665" s="2"/>
      <c r="X665" s="1">
        <v>38.1</v>
      </c>
      <c r="Y665" s="1">
        <v>40</v>
      </c>
      <c r="Z665" s="1">
        <v>20</v>
      </c>
      <c r="AA665" s="1">
        <v>1.2</v>
      </c>
      <c r="AB665" s="24">
        <v>1120</v>
      </c>
      <c r="AC665" s="24" t="s">
        <v>397</v>
      </c>
      <c r="AD665" s="24"/>
      <c r="AE665" s="24"/>
      <c r="AF665" s="2">
        <v>2000</v>
      </c>
      <c r="AG665" s="2"/>
      <c r="AH665" s="2" cm="1">
        <f t="array" ref="AH6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14000</v>
      </c>
      <c r="AI665" s="4">
        <f>scheduleapr[[#This Row],[SCHEDULE in nos]]-scheduleapr[[#This Row],[DISPATCH]]</f>
        <v>-12000</v>
      </c>
      <c r="AJ665" s="1">
        <f>(3.14*(scheduleapr[[#This Row],[ACTUAL OD]]-scheduleapr[[#This Row],[TICKNESS]])*scheduleapr[[#This Row],[TICKNESS]]*scheduleapr[[#This Row],[LENGTH]]*7.85)/1000000*scheduleapr[[#This Row],[SCHEDULE in nos]]/1000</f>
        <v>2.4448652927999994</v>
      </c>
      <c r="AK665" s="1">
        <f>(3.14*(scheduleapr[[#This Row],[ACTUAL OD]]-scheduleapr[[#This Row],[TICKNESS]])*scheduleapr[[#This Row],[TICKNESS]]*scheduleapr[[#This Row],[LENGTH]]*7.85)/1000000*scheduleapr[[#This Row],[DISPATCH]]/1000</f>
        <v>17.114057049599996</v>
      </c>
      <c r="AL665" s="1">
        <f t="shared" si="23"/>
        <v>-14.669191756799997</v>
      </c>
      <c r="AM665" s="1">
        <f>scheduleapr[[#This Row],[SCHEDULE in nos]]/scheduleapr[[#This Row],[SCHEDULE IN MT]]*scheduleapr[[#This Row],[CTL Stock]]</f>
        <v>2829.9833207072315</v>
      </c>
      <c r="AN665" s="1">
        <f>SUMIFS(stock[MT],stock[Bucket],scheduleapr[[#This Row],[Bucket]],stock[CTL Bucket],scheduleapr[[#This Row],[CTL Bucket]],stock[Plant],"0789")</f>
        <v>3.4594640000000005</v>
      </c>
      <c r="AO665" s="1"/>
      <c r="AP665" s="1">
        <f>SUMIFS(stock[MT],stock[Bucket],scheduleapr[[#This Row],[Bucket]],stock[LL or CTL],"LL")</f>
        <v>31.079670999999998</v>
      </c>
      <c r="AQ665" s="1">
        <f>+SUMIFS(wip[Stock(Net Wt)],wip[Bucket],scheduleapr[[#This Row],[Bucket]])/1000</f>
        <v>129.15199999999999</v>
      </c>
      <c r="AR665" s="1">
        <f t="shared" si="22"/>
        <v>-1.0145987072000011</v>
      </c>
      <c r="AS665" s="118"/>
    </row>
    <row r="666" spans="1:45" x14ac:dyDescent="0.25">
      <c r="A666" s="30">
        <v>527</v>
      </c>
      <c r="B666" s="5" t="s">
        <v>1816</v>
      </c>
      <c r="C666" s="44" t="s">
        <v>304</v>
      </c>
      <c r="D666" s="2" t="s">
        <v>2104</v>
      </c>
      <c r="E666" s="2">
        <v>188595</v>
      </c>
      <c r="F666" s="9">
        <v>3233554</v>
      </c>
      <c r="G666" s="2" t="str">
        <f>_xlfn.CONCAT(scheduleapr[[#This Row],[CUSTOMER CODE]],"-",scheduleapr[[#This Row],[MATERIAL NO]])</f>
        <v>188595-3233554</v>
      </c>
      <c r="H666" s="2" t="s">
        <v>480</v>
      </c>
      <c r="I666" s="2" t="s">
        <v>229</v>
      </c>
      <c r="J666" s="44"/>
      <c r="K666" s="44" t="s">
        <v>963</v>
      </c>
      <c r="L666" s="2" t="s">
        <v>1867</v>
      </c>
      <c r="M666" s="44"/>
      <c r="N666" s="44"/>
      <c r="O666" s="44"/>
      <c r="P666" s="44"/>
      <c r="Q666" s="557" t="str">
        <f>CONCATENATE(scheduleapr[[#This Row],[OD]],"-",scheduleapr[[#This Row],[ID]],"-",scheduleapr[[#This Row],[TICKNESS]],"-",scheduleapr[[#This Row],[Grade]],"-",scheduleapr[[#This Row],[FC/NFC]])</f>
        <v>40-20-1.2-CRFH-PE</v>
      </c>
      <c r="R666" s="557" t="str">
        <f>_xlfn.CONCAT(scheduleapr[[#This Row],[Bucket]],"-",scheduleapr[[#This Row],[LENGTH]]/1000)</f>
        <v>40-20-1.2-CRFH-PE-1.246</v>
      </c>
      <c r="S666" s="557">
        <f>COUNTIF(scheduleapr[CTL Bucket],scheduleapr[[#This Row],[CTL Bucket]])</f>
        <v>5</v>
      </c>
      <c r="T666" s="2" t="s">
        <v>1816</v>
      </c>
      <c r="U666" s="2">
        <f>_xlfn.IFNA(VLOOKUP(scheduleapr[[#This Row],[Bucket]],salesforecast[[#All],[Bucket2]:[8406 Stock]],19,0),0)</f>
        <v>5.6431899999999997</v>
      </c>
      <c r="V666" s="562">
        <f>_xlfn.IFNA(VLOOKUP(scheduleapr[[#This Row],[Bucket]],salesforecast[[#All],[Bucket2]:[8406 Stock]],20,0),0)+_xlfn.IFNA(VLOOKUP(scheduleapr[[#This Row],[Bucket]],salesforecast[[#All],[Bucket2]:[8406 Stock]],17,0),0)</f>
        <v>0</v>
      </c>
      <c r="W666" s="557"/>
      <c r="X666" s="1">
        <v>38.1</v>
      </c>
      <c r="Y666" s="1">
        <v>40</v>
      </c>
      <c r="Z666" s="1">
        <v>20</v>
      </c>
      <c r="AA666" s="1">
        <v>1.2</v>
      </c>
      <c r="AB666" s="24">
        <v>1246</v>
      </c>
      <c r="AC666" s="24" t="s">
        <v>397</v>
      </c>
      <c r="AD666" s="24"/>
      <c r="AE666" s="24"/>
      <c r="AF666" s="4">
        <v>6000</v>
      </c>
      <c r="AG666" s="4"/>
      <c r="AH666" s="2" cm="1">
        <f t="array" ref="AH6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66" s="4">
        <f>scheduleapr[[#This Row],[SCHEDULE in nos]]-scheduleapr[[#This Row],[DISPATCH]]</f>
        <v>2500</v>
      </c>
      <c r="AJ666" s="1">
        <f>(3.14*(scheduleapr[[#This Row],[ACTUAL OD]]-scheduleapr[[#This Row],[TICKNESS]])*scheduleapr[[#This Row],[TICKNESS]]*scheduleapr[[#This Row],[LENGTH]]*7.85)/1000000*scheduleapr[[#This Row],[SCHEDULE in nos]]/1000</f>
        <v>8.1597379147199991</v>
      </c>
      <c r="AK666" s="1">
        <f>(3.14*(scheduleapr[[#This Row],[ACTUAL OD]]-scheduleapr[[#This Row],[TICKNESS]])*scheduleapr[[#This Row],[TICKNESS]]*scheduleapr[[#This Row],[LENGTH]]*7.85)/1000000*scheduleapr[[#This Row],[DISPATCH]]/1000</f>
        <v>4.7598471169199996</v>
      </c>
      <c r="AL666" s="1">
        <f t="shared" si="23"/>
        <v>3.3998907977999995</v>
      </c>
      <c r="AM666" s="1">
        <f>scheduleapr[[#This Row],[SCHEDULE in nos]]/scheduleapr[[#This Row],[SCHEDULE IN MT]]*scheduleapr[[#This Row],[CTL Stock]]</f>
        <v>1479.5342848231996</v>
      </c>
      <c r="AN666" s="1">
        <f>SUMIFS(stock[MT],stock[Bucket],scheduleapr[[#This Row],[Bucket]],stock[CTL Bucket],scheduleapr[[#This Row],[CTL Bucket]],stock[Plant],"0789")</f>
        <v>2.0121020000000001</v>
      </c>
      <c r="AO666" s="1"/>
      <c r="AP666" s="1">
        <f>SUMIFS(stock[MT],stock[Bucket],scheduleapr[[#This Row],[Bucket]],stock[LL or CTL],"LL")</f>
        <v>31.079670999999998</v>
      </c>
      <c r="AQ666" s="1">
        <f>+SUMIFS(wip[Stock(Net Wt)],wip[Bucket],scheduleapr[[#This Row],[Bucket]])/1000</f>
        <v>129.15199999999999</v>
      </c>
      <c r="AR666" s="1">
        <f t="shared" si="22"/>
        <v>6.1476359147199986</v>
      </c>
      <c r="AS666" s="118"/>
    </row>
    <row r="667" spans="1:45" x14ac:dyDescent="0.25">
      <c r="A667" s="30">
        <v>561</v>
      </c>
      <c r="B667" s="5" t="s">
        <v>1816</v>
      </c>
      <c r="C667" s="2" t="s">
        <v>301</v>
      </c>
      <c r="D667" s="2" t="s">
        <v>2104</v>
      </c>
      <c r="E667" s="2">
        <v>188595</v>
      </c>
      <c r="F667" s="9">
        <v>3233554</v>
      </c>
      <c r="G667" s="2" t="str">
        <f>_xlfn.CONCAT(scheduleapr[[#This Row],[CUSTOMER CODE]],"-",scheduleapr[[#This Row],[MATERIAL NO]])</f>
        <v>188595-3233554</v>
      </c>
      <c r="H667" s="2" t="s">
        <v>480</v>
      </c>
      <c r="I667" s="2" t="s">
        <v>229</v>
      </c>
      <c r="J667" s="44"/>
      <c r="K667" s="44" t="s">
        <v>963</v>
      </c>
      <c r="L667" s="2" t="s">
        <v>1867</v>
      </c>
      <c r="M667" s="44"/>
      <c r="N667" s="44"/>
      <c r="O667" s="44"/>
      <c r="P667" s="44"/>
      <c r="Q667" s="557" t="str">
        <f>CONCATENATE(scheduleapr[[#This Row],[OD]],"-",scheduleapr[[#This Row],[ID]],"-",scheduleapr[[#This Row],[TICKNESS]],"-",scheduleapr[[#This Row],[Grade]],"-",scheduleapr[[#This Row],[FC/NFC]])</f>
        <v>40-20-1.2-CRFH-PE</v>
      </c>
      <c r="R667" s="557" t="str">
        <f>_xlfn.CONCAT(scheduleapr[[#This Row],[Bucket]],"-",scheduleapr[[#This Row],[LENGTH]]/1000)</f>
        <v>40-20-1.2-CRFH-PE-1.246</v>
      </c>
      <c r="S667" s="557">
        <f>COUNTIF(scheduleapr[CTL Bucket],scheduleapr[[#This Row],[CTL Bucket]])</f>
        <v>5</v>
      </c>
      <c r="T667" s="2" t="s">
        <v>1816</v>
      </c>
      <c r="U667" s="2">
        <f>_xlfn.IFNA(VLOOKUP(scheduleapr[[#This Row],[Bucket]],salesforecast[[#All],[Bucket2]:[8406 Stock]],19,0),0)</f>
        <v>5.6431899999999997</v>
      </c>
      <c r="V667" s="562">
        <f>_xlfn.IFNA(VLOOKUP(scheduleapr[[#This Row],[Bucket]],salesforecast[[#All],[Bucket2]:[8406 Stock]],20,0),0)+_xlfn.IFNA(VLOOKUP(scheduleapr[[#This Row],[Bucket]],salesforecast[[#All],[Bucket2]:[8406 Stock]],17,0),0)</f>
        <v>0</v>
      </c>
      <c r="W667" s="557"/>
      <c r="X667" s="1">
        <v>38.1</v>
      </c>
      <c r="Y667" s="1">
        <v>40</v>
      </c>
      <c r="Z667" s="1">
        <v>20</v>
      </c>
      <c r="AA667" s="1">
        <v>1.2</v>
      </c>
      <c r="AB667" s="24">
        <v>1246</v>
      </c>
      <c r="AC667" s="24" t="s">
        <v>397</v>
      </c>
      <c r="AD667" s="24"/>
      <c r="AE667" s="24"/>
      <c r="AF667" s="2">
        <v>500</v>
      </c>
      <c r="AG667" s="2"/>
      <c r="AH667" s="2" cm="1">
        <f t="array" ref="AH6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67" s="4">
        <f>scheduleapr[[#This Row],[SCHEDULE in nos]]-scheduleapr[[#This Row],[DISPATCH]]</f>
        <v>-3000</v>
      </c>
      <c r="AJ667" s="1">
        <f>(3.14*(scheduleapr[[#This Row],[ACTUAL OD]]-scheduleapr[[#This Row],[TICKNESS]])*scheduleapr[[#This Row],[TICKNESS]]*scheduleapr[[#This Row],[LENGTH]]*7.85)/1000000*scheduleapr[[#This Row],[SCHEDULE in nos]]/1000</f>
        <v>0.67997815955999996</v>
      </c>
      <c r="AK667" s="1">
        <f>(3.14*(scheduleapr[[#This Row],[ACTUAL OD]]-scheduleapr[[#This Row],[TICKNESS]])*scheduleapr[[#This Row],[TICKNESS]]*scheduleapr[[#This Row],[LENGTH]]*7.85)/1000000*scheduleapr[[#This Row],[DISPATCH]]/1000</f>
        <v>4.7598471169199996</v>
      </c>
      <c r="AL667" s="1">
        <f t="shared" si="23"/>
        <v>-4.0798689573599995</v>
      </c>
      <c r="AM667" s="1">
        <f>scheduleapr[[#This Row],[SCHEDULE in nos]]/scheduleapr[[#This Row],[SCHEDULE IN MT]]*scheduleapr[[#This Row],[CTL Stock]]</f>
        <v>1479.5342848231996</v>
      </c>
      <c r="AN667" s="1">
        <f>SUMIFS(stock[MT],stock[Bucket],scheduleapr[[#This Row],[Bucket]],stock[CTL Bucket],scheduleapr[[#This Row],[CTL Bucket]],stock[Plant],"0789")</f>
        <v>2.0121020000000001</v>
      </c>
      <c r="AO667" s="1"/>
      <c r="AP667" s="1">
        <f>SUMIFS(stock[MT],stock[Bucket],scheduleapr[[#This Row],[Bucket]],stock[LL or CTL],"LL")</f>
        <v>31.079670999999998</v>
      </c>
      <c r="AQ667" s="1">
        <f>+SUMIFS(wip[Stock(Net Wt)],wip[Bucket],scheduleapr[[#This Row],[Bucket]])/1000</f>
        <v>129.15199999999999</v>
      </c>
      <c r="AR667" s="1">
        <f t="shared" si="22"/>
        <v>-1.33212384044</v>
      </c>
      <c r="AS667" s="118"/>
    </row>
    <row r="668" spans="1:45" x14ac:dyDescent="0.25">
      <c r="A668" s="30">
        <v>633</v>
      </c>
      <c r="B668" s="5" t="s">
        <v>1816</v>
      </c>
      <c r="C668" s="2" t="s">
        <v>306</v>
      </c>
      <c r="D668" s="2" t="s">
        <v>2104</v>
      </c>
      <c r="E668" s="2">
        <v>188595</v>
      </c>
      <c r="F668" s="523">
        <v>3233554</v>
      </c>
      <c r="G668" s="2" t="str">
        <f>_xlfn.CONCAT(scheduleapr[[#This Row],[CUSTOMER CODE]],"-",scheduleapr[[#This Row],[MATERIAL NO]])</f>
        <v>188595-3233554</v>
      </c>
      <c r="H668" s="523" t="s">
        <v>480</v>
      </c>
      <c r="I668" s="2" t="s">
        <v>229</v>
      </c>
      <c r="J668" s="2"/>
      <c r="K668" s="44" t="s">
        <v>963</v>
      </c>
      <c r="L668" s="2"/>
      <c r="M668" s="44"/>
      <c r="N668" s="2"/>
      <c r="O668" s="2"/>
      <c r="P668" s="2"/>
      <c r="Q668" s="557" t="str">
        <f>CONCATENATE(scheduleapr[[#This Row],[OD]],"-",scheduleapr[[#This Row],[ID]],"-",scheduleapr[[#This Row],[TICKNESS]],"-",scheduleapr[[#This Row],[Grade]],"-",scheduleapr[[#This Row],[FC/NFC]])</f>
        <v>40-20-1.2-CRFH-PE</v>
      </c>
      <c r="R668" s="557" t="str">
        <f>_xlfn.CONCAT(scheduleapr[[#This Row],[Bucket]],"-",scheduleapr[[#This Row],[LENGTH]]/1000)</f>
        <v>40-20-1.2-CRFH-PE-1.246</v>
      </c>
      <c r="S668" s="2"/>
      <c r="T668" s="2"/>
      <c r="U668" s="2">
        <f>_xlfn.IFNA(VLOOKUP(scheduleapr[[#This Row],[Bucket]],salesforecast[[#All],[Bucket2]:[8406 Stock]],19,0),0)</f>
        <v>5.6431899999999997</v>
      </c>
      <c r="V668" s="562">
        <f>_xlfn.IFNA(VLOOKUP(scheduleapr[[#This Row],[Bucket]],salesforecast[[#All],[Bucket2]:[8406 Stock]],20,0),0)+_xlfn.IFNA(VLOOKUP(scheduleapr[[#This Row],[Bucket]],salesforecast[[#All],[Bucket2]:[8406 Stock]],17,0),0)</f>
        <v>0</v>
      </c>
      <c r="W668" s="2"/>
      <c r="X668" s="1">
        <v>38.1</v>
      </c>
      <c r="Y668" s="1">
        <v>40</v>
      </c>
      <c r="Z668" s="1">
        <v>20</v>
      </c>
      <c r="AA668" s="1">
        <v>1.2</v>
      </c>
      <c r="AB668" s="24">
        <v>1246</v>
      </c>
      <c r="AC668" s="24" t="s">
        <v>397</v>
      </c>
      <c r="AD668" s="24"/>
      <c r="AE668" s="24"/>
      <c r="AF668" s="2">
        <v>500</v>
      </c>
      <c r="AG668" s="2"/>
      <c r="AH668" s="2" cm="1">
        <f t="array" ref="AH6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3500</v>
      </c>
      <c r="AI668" s="4">
        <f>scheduleapr[[#This Row],[SCHEDULE in nos]]-scheduleapr[[#This Row],[DISPATCH]]</f>
        <v>-3000</v>
      </c>
      <c r="AJ668" s="1">
        <f>(3.14*(scheduleapr[[#This Row],[ACTUAL OD]]-scheduleapr[[#This Row],[TICKNESS]])*scheduleapr[[#This Row],[TICKNESS]]*scheduleapr[[#This Row],[LENGTH]]*7.85)/1000000*scheduleapr[[#This Row],[SCHEDULE in nos]]/1000</f>
        <v>0.67997815955999996</v>
      </c>
      <c r="AK668" s="1">
        <f>(3.14*(scheduleapr[[#This Row],[ACTUAL OD]]-scheduleapr[[#This Row],[TICKNESS]])*scheduleapr[[#This Row],[TICKNESS]]*scheduleapr[[#This Row],[LENGTH]]*7.85)/1000000*scheduleapr[[#This Row],[DISPATCH]]/1000</f>
        <v>4.7598471169199996</v>
      </c>
      <c r="AL668" s="1">
        <f t="shared" si="23"/>
        <v>-4.0798689573599995</v>
      </c>
      <c r="AM668" s="1">
        <f>scheduleapr[[#This Row],[SCHEDULE in nos]]/scheduleapr[[#This Row],[SCHEDULE IN MT]]*scheduleapr[[#This Row],[CTL Stock]]</f>
        <v>1479.5342848231996</v>
      </c>
      <c r="AN668" s="1">
        <f>SUMIFS(stock[MT],stock[Bucket],scheduleapr[[#This Row],[Bucket]],stock[CTL Bucket],scheduleapr[[#This Row],[CTL Bucket]],stock[Plant],"0789")</f>
        <v>2.0121020000000001</v>
      </c>
      <c r="AO668" s="1"/>
      <c r="AP668" s="1">
        <f>SUMIFS(stock[MT],stock[Bucket],scheduleapr[[#This Row],[Bucket]],stock[LL or CTL],"LL")</f>
        <v>31.079670999999998</v>
      </c>
      <c r="AQ668" s="1">
        <f>+SUMIFS(wip[Stock(Net Wt)],wip[Bucket],scheduleapr[[#This Row],[Bucket]])/1000</f>
        <v>129.15199999999999</v>
      </c>
      <c r="AR668" s="1">
        <f t="shared" si="22"/>
        <v>-1.33212384044</v>
      </c>
      <c r="AS668" s="118"/>
    </row>
    <row r="669" spans="1:45" x14ac:dyDescent="0.25">
      <c r="A669" s="30">
        <v>528</v>
      </c>
      <c r="B669" s="5" t="s">
        <v>1816</v>
      </c>
      <c r="C669" s="44" t="s">
        <v>304</v>
      </c>
      <c r="D669" s="2" t="s">
        <v>2104</v>
      </c>
      <c r="E669" s="2">
        <v>188595</v>
      </c>
      <c r="F669" s="9">
        <v>1940801</v>
      </c>
      <c r="G669" s="2" t="str">
        <f>_xlfn.CONCAT(scheduleapr[[#This Row],[CUSTOMER CODE]],"-",scheduleapr[[#This Row],[MATERIAL NO]])</f>
        <v>188595-1940801</v>
      </c>
      <c r="H669" s="2" t="s">
        <v>478</v>
      </c>
      <c r="I669" s="2" t="s">
        <v>229</v>
      </c>
      <c r="J669" s="44"/>
      <c r="K669" s="44" t="s">
        <v>963</v>
      </c>
      <c r="L669" s="2" t="s">
        <v>1867</v>
      </c>
      <c r="M669" s="44"/>
      <c r="N669" s="44"/>
      <c r="O669" s="44"/>
      <c r="P669" s="44"/>
      <c r="Q669" s="557" t="str">
        <f>CONCATENATE(scheduleapr[[#This Row],[OD]],"-",scheduleapr[[#This Row],[ID]],"-",scheduleapr[[#This Row],[TICKNESS]],"-",scheduleapr[[#This Row],[Grade]],"-",scheduleapr[[#This Row],[FC/NFC]])</f>
        <v>40-20-1.2-CRFH-PE</v>
      </c>
      <c r="R669" s="557" t="str">
        <f>_xlfn.CONCAT(scheduleapr[[#This Row],[Bucket]],"-",scheduleapr[[#This Row],[LENGTH]]/1000)</f>
        <v>40-20-1.2-CRFH-PE-1.31</v>
      </c>
      <c r="S669" s="557">
        <f>COUNTIF(scheduleapr[CTL Bucket],scheduleapr[[#This Row],[CTL Bucket]])</f>
        <v>5</v>
      </c>
      <c r="T669" s="2" t="s">
        <v>1816</v>
      </c>
      <c r="U669" s="2">
        <f>_xlfn.IFNA(VLOOKUP(scheduleapr[[#This Row],[Bucket]],salesforecast[[#All],[Bucket2]:[8406 Stock]],19,0),0)</f>
        <v>5.6431899999999997</v>
      </c>
      <c r="V669" s="562">
        <f>_xlfn.IFNA(VLOOKUP(scheduleapr[[#This Row],[Bucket]],salesforecast[[#All],[Bucket2]:[8406 Stock]],20,0),0)+_xlfn.IFNA(VLOOKUP(scheduleapr[[#This Row],[Bucket]],salesforecast[[#All],[Bucket2]:[8406 Stock]],17,0),0)</f>
        <v>0</v>
      </c>
      <c r="W669" s="557"/>
      <c r="X669" s="1">
        <v>38.1</v>
      </c>
      <c r="Y669" s="1">
        <v>40</v>
      </c>
      <c r="Z669" s="1">
        <v>20</v>
      </c>
      <c r="AA669" s="1">
        <v>1.2</v>
      </c>
      <c r="AB669" s="24">
        <v>1310</v>
      </c>
      <c r="AC669" s="24" t="s">
        <v>397</v>
      </c>
      <c r="AD669" s="24"/>
      <c r="AE669" s="24"/>
      <c r="AF669" s="4">
        <v>18000</v>
      </c>
      <c r="AG669" s="4"/>
      <c r="AH669" s="2" cm="1">
        <f t="array" ref="AH6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10500</v>
      </c>
      <c r="AI669" s="4">
        <f>scheduleapr[[#This Row],[SCHEDULE in nos]]-scheduleapr[[#This Row],[DISPATCH]]</f>
        <v>7500</v>
      </c>
      <c r="AJ669" s="1">
        <f>(3.14*(scheduleapr[[#This Row],[ACTUAL OD]]-scheduleapr[[#This Row],[TICKNESS]])*scheduleapr[[#This Row],[TICKNESS]]*scheduleapr[[#This Row],[LENGTH]]*7.85)/1000000*scheduleapr[[#This Row],[SCHEDULE in nos]]/1000</f>
        <v>25.736573037599996</v>
      </c>
      <c r="AK669" s="1">
        <f>(3.14*(scheduleapr[[#This Row],[ACTUAL OD]]-scheduleapr[[#This Row],[TICKNESS]])*scheduleapr[[#This Row],[TICKNESS]]*scheduleapr[[#This Row],[LENGTH]]*7.85)/1000000*scheduleapr[[#This Row],[DISPATCH]]/1000</f>
        <v>15.013000938599998</v>
      </c>
      <c r="AL669" s="1">
        <f t="shared" si="23"/>
        <v>10.723572098999998</v>
      </c>
      <c r="AM669" s="1">
        <f>scheduleapr[[#This Row],[SCHEDULE in nos]]/scheduleapr[[#This Row],[SCHEDULE IN MT]]*scheduleapr[[#This Row],[CTL Stock]]</f>
        <v>1531.716516507752</v>
      </c>
      <c r="AN669" s="1">
        <f>SUMIFS(stock[MT],stock[Bucket],scheduleapr[[#This Row],[Bucket]],stock[CTL Bucket],scheduleapr[[#This Row],[CTL Bucket]],stock[Plant],"0789")</f>
        <v>2.1900629999999999</v>
      </c>
      <c r="AO669" s="1"/>
      <c r="AP669" s="1">
        <f>SUMIFS(stock[MT],stock[Bucket],scheduleapr[[#This Row],[Bucket]],stock[LL or CTL],"LL")</f>
        <v>31.079670999999998</v>
      </c>
      <c r="AQ669" s="1">
        <f>+SUMIFS(wip[Stock(Net Wt)],wip[Bucket],scheduleapr[[#This Row],[Bucket]])/1000</f>
        <v>129.15199999999999</v>
      </c>
      <c r="AR669" s="1">
        <f t="shared" si="22"/>
        <v>23.546510037599997</v>
      </c>
      <c r="AS669" s="118"/>
    </row>
    <row r="670" spans="1:45" x14ac:dyDescent="0.25">
      <c r="A670" s="30">
        <v>562</v>
      </c>
      <c r="B670" s="5" t="s">
        <v>1816</v>
      </c>
      <c r="C670" s="2" t="s">
        <v>301</v>
      </c>
      <c r="D670" s="2" t="s">
        <v>2104</v>
      </c>
      <c r="E670" s="2">
        <v>188595</v>
      </c>
      <c r="F670" s="9">
        <v>1940801</v>
      </c>
      <c r="G670" s="2" t="str">
        <f>_xlfn.CONCAT(scheduleapr[[#This Row],[CUSTOMER CODE]],"-",scheduleapr[[#This Row],[MATERIAL NO]])</f>
        <v>188595-1940801</v>
      </c>
      <c r="H670" s="2" t="s">
        <v>478</v>
      </c>
      <c r="I670" s="2" t="s">
        <v>229</v>
      </c>
      <c r="J670" s="44"/>
      <c r="K670" s="44" t="s">
        <v>963</v>
      </c>
      <c r="L670" s="2" t="s">
        <v>1867</v>
      </c>
      <c r="M670" s="44"/>
      <c r="N670" s="44"/>
      <c r="O670" s="44"/>
      <c r="P670" s="44"/>
      <c r="Q670" s="557" t="str">
        <f>CONCATENATE(scheduleapr[[#This Row],[OD]],"-",scheduleapr[[#This Row],[ID]],"-",scheduleapr[[#This Row],[TICKNESS]],"-",scheduleapr[[#This Row],[Grade]],"-",scheduleapr[[#This Row],[FC/NFC]])</f>
        <v>40-20-1.2-CRFH-PE</v>
      </c>
      <c r="R670" s="557" t="str">
        <f>_xlfn.CONCAT(scheduleapr[[#This Row],[Bucket]],"-",scheduleapr[[#This Row],[LENGTH]]/1000)</f>
        <v>40-20-1.2-CRFH-PE-1.31</v>
      </c>
      <c r="S670" s="557">
        <f>COUNTIF(scheduleapr[CTL Bucket],scheduleapr[[#This Row],[CTL Bucket]])</f>
        <v>5</v>
      </c>
      <c r="T670" s="2" t="s">
        <v>1816</v>
      </c>
      <c r="U670" s="2">
        <f>_xlfn.IFNA(VLOOKUP(scheduleapr[[#This Row],[Bucket]],salesforecast[[#All],[Bucket2]:[8406 Stock]],19,0),0)</f>
        <v>5.6431899999999997</v>
      </c>
      <c r="V670" s="562">
        <f>_xlfn.IFNA(VLOOKUP(scheduleapr[[#This Row],[Bucket]],salesforecast[[#All],[Bucket2]:[8406 Stock]],20,0),0)+_xlfn.IFNA(VLOOKUP(scheduleapr[[#This Row],[Bucket]],salesforecast[[#All],[Bucket2]:[8406 Stock]],17,0),0)</f>
        <v>0</v>
      </c>
      <c r="W670" s="557"/>
      <c r="X670" s="1">
        <v>38.1</v>
      </c>
      <c r="Y670" s="1">
        <v>40</v>
      </c>
      <c r="Z670" s="1">
        <v>20</v>
      </c>
      <c r="AA670" s="1">
        <v>1.2</v>
      </c>
      <c r="AB670" s="24">
        <v>1310</v>
      </c>
      <c r="AC670" s="24" t="s">
        <v>397</v>
      </c>
      <c r="AD670" s="24"/>
      <c r="AE670" s="24"/>
      <c r="AF670" s="2">
        <v>1500</v>
      </c>
      <c r="AG670" s="2"/>
      <c r="AH670" s="2" cm="1">
        <f t="array" ref="AH6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10500</v>
      </c>
      <c r="AI670" s="4">
        <f>scheduleapr[[#This Row],[SCHEDULE in nos]]-scheduleapr[[#This Row],[DISPATCH]]</f>
        <v>-9000</v>
      </c>
      <c r="AJ670" s="1">
        <f>(3.14*(scheduleapr[[#This Row],[ACTUAL OD]]-scheduleapr[[#This Row],[TICKNESS]])*scheduleapr[[#This Row],[TICKNESS]]*scheduleapr[[#This Row],[LENGTH]]*7.85)/1000000*scheduleapr[[#This Row],[SCHEDULE in nos]]/1000</f>
        <v>2.1447144197999997</v>
      </c>
      <c r="AK670" s="1">
        <f>(3.14*(scheduleapr[[#This Row],[ACTUAL OD]]-scheduleapr[[#This Row],[TICKNESS]])*scheduleapr[[#This Row],[TICKNESS]]*scheduleapr[[#This Row],[LENGTH]]*7.85)/1000000*scheduleapr[[#This Row],[DISPATCH]]/1000</f>
        <v>15.013000938599998</v>
      </c>
      <c r="AL670" s="1">
        <f t="shared" si="23"/>
        <v>-12.868286518799998</v>
      </c>
      <c r="AM670" s="1">
        <f>scheduleapr[[#This Row],[SCHEDULE in nos]]/scheduleapr[[#This Row],[SCHEDULE IN MT]]*scheduleapr[[#This Row],[CTL Stock]]</f>
        <v>1531.716516507752</v>
      </c>
      <c r="AN670" s="1">
        <f>SUMIFS(stock[MT],stock[Bucket],scheduleapr[[#This Row],[Bucket]],stock[CTL Bucket],scheduleapr[[#This Row],[CTL Bucket]],stock[Plant],"0789")</f>
        <v>2.1900629999999999</v>
      </c>
      <c r="AO670" s="1"/>
      <c r="AP670" s="1">
        <f>SUMIFS(stock[MT],stock[Bucket],scheduleapr[[#This Row],[Bucket]],stock[LL or CTL],"LL")</f>
        <v>31.079670999999998</v>
      </c>
      <c r="AQ670" s="1">
        <f>+SUMIFS(wip[Stock(Net Wt)],wip[Bucket],scheduleapr[[#This Row],[Bucket]])/1000</f>
        <v>129.15199999999999</v>
      </c>
      <c r="AR670" s="1">
        <f t="shared" si="22"/>
        <v>-4.534858020000021E-2</v>
      </c>
      <c r="AS670" s="118"/>
    </row>
    <row r="671" spans="1:45" x14ac:dyDescent="0.25">
      <c r="A671" s="30">
        <v>632</v>
      </c>
      <c r="B671" s="5" t="s">
        <v>1816</v>
      </c>
      <c r="C671" s="2" t="s">
        <v>306</v>
      </c>
      <c r="D671" s="2" t="s">
        <v>2104</v>
      </c>
      <c r="E671" s="2">
        <v>188595</v>
      </c>
      <c r="F671" s="523">
        <v>1940801</v>
      </c>
      <c r="G671" s="2" t="str">
        <f>_xlfn.CONCAT(scheduleapr[[#This Row],[CUSTOMER CODE]],"-",scheduleapr[[#This Row],[MATERIAL NO]])</f>
        <v>188595-1940801</v>
      </c>
      <c r="H671" s="523" t="s">
        <v>478</v>
      </c>
      <c r="I671" s="2" t="s">
        <v>229</v>
      </c>
      <c r="J671" s="2"/>
      <c r="K671" s="44" t="s">
        <v>963</v>
      </c>
      <c r="L671" s="2"/>
      <c r="M671" s="44"/>
      <c r="N671" s="2"/>
      <c r="O671" s="2"/>
      <c r="P671" s="2"/>
      <c r="Q671" s="557" t="str">
        <f>CONCATENATE(scheduleapr[[#This Row],[OD]],"-",scheduleapr[[#This Row],[ID]],"-",scheduleapr[[#This Row],[TICKNESS]],"-",scheduleapr[[#This Row],[Grade]],"-",scheduleapr[[#This Row],[FC/NFC]])</f>
        <v>40-20-1.2-CRFH-PE</v>
      </c>
      <c r="R671" s="557" t="str">
        <f>_xlfn.CONCAT(scheduleapr[[#This Row],[Bucket]],"-",scheduleapr[[#This Row],[LENGTH]]/1000)</f>
        <v>40-20-1.2-CRFH-PE-1.31</v>
      </c>
      <c r="S671" s="2"/>
      <c r="T671" s="2"/>
      <c r="U671" s="2">
        <f>_xlfn.IFNA(VLOOKUP(scheduleapr[[#This Row],[Bucket]],salesforecast[[#All],[Bucket2]:[8406 Stock]],19,0),0)</f>
        <v>5.6431899999999997</v>
      </c>
      <c r="V671" s="562">
        <f>_xlfn.IFNA(VLOOKUP(scheduleapr[[#This Row],[Bucket]],salesforecast[[#All],[Bucket2]:[8406 Stock]],20,0),0)+_xlfn.IFNA(VLOOKUP(scheduleapr[[#This Row],[Bucket]],salesforecast[[#All],[Bucket2]:[8406 Stock]],17,0),0)</f>
        <v>0</v>
      </c>
      <c r="W671" s="2"/>
      <c r="X671" s="1">
        <v>38.1</v>
      </c>
      <c r="Y671" s="1">
        <v>40</v>
      </c>
      <c r="Z671" s="1">
        <v>20</v>
      </c>
      <c r="AA671" s="1">
        <v>1.2</v>
      </c>
      <c r="AB671" s="24">
        <v>1310</v>
      </c>
      <c r="AC671" s="24" t="s">
        <v>397</v>
      </c>
      <c r="AD671" s="24"/>
      <c r="AE671" s="24"/>
      <c r="AF671" s="2">
        <v>1500</v>
      </c>
      <c r="AG671" s="2"/>
      <c r="AH671" s="2" cm="1">
        <f t="array" ref="AH6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10500</v>
      </c>
      <c r="AI671" s="4">
        <f>scheduleapr[[#This Row],[SCHEDULE in nos]]-scheduleapr[[#This Row],[DISPATCH]]</f>
        <v>-9000</v>
      </c>
      <c r="AJ671" s="1">
        <f>(3.14*(scheduleapr[[#This Row],[ACTUAL OD]]-scheduleapr[[#This Row],[TICKNESS]])*scheduleapr[[#This Row],[TICKNESS]]*scheduleapr[[#This Row],[LENGTH]]*7.85)/1000000*scheduleapr[[#This Row],[SCHEDULE in nos]]/1000</f>
        <v>2.1447144197999997</v>
      </c>
      <c r="AK671" s="1">
        <f>(3.14*(scheduleapr[[#This Row],[ACTUAL OD]]-scheduleapr[[#This Row],[TICKNESS]])*scheduleapr[[#This Row],[TICKNESS]]*scheduleapr[[#This Row],[LENGTH]]*7.85)/1000000*scheduleapr[[#This Row],[DISPATCH]]/1000</f>
        <v>15.013000938599998</v>
      </c>
      <c r="AL671" s="1">
        <f t="shared" si="23"/>
        <v>-12.868286518799998</v>
      </c>
      <c r="AM671" s="1">
        <f>scheduleapr[[#This Row],[SCHEDULE in nos]]/scheduleapr[[#This Row],[SCHEDULE IN MT]]*scheduleapr[[#This Row],[CTL Stock]]</f>
        <v>1531.716516507752</v>
      </c>
      <c r="AN671" s="1">
        <f>SUMIFS(stock[MT],stock[Bucket],scheduleapr[[#This Row],[Bucket]],stock[CTL Bucket],scheduleapr[[#This Row],[CTL Bucket]],stock[Plant],"0789")</f>
        <v>2.1900629999999999</v>
      </c>
      <c r="AO671" s="1"/>
      <c r="AP671" s="1">
        <f>SUMIFS(stock[MT],stock[Bucket],scheduleapr[[#This Row],[Bucket]],stock[LL or CTL],"LL")</f>
        <v>31.079670999999998</v>
      </c>
      <c r="AQ671" s="1">
        <f>+SUMIFS(wip[Stock(Net Wt)],wip[Bucket],scheduleapr[[#This Row],[Bucket]])/1000</f>
        <v>129.15199999999999</v>
      </c>
      <c r="AR671" s="1">
        <f t="shared" si="22"/>
        <v>-4.534858020000021E-2</v>
      </c>
      <c r="AS671" s="118"/>
    </row>
    <row r="672" spans="1:45" x14ac:dyDescent="0.25">
      <c r="A672" s="30">
        <v>554</v>
      </c>
      <c r="B672" s="5" t="s">
        <v>1816</v>
      </c>
      <c r="C672" s="44" t="s">
        <v>301</v>
      </c>
      <c r="D672" s="2" t="s">
        <v>2104</v>
      </c>
      <c r="E672" s="44">
        <v>188595</v>
      </c>
      <c r="F672" s="574">
        <v>3938685</v>
      </c>
      <c r="G672" s="2" t="str">
        <f>_xlfn.CONCAT(scheduleapr[[#This Row],[CUSTOMER CODE]],"-",scheduleapr[[#This Row],[MATERIAL NO]])</f>
        <v>188595-3938685</v>
      </c>
      <c r="H672" s="2" t="s">
        <v>2123</v>
      </c>
      <c r="I672" s="2" t="s">
        <v>229</v>
      </c>
      <c r="J672" s="44"/>
      <c r="K672" s="44" t="s">
        <v>963</v>
      </c>
      <c r="L672" s="2" t="s">
        <v>1867</v>
      </c>
      <c r="M672" s="44"/>
      <c r="N672" s="44"/>
      <c r="O672" s="44"/>
      <c r="P672" s="44"/>
      <c r="Q672" s="557" t="str">
        <f>CONCATENATE(scheduleapr[[#This Row],[OD]],"-",scheduleapr[[#This Row],[ID]],"-",scheduleapr[[#This Row],[TICKNESS]],"-",scheduleapr[[#This Row],[Grade]],"-",scheduleapr[[#This Row],[FC/NFC]])</f>
        <v>40-40-1.2-CRFH-PE</v>
      </c>
      <c r="R672" s="557" t="str">
        <f>_xlfn.CONCAT(scheduleapr[[#This Row],[Bucket]],"-",scheduleapr[[#This Row],[LENGTH]]/1000)</f>
        <v>40-40-1.2-CRFH-PE-0.085</v>
      </c>
      <c r="S672" s="557">
        <f>COUNTIF(scheduleapr[CTL Bucket],scheduleapr[[#This Row],[CTL Bucket]])</f>
        <v>1</v>
      </c>
      <c r="T672" s="2" t="s">
        <v>1816</v>
      </c>
      <c r="U672" s="2">
        <f>_xlfn.IFNA(VLOOKUP(scheduleapr[[#This Row],[Bucket]],salesforecast[[#All],[Bucket2]:[8406 Stock]],19,0),0)</f>
        <v>0</v>
      </c>
      <c r="V672" s="562">
        <f>_xlfn.IFNA(VLOOKUP(scheduleapr[[#This Row],[Bucket]],salesforecast[[#All],[Bucket2]:[8406 Stock]],20,0),0)+_xlfn.IFNA(VLOOKUP(scheduleapr[[#This Row],[Bucket]],salesforecast[[#All],[Bucket2]:[8406 Stock]],17,0),0)</f>
        <v>0</v>
      </c>
      <c r="W672" s="557"/>
      <c r="X672" s="1">
        <v>50.8</v>
      </c>
      <c r="Y672" s="1">
        <v>40</v>
      </c>
      <c r="Z672" s="1">
        <v>40</v>
      </c>
      <c r="AA672" s="1">
        <v>1.2</v>
      </c>
      <c r="AB672" s="24">
        <v>85</v>
      </c>
      <c r="AC672" s="24" t="s">
        <v>397</v>
      </c>
      <c r="AD672" s="24"/>
      <c r="AE672" s="24"/>
      <c r="AF672" s="2">
        <v>1000</v>
      </c>
      <c r="AG672" s="2"/>
      <c r="AH672" s="2" cm="1">
        <f t="array" ref="AH6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2" s="4">
        <f>scheduleapr[[#This Row],[SCHEDULE in nos]]-scheduleapr[[#This Row],[DISPATCH]]</f>
        <v>1000</v>
      </c>
      <c r="AJ672" s="1">
        <f>(3.14*(scheduleapr[[#This Row],[ACTUAL OD]]-scheduleapr[[#This Row],[TICKNESS]])*scheduleapr[[#This Row],[TICKNESS]]*scheduleapr[[#This Row],[LENGTH]]*7.85)/1000000*scheduleapr[[#This Row],[SCHEDULE in nos]]/1000</f>
        <v>0.12470422079999999</v>
      </c>
      <c r="AK672" s="1">
        <f>(3.14*(scheduleapr[[#This Row],[ACTUAL OD]]-scheduleapr[[#This Row],[TICKNESS]])*scheduleapr[[#This Row],[TICKNESS]]*scheduleapr[[#This Row],[LENGTH]]*7.85)/1000000*scheduleapr[[#This Row],[DISPATCH]]/1000</f>
        <v>0</v>
      </c>
      <c r="AL672" s="1">
        <f t="shared" si="23"/>
        <v>0.12470422079999999</v>
      </c>
      <c r="AM672" s="1">
        <f>scheduleapr[[#This Row],[SCHEDULE in nos]]/scheduleapr[[#This Row],[SCHEDULE IN MT]]*scheduleapr[[#This Row],[CTL Stock]]</f>
        <v>68.963183000779395</v>
      </c>
      <c r="AN672" s="1">
        <f>SUMIFS(stock[MT],stock[Bucket],scheduleapr[[#This Row],[Bucket]],stock[CTL Bucket],scheduleapr[[#This Row],[CTL Bucket]],stock[Plant],"0789")</f>
        <v>8.6E-3</v>
      </c>
      <c r="AO672" s="1"/>
      <c r="AP672" s="1">
        <f>SUMIFS(stock[MT],stock[Bucket],scheduleapr[[#This Row],[Bucket]],stock[LL or CTL],"LL")</f>
        <v>1.450949</v>
      </c>
      <c r="AQ672" s="1">
        <f>+SUMIFS(wip[Stock(Net Wt)],wip[Bucket],scheduleapr[[#This Row],[Bucket]])/1000</f>
        <v>10.451000000000001</v>
      </c>
      <c r="AR672" s="1">
        <f t="shared" si="22"/>
        <v>0.11610422079999999</v>
      </c>
      <c r="AS672" s="118"/>
    </row>
    <row r="673" spans="1:45" x14ac:dyDescent="0.25">
      <c r="A673" s="30">
        <v>530</v>
      </c>
      <c r="B673" s="5" t="s">
        <v>1816</v>
      </c>
      <c r="C673" s="44" t="s">
        <v>304</v>
      </c>
      <c r="D673" s="2" t="s">
        <v>2104</v>
      </c>
      <c r="E673" s="2">
        <v>188595</v>
      </c>
      <c r="F673" s="523">
        <v>4151471</v>
      </c>
      <c r="G673" s="2" t="str">
        <f>_xlfn.CONCAT(scheduleapr[[#This Row],[CUSTOMER CODE]],"-",scheduleapr[[#This Row],[MATERIAL NO]])</f>
        <v>188595-4151471</v>
      </c>
      <c r="H673" s="2" t="s">
        <v>2124</v>
      </c>
      <c r="I673" s="2" t="s">
        <v>229</v>
      </c>
      <c r="J673" s="2"/>
      <c r="K673" s="2" t="s">
        <v>963</v>
      </c>
      <c r="L673" s="2"/>
      <c r="M673" s="2"/>
      <c r="N673" s="2"/>
      <c r="O673" s="2"/>
      <c r="P673" s="2"/>
      <c r="Q673" s="557" t="str">
        <f>CONCATENATE(scheduleapr[[#This Row],[OD]],"-",scheduleapr[[#This Row],[ID]],"-",scheduleapr[[#This Row],[TICKNESS]],"-",scheduleapr[[#This Row],[Grade]],"-",scheduleapr[[#This Row],[FC/NFC]])</f>
        <v>40-40-1.2-CRFH-PE</v>
      </c>
      <c r="R673" s="557" t="str">
        <f>_xlfn.CONCAT(scheduleapr[[#This Row],[Bucket]],"-",scheduleapr[[#This Row],[LENGTH]]/1000)</f>
        <v>40-40-1.2-CRFH-PE-0.115</v>
      </c>
      <c r="S673" s="557">
        <f>COUNTIF(scheduleapr[CTL Bucket],scheduleapr[[#This Row],[CTL Bucket]])</f>
        <v>1</v>
      </c>
      <c r="T673" s="2" t="s">
        <v>1816</v>
      </c>
      <c r="U673" s="2">
        <f>_xlfn.IFNA(VLOOKUP(scheduleapr[[#This Row],[Bucket]],salesforecast[[#All],[Bucket2]:[8406 Stock]],19,0),0)</f>
        <v>0</v>
      </c>
      <c r="V673" s="562">
        <f>_xlfn.IFNA(VLOOKUP(scheduleapr[[#This Row],[Bucket]],salesforecast[[#All],[Bucket2]:[8406 Stock]],20,0),0)+_xlfn.IFNA(VLOOKUP(scheduleapr[[#This Row],[Bucket]],salesforecast[[#All],[Bucket2]:[8406 Stock]],17,0),0)</f>
        <v>0</v>
      </c>
      <c r="W673" s="557"/>
      <c r="X673" s="1">
        <v>50.8</v>
      </c>
      <c r="Y673" s="1">
        <v>40</v>
      </c>
      <c r="Z673" s="1">
        <v>40</v>
      </c>
      <c r="AA673" s="1">
        <v>1.2</v>
      </c>
      <c r="AB673" s="24">
        <v>115</v>
      </c>
      <c r="AC673" s="24" t="s">
        <v>397</v>
      </c>
      <c r="AD673" s="24"/>
      <c r="AE673" s="24"/>
      <c r="AF673" s="4">
        <v>12000</v>
      </c>
      <c r="AG673" s="4"/>
      <c r="AH673" s="2" cm="1">
        <f t="array" ref="AH6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10000</v>
      </c>
      <c r="AI673" s="4">
        <f>scheduleapr[[#This Row],[SCHEDULE in nos]]-scheduleapr[[#This Row],[DISPATCH]]</f>
        <v>2000</v>
      </c>
      <c r="AJ673" s="1">
        <f>(3.14*(scheduleapr[[#This Row],[ACTUAL OD]]-scheduleapr[[#This Row],[TICKNESS]])*scheduleapr[[#This Row],[TICKNESS]]*scheduleapr[[#This Row],[LENGTH]]*7.85)/1000000*scheduleapr[[#This Row],[SCHEDULE in nos]]/1000</f>
        <v>2.0246097023999998</v>
      </c>
      <c r="AK673" s="1">
        <f>(3.14*(scheduleapr[[#This Row],[ACTUAL OD]]-scheduleapr[[#This Row],[TICKNESS]])*scheduleapr[[#This Row],[TICKNESS]]*scheduleapr[[#This Row],[LENGTH]]*7.85)/1000000*scheduleapr[[#This Row],[DISPATCH]]/1000</f>
        <v>1.687174752</v>
      </c>
      <c r="AL673" s="1">
        <f t="shared" si="23"/>
        <v>0.33743495039999982</v>
      </c>
      <c r="AM673" s="1">
        <f>scheduleapr[[#This Row],[SCHEDULE in nos]]/scheduleapr[[#This Row],[SCHEDULE IN MT]]*scheduleapr[[#This Row],[CTL Stock]]</f>
        <v>1065.7520792487535</v>
      </c>
      <c r="AN673" s="1">
        <f>SUMIFS(stock[MT],stock[Bucket],scheduleapr[[#This Row],[Bucket]],stock[CTL Bucket],scheduleapr[[#This Row],[CTL Bucket]],stock[Plant],"0789")</f>
        <v>0.17981099999999997</v>
      </c>
      <c r="AO673" s="1"/>
      <c r="AP673" s="1">
        <f>SUMIFS(stock[MT],stock[Bucket],scheduleapr[[#This Row],[Bucket]],stock[LL or CTL],"LL")</f>
        <v>1.450949</v>
      </c>
      <c r="AQ673" s="1">
        <f>+SUMIFS(wip[Stock(Net Wt)],wip[Bucket],scheduleapr[[#This Row],[Bucket]])/1000</f>
        <v>10.451000000000001</v>
      </c>
      <c r="AR673" s="1">
        <f t="shared" si="22"/>
        <v>1.8447987023999999</v>
      </c>
      <c r="AS673" s="118"/>
    </row>
    <row r="674" spans="1:45" x14ac:dyDescent="0.25">
      <c r="A674" s="30">
        <v>652</v>
      </c>
      <c r="B674" s="5" t="s">
        <v>1816</v>
      </c>
      <c r="C674" s="2" t="s">
        <v>306</v>
      </c>
      <c r="D674" s="2" t="s">
        <v>2104</v>
      </c>
      <c r="E674" s="2">
        <v>188595</v>
      </c>
      <c r="F674" s="523">
        <v>1940849</v>
      </c>
      <c r="G674" s="2" t="str">
        <f>_xlfn.CONCAT(scheduleapr[[#This Row],[CUSTOMER CODE]],"-",scheduleapr[[#This Row],[MATERIAL NO]])</f>
        <v>188595-1940849</v>
      </c>
      <c r="H674" s="523" t="s">
        <v>690</v>
      </c>
      <c r="I674" s="2" t="s">
        <v>229</v>
      </c>
      <c r="J674" s="2"/>
      <c r="K674" s="2" t="s">
        <v>963</v>
      </c>
      <c r="L674" s="2"/>
      <c r="M674" s="44"/>
      <c r="N674" s="2"/>
      <c r="O674" s="2"/>
      <c r="P674" s="2"/>
      <c r="Q674" s="557" t="str">
        <f>CONCATENATE(scheduleapr[[#This Row],[OD]],"-",scheduleapr[[#This Row],[ID]],"-",scheduleapr[[#This Row],[TICKNESS]],"-",scheduleapr[[#This Row],[Grade]],"-",scheduleapr[[#This Row],[FC/NFC]])</f>
        <v>40-40-1.2-CRFH-PE</v>
      </c>
      <c r="R674" s="557" t="str">
        <f>_xlfn.CONCAT(scheduleapr[[#This Row],[Bucket]],"-",scheduleapr[[#This Row],[LENGTH]]/1000)</f>
        <v>40-40-1.2-CRFH-PE-0.125</v>
      </c>
      <c r="S674" s="2"/>
      <c r="T674" s="2"/>
      <c r="U674" s="2">
        <f>_xlfn.IFNA(VLOOKUP(scheduleapr[[#This Row],[Bucket]],salesforecast[[#All],[Bucket2]:[8406 Stock]],19,0),0)</f>
        <v>0</v>
      </c>
      <c r="V674" s="562">
        <f>_xlfn.IFNA(VLOOKUP(scheduleapr[[#This Row],[Bucket]],salesforecast[[#All],[Bucket2]:[8406 Stock]],20,0),0)+_xlfn.IFNA(VLOOKUP(scheduleapr[[#This Row],[Bucket]],salesforecast[[#All],[Bucket2]:[8406 Stock]],17,0),0)</f>
        <v>0</v>
      </c>
      <c r="W674" s="2"/>
      <c r="X674" s="1">
        <v>50.8</v>
      </c>
      <c r="Y674" s="1">
        <v>40</v>
      </c>
      <c r="Z674" s="1">
        <v>40</v>
      </c>
      <c r="AA674" s="1">
        <v>1.2</v>
      </c>
      <c r="AB674" s="24">
        <v>125</v>
      </c>
      <c r="AC674" s="24" t="s">
        <v>397</v>
      </c>
      <c r="AD674" s="24"/>
      <c r="AE674" s="24"/>
      <c r="AF674" s="2"/>
      <c r="AG674" s="2"/>
      <c r="AH674" s="2" cm="1">
        <f t="array" ref="AH6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74" s="4">
        <f>scheduleapr[[#This Row],[SCHEDULE in nos]]-scheduleapr[[#This Row],[DISPATCH]]</f>
        <v>-1000</v>
      </c>
      <c r="AJ674" s="1">
        <f>(3.14*(scheduleapr[[#This Row],[ACTUAL OD]]-scheduleapr[[#This Row],[TICKNESS]])*scheduleapr[[#This Row],[TICKNESS]]*scheduleapr[[#This Row],[LENGTH]]*7.85)/1000000*scheduleapr[[#This Row],[SCHEDULE in nos]]/1000</f>
        <v>0</v>
      </c>
      <c r="AK674" s="1">
        <f>(3.14*(scheduleapr[[#This Row],[ACTUAL OD]]-scheduleapr[[#This Row],[TICKNESS]])*scheduleapr[[#This Row],[TICKNESS]]*scheduleapr[[#This Row],[LENGTH]]*7.85)/1000000*scheduleapr[[#This Row],[DISPATCH]]/1000</f>
        <v>0.18338855999999998</v>
      </c>
      <c r="AL674" s="1">
        <f t="shared" si="23"/>
        <v>-0.18338855999999998</v>
      </c>
      <c r="AM674" s="1" t="e">
        <f>scheduleapr[[#This Row],[SCHEDULE in nos]]/scheduleapr[[#This Row],[SCHEDULE IN MT]]*scheduleapr[[#This Row],[CTL Stock]]</f>
        <v>#DIV/0!</v>
      </c>
      <c r="AN674" s="1">
        <f>SUMIFS(stock[MT],stock[Bucket],scheduleapr[[#This Row],[Bucket]],stock[CTL Bucket],scheduleapr[[#This Row],[CTL Bucket]],stock[Plant],"0789")</f>
        <v>0.111</v>
      </c>
      <c r="AO674" s="1"/>
      <c r="AP674" s="1">
        <f>SUMIFS(stock[MT],stock[Bucket],scheduleapr[[#This Row],[Bucket]],stock[LL or CTL],"LL")</f>
        <v>1.450949</v>
      </c>
      <c r="AQ674" s="1">
        <f>+SUMIFS(wip[Stock(Net Wt)],wip[Bucket],scheduleapr[[#This Row],[Bucket]])/1000</f>
        <v>10.451000000000001</v>
      </c>
      <c r="AR674" s="1">
        <f t="shared" si="22"/>
        <v>-0.111</v>
      </c>
      <c r="AS674" s="118"/>
    </row>
    <row r="675" spans="1:45" x14ac:dyDescent="0.25">
      <c r="A675" s="30">
        <v>651</v>
      </c>
      <c r="B675" s="5" t="s">
        <v>1816</v>
      </c>
      <c r="C675" s="2" t="s">
        <v>306</v>
      </c>
      <c r="D675" s="2" t="s">
        <v>2104</v>
      </c>
      <c r="E675" s="2">
        <v>188595</v>
      </c>
      <c r="F675" s="523">
        <v>1940850</v>
      </c>
      <c r="G675" s="2" t="str">
        <f>_xlfn.CONCAT(scheduleapr[[#This Row],[CUSTOMER CODE]],"-",scheduleapr[[#This Row],[MATERIAL NO]])</f>
        <v>188595-1940850</v>
      </c>
      <c r="H675" s="523" t="s">
        <v>688</v>
      </c>
      <c r="I675" s="2" t="s">
        <v>229</v>
      </c>
      <c r="J675" s="2"/>
      <c r="K675" s="2" t="s">
        <v>963</v>
      </c>
      <c r="L675" s="2"/>
      <c r="M675" s="44"/>
      <c r="N675" s="2"/>
      <c r="O675" s="2"/>
      <c r="P675" s="2"/>
      <c r="Q675" s="557" t="str">
        <f>CONCATENATE(scheduleapr[[#This Row],[OD]],"-",scheduleapr[[#This Row],[ID]],"-",scheduleapr[[#This Row],[TICKNESS]],"-",scheduleapr[[#This Row],[Grade]],"-",scheduleapr[[#This Row],[FC/NFC]])</f>
        <v>40-40-1.2-CRFH-PE</v>
      </c>
      <c r="R675" s="557" t="str">
        <f>_xlfn.CONCAT(scheduleapr[[#This Row],[Bucket]],"-",scheduleapr[[#This Row],[LENGTH]]/1000)</f>
        <v>40-40-1.2-CRFH-PE-0.14</v>
      </c>
      <c r="S675" s="2"/>
      <c r="T675" s="2"/>
      <c r="U675" s="2">
        <f>_xlfn.IFNA(VLOOKUP(scheduleapr[[#This Row],[Bucket]],salesforecast[[#All],[Bucket2]:[8406 Stock]],19,0),0)</f>
        <v>0</v>
      </c>
      <c r="V675" s="562">
        <f>_xlfn.IFNA(VLOOKUP(scheduleapr[[#This Row],[Bucket]],salesforecast[[#All],[Bucket2]:[8406 Stock]],20,0),0)+_xlfn.IFNA(VLOOKUP(scheduleapr[[#This Row],[Bucket]],salesforecast[[#All],[Bucket2]:[8406 Stock]],17,0),0)</f>
        <v>0</v>
      </c>
      <c r="W675" s="2"/>
      <c r="X675" s="1">
        <v>50.8</v>
      </c>
      <c r="Y675" s="1">
        <v>40</v>
      </c>
      <c r="Z675" s="1">
        <v>40</v>
      </c>
      <c r="AA675" s="1">
        <v>1.2</v>
      </c>
      <c r="AB675" s="24">
        <v>140</v>
      </c>
      <c r="AC675" s="24" t="s">
        <v>397</v>
      </c>
      <c r="AD675" s="24"/>
      <c r="AE675" s="24"/>
      <c r="AF675" s="2"/>
      <c r="AG675" s="2"/>
      <c r="AH675" s="2" cm="1">
        <f t="array" ref="AH6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75" s="4">
        <f>scheduleapr[[#This Row],[SCHEDULE in nos]]-scheduleapr[[#This Row],[DISPATCH]]</f>
        <v>-1000</v>
      </c>
      <c r="AJ675" s="1">
        <f>(3.14*(scheduleapr[[#This Row],[ACTUAL OD]]-scheduleapr[[#This Row],[TICKNESS]])*scheduleapr[[#This Row],[TICKNESS]]*scheduleapr[[#This Row],[LENGTH]]*7.85)/1000000*scheduleapr[[#This Row],[SCHEDULE in nos]]/1000</f>
        <v>0</v>
      </c>
      <c r="AK675" s="1">
        <f>(3.14*(scheduleapr[[#This Row],[ACTUAL OD]]-scheduleapr[[#This Row],[TICKNESS]])*scheduleapr[[#This Row],[TICKNESS]]*scheduleapr[[#This Row],[LENGTH]]*7.85)/1000000*scheduleapr[[#This Row],[DISPATCH]]/1000</f>
        <v>0.2053951872</v>
      </c>
      <c r="AL675" s="1">
        <f t="shared" si="23"/>
        <v>-0.2053951872</v>
      </c>
      <c r="AM675" s="1" t="e">
        <f>scheduleapr[[#This Row],[SCHEDULE in nos]]/scheduleapr[[#This Row],[SCHEDULE IN MT]]*scheduleapr[[#This Row],[CTL Stock]]</f>
        <v>#DIV/0!</v>
      </c>
      <c r="AN675" s="1">
        <f>SUMIFS(stock[MT],stock[Bucket],scheduleapr[[#This Row],[Bucket]],stock[CTL Bucket],scheduleapr[[#This Row],[CTL Bucket]],stock[Plant],"0789")</f>
        <v>0</v>
      </c>
      <c r="AO675" s="1"/>
      <c r="AP675" s="1">
        <f>SUMIFS(stock[MT],stock[Bucket],scheduleapr[[#This Row],[Bucket]],stock[LL or CTL],"LL")</f>
        <v>1.450949</v>
      </c>
      <c r="AQ675" s="1">
        <f>+SUMIFS(wip[Stock(Net Wt)],wip[Bucket],scheduleapr[[#This Row],[Bucket]])/1000</f>
        <v>10.451000000000001</v>
      </c>
      <c r="AR675" s="1">
        <f t="shared" si="22"/>
        <v>0</v>
      </c>
      <c r="AS675" s="118"/>
    </row>
    <row r="676" spans="1:45" x14ac:dyDescent="0.25">
      <c r="A676" s="30">
        <v>529</v>
      </c>
      <c r="B676" s="5" t="s">
        <v>1816</v>
      </c>
      <c r="C676" s="44" t="s">
        <v>304</v>
      </c>
      <c r="D676" s="2" t="s">
        <v>2104</v>
      </c>
      <c r="E676" s="2">
        <v>188595</v>
      </c>
      <c r="F676" s="523">
        <v>3572055</v>
      </c>
      <c r="G676" s="2" t="str">
        <f>_xlfn.CONCAT(scheduleapr[[#This Row],[CUSTOMER CODE]],"-",scheduleapr[[#This Row],[MATERIAL NO]])</f>
        <v>188595-3572055</v>
      </c>
      <c r="H676" s="2" t="s">
        <v>2125</v>
      </c>
      <c r="I676" s="2" t="s">
        <v>229</v>
      </c>
      <c r="J676" s="2"/>
      <c r="K676" s="2" t="s">
        <v>963</v>
      </c>
      <c r="L676" s="2"/>
      <c r="M676" s="2"/>
      <c r="N676" s="2"/>
      <c r="O676" s="2"/>
      <c r="P676" s="2"/>
      <c r="Q676" s="557" t="str">
        <f>CONCATENATE(scheduleapr[[#This Row],[OD]],"-",scheduleapr[[#This Row],[ID]],"-",scheduleapr[[#This Row],[TICKNESS]],"-",scheduleapr[[#This Row],[Grade]],"-",scheduleapr[[#This Row],[FC/NFC]])</f>
        <v>40-40-1.2-CRFH-PE</v>
      </c>
      <c r="R676" s="557" t="str">
        <f>_xlfn.CONCAT(scheduleapr[[#This Row],[Bucket]],"-",scheduleapr[[#This Row],[LENGTH]]/1000)</f>
        <v>40-40-1.2-CRFH-PE-0.158</v>
      </c>
      <c r="S676" s="557">
        <f>COUNTIF(scheduleapr[CTL Bucket],scheduleapr[[#This Row],[CTL Bucket]])</f>
        <v>2</v>
      </c>
      <c r="T676" s="2" t="s">
        <v>1816</v>
      </c>
      <c r="U676" s="2">
        <f>_xlfn.IFNA(VLOOKUP(scheduleapr[[#This Row],[Bucket]],salesforecast[[#All],[Bucket2]:[8406 Stock]],19,0),0)</f>
        <v>0</v>
      </c>
      <c r="V676" s="562">
        <f>_xlfn.IFNA(VLOOKUP(scheduleapr[[#This Row],[Bucket]],salesforecast[[#All],[Bucket2]:[8406 Stock]],20,0),0)+_xlfn.IFNA(VLOOKUP(scheduleapr[[#This Row],[Bucket]],salesforecast[[#All],[Bucket2]:[8406 Stock]],17,0),0)</f>
        <v>0</v>
      </c>
      <c r="W676" s="557"/>
      <c r="X676" s="1">
        <v>50.8</v>
      </c>
      <c r="Y676" s="1">
        <v>40</v>
      </c>
      <c r="Z676" s="1">
        <v>40</v>
      </c>
      <c r="AA676" s="1">
        <v>1.2</v>
      </c>
      <c r="AB676" s="24">
        <v>158</v>
      </c>
      <c r="AC676" s="24" t="s">
        <v>397</v>
      </c>
      <c r="AD676" s="24"/>
      <c r="AE676" s="24"/>
      <c r="AF676" s="4">
        <v>24000</v>
      </c>
      <c r="AG676" s="4"/>
      <c r="AH676" s="2" cm="1">
        <f t="array" ref="AH6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20000</v>
      </c>
      <c r="AI676" s="4">
        <f>scheduleapr[[#This Row],[SCHEDULE in nos]]-scheduleapr[[#This Row],[DISPATCH]]</f>
        <v>4000</v>
      </c>
      <c r="AJ676" s="1">
        <f>(3.14*(scheduleapr[[#This Row],[ACTUAL OD]]-scheduleapr[[#This Row],[TICKNESS]])*scheduleapr[[#This Row],[TICKNESS]]*scheduleapr[[#This Row],[LENGTH]]*7.85)/1000000*scheduleapr[[#This Row],[SCHEDULE in nos]]/1000</f>
        <v>5.5632753561599992</v>
      </c>
      <c r="AK676" s="1">
        <f>(3.14*(scheduleapr[[#This Row],[ACTUAL OD]]-scheduleapr[[#This Row],[TICKNESS]])*scheduleapr[[#This Row],[TICKNESS]]*scheduleapr[[#This Row],[LENGTH]]*7.85)/1000000*scheduleapr[[#This Row],[DISPATCH]]/1000</f>
        <v>4.6360627968000001</v>
      </c>
      <c r="AL676" s="1">
        <f t="shared" si="23"/>
        <v>0.92721255935999913</v>
      </c>
      <c r="AM676" s="1">
        <f>scheduleapr[[#This Row],[SCHEDULE in nos]]/scheduleapr[[#This Row],[SCHEDULE IN MT]]*scheduleapr[[#This Row],[CTL Stock]]</f>
        <v>4008.8369840089917</v>
      </c>
      <c r="AN676" s="1">
        <f>SUMIFS(stock[MT],stock[Bucket],scheduleapr[[#This Row],[Bucket]],stock[CTL Bucket],scheduleapr[[#This Row],[CTL Bucket]],stock[Plant],"0789")</f>
        <v>0.929261</v>
      </c>
      <c r="AO676" s="1"/>
      <c r="AP676" s="1">
        <f>SUMIFS(stock[MT],stock[Bucket],scheduleapr[[#This Row],[Bucket]],stock[LL or CTL],"LL")</f>
        <v>1.450949</v>
      </c>
      <c r="AQ676" s="1">
        <f>+SUMIFS(wip[Stock(Net Wt)],wip[Bucket],scheduleapr[[#This Row],[Bucket]])/1000</f>
        <v>10.451000000000001</v>
      </c>
      <c r="AR676" s="1">
        <f t="shared" si="22"/>
        <v>4.6340143561599989</v>
      </c>
      <c r="AS676" s="118"/>
    </row>
    <row r="677" spans="1:45" x14ac:dyDescent="0.25">
      <c r="A677" s="30">
        <v>565</v>
      </c>
      <c r="B677" s="126" t="s">
        <v>1816</v>
      </c>
      <c r="C677" s="100" t="s">
        <v>301</v>
      </c>
      <c r="D677" s="2" t="s">
        <v>2104</v>
      </c>
      <c r="E677" s="48">
        <v>188595</v>
      </c>
      <c r="F677" s="549">
        <v>3572055</v>
      </c>
      <c r="G677" s="2" t="str">
        <f>_xlfn.CONCAT(scheduleapr[[#This Row],[CUSTOMER CODE]],"-",scheduleapr[[#This Row],[MATERIAL NO]])</f>
        <v>188595-3572055</v>
      </c>
      <c r="H677" s="100" t="s">
        <v>542</v>
      </c>
      <c r="I677" s="100" t="s">
        <v>229</v>
      </c>
      <c r="J677" s="100"/>
      <c r="K677" s="100" t="s">
        <v>963</v>
      </c>
      <c r="L677" s="100"/>
      <c r="M677" s="100"/>
      <c r="N677" s="100"/>
      <c r="O677" s="100"/>
      <c r="P677" s="100"/>
      <c r="Q677" s="557" t="str">
        <f>CONCATENATE(scheduleapr[[#This Row],[OD]],"-",scheduleapr[[#This Row],[ID]],"-",scheduleapr[[#This Row],[TICKNESS]],"-",scheduleapr[[#This Row],[Grade]],"-",scheduleapr[[#This Row],[FC/NFC]])</f>
        <v>40-40-1.2-CRFH-PE</v>
      </c>
      <c r="R677" s="557" t="str">
        <f>_xlfn.CONCAT(scheduleapr[[#This Row],[Bucket]],"-",scheduleapr[[#This Row],[LENGTH]]/1000)</f>
        <v>40-40-1.2-CRFH-PE-0.158</v>
      </c>
      <c r="S677" s="557">
        <f>COUNTIF(scheduleapr[CTL Bucket],scheduleapr[[#This Row],[CTL Bucket]])</f>
        <v>2</v>
      </c>
      <c r="T677" s="100" t="s">
        <v>1816</v>
      </c>
      <c r="U677" s="2">
        <f>_xlfn.IFNA(VLOOKUP(scheduleapr[[#This Row],[Bucket]],salesforecast[[#All],[Bucket2]:[8406 Stock]],19,0),0)</f>
        <v>0</v>
      </c>
      <c r="V677" s="562">
        <f>_xlfn.IFNA(VLOOKUP(scheduleapr[[#This Row],[Bucket]],salesforecast[[#All],[Bucket2]:[8406 Stock]],20,0),0)+_xlfn.IFNA(VLOOKUP(scheduleapr[[#This Row],[Bucket]],salesforecast[[#All],[Bucket2]:[8406 Stock]],17,0),0)</f>
        <v>0</v>
      </c>
      <c r="W677" s="565"/>
      <c r="X677" s="129">
        <v>50.8</v>
      </c>
      <c r="Y677" s="129">
        <v>40</v>
      </c>
      <c r="Z677" s="129">
        <v>40</v>
      </c>
      <c r="AA677" s="1">
        <v>1.2</v>
      </c>
      <c r="AB677" s="24">
        <v>158</v>
      </c>
      <c r="AC677" s="24" t="s">
        <v>397</v>
      </c>
      <c r="AD677" s="24"/>
      <c r="AE677" s="24"/>
      <c r="AF677" s="2">
        <v>2000</v>
      </c>
      <c r="AG677" s="2"/>
      <c r="AH677" s="2" cm="1">
        <f t="array" ref="AH6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20000</v>
      </c>
      <c r="AI677" s="4">
        <f>scheduleapr[[#This Row],[SCHEDULE in nos]]-scheduleapr[[#This Row],[DISPATCH]]</f>
        <v>-18000</v>
      </c>
      <c r="AJ677" s="1">
        <f>(3.14*(scheduleapr[[#This Row],[ACTUAL OD]]-scheduleapr[[#This Row],[TICKNESS]])*scheduleapr[[#This Row],[TICKNESS]]*scheduleapr[[#This Row],[LENGTH]]*7.85)/1000000*scheduleapr[[#This Row],[SCHEDULE in nos]]/1000</f>
        <v>0.46360627967999996</v>
      </c>
      <c r="AK677" s="1">
        <f>(3.14*(scheduleapr[[#This Row],[ACTUAL OD]]-scheduleapr[[#This Row],[TICKNESS]])*scheduleapr[[#This Row],[TICKNESS]]*scheduleapr[[#This Row],[LENGTH]]*7.85)/1000000*scheduleapr[[#This Row],[DISPATCH]]/1000</f>
        <v>4.6360627968000001</v>
      </c>
      <c r="AL677" s="1">
        <f t="shared" si="23"/>
        <v>-4.1724565171200005</v>
      </c>
      <c r="AM677" s="1">
        <f>scheduleapr[[#This Row],[SCHEDULE in nos]]/scheduleapr[[#This Row],[SCHEDULE IN MT]]*scheduleapr[[#This Row],[CTL Stock]]</f>
        <v>4008.8369840089917</v>
      </c>
      <c r="AN677" s="1">
        <f>SUMIFS(stock[MT],stock[Bucket],scheduleapr[[#This Row],[Bucket]],stock[CTL Bucket],scheduleapr[[#This Row],[CTL Bucket]],stock[Plant],"0789")</f>
        <v>0.929261</v>
      </c>
      <c r="AO677" s="1"/>
      <c r="AP677" s="1">
        <f>SUMIFS(stock[MT],stock[Bucket],scheduleapr[[#This Row],[Bucket]],stock[LL or CTL],"LL")</f>
        <v>1.450949</v>
      </c>
      <c r="AQ677" s="1">
        <f>+SUMIFS(wip[Stock(Net Wt)],wip[Bucket],scheduleapr[[#This Row],[Bucket]])/1000</f>
        <v>10.451000000000001</v>
      </c>
      <c r="AR677" s="1">
        <f t="shared" si="22"/>
        <v>-0.46565472032000005</v>
      </c>
      <c r="AS677" s="118"/>
    </row>
    <row r="678" spans="1:45" x14ac:dyDescent="0.25">
      <c r="A678" s="30">
        <v>563</v>
      </c>
      <c r="B678" s="5" t="s">
        <v>1816</v>
      </c>
      <c r="C678" s="2" t="s">
        <v>301</v>
      </c>
      <c r="D678" s="2" t="s">
        <v>2104</v>
      </c>
      <c r="E678" s="2">
        <v>188595</v>
      </c>
      <c r="F678" s="523">
        <v>4104140</v>
      </c>
      <c r="G678" s="2" t="str">
        <f>_xlfn.CONCAT(scheduleapr[[#This Row],[CUSTOMER CODE]],"-",scheduleapr[[#This Row],[MATERIAL NO]])</f>
        <v>188595-4104140</v>
      </c>
      <c r="H678" s="9" t="s">
        <v>2126</v>
      </c>
      <c r="I678" s="44" t="s">
        <v>962</v>
      </c>
      <c r="J678" s="2"/>
      <c r="K678" s="2" t="s">
        <v>963</v>
      </c>
      <c r="L678" s="2" t="s">
        <v>1867</v>
      </c>
      <c r="M678" s="2"/>
      <c r="N678" s="2"/>
      <c r="O678" s="2"/>
      <c r="P678" s="2"/>
      <c r="Q678" s="557" t="str">
        <f>CONCATENATE(scheduleapr[[#This Row],[OD]],"-",scheduleapr[[#This Row],[ID]],"-",scheduleapr[[#This Row],[TICKNESS]],"-",scheduleapr[[#This Row],[Grade]],"-",scheduleapr[[#This Row],[FC/NFC]])</f>
        <v>15.88-0-1.2-ERW 1-PE</v>
      </c>
      <c r="R678" s="557" t="str">
        <f>_xlfn.CONCAT(scheduleapr[[#This Row],[Bucket]],"-",scheduleapr[[#This Row],[LENGTH]]/1000)</f>
        <v>15.88-0-1.2-ERW 1-PE-0.15</v>
      </c>
      <c r="S678" s="557">
        <f>COUNTIF(scheduleapr[CTL Bucket],scheduleapr[[#This Row],[CTL Bucket]])</f>
        <v>3</v>
      </c>
      <c r="T678" s="2" t="s">
        <v>1816</v>
      </c>
      <c r="U678" s="2">
        <f>_xlfn.IFNA(VLOOKUP(scheduleapr[[#This Row],[Bucket]],salesforecast[[#All],[Bucket2]:[8406 Stock]],19,0),0)</f>
        <v>0.170849</v>
      </c>
      <c r="V678" s="562">
        <f>_xlfn.IFNA(VLOOKUP(scheduleapr[[#This Row],[Bucket]],salesforecast[[#All],[Bucket2]:[8406 Stock]],20,0),0)+_xlfn.IFNA(VLOOKUP(scheduleapr[[#This Row],[Bucket]],salesforecast[[#All],[Bucket2]:[8406 Stock]],17,0),0)</f>
        <v>0</v>
      </c>
      <c r="W678" s="557"/>
      <c r="X678" s="1">
        <v>15.88</v>
      </c>
      <c r="Y678" s="1">
        <v>15.88</v>
      </c>
      <c r="Z678" s="1">
        <v>0</v>
      </c>
      <c r="AA678" s="1">
        <v>1.2</v>
      </c>
      <c r="AB678" s="24">
        <v>150</v>
      </c>
      <c r="AC678" s="24" t="s">
        <v>397</v>
      </c>
      <c r="AD678" s="24"/>
      <c r="AE678" s="24"/>
      <c r="AF678" s="2">
        <v>1000</v>
      </c>
      <c r="AG678" s="2"/>
      <c r="AH678" s="2" cm="1">
        <f t="array" ref="AH6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11000</v>
      </c>
      <c r="AI678" s="4">
        <f>scheduleapr[[#This Row],[SCHEDULE in nos]]-scheduleapr[[#This Row],[DISPATCH]]</f>
        <v>-10000</v>
      </c>
      <c r="AJ678" s="1">
        <f>(3.14*(scheduleapr[[#This Row],[ACTUAL OD]]-scheduleapr[[#This Row],[TICKNESS]])*scheduleapr[[#This Row],[TICKNESS]]*scheduleapr[[#This Row],[LENGTH]]*7.85)/1000000*scheduleapr[[#This Row],[SCHEDULE in nos]]/1000</f>
        <v>6.5132517599999995E-2</v>
      </c>
      <c r="AK678" s="1">
        <f>(3.14*(scheduleapr[[#This Row],[ACTUAL OD]]-scheduleapr[[#This Row],[TICKNESS]])*scheduleapr[[#This Row],[TICKNESS]]*scheduleapr[[#This Row],[LENGTH]]*7.85)/1000000*scheduleapr[[#This Row],[DISPATCH]]/1000</f>
        <v>0.7164576936</v>
      </c>
      <c r="AL678" s="1">
        <f t="shared" si="23"/>
        <v>-0.65132517600000006</v>
      </c>
      <c r="AM678" s="1">
        <f>scheduleapr[[#This Row],[SCHEDULE in nos]]/scheduleapr[[#This Row],[SCHEDULE IN MT]]*scheduleapr[[#This Row],[CTL Stock]]</f>
        <v>14320.051402404259</v>
      </c>
      <c r="AN678" s="1">
        <f>SUMIFS(stock[MT],stock[Bucket],scheduleapr[[#This Row],[Bucket]],stock[CTL Bucket],scheduleapr[[#This Row],[CTL Bucket]],stock[Plant],"0789")</f>
        <v>0.932701</v>
      </c>
      <c r="AO678" s="1"/>
      <c r="AP678" s="1">
        <f>SUMIFS(stock[MT],stock[Bucket],scheduleapr[[#This Row],[Bucket]],stock[LL or CTL],"LL")</f>
        <v>6.069591</v>
      </c>
      <c r="AQ678" s="1">
        <f>+SUMIFS(wip[Stock(Net Wt)],wip[Bucket],scheduleapr[[#This Row],[Bucket]])/1000</f>
        <v>7.3860000000000001</v>
      </c>
      <c r="AR678" s="1">
        <f t="shared" si="22"/>
        <v>-0.86756848240000006</v>
      </c>
      <c r="AS678" s="118"/>
    </row>
    <row r="679" spans="1:45" x14ac:dyDescent="0.25">
      <c r="A679" s="30">
        <v>660</v>
      </c>
      <c r="B679" s="5" t="s">
        <v>1816</v>
      </c>
      <c r="C679" s="2" t="s">
        <v>306</v>
      </c>
      <c r="D679" s="2" t="s">
        <v>2104</v>
      </c>
      <c r="E679" s="2">
        <v>188595</v>
      </c>
      <c r="F679" s="523">
        <v>4104140</v>
      </c>
      <c r="G679" s="2" t="str">
        <f>_xlfn.CONCAT(scheduleapr[[#This Row],[CUSTOMER CODE]],"-",scheduleapr[[#This Row],[MATERIAL NO]])</f>
        <v>188595-4104140</v>
      </c>
      <c r="H679" s="523" t="s">
        <v>502</v>
      </c>
      <c r="I679" s="2" t="s">
        <v>962</v>
      </c>
      <c r="J679" s="2"/>
      <c r="K679" s="2" t="s">
        <v>963</v>
      </c>
      <c r="L679" s="2"/>
      <c r="M679" s="44"/>
      <c r="N679" s="2"/>
      <c r="O679" s="2"/>
      <c r="P679" s="2"/>
      <c r="Q679" s="557" t="str">
        <f>CONCATENATE(scheduleapr[[#This Row],[OD]],"-",scheduleapr[[#This Row],[ID]],"-",scheduleapr[[#This Row],[TICKNESS]],"-",scheduleapr[[#This Row],[Grade]],"-",scheduleapr[[#This Row],[FC/NFC]])</f>
        <v>15.88-0-1.2-ERW 1-PE</v>
      </c>
      <c r="R679" s="557" t="str">
        <f>_xlfn.CONCAT(scheduleapr[[#This Row],[Bucket]],"-",scheduleapr[[#This Row],[LENGTH]]/1000)</f>
        <v>15.88-0-1.2-ERW 1-PE-0.15</v>
      </c>
      <c r="S679" s="2"/>
      <c r="T679" s="2"/>
      <c r="U679" s="2">
        <f>_xlfn.IFNA(VLOOKUP(scheduleapr[[#This Row],[Bucket]],salesforecast[[#All],[Bucket2]:[8406 Stock]],19,0),0)</f>
        <v>0.170849</v>
      </c>
      <c r="V679" s="562">
        <f>_xlfn.IFNA(VLOOKUP(scheduleapr[[#This Row],[Bucket]],salesforecast[[#All],[Bucket2]:[8406 Stock]],20,0),0)+_xlfn.IFNA(VLOOKUP(scheduleapr[[#This Row],[Bucket]],salesforecast[[#All],[Bucket2]:[8406 Stock]],17,0),0)</f>
        <v>0</v>
      </c>
      <c r="W679" s="2"/>
      <c r="X679" s="1">
        <v>15.88</v>
      </c>
      <c r="Y679" s="1">
        <v>15.88</v>
      </c>
      <c r="Z679" s="1">
        <v>0</v>
      </c>
      <c r="AA679" s="1">
        <v>1.2</v>
      </c>
      <c r="AB679" s="24">
        <v>150</v>
      </c>
      <c r="AC679" s="24" t="s">
        <v>397</v>
      </c>
      <c r="AD679" s="24"/>
      <c r="AE679" s="24"/>
      <c r="AF679" s="24">
        <v>1000</v>
      </c>
      <c r="AG679" s="24"/>
      <c r="AH679" s="2" cm="1">
        <f t="array" ref="AH6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11000</v>
      </c>
      <c r="AI679" s="4">
        <f>scheduleapr[[#This Row],[SCHEDULE in nos]]-scheduleapr[[#This Row],[DISPATCH]]</f>
        <v>-10000</v>
      </c>
      <c r="AJ679" s="1">
        <f>(3.14*(scheduleapr[[#This Row],[ACTUAL OD]]-scheduleapr[[#This Row],[TICKNESS]])*scheduleapr[[#This Row],[TICKNESS]]*scheduleapr[[#This Row],[LENGTH]]*7.85)/1000000*scheduleapr[[#This Row],[SCHEDULE in nos]]/1000</f>
        <v>6.5132517599999995E-2</v>
      </c>
      <c r="AK679" s="1">
        <f>(3.14*(scheduleapr[[#This Row],[ACTUAL OD]]-scheduleapr[[#This Row],[TICKNESS]])*scheduleapr[[#This Row],[TICKNESS]]*scheduleapr[[#This Row],[LENGTH]]*7.85)/1000000*scheduleapr[[#This Row],[DISPATCH]]/1000</f>
        <v>0.7164576936</v>
      </c>
      <c r="AL679" s="1">
        <f t="shared" si="23"/>
        <v>-0.65132517600000006</v>
      </c>
      <c r="AM679" s="1">
        <f>scheduleapr[[#This Row],[SCHEDULE in nos]]/scheduleapr[[#This Row],[SCHEDULE IN MT]]*scheduleapr[[#This Row],[CTL Stock]]</f>
        <v>14320.051402404259</v>
      </c>
      <c r="AN679" s="1">
        <f>SUMIFS(stock[MT],stock[Bucket],scheduleapr[[#This Row],[Bucket]],stock[CTL Bucket],scheduleapr[[#This Row],[CTL Bucket]],stock[Plant],"0789")</f>
        <v>0.932701</v>
      </c>
      <c r="AO679" s="1"/>
      <c r="AP679" s="1">
        <f>SUMIFS(stock[MT],stock[Bucket],scheduleapr[[#This Row],[Bucket]],stock[LL or CTL],"LL")</f>
        <v>6.069591</v>
      </c>
      <c r="AQ679" s="1">
        <f>+SUMIFS(wip[Stock(Net Wt)],wip[Bucket],scheduleapr[[#This Row],[Bucket]])/1000</f>
        <v>7.3860000000000001</v>
      </c>
      <c r="AR679" s="1">
        <f t="shared" si="22"/>
        <v>-0.86756848240000006</v>
      </c>
      <c r="AS679" s="118"/>
    </row>
    <row r="680" spans="1:45" ht="15.75" x14ac:dyDescent="0.25">
      <c r="A680" s="30">
        <v>501</v>
      </c>
      <c r="B680" s="78" t="s">
        <v>1816</v>
      </c>
      <c r="C680" s="44" t="s">
        <v>304</v>
      </c>
      <c r="D680" s="2" t="s">
        <v>2104</v>
      </c>
      <c r="E680" s="44">
        <v>188595</v>
      </c>
      <c r="F680" s="88">
        <v>4104140</v>
      </c>
      <c r="G680" s="2" t="str">
        <f>_xlfn.CONCAT(scheduleapr[[#This Row],[CUSTOMER CODE]],"-",scheduleapr[[#This Row],[MATERIAL NO]])</f>
        <v>188595-4104140</v>
      </c>
      <c r="H680" s="2" t="s">
        <v>2127</v>
      </c>
      <c r="I680" s="44" t="s">
        <v>962</v>
      </c>
      <c r="J680" s="44"/>
      <c r="K680" s="2" t="s">
        <v>963</v>
      </c>
      <c r="L680" s="2" t="s">
        <v>1867</v>
      </c>
      <c r="M680" s="44"/>
      <c r="N680" s="44"/>
      <c r="O680" s="44"/>
      <c r="P680" s="44"/>
      <c r="Q680" s="557" t="str">
        <f>CONCATENATE(scheduleapr[[#This Row],[OD]],"-",scheduleapr[[#This Row],[ID]],"-",scheduleapr[[#This Row],[TICKNESS]],"-",scheduleapr[[#This Row],[Grade]],"-",scheduleapr[[#This Row],[FC/NFC]])</f>
        <v>15.88-0-1.2-ERW 1-PE</v>
      </c>
      <c r="R680" s="557" t="str">
        <f>_xlfn.CONCAT(scheduleapr[[#This Row],[Bucket]],"-",scheduleapr[[#This Row],[LENGTH]]/1000)</f>
        <v>15.88-0-1.2-ERW 1-PE-0.15</v>
      </c>
      <c r="S680" s="557">
        <f>COUNTIF(scheduleapr[CTL Bucket],scheduleapr[[#This Row],[CTL Bucket]])</f>
        <v>3</v>
      </c>
      <c r="T680" s="2" t="s">
        <v>1816</v>
      </c>
      <c r="U680" s="2">
        <f>_xlfn.IFNA(VLOOKUP(scheduleapr[[#This Row],[Bucket]],salesforecast[[#All],[Bucket2]:[8406 Stock]],19,0),0)</f>
        <v>0.170849</v>
      </c>
      <c r="V680" s="562">
        <f>_xlfn.IFNA(VLOOKUP(scheduleapr[[#This Row],[Bucket]],salesforecast[[#All],[Bucket2]:[8406 Stock]],20,0),0)+_xlfn.IFNA(VLOOKUP(scheduleapr[[#This Row],[Bucket]],salesforecast[[#All],[Bucket2]:[8406 Stock]],17,0),0)</f>
        <v>0</v>
      </c>
      <c r="W680" s="557"/>
      <c r="X680" s="79">
        <v>15.88</v>
      </c>
      <c r="Y680" s="79">
        <v>15.88</v>
      </c>
      <c r="Z680" s="79">
        <v>0</v>
      </c>
      <c r="AA680" s="1">
        <v>1.2</v>
      </c>
      <c r="AB680" s="24">
        <v>150</v>
      </c>
      <c r="AC680" s="24" t="s">
        <v>397</v>
      </c>
      <c r="AD680" s="24"/>
      <c r="AE680" s="24"/>
      <c r="AF680" s="4">
        <v>12000</v>
      </c>
      <c r="AG680" s="4"/>
      <c r="AH680" s="2" cm="1">
        <f t="array" ref="AH6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11000</v>
      </c>
      <c r="AI680" s="4">
        <f>scheduleapr[[#This Row],[SCHEDULE in nos]]-scheduleapr[[#This Row],[DISPATCH]]</f>
        <v>1000</v>
      </c>
      <c r="AJ680" s="1">
        <f>(3.14*(scheduleapr[[#This Row],[ACTUAL OD]]-scheduleapr[[#This Row],[TICKNESS]])*scheduleapr[[#This Row],[TICKNESS]]*scheduleapr[[#This Row],[LENGTH]]*7.85)/1000000*scheduleapr[[#This Row],[SCHEDULE in nos]]/1000</f>
        <v>0.78159021119999994</v>
      </c>
      <c r="AK680" s="1">
        <f>(3.14*(scheduleapr[[#This Row],[ACTUAL OD]]-scheduleapr[[#This Row],[TICKNESS]])*scheduleapr[[#This Row],[TICKNESS]]*scheduleapr[[#This Row],[LENGTH]]*7.85)/1000000*scheduleapr[[#This Row],[DISPATCH]]/1000</f>
        <v>0.7164576936</v>
      </c>
      <c r="AL680" s="1">
        <f t="shared" si="23"/>
        <v>6.513251759999994E-2</v>
      </c>
      <c r="AM680" s="1">
        <f>scheduleapr[[#This Row],[SCHEDULE in nos]]/scheduleapr[[#This Row],[SCHEDULE IN MT]]*scheduleapr[[#This Row],[CTL Stock]]</f>
        <v>14320.051402404259</v>
      </c>
      <c r="AN680" s="1">
        <f>SUMIFS(stock[MT],stock[Bucket],scheduleapr[[#This Row],[Bucket]],stock[CTL Bucket],scheduleapr[[#This Row],[CTL Bucket]],stock[Plant],"0789")</f>
        <v>0.932701</v>
      </c>
      <c r="AO680" s="1"/>
      <c r="AP680" s="1">
        <f>SUMIFS(stock[MT],stock[Bucket],scheduleapr[[#This Row],[Bucket]],stock[LL or CTL],"LL")</f>
        <v>6.069591</v>
      </c>
      <c r="AQ680" s="1">
        <f>+SUMIFS(wip[Stock(Net Wt)],wip[Bucket],scheduleapr[[#This Row],[Bucket]])/1000</f>
        <v>7.3860000000000001</v>
      </c>
      <c r="AR680" s="1">
        <f t="shared" si="22"/>
        <v>-0.15111078880000006</v>
      </c>
      <c r="AS680" s="118"/>
    </row>
    <row r="681" spans="1:45" x14ac:dyDescent="0.25">
      <c r="A681" s="30">
        <v>657</v>
      </c>
      <c r="B681" s="126" t="s">
        <v>1816</v>
      </c>
      <c r="C681" s="2" t="s">
        <v>306</v>
      </c>
      <c r="D681" s="2" t="s">
        <v>2104</v>
      </c>
      <c r="E681" s="2">
        <v>188595</v>
      </c>
      <c r="F681" s="574">
        <v>3929691</v>
      </c>
      <c r="G681" s="2" t="str">
        <f>_xlfn.CONCAT(scheduleapr[[#This Row],[CUSTOMER CODE]],"-",scheduleapr[[#This Row],[MATERIAL NO]])</f>
        <v>188595-3929691</v>
      </c>
      <c r="H681" s="550" t="s">
        <v>535</v>
      </c>
      <c r="I681" s="100" t="s">
        <v>962</v>
      </c>
      <c r="J681" s="100"/>
      <c r="K681" s="100" t="s">
        <v>963</v>
      </c>
      <c r="L681" s="100"/>
      <c r="M681" s="128"/>
      <c r="N681" s="100"/>
      <c r="O681" s="100"/>
      <c r="P681" s="100"/>
      <c r="Q681" s="557" t="str">
        <f>CONCATENATE(scheduleapr[[#This Row],[OD]],"-",scheduleapr[[#This Row],[ID]],"-",scheduleapr[[#This Row],[TICKNESS]],"-",scheduleapr[[#This Row],[Grade]],"-",scheduleapr[[#This Row],[FC/NFC]])</f>
        <v>19.05-0-1.2-ERW 1-PE</v>
      </c>
      <c r="R681" s="557" t="str">
        <f>_xlfn.CONCAT(scheduleapr[[#This Row],[Bucket]],"-",scheduleapr[[#This Row],[LENGTH]]/1000)</f>
        <v>19.05-0-1.2-ERW 1-PE-0.2</v>
      </c>
      <c r="S681" s="100"/>
      <c r="T681" s="100"/>
      <c r="U681" s="100">
        <f>_xlfn.IFNA(VLOOKUP(scheduleapr[[#This Row],[Bucket]],salesforecast[[#All],[Bucket2]:[8406 Stock]],19,0),0)</f>
        <v>0</v>
      </c>
      <c r="V681" s="577">
        <f>_xlfn.IFNA(VLOOKUP(scheduleapr[[#This Row],[Bucket]],salesforecast[[#All],[Bucket2]:[8406 Stock]],20,0),0)+_xlfn.IFNA(VLOOKUP(scheduleapr[[#This Row],[Bucket]],salesforecast[[#All],[Bucket2]:[8406 Stock]],17,0),0)</f>
        <v>0</v>
      </c>
      <c r="W681" s="100"/>
      <c r="X681" s="129">
        <v>19.05</v>
      </c>
      <c r="Y681" s="129">
        <v>19.05</v>
      </c>
      <c r="Z681" s="129">
        <v>0</v>
      </c>
      <c r="AA681" s="1">
        <v>1.2</v>
      </c>
      <c r="AB681" s="24">
        <v>200</v>
      </c>
      <c r="AC681" s="24" t="s">
        <v>397</v>
      </c>
      <c r="AD681" s="24"/>
      <c r="AE681" s="24"/>
      <c r="AF681" s="2">
        <v>2000</v>
      </c>
      <c r="AG681" s="2"/>
      <c r="AH681" s="2" cm="1">
        <f t="array" ref="AH6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1" s="4">
        <f>scheduleapr[[#This Row],[SCHEDULE in nos]]-scheduleapr[[#This Row],[DISPATCH]]</f>
        <v>2000</v>
      </c>
      <c r="AJ681" s="1">
        <f>(3.14*(scheduleapr[[#This Row],[ACTUAL OD]]-scheduleapr[[#This Row],[TICKNESS]])*scheduleapr[[#This Row],[TICKNESS]]*scheduleapr[[#This Row],[LENGTH]]*7.85)/1000000*scheduleapr[[#This Row],[SCHEDULE in nos]]/1000</f>
        <v>0.21119263200000002</v>
      </c>
      <c r="AK681" s="1">
        <f>(3.14*(scheduleapr[[#This Row],[ACTUAL OD]]-scheduleapr[[#This Row],[TICKNESS]])*scheduleapr[[#This Row],[TICKNESS]]*scheduleapr[[#This Row],[LENGTH]]*7.85)/1000000*scheduleapr[[#This Row],[DISPATCH]]/1000</f>
        <v>0</v>
      </c>
      <c r="AL681" s="1">
        <f t="shared" si="23"/>
        <v>0.21119263200000002</v>
      </c>
      <c r="AM681" s="1">
        <f>scheduleapr[[#This Row],[SCHEDULE in nos]]/scheduleapr[[#This Row],[SCHEDULE IN MT]]*scheduleapr[[#This Row],[CTL Stock]]</f>
        <v>0</v>
      </c>
      <c r="AN681" s="1">
        <f>SUMIFS(stock[MT],stock[Bucket],scheduleapr[[#This Row],[Bucket]],stock[CTL Bucket],scheduleapr[[#This Row],[CTL Bucket]],stock[Plant],"0789")</f>
        <v>0</v>
      </c>
      <c r="AO681" s="1"/>
      <c r="AP681" s="1">
        <f>SUMIFS(stock[MT],stock[Bucket],scheduleapr[[#This Row],[Bucket]],stock[LL or CTL],"LL")</f>
        <v>0</v>
      </c>
      <c r="AQ681" s="1">
        <f>+SUMIFS(wip[Stock(Net Wt)],wip[Bucket],scheduleapr[[#This Row],[Bucket]])/1000</f>
        <v>20.588000000000001</v>
      </c>
      <c r="AR681" s="1">
        <f t="shared" si="22"/>
        <v>0.21119263200000002</v>
      </c>
      <c r="AS681" s="580"/>
    </row>
    <row r="682" spans="1:45" x14ac:dyDescent="0.25">
      <c r="A682" s="30">
        <v>656</v>
      </c>
      <c r="B682" s="126" t="s">
        <v>1816</v>
      </c>
      <c r="C682" s="2" t="s">
        <v>306</v>
      </c>
      <c r="D682" s="2" t="s">
        <v>2104</v>
      </c>
      <c r="E682" s="2">
        <v>188595</v>
      </c>
      <c r="F682" s="523">
        <v>3935313</v>
      </c>
      <c r="G682" s="2" t="str">
        <f>_xlfn.CONCAT(scheduleapr[[#This Row],[CUSTOMER CODE]],"-",scheduleapr[[#This Row],[MATERIAL NO]])</f>
        <v>188595-3935313</v>
      </c>
      <c r="H682" s="523" t="s">
        <v>560</v>
      </c>
      <c r="I682" s="100" t="s">
        <v>962</v>
      </c>
      <c r="J682" s="2"/>
      <c r="K682" s="2" t="s">
        <v>963</v>
      </c>
      <c r="L682" s="2"/>
      <c r="M682" s="44"/>
      <c r="N682" s="2"/>
      <c r="O682" s="2"/>
      <c r="P682" s="2"/>
      <c r="Q682" s="557" t="str">
        <f>CONCATENATE(scheduleapr[[#This Row],[OD]],"-",scheduleapr[[#This Row],[ID]],"-",scheduleapr[[#This Row],[TICKNESS]],"-",scheduleapr[[#This Row],[Grade]],"-",scheduleapr[[#This Row],[FC/NFC]])</f>
        <v>19.05-0-1.2-ERW 1-PE</v>
      </c>
      <c r="R682" s="557" t="str">
        <f>_xlfn.CONCAT(scheduleapr[[#This Row],[Bucket]],"-",scheduleapr[[#This Row],[LENGTH]]/1000)</f>
        <v>19.05-0-1.2-ERW 1-PE-0.33</v>
      </c>
      <c r="S682" s="2"/>
      <c r="T682" s="2"/>
      <c r="U682" s="2">
        <f>_xlfn.IFNA(VLOOKUP(scheduleapr[[#This Row],[Bucket]],salesforecast[[#All],[Bucket2]:[8406 Stock]],19,0),0)</f>
        <v>0</v>
      </c>
      <c r="V682" s="562">
        <f>_xlfn.IFNA(VLOOKUP(scheduleapr[[#This Row],[Bucket]],salesforecast[[#All],[Bucket2]:[8406 Stock]],20,0),0)+_xlfn.IFNA(VLOOKUP(scheduleapr[[#This Row],[Bucket]],salesforecast[[#All],[Bucket2]:[8406 Stock]],17,0),0)</f>
        <v>0</v>
      </c>
      <c r="W682" s="2"/>
      <c r="X682" s="1">
        <v>19.05</v>
      </c>
      <c r="Y682" s="1">
        <v>19.05</v>
      </c>
      <c r="Z682" s="1">
        <v>0</v>
      </c>
      <c r="AA682" s="1">
        <v>1.2</v>
      </c>
      <c r="AB682" s="24">
        <v>330</v>
      </c>
      <c r="AC682" s="24" t="s">
        <v>397</v>
      </c>
      <c r="AD682" s="24"/>
      <c r="AE682" s="24"/>
      <c r="AF682" s="2">
        <v>500</v>
      </c>
      <c r="AG682" s="2"/>
      <c r="AH682" s="2" cm="1">
        <f t="array" ref="AH6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2" s="4">
        <f>scheduleapr[[#This Row],[SCHEDULE in nos]]-scheduleapr[[#This Row],[DISPATCH]]</f>
        <v>500</v>
      </c>
      <c r="AJ682" s="1">
        <f>(3.14*(scheduleapr[[#This Row],[ACTUAL OD]]-scheduleapr[[#This Row],[TICKNESS]])*scheduleapr[[#This Row],[TICKNESS]]*scheduleapr[[#This Row],[LENGTH]]*7.85)/1000000*scheduleapr[[#This Row],[SCHEDULE in nos]]/1000</f>
        <v>8.711696070000001E-2</v>
      </c>
      <c r="AK682" s="1">
        <f>(3.14*(scheduleapr[[#This Row],[ACTUAL OD]]-scheduleapr[[#This Row],[TICKNESS]])*scheduleapr[[#This Row],[TICKNESS]]*scheduleapr[[#This Row],[LENGTH]]*7.85)/1000000*scheduleapr[[#This Row],[DISPATCH]]/1000</f>
        <v>0</v>
      </c>
      <c r="AL682" s="1">
        <f t="shared" si="23"/>
        <v>8.711696070000001E-2</v>
      </c>
      <c r="AM682" s="1">
        <f>scheduleapr[[#This Row],[SCHEDULE in nos]]/scheduleapr[[#This Row],[SCHEDULE IN MT]]*scheduleapr[[#This Row],[CTL Stock]]</f>
        <v>3428.0580681460801</v>
      </c>
      <c r="AN682" s="1">
        <f>SUMIFS(stock[MT],stock[Bucket],scheduleapr[[#This Row],[Bucket]],stock[CTL Bucket],scheduleapr[[#This Row],[CTL Bucket]],stock[Plant],"0789")</f>
        <v>0.59728400000000004</v>
      </c>
      <c r="AO682" s="1"/>
      <c r="AP682" s="1">
        <f>SUMIFS(stock[MT],stock[Bucket],scheduleapr[[#This Row],[Bucket]],stock[LL or CTL],"LL")</f>
        <v>0</v>
      </c>
      <c r="AQ682" s="1">
        <f>+SUMIFS(wip[Stock(Net Wt)],wip[Bucket],scheduleapr[[#This Row],[Bucket]])/1000</f>
        <v>20.588000000000001</v>
      </c>
      <c r="AR682" s="1">
        <f t="shared" si="22"/>
        <v>-0.51016703930000007</v>
      </c>
      <c r="AS682" s="118"/>
    </row>
    <row r="683" spans="1:45" x14ac:dyDescent="0.25">
      <c r="A683" s="30">
        <v>655</v>
      </c>
      <c r="B683" s="126" t="s">
        <v>1816</v>
      </c>
      <c r="C683" s="2" t="s">
        <v>306</v>
      </c>
      <c r="D683" s="2" t="s">
        <v>2104</v>
      </c>
      <c r="E683" s="2">
        <v>188595</v>
      </c>
      <c r="F683" s="550">
        <v>3929540</v>
      </c>
      <c r="G683" s="2" t="str">
        <f>_xlfn.CONCAT(scheduleapr[[#This Row],[CUSTOMER CODE]],"-",scheduleapr[[#This Row],[MATERIAL NO]])</f>
        <v>188595-3929540</v>
      </c>
      <c r="H683" s="550" t="s">
        <v>627</v>
      </c>
      <c r="I683" s="100" t="s">
        <v>962</v>
      </c>
      <c r="J683" s="100"/>
      <c r="K683" s="2" t="s">
        <v>963</v>
      </c>
      <c r="L683" s="100"/>
      <c r="M683" s="128"/>
      <c r="N683" s="100"/>
      <c r="O683" s="100"/>
      <c r="P683" s="100"/>
      <c r="Q683" s="557" t="str">
        <f>CONCATENATE(scheduleapr[[#This Row],[OD]],"-",scheduleapr[[#This Row],[ID]],"-",scheduleapr[[#This Row],[TICKNESS]],"-",scheduleapr[[#This Row],[Grade]],"-",scheduleapr[[#This Row],[FC/NFC]])</f>
        <v>19.05-0-1.2-ERW 1-PE</v>
      </c>
      <c r="R683" s="557" t="str">
        <f>_xlfn.CONCAT(scheduleapr[[#This Row],[Bucket]],"-",scheduleapr[[#This Row],[LENGTH]]/1000)</f>
        <v>19.05-0-1.2-ERW 1-PE-0.682</v>
      </c>
      <c r="S683" s="100"/>
      <c r="T683" s="100"/>
      <c r="U683" s="2">
        <f>_xlfn.IFNA(VLOOKUP(scheduleapr[[#This Row],[Bucket]],salesforecast[[#All],[Bucket2]:[8406 Stock]],19,0),0)</f>
        <v>0</v>
      </c>
      <c r="V683" s="562">
        <f>_xlfn.IFNA(VLOOKUP(scheduleapr[[#This Row],[Bucket]],salesforecast[[#All],[Bucket2]:[8406 Stock]],20,0),0)+_xlfn.IFNA(VLOOKUP(scheduleapr[[#This Row],[Bucket]],salesforecast[[#All],[Bucket2]:[8406 Stock]],17,0),0)</f>
        <v>0</v>
      </c>
      <c r="W683" s="100"/>
      <c r="X683" s="129">
        <v>19.05</v>
      </c>
      <c r="Y683" s="129">
        <v>19.05</v>
      </c>
      <c r="Z683" s="129">
        <v>0</v>
      </c>
      <c r="AA683" s="1">
        <v>1.2</v>
      </c>
      <c r="AB683" s="24">
        <v>682</v>
      </c>
      <c r="AC683" s="24" t="s">
        <v>397</v>
      </c>
      <c r="AD683" s="24"/>
      <c r="AE683" s="24"/>
      <c r="AF683" s="2">
        <v>1000</v>
      </c>
      <c r="AG683" s="2"/>
      <c r="AH683" s="2" cm="1">
        <f t="array" ref="AH6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3" s="4">
        <f>scheduleapr[[#This Row],[SCHEDULE in nos]]-scheduleapr[[#This Row],[DISPATCH]]</f>
        <v>1000</v>
      </c>
      <c r="AJ683" s="1">
        <f>(3.14*(scheduleapr[[#This Row],[ACTUAL OD]]-scheduleapr[[#This Row],[TICKNESS]])*scheduleapr[[#This Row],[TICKNESS]]*scheduleapr[[#This Row],[LENGTH]]*7.85)/1000000*scheduleapr[[#This Row],[SCHEDULE in nos]]/1000</f>
        <v>0.36008343756</v>
      </c>
      <c r="AK683" s="1">
        <f>(3.14*(scheduleapr[[#This Row],[ACTUAL OD]]-scheduleapr[[#This Row],[TICKNESS]])*scheduleapr[[#This Row],[TICKNESS]]*scheduleapr[[#This Row],[LENGTH]]*7.85)/1000000*scheduleapr[[#This Row],[DISPATCH]]/1000</f>
        <v>0</v>
      </c>
      <c r="AL683" s="1">
        <f t="shared" si="23"/>
        <v>0.36008343756</v>
      </c>
      <c r="AM683" s="1">
        <f>scheduleapr[[#This Row],[SCHEDULE in nos]]/scheduleapr[[#This Row],[SCHEDULE IN MT]]*scheduleapr[[#This Row],[CTL Stock]]</f>
        <v>0</v>
      </c>
      <c r="AN683" s="1">
        <f>SUMIFS(stock[MT],stock[Bucket],scheduleapr[[#This Row],[Bucket]],stock[CTL Bucket],scheduleapr[[#This Row],[CTL Bucket]],stock[Plant],"0789")</f>
        <v>0</v>
      </c>
      <c r="AO683" s="1"/>
      <c r="AP683" s="1">
        <f>SUMIFS(stock[MT],stock[Bucket],scheduleapr[[#This Row],[Bucket]],stock[LL or CTL],"LL")</f>
        <v>0</v>
      </c>
      <c r="AQ683" s="1">
        <f>+SUMIFS(wip[Stock(Net Wt)],wip[Bucket],scheduleapr[[#This Row],[Bucket]])/1000</f>
        <v>20.588000000000001</v>
      </c>
      <c r="AR683" s="1">
        <f t="shared" si="22"/>
        <v>0.36008343756</v>
      </c>
      <c r="AS683" s="118"/>
    </row>
    <row r="684" spans="1:45" x14ac:dyDescent="0.25">
      <c r="A684" s="30">
        <v>654</v>
      </c>
      <c r="B684" s="126" t="s">
        <v>1816</v>
      </c>
      <c r="C684" s="100" t="s">
        <v>306</v>
      </c>
      <c r="D684" s="100" t="s">
        <v>2104</v>
      </c>
      <c r="E684" s="100">
        <v>188595</v>
      </c>
      <c r="F684" s="550">
        <v>3929692</v>
      </c>
      <c r="G684" s="2" t="str">
        <f>_xlfn.CONCAT(scheduleapr[[#This Row],[CUSTOMER CODE]],"-",scheduleapr[[#This Row],[MATERIAL NO]])</f>
        <v>188595-3929692</v>
      </c>
      <c r="H684" s="550" t="s">
        <v>533</v>
      </c>
      <c r="I684" s="100" t="s">
        <v>962</v>
      </c>
      <c r="J684" s="100"/>
      <c r="K684" s="2" t="s">
        <v>963</v>
      </c>
      <c r="L684" s="2"/>
      <c r="M684" s="128"/>
      <c r="N684" s="100"/>
      <c r="O684" s="100"/>
      <c r="P684" s="100"/>
      <c r="Q684" s="557" t="str">
        <f>CONCATENATE(scheduleapr[[#This Row],[OD]],"-",scheduleapr[[#This Row],[ID]],"-",scheduleapr[[#This Row],[TICKNESS]],"-",scheduleapr[[#This Row],[Grade]],"-",scheduleapr[[#This Row],[FC/NFC]])</f>
        <v>19.05-0-1.2-ERW 1-PE</v>
      </c>
      <c r="R684" s="557" t="str">
        <f>_xlfn.CONCAT(scheduleapr[[#This Row],[Bucket]],"-",scheduleapr[[#This Row],[LENGTH]]/1000)</f>
        <v>19.05-0-1.2-ERW 1-PE-1.23</v>
      </c>
      <c r="S684" s="100"/>
      <c r="T684" s="100"/>
      <c r="U684" s="100">
        <f>_xlfn.IFNA(VLOOKUP(scheduleapr[[#This Row],[Bucket]],salesforecast[[#All],[Bucket2]:[8406 Stock]],19,0),0)</f>
        <v>0</v>
      </c>
      <c r="V684" s="577">
        <f>_xlfn.IFNA(VLOOKUP(scheduleapr[[#This Row],[Bucket]],salesforecast[[#All],[Bucket2]:[8406 Stock]],20,0),0)+_xlfn.IFNA(VLOOKUP(scheduleapr[[#This Row],[Bucket]],salesforecast[[#All],[Bucket2]:[8406 Stock]],17,0),0)</f>
        <v>0</v>
      </c>
      <c r="W684" s="100"/>
      <c r="X684" s="1">
        <v>19.05</v>
      </c>
      <c r="Y684" s="1">
        <v>19.05</v>
      </c>
      <c r="Z684" s="1">
        <v>0</v>
      </c>
      <c r="AA684" s="1">
        <v>1.2</v>
      </c>
      <c r="AB684" s="24">
        <v>1230</v>
      </c>
      <c r="AC684" s="24" t="s">
        <v>397</v>
      </c>
      <c r="AD684" s="24"/>
      <c r="AE684" s="24"/>
      <c r="AF684" s="2">
        <v>500</v>
      </c>
      <c r="AG684" s="2"/>
      <c r="AH684" s="2" cm="1">
        <f t="array" ref="AH6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4" s="4">
        <f>scheduleapr[[#This Row],[SCHEDULE in nos]]-scheduleapr[[#This Row],[DISPATCH]]</f>
        <v>500</v>
      </c>
      <c r="AJ684" s="1">
        <f>(3.14*(scheduleapr[[#This Row],[ACTUAL OD]]-scheduleapr[[#This Row],[TICKNESS]])*scheduleapr[[#This Row],[TICKNESS]]*scheduleapr[[#This Row],[LENGTH]]*7.85)/1000000*scheduleapr[[#This Row],[SCHEDULE in nos]]/1000</f>
        <v>0.32470867170000001</v>
      </c>
      <c r="AK684" s="1">
        <f>(3.14*(scheduleapr[[#This Row],[ACTUAL OD]]-scheduleapr[[#This Row],[TICKNESS]])*scheduleapr[[#This Row],[TICKNESS]]*scheduleapr[[#This Row],[LENGTH]]*7.85)/1000000*scheduleapr[[#This Row],[DISPATCH]]/1000</f>
        <v>0</v>
      </c>
      <c r="AL684" s="1">
        <f t="shared" si="23"/>
        <v>0.32470867170000001</v>
      </c>
      <c r="AM684" s="1">
        <f>scheduleapr[[#This Row],[SCHEDULE in nos]]/scheduleapr[[#This Row],[SCHEDULE IN MT]]*scheduleapr[[#This Row],[CTL Stock]]</f>
        <v>0</v>
      </c>
      <c r="AN684" s="1">
        <f>SUMIFS(stock[MT],stock[Bucket],scheduleapr[[#This Row],[Bucket]],stock[CTL Bucket],scheduleapr[[#This Row],[CTL Bucket]],stock[Plant],"0789")</f>
        <v>0</v>
      </c>
      <c r="AO684" s="1"/>
      <c r="AP684" s="1">
        <f>SUMIFS(stock[MT],stock[Bucket],scheduleapr[[#This Row],[Bucket]],stock[LL or CTL],"LL")</f>
        <v>0</v>
      </c>
      <c r="AQ684" s="1">
        <f>+SUMIFS(wip[Stock(Net Wt)],wip[Bucket],scheduleapr[[#This Row],[Bucket]])/1000</f>
        <v>20.588000000000001</v>
      </c>
      <c r="AR684" s="1">
        <f t="shared" si="22"/>
        <v>0.32470867170000001</v>
      </c>
      <c r="AS684" s="132"/>
    </row>
    <row r="685" spans="1:45" x14ac:dyDescent="0.25">
      <c r="A685" s="125">
        <v>574</v>
      </c>
      <c r="B685" s="126" t="s">
        <v>1872</v>
      </c>
      <c r="C685" s="100" t="s">
        <v>302</v>
      </c>
      <c r="D685" s="2" t="s">
        <v>2128</v>
      </c>
      <c r="E685" s="100">
        <v>944141</v>
      </c>
      <c r="F685" s="100">
        <v>2410963</v>
      </c>
      <c r="G685" s="100" t="str">
        <f>_xlfn.CONCAT(scheduleapr[[#This Row],[CUSTOMER CODE]],"-",scheduleapr[[#This Row],[MATERIAL NO]])</f>
        <v>944141-2410963</v>
      </c>
      <c r="H685" s="100" t="s">
        <v>2129</v>
      </c>
      <c r="I685" s="100" t="s">
        <v>357</v>
      </c>
      <c r="J685" s="100"/>
      <c r="K685" s="100" t="s">
        <v>357</v>
      </c>
      <c r="L685" s="100" t="s">
        <v>239</v>
      </c>
      <c r="M685" s="100"/>
      <c r="N685" s="100"/>
      <c r="O685" s="100"/>
      <c r="P685" s="100"/>
      <c r="Q685" s="557" t="str">
        <f>CONCATENATE(scheduleapr[[#This Row],[OD]],"-",scheduleapr[[#This Row],[ID]],"-",scheduleapr[[#This Row],[TICKNESS]],"-",scheduleapr[[#This Row],[Grade]],"-",scheduleapr[[#This Row],[FC/NFC]])</f>
        <v>14-10.1-1.95-CEW-CEW</v>
      </c>
      <c r="R685" s="565" t="str">
        <f>_xlfn.CONCAT(scheduleapr[[#This Row],[Bucket]],"-",scheduleapr[[#This Row],[LENGTH]]/1000)</f>
        <v>14-10.1-1.95-CEW-CEW-1</v>
      </c>
      <c r="S685" s="565">
        <f>COUNTIF(scheduleapr[CTL Bucket],scheduleapr[[#This Row],[CTL Bucket]])</f>
        <v>1</v>
      </c>
      <c r="T685" s="100" t="s">
        <v>1817</v>
      </c>
      <c r="U685" s="2"/>
      <c r="V685" s="557"/>
      <c r="W685" s="565"/>
      <c r="X685" s="129">
        <v>14</v>
      </c>
      <c r="Y685" s="129">
        <v>14</v>
      </c>
      <c r="Z685" s="129">
        <v>10.1</v>
      </c>
      <c r="AA685" s="1">
        <v>1.95</v>
      </c>
      <c r="AB685" s="24">
        <v>1000</v>
      </c>
      <c r="AC685" s="24" t="s">
        <v>444</v>
      </c>
      <c r="AD685" s="24"/>
      <c r="AE685" s="24"/>
      <c r="AF685" s="100"/>
      <c r="AG685" s="100"/>
      <c r="AH685" s="2" cm="1">
        <f t="array" ref="AH6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5" s="4">
        <f>scheduleapr[[#This Row],[SCHEDULE in nos]]-scheduleapr[[#This Row],[DISPATCH]]</f>
        <v>0</v>
      </c>
      <c r="AJ685" s="129">
        <f>(3.14*(scheduleapr[[#This Row],[ACTUAL OD]]-scheduleapr[[#This Row],[TICKNESS]])*scheduleapr[[#This Row],[TICKNESS]]*scheduleapr[[#This Row],[LENGTH]]*7.85)/1000000*scheduleapr[[#This Row],[SCHEDULE in nos]]/1000</f>
        <v>0</v>
      </c>
      <c r="AK685" s="129">
        <f>(3.14*(scheduleapr[[#This Row],[ACTUAL OD]]-scheduleapr[[#This Row],[TICKNESS]])*scheduleapr[[#This Row],[TICKNESS]]*scheduleapr[[#This Row],[LENGTH]]*7.85)/1000000*scheduleapr[[#This Row],[DISPATCH]]/1000</f>
        <v>0</v>
      </c>
      <c r="AL685" s="129">
        <f t="shared" si="23"/>
        <v>0</v>
      </c>
      <c r="AM685" s="129" t="e">
        <f>scheduleapr[[#This Row],[SCHEDULE in nos]]/scheduleapr[[#This Row],[SCHEDULE IN MT]]*scheduleapr[[#This Row],[CTL Stock]]</f>
        <v>#DIV/0!</v>
      </c>
      <c r="AN685" s="129">
        <f>SUMIFS(stock[MT],stock[Bucket],scheduleapr[[#This Row],[Bucket]],stock[CTL Bucket],scheduleapr[[#This Row],[CTL Bucket]],stock[Plant],"0789")</f>
        <v>0</v>
      </c>
      <c r="AO685" s="129"/>
      <c r="AP685" s="129">
        <f>SUMIFS(stock[MT],stock[Bucket],scheduleapr[[#This Row],[Bucket]],stock[LL or CTL],"LL")</f>
        <v>0</v>
      </c>
      <c r="AQ685" s="129">
        <f>+SUMIFS(wip[Stock(Net Wt)],wip[Bucket],scheduleapr[[#This Row],[Bucket]])/1000</f>
        <v>0</v>
      </c>
      <c r="AR685" s="129">
        <f t="shared" si="22"/>
        <v>0</v>
      </c>
      <c r="AS685" s="132"/>
    </row>
    <row r="686" spans="1:45" x14ac:dyDescent="0.25">
      <c r="A686" s="30">
        <v>581</v>
      </c>
      <c r="B686" s="5" t="s">
        <v>1872</v>
      </c>
      <c r="C686" s="2" t="s">
        <v>302</v>
      </c>
      <c r="D686" s="2" t="s">
        <v>2128</v>
      </c>
      <c r="E686" s="2">
        <v>944141</v>
      </c>
      <c r="F686" s="2">
        <v>1938191</v>
      </c>
      <c r="G686" s="100" t="str">
        <f>_xlfn.CONCAT(scheduleapr[[#This Row],[CUSTOMER CODE]],"-",scheduleapr[[#This Row],[MATERIAL NO]])</f>
        <v>944141-1938191</v>
      </c>
      <c r="H686" s="2" t="s">
        <v>591</v>
      </c>
      <c r="I686" s="2" t="s">
        <v>357</v>
      </c>
      <c r="J686" s="2"/>
      <c r="K686" s="100" t="s">
        <v>357</v>
      </c>
      <c r="L686" s="2" t="s">
        <v>239</v>
      </c>
      <c r="M686" s="2"/>
      <c r="N686" s="2"/>
      <c r="O686" s="2"/>
      <c r="P686" s="2"/>
      <c r="Q686" s="557" t="str">
        <f>CONCATENATE(scheduleapr[[#This Row],[OD]],"-",scheduleapr[[#This Row],[ID]],"-",scheduleapr[[#This Row],[TICKNESS]],"-",scheduleapr[[#This Row],[Grade]],"-",scheduleapr[[#This Row],[FC/NFC]])</f>
        <v>19-12.5-3.25-CEW-CEW</v>
      </c>
      <c r="R686" s="557" t="str">
        <f>_xlfn.CONCAT(scheduleapr[[#This Row],[Bucket]],"-",scheduleapr[[#This Row],[LENGTH]]/1000)</f>
        <v>19-12.5-3.25-CEW-CEW-0.588</v>
      </c>
      <c r="S686" s="557">
        <f>COUNTIF(scheduleapr[CTL Bucket],scheduleapr[[#This Row],[CTL Bucket]])</f>
        <v>2</v>
      </c>
      <c r="T686" s="2" t="s">
        <v>1817</v>
      </c>
      <c r="U686" s="2">
        <f>_xlfn.IFNA(VLOOKUP(scheduleapr[[#This Row],[Bucket]],salesforecast[[#All],[Bucket2]:[8406 Stock]],19,0),0)</f>
        <v>2.9557899999999999</v>
      </c>
      <c r="V686" s="562">
        <f>_xlfn.IFNA(VLOOKUP(scheduleapr[[#This Row],[Bucket]],salesforecast[[#All],[Bucket2]:[8406 Stock]],20,0),0)+_xlfn.IFNA(VLOOKUP(scheduleapr[[#This Row],[Bucket]],salesforecast[[#All],[Bucket2]:[8406 Stock]],17,0),0)</f>
        <v>1.5056590000000001</v>
      </c>
      <c r="W686" s="557"/>
      <c r="X686" s="1">
        <v>19</v>
      </c>
      <c r="Y686" s="1">
        <v>19</v>
      </c>
      <c r="Z686" s="1">
        <v>12.5</v>
      </c>
      <c r="AA686" s="1">
        <v>3.25</v>
      </c>
      <c r="AB686" s="24">
        <v>588</v>
      </c>
      <c r="AC686" s="24" t="s">
        <v>397</v>
      </c>
      <c r="AD686" s="24" t="s">
        <v>2130</v>
      </c>
      <c r="AE686" s="24">
        <v>4000</v>
      </c>
      <c r="AF686" s="2">
        <v>20000</v>
      </c>
      <c r="AG686" s="2"/>
      <c r="AH686" s="2" cm="1">
        <f t="array" ref="AH6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18400</v>
      </c>
      <c r="AI686" s="4">
        <f>scheduleapr[[#This Row],[SCHEDULE in nos]]-scheduleapr[[#This Row],[DISPATCH]]</f>
        <v>1600</v>
      </c>
      <c r="AJ686" s="1">
        <f>(3.14*(scheduleapr[[#This Row],[ACTUAL OD]]-scheduleapr[[#This Row],[TICKNESS]])*scheduleapr[[#This Row],[TICKNESS]]*scheduleapr[[#This Row],[LENGTH]]*7.85)/1000000*scheduleapr[[#This Row],[SCHEDULE in nos]]/1000</f>
        <v>14.837835285000001</v>
      </c>
      <c r="AK686" s="1">
        <f>(3.14*(scheduleapr[[#This Row],[ACTUAL OD]]-scheduleapr[[#This Row],[TICKNESS]])*scheduleapr[[#This Row],[TICKNESS]]*scheduleapr[[#This Row],[LENGTH]]*7.85)/1000000*scheduleapr[[#This Row],[DISPATCH]]/1000</f>
        <v>13.650808462200001</v>
      </c>
      <c r="AL686" s="1">
        <f t="shared" si="23"/>
        <v>1.1870268228</v>
      </c>
      <c r="AM686" s="1">
        <f>scheduleapr[[#This Row],[SCHEDULE in nos]]/scheduleapr[[#This Row],[SCHEDULE IN MT]]*scheduleapr[[#This Row],[CTL Stock]]</f>
        <v>0</v>
      </c>
      <c r="AN686" s="1">
        <f>SUMIFS(stock[MT],stock[Bucket],scheduleapr[[#This Row],[Bucket]],stock[CTL Bucket],scheduleapr[[#This Row],[CTL Bucket]],stock[Plant],"0789")</f>
        <v>0</v>
      </c>
      <c r="AO686" s="1"/>
      <c r="AP686" s="1">
        <f>SUMIFS(stock[MT],stock[Bucket],scheduleapr[[#This Row],[Bucket]],stock[LL or CTL],"LL")</f>
        <v>9.9577899999999993</v>
      </c>
      <c r="AQ686" s="79">
        <f>+SUMIFS(wip[Stock(Net Wt)],wip[Bucket],scheduleapr[[#This Row],[Bucket]])/1000</f>
        <v>0</v>
      </c>
      <c r="AR686" s="1">
        <f t="shared" si="22"/>
        <v>14.837835285000001</v>
      </c>
      <c r="AS686" s="118"/>
    </row>
    <row r="687" spans="1:45" x14ac:dyDescent="0.25">
      <c r="A687" s="125">
        <v>582</v>
      </c>
      <c r="B687" s="5" t="s">
        <v>1872</v>
      </c>
      <c r="C687" s="2" t="s">
        <v>302</v>
      </c>
      <c r="D687" s="2" t="s">
        <v>2128</v>
      </c>
      <c r="E687" s="2">
        <v>944141</v>
      </c>
      <c r="F687" s="539">
        <v>2419066</v>
      </c>
      <c r="G687" s="100" t="str">
        <f>_xlfn.CONCAT(scheduleapr[[#This Row],[CUSTOMER CODE]],"-",scheduleapr[[#This Row],[MATERIAL NO]])</f>
        <v>944141-2419066</v>
      </c>
      <c r="H687" s="539" t="s">
        <v>2131</v>
      </c>
      <c r="I687" s="2" t="s">
        <v>357</v>
      </c>
      <c r="J687" s="2"/>
      <c r="K687" s="2"/>
      <c r="L687" s="2" t="s">
        <v>239</v>
      </c>
      <c r="M687" s="2"/>
      <c r="N687" s="2"/>
      <c r="O687" s="2"/>
      <c r="P687" s="2"/>
      <c r="Q687" s="557" t="str">
        <f>CONCATENATE(scheduleapr[[#This Row],[OD]],"-",scheduleapr[[#This Row],[ID]],"-",scheduleapr[[#This Row],[TICKNESS]],"-",scheduleapr[[#This Row],[Grade]],"-",scheduleapr[[#This Row],[FC/NFC]])</f>
        <v>19-12.5-3.25-CEW-</v>
      </c>
      <c r="R687" s="557" t="str">
        <f>_xlfn.CONCAT(scheduleapr[[#This Row],[Bucket]],"-",scheduleapr[[#This Row],[LENGTH]]/1000)</f>
        <v>19-12.5-3.25-CEW--4.8</v>
      </c>
      <c r="S687" s="557" t="e" vm="2">
        <f>COUNTIF([2]!buckets[CTL Bucket],[2]!scheduleapr[[#This Row],[CTL Bucket]])</f>
        <v>#REF!</v>
      </c>
      <c r="T687" s="557"/>
      <c r="U687" s="557"/>
      <c r="V687" s="557"/>
      <c r="W687" s="557"/>
      <c r="X687" s="1">
        <v>19</v>
      </c>
      <c r="Y687" s="1">
        <v>19</v>
      </c>
      <c r="Z687" s="1">
        <v>12.5</v>
      </c>
      <c r="AA687" s="1">
        <v>3.25</v>
      </c>
      <c r="AB687" s="24">
        <v>4800</v>
      </c>
      <c r="AC687" s="24"/>
      <c r="AD687" s="24"/>
      <c r="AE687" s="24"/>
      <c r="AF687" s="2"/>
      <c r="AG687" s="2"/>
      <c r="AH687" s="2" t="e" cm="1">
        <f t="array" ref="AH6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87" s="4" t="e">
        <f>scheduleapr[[#This Row],[SCHEDULE in nos]]-scheduleapr[[#This Row],[DISPATCH]]</f>
        <v>#N/A</v>
      </c>
      <c r="AJ687" s="1">
        <f>(3.14*(scheduleapr[[#This Row],[ACTUAL OD]]-scheduleapr[[#This Row],[TICKNESS]])*scheduleapr[[#This Row],[TICKNESS]]*scheduleapr[[#This Row],[LENGTH]]*7.85)/1000000*scheduleapr[[#This Row],[SCHEDULE in nos]]/1000</f>
        <v>0</v>
      </c>
      <c r="AK687" s="1" t="e">
        <f>(3.14*(scheduleapr[[#This Row],[ACTUAL OD]]-scheduleapr[[#This Row],[TICKNESS]])*scheduleapr[[#This Row],[TICKNESS]]*scheduleapr[[#This Row],[LENGTH]]*7.85)/1000000*scheduleapr[[#This Row],[DISPATCH]]/1000</f>
        <v>#N/A</v>
      </c>
      <c r="AL687" s="1" t="e">
        <f t="shared" si="23"/>
        <v>#N/A</v>
      </c>
      <c r="AM687" s="1" t="e">
        <f>scheduleapr[[#This Row],[SCHEDULE in nos]]/scheduleapr[[#This Row],[SCHEDULE IN MT]]*scheduleapr[[#This Row],[CTL Stock]]</f>
        <v>#DIV/0!</v>
      </c>
      <c r="AN687" s="1">
        <f>SUMIFS(stock[MT],stock[Bucket],scheduleapr[[#This Row],[Bucket]],stock[CTL Bucket],scheduleapr[[#This Row],[CTL Bucket]],stock[Plant],"0789")</f>
        <v>0</v>
      </c>
      <c r="AO687" s="1"/>
      <c r="AP687" s="1">
        <f>SUMIFS(stock[MT],stock[Bucket],scheduleapr[[#This Row],[Bucket]],stock[LL or CTL],"LL")</f>
        <v>0</v>
      </c>
      <c r="AQ687" s="1">
        <f>+SUMIFS(wip[Stock(Net Wt)],wip[Bucket],scheduleapr[[#This Row],[Bucket]])/1000</f>
        <v>0</v>
      </c>
      <c r="AR687" s="1">
        <f t="shared" si="22"/>
        <v>0</v>
      </c>
      <c r="AS687" s="118"/>
    </row>
    <row r="688" spans="1:45" x14ac:dyDescent="0.25">
      <c r="A688" s="30">
        <v>603</v>
      </c>
      <c r="B688" s="5" t="s">
        <v>1872</v>
      </c>
      <c r="C688" s="2" t="s">
        <v>302</v>
      </c>
      <c r="D688" s="2" t="s">
        <v>2128</v>
      </c>
      <c r="E688" s="2">
        <v>944141</v>
      </c>
      <c r="F688" s="2">
        <v>2410999</v>
      </c>
      <c r="G688" s="2" t="str">
        <f>_xlfn.CONCAT(scheduleapr[[#This Row],[CUSTOMER CODE]],"-",scheduleapr[[#This Row],[MATERIAL NO]])</f>
        <v>944141-2410999</v>
      </c>
      <c r="H688" s="2" t="s">
        <v>728</v>
      </c>
      <c r="I688" s="2" t="s">
        <v>357</v>
      </c>
      <c r="J688" s="2"/>
      <c r="K688" s="2" t="s">
        <v>357</v>
      </c>
      <c r="L688" s="2" t="s">
        <v>239</v>
      </c>
      <c r="M688" s="2"/>
      <c r="N688" s="2"/>
      <c r="O688" s="2"/>
      <c r="P688" s="2"/>
      <c r="Q688" s="557" t="str">
        <f>CONCATENATE(scheduleapr[[#This Row],[OD]],"-",scheduleapr[[#This Row],[ID]],"-",scheduleapr[[#This Row],[TICKNESS]],"-",scheduleapr[[#This Row],[Grade]],"-",scheduleapr[[#This Row],[FC/NFC]])</f>
        <v>21.7-16.2-2.75-CEW-CEW</v>
      </c>
      <c r="R688" s="557" t="str">
        <f>_xlfn.CONCAT(scheduleapr[[#This Row],[Bucket]],"-",scheduleapr[[#This Row],[LENGTH]]/1000)</f>
        <v>21.7-16.2-2.75-CEW-CEW-1</v>
      </c>
      <c r="S688" s="557">
        <f>COUNTIF(scheduleapr[CTL Bucket],scheduleapr[[#This Row],[CTL Bucket]])</f>
        <v>3</v>
      </c>
      <c r="T688" s="2" t="s">
        <v>1817</v>
      </c>
      <c r="U688" s="2"/>
      <c r="V688" s="557"/>
      <c r="W688" s="557"/>
      <c r="X688" s="1">
        <v>21.7</v>
      </c>
      <c r="Y688" s="6">
        <v>21.7</v>
      </c>
      <c r="Z688" s="6">
        <v>16.2</v>
      </c>
      <c r="AA688" s="1">
        <v>2.75</v>
      </c>
      <c r="AB688" s="24">
        <v>1000</v>
      </c>
      <c r="AC688" s="24" t="s">
        <v>444</v>
      </c>
      <c r="AD688" s="24"/>
      <c r="AE688" s="24"/>
      <c r="AF688" s="2"/>
      <c r="AG688" s="2"/>
      <c r="AH688" s="2" cm="1">
        <f t="array" ref="AH6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2272</v>
      </c>
      <c r="AI688" s="4">
        <f>scheduleapr[[#This Row],[SCHEDULE in nos]]-scheduleapr[[#This Row],[DISPATCH]]</f>
        <v>-2272</v>
      </c>
      <c r="AJ688" s="1">
        <f>(3.14*(scheduleapr[[#This Row],[ACTUAL OD]]-scheduleapr[[#This Row],[TICKNESS]])*scheduleapr[[#This Row],[TICKNESS]]*scheduleapr[[#This Row],[LENGTH]]*7.85)/1000000*scheduleapr[[#This Row],[SCHEDULE in nos]]/1000</f>
        <v>0</v>
      </c>
      <c r="AK688" s="1">
        <f>(3.14*(scheduleapr[[#This Row],[ACTUAL OD]]-scheduleapr[[#This Row],[TICKNESS]])*scheduleapr[[#This Row],[TICKNESS]]*scheduleapr[[#This Row],[LENGTH]]*7.85)/1000000*scheduleapr[[#This Row],[DISPATCH]]/1000</f>
        <v>2.9184317404</v>
      </c>
      <c r="AL688" s="1">
        <f t="shared" si="23"/>
        <v>-2.9184317404</v>
      </c>
      <c r="AM688" s="1" t="e">
        <f>scheduleapr[[#This Row],[SCHEDULE in nos]]/scheduleapr[[#This Row],[SCHEDULE IN MT]]*scheduleapr[[#This Row],[CTL Stock]]</f>
        <v>#DIV/0!</v>
      </c>
      <c r="AN688" s="1">
        <f>SUMIFS(stock[MT],stock[Bucket],scheduleapr[[#This Row],[Bucket]],stock[CTL Bucket],scheduleapr[[#This Row],[CTL Bucket]],stock[Plant],"0789")</f>
        <v>0</v>
      </c>
      <c r="AO688" s="1"/>
      <c r="AP688" s="1">
        <f>SUMIFS(stock[MT],stock[Bucket],scheduleapr[[#This Row],[Bucket]],stock[LL or CTL],"LL")</f>
        <v>1.8677429999999999</v>
      </c>
      <c r="AQ688" s="1">
        <f>+SUMIFS(wip[Stock(Net Wt)],wip[Bucket],scheduleapr[[#This Row],[Bucket]])/1000</f>
        <v>0</v>
      </c>
      <c r="AR688" s="1">
        <f t="shared" si="22"/>
        <v>0</v>
      </c>
      <c r="AS688" s="118"/>
    </row>
    <row r="689" spans="1:45" x14ac:dyDescent="0.25">
      <c r="A689" s="30">
        <v>566</v>
      </c>
      <c r="B689" s="5" t="s">
        <v>1816</v>
      </c>
      <c r="C689" s="2" t="s">
        <v>302</v>
      </c>
      <c r="D689" s="2" t="s">
        <v>2128</v>
      </c>
      <c r="E689" s="2">
        <v>944141</v>
      </c>
      <c r="F689" s="539">
        <v>1939963</v>
      </c>
      <c r="G689" s="100" t="str">
        <f>_xlfn.CONCAT(scheduleapr[[#This Row],[CUSTOMER CODE]],"-",scheduleapr[[#This Row],[MATERIAL NO]])</f>
        <v>944141-1939963</v>
      </c>
      <c r="H689" s="539" t="s">
        <v>399</v>
      </c>
      <c r="I689" s="2" t="s">
        <v>962</v>
      </c>
      <c r="J689" s="2"/>
      <c r="K689" s="2" t="s">
        <v>963</v>
      </c>
      <c r="L689" s="2" t="s">
        <v>1867</v>
      </c>
      <c r="M689" s="2"/>
      <c r="N689" s="2"/>
      <c r="O689" s="2"/>
      <c r="P689" s="2"/>
      <c r="Q689" s="557" t="str">
        <f>CONCATENATE(scheduleapr[[#This Row],[OD]],"-",scheduleapr[[#This Row],[ID]],"-",scheduleapr[[#This Row],[TICKNESS]],"-",scheduleapr[[#This Row],[Grade]],"-",scheduleapr[[#This Row],[FC/NFC]])</f>
        <v>12.7-0-1.2-ERW 1-PE</v>
      </c>
      <c r="R689" s="557" t="str">
        <f>_xlfn.CONCAT(scheduleapr[[#This Row],[Bucket]],"-",scheduleapr[[#This Row],[LENGTH]]/1000)</f>
        <v>12.7-0-1.2-ERW 1-PE-0.278</v>
      </c>
      <c r="S689" s="557">
        <f>COUNTIF(scheduleapr[CTL Bucket],scheduleapr[[#This Row],[CTL Bucket]])</f>
        <v>1</v>
      </c>
      <c r="T689" s="2" t="s">
        <v>1816</v>
      </c>
      <c r="U689" s="2">
        <f>_xlfn.IFNA(VLOOKUP(scheduleapr[[#This Row],[Bucket]],salesforecast[[#All],[Bucket2]:[8406 Stock]],19,0),0)</f>
        <v>0</v>
      </c>
      <c r="V689" s="562">
        <f>_xlfn.IFNA(VLOOKUP(scheduleapr[[#This Row],[Bucket]],salesforecast[[#All],[Bucket2]:[8406 Stock]],20,0),0)+_xlfn.IFNA(VLOOKUP(scheduleapr[[#This Row],[Bucket]],salesforecast[[#All],[Bucket2]:[8406 Stock]],17,0),0)</f>
        <v>0</v>
      </c>
      <c r="W689" s="557"/>
      <c r="X689" s="1">
        <v>12.7</v>
      </c>
      <c r="Y689" s="1">
        <v>12.7</v>
      </c>
      <c r="Z689" s="6">
        <v>0</v>
      </c>
      <c r="AA689" s="1">
        <v>1.2</v>
      </c>
      <c r="AB689" s="23">
        <v>278</v>
      </c>
      <c r="AC689" s="24" t="s">
        <v>397</v>
      </c>
      <c r="AD689" s="24" t="s">
        <v>1869</v>
      </c>
      <c r="AE689" s="24">
        <v>2000</v>
      </c>
      <c r="AF689" s="44">
        <v>30000</v>
      </c>
      <c r="AG689" s="44"/>
      <c r="AH689" s="2" cm="1">
        <f t="array" ref="AH6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22700</v>
      </c>
      <c r="AI689" s="4">
        <f>scheduleapr[[#This Row],[SCHEDULE in nos]]-scheduleapr[[#This Row],[DISPATCH]]</f>
        <v>7300</v>
      </c>
      <c r="AJ689" s="1">
        <f>(3.14*(scheduleapr[[#This Row],[ACTUAL OD]]-scheduleapr[[#This Row],[TICKNESS]])*scheduleapr[[#This Row],[TICKNESS]]*scheduleapr[[#This Row],[LENGTH]]*7.85)/1000000*scheduleapr[[#This Row],[SCHEDULE in nos]]/1000</f>
        <v>2.8369027079999998</v>
      </c>
      <c r="AK689" s="1">
        <f>(3.14*(scheduleapr[[#This Row],[ACTUAL OD]]-scheduleapr[[#This Row],[TICKNESS]])*scheduleapr[[#This Row],[TICKNESS]]*scheduleapr[[#This Row],[LENGTH]]*7.85)/1000000*scheduleapr[[#This Row],[DISPATCH]]/1000</f>
        <v>2.1465897157199998</v>
      </c>
      <c r="AL689" s="1">
        <f t="shared" si="23"/>
        <v>0.69031299227999998</v>
      </c>
      <c r="AM689" s="1">
        <f>scheduleapr[[#This Row],[SCHEDULE in nos]]/scheduleapr[[#This Row],[SCHEDULE IN MT]]*scheduleapr[[#This Row],[CTL Stock]]</f>
        <v>8107.1514843081468</v>
      </c>
      <c r="AN689" s="1">
        <f>SUMIFS(stock[MT],stock[Bucket],scheduleapr[[#This Row],[Bucket]],stock[CTL Bucket],scheduleapr[[#This Row],[CTL Bucket]],stock[Plant],"0789")</f>
        <v>0.76663999999999999</v>
      </c>
      <c r="AO689" s="1"/>
      <c r="AP689" s="1">
        <f>SUMIFS(stock[MT],stock[Bucket],scheduleapr[[#This Row],[Bucket]],stock[LL or CTL],"LL")</f>
        <v>20.176452999999999</v>
      </c>
      <c r="AQ689" s="1">
        <f>+SUMIFS(wip[Stock(Net Wt)],wip[Bucket],scheduleapr[[#This Row],[Bucket]])/1000</f>
        <v>0</v>
      </c>
      <c r="AR689" s="1">
        <f t="shared" si="22"/>
        <v>2.0702627079999996</v>
      </c>
      <c r="AS689" s="118"/>
    </row>
    <row r="690" spans="1:45" x14ac:dyDescent="0.25">
      <c r="A690" s="125">
        <v>567</v>
      </c>
      <c r="B690" s="5" t="s">
        <v>1816</v>
      </c>
      <c r="C690" s="2" t="s">
        <v>302</v>
      </c>
      <c r="D690" s="48" t="s">
        <v>2128</v>
      </c>
      <c r="E690" s="2">
        <v>944141</v>
      </c>
      <c r="F690" s="539">
        <v>1939986</v>
      </c>
      <c r="G690" s="100" t="str">
        <f>_xlfn.CONCAT(scheduleapr[[#This Row],[CUSTOMER CODE]],"-",scheduleapr[[#This Row],[MATERIAL NO]])</f>
        <v>944141-1939986</v>
      </c>
      <c r="H690" s="539" t="s">
        <v>1135</v>
      </c>
      <c r="I690" s="2" t="s">
        <v>962</v>
      </c>
      <c r="J690" s="2"/>
      <c r="K690" s="2" t="s">
        <v>963</v>
      </c>
      <c r="L690" s="2" t="s">
        <v>1867</v>
      </c>
      <c r="M690" s="2"/>
      <c r="N690" s="2"/>
      <c r="O690" s="2"/>
      <c r="P690" s="2"/>
      <c r="Q690" s="557" t="str">
        <f>CONCATENATE(scheduleapr[[#This Row],[OD]],"-",scheduleapr[[#This Row],[ID]],"-",scheduleapr[[#This Row],[TICKNESS]],"-",scheduleapr[[#This Row],[Grade]],"-",scheduleapr[[#This Row],[FC/NFC]])</f>
        <v>12.7-0-1.2-ERW 1-PE</v>
      </c>
      <c r="R690" s="557" t="str">
        <f>_xlfn.CONCAT(scheduleapr[[#This Row],[Bucket]],"-",scheduleapr[[#This Row],[LENGTH]]/1000)</f>
        <v>12.7-0-1.2-ERW 1-PE-1</v>
      </c>
      <c r="S690" s="557">
        <f>COUNTIF(scheduleapr[CTL Bucket],scheduleapr[[#This Row],[CTL Bucket]])</f>
        <v>2</v>
      </c>
      <c r="T690" s="2" t="s">
        <v>1816</v>
      </c>
      <c r="U690" s="2"/>
      <c r="V690" s="557"/>
      <c r="W690" s="557"/>
      <c r="X690" s="1">
        <v>12.7</v>
      </c>
      <c r="Y690" s="1">
        <v>12.7</v>
      </c>
      <c r="Z690" s="6">
        <v>0</v>
      </c>
      <c r="AA690" s="1">
        <v>1.2</v>
      </c>
      <c r="AB690" s="24">
        <v>1000</v>
      </c>
      <c r="AC690" s="24" t="s">
        <v>444</v>
      </c>
      <c r="AD690" s="24"/>
      <c r="AE690" s="24"/>
      <c r="AF690" s="2"/>
      <c r="AG690" s="2"/>
      <c r="AH690" s="2" cm="1">
        <f t="array" ref="AH6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0" s="4">
        <f>scheduleapr[[#This Row],[SCHEDULE in nos]]-scheduleapr[[#This Row],[DISPATCH]]</f>
        <v>0</v>
      </c>
      <c r="AJ690" s="1">
        <f>(3.14*(scheduleapr[[#This Row],[ACTUAL OD]]-scheduleapr[[#This Row],[TICKNESS]])*scheduleapr[[#This Row],[TICKNESS]]*scheduleapr[[#This Row],[LENGTH]]*7.85)/1000000*scheduleapr[[#This Row],[SCHEDULE in nos]]/1000</f>
        <v>0</v>
      </c>
      <c r="AK690" s="1">
        <f>(3.14*(scheduleapr[[#This Row],[ACTUAL OD]]-scheduleapr[[#This Row],[TICKNESS]])*scheduleapr[[#This Row],[TICKNESS]]*scheduleapr[[#This Row],[LENGTH]]*7.85)/1000000*scheduleapr[[#This Row],[DISPATCH]]/1000</f>
        <v>0</v>
      </c>
      <c r="AL690" s="1">
        <f t="shared" si="23"/>
        <v>0</v>
      </c>
      <c r="AM690" s="1" t="e">
        <f>scheduleapr[[#This Row],[SCHEDULE in nos]]/scheduleapr[[#This Row],[SCHEDULE IN MT]]*scheduleapr[[#This Row],[CTL Stock]]</f>
        <v>#DIV/0!</v>
      </c>
      <c r="AN690" s="1">
        <f>SUMIFS(stock[MT],stock[Bucket],scheduleapr[[#This Row],[Bucket]],stock[CTL Bucket],scheduleapr[[#This Row],[CTL Bucket]],stock[Plant],"0789")</f>
        <v>20.176452999999999</v>
      </c>
      <c r="AO690" s="1"/>
      <c r="AP690" s="1">
        <f>SUMIFS(stock[MT],stock[Bucket],scheduleapr[[#This Row],[Bucket]],stock[LL or CTL],"LL")</f>
        <v>20.176452999999999</v>
      </c>
      <c r="AQ690" s="1">
        <f>+SUMIFS(wip[Stock(Net Wt)],wip[Bucket],scheduleapr[[#This Row],[Bucket]])/1000</f>
        <v>0</v>
      </c>
      <c r="AR690" s="1">
        <f t="shared" si="22"/>
        <v>-20.176452999999999</v>
      </c>
      <c r="AS690" s="118"/>
    </row>
    <row r="691" spans="1:45" x14ac:dyDescent="0.25">
      <c r="A691" s="30">
        <v>568</v>
      </c>
      <c r="B691" s="5" t="s">
        <v>1816</v>
      </c>
      <c r="C691" s="2" t="s">
        <v>302</v>
      </c>
      <c r="D691" s="2" t="s">
        <v>2128</v>
      </c>
      <c r="E691" s="2">
        <v>944141</v>
      </c>
      <c r="F691" s="539">
        <v>3676336</v>
      </c>
      <c r="G691" s="100" t="str">
        <f>_xlfn.CONCAT(scheduleapr[[#This Row],[CUSTOMER CODE]],"-",scheduleapr[[#This Row],[MATERIAL NO]])</f>
        <v>944141-3676336</v>
      </c>
      <c r="H691" s="539" t="s">
        <v>1152</v>
      </c>
      <c r="I691" s="2" t="s">
        <v>962</v>
      </c>
      <c r="J691" s="2"/>
      <c r="K691" s="2" t="s">
        <v>963</v>
      </c>
      <c r="L691" s="2" t="s">
        <v>1867</v>
      </c>
      <c r="M691" s="2" t="s">
        <v>1881</v>
      </c>
      <c r="N691" s="2"/>
      <c r="O691" s="2"/>
      <c r="P691" s="2"/>
      <c r="Q691" s="557" t="str">
        <f>CONCATENATE(scheduleapr[[#This Row],[OD]],"-",scheduleapr[[#This Row],[ID]],"-",scheduleapr[[#This Row],[TICKNESS]],"-",scheduleapr[[#This Row],[Grade]],"-",scheduleapr[[#This Row],[FC/NFC]])</f>
        <v>12.7-0-1.6-ERW 1-PE</v>
      </c>
      <c r="R691" s="557" t="str">
        <f>_xlfn.CONCAT(scheduleapr[[#This Row],[Bucket]],"-",scheduleapr[[#This Row],[LENGTH]]/1000)</f>
        <v>12.7-0-1.6-ERW 1-PE-0.257</v>
      </c>
      <c r="S691" s="557">
        <f>COUNTIF(scheduleapr[CTL Bucket],scheduleapr[[#This Row],[CTL Bucket]])</f>
        <v>1</v>
      </c>
      <c r="T691" s="2" t="s">
        <v>1816</v>
      </c>
      <c r="U691" s="2">
        <f>_xlfn.IFNA(VLOOKUP(scheduleapr[[#This Row],[Bucket]],salesforecast[[#All],[Bucket2]:[8406 Stock]],19,0),0)</f>
        <v>0</v>
      </c>
      <c r="V691" s="562">
        <f>_xlfn.IFNA(VLOOKUP(scheduleapr[[#This Row],[Bucket]],salesforecast[[#All],[Bucket2]:[8406 Stock]],20,0),0)+_xlfn.IFNA(VLOOKUP(scheduleapr[[#This Row],[Bucket]],salesforecast[[#All],[Bucket2]:[8406 Stock]],17,0),0)</f>
        <v>0</v>
      </c>
      <c r="W691" s="557"/>
      <c r="X691" s="1">
        <v>12.7</v>
      </c>
      <c r="Y691" s="1">
        <v>12.7</v>
      </c>
      <c r="Z691" s="6">
        <v>0</v>
      </c>
      <c r="AA691" s="1">
        <v>1.6</v>
      </c>
      <c r="AB691" s="23">
        <v>257</v>
      </c>
      <c r="AC691" s="23" t="s">
        <v>397</v>
      </c>
      <c r="AD691" s="24" t="s">
        <v>1869</v>
      </c>
      <c r="AE691" s="24">
        <v>1000</v>
      </c>
      <c r="AF691" s="44">
        <v>6000</v>
      </c>
      <c r="AG691" s="44" t="s">
        <v>1838</v>
      </c>
      <c r="AH691" s="2" cm="1">
        <f t="array" ref="AH6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1" s="4">
        <f>scheduleapr[[#This Row],[SCHEDULE in nos]]-scheduleapr[[#This Row],[DISPATCH]]</f>
        <v>6000</v>
      </c>
      <c r="AJ691" s="1">
        <f>(3.14*(scheduleapr[[#This Row],[ACTUAL OD]]-scheduleapr[[#This Row],[TICKNESS]])*scheduleapr[[#This Row],[TICKNESS]]*scheduleapr[[#This Row],[LENGTH]]*7.85)/1000000*scheduleapr[[#This Row],[SCHEDULE in nos]]/1000</f>
        <v>0.67503554208000005</v>
      </c>
      <c r="AK691" s="1">
        <f>(3.14*(scheduleapr[[#This Row],[ACTUAL OD]]-scheduleapr[[#This Row],[TICKNESS]])*scheduleapr[[#This Row],[TICKNESS]]*scheduleapr[[#This Row],[LENGTH]]*7.85)/1000000*scheduleapr[[#This Row],[DISPATCH]]/1000</f>
        <v>0</v>
      </c>
      <c r="AL691" s="1">
        <f t="shared" si="23"/>
        <v>0.67503554208000005</v>
      </c>
      <c r="AM691" s="1">
        <f>scheduleapr[[#This Row],[SCHEDULE in nos]]/scheduleapr[[#This Row],[SCHEDULE IN MT]]*scheduleapr[[#This Row],[CTL Stock]]</f>
        <v>173.05755433268044</v>
      </c>
      <c r="AN691" s="1">
        <f>SUMIFS(stock[MT],stock[Bucket],scheduleapr[[#This Row],[Bucket]],stock[CTL Bucket],scheduleapr[[#This Row],[CTL Bucket]],stock[Plant],"0789")</f>
        <v>1.9470000000000001E-2</v>
      </c>
      <c r="AO691" s="1"/>
      <c r="AP691" s="1">
        <f>SUMIFS(stock[MT],stock[Bucket],scheduleapr[[#This Row],[Bucket]],stock[LL or CTL],"LL")</f>
        <v>6.5656999999999993E-2</v>
      </c>
      <c r="AQ691" s="208">
        <f>+SUMIFS(wip[Stock(Net Wt)],wip[Bucket],scheduleapr[[#This Row],[Bucket]])/1000</f>
        <v>8.9860000000000007</v>
      </c>
      <c r="AR691" s="1">
        <f t="shared" si="22"/>
        <v>0.65556554208000006</v>
      </c>
      <c r="AS691" s="118"/>
    </row>
    <row r="692" spans="1:45" x14ac:dyDescent="0.25">
      <c r="A692" s="125">
        <v>569</v>
      </c>
      <c r="B692" s="5" t="s">
        <v>1816</v>
      </c>
      <c r="C692" s="2" t="s">
        <v>302</v>
      </c>
      <c r="D692" s="2" t="s">
        <v>2128</v>
      </c>
      <c r="E692" s="2">
        <v>944141</v>
      </c>
      <c r="F692" s="539">
        <v>1932848</v>
      </c>
      <c r="G692" s="100" t="str">
        <f>_xlfn.CONCAT(scheduleapr[[#This Row],[CUSTOMER CODE]],"-",scheduleapr[[#This Row],[MATERIAL NO]])</f>
        <v>944141-1932848</v>
      </c>
      <c r="H692" s="539" t="s">
        <v>426</v>
      </c>
      <c r="I692" s="2" t="s">
        <v>962</v>
      </c>
      <c r="J692" s="2"/>
      <c r="K692" s="2" t="s">
        <v>963</v>
      </c>
      <c r="L692" s="2" t="s">
        <v>1867</v>
      </c>
      <c r="M692" s="49" t="s">
        <v>1883</v>
      </c>
      <c r="N692" s="2"/>
      <c r="O692" s="2"/>
      <c r="P692" s="2"/>
      <c r="Q692" s="557" t="str">
        <f>CONCATENATE(scheduleapr[[#This Row],[OD]],"-",scheduleapr[[#This Row],[ID]],"-",scheduleapr[[#This Row],[TICKNESS]],"-",scheduleapr[[#This Row],[Grade]],"-",scheduleapr[[#This Row],[FC/NFC]])</f>
        <v>12.7-0-1.6-ERW 1-PE</v>
      </c>
      <c r="R692" s="557" t="str">
        <f>_xlfn.CONCAT(scheduleapr[[#This Row],[Bucket]],"-",scheduleapr[[#This Row],[LENGTH]]/1000)</f>
        <v>12.7-0-1.6-ERW 1-PE-0.26</v>
      </c>
      <c r="S692" s="557">
        <f>COUNTIF(scheduleapr[CTL Bucket],scheduleapr[[#This Row],[CTL Bucket]])</f>
        <v>1</v>
      </c>
      <c r="T692" s="2" t="s">
        <v>1816</v>
      </c>
      <c r="U692" s="2">
        <f>_xlfn.IFNA(VLOOKUP(scheduleapr[[#This Row],[Bucket]],salesforecast[[#All],[Bucket2]:[8406 Stock]],19,0),0)</f>
        <v>0</v>
      </c>
      <c r="V692" s="562">
        <f>_xlfn.IFNA(VLOOKUP(scheduleapr[[#This Row],[Bucket]],salesforecast[[#All],[Bucket2]:[8406 Stock]],20,0),0)+_xlfn.IFNA(VLOOKUP(scheduleapr[[#This Row],[Bucket]],salesforecast[[#All],[Bucket2]:[8406 Stock]],17,0),0)</f>
        <v>0</v>
      </c>
      <c r="W692" s="557"/>
      <c r="X692" s="1">
        <v>12.7</v>
      </c>
      <c r="Y692" s="1">
        <v>12.7</v>
      </c>
      <c r="Z692" s="6">
        <v>0</v>
      </c>
      <c r="AA692" s="1">
        <v>1.6</v>
      </c>
      <c r="AB692" s="23">
        <v>260</v>
      </c>
      <c r="AC692" s="24" t="s">
        <v>397</v>
      </c>
      <c r="AD692" s="24"/>
      <c r="AE692" s="24"/>
      <c r="AF692" s="44">
        <v>30000</v>
      </c>
      <c r="AG692" s="44"/>
      <c r="AH692" s="2" cm="1">
        <f t="array" ref="AH6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17900</v>
      </c>
      <c r="AI692" s="4">
        <f>scheduleapr[[#This Row],[SCHEDULE in nos]]-scheduleapr[[#This Row],[DISPATCH]]</f>
        <v>12100</v>
      </c>
      <c r="AJ692" s="1">
        <f>(3.14*(scheduleapr[[#This Row],[ACTUAL OD]]-scheduleapr[[#This Row],[TICKNESS]])*scheduleapr[[#This Row],[TICKNESS]]*scheduleapr[[#This Row],[LENGTH]]*7.85)/1000000*scheduleapr[[#This Row],[SCHEDULE in nos]]/1000</f>
        <v>3.4145766719999999</v>
      </c>
      <c r="AK692" s="1">
        <f>(3.14*(scheduleapr[[#This Row],[ACTUAL OD]]-scheduleapr[[#This Row],[TICKNESS]])*scheduleapr[[#This Row],[TICKNESS]]*scheduleapr[[#This Row],[LENGTH]]*7.85)/1000000*scheduleapr[[#This Row],[DISPATCH]]/1000</f>
        <v>2.0373640809600002</v>
      </c>
      <c r="AL692" s="1">
        <f t="shared" si="23"/>
        <v>1.3772125910399997</v>
      </c>
      <c r="AM692" s="1">
        <f>scheduleapr[[#This Row],[SCHEDULE in nos]]/scheduleapr[[#This Row],[SCHEDULE IN MT]]*scheduleapr[[#This Row],[CTL Stock]]</f>
        <v>2823.9518178258086</v>
      </c>
      <c r="AN692" s="1">
        <f>SUMIFS(stock[MT],stock[Bucket],scheduleapr[[#This Row],[Bucket]],stock[CTL Bucket],scheduleapr[[#This Row],[CTL Bucket]],stock[Plant],"0789")</f>
        <v>0.32141999999999998</v>
      </c>
      <c r="AO692" s="1"/>
      <c r="AP692" s="1">
        <f>SUMIFS(stock[MT],stock[Bucket],scheduleapr[[#This Row],[Bucket]],stock[LL or CTL],"LL")</f>
        <v>6.5656999999999993E-2</v>
      </c>
      <c r="AQ692" s="1">
        <f>+SUMIFS(wip[Stock(Net Wt)],wip[Bucket],scheduleapr[[#This Row],[Bucket]])/1000</f>
        <v>8.9860000000000007</v>
      </c>
      <c r="AR692" s="1">
        <f t="shared" si="22"/>
        <v>3.0931566720000001</v>
      </c>
      <c r="AS692" s="118"/>
    </row>
    <row r="693" spans="1:45" x14ac:dyDescent="0.25">
      <c r="A693" s="30">
        <v>570</v>
      </c>
      <c r="B693" s="5" t="s">
        <v>1816</v>
      </c>
      <c r="C693" s="2" t="s">
        <v>302</v>
      </c>
      <c r="D693" s="2" t="s">
        <v>2128</v>
      </c>
      <c r="E693" s="2">
        <v>944141</v>
      </c>
      <c r="F693" s="539">
        <v>1939994</v>
      </c>
      <c r="G693" s="100" t="str">
        <f>_xlfn.CONCAT(scheduleapr[[#This Row],[CUSTOMER CODE]],"-",scheduleapr[[#This Row],[MATERIAL NO]])</f>
        <v>944141-1939994</v>
      </c>
      <c r="H693" s="539" t="s">
        <v>431</v>
      </c>
      <c r="I693" s="2" t="s">
        <v>962</v>
      </c>
      <c r="J693" s="2"/>
      <c r="K693" s="2" t="s">
        <v>963</v>
      </c>
      <c r="L693" s="2" t="s">
        <v>1867</v>
      </c>
      <c r="M693" s="2" t="s">
        <v>1881</v>
      </c>
      <c r="N693" s="2"/>
      <c r="O693" s="2"/>
      <c r="P693" s="2"/>
      <c r="Q693" s="557" t="str">
        <f>CONCATENATE(scheduleapr[[#This Row],[OD]],"-",scheduleapr[[#This Row],[ID]],"-",scheduleapr[[#This Row],[TICKNESS]],"-",scheduleapr[[#This Row],[Grade]],"-",scheduleapr[[#This Row],[FC/NFC]])</f>
        <v>12.7-0-1.6-ERW 1-PE</v>
      </c>
      <c r="R693" s="557" t="str">
        <f>_xlfn.CONCAT(scheduleapr[[#This Row],[Bucket]],"-",scheduleapr[[#This Row],[LENGTH]]/1000)</f>
        <v>12.7-0-1.6-ERW 1-PE-0.28</v>
      </c>
      <c r="S693" s="557">
        <f>COUNTIF(scheduleapr[CTL Bucket],scheduleapr[[#This Row],[CTL Bucket]])</f>
        <v>2</v>
      </c>
      <c r="T693" s="2" t="s">
        <v>1816</v>
      </c>
      <c r="U693" s="2">
        <f>_xlfn.IFNA(VLOOKUP(scheduleapr[[#This Row],[Bucket]],salesforecast[[#All],[Bucket2]:[8406 Stock]],19,0),0)</f>
        <v>0</v>
      </c>
      <c r="V693" s="562">
        <f>_xlfn.IFNA(VLOOKUP(scheduleapr[[#This Row],[Bucket]],salesforecast[[#All],[Bucket2]:[8406 Stock]],20,0),0)+_xlfn.IFNA(VLOOKUP(scheduleapr[[#This Row],[Bucket]],salesforecast[[#All],[Bucket2]:[8406 Stock]],17,0),0)</f>
        <v>0</v>
      </c>
      <c r="W693" s="557"/>
      <c r="X693" s="1">
        <v>12.7</v>
      </c>
      <c r="Y693" s="1">
        <v>12.7</v>
      </c>
      <c r="Z693" s="6">
        <v>0</v>
      </c>
      <c r="AA693" s="1">
        <v>1.6</v>
      </c>
      <c r="AB693" s="23">
        <v>280</v>
      </c>
      <c r="AC693" s="24" t="s">
        <v>397</v>
      </c>
      <c r="AD693" s="24"/>
      <c r="AE693" s="24"/>
      <c r="AF693" s="44">
        <v>30000</v>
      </c>
      <c r="AG693" s="44"/>
      <c r="AH693" s="2" cm="1">
        <f t="array" ref="AH6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21700</v>
      </c>
      <c r="AI693" s="4">
        <f>scheduleapr[[#This Row],[SCHEDULE in nos]]-scheduleapr[[#This Row],[DISPATCH]]</f>
        <v>8300</v>
      </c>
      <c r="AJ693" s="1">
        <f>(3.14*(scheduleapr[[#This Row],[ACTUAL OD]]-scheduleapr[[#This Row],[TICKNESS]])*scheduleapr[[#This Row],[TICKNESS]]*scheduleapr[[#This Row],[LENGTH]]*7.85)/1000000*scheduleapr[[#This Row],[SCHEDULE in nos]]/1000</f>
        <v>3.677236416</v>
      </c>
      <c r="AK693" s="1">
        <f>(3.14*(scheduleapr[[#This Row],[ACTUAL OD]]-scheduleapr[[#This Row],[TICKNESS]])*scheduleapr[[#This Row],[TICKNESS]]*scheduleapr[[#This Row],[LENGTH]]*7.85)/1000000*scheduleapr[[#This Row],[DISPATCH]]/1000</f>
        <v>2.65986767424</v>
      </c>
      <c r="AL693" s="1">
        <f t="shared" si="23"/>
        <v>1.0173687417599999</v>
      </c>
      <c r="AM693" s="1">
        <f>scheduleapr[[#This Row],[SCHEDULE in nos]]/scheduleapr[[#This Row],[SCHEDULE IN MT]]*scheduleapr[[#This Row],[CTL Stock]]</f>
        <v>42.023406307961459</v>
      </c>
      <c r="AN693" s="1">
        <f>SUMIFS(stock[MT],stock[Bucket],scheduleapr[[#This Row],[Bucket]],stock[CTL Bucket],scheduleapr[[#This Row],[CTL Bucket]],stock[Plant],"0789")</f>
        <v>5.1509999999999993E-3</v>
      </c>
      <c r="AO693" s="1"/>
      <c r="AP693" s="1">
        <f>SUMIFS(stock[MT],stock[Bucket],scheduleapr[[#This Row],[Bucket]],stock[LL or CTL],"LL")</f>
        <v>6.5656999999999993E-2</v>
      </c>
      <c r="AQ693" s="1">
        <f>+SUMIFS(wip[Stock(Net Wt)],wip[Bucket],scheduleapr[[#This Row],[Bucket]])/1000</f>
        <v>8.9860000000000007</v>
      </c>
      <c r="AR693" s="1">
        <f t="shared" si="22"/>
        <v>3.6720854159999998</v>
      </c>
      <c r="AS693" s="118"/>
    </row>
    <row r="694" spans="1:45" x14ac:dyDescent="0.25">
      <c r="A694" s="125">
        <v>571</v>
      </c>
      <c r="B694" s="5" t="s">
        <v>1816</v>
      </c>
      <c r="C694" s="2" t="s">
        <v>302</v>
      </c>
      <c r="D694" s="2" t="s">
        <v>2128</v>
      </c>
      <c r="E694" s="2">
        <v>944141</v>
      </c>
      <c r="F694" s="539">
        <v>3676337</v>
      </c>
      <c r="G694" s="100" t="str">
        <f>_xlfn.CONCAT(scheduleapr[[#This Row],[CUSTOMER CODE]],"-",scheduleapr[[#This Row],[MATERIAL NO]])</f>
        <v>944141-3676337</v>
      </c>
      <c r="H694" s="539" t="s">
        <v>1156</v>
      </c>
      <c r="I694" s="2" t="s">
        <v>962</v>
      </c>
      <c r="J694" s="2"/>
      <c r="K694" s="2" t="s">
        <v>963</v>
      </c>
      <c r="L694" s="2" t="s">
        <v>1867</v>
      </c>
      <c r="M694" s="2" t="s">
        <v>1881</v>
      </c>
      <c r="N694" s="2"/>
      <c r="O694" s="2"/>
      <c r="P694" s="2"/>
      <c r="Q694" s="557" t="str">
        <f>CONCATENATE(scheduleapr[[#This Row],[OD]],"-",scheduleapr[[#This Row],[ID]],"-",scheduleapr[[#This Row],[TICKNESS]],"-",scheduleapr[[#This Row],[Grade]],"-",scheduleapr[[#This Row],[FC/NFC]])</f>
        <v>12.7-0-1.6-ERW 1-PE</v>
      </c>
      <c r="R694" s="557" t="str">
        <f>_xlfn.CONCAT(scheduleapr[[#This Row],[Bucket]],"-",scheduleapr[[#This Row],[LENGTH]]/1000)</f>
        <v>12.7-0-1.6-ERW 1-PE-0.32</v>
      </c>
      <c r="S694" s="557">
        <f>COUNTIF(scheduleapr[CTL Bucket],scheduleapr[[#This Row],[CTL Bucket]])</f>
        <v>2</v>
      </c>
      <c r="T694" s="557"/>
      <c r="U694" s="2">
        <f>_xlfn.IFNA(VLOOKUP(scheduleapr[[#This Row],[Bucket]],salesforecast[[#All],[Bucket2]:[8406 Stock]],19,0),0)</f>
        <v>0</v>
      </c>
      <c r="V694" s="562">
        <f>_xlfn.IFNA(VLOOKUP(scheduleapr[[#This Row],[Bucket]],salesforecast[[#All],[Bucket2]:[8406 Stock]],20,0),0)+_xlfn.IFNA(VLOOKUP(scheduleapr[[#This Row],[Bucket]],salesforecast[[#All],[Bucket2]:[8406 Stock]],17,0),0)</f>
        <v>0</v>
      </c>
      <c r="W694" s="557"/>
      <c r="X694" s="1">
        <v>12.7</v>
      </c>
      <c r="Y694" s="1">
        <v>12.7</v>
      </c>
      <c r="Z694" s="6">
        <v>0</v>
      </c>
      <c r="AA694" s="1">
        <v>1.6</v>
      </c>
      <c r="AB694" s="24">
        <v>320</v>
      </c>
      <c r="AC694" s="24" t="s">
        <v>397</v>
      </c>
      <c r="AD694" s="24" t="s">
        <v>1869</v>
      </c>
      <c r="AE694" s="24">
        <v>1000</v>
      </c>
      <c r="AF694" s="44">
        <v>6000</v>
      </c>
      <c r="AG694" s="44" t="s">
        <v>1838</v>
      </c>
      <c r="AH694" s="2" cm="1">
        <f t="array" ref="AH6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4" s="4">
        <f>scheduleapr[[#This Row],[SCHEDULE in nos]]-scheduleapr[[#This Row],[DISPATCH]]</f>
        <v>6000</v>
      </c>
      <c r="AJ694" s="1">
        <f>(3.14*(scheduleapr[[#This Row],[ACTUAL OD]]-scheduleapr[[#This Row],[TICKNESS]])*scheduleapr[[#This Row],[TICKNESS]]*scheduleapr[[#This Row],[LENGTH]]*7.85)/1000000*scheduleapr[[#This Row],[SCHEDULE in nos]]/1000</f>
        <v>0.84051118079999987</v>
      </c>
      <c r="AK694" s="1">
        <f>(3.14*(scheduleapr[[#This Row],[ACTUAL OD]]-scheduleapr[[#This Row],[TICKNESS]])*scheduleapr[[#This Row],[TICKNESS]]*scheduleapr[[#This Row],[LENGTH]]*7.85)/1000000*scheduleapr[[#This Row],[DISPATCH]]/1000</f>
        <v>0</v>
      </c>
      <c r="AL694" s="1">
        <f t="shared" si="23"/>
        <v>0.84051118079999987</v>
      </c>
      <c r="AM694" s="1">
        <f>scheduleapr[[#This Row],[SCHEDULE in nos]]/scheduleapr[[#This Row],[SCHEDULE IN MT]]*scheduleapr[[#This Row],[CTL Stock]]</f>
        <v>139.00826386246689</v>
      </c>
      <c r="AN694" s="1">
        <f>SUMIFS(stock[MT],stock[Bucket],scheduleapr[[#This Row],[Bucket]],stock[CTL Bucket],scheduleapr[[#This Row],[CTL Bucket]],stock[Plant],"0789")</f>
        <v>1.9473000000000001E-2</v>
      </c>
      <c r="AO694" s="1"/>
      <c r="AP694" s="1">
        <f>SUMIFS(stock[MT],stock[Bucket],scheduleapr[[#This Row],[Bucket]],stock[LL or CTL],"LL")</f>
        <v>6.5656999999999993E-2</v>
      </c>
      <c r="AQ694" s="208">
        <f>+SUMIFS(wip[Stock(Net Wt)],wip[Bucket],scheduleapr[[#This Row],[Bucket]])/1000</f>
        <v>8.9860000000000007</v>
      </c>
      <c r="AR694" s="1">
        <f t="shared" si="22"/>
        <v>0.82103818079999991</v>
      </c>
      <c r="AS694" s="118"/>
    </row>
    <row r="695" spans="1:45" x14ac:dyDescent="0.25">
      <c r="A695" s="30">
        <v>572</v>
      </c>
      <c r="B695" s="5" t="s">
        <v>1816</v>
      </c>
      <c r="C695" s="2" t="s">
        <v>302</v>
      </c>
      <c r="D695" s="2" t="s">
        <v>2128</v>
      </c>
      <c r="E695" s="2">
        <v>944141</v>
      </c>
      <c r="F695" s="539">
        <v>3620427</v>
      </c>
      <c r="G695" s="100" t="str">
        <f>_xlfn.CONCAT(scheduleapr[[#This Row],[CUSTOMER CODE]],"-",scheduleapr[[#This Row],[MATERIAL NO]])</f>
        <v>944141-3620427</v>
      </c>
      <c r="H695" s="539" t="s">
        <v>438</v>
      </c>
      <c r="I695" s="2" t="s">
        <v>962</v>
      </c>
      <c r="J695" s="2"/>
      <c r="K695" s="2" t="s">
        <v>963</v>
      </c>
      <c r="L695" s="2" t="s">
        <v>1867</v>
      </c>
      <c r="M695" s="2" t="s">
        <v>1881</v>
      </c>
      <c r="N695" s="2"/>
      <c r="O695" s="2"/>
      <c r="P695" s="2"/>
      <c r="Q695" s="557" t="str">
        <f>CONCATENATE(scheduleapr[[#This Row],[OD]],"-",scheduleapr[[#This Row],[ID]],"-",scheduleapr[[#This Row],[TICKNESS]],"-",scheduleapr[[#This Row],[Grade]],"-",scheduleapr[[#This Row],[FC/NFC]])</f>
        <v>12.7-0-1.6-ERW 1-PE</v>
      </c>
      <c r="R695" s="557" t="str">
        <f>_xlfn.CONCAT(scheduleapr[[#This Row],[Bucket]],"-",scheduleapr[[#This Row],[LENGTH]]/1000)</f>
        <v>12.7-0-1.6-ERW 1-PE-0.95</v>
      </c>
      <c r="S695" s="557">
        <f>COUNTIF(scheduleapr[CTL Bucket],scheduleapr[[#This Row],[CTL Bucket]])</f>
        <v>2</v>
      </c>
      <c r="T695" s="557"/>
      <c r="U695" s="2">
        <f>_xlfn.IFNA(VLOOKUP(scheduleapr[[#This Row],[Bucket]],salesforecast[[#All],[Bucket2]:[8406 Stock]],19,0),0)</f>
        <v>0</v>
      </c>
      <c r="V695" s="562">
        <f>_xlfn.IFNA(VLOOKUP(scheduleapr[[#This Row],[Bucket]],salesforecast[[#All],[Bucket2]:[8406 Stock]],20,0),0)+_xlfn.IFNA(VLOOKUP(scheduleapr[[#This Row],[Bucket]],salesforecast[[#All],[Bucket2]:[8406 Stock]],17,0),0)</f>
        <v>0</v>
      </c>
      <c r="W695" s="557"/>
      <c r="X695" s="1">
        <v>12.7</v>
      </c>
      <c r="Y695" s="1">
        <v>12.7</v>
      </c>
      <c r="Z695" s="6">
        <v>0</v>
      </c>
      <c r="AA695" s="1">
        <v>1.6</v>
      </c>
      <c r="AB695" s="24">
        <v>950</v>
      </c>
      <c r="AC695" s="24" t="s">
        <v>397</v>
      </c>
      <c r="AD695" s="24" t="s">
        <v>1869</v>
      </c>
      <c r="AE695" s="24">
        <v>5000</v>
      </c>
      <c r="AF695" s="44">
        <v>6000</v>
      </c>
      <c r="AG695" s="44" t="s">
        <v>1838</v>
      </c>
      <c r="AH695" s="2" cm="1">
        <f t="array" ref="AH6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5" s="4">
        <f>scheduleapr[[#This Row],[SCHEDULE in nos]]-scheduleapr[[#This Row],[DISPATCH]]</f>
        <v>6000</v>
      </c>
      <c r="AJ695" s="1">
        <f>(3.14*(scheduleapr[[#This Row],[ACTUAL OD]]-scheduleapr[[#This Row],[TICKNESS]])*scheduleapr[[#This Row],[TICKNESS]]*scheduleapr[[#This Row],[LENGTH]]*7.85)/1000000*scheduleapr[[#This Row],[SCHEDULE in nos]]/1000</f>
        <v>2.495267568</v>
      </c>
      <c r="AK695" s="1">
        <f>(3.14*(scheduleapr[[#This Row],[ACTUAL OD]]-scheduleapr[[#This Row],[TICKNESS]])*scheduleapr[[#This Row],[TICKNESS]]*scheduleapr[[#This Row],[LENGTH]]*7.85)/1000000*scheduleapr[[#This Row],[DISPATCH]]/1000</f>
        <v>0</v>
      </c>
      <c r="AL695" s="1">
        <f t="shared" si="23"/>
        <v>2.495267568</v>
      </c>
      <c r="AM695" s="1">
        <f>scheduleapr[[#This Row],[SCHEDULE in nos]]/scheduleapr[[#This Row],[SCHEDULE IN MT]]*scheduleapr[[#This Row],[CTL Stock]]</f>
        <v>2685.3817546191103</v>
      </c>
      <c r="AN695" s="1">
        <f>SUMIFS(stock[MT],stock[Bucket],scheduleapr[[#This Row],[Bucket]],stock[CTL Bucket],scheduleapr[[#This Row],[CTL Bucket]],stock[Plant],"0789")</f>
        <v>1.1167910000000001</v>
      </c>
      <c r="AO695" s="1"/>
      <c r="AP695" s="1">
        <f>SUMIFS(stock[MT],stock[Bucket],scheduleapr[[#This Row],[Bucket]],stock[LL or CTL],"LL")</f>
        <v>6.5656999999999993E-2</v>
      </c>
      <c r="AQ695" s="208">
        <f>+SUMIFS(wip[Stock(Net Wt)],wip[Bucket],scheduleapr[[#This Row],[Bucket]])/1000</f>
        <v>8.9860000000000007</v>
      </c>
      <c r="AR695" s="1">
        <f t="shared" si="22"/>
        <v>1.378476568</v>
      </c>
      <c r="AS695" s="118"/>
    </row>
    <row r="696" spans="1:45" x14ac:dyDescent="0.25">
      <c r="A696" s="125">
        <v>573</v>
      </c>
      <c r="B696" s="5" t="s">
        <v>1816</v>
      </c>
      <c r="C696" s="2" t="s">
        <v>302</v>
      </c>
      <c r="D696" s="2" t="s">
        <v>2128</v>
      </c>
      <c r="E696" s="2">
        <v>944141</v>
      </c>
      <c r="F696" s="539">
        <v>1940014</v>
      </c>
      <c r="G696" s="100" t="str">
        <f>_xlfn.CONCAT(scheduleapr[[#This Row],[CUSTOMER CODE]],"-",scheduleapr[[#This Row],[MATERIAL NO]])</f>
        <v>944141-1940014</v>
      </c>
      <c r="H696" s="539" t="s">
        <v>448</v>
      </c>
      <c r="I696" s="2" t="s">
        <v>962</v>
      </c>
      <c r="J696" s="2"/>
      <c r="K696" s="2" t="s">
        <v>963</v>
      </c>
      <c r="L696" s="2" t="s">
        <v>1867</v>
      </c>
      <c r="M696" s="2" t="s">
        <v>1881</v>
      </c>
      <c r="N696" s="2"/>
      <c r="O696" s="2"/>
      <c r="P696" s="2"/>
      <c r="Q696" s="557" t="str">
        <f>CONCATENATE(scheduleapr[[#This Row],[OD]],"-",scheduleapr[[#This Row],[ID]],"-",scheduleapr[[#This Row],[TICKNESS]],"-",scheduleapr[[#This Row],[Grade]],"-",scheduleapr[[#This Row],[FC/NFC]])</f>
        <v>12.7-0-1.6-ERW 1-PE</v>
      </c>
      <c r="R696" s="557" t="str">
        <f>_xlfn.CONCAT(scheduleapr[[#This Row],[Bucket]],"-",scheduleapr[[#This Row],[LENGTH]]/1000)</f>
        <v>12.7-0-1.6-ERW 1-PE-1</v>
      </c>
      <c r="S696" s="557">
        <f>COUNTIF(scheduleapr[CTL Bucket],scheduleapr[[#This Row],[CTL Bucket]])</f>
        <v>1</v>
      </c>
      <c r="T696" s="2" t="s">
        <v>1816</v>
      </c>
      <c r="U696" s="2">
        <f>_xlfn.IFNA(VLOOKUP(scheduleapr[[#This Row],[Bucket]],salesforecast[[#All],[Bucket2]:[8406 Stock]],19,0),0)</f>
        <v>0</v>
      </c>
      <c r="V696" s="562">
        <f>_xlfn.IFNA(VLOOKUP(scheduleapr[[#This Row],[Bucket]],salesforecast[[#All],[Bucket2]:[8406 Stock]],20,0),0)+_xlfn.IFNA(VLOOKUP(scheduleapr[[#This Row],[Bucket]],salesforecast[[#All],[Bucket2]:[8406 Stock]],17,0),0)</f>
        <v>0</v>
      </c>
      <c r="W696" s="557"/>
      <c r="X696" s="1">
        <v>12.7</v>
      </c>
      <c r="Y696" s="1">
        <v>12.7</v>
      </c>
      <c r="Z696" s="6">
        <v>0</v>
      </c>
      <c r="AA696" s="1">
        <v>1.6</v>
      </c>
      <c r="AB696" s="24">
        <v>1000</v>
      </c>
      <c r="AC696" s="24" t="s">
        <v>444</v>
      </c>
      <c r="AD696" s="24" t="s">
        <v>1869</v>
      </c>
      <c r="AE696" s="24">
        <v>1000</v>
      </c>
      <c r="AF696" s="44">
        <v>5000</v>
      </c>
      <c r="AG696" s="44"/>
      <c r="AH696" s="2" cm="1">
        <f t="array" ref="AH6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96" s="4">
        <f>scheduleapr[[#This Row],[SCHEDULE in nos]]-scheduleapr[[#This Row],[DISPATCH]]</f>
        <v>-1000</v>
      </c>
      <c r="AJ696" s="1">
        <f>(3.14*(scheduleapr[[#This Row],[ACTUAL OD]]-scheduleapr[[#This Row],[TICKNESS]])*scheduleapr[[#This Row],[TICKNESS]]*scheduleapr[[#This Row],[LENGTH]]*7.85)/1000000*scheduleapr[[#This Row],[SCHEDULE in nos]]/1000</f>
        <v>2.1888312000000001</v>
      </c>
      <c r="AK696" s="1">
        <f>(3.14*(scheduleapr[[#This Row],[ACTUAL OD]]-scheduleapr[[#This Row],[TICKNESS]])*scheduleapr[[#This Row],[TICKNESS]]*scheduleapr[[#This Row],[LENGTH]]*7.85)/1000000*scheduleapr[[#This Row],[DISPATCH]]/1000</f>
        <v>2.6265974399999998</v>
      </c>
      <c r="AL696" s="1">
        <f t="shared" si="23"/>
        <v>-0.43776623999999975</v>
      </c>
      <c r="AM696" s="1">
        <f>scheduleapr[[#This Row],[SCHEDULE in nos]]/scheduleapr[[#This Row],[SCHEDULE IN MT]]*scheduleapr[[#This Row],[CTL Stock]]</f>
        <v>149.98187160343838</v>
      </c>
      <c r="AN696" s="1">
        <f>SUMIFS(stock[MT],stock[Bucket],scheduleapr[[#This Row],[Bucket]],stock[CTL Bucket],scheduleapr[[#This Row],[CTL Bucket]],stock[Plant],"0789")</f>
        <v>6.5656999999999993E-2</v>
      </c>
      <c r="AO696" s="1"/>
      <c r="AP696" s="1">
        <f>SUMIFS(stock[MT],stock[Bucket],scheduleapr[[#This Row],[Bucket]],stock[LL or CTL],"LL")</f>
        <v>6.5656999999999993E-2</v>
      </c>
      <c r="AQ696" s="208">
        <f>+SUMIFS(wip[Stock(Net Wt)],wip[Bucket],scheduleapr[[#This Row],[Bucket]])/1000</f>
        <v>8.9860000000000007</v>
      </c>
      <c r="AR696" s="1">
        <f t="shared" si="22"/>
        <v>2.1231742000000002</v>
      </c>
      <c r="AS696" s="118"/>
    </row>
    <row r="697" spans="1:45" x14ac:dyDescent="0.25">
      <c r="A697" s="30">
        <v>575</v>
      </c>
      <c r="B697" s="5" t="s">
        <v>1816</v>
      </c>
      <c r="C697" s="2" t="s">
        <v>302</v>
      </c>
      <c r="D697" s="2" t="s">
        <v>2128</v>
      </c>
      <c r="E697" s="2">
        <v>944141</v>
      </c>
      <c r="F697" s="539">
        <v>1940043</v>
      </c>
      <c r="G697" s="100" t="str">
        <f>_xlfn.CONCAT(scheduleapr[[#This Row],[CUSTOMER CODE]],"-",scheduleapr[[#This Row],[MATERIAL NO]])</f>
        <v>944141-1940043</v>
      </c>
      <c r="H697" s="539" t="s">
        <v>486</v>
      </c>
      <c r="I697" s="2" t="s">
        <v>962</v>
      </c>
      <c r="J697" s="2"/>
      <c r="K697" s="2" t="s">
        <v>963</v>
      </c>
      <c r="L697" s="2" t="s">
        <v>1867</v>
      </c>
      <c r="M697" s="2"/>
      <c r="N697" s="2"/>
      <c r="O697" s="2"/>
      <c r="P697" s="2"/>
      <c r="Q697" s="557" t="str">
        <f>CONCATENATE(scheduleapr[[#This Row],[OD]],"-",scheduleapr[[#This Row],[ID]],"-",scheduleapr[[#This Row],[TICKNESS]],"-",scheduleapr[[#This Row],[Grade]],"-",scheduleapr[[#This Row],[FC/NFC]])</f>
        <v>15.88-0-1.2-ERW 1-PE</v>
      </c>
      <c r="R697" s="557" t="str">
        <f>_xlfn.CONCAT(scheduleapr[[#This Row],[Bucket]],"-",scheduleapr[[#This Row],[LENGTH]]/1000)</f>
        <v>15.88-0-1.2-ERW 1-PE-0.888</v>
      </c>
      <c r="S697" s="557">
        <f>COUNTIF(scheduleapr[CTL Bucket],scheduleapr[[#This Row],[CTL Bucket]])</f>
        <v>2</v>
      </c>
      <c r="T697" s="2" t="s">
        <v>1816</v>
      </c>
      <c r="U697" s="2">
        <f>_xlfn.IFNA(VLOOKUP(scheduleapr[[#This Row],[Bucket]],salesforecast[[#All],[Bucket2]:[8406 Stock]],19,0),0)</f>
        <v>0.170849</v>
      </c>
      <c r="V697" s="562">
        <f>_xlfn.IFNA(VLOOKUP(scheduleapr[[#This Row],[Bucket]],salesforecast[[#All],[Bucket2]:[8406 Stock]],20,0),0)+_xlfn.IFNA(VLOOKUP(scheduleapr[[#This Row],[Bucket]],salesforecast[[#All],[Bucket2]:[8406 Stock]],17,0),0)</f>
        <v>0</v>
      </c>
      <c r="W697" s="557"/>
      <c r="X697" s="1">
        <v>15.88</v>
      </c>
      <c r="Y697" s="1">
        <v>15.88</v>
      </c>
      <c r="Z697" s="6">
        <v>0</v>
      </c>
      <c r="AA697" s="1">
        <v>1.2</v>
      </c>
      <c r="AB697" s="24">
        <v>888</v>
      </c>
      <c r="AC697" s="24" t="s">
        <v>397</v>
      </c>
      <c r="AD697" s="24"/>
      <c r="AE697" s="24"/>
      <c r="AF697" s="44">
        <v>30000</v>
      </c>
      <c r="AG697" s="44"/>
      <c r="AH697" s="2" cm="1">
        <f t="array" ref="AH6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23800</v>
      </c>
      <c r="AI697" s="4">
        <f>scheduleapr[[#This Row],[SCHEDULE in nos]]-scheduleapr[[#This Row],[DISPATCH]]</f>
        <v>6200</v>
      </c>
      <c r="AJ697" s="1">
        <f>(3.14*(scheduleapr[[#This Row],[ACTUAL OD]]-scheduleapr[[#This Row],[TICKNESS]])*scheduleapr[[#This Row],[TICKNESS]]*scheduleapr[[#This Row],[LENGTH]]*7.85)/1000000*scheduleapr[[#This Row],[SCHEDULE in nos]]/1000</f>
        <v>11.567535125760001</v>
      </c>
      <c r="AK697" s="1">
        <f>(3.14*(scheduleapr[[#This Row],[ACTUAL OD]]-scheduleapr[[#This Row],[TICKNESS]])*scheduleapr[[#This Row],[TICKNESS]]*scheduleapr[[#This Row],[LENGTH]]*7.85)/1000000*scheduleapr[[#This Row],[DISPATCH]]/1000</f>
        <v>9.1769111997696005</v>
      </c>
      <c r="AL697" s="1">
        <f t="shared" si="23"/>
        <v>2.3906239259904005</v>
      </c>
      <c r="AM697" s="1">
        <f>scheduleapr[[#This Row],[SCHEDULE in nos]]/scheduleapr[[#This Row],[SCHEDULE IN MT]]*scheduleapr[[#This Row],[CTL Stock]]</f>
        <v>3679.4269079173109</v>
      </c>
      <c r="AN697" s="1">
        <f>SUMIFS(stock[MT],stock[Bucket],scheduleapr[[#This Row],[Bucket]],stock[CTL Bucket],scheduleapr[[#This Row],[CTL Bucket]],stock[Plant],"0789")</f>
        <v>1.41873</v>
      </c>
      <c r="AO697" s="1"/>
      <c r="AP697" s="1">
        <f>SUMIFS(stock[MT],stock[Bucket],scheduleapr[[#This Row],[Bucket]],stock[LL or CTL],"LL")</f>
        <v>6.069591</v>
      </c>
      <c r="AQ697" s="1">
        <f>+SUMIFS(wip[Stock(Net Wt)],wip[Bucket],scheduleapr[[#This Row],[Bucket]])/1000</f>
        <v>7.3860000000000001</v>
      </c>
      <c r="AR697" s="1">
        <f t="shared" si="22"/>
        <v>10.148805125760001</v>
      </c>
      <c r="AS697" s="118"/>
    </row>
    <row r="698" spans="1:45" x14ac:dyDescent="0.25">
      <c r="A698" s="125">
        <v>576</v>
      </c>
      <c r="B698" s="5" t="s">
        <v>1816</v>
      </c>
      <c r="C698" s="2" t="s">
        <v>302</v>
      </c>
      <c r="D698" s="48" t="s">
        <v>2128</v>
      </c>
      <c r="E698" s="2">
        <v>944141</v>
      </c>
      <c r="F698" s="539">
        <v>3620428</v>
      </c>
      <c r="G698" s="100" t="str">
        <f>_xlfn.CONCAT(scheduleapr[[#This Row],[CUSTOMER CODE]],"-",scheduleapr[[#This Row],[MATERIAL NO]])</f>
        <v>944141-3620428</v>
      </c>
      <c r="H698" s="539" t="s">
        <v>507</v>
      </c>
      <c r="I698" s="2" t="s">
        <v>962</v>
      </c>
      <c r="J698" s="2"/>
      <c r="K698" s="2" t="s">
        <v>963</v>
      </c>
      <c r="L698" s="2" t="s">
        <v>1867</v>
      </c>
      <c r="M698" s="2" t="s">
        <v>1881</v>
      </c>
      <c r="N698" s="2"/>
      <c r="O698" s="2"/>
      <c r="P698" s="2"/>
      <c r="Q698" s="557" t="str">
        <f>CONCATENATE(scheduleapr[[#This Row],[OD]],"-",scheduleapr[[#This Row],[ID]],"-",scheduleapr[[#This Row],[TICKNESS]],"-",scheduleapr[[#This Row],[Grade]],"-",scheduleapr[[#This Row],[FC/NFC]])</f>
        <v>15.88-0-1.6-ERW 1-PE</v>
      </c>
      <c r="R698" s="557" t="str">
        <f>_xlfn.CONCAT(scheduleapr[[#This Row],[Bucket]],"-",scheduleapr[[#This Row],[LENGTH]]/1000)</f>
        <v>15.88-0-1.6-ERW 1-PE-0.435</v>
      </c>
      <c r="S698" s="557">
        <f>COUNTIF(scheduleapr[CTL Bucket],scheduleapr[[#This Row],[CTL Bucket]])</f>
        <v>1</v>
      </c>
      <c r="T698" s="2" t="s">
        <v>1816</v>
      </c>
      <c r="U698" s="2">
        <f>_xlfn.IFNA(VLOOKUP(scheduleapr[[#This Row],[Bucket]],salesforecast[[#All],[Bucket2]:[8406 Stock]],19,0),0)</f>
        <v>0</v>
      </c>
      <c r="V698" s="562">
        <f>_xlfn.IFNA(VLOOKUP(scheduleapr[[#This Row],[Bucket]],salesforecast[[#All],[Bucket2]:[8406 Stock]],20,0),0)+_xlfn.IFNA(VLOOKUP(scheduleapr[[#This Row],[Bucket]],salesforecast[[#All],[Bucket2]:[8406 Stock]],17,0),0)</f>
        <v>0</v>
      </c>
      <c r="W698" s="557"/>
      <c r="X698" s="1">
        <v>15.88</v>
      </c>
      <c r="Y698" s="1">
        <v>15.88</v>
      </c>
      <c r="Z698" s="6">
        <v>0</v>
      </c>
      <c r="AA698" s="1">
        <v>1.6</v>
      </c>
      <c r="AB698" s="24">
        <v>435</v>
      </c>
      <c r="AC698" s="24" t="s">
        <v>397</v>
      </c>
      <c r="AD698" s="24"/>
      <c r="AE698" s="24"/>
      <c r="AF698" s="44">
        <v>20000</v>
      </c>
      <c r="AG698" s="44"/>
      <c r="AH698" s="2" cm="1">
        <f t="array" ref="AH6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16850</v>
      </c>
      <c r="AI698" s="4">
        <f>scheduleapr[[#This Row],[SCHEDULE in nos]]-scheduleapr[[#This Row],[DISPATCH]]</f>
        <v>3150</v>
      </c>
      <c r="AJ698" s="1">
        <f>(3.14*(scheduleapr[[#This Row],[ACTUAL OD]]-scheduleapr[[#This Row],[TICKNESS]])*scheduleapr[[#This Row],[TICKNESS]]*scheduleapr[[#This Row],[LENGTH]]*7.85)/1000000*scheduleapr[[#This Row],[SCHEDULE in nos]]/1000</f>
        <v>4.8996690624000001</v>
      </c>
      <c r="AK698" s="1">
        <f>(3.14*(scheduleapr[[#This Row],[ACTUAL OD]]-scheduleapr[[#This Row],[TICKNESS]])*scheduleapr[[#This Row],[TICKNESS]]*scheduleapr[[#This Row],[LENGTH]]*7.85)/1000000*scheduleapr[[#This Row],[DISPATCH]]/1000</f>
        <v>4.127971185072</v>
      </c>
      <c r="AL698" s="1">
        <f t="shared" si="23"/>
        <v>0.7716978773280001</v>
      </c>
      <c r="AM698" s="1">
        <f>scheduleapr[[#This Row],[SCHEDULE in nos]]/scheduleapr[[#This Row],[SCHEDULE IN MT]]*scheduleapr[[#This Row],[CTL Stock]]</f>
        <v>9701.6674788880537</v>
      </c>
      <c r="AN698" s="1">
        <f>SUMIFS(stock[MT],stock[Bucket],scheduleapr[[#This Row],[Bucket]],stock[CTL Bucket],scheduleapr[[#This Row],[CTL Bucket]],stock[Plant],"0789")</f>
        <v>2.3767480000000001</v>
      </c>
      <c r="AO698" s="1"/>
      <c r="AP698" s="1">
        <f>SUMIFS(stock[MT],stock[Bucket],scheduleapr[[#This Row],[Bucket]],stock[LL or CTL],"LL")</f>
        <v>0</v>
      </c>
      <c r="AQ698" s="1">
        <f>+SUMIFS(wip[Stock(Net Wt)],wip[Bucket],scheduleapr[[#This Row],[Bucket]])/1000</f>
        <v>3.8879999999999999</v>
      </c>
      <c r="AR698" s="1">
        <f t="shared" si="22"/>
        <v>2.5229210624</v>
      </c>
      <c r="AS698" s="118"/>
    </row>
    <row r="699" spans="1:45" x14ac:dyDescent="0.25">
      <c r="A699" s="30">
        <v>577</v>
      </c>
      <c r="B699" s="5" t="s">
        <v>1816</v>
      </c>
      <c r="C699" s="2" t="s">
        <v>302</v>
      </c>
      <c r="D699" s="2" t="s">
        <v>2128</v>
      </c>
      <c r="E699" s="2">
        <v>944141</v>
      </c>
      <c r="F699" s="539">
        <v>1940078</v>
      </c>
      <c r="G699" s="100" t="str">
        <f>_xlfn.CONCAT(scheduleapr[[#This Row],[CUSTOMER CODE]],"-",scheduleapr[[#This Row],[MATERIAL NO]])</f>
        <v>944141-1940078</v>
      </c>
      <c r="H699" s="539" t="s">
        <v>518</v>
      </c>
      <c r="I699" s="2" t="s">
        <v>962</v>
      </c>
      <c r="J699" s="2"/>
      <c r="K699" s="2" t="s">
        <v>963</v>
      </c>
      <c r="L699" s="2" t="s">
        <v>1867</v>
      </c>
      <c r="M699" s="49" t="s">
        <v>1891</v>
      </c>
      <c r="N699" s="2"/>
      <c r="O699" s="2"/>
      <c r="P699" s="2"/>
      <c r="Q699" s="557" t="str">
        <f>CONCATENATE(scheduleapr[[#This Row],[OD]],"-",scheduleapr[[#This Row],[ID]],"-",scheduleapr[[#This Row],[TICKNESS]],"-",scheduleapr[[#This Row],[Grade]],"-",scheduleapr[[#This Row],[FC/NFC]])</f>
        <v>15.88-0-1.6-ERW 1-PE</v>
      </c>
      <c r="R699" s="557" t="str">
        <f>_xlfn.CONCAT(scheduleapr[[#This Row],[Bucket]],"-",scheduleapr[[#This Row],[LENGTH]]/1000)</f>
        <v>15.88-0-1.6-ERW 1-PE-1</v>
      </c>
      <c r="S699" s="557">
        <f>COUNTIF(scheduleapr[CTL Bucket],scheduleapr[[#This Row],[CTL Bucket]])</f>
        <v>6</v>
      </c>
      <c r="T699" s="2" t="s">
        <v>1816</v>
      </c>
      <c r="U699" s="2">
        <f>_xlfn.IFNA(VLOOKUP(scheduleapr[[#This Row],[Bucket]],salesforecast[[#All],[Bucket2]:[8406 Stock]],19,0),0)</f>
        <v>0</v>
      </c>
      <c r="V699" s="562">
        <f>_xlfn.IFNA(VLOOKUP(scheduleapr[[#This Row],[Bucket]],salesforecast[[#All],[Bucket2]:[8406 Stock]],20,0),0)+_xlfn.IFNA(VLOOKUP(scheduleapr[[#This Row],[Bucket]],salesforecast[[#All],[Bucket2]:[8406 Stock]],17,0),0)</f>
        <v>0</v>
      </c>
      <c r="W699" s="557"/>
      <c r="X699" s="1">
        <v>15.88</v>
      </c>
      <c r="Y699" s="1">
        <v>15.88</v>
      </c>
      <c r="Z699" s="6">
        <v>0</v>
      </c>
      <c r="AA699" s="1">
        <v>1.6</v>
      </c>
      <c r="AB699" s="24">
        <v>1000</v>
      </c>
      <c r="AC699" s="24" t="s">
        <v>444</v>
      </c>
      <c r="AD699" s="24"/>
      <c r="AE699" s="24"/>
      <c r="AF699" s="24"/>
      <c r="AG699" s="24"/>
      <c r="AH699" s="2" cm="1">
        <f t="array" ref="AH6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699" s="4">
        <f>scheduleapr[[#This Row],[SCHEDULE in nos]]-scheduleapr[[#This Row],[DISPATCH]]</f>
        <v>-6000</v>
      </c>
      <c r="AJ699" s="1">
        <f>(3.14*(scheduleapr[[#This Row],[ACTUAL OD]]-scheduleapr[[#This Row],[TICKNESS]])*scheduleapr[[#This Row],[TICKNESS]]*scheduleapr[[#This Row],[LENGTH]]*7.85)/1000000*scheduleapr[[#This Row],[SCHEDULE in nos]]/1000</f>
        <v>0</v>
      </c>
      <c r="AK699" s="1">
        <f>(3.14*(scheduleapr[[#This Row],[ACTUAL OD]]-scheduleapr[[#This Row],[TICKNESS]])*scheduleapr[[#This Row],[TICKNESS]]*scheduleapr[[#This Row],[LENGTH]]*7.85)/1000000*scheduleapr[[#This Row],[DISPATCH]]/1000</f>
        <v>3.3790821119999994</v>
      </c>
      <c r="AL699" s="1">
        <f t="shared" si="23"/>
        <v>-3.3790821119999994</v>
      </c>
      <c r="AM699" s="1" t="e">
        <f>scheduleapr[[#This Row],[SCHEDULE in nos]]/scheduleapr[[#This Row],[SCHEDULE IN MT]]*scheduleapr[[#This Row],[CTL Stock]]</f>
        <v>#DIV/0!</v>
      </c>
      <c r="AN699" s="1">
        <f>SUMIFS(stock[MT],stock[Bucket],scheduleapr[[#This Row],[Bucket]],stock[CTL Bucket],scheduleapr[[#This Row],[CTL Bucket]],stock[Plant],"0789")</f>
        <v>0</v>
      </c>
      <c r="AO699" s="1"/>
      <c r="AP699" s="1">
        <f>SUMIFS(stock[MT],stock[Bucket],scheduleapr[[#This Row],[Bucket]],stock[LL or CTL],"LL")</f>
        <v>0</v>
      </c>
      <c r="AQ699" s="1">
        <f>+SUMIFS(wip[Stock(Net Wt)],wip[Bucket],scheduleapr[[#This Row],[Bucket]])/1000</f>
        <v>3.8879999999999999</v>
      </c>
      <c r="AR699" s="1">
        <f t="shared" si="22"/>
        <v>0</v>
      </c>
      <c r="AS699" s="118"/>
    </row>
    <row r="700" spans="1:45" x14ac:dyDescent="0.25">
      <c r="A700" s="125">
        <v>578</v>
      </c>
      <c r="B700" s="5" t="s">
        <v>1816</v>
      </c>
      <c r="C700" s="2" t="s">
        <v>302</v>
      </c>
      <c r="D700" s="2" t="s">
        <v>2128</v>
      </c>
      <c r="E700" s="2">
        <v>944141</v>
      </c>
      <c r="F700" s="539">
        <v>2420205</v>
      </c>
      <c r="G700" s="100" t="str">
        <f>_xlfn.CONCAT(scheduleapr[[#This Row],[CUSTOMER CODE]],"-",scheduleapr[[#This Row],[MATERIAL NO]])</f>
        <v>944141-2420205</v>
      </c>
      <c r="H700" s="539" t="s">
        <v>2132</v>
      </c>
      <c r="I700" s="2" t="s">
        <v>962</v>
      </c>
      <c r="J700" s="2"/>
      <c r="K700" s="2" t="s">
        <v>963</v>
      </c>
      <c r="L700" s="2" t="s">
        <v>239</v>
      </c>
      <c r="M700" s="2"/>
      <c r="N700" s="2"/>
      <c r="O700" s="2"/>
      <c r="P700" s="2"/>
      <c r="Q700" s="557" t="str">
        <f>CONCATENATE(scheduleapr[[#This Row],[OD]],"-",scheduleapr[[#This Row],[ID]],"-",scheduleapr[[#This Row],[TICKNESS]],"-",scheduleapr[[#This Row],[Grade]],"-",scheduleapr[[#This Row],[FC/NFC]])</f>
        <v>15.88-0-2-ERW 1-PE</v>
      </c>
      <c r="R700" s="557" t="str">
        <f>_xlfn.CONCAT(scheduleapr[[#This Row],[Bucket]],"-",scheduleapr[[#This Row],[LENGTH]]/1000)</f>
        <v>15.88-0-2-ERW 1-PE-0.155</v>
      </c>
      <c r="S700" s="557">
        <f>COUNTIF(scheduleapr[CTL Bucket],scheduleapr[[#This Row],[CTL Bucket]])</f>
        <v>1</v>
      </c>
      <c r="T700" s="2" t="s">
        <v>1816</v>
      </c>
      <c r="U700" s="2">
        <f>_xlfn.IFNA(VLOOKUP(scheduleapr[[#This Row],[Bucket]],salesforecast[[#All],[Bucket2]:[8406 Stock]],19,0),0)</f>
        <v>0</v>
      </c>
      <c r="V700" s="562">
        <f>_xlfn.IFNA(VLOOKUP(scheduleapr[[#This Row],[Bucket]],salesforecast[[#All],[Bucket2]:[8406 Stock]],20,0),0)+_xlfn.IFNA(VLOOKUP(scheduleapr[[#This Row],[Bucket]],salesforecast[[#All],[Bucket2]:[8406 Stock]],17,0),0)</f>
        <v>0</v>
      </c>
      <c r="W700" s="557"/>
      <c r="X700" s="1">
        <v>15.88</v>
      </c>
      <c r="Y700" s="1">
        <v>15.88</v>
      </c>
      <c r="Z700" s="6">
        <v>0</v>
      </c>
      <c r="AA700" s="1">
        <v>2</v>
      </c>
      <c r="AB700" s="24">
        <v>155</v>
      </c>
      <c r="AC700" s="24" t="s">
        <v>397</v>
      </c>
      <c r="AD700" s="24" t="s">
        <v>1869</v>
      </c>
      <c r="AE700" s="24">
        <v>2000</v>
      </c>
      <c r="AF700" s="2">
        <v>25000</v>
      </c>
      <c r="AG700" s="2"/>
      <c r="AH700" s="2" cm="1">
        <f t="array" ref="AH7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0" s="4">
        <f>scheduleapr[[#This Row],[SCHEDULE in nos]]-scheduleapr[[#This Row],[DISPATCH]]</f>
        <v>25000</v>
      </c>
      <c r="AJ700" s="1">
        <f>(3.14*(scheduleapr[[#This Row],[ACTUAL OD]]-scheduleapr[[#This Row],[TICKNESS]])*scheduleapr[[#This Row],[TICKNESS]]*scheduleapr[[#This Row],[LENGTH]]*7.85)/1000000*scheduleapr[[#This Row],[SCHEDULE in nos]]/1000</f>
        <v>2.6514929299999999</v>
      </c>
      <c r="AK700" s="1">
        <f>(3.14*(scheduleapr[[#This Row],[ACTUAL OD]]-scheduleapr[[#This Row],[TICKNESS]])*scheduleapr[[#This Row],[TICKNESS]]*scheduleapr[[#This Row],[LENGTH]]*7.85)/1000000*scheduleapr[[#This Row],[DISPATCH]]/1000</f>
        <v>0</v>
      </c>
      <c r="AL700" s="1">
        <f t="shared" si="23"/>
        <v>2.6514929299999999</v>
      </c>
      <c r="AM700" s="1">
        <f>scheduleapr[[#This Row],[SCHEDULE in nos]]/scheduleapr[[#This Row],[SCHEDULE IN MT]]*scheduleapr[[#This Row],[CTL Stock]]</f>
        <v>45.29523674800069</v>
      </c>
      <c r="AN700" s="1">
        <f>SUMIFS(stock[MT],stock[Bucket],scheduleapr[[#This Row],[Bucket]],stock[CTL Bucket],scheduleapr[[#This Row],[CTL Bucket]],stock[Plant],"0789")</f>
        <v>4.8040000000000001E-3</v>
      </c>
      <c r="AO700" s="1"/>
      <c r="AP700" s="1">
        <f>SUMIFS(stock[MT],stock[Bucket],scheduleapr[[#This Row],[Bucket]],stock[LL or CTL],"LL")</f>
        <v>0</v>
      </c>
      <c r="AQ700" s="79">
        <f>+SUMIFS(wip[Stock(Net Wt)],wip[Bucket],scheduleapr[[#This Row],[Bucket]])/1000</f>
        <v>0.24399999999999999</v>
      </c>
      <c r="AR700" s="1">
        <f t="shared" si="22"/>
        <v>2.6466889299999998</v>
      </c>
      <c r="AS700" s="118"/>
    </row>
    <row r="701" spans="1:45" x14ac:dyDescent="0.25">
      <c r="A701" s="30">
        <v>579</v>
      </c>
      <c r="B701" s="5" t="s">
        <v>1816</v>
      </c>
      <c r="C701" s="2" t="s">
        <v>302</v>
      </c>
      <c r="D701" s="2" t="s">
        <v>2128</v>
      </c>
      <c r="E701" s="2">
        <v>944141</v>
      </c>
      <c r="F701" s="539">
        <v>3706751</v>
      </c>
      <c r="G701" s="100" t="str">
        <f>_xlfn.CONCAT(scheduleapr[[#This Row],[CUSTOMER CODE]],"-",scheduleapr[[#This Row],[MATERIAL NO]])</f>
        <v>944141-3706751</v>
      </c>
      <c r="H701" s="539" t="s">
        <v>2133</v>
      </c>
      <c r="I701" s="2" t="s">
        <v>962</v>
      </c>
      <c r="J701" s="2"/>
      <c r="K701" s="2" t="s">
        <v>963</v>
      </c>
      <c r="L701" s="2" t="s">
        <v>239</v>
      </c>
      <c r="M701" s="2"/>
      <c r="N701" s="2"/>
      <c r="O701" s="2"/>
      <c r="P701" s="2"/>
      <c r="Q701" s="557" t="str">
        <f>CONCATENATE(scheduleapr[[#This Row],[OD]],"-",scheduleapr[[#This Row],[ID]],"-",scheduleapr[[#This Row],[TICKNESS]],"-",scheduleapr[[#This Row],[Grade]],"-",scheduleapr[[#This Row],[FC/NFC]])</f>
        <v>15.88-0-2-ERW 1-PE</v>
      </c>
      <c r="R701" s="557" t="str">
        <f>_xlfn.CONCAT(scheduleapr[[#This Row],[Bucket]],"-",scheduleapr[[#This Row],[LENGTH]]/1000)</f>
        <v>15.88-0-2-ERW 1-PE-0.16</v>
      </c>
      <c r="S701" s="557">
        <f>COUNTIF(scheduleapr[CTL Bucket],scheduleapr[[#This Row],[CTL Bucket]])</f>
        <v>1</v>
      </c>
      <c r="T701" s="2" t="s">
        <v>1816</v>
      </c>
      <c r="U701" s="2">
        <f>_xlfn.IFNA(VLOOKUP(scheduleapr[[#This Row],[Bucket]],salesforecast[[#All],[Bucket2]:[8406 Stock]],19,0),0)</f>
        <v>0</v>
      </c>
      <c r="V701" s="562">
        <f>_xlfn.IFNA(VLOOKUP(scheduleapr[[#This Row],[Bucket]],salesforecast[[#All],[Bucket2]:[8406 Stock]],20,0),0)+_xlfn.IFNA(VLOOKUP(scheduleapr[[#This Row],[Bucket]],salesforecast[[#All],[Bucket2]:[8406 Stock]],17,0),0)</f>
        <v>0</v>
      </c>
      <c r="W701" s="557"/>
      <c r="X701" s="1">
        <v>15.88</v>
      </c>
      <c r="Y701" s="1">
        <v>15.88</v>
      </c>
      <c r="Z701" s="6">
        <v>0</v>
      </c>
      <c r="AA701" s="1">
        <v>2</v>
      </c>
      <c r="AB701" s="24">
        <v>160</v>
      </c>
      <c r="AC701" s="24" t="s">
        <v>397</v>
      </c>
      <c r="AD701" s="24" t="s">
        <v>1869</v>
      </c>
      <c r="AE701" s="24">
        <v>2000</v>
      </c>
      <c r="AF701" s="2">
        <v>25000</v>
      </c>
      <c r="AG701" s="2"/>
      <c r="AH701" s="2" cm="1">
        <f t="array" ref="AH7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1" s="4">
        <f>scheduleapr[[#This Row],[SCHEDULE in nos]]-scheduleapr[[#This Row],[DISPATCH]]</f>
        <v>25000</v>
      </c>
      <c r="AJ701" s="1">
        <f>(3.14*(scheduleapr[[#This Row],[ACTUAL OD]]-scheduleapr[[#This Row],[TICKNESS]])*scheduleapr[[#This Row],[TICKNESS]]*scheduleapr[[#This Row],[LENGTH]]*7.85)/1000000*scheduleapr[[#This Row],[SCHEDULE in nos]]/1000</f>
        <v>2.7370249600000003</v>
      </c>
      <c r="AK701" s="1">
        <f>(3.14*(scheduleapr[[#This Row],[ACTUAL OD]]-scheduleapr[[#This Row],[TICKNESS]])*scheduleapr[[#This Row],[TICKNESS]]*scheduleapr[[#This Row],[LENGTH]]*7.85)/1000000*scheduleapr[[#This Row],[DISPATCH]]/1000</f>
        <v>0</v>
      </c>
      <c r="AL701" s="1">
        <f t="shared" si="23"/>
        <v>2.7370249600000003</v>
      </c>
      <c r="AM701" s="1">
        <f>scheduleapr[[#This Row],[SCHEDULE in nos]]/scheduleapr[[#This Row],[SCHEDULE IN MT]]*scheduleapr[[#This Row],[CTL Stock]]</f>
        <v>35.98798017537991</v>
      </c>
      <c r="AN701" s="1">
        <f>SUMIFS(stock[MT],stock[Bucket],scheduleapr[[#This Row],[Bucket]],stock[CTL Bucket],scheduleapr[[#This Row],[CTL Bucket]],stock[Plant],"0789")</f>
        <v>3.9399999999999999E-3</v>
      </c>
      <c r="AO701" s="1"/>
      <c r="AP701" s="1">
        <f>SUMIFS(stock[MT],stock[Bucket],scheduleapr[[#This Row],[Bucket]],stock[LL or CTL],"LL")</f>
        <v>0</v>
      </c>
      <c r="AQ701" s="79">
        <f>+SUMIFS(wip[Stock(Net Wt)],wip[Bucket],scheduleapr[[#This Row],[Bucket]])/1000</f>
        <v>0.24399999999999999</v>
      </c>
      <c r="AR701" s="1">
        <f t="shared" si="22"/>
        <v>2.7330849600000002</v>
      </c>
      <c r="AS701" s="118"/>
    </row>
    <row r="702" spans="1:45" x14ac:dyDescent="0.25">
      <c r="A702" s="125">
        <v>580</v>
      </c>
      <c r="B702" s="5" t="s">
        <v>1872</v>
      </c>
      <c r="C702" s="2" t="s">
        <v>302</v>
      </c>
      <c r="D702" s="2" t="s">
        <v>2128</v>
      </c>
      <c r="E702" s="2">
        <v>944141</v>
      </c>
      <c r="F702" s="539">
        <v>1938163</v>
      </c>
      <c r="G702" s="100" t="str">
        <f>_xlfn.CONCAT(scheduleapr[[#This Row],[CUSTOMER CODE]],"-",scheduleapr[[#This Row],[MATERIAL NO]])</f>
        <v>944141-1938163</v>
      </c>
      <c r="H702" s="539" t="s">
        <v>2134</v>
      </c>
      <c r="I702" s="2" t="s">
        <v>962</v>
      </c>
      <c r="J702" s="2"/>
      <c r="K702" s="2" t="s">
        <v>963</v>
      </c>
      <c r="L702" s="2" t="s">
        <v>1867</v>
      </c>
      <c r="M702" s="2" t="s">
        <v>1883</v>
      </c>
      <c r="N702" s="2"/>
      <c r="O702" s="2"/>
      <c r="P702" s="2"/>
      <c r="Q702" s="557" t="str">
        <f>CONCATENATE(scheduleapr[[#This Row],[OD]],"-",scheduleapr[[#This Row],[ID]],"-",scheduleapr[[#This Row],[TICKNESS]],"-",scheduleapr[[#This Row],[Grade]],"-",scheduleapr[[#This Row],[FC/NFC]])</f>
        <v>17.3-0-1.6-ERW 1-PE</v>
      </c>
      <c r="R702" s="557" t="str">
        <f>_xlfn.CONCAT(scheduleapr[[#This Row],[Bucket]],"-",scheduleapr[[#This Row],[LENGTH]]/1000)</f>
        <v>17.3-0-1.6-ERW 1-PE-0.64</v>
      </c>
      <c r="S702" s="557">
        <f>COUNTIF(scheduleapr[CTL Bucket],scheduleapr[[#This Row],[CTL Bucket]])</f>
        <v>1</v>
      </c>
      <c r="T702" s="2" t="s">
        <v>1817</v>
      </c>
      <c r="U702" s="2">
        <f>_xlfn.IFNA(VLOOKUP(scheduleapr[[#This Row],[Bucket]],salesforecast[[#All],[Bucket2]:[8406 Stock]],19,0),0)</f>
        <v>9.3040000000000012E-2</v>
      </c>
      <c r="V702" s="562">
        <f>_xlfn.IFNA(VLOOKUP(scheduleapr[[#This Row],[Bucket]],salesforecast[[#All],[Bucket2]:[8406 Stock]],20,0),0)+_xlfn.IFNA(VLOOKUP(scheduleapr[[#This Row],[Bucket]],salesforecast[[#All],[Bucket2]:[8406 Stock]],17,0),0)</f>
        <v>0</v>
      </c>
      <c r="W702" s="557"/>
      <c r="X702" s="1">
        <v>17.3</v>
      </c>
      <c r="Y702" s="1">
        <v>17.3</v>
      </c>
      <c r="Z702" s="6">
        <v>0</v>
      </c>
      <c r="AA702" s="1">
        <v>1.6</v>
      </c>
      <c r="AB702" s="24">
        <v>640</v>
      </c>
      <c r="AC702" s="24" t="s">
        <v>397</v>
      </c>
      <c r="AD702" s="24"/>
      <c r="AE702" s="24"/>
      <c r="AF702" s="44">
        <v>5000</v>
      </c>
      <c r="AG702" s="44" t="s">
        <v>1838</v>
      </c>
      <c r="AH702" s="2" cm="1">
        <f t="array" ref="AH7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2" s="4">
        <f>scheduleapr[[#This Row],[SCHEDULE in nos]]-scheduleapr[[#This Row],[DISPATCH]]</f>
        <v>5000</v>
      </c>
      <c r="AJ702" s="1">
        <f>(3.14*(scheduleapr[[#This Row],[ACTUAL OD]]-scheduleapr[[#This Row],[TICKNESS]])*scheduleapr[[#This Row],[TICKNESS]]*scheduleapr[[#This Row],[LENGTH]]*7.85)/1000000*scheduleapr[[#This Row],[SCHEDULE in nos]]/1000</f>
        <v>1.9813852160000001</v>
      </c>
      <c r="AK702" s="1">
        <f>(3.14*(scheduleapr[[#This Row],[ACTUAL OD]]-scheduleapr[[#This Row],[TICKNESS]])*scheduleapr[[#This Row],[TICKNESS]]*scheduleapr[[#This Row],[LENGTH]]*7.85)/1000000*scheduleapr[[#This Row],[DISPATCH]]/1000</f>
        <v>0</v>
      </c>
      <c r="AL702" s="1">
        <f t="shared" si="23"/>
        <v>1.9813852160000001</v>
      </c>
      <c r="AM702" s="1">
        <f>scheduleapr[[#This Row],[SCHEDULE in nos]]/scheduleapr[[#This Row],[SCHEDULE IN MT]]*scheduleapr[[#This Row],[CTL Stock]]</f>
        <v>0</v>
      </c>
      <c r="AN702" s="1">
        <f>SUMIFS(stock[MT],stock[Bucket],scheduleapr[[#This Row],[Bucket]],stock[CTL Bucket],scheduleapr[[#This Row],[CTL Bucket]],stock[Plant],"0789")</f>
        <v>0</v>
      </c>
      <c r="AO702" s="1"/>
      <c r="AP702" s="1">
        <f>SUMIFS(stock[MT],stock[Bucket],scheduleapr[[#This Row],[Bucket]],stock[LL or CTL],"LL")</f>
        <v>9.3040000000000012E-2</v>
      </c>
      <c r="AQ702" s="1">
        <f>+SUMIFS(wip[Stock(Net Wt)],wip[Bucket],scheduleapr[[#This Row],[Bucket]])/1000</f>
        <v>0</v>
      </c>
      <c r="AR702" s="1">
        <f t="shared" si="22"/>
        <v>1.9813852160000001</v>
      </c>
      <c r="AS702" s="118"/>
    </row>
    <row r="703" spans="1:45" x14ac:dyDescent="0.25">
      <c r="A703" s="30">
        <v>583</v>
      </c>
      <c r="B703" s="5" t="s">
        <v>1816</v>
      </c>
      <c r="C703" s="2" t="s">
        <v>302</v>
      </c>
      <c r="D703" s="2" t="s">
        <v>2128</v>
      </c>
      <c r="E703" s="2">
        <v>944141</v>
      </c>
      <c r="F703" s="543">
        <v>3838038</v>
      </c>
      <c r="G703" s="100" t="str">
        <f>_xlfn.CONCAT(scheduleapr[[#This Row],[CUSTOMER CODE]],"-",scheduleapr[[#This Row],[MATERIAL NO]])</f>
        <v>944141-3838038</v>
      </c>
      <c r="H703" s="543" t="s">
        <v>1335</v>
      </c>
      <c r="I703" s="2" t="s">
        <v>962</v>
      </c>
      <c r="J703" s="2"/>
      <c r="K703" s="2" t="s">
        <v>963</v>
      </c>
      <c r="L703" s="2" t="s">
        <v>1867</v>
      </c>
      <c r="M703" s="49" t="s">
        <v>1952</v>
      </c>
      <c r="N703" s="2"/>
      <c r="O703" s="2"/>
      <c r="P703" s="2"/>
      <c r="Q703" s="557" t="str">
        <f>CONCATENATE(scheduleapr[[#This Row],[OD]],"-",scheduleapr[[#This Row],[ID]],"-",scheduleapr[[#This Row],[TICKNESS]],"-",scheduleapr[[#This Row],[Grade]],"-",scheduleapr[[#This Row],[FC/NFC]])</f>
        <v>19.05-0-1.6-ERW 1-PE</v>
      </c>
      <c r="R703" s="557" t="str">
        <f>_xlfn.CONCAT(scheduleapr[[#This Row],[Bucket]],"-",scheduleapr[[#This Row],[LENGTH]]/1000)</f>
        <v>19.05-0-1.6-ERW 1-PE-0.258</v>
      </c>
      <c r="S703" s="557" t="e" vm="2">
        <f>COUNTIF([2]!buckets[CTL Bucket],[2]!scheduleapr[[#This Row],[CTL Bucket]])</f>
        <v>#REF!</v>
      </c>
      <c r="T703" s="557"/>
      <c r="U703" s="557"/>
      <c r="V703" s="557"/>
      <c r="W703" s="557"/>
      <c r="X703" s="1">
        <v>19.05</v>
      </c>
      <c r="Y703" s="1">
        <v>19.05</v>
      </c>
      <c r="Z703" s="6">
        <v>0</v>
      </c>
      <c r="AA703" s="1">
        <v>1.6</v>
      </c>
      <c r="AB703" s="24">
        <v>258</v>
      </c>
      <c r="AC703" s="24" t="s">
        <v>397</v>
      </c>
      <c r="AD703" s="24"/>
      <c r="AE703" s="24"/>
      <c r="AF703" s="2"/>
      <c r="AG703" s="2"/>
      <c r="AH703" s="2" cm="1">
        <f t="array" ref="AH7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3" s="4">
        <f>scheduleapr[[#This Row],[SCHEDULE in nos]]-scheduleapr[[#This Row],[DISPATCH]]</f>
        <v>0</v>
      </c>
      <c r="AJ703" s="1">
        <f>(3.14*(scheduleapr[[#This Row],[ACTUAL OD]]-scheduleapr[[#This Row],[TICKNESS]])*scheduleapr[[#This Row],[TICKNESS]]*scheduleapr[[#This Row],[LENGTH]]*7.85)/1000000*scheduleapr[[#This Row],[SCHEDULE in nos]]/1000</f>
        <v>0</v>
      </c>
      <c r="AK703" s="1">
        <f>(3.14*(scheduleapr[[#This Row],[ACTUAL OD]]-scheduleapr[[#This Row],[TICKNESS]])*scheduleapr[[#This Row],[TICKNESS]]*scheduleapr[[#This Row],[LENGTH]]*7.85)/1000000*scheduleapr[[#This Row],[DISPATCH]]/1000</f>
        <v>0</v>
      </c>
      <c r="AL703" s="1">
        <f t="shared" si="23"/>
        <v>0</v>
      </c>
      <c r="AM703" s="1" t="e">
        <f>scheduleapr[[#This Row],[SCHEDULE in nos]]/scheduleapr[[#This Row],[SCHEDULE IN MT]]*scheduleapr[[#This Row],[CTL Stock]]</f>
        <v>#DIV/0!</v>
      </c>
      <c r="AN703" s="1">
        <f>SUMIFS(stock[MT],stock[Bucket],scheduleapr[[#This Row],[Bucket]],stock[CTL Bucket],scheduleapr[[#This Row],[CTL Bucket]],stock[Plant],"0789")</f>
        <v>0</v>
      </c>
      <c r="AO703" s="1"/>
      <c r="AP703" s="1">
        <f>SUMIFS(stock[MT],stock[Bucket],scheduleapr[[#This Row],[Bucket]],stock[LL or CTL],"LL")</f>
        <v>0</v>
      </c>
      <c r="AQ703" s="1">
        <f>+SUMIFS(wip[Stock(Net Wt)],wip[Bucket],scheduleapr[[#This Row],[Bucket]])/1000</f>
        <v>2.8860000000000001</v>
      </c>
      <c r="AR703" s="1">
        <f t="shared" ref="AR703:AR745" si="24">AJ703-AN703</f>
        <v>0</v>
      </c>
      <c r="AS703" s="118"/>
    </row>
    <row r="704" spans="1:45" x14ac:dyDescent="0.25">
      <c r="A704" s="125">
        <v>584</v>
      </c>
      <c r="B704" s="5" t="s">
        <v>1816</v>
      </c>
      <c r="C704" s="2" t="s">
        <v>302</v>
      </c>
      <c r="D704" s="2" t="s">
        <v>2128</v>
      </c>
      <c r="E704" s="2">
        <v>944141</v>
      </c>
      <c r="F704" s="543">
        <v>3850310</v>
      </c>
      <c r="G704" s="100" t="str">
        <f>_xlfn.CONCAT(scheduleapr[[#This Row],[CUSTOMER CODE]],"-",scheduleapr[[#This Row],[MATERIAL NO]])</f>
        <v>944141-3850310</v>
      </c>
      <c r="H704" s="539" t="s">
        <v>1339</v>
      </c>
      <c r="I704" s="2" t="s">
        <v>962</v>
      </c>
      <c r="J704" s="2"/>
      <c r="K704" s="2" t="s">
        <v>963</v>
      </c>
      <c r="L704" s="2" t="s">
        <v>1867</v>
      </c>
      <c r="M704" s="2" t="s">
        <v>1881</v>
      </c>
      <c r="N704" s="2"/>
      <c r="O704" s="2"/>
      <c r="P704" s="2"/>
      <c r="Q704" s="557" t="str">
        <f>CONCATENATE(scheduleapr[[#This Row],[OD]],"-",scheduleapr[[#This Row],[ID]],"-",scheduleapr[[#This Row],[TICKNESS]],"-",scheduleapr[[#This Row],[Grade]],"-",scheduleapr[[#This Row],[FC/NFC]])</f>
        <v>19.05-0-1.6-ERW 1-PE</v>
      </c>
      <c r="R704" s="557" t="str">
        <f>_xlfn.CONCAT(scheduleapr[[#This Row],[Bucket]],"-",scheduleapr[[#This Row],[LENGTH]]/1000)</f>
        <v>19.05-0-1.6-ERW 1-PE-0.268</v>
      </c>
      <c r="S704" s="557" t="e" vm="2">
        <f>COUNTIF([2]!buckets[CTL Bucket],[2]!scheduleapr[[#This Row],[CTL Bucket]])</f>
        <v>#REF!</v>
      </c>
      <c r="T704" s="557"/>
      <c r="U704" s="557"/>
      <c r="V704" s="557"/>
      <c r="W704" s="557"/>
      <c r="X704" s="1">
        <v>19.05</v>
      </c>
      <c r="Y704" s="1">
        <v>19.05</v>
      </c>
      <c r="Z704" s="6">
        <v>0</v>
      </c>
      <c r="AA704" s="1">
        <v>1.6</v>
      </c>
      <c r="AB704" s="24">
        <v>268</v>
      </c>
      <c r="AC704" s="24" t="s">
        <v>397</v>
      </c>
      <c r="AD704" s="24"/>
      <c r="AE704" s="24"/>
      <c r="AF704" s="2"/>
      <c r="AG704" s="2"/>
      <c r="AH704" s="2" cm="1">
        <f t="array" ref="AH7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4" s="4">
        <f>scheduleapr[[#This Row],[SCHEDULE in nos]]-scheduleapr[[#This Row],[DISPATCH]]</f>
        <v>0</v>
      </c>
      <c r="AJ704" s="1">
        <f>(3.14*(scheduleapr[[#This Row],[ACTUAL OD]]-scheduleapr[[#This Row],[TICKNESS]])*scheduleapr[[#This Row],[TICKNESS]]*scheduleapr[[#This Row],[LENGTH]]*7.85)/1000000*scheduleapr[[#This Row],[SCHEDULE in nos]]/1000</f>
        <v>0</v>
      </c>
      <c r="AK704" s="1">
        <f>(3.14*(scheduleapr[[#This Row],[ACTUAL OD]]-scheduleapr[[#This Row],[TICKNESS]])*scheduleapr[[#This Row],[TICKNESS]]*scheduleapr[[#This Row],[LENGTH]]*7.85)/1000000*scheduleapr[[#This Row],[DISPATCH]]/1000</f>
        <v>0</v>
      </c>
      <c r="AL704" s="1">
        <f t="shared" si="23"/>
        <v>0</v>
      </c>
      <c r="AM704" s="1" t="e">
        <f>scheduleapr[[#This Row],[SCHEDULE in nos]]/scheduleapr[[#This Row],[SCHEDULE IN MT]]*scheduleapr[[#This Row],[CTL Stock]]</f>
        <v>#DIV/0!</v>
      </c>
      <c r="AN704" s="1">
        <f>SUMIFS(stock[MT],stock[Bucket],scheduleapr[[#This Row],[Bucket]],stock[CTL Bucket],scheduleapr[[#This Row],[CTL Bucket]],stock[Plant],"0789")</f>
        <v>0</v>
      </c>
      <c r="AO704" s="1"/>
      <c r="AP704" s="1">
        <f>SUMIFS(stock[MT],stock[Bucket],scheduleapr[[#This Row],[Bucket]],stock[LL or CTL],"LL")</f>
        <v>0</v>
      </c>
      <c r="AQ704" s="1">
        <f>+SUMIFS(wip[Stock(Net Wt)],wip[Bucket],scheduleapr[[#This Row],[Bucket]])/1000</f>
        <v>2.8860000000000001</v>
      </c>
      <c r="AR704" s="1">
        <f t="shared" si="24"/>
        <v>0</v>
      </c>
      <c r="AS704" s="118"/>
    </row>
    <row r="705" spans="1:45" x14ac:dyDescent="0.25">
      <c r="A705" s="30">
        <v>585</v>
      </c>
      <c r="B705" s="5" t="s">
        <v>1816</v>
      </c>
      <c r="C705" s="2" t="s">
        <v>302</v>
      </c>
      <c r="D705" s="2" t="s">
        <v>2128</v>
      </c>
      <c r="E705" s="2">
        <v>944141</v>
      </c>
      <c r="F705" s="539">
        <v>3217232</v>
      </c>
      <c r="G705" s="100" t="str">
        <f>_xlfn.CONCAT(scheduleapr[[#This Row],[CUSTOMER CODE]],"-",scheduleapr[[#This Row],[MATERIAL NO]])</f>
        <v>944141-3217232</v>
      </c>
      <c r="H705" s="539" t="s">
        <v>1341</v>
      </c>
      <c r="I705" s="2" t="s">
        <v>962</v>
      </c>
      <c r="J705" s="2"/>
      <c r="K705" s="2" t="s">
        <v>963</v>
      </c>
      <c r="L705" s="2" t="s">
        <v>1867</v>
      </c>
      <c r="M705" s="49" t="s">
        <v>1868</v>
      </c>
      <c r="N705" s="2"/>
      <c r="O705" s="2"/>
      <c r="P705" s="2"/>
      <c r="Q705" s="557" t="str">
        <f>CONCATENATE(scheduleapr[[#This Row],[OD]],"-",scheduleapr[[#This Row],[ID]],"-",scheduleapr[[#This Row],[TICKNESS]],"-",scheduleapr[[#This Row],[Grade]],"-",scheduleapr[[#This Row],[FC/NFC]])</f>
        <v>19.05-0-1.6-ERW 1-PE</v>
      </c>
      <c r="R705" s="557" t="str">
        <f>_xlfn.CONCAT(scheduleapr[[#This Row],[Bucket]],"-",scheduleapr[[#This Row],[LENGTH]]/1000)</f>
        <v>19.05-0-1.6-ERW 1-PE-0.275</v>
      </c>
      <c r="S705" s="557" t="e" vm="2">
        <f>COUNTIF([2]!buckets[CTL Bucket],[2]!scheduleapr[[#This Row],[CTL Bucket]])</f>
        <v>#REF!</v>
      </c>
      <c r="T705" s="2" t="s">
        <v>1816</v>
      </c>
      <c r="U705" s="2"/>
      <c r="V705" s="557"/>
      <c r="W705" s="557"/>
      <c r="X705" s="1">
        <v>19.05</v>
      </c>
      <c r="Y705" s="1">
        <v>19.05</v>
      </c>
      <c r="Z705" s="6">
        <v>0</v>
      </c>
      <c r="AA705" s="1">
        <v>1.6</v>
      </c>
      <c r="AB705" s="24">
        <v>275</v>
      </c>
      <c r="AC705" s="24" t="s">
        <v>397</v>
      </c>
      <c r="AD705" s="24"/>
      <c r="AE705" s="24"/>
      <c r="AF705" s="2"/>
      <c r="AG705" s="2"/>
      <c r="AH705" s="2" cm="1">
        <f t="array" ref="AH7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5" s="4">
        <f>scheduleapr[[#This Row],[SCHEDULE in nos]]-scheduleapr[[#This Row],[DISPATCH]]</f>
        <v>0</v>
      </c>
      <c r="AJ705" s="1">
        <f>(3.14*(scheduleapr[[#This Row],[ACTUAL OD]]-scheduleapr[[#This Row],[TICKNESS]])*scheduleapr[[#This Row],[TICKNESS]]*scheduleapr[[#This Row],[LENGTH]]*7.85)/1000000*scheduleapr[[#This Row],[SCHEDULE in nos]]/1000</f>
        <v>0</v>
      </c>
      <c r="AK705" s="1">
        <f>(3.14*(scheduleapr[[#This Row],[ACTUAL OD]]-scheduleapr[[#This Row],[TICKNESS]])*scheduleapr[[#This Row],[TICKNESS]]*scheduleapr[[#This Row],[LENGTH]]*7.85)/1000000*scheduleapr[[#This Row],[DISPATCH]]/1000</f>
        <v>0</v>
      </c>
      <c r="AL705" s="1">
        <f t="shared" si="23"/>
        <v>0</v>
      </c>
      <c r="AM705" s="1" t="e">
        <f>scheduleapr[[#This Row],[SCHEDULE in nos]]/scheduleapr[[#This Row],[SCHEDULE IN MT]]*scheduleapr[[#This Row],[CTL Stock]]</f>
        <v>#DIV/0!</v>
      </c>
      <c r="AN705" s="1">
        <f>SUMIFS(stock[MT],stock[Bucket],scheduleapr[[#This Row],[Bucket]],stock[CTL Bucket],scheduleapr[[#This Row],[CTL Bucket]],stock[Plant],"0789")</f>
        <v>0</v>
      </c>
      <c r="AO705" s="1"/>
      <c r="AP705" s="1">
        <f>SUMIFS(stock[MT],stock[Bucket],scheduleapr[[#This Row],[Bucket]],stock[LL or CTL],"LL")</f>
        <v>0</v>
      </c>
      <c r="AQ705" s="1">
        <f>+SUMIFS(wip[Stock(Net Wt)],wip[Bucket],scheduleapr[[#This Row],[Bucket]])/1000</f>
        <v>2.8860000000000001</v>
      </c>
      <c r="AR705" s="1">
        <f t="shared" si="24"/>
        <v>0</v>
      </c>
      <c r="AS705" s="118"/>
    </row>
    <row r="706" spans="1:45" x14ac:dyDescent="0.25">
      <c r="A706" s="125">
        <v>586</v>
      </c>
      <c r="B706" s="5" t="s">
        <v>1816</v>
      </c>
      <c r="C706" s="2" t="s">
        <v>302</v>
      </c>
      <c r="D706" s="2" t="s">
        <v>2128</v>
      </c>
      <c r="E706" s="2">
        <v>944141</v>
      </c>
      <c r="F706" s="539">
        <v>1940262</v>
      </c>
      <c r="G706" s="100" t="str">
        <f>_xlfn.CONCAT(scheduleapr[[#This Row],[CUSTOMER CODE]],"-",scheduleapr[[#This Row],[MATERIAL NO]])</f>
        <v>944141-1940262</v>
      </c>
      <c r="H706" s="539" t="s">
        <v>1357</v>
      </c>
      <c r="I706" s="2" t="s">
        <v>962</v>
      </c>
      <c r="J706" s="2"/>
      <c r="K706" s="2" t="s">
        <v>963</v>
      </c>
      <c r="L706" s="2" t="s">
        <v>239</v>
      </c>
      <c r="M706" s="2"/>
      <c r="N706" s="2"/>
      <c r="O706" s="2"/>
      <c r="P706" s="2"/>
      <c r="Q706" s="557" t="str">
        <f>CONCATENATE(scheduleapr[[#This Row],[OD]],"-",scheduleapr[[#This Row],[ID]],"-",scheduleapr[[#This Row],[TICKNESS]],"-",scheduleapr[[#This Row],[Grade]],"-",scheduleapr[[#This Row],[FC/NFC]])</f>
        <v>19.05-0-2-ERW 1-PE</v>
      </c>
      <c r="R706" s="557" t="str">
        <f>_xlfn.CONCAT(scheduleapr[[#This Row],[Bucket]],"-",scheduleapr[[#This Row],[LENGTH]]/1000)</f>
        <v>19.05-0-2-ERW 1-PE-0.104</v>
      </c>
      <c r="S706" s="557">
        <f>COUNTIF(scheduleapr[CTL Bucket],scheduleapr[[#This Row],[CTL Bucket]])</f>
        <v>1</v>
      </c>
      <c r="T706" s="2" t="s">
        <v>1816</v>
      </c>
      <c r="U706" s="2">
        <f>_xlfn.IFNA(VLOOKUP(scheduleapr[[#This Row],[Bucket]],salesforecast[[#All],[Bucket2]:[8406 Stock]],19,0),0)</f>
        <v>0</v>
      </c>
      <c r="V706" s="562">
        <f>_xlfn.IFNA(VLOOKUP(scheduleapr[[#This Row],[Bucket]],salesforecast[[#All],[Bucket2]:[8406 Stock]],20,0),0)+_xlfn.IFNA(VLOOKUP(scheduleapr[[#This Row],[Bucket]],salesforecast[[#All],[Bucket2]:[8406 Stock]],17,0),0)</f>
        <v>0</v>
      </c>
      <c r="W706" s="557"/>
      <c r="X706" s="1">
        <v>19.05</v>
      </c>
      <c r="Y706" s="1">
        <v>19.05</v>
      </c>
      <c r="Z706" s="6">
        <v>0</v>
      </c>
      <c r="AA706" s="1">
        <v>2</v>
      </c>
      <c r="AB706" s="24">
        <v>104</v>
      </c>
      <c r="AC706" s="24" t="s">
        <v>397</v>
      </c>
      <c r="AD706" s="24" t="s">
        <v>2135</v>
      </c>
      <c r="AE706" s="24"/>
      <c r="AF706" s="2"/>
      <c r="AG706" s="2"/>
      <c r="AH706" s="2" cm="1">
        <f t="array" ref="AH7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6" s="4">
        <f>scheduleapr[[#This Row],[SCHEDULE in nos]]-scheduleapr[[#This Row],[DISPATCH]]</f>
        <v>0</v>
      </c>
      <c r="AJ706" s="1">
        <f>(3.14*(scheduleapr[[#This Row],[ACTUAL OD]]-scheduleapr[[#This Row],[TICKNESS]])*scheduleapr[[#This Row],[TICKNESS]]*scheduleapr[[#This Row],[LENGTH]]*7.85)/1000000*scheduleapr[[#This Row],[SCHEDULE in nos]]/1000</f>
        <v>0</v>
      </c>
      <c r="AK706" s="1">
        <f>(3.14*(scheduleapr[[#This Row],[ACTUAL OD]]-scheduleapr[[#This Row],[TICKNESS]])*scheduleapr[[#This Row],[TICKNESS]]*scheduleapr[[#This Row],[LENGTH]]*7.85)/1000000*scheduleapr[[#This Row],[DISPATCH]]/1000</f>
        <v>0</v>
      </c>
      <c r="AL706" s="1">
        <f t="shared" si="23"/>
        <v>0</v>
      </c>
      <c r="AM706" s="1" t="e">
        <f>scheduleapr[[#This Row],[SCHEDULE in nos]]/scheduleapr[[#This Row],[SCHEDULE IN MT]]*scheduleapr[[#This Row],[CTL Stock]]</f>
        <v>#DIV/0!</v>
      </c>
      <c r="AN706" s="1">
        <f>SUMIFS(stock[MT],stock[Bucket],scheduleapr[[#This Row],[Bucket]],stock[CTL Bucket],scheduleapr[[#This Row],[CTL Bucket]],stock[Plant],"0789")</f>
        <v>5.7544999999999999E-2</v>
      </c>
      <c r="AO706" s="1"/>
      <c r="AP706" s="1">
        <f>SUMIFS(stock[MT],stock[Bucket],scheduleapr[[#This Row],[Bucket]],stock[LL or CTL],"LL")</f>
        <v>0</v>
      </c>
      <c r="AQ706" s="79">
        <f>+SUMIFS(wip[Stock(Net Wt)],wip[Bucket],scheduleapr[[#This Row],[Bucket]])/1000</f>
        <v>11.189</v>
      </c>
      <c r="AR706" s="1">
        <f t="shared" si="24"/>
        <v>-5.7544999999999999E-2</v>
      </c>
      <c r="AS706" s="118"/>
    </row>
    <row r="707" spans="1:45" x14ac:dyDescent="0.25">
      <c r="A707" s="30">
        <v>589</v>
      </c>
      <c r="B707" s="5" t="s">
        <v>1816</v>
      </c>
      <c r="C707" s="2" t="s">
        <v>302</v>
      </c>
      <c r="D707" s="2" t="s">
        <v>2128</v>
      </c>
      <c r="E707" s="2">
        <v>944141</v>
      </c>
      <c r="F707" s="539">
        <v>1940287</v>
      </c>
      <c r="G707" s="100" t="str">
        <f>_xlfn.CONCAT(scheduleapr[[#This Row],[CUSTOMER CODE]],"-",scheduleapr[[#This Row],[MATERIAL NO]])</f>
        <v>944141-1940287</v>
      </c>
      <c r="H707" s="539" t="s">
        <v>605</v>
      </c>
      <c r="I707" s="2" t="s">
        <v>962</v>
      </c>
      <c r="J707" s="2"/>
      <c r="K707" s="2" t="s">
        <v>963</v>
      </c>
      <c r="L707" s="2" t="s">
        <v>239</v>
      </c>
      <c r="M707" s="2"/>
      <c r="N707" s="2"/>
      <c r="O707" s="2"/>
      <c r="P707" s="2"/>
      <c r="Q707" s="557" t="str">
        <f>CONCATENATE(scheduleapr[[#This Row],[OD]],"-",scheduleapr[[#This Row],[ID]],"-",scheduleapr[[#This Row],[TICKNESS]],"-",scheduleapr[[#This Row],[Grade]],"-",scheduleapr[[#This Row],[FC/NFC]])</f>
        <v>19.05-0-2-ERW 1-PE</v>
      </c>
      <c r="R707" s="557" t="str">
        <f>_xlfn.CONCAT(scheduleapr[[#This Row],[Bucket]],"-",scheduleapr[[#This Row],[LENGTH]]/1000)</f>
        <v>19.05-0-2-ERW 1-PE-0.815</v>
      </c>
      <c r="S707" s="557">
        <f>COUNTIF(scheduleapr[CTL Bucket],scheduleapr[[#This Row],[CTL Bucket]])</f>
        <v>1</v>
      </c>
      <c r="T707" s="2" t="s">
        <v>1816</v>
      </c>
      <c r="U707" s="2">
        <f>_xlfn.IFNA(VLOOKUP(scheduleapr[[#This Row],[Bucket]],salesforecast[[#All],[Bucket2]:[8406 Stock]],19,0),0)</f>
        <v>0</v>
      </c>
      <c r="V707" s="562">
        <f>_xlfn.IFNA(VLOOKUP(scheduleapr[[#This Row],[Bucket]],salesforecast[[#All],[Bucket2]:[8406 Stock]],20,0),0)+_xlfn.IFNA(VLOOKUP(scheduleapr[[#This Row],[Bucket]],salesforecast[[#All],[Bucket2]:[8406 Stock]],17,0),0)</f>
        <v>0</v>
      </c>
      <c r="W707" s="557"/>
      <c r="X707" s="1">
        <v>19.05</v>
      </c>
      <c r="Y707" s="1">
        <v>19.05</v>
      </c>
      <c r="Z707" s="6">
        <v>0</v>
      </c>
      <c r="AA707" s="1">
        <v>2</v>
      </c>
      <c r="AB707" s="24">
        <v>815</v>
      </c>
      <c r="AC707" s="24" t="s">
        <v>397</v>
      </c>
      <c r="AD707" s="24" t="s">
        <v>2135</v>
      </c>
      <c r="AE707" s="24">
        <v>8000</v>
      </c>
      <c r="AF707" s="2">
        <v>50000</v>
      </c>
      <c r="AG707" s="2"/>
      <c r="AH707" s="2" cm="1">
        <f t="array" ref="AH7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11425</v>
      </c>
      <c r="AI707" s="4">
        <f>scheduleapr[[#This Row],[SCHEDULE in nos]]-scheduleapr[[#This Row],[DISPATCH]]</f>
        <v>38575</v>
      </c>
      <c r="AJ707" s="1">
        <f>(3.14*(scheduleapr[[#This Row],[ACTUAL OD]]-scheduleapr[[#This Row],[TICKNESS]])*scheduleapr[[#This Row],[TICKNESS]]*scheduleapr[[#This Row],[LENGTH]]*7.85)/1000000*scheduleapr[[#This Row],[SCHEDULE in nos]]/1000</f>
        <v>34.251634175</v>
      </c>
      <c r="AK707" s="1">
        <f>(3.14*(scheduleapr[[#This Row],[ACTUAL OD]]-scheduleapr[[#This Row],[TICKNESS]])*scheduleapr[[#This Row],[TICKNESS]]*scheduleapr[[#This Row],[LENGTH]]*7.85)/1000000*scheduleapr[[#This Row],[DISPATCH]]/1000</f>
        <v>7.8264984089875007</v>
      </c>
      <c r="AL707" s="1">
        <f t="shared" si="23"/>
        <v>26.425135766012499</v>
      </c>
      <c r="AM707" s="1">
        <f>scheduleapr[[#This Row],[SCHEDULE in nos]]/scheduleapr[[#This Row],[SCHEDULE IN MT]]*scheduleapr[[#This Row],[CTL Stock]]</f>
        <v>12.589180352589702</v>
      </c>
      <c r="AN707" s="1">
        <f>SUMIFS(stock[MT],stock[Bucket],scheduleapr[[#This Row],[Bucket]],stock[CTL Bucket],scheduleapr[[#This Row],[CTL Bucket]],stock[Plant],"0789")</f>
        <v>8.6239999999999997E-3</v>
      </c>
      <c r="AO707" s="1"/>
      <c r="AP707" s="1">
        <f>SUMIFS(stock[MT],stock[Bucket],scheduleapr[[#This Row],[Bucket]],stock[LL or CTL],"LL")</f>
        <v>0</v>
      </c>
      <c r="AQ707" s="1">
        <f>+SUMIFS(wip[Stock(Net Wt)],wip[Bucket],scheduleapr[[#This Row],[Bucket]])/1000</f>
        <v>11.189</v>
      </c>
      <c r="AR707" s="1">
        <f t="shared" si="24"/>
        <v>34.243010175000002</v>
      </c>
      <c r="AS707" s="118"/>
    </row>
    <row r="708" spans="1:45" x14ac:dyDescent="0.25">
      <c r="A708" s="125">
        <v>590</v>
      </c>
      <c r="B708" s="110" t="s">
        <v>1816</v>
      </c>
      <c r="C708" s="111" t="s">
        <v>302</v>
      </c>
      <c r="D708" s="2" t="s">
        <v>2128</v>
      </c>
      <c r="E708" s="111">
        <v>944141</v>
      </c>
      <c r="F708" s="581">
        <v>1937438</v>
      </c>
      <c r="G708" s="100" t="str">
        <f>_xlfn.CONCAT(scheduleapr[[#This Row],[CUSTOMER CODE]],"-",scheduleapr[[#This Row],[MATERIAL NO]])</f>
        <v>944141-1937438</v>
      </c>
      <c r="H708" s="581" t="s">
        <v>1386</v>
      </c>
      <c r="I708" s="111" t="s">
        <v>962</v>
      </c>
      <c r="J708" s="2"/>
      <c r="K708" s="2" t="s">
        <v>963</v>
      </c>
      <c r="L708" s="2" t="s">
        <v>239</v>
      </c>
      <c r="M708" s="2"/>
      <c r="N708" s="2"/>
      <c r="O708" s="2"/>
      <c r="P708" s="2"/>
      <c r="Q708" s="557" t="str">
        <f>CONCATENATE(scheduleapr[[#This Row],[OD]],"-",scheduleapr[[#This Row],[ID]],"-",scheduleapr[[#This Row],[TICKNESS]],"-",scheduleapr[[#This Row],[Grade]],"-",scheduleapr[[#This Row],[FC/NFC]])</f>
        <v>19.05-0-2-ERW 1-PE</v>
      </c>
      <c r="R708" s="557" t="str">
        <f>_xlfn.CONCAT(scheduleapr[[#This Row],[Bucket]],"-",scheduleapr[[#This Row],[LENGTH]]/1000)</f>
        <v>19.05-0-2-ERW 1-PE-0.83</v>
      </c>
      <c r="S708" s="557" t="e" vm="2">
        <f>COUNTIF([2]!buckets[CTL Bucket],[2]!scheduleapr[[#This Row],[CTL Bucket]])</f>
        <v>#REF!</v>
      </c>
      <c r="T708" s="2" t="s">
        <v>1816</v>
      </c>
      <c r="U708" s="2" t="s">
        <v>1913</v>
      </c>
      <c r="V708" s="557"/>
      <c r="W708" s="557"/>
      <c r="X708" s="112">
        <v>19.05</v>
      </c>
      <c r="Y708" s="112">
        <v>19.05</v>
      </c>
      <c r="Z708" s="113">
        <v>0</v>
      </c>
      <c r="AA708" s="1">
        <v>2</v>
      </c>
      <c r="AB708" s="24">
        <v>830</v>
      </c>
      <c r="AC708" s="24" t="s">
        <v>397</v>
      </c>
      <c r="AD708" s="24"/>
      <c r="AE708" s="24"/>
      <c r="AF708" s="2"/>
      <c r="AG708" s="2"/>
      <c r="AH708" s="2" cm="1">
        <f t="array" ref="AH7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8" s="4">
        <f>scheduleapr[[#This Row],[SCHEDULE in nos]]-scheduleapr[[#This Row],[DISPATCH]]</f>
        <v>0</v>
      </c>
      <c r="AJ708" s="1">
        <f>(3.14*(scheduleapr[[#This Row],[ACTUAL OD]]-scheduleapr[[#This Row],[TICKNESS]])*scheduleapr[[#This Row],[TICKNESS]]*scheduleapr[[#This Row],[LENGTH]]*7.85)/1000000*scheduleapr[[#This Row],[SCHEDULE in nos]]/1000</f>
        <v>0</v>
      </c>
      <c r="AK708" s="1">
        <f>(3.14*(scheduleapr[[#This Row],[ACTUAL OD]]-scheduleapr[[#This Row],[TICKNESS]])*scheduleapr[[#This Row],[TICKNESS]]*scheduleapr[[#This Row],[LENGTH]]*7.85)/1000000*scheduleapr[[#This Row],[DISPATCH]]/1000</f>
        <v>0</v>
      </c>
      <c r="AL708" s="1">
        <f t="shared" ref="AL708:AL745" si="25">AJ708-AK708</f>
        <v>0</v>
      </c>
      <c r="AM708" s="1" t="e">
        <f>scheduleapr[[#This Row],[SCHEDULE in nos]]/scheduleapr[[#This Row],[SCHEDULE IN MT]]*scheduleapr[[#This Row],[CTL Stock]]</f>
        <v>#DIV/0!</v>
      </c>
      <c r="AN708" s="1">
        <f>SUMIFS(stock[MT],stock[Bucket],scheduleapr[[#This Row],[Bucket]],stock[CTL Bucket],scheduleapr[[#This Row],[CTL Bucket]],stock[Plant],"0789")</f>
        <v>0</v>
      </c>
      <c r="AO708" s="1"/>
      <c r="AP708" s="1">
        <f>SUMIFS(stock[MT],stock[Bucket],scheduleapr[[#This Row],[Bucket]],stock[LL or CTL],"LL")</f>
        <v>0</v>
      </c>
      <c r="AQ708" s="1">
        <f>+SUMIFS(wip[Stock(Net Wt)],wip[Bucket],scheduleapr[[#This Row],[Bucket]])/1000</f>
        <v>11.189</v>
      </c>
      <c r="AR708" s="1">
        <f t="shared" si="24"/>
        <v>0</v>
      </c>
      <c r="AS708" s="118"/>
    </row>
    <row r="709" spans="1:45" x14ac:dyDescent="0.25">
      <c r="A709" s="556"/>
      <c r="B709" s="5" t="s">
        <v>1816</v>
      </c>
      <c r="C709" s="2" t="s">
        <v>302</v>
      </c>
      <c r="D709" s="2" t="s">
        <v>2128</v>
      </c>
      <c r="E709" s="2">
        <v>944141</v>
      </c>
      <c r="F709" s="567"/>
      <c r="G709" s="100" t="str">
        <f>_xlfn.CONCAT(scheduleapr[[#This Row],[CUSTOMER CODE]],"-",scheduleapr[[#This Row],[MATERIAL NO]])</f>
        <v>944141-</v>
      </c>
      <c r="H709" s="567"/>
      <c r="I709" s="2" t="s">
        <v>962</v>
      </c>
      <c r="J709" s="557"/>
      <c r="K709" s="2" t="s">
        <v>963</v>
      </c>
      <c r="L709" s="557"/>
      <c r="M709" s="558"/>
      <c r="N709" s="557"/>
      <c r="O709" s="557"/>
      <c r="P709" s="557"/>
      <c r="Q709" s="557"/>
      <c r="R709" s="557"/>
      <c r="S709" s="557"/>
      <c r="T709" s="2"/>
      <c r="U709" s="2">
        <f>_xlfn.IFNA(VLOOKUP(scheduleapr[[#This Row],[Bucket]],salesforecast[[#All],[Bucket2]:[8406 Stock]],19,0),0)</f>
        <v>0</v>
      </c>
      <c r="V709" s="2"/>
      <c r="W709" s="2"/>
      <c r="X709" s="559">
        <v>19.05</v>
      </c>
      <c r="Y709" s="1">
        <v>19.05</v>
      </c>
      <c r="Z709" s="559">
        <v>0</v>
      </c>
      <c r="AA709" s="559">
        <v>2</v>
      </c>
      <c r="AB709" s="24">
        <v>835</v>
      </c>
      <c r="AC709" s="24" t="s">
        <v>397</v>
      </c>
      <c r="AD709" s="24"/>
      <c r="AE709" s="24"/>
      <c r="AF709" s="557">
        <v>5000</v>
      </c>
      <c r="AG709" s="44" t="s">
        <v>1838</v>
      </c>
      <c r="AH709" s="2" cm="1">
        <f t="array" ref="AH7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9" s="560">
        <f>scheduleapr[[#This Row],[SCHEDULE in nos]]-scheduleapr[[#This Row],[DISPATCH]]</f>
        <v>5000</v>
      </c>
      <c r="AJ709" s="559">
        <f>(3.14*(scheduleapr[[#This Row],[ACTUAL OD]]-scheduleapr[[#This Row],[TICKNESS]])*scheduleapr[[#This Row],[TICKNESS]]*scheduleapr[[#This Row],[LENGTH]]*7.85)/1000000*scheduleapr[[#This Row],[SCHEDULE in nos]]/1000</f>
        <v>3.5092165075000001</v>
      </c>
      <c r="AK709" s="1">
        <f>(3.14*(scheduleapr[[#This Row],[ACTUAL OD]]-scheduleapr[[#This Row],[TICKNESS]])*scheduleapr[[#This Row],[TICKNESS]]*scheduleapr[[#This Row],[LENGTH]]*7.85)/1000000*scheduleapr[[#This Row],[DISPATCH]]/1000</f>
        <v>0</v>
      </c>
      <c r="AL709" s="1">
        <f t="shared" si="25"/>
        <v>3.5092165075000001</v>
      </c>
      <c r="AM709" s="559">
        <f>scheduleapr[[#This Row],[SCHEDULE in nos]]/scheduleapr[[#This Row],[SCHEDULE IN MT]]*scheduleapr[[#This Row],[CTL Stock]]</f>
        <v>0</v>
      </c>
      <c r="AN709" s="1">
        <f>SUMIFS(stock[MT],stock[Bucket],scheduleapr[[#This Row],[Bucket]],stock[CTL Bucket],scheduleapr[[#This Row],[CTL Bucket]],stock[Plant],"0789")</f>
        <v>0</v>
      </c>
      <c r="AO709" s="1"/>
      <c r="AP709" s="1">
        <f>SUMIFS(stock[MT],stock[Bucket],scheduleapr[[#This Row],[Bucket]],stock[LL or CTL],"LL")</f>
        <v>0</v>
      </c>
      <c r="AQ709" s="1">
        <f>+SUMIFS(wip[Stock(Net Wt)],wip[Bucket],scheduleapr[[#This Row],[Bucket]])/1000</f>
        <v>0</v>
      </c>
      <c r="AR709" s="1">
        <f t="shared" si="24"/>
        <v>3.5092165075000001</v>
      </c>
      <c r="AS709" s="118"/>
    </row>
    <row r="710" spans="1:45" x14ac:dyDescent="0.25">
      <c r="A710" s="125">
        <v>591</v>
      </c>
      <c r="B710" s="5" t="s">
        <v>1816</v>
      </c>
      <c r="C710" s="2" t="s">
        <v>302</v>
      </c>
      <c r="D710" s="2" t="s">
        <v>2128</v>
      </c>
      <c r="E710" s="2">
        <v>944141</v>
      </c>
      <c r="F710" s="543">
        <v>3850335</v>
      </c>
      <c r="G710" s="100" t="str">
        <f>_xlfn.CONCAT(scheduleapr[[#This Row],[CUSTOMER CODE]],"-",scheduleapr[[#This Row],[MATERIAL NO]])</f>
        <v>944141-3850335</v>
      </c>
      <c r="H710" s="543" t="s">
        <v>2136</v>
      </c>
      <c r="I710" s="2" t="s">
        <v>962</v>
      </c>
      <c r="J710" s="2"/>
      <c r="K710" s="2" t="s">
        <v>963</v>
      </c>
      <c r="L710" s="2" t="s">
        <v>239</v>
      </c>
      <c r="M710" s="2"/>
      <c r="N710" s="2"/>
      <c r="O710" s="2"/>
      <c r="P710" s="2"/>
      <c r="Q710" s="557" t="str">
        <f>CONCATENATE(scheduleapr[[#This Row],[OD]],"-",scheduleapr[[#This Row],[ID]],"-",scheduleapr[[#This Row],[TICKNESS]],"-",scheduleapr[[#This Row],[Grade]],"-",scheduleapr[[#This Row],[FC/NFC]])</f>
        <v>19.05-0-2-ERW 1-PE</v>
      </c>
      <c r="R710" s="557" t="str">
        <f>_xlfn.CONCAT(scheduleapr[[#This Row],[Bucket]],"-",scheduleapr[[#This Row],[LENGTH]]/1000)</f>
        <v>19.05-0-2-ERW 1-PE-0.9</v>
      </c>
      <c r="S710" s="557" t="e" vm="2">
        <f>COUNTIF([2]!buckets[CTL Bucket],[2]!scheduleapr[[#This Row],[CTL Bucket]])</f>
        <v>#REF!</v>
      </c>
      <c r="T710" s="557"/>
      <c r="U710" s="557"/>
      <c r="V710" s="557"/>
      <c r="W710" s="557"/>
      <c r="X710" s="1">
        <v>19.05</v>
      </c>
      <c r="Y710" s="1">
        <v>19.05</v>
      </c>
      <c r="Z710" s="6">
        <v>0</v>
      </c>
      <c r="AA710" s="1">
        <v>2</v>
      </c>
      <c r="AB710" s="24">
        <v>900</v>
      </c>
      <c r="AC710" s="24" t="s">
        <v>397</v>
      </c>
      <c r="AD710" s="24"/>
      <c r="AE710" s="24"/>
      <c r="AF710" s="2"/>
      <c r="AG710" s="2"/>
      <c r="AH710" s="2" cm="1">
        <f t="array" ref="AH7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0" s="4">
        <f>scheduleapr[[#This Row],[SCHEDULE in nos]]-scheduleapr[[#This Row],[DISPATCH]]</f>
        <v>0</v>
      </c>
      <c r="AJ710" s="1">
        <f>(3.14*(scheduleapr[[#This Row],[ACTUAL OD]]-scheduleapr[[#This Row],[TICKNESS]])*scheduleapr[[#This Row],[TICKNESS]]*scheduleapr[[#This Row],[LENGTH]]*7.85)/1000000*scheduleapr[[#This Row],[SCHEDULE in nos]]/1000</f>
        <v>0</v>
      </c>
      <c r="AK710" s="1">
        <f>(3.14*(scheduleapr[[#This Row],[ACTUAL OD]]-scheduleapr[[#This Row],[TICKNESS]])*scheduleapr[[#This Row],[TICKNESS]]*scheduleapr[[#This Row],[LENGTH]]*7.85)/1000000*scheduleapr[[#This Row],[DISPATCH]]/1000</f>
        <v>0</v>
      </c>
      <c r="AL710" s="1">
        <f t="shared" si="25"/>
        <v>0</v>
      </c>
      <c r="AM710" s="1" t="e">
        <f>scheduleapr[[#This Row],[SCHEDULE in nos]]/scheduleapr[[#This Row],[SCHEDULE IN MT]]*scheduleapr[[#This Row],[CTL Stock]]</f>
        <v>#DIV/0!</v>
      </c>
      <c r="AN710" s="1">
        <f>SUMIFS(stock[MT],stock[Bucket],scheduleapr[[#This Row],[Bucket]],stock[CTL Bucket],scheduleapr[[#This Row],[CTL Bucket]],stock[Plant],"0789")</f>
        <v>0</v>
      </c>
      <c r="AO710" s="1"/>
      <c r="AP710" s="1">
        <f>SUMIFS(stock[MT],stock[Bucket],scheduleapr[[#This Row],[Bucket]],stock[LL or CTL],"LL")</f>
        <v>0</v>
      </c>
      <c r="AQ710" s="1">
        <f>+SUMIFS(wip[Stock(Net Wt)],wip[Bucket],scheduleapr[[#This Row],[Bucket]])/1000</f>
        <v>11.189</v>
      </c>
      <c r="AR710" s="1">
        <f t="shared" si="24"/>
        <v>0</v>
      </c>
      <c r="AS710" s="118"/>
    </row>
    <row r="711" spans="1:45" x14ac:dyDescent="0.25">
      <c r="A711" s="30">
        <v>594</v>
      </c>
      <c r="B711" s="5" t="s">
        <v>1816</v>
      </c>
      <c r="C711" s="2" t="s">
        <v>302</v>
      </c>
      <c r="D711" s="2" t="s">
        <v>2128</v>
      </c>
      <c r="E711" s="2">
        <v>944141</v>
      </c>
      <c r="F711" s="539">
        <v>1259405</v>
      </c>
      <c r="G711" s="100" t="str">
        <f>_xlfn.CONCAT(scheduleapr[[#This Row],[CUSTOMER CODE]],"-",scheduleapr[[#This Row],[MATERIAL NO]])</f>
        <v>944141-1259405</v>
      </c>
      <c r="H711" s="539" t="s">
        <v>2137</v>
      </c>
      <c r="I711" s="2" t="s">
        <v>962</v>
      </c>
      <c r="J711" s="2"/>
      <c r="K711" s="2" t="s">
        <v>963</v>
      </c>
      <c r="L711" s="2" t="s">
        <v>239</v>
      </c>
      <c r="M711" s="2"/>
      <c r="N711" s="2"/>
      <c r="O711" s="2"/>
      <c r="P711" s="2"/>
      <c r="Q711" s="557" t="str">
        <f>CONCATENATE(scheduleapr[[#This Row],[OD]],"-",scheduleapr[[#This Row],[ID]],"-",scheduleapr[[#This Row],[TICKNESS]],"-",scheduleapr[[#This Row],[Grade]],"-",scheduleapr[[#This Row],[FC/NFC]])</f>
        <v>19.05-0-2.3-ERW 1-PE</v>
      </c>
      <c r="R711" s="557" t="str">
        <f>_xlfn.CONCAT(scheduleapr[[#This Row],[Bucket]],"-",scheduleapr[[#This Row],[LENGTH]]/1000)</f>
        <v>19.05-0-2.3-ERW 1-PE-0.21</v>
      </c>
      <c r="S711" s="557">
        <f>COUNTIF(scheduleapr[CTL Bucket],scheduleapr[[#This Row],[CTL Bucket]])</f>
        <v>1</v>
      </c>
      <c r="T711" s="2" t="s">
        <v>1816</v>
      </c>
      <c r="U711" s="2">
        <f>_xlfn.IFNA(VLOOKUP(scheduleapr[[#This Row],[Bucket]],salesforecast[[#All],[Bucket2]:[8406 Stock]],19,0),0)</f>
        <v>24.635752000000004</v>
      </c>
      <c r="V711" s="557"/>
      <c r="W711" s="557"/>
      <c r="X711" s="1">
        <v>19.05</v>
      </c>
      <c r="Y711" s="1">
        <v>19.05</v>
      </c>
      <c r="Z711" s="6">
        <v>0</v>
      </c>
      <c r="AA711" s="1">
        <v>2.2999999999999998</v>
      </c>
      <c r="AB711" s="24">
        <v>210</v>
      </c>
      <c r="AC711" s="24" t="s">
        <v>397</v>
      </c>
      <c r="AD711" s="24"/>
      <c r="AE711" s="24"/>
      <c r="AF711" s="2">
        <v>5000</v>
      </c>
      <c r="AG711" s="44" t="s">
        <v>1838</v>
      </c>
      <c r="AH711" s="2" cm="1">
        <f t="array" ref="AH7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1" s="4">
        <f>scheduleapr[[#This Row],[SCHEDULE in nos]]-scheduleapr[[#This Row],[DISPATCH]]</f>
        <v>5000</v>
      </c>
      <c r="AJ711" s="1">
        <f>(3.14*(scheduleapr[[#This Row],[ACTUAL OD]]-scheduleapr[[#This Row],[TICKNESS]])*scheduleapr[[#This Row],[TICKNESS]]*scheduleapr[[#This Row],[LENGTH]]*7.85)/1000000*scheduleapr[[#This Row],[SCHEDULE in nos]]/1000</f>
        <v>0.9970828612499999</v>
      </c>
      <c r="AK711" s="1">
        <f>(3.14*(scheduleapr[[#This Row],[ACTUAL OD]]-scheduleapr[[#This Row],[TICKNESS]])*scheduleapr[[#This Row],[TICKNESS]]*scheduleapr[[#This Row],[LENGTH]]*7.85)/1000000*scheduleapr[[#This Row],[DISPATCH]]/1000</f>
        <v>0</v>
      </c>
      <c r="AL711" s="1">
        <f t="shared" si="25"/>
        <v>0.9970828612499999</v>
      </c>
      <c r="AM711" s="1">
        <f>scheduleapr[[#This Row],[SCHEDULE in nos]]/scheduleapr[[#This Row],[SCHEDULE IN MT]]*scheduleapr[[#This Row],[CTL Stock]]</f>
        <v>301.7151449407686</v>
      </c>
      <c r="AN711" s="1">
        <f>SUMIFS(stock[MT],stock[Bucket],scheduleapr[[#This Row],[Bucket]],stock[CTL Bucket],scheduleapr[[#This Row],[CTL Bucket]],stock[Plant],"0789")</f>
        <v>6.0166999999999998E-2</v>
      </c>
      <c r="AO711" s="1"/>
      <c r="AP711" s="1">
        <f>SUMIFS(stock[MT],stock[Bucket],scheduleapr[[#This Row],[Bucket]],stock[LL or CTL],"LL")</f>
        <v>73.955845999999994</v>
      </c>
      <c r="AQ711" s="1">
        <f>+SUMIFS(wip[Stock(Net Wt)],wip[Bucket],scheduleapr[[#This Row],[Bucket]])/1000</f>
        <v>6.0149999999999997</v>
      </c>
      <c r="AR711" s="1">
        <f t="shared" si="24"/>
        <v>0.93691586124999993</v>
      </c>
      <c r="AS711" s="118"/>
    </row>
    <row r="712" spans="1:45" x14ac:dyDescent="0.25">
      <c r="A712" s="125">
        <v>595</v>
      </c>
      <c r="B712" s="5" t="s">
        <v>1816</v>
      </c>
      <c r="C712" s="2" t="s">
        <v>302</v>
      </c>
      <c r="D712" s="2" t="s">
        <v>2128</v>
      </c>
      <c r="E712" s="2">
        <v>944141</v>
      </c>
      <c r="F712" s="539">
        <v>1940306</v>
      </c>
      <c r="G712" s="100" t="str">
        <f>_xlfn.CONCAT(scheduleapr[[#This Row],[CUSTOMER CODE]],"-",scheduleapr[[#This Row],[MATERIAL NO]])</f>
        <v>944141-1940306</v>
      </c>
      <c r="H712" s="539" t="s">
        <v>454</v>
      </c>
      <c r="I712" s="2" t="s">
        <v>962</v>
      </c>
      <c r="J712" s="2"/>
      <c r="K712" s="2" t="s">
        <v>963</v>
      </c>
      <c r="L712" s="2" t="s">
        <v>239</v>
      </c>
      <c r="M712" s="2"/>
      <c r="N712" s="2"/>
      <c r="O712" s="2"/>
      <c r="P712" s="2"/>
      <c r="Q712" s="557" t="str">
        <f>CONCATENATE(scheduleapr[[#This Row],[OD]],"-",scheduleapr[[#This Row],[ID]],"-",scheduleapr[[#This Row],[TICKNESS]],"-",scheduleapr[[#This Row],[Grade]],"-",scheduleapr[[#This Row],[FC/NFC]])</f>
        <v>19.05-0-2.3-ERW 1-PE</v>
      </c>
      <c r="R712" s="557" t="str">
        <f>_xlfn.CONCAT(scheduleapr[[#This Row],[Bucket]],"-",scheduleapr[[#This Row],[LENGTH]]/1000)</f>
        <v>19.05-0-2.3-ERW 1-PE-0.236</v>
      </c>
      <c r="S712" s="557">
        <f>COUNTIF(scheduleapr[CTL Bucket],scheduleapr[[#This Row],[CTL Bucket]])</f>
        <v>1</v>
      </c>
      <c r="T712" s="2" t="s">
        <v>1816</v>
      </c>
      <c r="U712" s="2">
        <f>_xlfn.IFNA(VLOOKUP(scheduleapr[[#This Row],[Bucket]],salesforecast[[#All],[Bucket2]:[8406 Stock]],19,0),0)</f>
        <v>24.635752000000004</v>
      </c>
      <c r="V712" s="562">
        <f>_xlfn.IFNA(VLOOKUP(scheduleapr[[#This Row],[Bucket]],salesforecast[[#All],[Bucket2]:[8406 Stock]],20,0),0)+_xlfn.IFNA(VLOOKUP(scheduleapr[[#This Row],[Bucket]],salesforecast[[#All],[Bucket2]:[8406 Stock]],17,0),0)</f>
        <v>38.357093999999996</v>
      </c>
      <c r="W712" s="557"/>
      <c r="X712" s="1">
        <v>19.05</v>
      </c>
      <c r="Y712" s="1">
        <v>19.05</v>
      </c>
      <c r="Z712" s="6">
        <v>0</v>
      </c>
      <c r="AA712" s="1">
        <v>2.2999999999999998</v>
      </c>
      <c r="AB712" s="24">
        <v>236</v>
      </c>
      <c r="AC712" s="24" t="s">
        <v>397</v>
      </c>
      <c r="AD712" s="24"/>
      <c r="AE712" s="24"/>
      <c r="AF712" s="2">
        <v>40000</v>
      </c>
      <c r="AG712" s="2"/>
      <c r="AH712" s="2" cm="1">
        <f t="array" ref="AH7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10500</v>
      </c>
      <c r="AI712" s="4">
        <f>scheduleapr[[#This Row],[SCHEDULE in nos]]-scheduleapr[[#This Row],[DISPATCH]]</f>
        <v>29500</v>
      </c>
      <c r="AJ712" s="1">
        <f>(3.14*(scheduleapr[[#This Row],[ACTUAL OD]]-scheduleapr[[#This Row],[TICKNESS]])*scheduleapr[[#This Row],[TICKNESS]]*scheduleapr[[#This Row],[LENGTH]]*7.85)/1000000*scheduleapr[[#This Row],[SCHEDULE in nos]]/1000</f>
        <v>8.9642497240000001</v>
      </c>
      <c r="AK712" s="1">
        <f>(3.14*(scheduleapr[[#This Row],[ACTUAL OD]]-scheduleapr[[#This Row],[TICKNESS]])*scheduleapr[[#This Row],[TICKNESS]]*scheduleapr[[#This Row],[LENGTH]]*7.85)/1000000*scheduleapr[[#This Row],[DISPATCH]]/1000</f>
        <v>2.3531155525499998</v>
      </c>
      <c r="AL712" s="1">
        <f t="shared" si="25"/>
        <v>6.6111341714500007</v>
      </c>
      <c r="AM712" s="1">
        <f>scheduleapr[[#This Row],[SCHEDULE in nos]]/scheduleapr[[#This Row],[SCHEDULE IN MT]]*scheduleapr[[#This Row],[CTL Stock]]</f>
        <v>35.362691776791465</v>
      </c>
      <c r="AN712" s="1">
        <f>SUMIFS(stock[MT],stock[Bucket],scheduleapr[[#This Row],[Bucket]],stock[CTL Bucket],scheduleapr[[#This Row],[CTL Bucket]],stock[Plant],"0789")</f>
        <v>7.9249999999999998E-3</v>
      </c>
      <c r="AO712" s="1"/>
      <c r="AP712" s="1">
        <f>SUMIFS(stock[MT],stock[Bucket],scheduleapr[[#This Row],[Bucket]],stock[LL or CTL],"LL")</f>
        <v>73.955845999999994</v>
      </c>
      <c r="AQ712" s="1">
        <f>+SUMIFS(wip[Stock(Net Wt)],wip[Bucket],scheduleapr[[#This Row],[Bucket]])/1000</f>
        <v>6.0149999999999997</v>
      </c>
      <c r="AR712" s="1">
        <f t="shared" si="24"/>
        <v>8.9563247239999999</v>
      </c>
      <c r="AS712" s="118"/>
    </row>
    <row r="713" spans="1:45" x14ac:dyDescent="0.25">
      <c r="A713" s="30">
        <v>596</v>
      </c>
      <c r="B713" s="5" t="s">
        <v>1816</v>
      </c>
      <c r="C713" s="2" t="s">
        <v>302</v>
      </c>
      <c r="D713" s="2" t="s">
        <v>2128</v>
      </c>
      <c r="E713" s="2">
        <v>944141</v>
      </c>
      <c r="F713" s="2">
        <v>1940307</v>
      </c>
      <c r="G713" s="2" t="str">
        <f>_xlfn.CONCAT(scheduleapr[[#This Row],[CUSTOMER CODE]],"-",scheduleapr[[#This Row],[MATERIAL NO]])</f>
        <v>944141-1940307</v>
      </c>
      <c r="H713" s="2" t="s">
        <v>408</v>
      </c>
      <c r="I713" s="2" t="s">
        <v>962</v>
      </c>
      <c r="J713" s="2"/>
      <c r="K713" s="2" t="s">
        <v>963</v>
      </c>
      <c r="L713" s="2" t="s">
        <v>239</v>
      </c>
      <c r="M713" s="2"/>
      <c r="N713" s="2"/>
      <c r="O713" s="2"/>
      <c r="P713" s="2"/>
      <c r="Q713" s="557" t="str">
        <f>CONCATENATE(scheduleapr[[#This Row],[OD]],"-",scheduleapr[[#This Row],[ID]],"-",scheduleapr[[#This Row],[TICKNESS]],"-",scheduleapr[[#This Row],[Grade]],"-",scheduleapr[[#This Row],[FC/NFC]])</f>
        <v>19.05-0-2.3-ERW 1-PE</v>
      </c>
      <c r="R713" s="557" t="str">
        <f>_xlfn.CONCAT(scheduleapr[[#This Row],[Bucket]],"-",scheduleapr[[#This Row],[LENGTH]]/1000)</f>
        <v>19.05-0-2.3-ERW 1-PE-0.252</v>
      </c>
      <c r="S713" s="557">
        <f>COUNTIF(scheduleapr[CTL Bucket],scheduleapr[[#This Row],[CTL Bucket]])</f>
        <v>1</v>
      </c>
      <c r="T713" s="2" t="s">
        <v>1816</v>
      </c>
      <c r="U713" s="2">
        <f>_xlfn.IFNA(VLOOKUP(scheduleapr[[#This Row],[Bucket]],salesforecast[[#All],[Bucket2]:[8406 Stock]],19,0),0)</f>
        <v>24.635752000000004</v>
      </c>
      <c r="V713" s="562">
        <f>_xlfn.IFNA(VLOOKUP(scheduleapr[[#This Row],[Bucket]],salesforecast[[#All],[Bucket2]:[8406 Stock]],20,0),0)+_xlfn.IFNA(VLOOKUP(scheduleapr[[#This Row],[Bucket]],salesforecast[[#All],[Bucket2]:[8406 Stock]],17,0),0)</f>
        <v>38.357093999999996</v>
      </c>
      <c r="W713" s="557"/>
      <c r="X713" s="1">
        <v>19.05</v>
      </c>
      <c r="Y713" s="1">
        <v>19.05</v>
      </c>
      <c r="Z713" s="6">
        <v>0</v>
      </c>
      <c r="AA713" s="1">
        <v>2.2999999999999998</v>
      </c>
      <c r="AB713" s="24">
        <v>252</v>
      </c>
      <c r="AC713" s="24" t="s">
        <v>397</v>
      </c>
      <c r="AD713" s="24"/>
      <c r="AE713" s="24"/>
      <c r="AF713" s="2">
        <v>70000</v>
      </c>
      <c r="AG713" s="2"/>
      <c r="AH713" s="2" cm="1">
        <f t="array" ref="AH7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3900</v>
      </c>
      <c r="AI713" s="4">
        <f>scheduleapr[[#This Row],[SCHEDULE in nos]]-scheduleapr[[#This Row],[DISPATCH]]</f>
        <v>66100</v>
      </c>
      <c r="AJ713" s="1">
        <f>(3.14*(scheduleapr[[#This Row],[ACTUAL OD]]-scheduleapr[[#This Row],[TICKNESS]])*scheduleapr[[#This Row],[TICKNESS]]*scheduleapr[[#This Row],[LENGTH]]*7.85)/1000000*scheduleapr[[#This Row],[SCHEDULE in nos]]/1000</f>
        <v>16.750992068999995</v>
      </c>
      <c r="AK713" s="1">
        <f>(3.14*(scheduleapr[[#This Row],[ACTUAL OD]]-scheduleapr[[#This Row],[TICKNESS]])*scheduleapr[[#This Row],[TICKNESS]]*scheduleapr[[#This Row],[LENGTH]]*7.85)/1000000*scheduleapr[[#This Row],[DISPATCH]]/1000</f>
        <v>0.93326955812999979</v>
      </c>
      <c r="AL713" s="1">
        <f t="shared" si="25"/>
        <v>15.817722510869995</v>
      </c>
      <c r="AM713" s="1">
        <f>scheduleapr[[#This Row],[SCHEDULE in nos]]/scheduleapr[[#This Row],[SCHEDULE IN MT]]*scheduleapr[[#This Row],[CTL Stock]]</f>
        <v>39.11410126045832</v>
      </c>
      <c r="AN713" s="1">
        <f>SUMIFS(stock[MT],stock[Bucket],scheduleapr[[#This Row],[Bucket]],stock[CTL Bucket],scheduleapr[[#This Row],[CTL Bucket]],stock[Plant],"0789")</f>
        <v>9.3600000000000003E-3</v>
      </c>
      <c r="AO713" s="1"/>
      <c r="AP713" s="1">
        <f>SUMIFS(stock[MT],stock[Bucket],scheduleapr[[#This Row],[Bucket]],stock[LL or CTL],"LL")</f>
        <v>73.955845999999994</v>
      </c>
      <c r="AQ713" s="1">
        <f>+SUMIFS(wip[Stock(Net Wt)],wip[Bucket],scheduleapr[[#This Row],[Bucket]])/1000</f>
        <v>6.0149999999999997</v>
      </c>
      <c r="AR713" s="1">
        <f t="shared" si="24"/>
        <v>16.741632068999994</v>
      </c>
      <c r="AS713" s="118"/>
    </row>
    <row r="714" spans="1:45" x14ac:dyDescent="0.25">
      <c r="A714" s="30">
        <v>597</v>
      </c>
      <c r="B714" s="5" t="s">
        <v>1816</v>
      </c>
      <c r="C714" s="2" t="s">
        <v>302</v>
      </c>
      <c r="D714" s="2" t="s">
        <v>2128</v>
      </c>
      <c r="E714" s="2">
        <v>944141</v>
      </c>
      <c r="F714" s="539">
        <v>1940309</v>
      </c>
      <c r="G714" s="100" t="str">
        <f>_xlfn.CONCAT(scheduleapr[[#This Row],[CUSTOMER CODE]],"-",scheduleapr[[#This Row],[MATERIAL NO]])</f>
        <v>944141-1940309</v>
      </c>
      <c r="H714" s="539" t="s">
        <v>703</v>
      </c>
      <c r="I714" s="2" t="s">
        <v>962</v>
      </c>
      <c r="J714" s="2"/>
      <c r="K714" s="2" t="s">
        <v>963</v>
      </c>
      <c r="L714" s="2" t="s">
        <v>239</v>
      </c>
      <c r="M714" s="2"/>
      <c r="N714" s="2"/>
      <c r="O714" s="2"/>
      <c r="P714" s="2"/>
      <c r="Q714" s="557" t="str">
        <f>CONCATENATE(scheduleapr[[#This Row],[OD]],"-",scheduleapr[[#This Row],[ID]],"-",scheduleapr[[#This Row],[TICKNESS]],"-",scheduleapr[[#This Row],[Grade]],"-",scheduleapr[[#This Row],[FC/NFC]])</f>
        <v>19.05-0-2.3-ERW 1-PE</v>
      </c>
      <c r="R714" s="557" t="str">
        <f>_xlfn.CONCAT(scheduleapr[[#This Row],[Bucket]],"-",scheduleapr[[#This Row],[LENGTH]]/1000)</f>
        <v>19.05-0-2.3-ERW 1-PE-0.265</v>
      </c>
      <c r="S714" s="557">
        <f>COUNTIF(scheduleapr[CTL Bucket],scheduleapr[[#This Row],[CTL Bucket]])</f>
        <v>1</v>
      </c>
      <c r="T714" s="2" t="s">
        <v>1816</v>
      </c>
      <c r="U714" s="2">
        <f>_xlfn.IFNA(VLOOKUP(scheduleapr[[#This Row],[Bucket]],salesforecast[[#All],[Bucket2]:[8406 Stock]],19,0),0)</f>
        <v>24.635752000000004</v>
      </c>
      <c r="V714" s="562">
        <f>_xlfn.IFNA(VLOOKUP(scheduleapr[[#This Row],[Bucket]],salesforecast[[#All],[Bucket2]:[8406 Stock]],20,0),0)+_xlfn.IFNA(VLOOKUP(scheduleapr[[#This Row],[Bucket]],salesforecast[[#All],[Bucket2]:[8406 Stock]],17,0),0)</f>
        <v>38.357093999999996</v>
      </c>
      <c r="W714" s="557"/>
      <c r="X714" s="1">
        <v>19.05</v>
      </c>
      <c r="Y714" s="1">
        <v>19.05</v>
      </c>
      <c r="Z714" s="6">
        <v>0</v>
      </c>
      <c r="AA714" s="1">
        <v>2.2999999999999998</v>
      </c>
      <c r="AB714" s="24">
        <v>265</v>
      </c>
      <c r="AC714" s="24" t="s">
        <v>397</v>
      </c>
      <c r="AD714" s="24" t="s">
        <v>2130</v>
      </c>
      <c r="AE714" s="24">
        <v>8000</v>
      </c>
      <c r="AF714" s="2">
        <v>25000</v>
      </c>
      <c r="AG714" s="2"/>
      <c r="AH714" s="2" cm="1">
        <f t="array" ref="AH7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26756</v>
      </c>
      <c r="AI714" s="4">
        <f>scheduleapr[[#This Row],[SCHEDULE in nos]]-scheduleapr[[#This Row],[DISPATCH]]</f>
        <v>-1756</v>
      </c>
      <c r="AJ714" s="1">
        <f>(3.14*(scheduleapr[[#This Row],[ACTUAL OD]]-scheduleapr[[#This Row],[TICKNESS]])*scheduleapr[[#This Row],[TICKNESS]]*scheduleapr[[#This Row],[LENGTH]]*7.85)/1000000*scheduleapr[[#This Row],[SCHEDULE in nos]]/1000</f>
        <v>6.2911180531250004</v>
      </c>
      <c r="AK714" s="1">
        <f>(3.14*(scheduleapr[[#This Row],[ACTUAL OD]]-scheduleapr[[#This Row],[TICKNESS]])*scheduleapr[[#This Row],[TICKNESS]]*scheduleapr[[#This Row],[LENGTH]]*7.85)/1000000*scheduleapr[[#This Row],[DISPATCH]]/1000</f>
        <v>6.7330061851765004</v>
      </c>
      <c r="AL714" s="1">
        <f t="shared" si="25"/>
        <v>-0.44188813205150002</v>
      </c>
      <c r="AM714" s="1">
        <f>scheduleapr[[#This Row],[SCHEDULE in nos]]/scheduleapr[[#This Row],[SCHEDULE IN MT]]*scheduleapr[[#This Row],[CTL Stock]]</f>
        <v>7250.460031876577</v>
      </c>
      <c r="AN714" s="1">
        <f>SUMIFS(stock[MT],stock[Bucket],scheduleapr[[#This Row],[Bucket]],stock[CTL Bucket],scheduleapr[[#This Row],[CTL Bucket]],stock[Plant],"0789")</f>
        <v>1.8245399999999998</v>
      </c>
      <c r="AO714" s="1"/>
      <c r="AP714" s="1">
        <f>SUMIFS(stock[MT],stock[Bucket],scheduleapr[[#This Row],[Bucket]],stock[LL or CTL],"LL")</f>
        <v>73.955845999999994</v>
      </c>
      <c r="AQ714" s="79">
        <f>+SUMIFS(wip[Stock(Net Wt)],wip[Bucket],scheduleapr[[#This Row],[Bucket]])/1000</f>
        <v>6.0149999999999997</v>
      </c>
      <c r="AR714" s="1">
        <f t="shared" si="24"/>
        <v>4.4665780531250006</v>
      </c>
      <c r="AS714" s="118"/>
    </row>
    <row r="715" spans="1:45" x14ac:dyDescent="0.25">
      <c r="A715" s="125">
        <v>598</v>
      </c>
      <c r="B715" s="5" t="s">
        <v>1816</v>
      </c>
      <c r="C715" s="2" t="s">
        <v>302</v>
      </c>
      <c r="D715" s="2" t="s">
        <v>2128</v>
      </c>
      <c r="E715" s="2">
        <v>944141</v>
      </c>
      <c r="F715" s="539">
        <v>1940310</v>
      </c>
      <c r="G715" s="100" t="str">
        <f>_xlfn.CONCAT(scheduleapr[[#This Row],[CUSTOMER CODE]],"-",scheduleapr[[#This Row],[MATERIAL NO]])</f>
        <v>944141-1940310</v>
      </c>
      <c r="H715" s="539" t="s">
        <v>2138</v>
      </c>
      <c r="I715" s="2" t="s">
        <v>962</v>
      </c>
      <c r="J715" s="2"/>
      <c r="K715" s="2" t="s">
        <v>963</v>
      </c>
      <c r="L715" s="2" t="s">
        <v>239</v>
      </c>
      <c r="M715" s="2"/>
      <c r="N715" s="2"/>
      <c r="O715" s="2"/>
      <c r="P715" s="2"/>
      <c r="Q715" s="557" t="str">
        <f>CONCATENATE(scheduleapr[[#This Row],[OD]],"-",scheduleapr[[#This Row],[ID]],"-",scheduleapr[[#This Row],[TICKNESS]],"-",scheduleapr[[#This Row],[Grade]],"-",scheduleapr[[#This Row],[FC/NFC]])</f>
        <v>19.05-0-2.3-ERW 1-PE</v>
      </c>
      <c r="R715" s="557" t="str">
        <f>_xlfn.CONCAT(scheduleapr[[#This Row],[Bucket]],"-",scheduleapr[[#This Row],[LENGTH]]/1000)</f>
        <v>19.05-0-2.3-ERW 1-PE-0.281</v>
      </c>
      <c r="S715" s="557" t="e" vm="2">
        <f>COUNTIF([2]!buckets[CTL Bucket],[2]!scheduleapr[[#This Row],[CTL Bucket]])</f>
        <v>#REF!</v>
      </c>
      <c r="T715" s="557"/>
      <c r="U715" s="2">
        <f>_xlfn.IFNA(VLOOKUP(scheduleapr[[#This Row],[Bucket]],salesforecast[[#All],[Bucket2]:[8406 Stock]],19,0),0)</f>
        <v>24.635752000000004</v>
      </c>
      <c r="V715" s="557"/>
      <c r="W715" s="557"/>
      <c r="X715" s="1">
        <v>19.05</v>
      </c>
      <c r="Y715" s="1">
        <v>19.05</v>
      </c>
      <c r="Z715" s="6">
        <v>0</v>
      </c>
      <c r="AA715" s="1">
        <v>2.2999999999999998</v>
      </c>
      <c r="AB715" s="24">
        <v>281</v>
      </c>
      <c r="AC715" s="24" t="s">
        <v>397</v>
      </c>
      <c r="AD715" s="24"/>
      <c r="AE715" s="24"/>
      <c r="AF715" s="2">
        <v>5000</v>
      </c>
      <c r="AG715" s="44" t="s">
        <v>1838</v>
      </c>
      <c r="AH715" s="2" cm="1">
        <f t="array" ref="AH7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5" s="4">
        <f>scheduleapr[[#This Row],[SCHEDULE in nos]]-scheduleapr[[#This Row],[DISPATCH]]</f>
        <v>5000</v>
      </c>
      <c r="AJ715" s="1">
        <f>(3.14*(scheduleapr[[#This Row],[ACTUAL OD]]-scheduleapr[[#This Row],[TICKNESS]])*scheduleapr[[#This Row],[TICKNESS]]*scheduleapr[[#This Row],[LENGTH]]*7.85)/1000000*scheduleapr[[#This Row],[SCHEDULE in nos]]/1000</f>
        <v>1.3341918286249999</v>
      </c>
      <c r="AK715" s="1">
        <f>(3.14*(scheduleapr[[#This Row],[ACTUAL OD]]-scheduleapr[[#This Row],[TICKNESS]])*scheduleapr[[#This Row],[TICKNESS]]*scheduleapr[[#This Row],[LENGTH]]*7.85)/1000000*scheduleapr[[#This Row],[DISPATCH]]/1000</f>
        <v>0</v>
      </c>
      <c r="AL715" s="1">
        <f t="shared" si="25"/>
        <v>1.3341918286249999</v>
      </c>
      <c r="AM715" s="1">
        <f>scheduleapr[[#This Row],[SCHEDULE in nos]]/scheduleapr[[#This Row],[SCHEDULE IN MT]]*scheduleapr[[#This Row],[CTL Stock]]</f>
        <v>0</v>
      </c>
      <c r="AN715" s="1">
        <f>SUMIFS(stock[MT],stock[Bucket],scheduleapr[[#This Row],[Bucket]],stock[CTL Bucket],scheduleapr[[#This Row],[CTL Bucket]],stock[Plant],"0789")</f>
        <v>0</v>
      </c>
      <c r="AO715" s="1"/>
      <c r="AP715" s="1">
        <f>SUMIFS(stock[MT],stock[Bucket],scheduleapr[[#This Row],[Bucket]],stock[LL or CTL],"LL")</f>
        <v>73.955845999999994</v>
      </c>
      <c r="AQ715" s="1">
        <f>+SUMIFS(wip[Stock(Net Wt)],wip[Bucket],scheduleapr[[#This Row],[Bucket]])/1000</f>
        <v>6.0149999999999997</v>
      </c>
      <c r="AR715" s="1">
        <f t="shared" si="24"/>
        <v>1.3341918286249999</v>
      </c>
      <c r="AS715" s="118"/>
    </row>
    <row r="716" spans="1:45" x14ac:dyDescent="0.25">
      <c r="A716" s="30">
        <v>599</v>
      </c>
      <c r="B716" s="5" t="s">
        <v>1816</v>
      </c>
      <c r="C716" s="2" t="s">
        <v>302</v>
      </c>
      <c r="D716" s="2" t="s">
        <v>2128</v>
      </c>
      <c r="E716" s="2">
        <v>944141</v>
      </c>
      <c r="F716" s="539">
        <v>1940312</v>
      </c>
      <c r="G716" s="100" t="str">
        <f>_xlfn.CONCAT(scheduleapr[[#This Row],[CUSTOMER CODE]],"-",scheduleapr[[#This Row],[MATERIAL NO]])</f>
        <v>944141-1940312</v>
      </c>
      <c r="H716" s="539" t="s">
        <v>410</v>
      </c>
      <c r="I716" s="2" t="s">
        <v>962</v>
      </c>
      <c r="J716" s="2"/>
      <c r="K716" s="2" t="s">
        <v>963</v>
      </c>
      <c r="L716" s="2" t="s">
        <v>239</v>
      </c>
      <c r="M716" s="2"/>
      <c r="N716" s="2"/>
      <c r="O716" s="2"/>
      <c r="P716" s="2"/>
      <c r="Q716" s="557" t="str">
        <f>CONCATENATE(scheduleapr[[#This Row],[OD]],"-",scheduleapr[[#This Row],[ID]],"-",scheduleapr[[#This Row],[TICKNESS]],"-",scheduleapr[[#This Row],[Grade]],"-",scheduleapr[[#This Row],[FC/NFC]])</f>
        <v>19.05-0-2.3-ERW 1-PE</v>
      </c>
      <c r="R716" s="557" t="str">
        <f>_xlfn.CONCAT(scheduleapr[[#This Row],[Bucket]],"-",scheduleapr[[#This Row],[LENGTH]]/1000)</f>
        <v>19.05-0-2.3-ERW 1-PE-0.295</v>
      </c>
      <c r="S716" s="557">
        <f>COUNTIF(scheduleapr[CTL Bucket],scheduleapr[[#This Row],[CTL Bucket]])</f>
        <v>2</v>
      </c>
      <c r="T716" s="2" t="s">
        <v>1816</v>
      </c>
      <c r="U716" s="2">
        <f>_xlfn.IFNA(VLOOKUP(scheduleapr[[#This Row],[Bucket]],salesforecast[[#All],[Bucket2]:[8406 Stock]],19,0),0)</f>
        <v>24.635752000000004</v>
      </c>
      <c r="V716" s="562">
        <f>_xlfn.IFNA(VLOOKUP(scheduleapr[[#This Row],[Bucket]],salesforecast[[#All],[Bucket2]:[8406 Stock]],20,0),0)+_xlfn.IFNA(VLOOKUP(scheduleapr[[#This Row],[Bucket]],salesforecast[[#All],[Bucket2]:[8406 Stock]],17,0),0)</f>
        <v>38.357093999999996</v>
      </c>
      <c r="W716" s="557"/>
      <c r="X716" s="1">
        <v>19.05</v>
      </c>
      <c r="Y716" s="1">
        <v>19.05</v>
      </c>
      <c r="Z716" s="6">
        <v>0</v>
      </c>
      <c r="AA716" s="1">
        <v>2.2999999999999998</v>
      </c>
      <c r="AB716" s="24">
        <v>295</v>
      </c>
      <c r="AC716" s="24" t="s">
        <v>397</v>
      </c>
      <c r="AD716" s="24"/>
      <c r="AE716" s="24"/>
      <c r="AF716" s="2">
        <v>80000</v>
      </c>
      <c r="AG716" s="2"/>
      <c r="AH716" s="2" cm="1">
        <f t="array" ref="AH7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60283</v>
      </c>
      <c r="AI716" s="4">
        <f>scheduleapr[[#This Row],[SCHEDULE in nos]]-scheduleapr[[#This Row],[DISPATCH]]</f>
        <v>19717</v>
      </c>
      <c r="AJ716" s="1">
        <f>(3.14*(scheduleapr[[#This Row],[ACTUAL OD]]-scheduleapr[[#This Row],[TICKNESS]])*scheduleapr[[#This Row],[TICKNESS]]*scheduleapr[[#This Row],[LENGTH]]*7.85)/1000000*scheduleapr[[#This Row],[SCHEDULE in nos]]/1000</f>
        <v>22.410624309999999</v>
      </c>
      <c r="AK716" s="1">
        <f>(3.14*(scheduleapr[[#This Row],[ACTUAL OD]]-scheduleapr[[#This Row],[TICKNESS]])*scheduleapr[[#This Row],[TICKNESS]]*scheduleapr[[#This Row],[LENGTH]]*7.85)/1000000*scheduleapr[[#This Row],[DISPATCH]]/1000</f>
        <v>16.887245815996625</v>
      </c>
      <c r="AL716" s="1">
        <f t="shared" si="25"/>
        <v>5.5233784940033743</v>
      </c>
      <c r="AM716" s="1">
        <f>scheduleapr[[#This Row],[SCHEDULE in nos]]/scheduleapr[[#This Row],[SCHEDULE IN MT]]*scheduleapr[[#This Row],[CTL Stock]]</f>
        <v>7368.0767530567737</v>
      </c>
      <c r="AN716" s="1">
        <f>SUMIFS(stock[MT],stock[Bucket],scheduleapr[[#This Row],[Bucket]],stock[CTL Bucket],scheduleapr[[#This Row],[CTL Bucket]],stock[Plant],"0789")</f>
        <v>2.0640399999999999</v>
      </c>
      <c r="AO716" s="1"/>
      <c r="AP716" s="1">
        <f>SUMIFS(stock[MT],stock[Bucket],scheduleapr[[#This Row],[Bucket]],stock[LL or CTL],"LL")</f>
        <v>73.955845999999994</v>
      </c>
      <c r="AQ716" s="1">
        <f>+SUMIFS(wip[Stock(Net Wt)],wip[Bucket],scheduleapr[[#This Row],[Bucket]])/1000</f>
        <v>6.0149999999999997</v>
      </c>
      <c r="AR716" s="1">
        <f t="shared" si="24"/>
        <v>20.346584310000001</v>
      </c>
      <c r="AS716" s="118"/>
    </row>
    <row r="717" spans="1:45" x14ac:dyDescent="0.25">
      <c r="A717" s="125">
        <v>600</v>
      </c>
      <c r="B717" s="5" t="s">
        <v>1816</v>
      </c>
      <c r="C717" s="2" t="s">
        <v>302</v>
      </c>
      <c r="D717" s="2" t="s">
        <v>2128</v>
      </c>
      <c r="E717" s="2">
        <v>944141</v>
      </c>
      <c r="F717" s="539">
        <v>1940325</v>
      </c>
      <c r="G717" s="100" t="str">
        <f>_xlfn.CONCAT(scheduleapr[[#This Row],[CUSTOMER CODE]],"-",scheduleapr[[#This Row],[MATERIAL NO]])</f>
        <v>944141-1940325</v>
      </c>
      <c r="H717" s="539" t="s">
        <v>715</v>
      </c>
      <c r="I717" s="2" t="s">
        <v>962</v>
      </c>
      <c r="J717" s="2"/>
      <c r="K717" s="2" t="s">
        <v>963</v>
      </c>
      <c r="L717" s="2" t="s">
        <v>239</v>
      </c>
      <c r="M717" s="2"/>
      <c r="N717" s="2"/>
      <c r="O717" s="2"/>
      <c r="P717" s="2"/>
      <c r="Q717" s="557" t="str">
        <f>CONCATENATE(scheduleapr[[#This Row],[OD]],"-",scheduleapr[[#This Row],[ID]],"-",scheduleapr[[#This Row],[TICKNESS]],"-",scheduleapr[[#This Row],[Grade]],"-",scheduleapr[[#This Row],[FC/NFC]])</f>
        <v>19.05-0-2.3-ERW 1-PE</v>
      </c>
      <c r="R717" s="557" t="str">
        <f>_xlfn.CONCAT(scheduleapr[[#This Row],[Bucket]],"-",scheduleapr[[#This Row],[LENGTH]]/1000)</f>
        <v>19.05-0-2.3-ERW 1-PE-0.57</v>
      </c>
      <c r="S717" s="557">
        <f>COUNTIF(scheduleapr[CTL Bucket],scheduleapr[[#This Row],[CTL Bucket]])</f>
        <v>2</v>
      </c>
      <c r="T717" s="2" t="s">
        <v>1816</v>
      </c>
      <c r="U717" s="2">
        <f>_xlfn.IFNA(VLOOKUP(scheduleapr[[#This Row],[Bucket]],salesforecast[[#All],[Bucket2]:[8406 Stock]],19,0),0)</f>
        <v>24.635752000000004</v>
      </c>
      <c r="V717" s="562">
        <f>_xlfn.IFNA(VLOOKUP(scheduleapr[[#This Row],[Bucket]],salesforecast[[#All],[Bucket2]:[8406 Stock]],20,0),0)+_xlfn.IFNA(VLOOKUP(scheduleapr[[#This Row],[Bucket]],salesforecast[[#All],[Bucket2]:[8406 Stock]],17,0),0)</f>
        <v>38.357093999999996</v>
      </c>
      <c r="W717" s="557"/>
      <c r="X717" s="1">
        <v>19.05</v>
      </c>
      <c r="Y717" s="1">
        <v>19.05</v>
      </c>
      <c r="Z717" s="6">
        <v>0</v>
      </c>
      <c r="AA717" s="1">
        <v>2.2999999999999998</v>
      </c>
      <c r="AB717" s="24">
        <v>570</v>
      </c>
      <c r="AC717" s="24" t="s">
        <v>397</v>
      </c>
      <c r="AD717" s="24" t="s">
        <v>2130</v>
      </c>
      <c r="AE717" s="24">
        <v>2000</v>
      </c>
      <c r="AF717" s="2">
        <v>10000</v>
      </c>
      <c r="AG717" s="44" t="s">
        <v>1838</v>
      </c>
      <c r="AH717" s="2" cm="1">
        <f t="array" ref="AH7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13650</v>
      </c>
      <c r="AI717" s="4">
        <f>scheduleapr[[#This Row],[SCHEDULE in nos]]-scheduleapr[[#This Row],[DISPATCH]]</f>
        <v>-3650</v>
      </c>
      <c r="AJ717" s="1">
        <f>(3.14*(scheduleapr[[#This Row],[ACTUAL OD]]-scheduleapr[[#This Row],[TICKNESS]])*scheduleapr[[#This Row],[TICKNESS]]*scheduleapr[[#This Row],[LENGTH]]*7.85)/1000000*scheduleapr[[#This Row],[SCHEDULE in nos]]/1000</f>
        <v>5.4127355325000011</v>
      </c>
      <c r="AK717" s="1">
        <f>(3.14*(scheduleapr[[#This Row],[ACTUAL OD]]-scheduleapr[[#This Row],[TICKNESS]])*scheduleapr[[#This Row],[TICKNESS]]*scheduleapr[[#This Row],[LENGTH]]*7.85)/1000000*scheduleapr[[#This Row],[DISPATCH]]/1000</f>
        <v>7.3883840018625007</v>
      </c>
      <c r="AL717" s="1">
        <f t="shared" si="25"/>
        <v>-1.9756484693624996</v>
      </c>
      <c r="AM717" s="1">
        <f>scheduleapr[[#This Row],[SCHEDULE in nos]]/scheduleapr[[#This Row],[SCHEDULE IN MT]]*scheduleapr[[#This Row],[CTL Stock]]</f>
        <v>689.3002581777256</v>
      </c>
      <c r="AN717" s="1">
        <f>SUMIFS(stock[MT],stock[Bucket],scheduleapr[[#This Row],[Bucket]],stock[CTL Bucket],scheduleapr[[#This Row],[CTL Bucket]],stock[Plant],"0789")</f>
        <v>0.37309999999999999</v>
      </c>
      <c r="AO717" s="1"/>
      <c r="AP717" s="1">
        <f>SUMIFS(stock[MT],stock[Bucket],scheduleapr[[#This Row],[Bucket]],stock[LL or CTL],"LL")</f>
        <v>73.955845999999994</v>
      </c>
      <c r="AQ717" s="79">
        <f>+SUMIFS(wip[Stock(Net Wt)],wip[Bucket],scheduleapr[[#This Row],[Bucket]])/1000</f>
        <v>6.0149999999999997</v>
      </c>
      <c r="AR717" s="1">
        <f t="shared" si="24"/>
        <v>5.0396355325000011</v>
      </c>
      <c r="AS717" s="118"/>
    </row>
    <row r="718" spans="1:45" x14ac:dyDescent="0.25">
      <c r="A718" s="125">
        <v>601</v>
      </c>
      <c r="B718" s="5" t="s">
        <v>1816</v>
      </c>
      <c r="C718" s="2" t="s">
        <v>302</v>
      </c>
      <c r="D718" s="2" t="s">
        <v>2128</v>
      </c>
      <c r="E718" s="2">
        <v>944141</v>
      </c>
      <c r="F718" s="2">
        <v>1940329</v>
      </c>
      <c r="G718" s="2" t="str">
        <f>_xlfn.CONCAT(scheduleapr[[#This Row],[CUSTOMER CODE]],"-",scheduleapr[[#This Row],[MATERIAL NO]])</f>
        <v>944141-1940329</v>
      </c>
      <c r="H718" s="2" t="s">
        <v>1419</v>
      </c>
      <c r="I718" s="2" t="s">
        <v>962</v>
      </c>
      <c r="J718" s="2"/>
      <c r="K718" s="2" t="s">
        <v>963</v>
      </c>
      <c r="L718" s="2" t="s">
        <v>239</v>
      </c>
      <c r="M718" s="2"/>
      <c r="N718" s="2"/>
      <c r="O718" s="2"/>
      <c r="P718" s="2"/>
      <c r="Q718" s="557" t="str">
        <f>CONCATENATE(scheduleapr[[#This Row],[OD]],"-",scheduleapr[[#This Row],[ID]],"-",scheduleapr[[#This Row],[TICKNESS]],"-",scheduleapr[[#This Row],[Grade]],"-",scheduleapr[[#This Row],[FC/NFC]])</f>
        <v>19.05-0-2.3-ERW 1-PE</v>
      </c>
      <c r="R718" s="557" t="str">
        <f>_xlfn.CONCAT(scheduleapr[[#This Row],[Bucket]],"-",scheduleapr[[#This Row],[LENGTH]]/1000)</f>
        <v>19.05-0-2.3-ERW 1-PE-0.61</v>
      </c>
      <c r="S718" s="557">
        <f>COUNTIF(scheduleapr[CTL Bucket],scheduleapr[[#This Row],[CTL Bucket]])</f>
        <v>1</v>
      </c>
      <c r="T718" s="2" t="s">
        <v>1816</v>
      </c>
      <c r="U718" s="2">
        <f>_xlfn.IFNA(VLOOKUP(scheduleapr[[#This Row],[Bucket]],salesforecast[[#All],[Bucket2]:[8406 Stock]],19,0),0)</f>
        <v>24.635752000000004</v>
      </c>
      <c r="V718" s="562">
        <f>_xlfn.IFNA(VLOOKUP(scheduleapr[[#This Row],[Bucket]],salesforecast[[#All],[Bucket2]:[8406 Stock]],20,0),0)+_xlfn.IFNA(VLOOKUP(scheduleapr[[#This Row],[Bucket]],salesforecast[[#All],[Bucket2]:[8406 Stock]],17,0),0)</f>
        <v>38.357093999999996</v>
      </c>
      <c r="W718" s="557"/>
      <c r="X718" s="1">
        <v>19.05</v>
      </c>
      <c r="Y718" s="1">
        <v>19.05</v>
      </c>
      <c r="Z718" s="6">
        <v>0</v>
      </c>
      <c r="AA718" s="1">
        <v>2.2999999999999998</v>
      </c>
      <c r="AB718" s="24">
        <v>610</v>
      </c>
      <c r="AC718" s="24" t="s">
        <v>397</v>
      </c>
      <c r="AD718" s="24"/>
      <c r="AE718" s="24"/>
      <c r="AF718" s="2">
        <v>10000</v>
      </c>
      <c r="AG718" s="44" t="s">
        <v>1838</v>
      </c>
      <c r="AH718" s="2" cm="1">
        <f t="array" ref="AH7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16875</v>
      </c>
      <c r="AI718" s="4">
        <f>scheduleapr[[#This Row],[SCHEDULE in nos]]-scheduleapr[[#This Row],[DISPATCH]]</f>
        <v>-6875</v>
      </c>
      <c r="AJ718" s="1">
        <f>(3.14*(scheduleapr[[#This Row],[ACTUAL OD]]-scheduleapr[[#This Row],[TICKNESS]])*scheduleapr[[#This Row],[TICKNESS]]*scheduleapr[[#This Row],[LENGTH]]*7.85)/1000000*scheduleapr[[#This Row],[SCHEDULE in nos]]/1000</f>
        <v>5.7925766224999995</v>
      </c>
      <c r="AK718" s="1">
        <f>(3.14*(scheduleapr[[#This Row],[ACTUAL OD]]-scheduleapr[[#This Row],[TICKNESS]])*scheduleapr[[#This Row],[TICKNESS]]*scheduleapr[[#This Row],[LENGTH]]*7.85)/1000000*scheduleapr[[#This Row],[DISPATCH]]/1000</f>
        <v>9.7749730504687484</v>
      </c>
      <c r="AL718" s="1">
        <f t="shared" si="25"/>
        <v>-3.9823964279687489</v>
      </c>
      <c r="AM718" s="1">
        <f>scheduleapr[[#This Row],[SCHEDULE in nos]]/scheduleapr[[#This Row],[SCHEDULE IN MT]]*scheduleapr[[#This Row],[CTL Stock]]</f>
        <v>7443.5959694549574</v>
      </c>
      <c r="AN718" s="1">
        <f>SUMIFS(stock[MT],stock[Bucket],scheduleapr[[#This Row],[Bucket]],stock[CTL Bucket],scheduleapr[[#This Row],[CTL Bucket]],stock[Plant],"0789")</f>
        <v>4.3117600000000005</v>
      </c>
      <c r="AO718" s="1"/>
      <c r="AP718" s="1">
        <f>SUMIFS(stock[MT],stock[Bucket],scheduleapr[[#This Row],[Bucket]],stock[LL or CTL],"LL")</f>
        <v>73.955845999999994</v>
      </c>
      <c r="AQ718" s="1">
        <f>+SUMIFS(wip[Stock(Net Wt)],wip[Bucket],scheduleapr[[#This Row],[Bucket]])/1000</f>
        <v>6.0149999999999997</v>
      </c>
      <c r="AR718" s="1">
        <f t="shared" si="24"/>
        <v>1.480816622499999</v>
      </c>
      <c r="AS718" s="118"/>
    </row>
    <row r="719" spans="1:45" x14ac:dyDescent="0.25">
      <c r="A719" s="30">
        <v>602</v>
      </c>
      <c r="B719" s="5" t="s">
        <v>1816</v>
      </c>
      <c r="C719" s="2" t="s">
        <v>302</v>
      </c>
      <c r="D719" s="2" t="s">
        <v>2128</v>
      </c>
      <c r="E719" s="2">
        <v>944141</v>
      </c>
      <c r="F719" s="2">
        <v>477006</v>
      </c>
      <c r="G719" s="2" t="str">
        <f>_xlfn.CONCAT(scheduleapr[[#This Row],[CUSTOMER CODE]],"-",scheduleapr[[#This Row],[MATERIAL NO]])</f>
        <v>944141-477006</v>
      </c>
      <c r="H719" s="2" t="s">
        <v>2139</v>
      </c>
      <c r="I719" s="2" t="s">
        <v>962</v>
      </c>
      <c r="J719" s="2"/>
      <c r="K719" s="2"/>
      <c r="L719" s="2" t="s">
        <v>239</v>
      </c>
      <c r="M719" s="2"/>
      <c r="N719" s="2"/>
      <c r="O719" s="2"/>
      <c r="P719" s="2"/>
      <c r="Q719" s="557" t="str">
        <f>CONCATENATE(scheduleapr[[#This Row],[OD]],"-",scheduleapr[[#This Row],[ID]],"-",scheduleapr[[#This Row],[TICKNESS]],"-",scheduleapr[[#This Row],[Grade]],"-",scheduleapr[[#This Row],[FC/NFC]])</f>
        <v>19.05-0-2.34-ERW 1-</v>
      </c>
      <c r="R719" s="557" t="str">
        <f>_xlfn.CONCAT(scheduleapr[[#This Row],[Bucket]],"-",scheduleapr[[#This Row],[LENGTH]]/1000)</f>
        <v>19.05-0-2.34-ERW 1--0.245</v>
      </c>
      <c r="S719" s="557" t="e" vm="2">
        <f>COUNTIF([2]!buckets[CTL Bucket],[2]!scheduleapr[[#This Row],[CTL Bucket]])</f>
        <v>#REF!</v>
      </c>
      <c r="T719" s="557"/>
      <c r="U719" s="557"/>
      <c r="V719" s="557"/>
      <c r="W719" s="557"/>
      <c r="X719" s="1">
        <v>19.05</v>
      </c>
      <c r="Y719" s="1">
        <v>19.05</v>
      </c>
      <c r="Z719" s="6">
        <v>0</v>
      </c>
      <c r="AA719" s="1">
        <v>2.34</v>
      </c>
      <c r="AB719" s="24">
        <v>245</v>
      </c>
      <c r="AC719" s="24" t="s">
        <v>397</v>
      </c>
      <c r="AD719" s="24"/>
      <c r="AE719" s="24"/>
      <c r="AF719" s="2"/>
      <c r="AG719" s="2"/>
      <c r="AH719" s="2" cm="1">
        <f t="array" ref="AH7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9" s="4">
        <f>scheduleapr[[#This Row],[SCHEDULE in nos]]-scheduleapr[[#This Row],[DISPATCH]]</f>
        <v>0</v>
      </c>
      <c r="AJ719" s="1">
        <f>(3.14*(scheduleapr[[#This Row],[ACTUAL OD]]-scheduleapr[[#This Row],[TICKNESS]])*scheduleapr[[#This Row],[TICKNESS]]*scheduleapr[[#This Row],[LENGTH]]*7.85)/1000000*scheduleapr[[#This Row],[SCHEDULE in nos]]/1000</f>
        <v>0</v>
      </c>
      <c r="AK719" s="1">
        <f>(3.14*(scheduleapr[[#This Row],[ACTUAL OD]]-scheduleapr[[#This Row],[TICKNESS]])*scheduleapr[[#This Row],[TICKNESS]]*scheduleapr[[#This Row],[LENGTH]]*7.85)/1000000*scheduleapr[[#This Row],[DISPATCH]]/1000</f>
        <v>0</v>
      </c>
      <c r="AL719" s="1">
        <f t="shared" si="25"/>
        <v>0</v>
      </c>
      <c r="AM719" s="1" t="e">
        <f>scheduleapr[[#This Row],[SCHEDULE in nos]]/scheduleapr[[#This Row],[SCHEDULE IN MT]]*scheduleapr[[#This Row],[CTL Stock]]</f>
        <v>#DIV/0!</v>
      </c>
      <c r="AN719" s="1">
        <f>SUMIFS(stock[MT],stock[Bucket],scheduleapr[[#This Row],[Bucket]],stock[CTL Bucket],scheduleapr[[#This Row],[CTL Bucket]],stock[Plant],"0789")</f>
        <v>0</v>
      </c>
      <c r="AO719" s="1"/>
      <c r="AP719" s="1">
        <f>SUMIFS(stock[MT],stock[Bucket],scheduleapr[[#This Row],[Bucket]],stock[LL or CTL],"LL")</f>
        <v>0</v>
      </c>
      <c r="AQ719" s="1">
        <f>+SUMIFS(wip[Stock(Net Wt)],wip[Bucket],scheduleapr[[#This Row],[Bucket]])/1000</f>
        <v>0</v>
      </c>
      <c r="AR719" s="1">
        <f t="shared" si="24"/>
        <v>0</v>
      </c>
      <c r="AS719" s="118"/>
    </row>
    <row r="720" spans="1:45" x14ac:dyDescent="0.25">
      <c r="A720" s="125">
        <v>604</v>
      </c>
      <c r="B720" s="5" t="s">
        <v>1816</v>
      </c>
      <c r="C720" s="2" t="s">
        <v>302</v>
      </c>
      <c r="D720" s="2" t="s">
        <v>2128</v>
      </c>
      <c r="E720" s="2">
        <v>944141</v>
      </c>
      <c r="F720" s="2">
        <v>3180928</v>
      </c>
      <c r="G720" s="2" t="str">
        <f>_xlfn.CONCAT(scheduleapr[[#This Row],[CUSTOMER CODE]],"-",scheduleapr[[#This Row],[MATERIAL NO]])</f>
        <v>944141-3180928</v>
      </c>
      <c r="H720" s="2" t="s">
        <v>2140</v>
      </c>
      <c r="I720" s="2" t="s">
        <v>962</v>
      </c>
      <c r="J720" s="2"/>
      <c r="K720" s="2"/>
      <c r="L720" s="2" t="s">
        <v>239</v>
      </c>
      <c r="M720" s="2"/>
      <c r="N720" s="2"/>
      <c r="O720" s="2"/>
      <c r="P720" s="2"/>
      <c r="Q720" s="557" t="str">
        <f>CONCATENATE(scheduleapr[[#This Row],[OD]],"-",scheduleapr[[#This Row],[ID]],"-",scheduleapr[[#This Row],[TICKNESS]],"-",scheduleapr[[#This Row],[Grade]],"-",scheduleapr[[#This Row],[FC/NFC]])</f>
        <v>22.23-0-1.2-ERW 1-</v>
      </c>
      <c r="R720" s="557" t="str">
        <f>_xlfn.CONCAT(scheduleapr[[#This Row],[Bucket]],"-",scheduleapr[[#This Row],[LENGTH]]/1000)</f>
        <v>22.23-0-1.2-ERW 1--0.63</v>
      </c>
      <c r="S720" s="557" t="e" vm="2">
        <f>COUNTIF([2]!buckets[CTL Bucket],[2]!scheduleapr[[#This Row],[CTL Bucket]])</f>
        <v>#REF!</v>
      </c>
      <c r="T720" s="557"/>
      <c r="U720" s="557"/>
      <c r="V720" s="557"/>
      <c r="W720" s="557"/>
      <c r="X720" s="1">
        <v>22.23</v>
      </c>
      <c r="Y720" s="1">
        <v>22.23</v>
      </c>
      <c r="Z720" s="6">
        <v>0</v>
      </c>
      <c r="AA720" s="1">
        <v>1.2</v>
      </c>
      <c r="AB720" s="24">
        <v>630</v>
      </c>
      <c r="AC720" s="24"/>
      <c r="AD720" s="24"/>
      <c r="AE720" s="24"/>
      <c r="AF720" s="2"/>
      <c r="AG720" s="2"/>
      <c r="AH720" s="2" t="e" cm="1">
        <f t="array" ref="AH7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20" s="4" t="e">
        <f>scheduleapr[[#This Row],[SCHEDULE in nos]]-scheduleapr[[#This Row],[DISPATCH]]</f>
        <v>#N/A</v>
      </c>
      <c r="AJ720" s="1">
        <f>(3.14*(scheduleapr[[#This Row],[ACTUAL OD]]-scheduleapr[[#This Row],[TICKNESS]])*scheduleapr[[#This Row],[TICKNESS]]*scheduleapr[[#This Row],[LENGTH]]*7.85)/1000000*scheduleapr[[#This Row],[SCHEDULE in nos]]/1000</f>
        <v>0</v>
      </c>
      <c r="AK720" s="1" t="e">
        <f>(3.14*(scheduleapr[[#This Row],[ACTUAL OD]]-scheduleapr[[#This Row],[TICKNESS]])*scheduleapr[[#This Row],[TICKNESS]]*scheduleapr[[#This Row],[LENGTH]]*7.85)/1000000*scheduleapr[[#This Row],[DISPATCH]]/1000</f>
        <v>#N/A</v>
      </c>
      <c r="AL720" s="1" t="e">
        <f t="shared" si="25"/>
        <v>#N/A</v>
      </c>
      <c r="AM720" s="1" t="e">
        <f>scheduleapr[[#This Row],[SCHEDULE in nos]]/scheduleapr[[#This Row],[SCHEDULE IN MT]]*scheduleapr[[#This Row],[CTL Stock]]</f>
        <v>#DIV/0!</v>
      </c>
      <c r="AN720" s="1">
        <f>SUMIFS(stock[MT],stock[Bucket],scheduleapr[[#This Row],[Bucket]],stock[CTL Bucket],scheduleapr[[#This Row],[CTL Bucket]],stock[Plant],"0789")</f>
        <v>0</v>
      </c>
      <c r="AO720" s="1"/>
      <c r="AP720" s="1">
        <f>SUMIFS(stock[MT],stock[Bucket],scheduleapr[[#This Row],[Bucket]],stock[LL or CTL],"LL")</f>
        <v>0</v>
      </c>
      <c r="AQ720" s="1">
        <f>+SUMIFS(wip[Stock(Net Wt)],wip[Bucket],scheduleapr[[#This Row],[Bucket]])/1000</f>
        <v>0</v>
      </c>
      <c r="AR720" s="1">
        <f t="shared" si="24"/>
        <v>0</v>
      </c>
      <c r="AS720" s="118"/>
    </row>
    <row r="721" spans="1:45" x14ac:dyDescent="0.25">
      <c r="A721" s="30">
        <v>606</v>
      </c>
      <c r="B721" s="5" t="s">
        <v>1816</v>
      </c>
      <c r="C721" s="2" t="s">
        <v>302</v>
      </c>
      <c r="D721" s="2" t="s">
        <v>2128</v>
      </c>
      <c r="E721" s="2">
        <v>944141</v>
      </c>
      <c r="F721" s="2">
        <v>3747393</v>
      </c>
      <c r="G721" s="2" t="str">
        <f>_xlfn.CONCAT(scheduleapr[[#This Row],[CUSTOMER CODE]],"-",scheduleapr[[#This Row],[MATERIAL NO]])</f>
        <v>944141-3747393</v>
      </c>
      <c r="H721" s="2" t="s">
        <v>608</v>
      </c>
      <c r="I721" s="2" t="s">
        <v>962</v>
      </c>
      <c r="J721" s="2"/>
      <c r="K721" s="2" t="s">
        <v>963</v>
      </c>
      <c r="L721" s="2" t="s">
        <v>1867</v>
      </c>
      <c r="M721" s="2"/>
      <c r="N721" s="2"/>
      <c r="O721" s="2"/>
      <c r="P721" s="2"/>
      <c r="Q721" s="557" t="str">
        <f>CONCATENATE(scheduleapr[[#This Row],[OD]],"-",scheduleapr[[#This Row],[ID]],"-",scheduleapr[[#This Row],[TICKNESS]],"-",scheduleapr[[#This Row],[Grade]],"-",scheduleapr[[#This Row],[FC/NFC]])</f>
        <v>22.23-0-1.2-ERW 1-PE</v>
      </c>
      <c r="R721" s="557" t="str">
        <f>_xlfn.CONCAT(scheduleapr[[#This Row],[Bucket]],"-",scheduleapr[[#This Row],[LENGTH]]/1000)</f>
        <v>22.23-0-1.2-ERW 1-PE-1.308</v>
      </c>
      <c r="S721" s="557">
        <f>COUNTIF(scheduleapr[CTL Bucket],scheduleapr[[#This Row],[CTL Bucket]])</f>
        <v>1</v>
      </c>
      <c r="T721" s="2" t="s">
        <v>1816</v>
      </c>
      <c r="U721" s="2">
        <f>_xlfn.IFNA(VLOOKUP(scheduleapr[[#This Row],[Bucket]],salesforecast[[#All],[Bucket2]:[8406 Stock]],19,0),0)</f>
        <v>0</v>
      </c>
      <c r="V721" s="562">
        <f>_xlfn.IFNA(VLOOKUP(scheduleapr[[#This Row],[Bucket]],salesforecast[[#All],[Bucket2]:[8406 Stock]],20,0),0)+_xlfn.IFNA(VLOOKUP(scheduleapr[[#This Row],[Bucket]],salesforecast[[#All],[Bucket2]:[8406 Stock]],17,0),0)</f>
        <v>0.24293999999999999</v>
      </c>
      <c r="W721" s="557"/>
      <c r="X721" s="1">
        <v>22.23</v>
      </c>
      <c r="Y721" s="1">
        <v>22.23</v>
      </c>
      <c r="Z721" s="6">
        <v>0</v>
      </c>
      <c r="AA721" s="1">
        <v>1.2</v>
      </c>
      <c r="AB721" s="24">
        <v>1308</v>
      </c>
      <c r="AC721" s="24" t="s">
        <v>397</v>
      </c>
      <c r="AD721" s="24"/>
      <c r="AE721" s="24"/>
      <c r="AF721" s="2">
        <v>10000</v>
      </c>
      <c r="AG721" s="44" t="s">
        <v>1838</v>
      </c>
      <c r="AH721" s="2" cm="1">
        <f t="array" ref="AH7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3375</v>
      </c>
      <c r="AI721" s="4">
        <f>scheduleapr[[#This Row],[SCHEDULE in nos]]-scheduleapr[[#This Row],[DISPATCH]]</f>
        <v>6625</v>
      </c>
      <c r="AJ721" s="1">
        <f>(3.14*(scheduleapr[[#This Row],[ACTUAL OD]]-scheduleapr[[#This Row],[TICKNESS]])*scheduleapr[[#This Row],[TICKNESS]]*scheduleapr[[#This Row],[LENGTH]]*7.85)/1000000*scheduleapr[[#This Row],[SCHEDULE in nos]]/1000</f>
        <v>8.1363115051200019</v>
      </c>
      <c r="AK721" s="1">
        <f>(3.14*(scheduleapr[[#This Row],[ACTUAL OD]]-scheduleapr[[#This Row],[TICKNESS]])*scheduleapr[[#This Row],[TICKNESS]]*scheduleapr[[#This Row],[LENGTH]]*7.85)/1000000*scheduleapr[[#This Row],[DISPATCH]]/1000</f>
        <v>2.7460051329780004</v>
      </c>
      <c r="AL721" s="1">
        <f t="shared" si="25"/>
        <v>5.3903063721420015</v>
      </c>
      <c r="AM721" s="1">
        <f>scheduleapr[[#This Row],[SCHEDULE in nos]]/scheduleapr[[#This Row],[SCHEDULE IN MT]]*scheduleapr[[#This Row],[CTL Stock]]</f>
        <v>0</v>
      </c>
      <c r="AN721" s="1">
        <f>SUMIFS(stock[MT],stock[Bucket],scheduleapr[[#This Row],[Bucket]],stock[CTL Bucket],scheduleapr[[#This Row],[CTL Bucket]],stock[Plant],"0789")</f>
        <v>0</v>
      </c>
      <c r="AO721" s="1"/>
      <c r="AP721" s="1">
        <f>SUMIFS(stock[MT],stock[Bucket],scheduleapr[[#This Row],[Bucket]],stock[LL or CTL],"LL")</f>
        <v>8.5000000000000006E-2</v>
      </c>
      <c r="AQ721" s="1">
        <f>+SUMIFS(wip[Stock(Net Wt)],wip[Bucket],scheduleapr[[#This Row],[Bucket]])/1000</f>
        <v>3.1040000000000001</v>
      </c>
      <c r="AR721" s="1">
        <f t="shared" si="24"/>
        <v>8.1363115051200019</v>
      </c>
      <c r="AS721" s="118"/>
    </row>
    <row r="722" spans="1:45" x14ac:dyDescent="0.25">
      <c r="A722" s="125">
        <v>607</v>
      </c>
      <c r="B722" s="5" t="s">
        <v>1816</v>
      </c>
      <c r="C722" s="2" t="s">
        <v>302</v>
      </c>
      <c r="D722" s="2" t="s">
        <v>2128</v>
      </c>
      <c r="E722" s="2">
        <v>944141</v>
      </c>
      <c r="F722" s="2">
        <v>2320560</v>
      </c>
      <c r="G722" s="2" t="str">
        <f>_xlfn.CONCAT(scheduleapr[[#This Row],[CUSTOMER CODE]],"-",scheduleapr[[#This Row],[MATERIAL NO]])</f>
        <v>944141-2320560</v>
      </c>
      <c r="H722" s="2" t="s">
        <v>2141</v>
      </c>
      <c r="I722" s="2" t="s">
        <v>962</v>
      </c>
      <c r="J722" s="2"/>
      <c r="K722" s="2" t="s">
        <v>963</v>
      </c>
      <c r="L722" s="2" t="s">
        <v>1867</v>
      </c>
      <c r="M722" s="49" t="s">
        <v>1868</v>
      </c>
      <c r="N722" s="2"/>
      <c r="O722" s="2"/>
      <c r="P722" s="2"/>
      <c r="Q722" s="557" t="str">
        <f>CONCATENATE(scheduleapr[[#This Row],[OD]],"-",scheduleapr[[#This Row],[ID]],"-",scheduleapr[[#This Row],[TICKNESS]],"-",scheduleapr[[#This Row],[Grade]],"-",scheduleapr[[#This Row],[FC/NFC]])</f>
        <v>22.23-0-1.6-ERW 1-PE</v>
      </c>
      <c r="R722" s="557" t="str">
        <f>_xlfn.CONCAT(scheduleapr[[#This Row],[Bucket]],"-",scheduleapr[[#This Row],[LENGTH]]/1000)</f>
        <v>22.23-0-1.6-ERW 1-PE-0.21</v>
      </c>
      <c r="S722" s="557" t="e" vm="2">
        <f>COUNTIF([2]!buckets[CTL Bucket],[2]!scheduleapr[[#This Row],[CTL Bucket]])</f>
        <v>#REF!</v>
      </c>
      <c r="T722" s="557"/>
      <c r="U722" s="557"/>
      <c r="V722" s="557"/>
      <c r="W722" s="557"/>
      <c r="X722" s="1">
        <v>22.23</v>
      </c>
      <c r="Y722" s="1">
        <v>22.23</v>
      </c>
      <c r="Z722" s="6">
        <v>0</v>
      </c>
      <c r="AA722" s="1">
        <v>1.6</v>
      </c>
      <c r="AB722" s="24">
        <v>210</v>
      </c>
      <c r="AC722" s="24"/>
      <c r="AD722" s="24"/>
      <c r="AE722" s="24"/>
      <c r="AF722" s="2"/>
      <c r="AG722" s="2"/>
      <c r="AH722" s="2" t="e" cm="1">
        <f t="array" ref="AH7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22" s="4" t="e">
        <f>scheduleapr[[#This Row],[SCHEDULE in nos]]-scheduleapr[[#This Row],[DISPATCH]]</f>
        <v>#N/A</v>
      </c>
      <c r="AJ722" s="1">
        <f>(3.14*(scheduleapr[[#This Row],[ACTUAL OD]]-scheduleapr[[#This Row],[TICKNESS]])*scheduleapr[[#This Row],[TICKNESS]]*scheduleapr[[#This Row],[LENGTH]]*7.85)/1000000*scheduleapr[[#This Row],[SCHEDULE in nos]]/1000</f>
        <v>0</v>
      </c>
      <c r="AK722" s="1" t="e">
        <f>(3.14*(scheduleapr[[#This Row],[ACTUAL OD]]-scheduleapr[[#This Row],[TICKNESS]])*scheduleapr[[#This Row],[TICKNESS]]*scheduleapr[[#This Row],[LENGTH]]*7.85)/1000000*scheduleapr[[#This Row],[DISPATCH]]/1000</f>
        <v>#N/A</v>
      </c>
      <c r="AL722" s="1" t="e">
        <f t="shared" si="25"/>
        <v>#N/A</v>
      </c>
      <c r="AM722" s="1" t="e">
        <f>scheduleapr[[#This Row],[SCHEDULE in nos]]/scheduleapr[[#This Row],[SCHEDULE IN MT]]*scheduleapr[[#This Row],[CTL Stock]]</f>
        <v>#DIV/0!</v>
      </c>
      <c r="AN722" s="1">
        <f>SUMIFS(stock[MT],stock[Bucket],scheduleapr[[#This Row],[Bucket]],stock[CTL Bucket],scheduleapr[[#This Row],[CTL Bucket]],stock[Plant],"0789")</f>
        <v>0</v>
      </c>
      <c r="AO722" s="1"/>
      <c r="AP722" s="1">
        <f>SUMIFS(stock[MT],stock[Bucket],scheduleapr[[#This Row],[Bucket]],stock[LL or CTL],"LL")</f>
        <v>62.742162000000008</v>
      </c>
      <c r="AQ722" s="1">
        <f>+SUMIFS(wip[Stock(Net Wt)],wip[Bucket],scheduleapr[[#This Row],[Bucket]])/1000</f>
        <v>0</v>
      </c>
      <c r="AR722" s="1">
        <f t="shared" si="24"/>
        <v>0</v>
      </c>
      <c r="AS722" s="118"/>
    </row>
    <row r="723" spans="1:45" x14ac:dyDescent="0.25">
      <c r="A723" s="30">
        <v>608</v>
      </c>
      <c r="B723" s="5" t="s">
        <v>1816</v>
      </c>
      <c r="C723" s="2" t="s">
        <v>302</v>
      </c>
      <c r="D723" s="2" t="s">
        <v>2128</v>
      </c>
      <c r="E723" s="2">
        <v>944141</v>
      </c>
      <c r="F723" s="2">
        <v>1940390</v>
      </c>
      <c r="G723" s="2" t="str">
        <f>_xlfn.CONCAT(scheduleapr[[#This Row],[CUSTOMER CODE]],"-",scheduleapr[[#This Row],[MATERIAL NO]])</f>
        <v>944141-1940390</v>
      </c>
      <c r="H723" s="2" t="s">
        <v>1507</v>
      </c>
      <c r="I723" s="2" t="s">
        <v>962</v>
      </c>
      <c r="J723" s="2"/>
      <c r="K723" s="2" t="s">
        <v>963</v>
      </c>
      <c r="L723" s="2" t="s">
        <v>1867</v>
      </c>
      <c r="M723" s="49" t="s">
        <v>1891</v>
      </c>
      <c r="N723" s="2"/>
      <c r="O723" s="2"/>
      <c r="P723" s="2"/>
      <c r="Q723" s="557" t="str">
        <f>CONCATENATE(scheduleapr[[#This Row],[OD]],"-",scheduleapr[[#This Row],[ID]],"-",scheduleapr[[#This Row],[TICKNESS]],"-",scheduleapr[[#This Row],[Grade]],"-",scheduleapr[[#This Row],[FC/NFC]])</f>
        <v>22.23-0-1.6-ERW 1-PE</v>
      </c>
      <c r="R723" s="557" t="str">
        <f>_xlfn.CONCAT(scheduleapr[[#This Row],[Bucket]],"-",scheduleapr[[#This Row],[LENGTH]]/1000)</f>
        <v>22.23-0-1.6-ERW 1-PE-0.283</v>
      </c>
      <c r="S723" s="557">
        <f>COUNTIF(scheduleapr[CTL Bucket],scheduleapr[[#This Row],[CTL Bucket]])</f>
        <v>1</v>
      </c>
      <c r="T723" s="2" t="s">
        <v>1816</v>
      </c>
      <c r="U723" s="2">
        <f>_xlfn.IFNA(VLOOKUP(scheduleapr[[#This Row],[Bucket]],salesforecast[[#All],[Bucket2]:[8406 Stock]],19,0),0)</f>
        <v>5.9161999999999937E-2</v>
      </c>
      <c r="V723" s="562">
        <f>_xlfn.IFNA(VLOOKUP(scheduleapr[[#This Row],[Bucket]],salesforecast[[#All],[Bucket2]:[8406 Stock]],20,0),0)+_xlfn.IFNA(VLOOKUP(scheduleapr[[#This Row],[Bucket]],salesforecast[[#All],[Bucket2]:[8406 Stock]],17,0),0)</f>
        <v>0</v>
      </c>
      <c r="W723" s="557"/>
      <c r="X723" s="1">
        <v>22.23</v>
      </c>
      <c r="Y723" s="1">
        <v>22.23</v>
      </c>
      <c r="Z723" s="6">
        <v>0</v>
      </c>
      <c r="AA723" s="1">
        <v>1.6</v>
      </c>
      <c r="AB723" s="24">
        <v>283</v>
      </c>
      <c r="AC723" s="24" t="s">
        <v>397</v>
      </c>
      <c r="AD723" s="24" t="s">
        <v>2130</v>
      </c>
      <c r="AE723" s="24"/>
      <c r="AF723" s="2">
        <v>10000</v>
      </c>
      <c r="AG723" s="44" t="s">
        <v>1838</v>
      </c>
      <c r="AH723" s="2" cm="1">
        <f t="array" ref="AH7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3" s="4">
        <f>scheduleapr[[#This Row],[SCHEDULE in nos]]-scheduleapr[[#This Row],[DISPATCH]]</f>
        <v>10000</v>
      </c>
      <c r="AJ723" s="1">
        <f>(3.14*(scheduleapr[[#This Row],[ACTUAL OD]]-scheduleapr[[#This Row],[TICKNESS]])*scheduleapr[[#This Row],[TICKNESS]]*scheduleapr[[#This Row],[LENGTH]]*7.85)/1000000*scheduleapr[[#This Row],[SCHEDULE in nos]]/1000</f>
        <v>2.3025281633599999</v>
      </c>
      <c r="AK723" s="1">
        <f>(3.14*(scheduleapr[[#This Row],[ACTUAL OD]]-scheduleapr[[#This Row],[TICKNESS]])*scheduleapr[[#This Row],[TICKNESS]]*scheduleapr[[#This Row],[LENGTH]]*7.85)/1000000*scheduleapr[[#This Row],[DISPATCH]]/1000</f>
        <v>0</v>
      </c>
      <c r="AL723" s="1">
        <f t="shared" si="25"/>
        <v>2.3025281633599999</v>
      </c>
      <c r="AM723" s="1">
        <f>scheduleapr[[#This Row],[SCHEDULE in nos]]/scheduleapr[[#This Row],[SCHEDULE IN MT]]*scheduleapr[[#This Row],[CTL Stock]]</f>
        <v>0</v>
      </c>
      <c r="AN723" s="1">
        <f>SUMIFS(stock[MT],stock[Bucket],scheduleapr[[#This Row],[Bucket]],stock[CTL Bucket],scheduleapr[[#This Row],[CTL Bucket]],stock[Plant],"0789")</f>
        <v>0</v>
      </c>
      <c r="AO723" s="1"/>
      <c r="AP723" s="1">
        <f>SUMIFS(stock[MT],stock[Bucket],scheduleapr[[#This Row],[Bucket]],stock[LL or CTL],"LL")</f>
        <v>62.742162000000008</v>
      </c>
      <c r="AQ723" s="1">
        <f>+SUMIFS(wip[Stock(Net Wt)],wip[Bucket],scheduleapr[[#This Row],[Bucket]])/1000</f>
        <v>0</v>
      </c>
      <c r="AR723" s="1">
        <f t="shared" si="24"/>
        <v>2.3025281633599999</v>
      </c>
      <c r="AS723" s="118"/>
    </row>
    <row r="724" spans="1:45" x14ac:dyDescent="0.25">
      <c r="A724" s="125">
        <v>609</v>
      </c>
      <c r="B724" s="5" t="s">
        <v>1816</v>
      </c>
      <c r="C724" s="2" t="s">
        <v>302</v>
      </c>
      <c r="D724" s="2" t="s">
        <v>2128</v>
      </c>
      <c r="E724" s="2">
        <v>944141</v>
      </c>
      <c r="F724" s="2">
        <v>2270133</v>
      </c>
      <c r="G724" s="2" t="str">
        <f>_xlfn.CONCAT(scheduleapr[[#This Row],[CUSTOMER CODE]],"-",scheduleapr[[#This Row],[MATERIAL NO]])</f>
        <v>944141-2270133</v>
      </c>
      <c r="H724" s="2" t="s">
        <v>413</v>
      </c>
      <c r="I724" s="2" t="s">
        <v>962</v>
      </c>
      <c r="J724" s="2"/>
      <c r="K724" s="2" t="s">
        <v>963</v>
      </c>
      <c r="L724" s="2" t="s">
        <v>1867</v>
      </c>
      <c r="M724" s="49" t="s">
        <v>1891</v>
      </c>
      <c r="N724" s="2"/>
      <c r="O724" s="2"/>
      <c r="P724" s="2"/>
      <c r="Q724" s="557" t="str">
        <f>CONCATENATE(scheduleapr[[#This Row],[OD]],"-",scheduleapr[[#This Row],[ID]],"-",scheduleapr[[#This Row],[TICKNESS]],"-",scheduleapr[[#This Row],[Grade]],"-",scheduleapr[[#This Row],[FC/NFC]])</f>
        <v>22.23-0-1.6-ERW 1-PE</v>
      </c>
      <c r="R724" s="557" t="str">
        <f>_xlfn.CONCAT(scheduleapr[[#This Row],[Bucket]],"-",scheduleapr[[#This Row],[LENGTH]]/1000)</f>
        <v>22.23-0-1.6-ERW 1-PE-0.7</v>
      </c>
      <c r="S724" s="557">
        <f>COUNTIF(scheduleapr[CTL Bucket],scheduleapr[[#This Row],[CTL Bucket]])</f>
        <v>1</v>
      </c>
      <c r="T724" s="2" t="s">
        <v>1816</v>
      </c>
      <c r="U724" s="2">
        <f>_xlfn.IFNA(VLOOKUP(scheduleapr[[#This Row],[Bucket]],salesforecast[[#All],[Bucket2]:[8406 Stock]],19,0),0)</f>
        <v>5.9161999999999937E-2</v>
      </c>
      <c r="V724" s="562">
        <f>_xlfn.IFNA(VLOOKUP(scheduleapr[[#This Row],[Bucket]],salesforecast[[#All],[Bucket2]:[8406 Stock]],20,0),0)+_xlfn.IFNA(VLOOKUP(scheduleapr[[#This Row],[Bucket]],salesforecast[[#All],[Bucket2]:[8406 Stock]],17,0),0)</f>
        <v>0</v>
      </c>
      <c r="W724" s="557"/>
      <c r="X724" s="1">
        <v>22.23</v>
      </c>
      <c r="Y724" s="1">
        <v>22.23</v>
      </c>
      <c r="Z724" s="6">
        <v>0</v>
      </c>
      <c r="AA724" s="1">
        <v>1.6</v>
      </c>
      <c r="AB724" s="24">
        <v>700</v>
      </c>
      <c r="AC724" s="24" t="s">
        <v>397</v>
      </c>
      <c r="AD724" s="24"/>
      <c r="AE724" s="24"/>
      <c r="AF724" s="2">
        <v>20000</v>
      </c>
      <c r="AG724" s="2"/>
      <c r="AH724" s="2" cm="1">
        <f t="array" ref="AH7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1775</v>
      </c>
      <c r="AI724" s="4">
        <f>scheduleapr[[#This Row],[SCHEDULE in nos]]-scheduleapr[[#This Row],[DISPATCH]]</f>
        <v>18225</v>
      </c>
      <c r="AJ724" s="1">
        <f>(3.14*(scheduleapr[[#This Row],[ACTUAL OD]]-scheduleapr[[#This Row],[TICKNESS]])*scheduleapr[[#This Row],[TICKNESS]]*scheduleapr[[#This Row],[LENGTH]]*7.85)/1000000*scheduleapr[[#This Row],[SCHEDULE in nos]]/1000</f>
        <v>11.390598688000001</v>
      </c>
      <c r="AK724" s="1">
        <f>(3.14*(scheduleapr[[#This Row],[ACTUAL OD]]-scheduleapr[[#This Row],[TICKNESS]])*scheduleapr[[#This Row],[TICKNESS]]*scheduleapr[[#This Row],[LENGTH]]*7.85)/1000000*scheduleapr[[#This Row],[DISPATCH]]/1000</f>
        <v>1.01091563356</v>
      </c>
      <c r="AL724" s="1">
        <f t="shared" si="25"/>
        <v>10.379683054440001</v>
      </c>
      <c r="AM724" s="1">
        <f>scheduleapr[[#This Row],[SCHEDULE in nos]]/scheduleapr[[#This Row],[SCHEDULE IN MT]]*scheduleapr[[#This Row],[CTL Stock]]</f>
        <v>12.009904285726336</v>
      </c>
      <c r="AN724" s="1">
        <f>SUMIFS(stock[MT],stock[Bucket],scheduleapr[[#This Row],[Bucket]],stock[CTL Bucket],scheduleapr[[#This Row],[CTL Bucket]],stock[Plant],"0789")</f>
        <v>6.8399999999999997E-3</v>
      </c>
      <c r="AO724" s="1"/>
      <c r="AP724" s="1">
        <f>SUMIFS(stock[MT],stock[Bucket],scheduleapr[[#This Row],[Bucket]],stock[LL or CTL],"LL")</f>
        <v>62.742162000000008</v>
      </c>
      <c r="AQ724" s="1">
        <f>+SUMIFS(wip[Stock(Net Wt)],wip[Bucket],scheduleapr[[#This Row],[Bucket]])/1000</f>
        <v>0</v>
      </c>
      <c r="AR724" s="1">
        <f t="shared" si="24"/>
        <v>11.383758688</v>
      </c>
      <c r="AS724" s="118"/>
    </row>
    <row r="725" spans="1:45" x14ac:dyDescent="0.25">
      <c r="A725" s="30">
        <v>610</v>
      </c>
      <c r="B725" s="5" t="s">
        <v>1816</v>
      </c>
      <c r="C725" s="2" t="s">
        <v>302</v>
      </c>
      <c r="D725" s="2" t="s">
        <v>2128</v>
      </c>
      <c r="E725" s="2">
        <v>944141</v>
      </c>
      <c r="F725" s="2">
        <v>3673012</v>
      </c>
      <c r="G725" s="2" t="str">
        <f>_xlfn.CONCAT(scheduleapr[[#This Row],[CUSTOMER CODE]],"-",scheduleapr[[#This Row],[MATERIAL NO]])</f>
        <v>944141-3673012</v>
      </c>
      <c r="H725" s="2" t="s">
        <v>1518</v>
      </c>
      <c r="I725" s="2" t="s">
        <v>962</v>
      </c>
      <c r="J725" s="2"/>
      <c r="K725" s="2" t="s">
        <v>963</v>
      </c>
      <c r="L725" s="2" t="s">
        <v>1867</v>
      </c>
      <c r="M725" s="49" t="s">
        <v>1868</v>
      </c>
      <c r="N725" s="2"/>
      <c r="O725" s="2"/>
      <c r="P725" s="2"/>
      <c r="Q725" s="557" t="str">
        <f>CONCATENATE(scheduleapr[[#This Row],[OD]],"-",scheduleapr[[#This Row],[ID]],"-",scheduleapr[[#This Row],[TICKNESS]],"-",scheduleapr[[#This Row],[Grade]],"-",scheduleapr[[#This Row],[FC/NFC]])</f>
        <v>22.23-0-1.6-ERW 1-PE</v>
      </c>
      <c r="R725" s="557" t="str">
        <f>_xlfn.CONCAT(scheduleapr[[#This Row],[Bucket]],"-",scheduleapr[[#This Row],[LENGTH]]/1000)</f>
        <v>22.23-0-1.6-ERW 1-PE-0.949</v>
      </c>
      <c r="S725" s="557">
        <f>COUNTIF(scheduleapr[CTL Bucket],scheduleapr[[#This Row],[CTL Bucket]])</f>
        <v>1</v>
      </c>
      <c r="T725" s="2" t="s">
        <v>1816</v>
      </c>
      <c r="U725" s="2">
        <f>_xlfn.IFNA(VLOOKUP(scheduleapr[[#This Row],[Bucket]],salesforecast[[#All],[Bucket2]:[8406 Stock]],19,0),0)</f>
        <v>5.9161999999999937E-2</v>
      </c>
      <c r="V725" s="562">
        <f>_xlfn.IFNA(VLOOKUP(scheduleapr[[#This Row],[Bucket]],salesforecast[[#All],[Bucket2]:[8406 Stock]],20,0),0)+_xlfn.IFNA(VLOOKUP(scheduleapr[[#This Row],[Bucket]],salesforecast[[#All],[Bucket2]:[8406 Stock]],17,0),0)</f>
        <v>0</v>
      </c>
      <c r="W725" s="557"/>
      <c r="X725" s="1">
        <v>22.23</v>
      </c>
      <c r="Y725" s="1">
        <v>22.23</v>
      </c>
      <c r="Z725" s="6">
        <v>0</v>
      </c>
      <c r="AA725" s="1">
        <v>1.6</v>
      </c>
      <c r="AB725" s="24">
        <v>949</v>
      </c>
      <c r="AC725" s="24" t="s">
        <v>397</v>
      </c>
      <c r="AD725" s="24" t="s">
        <v>2130</v>
      </c>
      <c r="AE725" s="24"/>
      <c r="AF725" s="2">
        <v>5000</v>
      </c>
      <c r="AG725" s="44" t="s">
        <v>1838</v>
      </c>
      <c r="AH725" s="2" cm="1">
        <f t="array" ref="AH7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5" s="4">
        <f>scheduleapr[[#This Row],[SCHEDULE in nos]]-scheduleapr[[#This Row],[DISPATCH]]</f>
        <v>5000</v>
      </c>
      <c r="AJ725" s="1">
        <f>(3.14*(scheduleapr[[#This Row],[ACTUAL OD]]-scheduleapr[[#This Row],[TICKNESS]])*scheduleapr[[#This Row],[TICKNESS]]*scheduleapr[[#This Row],[LENGTH]]*7.85)/1000000*scheduleapr[[#This Row],[SCHEDULE in nos]]/1000</f>
        <v>3.8605993410399995</v>
      </c>
      <c r="AK725" s="1">
        <f>(3.14*(scheduleapr[[#This Row],[ACTUAL OD]]-scheduleapr[[#This Row],[TICKNESS]])*scheduleapr[[#This Row],[TICKNESS]]*scheduleapr[[#This Row],[LENGTH]]*7.85)/1000000*scheduleapr[[#This Row],[DISPATCH]]/1000</f>
        <v>0</v>
      </c>
      <c r="AL725" s="1">
        <f t="shared" si="25"/>
        <v>3.8605993410399995</v>
      </c>
      <c r="AM725" s="1">
        <f>scheduleapr[[#This Row],[SCHEDULE in nos]]/scheduleapr[[#This Row],[SCHEDULE IN MT]]*scheduleapr[[#This Row],[CTL Stock]]</f>
        <v>304.90732034443562</v>
      </c>
      <c r="AN725" s="1">
        <f>SUMIFS(stock[MT],stock[Bucket],scheduleapr[[#This Row],[Bucket]],stock[CTL Bucket],scheduleapr[[#This Row],[CTL Bucket]],stock[Plant],"0789")</f>
        <v>0.235425</v>
      </c>
      <c r="AO725" s="1"/>
      <c r="AP725" s="1">
        <f>SUMIFS(stock[MT],stock[Bucket],scheduleapr[[#This Row],[Bucket]],stock[LL or CTL],"LL")</f>
        <v>62.742162000000008</v>
      </c>
      <c r="AQ725" s="79">
        <f>+SUMIFS(wip[Stock(Net Wt)],wip[Bucket],scheduleapr[[#This Row],[Bucket]])/1000</f>
        <v>0</v>
      </c>
      <c r="AR725" s="1">
        <f t="shared" si="24"/>
        <v>3.6251743410399992</v>
      </c>
      <c r="AS725" s="118"/>
    </row>
    <row r="726" spans="1:45" x14ac:dyDescent="0.25">
      <c r="A726" s="125">
        <v>611</v>
      </c>
      <c r="B726" s="5" t="s">
        <v>1816</v>
      </c>
      <c r="C726" s="2" t="s">
        <v>302</v>
      </c>
      <c r="D726" s="2" t="s">
        <v>2128</v>
      </c>
      <c r="E726" s="2">
        <v>944141</v>
      </c>
      <c r="F726" s="2">
        <v>1940418</v>
      </c>
      <c r="G726" s="2" t="str">
        <f>_xlfn.CONCAT(scheduleapr[[#This Row],[CUSTOMER CODE]],"-",scheduleapr[[#This Row],[MATERIAL NO]])</f>
        <v>944141-1940418</v>
      </c>
      <c r="H726" s="2" t="s">
        <v>2142</v>
      </c>
      <c r="I726" s="2" t="s">
        <v>962</v>
      </c>
      <c r="J726" s="2"/>
      <c r="K726" s="2" t="s">
        <v>963</v>
      </c>
      <c r="L726" s="2" t="s">
        <v>1867</v>
      </c>
      <c r="M726" s="49" t="s">
        <v>1891</v>
      </c>
      <c r="N726" s="2"/>
      <c r="O726" s="2"/>
      <c r="P726" s="2"/>
      <c r="Q726" s="557" t="str">
        <f>CONCATENATE(scheduleapr[[#This Row],[OD]],"-",scheduleapr[[#This Row],[ID]],"-",scheduleapr[[#This Row],[TICKNESS]],"-",scheduleapr[[#This Row],[Grade]],"-",scheduleapr[[#This Row],[FC/NFC]])</f>
        <v>22.23-0-1.6-ERW 1-PE</v>
      </c>
      <c r="R726" s="557" t="str">
        <f>_xlfn.CONCAT(scheduleapr[[#This Row],[Bucket]],"-",scheduleapr[[#This Row],[LENGTH]]/1000)</f>
        <v>22.23-0-1.6-ERW 1-PE-0.967</v>
      </c>
      <c r="S726" s="557">
        <f>COUNTIF(scheduleapr[CTL Bucket],scheduleapr[[#This Row],[CTL Bucket]])</f>
        <v>1</v>
      </c>
      <c r="T726" s="2" t="s">
        <v>1816</v>
      </c>
      <c r="U726" s="2"/>
      <c r="V726" s="557"/>
      <c r="W726" s="557"/>
      <c r="X726" s="1">
        <v>22.23</v>
      </c>
      <c r="Y726" s="1">
        <v>22.23</v>
      </c>
      <c r="Z726" s="6">
        <v>0</v>
      </c>
      <c r="AA726" s="1">
        <v>1.6</v>
      </c>
      <c r="AB726" s="24">
        <v>967</v>
      </c>
      <c r="AC726" s="24" t="s">
        <v>397</v>
      </c>
      <c r="AD726" s="24"/>
      <c r="AE726" s="24"/>
      <c r="AF726" s="2"/>
      <c r="AG726" s="2"/>
      <c r="AH726" s="2" cm="1">
        <f t="array" ref="AH7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6" s="4">
        <f>scheduleapr[[#This Row],[SCHEDULE in nos]]-scheduleapr[[#This Row],[DISPATCH]]</f>
        <v>0</v>
      </c>
      <c r="AJ726" s="1">
        <f>(3.14*(scheduleapr[[#This Row],[ACTUAL OD]]-scheduleapr[[#This Row],[TICKNESS]])*scheduleapr[[#This Row],[TICKNESS]]*scheduleapr[[#This Row],[LENGTH]]*7.85)/1000000*scheduleapr[[#This Row],[SCHEDULE in nos]]/1000</f>
        <v>0</v>
      </c>
      <c r="AK726" s="1">
        <f>(3.14*(scheduleapr[[#This Row],[ACTUAL OD]]-scheduleapr[[#This Row],[TICKNESS]])*scheduleapr[[#This Row],[TICKNESS]]*scheduleapr[[#This Row],[LENGTH]]*7.85)/1000000*scheduleapr[[#This Row],[DISPATCH]]/1000</f>
        <v>0</v>
      </c>
      <c r="AL726" s="1">
        <f t="shared" si="25"/>
        <v>0</v>
      </c>
      <c r="AM726" s="1" t="e">
        <f>scheduleapr[[#This Row],[SCHEDULE in nos]]/scheduleapr[[#This Row],[SCHEDULE IN MT]]*scheduleapr[[#This Row],[CTL Stock]]</f>
        <v>#DIV/0!</v>
      </c>
      <c r="AN726" s="1">
        <f>SUMIFS(stock[MT],stock[Bucket],scheduleapr[[#This Row],[Bucket]],stock[CTL Bucket],scheduleapr[[#This Row],[CTL Bucket]],stock[Plant],"0789")</f>
        <v>0</v>
      </c>
      <c r="AO726" s="1"/>
      <c r="AP726" s="1">
        <f>SUMIFS(stock[MT],stock[Bucket],scheduleapr[[#This Row],[Bucket]],stock[LL or CTL],"LL")</f>
        <v>62.742162000000008</v>
      </c>
      <c r="AQ726" s="1">
        <f>+SUMIFS(wip[Stock(Net Wt)],wip[Bucket],scheduleapr[[#This Row],[Bucket]])/1000</f>
        <v>0</v>
      </c>
      <c r="AR726" s="1">
        <f t="shared" si="24"/>
        <v>0</v>
      </c>
      <c r="AS726" s="118"/>
    </row>
    <row r="727" spans="1:45" x14ac:dyDescent="0.25">
      <c r="A727" s="30">
        <v>612</v>
      </c>
      <c r="B727" s="5" t="s">
        <v>1816</v>
      </c>
      <c r="C727" s="2" t="s">
        <v>302</v>
      </c>
      <c r="D727" s="2" t="s">
        <v>2128</v>
      </c>
      <c r="E727" s="2">
        <v>944141</v>
      </c>
      <c r="F727" s="2">
        <v>3673011</v>
      </c>
      <c r="G727" s="2" t="str">
        <f>_xlfn.CONCAT(scheduleapr[[#This Row],[CUSTOMER CODE]],"-",scheduleapr[[#This Row],[MATERIAL NO]])</f>
        <v>944141-3673011</v>
      </c>
      <c r="H727" s="2" t="s">
        <v>651</v>
      </c>
      <c r="I727" s="2" t="s">
        <v>962</v>
      </c>
      <c r="J727" s="2"/>
      <c r="K727" s="2" t="s">
        <v>963</v>
      </c>
      <c r="L727" s="2" t="s">
        <v>1867</v>
      </c>
      <c r="M727" s="49" t="s">
        <v>1868</v>
      </c>
      <c r="N727" s="2"/>
      <c r="O727" s="2"/>
      <c r="P727" s="2"/>
      <c r="Q727" s="557" t="str">
        <f>CONCATENATE(scheduleapr[[#This Row],[OD]],"-",scheduleapr[[#This Row],[ID]],"-",scheduleapr[[#This Row],[TICKNESS]],"-",scheduleapr[[#This Row],[Grade]],"-",scheduleapr[[#This Row],[FC/NFC]])</f>
        <v>22.23-0-1.6-ERW 1-PE</v>
      </c>
      <c r="R727" s="557" t="str">
        <f>_xlfn.CONCAT(scheduleapr[[#This Row],[Bucket]],"-",scheduleapr[[#This Row],[LENGTH]]/1000)</f>
        <v>22.23-0-1.6-ERW 1-PE-1.304</v>
      </c>
      <c r="S727" s="557">
        <f>COUNTIF(scheduleapr[CTL Bucket],scheduleapr[[#This Row],[CTL Bucket]])</f>
        <v>1</v>
      </c>
      <c r="T727" s="2" t="s">
        <v>1816</v>
      </c>
      <c r="U727" s="2">
        <f>_xlfn.IFNA(VLOOKUP(scheduleapr[[#This Row],[Bucket]],salesforecast[[#All],[Bucket2]:[8406 Stock]],19,0),0)</f>
        <v>5.9161999999999937E-2</v>
      </c>
      <c r="V727" s="562">
        <f>_xlfn.IFNA(VLOOKUP(scheduleapr[[#This Row],[Bucket]],salesforecast[[#All],[Bucket2]:[8406 Stock]],20,0),0)+_xlfn.IFNA(VLOOKUP(scheduleapr[[#This Row],[Bucket]],salesforecast[[#All],[Bucket2]:[8406 Stock]],17,0),0)</f>
        <v>0</v>
      </c>
      <c r="W727" s="557"/>
      <c r="X727" s="1">
        <v>22.23</v>
      </c>
      <c r="Y727" s="1">
        <v>22.23</v>
      </c>
      <c r="Z727" s="6">
        <v>0</v>
      </c>
      <c r="AA727" s="1">
        <v>1.6</v>
      </c>
      <c r="AB727" s="24">
        <v>1304</v>
      </c>
      <c r="AC727" s="24" t="s">
        <v>397</v>
      </c>
      <c r="AD727" s="24"/>
      <c r="AE727" s="24"/>
      <c r="AF727" s="2">
        <v>5000</v>
      </c>
      <c r="AG727" s="44" t="s">
        <v>1838</v>
      </c>
      <c r="AH727" s="2" cm="1">
        <f t="array" ref="AH7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10450</v>
      </c>
      <c r="AI727" s="4">
        <f>scheduleapr[[#This Row],[SCHEDULE in nos]]-scheduleapr[[#This Row],[DISPATCH]]</f>
        <v>-5450</v>
      </c>
      <c r="AJ727" s="1">
        <f>(3.14*(scheduleapr[[#This Row],[ACTUAL OD]]-scheduleapr[[#This Row],[TICKNESS]])*scheduleapr[[#This Row],[TICKNESS]]*scheduleapr[[#This Row],[LENGTH]]*7.85)/1000000*scheduleapr[[#This Row],[SCHEDULE in nos]]/1000</f>
        <v>5.304764531840001</v>
      </c>
      <c r="AK727" s="1">
        <f>(3.14*(scheduleapr[[#This Row],[ACTUAL OD]]-scheduleapr[[#This Row],[TICKNESS]])*scheduleapr[[#This Row],[TICKNESS]]*scheduleapr[[#This Row],[LENGTH]]*7.85)/1000000*scheduleapr[[#This Row],[DISPATCH]]/1000</f>
        <v>11.0869578715456</v>
      </c>
      <c r="AL727" s="1">
        <f t="shared" si="25"/>
        <v>-5.7821933397055991</v>
      </c>
      <c r="AM727" s="1">
        <f>scheduleapr[[#This Row],[SCHEDULE in nos]]/scheduleapr[[#This Row],[SCHEDULE IN MT]]*scheduleapr[[#This Row],[CTL Stock]]</f>
        <v>118.7781278920307</v>
      </c>
      <c r="AN727" s="1">
        <f>SUMIFS(stock[MT],stock[Bucket],scheduleapr[[#This Row],[Bucket]],stock[CTL Bucket],scheduleapr[[#This Row],[CTL Bucket]],stock[Plant],"0789")</f>
        <v>0.12601799999999999</v>
      </c>
      <c r="AO727" s="1"/>
      <c r="AP727" s="1">
        <f>SUMIFS(stock[MT],stock[Bucket],scheduleapr[[#This Row],[Bucket]],stock[LL or CTL],"LL")</f>
        <v>62.742162000000008</v>
      </c>
      <c r="AQ727" s="1">
        <f>+SUMIFS(wip[Stock(Net Wt)],wip[Bucket],scheduleapr[[#This Row],[Bucket]])/1000</f>
        <v>0</v>
      </c>
      <c r="AR727" s="1">
        <f t="shared" si="24"/>
        <v>5.1787465318400008</v>
      </c>
      <c r="AS727" s="118"/>
    </row>
    <row r="728" spans="1:45" x14ac:dyDescent="0.25">
      <c r="A728" s="125">
        <v>613</v>
      </c>
      <c r="B728" s="5" t="s">
        <v>1816</v>
      </c>
      <c r="C728" s="2" t="s">
        <v>302</v>
      </c>
      <c r="D728" s="2" t="s">
        <v>2128</v>
      </c>
      <c r="E728" s="2">
        <v>944141</v>
      </c>
      <c r="F728" s="2">
        <v>1385283</v>
      </c>
      <c r="G728" s="2" t="str">
        <f>_xlfn.CONCAT(scheduleapr[[#This Row],[CUSTOMER CODE]],"-",scheduleapr[[#This Row],[MATERIAL NO]])</f>
        <v>944141-1385283</v>
      </c>
      <c r="H728" s="2" t="s">
        <v>2143</v>
      </c>
      <c r="I728" s="2" t="s">
        <v>962</v>
      </c>
      <c r="J728" s="2"/>
      <c r="K728" s="2" t="s">
        <v>963</v>
      </c>
      <c r="L728" s="2" t="s">
        <v>239</v>
      </c>
      <c r="M728" s="2"/>
      <c r="N728" s="2"/>
      <c r="O728" s="2"/>
      <c r="P728" s="2"/>
      <c r="Q728" s="557" t="str">
        <f>CONCATENATE(scheduleapr[[#This Row],[OD]],"-",scheduleapr[[#This Row],[ID]],"-",scheduleapr[[#This Row],[TICKNESS]],"-",scheduleapr[[#This Row],[Grade]],"-",scheduleapr[[#This Row],[FC/NFC]])</f>
        <v>22.23-0-1.6-ERW 1-PE</v>
      </c>
      <c r="R728" s="557" t="str">
        <f>_xlfn.CONCAT(scheduleapr[[#This Row],[Bucket]],"-",scheduleapr[[#This Row],[LENGTH]]/1000)</f>
        <v>22.23-0-1.6-ERW 1-PE-1.337</v>
      </c>
      <c r="S728" s="557">
        <f>COUNTIF(scheduleapr[CTL Bucket],scheduleapr[[#This Row],[CTL Bucket]])</f>
        <v>1</v>
      </c>
      <c r="T728" s="2" t="s">
        <v>1816</v>
      </c>
      <c r="U728" s="2"/>
      <c r="V728" s="557"/>
      <c r="W728" s="557"/>
      <c r="X728" s="1">
        <v>22.23</v>
      </c>
      <c r="Y728" s="1">
        <v>22.23</v>
      </c>
      <c r="Z728" s="6">
        <v>0</v>
      </c>
      <c r="AA728" s="1">
        <v>1.6</v>
      </c>
      <c r="AB728" s="24">
        <v>1337</v>
      </c>
      <c r="AC728" s="24" t="s">
        <v>397</v>
      </c>
      <c r="AD728" s="24"/>
      <c r="AE728" s="24"/>
      <c r="AF728" s="2"/>
      <c r="AG728" s="2"/>
      <c r="AH728" s="2" cm="1">
        <f t="array" ref="AH7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8" s="4">
        <f>scheduleapr[[#This Row],[SCHEDULE in nos]]-scheduleapr[[#This Row],[DISPATCH]]</f>
        <v>0</v>
      </c>
      <c r="AJ728" s="1">
        <f>(3.14*(scheduleapr[[#This Row],[ACTUAL OD]]-scheduleapr[[#This Row],[TICKNESS]])*scheduleapr[[#This Row],[TICKNESS]]*scheduleapr[[#This Row],[LENGTH]]*7.85)/1000000*scheduleapr[[#This Row],[SCHEDULE in nos]]/1000</f>
        <v>0</v>
      </c>
      <c r="AK728" s="1">
        <f>(3.14*(scheduleapr[[#This Row],[ACTUAL OD]]-scheduleapr[[#This Row],[TICKNESS]])*scheduleapr[[#This Row],[TICKNESS]]*scheduleapr[[#This Row],[LENGTH]]*7.85)/1000000*scheduleapr[[#This Row],[DISPATCH]]/1000</f>
        <v>0</v>
      </c>
      <c r="AL728" s="1">
        <f t="shared" si="25"/>
        <v>0</v>
      </c>
      <c r="AM728" s="1" t="e">
        <f>scheduleapr[[#This Row],[SCHEDULE in nos]]/scheduleapr[[#This Row],[SCHEDULE IN MT]]*scheduleapr[[#This Row],[CTL Stock]]</f>
        <v>#DIV/0!</v>
      </c>
      <c r="AN728" s="1">
        <f>SUMIFS(stock[MT],stock[Bucket],scheduleapr[[#This Row],[Bucket]],stock[CTL Bucket],scheduleapr[[#This Row],[CTL Bucket]],stock[Plant],"0789")</f>
        <v>0</v>
      </c>
      <c r="AO728" s="1"/>
      <c r="AP728" s="1">
        <f>SUMIFS(stock[MT],stock[Bucket],scheduleapr[[#This Row],[Bucket]],stock[LL or CTL],"LL")</f>
        <v>62.742162000000008</v>
      </c>
      <c r="AQ728" s="1">
        <f>+SUMIFS(wip[Stock(Net Wt)],wip[Bucket],scheduleapr[[#This Row],[Bucket]])/1000</f>
        <v>0</v>
      </c>
      <c r="AR728" s="1">
        <f t="shared" si="24"/>
        <v>0</v>
      </c>
      <c r="AS728" s="118"/>
    </row>
    <row r="729" spans="1:45" x14ac:dyDescent="0.25">
      <c r="A729" s="30">
        <v>614</v>
      </c>
      <c r="B729" s="5" t="s">
        <v>1816</v>
      </c>
      <c r="C729" s="2" t="s">
        <v>302</v>
      </c>
      <c r="D729" s="2" t="s">
        <v>2128</v>
      </c>
      <c r="E729" s="2">
        <v>944141</v>
      </c>
      <c r="F729" s="2">
        <v>1940430</v>
      </c>
      <c r="G729" s="2" t="str">
        <f>_xlfn.CONCAT(scheduleapr[[#This Row],[CUSTOMER CODE]],"-",scheduleapr[[#This Row],[MATERIAL NO]])</f>
        <v>944141-1940430</v>
      </c>
      <c r="H729" s="2" t="s">
        <v>762</v>
      </c>
      <c r="I729" s="2" t="s">
        <v>962</v>
      </c>
      <c r="J729" s="2"/>
      <c r="K729" s="2" t="s">
        <v>963</v>
      </c>
      <c r="L729" s="2" t="s">
        <v>239</v>
      </c>
      <c r="M729" s="2"/>
      <c r="N729" s="2"/>
      <c r="O729" s="2"/>
      <c r="P729" s="2"/>
      <c r="Q729" s="557" t="str">
        <f>CONCATENATE(scheduleapr[[#This Row],[OD]],"-",scheduleapr[[#This Row],[ID]],"-",scheduleapr[[#This Row],[TICKNESS]],"-",scheduleapr[[#This Row],[Grade]],"-",scheduleapr[[#This Row],[FC/NFC]])</f>
        <v>22.23-0-2-ERW 1-PE</v>
      </c>
      <c r="R729" s="557" t="str">
        <f>_xlfn.CONCAT(scheduleapr[[#This Row],[Bucket]],"-",scheduleapr[[#This Row],[LENGTH]]/1000)</f>
        <v>22.23-0-2-ERW 1-PE-0.22</v>
      </c>
      <c r="S729" s="557">
        <f>COUNTIF(scheduleapr[CTL Bucket],scheduleapr[[#This Row],[CTL Bucket]])</f>
        <v>2</v>
      </c>
      <c r="T729" s="2" t="s">
        <v>1816</v>
      </c>
      <c r="U729" s="2">
        <f>_xlfn.IFNA(VLOOKUP(scheduleapr[[#This Row],[Bucket]],salesforecast[[#All],[Bucket2]:[8406 Stock]],19,0),0)</f>
        <v>5.5039059999999997</v>
      </c>
      <c r="V729" s="562">
        <f>_xlfn.IFNA(VLOOKUP(scheduleapr[[#This Row],[Bucket]],salesforecast[[#All],[Bucket2]:[8406 Stock]],20,0),0)+_xlfn.IFNA(VLOOKUP(scheduleapr[[#This Row],[Bucket]],salesforecast[[#All],[Bucket2]:[8406 Stock]],17,0),0)</f>
        <v>1.0470000000000002</v>
      </c>
      <c r="W729" s="557"/>
      <c r="X729" s="1">
        <v>22.23</v>
      </c>
      <c r="Y729" s="1">
        <v>22.23</v>
      </c>
      <c r="Z729" s="6">
        <v>0</v>
      </c>
      <c r="AA729" s="1">
        <v>2</v>
      </c>
      <c r="AB729" s="24">
        <v>220</v>
      </c>
      <c r="AC729" s="24" t="s">
        <v>397</v>
      </c>
      <c r="AD729" s="24" t="s">
        <v>1869</v>
      </c>
      <c r="AE729" s="24"/>
      <c r="AF729" s="2">
        <v>20000</v>
      </c>
      <c r="AG729" s="2"/>
      <c r="AH729" s="2" cm="1">
        <f t="array" ref="AH7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4200</v>
      </c>
      <c r="AI729" s="4">
        <f>scheduleapr[[#This Row],[SCHEDULE in nos]]-scheduleapr[[#This Row],[DISPATCH]]</f>
        <v>15800</v>
      </c>
      <c r="AJ729" s="1">
        <f>(3.14*(scheduleapr[[#This Row],[ACTUAL OD]]-scheduleapr[[#This Row],[TICKNESS]])*scheduleapr[[#This Row],[TICKNESS]]*scheduleapr[[#This Row],[LENGTH]]*7.85)/1000000*scheduleapr[[#This Row],[SCHEDULE in nos]]/1000</f>
        <v>4.3881135760000003</v>
      </c>
      <c r="AK729" s="1">
        <f>(3.14*(scheduleapr[[#This Row],[ACTUAL OD]]-scheduleapr[[#This Row],[TICKNESS]])*scheduleapr[[#This Row],[TICKNESS]]*scheduleapr[[#This Row],[LENGTH]]*7.85)/1000000*scheduleapr[[#This Row],[DISPATCH]]/1000</f>
        <v>0.92150385096000009</v>
      </c>
      <c r="AL729" s="1">
        <f t="shared" si="25"/>
        <v>3.4666097250400001</v>
      </c>
      <c r="AM729" s="1">
        <f>scheduleapr[[#This Row],[SCHEDULE in nos]]/scheduleapr[[#This Row],[SCHEDULE IN MT]]*scheduleapr[[#This Row],[CTL Stock]]</f>
        <v>75.244178228626595</v>
      </c>
      <c r="AN729" s="1">
        <f>SUMIFS(stock[MT],stock[Bucket],scheduleapr[[#This Row],[Bucket]],stock[CTL Bucket],scheduleapr[[#This Row],[CTL Bucket]],stock[Plant],"0789")</f>
        <v>1.6508999999999999E-2</v>
      </c>
      <c r="AO729" s="1"/>
      <c r="AP729" s="1">
        <f>SUMIFS(stock[MT],stock[Bucket],scheduleapr[[#This Row],[Bucket]],stock[LL or CTL],"LL")</f>
        <v>11.690147</v>
      </c>
      <c r="AQ729" s="1">
        <f>+SUMIFS(wip[Stock(Net Wt)],wip[Bucket],scheduleapr[[#This Row],[Bucket]])/1000</f>
        <v>1.629</v>
      </c>
      <c r="AR729" s="1">
        <f t="shared" si="24"/>
        <v>4.3716045760000002</v>
      </c>
      <c r="AS729" s="118"/>
    </row>
    <row r="730" spans="1:45" x14ac:dyDescent="0.25">
      <c r="A730" s="125">
        <v>615</v>
      </c>
      <c r="B730" s="5" t="s">
        <v>1816</v>
      </c>
      <c r="C730" s="2" t="s">
        <v>302</v>
      </c>
      <c r="D730" s="2" t="s">
        <v>2128</v>
      </c>
      <c r="E730" s="2">
        <v>944141</v>
      </c>
      <c r="F730" s="2">
        <v>1902768</v>
      </c>
      <c r="G730" s="2" t="str">
        <f>_xlfn.CONCAT(scheduleapr[[#This Row],[CUSTOMER CODE]],"-",scheduleapr[[#This Row],[MATERIAL NO]])</f>
        <v>944141-1902768</v>
      </c>
      <c r="H730" s="2" t="s">
        <v>2144</v>
      </c>
      <c r="I730" s="2" t="s">
        <v>962</v>
      </c>
      <c r="J730" s="2"/>
      <c r="K730" s="2"/>
      <c r="L730" s="2" t="s">
        <v>239</v>
      </c>
      <c r="M730" s="2"/>
      <c r="N730" s="2"/>
      <c r="O730" s="2"/>
      <c r="P730" s="2"/>
      <c r="Q730" s="557" t="str">
        <f>CONCATENATE(scheduleapr[[#This Row],[OD]],"-",scheduleapr[[#This Row],[ID]],"-",scheduleapr[[#This Row],[TICKNESS]],"-",scheduleapr[[#This Row],[Grade]],"-",scheduleapr[[#This Row],[FC/NFC]])</f>
        <v>22.23-0-2-ERW 1-</v>
      </c>
      <c r="R730" s="557" t="str">
        <f>_xlfn.CONCAT(scheduleapr[[#This Row],[Bucket]],"-",scheduleapr[[#This Row],[LENGTH]]/1000)</f>
        <v>22.23-0-2-ERW 1--0.305</v>
      </c>
      <c r="S730" s="557" t="e" vm="2">
        <f>COUNTIF([2]!buckets[CTL Bucket],[2]!scheduleapr[[#This Row],[CTL Bucket]])</f>
        <v>#REF!</v>
      </c>
      <c r="T730" s="557"/>
      <c r="U730" s="557"/>
      <c r="V730" s="557"/>
      <c r="W730" s="557"/>
      <c r="X730" s="1">
        <v>22.23</v>
      </c>
      <c r="Y730" s="1">
        <v>22.23</v>
      </c>
      <c r="Z730" s="6">
        <v>0</v>
      </c>
      <c r="AA730" s="1">
        <v>2</v>
      </c>
      <c r="AB730" s="24">
        <v>305</v>
      </c>
      <c r="AC730" s="24"/>
      <c r="AD730" s="24"/>
      <c r="AE730" s="24"/>
      <c r="AF730" s="2"/>
      <c r="AG730" s="2"/>
      <c r="AH730" s="2" t="e" cm="1">
        <f t="array" ref="AH7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0" s="4" t="e">
        <f>scheduleapr[[#This Row],[SCHEDULE in nos]]-scheduleapr[[#This Row],[DISPATCH]]</f>
        <v>#N/A</v>
      </c>
      <c r="AJ730" s="1">
        <f>(3.14*(scheduleapr[[#This Row],[ACTUAL OD]]-scheduleapr[[#This Row],[TICKNESS]])*scheduleapr[[#This Row],[TICKNESS]]*scheduleapr[[#This Row],[LENGTH]]*7.85)/1000000*scheduleapr[[#This Row],[SCHEDULE in nos]]/1000</f>
        <v>0</v>
      </c>
      <c r="AK730" s="1" t="e">
        <f>(3.14*(scheduleapr[[#This Row],[ACTUAL OD]]-scheduleapr[[#This Row],[TICKNESS]])*scheduleapr[[#This Row],[TICKNESS]]*scheduleapr[[#This Row],[LENGTH]]*7.85)/1000000*scheduleapr[[#This Row],[DISPATCH]]/1000</f>
        <v>#N/A</v>
      </c>
      <c r="AL730" s="1" t="e">
        <f t="shared" si="25"/>
        <v>#N/A</v>
      </c>
      <c r="AM730" s="1" t="e">
        <f>scheduleapr[[#This Row],[SCHEDULE in nos]]/scheduleapr[[#This Row],[SCHEDULE IN MT]]*scheduleapr[[#This Row],[CTL Stock]]</f>
        <v>#DIV/0!</v>
      </c>
      <c r="AN730" s="1">
        <f>SUMIFS(stock[MT],stock[Bucket],scheduleapr[[#This Row],[Bucket]],stock[CTL Bucket],scheduleapr[[#This Row],[CTL Bucket]],stock[Plant],"0789")</f>
        <v>0</v>
      </c>
      <c r="AO730" s="1"/>
      <c r="AP730" s="1">
        <f>SUMIFS(stock[MT],stock[Bucket],scheduleapr[[#This Row],[Bucket]],stock[LL or CTL],"LL")</f>
        <v>0</v>
      </c>
      <c r="AQ730" s="1">
        <f>+SUMIFS(wip[Stock(Net Wt)],wip[Bucket],scheduleapr[[#This Row],[Bucket]])/1000</f>
        <v>0</v>
      </c>
      <c r="AR730" s="1">
        <f t="shared" si="24"/>
        <v>0</v>
      </c>
      <c r="AS730" s="118"/>
    </row>
    <row r="731" spans="1:45" x14ac:dyDescent="0.25">
      <c r="A731" s="30">
        <v>616</v>
      </c>
      <c r="B731" s="5" t="s">
        <v>1816</v>
      </c>
      <c r="C731" s="2" t="s">
        <v>302</v>
      </c>
      <c r="D731" s="2" t="s">
        <v>2128</v>
      </c>
      <c r="E731" s="2">
        <v>944141</v>
      </c>
      <c r="F731" s="2">
        <v>1940449</v>
      </c>
      <c r="G731" s="2" t="str">
        <f>_xlfn.CONCAT(scheduleapr[[#This Row],[CUSTOMER CODE]],"-",scheduleapr[[#This Row],[MATERIAL NO]])</f>
        <v>944141-1940449</v>
      </c>
      <c r="H731" s="2" t="s">
        <v>2145</v>
      </c>
      <c r="I731" s="2" t="s">
        <v>962</v>
      </c>
      <c r="J731" s="2"/>
      <c r="K731" s="2"/>
      <c r="L731" s="2" t="s">
        <v>239</v>
      </c>
      <c r="M731" s="2"/>
      <c r="N731" s="2"/>
      <c r="O731" s="2"/>
      <c r="P731" s="2"/>
      <c r="Q731" s="557" t="str">
        <f>CONCATENATE(scheduleapr[[#This Row],[OD]],"-",scheduleapr[[#This Row],[ID]],"-",scheduleapr[[#This Row],[TICKNESS]],"-",scheduleapr[[#This Row],[Grade]],"-",scheduleapr[[#This Row],[FC/NFC]])</f>
        <v>22.23-0-2-ERW 1-</v>
      </c>
      <c r="R731" s="557" t="str">
        <f>_xlfn.CONCAT(scheduleapr[[#This Row],[Bucket]],"-",scheduleapr[[#This Row],[LENGTH]]/1000)</f>
        <v>22.23-0-2-ERW 1--0.574</v>
      </c>
      <c r="S731" s="557" t="e" vm="2">
        <f>COUNTIF([2]!buckets[CTL Bucket],[2]!scheduleapr[[#This Row],[CTL Bucket]])</f>
        <v>#REF!</v>
      </c>
      <c r="T731" s="557"/>
      <c r="U731" s="557"/>
      <c r="V731" s="557"/>
      <c r="W731" s="557"/>
      <c r="X731" s="1">
        <v>22.23</v>
      </c>
      <c r="Y731" s="1">
        <v>22.23</v>
      </c>
      <c r="Z731" s="6">
        <v>0</v>
      </c>
      <c r="AA731" s="1">
        <v>2</v>
      </c>
      <c r="AB731" s="24">
        <v>574</v>
      </c>
      <c r="AC731" s="24"/>
      <c r="AD731" s="24"/>
      <c r="AE731" s="24"/>
      <c r="AF731" s="2"/>
      <c r="AG731" s="2"/>
      <c r="AH731" s="2" t="e" cm="1">
        <f t="array" ref="AH7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1" s="4" t="e">
        <f>scheduleapr[[#This Row],[SCHEDULE in nos]]-scheduleapr[[#This Row],[DISPATCH]]</f>
        <v>#N/A</v>
      </c>
      <c r="AJ731" s="1">
        <f>(3.14*(scheduleapr[[#This Row],[ACTUAL OD]]-scheduleapr[[#This Row],[TICKNESS]])*scheduleapr[[#This Row],[TICKNESS]]*scheduleapr[[#This Row],[LENGTH]]*7.85)/1000000*scheduleapr[[#This Row],[SCHEDULE in nos]]/1000</f>
        <v>0</v>
      </c>
      <c r="AK731" s="1" t="e">
        <f>(3.14*(scheduleapr[[#This Row],[ACTUAL OD]]-scheduleapr[[#This Row],[TICKNESS]])*scheduleapr[[#This Row],[TICKNESS]]*scheduleapr[[#This Row],[LENGTH]]*7.85)/1000000*scheduleapr[[#This Row],[DISPATCH]]/1000</f>
        <v>#N/A</v>
      </c>
      <c r="AL731" s="1" t="e">
        <f t="shared" si="25"/>
        <v>#N/A</v>
      </c>
      <c r="AM731" s="1" t="e">
        <f>scheduleapr[[#This Row],[SCHEDULE in nos]]/scheduleapr[[#This Row],[SCHEDULE IN MT]]*scheduleapr[[#This Row],[CTL Stock]]</f>
        <v>#DIV/0!</v>
      </c>
      <c r="AN731" s="1">
        <f>SUMIFS(stock[MT],stock[Bucket],scheduleapr[[#This Row],[Bucket]],stock[CTL Bucket],scheduleapr[[#This Row],[CTL Bucket]],stock[Plant],"0789")</f>
        <v>0</v>
      </c>
      <c r="AO731" s="1"/>
      <c r="AP731" s="1">
        <f>SUMIFS(stock[MT],stock[Bucket],scheduleapr[[#This Row],[Bucket]],stock[LL or CTL],"LL")</f>
        <v>0</v>
      </c>
      <c r="AQ731" s="1">
        <f>+SUMIFS(wip[Stock(Net Wt)],wip[Bucket],scheduleapr[[#This Row],[Bucket]])/1000</f>
        <v>0</v>
      </c>
      <c r="AR731" s="1">
        <f t="shared" si="24"/>
        <v>0</v>
      </c>
      <c r="AS731" s="118"/>
    </row>
    <row r="732" spans="1:45" x14ac:dyDescent="0.25">
      <c r="A732" s="125">
        <v>617</v>
      </c>
      <c r="B732" s="5" t="s">
        <v>1816</v>
      </c>
      <c r="C732" s="2" t="s">
        <v>302</v>
      </c>
      <c r="D732" s="2" t="s">
        <v>2128</v>
      </c>
      <c r="E732" s="2">
        <v>944141</v>
      </c>
      <c r="F732" s="2">
        <v>1936862</v>
      </c>
      <c r="G732" s="2" t="str">
        <f>_xlfn.CONCAT(scheduleapr[[#This Row],[CUSTOMER CODE]],"-",scheduleapr[[#This Row],[MATERIAL NO]])</f>
        <v>944141-1936862</v>
      </c>
      <c r="H732" s="2" t="s">
        <v>2146</v>
      </c>
      <c r="I732" s="2" t="s">
        <v>962</v>
      </c>
      <c r="J732" s="2"/>
      <c r="K732" s="2"/>
      <c r="L732" s="2" t="s">
        <v>239</v>
      </c>
      <c r="M732" s="2"/>
      <c r="N732" s="2"/>
      <c r="O732" s="2"/>
      <c r="P732" s="2"/>
      <c r="Q732" s="557" t="str">
        <f>CONCATENATE(scheduleapr[[#This Row],[OD]],"-",scheduleapr[[#This Row],[ID]],"-",scheduleapr[[#This Row],[TICKNESS]],"-",scheduleapr[[#This Row],[Grade]],"-",scheduleapr[[#This Row],[FC/NFC]])</f>
        <v>22.23-0-2-ERW 1-</v>
      </c>
      <c r="R732" s="557" t="str">
        <f>_xlfn.CONCAT(scheduleapr[[#This Row],[Bucket]],"-",scheduleapr[[#This Row],[LENGTH]]/1000)</f>
        <v>22.23-0-2-ERW 1--0.805</v>
      </c>
      <c r="S732" s="557" t="e" vm="2">
        <f>COUNTIF([2]!buckets[CTL Bucket],[2]!scheduleapr[[#This Row],[CTL Bucket]])</f>
        <v>#REF!</v>
      </c>
      <c r="T732" s="557"/>
      <c r="U732" s="557"/>
      <c r="V732" s="557"/>
      <c r="W732" s="557"/>
      <c r="X732" s="1">
        <v>22.23</v>
      </c>
      <c r="Y732" s="1">
        <v>22.23</v>
      </c>
      <c r="Z732" s="6">
        <v>0</v>
      </c>
      <c r="AA732" s="1">
        <v>2</v>
      </c>
      <c r="AB732" s="24">
        <v>805</v>
      </c>
      <c r="AC732" s="24"/>
      <c r="AD732" s="24"/>
      <c r="AE732" s="24"/>
      <c r="AF732" s="2"/>
      <c r="AG732" s="2"/>
      <c r="AH732" s="2" t="e" cm="1">
        <f t="array" ref="AH7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2" s="4" t="e">
        <f>scheduleapr[[#This Row],[SCHEDULE in nos]]-scheduleapr[[#This Row],[DISPATCH]]</f>
        <v>#N/A</v>
      </c>
      <c r="AJ732" s="1">
        <f>(3.14*(scheduleapr[[#This Row],[ACTUAL OD]]-scheduleapr[[#This Row],[TICKNESS]])*scheduleapr[[#This Row],[TICKNESS]]*scheduleapr[[#This Row],[LENGTH]]*7.85)/1000000*scheduleapr[[#This Row],[SCHEDULE in nos]]/1000</f>
        <v>0</v>
      </c>
      <c r="AK732" s="1" t="e">
        <f>(3.14*(scheduleapr[[#This Row],[ACTUAL OD]]-scheduleapr[[#This Row],[TICKNESS]])*scheduleapr[[#This Row],[TICKNESS]]*scheduleapr[[#This Row],[LENGTH]]*7.85)/1000000*scheduleapr[[#This Row],[DISPATCH]]/1000</f>
        <v>#N/A</v>
      </c>
      <c r="AL732" s="1" t="e">
        <f t="shared" si="25"/>
        <v>#N/A</v>
      </c>
      <c r="AM732" s="1" t="e">
        <f>scheduleapr[[#This Row],[SCHEDULE in nos]]/scheduleapr[[#This Row],[SCHEDULE IN MT]]*scheduleapr[[#This Row],[CTL Stock]]</f>
        <v>#DIV/0!</v>
      </c>
      <c r="AN732" s="1">
        <f>SUMIFS(stock[MT],stock[Bucket],scheduleapr[[#This Row],[Bucket]],stock[CTL Bucket],scheduleapr[[#This Row],[CTL Bucket]],stock[Plant],"0789")</f>
        <v>0</v>
      </c>
      <c r="AO732" s="1"/>
      <c r="AP732" s="1">
        <f>SUMIFS(stock[MT],stock[Bucket],scheduleapr[[#This Row],[Bucket]],stock[LL or CTL],"LL")</f>
        <v>0</v>
      </c>
      <c r="AQ732" s="1">
        <f>+SUMIFS(wip[Stock(Net Wt)],wip[Bucket],scheduleapr[[#This Row],[Bucket]])/1000</f>
        <v>0</v>
      </c>
      <c r="AR732" s="1">
        <f t="shared" si="24"/>
        <v>0</v>
      </c>
      <c r="AS732" s="118"/>
    </row>
    <row r="733" spans="1:45" x14ac:dyDescent="0.25">
      <c r="A733" s="556"/>
      <c r="B733" s="5" t="s">
        <v>1816</v>
      </c>
      <c r="C733" s="2" t="s">
        <v>302</v>
      </c>
      <c r="D733" s="2" t="s">
        <v>2128</v>
      </c>
      <c r="E733" s="2">
        <v>944141</v>
      </c>
      <c r="F733" s="557"/>
      <c r="G733" s="2" t="str">
        <f>_xlfn.CONCAT(scheduleapr[[#This Row],[CUSTOMER CODE]],"-",scheduleapr[[#This Row],[MATERIAL NO]])</f>
        <v>944141-</v>
      </c>
      <c r="H733" s="557"/>
      <c r="I733" s="2" t="s">
        <v>962</v>
      </c>
      <c r="J733" s="557"/>
      <c r="K733" s="2" t="s">
        <v>963</v>
      </c>
      <c r="L733" s="557"/>
      <c r="M733" s="558"/>
      <c r="N733" s="557"/>
      <c r="O733" s="557"/>
      <c r="P733" s="557"/>
      <c r="Q733" s="557"/>
      <c r="R733" s="557"/>
      <c r="S733" s="557"/>
      <c r="T733" s="2"/>
      <c r="U733" s="2">
        <f>_xlfn.IFNA(VLOOKUP(scheduleapr[[#This Row],[Bucket]],salesforecast[[#All],[Bucket2]:[8406 Stock]],19,0),0)</f>
        <v>0</v>
      </c>
      <c r="V733" s="3"/>
      <c r="W733" s="2"/>
      <c r="X733" s="559">
        <v>22.23</v>
      </c>
      <c r="Y733" s="1">
        <v>22.23</v>
      </c>
      <c r="Z733" s="559">
        <v>0</v>
      </c>
      <c r="AA733" s="559">
        <v>2.2999999999999998</v>
      </c>
      <c r="AB733" s="24">
        <v>245</v>
      </c>
      <c r="AC733" s="81" t="s">
        <v>397</v>
      </c>
      <c r="AD733" s="24"/>
      <c r="AE733" s="24"/>
      <c r="AF733" s="557"/>
      <c r="AG733" s="557"/>
      <c r="AH733" s="2" cm="1">
        <f t="array" ref="AH7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3" s="560">
        <f>scheduleapr[[#This Row],[SCHEDULE in nos]]-scheduleapr[[#This Row],[DISPATCH]]</f>
        <v>0</v>
      </c>
      <c r="AJ733" s="559">
        <f>(3.14*(scheduleapr[[#This Row],[ACTUAL OD]]-scheduleapr[[#This Row],[TICKNESS]])*scheduleapr[[#This Row],[TICKNESS]]*scheduleapr[[#This Row],[LENGTH]]*7.85)/1000000*scheduleapr[[#This Row],[SCHEDULE in nos]]/1000</f>
        <v>0</v>
      </c>
      <c r="AK733" s="1">
        <f>(3.14*(scheduleapr[[#This Row],[ACTUAL OD]]-scheduleapr[[#This Row],[TICKNESS]])*scheduleapr[[#This Row],[TICKNESS]]*scheduleapr[[#This Row],[LENGTH]]*7.85)/1000000*scheduleapr[[#This Row],[DISPATCH]]/1000</f>
        <v>0</v>
      </c>
      <c r="AL733" s="1">
        <f t="shared" si="25"/>
        <v>0</v>
      </c>
      <c r="AM733" s="559" t="e">
        <f>scheduleapr[[#This Row],[SCHEDULE in nos]]/scheduleapr[[#This Row],[SCHEDULE IN MT]]*scheduleapr[[#This Row],[CTL Stock]]</f>
        <v>#DIV/0!</v>
      </c>
      <c r="AN733" s="1">
        <f>SUMIFS(stock[MT],stock[Bucket],scheduleapr[[#This Row],[Bucket]],stock[CTL Bucket],scheduleapr[[#This Row],[CTL Bucket]],stock[Plant],"0789")</f>
        <v>0</v>
      </c>
      <c r="AO733" s="1"/>
      <c r="AP733" s="1">
        <f>SUMIFS(stock[MT],stock[Bucket],scheduleapr[[#This Row],[Bucket]],stock[LL or CTL],"LL")</f>
        <v>0</v>
      </c>
      <c r="AQ733" s="1">
        <f>+SUMIFS(wip[Stock(Net Wt)],wip[Bucket],scheduleapr[[#This Row],[Bucket]])/1000</f>
        <v>0</v>
      </c>
      <c r="AR733" s="1">
        <f t="shared" si="24"/>
        <v>0</v>
      </c>
      <c r="AS733" s="118"/>
    </row>
    <row r="734" spans="1:45" x14ac:dyDescent="0.25">
      <c r="A734" s="125">
        <v>620</v>
      </c>
      <c r="B734" s="5" t="s">
        <v>1816</v>
      </c>
      <c r="C734" s="2" t="s">
        <v>302</v>
      </c>
      <c r="D734" s="2" t="s">
        <v>2128</v>
      </c>
      <c r="E734" s="2">
        <v>944141</v>
      </c>
      <c r="F734" s="2">
        <v>1940498</v>
      </c>
      <c r="G734" s="2" t="str">
        <f>_xlfn.CONCAT(scheduleapr[[#This Row],[CUSTOMER CODE]],"-",scheduleapr[[#This Row],[MATERIAL NO]])</f>
        <v>944141-1940498</v>
      </c>
      <c r="H734" s="2" t="s">
        <v>1535</v>
      </c>
      <c r="I734" s="2" t="s">
        <v>962</v>
      </c>
      <c r="J734" s="2"/>
      <c r="K734" s="2" t="s">
        <v>963</v>
      </c>
      <c r="L734" s="2" t="s">
        <v>239</v>
      </c>
      <c r="M734" s="2"/>
      <c r="N734" s="2"/>
      <c r="O734" s="2"/>
      <c r="P734" s="2"/>
      <c r="Q734" s="557" t="str">
        <f>CONCATENATE(scheduleapr[[#This Row],[OD]],"-",scheduleapr[[#This Row],[ID]],"-",scheduleapr[[#This Row],[TICKNESS]],"-",scheduleapr[[#This Row],[Grade]],"-",scheduleapr[[#This Row],[FC/NFC]])</f>
        <v>22.23-0-2.3-ERW 1-PE</v>
      </c>
      <c r="R734" s="557" t="str">
        <f>_xlfn.CONCAT(scheduleapr[[#This Row],[Bucket]],"-",scheduleapr[[#This Row],[LENGTH]]/1000)</f>
        <v>22.23-0-2.3-ERW 1-PE-0.281</v>
      </c>
      <c r="S734" s="557">
        <f>COUNTIF(scheduleapr[CTL Bucket],scheduleapr[[#This Row],[CTL Bucket]])</f>
        <v>1</v>
      </c>
      <c r="T734" s="2" t="s">
        <v>1816</v>
      </c>
      <c r="U734" s="2">
        <f>_xlfn.IFNA(VLOOKUP(scheduleapr[[#This Row],[Bucket]],salesforecast[[#All],[Bucket2]:[8406 Stock]],19,0),0)</f>
        <v>6.8109740000000007</v>
      </c>
      <c r="V734" s="562">
        <f>_xlfn.IFNA(VLOOKUP(scheduleapr[[#This Row],[Bucket]],salesforecast[[#All],[Bucket2]:[8406 Stock]],20,0),0)+_xlfn.IFNA(VLOOKUP(scheduleapr[[#This Row],[Bucket]],salesforecast[[#All],[Bucket2]:[8406 Stock]],17,0),0)</f>
        <v>0</v>
      </c>
      <c r="W734" s="557"/>
      <c r="X734" s="1">
        <v>22.23</v>
      </c>
      <c r="Y734" s="1">
        <v>22.23</v>
      </c>
      <c r="Z734" s="6">
        <v>0</v>
      </c>
      <c r="AA734" s="1">
        <v>2.2999999999999998</v>
      </c>
      <c r="AB734" s="24">
        <v>281</v>
      </c>
      <c r="AC734" s="24" t="s">
        <v>397</v>
      </c>
      <c r="AD734" s="24"/>
      <c r="AE734" s="24"/>
      <c r="AF734" s="2">
        <v>70000</v>
      </c>
      <c r="AG734" s="2"/>
      <c r="AH734" s="2" cm="1">
        <f t="array" ref="AH7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35617</v>
      </c>
      <c r="AI734" s="4">
        <f>scheduleapr[[#This Row],[SCHEDULE in nos]]-scheduleapr[[#This Row],[DISPATCH]]</f>
        <v>34383</v>
      </c>
      <c r="AJ734" s="1">
        <f>(3.14*(scheduleapr[[#This Row],[ACTUAL OD]]-scheduleapr[[#This Row],[TICKNESS]])*scheduleapr[[#This Row],[TICKNESS]]*scheduleapr[[#This Row],[LENGTH]]*7.85)/1000000*scheduleapr[[#This Row],[SCHEDULE in nos]]/1000</f>
        <v>22.224848001369999</v>
      </c>
      <c r="AK734" s="1">
        <f>(3.14*(scheduleapr[[#This Row],[ACTUAL OD]]-scheduleapr[[#This Row],[TICKNESS]])*scheduleapr[[#This Row],[TICKNESS]]*scheduleapr[[#This Row],[LENGTH]]*7.85)/1000000*scheduleapr[[#This Row],[DISPATCH]]/1000</f>
        <v>11.308320160925646</v>
      </c>
      <c r="AL734" s="1">
        <f t="shared" si="25"/>
        <v>10.916527840444353</v>
      </c>
      <c r="AM734" s="1">
        <f>scheduleapr[[#This Row],[SCHEDULE in nos]]/scheduleapr[[#This Row],[SCHEDULE IN MT]]*scheduleapr[[#This Row],[CTL Stock]]</f>
        <v>307.69974217949442</v>
      </c>
      <c r="AN734" s="1">
        <f>SUMIFS(stock[MT],stock[Bucket],scheduleapr[[#This Row],[Bucket]],stock[CTL Bucket],scheduleapr[[#This Row],[CTL Bucket]],stock[Plant],"0789")</f>
        <v>9.7694000000000003E-2</v>
      </c>
      <c r="AO734" s="1"/>
      <c r="AP734" s="1">
        <f>SUMIFS(stock[MT],stock[Bucket],scheduleapr[[#This Row],[Bucket]],stock[LL or CTL],"LL")</f>
        <v>6.8109739999999999</v>
      </c>
      <c r="AQ734" s="1">
        <f>+SUMIFS(wip[Stock(Net Wt)],wip[Bucket],scheduleapr[[#This Row],[Bucket]])/1000</f>
        <v>0</v>
      </c>
      <c r="AR734" s="1">
        <f t="shared" si="24"/>
        <v>22.127154001369998</v>
      </c>
      <c r="AS734" s="118"/>
    </row>
    <row r="735" spans="1:45" x14ac:dyDescent="0.25">
      <c r="A735" s="30">
        <v>621</v>
      </c>
      <c r="B735" s="5" t="s">
        <v>1816</v>
      </c>
      <c r="C735" s="2" t="s">
        <v>302</v>
      </c>
      <c r="D735" s="2" t="s">
        <v>2128</v>
      </c>
      <c r="E735" s="2">
        <v>944141</v>
      </c>
      <c r="F735" s="2" t="s">
        <v>1878</v>
      </c>
      <c r="G735" s="2" t="str">
        <f>_xlfn.CONCAT(scheduleapr[[#This Row],[CUSTOMER CODE]],"-",scheduleapr[[#This Row],[MATERIAL NO]])</f>
        <v>944141-NO MATERIAL CODE</v>
      </c>
      <c r="H735" s="2" t="s">
        <v>2147</v>
      </c>
      <c r="I735" s="2" t="s">
        <v>962</v>
      </c>
      <c r="J735" s="2"/>
      <c r="K735" s="2" t="s">
        <v>963</v>
      </c>
      <c r="L735" s="2" t="s">
        <v>239</v>
      </c>
      <c r="M735" s="2"/>
      <c r="N735" s="2"/>
      <c r="O735" s="2"/>
      <c r="P735" s="2"/>
      <c r="Q735" s="557" t="str">
        <f>CONCATENATE(scheduleapr[[#This Row],[OD]],"-",scheduleapr[[#This Row],[ID]],"-",scheduleapr[[#This Row],[TICKNESS]],"-",scheduleapr[[#This Row],[Grade]],"-",scheduleapr[[#This Row],[FC/NFC]])</f>
        <v>22.23-0-2.3-ERW 1-PE</v>
      </c>
      <c r="R735" s="557" t="str">
        <f>_xlfn.CONCAT(scheduleapr[[#This Row],[Bucket]],"-",scheduleapr[[#This Row],[LENGTH]]/1000)</f>
        <v>22.23-0-2.3-ERW 1-PE-0.427</v>
      </c>
      <c r="S735" s="557">
        <f>COUNTIF(scheduleapr[CTL Bucket],scheduleapr[[#This Row],[CTL Bucket]])</f>
        <v>1</v>
      </c>
      <c r="T735" s="2" t="s">
        <v>1816</v>
      </c>
      <c r="U735" s="2">
        <f>_xlfn.IFNA(VLOOKUP(scheduleapr[[#This Row],[Bucket]],salesforecast[[#All],[Bucket2]:[8406 Stock]],19,0),0)</f>
        <v>6.8109740000000007</v>
      </c>
      <c r="V735" s="562">
        <f>_xlfn.IFNA(VLOOKUP(scheduleapr[[#This Row],[Bucket]],salesforecast[[#All],[Bucket2]:[8406 Stock]],20,0),0)+_xlfn.IFNA(VLOOKUP(scheduleapr[[#This Row],[Bucket]],salesforecast[[#All],[Bucket2]:[8406 Stock]],17,0),0)</f>
        <v>0</v>
      </c>
      <c r="W735" s="557"/>
      <c r="X735" s="1">
        <v>22.23</v>
      </c>
      <c r="Y735" s="1">
        <v>22.23</v>
      </c>
      <c r="Z735" s="6">
        <v>0</v>
      </c>
      <c r="AA735" s="1">
        <v>2.2999999999999998</v>
      </c>
      <c r="AB735" s="24">
        <v>427</v>
      </c>
      <c r="AC735" s="24" t="s">
        <v>397</v>
      </c>
      <c r="AD735" s="24"/>
      <c r="AE735" s="24"/>
      <c r="AF735" s="2">
        <v>5000</v>
      </c>
      <c r="AG735" s="44" t="s">
        <v>1838</v>
      </c>
      <c r="AH735" s="2" cm="1">
        <f t="array" ref="AH7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8000</v>
      </c>
      <c r="AI735" s="4">
        <f>scheduleapr[[#This Row],[SCHEDULE in nos]]-scheduleapr[[#This Row],[DISPATCH]]</f>
        <v>-3000</v>
      </c>
      <c r="AJ735" s="1">
        <f>(3.14*(scheduleapr[[#This Row],[ACTUAL OD]]-scheduleapr[[#This Row],[TICKNESS]])*scheduleapr[[#This Row],[TICKNESS]]*scheduleapr[[#This Row],[LENGTH]]*7.85)/1000000*scheduleapr[[#This Row],[SCHEDULE in nos]]/1000</f>
        <v>2.4123055659850001</v>
      </c>
      <c r="AK735" s="1">
        <f>(3.14*(scheduleapr[[#This Row],[ACTUAL OD]]-scheduleapr[[#This Row],[TICKNESS]])*scheduleapr[[#This Row],[TICKNESS]]*scheduleapr[[#This Row],[LENGTH]]*7.85)/1000000*scheduleapr[[#This Row],[DISPATCH]]/1000</f>
        <v>3.8596889055760002</v>
      </c>
      <c r="AL735" s="1">
        <f t="shared" si="25"/>
        <v>-1.4473833395910001</v>
      </c>
      <c r="AM735" s="1">
        <f>scheduleapr[[#This Row],[SCHEDULE in nos]]/scheduleapr[[#This Row],[SCHEDULE IN MT]]*scheduleapr[[#This Row],[CTL Stock]]</f>
        <v>0</v>
      </c>
      <c r="AN735" s="1">
        <f>SUMIFS(stock[MT],stock[Bucket],scheduleapr[[#This Row],[Bucket]],stock[CTL Bucket],scheduleapr[[#This Row],[CTL Bucket]],stock[Plant],"0789")</f>
        <v>0</v>
      </c>
      <c r="AO735" s="1"/>
      <c r="AP735" s="1">
        <f>SUMIFS(stock[MT],stock[Bucket],scheduleapr[[#This Row],[Bucket]],stock[LL or CTL],"LL")</f>
        <v>6.8109739999999999</v>
      </c>
      <c r="AQ735" s="1">
        <f>+SUMIFS(wip[Stock(Net Wt)],wip[Bucket],scheduleapr[[#This Row],[Bucket]])/1000</f>
        <v>0</v>
      </c>
      <c r="AR735" s="1">
        <f t="shared" si="24"/>
        <v>2.4123055659850001</v>
      </c>
      <c r="AS735" s="118"/>
    </row>
    <row r="736" spans="1:45" x14ac:dyDescent="0.25">
      <c r="A736" s="125">
        <v>622</v>
      </c>
      <c r="B736" s="5" t="s">
        <v>1816</v>
      </c>
      <c r="C736" s="2" t="s">
        <v>302</v>
      </c>
      <c r="D736" s="2" t="s">
        <v>2128</v>
      </c>
      <c r="E736" s="2">
        <v>944141</v>
      </c>
      <c r="F736" s="2">
        <v>1940584</v>
      </c>
      <c r="G736" s="2" t="str">
        <f>_xlfn.CONCAT(scheduleapr[[#This Row],[CUSTOMER CODE]],"-",scheduleapr[[#This Row],[MATERIAL NO]])</f>
        <v>944141-1940584</v>
      </c>
      <c r="H736" s="2" t="s">
        <v>779</v>
      </c>
      <c r="I736" s="2" t="s">
        <v>962</v>
      </c>
      <c r="J736" s="2"/>
      <c r="K736" s="2" t="s">
        <v>1003</v>
      </c>
      <c r="L736" s="2" t="s">
        <v>239</v>
      </c>
      <c r="M736" s="2"/>
      <c r="N736" s="2"/>
      <c r="O736" s="2"/>
      <c r="P736" s="2"/>
      <c r="Q736" s="557" t="str">
        <f>CONCATENATE(scheduleapr[[#This Row],[OD]],"-",scheduleapr[[#This Row],[ID]],"-",scheduleapr[[#This Row],[TICKNESS]],"-",scheduleapr[[#This Row],[Grade]],"-",scheduleapr[[#This Row],[FC/NFC]])</f>
        <v>25.4-0-2-ERW 1-FC</v>
      </c>
      <c r="R736" s="557" t="str">
        <f>_xlfn.CONCAT(scheduleapr[[#This Row],[Bucket]],"-",scheduleapr[[#This Row],[LENGTH]]/1000)</f>
        <v>25.4-0-2-ERW 1-FC-0.281</v>
      </c>
      <c r="S736" s="557">
        <f>COUNTIF(scheduleapr[CTL Bucket],scheduleapr[[#This Row],[CTL Bucket]])</f>
        <v>1</v>
      </c>
      <c r="T736" s="2" t="s">
        <v>1816</v>
      </c>
      <c r="U736" s="2">
        <f>_xlfn.IFNA(VLOOKUP(scheduleapr[[#This Row],[Bucket]],salesforecast[[#All],[Bucket2]:[8406 Stock]],19,0),0)</f>
        <v>10.051000000000002</v>
      </c>
      <c r="V736" s="562">
        <f>_xlfn.IFNA(VLOOKUP(scheduleapr[[#This Row],[Bucket]],salesforecast[[#All],[Bucket2]:[8406 Stock]],20,0),0)+_xlfn.IFNA(VLOOKUP(scheduleapr[[#This Row],[Bucket]],salesforecast[[#All],[Bucket2]:[8406 Stock]],17,0),0)</f>
        <v>1.529582</v>
      </c>
      <c r="W736" s="557"/>
      <c r="X736" s="1">
        <v>25.4</v>
      </c>
      <c r="Y736" s="1">
        <v>25.4</v>
      </c>
      <c r="Z736" s="6">
        <v>0</v>
      </c>
      <c r="AA736" s="1">
        <v>2</v>
      </c>
      <c r="AB736" s="24">
        <v>281</v>
      </c>
      <c r="AC736" s="24" t="s">
        <v>397</v>
      </c>
      <c r="AD736" s="24"/>
      <c r="AE736" s="24"/>
      <c r="AF736" s="2">
        <v>20000</v>
      </c>
      <c r="AG736" s="2"/>
      <c r="AH736" s="2" cm="1">
        <f t="array" ref="AH7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21718</v>
      </c>
      <c r="AI736" s="4">
        <f>scheduleapr[[#This Row],[SCHEDULE in nos]]-scheduleapr[[#This Row],[DISPATCH]]</f>
        <v>-1718</v>
      </c>
      <c r="AJ736" s="1">
        <f>(3.14*(scheduleapr[[#This Row],[ACTUAL OD]]-scheduleapr[[#This Row],[TICKNESS]])*scheduleapr[[#This Row],[TICKNESS]]*scheduleapr[[#This Row],[LENGTH]]*7.85)/1000000*scheduleapr[[#This Row],[SCHEDULE in nos]]/1000</f>
        <v>6.4830813840000001</v>
      </c>
      <c r="AK736" s="1">
        <f>(3.14*(scheduleapr[[#This Row],[ACTUAL OD]]-scheduleapr[[#This Row],[TICKNESS]])*scheduleapr[[#This Row],[TICKNESS]]*scheduleapr[[#This Row],[LENGTH]]*7.85)/1000000*scheduleapr[[#This Row],[DISPATCH]]/1000</f>
        <v>7.0399780748856005</v>
      </c>
      <c r="AL736" s="1">
        <f t="shared" si="25"/>
        <v>-0.55689669088560034</v>
      </c>
      <c r="AM736" s="1">
        <f>scheduleapr[[#This Row],[SCHEDULE in nos]]/scheduleapr[[#This Row],[SCHEDULE IN MT]]*scheduleapr[[#This Row],[CTL Stock]]</f>
        <v>6109.3263610340009</v>
      </c>
      <c r="AN736" s="1">
        <f>SUMIFS(stock[MT],stock[Bucket],scheduleapr[[#This Row],[Bucket]],stock[CTL Bucket],scheduleapr[[#This Row],[CTL Bucket]],stock[Plant],"0789")</f>
        <v>1.9803629999999999</v>
      </c>
      <c r="AO736" s="1"/>
      <c r="AP736" s="1">
        <f>SUMIFS(stock[MT],stock[Bucket],scheduleapr[[#This Row],[Bucket]],stock[LL or CTL],"LL")</f>
        <v>10.738999999999999</v>
      </c>
      <c r="AQ736" s="1">
        <f>+SUMIFS(wip[Stock(Net Wt)],wip[Bucket],scheduleapr[[#This Row],[Bucket]])/1000</f>
        <v>25.931000000000001</v>
      </c>
      <c r="AR736" s="1">
        <f t="shared" si="24"/>
        <v>4.5027183840000005</v>
      </c>
      <c r="AS736" s="118"/>
    </row>
    <row r="737" spans="1:45" x14ac:dyDescent="0.25">
      <c r="A737" s="30">
        <v>623</v>
      </c>
      <c r="B737" s="5" t="s">
        <v>1816</v>
      </c>
      <c r="C737" s="2" t="s">
        <v>302</v>
      </c>
      <c r="D737" s="2" t="s">
        <v>2128</v>
      </c>
      <c r="E737" s="2">
        <v>944141</v>
      </c>
      <c r="F737" s="2">
        <v>1940621</v>
      </c>
      <c r="G737" s="2" t="str">
        <f>_xlfn.CONCAT(scheduleapr[[#This Row],[CUSTOMER CODE]],"-",scheduleapr[[#This Row],[MATERIAL NO]])</f>
        <v>944141-1940621</v>
      </c>
      <c r="H737" s="9" t="s">
        <v>2148</v>
      </c>
      <c r="I737" s="2" t="s">
        <v>962</v>
      </c>
      <c r="J737" s="2"/>
      <c r="K737" s="2" t="s">
        <v>963</v>
      </c>
      <c r="L737" s="2" t="s">
        <v>1867</v>
      </c>
      <c r="M737" s="49" t="s">
        <v>1891</v>
      </c>
      <c r="N737" s="2"/>
      <c r="O737" s="2"/>
      <c r="P737" s="2"/>
      <c r="Q737" s="557" t="str">
        <f>CONCATENATE(scheduleapr[[#This Row],[OD]],"-",scheduleapr[[#This Row],[ID]],"-",scheduleapr[[#This Row],[TICKNESS]],"-",scheduleapr[[#This Row],[Grade]],"-",scheduleapr[[#This Row],[FC/NFC]])</f>
        <v>28.58-0-1.6-ERW 1-PE</v>
      </c>
      <c r="R737" s="557" t="str">
        <f>_xlfn.CONCAT(scheduleapr[[#This Row],[Bucket]],"-",scheduleapr[[#This Row],[LENGTH]]/1000)</f>
        <v>28.58-0-1.6-ERW 1-PE-6</v>
      </c>
      <c r="S737" s="557" t="e" vm="2">
        <f>COUNTIF([2]!buckets[CTL Bucket],[2]!scheduleapr[[#This Row],[CTL Bucket]])</f>
        <v>#REF!</v>
      </c>
      <c r="T737" s="557"/>
      <c r="U737" s="557"/>
      <c r="V737" s="557"/>
      <c r="W737" s="557"/>
      <c r="X737" s="1">
        <v>28.58</v>
      </c>
      <c r="Y737" s="1">
        <v>28.58</v>
      </c>
      <c r="Z737" s="6">
        <v>0</v>
      </c>
      <c r="AA737" s="1">
        <v>1.6</v>
      </c>
      <c r="AB737" s="24">
        <v>6000</v>
      </c>
      <c r="AC737" s="24"/>
      <c r="AD737" s="24"/>
      <c r="AE737" s="24"/>
      <c r="AF737" s="2"/>
      <c r="AG737" s="2"/>
      <c r="AH737" s="2" t="e" cm="1">
        <f t="array" ref="AH7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7" s="4" t="e">
        <f>scheduleapr[[#This Row],[SCHEDULE in nos]]-scheduleapr[[#This Row],[DISPATCH]]</f>
        <v>#N/A</v>
      </c>
      <c r="AJ737" s="1">
        <f>(3.14*(scheduleapr[[#This Row],[ACTUAL OD]]-scheduleapr[[#This Row],[TICKNESS]])*scheduleapr[[#This Row],[TICKNESS]]*scheduleapr[[#This Row],[LENGTH]]*7.85)/1000000*scheduleapr[[#This Row],[SCHEDULE in nos]]/1000</f>
        <v>0</v>
      </c>
      <c r="AK737" s="1" t="e">
        <f>(3.14*(scheduleapr[[#This Row],[ACTUAL OD]]-scheduleapr[[#This Row],[TICKNESS]])*scheduleapr[[#This Row],[TICKNESS]]*scheduleapr[[#This Row],[LENGTH]]*7.85)/1000000*scheduleapr[[#This Row],[DISPATCH]]/1000</f>
        <v>#N/A</v>
      </c>
      <c r="AL737" s="1" t="e">
        <f t="shared" si="25"/>
        <v>#N/A</v>
      </c>
      <c r="AM737" s="1" t="e">
        <f>scheduleapr[[#This Row],[SCHEDULE in nos]]/scheduleapr[[#This Row],[SCHEDULE IN MT]]*scheduleapr[[#This Row],[CTL Stock]]</f>
        <v>#DIV/0!</v>
      </c>
      <c r="AN737" s="1">
        <f>SUMIFS(stock[MT],stock[Bucket],scheduleapr[[#This Row],[Bucket]],stock[CTL Bucket],scheduleapr[[#This Row],[CTL Bucket]],stock[Plant],"0789")</f>
        <v>0</v>
      </c>
      <c r="AO737" s="1"/>
      <c r="AP737" s="1">
        <f>SUMIFS(stock[MT],stock[Bucket],scheduleapr[[#This Row],[Bucket]],stock[LL or CTL],"LL")</f>
        <v>0</v>
      </c>
      <c r="AQ737" s="1">
        <f>+SUMIFS(wip[Stock(Net Wt)],wip[Bucket],scheduleapr[[#This Row],[Bucket]])/1000</f>
        <v>0</v>
      </c>
      <c r="AR737" s="1">
        <f t="shared" si="24"/>
        <v>0</v>
      </c>
      <c r="AS737" s="118"/>
    </row>
    <row r="738" spans="1:45" x14ac:dyDescent="0.25">
      <c r="A738" s="125">
        <v>619</v>
      </c>
      <c r="B738" s="5" t="s">
        <v>1816</v>
      </c>
      <c r="C738" s="2" t="s">
        <v>302</v>
      </c>
      <c r="D738" s="2" t="s">
        <v>2128</v>
      </c>
      <c r="E738" s="2">
        <v>944141</v>
      </c>
      <c r="F738" s="252">
        <v>4036237</v>
      </c>
      <c r="G738" s="2" t="str">
        <f>_xlfn.CONCAT(scheduleapr[[#This Row],[CUSTOMER CODE]],"-",scheduleapr[[#This Row],[MATERIAL NO]])</f>
        <v>944141-4036237</v>
      </c>
      <c r="H738" s="2" t="s">
        <v>2149</v>
      </c>
      <c r="I738" s="252" t="s">
        <v>985</v>
      </c>
      <c r="J738" s="2"/>
      <c r="K738" s="2" t="s">
        <v>963</v>
      </c>
      <c r="L738" s="2" t="s">
        <v>239</v>
      </c>
      <c r="M738" s="2"/>
      <c r="N738" s="2"/>
      <c r="O738" s="2"/>
      <c r="P738" s="2"/>
      <c r="Q738" s="557" t="str">
        <f>CONCATENATE(scheduleapr[[#This Row],[OD]],"-",scheduleapr[[#This Row],[ID]],"-",scheduleapr[[#This Row],[TICKNESS]],"-",scheduleapr[[#This Row],[Grade]],"-",scheduleapr[[#This Row],[FC/NFC]])</f>
        <v>22.23-0-2-ERW 2 MAHS-PE</v>
      </c>
      <c r="R738" s="557" t="str">
        <f>_xlfn.CONCAT(scheduleapr[[#This Row],[Bucket]],"-",scheduleapr[[#This Row],[LENGTH]]/1000)</f>
        <v>22.23-0-2-ERW 2 MAHS-PE-0.604</v>
      </c>
      <c r="S738" s="557">
        <f>COUNTIF(scheduleapr[CTL Bucket],scheduleapr[[#This Row],[CTL Bucket]])</f>
        <v>1</v>
      </c>
      <c r="T738" s="2"/>
      <c r="U738" s="2"/>
      <c r="V738" s="2"/>
      <c r="W738" s="2"/>
      <c r="X738" s="253">
        <v>22.23</v>
      </c>
      <c r="Y738" s="253">
        <v>22.23</v>
      </c>
      <c r="Z738" s="254">
        <v>0</v>
      </c>
      <c r="AA738" s="1">
        <v>2</v>
      </c>
      <c r="AB738" s="24">
        <v>604</v>
      </c>
      <c r="AC738" s="24" t="s">
        <v>397</v>
      </c>
      <c r="AD738" s="24"/>
      <c r="AE738" s="24"/>
      <c r="AF738" s="2"/>
      <c r="AG738" s="2"/>
      <c r="AH738" s="2" cm="1">
        <f t="array" ref="AH7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8" s="4">
        <f>scheduleapr[[#This Row],[SCHEDULE in nos]]-scheduleapr[[#This Row],[DISPATCH]]</f>
        <v>0</v>
      </c>
      <c r="AJ738" s="1">
        <f>(3.14*(scheduleapr[[#This Row],[ACTUAL OD]]-scheduleapr[[#This Row],[TICKNESS]])*scheduleapr[[#This Row],[TICKNESS]]*scheduleapr[[#This Row],[LENGTH]]*7.85)/1000000*scheduleapr[[#This Row],[SCHEDULE in nos]]/1000</f>
        <v>0</v>
      </c>
      <c r="AK738" s="1">
        <f>(3.14*(scheduleapr[[#This Row],[ACTUAL OD]]-scheduleapr[[#This Row],[TICKNESS]])*scheduleapr[[#This Row],[TICKNESS]]*scheduleapr[[#This Row],[LENGTH]]*7.85)/1000000*scheduleapr[[#This Row],[DISPATCH]]/1000</f>
        <v>0</v>
      </c>
      <c r="AL738" s="1">
        <f t="shared" si="25"/>
        <v>0</v>
      </c>
      <c r="AM738" s="1" t="e">
        <f>scheduleapr[[#This Row],[SCHEDULE in nos]]/scheduleapr[[#This Row],[SCHEDULE IN MT]]*scheduleapr[[#This Row],[CTL Stock]]</f>
        <v>#DIV/0!</v>
      </c>
      <c r="AN738" s="1">
        <f>SUMIFS(stock[MT],stock[Bucket],scheduleapr[[#This Row],[Bucket]],stock[CTL Bucket],scheduleapr[[#This Row],[CTL Bucket]],stock[Plant],"0789")</f>
        <v>0</v>
      </c>
      <c r="AO738" s="1"/>
      <c r="AP738" s="1">
        <f>SUMIFS(stock[MT],stock[Bucket],scheduleapr[[#This Row],[Bucket]],stock[LL or CTL],"LL")</f>
        <v>5.8279100000000001</v>
      </c>
      <c r="AQ738" s="1">
        <f>+SUMIFS(wip[Stock(Net Wt)],wip[Bucket],scheduleapr[[#This Row],[Bucket]])/1000</f>
        <v>0</v>
      </c>
      <c r="AR738" s="1">
        <f t="shared" si="24"/>
        <v>0</v>
      </c>
      <c r="AS738" s="118"/>
    </row>
    <row r="739" spans="1:45" x14ac:dyDescent="0.25">
      <c r="A739" s="30">
        <v>587</v>
      </c>
      <c r="B739" s="5" t="s">
        <v>1816</v>
      </c>
      <c r="C739" s="2" t="s">
        <v>302</v>
      </c>
      <c r="D739" s="2" t="s">
        <v>2128</v>
      </c>
      <c r="E739" s="2">
        <v>944141</v>
      </c>
      <c r="F739" s="2">
        <v>1156869</v>
      </c>
      <c r="G739" s="2" t="str">
        <f>_xlfn.CONCAT(scheduleapr[[#This Row],[CUSTOMER CODE]],"-",scheduleapr[[#This Row],[MATERIAL NO]])</f>
        <v>944141-1156869</v>
      </c>
      <c r="H739" s="2" t="s">
        <v>2150</v>
      </c>
      <c r="I739" s="2"/>
      <c r="J739" s="2"/>
      <c r="K739" s="2"/>
      <c r="L739" s="2" t="s">
        <v>239</v>
      </c>
      <c r="M739" s="2"/>
      <c r="N739" s="2"/>
      <c r="O739" s="2"/>
      <c r="P739" s="2"/>
      <c r="Q739" s="557" t="str">
        <f>CONCATENATE(scheduleapr[[#This Row],[OD]],"-",scheduleapr[[#This Row],[ID]],"-",scheduleapr[[#This Row],[TICKNESS]],"-",scheduleapr[[#This Row],[Grade]],"-",scheduleapr[[#This Row],[FC/NFC]])</f>
        <v>19.05-0-2--</v>
      </c>
      <c r="R739" s="557" t="str">
        <f>_xlfn.CONCAT(scheduleapr[[#This Row],[Bucket]],"-",scheduleapr[[#This Row],[LENGTH]]/1000)</f>
        <v>19.05-0-2---0.271</v>
      </c>
      <c r="S739" s="557" t="e" vm="2">
        <f>COUNTIF([2]!buckets[CTL Bucket],[2]!scheduleapr[[#This Row],[CTL Bucket]])</f>
        <v>#REF!</v>
      </c>
      <c r="T739" s="557"/>
      <c r="U739" s="557"/>
      <c r="V739" s="557"/>
      <c r="W739" s="557"/>
      <c r="X739" s="1">
        <v>19.05</v>
      </c>
      <c r="Y739" s="1">
        <v>19.05</v>
      </c>
      <c r="Z739" s="6">
        <v>0</v>
      </c>
      <c r="AA739" s="1">
        <v>2</v>
      </c>
      <c r="AB739" s="24">
        <v>271</v>
      </c>
      <c r="AC739" s="24" t="s">
        <v>397</v>
      </c>
      <c r="AD739" s="24"/>
      <c r="AE739" s="24"/>
      <c r="AF739" s="2"/>
      <c r="AG739" s="2"/>
      <c r="AH739" s="2" cm="1">
        <f t="array" ref="AH7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9" s="4">
        <f>scheduleapr[[#This Row],[SCHEDULE in nos]]-scheduleapr[[#This Row],[DISPATCH]]</f>
        <v>0</v>
      </c>
      <c r="AJ739" s="1">
        <f>(3.14*(scheduleapr[[#This Row],[ACTUAL OD]]-scheduleapr[[#This Row],[TICKNESS]])*scheduleapr[[#This Row],[TICKNESS]]*scheduleapr[[#This Row],[LENGTH]]*7.85)/1000000*scheduleapr[[#This Row],[SCHEDULE in nos]]/1000</f>
        <v>0</v>
      </c>
      <c r="AK739" s="1">
        <f>(3.14*(scheduleapr[[#This Row],[ACTUAL OD]]-scheduleapr[[#This Row],[TICKNESS]])*scheduleapr[[#This Row],[TICKNESS]]*scheduleapr[[#This Row],[LENGTH]]*7.85)/1000000*scheduleapr[[#This Row],[DISPATCH]]/1000</f>
        <v>0</v>
      </c>
      <c r="AL739" s="1">
        <f t="shared" si="25"/>
        <v>0</v>
      </c>
      <c r="AM739" s="1" t="e">
        <f>scheduleapr[[#This Row],[SCHEDULE in nos]]/scheduleapr[[#This Row],[SCHEDULE IN MT]]*scheduleapr[[#This Row],[CTL Stock]]</f>
        <v>#DIV/0!</v>
      </c>
      <c r="AN739" s="1">
        <f>SUMIFS(stock[MT],stock[Bucket],scheduleapr[[#This Row],[Bucket]],stock[CTL Bucket],scheduleapr[[#This Row],[CTL Bucket]],stock[Plant],"0789")</f>
        <v>0</v>
      </c>
      <c r="AO739" s="1"/>
      <c r="AP739" s="1">
        <f>SUMIFS(stock[MT],stock[Bucket],scheduleapr[[#This Row],[Bucket]],stock[LL or CTL],"LL")</f>
        <v>0</v>
      </c>
      <c r="AQ739" s="1">
        <f>+SUMIFS(wip[Stock(Net Wt)],wip[Bucket],scheduleapr[[#This Row],[Bucket]])/1000</f>
        <v>0</v>
      </c>
      <c r="AR739" s="1">
        <f t="shared" si="24"/>
        <v>0</v>
      </c>
      <c r="AS739" s="118"/>
    </row>
    <row r="740" spans="1:45" x14ac:dyDescent="0.25">
      <c r="A740" s="125">
        <v>588</v>
      </c>
      <c r="B740" s="5" t="s">
        <v>1816</v>
      </c>
      <c r="C740" s="2" t="s">
        <v>302</v>
      </c>
      <c r="D740" s="2" t="s">
        <v>2128</v>
      </c>
      <c r="E740" s="2">
        <v>944141</v>
      </c>
      <c r="F740" s="2">
        <v>1637759</v>
      </c>
      <c r="G740" s="2" t="str">
        <f>_xlfn.CONCAT(scheduleapr[[#This Row],[CUSTOMER CODE]],"-",scheduleapr[[#This Row],[MATERIAL NO]])</f>
        <v>944141-1637759</v>
      </c>
      <c r="H740" s="2" t="s">
        <v>2151</v>
      </c>
      <c r="I740" s="2"/>
      <c r="J740" s="2"/>
      <c r="K740" s="2"/>
      <c r="L740" s="2" t="s">
        <v>239</v>
      </c>
      <c r="M740" s="2"/>
      <c r="N740" s="2"/>
      <c r="O740" s="2"/>
      <c r="P740" s="2"/>
      <c r="Q740" s="557" t="str">
        <f>CONCATENATE(scheduleapr[[#This Row],[OD]],"-",scheduleapr[[#This Row],[ID]],"-",scheduleapr[[#This Row],[TICKNESS]],"-",scheduleapr[[#This Row],[Grade]],"-",scheduleapr[[#This Row],[FC/NFC]])</f>
        <v>19.05-0-2--</v>
      </c>
      <c r="R740" s="557" t="str">
        <f>_xlfn.CONCAT(scheduleapr[[#This Row],[Bucket]],"-",scheduleapr[[#This Row],[LENGTH]]/1000)</f>
        <v>19.05-0-2---0.452</v>
      </c>
      <c r="S740" s="557" t="e" vm="2">
        <f>COUNTIF([2]!buckets[CTL Bucket],[2]!scheduleapr[[#This Row],[CTL Bucket]])</f>
        <v>#REF!</v>
      </c>
      <c r="T740" s="557"/>
      <c r="U740" s="557"/>
      <c r="V740" s="557"/>
      <c r="W740" s="557"/>
      <c r="X740" s="1">
        <v>19.05</v>
      </c>
      <c r="Y740" s="1">
        <v>19.05</v>
      </c>
      <c r="Z740" s="6">
        <v>0</v>
      </c>
      <c r="AA740" s="1">
        <v>2</v>
      </c>
      <c r="AB740" s="24">
        <v>452</v>
      </c>
      <c r="AC740" s="24" t="s">
        <v>397</v>
      </c>
      <c r="AD740" s="24"/>
      <c r="AE740" s="24"/>
      <c r="AF740" s="2"/>
      <c r="AG740" s="2"/>
      <c r="AH740" s="2" cm="1">
        <f t="array" ref="AH7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0" s="4">
        <f>scheduleapr[[#This Row],[SCHEDULE in nos]]-scheduleapr[[#This Row],[DISPATCH]]</f>
        <v>0</v>
      </c>
      <c r="AJ740" s="1">
        <f>(3.14*(scheduleapr[[#This Row],[ACTUAL OD]]-scheduleapr[[#This Row],[TICKNESS]])*scheduleapr[[#This Row],[TICKNESS]]*scheduleapr[[#This Row],[LENGTH]]*7.85)/1000000*scheduleapr[[#This Row],[SCHEDULE in nos]]/1000</f>
        <v>0</v>
      </c>
      <c r="AK740" s="1">
        <f>(3.14*(scheduleapr[[#This Row],[ACTUAL OD]]-scheduleapr[[#This Row],[TICKNESS]])*scheduleapr[[#This Row],[TICKNESS]]*scheduleapr[[#This Row],[LENGTH]]*7.85)/1000000*scheduleapr[[#This Row],[DISPATCH]]/1000</f>
        <v>0</v>
      </c>
      <c r="AL740" s="1">
        <f t="shared" si="25"/>
        <v>0</v>
      </c>
      <c r="AM740" s="1" t="e">
        <f>scheduleapr[[#This Row],[SCHEDULE in nos]]/scheduleapr[[#This Row],[SCHEDULE IN MT]]*scheduleapr[[#This Row],[CTL Stock]]</f>
        <v>#DIV/0!</v>
      </c>
      <c r="AN740" s="1">
        <f>SUMIFS(stock[MT],stock[Bucket],scheduleapr[[#This Row],[Bucket]],stock[CTL Bucket],scheduleapr[[#This Row],[CTL Bucket]],stock[Plant],"0789")</f>
        <v>0</v>
      </c>
      <c r="AO740" s="1"/>
      <c r="AP740" s="1">
        <f>SUMIFS(stock[MT],stock[Bucket],scheduleapr[[#This Row],[Bucket]],stock[LL or CTL],"LL")</f>
        <v>0</v>
      </c>
      <c r="AQ740" s="1">
        <f>+SUMIFS(wip[Stock(Net Wt)],wip[Bucket],scheduleapr[[#This Row],[Bucket]])/1000</f>
        <v>0</v>
      </c>
      <c r="AR740" s="1">
        <f t="shared" si="24"/>
        <v>0</v>
      </c>
      <c r="AS740" s="118"/>
    </row>
    <row r="741" spans="1:45" x14ac:dyDescent="0.25">
      <c r="A741" s="30">
        <v>592</v>
      </c>
      <c r="B741" s="5" t="s">
        <v>1816</v>
      </c>
      <c r="C741" s="2" t="s">
        <v>302</v>
      </c>
      <c r="D741" s="2" t="s">
        <v>2128</v>
      </c>
      <c r="E741" s="2">
        <v>944141</v>
      </c>
      <c r="F741" s="2">
        <v>451367</v>
      </c>
      <c r="G741" s="2" t="str">
        <f>_xlfn.CONCAT(scheduleapr[[#This Row],[CUSTOMER CODE]],"-",scheduleapr[[#This Row],[MATERIAL NO]])</f>
        <v>944141-451367</v>
      </c>
      <c r="H741" s="2" t="s">
        <v>2152</v>
      </c>
      <c r="I741" s="2"/>
      <c r="J741" s="2"/>
      <c r="K741" s="2"/>
      <c r="L741" s="2" t="s">
        <v>239</v>
      </c>
      <c r="M741" s="2"/>
      <c r="N741" s="2"/>
      <c r="O741" s="2"/>
      <c r="P741" s="2"/>
      <c r="Q741" s="557" t="str">
        <f>CONCATENATE(scheduleapr[[#This Row],[OD]],"-",scheduleapr[[#This Row],[ID]],"-",scheduleapr[[#This Row],[TICKNESS]],"-",scheduleapr[[#This Row],[Grade]],"-",scheduleapr[[#This Row],[FC/NFC]])</f>
        <v>19.05-0-2--</v>
      </c>
      <c r="R741" s="557" t="str">
        <f>_xlfn.CONCAT(scheduleapr[[#This Row],[Bucket]],"-",scheduleapr[[#This Row],[LENGTH]]/1000)</f>
        <v>19.05-0-2---0.925</v>
      </c>
      <c r="S741" s="557" t="e" vm="2">
        <f>COUNTIF([2]!buckets[CTL Bucket],[2]!scheduleapr[[#This Row],[CTL Bucket]])</f>
        <v>#REF!</v>
      </c>
      <c r="T741" s="557"/>
      <c r="U741" s="557"/>
      <c r="V741" s="557"/>
      <c r="W741" s="557"/>
      <c r="X741" s="1">
        <v>19.05</v>
      </c>
      <c r="Y741" s="1">
        <v>19.05</v>
      </c>
      <c r="Z741" s="6">
        <v>0</v>
      </c>
      <c r="AA741" s="1">
        <v>2</v>
      </c>
      <c r="AB741" s="24">
        <v>925</v>
      </c>
      <c r="AC741" s="24" t="s">
        <v>397</v>
      </c>
      <c r="AD741" s="24"/>
      <c r="AE741" s="24"/>
      <c r="AF741" s="2"/>
      <c r="AG741" s="2"/>
      <c r="AH741" s="2" cm="1">
        <f t="array" ref="AH7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1" s="4">
        <f>scheduleapr[[#This Row],[SCHEDULE in nos]]-scheduleapr[[#This Row],[DISPATCH]]</f>
        <v>0</v>
      </c>
      <c r="AJ741" s="1">
        <f>(3.14*(scheduleapr[[#This Row],[ACTUAL OD]]-scheduleapr[[#This Row],[TICKNESS]])*scheduleapr[[#This Row],[TICKNESS]]*scheduleapr[[#This Row],[LENGTH]]*7.85)/1000000*scheduleapr[[#This Row],[SCHEDULE in nos]]/1000</f>
        <v>0</v>
      </c>
      <c r="AK741" s="1">
        <f>(3.14*(scheduleapr[[#This Row],[ACTUAL OD]]-scheduleapr[[#This Row],[TICKNESS]])*scheduleapr[[#This Row],[TICKNESS]]*scheduleapr[[#This Row],[LENGTH]]*7.85)/1000000*scheduleapr[[#This Row],[DISPATCH]]/1000</f>
        <v>0</v>
      </c>
      <c r="AL741" s="1">
        <f t="shared" si="25"/>
        <v>0</v>
      </c>
      <c r="AM741" s="1" t="e">
        <f>scheduleapr[[#This Row],[SCHEDULE in nos]]/scheduleapr[[#This Row],[SCHEDULE IN MT]]*scheduleapr[[#This Row],[CTL Stock]]</f>
        <v>#DIV/0!</v>
      </c>
      <c r="AN741" s="1">
        <f>SUMIFS(stock[MT],stock[Bucket],scheduleapr[[#This Row],[Bucket]],stock[CTL Bucket],scheduleapr[[#This Row],[CTL Bucket]],stock[Plant],"0789")</f>
        <v>0</v>
      </c>
      <c r="AO741" s="1"/>
      <c r="AP741" s="1">
        <f>SUMIFS(stock[MT],stock[Bucket],scheduleapr[[#This Row],[Bucket]],stock[LL or CTL],"LL")</f>
        <v>0</v>
      </c>
      <c r="AQ741" s="1">
        <f>+SUMIFS(wip[Stock(Net Wt)],wip[Bucket],scheduleapr[[#This Row],[Bucket]])/1000</f>
        <v>0</v>
      </c>
      <c r="AR741" s="1">
        <f t="shared" si="24"/>
        <v>0</v>
      </c>
      <c r="AS741" s="118"/>
    </row>
    <row r="742" spans="1:45" x14ac:dyDescent="0.25">
      <c r="A742" s="125">
        <v>593</v>
      </c>
      <c r="B742" s="5" t="s">
        <v>1816</v>
      </c>
      <c r="C742" s="2" t="s">
        <v>302</v>
      </c>
      <c r="D742" s="2" t="s">
        <v>2128</v>
      </c>
      <c r="E742" s="2">
        <v>944141</v>
      </c>
      <c r="F742" s="9">
        <v>3499307</v>
      </c>
      <c r="G742" s="2" t="str">
        <f>_xlfn.CONCAT(scheduleapr[[#This Row],[CUSTOMER CODE]],"-",scheduleapr[[#This Row],[MATERIAL NO]])</f>
        <v>944141-3499307</v>
      </c>
      <c r="H742" s="9" t="s">
        <v>1384</v>
      </c>
      <c r="I742" s="2"/>
      <c r="J742" s="2"/>
      <c r="K742" s="2"/>
      <c r="L742" s="2" t="s">
        <v>239</v>
      </c>
      <c r="M742" s="2"/>
      <c r="N742" s="2"/>
      <c r="O742" s="2"/>
      <c r="P742" s="2"/>
      <c r="Q742" s="557" t="str">
        <f>CONCATENATE(scheduleapr[[#This Row],[OD]],"-",scheduleapr[[#This Row],[ID]],"-",scheduleapr[[#This Row],[TICKNESS]],"-",scheduleapr[[#This Row],[Grade]],"-",scheduleapr[[#This Row],[FC/NFC]])</f>
        <v>19.05-0-2--</v>
      </c>
      <c r="R742" s="557" t="str">
        <f>_xlfn.CONCAT(scheduleapr[[#This Row],[Bucket]],"-",scheduleapr[[#This Row],[LENGTH]]/1000)</f>
        <v>19.05-0-2---6</v>
      </c>
      <c r="S742" s="557" t="e" vm="2">
        <f>COUNTIF([2]!buckets[CTL Bucket],[2]!scheduleapr[[#This Row],[CTL Bucket]])</f>
        <v>#REF!</v>
      </c>
      <c r="T742" s="557"/>
      <c r="U742" s="557"/>
      <c r="V742" s="557"/>
      <c r="W742" s="557"/>
      <c r="X742" s="1">
        <v>19.05</v>
      </c>
      <c r="Y742" s="1">
        <v>19.05</v>
      </c>
      <c r="Z742" s="6">
        <v>0</v>
      </c>
      <c r="AA742" s="1">
        <v>2</v>
      </c>
      <c r="AB742" s="24">
        <v>6000</v>
      </c>
      <c r="AC742" s="24" t="s">
        <v>444</v>
      </c>
      <c r="AD742" s="24"/>
      <c r="AE742" s="24"/>
      <c r="AF742" s="2"/>
      <c r="AG742" s="2"/>
      <c r="AH742" s="2" cm="1">
        <f t="array" ref="AH7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2" s="4">
        <f>scheduleapr[[#This Row],[SCHEDULE in nos]]-scheduleapr[[#This Row],[DISPATCH]]</f>
        <v>0</v>
      </c>
      <c r="AJ742" s="1">
        <f>(3.14*(scheduleapr[[#This Row],[ACTUAL OD]]-scheduleapr[[#This Row],[TICKNESS]])*scheduleapr[[#This Row],[TICKNESS]]*scheduleapr[[#This Row],[LENGTH]]*7.85)/1000000*scheduleapr[[#This Row],[SCHEDULE in nos]]/1000</f>
        <v>0</v>
      </c>
      <c r="AK742" s="1">
        <f>(3.14*(scheduleapr[[#This Row],[ACTUAL OD]]-scheduleapr[[#This Row],[TICKNESS]])*scheduleapr[[#This Row],[TICKNESS]]*scheduleapr[[#This Row],[LENGTH]]*7.85)/1000000*scheduleapr[[#This Row],[DISPATCH]]/1000</f>
        <v>0</v>
      </c>
      <c r="AL742" s="1">
        <f t="shared" si="25"/>
        <v>0</v>
      </c>
      <c r="AM742" s="1" t="e">
        <f>scheduleapr[[#This Row],[SCHEDULE in nos]]/scheduleapr[[#This Row],[SCHEDULE IN MT]]*scheduleapr[[#This Row],[CTL Stock]]</f>
        <v>#DIV/0!</v>
      </c>
      <c r="AN742" s="1">
        <f>SUMIFS(stock[MT],stock[Bucket],scheduleapr[[#This Row],[Bucket]],stock[CTL Bucket],scheduleapr[[#This Row],[CTL Bucket]],stock[Plant],"0789")</f>
        <v>0</v>
      </c>
      <c r="AO742" s="1"/>
      <c r="AP742" s="1">
        <f>SUMIFS(stock[MT],stock[Bucket],scheduleapr[[#This Row],[Bucket]],stock[LL or CTL],"LL")</f>
        <v>0</v>
      </c>
      <c r="AQ742" s="1">
        <f>+SUMIFS(wip[Stock(Net Wt)],wip[Bucket],scheduleapr[[#This Row],[Bucket]])/1000</f>
        <v>0</v>
      </c>
      <c r="AR742" s="1">
        <f t="shared" si="24"/>
        <v>0</v>
      </c>
      <c r="AS742" s="118"/>
    </row>
    <row r="743" spans="1:45" x14ac:dyDescent="0.25">
      <c r="A743" s="30">
        <v>605</v>
      </c>
      <c r="B743" s="5" t="s">
        <v>1816</v>
      </c>
      <c r="C743" s="2" t="s">
        <v>302</v>
      </c>
      <c r="D743" s="2" t="s">
        <v>2128</v>
      </c>
      <c r="E743" s="2">
        <v>944141</v>
      </c>
      <c r="F743" s="2">
        <v>3669081</v>
      </c>
      <c r="G743" s="2" t="str">
        <f>_xlfn.CONCAT(scheduleapr[[#This Row],[CUSTOMER CODE]],"-",scheduleapr[[#This Row],[MATERIAL NO]])</f>
        <v>944141-3669081</v>
      </c>
      <c r="H743" s="2" t="s">
        <v>1452</v>
      </c>
      <c r="I743" s="2"/>
      <c r="J743" s="2"/>
      <c r="K743" s="2"/>
      <c r="L743" s="2" t="s">
        <v>239</v>
      </c>
      <c r="M743" s="2"/>
      <c r="N743" s="2"/>
      <c r="O743" s="2"/>
      <c r="P743" s="2"/>
      <c r="Q743" s="557" t="str">
        <f>CONCATENATE(scheduleapr[[#This Row],[OD]],"-",scheduleapr[[#This Row],[ID]],"-",scheduleapr[[#This Row],[TICKNESS]],"-",scheduleapr[[#This Row],[Grade]],"-",scheduleapr[[#This Row],[FC/NFC]])</f>
        <v>22.23-0-1.2--</v>
      </c>
      <c r="R743" s="557" t="str">
        <f>_xlfn.CONCAT(scheduleapr[[#This Row],[Bucket]],"-",scheduleapr[[#This Row],[LENGTH]]/1000)</f>
        <v>22.23-0-1.2---1.3</v>
      </c>
      <c r="S743" s="557" t="e" vm="2">
        <f>COUNTIF([2]!buckets[CTL Bucket],[2]!scheduleapr[[#This Row],[CTL Bucket]])</f>
        <v>#REF!</v>
      </c>
      <c r="T743" s="557"/>
      <c r="U743" s="557"/>
      <c r="V743" s="557"/>
      <c r="W743" s="557"/>
      <c r="X743" s="1">
        <v>22.23</v>
      </c>
      <c r="Y743" s="1">
        <v>22.23</v>
      </c>
      <c r="Z743" s="6">
        <v>0</v>
      </c>
      <c r="AA743" s="1">
        <v>1.2</v>
      </c>
      <c r="AB743" s="24">
        <v>1300</v>
      </c>
      <c r="AC743" s="24"/>
      <c r="AD743" s="24"/>
      <c r="AE743" s="24"/>
      <c r="AF743" s="2"/>
      <c r="AG743" s="2"/>
      <c r="AH743" s="2" t="e" cm="1">
        <f t="array" ref="AH7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43" s="4" t="e">
        <f>scheduleapr[[#This Row],[SCHEDULE in nos]]-scheduleapr[[#This Row],[DISPATCH]]</f>
        <v>#N/A</v>
      </c>
      <c r="AJ743" s="1">
        <f>(3.14*(scheduleapr[[#This Row],[ACTUAL OD]]-scheduleapr[[#This Row],[TICKNESS]])*scheduleapr[[#This Row],[TICKNESS]]*scheduleapr[[#This Row],[LENGTH]]*7.85)/1000000*scheduleapr[[#This Row],[SCHEDULE in nos]]/1000</f>
        <v>0</v>
      </c>
      <c r="AK743" s="1" t="e">
        <f>(3.14*(scheduleapr[[#This Row],[ACTUAL OD]]-scheduleapr[[#This Row],[TICKNESS]])*scheduleapr[[#This Row],[TICKNESS]]*scheduleapr[[#This Row],[LENGTH]]*7.85)/1000000*scheduleapr[[#This Row],[DISPATCH]]/1000</f>
        <v>#N/A</v>
      </c>
      <c r="AL743" s="1" t="e">
        <f t="shared" si="25"/>
        <v>#N/A</v>
      </c>
      <c r="AM743" s="1" t="e">
        <f>scheduleapr[[#This Row],[SCHEDULE in nos]]/scheduleapr[[#This Row],[SCHEDULE IN MT]]*scheduleapr[[#This Row],[CTL Stock]]</f>
        <v>#DIV/0!</v>
      </c>
      <c r="AN743" s="1">
        <f>SUMIFS(stock[MT],stock[Bucket],scheduleapr[[#This Row],[Bucket]],stock[CTL Bucket],scheduleapr[[#This Row],[CTL Bucket]],stock[Plant],"0789")</f>
        <v>0</v>
      </c>
      <c r="AO743" s="1"/>
      <c r="AP743" s="1">
        <f>SUMIFS(stock[MT],stock[Bucket],scheduleapr[[#This Row],[Bucket]],stock[LL or CTL],"LL")</f>
        <v>0</v>
      </c>
      <c r="AQ743" s="1">
        <f>+SUMIFS(wip[Stock(Net Wt)],wip[Bucket],scheduleapr[[#This Row],[Bucket]])/1000</f>
        <v>0</v>
      </c>
      <c r="AR743" s="1">
        <f t="shared" si="24"/>
        <v>0</v>
      </c>
      <c r="AS743" s="118"/>
    </row>
    <row r="744" spans="1:45" x14ac:dyDescent="0.25">
      <c r="A744" s="125">
        <v>618</v>
      </c>
      <c r="B744" s="5" t="s">
        <v>1816</v>
      </c>
      <c r="C744" s="2" t="s">
        <v>302</v>
      </c>
      <c r="D744" s="2" t="s">
        <v>2128</v>
      </c>
      <c r="E744" s="2">
        <v>944141</v>
      </c>
      <c r="F744" s="2">
        <v>3673948</v>
      </c>
      <c r="G744" s="2" t="str">
        <f>_xlfn.CONCAT(scheduleapr[[#This Row],[CUSTOMER CODE]],"-",scheduleapr[[#This Row],[MATERIAL NO]])</f>
        <v>944141-3673948</v>
      </c>
      <c r="H744" s="2" t="s">
        <v>2153</v>
      </c>
      <c r="I744" s="2"/>
      <c r="J744" s="2"/>
      <c r="K744" s="2" t="s">
        <v>963</v>
      </c>
      <c r="L744" s="2" t="s">
        <v>239</v>
      </c>
      <c r="M744" s="2"/>
      <c r="N744" s="2"/>
      <c r="O744" s="2"/>
      <c r="P744" s="2"/>
      <c r="Q744" s="557" t="str">
        <f>CONCATENATE(scheduleapr[[#This Row],[OD]],"-",scheduleapr[[#This Row],[ID]],"-",scheduleapr[[#This Row],[TICKNESS]],"-",scheduleapr[[#This Row],[Grade]],"-",scheduleapr[[#This Row],[FC/NFC]])</f>
        <v>22.23-0-2.3--PE</v>
      </c>
      <c r="R744" s="557" t="str">
        <f>_xlfn.CONCAT(scheduleapr[[#This Row],[Bucket]],"-",scheduleapr[[#This Row],[LENGTH]]/1000)</f>
        <v>22.23-0-2.3--PE-0.245</v>
      </c>
      <c r="S744" s="557" t="e" vm="2">
        <f>COUNTIF([2]!buckets[CTL Bucket],[2]!scheduleapr[[#This Row],[CTL Bucket]])</f>
        <v>#REF!</v>
      </c>
      <c r="T744" s="557"/>
      <c r="U744" s="557"/>
      <c r="V744" s="557"/>
      <c r="W744" s="557"/>
      <c r="X744" s="1">
        <v>22.23</v>
      </c>
      <c r="Y744" s="1">
        <v>22.23</v>
      </c>
      <c r="Z744" s="6">
        <v>0</v>
      </c>
      <c r="AA744" s="1">
        <v>2.2999999999999998</v>
      </c>
      <c r="AB744" s="24">
        <v>245</v>
      </c>
      <c r="AC744" s="24"/>
      <c r="AD744" s="24"/>
      <c r="AE744" s="24"/>
      <c r="AF744" s="2"/>
      <c r="AG744" s="2"/>
      <c r="AH744" s="2" t="e" cm="1">
        <f t="array" ref="AH7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44" s="4" t="e">
        <f>scheduleapr[[#This Row],[SCHEDULE in nos]]-scheduleapr[[#This Row],[DISPATCH]]</f>
        <v>#N/A</v>
      </c>
      <c r="AJ744" s="1">
        <f>(3.14*(scheduleapr[[#This Row],[ACTUAL OD]]-scheduleapr[[#This Row],[TICKNESS]])*scheduleapr[[#This Row],[TICKNESS]]*scheduleapr[[#This Row],[LENGTH]]*7.85)/1000000*scheduleapr[[#This Row],[SCHEDULE in nos]]/1000</f>
        <v>0</v>
      </c>
      <c r="AK744" s="1" t="e">
        <f>(3.14*(scheduleapr[[#This Row],[ACTUAL OD]]-scheduleapr[[#This Row],[TICKNESS]])*scheduleapr[[#This Row],[TICKNESS]]*scheduleapr[[#This Row],[LENGTH]]*7.85)/1000000*scheduleapr[[#This Row],[DISPATCH]]/1000</f>
        <v>#N/A</v>
      </c>
      <c r="AL744" s="1" t="e">
        <f t="shared" si="25"/>
        <v>#N/A</v>
      </c>
      <c r="AM744" s="1" t="e">
        <f>scheduleapr[[#This Row],[SCHEDULE in nos]]/scheduleapr[[#This Row],[SCHEDULE IN MT]]*scheduleapr[[#This Row],[CTL Stock]]</f>
        <v>#DIV/0!</v>
      </c>
      <c r="AN744" s="1">
        <f>SUMIFS(stock[MT],stock[Bucket],scheduleapr[[#This Row],[Bucket]],stock[CTL Bucket],scheduleapr[[#This Row],[CTL Bucket]],stock[Plant],"0789")</f>
        <v>0</v>
      </c>
      <c r="AO744" s="1"/>
      <c r="AP744" s="1">
        <f>SUMIFS(stock[MT],stock[Bucket],scheduleapr[[#This Row],[Bucket]],stock[LL or CTL],"LL")</f>
        <v>0</v>
      </c>
      <c r="AQ744" s="1">
        <f>+SUMIFS(wip[Stock(Net Wt)],wip[Bucket],scheduleapr[[#This Row],[Bucket]])/1000</f>
        <v>0</v>
      </c>
      <c r="AR744" s="1">
        <f t="shared" si="24"/>
        <v>0</v>
      </c>
      <c r="AS744" s="118"/>
    </row>
    <row r="745" spans="1:45" x14ac:dyDescent="0.25">
      <c r="A745" s="125">
        <v>624</v>
      </c>
      <c r="B745" s="126" t="s">
        <v>1816</v>
      </c>
      <c r="C745" s="100" t="s">
        <v>150</v>
      </c>
      <c r="D745" s="100" t="s">
        <v>2154</v>
      </c>
      <c r="E745" s="423">
        <v>187268</v>
      </c>
      <c r="F745" s="100">
        <v>1941860</v>
      </c>
      <c r="G745" s="100" t="str">
        <f>_xlfn.CONCAT(scheduleapr[[#This Row],[CUSTOMER CODE]],"-",scheduleapr[[#This Row],[MATERIAL NO]])</f>
        <v>187268-1941860</v>
      </c>
      <c r="H745" s="100" t="s">
        <v>1678</v>
      </c>
      <c r="I745" s="100" t="s">
        <v>962</v>
      </c>
      <c r="J745" s="100"/>
      <c r="K745" s="100" t="s">
        <v>1003</v>
      </c>
      <c r="L745" s="100" t="s">
        <v>1867</v>
      </c>
      <c r="M745" s="128" t="s">
        <v>1891</v>
      </c>
      <c r="N745" s="100"/>
      <c r="O745" s="100"/>
      <c r="P745" s="100"/>
      <c r="Q745" s="565" t="str">
        <f>CONCATENATE(scheduleapr[[#This Row],[OD]],"-",scheduleapr[[#This Row],[ID]],"-",scheduleapr[[#This Row],[TICKNESS]],"-",scheduleapr[[#This Row],[Grade]],"-",scheduleapr[[#This Row],[FC/NFC]])</f>
        <v>40-30-1.6-ERW 1-FC</v>
      </c>
      <c r="R745" s="565" t="str">
        <f>_xlfn.CONCAT(scheduleapr[[#This Row],[Bucket]],"-",scheduleapr[[#This Row],[LENGTH]]/1000)</f>
        <v>40-30-1.6-ERW 1-FC-0.4</v>
      </c>
      <c r="S745" s="565">
        <f>COUNTIF(scheduleapr[CTL Bucket],scheduleapr[[#This Row],[CTL Bucket]])</f>
        <v>1</v>
      </c>
      <c r="T745" s="565"/>
      <c r="U745" s="100">
        <f>_xlfn.IFNA(VLOOKUP(scheduleapr[[#This Row],[Bucket]],salesforecast[[#All],[Bucket2]:[8406 Stock]],19,0),0)</f>
        <v>0.95786300000000013</v>
      </c>
      <c r="V745" s="577">
        <f>_xlfn.IFNA(VLOOKUP(scheduleapr[[#This Row],[Bucket]],salesforecast[[#All],[Bucket2]:[8406 Stock]],20,0),0)+_xlfn.IFNA(VLOOKUP(scheduleapr[[#This Row],[Bucket]],salesforecast[[#All],[Bucket2]:[8406 Stock]],17,0),0)</f>
        <v>0</v>
      </c>
      <c r="W745" s="565"/>
      <c r="X745" s="129">
        <v>44.45</v>
      </c>
      <c r="Y745" s="129">
        <v>40</v>
      </c>
      <c r="Z745" s="129">
        <v>30</v>
      </c>
      <c r="AA745" s="129">
        <v>1.6</v>
      </c>
      <c r="AB745" s="181">
        <v>400</v>
      </c>
      <c r="AC745" s="181" t="s">
        <v>397</v>
      </c>
      <c r="AD745" s="181"/>
      <c r="AE745" s="181"/>
      <c r="AF745" s="100"/>
      <c r="AG745" s="100"/>
      <c r="AH745" s="100" cm="1">
        <f t="array" ref="AH7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5" s="131">
        <f>scheduleapr[[#This Row],[SCHEDULE in nos]]-scheduleapr[[#This Row],[DISPATCH]]</f>
        <v>0</v>
      </c>
      <c r="AJ745" s="129">
        <f>(3.14*(scheduleapr[[#This Row],[ACTUAL OD]]-scheduleapr[[#This Row],[TICKNESS]])*scheduleapr[[#This Row],[TICKNESS]]*scheduleapr[[#This Row],[LENGTH]]*7.85)/1000000*scheduleapr[[#This Row],[SCHEDULE in nos]]/1000</f>
        <v>0</v>
      </c>
      <c r="AK745" s="129">
        <f>(3.14*(scheduleapr[[#This Row],[ACTUAL OD]]-scheduleapr[[#This Row],[TICKNESS]])*scheduleapr[[#This Row],[TICKNESS]]*scheduleapr[[#This Row],[LENGTH]]*7.85)/1000000*scheduleapr[[#This Row],[DISPATCH]]/1000</f>
        <v>0</v>
      </c>
      <c r="AL745" s="129">
        <f t="shared" si="25"/>
        <v>0</v>
      </c>
      <c r="AM745" s="129" t="e">
        <f>scheduleapr[[#This Row],[SCHEDULE in nos]]/scheduleapr[[#This Row],[SCHEDULE IN MT]]*scheduleapr[[#This Row],[CTL Stock]]</f>
        <v>#DIV/0!</v>
      </c>
      <c r="AN745" s="129">
        <f>SUMIFS(stock[MT],stock[Bucket],scheduleapr[[#This Row],[Bucket]],stock[CTL Bucket],scheduleapr[[#This Row],[CTL Bucket]],stock[Plant],"0789")</f>
        <v>4.4930000000000005E-3</v>
      </c>
      <c r="AO745" s="129"/>
      <c r="AP745" s="129">
        <f>SUMIFS(stock[MT],stock[Bucket],scheduleapr[[#This Row],[Bucket]],stock[LL or CTL],"LL")</f>
        <v>0.95786300000000002</v>
      </c>
      <c r="AQ745" s="129">
        <f>+SUMIFS(wip[Stock(Net Wt)],wip[Bucket],scheduleapr[[#This Row],[Bucket]])/1000</f>
        <v>0</v>
      </c>
      <c r="AR745" s="129">
        <f t="shared" si="24"/>
        <v>-4.4930000000000005E-3</v>
      </c>
      <c r="AS745" s="132"/>
    </row>
    <row r="746" spans="1:45" x14ac:dyDescent="0.25">
      <c r="A746" s="528"/>
    </row>
    <row r="747" spans="1:45" x14ac:dyDescent="0.25">
      <c r="A747" s="528"/>
    </row>
    <row r="748" spans="1:45" x14ac:dyDescent="0.25">
      <c r="A748" s="528"/>
    </row>
    <row r="749" spans="1:45" x14ac:dyDescent="0.25">
      <c r="A749" s="528"/>
    </row>
    <row r="750" spans="1:45" x14ac:dyDescent="0.25">
      <c r="A750" s="528"/>
    </row>
    <row r="751" spans="1:45" x14ac:dyDescent="0.25">
      <c r="A751" s="528"/>
    </row>
    <row r="752" spans="1:45" x14ac:dyDescent="0.25">
      <c r="A752" s="528"/>
    </row>
    <row r="753" spans="1:1" x14ac:dyDescent="0.25">
      <c r="A753" s="528"/>
    </row>
    <row r="754" spans="1:1" x14ac:dyDescent="0.25">
      <c r="A754" s="528"/>
    </row>
    <row r="755" spans="1:1" x14ac:dyDescent="0.25">
      <c r="A755" s="528"/>
    </row>
    <row r="756" spans="1:1" x14ac:dyDescent="0.25">
      <c r="A756" s="528"/>
    </row>
    <row r="757" spans="1:1" x14ac:dyDescent="0.25">
      <c r="A757" s="528"/>
    </row>
    <row r="758" spans="1:1" x14ac:dyDescent="0.25">
      <c r="A758" s="528"/>
    </row>
    <row r="759" spans="1:1" x14ac:dyDescent="0.25">
      <c r="A759" s="528"/>
    </row>
    <row r="760" spans="1:1" x14ac:dyDescent="0.25">
      <c r="A760" s="528"/>
    </row>
    <row r="761" spans="1:1" x14ac:dyDescent="0.25">
      <c r="A761" s="528"/>
    </row>
    <row r="762" spans="1:1" x14ac:dyDescent="0.25">
      <c r="A762" s="528"/>
    </row>
    <row r="763" spans="1:1" x14ac:dyDescent="0.25">
      <c r="A763" s="528"/>
    </row>
    <row r="764" spans="1:1" x14ac:dyDescent="0.25">
      <c r="A764" s="528"/>
    </row>
    <row r="765" spans="1:1" x14ac:dyDescent="0.25">
      <c r="A765" s="528"/>
    </row>
    <row r="766" spans="1:1" x14ac:dyDescent="0.25">
      <c r="A766" s="528"/>
    </row>
    <row r="767" spans="1:1" x14ac:dyDescent="0.25">
      <c r="A767" s="528"/>
    </row>
    <row r="768" spans="1:1" x14ac:dyDescent="0.25">
      <c r="A768" s="528"/>
    </row>
    <row r="769" spans="1:1" x14ac:dyDescent="0.25">
      <c r="A769" s="528"/>
    </row>
    <row r="770" spans="1:1" x14ac:dyDescent="0.25">
      <c r="A770" s="528"/>
    </row>
    <row r="771" spans="1:1" x14ac:dyDescent="0.25">
      <c r="A771" s="528"/>
    </row>
    <row r="772" spans="1:1" x14ac:dyDescent="0.25">
      <c r="A772" s="528"/>
    </row>
    <row r="773" spans="1:1" x14ac:dyDescent="0.25">
      <c r="A773" s="528"/>
    </row>
    <row r="774" spans="1:1" x14ac:dyDescent="0.25">
      <c r="A774" s="528"/>
    </row>
    <row r="775" spans="1:1" x14ac:dyDescent="0.25">
      <c r="A775" s="528"/>
    </row>
    <row r="776" spans="1:1" x14ac:dyDescent="0.25">
      <c r="A776" s="528"/>
    </row>
    <row r="777" spans="1:1" x14ac:dyDescent="0.25">
      <c r="A777" s="528"/>
    </row>
    <row r="778" spans="1:1" x14ac:dyDescent="0.25">
      <c r="A778" s="528"/>
    </row>
    <row r="779" spans="1:1" x14ac:dyDescent="0.25">
      <c r="A779" s="528"/>
    </row>
    <row r="780" spans="1:1" x14ac:dyDescent="0.25">
      <c r="A780" s="528"/>
    </row>
    <row r="781" spans="1:1" x14ac:dyDescent="0.25">
      <c r="A781" s="528"/>
    </row>
    <row r="782" spans="1:1" x14ac:dyDescent="0.25">
      <c r="A782" s="528"/>
    </row>
    <row r="783" spans="1:1" x14ac:dyDescent="0.25">
      <c r="A783" s="528"/>
    </row>
    <row r="784" spans="1:1" x14ac:dyDescent="0.25">
      <c r="A784" s="528"/>
    </row>
    <row r="785" spans="1:1" x14ac:dyDescent="0.25">
      <c r="A785" s="528"/>
    </row>
    <row r="786" spans="1:1" x14ac:dyDescent="0.25">
      <c r="A786" s="528"/>
    </row>
    <row r="787" spans="1:1" x14ac:dyDescent="0.25">
      <c r="A787" s="528"/>
    </row>
    <row r="788" spans="1:1" x14ac:dyDescent="0.25">
      <c r="A788" s="528"/>
    </row>
    <row r="789" spans="1:1" x14ac:dyDescent="0.25">
      <c r="A789" s="528"/>
    </row>
    <row r="790" spans="1:1" x14ac:dyDescent="0.25">
      <c r="A790" s="528"/>
    </row>
    <row r="791" spans="1:1" x14ac:dyDescent="0.25">
      <c r="A791" s="528"/>
    </row>
    <row r="792" spans="1:1" x14ac:dyDescent="0.25">
      <c r="A792" s="528"/>
    </row>
    <row r="793" spans="1:1" x14ac:dyDescent="0.25">
      <c r="A793" s="528"/>
    </row>
    <row r="794" spans="1:1" x14ac:dyDescent="0.25">
      <c r="A794" s="528"/>
    </row>
    <row r="795" spans="1:1" x14ac:dyDescent="0.25">
      <c r="A795" s="528"/>
    </row>
    <row r="796" spans="1:1" x14ac:dyDescent="0.25">
      <c r="A796" s="528"/>
    </row>
    <row r="797" spans="1:1" x14ac:dyDescent="0.25">
      <c r="A797" s="528"/>
    </row>
    <row r="798" spans="1:1" x14ac:dyDescent="0.25">
      <c r="A798" s="528"/>
    </row>
    <row r="799" spans="1:1" x14ac:dyDescent="0.25">
      <c r="A799" s="528"/>
    </row>
    <row r="800" spans="1:1" x14ac:dyDescent="0.25">
      <c r="A800" s="528"/>
    </row>
    <row r="801" spans="1:1" x14ac:dyDescent="0.25">
      <c r="A801" s="528"/>
    </row>
    <row r="802" spans="1:1" x14ac:dyDescent="0.25">
      <c r="A802" s="528"/>
    </row>
    <row r="803" spans="1:1" x14ac:dyDescent="0.25">
      <c r="A803" s="528"/>
    </row>
    <row r="804" spans="1:1" x14ac:dyDescent="0.25">
      <c r="A804" s="528"/>
    </row>
    <row r="805" spans="1:1" x14ac:dyDescent="0.25">
      <c r="A805" s="528"/>
    </row>
    <row r="806" spans="1:1" x14ac:dyDescent="0.25">
      <c r="A806" s="528"/>
    </row>
    <row r="807" spans="1:1" x14ac:dyDescent="0.25">
      <c r="A807" s="528"/>
    </row>
    <row r="808" spans="1:1" x14ac:dyDescent="0.25">
      <c r="A808" s="528"/>
    </row>
    <row r="809" spans="1:1" x14ac:dyDescent="0.25">
      <c r="A809" s="528"/>
    </row>
    <row r="810" spans="1:1" x14ac:dyDescent="0.25">
      <c r="A810" s="528"/>
    </row>
    <row r="811" spans="1:1" x14ac:dyDescent="0.25">
      <c r="A811" s="528"/>
    </row>
    <row r="812" spans="1:1" x14ac:dyDescent="0.25">
      <c r="A812" s="528"/>
    </row>
    <row r="813" spans="1:1" x14ac:dyDescent="0.25">
      <c r="A813" s="528"/>
    </row>
    <row r="814" spans="1:1" x14ac:dyDescent="0.25">
      <c r="A814" s="528"/>
    </row>
    <row r="815" spans="1:1" x14ac:dyDescent="0.25">
      <c r="A815" s="528"/>
    </row>
    <row r="816" spans="1:1" x14ac:dyDescent="0.25">
      <c r="A816" s="528"/>
    </row>
    <row r="817" spans="1:1" x14ac:dyDescent="0.25">
      <c r="A817" s="528"/>
    </row>
    <row r="818" spans="1:1" x14ac:dyDescent="0.25">
      <c r="A818" s="528"/>
    </row>
    <row r="819" spans="1:1" x14ac:dyDescent="0.25">
      <c r="A819" s="528"/>
    </row>
    <row r="820" spans="1:1" x14ac:dyDescent="0.25">
      <c r="A820" s="528"/>
    </row>
    <row r="821" spans="1:1" x14ac:dyDescent="0.25">
      <c r="A821" s="528"/>
    </row>
    <row r="822" spans="1:1" x14ac:dyDescent="0.25">
      <c r="A822" s="528"/>
    </row>
    <row r="823" spans="1:1" x14ac:dyDescent="0.25">
      <c r="A823" s="528"/>
    </row>
    <row r="824" spans="1:1" x14ac:dyDescent="0.25">
      <c r="A824" s="528"/>
    </row>
    <row r="825" spans="1:1" x14ac:dyDescent="0.25">
      <c r="A825" s="528"/>
    </row>
  </sheetData>
  <phoneticPr fontId="13" type="noConversion"/>
  <conditionalFormatting sqref="D265 D275 D388 D390 D396 D415 D441 D445 D454 D456:D458 D460 D492 D494 D509 D512 D523 D527 D529:D530 D537 D541 D563 D631 D633 D641 D690 D698">
    <cfRule type="duplicateValues" dxfId="74" priority="1"/>
  </conditionalFormatting>
  <pageMargins left="0.7" right="0.7" top="0.75" bottom="0.75" header="0.3" footer="0.3"/>
  <pageSetup paperSize="9" scale="2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536DA-9A01-4F20-A04E-709704A0D2BD}">
  <dimension ref="A1:M71"/>
  <sheetViews>
    <sheetView topLeftCell="A12" workbookViewId="0">
      <selection activeCell="A5" sqref="A5"/>
    </sheetView>
  </sheetViews>
  <sheetFormatPr defaultRowHeight="15" x14ac:dyDescent="0.25"/>
  <cols>
    <col min="12" max="12" width="19.85546875" bestFit="1" customWidth="1"/>
  </cols>
  <sheetData>
    <row r="1" spans="1:13" ht="45" x14ac:dyDescent="0.25">
      <c r="A1" s="551" t="s">
        <v>258</v>
      </c>
      <c r="B1" s="551" t="s">
        <v>199</v>
      </c>
      <c r="C1" s="101" t="s">
        <v>937</v>
      </c>
      <c r="D1" s="101" t="s">
        <v>316</v>
      </c>
      <c r="E1" s="101" t="s">
        <v>317</v>
      </c>
      <c r="F1" s="101" t="s">
        <v>938</v>
      </c>
      <c r="G1" s="101" t="s">
        <v>319</v>
      </c>
      <c r="H1" s="101" t="s">
        <v>939</v>
      </c>
      <c r="I1" s="102" t="s">
        <v>1856</v>
      </c>
      <c r="J1" s="203" t="s">
        <v>940</v>
      </c>
      <c r="K1" s="191" t="s">
        <v>941</v>
      </c>
      <c r="L1" s="551" t="s">
        <v>261</v>
      </c>
      <c r="M1" s="551" t="s">
        <v>1853</v>
      </c>
    </row>
    <row r="2" spans="1:13" x14ac:dyDescent="0.25">
      <c r="A2" s="2" t="s">
        <v>2155</v>
      </c>
      <c r="B2" s="2" t="s">
        <v>962</v>
      </c>
      <c r="C2" s="1">
        <v>17.3</v>
      </c>
      <c r="D2" s="1">
        <v>17.3</v>
      </c>
      <c r="E2" s="1">
        <v>0</v>
      </c>
      <c r="F2" s="1">
        <v>1.2</v>
      </c>
      <c r="G2" s="24">
        <v>150</v>
      </c>
      <c r="H2" s="24" t="s">
        <v>397</v>
      </c>
      <c r="I2" s="2">
        <v>15000</v>
      </c>
      <c r="J2" s="2">
        <v>2000</v>
      </c>
      <c r="K2" s="4">
        <v>13000</v>
      </c>
      <c r="L2" s="557" t="s">
        <v>557</v>
      </c>
      <c r="M2" s="562">
        <v>0.84</v>
      </c>
    </row>
    <row r="3" spans="1:13" x14ac:dyDescent="0.25">
      <c r="A3" s="2" t="s">
        <v>948</v>
      </c>
      <c r="B3" s="2" t="s">
        <v>962</v>
      </c>
      <c r="C3" s="1">
        <v>41.28</v>
      </c>
      <c r="D3" s="1">
        <v>40</v>
      </c>
      <c r="E3" s="1">
        <v>25</v>
      </c>
      <c r="F3" s="1">
        <v>1.6</v>
      </c>
      <c r="G3" s="24">
        <v>536</v>
      </c>
      <c r="H3" s="24" t="s">
        <v>397</v>
      </c>
      <c r="I3" s="2">
        <v>40000</v>
      </c>
      <c r="J3" s="2">
        <v>10738</v>
      </c>
      <c r="K3" s="4">
        <v>29262</v>
      </c>
      <c r="L3" s="557" t="s">
        <v>428</v>
      </c>
      <c r="M3" s="562">
        <v>2.2633900000000002</v>
      </c>
    </row>
    <row r="4" spans="1:13" x14ac:dyDescent="0.25">
      <c r="A4" s="2" t="s">
        <v>948</v>
      </c>
      <c r="B4" s="2" t="s">
        <v>962</v>
      </c>
      <c r="C4" s="1">
        <v>44.45</v>
      </c>
      <c r="D4" s="1">
        <v>40</v>
      </c>
      <c r="E4" s="1">
        <v>30</v>
      </c>
      <c r="F4" s="1">
        <v>2</v>
      </c>
      <c r="G4" s="24">
        <v>149</v>
      </c>
      <c r="H4" s="24" t="s">
        <v>397</v>
      </c>
      <c r="I4" s="2">
        <v>35000</v>
      </c>
      <c r="J4" s="2">
        <v>0</v>
      </c>
      <c r="K4" s="4">
        <v>35000</v>
      </c>
      <c r="L4" s="557" t="s">
        <v>578</v>
      </c>
      <c r="M4" s="562">
        <v>7.7850000000000001</v>
      </c>
    </row>
    <row r="5" spans="1:13" x14ac:dyDescent="0.25">
      <c r="A5" s="2" t="s">
        <v>948</v>
      </c>
      <c r="B5" s="2" t="s">
        <v>962</v>
      </c>
      <c r="C5" s="559">
        <v>44.45</v>
      </c>
      <c r="D5" s="559">
        <v>40</v>
      </c>
      <c r="E5" s="559">
        <v>30</v>
      </c>
      <c r="F5" s="1">
        <v>2</v>
      </c>
      <c r="G5" s="24">
        <v>149</v>
      </c>
      <c r="H5" s="24" t="s">
        <v>397</v>
      </c>
      <c r="I5" s="557">
        <v>23700</v>
      </c>
      <c r="J5" s="2">
        <v>0</v>
      </c>
      <c r="K5" s="4">
        <v>23700</v>
      </c>
      <c r="L5" s="557" t="s">
        <v>578</v>
      </c>
      <c r="M5" s="562">
        <v>7.7850000000000001</v>
      </c>
    </row>
    <row r="6" spans="1:13" x14ac:dyDescent="0.25">
      <c r="A6" s="2" t="s">
        <v>955</v>
      </c>
      <c r="B6" s="2" t="s">
        <v>962</v>
      </c>
      <c r="C6" s="1">
        <v>44.45</v>
      </c>
      <c r="D6" s="1">
        <v>40</v>
      </c>
      <c r="E6" s="6">
        <v>30</v>
      </c>
      <c r="F6" s="1">
        <v>2</v>
      </c>
      <c r="G6" s="81">
        <v>870</v>
      </c>
      <c r="H6" s="24" t="s">
        <v>397</v>
      </c>
      <c r="I6" s="2">
        <v>7000</v>
      </c>
      <c r="J6" s="2">
        <v>0</v>
      </c>
      <c r="K6" s="4">
        <v>7000</v>
      </c>
      <c r="L6" s="557" t="s">
        <v>578</v>
      </c>
      <c r="M6" s="562">
        <v>7.7850000000000001</v>
      </c>
    </row>
    <row r="7" spans="1:13" x14ac:dyDescent="0.25">
      <c r="A7" s="2" t="s">
        <v>955</v>
      </c>
      <c r="B7" s="2" t="s">
        <v>962</v>
      </c>
      <c r="C7" s="1">
        <v>44.45</v>
      </c>
      <c r="D7" s="1">
        <v>40</v>
      </c>
      <c r="E7" s="6">
        <v>30</v>
      </c>
      <c r="F7" s="1">
        <v>2</v>
      </c>
      <c r="G7" s="81">
        <v>870</v>
      </c>
      <c r="H7" s="24" t="s">
        <v>397</v>
      </c>
      <c r="I7" s="2">
        <v>10000</v>
      </c>
      <c r="J7" s="2">
        <v>2229</v>
      </c>
      <c r="K7" s="4">
        <v>7771</v>
      </c>
      <c r="L7" s="557" t="s">
        <v>578</v>
      </c>
      <c r="M7" s="562">
        <v>7.7850000000000001</v>
      </c>
    </row>
    <row r="8" spans="1:13" x14ac:dyDescent="0.25">
      <c r="A8" s="2" t="s">
        <v>936</v>
      </c>
      <c r="B8" s="2" t="s">
        <v>962</v>
      </c>
      <c r="C8" s="1">
        <v>22.23</v>
      </c>
      <c r="D8" s="1">
        <v>22.23</v>
      </c>
      <c r="E8" s="1">
        <v>0</v>
      </c>
      <c r="F8" s="1">
        <v>2</v>
      </c>
      <c r="G8" s="24">
        <v>855</v>
      </c>
      <c r="H8" s="24" t="s">
        <v>397</v>
      </c>
      <c r="I8" s="2">
        <v>30330</v>
      </c>
      <c r="J8" s="2">
        <v>0</v>
      </c>
      <c r="K8" s="4">
        <v>30330</v>
      </c>
      <c r="L8" s="557" t="s">
        <v>562</v>
      </c>
      <c r="M8" s="562">
        <v>4.7168520000000003</v>
      </c>
    </row>
    <row r="9" spans="1:13" x14ac:dyDescent="0.25">
      <c r="A9" s="2" t="s">
        <v>936</v>
      </c>
      <c r="B9" s="2" t="s">
        <v>962</v>
      </c>
      <c r="C9" s="1">
        <v>22.23</v>
      </c>
      <c r="D9" s="1">
        <v>22.23</v>
      </c>
      <c r="E9" s="1">
        <v>0</v>
      </c>
      <c r="F9" s="1">
        <v>2</v>
      </c>
      <c r="G9" s="24">
        <v>863</v>
      </c>
      <c r="H9" s="24" t="s">
        <v>397</v>
      </c>
      <c r="I9" s="2">
        <v>14944</v>
      </c>
      <c r="J9" s="2">
        <v>0</v>
      </c>
      <c r="K9" s="4">
        <v>14944</v>
      </c>
      <c r="L9" s="557" t="s">
        <v>562</v>
      </c>
      <c r="M9" s="562">
        <v>4.7168520000000003</v>
      </c>
    </row>
    <row r="10" spans="1:13" x14ac:dyDescent="0.25">
      <c r="A10" s="2" t="s">
        <v>957</v>
      </c>
      <c r="B10" s="2" t="s">
        <v>962</v>
      </c>
      <c r="C10" s="1">
        <v>22.23</v>
      </c>
      <c r="D10" s="1">
        <v>22.23</v>
      </c>
      <c r="E10" s="1">
        <v>0</v>
      </c>
      <c r="F10" s="1">
        <v>1.6</v>
      </c>
      <c r="G10" s="24">
        <v>274</v>
      </c>
      <c r="H10" s="24" t="s">
        <v>397</v>
      </c>
      <c r="I10" s="2">
        <v>8000</v>
      </c>
      <c r="J10" s="2">
        <v>7500</v>
      </c>
      <c r="K10" s="4">
        <v>500</v>
      </c>
      <c r="L10" s="557" t="s">
        <v>412</v>
      </c>
      <c r="M10" s="562">
        <v>7.9164499999999993</v>
      </c>
    </row>
    <row r="11" spans="1:13" x14ac:dyDescent="0.25">
      <c r="A11" s="2" t="s">
        <v>960</v>
      </c>
      <c r="B11" s="2" t="s">
        <v>962</v>
      </c>
      <c r="C11" s="1">
        <v>22.23</v>
      </c>
      <c r="D11" s="1">
        <v>22.23</v>
      </c>
      <c r="E11" s="6">
        <v>0</v>
      </c>
      <c r="F11" s="1">
        <v>1.6</v>
      </c>
      <c r="G11" s="24">
        <v>283</v>
      </c>
      <c r="H11" s="24" t="s">
        <v>397</v>
      </c>
      <c r="I11" s="2">
        <v>1000</v>
      </c>
      <c r="J11" s="2">
        <v>0</v>
      </c>
      <c r="K11" s="4">
        <v>1000</v>
      </c>
      <c r="L11" s="557" t="s">
        <v>412</v>
      </c>
      <c r="M11" s="562">
        <v>7.9164499999999993</v>
      </c>
    </row>
    <row r="12" spans="1:13" x14ac:dyDescent="0.25">
      <c r="A12" s="2" t="s">
        <v>954</v>
      </c>
      <c r="B12" s="2" t="s">
        <v>962</v>
      </c>
      <c r="C12" s="1">
        <v>22.23</v>
      </c>
      <c r="D12" s="1">
        <v>22.23</v>
      </c>
      <c r="E12" s="1">
        <v>0</v>
      </c>
      <c r="F12" s="1">
        <v>1.6</v>
      </c>
      <c r="G12" s="24">
        <v>285</v>
      </c>
      <c r="H12" s="24" t="s">
        <v>397</v>
      </c>
      <c r="I12" s="2">
        <v>30000</v>
      </c>
      <c r="J12" s="2">
        <v>0</v>
      </c>
      <c r="K12" s="4">
        <v>30000</v>
      </c>
      <c r="L12" s="557" t="s">
        <v>412</v>
      </c>
      <c r="M12" s="562">
        <v>7.9164499999999993</v>
      </c>
    </row>
    <row r="13" spans="1:13" x14ac:dyDescent="0.25">
      <c r="A13" s="2" t="s">
        <v>310</v>
      </c>
      <c r="B13" s="2" t="s">
        <v>962</v>
      </c>
      <c r="C13" s="1">
        <v>22.23</v>
      </c>
      <c r="D13" s="1">
        <v>22.23</v>
      </c>
      <c r="E13" s="6">
        <v>0</v>
      </c>
      <c r="F13" s="1">
        <v>1.6</v>
      </c>
      <c r="G13" s="24">
        <v>394</v>
      </c>
      <c r="H13" s="24" t="s">
        <v>397</v>
      </c>
      <c r="I13" s="2">
        <v>15000</v>
      </c>
      <c r="J13" s="2">
        <v>0</v>
      </c>
      <c r="K13" s="4">
        <v>15000</v>
      </c>
      <c r="L13" s="557" t="s">
        <v>412</v>
      </c>
      <c r="M13" s="562">
        <v>7.9164499999999993</v>
      </c>
    </row>
    <row r="14" spans="1:13" x14ac:dyDescent="0.25">
      <c r="A14" s="2" t="s">
        <v>310</v>
      </c>
      <c r="B14" s="2" t="s">
        <v>962</v>
      </c>
      <c r="C14" s="559">
        <v>22.23</v>
      </c>
      <c r="D14" s="559">
        <v>22.23</v>
      </c>
      <c r="E14" s="559">
        <v>0</v>
      </c>
      <c r="F14" s="1">
        <v>1.6</v>
      </c>
      <c r="G14" s="24">
        <v>394</v>
      </c>
      <c r="H14" s="24" t="s">
        <v>397</v>
      </c>
      <c r="I14" s="557">
        <v>15000</v>
      </c>
      <c r="J14" s="2">
        <v>2720</v>
      </c>
      <c r="K14" s="4">
        <v>12280</v>
      </c>
      <c r="L14" s="557" t="s">
        <v>412</v>
      </c>
      <c r="M14" s="562">
        <v>7.9164499999999993</v>
      </c>
    </row>
    <row r="15" spans="1:13" x14ac:dyDescent="0.25">
      <c r="A15" s="2" t="s">
        <v>936</v>
      </c>
      <c r="B15" s="2" t="s">
        <v>962</v>
      </c>
      <c r="C15" s="1">
        <v>41.28</v>
      </c>
      <c r="D15" s="1">
        <v>40</v>
      </c>
      <c r="E15" s="1">
        <v>25</v>
      </c>
      <c r="F15" s="1">
        <v>1.6</v>
      </c>
      <c r="G15" s="24">
        <v>561</v>
      </c>
      <c r="H15" s="24" t="s">
        <v>397</v>
      </c>
      <c r="I15" s="2">
        <v>27300</v>
      </c>
      <c r="J15" s="2">
        <v>0</v>
      </c>
      <c r="K15" s="4">
        <v>27300</v>
      </c>
      <c r="L15" s="557" t="s">
        <v>428</v>
      </c>
      <c r="M15" s="562">
        <v>2.2633900000000002</v>
      </c>
    </row>
    <row r="16" spans="1:13" x14ac:dyDescent="0.25">
      <c r="A16" s="2" t="s">
        <v>310</v>
      </c>
      <c r="B16" s="2" t="s">
        <v>962</v>
      </c>
      <c r="C16" s="1">
        <v>22.23</v>
      </c>
      <c r="D16" s="1">
        <v>22.23</v>
      </c>
      <c r="E16" s="6">
        <v>0</v>
      </c>
      <c r="F16" s="1">
        <v>1.6</v>
      </c>
      <c r="G16" s="24">
        <v>670</v>
      </c>
      <c r="H16" s="24" t="s">
        <v>397</v>
      </c>
      <c r="I16" s="2">
        <v>18000</v>
      </c>
      <c r="J16" s="2">
        <v>0</v>
      </c>
      <c r="K16" s="4">
        <v>18000</v>
      </c>
      <c r="L16" s="557" t="s">
        <v>412</v>
      </c>
      <c r="M16" s="562">
        <v>7.9164499999999993</v>
      </c>
    </row>
    <row r="17" spans="1:13" x14ac:dyDescent="0.25">
      <c r="A17" s="2" t="s">
        <v>310</v>
      </c>
      <c r="B17" s="2" t="s">
        <v>962</v>
      </c>
      <c r="C17" s="559">
        <v>22.23</v>
      </c>
      <c r="D17" s="559">
        <v>22.23</v>
      </c>
      <c r="E17" s="559">
        <v>0</v>
      </c>
      <c r="F17" s="1">
        <v>1.6</v>
      </c>
      <c r="G17" s="24">
        <v>690</v>
      </c>
      <c r="H17" s="24" t="s">
        <v>397</v>
      </c>
      <c r="I17" s="557">
        <v>16000</v>
      </c>
      <c r="J17" s="2">
        <v>0</v>
      </c>
      <c r="K17" s="4">
        <v>16000</v>
      </c>
      <c r="L17" s="557" t="s">
        <v>412</v>
      </c>
      <c r="M17" s="562">
        <v>7.9164499999999993</v>
      </c>
    </row>
    <row r="18" spans="1:13" x14ac:dyDescent="0.25">
      <c r="A18" s="2" t="s">
        <v>936</v>
      </c>
      <c r="B18" s="2" t="s">
        <v>962</v>
      </c>
      <c r="C18" s="1">
        <v>22.23</v>
      </c>
      <c r="D18" s="1">
        <v>22.23</v>
      </c>
      <c r="E18" s="1">
        <v>0</v>
      </c>
      <c r="F18" s="1">
        <v>1.6</v>
      </c>
      <c r="G18" s="24">
        <v>690</v>
      </c>
      <c r="H18" s="24" t="s">
        <v>397</v>
      </c>
      <c r="I18" s="2">
        <v>32760</v>
      </c>
      <c r="J18" s="2">
        <v>18905</v>
      </c>
      <c r="K18" s="4">
        <v>13855</v>
      </c>
      <c r="L18" s="557" t="s">
        <v>412</v>
      </c>
      <c r="M18" s="562">
        <v>7.9164499999999993</v>
      </c>
    </row>
    <row r="19" spans="1:13" x14ac:dyDescent="0.25">
      <c r="A19" s="2" t="s">
        <v>936</v>
      </c>
      <c r="B19" s="2" t="s">
        <v>962</v>
      </c>
      <c r="C19" s="1">
        <v>41.28</v>
      </c>
      <c r="D19" s="1">
        <v>41.28</v>
      </c>
      <c r="E19" s="1">
        <v>0</v>
      </c>
      <c r="F19" s="1">
        <v>2.6</v>
      </c>
      <c r="G19" s="24">
        <v>850</v>
      </c>
      <c r="H19" s="24" t="s">
        <v>397</v>
      </c>
      <c r="I19" s="2">
        <v>22637</v>
      </c>
      <c r="J19" s="2">
        <v>10811</v>
      </c>
      <c r="K19" s="4">
        <v>11826</v>
      </c>
      <c r="L19" s="557" t="s">
        <v>886</v>
      </c>
      <c r="M19" s="562">
        <v>4.1590499999999997</v>
      </c>
    </row>
    <row r="20" spans="1:13" x14ac:dyDescent="0.25">
      <c r="A20" s="2" t="s">
        <v>290</v>
      </c>
      <c r="B20" s="2" t="s">
        <v>962</v>
      </c>
      <c r="C20" s="1">
        <v>22.23</v>
      </c>
      <c r="D20" s="1">
        <v>22.23</v>
      </c>
      <c r="E20" s="1">
        <v>0</v>
      </c>
      <c r="F20" s="1">
        <v>1.6</v>
      </c>
      <c r="G20" s="24">
        <v>740</v>
      </c>
      <c r="H20" s="24" t="s">
        <v>397</v>
      </c>
      <c r="I20" s="2">
        <v>2500</v>
      </c>
      <c r="J20" s="2">
        <v>0</v>
      </c>
      <c r="K20" s="4">
        <v>2500</v>
      </c>
      <c r="L20" s="557" t="s">
        <v>412</v>
      </c>
      <c r="M20" s="562">
        <v>7.9164499999999993</v>
      </c>
    </row>
    <row r="21" spans="1:13" x14ac:dyDescent="0.25">
      <c r="A21" s="2" t="s">
        <v>310</v>
      </c>
      <c r="B21" s="2" t="s">
        <v>962</v>
      </c>
      <c r="C21" s="559">
        <v>22.23</v>
      </c>
      <c r="D21" s="559">
        <v>22.23</v>
      </c>
      <c r="E21" s="1">
        <v>0</v>
      </c>
      <c r="F21" s="1">
        <v>1.6</v>
      </c>
      <c r="G21" s="24">
        <v>809</v>
      </c>
      <c r="H21" s="24" t="s">
        <v>397</v>
      </c>
      <c r="I21" s="2">
        <v>18000</v>
      </c>
      <c r="J21" s="2">
        <v>0</v>
      </c>
      <c r="K21" s="4">
        <v>18000</v>
      </c>
      <c r="L21" s="557" t="s">
        <v>412</v>
      </c>
      <c r="M21" s="562">
        <v>7.9164499999999993</v>
      </c>
    </row>
    <row r="22" spans="1:13" x14ac:dyDescent="0.25">
      <c r="A22" s="2" t="s">
        <v>954</v>
      </c>
      <c r="B22" s="2" t="s">
        <v>962</v>
      </c>
      <c r="C22" s="1">
        <v>22.23</v>
      </c>
      <c r="D22" s="1">
        <v>22.23</v>
      </c>
      <c r="E22" s="6">
        <v>0</v>
      </c>
      <c r="F22" s="1">
        <v>1.6</v>
      </c>
      <c r="G22" s="24">
        <v>809</v>
      </c>
      <c r="H22" s="24" t="s">
        <v>397</v>
      </c>
      <c r="I22" s="2">
        <v>2000</v>
      </c>
      <c r="J22" s="2">
        <v>0</v>
      </c>
      <c r="K22" s="4">
        <v>2000</v>
      </c>
      <c r="L22" s="557" t="s">
        <v>412</v>
      </c>
      <c r="M22" s="562">
        <v>7.9164499999999993</v>
      </c>
    </row>
    <row r="23" spans="1:13" x14ac:dyDescent="0.25">
      <c r="A23" s="2" t="s">
        <v>290</v>
      </c>
      <c r="B23" s="2" t="s">
        <v>962</v>
      </c>
      <c r="C23" s="1">
        <v>22.23</v>
      </c>
      <c r="D23" s="1">
        <v>22.23</v>
      </c>
      <c r="E23" s="1">
        <v>0</v>
      </c>
      <c r="F23" s="1">
        <v>1.6</v>
      </c>
      <c r="G23" s="24">
        <v>880</v>
      </c>
      <c r="H23" s="24" t="s">
        <v>397</v>
      </c>
      <c r="I23" s="2">
        <v>2500</v>
      </c>
      <c r="J23" s="2">
        <v>269</v>
      </c>
      <c r="K23" s="4">
        <v>2231</v>
      </c>
      <c r="L23" s="557" t="s">
        <v>412</v>
      </c>
      <c r="M23" s="562">
        <v>7.9164499999999993</v>
      </c>
    </row>
    <row r="24" spans="1:13" x14ac:dyDescent="0.25">
      <c r="A24" s="2" t="s">
        <v>936</v>
      </c>
      <c r="B24" s="2" t="s">
        <v>962</v>
      </c>
      <c r="C24" s="1">
        <v>42.7</v>
      </c>
      <c r="D24" s="1">
        <v>42.7</v>
      </c>
      <c r="E24" s="1">
        <v>0</v>
      </c>
      <c r="F24" s="1">
        <v>4</v>
      </c>
      <c r="G24" s="24">
        <v>215</v>
      </c>
      <c r="H24" s="24" t="s">
        <v>397</v>
      </c>
      <c r="I24" s="2">
        <v>45274</v>
      </c>
      <c r="J24" s="2">
        <v>22240</v>
      </c>
      <c r="K24" s="4">
        <v>23034</v>
      </c>
      <c r="L24" s="557" t="s">
        <v>891</v>
      </c>
      <c r="M24" s="562">
        <v>16.485047999999999</v>
      </c>
    </row>
    <row r="25" spans="1:13" x14ac:dyDescent="0.25">
      <c r="A25" s="2" t="s">
        <v>955</v>
      </c>
      <c r="B25" s="2" t="s">
        <v>962</v>
      </c>
      <c r="C25" s="1">
        <v>22.23</v>
      </c>
      <c r="D25" s="1">
        <v>22.23</v>
      </c>
      <c r="E25" s="1">
        <v>0</v>
      </c>
      <c r="F25" s="1">
        <v>1.6</v>
      </c>
      <c r="G25" s="24">
        <v>401</v>
      </c>
      <c r="H25" s="24" t="s">
        <v>397</v>
      </c>
      <c r="I25" s="2">
        <v>12000</v>
      </c>
      <c r="J25" s="2">
        <v>8200</v>
      </c>
      <c r="K25" s="4">
        <v>3800</v>
      </c>
      <c r="L25" s="557" t="s">
        <v>412</v>
      </c>
      <c r="M25" s="562">
        <v>7.9164499999999993</v>
      </c>
    </row>
    <row r="26" spans="1:13" x14ac:dyDescent="0.25">
      <c r="A26" s="2" t="s">
        <v>960</v>
      </c>
      <c r="B26" s="2" t="s">
        <v>962</v>
      </c>
      <c r="C26" s="1">
        <v>22.23</v>
      </c>
      <c r="D26" s="1">
        <v>22.23</v>
      </c>
      <c r="E26" s="6">
        <v>0</v>
      </c>
      <c r="F26" s="1">
        <v>1.6</v>
      </c>
      <c r="G26" s="24">
        <v>1304</v>
      </c>
      <c r="H26" s="24" t="s">
        <v>397</v>
      </c>
      <c r="I26" s="2">
        <v>5000</v>
      </c>
      <c r="J26" s="2">
        <v>3715</v>
      </c>
      <c r="K26" s="4">
        <v>1285</v>
      </c>
      <c r="L26" s="557" t="s">
        <v>412</v>
      </c>
      <c r="M26" s="562">
        <v>7.9164499999999993</v>
      </c>
    </row>
    <row r="27" spans="1:13" x14ac:dyDescent="0.25">
      <c r="A27" s="2" t="s">
        <v>955</v>
      </c>
      <c r="B27" s="2" t="s">
        <v>962</v>
      </c>
      <c r="C27" s="1">
        <v>22.23</v>
      </c>
      <c r="D27" s="1">
        <v>22.23</v>
      </c>
      <c r="E27" s="1">
        <v>0</v>
      </c>
      <c r="F27" s="1">
        <v>1.6</v>
      </c>
      <c r="G27" s="24">
        <v>640</v>
      </c>
      <c r="H27" s="24" t="s">
        <v>397</v>
      </c>
      <c r="I27" s="2">
        <v>13000</v>
      </c>
      <c r="J27" s="2">
        <v>6063</v>
      </c>
      <c r="K27" s="4">
        <v>6937</v>
      </c>
      <c r="L27" s="557" t="s">
        <v>412</v>
      </c>
      <c r="M27" s="562">
        <v>7.9164499999999993</v>
      </c>
    </row>
    <row r="28" spans="1:13" x14ac:dyDescent="0.25">
      <c r="A28" s="2" t="s">
        <v>948</v>
      </c>
      <c r="B28" s="2" t="s">
        <v>962</v>
      </c>
      <c r="C28" s="1">
        <v>22.23</v>
      </c>
      <c r="D28" s="1">
        <v>22.23</v>
      </c>
      <c r="E28" s="1">
        <v>0</v>
      </c>
      <c r="F28" s="1">
        <v>2</v>
      </c>
      <c r="G28" s="24">
        <v>715</v>
      </c>
      <c r="H28" s="24" t="s">
        <v>397</v>
      </c>
      <c r="I28" s="2">
        <v>27600</v>
      </c>
      <c r="J28" s="2">
        <v>0</v>
      </c>
      <c r="K28" s="4">
        <v>27600</v>
      </c>
      <c r="L28" s="557" t="s">
        <v>562</v>
      </c>
      <c r="M28" s="562">
        <v>4.7168520000000003</v>
      </c>
    </row>
    <row r="29" spans="1:13" x14ac:dyDescent="0.25">
      <c r="A29" s="2" t="s">
        <v>310</v>
      </c>
      <c r="B29" s="2" t="s">
        <v>962</v>
      </c>
      <c r="C29" s="1">
        <v>38.1</v>
      </c>
      <c r="D29" s="1">
        <v>38.1</v>
      </c>
      <c r="E29" s="6">
        <v>0</v>
      </c>
      <c r="F29" s="1">
        <v>2</v>
      </c>
      <c r="G29" s="24">
        <v>812</v>
      </c>
      <c r="H29" s="24" t="s">
        <v>397</v>
      </c>
      <c r="I29" s="2">
        <v>6000</v>
      </c>
      <c r="J29" s="2">
        <v>0</v>
      </c>
      <c r="K29" s="4">
        <v>6000</v>
      </c>
      <c r="L29" s="563" t="s">
        <v>860</v>
      </c>
      <c r="M29" s="562">
        <v>0.50435000000000008</v>
      </c>
    </row>
    <row r="30" spans="1:13" x14ac:dyDescent="0.25">
      <c r="A30" s="2" t="s">
        <v>955</v>
      </c>
      <c r="B30" s="2" t="s">
        <v>962</v>
      </c>
      <c r="C30" s="1">
        <v>22.23</v>
      </c>
      <c r="D30" s="1">
        <v>22.23</v>
      </c>
      <c r="E30" s="1">
        <v>0</v>
      </c>
      <c r="F30" s="1">
        <v>1.6</v>
      </c>
      <c r="G30" s="24">
        <v>1175</v>
      </c>
      <c r="H30" s="24" t="s">
        <v>397</v>
      </c>
      <c r="I30" s="2">
        <v>12000</v>
      </c>
      <c r="J30" s="2">
        <v>5000</v>
      </c>
      <c r="K30" s="4">
        <v>7000</v>
      </c>
      <c r="L30" s="557" t="s">
        <v>412</v>
      </c>
      <c r="M30" s="562">
        <v>7.9164499999999993</v>
      </c>
    </row>
    <row r="31" spans="1:13" x14ac:dyDescent="0.25">
      <c r="A31" s="2" t="s">
        <v>955</v>
      </c>
      <c r="B31" s="2" t="s">
        <v>962</v>
      </c>
      <c r="C31" s="1">
        <v>22.23</v>
      </c>
      <c r="D31" s="1">
        <v>22.23</v>
      </c>
      <c r="E31" s="1">
        <v>0</v>
      </c>
      <c r="F31" s="1">
        <v>1.6</v>
      </c>
      <c r="G31" s="24">
        <v>1210</v>
      </c>
      <c r="H31" s="24" t="s">
        <v>397</v>
      </c>
      <c r="I31" s="2">
        <v>6000</v>
      </c>
      <c r="J31" s="2">
        <v>4683</v>
      </c>
      <c r="K31" s="4">
        <v>1317</v>
      </c>
      <c r="L31" s="557" t="s">
        <v>412</v>
      </c>
      <c r="M31" s="562">
        <v>7.9164499999999993</v>
      </c>
    </row>
    <row r="32" spans="1:13" x14ac:dyDescent="0.25">
      <c r="A32" s="2" t="s">
        <v>289</v>
      </c>
      <c r="B32" s="2" t="s">
        <v>357</v>
      </c>
      <c r="C32" s="1">
        <v>25.4</v>
      </c>
      <c r="D32" s="1">
        <v>25.4</v>
      </c>
      <c r="E32" s="1">
        <v>0</v>
      </c>
      <c r="F32" s="1">
        <v>2.5</v>
      </c>
      <c r="G32" s="24">
        <v>217</v>
      </c>
      <c r="H32" s="24" t="s">
        <v>397</v>
      </c>
      <c r="I32" s="2">
        <v>8000</v>
      </c>
      <c r="J32" s="2">
        <v>8000</v>
      </c>
      <c r="K32" s="4">
        <v>0</v>
      </c>
      <c r="L32" s="557" t="s">
        <v>806</v>
      </c>
      <c r="M32" s="562">
        <v>0.92415800000000004</v>
      </c>
    </row>
    <row r="33" spans="1:13" x14ac:dyDescent="0.25">
      <c r="A33" s="2" t="s">
        <v>955</v>
      </c>
      <c r="B33" s="2" t="s">
        <v>357</v>
      </c>
      <c r="C33" s="1">
        <v>25.4</v>
      </c>
      <c r="D33" s="1">
        <v>25.4</v>
      </c>
      <c r="E33" s="1">
        <v>0</v>
      </c>
      <c r="F33" s="1">
        <v>2.5</v>
      </c>
      <c r="G33" s="24">
        <v>217</v>
      </c>
      <c r="H33" s="24" t="s">
        <v>397</v>
      </c>
      <c r="I33" s="2">
        <v>15000</v>
      </c>
      <c r="J33" s="2">
        <v>3957</v>
      </c>
      <c r="K33" s="4">
        <v>11043</v>
      </c>
      <c r="L33" s="557" t="s">
        <v>806</v>
      </c>
      <c r="M33" s="562">
        <v>0.92415800000000004</v>
      </c>
    </row>
    <row r="34" spans="1:13" x14ac:dyDescent="0.25">
      <c r="A34" s="2" t="s">
        <v>957</v>
      </c>
      <c r="B34" s="2" t="s">
        <v>962</v>
      </c>
      <c r="C34" s="1">
        <v>38.1</v>
      </c>
      <c r="D34" s="1">
        <v>38.1</v>
      </c>
      <c r="E34" s="1">
        <v>0</v>
      </c>
      <c r="F34" s="1">
        <v>2</v>
      </c>
      <c r="G34" s="24">
        <v>432</v>
      </c>
      <c r="H34" s="24" t="s">
        <v>397</v>
      </c>
      <c r="I34" s="2">
        <v>15000</v>
      </c>
      <c r="J34" s="2">
        <v>6200</v>
      </c>
      <c r="K34" s="4">
        <v>8800</v>
      </c>
      <c r="L34" s="557" t="s">
        <v>860</v>
      </c>
      <c r="M34" s="562">
        <v>0.50435000000000008</v>
      </c>
    </row>
    <row r="35" spans="1:13" x14ac:dyDescent="0.25">
      <c r="A35" s="2" t="s">
        <v>957</v>
      </c>
      <c r="B35" s="2" t="s">
        <v>962</v>
      </c>
      <c r="C35" s="1">
        <v>38.1</v>
      </c>
      <c r="D35" s="1">
        <v>38.1</v>
      </c>
      <c r="E35" s="1">
        <v>0</v>
      </c>
      <c r="F35" s="1">
        <v>2</v>
      </c>
      <c r="G35" s="24">
        <v>812</v>
      </c>
      <c r="H35" s="24" t="s">
        <v>397</v>
      </c>
      <c r="I35" s="2">
        <v>15000</v>
      </c>
      <c r="J35" s="2">
        <v>11000</v>
      </c>
      <c r="K35" s="4">
        <v>4000</v>
      </c>
      <c r="L35" s="557" t="s">
        <v>860</v>
      </c>
      <c r="M35" s="562">
        <v>0.50435000000000008</v>
      </c>
    </row>
    <row r="36" spans="1:13" x14ac:dyDescent="0.25">
      <c r="A36" s="2" t="s">
        <v>310</v>
      </c>
      <c r="B36" s="2" t="s">
        <v>962</v>
      </c>
      <c r="C36" s="1">
        <v>38.1</v>
      </c>
      <c r="D36" s="1">
        <v>38.1</v>
      </c>
      <c r="E36" s="6">
        <v>0</v>
      </c>
      <c r="F36" s="1">
        <v>2</v>
      </c>
      <c r="G36" s="24">
        <v>1000</v>
      </c>
      <c r="H36" s="24" t="s">
        <v>397</v>
      </c>
      <c r="I36" s="2">
        <v>800</v>
      </c>
      <c r="J36" s="2">
        <v>0</v>
      </c>
      <c r="K36" s="4">
        <v>800</v>
      </c>
      <c r="L36" s="557" t="s">
        <v>860</v>
      </c>
      <c r="M36" s="562">
        <v>0.50435000000000008</v>
      </c>
    </row>
    <row r="37" spans="1:13" x14ac:dyDescent="0.25">
      <c r="A37" s="2" t="s">
        <v>310</v>
      </c>
      <c r="B37" s="2" t="s">
        <v>962</v>
      </c>
      <c r="C37" s="1">
        <v>38.1</v>
      </c>
      <c r="D37" s="1">
        <v>38.1</v>
      </c>
      <c r="E37" s="6">
        <v>0</v>
      </c>
      <c r="F37" s="1">
        <v>2</v>
      </c>
      <c r="G37" s="24">
        <v>406</v>
      </c>
      <c r="H37" s="24" t="s">
        <v>397</v>
      </c>
      <c r="I37" s="2">
        <v>15000</v>
      </c>
      <c r="J37" s="2">
        <v>0</v>
      </c>
      <c r="K37" s="4">
        <v>15000</v>
      </c>
      <c r="L37" s="557" t="s">
        <v>860</v>
      </c>
      <c r="M37" s="562">
        <v>0.50435000000000008</v>
      </c>
    </row>
    <row r="38" spans="1:13" x14ac:dyDescent="0.25">
      <c r="A38" s="2" t="s">
        <v>936</v>
      </c>
      <c r="B38" s="2" t="s">
        <v>962</v>
      </c>
      <c r="C38" s="1">
        <v>38.1</v>
      </c>
      <c r="D38" s="1">
        <v>38.1</v>
      </c>
      <c r="E38" s="1">
        <v>0</v>
      </c>
      <c r="F38" s="1">
        <v>2</v>
      </c>
      <c r="G38" s="24">
        <v>410</v>
      </c>
      <c r="H38" s="24" t="s">
        <v>397</v>
      </c>
      <c r="I38" s="2">
        <v>6552</v>
      </c>
      <c r="J38" s="2">
        <v>0</v>
      </c>
      <c r="K38" s="4">
        <v>6552</v>
      </c>
      <c r="L38" s="557" t="s">
        <v>860</v>
      </c>
      <c r="M38" s="562">
        <v>0.50435000000000008</v>
      </c>
    </row>
    <row r="39" spans="1:13" x14ac:dyDescent="0.25">
      <c r="A39" s="2" t="s">
        <v>954</v>
      </c>
      <c r="B39" s="2" t="s">
        <v>962</v>
      </c>
      <c r="C39" s="1">
        <v>38.1</v>
      </c>
      <c r="D39" s="1">
        <v>38.1</v>
      </c>
      <c r="E39" s="1">
        <v>0</v>
      </c>
      <c r="F39" s="1">
        <v>2</v>
      </c>
      <c r="G39" s="24">
        <v>488</v>
      </c>
      <c r="H39" s="24" t="s">
        <v>397</v>
      </c>
      <c r="I39" s="2">
        <v>6000</v>
      </c>
      <c r="J39" s="2">
        <v>0</v>
      </c>
      <c r="K39" s="4">
        <v>6000</v>
      </c>
      <c r="L39" s="557" t="s">
        <v>860</v>
      </c>
      <c r="M39" s="562">
        <v>0.50435000000000008</v>
      </c>
    </row>
    <row r="40" spans="1:13" x14ac:dyDescent="0.25">
      <c r="A40" s="2" t="s">
        <v>954</v>
      </c>
      <c r="B40" s="2" t="s">
        <v>962</v>
      </c>
      <c r="C40" s="1">
        <v>38.1</v>
      </c>
      <c r="D40" s="1">
        <v>38.1</v>
      </c>
      <c r="E40" s="6">
        <v>0</v>
      </c>
      <c r="F40" s="1">
        <v>2</v>
      </c>
      <c r="G40" s="24">
        <v>812</v>
      </c>
      <c r="H40" s="24" t="s">
        <v>397</v>
      </c>
      <c r="I40" s="2">
        <v>15000</v>
      </c>
      <c r="J40" s="2">
        <v>18305</v>
      </c>
      <c r="K40" s="4">
        <v>-3305</v>
      </c>
      <c r="L40" s="557" t="s">
        <v>860</v>
      </c>
      <c r="M40" s="562">
        <v>0.50435000000000008</v>
      </c>
    </row>
    <row r="41" spans="1:13" x14ac:dyDescent="0.25">
      <c r="A41" s="2" t="s">
        <v>289</v>
      </c>
      <c r="B41" s="2" t="s">
        <v>962</v>
      </c>
      <c r="C41" s="1">
        <v>41.28</v>
      </c>
      <c r="D41" s="1">
        <v>40</v>
      </c>
      <c r="E41" s="1">
        <v>25</v>
      </c>
      <c r="F41" s="1">
        <v>1.6</v>
      </c>
      <c r="G41" s="24">
        <v>514</v>
      </c>
      <c r="H41" s="24" t="s">
        <v>397</v>
      </c>
      <c r="I41" s="2">
        <v>6000</v>
      </c>
      <c r="J41" s="2">
        <v>3160</v>
      </c>
      <c r="K41" s="4">
        <v>2840</v>
      </c>
      <c r="L41" s="557" t="s">
        <v>428</v>
      </c>
      <c r="M41" s="562">
        <v>2.2633900000000002</v>
      </c>
    </row>
    <row r="42" spans="1:13" x14ac:dyDescent="0.25">
      <c r="A42" s="2" t="s">
        <v>289</v>
      </c>
      <c r="B42" s="2" t="s">
        <v>962</v>
      </c>
      <c r="C42" s="1">
        <v>41.28</v>
      </c>
      <c r="D42" s="1">
        <v>40</v>
      </c>
      <c r="E42" s="1">
        <v>25</v>
      </c>
      <c r="F42" s="1">
        <v>1.6</v>
      </c>
      <c r="G42" s="24">
        <v>538</v>
      </c>
      <c r="H42" s="24" t="s">
        <v>397</v>
      </c>
      <c r="I42" s="2">
        <v>15000</v>
      </c>
      <c r="J42" s="2">
        <v>9457</v>
      </c>
      <c r="K42" s="4">
        <v>5543</v>
      </c>
      <c r="L42" s="557" t="s">
        <v>428</v>
      </c>
      <c r="M42" s="562">
        <v>2.2633900000000002</v>
      </c>
    </row>
    <row r="43" spans="1:13" x14ac:dyDescent="0.25">
      <c r="A43" s="2" t="s">
        <v>289</v>
      </c>
      <c r="B43" s="2" t="s">
        <v>962</v>
      </c>
      <c r="C43" s="1">
        <v>41.28</v>
      </c>
      <c r="D43" s="1">
        <v>40</v>
      </c>
      <c r="E43" s="1">
        <v>25</v>
      </c>
      <c r="F43" s="1">
        <v>1.6</v>
      </c>
      <c r="G43" s="24">
        <v>587</v>
      </c>
      <c r="H43" s="24" t="s">
        <v>397</v>
      </c>
      <c r="I43" s="2">
        <v>12000</v>
      </c>
      <c r="J43" s="2">
        <v>8926</v>
      </c>
      <c r="K43" s="4">
        <v>3074</v>
      </c>
      <c r="L43" s="557" t="s">
        <v>428</v>
      </c>
      <c r="M43" s="562">
        <v>2.2633900000000002</v>
      </c>
    </row>
    <row r="44" spans="1:13" x14ac:dyDescent="0.25">
      <c r="A44" s="2" t="s">
        <v>948</v>
      </c>
      <c r="B44" s="2" t="s">
        <v>962</v>
      </c>
      <c r="C44" s="1">
        <v>41.28</v>
      </c>
      <c r="D44" s="1">
        <v>40</v>
      </c>
      <c r="E44" s="1">
        <v>25</v>
      </c>
      <c r="F44" s="1">
        <v>1.6</v>
      </c>
      <c r="G44" s="24">
        <v>513</v>
      </c>
      <c r="H44" s="24" t="s">
        <v>397</v>
      </c>
      <c r="I44" s="2">
        <v>2000</v>
      </c>
      <c r="J44" s="2">
        <v>0</v>
      </c>
      <c r="K44" s="4">
        <v>2000</v>
      </c>
      <c r="L44" s="557" t="s">
        <v>428</v>
      </c>
      <c r="M44" s="562">
        <v>2.2633900000000002</v>
      </c>
    </row>
    <row r="45" spans="1:13" x14ac:dyDescent="0.25">
      <c r="A45" s="2" t="s">
        <v>957</v>
      </c>
      <c r="B45" s="2" t="s">
        <v>962</v>
      </c>
      <c r="C45" s="1">
        <v>41.28</v>
      </c>
      <c r="D45" s="1">
        <v>40</v>
      </c>
      <c r="E45" s="1">
        <v>25</v>
      </c>
      <c r="F45" s="1">
        <v>1.6</v>
      </c>
      <c r="G45" s="24">
        <v>513</v>
      </c>
      <c r="H45" s="24" t="s">
        <v>397</v>
      </c>
      <c r="I45" s="2">
        <v>20000</v>
      </c>
      <c r="J45" s="2">
        <v>19210</v>
      </c>
      <c r="K45" s="4">
        <v>790</v>
      </c>
      <c r="L45" s="557" t="s">
        <v>428</v>
      </c>
      <c r="M45" s="562">
        <v>2.2633900000000002</v>
      </c>
    </row>
    <row r="46" spans="1:13" x14ac:dyDescent="0.25">
      <c r="A46" s="2" t="s">
        <v>957</v>
      </c>
      <c r="B46" s="2" t="s">
        <v>962</v>
      </c>
      <c r="C46" s="1">
        <v>41.28</v>
      </c>
      <c r="D46" s="1">
        <v>40</v>
      </c>
      <c r="E46" s="1">
        <v>25</v>
      </c>
      <c r="F46" s="1">
        <v>1.6</v>
      </c>
      <c r="G46" s="24">
        <v>536</v>
      </c>
      <c r="H46" s="24" t="s">
        <v>397</v>
      </c>
      <c r="I46" s="2">
        <v>20000</v>
      </c>
      <c r="J46" s="2">
        <v>13578</v>
      </c>
      <c r="K46" s="4">
        <v>6422</v>
      </c>
      <c r="L46" s="557" t="s">
        <v>428</v>
      </c>
      <c r="M46" s="562">
        <v>2.2633900000000002</v>
      </c>
    </row>
    <row r="47" spans="1:13" x14ac:dyDescent="0.25">
      <c r="A47" s="2" t="s">
        <v>948</v>
      </c>
      <c r="B47" s="2" t="s">
        <v>962</v>
      </c>
      <c r="C47" s="1">
        <v>41.28</v>
      </c>
      <c r="D47" s="1">
        <v>40</v>
      </c>
      <c r="E47" s="1">
        <v>25</v>
      </c>
      <c r="F47" s="1">
        <v>1.6</v>
      </c>
      <c r="G47" s="24">
        <v>560</v>
      </c>
      <c r="H47" s="24" t="s">
        <v>397</v>
      </c>
      <c r="I47" s="2">
        <v>25000</v>
      </c>
      <c r="J47" s="2">
        <v>15214</v>
      </c>
      <c r="K47" s="4">
        <v>9786</v>
      </c>
      <c r="L47" s="557" t="s">
        <v>428</v>
      </c>
      <c r="M47" s="562">
        <v>2.2633900000000002</v>
      </c>
    </row>
    <row r="48" spans="1:13" x14ac:dyDescent="0.25">
      <c r="A48" s="2" t="s">
        <v>948</v>
      </c>
      <c r="B48" s="2" t="s">
        <v>962</v>
      </c>
      <c r="C48" s="1">
        <v>41.28</v>
      </c>
      <c r="D48" s="1">
        <v>40</v>
      </c>
      <c r="E48" s="1">
        <v>25</v>
      </c>
      <c r="F48" s="1">
        <v>1.6</v>
      </c>
      <c r="G48" s="24">
        <v>585</v>
      </c>
      <c r="H48" s="24" t="s">
        <v>397</v>
      </c>
      <c r="I48" s="2">
        <v>12000</v>
      </c>
      <c r="J48" s="2">
        <v>5060</v>
      </c>
      <c r="K48" s="4">
        <v>6940</v>
      </c>
      <c r="L48" s="557" t="s">
        <v>428</v>
      </c>
      <c r="M48" s="562">
        <v>2.2633900000000002</v>
      </c>
    </row>
    <row r="49" spans="1:13" x14ac:dyDescent="0.25">
      <c r="A49" s="2" t="s">
        <v>948</v>
      </c>
      <c r="B49" s="2" t="s">
        <v>962</v>
      </c>
      <c r="C49" s="1">
        <v>44.45</v>
      </c>
      <c r="D49" s="1">
        <v>40</v>
      </c>
      <c r="E49" s="1">
        <v>30</v>
      </c>
      <c r="F49" s="1">
        <v>2</v>
      </c>
      <c r="G49" s="24">
        <v>162</v>
      </c>
      <c r="H49" s="24" t="s">
        <v>397</v>
      </c>
      <c r="I49" s="2">
        <v>7000</v>
      </c>
      <c r="J49" s="2">
        <v>4260</v>
      </c>
      <c r="K49" s="4">
        <v>2740</v>
      </c>
      <c r="L49" s="557" t="s">
        <v>578</v>
      </c>
      <c r="M49" s="562">
        <v>7.7850000000000001</v>
      </c>
    </row>
    <row r="50" spans="1:13" x14ac:dyDescent="0.25">
      <c r="A50" s="2" t="s">
        <v>948</v>
      </c>
      <c r="B50" s="2" t="s">
        <v>962</v>
      </c>
      <c r="C50" s="559">
        <v>44.45</v>
      </c>
      <c r="D50" s="559">
        <v>40</v>
      </c>
      <c r="E50" s="559">
        <v>30</v>
      </c>
      <c r="F50" s="1">
        <v>2</v>
      </c>
      <c r="G50" s="24">
        <v>162</v>
      </c>
      <c r="H50" s="24" t="s">
        <v>397</v>
      </c>
      <c r="I50" s="557">
        <v>3450</v>
      </c>
      <c r="J50" s="2">
        <v>0</v>
      </c>
      <c r="K50" s="4">
        <v>3450</v>
      </c>
      <c r="L50" s="557" t="s">
        <v>578</v>
      </c>
      <c r="M50" s="562">
        <v>7.7850000000000001</v>
      </c>
    </row>
    <row r="51" spans="1:13" x14ac:dyDescent="0.25">
      <c r="A51" s="100" t="s">
        <v>290</v>
      </c>
      <c r="B51" s="100" t="s">
        <v>962</v>
      </c>
      <c r="C51" s="566">
        <v>44.45</v>
      </c>
      <c r="D51" s="566">
        <v>40</v>
      </c>
      <c r="E51" s="566">
        <v>30</v>
      </c>
      <c r="F51" s="1">
        <v>2</v>
      </c>
      <c r="G51" s="24">
        <v>880</v>
      </c>
      <c r="H51" s="24" t="s">
        <v>397</v>
      </c>
      <c r="I51" s="557">
        <v>4000</v>
      </c>
      <c r="J51" s="2">
        <v>1500</v>
      </c>
      <c r="K51" s="4">
        <v>2500</v>
      </c>
      <c r="L51" s="557" t="s">
        <v>578</v>
      </c>
      <c r="M51" s="562">
        <v>7.7850000000000001</v>
      </c>
    </row>
    <row r="52" spans="1:13" x14ac:dyDescent="0.25">
      <c r="A52" s="2" t="s">
        <v>957</v>
      </c>
      <c r="B52" s="2" t="s">
        <v>962</v>
      </c>
      <c r="C52" s="1">
        <v>42.7</v>
      </c>
      <c r="D52" s="1">
        <v>42.7</v>
      </c>
      <c r="E52" s="1">
        <v>0</v>
      </c>
      <c r="F52" s="1">
        <v>3.5</v>
      </c>
      <c r="G52" s="24">
        <v>208</v>
      </c>
      <c r="H52" s="24" t="s">
        <v>397</v>
      </c>
      <c r="I52" s="2">
        <v>22000</v>
      </c>
      <c r="J52" s="2">
        <v>12242</v>
      </c>
      <c r="K52" s="4">
        <v>9758</v>
      </c>
      <c r="L52" s="557" t="s">
        <v>875</v>
      </c>
      <c r="M52" s="562">
        <v>11.019</v>
      </c>
    </row>
    <row r="53" spans="1:13" x14ac:dyDescent="0.25">
      <c r="A53" s="2" t="s">
        <v>290</v>
      </c>
      <c r="B53" s="2" t="s">
        <v>962</v>
      </c>
      <c r="C53" s="1">
        <v>42.7</v>
      </c>
      <c r="D53" s="1">
        <v>42.7</v>
      </c>
      <c r="E53" s="1">
        <v>0</v>
      </c>
      <c r="F53" s="1">
        <v>3.5</v>
      </c>
      <c r="G53" s="24">
        <v>210</v>
      </c>
      <c r="H53" s="24" t="s">
        <v>397</v>
      </c>
      <c r="I53" s="2">
        <v>3000</v>
      </c>
      <c r="J53" s="2">
        <v>0</v>
      </c>
      <c r="K53" s="4">
        <v>3000</v>
      </c>
      <c r="L53" s="557" t="s">
        <v>875</v>
      </c>
      <c r="M53" s="562">
        <v>11.019</v>
      </c>
    </row>
    <row r="54" spans="1:13" x14ac:dyDescent="0.25">
      <c r="A54" s="2" t="s">
        <v>954</v>
      </c>
      <c r="B54" s="2" t="s">
        <v>962</v>
      </c>
      <c r="C54" s="1">
        <v>42.7</v>
      </c>
      <c r="D54" s="1">
        <v>42.7</v>
      </c>
      <c r="E54" s="1">
        <v>0</v>
      </c>
      <c r="F54" s="1">
        <v>3.5</v>
      </c>
      <c r="G54" s="24">
        <v>210</v>
      </c>
      <c r="H54" s="24" t="s">
        <v>397</v>
      </c>
      <c r="I54" s="2">
        <v>40000</v>
      </c>
      <c r="J54" s="2">
        <v>20070</v>
      </c>
      <c r="K54" s="4">
        <v>19930</v>
      </c>
      <c r="L54" s="557" t="s">
        <v>875</v>
      </c>
      <c r="M54" s="562">
        <v>11.019</v>
      </c>
    </row>
    <row r="55" spans="1:13" x14ac:dyDescent="0.25">
      <c r="A55" s="2" t="s">
        <v>960</v>
      </c>
      <c r="B55" s="2" t="s">
        <v>962</v>
      </c>
      <c r="C55" s="1">
        <v>22.23</v>
      </c>
      <c r="D55" s="1">
        <v>22.23</v>
      </c>
      <c r="E55" s="6">
        <v>0</v>
      </c>
      <c r="F55" s="1">
        <v>1.6</v>
      </c>
      <c r="G55" s="24">
        <v>700</v>
      </c>
      <c r="H55" s="24" t="s">
        <v>397</v>
      </c>
      <c r="I55" s="2">
        <v>20000</v>
      </c>
      <c r="J55" s="2">
        <v>7300</v>
      </c>
      <c r="K55" s="4">
        <v>12700</v>
      </c>
      <c r="L55" s="557" t="s">
        <v>412</v>
      </c>
      <c r="M55" s="562">
        <v>7.9164499999999993</v>
      </c>
    </row>
    <row r="56" spans="1:13" x14ac:dyDescent="0.25">
      <c r="A56" s="2" t="s">
        <v>290</v>
      </c>
      <c r="B56" s="2" t="s">
        <v>962</v>
      </c>
      <c r="C56" s="1">
        <v>42.7</v>
      </c>
      <c r="D56" s="1">
        <v>42.7</v>
      </c>
      <c r="E56" s="1">
        <v>0</v>
      </c>
      <c r="F56" s="1">
        <v>4</v>
      </c>
      <c r="G56" s="24">
        <v>235</v>
      </c>
      <c r="H56" s="24" t="s">
        <v>397</v>
      </c>
      <c r="I56" s="2">
        <v>7000</v>
      </c>
      <c r="J56" s="2">
        <v>0</v>
      </c>
      <c r="K56" s="4">
        <v>7000</v>
      </c>
      <c r="L56" s="557" t="s">
        <v>891</v>
      </c>
      <c r="M56" s="562">
        <v>16.485047999999999</v>
      </c>
    </row>
    <row r="57" spans="1:13" x14ac:dyDescent="0.25">
      <c r="A57" s="2" t="s">
        <v>955</v>
      </c>
      <c r="B57" s="2" t="s">
        <v>962</v>
      </c>
      <c r="C57" s="1">
        <v>42.7</v>
      </c>
      <c r="D57" s="1">
        <v>42.7</v>
      </c>
      <c r="E57" s="1">
        <v>0</v>
      </c>
      <c r="F57" s="1">
        <v>4</v>
      </c>
      <c r="G57" s="24">
        <v>254</v>
      </c>
      <c r="H57" s="24" t="s">
        <v>397</v>
      </c>
      <c r="I57" s="2">
        <v>12000</v>
      </c>
      <c r="J57" s="2">
        <v>6758</v>
      </c>
      <c r="K57" s="4">
        <v>5242</v>
      </c>
      <c r="L57" s="557" t="s">
        <v>891</v>
      </c>
      <c r="M57" s="562">
        <v>16.485047999999999</v>
      </c>
    </row>
    <row r="58" spans="1:13" x14ac:dyDescent="0.25">
      <c r="A58" s="2" t="s">
        <v>955</v>
      </c>
      <c r="B58" s="2" t="s">
        <v>962</v>
      </c>
      <c r="C58" s="1">
        <v>42.7</v>
      </c>
      <c r="D58" s="1">
        <v>42.7</v>
      </c>
      <c r="E58" s="1">
        <v>0</v>
      </c>
      <c r="F58" s="1">
        <v>4</v>
      </c>
      <c r="G58" s="24">
        <v>254</v>
      </c>
      <c r="H58" s="24" t="s">
        <v>397</v>
      </c>
      <c r="I58" s="2">
        <v>10000</v>
      </c>
      <c r="J58" s="2">
        <v>2685</v>
      </c>
      <c r="K58" s="4">
        <v>7315</v>
      </c>
      <c r="L58" s="557" t="s">
        <v>891</v>
      </c>
      <c r="M58" s="562">
        <v>16.485047999999999</v>
      </c>
    </row>
    <row r="59" spans="1:13" x14ac:dyDescent="0.25">
      <c r="A59" s="2" t="s">
        <v>960</v>
      </c>
      <c r="B59" s="2" t="s">
        <v>962</v>
      </c>
      <c r="C59" s="1">
        <v>22.23</v>
      </c>
      <c r="D59" s="1">
        <v>22.23</v>
      </c>
      <c r="E59" s="6">
        <v>0</v>
      </c>
      <c r="F59" s="1">
        <v>1.6</v>
      </c>
      <c r="G59" s="24">
        <v>949</v>
      </c>
      <c r="H59" s="24" t="s">
        <v>397</v>
      </c>
      <c r="I59" s="2">
        <v>5000</v>
      </c>
      <c r="J59" s="2">
        <v>1500</v>
      </c>
      <c r="K59" s="4">
        <v>3500</v>
      </c>
      <c r="L59" s="557" t="s">
        <v>412</v>
      </c>
      <c r="M59" s="562">
        <v>7.9164499999999993</v>
      </c>
    </row>
    <row r="60" spans="1:13" x14ac:dyDescent="0.25">
      <c r="A60" s="2" t="s">
        <v>954</v>
      </c>
      <c r="B60" s="2" t="s">
        <v>993</v>
      </c>
      <c r="C60" s="1">
        <v>63.5</v>
      </c>
      <c r="D60" s="79">
        <v>50</v>
      </c>
      <c r="E60" s="1">
        <v>50</v>
      </c>
      <c r="F60" s="1">
        <v>1.6</v>
      </c>
      <c r="G60" s="24">
        <v>847</v>
      </c>
      <c r="H60" s="24" t="s">
        <v>397</v>
      </c>
      <c r="I60" s="2">
        <v>9000</v>
      </c>
      <c r="J60" s="2">
        <v>6214</v>
      </c>
      <c r="K60" s="4">
        <v>2786</v>
      </c>
      <c r="L60" s="557" t="s">
        <v>895</v>
      </c>
      <c r="M60" s="562">
        <v>14.279000000000003</v>
      </c>
    </row>
    <row r="61" spans="1:13" x14ac:dyDescent="0.25">
      <c r="A61" s="2" t="s">
        <v>303</v>
      </c>
      <c r="B61" s="2" t="s">
        <v>993</v>
      </c>
      <c r="C61" s="1">
        <v>63.5</v>
      </c>
      <c r="D61" s="1">
        <v>50</v>
      </c>
      <c r="E61" s="1">
        <v>50</v>
      </c>
      <c r="F61" s="1">
        <v>1.6</v>
      </c>
      <c r="G61" s="24">
        <v>847</v>
      </c>
      <c r="H61" s="24" t="s">
        <v>397</v>
      </c>
      <c r="I61" s="2">
        <v>3000</v>
      </c>
      <c r="J61" s="2">
        <v>2123</v>
      </c>
      <c r="K61" s="4">
        <v>877</v>
      </c>
      <c r="L61" s="557" t="s">
        <v>895</v>
      </c>
      <c r="M61" s="562">
        <v>14.279000000000003</v>
      </c>
    </row>
    <row r="62" spans="1:13" x14ac:dyDescent="0.25">
      <c r="A62" s="2" t="s">
        <v>955</v>
      </c>
      <c r="B62" s="2" t="s">
        <v>962</v>
      </c>
      <c r="C62" s="1">
        <v>57.15</v>
      </c>
      <c r="D62" s="1">
        <v>57.15</v>
      </c>
      <c r="E62" s="1">
        <v>0</v>
      </c>
      <c r="F62" s="1">
        <v>2.5</v>
      </c>
      <c r="G62" s="81">
        <v>376</v>
      </c>
      <c r="H62" s="24" t="s">
        <v>397</v>
      </c>
      <c r="I62" s="2">
        <v>10000</v>
      </c>
      <c r="J62" s="2">
        <v>3420</v>
      </c>
      <c r="K62" s="4">
        <v>6580</v>
      </c>
      <c r="L62" s="557" t="s">
        <v>926</v>
      </c>
      <c r="M62" s="562">
        <v>26.982918999999999</v>
      </c>
    </row>
    <row r="63" spans="1:13" x14ac:dyDescent="0.25">
      <c r="A63" s="2" t="s">
        <v>310</v>
      </c>
      <c r="B63" s="2" t="s">
        <v>993</v>
      </c>
      <c r="C63" s="1">
        <v>57.15</v>
      </c>
      <c r="D63" s="1">
        <v>57.15</v>
      </c>
      <c r="E63" s="6">
        <v>0</v>
      </c>
      <c r="F63" s="1">
        <v>2.2999999999999998</v>
      </c>
      <c r="G63" s="24">
        <v>1365</v>
      </c>
      <c r="H63" s="24" t="s">
        <v>397</v>
      </c>
      <c r="I63" s="2">
        <v>10000</v>
      </c>
      <c r="J63" s="2">
        <v>5700</v>
      </c>
      <c r="K63" s="4">
        <v>4300</v>
      </c>
      <c r="L63" s="557" t="s">
        <v>904</v>
      </c>
      <c r="M63" s="562">
        <v>95.739439999999959</v>
      </c>
    </row>
    <row r="64" spans="1:13" x14ac:dyDescent="0.25">
      <c r="A64" s="2" t="s">
        <v>955</v>
      </c>
      <c r="B64" s="2" t="s">
        <v>962</v>
      </c>
      <c r="C64" s="1">
        <v>57.15</v>
      </c>
      <c r="D64" s="1">
        <v>57.15</v>
      </c>
      <c r="E64" s="1">
        <v>0</v>
      </c>
      <c r="F64" s="1">
        <v>2.5</v>
      </c>
      <c r="G64" s="81">
        <v>772</v>
      </c>
      <c r="H64" s="24" t="s">
        <v>397</v>
      </c>
      <c r="I64" s="2">
        <v>5000</v>
      </c>
      <c r="J64" s="2">
        <v>2675</v>
      </c>
      <c r="K64" s="4">
        <v>2325</v>
      </c>
      <c r="L64" s="557" t="s">
        <v>926</v>
      </c>
      <c r="M64" s="562">
        <v>26.982918999999999</v>
      </c>
    </row>
    <row r="65" spans="1:13" x14ac:dyDescent="0.25">
      <c r="A65" s="2" t="s">
        <v>955</v>
      </c>
      <c r="B65" s="2" t="s">
        <v>962</v>
      </c>
      <c r="C65" s="1">
        <v>57.15</v>
      </c>
      <c r="D65" s="1">
        <v>57.15</v>
      </c>
      <c r="E65" s="1">
        <v>0</v>
      </c>
      <c r="F65" s="1">
        <v>2.5</v>
      </c>
      <c r="G65" s="81">
        <v>772</v>
      </c>
      <c r="H65" s="24" t="s">
        <v>397</v>
      </c>
      <c r="I65" s="2">
        <v>5000</v>
      </c>
      <c r="J65" s="2">
        <v>0</v>
      </c>
      <c r="K65" s="4">
        <v>5000</v>
      </c>
      <c r="L65" s="557" t="s">
        <v>926</v>
      </c>
      <c r="M65" s="562">
        <v>26.982918999999999</v>
      </c>
    </row>
    <row r="66" spans="1:13" x14ac:dyDescent="0.25">
      <c r="A66" s="2" t="s">
        <v>955</v>
      </c>
      <c r="B66" s="2" t="s">
        <v>962</v>
      </c>
      <c r="C66" s="1">
        <v>60.3</v>
      </c>
      <c r="D66" s="1">
        <v>60.3</v>
      </c>
      <c r="E66" s="1">
        <v>0</v>
      </c>
      <c r="F66" s="1">
        <v>2</v>
      </c>
      <c r="G66" s="81">
        <v>491</v>
      </c>
      <c r="H66" s="24" t="s">
        <v>397</v>
      </c>
      <c r="I66" s="2">
        <v>8000</v>
      </c>
      <c r="J66" s="2">
        <v>2020</v>
      </c>
      <c r="K66" s="4">
        <v>5980</v>
      </c>
      <c r="L66" s="557" t="s">
        <v>1070</v>
      </c>
      <c r="M66" s="562">
        <v>31.475839999999998</v>
      </c>
    </row>
    <row r="67" spans="1:13" x14ac:dyDescent="0.25">
      <c r="A67" s="2" t="s">
        <v>290</v>
      </c>
      <c r="B67" s="2" t="s">
        <v>962</v>
      </c>
      <c r="C67" s="1">
        <v>60.3</v>
      </c>
      <c r="D67" s="1">
        <v>60.3</v>
      </c>
      <c r="E67" s="1">
        <v>0</v>
      </c>
      <c r="F67" s="112">
        <v>2</v>
      </c>
      <c r="G67" s="24">
        <v>525</v>
      </c>
      <c r="H67" s="22" t="s">
        <v>397</v>
      </c>
      <c r="I67" s="2">
        <v>6000</v>
      </c>
      <c r="J67" s="2">
        <v>0</v>
      </c>
      <c r="K67" s="4">
        <v>6000</v>
      </c>
      <c r="L67" s="557" t="s">
        <v>1070</v>
      </c>
      <c r="M67" s="562">
        <v>31.475839999999998</v>
      </c>
    </row>
    <row r="68" spans="1:13" x14ac:dyDescent="0.25">
      <c r="A68" s="2" t="s">
        <v>303</v>
      </c>
      <c r="B68" s="2" t="s">
        <v>962</v>
      </c>
      <c r="C68" s="1">
        <v>63.5</v>
      </c>
      <c r="D68" s="1">
        <v>63.5</v>
      </c>
      <c r="E68" s="1">
        <v>0</v>
      </c>
      <c r="F68" s="1">
        <v>4</v>
      </c>
      <c r="G68" s="22">
        <v>234</v>
      </c>
      <c r="H68" s="22" t="s">
        <v>397</v>
      </c>
      <c r="I68" s="2">
        <v>6000</v>
      </c>
      <c r="J68" s="2">
        <v>1005</v>
      </c>
      <c r="K68" s="4">
        <v>4995</v>
      </c>
      <c r="L68" s="557" t="s">
        <v>872</v>
      </c>
      <c r="M68" s="562">
        <v>3.2685469999999999</v>
      </c>
    </row>
    <row r="69" spans="1:13" x14ac:dyDescent="0.25">
      <c r="A69" s="2" t="s">
        <v>954</v>
      </c>
      <c r="B69" s="2" t="s">
        <v>962</v>
      </c>
      <c r="C69" s="1">
        <v>63.5</v>
      </c>
      <c r="D69" s="79">
        <v>63.5</v>
      </c>
      <c r="E69" s="1">
        <v>0</v>
      </c>
      <c r="F69" s="1">
        <v>4</v>
      </c>
      <c r="G69" s="22">
        <v>236</v>
      </c>
      <c r="H69" s="22" t="s">
        <v>397</v>
      </c>
      <c r="I69" s="2">
        <v>18000</v>
      </c>
      <c r="J69" s="2">
        <v>5690</v>
      </c>
      <c r="K69" s="4">
        <v>12310</v>
      </c>
      <c r="L69" s="557" t="s">
        <v>872</v>
      </c>
      <c r="M69" s="562">
        <v>3.2685469999999999</v>
      </c>
    </row>
    <row r="70" spans="1:13" x14ac:dyDescent="0.25">
      <c r="A70" s="2" t="s">
        <v>954</v>
      </c>
      <c r="B70" s="2" t="s">
        <v>993</v>
      </c>
      <c r="C70" s="1">
        <v>70</v>
      </c>
      <c r="D70" s="79">
        <v>70</v>
      </c>
      <c r="E70" s="1">
        <v>0</v>
      </c>
      <c r="F70" s="112">
        <v>3.2</v>
      </c>
      <c r="G70" s="22">
        <v>490</v>
      </c>
      <c r="H70" s="22" t="s">
        <v>397</v>
      </c>
      <c r="I70" s="2">
        <v>9000</v>
      </c>
      <c r="J70" s="2">
        <v>2544</v>
      </c>
      <c r="K70" s="4">
        <v>6456</v>
      </c>
      <c r="L70" s="557" t="s">
        <v>914</v>
      </c>
      <c r="M70" s="562">
        <v>3.01</v>
      </c>
    </row>
    <row r="71" spans="1:13" x14ac:dyDescent="0.25">
      <c r="A71" s="2" t="s">
        <v>303</v>
      </c>
      <c r="B71" s="2" t="s">
        <v>993</v>
      </c>
      <c r="C71" s="1">
        <v>70</v>
      </c>
      <c r="D71" s="1">
        <v>70</v>
      </c>
      <c r="E71" s="1">
        <v>0</v>
      </c>
      <c r="F71" s="112">
        <v>3.2</v>
      </c>
      <c r="G71" s="22">
        <v>512</v>
      </c>
      <c r="H71" s="23" t="s">
        <v>397</v>
      </c>
      <c r="I71" s="2">
        <v>2500</v>
      </c>
      <c r="J71" s="2">
        <v>150</v>
      </c>
      <c r="K71" s="4">
        <v>2350</v>
      </c>
      <c r="L71" s="2" t="s">
        <v>914</v>
      </c>
      <c r="M71" s="3">
        <v>3.01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E366-CBEA-4097-AF44-0AF63B062AF9}">
  <dimension ref="A1:X79"/>
  <sheetViews>
    <sheetView topLeftCell="C1" workbookViewId="0">
      <selection activeCell="A5" sqref="A5"/>
    </sheetView>
  </sheetViews>
  <sheetFormatPr defaultRowHeight="15" x14ac:dyDescent="0.25"/>
  <cols>
    <col min="1" max="1" width="11.7109375" customWidth="1"/>
    <col min="3" max="3" width="13.28515625" customWidth="1"/>
    <col min="6" max="6" width="11.42578125" customWidth="1"/>
    <col min="7" max="7" width="10.140625" customWidth="1"/>
    <col min="9" max="9" width="17.85546875" customWidth="1"/>
    <col min="10" max="10" width="11.85546875" customWidth="1"/>
    <col min="11" max="11" width="13.140625" customWidth="1"/>
    <col min="12" max="12" width="22.42578125" bestFit="1" customWidth="1"/>
    <col min="13" max="14" width="14.42578125" customWidth="1"/>
  </cols>
  <sheetData>
    <row r="1" spans="1:24" x14ac:dyDescent="0.25">
      <c r="I1" s="108">
        <f>SUBTOTAL(9,Table37[SCHEDULE in nos])</f>
        <v>439963</v>
      </c>
      <c r="J1" s="108">
        <f>SUBTOTAL(9,Table37[DISPATCH])</f>
        <v>110353</v>
      </c>
      <c r="K1" s="108">
        <f>SUBTOTAL(9,Table37[BAL IN NOS])</f>
        <v>329610</v>
      </c>
      <c r="N1" s="554">
        <f>SUBTOTAL(9,Table37[CTL to be planned as per capacity constraint])</f>
        <v>282571</v>
      </c>
      <c r="O1">
        <f>SUBTOTAL(9,Table37[22])</f>
        <v>0</v>
      </c>
      <c r="P1">
        <f>SUBTOTAL(9,Table37[23])</f>
        <v>0</v>
      </c>
      <c r="Q1">
        <f>SUBTOTAL(9,Table37[24])</f>
        <v>0</v>
      </c>
      <c r="R1">
        <f>SUBTOTAL(9,Table37[25])</f>
        <v>0</v>
      </c>
      <c r="S1">
        <f>SUBTOTAL(9,Table37[26])</f>
        <v>0</v>
      </c>
      <c r="T1">
        <f>SUBTOTAL(9,Table37[27])</f>
        <v>0</v>
      </c>
      <c r="U1">
        <f>SUBTOTAL(9,Table37[28])</f>
        <v>0</v>
      </c>
      <c r="V1">
        <f>SUBTOTAL(9,Table37[29])</f>
        <v>0</v>
      </c>
      <c r="W1">
        <f>SUBTOTAL(9,Table37[30])</f>
        <v>0</v>
      </c>
      <c r="X1">
        <f>SUBTOTAL(9,Table37[31])</f>
        <v>0</v>
      </c>
    </row>
    <row r="2" spans="1:24" ht="60" x14ac:dyDescent="0.25">
      <c r="A2" s="553" t="s">
        <v>258</v>
      </c>
      <c r="B2" s="37" t="s">
        <v>199</v>
      </c>
      <c r="C2" s="38" t="s">
        <v>937</v>
      </c>
      <c r="D2" s="38" t="s">
        <v>316</v>
      </c>
      <c r="E2" s="38" t="s">
        <v>317</v>
      </c>
      <c r="F2" s="38" t="s">
        <v>938</v>
      </c>
      <c r="G2" s="38" t="s">
        <v>319</v>
      </c>
      <c r="H2" s="38" t="s">
        <v>939</v>
      </c>
      <c r="I2" s="39" t="s">
        <v>1856</v>
      </c>
      <c r="J2" s="40" t="s">
        <v>940</v>
      </c>
      <c r="K2" s="41" t="s">
        <v>941</v>
      </c>
      <c r="L2" s="37" t="s">
        <v>261</v>
      </c>
      <c r="M2" s="551" t="s">
        <v>1852</v>
      </c>
      <c r="N2" s="551" t="s">
        <v>2156</v>
      </c>
      <c r="O2" s="89" t="s">
        <v>2157</v>
      </c>
      <c r="P2" s="89" t="s">
        <v>2158</v>
      </c>
      <c r="Q2" s="89" t="s">
        <v>2159</v>
      </c>
      <c r="R2" s="89" t="s">
        <v>2160</v>
      </c>
      <c r="S2" s="89" t="s">
        <v>2161</v>
      </c>
      <c r="T2" s="89" t="s">
        <v>2162</v>
      </c>
      <c r="U2" s="89" t="s">
        <v>2163</v>
      </c>
      <c r="V2" s="89" t="s">
        <v>2164</v>
      </c>
      <c r="W2" s="89" t="s">
        <v>2165</v>
      </c>
      <c r="X2" s="89" t="s">
        <v>2166</v>
      </c>
    </row>
    <row r="3" spans="1:24" x14ac:dyDescent="0.25">
      <c r="A3" s="552" t="s">
        <v>948</v>
      </c>
      <c r="B3" s="2" t="s">
        <v>962</v>
      </c>
      <c r="C3" s="1">
        <v>19.05</v>
      </c>
      <c r="D3" s="1">
        <v>19.05</v>
      </c>
      <c r="E3" s="1">
        <v>0</v>
      </c>
      <c r="F3" s="1">
        <v>2.2999999999999998</v>
      </c>
      <c r="G3" s="24">
        <v>255</v>
      </c>
      <c r="H3" s="24" t="s">
        <v>397</v>
      </c>
      <c r="I3" s="2">
        <v>6000</v>
      </c>
      <c r="J3" s="2">
        <v>0</v>
      </c>
      <c r="K3" s="4">
        <v>6000</v>
      </c>
      <c r="L3" s="557" t="s">
        <v>407</v>
      </c>
      <c r="M3" s="3">
        <v>13.504943000000004</v>
      </c>
      <c r="N3" s="3">
        <f>Table37[[#This Row],[BAL IN NOS]]</f>
        <v>6000</v>
      </c>
      <c r="O3" s="15"/>
      <c r="P3" s="15"/>
      <c r="Q3" s="15"/>
      <c r="R3" s="15"/>
      <c r="S3" s="15"/>
      <c r="T3" s="15"/>
      <c r="U3" s="15"/>
      <c r="V3" s="15"/>
      <c r="W3" s="15"/>
      <c r="X3" s="15"/>
    </row>
    <row r="4" spans="1:24" x14ac:dyDescent="0.25">
      <c r="A4" s="552" t="s">
        <v>948</v>
      </c>
      <c r="B4" s="2" t="s">
        <v>962</v>
      </c>
      <c r="C4" s="1">
        <v>19.05</v>
      </c>
      <c r="D4" s="1">
        <v>19.05</v>
      </c>
      <c r="E4" s="1">
        <v>0</v>
      </c>
      <c r="F4" s="1">
        <v>2.2999999999999998</v>
      </c>
      <c r="G4" s="24">
        <v>285</v>
      </c>
      <c r="H4" s="24" t="s">
        <v>397</v>
      </c>
      <c r="I4" s="2">
        <v>7000</v>
      </c>
      <c r="J4" s="2">
        <v>0</v>
      </c>
      <c r="K4" s="4">
        <v>7000</v>
      </c>
      <c r="L4" s="557" t="s">
        <v>407</v>
      </c>
      <c r="M4" s="3">
        <v>13.504943000000004</v>
      </c>
      <c r="N4" s="3">
        <f>Table37[[#This Row],[BAL IN NOS]]</f>
        <v>7000</v>
      </c>
      <c r="O4" s="15"/>
      <c r="P4" s="15"/>
      <c r="Q4" s="15"/>
      <c r="R4" s="15"/>
      <c r="S4" s="15"/>
      <c r="T4" s="15"/>
      <c r="U4" s="15"/>
      <c r="V4" s="15"/>
      <c r="W4" s="15"/>
      <c r="X4" s="15"/>
    </row>
    <row r="5" spans="1:24" hidden="1" x14ac:dyDescent="0.25">
      <c r="A5" s="552" t="s">
        <v>948</v>
      </c>
      <c r="B5" s="2" t="s">
        <v>962</v>
      </c>
      <c r="C5" s="6">
        <v>17.3</v>
      </c>
      <c r="D5" s="6">
        <v>17.3</v>
      </c>
      <c r="E5" s="1">
        <v>0</v>
      </c>
      <c r="F5" s="1">
        <v>1.6</v>
      </c>
      <c r="G5" s="24">
        <v>355</v>
      </c>
      <c r="H5" s="24" t="s">
        <v>397</v>
      </c>
      <c r="I5" s="2">
        <v>15000</v>
      </c>
      <c r="J5" s="2">
        <v>18000</v>
      </c>
      <c r="K5" s="4">
        <v>-3000</v>
      </c>
      <c r="L5" s="557" t="s">
        <v>978</v>
      </c>
      <c r="M5" s="3">
        <v>11.246831000000002</v>
      </c>
      <c r="N5" s="3"/>
      <c r="O5" s="15"/>
      <c r="P5" s="15"/>
      <c r="Q5" s="15"/>
      <c r="R5" s="15"/>
      <c r="S5" s="15"/>
      <c r="T5" s="15"/>
      <c r="U5" s="15"/>
      <c r="V5" s="15"/>
      <c r="W5" s="15"/>
      <c r="X5" s="15"/>
    </row>
    <row r="6" spans="1:24" x14ac:dyDescent="0.25">
      <c r="A6" s="552" t="s">
        <v>948</v>
      </c>
      <c r="B6" s="2" t="s">
        <v>962</v>
      </c>
      <c r="C6" s="6">
        <v>17.3</v>
      </c>
      <c r="D6" s="6">
        <v>17.3</v>
      </c>
      <c r="E6" s="1">
        <v>0</v>
      </c>
      <c r="F6" s="1">
        <v>1.6</v>
      </c>
      <c r="G6" s="24">
        <v>400</v>
      </c>
      <c r="H6" s="24" t="s">
        <v>397</v>
      </c>
      <c r="I6" s="2">
        <v>25000</v>
      </c>
      <c r="J6" s="2">
        <v>7400</v>
      </c>
      <c r="K6" s="4">
        <v>17600</v>
      </c>
      <c r="L6" s="557" t="s">
        <v>978</v>
      </c>
      <c r="M6" s="3">
        <v>11.246831000000002</v>
      </c>
      <c r="N6" s="3">
        <f>Table37[[#This Row],[BAL IN NOS]]</f>
        <v>17600</v>
      </c>
      <c r="O6" s="15"/>
      <c r="P6" s="15"/>
      <c r="Q6" s="15"/>
      <c r="R6" s="15"/>
      <c r="S6" s="15"/>
      <c r="T6" s="15"/>
      <c r="U6" s="15"/>
      <c r="V6" s="15"/>
      <c r="W6" s="15"/>
      <c r="X6" s="15"/>
    </row>
    <row r="7" spans="1:24" x14ac:dyDescent="0.25">
      <c r="A7" s="552" t="s">
        <v>948</v>
      </c>
      <c r="B7" s="2" t="s">
        <v>962</v>
      </c>
      <c r="C7" s="1">
        <v>19.05</v>
      </c>
      <c r="D7" s="1">
        <v>19.05</v>
      </c>
      <c r="E7" s="1">
        <v>0</v>
      </c>
      <c r="F7" s="1">
        <v>2.2999999999999998</v>
      </c>
      <c r="G7" s="24">
        <v>303</v>
      </c>
      <c r="H7" s="24" t="s">
        <v>397</v>
      </c>
      <c r="I7" s="2">
        <v>14000</v>
      </c>
      <c r="J7" s="2">
        <v>0</v>
      </c>
      <c r="K7" s="4">
        <v>14000</v>
      </c>
      <c r="L7" s="557" t="s">
        <v>407</v>
      </c>
      <c r="M7" s="3">
        <v>13.504943000000004</v>
      </c>
      <c r="N7" s="3">
        <f>Table37[[#This Row],[BAL IN NOS]]</f>
        <v>14000</v>
      </c>
      <c r="O7" s="15"/>
      <c r="P7" s="15"/>
      <c r="Q7" s="15"/>
      <c r="R7" s="15"/>
      <c r="S7" s="15"/>
      <c r="T7" s="15"/>
      <c r="U7" s="15"/>
      <c r="V7" s="15"/>
      <c r="W7" s="15"/>
      <c r="X7" s="15"/>
    </row>
    <row r="8" spans="1:24" x14ac:dyDescent="0.25">
      <c r="A8" s="552" t="s">
        <v>303</v>
      </c>
      <c r="B8" s="2" t="s">
        <v>357</v>
      </c>
      <c r="C8" s="1">
        <v>20</v>
      </c>
      <c r="D8" s="1">
        <v>20</v>
      </c>
      <c r="E8" s="1">
        <v>17.16</v>
      </c>
      <c r="F8" s="1">
        <v>1.42</v>
      </c>
      <c r="G8" s="24">
        <v>273</v>
      </c>
      <c r="H8" s="24" t="s">
        <v>397</v>
      </c>
      <c r="I8" s="2">
        <v>12000</v>
      </c>
      <c r="J8" s="2">
        <v>3000</v>
      </c>
      <c r="K8" s="4">
        <v>9000</v>
      </c>
      <c r="L8" s="557" t="s">
        <v>724</v>
      </c>
      <c r="M8" s="3">
        <v>10.409594999999999</v>
      </c>
      <c r="N8" s="3">
        <v>9000</v>
      </c>
      <c r="O8" s="15"/>
      <c r="P8" s="15"/>
      <c r="Q8" s="15"/>
      <c r="R8" s="15"/>
      <c r="S8" s="15"/>
      <c r="T8" s="15"/>
      <c r="U8" s="15"/>
      <c r="V8" s="15"/>
      <c r="W8" s="15"/>
      <c r="X8" s="15"/>
    </row>
    <row r="9" spans="1:24" x14ac:dyDescent="0.25">
      <c r="A9" s="552" t="s">
        <v>303</v>
      </c>
      <c r="B9" s="2" t="s">
        <v>993</v>
      </c>
      <c r="C9" s="1">
        <v>63.5</v>
      </c>
      <c r="D9" s="1">
        <v>50</v>
      </c>
      <c r="E9" s="1">
        <v>50</v>
      </c>
      <c r="F9" s="1">
        <v>1.6</v>
      </c>
      <c r="G9" s="24">
        <v>847</v>
      </c>
      <c r="H9" s="24" t="s">
        <v>397</v>
      </c>
      <c r="I9" s="2">
        <v>3000</v>
      </c>
      <c r="J9" s="2">
        <v>2123</v>
      </c>
      <c r="K9" s="4">
        <v>877</v>
      </c>
      <c r="L9" s="557" t="s">
        <v>895</v>
      </c>
      <c r="M9" s="3">
        <v>29.221966000000016</v>
      </c>
      <c r="N9" s="3">
        <v>877</v>
      </c>
      <c r="O9" s="15"/>
      <c r="P9" s="15"/>
      <c r="Q9" s="15"/>
      <c r="R9" s="15"/>
      <c r="S9" s="15"/>
      <c r="T9" s="15"/>
      <c r="U9" s="15"/>
      <c r="V9" s="15"/>
      <c r="W9" s="15"/>
      <c r="X9" s="15"/>
    </row>
    <row r="10" spans="1:24" x14ac:dyDescent="0.25">
      <c r="A10" s="552" t="s">
        <v>303</v>
      </c>
      <c r="B10" s="2" t="s">
        <v>993</v>
      </c>
      <c r="C10" s="1">
        <v>54</v>
      </c>
      <c r="D10" s="1">
        <v>54</v>
      </c>
      <c r="E10" s="1">
        <v>0</v>
      </c>
      <c r="F10" s="1">
        <v>3</v>
      </c>
      <c r="G10" s="24">
        <v>1140</v>
      </c>
      <c r="H10" s="24" t="s">
        <v>397</v>
      </c>
      <c r="I10" s="2">
        <v>3500</v>
      </c>
      <c r="J10" s="2">
        <v>1980</v>
      </c>
      <c r="K10" s="4">
        <v>1520</v>
      </c>
      <c r="L10" s="557" t="s">
        <v>920</v>
      </c>
      <c r="M10" s="3">
        <v>8.1115779999999997</v>
      </c>
      <c r="N10" s="3">
        <f>Table37[[#This Row],[BAL IN NOS]]</f>
        <v>1520</v>
      </c>
      <c r="O10" s="15"/>
      <c r="P10" s="15"/>
      <c r="Q10" s="15"/>
      <c r="R10" s="15"/>
      <c r="S10" s="15"/>
      <c r="T10" s="15"/>
      <c r="U10" s="15"/>
      <c r="V10" s="15"/>
      <c r="W10" s="15"/>
      <c r="X10" s="15"/>
    </row>
    <row r="11" spans="1:24" x14ac:dyDescent="0.25">
      <c r="A11" s="552" t="s">
        <v>303</v>
      </c>
      <c r="B11" s="2" t="s">
        <v>962</v>
      </c>
      <c r="C11" s="1">
        <v>63.5</v>
      </c>
      <c r="D11" s="1">
        <v>63.5</v>
      </c>
      <c r="E11" s="1">
        <v>0</v>
      </c>
      <c r="F11" s="1">
        <v>4</v>
      </c>
      <c r="G11" s="22">
        <v>234</v>
      </c>
      <c r="H11" s="22" t="s">
        <v>397</v>
      </c>
      <c r="I11" s="2">
        <v>6000</v>
      </c>
      <c r="J11" s="2">
        <v>1005</v>
      </c>
      <c r="K11" s="4">
        <v>4995</v>
      </c>
      <c r="L11" s="557" t="s">
        <v>872</v>
      </c>
      <c r="M11" s="3">
        <v>60.795487000000008</v>
      </c>
      <c r="N11" s="3">
        <f>Table37[[#This Row],[BAL IN NOS]]</f>
        <v>4995</v>
      </c>
      <c r="O11" s="15"/>
      <c r="P11" s="15"/>
      <c r="Q11" s="15"/>
      <c r="R11" s="15"/>
      <c r="S11" s="15"/>
      <c r="T11" s="15"/>
      <c r="U11" s="15"/>
      <c r="V11" s="15"/>
      <c r="W11" s="15"/>
      <c r="X11" s="15"/>
    </row>
    <row r="12" spans="1:24" hidden="1" x14ac:dyDescent="0.25">
      <c r="A12" s="552" t="s">
        <v>289</v>
      </c>
      <c r="B12" s="2" t="s">
        <v>357</v>
      </c>
      <c r="C12" s="1">
        <v>25.4</v>
      </c>
      <c r="D12" s="1">
        <v>25.4</v>
      </c>
      <c r="E12" s="1">
        <v>0</v>
      </c>
      <c r="F12" s="1">
        <v>2.5</v>
      </c>
      <c r="G12" s="24">
        <v>217</v>
      </c>
      <c r="H12" s="24" t="s">
        <v>397</v>
      </c>
      <c r="I12" s="2">
        <v>8000</v>
      </c>
      <c r="J12" s="2">
        <v>8000</v>
      </c>
      <c r="K12" s="4">
        <v>0</v>
      </c>
      <c r="L12" s="557" t="s">
        <v>806</v>
      </c>
      <c r="M12" s="3">
        <v>14.297749000000001</v>
      </c>
      <c r="N12" s="3"/>
      <c r="O12" s="15"/>
      <c r="P12" s="15"/>
      <c r="Q12" s="15"/>
      <c r="R12" s="15"/>
      <c r="S12" s="15"/>
      <c r="T12" s="15"/>
      <c r="U12" s="15"/>
      <c r="V12" s="15"/>
      <c r="W12" s="15"/>
      <c r="X12" s="15"/>
    </row>
    <row r="13" spans="1:24" hidden="1" x14ac:dyDescent="0.25">
      <c r="A13" s="552" t="s">
        <v>289</v>
      </c>
      <c r="B13" s="2" t="s">
        <v>357</v>
      </c>
      <c r="C13" s="1">
        <v>30.15</v>
      </c>
      <c r="D13" s="1">
        <v>30</v>
      </c>
      <c r="E13" s="1">
        <v>25.5</v>
      </c>
      <c r="F13" s="1">
        <v>2.25</v>
      </c>
      <c r="G13" s="24">
        <v>485</v>
      </c>
      <c r="H13" s="24" t="s">
        <v>397</v>
      </c>
      <c r="I13" s="2">
        <v>30000</v>
      </c>
      <c r="J13" s="2">
        <v>28500.000000000004</v>
      </c>
      <c r="K13" s="4">
        <v>1499.9999999999964</v>
      </c>
      <c r="L13" s="557" t="s">
        <v>827</v>
      </c>
      <c r="M13" s="3">
        <v>24.270109999999999</v>
      </c>
      <c r="N13" s="3"/>
      <c r="O13" s="15"/>
      <c r="P13" s="15"/>
      <c r="Q13" s="15"/>
      <c r="R13" s="15"/>
      <c r="S13" s="15"/>
      <c r="T13" s="15"/>
      <c r="U13" s="15"/>
      <c r="V13" s="15"/>
      <c r="W13" s="15"/>
      <c r="X13" s="15"/>
    </row>
    <row r="14" spans="1:24" x14ac:dyDescent="0.25">
      <c r="A14" s="552" t="s">
        <v>289</v>
      </c>
      <c r="B14" s="2" t="s">
        <v>357</v>
      </c>
      <c r="C14" s="1">
        <v>39</v>
      </c>
      <c r="D14" s="1">
        <v>39</v>
      </c>
      <c r="E14" s="1">
        <v>34</v>
      </c>
      <c r="F14" s="1">
        <v>2.5</v>
      </c>
      <c r="G14" s="24">
        <v>272</v>
      </c>
      <c r="H14" s="24" t="s">
        <v>397</v>
      </c>
      <c r="I14" s="2">
        <v>15000</v>
      </c>
      <c r="J14" s="2">
        <v>5000</v>
      </c>
      <c r="K14" s="4">
        <v>10000</v>
      </c>
      <c r="L14" s="557" t="s">
        <v>869</v>
      </c>
      <c r="M14" s="3">
        <v>38.132675999999996</v>
      </c>
      <c r="N14" s="3">
        <f>Table37[[#This Row],[BAL IN NOS]]</f>
        <v>10000</v>
      </c>
      <c r="O14" s="15"/>
      <c r="P14" s="15"/>
      <c r="Q14" s="15"/>
      <c r="R14" s="15"/>
      <c r="S14" s="15"/>
      <c r="T14" s="15"/>
      <c r="U14" s="15"/>
      <c r="V14" s="15"/>
      <c r="W14" s="15"/>
      <c r="X14" s="15"/>
    </row>
    <row r="15" spans="1:24" hidden="1" x14ac:dyDescent="0.25">
      <c r="A15" s="552" t="s">
        <v>290</v>
      </c>
      <c r="B15" s="2" t="s">
        <v>962</v>
      </c>
      <c r="C15" s="1">
        <v>38.1</v>
      </c>
      <c r="D15" s="1">
        <v>38.1</v>
      </c>
      <c r="E15" s="1">
        <v>0</v>
      </c>
      <c r="F15" s="1">
        <v>1.6</v>
      </c>
      <c r="G15" s="24">
        <v>821</v>
      </c>
      <c r="H15" s="24" t="s">
        <v>397</v>
      </c>
      <c r="I15" s="2">
        <v>2500</v>
      </c>
      <c r="J15" s="2">
        <v>935</v>
      </c>
      <c r="K15" s="4">
        <v>1565</v>
      </c>
      <c r="L15" s="557" t="s">
        <v>1043</v>
      </c>
      <c r="M15" s="3">
        <v>9.8057750000000006</v>
      </c>
      <c r="N15" s="3"/>
      <c r="O15" s="15"/>
      <c r="P15" s="15"/>
      <c r="Q15" s="15"/>
      <c r="R15" s="15"/>
      <c r="S15" s="15"/>
      <c r="T15" s="15"/>
      <c r="U15" s="15"/>
      <c r="V15" s="15"/>
      <c r="W15" s="15"/>
      <c r="X15" s="15"/>
    </row>
    <row r="16" spans="1:24" hidden="1" x14ac:dyDescent="0.25">
      <c r="A16" s="552" t="s">
        <v>290</v>
      </c>
      <c r="B16" s="2" t="s">
        <v>962</v>
      </c>
      <c r="C16" s="1">
        <v>44.45</v>
      </c>
      <c r="D16" s="1">
        <v>40</v>
      </c>
      <c r="E16" s="1">
        <v>30</v>
      </c>
      <c r="F16" s="1">
        <v>1.6</v>
      </c>
      <c r="G16" s="24">
        <v>835</v>
      </c>
      <c r="H16" s="24" t="s">
        <v>397</v>
      </c>
      <c r="I16" s="2">
        <v>16000</v>
      </c>
      <c r="J16" s="2">
        <v>4500</v>
      </c>
      <c r="K16" s="4">
        <v>11500</v>
      </c>
      <c r="L16" s="557" t="s">
        <v>586</v>
      </c>
      <c r="M16" s="3">
        <v>11.456837999999999</v>
      </c>
      <c r="N16" s="3"/>
      <c r="O16" s="15"/>
      <c r="P16" s="15"/>
      <c r="Q16" s="15"/>
      <c r="R16" s="15"/>
      <c r="S16" s="15"/>
      <c r="T16" s="15"/>
      <c r="U16" s="15"/>
      <c r="V16" s="15"/>
      <c r="W16" s="15"/>
      <c r="X16" s="15"/>
    </row>
    <row r="17" spans="1:24" hidden="1" x14ac:dyDescent="0.25">
      <c r="A17" s="552" t="s">
        <v>290</v>
      </c>
      <c r="B17" s="2" t="s">
        <v>962</v>
      </c>
      <c r="C17" s="1">
        <v>44.45</v>
      </c>
      <c r="D17" s="1">
        <v>40</v>
      </c>
      <c r="E17" s="1">
        <v>30</v>
      </c>
      <c r="F17" s="1">
        <v>1.6</v>
      </c>
      <c r="G17" s="24">
        <v>880</v>
      </c>
      <c r="H17" s="24" t="s">
        <v>397</v>
      </c>
      <c r="I17" s="2">
        <v>4000</v>
      </c>
      <c r="J17" s="2">
        <v>885</v>
      </c>
      <c r="K17" s="4">
        <v>3115</v>
      </c>
      <c r="L17" s="557" t="s">
        <v>586</v>
      </c>
      <c r="M17" s="3">
        <v>11.456837999999999</v>
      </c>
      <c r="N17" s="3"/>
      <c r="O17" s="15"/>
      <c r="P17" s="15"/>
      <c r="Q17" s="15"/>
      <c r="R17" s="15"/>
      <c r="S17" s="15"/>
      <c r="T17" s="15"/>
      <c r="U17" s="15"/>
      <c r="V17" s="15"/>
      <c r="W17" s="15"/>
      <c r="X17" s="15"/>
    </row>
    <row r="18" spans="1:24" hidden="1" x14ac:dyDescent="0.25">
      <c r="A18" s="552" t="s">
        <v>290</v>
      </c>
      <c r="B18" s="2" t="s">
        <v>962</v>
      </c>
      <c r="C18" s="1">
        <v>42.7</v>
      </c>
      <c r="D18" s="1">
        <v>42.7</v>
      </c>
      <c r="E18" s="1">
        <v>0</v>
      </c>
      <c r="F18" s="1">
        <v>3.5</v>
      </c>
      <c r="G18" s="24">
        <v>210</v>
      </c>
      <c r="H18" s="24" t="s">
        <v>397</v>
      </c>
      <c r="I18" s="2">
        <v>3000</v>
      </c>
      <c r="J18" s="2">
        <v>0</v>
      </c>
      <c r="K18" s="4">
        <v>3000</v>
      </c>
      <c r="L18" s="557" t="s">
        <v>875</v>
      </c>
      <c r="M18" s="3">
        <v>50.950525999999989</v>
      </c>
      <c r="N18" s="3"/>
      <c r="O18" s="15"/>
      <c r="P18" s="15"/>
      <c r="Q18" s="15"/>
      <c r="R18" s="15"/>
      <c r="S18" s="15"/>
      <c r="T18" s="15"/>
      <c r="U18" s="15"/>
      <c r="V18" s="15"/>
      <c r="W18" s="15"/>
      <c r="X18" s="15"/>
    </row>
    <row r="19" spans="1:24" hidden="1" x14ac:dyDescent="0.25">
      <c r="A19" s="552" t="s">
        <v>290</v>
      </c>
      <c r="B19" s="2" t="s">
        <v>962</v>
      </c>
      <c r="C19" s="1">
        <v>42.7</v>
      </c>
      <c r="D19" s="1">
        <v>42.7</v>
      </c>
      <c r="E19" s="1">
        <v>0</v>
      </c>
      <c r="F19" s="1">
        <v>4</v>
      </c>
      <c r="G19" s="24">
        <v>235</v>
      </c>
      <c r="H19" s="24" t="s">
        <v>397</v>
      </c>
      <c r="I19" s="2">
        <v>7000</v>
      </c>
      <c r="J19" s="2">
        <v>0</v>
      </c>
      <c r="K19" s="4">
        <v>7000</v>
      </c>
      <c r="L19" s="557" t="s">
        <v>891</v>
      </c>
      <c r="M19" s="3">
        <v>4.4653890000000001</v>
      </c>
      <c r="N19" s="3"/>
      <c r="O19" s="15"/>
      <c r="P19" s="15"/>
      <c r="Q19" s="15"/>
      <c r="R19" s="15"/>
      <c r="S19" s="15"/>
      <c r="T19" s="15"/>
      <c r="U19" s="15"/>
      <c r="V19" s="15"/>
      <c r="W19" s="15"/>
      <c r="X19" s="15"/>
    </row>
    <row r="20" spans="1:24" hidden="1" x14ac:dyDescent="0.25">
      <c r="A20" s="552" t="s">
        <v>951</v>
      </c>
      <c r="B20" s="2" t="s">
        <v>357</v>
      </c>
      <c r="C20" s="1">
        <v>25.4</v>
      </c>
      <c r="D20" s="1">
        <v>25.4</v>
      </c>
      <c r="E20" s="1">
        <v>18.399999999999999</v>
      </c>
      <c r="F20" s="1">
        <v>3.5</v>
      </c>
      <c r="G20" s="24">
        <v>247</v>
      </c>
      <c r="H20" s="24" t="s">
        <v>397</v>
      </c>
      <c r="I20" s="2">
        <v>34000</v>
      </c>
      <c r="J20" s="2">
        <v>0</v>
      </c>
      <c r="K20" s="4">
        <v>34000</v>
      </c>
      <c r="L20" s="557" t="s">
        <v>404</v>
      </c>
      <c r="M20" s="3">
        <v>69.686067999999977</v>
      </c>
      <c r="N20" s="3"/>
      <c r="O20" s="15"/>
      <c r="P20" s="15"/>
      <c r="Q20" s="15"/>
      <c r="R20" s="15"/>
      <c r="S20" s="15"/>
      <c r="T20" s="15"/>
      <c r="U20" s="15"/>
      <c r="V20" s="15"/>
      <c r="W20" s="15"/>
      <c r="X20" s="15"/>
    </row>
    <row r="21" spans="1:24" hidden="1" x14ac:dyDescent="0.25">
      <c r="A21" s="552" t="s">
        <v>951</v>
      </c>
      <c r="B21" s="2" t="s">
        <v>357</v>
      </c>
      <c r="C21" s="1">
        <v>25.4</v>
      </c>
      <c r="D21" s="1">
        <v>25.4</v>
      </c>
      <c r="E21" s="1">
        <v>18.399999999999999</v>
      </c>
      <c r="F21" s="1">
        <v>3.5</v>
      </c>
      <c r="G21" s="24">
        <v>263</v>
      </c>
      <c r="H21" s="24" t="s">
        <v>397</v>
      </c>
      <c r="I21" s="2">
        <v>24000</v>
      </c>
      <c r="J21" s="2">
        <v>0</v>
      </c>
      <c r="K21" s="4">
        <v>24000</v>
      </c>
      <c r="L21" s="557" t="s">
        <v>404</v>
      </c>
      <c r="M21" s="3">
        <v>69.686067999999977</v>
      </c>
      <c r="N21" s="3"/>
      <c r="O21" s="15"/>
      <c r="P21" s="15"/>
      <c r="Q21" s="15"/>
      <c r="R21" s="15"/>
      <c r="S21" s="15"/>
      <c r="T21" s="15"/>
      <c r="U21" s="15"/>
      <c r="V21" s="15"/>
      <c r="W21" s="15"/>
      <c r="X21" s="15"/>
    </row>
    <row r="22" spans="1:24" hidden="1" x14ac:dyDescent="0.25">
      <c r="A22" s="552" t="s">
        <v>951</v>
      </c>
      <c r="B22" s="2" t="s">
        <v>1024</v>
      </c>
      <c r="C22" s="1">
        <v>29.4</v>
      </c>
      <c r="D22" s="1">
        <v>29.4</v>
      </c>
      <c r="E22" s="1">
        <v>20.399999999999999</v>
      </c>
      <c r="F22" s="1">
        <v>4.5</v>
      </c>
      <c r="G22" s="24">
        <v>357</v>
      </c>
      <c r="H22" s="24" t="s">
        <v>397</v>
      </c>
      <c r="I22" s="2">
        <v>3500</v>
      </c>
      <c r="J22" s="2">
        <v>0</v>
      </c>
      <c r="K22" s="4">
        <v>3500</v>
      </c>
      <c r="L22" s="2" t="s">
        <v>393</v>
      </c>
      <c r="M22" s="3">
        <v>36.881112000000002</v>
      </c>
      <c r="N22" s="3"/>
      <c r="O22" s="15"/>
      <c r="P22" s="15"/>
      <c r="Q22" s="15"/>
      <c r="R22" s="15"/>
      <c r="S22" s="15"/>
      <c r="T22" s="15"/>
      <c r="U22" s="15"/>
      <c r="V22" s="15"/>
      <c r="W22" s="15"/>
      <c r="X22" s="15"/>
    </row>
    <row r="23" spans="1:24" hidden="1" x14ac:dyDescent="0.25">
      <c r="A23" s="552" t="s">
        <v>951</v>
      </c>
      <c r="B23" s="2" t="s">
        <v>1024</v>
      </c>
      <c r="C23" s="1">
        <v>29.4</v>
      </c>
      <c r="D23" s="1">
        <v>29.4</v>
      </c>
      <c r="E23" s="1">
        <v>20.399999999999999</v>
      </c>
      <c r="F23" s="1">
        <v>4.5</v>
      </c>
      <c r="G23" s="24">
        <v>361</v>
      </c>
      <c r="H23" s="24" t="s">
        <v>397</v>
      </c>
      <c r="I23" s="2">
        <v>25000</v>
      </c>
      <c r="J23" s="2">
        <v>0</v>
      </c>
      <c r="K23" s="4">
        <v>25000</v>
      </c>
      <c r="L23" s="2" t="s">
        <v>393</v>
      </c>
      <c r="M23" s="3">
        <v>36.881112000000002</v>
      </c>
      <c r="N23" s="3"/>
      <c r="O23" s="15"/>
      <c r="P23" s="15"/>
      <c r="Q23" s="15"/>
      <c r="R23" s="15"/>
      <c r="S23" s="15"/>
      <c r="T23" s="15"/>
      <c r="U23" s="15"/>
      <c r="V23" s="15"/>
      <c r="W23" s="15"/>
      <c r="X23" s="15"/>
    </row>
    <row r="24" spans="1:24" hidden="1" x14ac:dyDescent="0.25">
      <c r="A24" s="552" t="s">
        <v>954</v>
      </c>
      <c r="B24" s="2" t="s">
        <v>357</v>
      </c>
      <c r="C24" s="1">
        <v>20</v>
      </c>
      <c r="D24" s="79">
        <v>20</v>
      </c>
      <c r="E24" s="1">
        <v>17.16</v>
      </c>
      <c r="F24" s="1">
        <v>1.42</v>
      </c>
      <c r="G24" s="24">
        <v>273</v>
      </c>
      <c r="H24" s="24" t="s">
        <v>397</v>
      </c>
      <c r="I24" s="2">
        <v>8000</v>
      </c>
      <c r="J24" s="2">
        <v>0</v>
      </c>
      <c r="K24" s="4">
        <v>8000</v>
      </c>
      <c r="L24" s="557" t="s">
        <v>724</v>
      </c>
      <c r="M24" s="3">
        <v>10.409594999999999</v>
      </c>
      <c r="N24" s="3"/>
      <c r="O24" s="15"/>
      <c r="P24" s="15"/>
      <c r="Q24" s="15"/>
      <c r="R24" s="15"/>
      <c r="S24" s="15"/>
      <c r="T24" s="15"/>
      <c r="U24" s="15"/>
      <c r="V24" s="15"/>
      <c r="W24" s="15"/>
      <c r="X24" s="15"/>
    </row>
    <row r="25" spans="1:24" hidden="1" x14ac:dyDescent="0.25">
      <c r="A25" s="552" t="s">
        <v>954</v>
      </c>
      <c r="B25" s="2" t="s">
        <v>962</v>
      </c>
      <c r="C25" s="1">
        <v>38.1</v>
      </c>
      <c r="D25" s="1">
        <v>38.1</v>
      </c>
      <c r="E25" s="1">
        <v>0</v>
      </c>
      <c r="F25" s="1">
        <v>1.6</v>
      </c>
      <c r="G25" s="24">
        <v>488</v>
      </c>
      <c r="H25" s="24" t="s">
        <v>397</v>
      </c>
      <c r="I25" s="2">
        <v>1000</v>
      </c>
      <c r="J25" s="2">
        <v>0</v>
      </c>
      <c r="K25" s="4">
        <v>1000</v>
      </c>
      <c r="L25" s="557" t="s">
        <v>1043</v>
      </c>
      <c r="M25" s="3">
        <v>9.8057750000000006</v>
      </c>
      <c r="N25" s="3"/>
      <c r="O25" s="15"/>
      <c r="P25" s="15"/>
      <c r="Q25" s="15"/>
      <c r="R25" s="15"/>
      <c r="S25" s="15"/>
      <c r="T25" s="15"/>
      <c r="U25" s="15"/>
      <c r="V25" s="15"/>
      <c r="W25" s="15"/>
      <c r="X25" s="15"/>
    </row>
    <row r="26" spans="1:24" x14ac:dyDescent="0.25">
      <c r="A26" s="552" t="s">
        <v>954</v>
      </c>
      <c r="B26" s="2" t="s">
        <v>962</v>
      </c>
      <c r="C26" s="1">
        <v>19.05</v>
      </c>
      <c r="D26" s="1">
        <v>19.05</v>
      </c>
      <c r="E26" s="6">
        <v>0</v>
      </c>
      <c r="F26" s="1">
        <v>2.2999999999999998</v>
      </c>
      <c r="G26" s="24">
        <v>394</v>
      </c>
      <c r="H26" s="24" t="s">
        <v>397</v>
      </c>
      <c r="I26" s="2">
        <v>15000</v>
      </c>
      <c r="J26" s="2">
        <v>3087</v>
      </c>
      <c r="K26" s="4">
        <v>11913</v>
      </c>
      <c r="L26" s="557" t="s">
        <v>407</v>
      </c>
      <c r="M26" s="3">
        <v>13.504943000000004</v>
      </c>
      <c r="N26" s="3">
        <f>Table37[[#This Row],[BAL IN NOS]]</f>
        <v>11913</v>
      </c>
      <c r="O26" s="15"/>
      <c r="P26" s="15"/>
      <c r="Q26" s="15"/>
      <c r="R26" s="15"/>
      <c r="S26" s="15"/>
      <c r="T26" s="15"/>
      <c r="U26" s="15"/>
      <c r="V26" s="15"/>
      <c r="W26" s="15"/>
      <c r="X26" s="15"/>
    </row>
    <row r="27" spans="1:24" hidden="1" x14ac:dyDescent="0.25">
      <c r="A27" s="552" t="s">
        <v>954</v>
      </c>
      <c r="B27" s="2" t="s">
        <v>962</v>
      </c>
      <c r="C27" s="1">
        <v>38.1</v>
      </c>
      <c r="D27" s="1">
        <v>38.1</v>
      </c>
      <c r="E27" s="1">
        <v>0</v>
      </c>
      <c r="F27" s="1">
        <v>2</v>
      </c>
      <c r="G27" s="24">
        <v>488</v>
      </c>
      <c r="H27" s="24" t="s">
        <v>397</v>
      </c>
      <c r="I27" s="2">
        <v>6000</v>
      </c>
      <c r="J27" s="2">
        <v>0</v>
      </c>
      <c r="K27" s="4">
        <v>6000</v>
      </c>
      <c r="L27" s="557" t="s">
        <v>860</v>
      </c>
      <c r="M27" s="3">
        <v>23.642767000000003</v>
      </c>
      <c r="N27" s="3"/>
      <c r="O27" s="15"/>
      <c r="P27" s="15"/>
      <c r="Q27" s="15"/>
      <c r="R27" s="15"/>
      <c r="S27" s="15"/>
      <c r="T27" s="15"/>
      <c r="U27" s="15"/>
      <c r="V27" s="15"/>
      <c r="W27" s="15"/>
      <c r="X27" s="15"/>
    </row>
    <row r="28" spans="1:24" hidden="1" x14ac:dyDescent="0.25">
      <c r="A28" s="552" t="s">
        <v>954</v>
      </c>
      <c r="B28" s="2" t="s">
        <v>962</v>
      </c>
      <c r="C28" s="1">
        <v>38.1</v>
      </c>
      <c r="D28" s="1">
        <v>38.1</v>
      </c>
      <c r="E28" s="6">
        <v>0</v>
      </c>
      <c r="F28" s="1">
        <v>1.6</v>
      </c>
      <c r="G28" s="24">
        <v>812</v>
      </c>
      <c r="H28" s="24" t="s">
        <v>397</v>
      </c>
      <c r="I28" s="2">
        <v>2000</v>
      </c>
      <c r="J28" s="2">
        <v>0</v>
      </c>
      <c r="K28" s="4">
        <v>2000</v>
      </c>
      <c r="L28" s="557" t="s">
        <v>1043</v>
      </c>
      <c r="M28" s="3">
        <v>9.8057750000000006</v>
      </c>
      <c r="N28" s="3"/>
      <c r="O28" s="15"/>
      <c r="P28" s="15"/>
      <c r="Q28" s="15"/>
      <c r="R28" s="15"/>
      <c r="S28" s="15"/>
      <c r="T28" s="15"/>
      <c r="U28" s="15"/>
      <c r="V28" s="15"/>
      <c r="W28" s="15"/>
      <c r="X28" s="15"/>
    </row>
    <row r="29" spans="1:24" hidden="1" x14ac:dyDescent="0.25">
      <c r="A29" s="552" t="s">
        <v>954</v>
      </c>
      <c r="B29" s="2" t="s">
        <v>962</v>
      </c>
      <c r="C29" s="1">
        <v>38.1</v>
      </c>
      <c r="D29" s="1">
        <v>38.1</v>
      </c>
      <c r="E29" s="6">
        <v>0</v>
      </c>
      <c r="F29" s="1">
        <v>2</v>
      </c>
      <c r="G29" s="24">
        <v>812</v>
      </c>
      <c r="H29" s="24" t="s">
        <v>397</v>
      </c>
      <c r="I29" s="2">
        <v>15000</v>
      </c>
      <c r="J29" s="2">
        <v>18305</v>
      </c>
      <c r="K29" s="4">
        <v>-3305</v>
      </c>
      <c r="L29" s="557" t="s">
        <v>860</v>
      </c>
      <c r="M29" s="3">
        <v>23.642767000000003</v>
      </c>
      <c r="N29" s="3"/>
      <c r="O29" s="15"/>
      <c r="P29" s="15"/>
      <c r="Q29" s="15"/>
      <c r="R29" s="15"/>
      <c r="S29" s="15"/>
      <c r="T29" s="15"/>
      <c r="U29" s="15"/>
      <c r="V29" s="15"/>
      <c r="W29" s="15"/>
      <c r="X29" s="15"/>
    </row>
    <row r="30" spans="1:24" x14ac:dyDescent="0.25">
      <c r="A30" s="552" t="s">
        <v>954</v>
      </c>
      <c r="B30" s="2" t="s">
        <v>962</v>
      </c>
      <c r="C30" s="1">
        <v>42.7</v>
      </c>
      <c r="D30" s="1">
        <v>42.7</v>
      </c>
      <c r="E30" s="1">
        <v>0</v>
      </c>
      <c r="F30" s="1">
        <v>3.5</v>
      </c>
      <c r="G30" s="24">
        <v>210</v>
      </c>
      <c r="H30" s="24" t="s">
        <v>397</v>
      </c>
      <c r="I30" s="2">
        <v>40000</v>
      </c>
      <c r="J30" s="2">
        <v>20070</v>
      </c>
      <c r="K30" s="4">
        <v>19930</v>
      </c>
      <c r="L30" s="557" t="s">
        <v>875</v>
      </c>
      <c r="M30" s="3">
        <v>50.950525999999989</v>
      </c>
      <c r="N30" s="3">
        <f>Table37[[#This Row],[BAL IN NOS]]</f>
        <v>19930</v>
      </c>
      <c r="O30" s="15"/>
      <c r="P30" s="15"/>
      <c r="Q30" s="15"/>
      <c r="R30" s="15"/>
      <c r="S30" s="15"/>
      <c r="T30" s="15"/>
      <c r="U30" s="15"/>
      <c r="V30" s="15"/>
      <c r="W30" s="15"/>
      <c r="X30" s="15"/>
    </row>
    <row r="31" spans="1:24" hidden="1" x14ac:dyDescent="0.25">
      <c r="A31" s="552" t="s">
        <v>954</v>
      </c>
      <c r="B31" s="2" t="s">
        <v>962</v>
      </c>
      <c r="C31" s="1">
        <v>50.8</v>
      </c>
      <c r="D31" s="1">
        <v>50</v>
      </c>
      <c r="E31" s="1">
        <v>30</v>
      </c>
      <c r="F31" s="1">
        <v>2</v>
      </c>
      <c r="G31" s="24">
        <v>140</v>
      </c>
      <c r="H31" s="24" t="s">
        <v>397</v>
      </c>
      <c r="I31" s="2">
        <v>1500</v>
      </c>
      <c r="J31" s="2">
        <v>0</v>
      </c>
      <c r="K31" s="4">
        <v>1500</v>
      </c>
      <c r="L31" s="563" t="s">
        <v>841</v>
      </c>
      <c r="M31" s="3">
        <v>4.0679999999999996</v>
      </c>
      <c r="N31" s="3"/>
      <c r="O31" s="15"/>
      <c r="P31" s="15"/>
      <c r="Q31" s="15"/>
      <c r="R31" s="15"/>
      <c r="S31" s="15"/>
      <c r="T31" s="15"/>
      <c r="U31" s="15"/>
      <c r="V31" s="15"/>
      <c r="W31" s="15"/>
      <c r="X31" s="15"/>
    </row>
    <row r="32" spans="1:24" x14ac:dyDescent="0.25">
      <c r="A32" s="552" t="s">
        <v>954</v>
      </c>
      <c r="B32" s="2" t="s">
        <v>962</v>
      </c>
      <c r="C32" s="1">
        <v>50.8</v>
      </c>
      <c r="D32" s="1">
        <v>50</v>
      </c>
      <c r="E32" s="6">
        <v>30</v>
      </c>
      <c r="F32" s="1">
        <v>2</v>
      </c>
      <c r="G32" s="24">
        <v>730</v>
      </c>
      <c r="H32" s="24" t="s">
        <v>397</v>
      </c>
      <c r="I32" s="2">
        <v>18000</v>
      </c>
      <c r="J32" s="2">
        <v>9286</v>
      </c>
      <c r="K32" s="4">
        <v>8714</v>
      </c>
      <c r="L32" s="557" t="s">
        <v>841</v>
      </c>
      <c r="M32" s="3">
        <v>4.0679999999999996</v>
      </c>
      <c r="N32" s="3">
        <v>2000</v>
      </c>
      <c r="O32" s="15"/>
      <c r="P32" s="15"/>
      <c r="Q32" s="15"/>
      <c r="R32" s="15"/>
      <c r="S32" s="15"/>
      <c r="T32" s="15"/>
      <c r="U32" s="15"/>
      <c r="V32" s="15"/>
      <c r="W32" s="15"/>
      <c r="X32" s="15"/>
    </row>
    <row r="33" spans="1:24" x14ac:dyDescent="0.25">
      <c r="A33" s="552" t="s">
        <v>954</v>
      </c>
      <c r="B33" s="2" t="s">
        <v>993</v>
      </c>
      <c r="C33" s="1">
        <v>63.5</v>
      </c>
      <c r="D33" s="79">
        <v>50</v>
      </c>
      <c r="E33" s="1">
        <v>50</v>
      </c>
      <c r="F33" s="1">
        <v>1.6</v>
      </c>
      <c r="G33" s="24">
        <v>847</v>
      </c>
      <c r="H33" s="24" t="s">
        <v>397</v>
      </c>
      <c r="I33" s="2">
        <v>9000</v>
      </c>
      <c r="J33" s="2">
        <v>6214</v>
      </c>
      <c r="K33" s="4">
        <v>2786</v>
      </c>
      <c r="L33" s="557" t="s">
        <v>895</v>
      </c>
      <c r="M33" s="3">
        <v>29.221966000000016</v>
      </c>
      <c r="N33" s="3">
        <f>Table37[[#This Row],[BAL IN NOS]]</f>
        <v>2786</v>
      </c>
      <c r="O33" s="15"/>
      <c r="P33" s="15"/>
      <c r="Q33" s="15"/>
      <c r="R33" s="15"/>
      <c r="S33" s="15"/>
      <c r="T33" s="15"/>
      <c r="U33" s="15"/>
      <c r="V33" s="15"/>
      <c r="W33" s="15"/>
      <c r="X33" s="15"/>
    </row>
    <row r="34" spans="1:24" x14ac:dyDescent="0.25">
      <c r="A34" s="552" t="s">
        <v>954</v>
      </c>
      <c r="B34" s="2" t="s">
        <v>993</v>
      </c>
      <c r="C34" s="1">
        <v>54</v>
      </c>
      <c r="D34" s="79">
        <v>54</v>
      </c>
      <c r="E34" s="1">
        <v>0</v>
      </c>
      <c r="F34" s="1">
        <v>3</v>
      </c>
      <c r="G34" s="24">
        <v>1140</v>
      </c>
      <c r="H34" s="24" t="s">
        <v>397</v>
      </c>
      <c r="I34" s="2">
        <v>9000</v>
      </c>
      <c r="J34" s="2">
        <v>3245</v>
      </c>
      <c r="K34" s="4">
        <v>5755</v>
      </c>
      <c r="L34" s="557" t="s">
        <v>920</v>
      </c>
      <c r="M34" s="3">
        <v>8.1115779999999997</v>
      </c>
      <c r="N34" s="3">
        <v>2000</v>
      </c>
      <c r="O34" s="15"/>
      <c r="P34" s="15"/>
      <c r="Q34" s="15"/>
      <c r="R34" s="15"/>
      <c r="S34" s="15"/>
      <c r="T34" s="15"/>
      <c r="U34" s="15"/>
      <c r="V34" s="15"/>
      <c r="W34" s="15"/>
      <c r="X34" s="15"/>
    </row>
    <row r="35" spans="1:24" x14ac:dyDescent="0.25">
      <c r="A35" s="552" t="s">
        <v>954</v>
      </c>
      <c r="B35" s="2" t="s">
        <v>962</v>
      </c>
      <c r="C35" s="1">
        <v>63.5</v>
      </c>
      <c r="D35" s="79">
        <v>63.5</v>
      </c>
      <c r="E35" s="1">
        <v>0</v>
      </c>
      <c r="F35" s="1">
        <v>4</v>
      </c>
      <c r="G35" s="22">
        <v>236</v>
      </c>
      <c r="H35" s="22" t="s">
        <v>397</v>
      </c>
      <c r="I35" s="2">
        <v>18000</v>
      </c>
      <c r="J35" s="2">
        <v>5690</v>
      </c>
      <c r="K35" s="4">
        <v>12310</v>
      </c>
      <c r="L35" s="2" t="s">
        <v>872</v>
      </c>
      <c r="M35" s="3">
        <v>60.795487000000008</v>
      </c>
      <c r="N35" s="3">
        <f>Table37[[#This Row],[BAL IN NOS]]</f>
        <v>12310</v>
      </c>
      <c r="O35" s="15"/>
      <c r="P35" s="15"/>
      <c r="Q35" s="15"/>
      <c r="R35" s="15"/>
      <c r="S35" s="15"/>
      <c r="T35" s="15"/>
      <c r="U35" s="15"/>
      <c r="V35" s="15"/>
      <c r="W35" s="15"/>
      <c r="X35" s="15"/>
    </row>
    <row r="36" spans="1:24" hidden="1" x14ac:dyDescent="0.25">
      <c r="A36" s="552" t="s">
        <v>310</v>
      </c>
      <c r="B36" s="2" t="s">
        <v>962</v>
      </c>
      <c r="C36" s="1">
        <v>38.1</v>
      </c>
      <c r="D36" s="1">
        <v>38.1</v>
      </c>
      <c r="E36" s="6">
        <v>0</v>
      </c>
      <c r="F36" s="1">
        <v>1.6</v>
      </c>
      <c r="G36" s="24">
        <v>812</v>
      </c>
      <c r="H36" s="24" t="s">
        <v>397</v>
      </c>
      <c r="I36" s="2">
        <v>6000</v>
      </c>
      <c r="J36" s="2">
        <v>0</v>
      </c>
      <c r="K36" s="4">
        <v>6000</v>
      </c>
      <c r="L36" s="557" t="s">
        <v>1043</v>
      </c>
      <c r="M36" s="3">
        <v>9.8057750000000006</v>
      </c>
      <c r="N36" s="3"/>
      <c r="O36" s="15"/>
      <c r="P36" s="15"/>
      <c r="Q36" s="15"/>
      <c r="R36" s="15"/>
      <c r="S36" s="15"/>
      <c r="T36" s="15"/>
      <c r="U36" s="15"/>
      <c r="V36" s="15"/>
      <c r="W36" s="15"/>
      <c r="X36" s="15"/>
    </row>
    <row r="37" spans="1:24" x14ac:dyDescent="0.25">
      <c r="A37" s="552" t="s">
        <v>310</v>
      </c>
      <c r="B37" s="2" t="s">
        <v>962</v>
      </c>
      <c r="C37" s="1">
        <v>38.1</v>
      </c>
      <c r="D37" s="1">
        <v>38.1</v>
      </c>
      <c r="E37" s="6">
        <v>0</v>
      </c>
      <c r="F37" s="1">
        <v>2</v>
      </c>
      <c r="G37" s="24">
        <v>812</v>
      </c>
      <c r="H37" s="24" t="s">
        <v>397</v>
      </c>
      <c r="I37" s="2">
        <v>6000</v>
      </c>
      <c r="J37" s="2">
        <v>0</v>
      </c>
      <c r="K37" s="4">
        <v>6000</v>
      </c>
      <c r="L37" s="557" t="s">
        <v>860</v>
      </c>
      <c r="M37" s="3">
        <v>23.642767000000003</v>
      </c>
      <c r="N37" s="3">
        <f>Table37[[#This Row],[BAL IN NOS]]</f>
        <v>6000</v>
      </c>
      <c r="O37" s="15"/>
      <c r="P37" s="15"/>
      <c r="Q37" s="15"/>
      <c r="R37" s="15"/>
      <c r="S37" s="15"/>
      <c r="T37" s="15"/>
      <c r="U37" s="15"/>
      <c r="V37" s="15"/>
      <c r="W37" s="15"/>
      <c r="X37" s="15"/>
    </row>
    <row r="38" spans="1:24" x14ac:dyDescent="0.25">
      <c r="A38" s="552" t="s">
        <v>310</v>
      </c>
      <c r="B38" s="2" t="s">
        <v>962</v>
      </c>
      <c r="C38" s="1">
        <v>38.1</v>
      </c>
      <c r="D38" s="1">
        <v>38.1</v>
      </c>
      <c r="E38" s="6">
        <v>0</v>
      </c>
      <c r="F38" s="1">
        <v>2</v>
      </c>
      <c r="G38" s="24">
        <v>406</v>
      </c>
      <c r="H38" s="24" t="s">
        <v>397</v>
      </c>
      <c r="I38" s="2">
        <v>15000</v>
      </c>
      <c r="J38" s="2">
        <v>0</v>
      </c>
      <c r="K38" s="4">
        <v>15000</v>
      </c>
      <c r="L38" s="557" t="s">
        <v>860</v>
      </c>
      <c r="M38" s="3">
        <v>23.642767000000003</v>
      </c>
      <c r="N38" s="3">
        <f>Table37[[#This Row],[BAL IN NOS]]</f>
        <v>15000</v>
      </c>
      <c r="O38" s="15"/>
      <c r="P38" s="15"/>
      <c r="Q38" s="15"/>
      <c r="R38" s="15"/>
      <c r="S38" s="15"/>
      <c r="T38" s="15"/>
      <c r="U38" s="15"/>
      <c r="V38" s="15"/>
      <c r="W38" s="15"/>
      <c r="X38" s="15"/>
    </row>
    <row r="39" spans="1:24" x14ac:dyDescent="0.25">
      <c r="A39" s="552" t="s">
        <v>310</v>
      </c>
      <c r="B39" s="2" t="s">
        <v>962</v>
      </c>
      <c r="C39" s="1">
        <v>48.6</v>
      </c>
      <c r="D39" s="1">
        <v>48.6</v>
      </c>
      <c r="E39" s="1">
        <v>0</v>
      </c>
      <c r="F39" s="1">
        <v>3.5</v>
      </c>
      <c r="G39" s="24">
        <v>196</v>
      </c>
      <c r="H39" s="24" t="s">
        <v>397</v>
      </c>
      <c r="I39" s="2">
        <v>14000</v>
      </c>
      <c r="J39" s="2">
        <v>0</v>
      </c>
      <c r="K39" s="4">
        <v>14000</v>
      </c>
      <c r="L39" s="557" t="s">
        <v>712</v>
      </c>
      <c r="M39" s="3">
        <v>2.991104</v>
      </c>
      <c r="N39" s="3">
        <v>4200</v>
      </c>
      <c r="O39" s="15"/>
      <c r="P39" s="15"/>
      <c r="Q39" s="15"/>
      <c r="R39" s="15"/>
      <c r="S39" s="15"/>
      <c r="T39" s="15"/>
      <c r="U39" s="15"/>
      <c r="V39" s="15"/>
      <c r="W39" s="15"/>
      <c r="X39" s="15"/>
    </row>
    <row r="40" spans="1:24" hidden="1" x14ac:dyDescent="0.25">
      <c r="A40" s="552" t="s">
        <v>2155</v>
      </c>
      <c r="B40" s="2" t="s">
        <v>962</v>
      </c>
      <c r="C40" s="1">
        <v>17.3</v>
      </c>
      <c r="D40" s="1">
        <v>17.3</v>
      </c>
      <c r="E40" s="1">
        <v>0</v>
      </c>
      <c r="F40" s="1">
        <v>1.2</v>
      </c>
      <c r="G40" s="24">
        <v>150</v>
      </c>
      <c r="H40" s="24" t="s">
        <v>397</v>
      </c>
      <c r="I40" s="2">
        <v>15000</v>
      </c>
      <c r="J40" s="2">
        <v>2000</v>
      </c>
      <c r="K40" s="4">
        <v>13000</v>
      </c>
      <c r="L40" s="557" t="s">
        <v>557</v>
      </c>
      <c r="M40" s="3">
        <v>9.2344200000000018</v>
      </c>
      <c r="N40" s="3"/>
      <c r="O40" s="15"/>
      <c r="P40" s="15"/>
      <c r="Q40" s="15"/>
      <c r="R40" s="15"/>
      <c r="S40" s="15"/>
      <c r="T40" s="15"/>
      <c r="U40" s="15"/>
      <c r="V40" s="15"/>
      <c r="W40" s="15"/>
      <c r="X40" s="15"/>
    </row>
    <row r="41" spans="1:24" x14ac:dyDescent="0.25">
      <c r="A41" s="552" t="s">
        <v>955</v>
      </c>
      <c r="B41" s="2" t="s">
        <v>357</v>
      </c>
      <c r="C41" s="1">
        <v>19</v>
      </c>
      <c r="D41" s="1">
        <v>19</v>
      </c>
      <c r="E41" s="1">
        <v>12.5</v>
      </c>
      <c r="F41" s="1">
        <v>3.25</v>
      </c>
      <c r="G41" s="81">
        <v>195</v>
      </c>
      <c r="H41" s="24" t="s">
        <v>397</v>
      </c>
      <c r="I41" s="2">
        <v>20000</v>
      </c>
      <c r="J41" s="2">
        <v>2000</v>
      </c>
      <c r="K41" s="4">
        <v>18000</v>
      </c>
      <c r="L41" s="557" t="s">
        <v>590</v>
      </c>
      <c r="M41" s="3">
        <v>37.067292999999999</v>
      </c>
      <c r="N41" s="3">
        <f>Table37[[#This Row],[BAL IN NOS]]</f>
        <v>18000</v>
      </c>
      <c r="O41" s="15"/>
      <c r="P41" s="15"/>
      <c r="Q41" s="15"/>
      <c r="R41" s="15"/>
      <c r="S41" s="15"/>
      <c r="T41" s="15"/>
      <c r="U41" s="15"/>
      <c r="V41" s="15"/>
      <c r="W41" s="15"/>
      <c r="X41" s="15"/>
    </row>
    <row r="42" spans="1:24" x14ac:dyDescent="0.25">
      <c r="A42" s="552" t="s">
        <v>955</v>
      </c>
      <c r="B42" s="2" t="s">
        <v>357</v>
      </c>
      <c r="C42" s="1">
        <v>19</v>
      </c>
      <c r="D42" s="1">
        <v>19</v>
      </c>
      <c r="E42" s="1">
        <v>12.5</v>
      </c>
      <c r="F42" s="1">
        <v>3.25</v>
      </c>
      <c r="G42" s="24">
        <v>588</v>
      </c>
      <c r="H42" s="24" t="s">
        <v>397</v>
      </c>
      <c r="I42" s="2">
        <v>12000</v>
      </c>
      <c r="J42" s="2">
        <v>0</v>
      </c>
      <c r="K42" s="4">
        <v>12000</v>
      </c>
      <c r="L42" s="557" t="s">
        <v>590</v>
      </c>
      <c r="M42" s="3">
        <v>37.067292999999999</v>
      </c>
      <c r="N42" s="3">
        <f>Table37[[#This Row],[BAL IN NOS]]</f>
        <v>12000</v>
      </c>
      <c r="O42" s="15"/>
      <c r="P42" s="15"/>
      <c r="Q42" s="15"/>
      <c r="R42" s="15"/>
      <c r="S42" s="15"/>
      <c r="T42" s="15"/>
      <c r="U42" s="15"/>
      <c r="V42" s="15"/>
      <c r="W42" s="15"/>
      <c r="X42" s="15"/>
    </row>
    <row r="43" spans="1:24" x14ac:dyDescent="0.25">
      <c r="A43" s="552" t="s">
        <v>955</v>
      </c>
      <c r="B43" s="2" t="s">
        <v>962</v>
      </c>
      <c r="C43" s="1">
        <v>19.05</v>
      </c>
      <c r="D43" s="1">
        <v>19.05</v>
      </c>
      <c r="E43" s="1">
        <v>0</v>
      </c>
      <c r="F43" s="1">
        <v>2.2999999999999998</v>
      </c>
      <c r="G43" s="24">
        <v>195</v>
      </c>
      <c r="H43" s="24" t="s">
        <v>397</v>
      </c>
      <c r="I43" s="2">
        <v>16000</v>
      </c>
      <c r="J43" s="2">
        <v>0</v>
      </c>
      <c r="K43" s="4">
        <v>16000</v>
      </c>
      <c r="L43" s="557" t="s">
        <v>407</v>
      </c>
      <c r="M43" s="3">
        <v>13.504943000000004</v>
      </c>
      <c r="N43" s="3">
        <f>Table37[[#This Row],[BAL IN NOS]]</f>
        <v>16000</v>
      </c>
      <c r="O43" s="15"/>
      <c r="P43" s="15"/>
      <c r="Q43" s="15"/>
      <c r="R43" s="15"/>
      <c r="S43" s="15"/>
      <c r="T43" s="15"/>
      <c r="U43" s="15"/>
      <c r="V43" s="15"/>
      <c r="W43" s="15"/>
      <c r="X43" s="15"/>
    </row>
    <row r="44" spans="1:24" hidden="1" x14ac:dyDescent="0.25">
      <c r="A44" s="552" t="s">
        <v>955</v>
      </c>
      <c r="B44" s="2" t="s">
        <v>962</v>
      </c>
      <c r="C44" s="1">
        <v>19.05</v>
      </c>
      <c r="D44" s="1">
        <v>19.05</v>
      </c>
      <c r="E44" s="1">
        <v>0</v>
      </c>
      <c r="F44" s="1">
        <v>2.2999999999999998</v>
      </c>
      <c r="G44" s="24">
        <v>303</v>
      </c>
      <c r="H44" s="24" t="s">
        <v>397</v>
      </c>
      <c r="I44" s="2">
        <v>5000</v>
      </c>
      <c r="J44" s="2">
        <v>4911</v>
      </c>
      <c r="K44" s="4">
        <v>89</v>
      </c>
      <c r="L44" s="557" t="s">
        <v>407</v>
      </c>
      <c r="M44" s="3">
        <v>13.504943000000004</v>
      </c>
      <c r="N44" s="3"/>
      <c r="O44" s="15"/>
      <c r="P44" s="15"/>
      <c r="Q44" s="15"/>
      <c r="R44" s="15"/>
      <c r="S44" s="15"/>
      <c r="T44" s="15"/>
      <c r="U44" s="15"/>
      <c r="V44" s="15"/>
      <c r="W44" s="15"/>
      <c r="X44" s="15"/>
    </row>
    <row r="45" spans="1:24" hidden="1" x14ac:dyDescent="0.25">
      <c r="A45" s="552" t="s">
        <v>955</v>
      </c>
      <c r="B45" s="2" t="s">
        <v>962</v>
      </c>
      <c r="C45" s="1">
        <v>44.45</v>
      </c>
      <c r="D45" s="1">
        <v>40</v>
      </c>
      <c r="E45" s="1">
        <v>30</v>
      </c>
      <c r="F45" s="1">
        <v>1.6</v>
      </c>
      <c r="G45" s="81">
        <v>835</v>
      </c>
      <c r="H45" s="24" t="s">
        <v>397</v>
      </c>
      <c r="I45" s="2">
        <v>20000</v>
      </c>
      <c r="J45" s="2">
        <v>15308</v>
      </c>
      <c r="K45" s="4">
        <v>4692</v>
      </c>
      <c r="L45" s="557" t="s">
        <v>586</v>
      </c>
      <c r="M45" s="3">
        <v>11.456837999999999</v>
      </c>
      <c r="N45" s="3"/>
      <c r="O45" s="15"/>
      <c r="P45" s="15"/>
      <c r="Q45" s="15"/>
      <c r="R45" s="15"/>
      <c r="S45" s="15"/>
      <c r="T45" s="15"/>
      <c r="U45" s="15"/>
      <c r="V45" s="15"/>
      <c r="W45" s="15"/>
      <c r="X45" s="15"/>
    </row>
    <row r="46" spans="1:24" hidden="1" x14ac:dyDescent="0.25">
      <c r="A46" s="552" t="s">
        <v>955</v>
      </c>
      <c r="B46" s="2" t="s">
        <v>962</v>
      </c>
      <c r="C46" s="1">
        <v>19.05</v>
      </c>
      <c r="D46" s="1">
        <v>19.05</v>
      </c>
      <c r="E46" s="1">
        <v>0</v>
      </c>
      <c r="F46" s="1">
        <v>2.2999999999999998</v>
      </c>
      <c r="G46" s="24">
        <v>554</v>
      </c>
      <c r="H46" s="24" t="s">
        <v>397</v>
      </c>
      <c r="I46" s="2">
        <v>1000</v>
      </c>
      <c r="J46" s="2">
        <v>0</v>
      </c>
      <c r="K46" s="4">
        <v>1000</v>
      </c>
      <c r="L46" s="557" t="s">
        <v>407</v>
      </c>
      <c r="M46" s="3">
        <v>13.504943000000004</v>
      </c>
      <c r="N46" s="3"/>
      <c r="O46" s="15"/>
      <c r="P46" s="15"/>
      <c r="Q46" s="15"/>
      <c r="R46" s="15"/>
      <c r="S46" s="15"/>
      <c r="T46" s="15"/>
      <c r="U46" s="15"/>
      <c r="V46" s="15"/>
      <c r="W46" s="15"/>
      <c r="X46" s="15"/>
    </row>
    <row r="47" spans="1:24" hidden="1" x14ac:dyDescent="0.25">
      <c r="A47" s="552" t="s">
        <v>955</v>
      </c>
      <c r="B47" s="2" t="s">
        <v>962</v>
      </c>
      <c r="C47" s="1">
        <v>19.05</v>
      </c>
      <c r="D47" s="1">
        <v>19.05</v>
      </c>
      <c r="E47" s="1">
        <v>0</v>
      </c>
      <c r="F47" s="1">
        <v>2.2999999999999998</v>
      </c>
      <c r="G47" s="24">
        <v>570</v>
      </c>
      <c r="H47" s="24" t="s">
        <v>397</v>
      </c>
      <c r="I47" s="2">
        <v>5000</v>
      </c>
      <c r="J47" s="2">
        <v>4000</v>
      </c>
      <c r="K47" s="4">
        <v>1000</v>
      </c>
      <c r="L47" s="557" t="s">
        <v>407</v>
      </c>
      <c r="M47" s="3">
        <v>13.504943000000004</v>
      </c>
      <c r="N47" s="3"/>
      <c r="O47" s="15"/>
      <c r="P47" s="15"/>
      <c r="Q47" s="15"/>
      <c r="R47" s="15"/>
      <c r="S47" s="15"/>
      <c r="T47" s="15"/>
      <c r="U47" s="15"/>
      <c r="V47" s="15"/>
      <c r="W47" s="15"/>
      <c r="X47" s="15"/>
    </row>
    <row r="48" spans="1:24" hidden="1" x14ac:dyDescent="0.25">
      <c r="A48" s="552" t="s">
        <v>955</v>
      </c>
      <c r="B48" s="2" t="s">
        <v>962</v>
      </c>
      <c r="C48" s="1">
        <v>19.05</v>
      </c>
      <c r="D48" s="1">
        <v>19.05</v>
      </c>
      <c r="E48" s="1">
        <v>0</v>
      </c>
      <c r="F48" s="1">
        <v>2.2999999999999998</v>
      </c>
      <c r="G48" s="24">
        <v>585</v>
      </c>
      <c r="H48" s="24" t="s">
        <v>397</v>
      </c>
      <c r="I48" s="2">
        <v>4000</v>
      </c>
      <c r="J48" s="2">
        <v>7204</v>
      </c>
      <c r="K48" s="4">
        <v>-3204</v>
      </c>
      <c r="L48" s="557" t="s">
        <v>407</v>
      </c>
      <c r="M48" s="3">
        <v>13.504943000000004</v>
      </c>
      <c r="N48" s="3"/>
      <c r="O48" s="15"/>
      <c r="P48" s="15"/>
      <c r="Q48" s="15"/>
      <c r="R48" s="15"/>
      <c r="S48" s="15"/>
      <c r="T48" s="15"/>
      <c r="U48" s="15"/>
      <c r="V48" s="15"/>
      <c r="W48" s="15"/>
      <c r="X48" s="15"/>
    </row>
    <row r="49" spans="1:24" hidden="1" x14ac:dyDescent="0.25">
      <c r="A49" s="552" t="s">
        <v>955</v>
      </c>
      <c r="B49" s="2" t="s">
        <v>962</v>
      </c>
      <c r="C49" s="1">
        <v>19.05</v>
      </c>
      <c r="D49" s="1">
        <v>19.05</v>
      </c>
      <c r="E49" s="1">
        <v>0</v>
      </c>
      <c r="F49" s="1">
        <v>2.2999999999999998</v>
      </c>
      <c r="G49" s="24">
        <v>600</v>
      </c>
      <c r="H49" s="24" t="s">
        <v>397</v>
      </c>
      <c r="I49" s="2">
        <v>4000</v>
      </c>
      <c r="J49" s="2">
        <v>0</v>
      </c>
      <c r="K49" s="4">
        <v>4000</v>
      </c>
      <c r="L49" s="557" t="s">
        <v>407</v>
      </c>
      <c r="M49" s="3">
        <v>13.504943000000004</v>
      </c>
      <c r="N49" s="3"/>
      <c r="O49" s="15"/>
      <c r="P49" s="15"/>
      <c r="Q49" s="15"/>
      <c r="R49" s="15"/>
      <c r="S49" s="15"/>
      <c r="T49" s="15"/>
      <c r="U49" s="15"/>
      <c r="V49" s="15"/>
      <c r="W49" s="15"/>
      <c r="X49" s="15"/>
    </row>
    <row r="50" spans="1:24" hidden="1" x14ac:dyDescent="0.25">
      <c r="A50" s="552" t="s">
        <v>955</v>
      </c>
      <c r="B50" s="2" t="s">
        <v>962</v>
      </c>
      <c r="C50" s="1">
        <v>22.23</v>
      </c>
      <c r="D50" s="1">
        <v>22.23</v>
      </c>
      <c r="E50" s="1">
        <v>0</v>
      </c>
      <c r="F50" s="1">
        <v>2.2999999999999998</v>
      </c>
      <c r="G50" s="24">
        <v>425</v>
      </c>
      <c r="H50" s="24" t="s">
        <v>397</v>
      </c>
      <c r="I50" s="2">
        <v>12000</v>
      </c>
      <c r="J50" s="2">
        <v>550</v>
      </c>
      <c r="K50" s="4">
        <v>11450</v>
      </c>
      <c r="L50" s="557" t="s">
        <v>748</v>
      </c>
      <c r="M50" s="3">
        <v>46.538291000000001</v>
      </c>
      <c r="N50" s="3"/>
      <c r="O50" s="15"/>
      <c r="P50" s="15"/>
      <c r="Q50" s="15"/>
      <c r="R50" s="15"/>
      <c r="S50" s="15"/>
      <c r="T50" s="15"/>
      <c r="U50" s="15"/>
      <c r="V50" s="15"/>
      <c r="W50" s="15"/>
      <c r="X50" s="15"/>
    </row>
    <row r="51" spans="1:24" hidden="1" x14ac:dyDescent="0.25">
      <c r="A51" s="552" t="s">
        <v>955</v>
      </c>
      <c r="B51" s="2" t="s">
        <v>357</v>
      </c>
      <c r="C51" s="1">
        <v>25.4</v>
      </c>
      <c r="D51" s="1">
        <v>25.4</v>
      </c>
      <c r="E51" s="1">
        <v>0</v>
      </c>
      <c r="F51" s="1">
        <v>2.5</v>
      </c>
      <c r="G51" s="24">
        <v>217</v>
      </c>
      <c r="H51" s="24" t="s">
        <v>397</v>
      </c>
      <c r="I51" s="2">
        <v>15000</v>
      </c>
      <c r="J51" s="2">
        <v>3957</v>
      </c>
      <c r="K51" s="4">
        <v>11043</v>
      </c>
      <c r="L51" s="557" t="s">
        <v>806</v>
      </c>
      <c r="M51" s="3">
        <v>14.297749000000001</v>
      </c>
      <c r="N51" s="3"/>
      <c r="O51" s="15"/>
      <c r="P51" s="15"/>
      <c r="Q51" s="15"/>
      <c r="R51" s="15"/>
      <c r="S51" s="15"/>
      <c r="T51" s="15"/>
      <c r="U51" s="15"/>
      <c r="V51" s="15"/>
      <c r="W51" s="15"/>
      <c r="X51" s="15"/>
    </row>
    <row r="52" spans="1:24" hidden="1" x14ac:dyDescent="0.25">
      <c r="A52" s="552" t="s">
        <v>955</v>
      </c>
      <c r="B52" s="2" t="s">
        <v>357</v>
      </c>
      <c r="C52" s="1">
        <v>30.15</v>
      </c>
      <c r="D52" s="1">
        <v>30</v>
      </c>
      <c r="E52" s="1">
        <v>25.5</v>
      </c>
      <c r="F52" s="1">
        <v>2.25</v>
      </c>
      <c r="G52" s="24">
        <v>465</v>
      </c>
      <c r="H52" s="24" t="s">
        <v>397</v>
      </c>
      <c r="I52" s="2">
        <v>7000</v>
      </c>
      <c r="J52" s="2">
        <v>11600</v>
      </c>
      <c r="K52" s="4">
        <v>-4600</v>
      </c>
      <c r="L52" s="557" t="s">
        <v>827</v>
      </c>
      <c r="M52" s="3">
        <v>24.270109999999999</v>
      </c>
      <c r="N52" s="3"/>
      <c r="O52" s="15"/>
      <c r="P52" s="15"/>
      <c r="Q52" s="15"/>
      <c r="R52" s="15"/>
      <c r="S52" s="15"/>
      <c r="T52" s="15"/>
      <c r="U52" s="15"/>
      <c r="V52" s="15"/>
      <c r="W52" s="15"/>
      <c r="X52" s="15"/>
    </row>
    <row r="53" spans="1:24" hidden="1" x14ac:dyDescent="0.25">
      <c r="A53" s="552" t="s">
        <v>955</v>
      </c>
      <c r="B53" s="2" t="s">
        <v>357</v>
      </c>
      <c r="C53" s="1">
        <v>30.15</v>
      </c>
      <c r="D53" s="1">
        <v>30</v>
      </c>
      <c r="E53" s="1">
        <v>25.5</v>
      </c>
      <c r="F53" s="1">
        <v>2.25</v>
      </c>
      <c r="G53" s="24">
        <v>485</v>
      </c>
      <c r="H53" s="24" t="s">
        <v>397</v>
      </c>
      <c r="I53" s="2">
        <v>20000</v>
      </c>
      <c r="J53" s="2">
        <v>18500</v>
      </c>
      <c r="K53" s="4">
        <v>1500</v>
      </c>
      <c r="L53" s="557" t="s">
        <v>827</v>
      </c>
      <c r="M53" s="3">
        <v>24.270109999999999</v>
      </c>
      <c r="N53" s="3"/>
      <c r="O53" s="15"/>
      <c r="P53" s="15"/>
      <c r="Q53" s="15"/>
      <c r="R53" s="15"/>
      <c r="S53" s="15"/>
      <c r="T53" s="15"/>
      <c r="U53" s="15"/>
      <c r="V53" s="15"/>
      <c r="W53" s="15"/>
      <c r="X53" s="15"/>
    </row>
    <row r="54" spans="1:24" hidden="1" x14ac:dyDescent="0.25">
      <c r="A54" s="552" t="s">
        <v>955</v>
      </c>
      <c r="B54" s="2" t="s">
        <v>357</v>
      </c>
      <c r="C54" s="1">
        <v>39</v>
      </c>
      <c r="D54" s="1">
        <v>39</v>
      </c>
      <c r="E54" s="1">
        <v>34</v>
      </c>
      <c r="F54" s="1">
        <v>2.5</v>
      </c>
      <c r="G54" s="24">
        <v>272</v>
      </c>
      <c r="H54" s="24" t="s">
        <v>397</v>
      </c>
      <c r="I54" s="2">
        <v>15000</v>
      </c>
      <c r="J54" s="2">
        <v>8000</v>
      </c>
      <c r="K54" s="4">
        <v>7000</v>
      </c>
      <c r="L54" s="557" t="s">
        <v>869</v>
      </c>
      <c r="M54" s="3">
        <v>38.132675999999996</v>
      </c>
      <c r="N54" s="3"/>
      <c r="O54" s="15"/>
      <c r="P54" s="15"/>
      <c r="Q54" s="15"/>
      <c r="R54" s="15"/>
      <c r="S54" s="15"/>
      <c r="T54" s="15"/>
      <c r="U54" s="15"/>
      <c r="V54" s="15"/>
      <c r="W54" s="15"/>
      <c r="X54" s="15"/>
    </row>
    <row r="55" spans="1:24" hidden="1" x14ac:dyDescent="0.25">
      <c r="A55" s="552" t="s">
        <v>955</v>
      </c>
      <c r="B55" s="2" t="s">
        <v>962</v>
      </c>
      <c r="C55" s="1">
        <v>44.45</v>
      </c>
      <c r="D55" s="1">
        <v>40</v>
      </c>
      <c r="E55" s="6">
        <v>30</v>
      </c>
      <c r="F55" s="1">
        <v>1.6</v>
      </c>
      <c r="G55" s="24">
        <v>860</v>
      </c>
      <c r="H55" s="24" t="s">
        <v>397</v>
      </c>
      <c r="I55" s="2">
        <v>5000</v>
      </c>
      <c r="J55" s="2">
        <v>0</v>
      </c>
      <c r="K55" s="4">
        <v>5000</v>
      </c>
      <c r="L55" s="557" t="s">
        <v>586</v>
      </c>
      <c r="M55" s="3">
        <v>11.456837999999999</v>
      </c>
      <c r="N55" s="3"/>
      <c r="O55" s="15"/>
      <c r="P55" s="15"/>
      <c r="Q55" s="15"/>
      <c r="R55" s="15"/>
      <c r="S55" s="15"/>
      <c r="T55" s="15"/>
      <c r="U55" s="15"/>
      <c r="V55" s="15"/>
      <c r="W55" s="15"/>
      <c r="X55" s="15"/>
    </row>
    <row r="56" spans="1:24" hidden="1" x14ac:dyDescent="0.25">
      <c r="A56" s="552" t="s">
        <v>955</v>
      </c>
      <c r="B56" s="2" t="s">
        <v>962</v>
      </c>
      <c r="C56" s="1">
        <v>44.45</v>
      </c>
      <c r="D56" s="1">
        <v>40</v>
      </c>
      <c r="E56" s="6">
        <v>30</v>
      </c>
      <c r="F56" s="1">
        <v>1.6</v>
      </c>
      <c r="G56" s="24">
        <v>860</v>
      </c>
      <c r="H56" s="24" t="s">
        <v>397</v>
      </c>
      <c r="I56" s="2">
        <v>9000</v>
      </c>
      <c r="J56" s="2">
        <v>2200</v>
      </c>
      <c r="K56" s="4">
        <v>6800</v>
      </c>
      <c r="L56" s="557" t="s">
        <v>586</v>
      </c>
      <c r="M56" s="3">
        <v>11.456837999999999</v>
      </c>
      <c r="N56" s="3"/>
      <c r="O56" s="15"/>
      <c r="P56" s="15"/>
      <c r="Q56" s="15"/>
      <c r="R56" s="15"/>
      <c r="S56" s="15"/>
      <c r="T56" s="15"/>
      <c r="U56" s="15"/>
      <c r="V56" s="15"/>
      <c r="W56" s="15"/>
      <c r="X56" s="15"/>
    </row>
    <row r="57" spans="1:24" hidden="1" x14ac:dyDescent="0.25">
      <c r="A57" s="552" t="s">
        <v>955</v>
      </c>
      <c r="B57" s="2" t="s">
        <v>962</v>
      </c>
      <c r="C57" s="1">
        <v>42.7</v>
      </c>
      <c r="D57" s="1">
        <v>42.7</v>
      </c>
      <c r="E57" s="1">
        <v>0</v>
      </c>
      <c r="F57" s="1">
        <v>4</v>
      </c>
      <c r="G57" s="24">
        <v>254</v>
      </c>
      <c r="H57" s="24" t="s">
        <v>397</v>
      </c>
      <c r="I57" s="2">
        <v>12000</v>
      </c>
      <c r="J57" s="2">
        <v>6758</v>
      </c>
      <c r="K57" s="4">
        <v>5242</v>
      </c>
      <c r="L57" s="557" t="s">
        <v>891</v>
      </c>
      <c r="M57" s="3">
        <v>4.4653890000000001</v>
      </c>
      <c r="N57" s="3"/>
      <c r="O57" s="15"/>
      <c r="P57" s="15"/>
      <c r="Q57" s="15"/>
      <c r="R57" s="15"/>
      <c r="S57" s="15"/>
      <c r="T57" s="15"/>
      <c r="U57" s="15"/>
      <c r="V57" s="15"/>
      <c r="W57" s="15"/>
      <c r="X57" s="15"/>
    </row>
    <row r="58" spans="1:24" hidden="1" x14ac:dyDescent="0.25">
      <c r="A58" s="552" t="s">
        <v>955</v>
      </c>
      <c r="B58" s="2" t="s">
        <v>962</v>
      </c>
      <c r="C58" s="1">
        <v>42.7</v>
      </c>
      <c r="D58" s="1">
        <v>42.7</v>
      </c>
      <c r="E58" s="1">
        <v>0</v>
      </c>
      <c r="F58" s="1">
        <v>4</v>
      </c>
      <c r="G58" s="24">
        <v>254</v>
      </c>
      <c r="H58" s="24" t="s">
        <v>397</v>
      </c>
      <c r="I58" s="2">
        <v>10000</v>
      </c>
      <c r="J58" s="2">
        <v>2685</v>
      </c>
      <c r="K58" s="4">
        <v>7315</v>
      </c>
      <c r="L58" s="557" t="s">
        <v>891</v>
      </c>
      <c r="M58" s="3">
        <v>4.4653890000000001</v>
      </c>
      <c r="N58" s="3"/>
      <c r="O58" s="15"/>
      <c r="P58" s="15"/>
      <c r="Q58" s="15"/>
      <c r="R58" s="15"/>
      <c r="S58" s="15"/>
      <c r="T58" s="15"/>
      <c r="U58" s="15"/>
      <c r="V58" s="15"/>
      <c r="W58" s="15"/>
      <c r="X58" s="15"/>
    </row>
    <row r="59" spans="1:24" hidden="1" x14ac:dyDescent="0.25">
      <c r="A59" s="552" t="s">
        <v>955</v>
      </c>
      <c r="B59" s="2" t="s">
        <v>962</v>
      </c>
      <c r="C59" s="1">
        <v>57.15</v>
      </c>
      <c r="D59" s="1">
        <v>57.15</v>
      </c>
      <c r="E59" s="1">
        <v>0</v>
      </c>
      <c r="F59" s="1">
        <v>2</v>
      </c>
      <c r="G59" s="24">
        <v>409</v>
      </c>
      <c r="H59" s="24" t="s">
        <v>397</v>
      </c>
      <c r="I59" s="2">
        <v>5000</v>
      </c>
      <c r="J59" s="2">
        <v>4427</v>
      </c>
      <c r="K59" s="4">
        <v>573</v>
      </c>
      <c r="L59" s="557" t="s">
        <v>909</v>
      </c>
      <c r="M59" s="3">
        <v>31.312480999999991</v>
      </c>
      <c r="N59" s="3"/>
      <c r="O59" s="15"/>
      <c r="P59" s="15"/>
      <c r="Q59" s="15"/>
      <c r="R59" s="15"/>
      <c r="S59" s="15"/>
      <c r="T59" s="15"/>
      <c r="U59" s="15"/>
      <c r="V59" s="15"/>
      <c r="W59" s="15"/>
      <c r="X59" s="15"/>
    </row>
    <row r="60" spans="1:24" hidden="1" x14ac:dyDescent="0.25">
      <c r="A60" s="552" t="s">
        <v>955</v>
      </c>
      <c r="B60" s="2" t="s">
        <v>962</v>
      </c>
      <c r="C60" s="559">
        <v>22.23</v>
      </c>
      <c r="D60" s="559">
        <v>22.23</v>
      </c>
      <c r="E60" s="559">
        <v>0</v>
      </c>
      <c r="F60" s="1">
        <v>2.2999999999999998</v>
      </c>
      <c r="G60" s="24">
        <v>220</v>
      </c>
      <c r="H60" s="24" t="s">
        <v>397</v>
      </c>
      <c r="I60" s="557">
        <v>10000</v>
      </c>
      <c r="J60" s="2">
        <v>0</v>
      </c>
      <c r="K60" s="4">
        <v>10000</v>
      </c>
      <c r="L60" s="557" t="s">
        <v>748</v>
      </c>
      <c r="M60" s="3">
        <v>46.538291000000001</v>
      </c>
      <c r="N60" s="3"/>
      <c r="O60" s="15"/>
      <c r="P60" s="15"/>
      <c r="Q60" s="15"/>
      <c r="R60" s="15"/>
      <c r="S60" s="15"/>
      <c r="T60" s="15"/>
      <c r="U60" s="15"/>
      <c r="V60" s="15"/>
      <c r="W60" s="15"/>
      <c r="X60" s="15"/>
    </row>
    <row r="61" spans="1:24" x14ac:dyDescent="0.25">
      <c r="A61" s="552" t="s">
        <v>936</v>
      </c>
      <c r="B61" s="2" t="s">
        <v>962</v>
      </c>
      <c r="C61" s="1">
        <v>22.23</v>
      </c>
      <c r="D61" s="1">
        <v>22.23</v>
      </c>
      <c r="E61" s="1">
        <v>0</v>
      </c>
      <c r="F61" s="1">
        <v>2</v>
      </c>
      <c r="G61" s="24">
        <v>855</v>
      </c>
      <c r="H61" s="24" t="s">
        <v>397</v>
      </c>
      <c r="I61" s="2">
        <v>30330</v>
      </c>
      <c r="J61" s="2">
        <v>0</v>
      </c>
      <c r="K61" s="4">
        <v>30330</v>
      </c>
      <c r="L61" s="557" t="s">
        <v>562</v>
      </c>
      <c r="M61" s="3">
        <v>4.1801969999999997</v>
      </c>
      <c r="N61" s="3">
        <f>Table37[[#This Row],[BAL IN NOS]]</f>
        <v>30330</v>
      </c>
      <c r="O61" s="15"/>
      <c r="P61" s="15"/>
      <c r="Q61" s="15"/>
      <c r="R61" s="15"/>
      <c r="S61" s="15"/>
      <c r="T61" s="15"/>
      <c r="U61" s="15"/>
      <c r="V61" s="15"/>
      <c r="W61" s="15"/>
      <c r="X61" s="15"/>
    </row>
    <row r="62" spans="1:24" x14ac:dyDescent="0.25">
      <c r="A62" s="552" t="s">
        <v>936</v>
      </c>
      <c r="B62" s="2" t="s">
        <v>962</v>
      </c>
      <c r="C62" s="1">
        <v>22.23</v>
      </c>
      <c r="D62" s="1">
        <v>22.23</v>
      </c>
      <c r="E62" s="1">
        <v>0</v>
      </c>
      <c r="F62" s="1">
        <v>2</v>
      </c>
      <c r="G62" s="24">
        <v>863</v>
      </c>
      <c r="H62" s="24" t="s">
        <v>397</v>
      </c>
      <c r="I62" s="2">
        <v>14944</v>
      </c>
      <c r="J62" s="2">
        <v>0</v>
      </c>
      <c r="K62" s="4">
        <v>14944</v>
      </c>
      <c r="L62" s="557" t="s">
        <v>562</v>
      </c>
      <c r="M62" s="3">
        <v>4.1801969999999997</v>
      </c>
      <c r="N62" s="3">
        <v>5000</v>
      </c>
      <c r="O62" s="15"/>
      <c r="P62" s="15"/>
      <c r="Q62" s="15"/>
      <c r="R62" s="15"/>
      <c r="S62" s="15"/>
      <c r="T62" s="15"/>
      <c r="U62" s="15"/>
      <c r="V62" s="15"/>
      <c r="W62" s="15"/>
      <c r="X62" s="15"/>
    </row>
    <row r="63" spans="1:24" x14ac:dyDescent="0.25">
      <c r="A63" s="552" t="s">
        <v>936</v>
      </c>
      <c r="B63" s="2" t="s">
        <v>962</v>
      </c>
      <c r="C63" s="1">
        <v>41.28</v>
      </c>
      <c r="D63" s="1">
        <v>41.28</v>
      </c>
      <c r="E63" s="1">
        <v>0</v>
      </c>
      <c r="F63" s="1">
        <v>2.6</v>
      </c>
      <c r="G63" s="24">
        <v>850</v>
      </c>
      <c r="H63" s="24" t="s">
        <v>397</v>
      </c>
      <c r="I63" s="2">
        <v>22637</v>
      </c>
      <c r="J63" s="2">
        <v>10811</v>
      </c>
      <c r="K63" s="4">
        <v>11826</v>
      </c>
      <c r="L63" s="557" t="s">
        <v>886</v>
      </c>
      <c r="M63" s="3">
        <v>34.102745000000013</v>
      </c>
      <c r="N63" s="3">
        <v>5000</v>
      </c>
      <c r="O63" s="15"/>
      <c r="P63" s="15"/>
      <c r="Q63" s="15"/>
      <c r="R63" s="15"/>
      <c r="S63" s="15"/>
      <c r="T63" s="15"/>
      <c r="U63" s="15"/>
      <c r="V63" s="15"/>
      <c r="W63" s="15"/>
      <c r="X63" s="15"/>
    </row>
    <row r="64" spans="1:24" hidden="1" x14ac:dyDescent="0.25">
      <c r="A64" s="552" t="s">
        <v>936</v>
      </c>
      <c r="B64" s="2" t="s">
        <v>962</v>
      </c>
      <c r="C64" s="1">
        <v>42.7</v>
      </c>
      <c r="D64" s="1">
        <v>42.7</v>
      </c>
      <c r="E64" s="1">
        <v>0</v>
      </c>
      <c r="F64" s="1">
        <v>4</v>
      </c>
      <c r="G64" s="24">
        <v>215</v>
      </c>
      <c r="H64" s="24" t="s">
        <v>397</v>
      </c>
      <c r="I64" s="2">
        <v>45274</v>
      </c>
      <c r="J64" s="2">
        <v>22240</v>
      </c>
      <c r="K64" s="4">
        <v>23034</v>
      </c>
      <c r="L64" s="557" t="s">
        <v>891</v>
      </c>
      <c r="M64" s="3">
        <v>4.4653890000000001</v>
      </c>
      <c r="N64" s="3"/>
      <c r="O64" s="15"/>
      <c r="P64" s="15"/>
      <c r="Q64" s="15"/>
      <c r="R64" s="15"/>
      <c r="S64" s="15"/>
      <c r="T64" s="15"/>
      <c r="U64" s="15"/>
      <c r="V64" s="15"/>
      <c r="W64" s="15"/>
      <c r="X64" s="15"/>
    </row>
    <row r="65" spans="1:24" x14ac:dyDescent="0.25">
      <c r="A65" s="552" t="s">
        <v>936</v>
      </c>
      <c r="B65" s="2" t="s">
        <v>962</v>
      </c>
      <c r="C65" s="1">
        <v>38.1</v>
      </c>
      <c r="D65" s="1">
        <v>38.1</v>
      </c>
      <c r="E65" s="1">
        <v>0</v>
      </c>
      <c r="F65" s="1">
        <v>2</v>
      </c>
      <c r="G65" s="24">
        <v>410</v>
      </c>
      <c r="H65" s="24" t="s">
        <v>397</v>
      </c>
      <c r="I65" s="2">
        <v>6552</v>
      </c>
      <c r="J65" s="2">
        <v>0</v>
      </c>
      <c r="K65" s="4">
        <v>6552</v>
      </c>
      <c r="L65" s="557" t="s">
        <v>860</v>
      </c>
      <c r="M65" s="3">
        <v>23.642767000000003</v>
      </c>
      <c r="N65" s="3">
        <f>Table37[[#This Row],[BAL IN NOS]]</f>
        <v>6552</v>
      </c>
      <c r="O65" s="15"/>
      <c r="P65" s="15"/>
      <c r="Q65" s="15"/>
      <c r="R65" s="15"/>
      <c r="S65" s="15"/>
      <c r="T65" s="15"/>
      <c r="U65" s="15"/>
      <c r="V65" s="15"/>
      <c r="W65" s="15"/>
      <c r="X65" s="15"/>
    </row>
    <row r="66" spans="1:24" x14ac:dyDescent="0.25">
      <c r="A66" s="552" t="s">
        <v>957</v>
      </c>
      <c r="B66" s="2" t="s">
        <v>962</v>
      </c>
      <c r="C66" s="1">
        <v>38.1</v>
      </c>
      <c r="D66" s="1">
        <v>38.1</v>
      </c>
      <c r="E66" s="1">
        <v>0</v>
      </c>
      <c r="F66" s="1">
        <v>2</v>
      </c>
      <c r="G66" s="24">
        <v>432</v>
      </c>
      <c r="H66" s="24" t="s">
        <v>397</v>
      </c>
      <c r="I66" s="2">
        <v>15000</v>
      </c>
      <c r="J66" s="2">
        <v>6200</v>
      </c>
      <c r="K66" s="4">
        <v>8800</v>
      </c>
      <c r="L66" s="557" t="s">
        <v>860</v>
      </c>
      <c r="M66" s="3">
        <v>23.642767000000003</v>
      </c>
      <c r="N66" s="3">
        <f>Table37[[#This Row],[BAL IN NOS]]</f>
        <v>8800</v>
      </c>
      <c r="O66" s="15"/>
      <c r="P66" s="15"/>
      <c r="Q66" s="15"/>
      <c r="R66" s="15"/>
      <c r="S66" s="15"/>
      <c r="T66" s="15"/>
      <c r="U66" s="15"/>
      <c r="V66" s="15"/>
      <c r="W66" s="15"/>
      <c r="X66" s="15"/>
    </row>
    <row r="67" spans="1:24" x14ac:dyDescent="0.25">
      <c r="A67" s="552" t="s">
        <v>957</v>
      </c>
      <c r="B67" s="2" t="s">
        <v>962</v>
      </c>
      <c r="C67" s="1">
        <v>38.1</v>
      </c>
      <c r="D67" s="1">
        <v>38.1</v>
      </c>
      <c r="E67" s="1">
        <v>0</v>
      </c>
      <c r="F67" s="1">
        <v>2</v>
      </c>
      <c r="G67" s="24">
        <v>812</v>
      </c>
      <c r="H67" s="24" t="s">
        <v>397</v>
      </c>
      <c r="I67" s="2">
        <v>15000</v>
      </c>
      <c r="J67" s="2">
        <v>11000</v>
      </c>
      <c r="K67" s="4">
        <v>4000</v>
      </c>
      <c r="L67" s="557" t="s">
        <v>860</v>
      </c>
      <c r="M67" s="3">
        <v>23.642767000000003</v>
      </c>
      <c r="N67" s="3">
        <f>Table37[[#This Row],[BAL IN NOS]]</f>
        <v>4000</v>
      </c>
      <c r="O67" s="15"/>
      <c r="P67" s="15"/>
      <c r="Q67" s="15"/>
      <c r="R67" s="15"/>
      <c r="S67" s="15"/>
      <c r="T67" s="15"/>
      <c r="U67" s="15"/>
      <c r="V67" s="15"/>
      <c r="W67" s="15"/>
      <c r="X67" s="15"/>
    </row>
    <row r="68" spans="1:24" x14ac:dyDescent="0.25">
      <c r="A68" s="552" t="s">
        <v>957</v>
      </c>
      <c r="B68" s="2" t="s">
        <v>962</v>
      </c>
      <c r="C68" s="1">
        <v>42.7</v>
      </c>
      <c r="D68" s="1">
        <v>42.7</v>
      </c>
      <c r="E68" s="1">
        <v>0</v>
      </c>
      <c r="F68" s="1">
        <v>3.5</v>
      </c>
      <c r="G68" s="24">
        <v>208</v>
      </c>
      <c r="H68" s="24" t="s">
        <v>397</v>
      </c>
      <c r="I68" s="2">
        <v>22000</v>
      </c>
      <c r="J68" s="2">
        <v>12242</v>
      </c>
      <c r="K68" s="4">
        <v>9758</v>
      </c>
      <c r="L68" s="557" t="s">
        <v>875</v>
      </c>
      <c r="M68" s="3">
        <v>50.950525999999989</v>
      </c>
      <c r="N68" s="3">
        <f>Table37[[#This Row],[BAL IN NOS]]</f>
        <v>9758</v>
      </c>
      <c r="O68" s="15"/>
      <c r="P68" s="15"/>
      <c r="Q68" s="15"/>
      <c r="R68" s="15"/>
      <c r="S68" s="15"/>
      <c r="T68" s="15"/>
      <c r="U68" s="15"/>
      <c r="V68" s="15"/>
      <c r="W68" s="15"/>
      <c r="X68" s="15"/>
    </row>
    <row r="69" spans="1:24" hidden="1" x14ac:dyDescent="0.25">
      <c r="A69" s="552" t="s">
        <v>960</v>
      </c>
      <c r="B69" s="2" t="s">
        <v>962</v>
      </c>
      <c r="C69" s="1">
        <v>17.3</v>
      </c>
      <c r="D69" s="1">
        <v>17.3</v>
      </c>
      <c r="E69" s="6">
        <v>0</v>
      </c>
      <c r="F69" s="1">
        <v>1.6</v>
      </c>
      <c r="G69" s="24">
        <v>640</v>
      </c>
      <c r="H69" s="24" t="s">
        <v>397</v>
      </c>
      <c r="I69" s="2">
        <v>5000</v>
      </c>
      <c r="J69" s="2">
        <v>1000</v>
      </c>
      <c r="K69" s="4">
        <v>4000</v>
      </c>
      <c r="L69" s="557" t="s">
        <v>978</v>
      </c>
      <c r="M69" s="3">
        <v>11.246831000000002</v>
      </c>
      <c r="N69" s="3"/>
      <c r="O69" s="15"/>
      <c r="P69" s="15"/>
      <c r="Q69" s="15"/>
      <c r="R69" s="15"/>
      <c r="S69" s="15"/>
      <c r="T69" s="15"/>
      <c r="U69" s="15"/>
      <c r="V69" s="15"/>
      <c r="W69" s="15"/>
      <c r="X69" s="15"/>
    </row>
    <row r="70" spans="1:24" hidden="1" x14ac:dyDescent="0.25">
      <c r="A70" s="552" t="s">
        <v>960</v>
      </c>
      <c r="B70" s="2" t="s">
        <v>962</v>
      </c>
      <c r="C70" s="1">
        <v>19.05</v>
      </c>
      <c r="D70" s="1">
        <v>19.05</v>
      </c>
      <c r="E70" s="6">
        <v>0</v>
      </c>
      <c r="F70" s="1">
        <v>2.2999999999999998</v>
      </c>
      <c r="G70" s="24">
        <v>236</v>
      </c>
      <c r="H70" s="24" t="s">
        <v>397</v>
      </c>
      <c r="I70" s="2">
        <v>40000</v>
      </c>
      <c r="J70" s="2">
        <v>18019</v>
      </c>
      <c r="K70" s="4">
        <v>21981</v>
      </c>
      <c r="L70" s="557" t="s">
        <v>407</v>
      </c>
      <c r="M70" s="3">
        <v>13.504943000000004</v>
      </c>
      <c r="N70" s="3"/>
      <c r="O70" s="15"/>
      <c r="P70" s="15"/>
      <c r="Q70" s="15"/>
      <c r="R70" s="15"/>
      <c r="S70" s="15"/>
      <c r="T70" s="15"/>
      <c r="U70" s="15"/>
      <c r="V70" s="15"/>
      <c r="W70" s="15"/>
      <c r="X70" s="15"/>
    </row>
    <row r="71" spans="1:24" hidden="1" x14ac:dyDescent="0.25">
      <c r="A71" s="552" t="s">
        <v>960</v>
      </c>
      <c r="B71" s="2" t="s">
        <v>962</v>
      </c>
      <c r="C71" s="1">
        <v>19.05</v>
      </c>
      <c r="D71" s="1">
        <v>19.05</v>
      </c>
      <c r="E71" s="6">
        <v>0</v>
      </c>
      <c r="F71" s="1">
        <v>2.2999999999999998</v>
      </c>
      <c r="G71" s="24">
        <v>252</v>
      </c>
      <c r="H71" s="24" t="s">
        <v>397</v>
      </c>
      <c r="I71" s="2">
        <v>70000</v>
      </c>
      <c r="J71" s="2">
        <v>26794</v>
      </c>
      <c r="K71" s="4">
        <v>43206</v>
      </c>
      <c r="L71" s="557" t="s">
        <v>407</v>
      </c>
      <c r="M71" s="3">
        <v>13.504943000000004</v>
      </c>
      <c r="N71" s="3"/>
      <c r="O71" s="15"/>
      <c r="P71" s="15"/>
      <c r="Q71" s="15"/>
      <c r="R71" s="15"/>
      <c r="S71" s="15"/>
      <c r="T71" s="15"/>
      <c r="U71" s="15"/>
      <c r="V71" s="15"/>
      <c r="W71" s="15"/>
      <c r="X71" s="15"/>
    </row>
    <row r="72" spans="1:24" hidden="1" x14ac:dyDescent="0.25">
      <c r="A72" s="552" t="s">
        <v>960</v>
      </c>
      <c r="B72" s="2" t="s">
        <v>962</v>
      </c>
      <c r="C72" s="1">
        <v>19.05</v>
      </c>
      <c r="D72" s="1">
        <v>19.05</v>
      </c>
      <c r="E72" s="6">
        <v>0</v>
      </c>
      <c r="F72" s="1">
        <v>2.2999999999999998</v>
      </c>
      <c r="G72" s="24">
        <v>570</v>
      </c>
      <c r="H72" s="24" t="s">
        <v>397</v>
      </c>
      <c r="I72" s="2">
        <v>10000</v>
      </c>
      <c r="J72" s="2">
        <v>0</v>
      </c>
      <c r="K72" s="4">
        <v>10000</v>
      </c>
      <c r="L72" s="557" t="s">
        <v>407</v>
      </c>
      <c r="M72" s="3">
        <v>13.504943000000004</v>
      </c>
      <c r="N72" s="3"/>
      <c r="O72" s="15"/>
      <c r="P72" s="15"/>
      <c r="Q72" s="15"/>
      <c r="R72" s="15"/>
      <c r="S72" s="15"/>
      <c r="T72" s="15"/>
      <c r="U72" s="15"/>
      <c r="V72" s="15"/>
      <c r="W72" s="15"/>
      <c r="X72" s="15"/>
    </row>
    <row r="73" spans="1:24" hidden="1" x14ac:dyDescent="0.25">
      <c r="A73" s="552" t="s">
        <v>960</v>
      </c>
      <c r="B73" s="2" t="s">
        <v>962</v>
      </c>
      <c r="C73" s="1">
        <v>19.05</v>
      </c>
      <c r="D73" s="1">
        <v>19.05</v>
      </c>
      <c r="E73" s="6">
        <v>0</v>
      </c>
      <c r="F73" s="1">
        <v>2.2999999999999998</v>
      </c>
      <c r="G73" s="24">
        <v>610</v>
      </c>
      <c r="H73" s="24" t="s">
        <v>397</v>
      </c>
      <c r="I73" s="2">
        <v>10000</v>
      </c>
      <c r="J73" s="2">
        <v>7577</v>
      </c>
      <c r="K73" s="4">
        <v>2423</v>
      </c>
      <c r="L73" s="557" t="s">
        <v>407</v>
      </c>
      <c r="M73" s="3">
        <v>13.504943000000004</v>
      </c>
      <c r="N73" s="3"/>
      <c r="O73" s="15"/>
      <c r="P73" s="15"/>
      <c r="Q73" s="15"/>
      <c r="R73" s="15"/>
      <c r="S73" s="15"/>
      <c r="T73" s="15"/>
      <c r="U73" s="15"/>
      <c r="V73" s="15"/>
      <c r="W73" s="15"/>
      <c r="X73" s="15"/>
    </row>
    <row r="74" spans="1:24" hidden="1" x14ac:dyDescent="0.25">
      <c r="A74" s="552" t="s">
        <v>960</v>
      </c>
      <c r="B74" s="2" t="s">
        <v>962</v>
      </c>
      <c r="C74" s="1">
        <v>22.23</v>
      </c>
      <c r="D74" s="1">
        <v>22.23</v>
      </c>
      <c r="E74" s="6">
        <v>0</v>
      </c>
      <c r="F74" s="1">
        <v>2.2999999999999998</v>
      </c>
      <c r="G74" s="24">
        <v>281</v>
      </c>
      <c r="H74" s="24" t="s">
        <v>397</v>
      </c>
      <c r="I74" s="2">
        <v>70000</v>
      </c>
      <c r="J74" s="2">
        <v>20950</v>
      </c>
      <c r="K74" s="4">
        <v>49050</v>
      </c>
      <c r="L74" s="557" t="s">
        <v>748</v>
      </c>
      <c r="M74" s="3">
        <v>46.538291000000001</v>
      </c>
      <c r="N74" s="3"/>
      <c r="O74" s="15"/>
      <c r="P74" s="15"/>
      <c r="Q74" s="15"/>
      <c r="R74" s="15"/>
      <c r="S74" s="15"/>
      <c r="T74" s="15"/>
      <c r="U74" s="15"/>
      <c r="V74" s="15"/>
      <c r="W74" s="15"/>
      <c r="X74" s="15"/>
    </row>
    <row r="75" spans="1:24" hidden="1" x14ac:dyDescent="0.25">
      <c r="A75" s="552" t="s">
        <v>960</v>
      </c>
      <c r="B75" s="2" t="s">
        <v>962</v>
      </c>
      <c r="C75" s="1">
        <v>22.23</v>
      </c>
      <c r="D75" s="1">
        <v>22.23</v>
      </c>
      <c r="E75" s="6">
        <v>0</v>
      </c>
      <c r="F75" s="1">
        <v>2.2999999999999998</v>
      </c>
      <c r="G75" s="24">
        <v>427</v>
      </c>
      <c r="H75" s="24" t="s">
        <v>397</v>
      </c>
      <c r="I75" s="2">
        <v>5000</v>
      </c>
      <c r="J75" s="2">
        <v>5775</v>
      </c>
      <c r="K75" s="4">
        <v>-775</v>
      </c>
      <c r="L75" s="557" t="s">
        <v>748</v>
      </c>
      <c r="M75" s="3">
        <v>46.538291000000001</v>
      </c>
      <c r="N75" s="3"/>
      <c r="O75" s="15"/>
      <c r="P75" s="15"/>
      <c r="Q75" s="15"/>
      <c r="R75" s="15"/>
      <c r="S75" s="15"/>
      <c r="T75" s="15"/>
      <c r="U75" s="15"/>
      <c r="V75" s="15"/>
      <c r="W75" s="15"/>
      <c r="X75" s="15"/>
    </row>
    <row r="76" spans="1:24" x14ac:dyDescent="0.25">
      <c r="A76" s="552" t="s">
        <v>960</v>
      </c>
      <c r="B76" s="2" t="s">
        <v>357</v>
      </c>
      <c r="C76" s="1">
        <v>19</v>
      </c>
      <c r="D76" s="1">
        <v>19</v>
      </c>
      <c r="E76" s="1">
        <v>12.5</v>
      </c>
      <c r="F76" s="1">
        <v>3.25</v>
      </c>
      <c r="G76" s="24">
        <v>588</v>
      </c>
      <c r="H76" s="24" t="s">
        <v>397</v>
      </c>
      <c r="I76" s="2">
        <v>10000</v>
      </c>
      <c r="J76" s="2">
        <v>0</v>
      </c>
      <c r="K76" s="4">
        <v>10000</v>
      </c>
      <c r="L76" s="557" t="s">
        <v>590</v>
      </c>
      <c r="M76" s="3">
        <v>37.067292999999999</v>
      </c>
      <c r="N76" s="3">
        <v>10000</v>
      </c>
      <c r="O76" s="15"/>
      <c r="P76" s="15"/>
      <c r="Q76" s="15"/>
      <c r="R76" s="15"/>
      <c r="S76" s="15"/>
      <c r="T76" s="15"/>
      <c r="U76" s="15"/>
      <c r="V76" s="15"/>
      <c r="W76" s="15"/>
      <c r="X76" s="15"/>
    </row>
    <row r="77" spans="1:24" x14ac:dyDescent="0.25">
      <c r="A77" s="552" t="s">
        <v>960</v>
      </c>
      <c r="B77" s="2" t="s">
        <v>962</v>
      </c>
      <c r="C77" s="1">
        <v>19.05</v>
      </c>
      <c r="D77" s="1">
        <v>19.05</v>
      </c>
      <c r="E77" s="6">
        <v>0</v>
      </c>
      <c r="F77" s="1">
        <v>2.2999999999999998</v>
      </c>
      <c r="G77" s="24">
        <v>265</v>
      </c>
      <c r="H77" s="24" t="s">
        <v>397</v>
      </c>
      <c r="I77" s="2">
        <v>20000</v>
      </c>
      <c r="J77" s="2">
        <v>0</v>
      </c>
      <c r="K77" s="4">
        <v>20000</v>
      </c>
      <c r="L77" s="557" t="s">
        <v>407</v>
      </c>
      <c r="M77" s="3">
        <v>13.504943000000004</v>
      </c>
      <c r="N77" s="3">
        <v>10000</v>
      </c>
      <c r="O77" s="15"/>
      <c r="P77" s="15"/>
      <c r="Q77" s="15"/>
      <c r="R77" s="15"/>
      <c r="S77" s="15"/>
      <c r="T77" s="15"/>
      <c r="U77" s="15"/>
      <c r="V77" s="15"/>
      <c r="W77" s="15"/>
      <c r="X77" s="15"/>
    </row>
    <row r="78" spans="1:24" hidden="1" x14ac:dyDescent="0.25">
      <c r="A78" s="552" t="s">
        <v>960</v>
      </c>
      <c r="B78" s="2" t="s">
        <v>962</v>
      </c>
      <c r="C78" s="1">
        <v>19.05</v>
      </c>
      <c r="D78" s="1">
        <v>19.05</v>
      </c>
      <c r="E78" s="6">
        <v>0</v>
      </c>
      <c r="F78" s="1">
        <v>2.2999999999999998</v>
      </c>
      <c r="G78" s="24">
        <v>295</v>
      </c>
      <c r="H78" s="24" t="s">
        <v>397</v>
      </c>
      <c r="I78" s="2">
        <v>80000</v>
      </c>
      <c r="J78" s="2">
        <v>30034</v>
      </c>
      <c r="K78" s="4">
        <v>49966</v>
      </c>
      <c r="L78" s="557" t="s">
        <v>407</v>
      </c>
      <c r="M78" s="3">
        <v>13.504943000000004</v>
      </c>
      <c r="N78" s="3"/>
      <c r="O78" s="15"/>
      <c r="P78" s="15"/>
      <c r="Q78" s="15"/>
      <c r="R78" s="15"/>
      <c r="S78" s="15"/>
      <c r="T78" s="15"/>
      <c r="U78" s="15"/>
      <c r="V78" s="15"/>
      <c r="W78" s="15"/>
      <c r="X78" s="15"/>
    </row>
    <row r="79" spans="1:24" hidden="1" x14ac:dyDescent="0.25">
      <c r="A79" s="552" t="s">
        <v>961</v>
      </c>
      <c r="B79" s="100" t="s">
        <v>962</v>
      </c>
      <c r="C79" s="129">
        <v>44.45</v>
      </c>
      <c r="D79" s="129">
        <v>40</v>
      </c>
      <c r="E79" s="129">
        <v>30</v>
      </c>
      <c r="F79" s="129">
        <v>1.6</v>
      </c>
      <c r="G79" s="181">
        <v>400</v>
      </c>
      <c r="H79" s="181" t="s">
        <v>397</v>
      </c>
      <c r="I79" s="100">
        <v>10000</v>
      </c>
      <c r="J79" s="100">
        <v>9621</v>
      </c>
      <c r="K79" s="131">
        <v>379</v>
      </c>
      <c r="L79" s="565" t="s">
        <v>586</v>
      </c>
      <c r="M79" s="3">
        <v>11.456837999999999</v>
      </c>
      <c r="N79" s="3"/>
      <c r="O79" s="15"/>
      <c r="P79" s="15"/>
      <c r="Q79" s="15"/>
      <c r="R79" s="15"/>
      <c r="S79" s="15"/>
      <c r="T79" s="15"/>
      <c r="U79" s="15"/>
      <c r="V79" s="15"/>
      <c r="W79" s="15"/>
      <c r="X79" s="15"/>
    </row>
  </sheetData>
  <phoneticPr fontId="13"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K1512"/>
  <sheetViews>
    <sheetView topLeftCell="D1" workbookViewId="0">
      <selection activeCell="C261" sqref="C261:C1551"/>
    </sheetView>
  </sheetViews>
  <sheetFormatPr defaultRowHeight="15" x14ac:dyDescent="0.25"/>
  <cols>
    <col min="1" max="1" width="10.85546875" bestFit="1" customWidth="1"/>
    <col min="2" max="2" width="42.7109375" bestFit="1" customWidth="1"/>
    <col min="3" max="3" width="9" bestFit="1" customWidth="1"/>
    <col min="4" max="4" width="7.85546875" bestFit="1" customWidth="1"/>
    <col min="5" max="5" width="37.7109375" bestFit="1" customWidth="1"/>
    <col min="6" max="6" width="8.28515625" bestFit="1" customWidth="1"/>
    <col min="7" max="7" width="7.5703125" bestFit="1" customWidth="1"/>
    <col min="8" max="8" width="31.140625" bestFit="1" customWidth="1"/>
    <col min="9" max="9" width="33.42578125" bestFit="1" customWidth="1"/>
    <col min="10" max="10" width="9.28515625" bestFit="1" customWidth="1"/>
    <col min="11" max="11" width="10.7109375" customWidth="1"/>
    <col min="12" max="12" width="10.7109375" bestFit="1" customWidth="1"/>
    <col min="13" max="13" width="7.85546875" bestFit="1" customWidth="1"/>
    <col min="14" max="14" width="14.140625" bestFit="1" customWidth="1"/>
    <col min="15" max="15" width="16.7109375" bestFit="1" customWidth="1"/>
    <col min="16" max="16" width="22.28515625" bestFit="1" customWidth="1"/>
    <col min="17" max="17" width="11.5703125" bestFit="1" customWidth="1"/>
    <col min="18" max="18" width="37.42578125" bestFit="1" customWidth="1"/>
    <col min="19" max="19" width="13.85546875" bestFit="1" customWidth="1"/>
    <col min="20" max="20" width="12" bestFit="1" customWidth="1"/>
    <col min="21" max="21" width="21.7109375" bestFit="1" customWidth="1"/>
    <col min="22" max="22" width="8.28515625" bestFit="1" customWidth="1"/>
    <col min="23" max="23" width="7.5703125" bestFit="1" customWidth="1"/>
    <col min="24" max="24" width="31.140625" customWidth="1"/>
  </cols>
  <sheetData>
    <row r="1" spans="1:11" x14ac:dyDescent="0.25">
      <c r="A1" t="s">
        <v>2167</v>
      </c>
      <c r="B1" t="s">
        <v>204</v>
      </c>
      <c r="C1" t="s">
        <v>2168</v>
      </c>
      <c r="D1" t="s">
        <v>1801</v>
      </c>
      <c r="E1" t="s">
        <v>281</v>
      </c>
      <c r="F1" t="s">
        <v>2169</v>
      </c>
      <c r="G1" t="s">
        <v>2</v>
      </c>
      <c r="H1" t="s">
        <v>261</v>
      </c>
      <c r="I1" t="s">
        <v>1850</v>
      </c>
      <c r="J1" t="s">
        <v>2170</v>
      </c>
      <c r="K1" t="s">
        <v>1832</v>
      </c>
    </row>
    <row r="2" spans="1:11" hidden="1" x14ac:dyDescent="0.25">
      <c r="A2">
        <v>1939985</v>
      </c>
      <c r="B2" t="s">
        <v>1137</v>
      </c>
      <c r="C2">
        <v>0.61299999999999999</v>
      </c>
      <c r="D2">
        <v>789</v>
      </c>
      <c r="E2" t="s">
        <v>37</v>
      </c>
      <c r="F2">
        <v>2</v>
      </c>
      <c r="G2" s="582" t="s">
        <v>33</v>
      </c>
      <c r="H2" s="582" t="s">
        <v>398</v>
      </c>
      <c r="I2" t="s">
        <v>2173</v>
      </c>
      <c r="J2">
        <v>6</v>
      </c>
      <c r="K2" t="s">
        <v>1838</v>
      </c>
    </row>
    <row r="3" spans="1:11" hidden="1" x14ac:dyDescent="0.25">
      <c r="A3">
        <v>1939985</v>
      </c>
      <c r="B3" t="s">
        <v>1137</v>
      </c>
      <c r="C3">
        <v>0.61</v>
      </c>
      <c r="D3">
        <v>789</v>
      </c>
      <c r="E3" t="s">
        <v>37</v>
      </c>
      <c r="F3">
        <v>3</v>
      </c>
      <c r="G3" s="582" t="s">
        <v>33</v>
      </c>
      <c r="H3" s="582" t="s">
        <v>398</v>
      </c>
      <c r="I3" t="s">
        <v>2173</v>
      </c>
      <c r="J3">
        <v>6</v>
      </c>
      <c r="K3" t="s">
        <v>1838</v>
      </c>
    </row>
    <row r="4" spans="1:11" hidden="1" x14ac:dyDescent="0.25">
      <c r="A4">
        <v>1939985</v>
      </c>
      <c r="B4" t="s">
        <v>1137</v>
      </c>
      <c r="C4">
        <v>0.241453</v>
      </c>
      <c r="D4">
        <v>789</v>
      </c>
      <c r="E4" t="s">
        <v>37</v>
      </c>
      <c r="F4">
        <v>4</v>
      </c>
      <c r="G4" s="582" t="s">
        <v>33</v>
      </c>
      <c r="H4" s="582" t="s">
        <v>398</v>
      </c>
      <c r="I4" t="s">
        <v>2173</v>
      </c>
      <c r="J4">
        <v>6</v>
      </c>
      <c r="K4" t="s">
        <v>1838</v>
      </c>
    </row>
    <row r="5" spans="1:11" hidden="1" x14ac:dyDescent="0.25">
      <c r="A5">
        <v>1939985</v>
      </c>
      <c r="B5" t="s">
        <v>1137</v>
      </c>
      <c r="C5">
        <v>0.68799999999999994</v>
      </c>
      <c r="D5">
        <v>789</v>
      </c>
      <c r="E5" t="s">
        <v>37</v>
      </c>
      <c r="F5">
        <v>89</v>
      </c>
      <c r="G5" s="582" t="s">
        <v>33</v>
      </c>
      <c r="H5" s="582" t="s">
        <v>398</v>
      </c>
      <c r="I5" t="s">
        <v>2173</v>
      </c>
      <c r="J5">
        <v>6</v>
      </c>
      <c r="K5" t="s">
        <v>1838</v>
      </c>
    </row>
    <row r="6" spans="1:11" hidden="1" x14ac:dyDescent="0.25">
      <c r="A6">
        <v>1939985</v>
      </c>
      <c r="B6" t="s">
        <v>1137</v>
      </c>
      <c r="C6">
        <v>1.7629999999999999</v>
      </c>
      <c r="D6">
        <v>789</v>
      </c>
      <c r="E6" t="s">
        <v>37</v>
      </c>
      <c r="F6">
        <v>90</v>
      </c>
      <c r="G6" s="582" t="s">
        <v>33</v>
      </c>
      <c r="H6" s="582" t="s">
        <v>398</v>
      </c>
      <c r="I6" t="s">
        <v>2173</v>
      </c>
      <c r="J6">
        <v>6</v>
      </c>
      <c r="K6" t="s">
        <v>1838</v>
      </c>
    </row>
    <row r="7" spans="1:11" hidden="1" x14ac:dyDescent="0.25">
      <c r="A7">
        <v>1939985</v>
      </c>
      <c r="B7" t="s">
        <v>1137</v>
      </c>
      <c r="C7">
        <v>0.61299999999999999</v>
      </c>
      <c r="D7">
        <v>789</v>
      </c>
      <c r="E7" t="s">
        <v>37</v>
      </c>
      <c r="F7">
        <v>91</v>
      </c>
      <c r="G7" s="582" t="s">
        <v>33</v>
      </c>
      <c r="H7" s="582" t="s">
        <v>398</v>
      </c>
      <c r="I7" t="s">
        <v>2173</v>
      </c>
      <c r="J7">
        <v>6</v>
      </c>
      <c r="K7" t="s">
        <v>1838</v>
      </c>
    </row>
    <row r="8" spans="1:11" hidden="1" x14ac:dyDescent="0.25">
      <c r="A8">
        <v>1939985</v>
      </c>
      <c r="B8" t="s">
        <v>1137</v>
      </c>
      <c r="C8">
        <v>1.8280000000000001</v>
      </c>
      <c r="D8">
        <v>789</v>
      </c>
      <c r="E8" t="s">
        <v>37</v>
      </c>
      <c r="F8">
        <v>92</v>
      </c>
      <c r="G8" s="582" t="s">
        <v>33</v>
      </c>
      <c r="H8" s="582" t="s">
        <v>398</v>
      </c>
      <c r="I8" t="s">
        <v>2173</v>
      </c>
      <c r="J8">
        <v>6</v>
      </c>
      <c r="K8" t="s">
        <v>1838</v>
      </c>
    </row>
    <row r="9" spans="1:11" hidden="1" x14ac:dyDescent="0.25">
      <c r="A9">
        <v>1939985</v>
      </c>
      <c r="B9" t="s">
        <v>1137</v>
      </c>
      <c r="C9">
        <v>0.79200000000000004</v>
      </c>
      <c r="D9">
        <v>789</v>
      </c>
      <c r="E9" t="s">
        <v>37</v>
      </c>
      <c r="F9">
        <v>93</v>
      </c>
      <c r="G9" s="582" t="s">
        <v>33</v>
      </c>
      <c r="H9" s="582" t="s">
        <v>398</v>
      </c>
      <c r="I9" t="s">
        <v>2173</v>
      </c>
      <c r="J9">
        <v>6</v>
      </c>
      <c r="K9" t="s">
        <v>1838</v>
      </c>
    </row>
    <row r="10" spans="1:11" hidden="1" x14ac:dyDescent="0.25">
      <c r="A10">
        <v>1939985</v>
      </c>
      <c r="B10" t="s">
        <v>1137</v>
      </c>
      <c r="C10">
        <v>2.63</v>
      </c>
      <c r="D10">
        <v>789</v>
      </c>
      <c r="E10" t="s">
        <v>37</v>
      </c>
      <c r="F10">
        <v>94</v>
      </c>
      <c r="G10" s="582" t="s">
        <v>33</v>
      </c>
      <c r="H10" s="582" t="s">
        <v>398</v>
      </c>
      <c r="I10" t="s">
        <v>2173</v>
      </c>
      <c r="J10">
        <v>6</v>
      </c>
      <c r="K10" t="s">
        <v>1838</v>
      </c>
    </row>
    <row r="11" spans="1:11" hidden="1" x14ac:dyDescent="0.25">
      <c r="A11">
        <v>1939985</v>
      </c>
      <c r="B11" t="s">
        <v>1137</v>
      </c>
      <c r="C11">
        <v>2.2749999999999999</v>
      </c>
      <c r="D11">
        <v>789</v>
      </c>
      <c r="E11" t="s">
        <v>37</v>
      </c>
      <c r="F11">
        <v>95</v>
      </c>
      <c r="G11" s="582" t="s">
        <v>33</v>
      </c>
      <c r="H11" s="582" t="s">
        <v>398</v>
      </c>
      <c r="I11" t="s">
        <v>2173</v>
      </c>
      <c r="J11">
        <v>6</v>
      </c>
      <c r="K11" t="s">
        <v>1838</v>
      </c>
    </row>
    <row r="12" spans="1:11" hidden="1" x14ac:dyDescent="0.25">
      <c r="A12">
        <v>1939985</v>
      </c>
      <c r="B12" t="s">
        <v>1137</v>
      </c>
      <c r="C12">
        <v>2.27</v>
      </c>
      <c r="D12">
        <v>789</v>
      </c>
      <c r="E12" t="s">
        <v>37</v>
      </c>
      <c r="F12">
        <v>96</v>
      </c>
      <c r="G12" s="582" t="s">
        <v>33</v>
      </c>
      <c r="H12" s="582" t="s">
        <v>398</v>
      </c>
      <c r="I12" t="s">
        <v>2173</v>
      </c>
      <c r="J12">
        <v>6</v>
      </c>
      <c r="K12" t="s">
        <v>1838</v>
      </c>
    </row>
    <row r="13" spans="1:11" hidden="1" x14ac:dyDescent="0.25">
      <c r="A13">
        <v>1939985</v>
      </c>
      <c r="B13" t="s">
        <v>1137</v>
      </c>
      <c r="C13">
        <v>2.2599999999999998</v>
      </c>
      <c r="D13">
        <v>789</v>
      </c>
      <c r="E13" t="s">
        <v>37</v>
      </c>
      <c r="F13">
        <v>97</v>
      </c>
      <c r="G13" s="582" t="s">
        <v>33</v>
      </c>
      <c r="H13" s="582" t="s">
        <v>398</v>
      </c>
      <c r="I13" t="s">
        <v>2173</v>
      </c>
      <c r="J13">
        <v>6</v>
      </c>
      <c r="K13" t="s">
        <v>1838</v>
      </c>
    </row>
    <row r="14" spans="1:11" hidden="1" x14ac:dyDescent="0.25">
      <c r="A14">
        <v>1939985</v>
      </c>
      <c r="B14" t="s">
        <v>1137</v>
      </c>
      <c r="C14">
        <v>2.2610000000000001</v>
      </c>
      <c r="D14">
        <v>789</v>
      </c>
      <c r="E14" t="s">
        <v>37</v>
      </c>
      <c r="F14">
        <v>98</v>
      </c>
      <c r="G14" s="582" t="s">
        <v>33</v>
      </c>
      <c r="H14" s="582" t="s">
        <v>398</v>
      </c>
      <c r="I14" t="s">
        <v>2173</v>
      </c>
      <c r="J14">
        <v>6</v>
      </c>
      <c r="K14" t="s">
        <v>1838</v>
      </c>
    </row>
    <row r="15" spans="1:11" hidden="1" x14ac:dyDescent="0.25">
      <c r="A15">
        <v>1939985</v>
      </c>
      <c r="B15" t="s">
        <v>1137</v>
      </c>
      <c r="C15">
        <v>1.3320000000000001</v>
      </c>
      <c r="D15">
        <v>789</v>
      </c>
      <c r="E15" t="s">
        <v>37</v>
      </c>
      <c r="F15">
        <v>99</v>
      </c>
      <c r="G15" s="582" t="s">
        <v>33</v>
      </c>
      <c r="H15" s="582" t="s">
        <v>398</v>
      </c>
      <c r="I15" t="s">
        <v>2173</v>
      </c>
      <c r="J15">
        <v>6</v>
      </c>
      <c r="K15" t="s">
        <v>1838</v>
      </c>
    </row>
    <row r="16" spans="1:11" hidden="1" x14ac:dyDescent="0.25">
      <c r="A16">
        <v>1940369</v>
      </c>
      <c r="B16" t="s">
        <v>2175</v>
      </c>
      <c r="C16">
        <v>8.5000000000000006E-2</v>
      </c>
      <c r="D16">
        <v>789</v>
      </c>
      <c r="E16" t="s">
        <v>37</v>
      </c>
      <c r="F16">
        <v>5</v>
      </c>
      <c r="G16" s="582" t="s">
        <v>33</v>
      </c>
      <c r="H16" s="582" t="s">
        <v>607</v>
      </c>
      <c r="I16" t="s">
        <v>2176</v>
      </c>
      <c r="J16">
        <v>6</v>
      </c>
      <c r="K16" t="s">
        <v>1838</v>
      </c>
    </row>
    <row r="17" spans="1:11" hidden="1" x14ac:dyDescent="0.25">
      <c r="A17">
        <v>1939963</v>
      </c>
      <c r="B17" t="s">
        <v>399</v>
      </c>
      <c r="C17">
        <v>6.6400000000000001E-3</v>
      </c>
      <c r="D17">
        <v>789</v>
      </c>
      <c r="E17" t="s">
        <v>61</v>
      </c>
      <c r="F17">
        <v>86</v>
      </c>
      <c r="G17" s="582" t="s">
        <v>10</v>
      </c>
      <c r="H17" s="582" t="s">
        <v>398</v>
      </c>
      <c r="I17" t="s">
        <v>400</v>
      </c>
      <c r="J17">
        <v>0.27800000000000002</v>
      </c>
      <c r="K17" t="s">
        <v>2171</v>
      </c>
    </row>
    <row r="18" spans="1:11" hidden="1" x14ac:dyDescent="0.25">
      <c r="A18">
        <v>1939963</v>
      </c>
      <c r="B18" t="s">
        <v>399</v>
      </c>
      <c r="C18">
        <v>0.76</v>
      </c>
      <c r="D18">
        <v>789</v>
      </c>
      <c r="E18" t="s">
        <v>61</v>
      </c>
      <c r="F18">
        <v>87</v>
      </c>
      <c r="G18" s="582" t="s">
        <v>10</v>
      </c>
      <c r="H18" s="582" t="s">
        <v>398</v>
      </c>
      <c r="I18" t="s">
        <v>400</v>
      </c>
      <c r="J18">
        <v>0.27800000000000002</v>
      </c>
      <c r="K18" t="s">
        <v>2171</v>
      </c>
    </row>
    <row r="19" spans="1:11" hidden="1" x14ac:dyDescent="0.25">
      <c r="A19">
        <v>3575894</v>
      </c>
      <c r="B19" t="s">
        <v>2292</v>
      </c>
      <c r="C19">
        <v>1.3129999999999999</v>
      </c>
      <c r="D19">
        <v>789</v>
      </c>
      <c r="E19" t="s">
        <v>37</v>
      </c>
      <c r="F19">
        <v>36</v>
      </c>
      <c r="G19" s="582" t="s">
        <v>33</v>
      </c>
      <c r="H19" s="582" t="s">
        <v>412</v>
      </c>
      <c r="I19" t="s">
        <v>2293</v>
      </c>
      <c r="J19">
        <v>5.27</v>
      </c>
      <c r="K19" t="s">
        <v>1838</v>
      </c>
    </row>
    <row r="20" spans="1:11" hidden="1" x14ac:dyDescent="0.25">
      <c r="A20">
        <v>3575894</v>
      </c>
      <c r="B20" t="s">
        <v>2292</v>
      </c>
      <c r="C20">
        <v>2.7509999999999999</v>
      </c>
      <c r="D20">
        <v>789</v>
      </c>
      <c r="E20" t="s">
        <v>37</v>
      </c>
      <c r="F20">
        <v>37</v>
      </c>
      <c r="G20" s="582" t="s">
        <v>33</v>
      </c>
      <c r="H20" s="582" t="s">
        <v>412</v>
      </c>
      <c r="I20" t="s">
        <v>2293</v>
      </c>
      <c r="J20">
        <v>5.27</v>
      </c>
      <c r="K20" t="s">
        <v>1838</v>
      </c>
    </row>
    <row r="21" spans="1:11" hidden="1" x14ac:dyDescent="0.25">
      <c r="A21">
        <v>3575894</v>
      </c>
      <c r="B21" t="s">
        <v>2292</v>
      </c>
      <c r="C21">
        <v>0.75</v>
      </c>
      <c r="D21">
        <v>789</v>
      </c>
      <c r="E21" t="s">
        <v>37</v>
      </c>
      <c r="F21">
        <v>38</v>
      </c>
      <c r="G21" s="582" t="s">
        <v>33</v>
      </c>
      <c r="H21" s="582" t="s">
        <v>412</v>
      </c>
      <c r="I21" t="s">
        <v>2293</v>
      </c>
      <c r="J21">
        <v>5.27</v>
      </c>
      <c r="K21" t="s">
        <v>1838</v>
      </c>
    </row>
    <row r="22" spans="1:11" hidden="1" x14ac:dyDescent="0.25">
      <c r="A22">
        <v>3575894</v>
      </c>
      <c r="B22" t="s">
        <v>2292</v>
      </c>
      <c r="C22">
        <v>0.7</v>
      </c>
      <c r="D22">
        <v>789</v>
      </c>
      <c r="E22" t="s">
        <v>37</v>
      </c>
      <c r="F22">
        <v>39</v>
      </c>
      <c r="G22" s="582" t="s">
        <v>33</v>
      </c>
      <c r="H22" s="582" t="s">
        <v>412</v>
      </c>
      <c r="I22" t="s">
        <v>2293</v>
      </c>
      <c r="J22">
        <v>5.27</v>
      </c>
      <c r="K22" t="s">
        <v>1838</v>
      </c>
    </row>
    <row r="23" spans="1:11" hidden="1" x14ac:dyDescent="0.25">
      <c r="A23">
        <v>3575894</v>
      </c>
      <c r="B23" t="s">
        <v>2292</v>
      </c>
      <c r="C23">
        <v>2.48</v>
      </c>
      <c r="D23">
        <v>789</v>
      </c>
      <c r="E23" t="s">
        <v>37</v>
      </c>
      <c r="F23">
        <v>669</v>
      </c>
      <c r="G23" s="582" t="s">
        <v>33</v>
      </c>
      <c r="H23" s="582" t="s">
        <v>412</v>
      </c>
      <c r="I23" t="s">
        <v>2293</v>
      </c>
      <c r="J23">
        <v>5.27</v>
      </c>
      <c r="K23" t="s">
        <v>1838</v>
      </c>
    </row>
    <row r="24" spans="1:11" hidden="1" x14ac:dyDescent="0.25">
      <c r="A24">
        <v>3575894</v>
      </c>
      <c r="B24" t="s">
        <v>2292</v>
      </c>
      <c r="C24">
        <v>2.1890000000000001</v>
      </c>
      <c r="D24">
        <v>789</v>
      </c>
      <c r="E24" t="s">
        <v>37</v>
      </c>
      <c r="F24">
        <v>670</v>
      </c>
      <c r="G24" s="582" t="s">
        <v>33</v>
      </c>
      <c r="H24" s="582" t="s">
        <v>412</v>
      </c>
      <c r="I24" t="s">
        <v>2293</v>
      </c>
      <c r="J24">
        <v>5.27</v>
      </c>
      <c r="K24" t="s">
        <v>1838</v>
      </c>
    </row>
    <row r="25" spans="1:11" hidden="1" x14ac:dyDescent="0.25">
      <c r="A25">
        <v>3575894</v>
      </c>
      <c r="B25" t="s">
        <v>2292</v>
      </c>
      <c r="C25">
        <v>2.0910000000000002</v>
      </c>
      <c r="D25">
        <v>789</v>
      </c>
      <c r="E25" t="s">
        <v>37</v>
      </c>
      <c r="F25">
        <v>671</v>
      </c>
      <c r="G25" s="582" t="s">
        <v>33</v>
      </c>
      <c r="H25" s="582" t="s">
        <v>412</v>
      </c>
      <c r="I25" t="s">
        <v>2293</v>
      </c>
      <c r="J25">
        <v>5.27</v>
      </c>
      <c r="K25" t="s">
        <v>1838</v>
      </c>
    </row>
    <row r="26" spans="1:11" hidden="1" x14ac:dyDescent="0.25">
      <c r="A26">
        <v>3575894</v>
      </c>
      <c r="B26" t="s">
        <v>2292</v>
      </c>
      <c r="C26">
        <v>2.077</v>
      </c>
      <c r="D26">
        <v>789</v>
      </c>
      <c r="E26" t="s">
        <v>37</v>
      </c>
      <c r="F26">
        <v>672</v>
      </c>
      <c r="G26" s="582" t="s">
        <v>33</v>
      </c>
      <c r="H26" s="582" t="s">
        <v>412</v>
      </c>
      <c r="I26" t="s">
        <v>2293</v>
      </c>
      <c r="J26">
        <v>5.27</v>
      </c>
      <c r="K26" t="s">
        <v>1838</v>
      </c>
    </row>
    <row r="27" spans="1:11" hidden="1" x14ac:dyDescent="0.25">
      <c r="A27">
        <v>3575894</v>
      </c>
      <c r="B27" t="s">
        <v>2292</v>
      </c>
      <c r="C27">
        <v>2.7589999999999999</v>
      </c>
      <c r="D27">
        <v>789</v>
      </c>
      <c r="E27" t="s">
        <v>37</v>
      </c>
      <c r="F27">
        <v>673</v>
      </c>
      <c r="G27" s="582" t="s">
        <v>33</v>
      </c>
      <c r="H27" s="582" t="s">
        <v>412</v>
      </c>
      <c r="I27" t="s">
        <v>2293</v>
      </c>
      <c r="J27">
        <v>5.27</v>
      </c>
      <c r="K27" t="s">
        <v>1838</v>
      </c>
    </row>
    <row r="28" spans="1:11" hidden="1" x14ac:dyDescent="0.25">
      <c r="A28">
        <v>3575894</v>
      </c>
      <c r="B28" t="s">
        <v>2292</v>
      </c>
      <c r="C28">
        <v>2.778</v>
      </c>
      <c r="D28">
        <v>789</v>
      </c>
      <c r="E28" t="s">
        <v>37</v>
      </c>
      <c r="F28">
        <v>674</v>
      </c>
      <c r="G28" s="582" t="s">
        <v>33</v>
      </c>
      <c r="H28" s="582" t="s">
        <v>412</v>
      </c>
      <c r="I28" t="s">
        <v>2293</v>
      </c>
      <c r="J28">
        <v>5.27</v>
      </c>
      <c r="K28" t="s">
        <v>1838</v>
      </c>
    </row>
    <row r="29" spans="1:11" hidden="1" x14ac:dyDescent="0.25">
      <c r="A29">
        <v>3575894</v>
      </c>
      <c r="B29" t="s">
        <v>2292</v>
      </c>
      <c r="C29">
        <v>2.7120000000000002</v>
      </c>
      <c r="D29">
        <v>789</v>
      </c>
      <c r="E29" t="s">
        <v>37</v>
      </c>
      <c r="F29">
        <v>675</v>
      </c>
      <c r="G29" s="582" t="s">
        <v>33</v>
      </c>
      <c r="H29" s="582" t="s">
        <v>412</v>
      </c>
      <c r="I29" t="s">
        <v>2293</v>
      </c>
      <c r="J29">
        <v>5.27</v>
      </c>
      <c r="K29" t="s">
        <v>1838</v>
      </c>
    </row>
    <row r="30" spans="1:11" hidden="1" x14ac:dyDescent="0.25">
      <c r="A30">
        <v>3575894</v>
      </c>
      <c r="B30" t="s">
        <v>2292</v>
      </c>
      <c r="C30">
        <v>2.7549999999999999</v>
      </c>
      <c r="D30">
        <v>789</v>
      </c>
      <c r="E30" t="s">
        <v>37</v>
      </c>
      <c r="F30">
        <v>676</v>
      </c>
      <c r="G30" s="582" t="s">
        <v>33</v>
      </c>
      <c r="H30" s="582" t="s">
        <v>412</v>
      </c>
      <c r="I30" t="s">
        <v>2293</v>
      </c>
      <c r="J30">
        <v>5.27</v>
      </c>
      <c r="K30" t="s">
        <v>1838</v>
      </c>
    </row>
    <row r="31" spans="1:11" hidden="1" x14ac:dyDescent="0.25">
      <c r="A31">
        <v>3575894</v>
      </c>
      <c r="B31" t="s">
        <v>2292</v>
      </c>
      <c r="C31">
        <v>1.385</v>
      </c>
      <c r="D31">
        <v>789</v>
      </c>
      <c r="E31" t="s">
        <v>37</v>
      </c>
      <c r="F31">
        <v>677</v>
      </c>
      <c r="G31" s="582" t="s">
        <v>33</v>
      </c>
      <c r="H31" s="582" t="s">
        <v>412</v>
      </c>
      <c r="I31" t="s">
        <v>2293</v>
      </c>
      <c r="J31">
        <v>5.27</v>
      </c>
      <c r="K31" t="s">
        <v>1838</v>
      </c>
    </row>
    <row r="32" spans="1:11" hidden="1" x14ac:dyDescent="0.25">
      <c r="A32">
        <v>3575894</v>
      </c>
      <c r="B32" t="s">
        <v>2292</v>
      </c>
      <c r="C32">
        <v>2.7749999999999999</v>
      </c>
      <c r="D32">
        <v>789</v>
      </c>
      <c r="E32" t="s">
        <v>37</v>
      </c>
      <c r="F32">
        <v>678</v>
      </c>
      <c r="G32" s="582" t="s">
        <v>33</v>
      </c>
      <c r="H32" s="582" t="s">
        <v>412</v>
      </c>
      <c r="I32" t="s">
        <v>2293</v>
      </c>
      <c r="J32">
        <v>5.27</v>
      </c>
      <c r="K32" t="s">
        <v>1838</v>
      </c>
    </row>
    <row r="33" spans="1:11" hidden="1" x14ac:dyDescent="0.25">
      <c r="A33">
        <v>3575894</v>
      </c>
      <c r="B33" t="s">
        <v>2292</v>
      </c>
      <c r="C33">
        <v>2.79</v>
      </c>
      <c r="D33">
        <v>789</v>
      </c>
      <c r="E33" t="s">
        <v>37</v>
      </c>
      <c r="F33">
        <v>679</v>
      </c>
      <c r="G33" s="582" t="s">
        <v>33</v>
      </c>
      <c r="H33" s="582" t="s">
        <v>412</v>
      </c>
      <c r="I33" t="s">
        <v>2293</v>
      </c>
      <c r="J33">
        <v>5.27</v>
      </c>
      <c r="K33" t="s">
        <v>1838</v>
      </c>
    </row>
    <row r="34" spans="1:11" hidden="1" x14ac:dyDescent="0.25">
      <c r="A34">
        <v>3575894</v>
      </c>
      <c r="B34" t="s">
        <v>2292</v>
      </c>
      <c r="C34">
        <v>2.7639999999999998</v>
      </c>
      <c r="D34">
        <v>789</v>
      </c>
      <c r="E34" t="s">
        <v>37</v>
      </c>
      <c r="F34">
        <v>680</v>
      </c>
      <c r="G34" s="582" t="s">
        <v>33</v>
      </c>
      <c r="H34" s="582" t="s">
        <v>412</v>
      </c>
      <c r="I34" t="s">
        <v>2293</v>
      </c>
      <c r="J34">
        <v>5.27</v>
      </c>
      <c r="K34" t="s">
        <v>1838</v>
      </c>
    </row>
    <row r="35" spans="1:11" hidden="1" x14ac:dyDescent="0.25">
      <c r="A35">
        <v>3575894</v>
      </c>
      <c r="B35" t="s">
        <v>2292</v>
      </c>
      <c r="C35">
        <v>2.806</v>
      </c>
      <c r="D35">
        <v>789</v>
      </c>
      <c r="E35" t="s">
        <v>37</v>
      </c>
      <c r="F35">
        <v>681</v>
      </c>
      <c r="G35" s="582" t="s">
        <v>33</v>
      </c>
      <c r="H35" s="582" t="s">
        <v>412</v>
      </c>
      <c r="I35" t="s">
        <v>2293</v>
      </c>
      <c r="J35">
        <v>5.27</v>
      </c>
      <c r="K35" t="s">
        <v>1838</v>
      </c>
    </row>
    <row r="36" spans="1:11" hidden="1" x14ac:dyDescent="0.25">
      <c r="A36">
        <v>3575894</v>
      </c>
      <c r="B36" t="s">
        <v>2292</v>
      </c>
      <c r="C36">
        <v>2.831</v>
      </c>
      <c r="D36">
        <v>789</v>
      </c>
      <c r="E36" t="s">
        <v>37</v>
      </c>
      <c r="F36">
        <v>682</v>
      </c>
      <c r="G36" s="582" t="s">
        <v>33</v>
      </c>
      <c r="H36" s="582" t="s">
        <v>412</v>
      </c>
      <c r="I36" t="s">
        <v>2293</v>
      </c>
      <c r="J36">
        <v>5.27</v>
      </c>
      <c r="K36" t="s">
        <v>1838</v>
      </c>
    </row>
    <row r="37" spans="1:11" hidden="1" x14ac:dyDescent="0.25">
      <c r="A37">
        <v>3575894</v>
      </c>
      <c r="B37" t="s">
        <v>2292</v>
      </c>
      <c r="C37">
        <v>2.8370000000000002</v>
      </c>
      <c r="D37">
        <v>789</v>
      </c>
      <c r="E37" t="s">
        <v>37</v>
      </c>
      <c r="F37">
        <v>683</v>
      </c>
      <c r="G37" s="582" t="s">
        <v>33</v>
      </c>
      <c r="H37" s="582" t="s">
        <v>412</v>
      </c>
      <c r="I37" t="s">
        <v>2293</v>
      </c>
      <c r="J37">
        <v>5.27</v>
      </c>
      <c r="K37" t="s">
        <v>1838</v>
      </c>
    </row>
    <row r="38" spans="1:11" hidden="1" x14ac:dyDescent="0.25">
      <c r="A38">
        <v>3575894</v>
      </c>
      <c r="B38" t="s">
        <v>2292</v>
      </c>
      <c r="C38">
        <v>2.8170000000000002</v>
      </c>
      <c r="D38">
        <v>789</v>
      </c>
      <c r="E38" t="s">
        <v>37</v>
      </c>
      <c r="F38">
        <v>684</v>
      </c>
      <c r="G38" s="582" t="s">
        <v>33</v>
      </c>
      <c r="H38" s="582" t="s">
        <v>412</v>
      </c>
      <c r="I38" t="s">
        <v>2293</v>
      </c>
      <c r="J38">
        <v>5.27</v>
      </c>
      <c r="K38" t="s">
        <v>1838</v>
      </c>
    </row>
    <row r="39" spans="1:11" hidden="1" x14ac:dyDescent="0.25">
      <c r="A39">
        <v>3575894</v>
      </c>
      <c r="B39" t="s">
        <v>2292</v>
      </c>
      <c r="C39">
        <v>1.403</v>
      </c>
      <c r="D39">
        <v>789</v>
      </c>
      <c r="E39" t="s">
        <v>37</v>
      </c>
      <c r="F39">
        <v>685</v>
      </c>
      <c r="G39" s="582" t="s">
        <v>33</v>
      </c>
      <c r="H39" s="582" t="s">
        <v>412</v>
      </c>
      <c r="I39" t="s">
        <v>2293</v>
      </c>
      <c r="J39">
        <v>5.27</v>
      </c>
      <c r="K39" t="s">
        <v>1838</v>
      </c>
    </row>
    <row r="40" spans="1:11" hidden="1" x14ac:dyDescent="0.25">
      <c r="A40">
        <v>3575894</v>
      </c>
      <c r="B40" t="s">
        <v>2292</v>
      </c>
      <c r="C40">
        <v>2.746</v>
      </c>
      <c r="D40">
        <v>789</v>
      </c>
      <c r="E40" t="s">
        <v>37</v>
      </c>
      <c r="F40">
        <v>686</v>
      </c>
      <c r="G40" s="582" t="s">
        <v>33</v>
      </c>
      <c r="H40" s="582" t="s">
        <v>412</v>
      </c>
      <c r="I40" t="s">
        <v>2293</v>
      </c>
      <c r="J40">
        <v>5.27</v>
      </c>
      <c r="K40" t="s">
        <v>1838</v>
      </c>
    </row>
    <row r="41" spans="1:11" hidden="1" x14ac:dyDescent="0.25">
      <c r="A41">
        <v>3575894</v>
      </c>
      <c r="B41" t="s">
        <v>2292</v>
      </c>
      <c r="C41">
        <v>2.7410000000000001</v>
      </c>
      <c r="D41">
        <v>789</v>
      </c>
      <c r="E41" t="s">
        <v>37</v>
      </c>
      <c r="F41">
        <v>687</v>
      </c>
      <c r="G41" s="582" t="s">
        <v>33</v>
      </c>
      <c r="H41" s="582" t="s">
        <v>412</v>
      </c>
      <c r="I41" t="s">
        <v>2293</v>
      </c>
      <c r="J41">
        <v>5.27</v>
      </c>
      <c r="K41" t="s">
        <v>1838</v>
      </c>
    </row>
    <row r="42" spans="1:11" hidden="1" x14ac:dyDescent="0.25">
      <c r="A42">
        <v>3575894</v>
      </c>
      <c r="B42" t="s">
        <v>2292</v>
      </c>
      <c r="C42">
        <v>2.7890000000000001</v>
      </c>
      <c r="D42">
        <v>789</v>
      </c>
      <c r="E42" t="s">
        <v>37</v>
      </c>
      <c r="F42">
        <v>688</v>
      </c>
      <c r="G42" s="582" t="s">
        <v>33</v>
      </c>
      <c r="H42" s="582" t="s">
        <v>412</v>
      </c>
      <c r="I42" t="s">
        <v>2293</v>
      </c>
      <c r="J42">
        <v>5.27</v>
      </c>
      <c r="K42" t="s">
        <v>1838</v>
      </c>
    </row>
    <row r="43" spans="1:11" hidden="1" x14ac:dyDescent="0.25">
      <c r="A43">
        <v>1939966</v>
      </c>
      <c r="B43" t="s">
        <v>402</v>
      </c>
      <c r="C43">
        <v>2.7559E-2</v>
      </c>
      <c r="D43">
        <v>789</v>
      </c>
      <c r="E43" t="s">
        <v>17</v>
      </c>
      <c r="F43">
        <v>88</v>
      </c>
      <c r="G43" s="582" t="s">
        <v>10</v>
      </c>
      <c r="H43" s="582" t="s">
        <v>398</v>
      </c>
      <c r="I43" t="s">
        <v>403</v>
      </c>
      <c r="J43">
        <v>0.40799999999999997</v>
      </c>
      <c r="K43" t="s">
        <v>2171</v>
      </c>
    </row>
    <row r="44" spans="1:11" hidden="1" x14ac:dyDescent="0.25">
      <c r="A44">
        <v>1939974</v>
      </c>
      <c r="B44" t="s">
        <v>1133</v>
      </c>
      <c r="C44">
        <v>1.4999999999999999E-2</v>
      </c>
      <c r="D44">
        <v>789</v>
      </c>
      <c r="E44" t="s">
        <v>17</v>
      </c>
      <c r="F44">
        <v>269</v>
      </c>
      <c r="G44" s="582" t="s">
        <v>10</v>
      </c>
      <c r="H44" s="582" t="s">
        <v>398</v>
      </c>
      <c r="I44" t="s">
        <v>2174</v>
      </c>
      <c r="J44">
        <v>0.77200000000000002</v>
      </c>
      <c r="K44" t="s">
        <v>2171</v>
      </c>
    </row>
    <row r="45" spans="1:11" hidden="1" x14ac:dyDescent="0.25">
      <c r="A45">
        <v>1939974</v>
      </c>
      <c r="B45" t="s">
        <v>1133</v>
      </c>
      <c r="C45">
        <v>2.5000000000000001E-3</v>
      </c>
      <c r="D45">
        <v>789</v>
      </c>
      <c r="E45" t="s">
        <v>17</v>
      </c>
      <c r="F45">
        <v>270</v>
      </c>
      <c r="G45" s="582" t="s">
        <v>10</v>
      </c>
      <c r="H45" s="582" t="s">
        <v>398</v>
      </c>
      <c r="I45" t="s">
        <v>2174</v>
      </c>
      <c r="J45">
        <v>0.77200000000000002</v>
      </c>
      <c r="K45" t="s">
        <v>2171</v>
      </c>
    </row>
    <row r="46" spans="1:11" hidden="1" x14ac:dyDescent="0.25">
      <c r="A46">
        <v>1939974</v>
      </c>
      <c r="B46" t="s">
        <v>1133</v>
      </c>
      <c r="C46">
        <v>4.9770000000000002E-2</v>
      </c>
      <c r="D46">
        <v>789</v>
      </c>
      <c r="E46" t="s">
        <v>17</v>
      </c>
      <c r="F46">
        <v>271</v>
      </c>
      <c r="G46" s="582" t="s">
        <v>10</v>
      </c>
      <c r="H46" s="582" t="s">
        <v>398</v>
      </c>
      <c r="I46" t="s">
        <v>2174</v>
      </c>
      <c r="J46">
        <v>0.77200000000000002</v>
      </c>
      <c r="K46" t="s">
        <v>2171</v>
      </c>
    </row>
    <row r="47" spans="1:11" hidden="1" x14ac:dyDescent="0.25">
      <c r="A47">
        <v>1939974</v>
      </c>
      <c r="B47" t="s">
        <v>1133</v>
      </c>
      <c r="C47">
        <v>3.2441000000000005E-2</v>
      </c>
      <c r="D47">
        <v>789</v>
      </c>
      <c r="E47" t="s">
        <v>17</v>
      </c>
      <c r="F47">
        <v>272</v>
      </c>
      <c r="G47" s="582" t="s">
        <v>10</v>
      </c>
      <c r="H47" s="582" t="s">
        <v>398</v>
      </c>
      <c r="I47" t="s">
        <v>2174</v>
      </c>
      <c r="J47">
        <v>0.77200000000000002</v>
      </c>
      <c r="K47" t="s">
        <v>2171</v>
      </c>
    </row>
    <row r="48" spans="1:11" hidden="1" x14ac:dyDescent="0.25">
      <c r="A48">
        <v>3909479</v>
      </c>
      <c r="B48" t="s">
        <v>2177</v>
      </c>
      <c r="C48">
        <v>1.159</v>
      </c>
      <c r="D48">
        <v>789</v>
      </c>
      <c r="E48" t="s">
        <v>37</v>
      </c>
      <c r="F48">
        <v>51</v>
      </c>
      <c r="G48" s="582" t="s">
        <v>33</v>
      </c>
      <c r="H48" s="582" t="s">
        <v>712</v>
      </c>
      <c r="I48" t="s">
        <v>2178</v>
      </c>
      <c r="J48">
        <v>4.6500000000000004</v>
      </c>
      <c r="K48" t="s">
        <v>1838</v>
      </c>
    </row>
    <row r="49" spans="1:11" hidden="1" x14ac:dyDescent="0.25">
      <c r="A49">
        <v>3909479</v>
      </c>
      <c r="B49" t="s">
        <v>2177</v>
      </c>
      <c r="C49">
        <v>1.5860000000000001</v>
      </c>
      <c r="D49">
        <v>789</v>
      </c>
      <c r="E49" t="s">
        <v>37</v>
      </c>
      <c r="F49">
        <v>52</v>
      </c>
      <c r="G49" s="582" t="s">
        <v>33</v>
      </c>
      <c r="H49" s="582" t="s">
        <v>712</v>
      </c>
      <c r="I49" t="s">
        <v>2178</v>
      </c>
      <c r="J49">
        <v>4.6500000000000004</v>
      </c>
      <c r="K49" t="s">
        <v>1838</v>
      </c>
    </row>
    <row r="50" spans="1:11" hidden="1" x14ac:dyDescent="0.25">
      <c r="A50">
        <v>3432081</v>
      </c>
      <c r="B50" t="s">
        <v>417</v>
      </c>
      <c r="C50">
        <v>2.1840000000000002E-3</v>
      </c>
      <c r="D50">
        <v>789</v>
      </c>
      <c r="E50" t="s">
        <v>9</v>
      </c>
      <c r="F50">
        <v>169</v>
      </c>
      <c r="G50" s="582" t="s">
        <v>10</v>
      </c>
      <c r="H50" s="582" t="s">
        <v>416</v>
      </c>
      <c r="I50" t="s">
        <v>418</v>
      </c>
      <c r="J50">
        <v>0.189</v>
      </c>
      <c r="K50" t="s">
        <v>2171</v>
      </c>
    </row>
    <row r="51" spans="1:11" hidden="1" x14ac:dyDescent="0.25">
      <c r="A51">
        <v>3432081</v>
      </c>
      <c r="B51" t="s">
        <v>417</v>
      </c>
      <c r="C51">
        <v>1.0920000000000001E-3</v>
      </c>
      <c r="D51">
        <v>789</v>
      </c>
      <c r="E51" t="s">
        <v>9</v>
      </c>
      <c r="F51">
        <v>170</v>
      </c>
      <c r="G51" s="582" t="s">
        <v>10</v>
      </c>
      <c r="H51" s="582" t="s">
        <v>416</v>
      </c>
      <c r="I51" t="s">
        <v>418</v>
      </c>
      <c r="J51">
        <v>0.189</v>
      </c>
      <c r="K51" t="s">
        <v>2171</v>
      </c>
    </row>
    <row r="52" spans="1:11" hidden="1" x14ac:dyDescent="0.25">
      <c r="A52">
        <v>3432081</v>
      </c>
      <c r="B52" t="s">
        <v>417</v>
      </c>
      <c r="C52">
        <v>2.1000000000000001E-2</v>
      </c>
      <c r="D52">
        <v>789</v>
      </c>
      <c r="E52" t="s">
        <v>9</v>
      </c>
      <c r="F52">
        <v>171</v>
      </c>
      <c r="G52" s="582" t="s">
        <v>10</v>
      </c>
      <c r="H52" s="582" t="s">
        <v>416</v>
      </c>
      <c r="I52" t="s">
        <v>418</v>
      </c>
      <c r="J52">
        <v>0.189</v>
      </c>
      <c r="K52" t="s">
        <v>2171</v>
      </c>
    </row>
    <row r="53" spans="1:11" hidden="1" x14ac:dyDescent="0.25">
      <c r="A53">
        <v>1939993</v>
      </c>
      <c r="B53" t="s">
        <v>420</v>
      </c>
      <c r="C53">
        <v>0.27400000000000002</v>
      </c>
      <c r="D53">
        <v>789</v>
      </c>
      <c r="E53" t="s">
        <v>46</v>
      </c>
      <c r="F53">
        <v>100</v>
      </c>
      <c r="G53" s="582" t="s">
        <v>10</v>
      </c>
      <c r="H53" s="582" t="s">
        <v>416</v>
      </c>
      <c r="I53" t="s">
        <v>421</v>
      </c>
      <c r="J53">
        <v>0.25</v>
      </c>
      <c r="K53" t="s">
        <v>2171</v>
      </c>
    </row>
    <row r="54" spans="1:11" hidden="1" x14ac:dyDescent="0.25">
      <c r="A54">
        <v>1939993</v>
      </c>
      <c r="B54" t="s">
        <v>420</v>
      </c>
      <c r="C54">
        <v>1.5339999999999999E-2</v>
      </c>
      <c r="D54">
        <v>789</v>
      </c>
      <c r="E54" t="s">
        <v>46</v>
      </c>
      <c r="F54">
        <v>414</v>
      </c>
      <c r="G54" s="582" t="s">
        <v>10</v>
      </c>
      <c r="H54" s="582" t="s">
        <v>416</v>
      </c>
      <c r="I54" t="s">
        <v>421</v>
      </c>
      <c r="J54">
        <v>0.25</v>
      </c>
      <c r="K54" t="s">
        <v>2171</v>
      </c>
    </row>
    <row r="55" spans="1:11" hidden="1" x14ac:dyDescent="0.25">
      <c r="A55">
        <v>1939993</v>
      </c>
      <c r="B55" t="s">
        <v>420</v>
      </c>
      <c r="C55">
        <v>0.11219999999999999</v>
      </c>
      <c r="D55">
        <v>4731</v>
      </c>
      <c r="E55" t="s">
        <v>46</v>
      </c>
      <c r="F55">
        <v>1326</v>
      </c>
      <c r="G55" s="582" t="s">
        <v>10</v>
      </c>
      <c r="H55" s="582" t="s">
        <v>416</v>
      </c>
      <c r="I55" t="s">
        <v>421</v>
      </c>
      <c r="J55">
        <v>0.25</v>
      </c>
      <c r="K55" t="s">
        <v>2171</v>
      </c>
    </row>
    <row r="56" spans="1:11" hidden="1" x14ac:dyDescent="0.25">
      <c r="A56">
        <v>3727213</v>
      </c>
      <c r="B56" t="s">
        <v>2181</v>
      </c>
      <c r="C56">
        <v>7.1503999999999998E-2</v>
      </c>
      <c r="D56">
        <v>789</v>
      </c>
      <c r="E56" t="s">
        <v>18</v>
      </c>
      <c r="F56">
        <v>207</v>
      </c>
      <c r="G56" s="582" t="s">
        <v>10</v>
      </c>
      <c r="H56" s="582" t="s">
        <v>416</v>
      </c>
      <c r="I56" t="s">
        <v>2182</v>
      </c>
      <c r="J56">
        <v>0.252</v>
      </c>
      <c r="K56" t="s">
        <v>2171</v>
      </c>
    </row>
    <row r="57" spans="1:11" hidden="1" x14ac:dyDescent="0.25">
      <c r="A57">
        <v>3727213</v>
      </c>
      <c r="B57" t="s">
        <v>2181</v>
      </c>
      <c r="C57">
        <v>3.1300000000000002E-4</v>
      </c>
      <c r="D57">
        <v>789</v>
      </c>
      <c r="E57" t="s">
        <v>18</v>
      </c>
      <c r="F57">
        <v>208</v>
      </c>
      <c r="G57" s="582" t="s">
        <v>10</v>
      </c>
      <c r="H57" s="582" t="s">
        <v>416</v>
      </c>
      <c r="I57" t="s">
        <v>2182</v>
      </c>
      <c r="J57">
        <v>0.252</v>
      </c>
      <c r="K57" t="s">
        <v>2171</v>
      </c>
    </row>
    <row r="58" spans="1:11" hidden="1" x14ac:dyDescent="0.25">
      <c r="A58">
        <v>3223304</v>
      </c>
      <c r="B58" t="s">
        <v>1150</v>
      </c>
      <c r="C58">
        <v>7.4000000000000003E-3</v>
      </c>
      <c r="D58">
        <v>789</v>
      </c>
      <c r="E58" t="s">
        <v>45</v>
      </c>
      <c r="F58">
        <v>534</v>
      </c>
      <c r="G58" s="582" t="s">
        <v>10</v>
      </c>
      <c r="H58" s="582" t="s">
        <v>416</v>
      </c>
      <c r="I58" t="s">
        <v>2183</v>
      </c>
      <c r="J58">
        <v>0.255</v>
      </c>
      <c r="K58" t="s">
        <v>2171</v>
      </c>
    </row>
    <row r="59" spans="1:11" hidden="1" x14ac:dyDescent="0.25">
      <c r="A59">
        <v>3223304</v>
      </c>
      <c r="B59" t="s">
        <v>1150</v>
      </c>
      <c r="C59">
        <v>0.54700800000000005</v>
      </c>
      <c r="D59">
        <v>4731</v>
      </c>
      <c r="E59" t="s">
        <v>45</v>
      </c>
      <c r="F59">
        <v>1414</v>
      </c>
      <c r="G59" s="582" t="s">
        <v>10</v>
      </c>
      <c r="H59" s="582" t="s">
        <v>416</v>
      </c>
      <c r="I59" t="s">
        <v>2183</v>
      </c>
      <c r="J59">
        <v>0.255</v>
      </c>
      <c r="K59" t="s">
        <v>2171</v>
      </c>
    </row>
    <row r="60" spans="1:11" hidden="1" x14ac:dyDescent="0.25">
      <c r="A60">
        <v>2430128</v>
      </c>
      <c r="B60" t="s">
        <v>475</v>
      </c>
      <c r="C60">
        <v>3.375E-3</v>
      </c>
      <c r="D60">
        <v>789</v>
      </c>
      <c r="E60" t="s">
        <v>37</v>
      </c>
      <c r="F60">
        <v>157</v>
      </c>
      <c r="G60" s="582" t="s">
        <v>33</v>
      </c>
      <c r="H60" s="582" t="s">
        <v>474</v>
      </c>
      <c r="I60" t="s">
        <v>476</v>
      </c>
      <c r="J60">
        <v>1.1000000000000001</v>
      </c>
      <c r="K60" t="s">
        <v>2171</v>
      </c>
    </row>
    <row r="61" spans="1:11" hidden="1" x14ac:dyDescent="0.25">
      <c r="A61">
        <v>2430128</v>
      </c>
      <c r="B61" t="s">
        <v>475</v>
      </c>
      <c r="C61">
        <v>3.2950000000000002E-3</v>
      </c>
      <c r="D61">
        <v>789</v>
      </c>
      <c r="E61" t="s">
        <v>37</v>
      </c>
      <c r="F61">
        <v>158</v>
      </c>
      <c r="G61" s="582" t="s">
        <v>33</v>
      </c>
      <c r="H61" s="582" t="s">
        <v>474</v>
      </c>
      <c r="I61" t="s">
        <v>476</v>
      </c>
      <c r="J61">
        <v>1.1000000000000001</v>
      </c>
      <c r="K61" t="s">
        <v>2171</v>
      </c>
    </row>
    <row r="62" spans="1:11" hidden="1" x14ac:dyDescent="0.25">
      <c r="A62">
        <v>3676336</v>
      </c>
      <c r="B62" t="s">
        <v>1152</v>
      </c>
      <c r="C62">
        <v>9.8000000000000014E-3</v>
      </c>
      <c r="D62">
        <v>789</v>
      </c>
      <c r="E62" t="s">
        <v>61</v>
      </c>
      <c r="F62">
        <v>736</v>
      </c>
      <c r="G62" s="582" t="s">
        <v>10</v>
      </c>
      <c r="H62" s="582" t="s">
        <v>416</v>
      </c>
      <c r="I62" t="s">
        <v>2184</v>
      </c>
      <c r="J62">
        <v>0.25700000000000001</v>
      </c>
      <c r="K62" t="s">
        <v>2171</v>
      </c>
    </row>
    <row r="63" spans="1:11" hidden="1" x14ac:dyDescent="0.25">
      <c r="A63">
        <v>3676336</v>
      </c>
      <c r="B63" t="s">
        <v>1152</v>
      </c>
      <c r="C63">
        <v>9.6699999999999998E-3</v>
      </c>
      <c r="D63">
        <v>789</v>
      </c>
      <c r="E63" t="s">
        <v>61</v>
      </c>
      <c r="F63">
        <v>737</v>
      </c>
      <c r="G63" s="582" t="s">
        <v>10</v>
      </c>
      <c r="H63" s="582" t="s">
        <v>416</v>
      </c>
      <c r="I63" t="s">
        <v>2184</v>
      </c>
      <c r="J63">
        <v>0.25700000000000001</v>
      </c>
      <c r="K63" t="s">
        <v>2171</v>
      </c>
    </row>
    <row r="64" spans="1:11" hidden="1" x14ac:dyDescent="0.25">
      <c r="A64">
        <v>1932848</v>
      </c>
      <c r="B64" t="s">
        <v>426</v>
      </c>
      <c r="C64">
        <v>2.4199999999999998E-3</v>
      </c>
      <c r="D64">
        <v>789</v>
      </c>
      <c r="E64" t="s">
        <v>61</v>
      </c>
      <c r="F64">
        <v>411</v>
      </c>
      <c r="G64" s="582" t="s">
        <v>10</v>
      </c>
      <c r="H64" s="582" t="s">
        <v>416</v>
      </c>
      <c r="I64" t="s">
        <v>427</v>
      </c>
      <c r="J64">
        <v>0.26</v>
      </c>
      <c r="K64" t="s">
        <v>2171</v>
      </c>
    </row>
    <row r="65" spans="1:11" hidden="1" x14ac:dyDescent="0.25">
      <c r="A65">
        <v>1932848</v>
      </c>
      <c r="B65" t="s">
        <v>426</v>
      </c>
      <c r="C65">
        <v>0.31900000000000001</v>
      </c>
      <c r="D65">
        <v>789</v>
      </c>
      <c r="E65" t="s">
        <v>61</v>
      </c>
      <c r="F65">
        <v>412</v>
      </c>
      <c r="G65" s="582" t="s">
        <v>10</v>
      </c>
      <c r="H65" s="582" t="s">
        <v>416</v>
      </c>
      <c r="I65" t="s">
        <v>427</v>
      </c>
      <c r="J65">
        <v>0.26</v>
      </c>
      <c r="K65" t="s">
        <v>2171</v>
      </c>
    </row>
    <row r="66" spans="1:11" hidden="1" x14ac:dyDescent="0.25">
      <c r="A66">
        <v>1940653</v>
      </c>
      <c r="B66" t="s">
        <v>1601</v>
      </c>
      <c r="C66">
        <v>3.08</v>
      </c>
      <c r="D66">
        <v>789</v>
      </c>
      <c r="E66" t="s">
        <v>151</v>
      </c>
      <c r="F66">
        <v>6</v>
      </c>
      <c r="G66" s="582" t="s">
        <v>10</v>
      </c>
      <c r="H66" s="582" t="s">
        <v>832</v>
      </c>
      <c r="I66" t="s">
        <v>2324</v>
      </c>
      <c r="J66">
        <v>0.67</v>
      </c>
      <c r="K66" t="s">
        <v>2171</v>
      </c>
    </row>
    <row r="67" spans="1:11" hidden="1" x14ac:dyDescent="0.25">
      <c r="A67">
        <v>1940653</v>
      </c>
      <c r="B67" t="s">
        <v>1601</v>
      </c>
      <c r="C67">
        <v>2.6882159999999997</v>
      </c>
      <c r="D67">
        <v>789</v>
      </c>
      <c r="E67" t="s">
        <v>151</v>
      </c>
      <c r="F67">
        <v>7</v>
      </c>
      <c r="G67" s="582" t="s">
        <v>10</v>
      </c>
      <c r="H67" s="582" t="s">
        <v>832</v>
      </c>
      <c r="I67" t="s">
        <v>2324</v>
      </c>
      <c r="J67">
        <v>0.67</v>
      </c>
      <c r="K67" t="s">
        <v>2171</v>
      </c>
    </row>
    <row r="68" spans="1:11" hidden="1" x14ac:dyDescent="0.25">
      <c r="A68">
        <v>1940653</v>
      </c>
      <c r="B68" t="s">
        <v>1601</v>
      </c>
      <c r="C68">
        <v>1.3532000000000001E-2</v>
      </c>
      <c r="D68">
        <v>789</v>
      </c>
      <c r="E68" t="s">
        <v>151</v>
      </c>
      <c r="F68">
        <v>1015</v>
      </c>
      <c r="G68" s="582" t="s">
        <v>10</v>
      </c>
      <c r="H68" s="582" t="s">
        <v>832</v>
      </c>
      <c r="I68" t="s">
        <v>2324</v>
      </c>
      <c r="J68">
        <v>0.67</v>
      </c>
      <c r="K68" t="s">
        <v>2171</v>
      </c>
    </row>
    <row r="69" spans="1:11" hidden="1" x14ac:dyDescent="0.25">
      <c r="A69">
        <v>1940653</v>
      </c>
      <c r="B69" t="s">
        <v>1601</v>
      </c>
      <c r="C69">
        <v>0.497</v>
      </c>
      <c r="D69">
        <v>789</v>
      </c>
      <c r="E69" t="s">
        <v>151</v>
      </c>
      <c r="F69">
        <v>1160</v>
      </c>
      <c r="G69" s="582" t="s">
        <v>10</v>
      </c>
      <c r="H69" s="582" t="s">
        <v>832</v>
      </c>
      <c r="I69" t="s">
        <v>2324</v>
      </c>
      <c r="J69">
        <v>0.67</v>
      </c>
      <c r="K69" t="s">
        <v>2171</v>
      </c>
    </row>
    <row r="70" spans="1:11" hidden="1" x14ac:dyDescent="0.25">
      <c r="A70">
        <v>1939994</v>
      </c>
      <c r="B70" t="s">
        <v>431</v>
      </c>
      <c r="C70">
        <v>1.4679999999999999E-3</v>
      </c>
      <c r="D70">
        <v>789</v>
      </c>
      <c r="E70" t="s">
        <v>61</v>
      </c>
      <c r="F70">
        <v>415</v>
      </c>
      <c r="G70" s="582" t="s">
        <v>10</v>
      </c>
      <c r="H70" s="582" t="s">
        <v>416</v>
      </c>
      <c r="I70" t="s">
        <v>432</v>
      </c>
      <c r="J70">
        <v>0.28000000000000003</v>
      </c>
      <c r="K70" t="s">
        <v>2171</v>
      </c>
    </row>
    <row r="71" spans="1:11" hidden="1" x14ac:dyDescent="0.25">
      <c r="A71">
        <v>1939994</v>
      </c>
      <c r="B71" t="s">
        <v>431</v>
      </c>
      <c r="C71">
        <v>2.9940000000000001E-3</v>
      </c>
      <c r="D71">
        <v>789</v>
      </c>
      <c r="E71" t="s">
        <v>61</v>
      </c>
      <c r="F71">
        <v>416</v>
      </c>
      <c r="G71" s="582" t="s">
        <v>10</v>
      </c>
      <c r="H71" s="582" t="s">
        <v>416</v>
      </c>
      <c r="I71" t="s">
        <v>432</v>
      </c>
      <c r="J71">
        <v>0.28000000000000003</v>
      </c>
      <c r="K71" t="s">
        <v>2171</v>
      </c>
    </row>
    <row r="72" spans="1:11" hidden="1" x14ac:dyDescent="0.25">
      <c r="A72">
        <v>1939994</v>
      </c>
      <c r="B72" t="s">
        <v>431</v>
      </c>
      <c r="C72">
        <v>6.8899999999999994E-4</v>
      </c>
      <c r="D72">
        <v>789</v>
      </c>
      <c r="E72" t="s">
        <v>61</v>
      </c>
      <c r="F72">
        <v>417</v>
      </c>
      <c r="G72" s="582" t="s">
        <v>10</v>
      </c>
      <c r="H72" s="582" t="s">
        <v>416</v>
      </c>
      <c r="I72" t="s">
        <v>432</v>
      </c>
      <c r="J72">
        <v>0.28000000000000003</v>
      </c>
      <c r="K72" t="s">
        <v>2171</v>
      </c>
    </row>
    <row r="73" spans="1:11" hidden="1" x14ac:dyDescent="0.25">
      <c r="A73">
        <v>1941848</v>
      </c>
      <c r="B73" t="s">
        <v>1974</v>
      </c>
      <c r="C73">
        <v>1.96967</v>
      </c>
      <c r="D73">
        <v>789</v>
      </c>
      <c r="E73" t="s">
        <v>151</v>
      </c>
      <c r="F73">
        <v>9</v>
      </c>
      <c r="G73" s="582" t="s">
        <v>10</v>
      </c>
      <c r="H73" s="582" t="s">
        <v>423</v>
      </c>
      <c r="I73" t="s">
        <v>2188</v>
      </c>
      <c r="J73">
        <v>2.4900000000000002</v>
      </c>
      <c r="K73" t="s">
        <v>2171</v>
      </c>
    </row>
    <row r="74" spans="1:11" hidden="1" x14ac:dyDescent="0.25">
      <c r="A74">
        <v>1941848</v>
      </c>
      <c r="B74" t="s">
        <v>1974</v>
      </c>
      <c r="C74">
        <v>8.2260000000000007E-3</v>
      </c>
      <c r="D74">
        <v>789</v>
      </c>
      <c r="E74" t="s">
        <v>151</v>
      </c>
      <c r="F74">
        <v>128</v>
      </c>
      <c r="G74" s="582" t="s">
        <v>10</v>
      </c>
      <c r="H74" s="582" t="s">
        <v>423</v>
      </c>
      <c r="I74" t="s">
        <v>2188</v>
      </c>
      <c r="J74">
        <v>2.4900000000000002</v>
      </c>
      <c r="K74" t="s">
        <v>2171</v>
      </c>
    </row>
    <row r="75" spans="1:11" hidden="1" x14ac:dyDescent="0.25">
      <c r="A75">
        <v>1941848</v>
      </c>
      <c r="B75" t="s">
        <v>1974</v>
      </c>
      <c r="C75">
        <v>1.7999999999999999E-2</v>
      </c>
      <c r="D75">
        <v>789</v>
      </c>
      <c r="E75" t="s">
        <v>151</v>
      </c>
      <c r="F75">
        <v>514</v>
      </c>
      <c r="G75" s="582" t="s">
        <v>10</v>
      </c>
      <c r="H75" s="582" t="s">
        <v>423</v>
      </c>
      <c r="I75" t="s">
        <v>2188</v>
      </c>
      <c r="J75">
        <v>2.4900000000000002</v>
      </c>
      <c r="K75" t="s">
        <v>2171</v>
      </c>
    </row>
    <row r="76" spans="1:11" hidden="1" x14ac:dyDescent="0.25">
      <c r="A76">
        <v>1941848</v>
      </c>
      <c r="B76" t="s">
        <v>1974</v>
      </c>
      <c r="C76">
        <v>0.59399999999999997</v>
      </c>
      <c r="D76">
        <v>789</v>
      </c>
      <c r="E76" t="s">
        <v>151</v>
      </c>
      <c r="F76">
        <v>515</v>
      </c>
      <c r="G76" s="582" t="s">
        <v>10</v>
      </c>
      <c r="H76" s="582" t="s">
        <v>423</v>
      </c>
      <c r="I76" t="s">
        <v>2188</v>
      </c>
      <c r="J76">
        <v>2.4900000000000002</v>
      </c>
      <c r="K76" t="s">
        <v>2171</v>
      </c>
    </row>
    <row r="77" spans="1:11" hidden="1" x14ac:dyDescent="0.25">
      <c r="A77">
        <v>1939996</v>
      </c>
      <c r="B77" t="s">
        <v>433</v>
      </c>
      <c r="C77">
        <v>1.81</v>
      </c>
      <c r="D77">
        <v>789</v>
      </c>
      <c r="E77" t="s">
        <v>46</v>
      </c>
      <c r="F77">
        <v>273</v>
      </c>
      <c r="G77" s="582" t="s">
        <v>10</v>
      </c>
      <c r="H77" s="582" t="s">
        <v>416</v>
      </c>
      <c r="I77" t="s">
        <v>434</v>
      </c>
      <c r="J77">
        <v>0.29499999999999998</v>
      </c>
      <c r="K77" t="s">
        <v>2171</v>
      </c>
    </row>
    <row r="78" spans="1:11" hidden="1" x14ac:dyDescent="0.25">
      <c r="A78">
        <v>1939996</v>
      </c>
      <c r="B78" t="s">
        <v>433</v>
      </c>
      <c r="C78">
        <v>0.96899999999999997</v>
      </c>
      <c r="D78">
        <v>789</v>
      </c>
      <c r="E78" t="s">
        <v>46</v>
      </c>
      <c r="F78">
        <v>274</v>
      </c>
      <c r="G78" s="582" t="s">
        <v>10</v>
      </c>
      <c r="H78" s="582" t="s">
        <v>416</v>
      </c>
      <c r="I78" t="s">
        <v>434</v>
      </c>
      <c r="J78">
        <v>0.29499999999999998</v>
      </c>
      <c r="K78" t="s">
        <v>2171</v>
      </c>
    </row>
    <row r="79" spans="1:11" hidden="1" x14ac:dyDescent="0.25">
      <c r="A79">
        <v>1939996</v>
      </c>
      <c r="B79" t="s">
        <v>433</v>
      </c>
      <c r="C79">
        <v>8.7700999999999987E-2</v>
      </c>
      <c r="D79">
        <v>789</v>
      </c>
      <c r="E79" t="s">
        <v>46</v>
      </c>
      <c r="F79">
        <v>492</v>
      </c>
      <c r="G79" s="582" t="s">
        <v>10</v>
      </c>
      <c r="H79" s="582" t="s">
        <v>416</v>
      </c>
      <c r="I79" t="s">
        <v>434</v>
      </c>
      <c r="J79">
        <v>0.29499999999999998</v>
      </c>
      <c r="K79" t="s">
        <v>2171</v>
      </c>
    </row>
    <row r="80" spans="1:11" hidden="1" x14ac:dyDescent="0.25">
      <c r="A80">
        <v>3509030</v>
      </c>
      <c r="B80" t="s">
        <v>1991</v>
      </c>
      <c r="C80">
        <v>0.88800000000000001</v>
      </c>
      <c r="D80">
        <v>789</v>
      </c>
      <c r="E80" t="s">
        <v>151</v>
      </c>
      <c r="F80">
        <v>25</v>
      </c>
      <c r="G80" s="582" t="s">
        <v>10</v>
      </c>
      <c r="H80" s="582" t="s">
        <v>860</v>
      </c>
      <c r="I80" t="s">
        <v>2375</v>
      </c>
      <c r="J80">
        <v>0.40600000000000003</v>
      </c>
      <c r="K80" t="s">
        <v>2171</v>
      </c>
    </row>
    <row r="81" spans="1:11" hidden="1" x14ac:dyDescent="0.25">
      <c r="A81">
        <v>3509030</v>
      </c>
      <c r="B81" t="s">
        <v>1991</v>
      </c>
      <c r="C81">
        <v>0.17343899999999998</v>
      </c>
      <c r="D81">
        <v>4731</v>
      </c>
      <c r="E81" t="s">
        <v>151</v>
      </c>
      <c r="F81">
        <v>1649</v>
      </c>
      <c r="G81" s="582" t="s">
        <v>10</v>
      </c>
      <c r="H81" s="582" t="s">
        <v>860</v>
      </c>
      <c r="I81" t="s">
        <v>2375</v>
      </c>
      <c r="J81">
        <v>0.40600000000000003</v>
      </c>
      <c r="K81" t="s">
        <v>2171</v>
      </c>
    </row>
    <row r="82" spans="1:11" hidden="1" x14ac:dyDescent="0.25">
      <c r="A82">
        <v>3676337</v>
      </c>
      <c r="B82" t="s">
        <v>1156</v>
      </c>
      <c r="C82">
        <v>3.1610000000000002E-3</v>
      </c>
      <c r="D82">
        <v>789</v>
      </c>
      <c r="E82" t="s">
        <v>61</v>
      </c>
      <c r="F82">
        <v>1091</v>
      </c>
      <c r="G82" s="582" t="s">
        <v>10</v>
      </c>
      <c r="H82" s="582" t="s">
        <v>416</v>
      </c>
      <c r="I82" t="s">
        <v>2185</v>
      </c>
      <c r="J82">
        <v>0.32</v>
      </c>
      <c r="K82" t="s">
        <v>2171</v>
      </c>
    </row>
    <row r="83" spans="1:11" hidden="1" x14ac:dyDescent="0.25">
      <c r="A83">
        <v>3676337</v>
      </c>
      <c r="B83" t="s">
        <v>1156</v>
      </c>
      <c r="C83">
        <v>1.6312E-2</v>
      </c>
      <c r="D83">
        <v>789</v>
      </c>
      <c r="E83" t="s">
        <v>61</v>
      </c>
      <c r="F83">
        <v>1092</v>
      </c>
      <c r="G83" s="582" t="s">
        <v>10</v>
      </c>
      <c r="H83" s="582" t="s">
        <v>416</v>
      </c>
      <c r="I83" t="s">
        <v>2185</v>
      </c>
      <c r="J83">
        <v>0.32</v>
      </c>
      <c r="K83" t="s">
        <v>2171</v>
      </c>
    </row>
    <row r="84" spans="1:11" hidden="1" x14ac:dyDescent="0.25">
      <c r="A84">
        <v>1940881</v>
      </c>
      <c r="B84" t="s">
        <v>842</v>
      </c>
      <c r="C84">
        <v>1.3196079999999999</v>
      </c>
      <c r="D84">
        <v>789</v>
      </c>
      <c r="E84" t="s">
        <v>151</v>
      </c>
      <c r="F84">
        <v>126</v>
      </c>
      <c r="G84" s="582" t="s">
        <v>10</v>
      </c>
      <c r="H84" s="582" t="s">
        <v>841</v>
      </c>
      <c r="I84" t="s">
        <v>843</v>
      </c>
      <c r="J84">
        <v>0.73</v>
      </c>
      <c r="K84" t="s">
        <v>2171</v>
      </c>
    </row>
    <row r="85" spans="1:11" hidden="1" x14ac:dyDescent="0.25">
      <c r="A85">
        <v>1940881</v>
      </c>
      <c r="B85" t="s">
        <v>842</v>
      </c>
      <c r="C85">
        <v>0.495</v>
      </c>
      <c r="D85">
        <v>4731</v>
      </c>
      <c r="E85" t="s">
        <v>151</v>
      </c>
      <c r="F85">
        <v>1359</v>
      </c>
      <c r="G85" s="582" t="s">
        <v>10</v>
      </c>
      <c r="H85" s="582" t="s">
        <v>841</v>
      </c>
      <c r="I85" t="s">
        <v>843</v>
      </c>
      <c r="J85">
        <v>0.73</v>
      </c>
      <c r="K85" t="s">
        <v>2171</v>
      </c>
    </row>
    <row r="86" spans="1:11" hidden="1" x14ac:dyDescent="0.25">
      <c r="A86">
        <v>1940881</v>
      </c>
      <c r="B86" t="s">
        <v>842</v>
      </c>
      <c r="C86">
        <v>0.177481</v>
      </c>
      <c r="D86">
        <v>4731</v>
      </c>
      <c r="E86" t="s">
        <v>151</v>
      </c>
      <c r="F86">
        <v>1360</v>
      </c>
      <c r="G86" s="582" t="s">
        <v>10</v>
      </c>
      <c r="H86" s="582" t="s">
        <v>841</v>
      </c>
      <c r="I86" t="s">
        <v>843</v>
      </c>
      <c r="J86">
        <v>0.73</v>
      </c>
      <c r="K86" t="s">
        <v>2171</v>
      </c>
    </row>
    <row r="87" spans="1:11" hidden="1" x14ac:dyDescent="0.25">
      <c r="A87">
        <v>1941845</v>
      </c>
      <c r="B87" t="s">
        <v>1173</v>
      </c>
      <c r="C87">
        <v>0.27871600000000002</v>
      </c>
      <c r="D87">
        <v>789</v>
      </c>
      <c r="E87" t="s">
        <v>151</v>
      </c>
      <c r="F87">
        <v>127</v>
      </c>
      <c r="G87" s="582" t="s">
        <v>10</v>
      </c>
      <c r="H87" s="582" t="s">
        <v>423</v>
      </c>
      <c r="I87" t="s">
        <v>2189</v>
      </c>
      <c r="J87">
        <v>1.234</v>
      </c>
      <c r="K87" t="s">
        <v>2171</v>
      </c>
    </row>
    <row r="88" spans="1:11" hidden="1" x14ac:dyDescent="0.25">
      <c r="A88">
        <v>2353927</v>
      </c>
      <c r="B88" t="s">
        <v>2190</v>
      </c>
      <c r="C88">
        <v>7.0400000000000003E-3</v>
      </c>
      <c r="D88">
        <v>789</v>
      </c>
      <c r="E88" t="s">
        <v>151</v>
      </c>
      <c r="F88">
        <v>135</v>
      </c>
      <c r="G88" s="582" t="s">
        <v>10</v>
      </c>
      <c r="H88" s="582" t="s">
        <v>1065</v>
      </c>
      <c r="I88" t="s">
        <v>2191</v>
      </c>
      <c r="J88">
        <v>0.38500000000000001</v>
      </c>
      <c r="K88" t="s">
        <v>2171</v>
      </c>
    </row>
    <row r="89" spans="1:11" hidden="1" x14ac:dyDescent="0.25">
      <c r="A89">
        <v>2353927</v>
      </c>
      <c r="B89" t="s">
        <v>2190</v>
      </c>
      <c r="C89">
        <v>1.421</v>
      </c>
      <c r="D89">
        <v>789</v>
      </c>
      <c r="E89" t="s">
        <v>151</v>
      </c>
      <c r="F89">
        <v>773</v>
      </c>
      <c r="G89" s="582" t="s">
        <v>10</v>
      </c>
      <c r="H89" s="582" t="s">
        <v>1065</v>
      </c>
      <c r="I89" t="s">
        <v>2191</v>
      </c>
      <c r="J89">
        <v>0.38500000000000001</v>
      </c>
      <c r="K89" t="s">
        <v>2171</v>
      </c>
    </row>
    <row r="90" spans="1:11" hidden="1" x14ac:dyDescent="0.25">
      <c r="A90">
        <v>2353927</v>
      </c>
      <c r="B90" t="s">
        <v>2190</v>
      </c>
      <c r="C90">
        <v>1.593</v>
      </c>
      <c r="D90">
        <v>789</v>
      </c>
      <c r="E90" t="s">
        <v>151</v>
      </c>
      <c r="F90">
        <v>774</v>
      </c>
      <c r="G90" s="582" t="s">
        <v>10</v>
      </c>
      <c r="H90" s="582" t="s">
        <v>1065</v>
      </c>
      <c r="I90" t="s">
        <v>2191</v>
      </c>
      <c r="J90">
        <v>0.38500000000000001</v>
      </c>
      <c r="K90" t="s">
        <v>2171</v>
      </c>
    </row>
    <row r="91" spans="1:11" hidden="1" x14ac:dyDescent="0.25">
      <c r="A91">
        <v>2353927</v>
      </c>
      <c r="B91" t="s">
        <v>2190</v>
      </c>
      <c r="C91">
        <v>0.57599999999999996</v>
      </c>
      <c r="D91">
        <v>789</v>
      </c>
      <c r="E91" t="s">
        <v>151</v>
      </c>
      <c r="F91">
        <v>775</v>
      </c>
      <c r="G91" s="582" t="s">
        <v>10</v>
      </c>
      <c r="H91" s="582" t="s">
        <v>1065</v>
      </c>
      <c r="I91" t="s">
        <v>2191</v>
      </c>
      <c r="J91">
        <v>0.38500000000000001</v>
      </c>
      <c r="K91" t="s">
        <v>2171</v>
      </c>
    </row>
    <row r="92" spans="1:11" hidden="1" x14ac:dyDescent="0.25">
      <c r="A92">
        <v>3620427</v>
      </c>
      <c r="B92" t="s">
        <v>438</v>
      </c>
      <c r="C92">
        <v>1.3790999999999999E-2</v>
      </c>
      <c r="D92">
        <v>789</v>
      </c>
      <c r="E92" t="s">
        <v>18</v>
      </c>
      <c r="F92">
        <v>348</v>
      </c>
      <c r="G92" s="582" t="s">
        <v>10</v>
      </c>
      <c r="H92" s="582" t="s">
        <v>416</v>
      </c>
      <c r="I92" t="s">
        <v>439</v>
      </c>
      <c r="J92">
        <v>0.95</v>
      </c>
      <c r="K92" t="s">
        <v>2171</v>
      </c>
    </row>
    <row r="93" spans="1:11" hidden="1" x14ac:dyDescent="0.25">
      <c r="A93">
        <v>3620427</v>
      </c>
      <c r="B93" t="s">
        <v>438</v>
      </c>
      <c r="C93">
        <v>1.103</v>
      </c>
      <c r="D93">
        <v>789</v>
      </c>
      <c r="E93" t="s">
        <v>18</v>
      </c>
      <c r="F93">
        <v>547</v>
      </c>
      <c r="G93" s="582" t="s">
        <v>10</v>
      </c>
      <c r="H93" s="582" t="s">
        <v>416</v>
      </c>
      <c r="I93" t="s">
        <v>439</v>
      </c>
      <c r="J93">
        <v>0.95</v>
      </c>
      <c r="K93" t="s">
        <v>2171</v>
      </c>
    </row>
    <row r="94" spans="1:11" hidden="1" x14ac:dyDescent="0.25">
      <c r="A94">
        <v>1940363</v>
      </c>
      <c r="B94" t="s">
        <v>1500</v>
      </c>
      <c r="C94">
        <v>0.59334200000000004</v>
      </c>
      <c r="D94">
        <v>789</v>
      </c>
      <c r="E94" t="s">
        <v>18</v>
      </c>
      <c r="F94">
        <v>106</v>
      </c>
      <c r="G94" s="582" t="s">
        <v>10</v>
      </c>
      <c r="H94" s="582" t="s">
        <v>607</v>
      </c>
      <c r="I94" t="s">
        <v>933</v>
      </c>
      <c r="J94">
        <v>1.1619999999999999</v>
      </c>
      <c r="K94" t="s">
        <v>2171</v>
      </c>
    </row>
    <row r="95" spans="1:11" hidden="1" x14ac:dyDescent="0.25">
      <c r="A95">
        <v>1940363</v>
      </c>
      <c r="B95" t="s">
        <v>1500</v>
      </c>
      <c r="C95">
        <v>8.3580000000000008E-3</v>
      </c>
      <c r="D95">
        <v>789</v>
      </c>
      <c r="E95" t="s">
        <v>18</v>
      </c>
      <c r="F95">
        <v>107</v>
      </c>
      <c r="G95" s="582" t="s">
        <v>10</v>
      </c>
      <c r="H95" s="582" t="s">
        <v>607</v>
      </c>
      <c r="I95" t="s">
        <v>933</v>
      </c>
      <c r="J95">
        <v>1.1619999999999999</v>
      </c>
      <c r="K95" t="s">
        <v>2171</v>
      </c>
    </row>
    <row r="96" spans="1:11" hidden="1" x14ac:dyDescent="0.25">
      <c r="A96">
        <v>1940363</v>
      </c>
      <c r="B96" t="s">
        <v>1500</v>
      </c>
      <c r="C96">
        <v>0.79600000000000004</v>
      </c>
      <c r="D96">
        <v>789</v>
      </c>
      <c r="E96" t="s">
        <v>18</v>
      </c>
      <c r="F96">
        <v>761</v>
      </c>
      <c r="G96" s="582" t="s">
        <v>10</v>
      </c>
      <c r="H96" s="582" t="s">
        <v>607</v>
      </c>
      <c r="I96" t="s">
        <v>933</v>
      </c>
      <c r="J96">
        <v>1.1619999999999999</v>
      </c>
      <c r="K96" t="s">
        <v>2171</v>
      </c>
    </row>
    <row r="97" spans="1:11" hidden="1" x14ac:dyDescent="0.25">
      <c r="A97">
        <v>1940014</v>
      </c>
      <c r="B97" t="s">
        <v>448</v>
      </c>
      <c r="C97">
        <v>6.5656999999999993E-2</v>
      </c>
      <c r="D97">
        <v>789</v>
      </c>
      <c r="E97" t="s">
        <v>30</v>
      </c>
      <c r="F97">
        <v>1244</v>
      </c>
      <c r="G97" s="582" t="s">
        <v>10</v>
      </c>
      <c r="H97" s="582" t="s">
        <v>416</v>
      </c>
      <c r="I97" t="s">
        <v>449</v>
      </c>
      <c r="J97">
        <v>6</v>
      </c>
      <c r="K97" t="s">
        <v>1838</v>
      </c>
    </row>
    <row r="98" spans="1:11" hidden="1" x14ac:dyDescent="0.25">
      <c r="A98">
        <v>1940822</v>
      </c>
      <c r="B98" t="s">
        <v>574</v>
      </c>
      <c r="C98">
        <v>1.008E-2</v>
      </c>
      <c r="D98">
        <v>789</v>
      </c>
      <c r="E98" t="s">
        <v>18</v>
      </c>
      <c r="F98">
        <v>123</v>
      </c>
      <c r="G98" s="582" t="s">
        <v>10</v>
      </c>
      <c r="H98" s="582" t="s">
        <v>428</v>
      </c>
      <c r="I98" t="s">
        <v>575</v>
      </c>
      <c r="J98">
        <v>0.53600000000000003</v>
      </c>
      <c r="K98" t="s">
        <v>2171</v>
      </c>
    </row>
    <row r="99" spans="1:11" hidden="1" x14ac:dyDescent="0.25">
      <c r="A99">
        <v>1940822</v>
      </c>
      <c r="B99" t="s">
        <v>574</v>
      </c>
      <c r="C99">
        <v>0.15319999999999998</v>
      </c>
      <c r="D99">
        <v>789</v>
      </c>
      <c r="E99" t="s">
        <v>18</v>
      </c>
      <c r="F99">
        <v>587</v>
      </c>
      <c r="G99" s="582" t="s">
        <v>10</v>
      </c>
      <c r="H99" s="582" t="s">
        <v>428</v>
      </c>
      <c r="I99" t="s">
        <v>575</v>
      </c>
      <c r="J99">
        <v>0.53600000000000003</v>
      </c>
      <c r="K99" t="s">
        <v>2171</v>
      </c>
    </row>
    <row r="100" spans="1:11" hidden="1" x14ac:dyDescent="0.25">
      <c r="A100">
        <v>1940823</v>
      </c>
      <c r="B100" t="s">
        <v>576</v>
      </c>
      <c r="C100">
        <v>8.7699999999999996E-4</v>
      </c>
      <c r="D100">
        <v>789</v>
      </c>
      <c r="E100" t="s">
        <v>18</v>
      </c>
      <c r="F100">
        <v>124</v>
      </c>
      <c r="G100" s="582" t="s">
        <v>10</v>
      </c>
      <c r="H100" s="582" t="s">
        <v>428</v>
      </c>
      <c r="I100" t="s">
        <v>577</v>
      </c>
      <c r="J100">
        <v>0.56000000000000005</v>
      </c>
      <c r="K100" t="s">
        <v>2171</v>
      </c>
    </row>
    <row r="101" spans="1:11" hidden="1" x14ac:dyDescent="0.25">
      <c r="A101">
        <v>1940823</v>
      </c>
      <c r="B101" t="s">
        <v>576</v>
      </c>
      <c r="C101">
        <v>1.474E-3</v>
      </c>
      <c r="D101">
        <v>789</v>
      </c>
      <c r="E101" t="s">
        <v>18</v>
      </c>
      <c r="F101">
        <v>647</v>
      </c>
      <c r="G101" s="582" t="s">
        <v>10</v>
      </c>
      <c r="H101" s="582" t="s">
        <v>428</v>
      </c>
      <c r="I101" t="s">
        <v>577</v>
      </c>
      <c r="J101">
        <v>0.56000000000000005</v>
      </c>
      <c r="K101" t="s">
        <v>2171</v>
      </c>
    </row>
    <row r="102" spans="1:11" hidden="1" x14ac:dyDescent="0.25">
      <c r="A102">
        <v>1940823</v>
      </c>
      <c r="B102" t="s">
        <v>576</v>
      </c>
      <c r="C102">
        <v>5.9059999999999998E-3</v>
      </c>
      <c r="D102">
        <v>789</v>
      </c>
      <c r="E102" t="s">
        <v>18</v>
      </c>
      <c r="F102">
        <v>648</v>
      </c>
      <c r="G102" s="582" t="s">
        <v>10</v>
      </c>
      <c r="H102" s="582" t="s">
        <v>428</v>
      </c>
      <c r="I102" t="s">
        <v>577</v>
      </c>
      <c r="J102">
        <v>0.56000000000000005</v>
      </c>
      <c r="K102" t="s">
        <v>2171</v>
      </c>
    </row>
    <row r="103" spans="1:11" hidden="1" x14ac:dyDescent="0.25">
      <c r="A103">
        <v>2427711</v>
      </c>
      <c r="B103" t="s">
        <v>705</v>
      </c>
      <c r="C103">
        <v>1.0623E-2</v>
      </c>
      <c r="D103">
        <v>789</v>
      </c>
      <c r="E103" t="s">
        <v>18</v>
      </c>
      <c r="F103">
        <v>156</v>
      </c>
      <c r="G103" s="582" t="s">
        <v>10</v>
      </c>
      <c r="H103" s="582" t="s">
        <v>407</v>
      </c>
      <c r="I103" t="s">
        <v>706</v>
      </c>
      <c r="J103">
        <v>0.28499999999999998</v>
      </c>
      <c r="K103" t="s">
        <v>2171</v>
      </c>
    </row>
    <row r="104" spans="1:11" hidden="1" x14ac:dyDescent="0.25">
      <c r="A104">
        <v>1940715</v>
      </c>
      <c r="B104" t="s">
        <v>674</v>
      </c>
      <c r="C104">
        <v>0.89466000000000001</v>
      </c>
      <c r="D104">
        <v>789</v>
      </c>
      <c r="E104" t="s">
        <v>19</v>
      </c>
      <c r="F104">
        <v>8</v>
      </c>
      <c r="G104" s="582" t="s">
        <v>10</v>
      </c>
      <c r="H104" s="582" t="s">
        <v>673</v>
      </c>
      <c r="I104" t="s">
        <v>675</v>
      </c>
      <c r="J104">
        <v>1.7210000000000001</v>
      </c>
      <c r="K104" t="s">
        <v>2171</v>
      </c>
    </row>
    <row r="105" spans="1:11" hidden="1" x14ac:dyDescent="0.25">
      <c r="A105">
        <v>1940715</v>
      </c>
      <c r="B105" t="s">
        <v>674</v>
      </c>
      <c r="C105">
        <v>1.6180000000000001</v>
      </c>
      <c r="D105">
        <v>789</v>
      </c>
      <c r="E105" t="s">
        <v>19</v>
      </c>
      <c r="F105">
        <v>508</v>
      </c>
      <c r="G105" s="582" t="s">
        <v>10</v>
      </c>
      <c r="H105" s="582" t="s">
        <v>673</v>
      </c>
      <c r="I105" t="s">
        <v>675</v>
      </c>
      <c r="J105">
        <v>1.7210000000000001</v>
      </c>
      <c r="K105" t="s">
        <v>2171</v>
      </c>
    </row>
    <row r="106" spans="1:11" hidden="1" x14ac:dyDescent="0.25">
      <c r="A106">
        <v>1940715</v>
      </c>
      <c r="B106" t="s">
        <v>674</v>
      </c>
      <c r="C106">
        <v>0.56799999999999995</v>
      </c>
      <c r="D106">
        <v>789</v>
      </c>
      <c r="E106" t="s">
        <v>19</v>
      </c>
      <c r="F106">
        <v>509</v>
      </c>
      <c r="G106" s="582" t="s">
        <v>10</v>
      </c>
      <c r="H106" s="582" t="s">
        <v>673</v>
      </c>
      <c r="I106" t="s">
        <v>675</v>
      </c>
      <c r="J106">
        <v>1.7210000000000001</v>
      </c>
      <c r="K106" t="s">
        <v>2171</v>
      </c>
    </row>
    <row r="107" spans="1:11" hidden="1" x14ac:dyDescent="0.25">
      <c r="A107">
        <v>1940715</v>
      </c>
      <c r="B107" t="s">
        <v>674</v>
      </c>
      <c r="C107">
        <v>0.43</v>
      </c>
      <c r="D107">
        <v>789</v>
      </c>
      <c r="E107" t="s">
        <v>19</v>
      </c>
      <c r="F107">
        <v>510</v>
      </c>
      <c r="G107" s="582" t="s">
        <v>10</v>
      </c>
      <c r="H107" s="582" t="s">
        <v>673</v>
      </c>
      <c r="I107" t="s">
        <v>675</v>
      </c>
      <c r="J107">
        <v>1.7210000000000001</v>
      </c>
      <c r="K107" t="s">
        <v>2171</v>
      </c>
    </row>
    <row r="108" spans="1:11" hidden="1" x14ac:dyDescent="0.25">
      <c r="A108">
        <v>1940715</v>
      </c>
      <c r="B108" t="s">
        <v>674</v>
      </c>
      <c r="C108">
        <v>0.403142</v>
      </c>
      <c r="D108">
        <v>789</v>
      </c>
      <c r="E108" t="s">
        <v>19</v>
      </c>
      <c r="F108">
        <v>638</v>
      </c>
      <c r="G108" s="582" t="s">
        <v>10</v>
      </c>
      <c r="H108" s="582" t="s">
        <v>673</v>
      </c>
      <c r="I108" t="s">
        <v>675</v>
      </c>
      <c r="J108">
        <v>1.7210000000000001</v>
      </c>
      <c r="K108" t="s">
        <v>2171</v>
      </c>
    </row>
    <row r="109" spans="1:11" hidden="1" x14ac:dyDescent="0.25">
      <c r="A109">
        <v>1940715</v>
      </c>
      <c r="B109" t="s">
        <v>674</v>
      </c>
      <c r="C109">
        <v>0.25800000000000001</v>
      </c>
      <c r="D109">
        <v>789</v>
      </c>
      <c r="E109" t="s">
        <v>19</v>
      </c>
      <c r="F109">
        <v>639</v>
      </c>
      <c r="G109" s="582" t="s">
        <v>10</v>
      </c>
      <c r="H109" s="582" t="s">
        <v>673</v>
      </c>
      <c r="I109" t="s">
        <v>675</v>
      </c>
      <c r="J109">
        <v>1.7210000000000001</v>
      </c>
      <c r="K109" t="s">
        <v>2171</v>
      </c>
    </row>
    <row r="110" spans="1:11" hidden="1" x14ac:dyDescent="0.25">
      <c r="A110">
        <v>1940715</v>
      </c>
      <c r="B110" t="s">
        <v>674</v>
      </c>
      <c r="C110">
        <v>3.4909999999999997E-2</v>
      </c>
      <c r="D110">
        <v>789</v>
      </c>
      <c r="E110" t="s">
        <v>19</v>
      </c>
      <c r="F110">
        <v>640</v>
      </c>
      <c r="G110" s="582" t="s">
        <v>10</v>
      </c>
      <c r="H110" s="582" t="s">
        <v>673</v>
      </c>
      <c r="I110" t="s">
        <v>675</v>
      </c>
      <c r="J110">
        <v>1.7210000000000001</v>
      </c>
      <c r="K110" t="s">
        <v>2171</v>
      </c>
    </row>
    <row r="111" spans="1:11" hidden="1" x14ac:dyDescent="0.25">
      <c r="A111">
        <v>1940715</v>
      </c>
      <c r="B111" t="s">
        <v>674</v>
      </c>
      <c r="C111">
        <v>0.86099999999999999</v>
      </c>
      <c r="D111">
        <v>789</v>
      </c>
      <c r="E111" t="s">
        <v>19</v>
      </c>
      <c r="F111">
        <v>641</v>
      </c>
      <c r="G111" s="582" t="s">
        <v>10</v>
      </c>
      <c r="H111" s="582" t="s">
        <v>673</v>
      </c>
      <c r="I111" t="s">
        <v>675</v>
      </c>
      <c r="J111">
        <v>1.7210000000000001</v>
      </c>
      <c r="K111" t="s">
        <v>2171</v>
      </c>
    </row>
    <row r="112" spans="1:11" hidden="1" x14ac:dyDescent="0.25">
      <c r="A112">
        <v>1940715</v>
      </c>
      <c r="B112" t="s">
        <v>674</v>
      </c>
      <c r="C112">
        <v>0.34399999999999997</v>
      </c>
      <c r="D112">
        <v>789</v>
      </c>
      <c r="E112" t="s">
        <v>19</v>
      </c>
      <c r="F112">
        <v>642</v>
      </c>
      <c r="G112" s="582" t="s">
        <v>10</v>
      </c>
      <c r="H112" s="582" t="s">
        <v>673</v>
      </c>
      <c r="I112" t="s">
        <v>675</v>
      </c>
      <c r="J112">
        <v>1.7210000000000001</v>
      </c>
      <c r="K112" t="s">
        <v>2171</v>
      </c>
    </row>
    <row r="113" spans="1:11" hidden="1" x14ac:dyDescent="0.25">
      <c r="A113">
        <v>1940715</v>
      </c>
      <c r="B113" t="s">
        <v>674</v>
      </c>
      <c r="C113">
        <v>0.66100000000000003</v>
      </c>
      <c r="D113">
        <v>789</v>
      </c>
      <c r="E113" t="s">
        <v>19</v>
      </c>
      <c r="F113">
        <v>643</v>
      </c>
      <c r="G113" s="582" t="s">
        <v>10</v>
      </c>
      <c r="H113" s="582" t="s">
        <v>673</v>
      </c>
      <c r="I113" t="s">
        <v>675</v>
      </c>
      <c r="J113">
        <v>1.7210000000000001</v>
      </c>
      <c r="K113" t="s">
        <v>2171</v>
      </c>
    </row>
    <row r="114" spans="1:11" hidden="1" x14ac:dyDescent="0.25">
      <c r="A114">
        <v>1940454</v>
      </c>
      <c r="B114" t="s">
        <v>2186</v>
      </c>
      <c r="C114">
        <v>1.7000000000000001E-2</v>
      </c>
      <c r="D114">
        <v>789</v>
      </c>
      <c r="E114" t="s">
        <v>19</v>
      </c>
      <c r="F114">
        <v>110</v>
      </c>
      <c r="G114" s="582" t="s">
        <v>10</v>
      </c>
      <c r="H114" s="582" t="s">
        <v>633</v>
      </c>
      <c r="I114" t="s">
        <v>2187</v>
      </c>
      <c r="J114">
        <v>0.70499999999999996</v>
      </c>
      <c r="K114" t="s">
        <v>2171</v>
      </c>
    </row>
    <row r="115" spans="1:11" hidden="1" x14ac:dyDescent="0.25">
      <c r="A115">
        <v>2256593</v>
      </c>
      <c r="B115" t="s">
        <v>1598</v>
      </c>
      <c r="C115">
        <v>0.32</v>
      </c>
      <c r="D115">
        <v>789</v>
      </c>
      <c r="E115" t="s">
        <v>52</v>
      </c>
      <c r="F115">
        <v>11</v>
      </c>
      <c r="G115" s="582" t="s">
        <v>10</v>
      </c>
      <c r="H115" s="582" t="s">
        <v>836</v>
      </c>
      <c r="I115" t="s">
        <v>2320</v>
      </c>
      <c r="J115">
        <v>0.21</v>
      </c>
      <c r="K115" t="s">
        <v>2171</v>
      </c>
    </row>
    <row r="116" spans="1:11" hidden="1" x14ac:dyDescent="0.25">
      <c r="A116">
        <v>2256593</v>
      </c>
      <c r="B116" t="s">
        <v>1598</v>
      </c>
      <c r="C116">
        <v>4.6000000000000001E-4</v>
      </c>
      <c r="D116">
        <v>789</v>
      </c>
      <c r="E116" t="s">
        <v>52</v>
      </c>
      <c r="F116">
        <v>984</v>
      </c>
      <c r="G116" s="582" t="s">
        <v>10</v>
      </c>
      <c r="H116" s="582" t="s">
        <v>836</v>
      </c>
      <c r="I116" t="s">
        <v>2320</v>
      </c>
      <c r="J116">
        <v>0.21</v>
      </c>
      <c r="K116" t="s">
        <v>2171</v>
      </c>
    </row>
    <row r="117" spans="1:11" hidden="1" x14ac:dyDescent="0.25">
      <c r="A117">
        <v>3230758</v>
      </c>
      <c r="B117" t="s">
        <v>2195</v>
      </c>
      <c r="C117">
        <v>0.68799999999999994</v>
      </c>
      <c r="D117">
        <v>789</v>
      </c>
      <c r="E117" t="s">
        <v>52</v>
      </c>
      <c r="F117">
        <v>23</v>
      </c>
      <c r="G117" s="582" t="s">
        <v>10</v>
      </c>
      <c r="H117" s="582" t="s">
        <v>737</v>
      </c>
      <c r="J117">
        <v>5.86</v>
      </c>
      <c r="K117" t="s">
        <v>1838</v>
      </c>
    </row>
    <row r="118" spans="1:11" hidden="1" x14ac:dyDescent="0.25">
      <c r="A118">
        <v>3230758</v>
      </c>
      <c r="B118" t="s">
        <v>2195</v>
      </c>
      <c r="C118">
        <v>3.1709999999999998</v>
      </c>
      <c r="D118">
        <v>4731</v>
      </c>
      <c r="E118" t="s">
        <v>52</v>
      </c>
      <c r="F118">
        <v>1417</v>
      </c>
      <c r="G118" s="582" t="s">
        <v>10</v>
      </c>
      <c r="H118" s="582" t="s">
        <v>737</v>
      </c>
      <c r="J118">
        <v>5.86</v>
      </c>
      <c r="K118" t="s">
        <v>1838</v>
      </c>
    </row>
    <row r="119" spans="1:11" hidden="1" x14ac:dyDescent="0.25">
      <c r="A119">
        <v>3230758</v>
      </c>
      <c r="B119" t="s">
        <v>2195</v>
      </c>
      <c r="C119">
        <v>2.524</v>
      </c>
      <c r="D119">
        <v>4731</v>
      </c>
      <c r="E119" t="s">
        <v>52</v>
      </c>
      <c r="F119">
        <v>1418</v>
      </c>
      <c r="G119" s="582" t="s">
        <v>10</v>
      </c>
      <c r="H119" s="582" t="s">
        <v>737</v>
      </c>
      <c r="J119">
        <v>5.86</v>
      </c>
      <c r="K119" t="s">
        <v>1838</v>
      </c>
    </row>
    <row r="120" spans="1:11" hidden="1" x14ac:dyDescent="0.25">
      <c r="A120">
        <v>3230758</v>
      </c>
      <c r="B120" t="s">
        <v>2195</v>
      </c>
      <c r="C120">
        <v>2.512</v>
      </c>
      <c r="D120">
        <v>4731</v>
      </c>
      <c r="E120" t="s">
        <v>52</v>
      </c>
      <c r="F120">
        <v>1419</v>
      </c>
      <c r="G120" s="582" t="s">
        <v>10</v>
      </c>
      <c r="H120" s="582" t="s">
        <v>737</v>
      </c>
      <c r="J120">
        <v>5.86</v>
      </c>
      <c r="K120" t="s">
        <v>1838</v>
      </c>
    </row>
    <row r="121" spans="1:11" hidden="1" x14ac:dyDescent="0.25">
      <c r="A121">
        <v>3230758</v>
      </c>
      <c r="B121" t="s">
        <v>2195</v>
      </c>
      <c r="C121">
        <v>1.8440000000000001</v>
      </c>
      <c r="D121">
        <v>4731</v>
      </c>
      <c r="E121" t="s">
        <v>52</v>
      </c>
      <c r="F121">
        <v>1420</v>
      </c>
      <c r="G121" s="582" t="s">
        <v>10</v>
      </c>
      <c r="H121" s="582" t="s">
        <v>737</v>
      </c>
      <c r="J121">
        <v>5.86</v>
      </c>
      <c r="K121" t="s">
        <v>1838</v>
      </c>
    </row>
    <row r="122" spans="1:11" hidden="1" x14ac:dyDescent="0.25">
      <c r="A122">
        <v>2363145</v>
      </c>
      <c r="B122" t="s">
        <v>1946</v>
      </c>
      <c r="C122">
        <v>2.0270000000000001</v>
      </c>
      <c r="D122" t="s">
        <v>362</v>
      </c>
      <c r="E122" t="s">
        <v>151</v>
      </c>
      <c r="F122">
        <v>2079</v>
      </c>
      <c r="G122" s="582" t="s">
        <v>10</v>
      </c>
      <c r="H122" s="582" t="s">
        <v>966</v>
      </c>
      <c r="I122" t="s">
        <v>2654</v>
      </c>
      <c r="J122">
        <v>5</v>
      </c>
      <c r="K122" t="s">
        <v>1838</v>
      </c>
    </row>
    <row r="123" spans="1:11" hidden="1" x14ac:dyDescent="0.25">
      <c r="A123">
        <v>3586640</v>
      </c>
      <c r="B123" t="s">
        <v>2197</v>
      </c>
      <c r="C123">
        <v>0.56024099999999999</v>
      </c>
      <c r="D123">
        <v>789</v>
      </c>
      <c r="E123" t="s">
        <v>52</v>
      </c>
      <c r="F123">
        <v>40</v>
      </c>
      <c r="G123" s="582" t="s">
        <v>10</v>
      </c>
      <c r="H123" s="582" t="s">
        <v>633</v>
      </c>
      <c r="I123" t="s">
        <v>782</v>
      </c>
      <c r="J123">
        <v>5.75</v>
      </c>
      <c r="K123" t="s">
        <v>1838</v>
      </c>
    </row>
    <row r="124" spans="1:11" hidden="1" x14ac:dyDescent="0.25">
      <c r="A124">
        <v>3863198</v>
      </c>
      <c r="B124" t="s">
        <v>2198</v>
      </c>
      <c r="C124">
        <v>2.8109999999999999</v>
      </c>
      <c r="D124">
        <v>789</v>
      </c>
      <c r="E124" t="s">
        <v>52</v>
      </c>
      <c r="F124">
        <v>49</v>
      </c>
      <c r="G124" s="582" t="s">
        <v>10</v>
      </c>
      <c r="H124" s="582" t="s">
        <v>860</v>
      </c>
      <c r="I124" t="s">
        <v>2199</v>
      </c>
      <c r="J124">
        <v>5.03</v>
      </c>
      <c r="K124" t="s">
        <v>1838</v>
      </c>
    </row>
    <row r="125" spans="1:11" hidden="1" x14ac:dyDescent="0.25">
      <c r="A125">
        <v>3863198</v>
      </c>
      <c r="B125" t="s">
        <v>2198</v>
      </c>
      <c r="C125">
        <v>2.6309999999999998</v>
      </c>
      <c r="D125">
        <v>789</v>
      </c>
      <c r="E125" t="s">
        <v>52</v>
      </c>
      <c r="F125">
        <v>50</v>
      </c>
      <c r="G125" s="582" t="s">
        <v>10</v>
      </c>
      <c r="H125" s="582" t="s">
        <v>860</v>
      </c>
      <c r="I125" t="s">
        <v>2199</v>
      </c>
      <c r="J125">
        <v>5.03</v>
      </c>
      <c r="K125" t="s">
        <v>1838</v>
      </c>
    </row>
    <row r="126" spans="1:11" hidden="1" x14ac:dyDescent="0.25">
      <c r="A126">
        <v>1941846</v>
      </c>
      <c r="B126" t="s">
        <v>440</v>
      </c>
      <c r="C126">
        <v>3.4640000000000001E-3</v>
      </c>
      <c r="D126">
        <v>789</v>
      </c>
      <c r="E126" t="s">
        <v>30</v>
      </c>
      <c r="F126">
        <v>981</v>
      </c>
      <c r="G126" s="582" t="s">
        <v>10</v>
      </c>
      <c r="H126" s="582" t="s">
        <v>423</v>
      </c>
      <c r="I126" t="s">
        <v>441</v>
      </c>
      <c r="J126">
        <v>1.603</v>
      </c>
      <c r="K126" t="s">
        <v>2171</v>
      </c>
    </row>
    <row r="127" spans="1:11" hidden="1" x14ac:dyDescent="0.25">
      <c r="A127">
        <v>1941846</v>
      </c>
      <c r="B127" t="s">
        <v>440</v>
      </c>
      <c r="C127">
        <v>6.4400000000000004E-3</v>
      </c>
      <c r="D127">
        <v>789</v>
      </c>
      <c r="E127" t="s">
        <v>30</v>
      </c>
      <c r="F127">
        <v>982</v>
      </c>
      <c r="G127" s="582" t="s">
        <v>10</v>
      </c>
      <c r="H127" s="582" t="s">
        <v>423</v>
      </c>
      <c r="I127" t="s">
        <v>441</v>
      </c>
      <c r="J127">
        <v>1.603</v>
      </c>
      <c r="K127" t="s">
        <v>2171</v>
      </c>
    </row>
    <row r="128" spans="1:11" hidden="1" x14ac:dyDescent="0.25">
      <c r="A128">
        <v>1941846</v>
      </c>
      <c r="B128" t="s">
        <v>440</v>
      </c>
      <c r="C128">
        <v>0.1045</v>
      </c>
      <c r="D128">
        <v>789</v>
      </c>
      <c r="E128" t="s">
        <v>30</v>
      </c>
      <c r="F128">
        <v>983</v>
      </c>
      <c r="G128" s="582" t="s">
        <v>10</v>
      </c>
      <c r="H128" s="582" t="s">
        <v>423</v>
      </c>
      <c r="I128" t="s">
        <v>441</v>
      </c>
      <c r="J128">
        <v>1.603</v>
      </c>
      <c r="K128" t="s">
        <v>2171</v>
      </c>
    </row>
    <row r="129" spans="1:11" hidden="1" x14ac:dyDescent="0.25">
      <c r="A129">
        <v>3672607</v>
      </c>
      <c r="B129" t="s">
        <v>460</v>
      </c>
      <c r="C129">
        <v>9.7350000000000006E-2</v>
      </c>
      <c r="D129">
        <v>789</v>
      </c>
      <c r="E129" t="s">
        <v>30</v>
      </c>
      <c r="F129">
        <v>205</v>
      </c>
      <c r="G129" s="582" t="s">
        <v>10</v>
      </c>
      <c r="H129" s="582" t="s">
        <v>423</v>
      </c>
      <c r="I129" t="s">
        <v>461</v>
      </c>
      <c r="J129">
        <v>1.7150000000000001</v>
      </c>
      <c r="K129" t="s">
        <v>2171</v>
      </c>
    </row>
    <row r="130" spans="1:11" hidden="1" x14ac:dyDescent="0.25">
      <c r="A130">
        <v>1940247</v>
      </c>
      <c r="B130" t="s">
        <v>1349</v>
      </c>
      <c r="C130">
        <v>1.5200000000000001E-3</v>
      </c>
      <c r="D130">
        <v>789</v>
      </c>
      <c r="E130" t="s">
        <v>52</v>
      </c>
      <c r="F130">
        <v>104</v>
      </c>
      <c r="G130" s="582" t="s">
        <v>10</v>
      </c>
      <c r="H130" s="582" t="s">
        <v>983</v>
      </c>
      <c r="I130" t="s">
        <v>2200</v>
      </c>
      <c r="J130">
        <v>0.59499999999999997</v>
      </c>
      <c r="K130" t="s">
        <v>2171</v>
      </c>
    </row>
    <row r="131" spans="1:11" hidden="1" x14ac:dyDescent="0.25">
      <c r="A131">
        <v>1940247</v>
      </c>
      <c r="B131" t="s">
        <v>1349</v>
      </c>
      <c r="C131">
        <v>0.67200000000000004</v>
      </c>
      <c r="D131">
        <v>789</v>
      </c>
      <c r="E131" t="s">
        <v>52</v>
      </c>
      <c r="F131">
        <v>573</v>
      </c>
      <c r="G131" s="582" t="s">
        <v>10</v>
      </c>
      <c r="H131" s="582" t="s">
        <v>983</v>
      </c>
      <c r="I131" t="s">
        <v>2200</v>
      </c>
      <c r="J131">
        <v>0.59499999999999997</v>
      </c>
      <c r="K131" t="s">
        <v>2171</v>
      </c>
    </row>
    <row r="132" spans="1:11" hidden="1" x14ac:dyDescent="0.25">
      <c r="A132">
        <v>1940247</v>
      </c>
      <c r="B132" t="s">
        <v>1349</v>
      </c>
      <c r="C132">
        <v>0.61499999999999999</v>
      </c>
      <c r="D132">
        <v>789</v>
      </c>
      <c r="E132" t="s">
        <v>52</v>
      </c>
      <c r="F132">
        <v>574</v>
      </c>
      <c r="G132" s="582" t="s">
        <v>10</v>
      </c>
      <c r="H132" s="582" t="s">
        <v>983</v>
      </c>
      <c r="I132" t="s">
        <v>2200</v>
      </c>
      <c r="J132">
        <v>0.59499999999999997</v>
      </c>
      <c r="K132" t="s">
        <v>2171</v>
      </c>
    </row>
    <row r="133" spans="1:11" hidden="1" x14ac:dyDescent="0.25">
      <c r="A133">
        <v>3672606</v>
      </c>
      <c r="B133" t="s">
        <v>424</v>
      </c>
      <c r="C133">
        <v>1.456E-3</v>
      </c>
      <c r="D133">
        <v>789</v>
      </c>
      <c r="E133" t="s">
        <v>30</v>
      </c>
      <c r="F133">
        <v>351</v>
      </c>
      <c r="G133" s="582" t="s">
        <v>10</v>
      </c>
      <c r="H133" s="582" t="s">
        <v>423</v>
      </c>
      <c r="I133" t="s">
        <v>425</v>
      </c>
      <c r="J133">
        <v>1.7450000000000001</v>
      </c>
      <c r="K133" t="s">
        <v>2171</v>
      </c>
    </row>
    <row r="134" spans="1:11" hidden="1" x14ac:dyDescent="0.25">
      <c r="A134">
        <v>3672606</v>
      </c>
      <c r="B134" t="s">
        <v>424</v>
      </c>
      <c r="C134">
        <v>1.2961E-2</v>
      </c>
      <c r="D134">
        <v>789</v>
      </c>
      <c r="E134" t="s">
        <v>30</v>
      </c>
      <c r="F134">
        <v>352</v>
      </c>
      <c r="G134" s="582" t="s">
        <v>10</v>
      </c>
      <c r="H134" s="582" t="s">
        <v>423</v>
      </c>
      <c r="I134" t="s">
        <v>425</v>
      </c>
      <c r="J134">
        <v>1.7450000000000001</v>
      </c>
      <c r="K134" t="s">
        <v>2171</v>
      </c>
    </row>
    <row r="135" spans="1:11" hidden="1" x14ac:dyDescent="0.25">
      <c r="A135">
        <v>1941847</v>
      </c>
      <c r="B135" t="s">
        <v>442</v>
      </c>
      <c r="C135">
        <v>1.3730239999999998</v>
      </c>
      <c r="D135">
        <v>789</v>
      </c>
      <c r="E135" t="s">
        <v>30</v>
      </c>
      <c r="F135">
        <v>439</v>
      </c>
      <c r="G135" s="582" t="s">
        <v>10</v>
      </c>
      <c r="H135" s="582" t="s">
        <v>423</v>
      </c>
      <c r="I135" t="s">
        <v>443</v>
      </c>
      <c r="J135">
        <v>2.1850000000000001</v>
      </c>
      <c r="K135" t="s">
        <v>2171</v>
      </c>
    </row>
    <row r="136" spans="1:11" hidden="1" x14ac:dyDescent="0.25">
      <c r="A136">
        <v>1941847</v>
      </c>
      <c r="B136" t="s">
        <v>442</v>
      </c>
      <c r="C136">
        <v>0.20499999999999999</v>
      </c>
      <c r="D136">
        <v>789</v>
      </c>
      <c r="E136" t="s">
        <v>151</v>
      </c>
      <c r="F136">
        <v>440</v>
      </c>
      <c r="G136" s="582" t="s">
        <v>10</v>
      </c>
      <c r="H136" s="582" t="s">
        <v>423</v>
      </c>
      <c r="I136" t="s">
        <v>443</v>
      </c>
      <c r="J136">
        <v>2.1850000000000001</v>
      </c>
      <c r="K136" t="s">
        <v>2171</v>
      </c>
    </row>
    <row r="137" spans="1:11" hidden="1" x14ac:dyDescent="0.25">
      <c r="A137">
        <v>1941847</v>
      </c>
      <c r="B137" t="s">
        <v>442</v>
      </c>
      <c r="C137">
        <v>0.42099999999999999</v>
      </c>
      <c r="D137">
        <v>789</v>
      </c>
      <c r="E137" t="s">
        <v>30</v>
      </c>
      <c r="F137">
        <v>1020</v>
      </c>
      <c r="G137" s="582" t="s">
        <v>10</v>
      </c>
      <c r="H137" s="582" t="s">
        <v>423</v>
      </c>
      <c r="I137" t="s">
        <v>443</v>
      </c>
      <c r="J137">
        <v>2.1850000000000001</v>
      </c>
      <c r="K137" t="s">
        <v>2171</v>
      </c>
    </row>
    <row r="138" spans="1:11" hidden="1" x14ac:dyDescent="0.25">
      <c r="A138">
        <v>1941847</v>
      </c>
      <c r="B138" t="s">
        <v>442</v>
      </c>
      <c r="C138">
        <v>0.78234999999999999</v>
      </c>
      <c r="D138">
        <v>789</v>
      </c>
      <c r="E138" t="s">
        <v>30</v>
      </c>
      <c r="F138">
        <v>1021</v>
      </c>
      <c r="G138" s="582" t="s">
        <v>10</v>
      </c>
      <c r="H138" s="582" t="s">
        <v>423</v>
      </c>
      <c r="I138" t="s">
        <v>443</v>
      </c>
      <c r="J138">
        <v>2.1850000000000001</v>
      </c>
      <c r="K138" t="s">
        <v>2171</v>
      </c>
    </row>
    <row r="139" spans="1:11" hidden="1" x14ac:dyDescent="0.25">
      <c r="A139">
        <v>3672608</v>
      </c>
      <c r="B139" t="s">
        <v>1939</v>
      </c>
      <c r="C139">
        <v>5.7329999999999994E-3</v>
      </c>
      <c r="D139">
        <v>789</v>
      </c>
      <c r="E139" t="s">
        <v>30</v>
      </c>
      <c r="F139">
        <v>469</v>
      </c>
      <c r="G139" s="582" t="s">
        <v>10</v>
      </c>
      <c r="H139" s="582" t="s">
        <v>423</v>
      </c>
      <c r="I139" t="s">
        <v>2194</v>
      </c>
      <c r="J139">
        <v>2.34</v>
      </c>
      <c r="K139" t="s">
        <v>2171</v>
      </c>
    </row>
    <row r="140" spans="1:11" hidden="1" x14ac:dyDescent="0.25">
      <c r="A140">
        <v>3672608</v>
      </c>
      <c r="B140" t="s">
        <v>1939</v>
      </c>
      <c r="C140">
        <v>0.192411</v>
      </c>
      <c r="D140">
        <v>789</v>
      </c>
      <c r="E140" t="s">
        <v>30</v>
      </c>
      <c r="F140">
        <v>470</v>
      </c>
      <c r="G140" s="582" t="s">
        <v>10</v>
      </c>
      <c r="H140" s="582" t="s">
        <v>423</v>
      </c>
      <c r="I140" t="s">
        <v>2194</v>
      </c>
      <c r="J140">
        <v>2.34</v>
      </c>
      <c r="K140" t="s">
        <v>2171</v>
      </c>
    </row>
    <row r="141" spans="1:11" hidden="1" x14ac:dyDescent="0.25">
      <c r="A141">
        <v>3672608</v>
      </c>
      <c r="B141" t="s">
        <v>1939</v>
      </c>
      <c r="C141">
        <v>3.2759999999999998E-3</v>
      </c>
      <c r="D141">
        <v>789</v>
      </c>
      <c r="E141" t="s">
        <v>30</v>
      </c>
      <c r="F141">
        <v>471</v>
      </c>
      <c r="G141" s="582" t="s">
        <v>10</v>
      </c>
      <c r="H141" s="582" t="s">
        <v>423</v>
      </c>
      <c r="I141" t="s">
        <v>2194</v>
      </c>
      <c r="J141">
        <v>2.34</v>
      </c>
      <c r="K141" t="s">
        <v>2171</v>
      </c>
    </row>
    <row r="142" spans="1:11" hidden="1" x14ac:dyDescent="0.25">
      <c r="A142">
        <v>3672608</v>
      </c>
      <c r="B142" t="s">
        <v>1939</v>
      </c>
      <c r="C142">
        <v>8.9040000000000005E-3</v>
      </c>
      <c r="D142">
        <v>789</v>
      </c>
      <c r="E142" t="s">
        <v>30</v>
      </c>
      <c r="F142">
        <v>472</v>
      </c>
      <c r="G142" s="582" t="s">
        <v>10</v>
      </c>
      <c r="H142" s="582" t="s">
        <v>423</v>
      </c>
      <c r="I142" t="s">
        <v>2194</v>
      </c>
      <c r="J142">
        <v>2.34</v>
      </c>
      <c r="K142" t="s">
        <v>2171</v>
      </c>
    </row>
    <row r="143" spans="1:11" hidden="1" x14ac:dyDescent="0.25">
      <c r="A143">
        <v>3541434</v>
      </c>
      <c r="B143" t="s">
        <v>1176</v>
      </c>
      <c r="C143">
        <v>0.101065</v>
      </c>
      <c r="D143">
        <v>789</v>
      </c>
      <c r="E143" t="s">
        <v>151</v>
      </c>
      <c r="F143">
        <v>608</v>
      </c>
      <c r="G143" s="582" t="s">
        <v>10</v>
      </c>
      <c r="H143" s="582" t="s">
        <v>423</v>
      </c>
      <c r="I143" t="s">
        <v>2196</v>
      </c>
      <c r="J143">
        <v>2.9049999999999998</v>
      </c>
      <c r="K143" t="s">
        <v>2171</v>
      </c>
    </row>
    <row r="144" spans="1:11" hidden="1" x14ac:dyDescent="0.25">
      <c r="A144">
        <v>3541434</v>
      </c>
      <c r="B144" t="s">
        <v>1176</v>
      </c>
      <c r="C144">
        <v>0.34938600000000003</v>
      </c>
      <c r="D144">
        <v>789</v>
      </c>
      <c r="E144" t="s">
        <v>151</v>
      </c>
      <c r="F144">
        <v>609</v>
      </c>
      <c r="G144" s="582" t="s">
        <v>10</v>
      </c>
      <c r="H144" s="582" t="s">
        <v>423</v>
      </c>
      <c r="I144" t="s">
        <v>2196</v>
      </c>
      <c r="J144">
        <v>2.9049999999999998</v>
      </c>
      <c r="K144" t="s">
        <v>2171</v>
      </c>
    </row>
    <row r="145" spans="1:11" hidden="1" x14ac:dyDescent="0.25">
      <c r="A145">
        <v>3541434</v>
      </c>
      <c r="B145" t="s">
        <v>1176</v>
      </c>
      <c r="C145">
        <v>0.42099999999999999</v>
      </c>
      <c r="D145">
        <v>789</v>
      </c>
      <c r="E145" t="s">
        <v>151</v>
      </c>
      <c r="F145">
        <v>610</v>
      </c>
      <c r="G145" s="582" t="s">
        <v>10</v>
      </c>
      <c r="H145" s="582" t="s">
        <v>423</v>
      </c>
      <c r="I145" t="s">
        <v>2196</v>
      </c>
      <c r="J145">
        <v>2.9049999999999998</v>
      </c>
      <c r="K145" t="s">
        <v>2171</v>
      </c>
    </row>
    <row r="146" spans="1:11" hidden="1" x14ac:dyDescent="0.25">
      <c r="A146">
        <v>3541434</v>
      </c>
      <c r="B146" t="s">
        <v>1176</v>
      </c>
      <c r="C146">
        <v>0.60799999999999998</v>
      </c>
      <c r="D146">
        <v>789</v>
      </c>
      <c r="E146" t="s">
        <v>151</v>
      </c>
      <c r="F146">
        <v>611</v>
      </c>
      <c r="G146" s="582" t="s">
        <v>10</v>
      </c>
      <c r="H146" s="582" t="s">
        <v>423</v>
      </c>
      <c r="I146" t="s">
        <v>2196</v>
      </c>
      <c r="J146">
        <v>2.9049999999999998</v>
      </c>
      <c r="K146" t="s">
        <v>2171</v>
      </c>
    </row>
    <row r="147" spans="1:11" hidden="1" x14ac:dyDescent="0.25">
      <c r="A147">
        <v>1940262</v>
      </c>
      <c r="B147" t="s">
        <v>1357</v>
      </c>
      <c r="C147">
        <v>5.7544999999999999E-2</v>
      </c>
      <c r="D147">
        <v>789</v>
      </c>
      <c r="E147" t="s">
        <v>61</v>
      </c>
      <c r="F147">
        <v>105</v>
      </c>
      <c r="G147" s="582" t="s">
        <v>10</v>
      </c>
      <c r="H147" s="582" t="s">
        <v>604</v>
      </c>
      <c r="I147" t="s">
        <v>2172</v>
      </c>
      <c r="J147">
        <v>0.104</v>
      </c>
      <c r="K147" t="s">
        <v>2171</v>
      </c>
    </row>
    <row r="148" spans="1:11" hidden="1" x14ac:dyDescent="0.25">
      <c r="A148">
        <v>3929636</v>
      </c>
      <c r="B148" t="s">
        <v>742</v>
      </c>
      <c r="C148">
        <v>0.27499499999999999</v>
      </c>
      <c r="D148">
        <v>789</v>
      </c>
      <c r="E148" t="s">
        <v>30</v>
      </c>
      <c r="F148">
        <v>69</v>
      </c>
      <c r="G148" s="582" t="s">
        <v>10</v>
      </c>
      <c r="H148" s="582" t="s">
        <v>661</v>
      </c>
      <c r="I148" t="s">
        <v>743</v>
      </c>
      <c r="J148">
        <v>5.86</v>
      </c>
      <c r="K148" t="s">
        <v>1838</v>
      </c>
    </row>
    <row r="149" spans="1:11" hidden="1" x14ac:dyDescent="0.25">
      <c r="A149">
        <v>4100177</v>
      </c>
      <c r="B149" t="s">
        <v>662</v>
      </c>
      <c r="C149">
        <v>4.3903800000000004</v>
      </c>
      <c r="D149">
        <v>789</v>
      </c>
      <c r="E149" t="s">
        <v>30</v>
      </c>
      <c r="F149">
        <v>79</v>
      </c>
      <c r="G149" s="582" t="s">
        <v>10</v>
      </c>
      <c r="H149" s="582" t="s">
        <v>661</v>
      </c>
      <c r="I149" t="s">
        <v>663</v>
      </c>
      <c r="J149">
        <v>0.35599999999999998</v>
      </c>
      <c r="K149" t="s">
        <v>2171</v>
      </c>
    </row>
    <row r="150" spans="1:11" hidden="1" x14ac:dyDescent="0.25">
      <c r="A150">
        <v>4100177</v>
      </c>
      <c r="B150" t="s">
        <v>662</v>
      </c>
      <c r="C150">
        <v>1.0846169999999999</v>
      </c>
      <c r="D150">
        <v>789</v>
      </c>
      <c r="E150" t="s">
        <v>30</v>
      </c>
      <c r="F150">
        <v>852</v>
      </c>
      <c r="G150" s="582" t="s">
        <v>10</v>
      </c>
      <c r="H150" s="582" t="s">
        <v>661</v>
      </c>
      <c r="I150" t="s">
        <v>663</v>
      </c>
      <c r="J150">
        <v>0.35599999999999998</v>
      </c>
      <c r="K150" t="s">
        <v>2171</v>
      </c>
    </row>
    <row r="151" spans="1:11" hidden="1" x14ac:dyDescent="0.25">
      <c r="A151">
        <v>4100177</v>
      </c>
      <c r="B151" t="s">
        <v>662</v>
      </c>
      <c r="C151">
        <v>3.143E-3</v>
      </c>
      <c r="D151">
        <v>789</v>
      </c>
      <c r="E151" t="s">
        <v>30</v>
      </c>
      <c r="F151">
        <v>853</v>
      </c>
      <c r="G151" s="582" t="s">
        <v>10</v>
      </c>
      <c r="H151" s="582" t="s">
        <v>661</v>
      </c>
      <c r="I151" t="s">
        <v>663</v>
      </c>
      <c r="J151">
        <v>0.35599999999999998</v>
      </c>
      <c r="K151" t="s">
        <v>2171</v>
      </c>
    </row>
    <row r="152" spans="1:11" hidden="1" x14ac:dyDescent="0.25">
      <c r="A152">
        <v>4100177</v>
      </c>
      <c r="B152" t="s">
        <v>662</v>
      </c>
      <c r="C152">
        <v>8.4515000000000007E-2</v>
      </c>
      <c r="D152">
        <v>789</v>
      </c>
      <c r="E152" t="s">
        <v>30</v>
      </c>
      <c r="F152">
        <v>854</v>
      </c>
      <c r="G152" s="582" t="s">
        <v>10</v>
      </c>
      <c r="H152" s="582" t="s">
        <v>661</v>
      </c>
      <c r="I152" t="s">
        <v>663</v>
      </c>
      <c r="J152">
        <v>0.35599999999999998</v>
      </c>
      <c r="K152" t="s">
        <v>2171</v>
      </c>
    </row>
    <row r="153" spans="1:11" hidden="1" x14ac:dyDescent="0.25">
      <c r="A153">
        <v>1931385</v>
      </c>
      <c r="B153" t="s">
        <v>2192</v>
      </c>
      <c r="C153">
        <v>0.17899999999999999</v>
      </c>
      <c r="D153">
        <v>789</v>
      </c>
      <c r="E153" t="s">
        <v>32</v>
      </c>
      <c r="F153">
        <v>84</v>
      </c>
      <c r="G153" s="582" t="s">
        <v>33</v>
      </c>
      <c r="H153" s="582" t="s">
        <v>423</v>
      </c>
      <c r="I153" t="s">
        <v>2193</v>
      </c>
      <c r="J153">
        <v>6</v>
      </c>
      <c r="K153" t="s">
        <v>1838</v>
      </c>
    </row>
    <row r="154" spans="1:11" hidden="1" x14ac:dyDescent="0.25">
      <c r="A154">
        <v>1940054</v>
      </c>
      <c r="B154" t="s">
        <v>2206</v>
      </c>
      <c r="C154">
        <v>1.95</v>
      </c>
      <c r="D154">
        <v>789</v>
      </c>
      <c r="E154" t="s">
        <v>32</v>
      </c>
      <c r="F154">
        <v>101</v>
      </c>
      <c r="G154" s="582" t="s">
        <v>33</v>
      </c>
      <c r="H154" s="582" t="s">
        <v>463</v>
      </c>
      <c r="I154" t="s">
        <v>2207</v>
      </c>
      <c r="J154">
        <v>6</v>
      </c>
      <c r="K154" t="s">
        <v>1838</v>
      </c>
    </row>
    <row r="155" spans="1:11" hidden="1" x14ac:dyDescent="0.25">
      <c r="A155">
        <v>1940054</v>
      </c>
      <c r="B155" t="s">
        <v>2206</v>
      </c>
      <c r="C155">
        <v>2.8370000000000002</v>
      </c>
      <c r="D155">
        <v>789</v>
      </c>
      <c r="E155" t="s">
        <v>32</v>
      </c>
      <c r="F155">
        <v>102</v>
      </c>
      <c r="G155" s="582" t="s">
        <v>33</v>
      </c>
      <c r="H155" s="582" t="s">
        <v>463</v>
      </c>
      <c r="I155" t="s">
        <v>2207</v>
      </c>
      <c r="J155">
        <v>6</v>
      </c>
      <c r="K155" t="s">
        <v>1838</v>
      </c>
    </row>
    <row r="156" spans="1:11" hidden="1" x14ac:dyDescent="0.25">
      <c r="A156">
        <v>1940054</v>
      </c>
      <c r="B156" t="s">
        <v>2206</v>
      </c>
      <c r="C156">
        <v>1.111742</v>
      </c>
      <c r="D156">
        <v>789</v>
      </c>
      <c r="E156" t="s">
        <v>32</v>
      </c>
      <c r="F156">
        <v>275</v>
      </c>
      <c r="G156" s="582" t="s">
        <v>33</v>
      </c>
      <c r="H156" s="582" t="s">
        <v>463</v>
      </c>
      <c r="I156" t="s">
        <v>2207</v>
      </c>
      <c r="J156">
        <v>6</v>
      </c>
      <c r="K156" t="s">
        <v>1838</v>
      </c>
    </row>
    <row r="157" spans="1:11" hidden="1" x14ac:dyDescent="0.25">
      <c r="A157">
        <v>3553505</v>
      </c>
      <c r="B157" t="s">
        <v>2201</v>
      </c>
      <c r="C157">
        <v>1.7450000000000001</v>
      </c>
      <c r="D157">
        <v>789</v>
      </c>
      <c r="E157" t="s">
        <v>78</v>
      </c>
      <c r="F157">
        <v>27</v>
      </c>
      <c r="G157" s="582" t="s">
        <v>10</v>
      </c>
      <c r="H157" s="582" t="s">
        <v>832</v>
      </c>
      <c r="I157" t="s">
        <v>2202</v>
      </c>
      <c r="J157">
        <v>6.125</v>
      </c>
      <c r="K157" t="s">
        <v>1838</v>
      </c>
    </row>
    <row r="158" spans="1:11" hidden="1" x14ac:dyDescent="0.25">
      <c r="A158">
        <v>3553505</v>
      </c>
      <c r="B158" t="s">
        <v>2201</v>
      </c>
      <c r="C158">
        <v>1.9279999999999999</v>
      </c>
      <c r="D158">
        <v>789</v>
      </c>
      <c r="E158" t="s">
        <v>78</v>
      </c>
      <c r="F158">
        <v>28</v>
      </c>
      <c r="G158" s="582" t="s">
        <v>10</v>
      </c>
      <c r="H158" s="582" t="s">
        <v>832</v>
      </c>
      <c r="I158" t="s">
        <v>2202</v>
      </c>
      <c r="J158">
        <v>6.125</v>
      </c>
      <c r="K158" t="s">
        <v>1838</v>
      </c>
    </row>
    <row r="159" spans="1:11" hidden="1" x14ac:dyDescent="0.25">
      <c r="A159">
        <v>3553505</v>
      </c>
      <c r="B159" t="s">
        <v>2201</v>
      </c>
      <c r="C159">
        <v>1.9390000000000001</v>
      </c>
      <c r="D159">
        <v>789</v>
      </c>
      <c r="E159" t="s">
        <v>78</v>
      </c>
      <c r="F159">
        <v>29</v>
      </c>
      <c r="G159" s="582" t="s">
        <v>10</v>
      </c>
      <c r="H159" s="582" t="s">
        <v>832</v>
      </c>
      <c r="I159" t="s">
        <v>2202</v>
      </c>
      <c r="J159">
        <v>6.125</v>
      </c>
      <c r="K159" t="s">
        <v>1838</v>
      </c>
    </row>
    <row r="160" spans="1:11" hidden="1" x14ac:dyDescent="0.25">
      <c r="A160">
        <v>3553505</v>
      </c>
      <c r="B160" t="s">
        <v>2201</v>
      </c>
      <c r="C160">
        <v>0.67800000000000005</v>
      </c>
      <c r="D160">
        <v>789</v>
      </c>
      <c r="E160" t="s">
        <v>78</v>
      </c>
      <c r="F160">
        <v>30</v>
      </c>
      <c r="G160" s="582" t="s">
        <v>10</v>
      </c>
      <c r="H160" s="582" t="s">
        <v>832</v>
      </c>
      <c r="I160" t="s">
        <v>2202</v>
      </c>
      <c r="J160">
        <v>6.125</v>
      </c>
      <c r="K160" t="s">
        <v>1838</v>
      </c>
    </row>
    <row r="161" spans="1:11" hidden="1" x14ac:dyDescent="0.25">
      <c r="A161">
        <v>3553505</v>
      </c>
      <c r="B161" t="s">
        <v>2201</v>
      </c>
      <c r="C161">
        <v>0.16664399999999999</v>
      </c>
      <c r="D161">
        <v>789</v>
      </c>
      <c r="E161" t="s">
        <v>78</v>
      </c>
      <c r="F161">
        <v>31</v>
      </c>
      <c r="G161" s="582" t="s">
        <v>10</v>
      </c>
      <c r="H161" s="582" t="s">
        <v>832</v>
      </c>
      <c r="I161" t="s">
        <v>2202</v>
      </c>
      <c r="J161">
        <v>6.125</v>
      </c>
      <c r="K161" t="s">
        <v>1838</v>
      </c>
    </row>
    <row r="162" spans="1:11" hidden="1" x14ac:dyDescent="0.25">
      <c r="A162">
        <v>3553505</v>
      </c>
      <c r="B162" t="s">
        <v>2201</v>
      </c>
      <c r="C162">
        <v>2.0699999999999998</v>
      </c>
      <c r="D162">
        <v>4731</v>
      </c>
      <c r="E162" t="s">
        <v>78</v>
      </c>
      <c r="F162">
        <v>1670</v>
      </c>
      <c r="G162" s="582" t="s">
        <v>10</v>
      </c>
      <c r="H162" s="582" t="s">
        <v>832</v>
      </c>
      <c r="I162" t="s">
        <v>2202</v>
      </c>
      <c r="J162">
        <v>6.125</v>
      </c>
      <c r="K162" t="s">
        <v>1838</v>
      </c>
    </row>
    <row r="163" spans="1:11" hidden="1" x14ac:dyDescent="0.25">
      <c r="A163">
        <v>3553505</v>
      </c>
      <c r="B163" t="s">
        <v>2201</v>
      </c>
      <c r="C163">
        <v>1.99</v>
      </c>
      <c r="D163">
        <v>4731</v>
      </c>
      <c r="E163" t="s">
        <v>78</v>
      </c>
      <c r="F163">
        <v>1671</v>
      </c>
      <c r="G163" s="582" t="s">
        <v>10</v>
      </c>
      <c r="H163" s="582" t="s">
        <v>832</v>
      </c>
      <c r="I163" t="s">
        <v>2202</v>
      </c>
      <c r="J163">
        <v>6.125</v>
      </c>
      <c r="K163" t="s">
        <v>1838</v>
      </c>
    </row>
    <row r="164" spans="1:11" hidden="1" x14ac:dyDescent="0.25">
      <c r="A164">
        <v>3553505</v>
      </c>
      <c r="B164" t="s">
        <v>2201</v>
      </c>
      <c r="C164">
        <v>2.02</v>
      </c>
      <c r="D164">
        <v>4731</v>
      </c>
      <c r="E164" t="s">
        <v>78</v>
      </c>
      <c r="F164">
        <v>1672</v>
      </c>
      <c r="G164" s="582" t="s">
        <v>10</v>
      </c>
      <c r="H164" s="582" t="s">
        <v>832</v>
      </c>
      <c r="I164" t="s">
        <v>2202</v>
      </c>
      <c r="J164">
        <v>6.125</v>
      </c>
      <c r="K164" t="s">
        <v>1838</v>
      </c>
    </row>
    <row r="165" spans="1:11" hidden="1" x14ac:dyDescent="0.25">
      <c r="A165">
        <v>3553505</v>
      </c>
      <c r="B165" t="s">
        <v>2201</v>
      </c>
      <c r="C165">
        <v>2.129</v>
      </c>
      <c r="D165">
        <v>4731</v>
      </c>
      <c r="E165" t="s">
        <v>78</v>
      </c>
      <c r="F165">
        <v>1673</v>
      </c>
      <c r="G165" s="582" t="s">
        <v>10</v>
      </c>
      <c r="H165" s="582" t="s">
        <v>832</v>
      </c>
      <c r="I165" t="s">
        <v>2202</v>
      </c>
      <c r="J165">
        <v>6.125</v>
      </c>
      <c r="K165" t="s">
        <v>1838</v>
      </c>
    </row>
    <row r="166" spans="1:11" hidden="1" x14ac:dyDescent="0.25">
      <c r="A166">
        <v>3553505</v>
      </c>
      <c r="B166" t="s">
        <v>2201</v>
      </c>
      <c r="C166">
        <v>0.202236</v>
      </c>
      <c r="D166">
        <v>8406</v>
      </c>
      <c r="E166" t="s">
        <v>78</v>
      </c>
      <c r="F166">
        <v>1674</v>
      </c>
      <c r="G166" s="582" t="s">
        <v>10</v>
      </c>
      <c r="H166" s="582" t="s">
        <v>832</v>
      </c>
      <c r="I166" t="s">
        <v>2202</v>
      </c>
      <c r="J166">
        <v>6.125</v>
      </c>
      <c r="K166" t="s">
        <v>1838</v>
      </c>
    </row>
    <row r="167" spans="1:11" hidden="1" x14ac:dyDescent="0.25">
      <c r="A167">
        <v>3553505</v>
      </c>
      <c r="B167" t="s">
        <v>2201</v>
      </c>
      <c r="C167">
        <v>1.978</v>
      </c>
      <c r="D167">
        <v>8406</v>
      </c>
      <c r="E167" t="s">
        <v>78</v>
      </c>
      <c r="F167">
        <v>1675</v>
      </c>
      <c r="G167" s="582" t="s">
        <v>10</v>
      </c>
      <c r="H167" s="582" t="s">
        <v>832</v>
      </c>
      <c r="I167" t="s">
        <v>2202</v>
      </c>
      <c r="J167">
        <v>6.125</v>
      </c>
      <c r="K167" t="s">
        <v>1838</v>
      </c>
    </row>
    <row r="168" spans="1:11" hidden="1" x14ac:dyDescent="0.25">
      <c r="A168">
        <v>1940034</v>
      </c>
      <c r="B168" t="s">
        <v>464</v>
      </c>
      <c r="C168">
        <v>4.0359999999999997E-3</v>
      </c>
      <c r="D168">
        <v>789</v>
      </c>
      <c r="E168" t="s">
        <v>9</v>
      </c>
      <c r="F168">
        <v>493</v>
      </c>
      <c r="G168" s="582" t="s">
        <v>10</v>
      </c>
      <c r="H168" s="582" t="s">
        <v>463</v>
      </c>
      <c r="I168" t="s">
        <v>465</v>
      </c>
      <c r="J168">
        <v>0.54</v>
      </c>
      <c r="K168" t="s">
        <v>2171</v>
      </c>
    </row>
    <row r="169" spans="1:11" hidden="1" x14ac:dyDescent="0.25">
      <c r="A169">
        <v>1940034</v>
      </c>
      <c r="B169" t="s">
        <v>464</v>
      </c>
      <c r="C169">
        <v>0.292933</v>
      </c>
      <c r="D169">
        <v>789</v>
      </c>
      <c r="E169" t="s">
        <v>9</v>
      </c>
      <c r="F169">
        <v>494</v>
      </c>
      <c r="G169" s="582" t="s">
        <v>10</v>
      </c>
      <c r="H169" s="582" t="s">
        <v>463</v>
      </c>
      <c r="I169" t="s">
        <v>465</v>
      </c>
      <c r="J169">
        <v>0.54</v>
      </c>
      <c r="K169" t="s">
        <v>2171</v>
      </c>
    </row>
    <row r="170" spans="1:11" hidden="1" x14ac:dyDescent="0.25">
      <c r="A170">
        <v>1940034</v>
      </c>
      <c r="B170" t="s">
        <v>464</v>
      </c>
      <c r="C170">
        <v>0.53962199999999994</v>
      </c>
      <c r="D170">
        <v>789</v>
      </c>
      <c r="E170" t="s">
        <v>9</v>
      </c>
      <c r="F170">
        <v>495</v>
      </c>
      <c r="G170" s="582" t="s">
        <v>10</v>
      </c>
      <c r="H170" s="582" t="s">
        <v>463</v>
      </c>
      <c r="I170" t="s">
        <v>465</v>
      </c>
      <c r="J170">
        <v>0.54</v>
      </c>
      <c r="K170" t="s">
        <v>2171</v>
      </c>
    </row>
    <row r="171" spans="1:11" hidden="1" x14ac:dyDescent="0.25">
      <c r="A171">
        <v>1940034</v>
      </c>
      <c r="B171" t="s">
        <v>464</v>
      </c>
      <c r="C171">
        <v>0.49299999999999999</v>
      </c>
      <c r="D171">
        <v>789</v>
      </c>
      <c r="E171" t="s">
        <v>9</v>
      </c>
      <c r="F171">
        <v>496</v>
      </c>
      <c r="G171" s="582" t="s">
        <v>10</v>
      </c>
      <c r="H171" s="582" t="s">
        <v>463</v>
      </c>
      <c r="I171" t="s">
        <v>465</v>
      </c>
      <c r="J171">
        <v>0.54</v>
      </c>
      <c r="K171" t="s">
        <v>2171</v>
      </c>
    </row>
    <row r="172" spans="1:11" hidden="1" x14ac:dyDescent="0.25">
      <c r="A172">
        <v>1940038</v>
      </c>
      <c r="B172" t="s">
        <v>1185</v>
      </c>
      <c r="C172">
        <v>0.36199999999999999</v>
      </c>
      <c r="D172">
        <v>789</v>
      </c>
      <c r="E172" t="s">
        <v>9</v>
      </c>
      <c r="F172">
        <v>571</v>
      </c>
      <c r="G172" s="582" t="s">
        <v>10</v>
      </c>
      <c r="H172" s="582" t="s">
        <v>463</v>
      </c>
      <c r="I172" t="s">
        <v>2727</v>
      </c>
      <c r="J172">
        <v>0.68</v>
      </c>
      <c r="K172" t="s">
        <v>2171</v>
      </c>
    </row>
    <row r="173" spans="1:11" hidden="1" x14ac:dyDescent="0.25">
      <c r="A173">
        <v>1940038</v>
      </c>
      <c r="B173" t="s">
        <v>1185</v>
      </c>
      <c r="C173">
        <v>0.36199999999999999</v>
      </c>
      <c r="D173">
        <v>789</v>
      </c>
      <c r="E173" t="s">
        <v>9</v>
      </c>
      <c r="F173">
        <v>572</v>
      </c>
      <c r="G173" s="582" t="s">
        <v>10</v>
      </c>
      <c r="H173" s="582" t="s">
        <v>463</v>
      </c>
      <c r="I173" t="s">
        <v>2727</v>
      </c>
      <c r="J173">
        <v>0.68</v>
      </c>
      <c r="K173" t="s">
        <v>2171</v>
      </c>
    </row>
    <row r="174" spans="1:11" hidden="1" x14ac:dyDescent="0.25">
      <c r="A174">
        <v>2403383</v>
      </c>
      <c r="B174" t="s">
        <v>2018</v>
      </c>
      <c r="C174">
        <v>8.8000000000000005E-3</v>
      </c>
      <c r="D174">
        <v>789</v>
      </c>
      <c r="E174" t="s">
        <v>46</v>
      </c>
      <c r="F174">
        <v>153</v>
      </c>
      <c r="G174" s="582" t="s">
        <v>10</v>
      </c>
      <c r="H174" s="582" t="s">
        <v>604</v>
      </c>
      <c r="I174" t="s">
        <v>2217</v>
      </c>
      <c r="J174">
        <v>0.47499999999999998</v>
      </c>
      <c r="K174" t="s">
        <v>2171</v>
      </c>
    </row>
    <row r="175" spans="1:11" hidden="1" x14ac:dyDescent="0.25">
      <c r="A175">
        <v>4241099</v>
      </c>
      <c r="B175" t="s">
        <v>2203</v>
      </c>
      <c r="C175">
        <v>1.0762000000000001E-2</v>
      </c>
      <c r="D175">
        <v>789</v>
      </c>
      <c r="E175" t="s">
        <v>37</v>
      </c>
      <c r="F175">
        <v>1038</v>
      </c>
      <c r="G175" s="582" t="s">
        <v>33</v>
      </c>
      <c r="H175" s="582" t="s">
        <v>463</v>
      </c>
      <c r="J175">
        <v>0.73</v>
      </c>
      <c r="K175" t="s">
        <v>2171</v>
      </c>
    </row>
    <row r="176" spans="1:11" hidden="1" x14ac:dyDescent="0.25">
      <c r="A176">
        <v>4020857</v>
      </c>
      <c r="B176" t="s">
        <v>910</v>
      </c>
      <c r="C176">
        <v>1.1399849999999998</v>
      </c>
      <c r="D176">
        <v>789</v>
      </c>
      <c r="E176" t="s">
        <v>48</v>
      </c>
      <c r="F176">
        <v>78</v>
      </c>
      <c r="G176" s="582" t="s">
        <v>10</v>
      </c>
      <c r="H176" s="582" t="s">
        <v>909</v>
      </c>
      <c r="I176" t="s">
        <v>911</v>
      </c>
      <c r="J176">
        <v>0.40899999999999997</v>
      </c>
      <c r="K176" t="s">
        <v>2171</v>
      </c>
    </row>
    <row r="177" spans="1:11" hidden="1" x14ac:dyDescent="0.25">
      <c r="A177">
        <v>4020857</v>
      </c>
      <c r="B177" t="s">
        <v>910</v>
      </c>
      <c r="C177">
        <v>1.0870000000000001E-3</v>
      </c>
      <c r="D177">
        <v>789</v>
      </c>
      <c r="E177" t="s">
        <v>48</v>
      </c>
      <c r="F177">
        <v>794</v>
      </c>
      <c r="G177" s="582" t="s">
        <v>10</v>
      </c>
      <c r="H177" s="582" t="s">
        <v>909</v>
      </c>
      <c r="I177" t="s">
        <v>911</v>
      </c>
      <c r="J177">
        <v>0.40899999999999997</v>
      </c>
      <c r="K177" t="s">
        <v>2171</v>
      </c>
    </row>
    <row r="178" spans="1:11" hidden="1" x14ac:dyDescent="0.25">
      <c r="A178">
        <v>4020857</v>
      </c>
      <c r="B178" t="s">
        <v>910</v>
      </c>
      <c r="C178">
        <v>6.437E-3</v>
      </c>
      <c r="D178">
        <v>789</v>
      </c>
      <c r="E178" t="s">
        <v>48</v>
      </c>
      <c r="F178">
        <v>795</v>
      </c>
      <c r="G178" s="582" t="s">
        <v>10</v>
      </c>
      <c r="H178" s="582" t="s">
        <v>909</v>
      </c>
      <c r="I178" t="s">
        <v>911</v>
      </c>
      <c r="J178">
        <v>0.40899999999999997</v>
      </c>
      <c r="K178" t="s">
        <v>2171</v>
      </c>
    </row>
    <row r="179" spans="1:11" hidden="1" x14ac:dyDescent="0.25">
      <c r="A179">
        <v>3715199</v>
      </c>
      <c r="B179" t="s">
        <v>1187</v>
      </c>
      <c r="C179">
        <v>1.2110000000000001E-3</v>
      </c>
      <c r="D179">
        <v>789</v>
      </c>
      <c r="E179" t="s">
        <v>9</v>
      </c>
      <c r="F179">
        <v>791</v>
      </c>
      <c r="G179" s="582" t="s">
        <v>10</v>
      </c>
      <c r="H179" s="582" t="s">
        <v>463</v>
      </c>
      <c r="I179" t="s">
        <v>2204</v>
      </c>
      <c r="J179">
        <v>0.755</v>
      </c>
      <c r="K179" t="s">
        <v>2171</v>
      </c>
    </row>
    <row r="180" spans="1:11" hidden="1" x14ac:dyDescent="0.25">
      <c r="A180">
        <v>1940801</v>
      </c>
      <c r="B180" t="s">
        <v>478</v>
      </c>
      <c r="C180">
        <v>1.9177E-2</v>
      </c>
      <c r="D180">
        <v>789</v>
      </c>
      <c r="E180" t="s">
        <v>60</v>
      </c>
      <c r="F180">
        <v>115</v>
      </c>
      <c r="G180" s="582" t="s">
        <v>10</v>
      </c>
      <c r="H180" s="582" t="s">
        <v>456</v>
      </c>
      <c r="I180" t="s">
        <v>479</v>
      </c>
      <c r="J180">
        <v>1.31</v>
      </c>
      <c r="K180" t="s">
        <v>2171</v>
      </c>
    </row>
    <row r="181" spans="1:11" hidden="1" x14ac:dyDescent="0.25">
      <c r="A181">
        <v>1940801</v>
      </c>
      <c r="B181" t="s">
        <v>478</v>
      </c>
      <c r="C181">
        <v>0.142457</v>
      </c>
      <c r="D181">
        <v>789</v>
      </c>
      <c r="E181" t="s">
        <v>60</v>
      </c>
      <c r="F181">
        <v>116</v>
      </c>
      <c r="G181" s="582" t="s">
        <v>10</v>
      </c>
      <c r="H181" s="582" t="s">
        <v>456</v>
      </c>
      <c r="I181" t="s">
        <v>479</v>
      </c>
      <c r="J181">
        <v>1.31</v>
      </c>
      <c r="K181" t="s">
        <v>2171</v>
      </c>
    </row>
    <row r="182" spans="1:11" hidden="1" x14ac:dyDescent="0.25">
      <c r="A182">
        <v>1940801</v>
      </c>
      <c r="B182" t="s">
        <v>478</v>
      </c>
      <c r="C182">
        <v>0.20753199999999999</v>
      </c>
      <c r="D182">
        <v>789</v>
      </c>
      <c r="E182" t="s">
        <v>60</v>
      </c>
      <c r="F182">
        <v>117</v>
      </c>
      <c r="G182" s="582" t="s">
        <v>10</v>
      </c>
      <c r="H182" s="582" t="s">
        <v>456</v>
      </c>
      <c r="I182" t="s">
        <v>479</v>
      </c>
      <c r="J182">
        <v>1.31</v>
      </c>
      <c r="K182" t="s">
        <v>2171</v>
      </c>
    </row>
    <row r="183" spans="1:11" hidden="1" x14ac:dyDescent="0.25">
      <c r="A183">
        <v>1940801</v>
      </c>
      <c r="B183" t="s">
        <v>478</v>
      </c>
      <c r="C183">
        <v>0.150397</v>
      </c>
      <c r="D183">
        <v>789</v>
      </c>
      <c r="E183" t="s">
        <v>60</v>
      </c>
      <c r="F183">
        <v>118</v>
      </c>
      <c r="G183" s="582" t="s">
        <v>10</v>
      </c>
      <c r="H183" s="582" t="s">
        <v>456</v>
      </c>
      <c r="I183" t="s">
        <v>479</v>
      </c>
      <c r="J183">
        <v>1.31</v>
      </c>
      <c r="K183" t="s">
        <v>2171</v>
      </c>
    </row>
    <row r="184" spans="1:11" hidden="1" x14ac:dyDescent="0.25">
      <c r="A184">
        <v>1940801</v>
      </c>
      <c r="B184" t="s">
        <v>478</v>
      </c>
      <c r="C184">
        <v>0.14349999999999999</v>
      </c>
      <c r="D184">
        <v>789</v>
      </c>
      <c r="E184" t="s">
        <v>60</v>
      </c>
      <c r="F184">
        <v>119</v>
      </c>
      <c r="G184" s="582" t="s">
        <v>10</v>
      </c>
      <c r="H184" s="582" t="s">
        <v>456</v>
      </c>
      <c r="I184" t="s">
        <v>479</v>
      </c>
      <c r="J184">
        <v>1.31</v>
      </c>
      <c r="K184" t="s">
        <v>2171</v>
      </c>
    </row>
    <row r="185" spans="1:11" hidden="1" x14ac:dyDescent="0.25">
      <c r="A185">
        <v>1940801</v>
      </c>
      <c r="B185" t="s">
        <v>478</v>
      </c>
      <c r="C185">
        <v>0.14349999999999999</v>
      </c>
      <c r="D185">
        <v>789</v>
      </c>
      <c r="E185" t="s">
        <v>60</v>
      </c>
      <c r="F185">
        <v>120</v>
      </c>
      <c r="G185" s="582" t="s">
        <v>10</v>
      </c>
      <c r="H185" s="582" t="s">
        <v>456</v>
      </c>
      <c r="I185" t="s">
        <v>479</v>
      </c>
      <c r="J185">
        <v>1.31</v>
      </c>
      <c r="K185" t="s">
        <v>2171</v>
      </c>
    </row>
    <row r="186" spans="1:11" hidden="1" x14ac:dyDescent="0.25">
      <c r="A186">
        <v>1940801</v>
      </c>
      <c r="B186" t="s">
        <v>478</v>
      </c>
      <c r="C186">
        <v>0.2155</v>
      </c>
      <c r="D186">
        <v>789</v>
      </c>
      <c r="E186" t="s">
        <v>60</v>
      </c>
      <c r="F186">
        <v>121</v>
      </c>
      <c r="G186" s="582" t="s">
        <v>10</v>
      </c>
      <c r="H186" s="582" t="s">
        <v>456</v>
      </c>
      <c r="I186" t="s">
        <v>479</v>
      </c>
      <c r="J186">
        <v>1.31</v>
      </c>
      <c r="K186" t="s">
        <v>2171</v>
      </c>
    </row>
    <row r="187" spans="1:11" hidden="1" x14ac:dyDescent="0.25">
      <c r="A187">
        <v>1940801</v>
      </c>
      <c r="B187" t="s">
        <v>478</v>
      </c>
      <c r="C187">
        <v>1.1679999999999999</v>
      </c>
      <c r="D187">
        <v>789</v>
      </c>
      <c r="E187" t="s">
        <v>60</v>
      </c>
      <c r="F187">
        <v>122</v>
      </c>
      <c r="G187" s="582" t="s">
        <v>10</v>
      </c>
      <c r="H187" s="582" t="s">
        <v>456</v>
      </c>
      <c r="I187" t="s">
        <v>479</v>
      </c>
      <c r="J187">
        <v>1.31</v>
      </c>
      <c r="K187" t="s">
        <v>2171</v>
      </c>
    </row>
    <row r="188" spans="1:11" hidden="1" x14ac:dyDescent="0.25">
      <c r="A188">
        <v>1940043</v>
      </c>
      <c r="B188" t="s">
        <v>486</v>
      </c>
      <c r="C188">
        <v>1.73E-3</v>
      </c>
      <c r="D188">
        <v>789</v>
      </c>
      <c r="E188" t="s">
        <v>61</v>
      </c>
      <c r="F188">
        <v>755</v>
      </c>
      <c r="G188" s="582" t="s">
        <v>10</v>
      </c>
      <c r="H188" s="582" t="s">
        <v>463</v>
      </c>
      <c r="I188" t="s">
        <v>487</v>
      </c>
      <c r="J188">
        <v>0.88800000000000001</v>
      </c>
      <c r="K188" t="s">
        <v>2171</v>
      </c>
    </row>
    <row r="189" spans="1:11" hidden="1" x14ac:dyDescent="0.25">
      <c r="A189">
        <v>1940043</v>
      </c>
      <c r="B189" t="s">
        <v>486</v>
      </c>
      <c r="C189">
        <v>1.417</v>
      </c>
      <c r="D189">
        <v>789</v>
      </c>
      <c r="E189" t="s">
        <v>61</v>
      </c>
      <c r="F189">
        <v>756</v>
      </c>
      <c r="G189" s="582" t="s">
        <v>10</v>
      </c>
      <c r="H189" s="582" t="s">
        <v>463</v>
      </c>
      <c r="I189" t="s">
        <v>487</v>
      </c>
      <c r="J189">
        <v>0.88800000000000001</v>
      </c>
      <c r="K189" t="s">
        <v>2171</v>
      </c>
    </row>
    <row r="190" spans="1:11" hidden="1" x14ac:dyDescent="0.25">
      <c r="A190">
        <v>1940045</v>
      </c>
      <c r="B190" t="s">
        <v>1190</v>
      </c>
      <c r="C190">
        <v>8.9840000000000007E-3</v>
      </c>
      <c r="D190">
        <v>789</v>
      </c>
      <c r="E190" t="s">
        <v>37</v>
      </c>
      <c r="F190">
        <v>631</v>
      </c>
      <c r="G190" s="582" t="s">
        <v>33</v>
      </c>
      <c r="H190" s="582" t="s">
        <v>463</v>
      </c>
      <c r="I190" t="s">
        <v>2205</v>
      </c>
      <c r="J190">
        <v>1.1299999999999999</v>
      </c>
      <c r="K190" t="s">
        <v>2171</v>
      </c>
    </row>
    <row r="191" spans="1:11" hidden="1" x14ac:dyDescent="0.25">
      <c r="A191">
        <v>1940046</v>
      </c>
      <c r="B191" t="s">
        <v>466</v>
      </c>
      <c r="C191">
        <v>2.1336999999999998E-2</v>
      </c>
      <c r="D191">
        <v>789</v>
      </c>
      <c r="E191" t="s">
        <v>37</v>
      </c>
      <c r="F191">
        <v>702</v>
      </c>
      <c r="G191" s="582" t="s">
        <v>33</v>
      </c>
      <c r="H191" s="582" t="s">
        <v>463</v>
      </c>
      <c r="I191" t="s">
        <v>467</v>
      </c>
      <c r="J191">
        <v>1.31</v>
      </c>
      <c r="K191" t="s">
        <v>2171</v>
      </c>
    </row>
    <row r="192" spans="1:11" hidden="1" x14ac:dyDescent="0.25">
      <c r="A192">
        <v>1940046</v>
      </c>
      <c r="B192" t="s">
        <v>466</v>
      </c>
      <c r="C192">
        <v>0.156</v>
      </c>
      <c r="D192">
        <v>789</v>
      </c>
      <c r="E192" t="s">
        <v>37</v>
      </c>
      <c r="F192">
        <v>703</v>
      </c>
      <c r="G192" s="582" t="s">
        <v>33</v>
      </c>
      <c r="H192" s="582" t="s">
        <v>463</v>
      </c>
      <c r="I192" t="s">
        <v>467</v>
      </c>
      <c r="J192">
        <v>1.31</v>
      </c>
      <c r="K192" t="s">
        <v>2171</v>
      </c>
    </row>
    <row r="193" spans="1:11" hidden="1" x14ac:dyDescent="0.25">
      <c r="A193">
        <v>1940046</v>
      </c>
      <c r="B193" t="s">
        <v>466</v>
      </c>
      <c r="C193">
        <v>2.2575000000000001E-2</v>
      </c>
      <c r="D193">
        <v>789</v>
      </c>
      <c r="E193" t="s">
        <v>37</v>
      </c>
      <c r="F193">
        <v>704</v>
      </c>
      <c r="G193" s="582" t="s">
        <v>33</v>
      </c>
      <c r="H193" s="582" t="s">
        <v>463</v>
      </c>
      <c r="I193" t="s">
        <v>467</v>
      </c>
      <c r="J193">
        <v>1.31</v>
      </c>
      <c r="K193" t="s">
        <v>2171</v>
      </c>
    </row>
    <row r="194" spans="1:11" hidden="1" x14ac:dyDescent="0.25">
      <c r="A194">
        <v>3931304</v>
      </c>
      <c r="B194" t="s">
        <v>1960</v>
      </c>
      <c r="C194">
        <v>0.37121100000000001</v>
      </c>
      <c r="D194">
        <v>789</v>
      </c>
      <c r="E194" t="s">
        <v>39</v>
      </c>
      <c r="F194">
        <v>73</v>
      </c>
      <c r="G194" s="582" t="s">
        <v>10</v>
      </c>
      <c r="H194" s="582" t="s">
        <v>1045</v>
      </c>
      <c r="I194" t="s">
        <v>2215</v>
      </c>
      <c r="J194">
        <v>5.35</v>
      </c>
      <c r="K194" t="s">
        <v>1838</v>
      </c>
    </row>
    <row r="195" spans="1:11" hidden="1" x14ac:dyDescent="0.25">
      <c r="A195">
        <v>1940416</v>
      </c>
      <c r="B195" t="s">
        <v>696</v>
      </c>
      <c r="C195">
        <v>0.1522</v>
      </c>
      <c r="D195">
        <v>789</v>
      </c>
      <c r="E195" t="s">
        <v>180</v>
      </c>
      <c r="F195">
        <v>108</v>
      </c>
      <c r="G195" s="582" t="s">
        <v>10</v>
      </c>
      <c r="H195" s="582" t="s">
        <v>695</v>
      </c>
      <c r="I195" t="s">
        <v>697</v>
      </c>
      <c r="J195">
        <v>0.93500000000000005</v>
      </c>
      <c r="K195" t="s">
        <v>2171</v>
      </c>
    </row>
    <row r="196" spans="1:11" hidden="1" x14ac:dyDescent="0.25">
      <c r="A196">
        <v>1940416</v>
      </c>
      <c r="B196" t="s">
        <v>696</v>
      </c>
      <c r="C196">
        <v>0.34244999999999998</v>
      </c>
      <c r="D196">
        <v>789</v>
      </c>
      <c r="E196" t="s">
        <v>180</v>
      </c>
      <c r="F196">
        <v>109</v>
      </c>
      <c r="G196" s="582" t="s">
        <v>10</v>
      </c>
      <c r="H196" s="582" t="s">
        <v>695</v>
      </c>
      <c r="I196" t="s">
        <v>697</v>
      </c>
      <c r="J196">
        <v>0.93500000000000005</v>
      </c>
      <c r="K196" t="s">
        <v>2171</v>
      </c>
    </row>
    <row r="197" spans="1:11" hidden="1" x14ac:dyDescent="0.25">
      <c r="A197">
        <v>1940416</v>
      </c>
      <c r="B197" t="s">
        <v>696</v>
      </c>
      <c r="C197">
        <v>0.14430899999999999</v>
      </c>
      <c r="D197">
        <v>789</v>
      </c>
      <c r="E197" t="s">
        <v>180</v>
      </c>
      <c r="F197">
        <v>288</v>
      </c>
      <c r="G197" s="582" t="s">
        <v>10</v>
      </c>
      <c r="H197" s="582" t="s">
        <v>695</v>
      </c>
      <c r="I197" t="s">
        <v>697</v>
      </c>
      <c r="J197">
        <v>0.93500000000000005</v>
      </c>
      <c r="K197" t="s">
        <v>2171</v>
      </c>
    </row>
    <row r="198" spans="1:11" hidden="1" x14ac:dyDescent="0.25">
      <c r="A198">
        <v>1940478</v>
      </c>
      <c r="B198" t="s">
        <v>643</v>
      </c>
      <c r="C198">
        <v>0.47407500000000002</v>
      </c>
      <c r="D198">
        <v>789</v>
      </c>
      <c r="E198" t="s">
        <v>180</v>
      </c>
      <c r="F198">
        <v>111</v>
      </c>
      <c r="G198" s="582" t="s">
        <v>10</v>
      </c>
      <c r="H198" s="582" t="s">
        <v>642</v>
      </c>
      <c r="I198" t="s">
        <v>644</v>
      </c>
      <c r="J198">
        <v>0.90500000000000003</v>
      </c>
      <c r="K198" t="s">
        <v>2171</v>
      </c>
    </row>
    <row r="199" spans="1:11" hidden="1" x14ac:dyDescent="0.25">
      <c r="A199">
        <v>1940478</v>
      </c>
      <c r="B199" t="s">
        <v>643</v>
      </c>
      <c r="C199">
        <v>8.1469999999999997E-3</v>
      </c>
      <c r="D199">
        <v>789</v>
      </c>
      <c r="E199" t="s">
        <v>180</v>
      </c>
      <c r="F199">
        <v>426</v>
      </c>
      <c r="G199" s="582" t="s">
        <v>10</v>
      </c>
      <c r="H199" s="582" t="s">
        <v>642</v>
      </c>
      <c r="I199" t="s">
        <v>644</v>
      </c>
      <c r="J199">
        <v>0.90500000000000003</v>
      </c>
      <c r="K199" t="s">
        <v>2171</v>
      </c>
    </row>
    <row r="200" spans="1:11" hidden="1" x14ac:dyDescent="0.25">
      <c r="A200">
        <v>2423535</v>
      </c>
      <c r="B200" t="s">
        <v>2097</v>
      </c>
      <c r="C200">
        <v>2.2869E-2</v>
      </c>
      <c r="D200">
        <v>789</v>
      </c>
      <c r="E200" t="s">
        <v>180</v>
      </c>
      <c r="F200">
        <v>155</v>
      </c>
      <c r="G200" s="582" t="s">
        <v>10</v>
      </c>
      <c r="H200" s="582" t="s">
        <v>607</v>
      </c>
      <c r="I200" t="s">
        <v>2219</v>
      </c>
      <c r="J200">
        <v>1.3280000000000001</v>
      </c>
      <c r="K200" t="s">
        <v>2171</v>
      </c>
    </row>
    <row r="201" spans="1:11" hidden="1" x14ac:dyDescent="0.25">
      <c r="A201">
        <v>3935312</v>
      </c>
      <c r="B201" t="s">
        <v>2208</v>
      </c>
      <c r="C201">
        <v>3.7200000000000002E-3</v>
      </c>
      <c r="D201">
        <v>789</v>
      </c>
      <c r="E201" t="s">
        <v>60</v>
      </c>
      <c r="F201">
        <v>1252</v>
      </c>
      <c r="G201" s="582" t="s">
        <v>10</v>
      </c>
      <c r="H201" s="582" t="s">
        <v>463</v>
      </c>
      <c r="I201" t="s">
        <v>2209</v>
      </c>
      <c r="J201">
        <v>0.1</v>
      </c>
      <c r="K201" t="s">
        <v>2171</v>
      </c>
    </row>
    <row r="202" spans="1:11" hidden="1" x14ac:dyDescent="0.25">
      <c r="A202">
        <v>3935312</v>
      </c>
      <c r="B202" t="s">
        <v>2208</v>
      </c>
      <c r="C202">
        <v>8.6272000000000001E-2</v>
      </c>
      <c r="D202">
        <v>789</v>
      </c>
      <c r="E202" t="s">
        <v>60</v>
      </c>
      <c r="F202">
        <v>1253</v>
      </c>
      <c r="G202" s="582" t="s">
        <v>10</v>
      </c>
      <c r="H202" s="582" t="s">
        <v>463</v>
      </c>
      <c r="I202" t="s">
        <v>2209</v>
      </c>
      <c r="J202">
        <v>0.1</v>
      </c>
      <c r="K202" t="s">
        <v>2171</v>
      </c>
    </row>
    <row r="203" spans="1:11" hidden="1" x14ac:dyDescent="0.25">
      <c r="A203">
        <v>1941860</v>
      </c>
      <c r="B203" t="s">
        <v>1678</v>
      </c>
      <c r="C203">
        <v>4.4930000000000005E-3</v>
      </c>
      <c r="D203">
        <v>789</v>
      </c>
      <c r="E203" t="s">
        <v>150</v>
      </c>
      <c r="F203">
        <v>129</v>
      </c>
      <c r="G203" s="582" t="s">
        <v>10</v>
      </c>
      <c r="H203" s="582" t="s">
        <v>586</v>
      </c>
      <c r="I203" t="s">
        <v>2216</v>
      </c>
      <c r="J203">
        <v>0.4</v>
      </c>
      <c r="K203" t="s">
        <v>2171</v>
      </c>
    </row>
    <row r="204" spans="1:11" hidden="1" x14ac:dyDescent="0.25">
      <c r="A204">
        <v>4104140</v>
      </c>
      <c r="B204" t="s">
        <v>502</v>
      </c>
      <c r="C204">
        <v>5.587E-3</v>
      </c>
      <c r="D204">
        <v>789</v>
      </c>
      <c r="E204" t="s">
        <v>60</v>
      </c>
      <c r="F204">
        <v>1256</v>
      </c>
      <c r="G204" s="582" t="s">
        <v>10</v>
      </c>
      <c r="H204" s="582" t="s">
        <v>463</v>
      </c>
      <c r="I204" t="s">
        <v>503</v>
      </c>
      <c r="J204">
        <v>0.15</v>
      </c>
      <c r="K204" t="s">
        <v>2171</v>
      </c>
    </row>
    <row r="205" spans="1:11" hidden="1" x14ac:dyDescent="0.25">
      <c r="A205">
        <v>4104140</v>
      </c>
      <c r="B205" t="s">
        <v>502</v>
      </c>
      <c r="C205">
        <v>3.2280999999999997E-2</v>
      </c>
      <c r="D205">
        <v>789</v>
      </c>
      <c r="E205" t="s">
        <v>60</v>
      </c>
      <c r="F205">
        <v>1257</v>
      </c>
      <c r="G205" s="582" t="s">
        <v>10</v>
      </c>
      <c r="H205" s="582" t="s">
        <v>463</v>
      </c>
      <c r="I205" t="s">
        <v>503</v>
      </c>
      <c r="J205">
        <v>0.15</v>
      </c>
      <c r="K205" t="s">
        <v>2171</v>
      </c>
    </row>
    <row r="206" spans="1:11" hidden="1" x14ac:dyDescent="0.25">
      <c r="A206">
        <v>4104140</v>
      </c>
      <c r="B206" t="s">
        <v>502</v>
      </c>
      <c r="C206">
        <v>0.89483299999999999</v>
      </c>
      <c r="D206">
        <v>789</v>
      </c>
      <c r="E206" t="s">
        <v>60</v>
      </c>
      <c r="F206">
        <v>1258</v>
      </c>
      <c r="G206" s="582" t="s">
        <v>10</v>
      </c>
      <c r="H206" s="582" t="s">
        <v>463</v>
      </c>
      <c r="I206" t="s">
        <v>503</v>
      </c>
      <c r="J206">
        <v>0.15</v>
      </c>
      <c r="K206" t="s">
        <v>2171</v>
      </c>
    </row>
    <row r="207" spans="1:11" hidden="1" x14ac:dyDescent="0.25">
      <c r="A207">
        <v>3701579</v>
      </c>
      <c r="B207" t="s">
        <v>2210</v>
      </c>
      <c r="C207">
        <v>0.170849</v>
      </c>
      <c r="D207">
        <v>4731</v>
      </c>
      <c r="E207" t="s">
        <v>9</v>
      </c>
      <c r="F207">
        <v>1735</v>
      </c>
      <c r="G207" s="582" t="s">
        <v>10</v>
      </c>
      <c r="H207" s="582" t="s">
        <v>463</v>
      </c>
      <c r="I207" t="s">
        <v>2207</v>
      </c>
      <c r="J207">
        <v>6</v>
      </c>
      <c r="K207" t="s">
        <v>1838</v>
      </c>
    </row>
    <row r="208" spans="1:11" hidden="1" x14ac:dyDescent="0.25">
      <c r="A208">
        <v>4096696</v>
      </c>
      <c r="B208" t="s">
        <v>2211</v>
      </c>
      <c r="C208">
        <v>2.0530000000000001E-3</v>
      </c>
      <c r="D208">
        <v>789</v>
      </c>
      <c r="E208" t="s">
        <v>18</v>
      </c>
      <c r="F208">
        <v>627</v>
      </c>
      <c r="G208" s="582" t="s">
        <v>10</v>
      </c>
      <c r="H208" s="582" t="s">
        <v>506</v>
      </c>
      <c r="I208" t="s">
        <v>2212</v>
      </c>
      <c r="J208">
        <v>0.15</v>
      </c>
      <c r="K208" t="s">
        <v>2171</v>
      </c>
    </row>
    <row r="209" spans="1:11" hidden="1" x14ac:dyDescent="0.25">
      <c r="A209">
        <v>4096696</v>
      </c>
      <c r="B209" t="s">
        <v>2211</v>
      </c>
      <c r="C209">
        <v>2.1699999999999999E-4</v>
      </c>
      <c r="D209">
        <v>789</v>
      </c>
      <c r="E209" t="s">
        <v>18</v>
      </c>
      <c r="F209">
        <v>628</v>
      </c>
      <c r="G209" s="582" t="s">
        <v>10</v>
      </c>
      <c r="H209" s="582" t="s">
        <v>506</v>
      </c>
      <c r="I209" t="s">
        <v>2212</v>
      </c>
      <c r="J209">
        <v>0.15</v>
      </c>
      <c r="K209" t="s">
        <v>2171</v>
      </c>
    </row>
    <row r="210" spans="1:11" hidden="1" x14ac:dyDescent="0.25">
      <c r="A210">
        <v>4096695</v>
      </c>
      <c r="B210" t="s">
        <v>2213</v>
      </c>
      <c r="C210">
        <v>5.5000000000000003E-4</v>
      </c>
      <c r="D210">
        <v>789</v>
      </c>
      <c r="E210" t="s">
        <v>18</v>
      </c>
      <c r="F210">
        <v>696</v>
      </c>
      <c r="G210" s="582" t="s">
        <v>10</v>
      </c>
      <c r="H210" s="582" t="s">
        <v>506</v>
      </c>
      <c r="I210" t="s">
        <v>2214</v>
      </c>
      <c r="J210">
        <v>0.154</v>
      </c>
      <c r="K210" t="s">
        <v>2171</v>
      </c>
    </row>
    <row r="211" spans="1:11" hidden="1" x14ac:dyDescent="0.25">
      <c r="A211">
        <v>4096695</v>
      </c>
      <c r="B211" t="s">
        <v>2213</v>
      </c>
      <c r="C211">
        <v>1.431E-3</v>
      </c>
      <c r="D211">
        <v>789</v>
      </c>
      <c r="E211" t="s">
        <v>18</v>
      </c>
      <c r="F211">
        <v>697</v>
      </c>
      <c r="G211" s="582" t="s">
        <v>10</v>
      </c>
      <c r="H211" s="582" t="s">
        <v>506</v>
      </c>
      <c r="I211" t="s">
        <v>2214</v>
      </c>
      <c r="J211">
        <v>0.154</v>
      </c>
      <c r="K211" t="s">
        <v>2171</v>
      </c>
    </row>
    <row r="212" spans="1:11" hidden="1" x14ac:dyDescent="0.25">
      <c r="A212">
        <v>3620428</v>
      </c>
      <c r="B212" t="s">
        <v>507</v>
      </c>
      <c r="C212">
        <v>1.748E-3</v>
      </c>
      <c r="D212">
        <v>789</v>
      </c>
      <c r="E212" t="s">
        <v>61</v>
      </c>
      <c r="F212">
        <v>349</v>
      </c>
      <c r="G212" s="582" t="s">
        <v>10</v>
      </c>
      <c r="H212" s="582" t="s">
        <v>506</v>
      </c>
      <c r="I212" t="s">
        <v>508</v>
      </c>
      <c r="J212">
        <v>0.435</v>
      </c>
      <c r="K212" t="s">
        <v>2171</v>
      </c>
    </row>
    <row r="213" spans="1:11" hidden="1" x14ac:dyDescent="0.25">
      <c r="A213">
        <v>3620428</v>
      </c>
      <c r="B213" t="s">
        <v>507</v>
      </c>
      <c r="C213">
        <v>1.79</v>
      </c>
      <c r="D213">
        <v>789</v>
      </c>
      <c r="E213" t="s">
        <v>61</v>
      </c>
      <c r="F213">
        <v>839</v>
      </c>
      <c r="G213" s="582" t="s">
        <v>10</v>
      </c>
      <c r="H213" s="582" t="s">
        <v>506</v>
      </c>
      <c r="I213" t="s">
        <v>508</v>
      </c>
      <c r="J213">
        <v>0.435</v>
      </c>
      <c r="K213" t="s">
        <v>2171</v>
      </c>
    </row>
    <row r="214" spans="1:11" hidden="1" x14ac:dyDescent="0.25">
      <c r="A214">
        <v>3620428</v>
      </c>
      <c r="B214" t="s">
        <v>507</v>
      </c>
      <c r="C214">
        <v>0.58499999999999996</v>
      </c>
      <c r="D214">
        <v>789</v>
      </c>
      <c r="E214" t="s">
        <v>61</v>
      </c>
      <c r="F214">
        <v>840</v>
      </c>
      <c r="G214" s="582" t="s">
        <v>10</v>
      </c>
      <c r="H214" s="582" t="s">
        <v>506</v>
      </c>
      <c r="I214" t="s">
        <v>508</v>
      </c>
      <c r="J214">
        <v>0.435</v>
      </c>
      <c r="K214" t="s">
        <v>2171</v>
      </c>
    </row>
    <row r="215" spans="1:11" hidden="1" x14ac:dyDescent="0.25">
      <c r="A215">
        <v>3460088</v>
      </c>
      <c r="B215" t="s">
        <v>2249</v>
      </c>
      <c r="C215">
        <v>0.30404599999999998</v>
      </c>
      <c r="D215">
        <v>789</v>
      </c>
      <c r="E215" t="s">
        <v>36</v>
      </c>
      <c r="F215">
        <v>176</v>
      </c>
      <c r="G215" s="582" t="s">
        <v>33</v>
      </c>
      <c r="H215" s="582" t="s">
        <v>2250</v>
      </c>
      <c r="I215" t="s">
        <v>2251</v>
      </c>
      <c r="J215">
        <v>5.67</v>
      </c>
      <c r="K215" t="s">
        <v>1838</v>
      </c>
    </row>
    <row r="216" spans="1:11" hidden="1" x14ac:dyDescent="0.25">
      <c r="A216">
        <v>3460088</v>
      </c>
      <c r="B216" t="s">
        <v>2249</v>
      </c>
      <c r="C216">
        <v>1.099</v>
      </c>
      <c r="D216">
        <v>789</v>
      </c>
      <c r="E216" t="s">
        <v>36</v>
      </c>
      <c r="F216">
        <v>177</v>
      </c>
      <c r="G216" s="582" t="s">
        <v>33</v>
      </c>
      <c r="H216" s="582" t="s">
        <v>2250</v>
      </c>
      <c r="I216" t="s">
        <v>2251</v>
      </c>
      <c r="J216">
        <v>5.67</v>
      </c>
      <c r="K216" t="s">
        <v>1838</v>
      </c>
    </row>
    <row r="217" spans="1:11" hidden="1" x14ac:dyDescent="0.25">
      <c r="A217">
        <v>3460088</v>
      </c>
      <c r="B217" t="s">
        <v>2249</v>
      </c>
      <c r="C217">
        <v>1.595</v>
      </c>
      <c r="D217">
        <v>789</v>
      </c>
      <c r="E217" t="s">
        <v>36</v>
      </c>
      <c r="F217">
        <v>178</v>
      </c>
      <c r="G217" s="582" t="s">
        <v>33</v>
      </c>
      <c r="H217" s="582" t="s">
        <v>2250</v>
      </c>
      <c r="I217" t="s">
        <v>2251</v>
      </c>
      <c r="J217">
        <v>5.67</v>
      </c>
      <c r="K217" t="s">
        <v>1838</v>
      </c>
    </row>
    <row r="218" spans="1:11" hidden="1" x14ac:dyDescent="0.25">
      <c r="A218">
        <v>3460088</v>
      </c>
      <c r="B218" t="s">
        <v>2249</v>
      </c>
      <c r="C218">
        <v>1.5549999999999999</v>
      </c>
      <c r="D218">
        <v>789</v>
      </c>
      <c r="E218" t="s">
        <v>36</v>
      </c>
      <c r="F218">
        <v>179</v>
      </c>
      <c r="G218" s="582" t="s">
        <v>33</v>
      </c>
      <c r="H218" s="582" t="s">
        <v>2250</v>
      </c>
      <c r="I218" t="s">
        <v>2251</v>
      </c>
      <c r="J218">
        <v>5.67</v>
      </c>
      <c r="K218" t="s">
        <v>1838</v>
      </c>
    </row>
    <row r="219" spans="1:11" hidden="1" x14ac:dyDescent="0.25">
      <c r="A219">
        <v>3460088</v>
      </c>
      <c r="B219" t="s">
        <v>2249</v>
      </c>
      <c r="C219">
        <v>1.6</v>
      </c>
      <c r="D219">
        <v>789</v>
      </c>
      <c r="E219" t="s">
        <v>36</v>
      </c>
      <c r="F219">
        <v>180</v>
      </c>
      <c r="G219" s="582" t="s">
        <v>33</v>
      </c>
      <c r="H219" s="582" t="s">
        <v>2250</v>
      </c>
      <c r="I219" t="s">
        <v>2251</v>
      </c>
      <c r="J219">
        <v>5.67</v>
      </c>
      <c r="K219" t="s">
        <v>1838</v>
      </c>
    </row>
    <row r="220" spans="1:11" hidden="1" x14ac:dyDescent="0.25">
      <c r="A220">
        <v>3460088</v>
      </c>
      <c r="B220" t="s">
        <v>2249</v>
      </c>
      <c r="C220">
        <v>1.4850000000000001</v>
      </c>
      <c r="D220">
        <v>789</v>
      </c>
      <c r="E220" t="s">
        <v>36</v>
      </c>
      <c r="F220">
        <v>181</v>
      </c>
      <c r="G220" s="582" t="s">
        <v>33</v>
      </c>
      <c r="H220" s="582" t="s">
        <v>2250</v>
      </c>
      <c r="I220" t="s">
        <v>2251</v>
      </c>
      <c r="J220">
        <v>5.67</v>
      </c>
      <c r="K220" t="s">
        <v>1838</v>
      </c>
    </row>
    <row r="221" spans="1:11" hidden="1" x14ac:dyDescent="0.25">
      <c r="A221">
        <v>3460088</v>
      </c>
      <c r="B221" t="s">
        <v>2249</v>
      </c>
      <c r="C221">
        <v>1.571</v>
      </c>
      <c r="D221">
        <v>789</v>
      </c>
      <c r="E221" t="s">
        <v>36</v>
      </c>
      <c r="F221">
        <v>182</v>
      </c>
      <c r="G221" s="582" t="s">
        <v>33</v>
      </c>
      <c r="H221" s="582" t="s">
        <v>2250</v>
      </c>
      <c r="I221" t="s">
        <v>2251</v>
      </c>
      <c r="J221">
        <v>5.67</v>
      </c>
      <c r="K221" t="s">
        <v>1838</v>
      </c>
    </row>
    <row r="222" spans="1:11" hidden="1" x14ac:dyDescent="0.25">
      <c r="A222">
        <v>3460088</v>
      </c>
      <c r="B222" t="s">
        <v>2249</v>
      </c>
      <c r="C222">
        <v>1.5629999999999999</v>
      </c>
      <c r="D222">
        <v>789</v>
      </c>
      <c r="E222" t="s">
        <v>36</v>
      </c>
      <c r="F222">
        <v>183</v>
      </c>
      <c r="G222" s="582" t="s">
        <v>33</v>
      </c>
      <c r="H222" s="582" t="s">
        <v>2250</v>
      </c>
      <c r="I222" t="s">
        <v>2251</v>
      </c>
      <c r="J222">
        <v>5.67</v>
      </c>
      <c r="K222" t="s">
        <v>1838</v>
      </c>
    </row>
    <row r="223" spans="1:11" hidden="1" x14ac:dyDescent="0.25">
      <c r="A223">
        <v>3460088</v>
      </c>
      <c r="B223" t="s">
        <v>2249</v>
      </c>
      <c r="C223">
        <v>1.639</v>
      </c>
      <c r="D223">
        <v>789</v>
      </c>
      <c r="E223" t="s">
        <v>36</v>
      </c>
      <c r="F223">
        <v>184</v>
      </c>
      <c r="G223" s="582" t="s">
        <v>33</v>
      </c>
      <c r="H223" s="582" t="s">
        <v>2250</v>
      </c>
      <c r="I223" t="s">
        <v>2251</v>
      </c>
      <c r="J223">
        <v>5.67</v>
      </c>
      <c r="K223" t="s">
        <v>1838</v>
      </c>
    </row>
    <row r="224" spans="1:11" hidden="1" x14ac:dyDescent="0.25">
      <c r="A224">
        <v>2420205</v>
      </c>
      <c r="B224" t="s">
        <v>2132</v>
      </c>
      <c r="C224">
        <v>4.8040000000000001E-3</v>
      </c>
      <c r="D224">
        <v>789</v>
      </c>
      <c r="E224" t="s">
        <v>61</v>
      </c>
      <c r="F224">
        <v>305</v>
      </c>
      <c r="G224" s="582" t="s">
        <v>10</v>
      </c>
      <c r="H224" s="582" t="s">
        <v>537</v>
      </c>
      <c r="I224" t="s">
        <v>2220</v>
      </c>
      <c r="J224">
        <v>0.155</v>
      </c>
      <c r="K224" t="s">
        <v>2171</v>
      </c>
    </row>
    <row r="225" spans="1:11" hidden="1" x14ac:dyDescent="0.25">
      <c r="A225">
        <v>3706751</v>
      </c>
      <c r="B225" t="s">
        <v>2133</v>
      </c>
      <c r="C225">
        <v>3.9399999999999999E-3</v>
      </c>
      <c r="D225">
        <v>789</v>
      </c>
      <c r="E225" t="s">
        <v>61</v>
      </c>
      <c r="F225">
        <v>478</v>
      </c>
      <c r="G225" s="582" t="s">
        <v>10</v>
      </c>
      <c r="H225" s="582" t="s">
        <v>537</v>
      </c>
      <c r="I225" t="s">
        <v>2221</v>
      </c>
      <c r="J225">
        <v>0.16</v>
      </c>
      <c r="K225" t="s">
        <v>2171</v>
      </c>
    </row>
    <row r="226" spans="1:11" hidden="1" x14ac:dyDescent="0.25">
      <c r="A226">
        <v>3502256</v>
      </c>
      <c r="B226" t="s">
        <v>1580</v>
      </c>
      <c r="C226">
        <v>0.71599999999999997</v>
      </c>
      <c r="D226">
        <v>789</v>
      </c>
      <c r="E226" t="s">
        <v>37</v>
      </c>
      <c r="F226">
        <v>186</v>
      </c>
      <c r="G226" s="582" t="s">
        <v>33</v>
      </c>
      <c r="H226" s="582" t="s">
        <v>2222</v>
      </c>
      <c r="I226" t="s">
        <v>2223</v>
      </c>
      <c r="J226">
        <v>5.53</v>
      </c>
      <c r="K226" t="s">
        <v>1838</v>
      </c>
    </row>
    <row r="227" spans="1:11" hidden="1" x14ac:dyDescent="0.25">
      <c r="A227">
        <v>3502256</v>
      </c>
      <c r="B227" t="s">
        <v>1580</v>
      </c>
      <c r="C227">
        <v>3.1240000000000001</v>
      </c>
      <c r="D227">
        <v>789</v>
      </c>
      <c r="E227" t="s">
        <v>37</v>
      </c>
      <c r="F227">
        <v>187</v>
      </c>
      <c r="G227" s="582" t="s">
        <v>33</v>
      </c>
      <c r="H227" s="582" t="s">
        <v>2222</v>
      </c>
      <c r="I227" t="s">
        <v>2223</v>
      </c>
      <c r="J227">
        <v>5.53</v>
      </c>
      <c r="K227" t="s">
        <v>1838</v>
      </c>
    </row>
    <row r="228" spans="1:11" hidden="1" x14ac:dyDescent="0.25">
      <c r="A228">
        <v>1940090</v>
      </c>
      <c r="B228" t="s">
        <v>538</v>
      </c>
      <c r="C228">
        <v>0.29363400000000001</v>
      </c>
      <c r="D228">
        <v>789</v>
      </c>
      <c r="E228" t="s">
        <v>46</v>
      </c>
      <c r="F228">
        <v>418</v>
      </c>
      <c r="G228" s="582" t="s">
        <v>10</v>
      </c>
      <c r="H228" s="582" t="s">
        <v>537</v>
      </c>
      <c r="I228" t="s">
        <v>539</v>
      </c>
      <c r="J228">
        <v>0.29099999999999998</v>
      </c>
      <c r="K228" t="s">
        <v>2171</v>
      </c>
    </row>
    <row r="229" spans="1:11" hidden="1" x14ac:dyDescent="0.25">
      <c r="A229">
        <v>3502339</v>
      </c>
      <c r="B229" t="s">
        <v>858</v>
      </c>
      <c r="C229">
        <v>0.13100000000000001</v>
      </c>
      <c r="D229">
        <v>789</v>
      </c>
      <c r="E229" t="s">
        <v>37</v>
      </c>
      <c r="F229">
        <v>188</v>
      </c>
      <c r="G229" s="582" t="s">
        <v>33</v>
      </c>
      <c r="H229" s="582" t="s">
        <v>857</v>
      </c>
      <c r="I229" t="s">
        <v>859</v>
      </c>
      <c r="J229">
        <v>6.19</v>
      </c>
      <c r="K229" t="s">
        <v>1838</v>
      </c>
    </row>
    <row r="230" spans="1:11" hidden="1" x14ac:dyDescent="0.25">
      <c r="A230">
        <v>3507464</v>
      </c>
      <c r="B230" t="s">
        <v>684</v>
      </c>
      <c r="C230">
        <v>0.270648</v>
      </c>
      <c r="D230">
        <v>789</v>
      </c>
      <c r="E230" t="s">
        <v>46</v>
      </c>
      <c r="F230">
        <v>189</v>
      </c>
      <c r="G230" s="582" t="s">
        <v>10</v>
      </c>
      <c r="H230" s="582" t="s">
        <v>604</v>
      </c>
      <c r="I230" t="s">
        <v>685</v>
      </c>
      <c r="J230">
        <v>0.77500000000000002</v>
      </c>
      <c r="K230" t="s">
        <v>2171</v>
      </c>
    </row>
    <row r="231" spans="1:11" hidden="1" x14ac:dyDescent="0.25">
      <c r="A231">
        <v>3616911</v>
      </c>
      <c r="B231" t="s">
        <v>738</v>
      </c>
      <c r="C231">
        <v>0.12871000000000002</v>
      </c>
      <c r="D231">
        <v>789</v>
      </c>
      <c r="E231" t="s">
        <v>19</v>
      </c>
      <c r="F231">
        <v>204</v>
      </c>
      <c r="G231" s="582" t="s">
        <v>10</v>
      </c>
      <c r="H231" s="582" t="s">
        <v>737</v>
      </c>
      <c r="I231" t="s">
        <v>739</v>
      </c>
      <c r="J231">
        <v>0.35</v>
      </c>
      <c r="K231" t="s">
        <v>2171</v>
      </c>
    </row>
    <row r="232" spans="1:11" hidden="1" x14ac:dyDescent="0.25">
      <c r="A232">
        <v>3616911</v>
      </c>
      <c r="B232" t="s">
        <v>738</v>
      </c>
      <c r="C232">
        <v>0.49631999999999998</v>
      </c>
      <c r="D232">
        <v>4731</v>
      </c>
      <c r="E232" t="s">
        <v>19</v>
      </c>
      <c r="F232">
        <v>1698</v>
      </c>
      <c r="G232" s="582" t="s">
        <v>10</v>
      </c>
      <c r="H232" s="582" t="s">
        <v>737</v>
      </c>
      <c r="I232" t="s">
        <v>739</v>
      </c>
      <c r="J232">
        <v>0.35</v>
      </c>
      <c r="K232" t="s">
        <v>2171</v>
      </c>
    </row>
    <row r="233" spans="1:11" hidden="1" x14ac:dyDescent="0.25">
      <c r="A233">
        <v>3616911</v>
      </c>
      <c r="B233" t="s">
        <v>738</v>
      </c>
      <c r="C233">
        <v>0.178176</v>
      </c>
      <c r="D233">
        <v>4731</v>
      </c>
      <c r="E233" t="s">
        <v>19</v>
      </c>
      <c r="F233">
        <v>1699</v>
      </c>
      <c r="G233" s="582" t="s">
        <v>10</v>
      </c>
      <c r="H233" s="582" t="s">
        <v>737</v>
      </c>
      <c r="I233" t="s">
        <v>739</v>
      </c>
      <c r="J233">
        <v>0.35</v>
      </c>
      <c r="K233" t="s">
        <v>2171</v>
      </c>
    </row>
    <row r="234" spans="1:11" hidden="1" x14ac:dyDescent="0.25">
      <c r="A234">
        <v>3714733</v>
      </c>
      <c r="B234" t="s">
        <v>758</v>
      </c>
      <c r="C234">
        <v>1.2706E-2</v>
      </c>
      <c r="D234">
        <v>789</v>
      </c>
      <c r="E234" t="s">
        <v>53</v>
      </c>
      <c r="F234">
        <v>206</v>
      </c>
      <c r="G234" s="582" t="s">
        <v>10</v>
      </c>
      <c r="H234" s="582" t="s">
        <v>412</v>
      </c>
      <c r="I234" t="s">
        <v>759</v>
      </c>
      <c r="J234">
        <v>0.69</v>
      </c>
      <c r="K234" t="s">
        <v>2171</v>
      </c>
    </row>
    <row r="235" spans="1:11" hidden="1" x14ac:dyDescent="0.25">
      <c r="A235">
        <v>3731692</v>
      </c>
      <c r="B235" t="s">
        <v>462</v>
      </c>
      <c r="C235">
        <v>1.76</v>
      </c>
      <c r="D235">
        <v>789</v>
      </c>
      <c r="E235" t="s">
        <v>60</v>
      </c>
      <c r="F235">
        <v>209</v>
      </c>
      <c r="G235" s="582" t="s">
        <v>10</v>
      </c>
      <c r="H235" s="582" t="s">
        <v>456</v>
      </c>
      <c r="J235">
        <v>5.31</v>
      </c>
      <c r="K235" t="s">
        <v>1838</v>
      </c>
    </row>
    <row r="236" spans="1:11" hidden="1" x14ac:dyDescent="0.25">
      <c r="A236">
        <v>3731692</v>
      </c>
      <c r="B236" t="s">
        <v>462</v>
      </c>
      <c r="C236">
        <v>1.8</v>
      </c>
      <c r="D236">
        <v>789</v>
      </c>
      <c r="E236" t="s">
        <v>60</v>
      </c>
      <c r="F236">
        <v>210</v>
      </c>
      <c r="G236" s="582" t="s">
        <v>10</v>
      </c>
      <c r="H236" s="582" t="s">
        <v>456</v>
      </c>
      <c r="J236">
        <v>5.31</v>
      </c>
      <c r="K236" t="s">
        <v>1838</v>
      </c>
    </row>
    <row r="237" spans="1:11" hidden="1" x14ac:dyDescent="0.25">
      <c r="A237">
        <v>3731692</v>
      </c>
      <c r="B237" t="s">
        <v>462</v>
      </c>
      <c r="C237">
        <v>1.8</v>
      </c>
      <c r="D237">
        <v>789</v>
      </c>
      <c r="E237" t="s">
        <v>60</v>
      </c>
      <c r="F237">
        <v>211</v>
      </c>
      <c r="G237" s="582" t="s">
        <v>10</v>
      </c>
      <c r="H237" s="582" t="s">
        <v>456</v>
      </c>
      <c r="J237">
        <v>5.31</v>
      </c>
      <c r="K237" t="s">
        <v>1838</v>
      </c>
    </row>
    <row r="238" spans="1:11" hidden="1" x14ac:dyDescent="0.25">
      <c r="A238">
        <v>3731692</v>
      </c>
      <c r="B238" t="s">
        <v>462</v>
      </c>
      <c r="C238">
        <v>1.81</v>
      </c>
      <c r="D238">
        <v>789</v>
      </c>
      <c r="E238" t="s">
        <v>60</v>
      </c>
      <c r="F238">
        <v>212</v>
      </c>
      <c r="G238" s="582" t="s">
        <v>10</v>
      </c>
      <c r="H238" s="582" t="s">
        <v>456</v>
      </c>
      <c r="J238">
        <v>5.31</v>
      </c>
      <c r="K238" t="s">
        <v>1838</v>
      </c>
    </row>
    <row r="239" spans="1:11" hidden="1" x14ac:dyDescent="0.25">
      <c r="A239">
        <v>3731692</v>
      </c>
      <c r="B239" t="s">
        <v>462</v>
      </c>
      <c r="C239">
        <v>1.68</v>
      </c>
      <c r="D239">
        <v>789</v>
      </c>
      <c r="E239" t="s">
        <v>60</v>
      </c>
      <c r="F239">
        <v>213</v>
      </c>
      <c r="G239" s="582" t="s">
        <v>10</v>
      </c>
      <c r="H239" s="582" t="s">
        <v>456</v>
      </c>
      <c r="J239">
        <v>5.31</v>
      </c>
      <c r="K239" t="s">
        <v>1838</v>
      </c>
    </row>
    <row r="240" spans="1:11" hidden="1" x14ac:dyDescent="0.25">
      <c r="A240">
        <v>3731692</v>
      </c>
      <c r="B240" t="s">
        <v>462</v>
      </c>
      <c r="C240">
        <v>0.81100000000000005</v>
      </c>
      <c r="D240">
        <v>789</v>
      </c>
      <c r="E240" t="s">
        <v>60</v>
      </c>
      <c r="F240">
        <v>740</v>
      </c>
      <c r="G240" s="582" t="s">
        <v>10</v>
      </c>
      <c r="H240" s="582" t="s">
        <v>456</v>
      </c>
      <c r="J240">
        <v>5.31</v>
      </c>
      <c r="K240" t="s">
        <v>1838</v>
      </c>
    </row>
    <row r="241" spans="1:11" hidden="1" x14ac:dyDescent="0.25">
      <c r="A241">
        <v>3731692</v>
      </c>
      <c r="B241" t="s">
        <v>462</v>
      </c>
      <c r="C241">
        <v>0.32700000000000001</v>
      </c>
      <c r="D241">
        <v>789</v>
      </c>
      <c r="E241" t="s">
        <v>60</v>
      </c>
      <c r="F241">
        <v>741</v>
      </c>
      <c r="G241" s="582" t="s">
        <v>10</v>
      </c>
      <c r="H241" s="582" t="s">
        <v>456</v>
      </c>
      <c r="J241">
        <v>5.31</v>
      </c>
      <c r="K241" t="s">
        <v>1838</v>
      </c>
    </row>
    <row r="242" spans="1:11" hidden="1" x14ac:dyDescent="0.25">
      <c r="A242">
        <v>3731692</v>
      </c>
      <c r="B242" t="s">
        <v>462</v>
      </c>
      <c r="C242">
        <v>2.6859999999999999</v>
      </c>
      <c r="D242">
        <v>789</v>
      </c>
      <c r="E242" t="s">
        <v>60</v>
      </c>
      <c r="F242">
        <v>742</v>
      </c>
      <c r="G242" s="582" t="s">
        <v>10</v>
      </c>
      <c r="H242" s="582" t="s">
        <v>456</v>
      </c>
      <c r="J242">
        <v>5.31</v>
      </c>
      <c r="K242" t="s">
        <v>1838</v>
      </c>
    </row>
    <row r="243" spans="1:11" hidden="1" x14ac:dyDescent="0.25">
      <c r="A243">
        <v>3188792</v>
      </c>
      <c r="B243" t="s">
        <v>547</v>
      </c>
      <c r="C243">
        <v>0.82142999999999999</v>
      </c>
      <c r="D243">
        <v>4731</v>
      </c>
      <c r="E243" t="s">
        <v>101</v>
      </c>
      <c r="F243">
        <v>1407</v>
      </c>
      <c r="G243" s="582" t="s">
        <v>10</v>
      </c>
      <c r="H243" s="582" t="s">
        <v>546</v>
      </c>
      <c r="I243" t="s">
        <v>548</v>
      </c>
      <c r="J243">
        <v>6</v>
      </c>
      <c r="K243" t="s">
        <v>1838</v>
      </c>
    </row>
    <row r="244" spans="1:11" hidden="1" x14ac:dyDescent="0.25">
      <c r="A244">
        <v>3188792</v>
      </c>
      <c r="B244" t="s">
        <v>547</v>
      </c>
      <c r="C244">
        <v>1.1000000000000001</v>
      </c>
      <c r="D244" t="s">
        <v>362</v>
      </c>
      <c r="E244" t="s">
        <v>101</v>
      </c>
      <c r="F244">
        <v>2081</v>
      </c>
      <c r="G244" s="582" t="s">
        <v>10</v>
      </c>
      <c r="H244" s="582" t="s">
        <v>546</v>
      </c>
      <c r="I244" t="s">
        <v>548</v>
      </c>
      <c r="J244">
        <v>6</v>
      </c>
      <c r="K244" t="s">
        <v>1838</v>
      </c>
    </row>
    <row r="245" spans="1:11" hidden="1" x14ac:dyDescent="0.25">
      <c r="A245">
        <v>2410996</v>
      </c>
      <c r="B245" t="s">
        <v>1230</v>
      </c>
      <c r="C245">
        <v>1.242</v>
      </c>
      <c r="D245">
        <v>4731</v>
      </c>
      <c r="E245" t="s">
        <v>72</v>
      </c>
      <c r="F245">
        <v>1388</v>
      </c>
      <c r="G245" s="582" t="s">
        <v>10</v>
      </c>
      <c r="H245" s="582" t="s">
        <v>972</v>
      </c>
      <c r="I245" t="s">
        <v>2224</v>
      </c>
      <c r="J245">
        <v>6</v>
      </c>
      <c r="K245" t="s">
        <v>1838</v>
      </c>
    </row>
    <row r="246" spans="1:11" hidden="1" x14ac:dyDescent="0.25">
      <c r="A246">
        <v>2410996</v>
      </c>
      <c r="B246" t="s">
        <v>1230</v>
      </c>
      <c r="C246">
        <v>1.302</v>
      </c>
      <c r="D246">
        <v>4731</v>
      </c>
      <c r="E246" t="s">
        <v>72</v>
      </c>
      <c r="F246">
        <v>1389</v>
      </c>
      <c r="G246" s="582" t="s">
        <v>10</v>
      </c>
      <c r="H246" s="582" t="s">
        <v>972</v>
      </c>
      <c r="I246" t="s">
        <v>2224</v>
      </c>
      <c r="J246">
        <v>6</v>
      </c>
      <c r="K246" t="s">
        <v>1838</v>
      </c>
    </row>
    <row r="247" spans="1:11" hidden="1" x14ac:dyDescent="0.25">
      <c r="A247">
        <v>2410996</v>
      </c>
      <c r="B247" t="s">
        <v>1230</v>
      </c>
      <c r="C247">
        <v>1.0840000000000001</v>
      </c>
      <c r="D247">
        <v>4731</v>
      </c>
      <c r="E247" t="s">
        <v>72</v>
      </c>
      <c r="F247">
        <v>1390</v>
      </c>
      <c r="G247" s="582" t="s">
        <v>10</v>
      </c>
      <c r="H247" s="582" t="s">
        <v>972</v>
      </c>
      <c r="I247" t="s">
        <v>2224</v>
      </c>
      <c r="J247">
        <v>6</v>
      </c>
      <c r="K247" t="s">
        <v>1838</v>
      </c>
    </row>
    <row r="248" spans="1:11" hidden="1" x14ac:dyDescent="0.25">
      <c r="A248">
        <v>2410996</v>
      </c>
      <c r="B248" t="s">
        <v>1230</v>
      </c>
      <c r="C248">
        <v>1.242</v>
      </c>
      <c r="D248">
        <v>4731</v>
      </c>
      <c r="E248" t="s">
        <v>72</v>
      </c>
      <c r="F248">
        <v>1391</v>
      </c>
      <c r="G248" s="582" t="s">
        <v>10</v>
      </c>
      <c r="H248" s="582" t="s">
        <v>972</v>
      </c>
      <c r="I248" t="s">
        <v>2224</v>
      </c>
      <c r="J248">
        <v>6</v>
      </c>
      <c r="K248" t="s">
        <v>1838</v>
      </c>
    </row>
    <row r="249" spans="1:11" hidden="1" x14ac:dyDescent="0.25">
      <c r="A249">
        <v>2410996</v>
      </c>
      <c r="B249" t="s">
        <v>1230</v>
      </c>
      <c r="C249">
        <v>0.79700000000000004</v>
      </c>
      <c r="D249">
        <v>4731</v>
      </c>
      <c r="E249" t="s">
        <v>72</v>
      </c>
      <c r="F249">
        <v>1392</v>
      </c>
      <c r="G249" s="582" t="s">
        <v>10</v>
      </c>
      <c r="H249" s="582" t="s">
        <v>972</v>
      </c>
      <c r="I249" t="s">
        <v>2224</v>
      </c>
      <c r="J249">
        <v>6</v>
      </c>
      <c r="K249" t="s">
        <v>1838</v>
      </c>
    </row>
    <row r="250" spans="1:11" hidden="1" x14ac:dyDescent="0.25">
      <c r="A250">
        <v>2410996</v>
      </c>
      <c r="B250" t="s">
        <v>1230</v>
      </c>
      <c r="C250">
        <v>0.58321699999999999</v>
      </c>
      <c r="D250">
        <v>4731</v>
      </c>
      <c r="E250" t="s">
        <v>72</v>
      </c>
      <c r="F250">
        <v>1393</v>
      </c>
      <c r="G250" s="582" t="s">
        <v>10</v>
      </c>
      <c r="H250" s="582" t="s">
        <v>972</v>
      </c>
      <c r="I250" t="s">
        <v>2224</v>
      </c>
      <c r="J250">
        <v>6</v>
      </c>
      <c r="K250" t="s">
        <v>1838</v>
      </c>
    </row>
    <row r="251" spans="1:11" hidden="1" x14ac:dyDescent="0.25">
      <c r="A251">
        <v>2410996</v>
      </c>
      <c r="B251" t="s">
        <v>1230</v>
      </c>
      <c r="C251">
        <v>1.212</v>
      </c>
      <c r="D251" t="s">
        <v>362</v>
      </c>
      <c r="E251" t="s">
        <v>72</v>
      </c>
      <c r="F251">
        <v>2080</v>
      </c>
      <c r="G251" s="582" t="s">
        <v>10</v>
      </c>
      <c r="H251" s="582" t="s">
        <v>972</v>
      </c>
      <c r="I251" t="s">
        <v>2224</v>
      </c>
      <c r="J251">
        <v>6</v>
      </c>
      <c r="K251" t="s">
        <v>1838</v>
      </c>
    </row>
    <row r="252" spans="1:11" hidden="1" x14ac:dyDescent="0.25">
      <c r="A252">
        <v>3943202</v>
      </c>
      <c r="B252" t="s">
        <v>768</v>
      </c>
      <c r="C252">
        <v>1.0640000000000001E-3</v>
      </c>
      <c r="D252">
        <v>789</v>
      </c>
      <c r="E252" t="s">
        <v>181</v>
      </c>
      <c r="F252">
        <v>219</v>
      </c>
      <c r="G252" s="582" t="s">
        <v>10</v>
      </c>
      <c r="H252" s="582" t="s">
        <v>679</v>
      </c>
      <c r="I252" t="s">
        <v>769</v>
      </c>
      <c r="J252">
        <v>0.84</v>
      </c>
      <c r="K252" t="s">
        <v>2171</v>
      </c>
    </row>
    <row r="253" spans="1:11" hidden="1" x14ac:dyDescent="0.25">
      <c r="A253">
        <v>3943202</v>
      </c>
      <c r="B253" t="s">
        <v>768</v>
      </c>
      <c r="C253">
        <v>0.503</v>
      </c>
      <c r="D253">
        <v>789</v>
      </c>
      <c r="E253" t="s">
        <v>181</v>
      </c>
      <c r="F253">
        <v>220</v>
      </c>
      <c r="G253" s="582" t="s">
        <v>10</v>
      </c>
      <c r="H253" s="582" t="s">
        <v>679</v>
      </c>
      <c r="I253" t="s">
        <v>769</v>
      </c>
      <c r="J253">
        <v>0.84</v>
      </c>
      <c r="K253" t="s">
        <v>2171</v>
      </c>
    </row>
    <row r="254" spans="1:11" hidden="1" x14ac:dyDescent="0.25">
      <c r="A254">
        <v>3943203</v>
      </c>
      <c r="B254" t="s">
        <v>680</v>
      </c>
      <c r="C254">
        <v>0.88337299999999996</v>
      </c>
      <c r="D254">
        <v>789</v>
      </c>
      <c r="E254" t="s">
        <v>181</v>
      </c>
      <c r="F254">
        <v>221</v>
      </c>
      <c r="G254" s="582" t="s">
        <v>10</v>
      </c>
      <c r="H254" s="582" t="s">
        <v>679</v>
      </c>
      <c r="I254" t="s">
        <v>681</v>
      </c>
      <c r="J254">
        <v>0.85499999999999998</v>
      </c>
      <c r="K254" t="s">
        <v>2171</v>
      </c>
    </row>
    <row r="255" spans="1:11" hidden="1" x14ac:dyDescent="0.25">
      <c r="A255">
        <v>3943203</v>
      </c>
      <c r="B255" t="s">
        <v>680</v>
      </c>
      <c r="C255">
        <v>0.247032</v>
      </c>
      <c r="D255">
        <v>789</v>
      </c>
      <c r="E255" t="s">
        <v>181</v>
      </c>
      <c r="F255">
        <v>373</v>
      </c>
      <c r="G255" s="582" t="s">
        <v>10</v>
      </c>
      <c r="H255" s="582" t="s">
        <v>679</v>
      </c>
      <c r="I255" t="s">
        <v>681</v>
      </c>
      <c r="J255">
        <v>0.85499999999999998</v>
      </c>
      <c r="K255" t="s">
        <v>2171</v>
      </c>
    </row>
    <row r="256" spans="1:11" hidden="1" x14ac:dyDescent="0.25">
      <c r="A256">
        <v>1931824</v>
      </c>
      <c r="B256" t="s">
        <v>1968</v>
      </c>
      <c r="C256">
        <v>1.065269</v>
      </c>
      <c r="D256">
        <v>4731</v>
      </c>
      <c r="E256" t="s">
        <v>48</v>
      </c>
      <c r="F256">
        <v>1301</v>
      </c>
      <c r="G256" s="582" t="s">
        <v>10</v>
      </c>
      <c r="H256" s="582" t="s">
        <v>557</v>
      </c>
      <c r="I256" t="s">
        <v>2225</v>
      </c>
      <c r="J256">
        <v>6</v>
      </c>
      <c r="K256" t="s">
        <v>1838</v>
      </c>
    </row>
    <row r="257" spans="1:11" hidden="1" x14ac:dyDescent="0.25">
      <c r="A257">
        <v>1931824</v>
      </c>
      <c r="B257" t="s">
        <v>1968</v>
      </c>
      <c r="C257">
        <v>8.0154000000000003E-2</v>
      </c>
      <c r="D257">
        <v>4731</v>
      </c>
      <c r="E257" t="s">
        <v>48</v>
      </c>
      <c r="F257">
        <v>1302</v>
      </c>
      <c r="G257" s="582" t="s">
        <v>10</v>
      </c>
      <c r="H257" s="582" t="s">
        <v>557</v>
      </c>
      <c r="I257" t="s">
        <v>2225</v>
      </c>
      <c r="J257">
        <v>6</v>
      </c>
      <c r="K257" t="s">
        <v>1838</v>
      </c>
    </row>
    <row r="258" spans="1:11" hidden="1" x14ac:dyDescent="0.25">
      <c r="A258">
        <v>1931824</v>
      </c>
      <c r="B258" t="s">
        <v>1968</v>
      </c>
      <c r="C258">
        <v>1.834997</v>
      </c>
      <c r="D258">
        <v>4731</v>
      </c>
      <c r="E258" t="s">
        <v>48</v>
      </c>
      <c r="F258">
        <v>1303</v>
      </c>
      <c r="G258" s="582" t="s">
        <v>10</v>
      </c>
      <c r="H258" s="582" t="s">
        <v>557</v>
      </c>
      <c r="I258" t="s">
        <v>2225</v>
      </c>
      <c r="J258">
        <v>6</v>
      </c>
      <c r="K258" t="s">
        <v>1838</v>
      </c>
    </row>
    <row r="259" spans="1:11" hidden="1" x14ac:dyDescent="0.25">
      <c r="A259">
        <v>1931824</v>
      </c>
      <c r="B259" t="s">
        <v>1968</v>
      </c>
      <c r="C259">
        <v>0.31900000000000001</v>
      </c>
      <c r="D259">
        <v>4731</v>
      </c>
      <c r="E259" t="s">
        <v>48</v>
      </c>
      <c r="F259">
        <v>1304</v>
      </c>
      <c r="G259" s="582" t="s">
        <v>10</v>
      </c>
      <c r="H259" s="582" t="s">
        <v>557</v>
      </c>
      <c r="I259" t="s">
        <v>2225</v>
      </c>
      <c r="J259">
        <v>6</v>
      </c>
      <c r="K259" t="s">
        <v>1838</v>
      </c>
    </row>
    <row r="260" spans="1:11" hidden="1" x14ac:dyDescent="0.25">
      <c r="A260">
        <v>1931824</v>
      </c>
      <c r="B260" t="s">
        <v>1968</v>
      </c>
      <c r="C260">
        <v>1.1960999999999999</v>
      </c>
      <c r="D260">
        <v>8406</v>
      </c>
      <c r="E260" t="s">
        <v>48</v>
      </c>
      <c r="F260">
        <v>1305</v>
      </c>
      <c r="G260" s="582" t="s">
        <v>10</v>
      </c>
      <c r="H260" s="582" t="s">
        <v>557</v>
      </c>
      <c r="I260" t="s">
        <v>2225</v>
      </c>
      <c r="J260">
        <v>6</v>
      </c>
      <c r="K260" t="s">
        <v>1838</v>
      </c>
    </row>
    <row r="261" spans="1:11" hidden="1" x14ac:dyDescent="0.25">
      <c r="A261">
        <v>4055022</v>
      </c>
      <c r="B261" t="s">
        <v>6288</v>
      </c>
      <c r="C261">
        <v>2.6589999999999998</v>
      </c>
      <c r="D261">
        <v>789</v>
      </c>
      <c r="E261" t="s">
        <v>37</v>
      </c>
      <c r="F261">
        <v>230</v>
      </c>
      <c r="G261" s="582" t="s">
        <v>33</v>
      </c>
      <c r="H261" s="582" t="s">
        <v>412</v>
      </c>
      <c r="I261" t="s">
        <v>2293</v>
      </c>
      <c r="J261">
        <v>5.67</v>
      </c>
      <c r="K261" t="s">
        <v>1838</v>
      </c>
    </row>
    <row r="262" spans="1:11" hidden="1" x14ac:dyDescent="0.25">
      <c r="A262">
        <v>4055022</v>
      </c>
      <c r="B262" t="s">
        <v>6288</v>
      </c>
      <c r="C262">
        <v>1.3120000000000001</v>
      </c>
      <c r="D262">
        <v>789</v>
      </c>
      <c r="E262" t="s">
        <v>37</v>
      </c>
      <c r="F262">
        <v>231</v>
      </c>
      <c r="G262" s="582" t="s">
        <v>33</v>
      </c>
      <c r="H262" s="582" t="s">
        <v>412</v>
      </c>
      <c r="I262" t="s">
        <v>2293</v>
      </c>
      <c r="J262">
        <v>5.67</v>
      </c>
      <c r="K262" t="s">
        <v>1838</v>
      </c>
    </row>
    <row r="263" spans="1:11" hidden="1" x14ac:dyDescent="0.25">
      <c r="A263">
        <v>4055022</v>
      </c>
      <c r="B263" t="s">
        <v>6288</v>
      </c>
      <c r="C263">
        <v>2.673</v>
      </c>
      <c r="D263">
        <v>789</v>
      </c>
      <c r="E263" t="s">
        <v>37</v>
      </c>
      <c r="F263">
        <v>232</v>
      </c>
      <c r="G263" s="582" t="s">
        <v>33</v>
      </c>
      <c r="H263" s="582" t="s">
        <v>412</v>
      </c>
      <c r="I263" t="s">
        <v>2293</v>
      </c>
      <c r="J263">
        <v>5.67</v>
      </c>
      <c r="K263" t="s">
        <v>1838</v>
      </c>
    </row>
    <row r="264" spans="1:11" hidden="1" x14ac:dyDescent="0.25">
      <c r="A264">
        <v>1938118</v>
      </c>
      <c r="B264" t="s">
        <v>1233</v>
      </c>
      <c r="C264">
        <v>0.36994899999999997</v>
      </c>
      <c r="D264">
        <v>4731</v>
      </c>
      <c r="E264" t="s">
        <v>101</v>
      </c>
      <c r="F264">
        <v>1309</v>
      </c>
      <c r="G264" s="582" t="s">
        <v>10</v>
      </c>
      <c r="H264" s="582" t="s">
        <v>978</v>
      </c>
      <c r="I264" t="s">
        <v>2226</v>
      </c>
      <c r="J264">
        <v>0.35499999999999998</v>
      </c>
      <c r="K264" t="s">
        <v>2171</v>
      </c>
    </row>
    <row r="265" spans="1:11" hidden="1" x14ac:dyDescent="0.25">
      <c r="A265">
        <v>4082199</v>
      </c>
      <c r="B265" t="s">
        <v>837</v>
      </c>
      <c r="C265">
        <v>7.0546000000000011E-2</v>
      </c>
      <c r="D265">
        <v>789</v>
      </c>
      <c r="E265" t="s">
        <v>44</v>
      </c>
      <c r="F265">
        <v>233</v>
      </c>
      <c r="G265" s="582" t="s">
        <v>10</v>
      </c>
      <c r="H265" s="582" t="s">
        <v>836</v>
      </c>
      <c r="I265" t="s">
        <v>838</v>
      </c>
      <c r="J265">
        <v>0.59799999999999998</v>
      </c>
      <c r="K265" t="s">
        <v>2171</v>
      </c>
    </row>
    <row r="266" spans="1:11" hidden="1" x14ac:dyDescent="0.25">
      <c r="A266">
        <v>4082199</v>
      </c>
      <c r="B266" t="s">
        <v>837</v>
      </c>
      <c r="C266">
        <v>0.36799999999999999</v>
      </c>
      <c r="D266">
        <v>789</v>
      </c>
      <c r="E266" t="s">
        <v>45</v>
      </c>
      <c r="F266">
        <v>490</v>
      </c>
      <c r="G266" s="582" t="s">
        <v>10</v>
      </c>
      <c r="H266" s="582" t="s">
        <v>836</v>
      </c>
      <c r="I266" t="s">
        <v>838</v>
      </c>
      <c r="J266">
        <v>0.59799999999999998</v>
      </c>
      <c r="K266" t="s">
        <v>2171</v>
      </c>
    </row>
    <row r="267" spans="1:11" hidden="1" x14ac:dyDescent="0.25">
      <c r="A267">
        <v>4082199</v>
      </c>
      <c r="B267" t="s">
        <v>837</v>
      </c>
      <c r="C267">
        <v>0.13300000000000001</v>
      </c>
      <c r="D267">
        <v>789</v>
      </c>
      <c r="E267" t="s">
        <v>45</v>
      </c>
      <c r="F267">
        <v>491</v>
      </c>
      <c r="G267" s="582" t="s">
        <v>10</v>
      </c>
      <c r="H267" s="582" t="s">
        <v>836</v>
      </c>
      <c r="I267" t="s">
        <v>838</v>
      </c>
      <c r="J267">
        <v>0.59799999999999998</v>
      </c>
      <c r="K267" t="s">
        <v>2171</v>
      </c>
    </row>
    <row r="268" spans="1:11" hidden="1" x14ac:dyDescent="0.25">
      <c r="A268">
        <v>1938119</v>
      </c>
      <c r="B268" t="s">
        <v>1235</v>
      </c>
      <c r="C268">
        <v>0.38505600000000001</v>
      </c>
      <c r="D268">
        <v>4731</v>
      </c>
      <c r="E268" t="s">
        <v>101</v>
      </c>
      <c r="F268">
        <v>1310</v>
      </c>
      <c r="G268" s="582" t="s">
        <v>10</v>
      </c>
      <c r="H268" s="582" t="s">
        <v>978</v>
      </c>
      <c r="I268" t="s">
        <v>2227</v>
      </c>
      <c r="J268">
        <v>0.4</v>
      </c>
      <c r="K268" t="s">
        <v>2171</v>
      </c>
    </row>
    <row r="269" spans="1:11" hidden="1" x14ac:dyDescent="0.25">
      <c r="A269">
        <v>4095196</v>
      </c>
      <c r="B269" t="s">
        <v>2230</v>
      </c>
      <c r="C269">
        <v>2.294E-3</v>
      </c>
      <c r="D269">
        <v>789</v>
      </c>
      <c r="E269" t="s">
        <v>17</v>
      </c>
      <c r="F269">
        <v>234</v>
      </c>
      <c r="G269" s="582" t="s">
        <v>10</v>
      </c>
      <c r="H269" s="582" t="s">
        <v>810</v>
      </c>
      <c r="I269" t="s">
        <v>2231</v>
      </c>
      <c r="J269">
        <v>0.27300000000000002</v>
      </c>
      <c r="K269" t="s">
        <v>2171</v>
      </c>
    </row>
    <row r="270" spans="1:11" hidden="1" x14ac:dyDescent="0.25">
      <c r="A270">
        <v>4095196</v>
      </c>
      <c r="B270" t="s">
        <v>2230</v>
      </c>
      <c r="C270">
        <v>0.15</v>
      </c>
      <c r="D270">
        <v>4731</v>
      </c>
      <c r="E270" t="s">
        <v>17</v>
      </c>
      <c r="F270">
        <v>1923</v>
      </c>
      <c r="G270" s="582" t="s">
        <v>10</v>
      </c>
      <c r="H270" s="582" t="s">
        <v>810</v>
      </c>
      <c r="I270" t="s">
        <v>2231</v>
      </c>
      <c r="J270">
        <v>0.27300000000000002</v>
      </c>
      <c r="K270" t="s">
        <v>2171</v>
      </c>
    </row>
    <row r="271" spans="1:11" hidden="1" x14ac:dyDescent="0.25">
      <c r="A271">
        <v>1931823</v>
      </c>
      <c r="B271" t="s">
        <v>1876</v>
      </c>
      <c r="C271">
        <v>9.3040000000000012E-2</v>
      </c>
      <c r="D271">
        <v>4731</v>
      </c>
      <c r="E271" t="s">
        <v>17</v>
      </c>
      <c r="F271">
        <v>1300</v>
      </c>
      <c r="G271" s="582" t="s">
        <v>10</v>
      </c>
      <c r="H271" s="582" t="s">
        <v>978</v>
      </c>
      <c r="I271" t="s">
        <v>2228</v>
      </c>
      <c r="J271">
        <v>6</v>
      </c>
      <c r="K271" t="s">
        <v>1838</v>
      </c>
    </row>
    <row r="272" spans="1:11" hidden="1" x14ac:dyDescent="0.25">
      <c r="A272">
        <v>4184749</v>
      </c>
      <c r="B272" t="s">
        <v>2234</v>
      </c>
      <c r="C272">
        <v>1.0510000000000001E-3</v>
      </c>
      <c r="D272">
        <v>789</v>
      </c>
      <c r="E272" t="s">
        <v>181</v>
      </c>
      <c r="F272">
        <v>237</v>
      </c>
      <c r="G272" s="582" t="s">
        <v>10</v>
      </c>
      <c r="H272" s="582" t="s">
        <v>642</v>
      </c>
      <c r="I272" t="s">
        <v>2235</v>
      </c>
      <c r="J272">
        <v>0.93400000000000005</v>
      </c>
      <c r="K272" t="s">
        <v>2171</v>
      </c>
    </row>
    <row r="273" spans="1:11" hidden="1" x14ac:dyDescent="0.25">
      <c r="A273">
        <v>4201127</v>
      </c>
      <c r="B273" t="s">
        <v>457</v>
      </c>
      <c r="C273">
        <v>7.0000000000000001E-3</v>
      </c>
      <c r="D273">
        <v>789</v>
      </c>
      <c r="E273" t="s">
        <v>60</v>
      </c>
      <c r="F273">
        <v>238</v>
      </c>
      <c r="G273" s="582" t="s">
        <v>10</v>
      </c>
      <c r="H273" s="582" t="s">
        <v>456</v>
      </c>
      <c r="I273" t="s">
        <v>458</v>
      </c>
      <c r="J273">
        <v>6.1</v>
      </c>
      <c r="K273" t="s">
        <v>1838</v>
      </c>
    </row>
    <row r="274" spans="1:11" hidden="1" x14ac:dyDescent="0.25">
      <c r="A274">
        <v>4201127</v>
      </c>
      <c r="B274" t="s">
        <v>457</v>
      </c>
      <c r="C274">
        <v>0.27900000000000003</v>
      </c>
      <c r="D274">
        <v>789</v>
      </c>
      <c r="E274" t="s">
        <v>60</v>
      </c>
      <c r="F274">
        <v>239</v>
      </c>
      <c r="G274" s="582" t="s">
        <v>10</v>
      </c>
      <c r="H274" s="582" t="s">
        <v>456</v>
      </c>
      <c r="I274" t="s">
        <v>458</v>
      </c>
      <c r="J274">
        <v>6.1</v>
      </c>
      <c r="K274" t="s">
        <v>1838</v>
      </c>
    </row>
    <row r="275" spans="1:11" hidden="1" x14ac:dyDescent="0.25">
      <c r="A275">
        <v>4201127</v>
      </c>
      <c r="B275" t="s">
        <v>457</v>
      </c>
      <c r="C275">
        <v>0.125</v>
      </c>
      <c r="D275">
        <v>789</v>
      </c>
      <c r="E275" t="s">
        <v>60</v>
      </c>
      <c r="F275">
        <v>240</v>
      </c>
      <c r="G275" s="582" t="s">
        <v>10</v>
      </c>
      <c r="H275" s="582" t="s">
        <v>456</v>
      </c>
      <c r="I275" t="s">
        <v>458</v>
      </c>
      <c r="J275">
        <v>6.1</v>
      </c>
      <c r="K275" t="s">
        <v>1838</v>
      </c>
    </row>
    <row r="276" spans="1:11" hidden="1" x14ac:dyDescent="0.25">
      <c r="A276">
        <v>4201127</v>
      </c>
      <c r="B276" t="s">
        <v>457</v>
      </c>
      <c r="C276">
        <v>2.4249999999999998</v>
      </c>
      <c r="D276">
        <v>789</v>
      </c>
      <c r="E276" t="s">
        <v>60</v>
      </c>
      <c r="F276">
        <v>241</v>
      </c>
      <c r="G276" s="582" t="s">
        <v>10</v>
      </c>
      <c r="H276" s="582" t="s">
        <v>456</v>
      </c>
      <c r="I276" t="s">
        <v>458</v>
      </c>
      <c r="J276">
        <v>6.1</v>
      </c>
      <c r="K276" t="s">
        <v>1838</v>
      </c>
    </row>
    <row r="277" spans="1:11" hidden="1" x14ac:dyDescent="0.25">
      <c r="A277">
        <v>4201127</v>
      </c>
      <c r="B277" t="s">
        <v>457</v>
      </c>
      <c r="C277">
        <v>2.2149999999999999</v>
      </c>
      <c r="D277">
        <v>789</v>
      </c>
      <c r="E277" t="s">
        <v>60</v>
      </c>
      <c r="F277">
        <v>242</v>
      </c>
      <c r="G277" s="582" t="s">
        <v>10</v>
      </c>
      <c r="H277" s="582" t="s">
        <v>456</v>
      </c>
      <c r="I277" t="s">
        <v>458</v>
      </c>
      <c r="J277">
        <v>6.1</v>
      </c>
      <c r="K277" t="s">
        <v>1838</v>
      </c>
    </row>
    <row r="278" spans="1:11" hidden="1" x14ac:dyDescent="0.25">
      <c r="A278">
        <v>4201127</v>
      </c>
      <c r="B278" t="s">
        <v>457</v>
      </c>
      <c r="C278">
        <v>1.135</v>
      </c>
      <c r="D278">
        <v>789</v>
      </c>
      <c r="E278" t="s">
        <v>60</v>
      </c>
      <c r="F278">
        <v>243</v>
      </c>
      <c r="G278" s="582" t="s">
        <v>10</v>
      </c>
      <c r="H278" s="582" t="s">
        <v>456</v>
      </c>
      <c r="I278" t="s">
        <v>458</v>
      </c>
      <c r="J278">
        <v>6.1</v>
      </c>
      <c r="K278" t="s">
        <v>1838</v>
      </c>
    </row>
    <row r="279" spans="1:11" hidden="1" x14ac:dyDescent="0.25">
      <c r="A279">
        <v>4201127</v>
      </c>
      <c r="B279" t="s">
        <v>457</v>
      </c>
      <c r="C279">
        <v>0.60399999999999998</v>
      </c>
      <c r="D279">
        <v>789</v>
      </c>
      <c r="E279" t="s">
        <v>60</v>
      </c>
      <c r="F279">
        <v>244</v>
      </c>
      <c r="G279" s="582" t="s">
        <v>10</v>
      </c>
      <c r="H279" s="582" t="s">
        <v>456</v>
      </c>
      <c r="I279" t="s">
        <v>458</v>
      </c>
      <c r="J279">
        <v>6.1</v>
      </c>
      <c r="K279" t="s">
        <v>1838</v>
      </c>
    </row>
    <row r="280" spans="1:11" hidden="1" x14ac:dyDescent="0.25">
      <c r="A280">
        <v>4201127</v>
      </c>
      <c r="B280" t="s">
        <v>457</v>
      </c>
      <c r="C280">
        <v>0.85</v>
      </c>
      <c r="D280">
        <v>789</v>
      </c>
      <c r="E280" t="s">
        <v>60</v>
      </c>
      <c r="F280">
        <v>403</v>
      </c>
      <c r="G280" s="582" t="s">
        <v>10</v>
      </c>
      <c r="H280" s="582" t="s">
        <v>456</v>
      </c>
      <c r="I280" t="s">
        <v>458</v>
      </c>
      <c r="J280">
        <v>6.1</v>
      </c>
      <c r="K280" t="s">
        <v>1838</v>
      </c>
    </row>
    <row r="281" spans="1:11" hidden="1" x14ac:dyDescent="0.25">
      <c r="A281">
        <v>4201127</v>
      </c>
      <c r="B281" t="s">
        <v>457</v>
      </c>
      <c r="C281">
        <v>0.9</v>
      </c>
      <c r="D281">
        <v>789</v>
      </c>
      <c r="E281" t="s">
        <v>60</v>
      </c>
      <c r="F281">
        <v>404</v>
      </c>
      <c r="G281" s="582" t="s">
        <v>10</v>
      </c>
      <c r="H281" s="582" t="s">
        <v>456</v>
      </c>
      <c r="I281" t="s">
        <v>458</v>
      </c>
      <c r="J281">
        <v>6.1</v>
      </c>
      <c r="K281" t="s">
        <v>1838</v>
      </c>
    </row>
    <row r="282" spans="1:11" hidden="1" x14ac:dyDescent="0.25">
      <c r="A282">
        <v>4201127</v>
      </c>
      <c r="B282" t="s">
        <v>457</v>
      </c>
      <c r="C282">
        <v>0.77900000000000003</v>
      </c>
      <c r="D282">
        <v>789</v>
      </c>
      <c r="E282" t="s">
        <v>60</v>
      </c>
      <c r="F282">
        <v>405</v>
      </c>
      <c r="G282" s="582" t="s">
        <v>10</v>
      </c>
      <c r="H282" s="582" t="s">
        <v>456</v>
      </c>
      <c r="I282" t="s">
        <v>458</v>
      </c>
      <c r="J282">
        <v>6.1</v>
      </c>
      <c r="K282" t="s">
        <v>1838</v>
      </c>
    </row>
    <row r="283" spans="1:11" hidden="1" x14ac:dyDescent="0.25">
      <c r="A283">
        <v>4201127</v>
      </c>
      <c r="B283" t="s">
        <v>457</v>
      </c>
      <c r="C283">
        <v>0.78</v>
      </c>
      <c r="D283">
        <v>789</v>
      </c>
      <c r="E283" t="s">
        <v>60</v>
      </c>
      <c r="F283">
        <v>406</v>
      </c>
      <c r="G283" s="582" t="s">
        <v>10</v>
      </c>
      <c r="H283" s="582" t="s">
        <v>456</v>
      </c>
      <c r="I283" t="s">
        <v>458</v>
      </c>
      <c r="J283">
        <v>6.1</v>
      </c>
      <c r="K283" t="s">
        <v>1838</v>
      </c>
    </row>
    <row r="284" spans="1:11" hidden="1" x14ac:dyDescent="0.25">
      <c r="A284">
        <v>4201127</v>
      </c>
      <c r="B284" t="s">
        <v>457</v>
      </c>
      <c r="C284">
        <v>0.77</v>
      </c>
      <c r="D284">
        <v>789</v>
      </c>
      <c r="E284" t="s">
        <v>60</v>
      </c>
      <c r="F284">
        <v>407</v>
      </c>
      <c r="G284" s="582" t="s">
        <v>10</v>
      </c>
      <c r="H284" s="582" t="s">
        <v>456</v>
      </c>
      <c r="I284" t="s">
        <v>458</v>
      </c>
      <c r="J284">
        <v>6.1</v>
      </c>
      <c r="K284" t="s">
        <v>1838</v>
      </c>
    </row>
    <row r="285" spans="1:11" hidden="1" x14ac:dyDescent="0.25">
      <c r="A285">
        <v>4201127</v>
      </c>
      <c r="B285" t="s">
        <v>457</v>
      </c>
      <c r="C285">
        <v>1.72</v>
      </c>
      <c r="D285">
        <v>789</v>
      </c>
      <c r="E285" t="s">
        <v>60</v>
      </c>
      <c r="F285">
        <v>408</v>
      </c>
      <c r="G285" s="582" t="s">
        <v>10</v>
      </c>
      <c r="H285" s="582" t="s">
        <v>456</v>
      </c>
      <c r="I285" t="s">
        <v>458</v>
      </c>
      <c r="J285">
        <v>6.1</v>
      </c>
      <c r="K285" t="s">
        <v>1838</v>
      </c>
    </row>
    <row r="286" spans="1:11" hidden="1" x14ac:dyDescent="0.25">
      <c r="A286">
        <v>1938116</v>
      </c>
      <c r="B286" t="s">
        <v>1237</v>
      </c>
      <c r="C286">
        <v>6.8780000000000008E-2</v>
      </c>
      <c r="D286">
        <v>4731</v>
      </c>
      <c r="E286" t="s">
        <v>151</v>
      </c>
      <c r="F286">
        <v>1307</v>
      </c>
      <c r="G286" s="582" t="s">
        <v>10</v>
      </c>
      <c r="H286" s="582" t="s">
        <v>980</v>
      </c>
      <c r="I286" t="s">
        <v>2229</v>
      </c>
      <c r="J286">
        <v>0.11</v>
      </c>
      <c r="K286" t="s">
        <v>2171</v>
      </c>
    </row>
    <row r="287" spans="1:11" hidden="1" x14ac:dyDescent="0.25">
      <c r="A287">
        <v>1938117</v>
      </c>
      <c r="B287" t="s">
        <v>1239</v>
      </c>
      <c r="C287">
        <v>0.12461999999999999</v>
      </c>
      <c r="D287">
        <v>4731</v>
      </c>
      <c r="E287" t="s">
        <v>151</v>
      </c>
      <c r="F287">
        <v>1308</v>
      </c>
      <c r="G287" s="582" t="s">
        <v>10</v>
      </c>
      <c r="H287" s="582" t="s">
        <v>980</v>
      </c>
      <c r="I287" t="s">
        <v>2232</v>
      </c>
      <c r="J287">
        <v>0.14499999999999999</v>
      </c>
      <c r="K287" t="s">
        <v>2171</v>
      </c>
    </row>
    <row r="288" spans="1:11" hidden="1" x14ac:dyDescent="0.25">
      <c r="A288">
        <v>2288945</v>
      </c>
      <c r="B288" t="s">
        <v>1241</v>
      </c>
      <c r="C288">
        <v>0.18590300000000001</v>
      </c>
      <c r="D288">
        <v>4731</v>
      </c>
      <c r="E288" t="s">
        <v>37</v>
      </c>
      <c r="F288">
        <v>1368</v>
      </c>
      <c r="G288" s="582" t="s">
        <v>33</v>
      </c>
      <c r="H288" s="582" t="s">
        <v>980</v>
      </c>
      <c r="I288" t="s">
        <v>2233</v>
      </c>
      <c r="J288">
        <v>6.1449999999999996</v>
      </c>
      <c r="K288" t="s">
        <v>1838</v>
      </c>
    </row>
    <row r="289" spans="1:11" hidden="1" x14ac:dyDescent="0.25">
      <c r="A289">
        <v>3842023</v>
      </c>
      <c r="B289" t="s">
        <v>2236</v>
      </c>
      <c r="C289">
        <v>0.36368</v>
      </c>
      <c r="D289">
        <v>4731</v>
      </c>
      <c r="E289" t="s">
        <v>39</v>
      </c>
      <c r="F289">
        <v>1861</v>
      </c>
      <c r="G289" s="582" t="s">
        <v>10</v>
      </c>
      <c r="H289" s="582" t="s">
        <v>590</v>
      </c>
      <c r="I289" t="s">
        <v>2237</v>
      </c>
      <c r="J289">
        <v>0.18</v>
      </c>
      <c r="K289" t="s">
        <v>2171</v>
      </c>
    </row>
    <row r="290" spans="1:11" hidden="1" x14ac:dyDescent="0.25">
      <c r="A290">
        <v>3842024</v>
      </c>
      <c r="B290" t="s">
        <v>2238</v>
      </c>
      <c r="C290">
        <v>1.095788</v>
      </c>
      <c r="D290">
        <v>4731</v>
      </c>
      <c r="E290" t="s">
        <v>72</v>
      </c>
      <c r="F290">
        <v>1862</v>
      </c>
      <c r="G290" s="582" t="s">
        <v>10</v>
      </c>
      <c r="H290" s="582" t="s">
        <v>590</v>
      </c>
      <c r="I290" t="s">
        <v>2239</v>
      </c>
      <c r="J290">
        <v>0.19500000000000001</v>
      </c>
      <c r="K290" t="s">
        <v>2171</v>
      </c>
    </row>
    <row r="291" spans="1:11" hidden="1" x14ac:dyDescent="0.25">
      <c r="A291">
        <v>3545492</v>
      </c>
      <c r="B291" t="s">
        <v>1948</v>
      </c>
      <c r="C291">
        <v>0.22140000000000001</v>
      </c>
      <c r="D291">
        <v>4731</v>
      </c>
      <c r="E291" t="s">
        <v>72</v>
      </c>
      <c r="F291">
        <v>1667</v>
      </c>
      <c r="G291" s="582" t="s">
        <v>10</v>
      </c>
      <c r="H291" s="582" t="s">
        <v>590</v>
      </c>
      <c r="I291" t="s">
        <v>2239</v>
      </c>
      <c r="J291">
        <v>0.19500000000000001</v>
      </c>
      <c r="K291" t="s">
        <v>2171</v>
      </c>
    </row>
    <row r="292" spans="1:11" hidden="1" x14ac:dyDescent="0.25">
      <c r="A292">
        <v>3545492</v>
      </c>
      <c r="B292" t="s">
        <v>1948</v>
      </c>
      <c r="C292">
        <v>0.22140000000000001</v>
      </c>
      <c r="D292">
        <v>4731</v>
      </c>
      <c r="E292" t="s">
        <v>72</v>
      </c>
      <c r="F292">
        <v>1668</v>
      </c>
      <c r="G292" s="582" t="s">
        <v>10</v>
      </c>
      <c r="H292" s="582" t="s">
        <v>590</v>
      </c>
      <c r="I292" t="s">
        <v>2239</v>
      </c>
      <c r="J292">
        <v>0.19500000000000001</v>
      </c>
      <c r="K292" t="s">
        <v>2171</v>
      </c>
    </row>
    <row r="293" spans="1:11" hidden="1" x14ac:dyDescent="0.25">
      <c r="A293">
        <v>1938191</v>
      </c>
      <c r="B293" t="s">
        <v>591</v>
      </c>
      <c r="C293">
        <v>0.112127</v>
      </c>
      <c r="D293">
        <v>4731</v>
      </c>
      <c r="E293" t="s">
        <v>61</v>
      </c>
      <c r="F293">
        <v>1316</v>
      </c>
      <c r="G293" s="582" t="s">
        <v>10</v>
      </c>
      <c r="H293" s="582" t="s">
        <v>590</v>
      </c>
      <c r="I293" t="s">
        <v>592</v>
      </c>
      <c r="J293">
        <v>0.58799999999999997</v>
      </c>
      <c r="K293" t="s">
        <v>2171</v>
      </c>
    </row>
    <row r="294" spans="1:11" hidden="1" x14ac:dyDescent="0.25">
      <c r="A294">
        <v>1938191</v>
      </c>
      <c r="B294" t="s">
        <v>591</v>
      </c>
      <c r="C294">
        <v>1.5056590000000001</v>
      </c>
      <c r="D294">
        <v>8406</v>
      </c>
      <c r="E294" t="s">
        <v>61</v>
      </c>
      <c r="F294">
        <v>1317</v>
      </c>
      <c r="G294" s="582" t="s">
        <v>10</v>
      </c>
      <c r="H294" s="582" t="s">
        <v>590</v>
      </c>
      <c r="I294" t="s">
        <v>592</v>
      </c>
      <c r="J294">
        <v>0.58799999999999997</v>
      </c>
      <c r="K294" t="s">
        <v>2171</v>
      </c>
    </row>
    <row r="295" spans="1:11" x14ac:dyDescent="0.25">
      <c r="A295">
        <v>3775569</v>
      </c>
      <c r="B295" t="s">
        <v>595</v>
      </c>
      <c r="C295">
        <v>7.5824000000000003E-2</v>
      </c>
      <c r="D295">
        <v>4731</v>
      </c>
      <c r="E295" t="s">
        <v>61</v>
      </c>
      <c r="F295">
        <v>1814</v>
      </c>
      <c r="G295" s="582" t="s">
        <v>10</v>
      </c>
      <c r="H295" s="582" t="s">
        <v>590</v>
      </c>
      <c r="I295" t="s">
        <v>596</v>
      </c>
      <c r="J295">
        <v>6.2</v>
      </c>
      <c r="K295" t="s">
        <v>1838</v>
      </c>
    </row>
    <row r="296" spans="1:11" x14ac:dyDescent="0.25">
      <c r="A296">
        <v>3775569</v>
      </c>
      <c r="B296" t="s">
        <v>595</v>
      </c>
      <c r="C296">
        <v>0.29563600000000001</v>
      </c>
      <c r="D296">
        <v>4731</v>
      </c>
      <c r="E296" t="s">
        <v>61</v>
      </c>
      <c r="F296">
        <v>1815</v>
      </c>
      <c r="G296" s="582" t="s">
        <v>10</v>
      </c>
      <c r="H296" s="582" t="s">
        <v>590</v>
      </c>
      <c r="I296" t="s">
        <v>596</v>
      </c>
      <c r="J296">
        <v>6.2</v>
      </c>
      <c r="K296" t="s">
        <v>1838</v>
      </c>
    </row>
    <row r="297" spans="1:11" x14ac:dyDescent="0.25">
      <c r="A297">
        <v>3775569</v>
      </c>
      <c r="B297" t="s">
        <v>595</v>
      </c>
      <c r="C297">
        <v>7.959999999999999E-2</v>
      </c>
      <c r="D297">
        <v>4731</v>
      </c>
      <c r="E297" t="s">
        <v>61</v>
      </c>
      <c r="F297">
        <v>1816</v>
      </c>
      <c r="G297" s="582" t="s">
        <v>10</v>
      </c>
      <c r="H297" s="582" t="s">
        <v>590</v>
      </c>
      <c r="I297" t="s">
        <v>596</v>
      </c>
      <c r="J297">
        <v>6.2</v>
      </c>
      <c r="K297" t="s">
        <v>1838</v>
      </c>
    </row>
    <row r="298" spans="1:11" x14ac:dyDescent="0.25">
      <c r="A298">
        <v>3775569</v>
      </c>
      <c r="B298" t="s">
        <v>595</v>
      </c>
      <c r="C298">
        <v>1.127</v>
      </c>
      <c r="D298">
        <v>4731</v>
      </c>
      <c r="E298" t="s">
        <v>61</v>
      </c>
      <c r="F298">
        <v>1817</v>
      </c>
      <c r="G298" s="582" t="s">
        <v>10</v>
      </c>
      <c r="H298" s="582" t="s">
        <v>590</v>
      </c>
      <c r="I298" t="s">
        <v>596</v>
      </c>
      <c r="J298">
        <v>6.2</v>
      </c>
      <c r="K298" t="s">
        <v>1838</v>
      </c>
    </row>
    <row r="299" spans="1:11" x14ac:dyDescent="0.25">
      <c r="A299">
        <v>3775569</v>
      </c>
      <c r="B299" t="s">
        <v>595</v>
      </c>
      <c r="C299">
        <v>1.198</v>
      </c>
      <c r="D299">
        <v>4731</v>
      </c>
      <c r="E299" t="s">
        <v>61</v>
      </c>
      <c r="F299">
        <v>1818</v>
      </c>
      <c r="G299" s="582" t="s">
        <v>10</v>
      </c>
      <c r="H299" s="582" t="s">
        <v>590</v>
      </c>
      <c r="I299" t="s">
        <v>596</v>
      </c>
      <c r="J299">
        <v>6.2</v>
      </c>
      <c r="K299" t="s">
        <v>1838</v>
      </c>
    </row>
    <row r="300" spans="1:11" x14ac:dyDescent="0.25">
      <c r="A300">
        <v>3775569</v>
      </c>
      <c r="B300" t="s">
        <v>595</v>
      </c>
      <c r="C300">
        <v>0.17973</v>
      </c>
      <c r="D300">
        <v>4731</v>
      </c>
      <c r="E300" t="s">
        <v>61</v>
      </c>
      <c r="F300">
        <v>1819</v>
      </c>
      <c r="G300" s="582" t="s">
        <v>10</v>
      </c>
      <c r="H300" s="582" t="s">
        <v>590</v>
      </c>
      <c r="I300" t="s">
        <v>596</v>
      </c>
      <c r="J300">
        <v>6.2</v>
      </c>
      <c r="K300" t="s">
        <v>1838</v>
      </c>
    </row>
    <row r="301" spans="1:11" hidden="1" x14ac:dyDescent="0.25">
      <c r="A301">
        <v>3931834</v>
      </c>
      <c r="B301" t="s">
        <v>500</v>
      </c>
      <c r="C301">
        <v>6.1110000000000001E-3</v>
      </c>
      <c r="D301">
        <v>789</v>
      </c>
      <c r="E301" t="s">
        <v>60</v>
      </c>
      <c r="F301">
        <v>946</v>
      </c>
      <c r="G301" s="582" t="s">
        <v>10</v>
      </c>
      <c r="H301" s="582" t="s">
        <v>450</v>
      </c>
      <c r="I301" t="s">
        <v>501</v>
      </c>
      <c r="J301">
        <v>0.1</v>
      </c>
      <c r="K301" t="s">
        <v>2171</v>
      </c>
    </row>
    <row r="302" spans="1:11" hidden="1" x14ac:dyDescent="0.25">
      <c r="A302">
        <v>3931834</v>
      </c>
      <c r="B302" t="s">
        <v>500</v>
      </c>
      <c r="C302">
        <v>0.112</v>
      </c>
      <c r="D302">
        <v>789</v>
      </c>
      <c r="E302" t="s">
        <v>60</v>
      </c>
      <c r="F302">
        <v>947</v>
      </c>
      <c r="G302" s="582" t="s">
        <v>10</v>
      </c>
      <c r="H302" s="582" t="s">
        <v>450</v>
      </c>
      <c r="I302" t="s">
        <v>501</v>
      </c>
      <c r="J302">
        <v>0.1</v>
      </c>
      <c r="K302" t="s">
        <v>2171</v>
      </c>
    </row>
    <row r="303" spans="1:11" hidden="1" x14ac:dyDescent="0.25">
      <c r="A303">
        <v>3931835</v>
      </c>
      <c r="B303" t="s">
        <v>527</v>
      </c>
      <c r="C303">
        <v>3.176E-3</v>
      </c>
      <c r="D303">
        <v>789</v>
      </c>
      <c r="E303" t="s">
        <v>60</v>
      </c>
      <c r="F303">
        <v>1211</v>
      </c>
      <c r="G303" s="582" t="s">
        <v>10</v>
      </c>
      <c r="H303" s="582" t="s">
        <v>450</v>
      </c>
      <c r="I303" t="s">
        <v>528</v>
      </c>
      <c r="J303">
        <v>0.11</v>
      </c>
      <c r="K303" t="s">
        <v>2171</v>
      </c>
    </row>
    <row r="304" spans="1:11" hidden="1" x14ac:dyDescent="0.25">
      <c r="A304">
        <v>3931835</v>
      </c>
      <c r="B304" t="s">
        <v>527</v>
      </c>
      <c r="C304">
        <v>3.4195000000000003E-2</v>
      </c>
      <c r="D304">
        <v>789</v>
      </c>
      <c r="E304" t="s">
        <v>60</v>
      </c>
      <c r="F304">
        <v>1212</v>
      </c>
      <c r="G304" s="582" t="s">
        <v>10</v>
      </c>
      <c r="H304" s="582" t="s">
        <v>450</v>
      </c>
      <c r="I304" t="s">
        <v>528</v>
      </c>
      <c r="J304">
        <v>0.11</v>
      </c>
      <c r="K304" t="s">
        <v>2171</v>
      </c>
    </row>
    <row r="305" spans="1:11" hidden="1" x14ac:dyDescent="0.25">
      <c r="A305">
        <v>3931835</v>
      </c>
      <c r="B305" t="s">
        <v>527</v>
      </c>
      <c r="C305">
        <v>3.8150999999999997E-2</v>
      </c>
      <c r="D305">
        <v>789</v>
      </c>
      <c r="E305" t="s">
        <v>60</v>
      </c>
      <c r="F305">
        <v>1213</v>
      </c>
      <c r="G305" s="582" t="s">
        <v>10</v>
      </c>
      <c r="H305" s="582" t="s">
        <v>450</v>
      </c>
      <c r="I305" t="s">
        <v>528</v>
      </c>
      <c r="J305">
        <v>0.11</v>
      </c>
      <c r="K305" t="s">
        <v>2171</v>
      </c>
    </row>
    <row r="306" spans="1:11" hidden="1" x14ac:dyDescent="0.25">
      <c r="A306">
        <v>3931835</v>
      </c>
      <c r="B306" t="s">
        <v>527</v>
      </c>
      <c r="C306">
        <v>3.4043999999999998E-2</v>
      </c>
      <c r="D306">
        <v>789</v>
      </c>
      <c r="E306" t="s">
        <v>60</v>
      </c>
      <c r="F306">
        <v>1214</v>
      </c>
      <c r="G306" s="582" t="s">
        <v>10</v>
      </c>
      <c r="H306" s="582" t="s">
        <v>450</v>
      </c>
      <c r="I306" t="s">
        <v>528</v>
      </c>
      <c r="J306">
        <v>0.11</v>
      </c>
      <c r="K306" t="s">
        <v>2171</v>
      </c>
    </row>
    <row r="307" spans="1:11" hidden="1" x14ac:dyDescent="0.25">
      <c r="A307">
        <v>1940392</v>
      </c>
      <c r="B307" t="s">
        <v>1940</v>
      </c>
      <c r="C307">
        <v>1.5280000000000001E-3</v>
      </c>
      <c r="D307">
        <v>789</v>
      </c>
      <c r="E307" t="s">
        <v>151</v>
      </c>
      <c r="F307">
        <v>286</v>
      </c>
      <c r="G307" s="582" t="s">
        <v>10</v>
      </c>
      <c r="H307" s="582" t="s">
        <v>412</v>
      </c>
      <c r="I307" t="s">
        <v>2240</v>
      </c>
      <c r="J307">
        <v>0.28499999999999998</v>
      </c>
      <c r="K307" t="s">
        <v>2171</v>
      </c>
    </row>
    <row r="308" spans="1:11" hidden="1" x14ac:dyDescent="0.25">
      <c r="A308">
        <v>1940392</v>
      </c>
      <c r="B308" t="s">
        <v>1940</v>
      </c>
      <c r="C308">
        <v>9.3200000000000005E-2</v>
      </c>
      <c r="D308">
        <v>789</v>
      </c>
      <c r="E308" t="s">
        <v>151</v>
      </c>
      <c r="F308">
        <v>287</v>
      </c>
      <c r="G308" s="582" t="s">
        <v>10</v>
      </c>
      <c r="H308" s="582" t="s">
        <v>412</v>
      </c>
      <c r="I308" t="s">
        <v>2240</v>
      </c>
      <c r="J308">
        <v>0.28499999999999998</v>
      </c>
      <c r="K308" t="s">
        <v>2171</v>
      </c>
    </row>
    <row r="309" spans="1:11" hidden="1" x14ac:dyDescent="0.25">
      <c r="A309">
        <v>4151428</v>
      </c>
      <c r="B309" t="s">
        <v>504</v>
      </c>
      <c r="C309">
        <v>3.6400000000000001E-4</v>
      </c>
      <c r="D309">
        <v>789</v>
      </c>
      <c r="E309" t="s">
        <v>60</v>
      </c>
      <c r="F309">
        <v>974</v>
      </c>
      <c r="G309" s="582" t="s">
        <v>10</v>
      </c>
      <c r="H309" s="582" t="s">
        <v>450</v>
      </c>
      <c r="I309" t="s">
        <v>505</v>
      </c>
      <c r="J309">
        <v>0.115</v>
      </c>
      <c r="K309" t="s">
        <v>2171</v>
      </c>
    </row>
    <row r="310" spans="1:11" hidden="1" x14ac:dyDescent="0.25">
      <c r="A310">
        <v>3938687</v>
      </c>
      <c r="B310" t="s">
        <v>554</v>
      </c>
      <c r="C310">
        <v>2.918E-3</v>
      </c>
      <c r="D310">
        <v>789</v>
      </c>
      <c r="E310" t="s">
        <v>60</v>
      </c>
      <c r="F310">
        <v>1204</v>
      </c>
      <c r="G310" s="582" t="s">
        <v>10</v>
      </c>
      <c r="H310" s="582" t="s">
        <v>450</v>
      </c>
      <c r="I310" t="s">
        <v>555</v>
      </c>
      <c r="J310">
        <v>0.129</v>
      </c>
      <c r="K310" t="s">
        <v>2171</v>
      </c>
    </row>
    <row r="311" spans="1:11" hidden="1" x14ac:dyDescent="0.25">
      <c r="A311">
        <v>3938687</v>
      </c>
      <c r="B311" t="s">
        <v>554</v>
      </c>
      <c r="C311">
        <v>1.7309999999999999E-3</v>
      </c>
      <c r="D311">
        <v>789</v>
      </c>
      <c r="E311" t="s">
        <v>60</v>
      </c>
      <c r="F311">
        <v>1205</v>
      </c>
      <c r="G311" s="582" t="s">
        <v>10</v>
      </c>
      <c r="H311" s="582" t="s">
        <v>450</v>
      </c>
      <c r="I311" t="s">
        <v>555</v>
      </c>
      <c r="J311">
        <v>0.129</v>
      </c>
      <c r="K311" t="s">
        <v>2171</v>
      </c>
    </row>
    <row r="312" spans="1:11" hidden="1" x14ac:dyDescent="0.25">
      <c r="A312">
        <v>3938687</v>
      </c>
      <c r="B312" t="s">
        <v>554</v>
      </c>
      <c r="C312">
        <v>0.442689</v>
      </c>
      <c r="D312">
        <v>789</v>
      </c>
      <c r="E312" t="s">
        <v>60</v>
      </c>
      <c r="F312">
        <v>1206</v>
      </c>
      <c r="G312" s="582" t="s">
        <v>10</v>
      </c>
      <c r="H312" s="582" t="s">
        <v>450</v>
      </c>
      <c r="I312" t="s">
        <v>555</v>
      </c>
      <c r="J312">
        <v>0.129</v>
      </c>
      <c r="K312" t="s">
        <v>2171</v>
      </c>
    </row>
    <row r="313" spans="1:11" hidden="1" x14ac:dyDescent="0.25">
      <c r="A313">
        <v>3938687</v>
      </c>
      <c r="B313" t="s">
        <v>554</v>
      </c>
      <c r="C313">
        <v>5.3067000000000003E-2</v>
      </c>
      <c r="D313">
        <v>789</v>
      </c>
      <c r="E313" t="s">
        <v>60</v>
      </c>
      <c r="F313">
        <v>1207</v>
      </c>
      <c r="G313" s="582" t="s">
        <v>10</v>
      </c>
      <c r="H313" s="582" t="s">
        <v>450</v>
      </c>
      <c r="I313" t="s">
        <v>555</v>
      </c>
      <c r="J313">
        <v>0.129</v>
      </c>
      <c r="K313" t="s">
        <v>2171</v>
      </c>
    </row>
    <row r="314" spans="1:11" hidden="1" x14ac:dyDescent="0.25">
      <c r="A314">
        <v>3230486</v>
      </c>
      <c r="B314" t="s">
        <v>602</v>
      </c>
      <c r="C314">
        <v>1.112E-2</v>
      </c>
      <c r="D314">
        <v>789</v>
      </c>
      <c r="E314" t="s">
        <v>60</v>
      </c>
      <c r="F314">
        <v>1162</v>
      </c>
      <c r="G314" s="582" t="s">
        <v>10</v>
      </c>
      <c r="H314" s="582" t="s">
        <v>450</v>
      </c>
      <c r="I314" t="s">
        <v>603</v>
      </c>
      <c r="J314">
        <v>0.15</v>
      </c>
      <c r="K314" t="s">
        <v>2171</v>
      </c>
    </row>
    <row r="315" spans="1:11" hidden="1" x14ac:dyDescent="0.25">
      <c r="A315">
        <v>3230486</v>
      </c>
      <c r="B315" t="s">
        <v>602</v>
      </c>
      <c r="C315">
        <v>8.3000000000000004E-2</v>
      </c>
      <c r="D315">
        <v>789</v>
      </c>
      <c r="E315" t="s">
        <v>60</v>
      </c>
      <c r="F315">
        <v>1163</v>
      </c>
      <c r="G315" s="582" t="s">
        <v>10</v>
      </c>
      <c r="H315" s="582" t="s">
        <v>450</v>
      </c>
      <c r="I315" t="s">
        <v>603</v>
      </c>
      <c r="J315">
        <v>0.15</v>
      </c>
      <c r="K315" t="s">
        <v>2171</v>
      </c>
    </row>
    <row r="316" spans="1:11" hidden="1" x14ac:dyDescent="0.25">
      <c r="A316">
        <v>3230486</v>
      </c>
      <c r="B316" t="s">
        <v>602</v>
      </c>
      <c r="C316">
        <v>0.41499999999999998</v>
      </c>
      <c r="D316">
        <v>789</v>
      </c>
      <c r="E316" t="s">
        <v>60</v>
      </c>
      <c r="F316">
        <v>1164</v>
      </c>
      <c r="G316" s="582" t="s">
        <v>10</v>
      </c>
      <c r="H316" s="582" t="s">
        <v>450</v>
      </c>
      <c r="I316" t="s">
        <v>603</v>
      </c>
      <c r="J316">
        <v>0.15</v>
      </c>
      <c r="K316" t="s">
        <v>2171</v>
      </c>
    </row>
    <row r="317" spans="1:11" hidden="1" x14ac:dyDescent="0.25">
      <c r="A317">
        <v>1940588</v>
      </c>
      <c r="B317" t="s">
        <v>797</v>
      </c>
      <c r="C317">
        <v>0.41</v>
      </c>
      <c r="D317">
        <v>789</v>
      </c>
      <c r="E317" t="s">
        <v>52</v>
      </c>
      <c r="F317">
        <v>289</v>
      </c>
      <c r="G317" s="582" t="s">
        <v>10</v>
      </c>
      <c r="H317" s="582" t="s">
        <v>737</v>
      </c>
      <c r="I317" t="s">
        <v>798</v>
      </c>
      <c r="J317">
        <v>0.35499999999999998</v>
      </c>
      <c r="K317" t="s">
        <v>2171</v>
      </c>
    </row>
    <row r="318" spans="1:11" hidden="1" x14ac:dyDescent="0.25">
      <c r="A318">
        <v>1940588</v>
      </c>
      <c r="B318" t="s">
        <v>797</v>
      </c>
      <c r="C318">
        <v>1.24</v>
      </c>
      <c r="D318">
        <v>789</v>
      </c>
      <c r="E318" t="s">
        <v>52</v>
      </c>
      <c r="F318">
        <v>290</v>
      </c>
      <c r="G318" s="582" t="s">
        <v>10</v>
      </c>
      <c r="H318" s="582" t="s">
        <v>737</v>
      </c>
      <c r="I318" t="s">
        <v>798</v>
      </c>
      <c r="J318">
        <v>0.35499999999999998</v>
      </c>
      <c r="K318" t="s">
        <v>2171</v>
      </c>
    </row>
    <row r="319" spans="1:11" hidden="1" x14ac:dyDescent="0.25">
      <c r="A319">
        <v>1940588</v>
      </c>
      <c r="B319" t="s">
        <v>797</v>
      </c>
      <c r="C319">
        <v>2.0499999999999997E-3</v>
      </c>
      <c r="D319">
        <v>789</v>
      </c>
      <c r="E319" t="s">
        <v>52</v>
      </c>
      <c r="F319">
        <v>291</v>
      </c>
      <c r="G319" s="582" t="s">
        <v>10</v>
      </c>
      <c r="H319" s="582" t="s">
        <v>737</v>
      </c>
      <c r="I319" t="s">
        <v>798</v>
      </c>
      <c r="J319">
        <v>0.35499999999999998</v>
      </c>
      <c r="K319" t="s">
        <v>2171</v>
      </c>
    </row>
    <row r="320" spans="1:11" hidden="1" x14ac:dyDescent="0.25">
      <c r="A320">
        <v>1940588</v>
      </c>
      <c r="B320" t="s">
        <v>797</v>
      </c>
      <c r="C320">
        <v>8.6162000000000002E-2</v>
      </c>
      <c r="D320">
        <v>4731</v>
      </c>
      <c r="E320" t="s">
        <v>52</v>
      </c>
      <c r="F320">
        <v>1333</v>
      </c>
      <c r="G320" s="582" t="s">
        <v>10</v>
      </c>
      <c r="H320" s="582" t="s">
        <v>737</v>
      </c>
      <c r="I320" t="s">
        <v>798</v>
      </c>
      <c r="J320">
        <v>0.35499999999999998</v>
      </c>
      <c r="K320" t="s">
        <v>2171</v>
      </c>
    </row>
    <row r="321" spans="1:11" hidden="1" x14ac:dyDescent="0.25">
      <c r="A321">
        <v>1940588</v>
      </c>
      <c r="B321" t="s">
        <v>797</v>
      </c>
      <c r="C321">
        <v>0.13461699999999999</v>
      </c>
      <c r="D321">
        <v>4731</v>
      </c>
      <c r="E321" t="s">
        <v>52</v>
      </c>
      <c r="F321">
        <v>1334</v>
      </c>
      <c r="G321" s="582" t="s">
        <v>10</v>
      </c>
      <c r="H321" s="582" t="s">
        <v>737</v>
      </c>
      <c r="I321" t="s">
        <v>798</v>
      </c>
      <c r="J321">
        <v>0.35499999999999998</v>
      </c>
      <c r="K321" t="s">
        <v>2171</v>
      </c>
    </row>
    <row r="322" spans="1:11" hidden="1" x14ac:dyDescent="0.25">
      <c r="A322">
        <v>1940588</v>
      </c>
      <c r="B322" t="s">
        <v>797</v>
      </c>
      <c r="C322">
        <v>0.62236000000000002</v>
      </c>
      <c r="D322">
        <v>8406</v>
      </c>
      <c r="E322" t="s">
        <v>52</v>
      </c>
      <c r="F322">
        <v>1335</v>
      </c>
      <c r="G322" s="582" t="s">
        <v>10</v>
      </c>
      <c r="H322" s="582" t="s">
        <v>737</v>
      </c>
      <c r="I322" t="s">
        <v>798</v>
      </c>
      <c r="J322">
        <v>0.35499999999999998</v>
      </c>
      <c r="K322" t="s">
        <v>2171</v>
      </c>
    </row>
    <row r="323" spans="1:11" hidden="1" x14ac:dyDescent="0.25">
      <c r="A323">
        <v>2325421</v>
      </c>
      <c r="B323" t="s">
        <v>795</v>
      </c>
      <c r="C323">
        <v>1.0840000000000001</v>
      </c>
      <c r="D323">
        <v>789</v>
      </c>
      <c r="E323" t="s">
        <v>39</v>
      </c>
      <c r="F323">
        <v>296</v>
      </c>
      <c r="G323" s="582" t="s">
        <v>10</v>
      </c>
      <c r="H323" s="582" t="s">
        <v>794</v>
      </c>
      <c r="I323" t="s">
        <v>796</v>
      </c>
      <c r="J323">
        <v>0.33600000000000002</v>
      </c>
      <c r="K323" t="s">
        <v>2171</v>
      </c>
    </row>
    <row r="324" spans="1:11" hidden="1" x14ac:dyDescent="0.25">
      <c r="A324">
        <v>2325421</v>
      </c>
      <c r="B324" t="s">
        <v>795</v>
      </c>
      <c r="C324">
        <v>1.579</v>
      </c>
      <c r="D324">
        <v>789</v>
      </c>
      <c r="E324" t="s">
        <v>39</v>
      </c>
      <c r="F324">
        <v>297</v>
      </c>
      <c r="G324" s="582" t="s">
        <v>10</v>
      </c>
      <c r="H324" s="582" t="s">
        <v>794</v>
      </c>
      <c r="I324" t="s">
        <v>796</v>
      </c>
      <c r="J324">
        <v>0.33600000000000002</v>
      </c>
      <c r="K324" t="s">
        <v>2171</v>
      </c>
    </row>
    <row r="325" spans="1:11" hidden="1" x14ac:dyDescent="0.25">
      <c r="A325">
        <v>2325421</v>
      </c>
      <c r="B325" t="s">
        <v>795</v>
      </c>
      <c r="C325">
        <v>0.117072</v>
      </c>
      <c r="D325">
        <v>789</v>
      </c>
      <c r="E325" t="s">
        <v>39</v>
      </c>
      <c r="F325">
        <v>298</v>
      </c>
      <c r="G325" s="582" t="s">
        <v>10</v>
      </c>
      <c r="H325" s="582" t="s">
        <v>794</v>
      </c>
      <c r="I325" t="s">
        <v>796</v>
      </c>
      <c r="J325">
        <v>0.33600000000000002</v>
      </c>
      <c r="K325" t="s">
        <v>2171</v>
      </c>
    </row>
    <row r="326" spans="1:11" hidden="1" x14ac:dyDescent="0.25">
      <c r="A326">
        <v>2325421</v>
      </c>
      <c r="B326" t="s">
        <v>795</v>
      </c>
      <c r="C326">
        <v>9.1359999999999997E-2</v>
      </c>
      <c r="D326">
        <v>4731</v>
      </c>
      <c r="E326" t="s">
        <v>39</v>
      </c>
      <c r="F326">
        <v>1369</v>
      </c>
      <c r="G326" s="582" t="s">
        <v>10</v>
      </c>
      <c r="H326" s="582" t="s">
        <v>794</v>
      </c>
      <c r="I326" t="s">
        <v>796</v>
      </c>
      <c r="J326">
        <v>0.33600000000000002</v>
      </c>
      <c r="K326" t="s">
        <v>2171</v>
      </c>
    </row>
    <row r="327" spans="1:11" hidden="1" x14ac:dyDescent="0.25">
      <c r="A327">
        <v>2325421</v>
      </c>
      <c r="B327" t="s">
        <v>795</v>
      </c>
      <c r="C327">
        <v>0.8026810000000002</v>
      </c>
      <c r="D327">
        <v>4731</v>
      </c>
      <c r="E327" t="s">
        <v>39</v>
      </c>
      <c r="F327">
        <v>1370</v>
      </c>
      <c r="G327" s="582" t="s">
        <v>10</v>
      </c>
      <c r="H327" s="582" t="s">
        <v>794</v>
      </c>
      <c r="I327" t="s">
        <v>796</v>
      </c>
      <c r="J327">
        <v>0.33600000000000002</v>
      </c>
      <c r="K327" t="s">
        <v>2171</v>
      </c>
    </row>
    <row r="328" spans="1:11" hidden="1" x14ac:dyDescent="0.25">
      <c r="A328">
        <v>2325421</v>
      </c>
      <c r="B328" t="s">
        <v>795</v>
      </c>
      <c r="C328">
        <v>0.7221599999999998</v>
      </c>
      <c r="D328">
        <v>4731</v>
      </c>
      <c r="E328" t="s">
        <v>39</v>
      </c>
      <c r="F328">
        <v>1371</v>
      </c>
      <c r="G328" s="582" t="s">
        <v>10</v>
      </c>
      <c r="H328" s="582" t="s">
        <v>794</v>
      </c>
      <c r="I328" t="s">
        <v>796</v>
      </c>
      <c r="J328">
        <v>0.33600000000000002</v>
      </c>
      <c r="K328" t="s">
        <v>2171</v>
      </c>
    </row>
    <row r="329" spans="1:11" hidden="1" x14ac:dyDescent="0.25">
      <c r="A329">
        <v>3571864</v>
      </c>
      <c r="B329" t="s">
        <v>1252</v>
      </c>
      <c r="C329">
        <v>6.4000000000000001E-2</v>
      </c>
      <c r="D329">
        <v>789</v>
      </c>
      <c r="E329" t="s">
        <v>60</v>
      </c>
      <c r="F329">
        <v>1224</v>
      </c>
      <c r="G329" s="582" t="s">
        <v>10</v>
      </c>
      <c r="H329" s="582" t="s">
        <v>450</v>
      </c>
      <c r="I329" t="s">
        <v>2245</v>
      </c>
      <c r="J329">
        <v>0.28999999999999998</v>
      </c>
      <c r="K329" t="s">
        <v>2171</v>
      </c>
    </row>
    <row r="330" spans="1:11" hidden="1" x14ac:dyDescent="0.25">
      <c r="A330">
        <v>2403386</v>
      </c>
      <c r="B330" t="s">
        <v>2016</v>
      </c>
      <c r="C330">
        <v>2.0948000000000001E-2</v>
      </c>
      <c r="D330">
        <v>789</v>
      </c>
      <c r="E330" t="s">
        <v>46</v>
      </c>
      <c r="F330">
        <v>299</v>
      </c>
      <c r="G330" s="582" t="s">
        <v>10</v>
      </c>
      <c r="H330" s="582" t="s">
        <v>604</v>
      </c>
      <c r="I330" t="s">
        <v>2241</v>
      </c>
      <c r="J330">
        <v>0.35799999999999998</v>
      </c>
      <c r="K330" t="s">
        <v>2171</v>
      </c>
    </row>
    <row r="331" spans="1:11" hidden="1" x14ac:dyDescent="0.25">
      <c r="A331">
        <v>2404864</v>
      </c>
      <c r="B331" t="s">
        <v>2242</v>
      </c>
      <c r="C331">
        <v>0.26900000000000002</v>
      </c>
      <c r="D331">
        <v>789</v>
      </c>
      <c r="E331" t="s">
        <v>37</v>
      </c>
      <c r="F331">
        <v>300</v>
      </c>
      <c r="G331" s="582" t="s">
        <v>33</v>
      </c>
      <c r="H331" s="582" t="s">
        <v>2243</v>
      </c>
      <c r="I331" t="s">
        <v>2244</v>
      </c>
      <c r="J331">
        <v>6.01</v>
      </c>
      <c r="K331" t="s">
        <v>1838</v>
      </c>
    </row>
    <row r="332" spans="1:11" hidden="1" x14ac:dyDescent="0.25">
      <c r="A332">
        <v>3230490</v>
      </c>
      <c r="B332" t="s">
        <v>515</v>
      </c>
      <c r="C332">
        <v>1.848E-3</v>
      </c>
      <c r="D332">
        <v>789</v>
      </c>
      <c r="E332" t="s">
        <v>60</v>
      </c>
      <c r="F332">
        <v>1040</v>
      </c>
      <c r="G332" s="582" t="s">
        <v>10</v>
      </c>
      <c r="H332" s="582" t="s">
        <v>450</v>
      </c>
      <c r="I332" t="s">
        <v>516</v>
      </c>
      <c r="J332">
        <v>0.35499999999999998</v>
      </c>
      <c r="K332" t="s">
        <v>2171</v>
      </c>
    </row>
    <row r="333" spans="1:11" hidden="1" x14ac:dyDescent="0.25">
      <c r="A333">
        <v>3230490</v>
      </c>
      <c r="B333" t="s">
        <v>515</v>
      </c>
      <c r="C333">
        <v>0.627</v>
      </c>
      <c r="D333">
        <v>789</v>
      </c>
      <c r="E333" t="s">
        <v>60</v>
      </c>
      <c r="F333">
        <v>1041</v>
      </c>
      <c r="G333" s="582" t="s">
        <v>10</v>
      </c>
      <c r="H333" s="582" t="s">
        <v>450</v>
      </c>
      <c r="I333" t="s">
        <v>516</v>
      </c>
      <c r="J333">
        <v>0.35499999999999998</v>
      </c>
      <c r="K333" t="s">
        <v>2171</v>
      </c>
    </row>
    <row r="334" spans="1:11" hidden="1" x14ac:dyDescent="0.25">
      <c r="A334">
        <v>2409618</v>
      </c>
      <c r="B334" t="s">
        <v>469</v>
      </c>
      <c r="C334">
        <v>2.4209999999999998</v>
      </c>
      <c r="D334">
        <v>789</v>
      </c>
      <c r="E334" t="s">
        <v>9</v>
      </c>
      <c r="F334">
        <v>302</v>
      </c>
      <c r="G334" s="582" t="s">
        <v>10</v>
      </c>
      <c r="H334" s="582" t="s">
        <v>468</v>
      </c>
      <c r="I334" t="s">
        <v>470</v>
      </c>
      <c r="J334">
        <v>2.59</v>
      </c>
      <c r="K334" t="s">
        <v>2171</v>
      </c>
    </row>
    <row r="335" spans="1:11" hidden="1" x14ac:dyDescent="0.25">
      <c r="A335">
        <v>2409618</v>
      </c>
      <c r="B335" t="s">
        <v>469</v>
      </c>
      <c r="C335">
        <v>1.399</v>
      </c>
      <c r="D335">
        <v>789</v>
      </c>
      <c r="E335" t="s">
        <v>37</v>
      </c>
      <c r="F335">
        <v>303</v>
      </c>
      <c r="G335" s="582" t="s">
        <v>33</v>
      </c>
      <c r="H335" s="582" t="s">
        <v>468</v>
      </c>
      <c r="I335" t="s">
        <v>470</v>
      </c>
      <c r="J335">
        <v>2.59</v>
      </c>
      <c r="K335" t="s">
        <v>2171</v>
      </c>
    </row>
    <row r="336" spans="1:11" hidden="1" x14ac:dyDescent="0.25">
      <c r="A336">
        <v>2409618</v>
      </c>
      <c r="B336" t="s">
        <v>469</v>
      </c>
      <c r="C336">
        <v>0.36677399999999999</v>
      </c>
      <c r="D336">
        <v>789</v>
      </c>
      <c r="E336" t="s">
        <v>37</v>
      </c>
      <c r="F336">
        <v>304</v>
      </c>
      <c r="G336" s="582" t="s">
        <v>33</v>
      </c>
      <c r="H336" s="582" t="s">
        <v>468</v>
      </c>
      <c r="I336" t="s">
        <v>470</v>
      </c>
      <c r="J336">
        <v>2.59</v>
      </c>
      <c r="K336" t="s">
        <v>2171</v>
      </c>
    </row>
    <row r="337" spans="1:11" hidden="1" x14ac:dyDescent="0.25">
      <c r="A337">
        <v>2409618</v>
      </c>
      <c r="B337" t="s">
        <v>469</v>
      </c>
      <c r="C337">
        <v>1.628933</v>
      </c>
      <c r="D337">
        <v>8406</v>
      </c>
      <c r="E337" t="s">
        <v>9</v>
      </c>
      <c r="F337">
        <v>1384</v>
      </c>
      <c r="G337" s="582" t="s">
        <v>10</v>
      </c>
      <c r="H337" s="582" t="s">
        <v>468</v>
      </c>
      <c r="I337" t="s">
        <v>470</v>
      </c>
      <c r="J337">
        <v>2.59</v>
      </c>
      <c r="K337" t="s">
        <v>2171</v>
      </c>
    </row>
    <row r="338" spans="1:11" hidden="1" x14ac:dyDescent="0.25">
      <c r="A338">
        <v>3230487</v>
      </c>
      <c r="B338" t="s">
        <v>498</v>
      </c>
      <c r="C338">
        <v>1.0852000000000001E-2</v>
      </c>
      <c r="D338">
        <v>789</v>
      </c>
      <c r="E338" t="s">
        <v>60</v>
      </c>
      <c r="F338">
        <v>878</v>
      </c>
      <c r="G338" s="582" t="s">
        <v>10</v>
      </c>
      <c r="H338" s="582" t="s">
        <v>450</v>
      </c>
      <c r="I338" t="s">
        <v>499</v>
      </c>
      <c r="J338">
        <v>0.4</v>
      </c>
      <c r="K338" t="s">
        <v>2171</v>
      </c>
    </row>
    <row r="339" spans="1:11" hidden="1" x14ac:dyDescent="0.25">
      <c r="A339">
        <v>3230487</v>
      </c>
      <c r="B339" t="s">
        <v>498</v>
      </c>
      <c r="C339">
        <v>0.14598</v>
      </c>
      <c r="D339">
        <v>789</v>
      </c>
      <c r="E339" t="s">
        <v>60</v>
      </c>
      <c r="F339">
        <v>879</v>
      </c>
      <c r="G339" s="582" t="s">
        <v>10</v>
      </c>
      <c r="H339" s="582" t="s">
        <v>450</v>
      </c>
      <c r="I339" t="s">
        <v>499</v>
      </c>
      <c r="J339">
        <v>0.4</v>
      </c>
      <c r="K339" t="s">
        <v>2171</v>
      </c>
    </row>
    <row r="340" spans="1:11" hidden="1" x14ac:dyDescent="0.25">
      <c r="A340">
        <v>3230487</v>
      </c>
      <c r="B340" t="s">
        <v>498</v>
      </c>
      <c r="C340">
        <v>9.2999999999999999E-2</v>
      </c>
      <c r="D340">
        <v>789</v>
      </c>
      <c r="E340" t="s">
        <v>60</v>
      </c>
      <c r="F340">
        <v>880</v>
      </c>
      <c r="G340" s="582" t="s">
        <v>10</v>
      </c>
      <c r="H340" s="582" t="s">
        <v>450</v>
      </c>
      <c r="I340" t="s">
        <v>499</v>
      </c>
      <c r="J340">
        <v>0.4</v>
      </c>
      <c r="K340" t="s">
        <v>2171</v>
      </c>
    </row>
    <row r="341" spans="1:11" hidden="1" x14ac:dyDescent="0.25">
      <c r="A341">
        <v>3230487</v>
      </c>
      <c r="B341" t="s">
        <v>498</v>
      </c>
      <c r="C341">
        <v>0.18565200000000001</v>
      </c>
      <c r="D341">
        <v>789</v>
      </c>
      <c r="E341" t="s">
        <v>60</v>
      </c>
      <c r="F341">
        <v>881</v>
      </c>
      <c r="G341" s="582" t="s">
        <v>10</v>
      </c>
      <c r="H341" s="582" t="s">
        <v>450</v>
      </c>
      <c r="I341" t="s">
        <v>499</v>
      </c>
      <c r="J341">
        <v>0.4</v>
      </c>
      <c r="K341" t="s">
        <v>2171</v>
      </c>
    </row>
    <row r="342" spans="1:11" hidden="1" x14ac:dyDescent="0.25">
      <c r="A342">
        <v>3230487</v>
      </c>
      <c r="B342" t="s">
        <v>498</v>
      </c>
      <c r="C342">
        <v>0.379</v>
      </c>
      <c r="D342">
        <v>789</v>
      </c>
      <c r="E342" t="s">
        <v>60</v>
      </c>
      <c r="F342">
        <v>882</v>
      </c>
      <c r="G342" s="582" t="s">
        <v>10</v>
      </c>
      <c r="H342" s="582" t="s">
        <v>450</v>
      </c>
      <c r="I342" t="s">
        <v>499</v>
      </c>
      <c r="J342">
        <v>0.4</v>
      </c>
      <c r="K342" t="s">
        <v>2171</v>
      </c>
    </row>
    <row r="343" spans="1:11" hidden="1" x14ac:dyDescent="0.25">
      <c r="A343">
        <v>2422190</v>
      </c>
      <c r="B343" t="s">
        <v>2015</v>
      </c>
      <c r="C343">
        <v>1.0553999999999999E-2</v>
      </c>
      <c r="D343">
        <v>789</v>
      </c>
      <c r="E343" t="s">
        <v>72</v>
      </c>
      <c r="F343">
        <v>307</v>
      </c>
      <c r="G343" s="582" t="s">
        <v>10</v>
      </c>
      <c r="H343" s="582" t="s">
        <v>604</v>
      </c>
      <c r="I343" t="s">
        <v>2246</v>
      </c>
      <c r="J343">
        <v>0.26500000000000001</v>
      </c>
      <c r="K343" t="s">
        <v>2171</v>
      </c>
    </row>
    <row r="344" spans="1:11" hidden="1" x14ac:dyDescent="0.25">
      <c r="A344">
        <v>3230488</v>
      </c>
      <c r="B344" t="s">
        <v>496</v>
      </c>
      <c r="C344">
        <v>1.5339999999999999E-2</v>
      </c>
      <c r="D344">
        <v>789</v>
      </c>
      <c r="E344" t="s">
        <v>60</v>
      </c>
      <c r="F344">
        <v>825</v>
      </c>
      <c r="G344" s="582" t="s">
        <v>10</v>
      </c>
      <c r="H344" s="582" t="s">
        <v>450</v>
      </c>
      <c r="I344" t="s">
        <v>497</v>
      </c>
      <c r="J344">
        <v>0.47</v>
      </c>
      <c r="K344" t="s">
        <v>2171</v>
      </c>
    </row>
    <row r="345" spans="1:11" hidden="1" x14ac:dyDescent="0.25">
      <c r="A345">
        <v>3230488</v>
      </c>
      <c r="B345" t="s">
        <v>496</v>
      </c>
      <c r="C345">
        <v>1.82E-3</v>
      </c>
      <c r="D345">
        <v>789</v>
      </c>
      <c r="E345" t="s">
        <v>60</v>
      </c>
      <c r="F345">
        <v>826</v>
      </c>
      <c r="G345" s="582" t="s">
        <v>10</v>
      </c>
      <c r="H345" s="582" t="s">
        <v>450</v>
      </c>
      <c r="I345" t="s">
        <v>497</v>
      </c>
      <c r="J345">
        <v>0.47</v>
      </c>
      <c r="K345" t="s">
        <v>2171</v>
      </c>
    </row>
    <row r="346" spans="1:11" hidden="1" x14ac:dyDescent="0.25">
      <c r="A346">
        <v>3230488</v>
      </c>
      <c r="B346" t="s">
        <v>496</v>
      </c>
      <c r="C346">
        <v>1.82E-3</v>
      </c>
      <c r="D346">
        <v>789</v>
      </c>
      <c r="E346" t="s">
        <v>60</v>
      </c>
      <c r="F346">
        <v>827</v>
      </c>
      <c r="G346" s="582" t="s">
        <v>10</v>
      </c>
      <c r="H346" s="582" t="s">
        <v>450</v>
      </c>
      <c r="I346" t="s">
        <v>497</v>
      </c>
      <c r="J346">
        <v>0.47</v>
      </c>
      <c r="K346" t="s">
        <v>2171</v>
      </c>
    </row>
    <row r="347" spans="1:11" hidden="1" x14ac:dyDescent="0.25">
      <c r="A347">
        <v>3230488</v>
      </c>
      <c r="B347" t="s">
        <v>496</v>
      </c>
      <c r="C347">
        <v>6.5000000000000002E-2</v>
      </c>
      <c r="D347">
        <v>789</v>
      </c>
      <c r="E347" t="s">
        <v>60</v>
      </c>
      <c r="F347">
        <v>828</v>
      </c>
      <c r="G347" s="582" t="s">
        <v>10</v>
      </c>
      <c r="H347" s="582" t="s">
        <v>450</v>
      </c>
      <c r="I347" t="s">
        <v>497</v>
      </c>
      <c r="J347">
        <v>0.47</v>
      </c>
      <c r="K347" t="s">
        <v>2171</v>
      </c>
    </row>
    <row r="348" spans="1:11" hidden="1" x14ac:dyDescent="0.25">
      <c r="A348">
        <v>3230488</v>
      </c>
      <c r="B348" t="s">
        <v>496</v>
      </c>
      <c r="C348">
        <v>0.13</v>
      </c>
      <c r="D348">
        <v>789</v>
      </c>
      <c r="E348" t="s">
        <v>60</v>
      </c>
      <c r="F348">
        <v>829</v>
      </c>
      <c r="G348" s="582" t="s">
        <v>10</v>
      </c>
      <c r="H348" s="582" t="s">
        <v>450</v>
      </c>
      <c r="I348" t="s">
        <v>497</v>
      </c>
      <c r="J348">
        <v>0.47</v>
      </c>
      <c r="K348" t="s">
        <v>2171</v>
      </c>
    </row>
    <row r="349" spans="1:11" hidden="1" x14ac:dyDescent="0.25">
      <c r="A349">
        <v>3230488</v>
      </c>
      <c r="B349" t="s">
        <v>496</v>
      </c>
      <c r="C349">
        <v>0.04</v>
      </c>
      <c r="D349">
        <v>789</v>
      </c>
      <c r="E349" t="s">
        <v>60</v>
      </c>
      <c r="F349">
        <v>830</v>
      </c>
      <c r="G349" s="582" t="s">
        <v>10</v>
      </c>
      <c r="H349" s="582" t="s">
        <v>450</v>
      </c>
      <c r="I349" t="s">
        <v>497</v>
      </c>
      <c r="J349">
        <v>0.47</v>
      </c>
      <c r="K349" t="s">
        <v>2171</v>
      </c>
    </row>
    <row r="350" spans="1:11" hidden="1" x14ac:dyDescent="0.25">
      <c r="A350">
        <v>3230488</v>
      </c>
      <c r="B350" t="s">
        <v>496</v>
      </c>
      <c r="C350">
        <v>4.0000000000000001E-3</v>
      </c>
      <c r="D350">
        <v>789</v>
      </c>
      <c r="E350" t="s">
        <v>60</v>
      </c>
      <c r="F350">
        <v>831</v>
      </c>
      <c r="G350" s="582" t="s">
        <v>10</v>
      </c>
      <c r="H350" s="582" t="s">
        <v>450</v>
      </c>
      <c r="I350" t="s">
        <v>497</v>
      </c>
      <c r="J350">
        <v>0.47</v>
      </c>
      <c r="K350" t="s">
        <v>2171</v>
      </c>
    </row>
    <row r="351" spans="1:11" hidden="1" x14ac:dyDescent="0.25">
      <c r="A351">
        <v>3230488</v>
      </c>
      <c r="B351" t="s">
        <v>496</v>
      </c>
      <c r="C351">
        <v>0.25440699999999999</v>
      </c>
      <c r="D351">
        <v>4731</v>
      </c>
      <c r="E351" t="s">
        <v>60</v>
      </c>
      <c r="F351">
        <v>1416</v>
      </c>
      <c r="G351" s="582" t="s">
        <v>10</v>
      </c>
      <c r="H351" s="582" t="s">
        <v>450</v>
      </c>
      <c r="I351" t="s">
        <v>497</v>
      </c>
      <c r="J351">
        <v>0.47</v>
      </c>
      <c r="K351" t="s">
        <v>2171</v>
      </c>
    </row>
    <row r="352" spans="1:11" hidden="1" x14ac:dyDescent="0.25">
      <c r="A352">
        <v>2427712</v>
      </c>
      <c r="B352" t="s">
        <v>700</v>
      </c>
      <c r="C352">
        <v>7.6270000000000001E-3</v>
      </c>
      <c r="D352">
        <v>789</v>
      </c>
      <c r="E352" t="s">
        <v>18</v>
      </c>
      <c r="F352">
        <v>308</v>
      </c>
      <c r="G352" s="582" t="s">
        <v>10</v>
      </c>
      <c r="H352" s="582" t="s">
        <v>407</v>
      </c>
      <c r="I352" t="s">
        <v>701</v>
      </c>
      <c r="J352">
        <v>0.255</v>
      </c>
      <c r="K352" t="s">
        <v>2171</v>
      </c>
    </row>
    <row r="353" spans="1:11" hidden="1" x14ac:dyDescent="0.25">
      <c r="A353">
        <v>3571869</v>
      </c>
      <c r="B353" t="s">
        <v>1267</v>
      </c>
      <c r="C353">
        <v>2.7300000000000001E-2</v>
      </c>
      <c r="D353">
        <v>789</v>
      </c>
      <c r="E353" t="s">
        <v>60</v>
      </c>
      <c r="F353">
        <v>1202</v>
      </c>
      <c r="G353" s="582" t="s">
        <v>10</v>
      </c>
      <c r="H353" s="582" t="s">
        <v>450</v>
      </c>
      <c r="I353" t="s">
        <v>2248</v>
      </c>
      <c r="J353">
        <v>0.48599999999999999</v>
      </c>
      <c r="K353" t="s">
        <v>2171</v>
      </c>
    </row>
    <row r="354" spans="1:11" hidden="1" x14ac:dyDescent="0.25">
      <c r="A354">
        <v>3571869</v>
      </c>
      <c r="B354" t="s">
        <v>1267</v>
      </c>
      <c r="C354">
        <v>0.32250000000000001</v>
      </c>
      <c r="D354">
        <v>789</v>
      </c>
      <c r="E354" t="s">
        <v>60</v>
      </c>
      <c r="F354">
        <v>1203</v>
      </c>
      <c r="G354" s="582" t="s">
        <v>10</v>
      </c>
      <c r="H354" s="582" t="s">
        <v>450</v>
      </c>
      <c r="I354" t="s">
        <v>2248</v>
      </c>
      <c r="J354">
        <v>0.48599999999999999</v>
      </c>
      <c r="K354" t="s">
        <v>2171</v>
      </c>
    </row>
    <row r="355" spans="1:11" hidden="1" x14ac:dyDescent="0.25">
      <c r="A355">
        <v>2427960</v>
      </c>
      <c r="B355" t="s">
        <v>1981</v>
      </c>
      <c r="C355">
        <v>5.44E-4</v>
      </c>
      <c r="D355">
        <v>789</v>
      </c>
      <c r="E355" t="s">
        <v>151</v>
      </c>
      <c r="F355">
        <v>309</v>
      </c>
      <c r="G355" s="582" t="s">
        <v>10</v>
      </c>
      <c r="H355" s="582" t="s">
        <v>412</v>
      </c>
      <c r="I355" t="s">
        <v>2247</v>
      </c>
      <c r="J355">
        <v>0.67</v>
      </c>
      <c r="K355" t="s">
        <v>2171</v>
      </c>
    </row>
    <row r="356" spans="1:11" hidden="1" x14ac:dyDescent="0.25">
      <c r="A356">
        <v>2427960</v>
      </c>
      <c r="B356" t="s">
        <v>1981</v>
      </c>
      <c r="C356">
        <v>5.3600000000000002E-4</v>
      </c>
      <c r="D356">
        <v>789</v>
      </c>
      <c r="E356" t="s">
        <v>151</v>
      </c>
      <c r="F356">
        <v>447</v>
      </c>
      <c r="G356" s="582" t="s">
        <v>10</v>
      </c>
      <c r="H356" s="582" t="s">
        <v>412</v>
      </c>
      <c r="I356" t="s">
        <v>2247</v>
      </c>
      <c r="J356">
        <v>0.67</v>
      </c>
      <c r="K356" t="s">
        <v>2171</v>
      </c>
    </row>
    <row r="357" spans="1:11" hidden="1" x14ac:dyDescent="0.25">
      <c r="A357">
        <v>3571870</v>
      </c>
      <c r="B357" t="s">
        <v>525</v>
      </c>
      <c r="C357">
        <v>2.9599999999999998E-4</v>
      </c>
      <c r="D357">
        <v>789</v>
      </c>
      <c r="E357" t="s">
        <v>60</v>
      </c>
      <c r="F357">
        <v>1189</v>
      </c>
      <c r="G357" s="582" t="s">
        <v>10</v>
      </c>
      <c r="H357" s="582" t="s">
        <v>450</v>
      </c>
      <c r="I357" t="s">
        <v>526</v>
      </c>
      <c r="J357">
        <v>0.54</v>
      </c>
      <c r="K357" t="s">
        <v>2171</v>
      </c>
    </row>
    <row r="358" spans="1:11" hidden="1" x14ac:dyDescent="0.25">
      <c r="A358">
        <v>3571870</v>
      </c>
      <c r="B358" t="s">
        <v>525</v>
      </c>
      <c r="C358">
        <v>2.9499999999999996E-4</v>
      </c>
      <c r="D358">
        <v>789</v>
      </c>
      <c r="E358" t="s">
        <v>60</v>
      </c>
      <c r="F358">
        <v>1190</v>
      </c>
      <c r="G358" s="582" t="s">
        <v>10</v>
      </c>
      <c r="H358" s="582" t="s">
        <v>450</v>
      </c>
      <c r="I358" t="s">
        <v>526</v>
      </c>
      <c r="J358">
        <v>0.54</v>
      </c>
      <c r="K358" t="s">
        <v>2171</v>
      </c>
    </row>
    <row r="359" spans="1:11" hidden="1" x14ac:dyDescent="0.25">
      <c r="A359">
        <v>3571870</v>
      </c>
      <c r="B359" t="s">
        <v>525</v>
      </c>
      <c r="C359">
        <v>2.9700000000000001E-4</v>
      </c>
      <c r="D359">
        <v>789</v>
      </c>
      <c r="E359" t="s">
        <v>60</v>
      </c>
      <c r="F359">
        <v>1191</v>
      </c>
      <c r="G359" s="582" t="s">
        <v>10</v>
      </c>
      <c r="H359" s="582" t="s">
        <v>450</v>
      </c>
      <c r="I359" t="s">
        <v>526</v>
      </c>
      <c r="J359">
        <v>0.54</v>
      </c>
      <c r="K359" t="s">
        <v>2171</v>
      </c>
    </row>
    <row r="360" spans="1:11" hidden="1" x14ac:dyDescent="0.25">
      <c r="A360">
        <v>3571870</v>
      </c>
      <c r="B360" t="s">
        <v>525</v>
      </c>
      <c r="C360">
        <v>2.6904999999999998E-2</v>
      </c>
      <c r="D360">
        <v>789</v>
      </c>
      <c r="E360" t="s">
        <v>60</v>
      </c>
      <c r="F360">
        <v>1192</v>
      </c>
      <c r="G360" s="582" t="s">
        <v>10</v>
      </c>
      <c r="H360" s="582" t="s">
        <v>450</v>
      </c>
      <c r="I360" t="s">
        <v>526</v>
      </c>
      <c r="J360">
        <v>0.54</v>
      </c>
      <c r="K360" t="s">
        <v>2171</v>
      </c>
    </row>
    <row r="361" spans="1:11" hidden="1" x14ac:dyDescent="0.25">
      <c r="A361">
        <v>3571870</v>
      </c>
      <c r="B361" t="s">
        <v>525</v>
      </c>
      <c r="C361">
        <v>1.7110000000000001E-3</v>
      </c>
      <c r="D361">
        <v>789</v>
      </c>
      <c r="E361" t="s">
        <v>60</v>
      </c>
      <c r="F361">
        <v>1193</v>
      </c>
      <c r="G361" s="582" t="s">
        <v>10</v>
      </c>
      <c r="H361" s="582" t="s">
        <v>450</v>
      </c>
      <c r="I361" t="s">
        <v>526</v>
      </c>
      <c r="J361">
        <v>0.54</v>
      </c>
      <c r="K361" t="s">
        <v>2171</v>
      </c>
    </row>
    <row r="362" spans="1:11" hidden="1" x14ac:dyDescent="0.25">
      <c r="A362">
        <v>3571870</v>
      </c>
      <c r="B362" t="s">
        <v>525</v>
      </c>
      <c r="C362">
        <v>3.5924999999999999E-2</v>
      </c>
      <c r="D362">
        <v>789</v>
      </c>
      <c r="E362" t="s">
        <v>60</v>
      </c>
      <c r="F362">
        <v>1194</v>
      </c>
      <c r="G362" s="582" t="s">
        <v>10</v>
      </c>
      <c r="H362" s="582" t="s">
        <v>450</v>
      </c>
      <c r="I362" t="s">
        <v>526</v>
      </c>
      <c r="J362">
        <v>0.54</v>
      </c>
      <c r="K362" t="s">
        <v>2171</v>
      </c>
    </row>
    <row r="363" spans="1:11" hidden="1" x14ac:dyDescent="0.25">
      <c r="A363">
        <v>3571870</v>
      </c>
      <c r="B363" t="s">
        <v>525</v>
      </c>
      <c r="C363">
        <v>9.6000000000000002E-2</v>
      </c>
      <c r="D363">
        <v>789</v>
      </c>
      <c r="E363" t="s">
        <v>60</v>
      </c>
      <c r="F363">
        <v>1195</v>
      </c>
      <c r="G363" s="582" t="s">
        <v>10</v>
      </c>
      <c r="H363" s="582" t="s">
        <v>450</v>
      </c>
      <c r="I363" t="s">
        <v>526</v>
      </c>
      <c r="J363">
        <v>0.54</v>
      </c>
      <c r="K363" t="s">
        <v>2171</v>
      </c>
    </row>
    <row r="364" spans="1:11" hidden="1" x14ac:dyDescent="0.25">
      <c r="A364">
        <v>3571870</v>
      </c>
      <c r="B364" t="s">
        <v>525</v>
      </c>
      <c r="C364">
        <v>0.13300000000000001</v>
      </c>
      <c r="D364">
        <v>789</v>
      </c>
      <c r="E364" t="s">
        <v>60</v>
      </c>
      <c r="F364">
        <v>1196</v>
      </c>
      <c r="G364" s="582" t="s">
        <v>10</v>
      </c>
      <c r="H364" s="582" t="s">
        <v>450</v>
      </c>
      <c r="I364" t="s">
        <v>526</v>
      </c>
      <c r="J364">
        <v>0.54</v>
      </c>
      <c r="K364" t="s">
        <v>2171</v>
      </c>
    </row>
    <row r="365" spans="1:11" hidden="1" x14ac:dyDescent="0.25">
      <c r="A365">
        <v>3571870</v>
      </c>
      <c r="B365" t="s">
        <v>525</v>
      </c>
      <c r="C365">
        <v>3.0000000000000001E-3</v>
      </c>
      <c r="D365">
        <v>789</v>
      </c>
      <c r="E365" t="s">
        <v>60</v>
      </c>
      <c r="F365">
        <v>1197</v>
      </c>
      <c r="G365" s="582" t="s">
        <v>10</v>
      </c>
      <c r="H365" s="582" t="s">
        <v>450</v>
      </c>
      <c r="I365" t="s">
        <v>526</v>
      </c>
      <c r="J365">
        <v>0.54</v>
      </c>
      <c r="K365" t="s">
        <v>2171</v>
      </c>
    </row>
    <row r="366" spans="1:11" hidden="1" x14ac:dyDescent="0.25">
      <c r="A366">
        <v>3233554</v>
      </c>
      <c r="B366" t="s">
        <v>480</v>
      </c>
      <c r="C366">
        <v>0.23849999999999999</v>
      </c>
      <c r="D366">
        <v>789</v>
      </c>
      <c r="E366" t="s">
        <v>60</v>
      </c>
      <c r="F366">
        <v>316</v>
      </c>
      <c r="G366" s="582" t="s">
        <v>10</v>
      </c>
      <c r="H366" s="582" t="s">
        <v>456</v>
      </c>
      <c r="I366" t="s">
        <v>481</v>
      </c>
      <c r="J366">
        <v>1.246</v>
      </c>
      <c r="K366" t="s">
        <v>2171</v>
      </c>
    </row>
    <row r="367" spans="1:11" hidden="1" x14ac:dyDescent="0.25">
      <c r="A367">
        <v>3233554</v>
      </c>
      <c r="B367" t="s">
        <v>480</v>
      </c>
      <c r="C367">
        <v>5.1250000000000002E-3</v>
      </c>
      <c r="D367">
        <v>789</v>
      </c>
      <c r="E367" t="s">
        <v>60</v>
      </c>
      <c r="F367">
        <v>317</v>
      </c>
      <c r="G367" s="582" t="s">
        <v>10</v>
      </c>
      <c r="H367" s="582" t="s">
        <v>456</v>
      </c>
      <c r="I367" t="s">
        <v>481</v>
      </c>
      <c r="J367">
        <v>1.246</v>
      </c>
      <c r="K367" t="s">
        <v>2171</v>
      </c>
    </row>
    <row r="368" spans="1:11" hidden="1" x14ac:dyDescent="0.25">
      <c r="A368">
        <v>3233554</v>
      </c>
      <c r="B368" t="s">
        <v>480</v>
      </c>
      <c r="C368">
        <v>0.39697700000000002</v>
      </c>
      <c r="D368">
        <v>789</v>
      </c>
      <c r="E368" t="s">
        <v>60</v>
      </c>
      <c r="F368">
        <v>318</v>
      </c>
      <c r="G368" s="582" t="s">
        <v>10</v>
      </c>
      <c r="H368" s="582" t="s">
        <v>456</v>
      </c>
      <c r="I368" t="s">
        <v>481</v>
      </c>
      <c r="J368">
        <v>1.246</v>
      </c>
      <c r="K368" t="s">
        <v>2171</v>
      </c>
    </row>
    <row r="369" spans="1:11" hidden="1" x14ac:dyDescent="0.25">
      <c r="A369">
        <v>3233554</v>
      </c>
      <c r="B369" t="s">
        <v>480</v>
      </c>
      <c r="C369">
        <v>1.3714999999999999</v>
      </c>
      <c r="D369">
        <v>789</v>
      </c>
      <c r="E369" t="s">
        <v>60</v>
      </c>
      <c r="F369">
        <v>319</v>
      </c>
      <c r="G369" s="582" t="s">
        <v>10</v>
      </c>
      <c r="H369" s="582" t="s">
        <v>456</v>
      </c>
      <c r="I369" t="s">
        <v>481</v>
      </c>
      <c r="J369">
        <v>1.246</v>
      </c>
      <c r="K369" t="s">
        <v>2171</v>
      </c>
    </row>
    <row r="370" spans="1:11" hidden="1" x14ac:dyDescent="0.25">
      <c r="A370">
        <v>3572031</v>
      </c>
      <c r="B370" t="s">
        <v>1272</v>
      </c>
      <c r="C370">
        <v>7.8E-2</v>
      </c>
      <c r="D370">
        <v>789</v>
      </c>
      <c r="E370" t="s">
        <v>60</v>
      </c>
      <c r="F370">
        <v>1219</v>
      </c>
      <c r="G370" s="582" t="s">
        <v>10</v>
      </c>
      <c r="H370" s="582" t="s">
        <v>450</v>
      </c>
      <c r="I370" t="s">
        <v>2252</v>
      </c>
      <c r="J370">
        <v>0.71</v>
      </c>
      <c r="K370" t="s">
        <v>2171</v>
      </c>
    </row>
    <row r="371" spans="1:11" hidden="1" x14ac:dyDescent="0.25">
      <c r="A371">
        <v>3572031</v>
      </c>
      <c r="B371" t="s">
        <v>1272</v>
      </c>
      <c r="C371">
        <v>0.94199999999999995</v>
      </c>
      <c r="D371">
        <v>789</v>
      </c>
      <c r="E371" t="s">
        <v>60</v>
      </c>
      <c r="F371">
        <v>1220</v>
      </c>
      <c r="G371" s="582" t="s">
        <v>10</v>
      </c>
      <c r="H371" s="582" t="s">
        <v>450</v>
      </c>
      <c r="I371" t="s">
        <v>2252</v>
      </c>
      <c r="J371">
        <v>0.71</v>
      </c>
      <c r="K371" t="s">
        <v>2171</v>
      </c>
    </row>
    <row r="372" spans="1:11" hidden="1" x14ac:dyDescent="0.25">
      <c r="A372">
        <v>3572032</v>
      </c>
      <c r="B372" t="s">
        <v>1274</v>
      </c>
      <c r="C372">
        <v>6.2E-2</v>
      </c>
      <c r="D372">
        <v>789</v>
      </c>
      <c r="E372" t="s">
        <v>60</v>
      </c>
      <c r="F372">
        <v>1170</v>
      </c>
      <c r="G372" s="582" t="s">
        <v>10</v>
      </c>
      <c r="H372" s="582" t="s">
        <v>450</v>
      </c>
      <c r="I372" t="s">
        <v>2253</v>
      </c>
      <c r="J372">
        <v>0.75</v>
      </c>
      <c r="K372" t="s">
        <v>2171</v>
      </c>
    </row>
    <row r="373" spans="1:11" hidden="1" x14ac:dyDescent="0.25">
      <c r="A373">
        <v>3572032</v>
      </c>
      <c r="B373" t="s">
        <v>1274</v>
      </c>
      <c r="C373">
        <v>1.0369999999999999</v>
      </c>
      <c r="D373">
        <v>789</v>
      </c>
      <c r="E373" t="s">
        <v>60</v>
      </c>
      <c r="F373">
        <v>1171</v>
      </c>
      <c r="G373" s="582" t="s">
        <v>10</v>
      </c>
      <c r="H373" s="582" t="s">
        <v>450</v>
      </c>
      <c r="I373" t="s">
        <v>2253</v>
      </c>
      <c r="J373">
        <v>0.75</v>
      </c>
      <c r="K373" t="s">
        <v>2171</v>
      </c>
    </row>
    <row r="374" spans="1:11" hidden="1" x14ac:dyDescent="0.25">
      <c r="A374">
        <v>4151426</v>
      </c>
      <c r="B374" t="s">
        <v>511</v>
      </c>
      <c r="C374">
        <v>1.7663000000000002E-2</v>
      </c>
      <c r="D374">
        <v>789</v>
      </c>
      <c r="E374" t="s">
        <v>60</v>
      </c>
      <c r="F374">
        <v>1031</v>
      </c>
      <c r="G374" s="582" t="s">
        <v>10</v>
      </c>
      <c r="H374" s="582" t="s">
        <v>450</v>
      </c>
      <c r="I374" t="s">
        <v>512</v>
      </c>
      <c r="J374">
        <v>0.755</v>
      </c>
      <c r="K374" t="s">
        <v>2171</v>
      </c>
    </row>
    <row r="375" spans="1:11" hidden="1" x14ac:dyDescent="0.25">
      <c r="A375">
        <v>4151426</v>
      </c>
      <c r="B375" t="s">
        <v>511</v>
      </c>
      <c r="C375">
        <v>3.7580000000000001E-3</v>
      </c>
      <c r="D375">
        <v>789</v>
      </c>
      <c r="E375" t="s">
        <v>60</v>
      </c>
      <c r="F375">
        <v>1032</v>
      </c>
      <c r="G375" s="582" t="s">
        <v>10</v>
      </c>
      <c r="H375" s="582" t="s">
        <v>450</v>
      </c>
      <c r="I375" t="s">
        <v>512</v>
      </c>
      <c r="J375">
        <v>0.755</v>
      </c>
      <c r="K375" t="s">
        <v>2171</v>
      </c>
    </row>
    <row r="376" spans="1:11" hidden="1" x14ac:dyDescent="0.25">
      <c r="A376">
        <v>4151426</v>
      </c>
      <c r="B376" t="s">
        <v>511</v>
      </c>
      <c r="C376">
        <v>7.7499999999999999E-3</v>
      </c>
      <c r="D376">
        <v>789</v>
      </c>
      <c r="E376" t="s">
        <v>60</v>
      </c>
      <c r="F376">
        <v>1033</v>
      </c>
      <c r="G376" s="582" t="s">
        <v>10</v>
      </c>
      <c r="H376" s="582" t="s">
        <v>450</v>
      </c>
      <c r="I376" t="s">
        <v>512</v>
      </c>
      <c r="J376">
        <v>0.755</v>
      </c>
      <c r="K376" t="s">
        <v>2171</v>
      </c>
    </row>
    <row r="377" spans="1:11" hidden="1" x14ac:dyDescent="0.25">
      <c r="A377">
        <v>4151426</v>
      </c>
      <c r="B377" t="s">
        <v>511</v>
      </c>
      <c r="C377">
        <v>4.17E-4</v>
      </c>
      <c r="D377">
        <v>789</v>
      </c>
      <c r="E377" t="s">
        <v>60</v>
      </c>
      <c r="F377">
        <v>1034</v>
      </c>
      <c r="G377" s="582" t="s">
        <v>10</v>
      </c>
      <c r="H377" s="582" t="s">
        <v>450</v>
      </c>
      <c r="I377" t="s">
        <v>512</v>
      </c>
      <c r="J377">
        <v>0.755</v>
      </c>
      <c r="K377" t="s">
        <v>2171</v>
      </c>
    </row>
    <row r="378" spans="1:11" hidden="1" x14ac:dyDescent="0.25">
      <c r="A378">
        <v>4151426</v>
      </c>
      <c r="B378" t="s">
        <v>511</v>
      </c>
      <c r="C378">
        <v>1.0016659999999999</v>
      </c>
      <c r="D378">
        <v>789</v>
      </c>
      <c r="E378" t="s">
        <v>60</v>
      </c>
      <c r="F378">
        <v>1035</v>
      </c>
      <c r="G378" s="582" t="s">
        <v>10</v>
      </c>
      <c r="H378" s="582" t="s">
        <v>450</v>
      </c>
      <c r="I378" t="s">
        <v>512</v>
      </c>
      <c r="J378">
        <v>0.755</v>
      </c>
      <c r="K378" t="s">
        <v>2171</v>
      </c>
    </row>
    <row r="379" spans="1:11" hidden="1" x14ac:dyDescent="0.25">
      <c r="A379">
        <v>4151426</v>
      </c>
      <c r="B379" t="s">
        <v>511</v>
      </c>
      <c r="C379">
        <v>0.14599899999999999</v>
      </c>
      <c r="D379">
        <v>789</v>
      </c>
      <c r="E379" t="s">
        <v>60</v>
      </c>
      <c r="F379">
        <v>1036</v>
      </c>
      <c r="G379" s="582" t="s">
        <v>10</v>
      </c>
      <c r="H379" s="582" t="s">
        <v>450</v>
      </c>
      <c r="I379" t="s">
        <v>512</v>
      </c>
      <c r="J379">
        <v>0.755</v>
      </c>
      <c r="K379" t="s">
        <v>2171</v>
      </c>
    </row>
    <row r="380" spans="1:11" hidden="1" x14ac:dyDescent="0.25">
      <c r="A380">
        <v>4151426</v>
      </c>
      <c r="B380" t="s">
        <v>511</v>
      </c>
      <c r="C380">
        <v>4.17E-4</v>
      </c>
      <c r="D380">
        <v>789</v>
      </c>
      <c r="E380" t="s">
        <v>60</v>
      </c>
      <c r="F380">
        <v>1037</v>
      </c>
      <c r="G380" s="582" t="s">
        <v>10</v>
      </c>
      <c r="H380" s="582" t="s">
        <v>450</v>
      </c>
      <c r="I380" t="s">
        <v>512</v>
      </c>
      <c r="J380">
        <v>0.755</v>
      </c>
      <c r="K380" t="s">
        <v>2171</v>
      </c>
    </row>
    <row r="381" spans="1:11" hidden="1" x14ac:dyDescent="0.25">
      <c r="A381">
        <v>3507568</v>
      </c>
      <c r="B381" t="s">
        <v>2027</v>
      </c>
      <c r="C381">
        <v>0.19919600000000001</v>
      </c>
      <c r="D381">
        <v>789</v>
      </c>
      <c r="E381" t="s">
        <v>44</v>
      </c>
      <c r="F381">
        <v>322</v>
      </c>
      <c r="G381" s="582" t="s">
        <v>10</v>
      </c>
      <c r="H381" s="582" t="s">
        <v>607</v>
      </c>
      <c r="I381" t="s">
        <v>2254</v>
      </c>
      <c r="J381">
        <v>0.68100000000000005</v>
      </c>
      <c r="K381" t="s">
        <v>2171</v>
      </c>
    </row>
    <row r="382" spans="1:11" hidden="1" x14ac:dyDescent="0.25">
      <c r="A382">
        <v>3572033</v>
      </c>
      <c r="B382" t="s">
        <v>1276</v>
      </c>
      <c r="C382">
        <v>2.1999999999999999E-2</v>
      </c>
      <c r="D382">
        <v>789</v>
      </c>
      <c r="E382" t="s">
        <v>60</v>
      </c>
      <c r="F382">
        <v>1259</v>
      </c>
      <c r="G382" s="582" t="s">
        <v>10</v>
      </c>
      <c r="H382" s="582" t="s">
        <v>450</v>
      </c>
      <c r="I382" t="s">
        <v>2255</v>
      </c>
      <c r="J382">
        <v>0.79</v>
      </c>
      <c r="K382" t="s">
        <v>2171</v>
      </c>
    </row>
    <row r="383" spans="1:11" hidden="1" x14ac:dyDescent="0.25">
      <c r="A383">
        <v>3572033</v>
      </c>
      <c r="B383" t="s">
        <v>1276</v>
      </c>
      <c r="C383">
        <v>4.3999999999999997E-2</v>
      </c>
      <c r="D383">
        <v>789</v>
      </c>
      <c r="E383" t="s">
        <v>60</v>
      </c>
      <c r="F383">
        <v>1260</v>
      </c>
      <c r="G383" s="582" t="s">
        <v>10</v>
      </c>
      <c r="H383" s="582" t="s">
        <v>450</v>
      </c>
      <c r="I383" t="s">
        <v>2255</v>
      </c>
      <c r="J383">
        <v>0.79</v>
      </c>
      <c r="K383" t="s">
        <v>2171</v>
      </c>
    </row>
    <row r="384" spans="1:11" hidden="1" x14ac:dyDescent="0.25">
      <c r="A384">
        <v>4151429</v>
      </c>
      <c r="B384" t="s">
        <v>494</v>
      </c>
      <c r="C384">
        <v>6.9439999999999997E-3</v>
      </c>
      <c r="D384">
        <v>789</v>
      </c>
      <c r="E384" t="s">
        <v>60</v>
      </c>
      <c r="F384">
        <v>796</v>
      </c>
      <c r="G384" s="582" t="s">
        <v>10</v>
      </c>
      <c r="H384" s="582" t="s">
        <v>450</v>
      </c>
      <c r="I384" t="s">
        <v>495</v>
      </c>
      <c r="J384">
        <v>0.79500000000000004</v>
      </c>
      <c r="K384" t="s">
        <v>2171</v>
      </c>
    </row>
    <row r="385" spans="1:11" hidden="1" x14ac:dyDescent="0.25">
      <c r="A385">
        <v>4151429</v>
      </c>
      <c r="B385" t="s">
        <v>494</v>
      </c>
      <c r="C385">
        <v>1.627211</v>
      </c>
      <c r="D385">
        <v>789</v>
      </c>
      <c r="E385" t="s">
        <v>60</v>
      </c>
      <c r="F385">
        <v>797</v>
      </c>
      <c r="G385" s="582" t="s">
        <v>10</v>
      </c>
      <c r="H385" s="582" t="s">
        <v>450</v>
      </c>
      <c r="I385" t="s">
        <v>495</v>
      </c>
      <c r="J385">
        <v>0.79500000000000004</v>
      </c>
      <c r="K385" t="s">
        <v>2171</v>
      </c>
    </row>
    <row r="386" spans="1:11" hidden="1" x14ac:dyDescent="0.25">
      <c r="A386">
        <v>3931836</v>
      </c>
      <c r="B386" t="s">
        <v>612</v>
      </c>
      <c r="C386">
        <v>1.7263999999999998E-2</v>
      </c>
      <c r="D386">
        <v>789</v>
      </c>
      <c r="E386" t="s">
        <v>30</v>
      </c>
      <c r="F386">
        <v>891</v>
      </c>
      <c r="G386" s="582" t="s">
        <v>10</v>
      </c>
      <c r="H386" s="582" t="s">
        <v>450</v>
      </c>
      <c r="I386" t="s">
        <v>613</v>
      </c>
      <c r="J386">
        <v>0.8</v>
      </c>
      <c r="K386" t="s">
        <v>2171</v>
      </c>
    </row>
    <row r="387" spans="1:11" hidden="1" x14ac:dyDescent="0.25">
      <c r="A387">
        <v>3931836</v>
      </c>
      <c r="B387" t="s">
        <v>612</v>
      </c>
      <c r="C387">
        <v>7.306E-3</v>
      </c>
      <c r="D387">
        <v>789</v>
      </c>
      <c r="E387" t="s">
        <v>30</v>
      </c>
      <c r="F387">
        <v>892</v>
      </c>
      <c r="G387" s="582" t="s">
        <v>10</v>
      </c>
      <c r="H387" s="582" t="s">
        <v>450</v>
      </c>
      <c r="I387" t="s">
        <v>613</v>
      </c>
      <c r="J387">
        <v>0.8</v>
      </c>
      <c r="K387" t="s">
        <v>2171</v>
      </c>
    </row>
    <row r="388" spans="1:11" hidden="1" x14ac:dyDescent="0.25">
      <c r="A388">
        <v>3931836</v>
      </c>
      <c r="B388" t="s">
        <v>612</v>
      </c>
      <c r="C388">
        <v>4.2979999999999997E-3</v>
      </c>
      <c r="D388">
        <v>789</v>
      </c>
      <c r="E388" t="s">
        <v>30</v>
      </c>
      <c r="F388">
        <v>893</v>
      </c>
      <c r="G388" s="582" t="s">
        <v>10</v>
      </c>
      <c r="H388" s="582" t="s">
        <v>450</v>
      </c>
      <c r="I388" t="s">
        <v>613</v>
      </c>
      <c r="J388">
        <v>0.8</v>
      </c>
      <c r="K388" t="s">
        <v>2171</v>
      </c>
    </row>
    <row r="389" spans="1:11" hidden="1" x14ac:dyDescent="0.25">
      <c r="A389">
        <v>3931836</v>
      </c>
      <c r="B389" t="s">
        <v>612</v>
      </c>
      <c r="C389">
        <v>0.32896700000000001</v>
      </c>
      <c r="D389">
        <v>789</v>
      </c>
      <c r="E389" t="s">
        <v>30</v>
      </c>
      <c r="F389">
        <v>894</v>
      </c>
      <c r="G389" s="582" t="s">
        <v>10</v>
      </c>
      <c r="H389" s="582" t="s">
        <v>450</v>
      </c>
      <c r="I389" t="s">
        <v>613</v>
      </c>
      <c r="J389">
        <v>0.8</v>
      </c>
      <c r="K389" t="s">
        <v>2171</v>
      </c>
    </row>
    <row r="390" spans="1:11" hidden="1" x14ac:dyDescent="0.25">
      <c r="A390">
        <v>3931836</v>
      </c>
      <c r="B390" t="s">
        <v>612</v>
      </c>
      <c r="C390">
        <v>0.50596699999999994</v>
      </c>
      <c r="D390">
        <v>789</v>
      </c>
      <c r="E390" t="s">
        <v>30</v>
      </c>
      <c r="F390">
        <v>895</v>
      </c>
      <c r="G390" s="582" t="s">
        <v>10</v>
      </c>
      <c r="H390" s="582" t="s">
        <v>450</v>
      </c>
      <c r="I390" t="s">
        <v>613</v>
      </c>
      <c r="J390">
        <v>0.8</v>
      </c>
      <c r="K390" t="s">
        <v>2171</v>
      </c>
    </row>
    <row r="391" spans="1:11" hidden="1" x14ac:dyDescent="0.25">
      <c r="A391">
        <v>4151425</v>
      </c>
      <c r="B391" t="s">
        <v>523</v>
      </c>
      <c r="C391">
        <v>1.3320000000000001E-3</v>
      </c>
      <c r="D391">
        <v>789</v>
      </c>
      <c r="E391" t="s">
        <v>60</v>
      </c>
      <c r="F391">
        <v>1166</v>
      </c>
      <c r="G391" s="582" t="s">
        <v>10</v>
      </c>
      <c r="H391" s="582" t="s">
        <v>450</v>
      </c>
      <c r="I391" t="s">
        <v>524</v>
      </c>
      <c r="J391">
        <v>0.83499999999999996</v>
      </c>
      <c r="K391" t="s">
        <v>2171</v>
      </c>
    </row>
    <row r="392" spans="1:11" hidden="1" x14ac:dyDescent="0.25">
      <c r="A392">
        <v>3230485</v>
      </c>
      <c r="B392" t="s">
        <v>616</v>
      </c>
      <c r="C392">
        <v>1.2985E-2</v>
      </c>
      <c r="D392">
        <v>789</v>
      </c>
      <c r="E392" t="s">
        <v>30</v>
      </c>
      <c r="F392">
        <v>820</v>
      </c>
      <c r="G392" s="582" t="s">
        <v>10</v>
      </c>
      <c r="H392" s="582" t="s">
        <v>450</v>
      </c>
      <c r="I392" t="s">
        <v>617</v>
      </c>
      <c r="J392">
        <v>0.84</v>
      </c>
      <c r="K392" t="s">
        <v>2171</v>
      </c>
    </row>
    <row r="393" spans="1:11" hidden="1" x14ac:dyDescent="0.25">
      <c r="A393">
        <v>3230485</v>
      </c>
      <c r="B393" t="s">
        <v>616</v>
      </c>
      <c r="C393">
        <v>3.8059999999999997E-2</v>
      </c>
      <c r="D393">
        <v>789</v>
      </c>
      <c r="E393" t="s">
        <v>30</v>
      </c>
      <c r="F393">
        <v>821</v>
      </c>
      <c r="G393" s="582" t="s">
        <v>10</v>
      </c>
      <c r="H393" s="582" t="s">
        <v>450</v>
      </c>
      <c r="I393" t="s">
        <v>617</v>
      </c>
      <c r="J393">
        <v>0.84</v>
      </c>
      <c r="K393" t="s">
        <v>2171</v>
      </c>
    </row>
    <row r="394" spans="1:11" hidden="1" x14ac:dyDescent="0.25">
      <c r="A394">
        <v>3230485</v>
      </c>
      <c r="B394" t="s">
        <v>616</v>
      </c>
      <c r="C394">
        <v>6.5280000000000005E-2</v>
      </c>
      <c r="D394">
        <v>789</v>
      </c>
      <c r="E394" t="s">
        <v>30</v>
      </c>
      <c r="F394">
        <v>822</v>
      </c>
      <c r="G394" s="582" t="s">
        <v>10</v>
      </c>
      <c r="H394" s="582" t="s">
        <v>450</v>
      </c>
      <c r="I394" t="s">
        <v>617</v>
      </c>
      <c r="J394">
        <v>0.84</v>
      </c>
      <c r="K394" t="s">
        <v>2171</v>
      </c>
    </row>
    <row r="395" spans="1:11" hidden="1" x14ac:dyDescent="0.25">
      <c r="A395">
        <v>3230485</v>
      </c>
      <c r="B395" t="s">
        <v>616</v>
      </c>
      <c r="C395">
        <v>0.34899999999999998</v>
      </c>
      <c r="D395">
        <v>789</v>
      </c>
      <c r="E395" t="s">
        <v>30</v>
      </c>
      <c r="F395">
        <v>823</v>
      </c>
      <c r="G395" s="582" t="s">
        <v>10</v>
      </c>
      <c r="H395" s="582" t="s">
        <v>450</v>
      </c>
      <c r="I395" t="s">
        <v>617</v>
      </c>
      <c r="J395">
        <v>0.84</v>
      </c>
      <c r="K395" t="s">
        <v>2171</v>
      </c>
    </row>
    <row r="396" spans="1:11" hidden="1" x14ac:dyDescent="0.25">
      <c r="A396">
        <v>3230485</v>
      </c>
      <c r="B396" t="s">
        <v>616</v>
      </c>
      <c r="C396">
        <v>0.376</v>
      </c>
      <c r="D396">
        <v>789</v>
      </c>
      <c r="E396" t="s">
        <v>30</v>
      </c>
      <c r="F396">
        <v>824</v>
      </c>
      <c r="G396" s="582" t="s">
        <v>10</v>
      </c>
      <c r="H396" s="582" t="s">
        <v>450</v>
      </c>
      <c r="I396" t="s">
        <v>617</v>
      </c>
      <c r="J396">
        <v>0.84</v>
      </c>
      <c r="K396" t="s">
        <v>2171</v>
      </c>
    </row>
    <row r="397" spans="1:11" hidden="1" x14ac:dyDescent="0.25">
      <c r="A397">
        <v>3230492</v>
      </c>
      <c r="B397" t="s">
        <v>614</v>
      </c>
      <c r="C397">
        <v>1.8220000000000001E-3</v>
      </c>
      <c r="D397">
        <v>789</v>
      </c>
      <c r="E397" t="s">
        <v>30</v>
      </c>
      <c r="F397">
        <v>720</v>
      </c>
      <c r="G397" s="582" t="s">
        <v>10</v>
      </c>
      <c r="H397" s="582" t="s">
        <v>450</v>
      </c>
      <c r="I397" t="s">
        <v>615</v>
      </c>
      <c r="J397">
        <v>0.88</v>
      </c>
      <c r="K397" t="s">
        <v>2171</v>
      </c>
    </row>
    <row r="398" spans="1:11" hidden="1" x14ac:dyDescent="0.25">
      <c r="A398">
        <v>3230492</v>
      </c>
      <c r="B398" t="s">
        <v>614</v>
      </c>
      <c r="C398">
        <v>0.72950000000000004</v>
      </c>
      <c r="D398">
        <v>789</v>
      </c>
      <c r="E398" t="s">
        <v>30</v>
      </c>
      <c r="F398">
        <v>721</v>
      </c>
      <c r="G398" s="582" t="s">
        <v>10</v>
      </c>
      <c r="H398" s="582" t="s">
        <v>450</v>
      </c>
      <c r="I398" t="s">
        <v>615</v>
      </c>
      <c r="J398">
        <v>0.88</v>
      </c>
      <c r="K398" t="s">
        <v>2171</v>
      </c>
    </row>
    <row r="399" spans="1:11" hidden="1" x14ac:dyDescent="0.25">
      <c r="A399">
        <v>3572035</v>
      </c>
      <c r="B399" t="s">
        <v>1283</v>
      </c>
      <c r="C399">
        <v>9.8500000000000004E-2</v>
      </c>
      <c r="D399">
        <v>789</v>
      </c>
      <c r="E399" t="s">
        <v>60</v>
      </c>
      <c r="F399">
        <v>1245</v>
      </c>
      <c r="G399" s="582" t="s">
        <v>10</v>
      </c>
      <c r="H399" s="582" t="s">
        <v>450</v>
      </c>
      <c r="I399" t="s">
        <v>2256</v>
      </c>
      <c r="J399">
        <v>0.89</v>
      </c>
      <c r="K399" t="s">
        <v>2171</v>
      </c>
    </row>
    <row r="400" spans="1:11" hidden="1" x14ac:dyDescent="0.25">
      <c r="A400">
        <v>3572035</v>
      </c>
      <c r="B400" t="s">
        <v>1283</v>
      </c>
      <c r="C400">
        <v>1.1815</v>
      </c>
      <c r="D400">
        <v>789</v>
      </c>
      <c r="E400" t="s">
        <v>60</v>
      </c>
      <c r="F400">
        <v>1246</v>
      </c>
      <c r="G400" s="582" t="s">
        <v>10</v>
      </c>
      <c r="H400" s="582" t="s">
        <v>450</v>
      </c>
      <c r="I400" t="s">
        <v>2256</v>
      </c>
      <c r="J400">
        <v>0.89</v>
      </c>
      <c r="K400" t="s">
        <v>2171</v>
      </c>
    </row>
    <row r="401" spans="1:11" hidden="1" x14ac:dyDescent="0.25">
      <c r="A401">
        <v>3597679</v>
      </c>
      <c r="B401" t="s">
        <v>459</v>
      </c>
      <c r="C401">
        <v>1.2E-2</v>
      </c>
      <c r="D401">
        <v>789</v>
      </c>
      <c r="E401" t="s">
        <v>60</v>
      </c>
      <c r="F401">
        <v>336</v>
      </c>
      <c r="G401" s="582" t="s">
        <v>10</v>
      </c>
      <c r="H401" s="582" t="s">
        <v>450</v>
      </c>
      <c r="I401" t="s">
        <v>452</v>
      </c>
      <c r="J401">
        <v>6.14</v>
      </c>
      <c r="K401" t="s">
        <v>1838</v>
      </c>
    </row>
    <row r="402" spans="1:11" hidden="1" x14ac:dyDescent="0.25">
      <c r="A402">
        <v>3597679</v>
      </c>
      <c r="B402" t="s">
        <v>459</v>
      </c>
      <c r="C402">
        <v>0.97</v>
      </c>
      <c r="D402">
        <v>789</v>
      </c>
      <c r="E402" t="s">
        <v>60</v>
      </c>
      <c r="F402">
        <v>337</v>
      </c>
      <c r="G402" s="582" t="s">
        <v>10</v>
      </c>
      <c r="H402" s="582" t="s">
        <v>450</v>
      </c>
      <c r="I402" t="s">
        <v>452</v>
      </c>
      <c r="J402">
        <v>6.14</v>
      </c>
      <c r="K402" t="s">
        <v>1838</v>
      </c>
    </row>
    <row r="403" spans="1:11" hidden="1" x14ac:dyDescent="0.25">
      <c r="A403">
        <v>3597679</v>
      </c>
      <c r="B403" t="s">
        <v>459</v>
      </c>
      <c r="C403">
        <v>0.77100000000000002</v>
      </c>
      <c r="D403">
        <v>789</v>
      </c>
      <c r="E403" t="s">
        <v>60</v>
      </c>
      <c r="F403">
        <v>338</v>
      </c>
      <c r="G403" s="582" t="s">
        <v>10</v>
      </c>
      <c r="H403" s="582" t="s">
        <v>450</v>
      </c>
      <c r="I403" t="s">
        <v>452</v>
      </c>
      <c r="J403">
        <v>6.14</v>
      </c>
      <c r="K403" t="s">
        <v>1838</v>
      </c>
    </row>
    <row r="404" spans="1:11" hidden="1" x14ac:dyDescent="0.25">
      <c r="A404">
        <v>3597679</v>
      </c>
      <c r="B404" t="s">
        <v>459</v>
      </c>
      <c r="C404">
        <v>2.1150000000000002</v>
      </c>
      <c r="D404">
        <v>789</v>
      </c>
      <c r="E404" t="s">
        <v>60</v>
      </c>
      <c r="F404">
        <v>339</v>
      </c>
      <c r="G404" s="582" t="s">
        <v>10</v>
      </c>
      <c r="H404" s="582" t="s">
        <v>450</v>
      </c>
      <c r="I404" t="s">
        <v>452</v>
      </c>
      <c r="J404">
        <v>6.14</v>
      </c>
      <c r="K404" t="s">
        <v>1838</v>
      </c>
    </row>
    <row r="405" spans="1:11" hidden="1" x14ac:dyDescent="0.25">
      <c r="A405">
        <v>3597679</v>
      </c>
      <c r="B405" t="s">
        <v>459</v>
      </c>
      <c r="C405">
        <v>2.1150000000000002</v>
      </c>
      <c r="D405">
        <v>789</v>
      </c>
      <c r="E405" t="s">
        <v>60</v>
      </c>
      <c r="F405">
        <v>340</v>
      </c>
      <c r="G405" s="582" t="s">
        <v>10</v>
      </c>
      <c r="H405" s="582" t="s">
        <v>450</v>
      </c>
      <c r="I405" t="s">
        <v>452</v>
      </c>
      <c r="J405">
        <v>6.14</v>
      </c>
      <c r="K405" t="s">
        <v>1838</v>
      </c>
    </row>
    <row r="406" spans="1:11" hidden="1" x14ac:dyDescent="0.25">
      <c r="A406">
        <v>3597679</v>
      </c>
      <c r="B406" t="s">
        <v>459</v>
      </c>
      <c r="C406">
        <v>0.71</v>
      </c>
      <c r="D406">
        <v>789</v>
      </c>
      <c r="E406" t="s">
        <v>60</v>
      </c>
      <c r="F406">
        <v>341</v>
      </c>
      <c r="G406" s="582" t="s">
        <v>10</v>
      </c>
      <c r="H406" s="582" t="s">
        <v>450</v>
      </c>
      <c r="I406" t="s">
        <v>452</v>
      </c>
      <c r="J406">
        <v>6.14</v>
      </c>
      <c r="K406" t="s">
        <v>1838</v>
      </c>
    </row>
    <row r="407" spans="1:11" hidden="1" x14ac:dyDescent="0.25">
      <c r="A407">
        <v>3597679</v>
      </c>
      <c r="B407" t="s">
        <v>459</v>
      </c>
      <c r="C407">
        <v>0.72</v>
      </c>
      <c r="D407">
        <v>789</v>
      </c>
      <c r="E407" t="s">
        <v>60</v>
      </c>
      <c r="F407">
        <v>342</v>
      </c>
      <c r="G407" s="582" t="s">
        <v>10</v>
      </c>
      <c r="H407" s="582" t="s">
        <v>450</v>
      </c>
      <c r="I407" t="s">
        <v>452</v>
      </c>
      <c r="J407">
        <v>6.14</v>
      </c>
      <c r="K407" t="s">
        <v>1838</v>
      </c>
    </row>
    <row r="408" spans="1:11" hidden="1" x14ac:dyDescent="0.25">
      <c r="A408">
        <v>3597679</v>
      </c>
      <c r="B408" t="s">
        <v>459</v>
      </c>
      <c r="C408">
        <v>0.313</v>
      </c>
      <c r="D408">
        <v>789</v>
      </c>
      <c r="E408" t="s">
        <v>60</v>
      </c>
      <c r="F408">
        <v>343</v>
      </c>
      <c r="G408" s="582" t="s">
        <v>10</v>
      </c>
      <c r="H408" s="582" t="s">
        <v>450</v>
      </c>
      <c r="I408" t="s">
        <v>452</v>
      </c>
      <c r="J408">
        <v>6.14</v>
      </c>
      <c r="K408" t="s">
        <v>1838</v>
      </c>
    </row>
    <row r="409" spans="1:11" hidden="1" x14ac:dyDescent="0.25">
      <c r="A409">
        <v>3597679</v>
      </c>
      <c r="B409" t="s">
        <v>459</v>
      </c>
      <c r="C409">
        <v>2.1360000000000001</v>
      </c>
      <c r="D409">
        <v>789</v>
      </c>
      <c r="E409" t="s">
        <v>60</v>
      </c>
      <c r="F409">
        <v>461</v>
      </c>
      <c r="G409" s="582" t="s">
        <v>10</v>
      </c>
      <c r="H409" s="582" t="s">
        <v>450</v>
      </c>
      <c r="I409" t="s">
        <v>452</v>
      </c>
      <c r="J409">
        <v>6.14</v>
      </c>
      <c r="K409" t="s">
        <v>1838</v>
      </c>
    </row>
    <row r="410" spans="1:11" hidden="1" x14ac:dyDescent="0.25">
      <c r="A410">
        <v>3597679</v>
      </c>
      <c r="B410" t="s">
        <v>459</v>
      </c>
      <c r="C410">
        <v>2.1560000000000001</v>
      </c>
      <c r="D410">
        <v>789</v>
      </c>
      <c r="E410" t="s">
        <v>60</v>
      </c>
      <c r="F410">
        <v>462</v>
      </c>
      <c r="G410" s="582" t="s">
        <v>10</v>
      </c>
      <c r="H410" s="582" t="s">
        <v>450</v>
      </c>
      <c r="I410" t="s">
        <v>452</v>
      </c>
      <c r="J410">
        <v>6.14</v>
      </c>
      <c r="K410" t="s">
        <v>1838</v>
      </c>
    </row>
    <row r="411" spans="1:11" hidden="1" x14ac:dyDescent="0.25">
      <c r="A411">
        <v>3597679</v>
      </c>
      <c r="B411" t="s">
        <v>459</v>
      </c>
      <c r="C411">
        <v>0.76100000000000001</v>
      </c>
      <c r="D411">
        <v>789</v>
      </c>
      <c r="E411" t="s">
        <v>60</v>
      </c>
      <c r="F411">
        <v>463</v>
      </c>
      <c r="G411" s="582" t="s">
        <v>10</v>
      </c>
      <c r="H411" s="582" t="s">
        <v>450</v>
      </c>
      <c r="I411" t="s">
        <v>452</v>
      </c>
      <c r="J411">
        <v>6.14</v>
      </c>
      <c r="K411" t="s">
        <v>1838</v>
      </c>
    </row>
    <row r="412" spans="1:11" hidden="1" x14ac:dyDescent="0.25">
      <c r="A412">
        <v>3597679</v>
      </c>
      <c r="B412" t="s">
        <v>459</v>
      </c>
      <c r="C412">
        <v>1.46</v>
      </c>
      <c r="D412">
        <v>789</v>
      </c>
      <c r="E412" t="s">
        <v>60</v>
      </c>
      <c r="F412">
        <v>464</v>
      </c>
      <c r="G412" s="582" t="s">
        <v>10</v>
      </c>
      <c r="H412" s="582" t="s">
        <v>450</v>
      </c>
      <c r="I412" t="s">
        <v>452</v>
      </c>
      <c r="J412">
        <v>6.14</v>
      </c>
      <c r="K412" t="s">
        <v>1838</v>
      </c>
    </row>
    <row r="413" spans="1:11" hidden="1" x14ac:dyDescent="0.25">
      <c r="A413">
        <v>3597679</v>
      </c>
      <c r="B413" t="s">
        <v>459</v>
      </c>
      <c r="C413">
        <v>1.38</v>
      </c>
      <c r="D413">
        <v>789</v>
      </c>
      <c r="E413" t="s">
        <v>60</v>
      </c>
      <c r="F413">
        <v>465</v>
      </c>
      <c r="G413" s="582" t="s">
        <v>10</v>
      </c>
      <c r="H413" s="582" t="s">
        <v>450</v>
      </c>
      <c r="I413" t="s">
        <v>452</v>
      </c>
      <c r="J413">
        <v>6.14</v>
      </c>
      <c r="K413" t="s">
        <v>1838</v>
      </c>
    </row>
    <row r="414" spans="1:11" hidden="1" x14ac:dyDescent="0.25">
      <c r="A414">
        <v>3938684</v>
      </c>
      <c r="B414" t="s">
        <v>2114</v>
      </c>
      <c r="C414">
        <v>3.9700000000000006E-2</v>
      </c>
      <c r="D414">
        <v>789</v>
      </c>
      <c r="E414" t="s">
        <v>60</v>
      </c>
      <c r="F414">
        <v>1215</v>
      </c>
      <c r="G414" s="582" t="s">
        <v>10</v>
      </c>
      <c r="H414" s="582" t="s">
        <v>450</v>
      </c>
      <c r="I414" t="s">
        <v>2257</v>
      </c>
      <c r="J414">
        <v>0.96199999999999997</v>
      </c>
      <c r="K414" t="s">
        <v>2171</v>
      </c>
    </row>
    <row r="415" spans="1:11" hidden="1" x14ac:dyDescent="0.25">
      <c r="A415">
        <v>3938684</v>
      </c>
      <c r="B415" t="s">
        <v>2114</v>
      </c>
      <c r="C415">
        <v>1.2847</v>
      </c>
      <c r="D415">
        <v>789</v>
      </c>
      <c r="E415" t="s">
        <v>60</v>
      </c>
      <c r="F415">
        <v>1216</v>
      </c>
      <c r="G415" s="582" t="s">
        <v>10</v>
      </c>
      <c r="H415" s="582" t="s">
        <v>450</v>
      </c>
      <c r="I415" t="s">
        <v>2257</v>
      </c>
      <c r="J415">
        <v>0.96199999999999997</v>
      </c>
      <c r="K415" t="s">
        <v>2171</v>
      </c>
    </row>
    <row r="416" spans="1:11" hidden="1" x14ac:dyDescent="0.25">
      <c r="A416">
        <v>4151427</v>
      </c>
      <c r="B416" t="s">
        <v>509</v>
      </c>
      <c r="C416">
        <v>0.30460500000000001</v>
      </c>
      <c r="D416">
        <v>789</v>
      </c>
      <c r="E416" t="s">
        <v>60</v>
      </c>
      <c r="F416">
        <v>1007</v>
      </c>
      <c r="G416" s="582" t="s">
        <v>10</v>
      </c>
      <c r="H416" s="582" t="s">
        <v>450</v>
      </c>
      <c r="I416" t="s">
        <v>510</v>
      </c>
      <c r="J416">
        <v>0.96299999999999997</v>
      </c>
      <c r="K416" t="s">
        <v>2171</v>
      </c>
    </row>
    <row r="417" spans="1:11" hidden="1" x14ac:dyDescent="0.25">
      <c r="A417">
        <v>4151427</v>
      </c>
      <c r="B417" t="s">
        <v>509</v>
      </c>
      <c r="C417">
        <v>0.119267</v>
      </c>
      <c r="D417">
        <v>789</v>
      </c>
      <c r="E417" t="s">
        <v>60</v>
      </c>
      <c r="F417">
        <v>1008</v>
      </c>
      <c r="G417" s="582" t="s">
        <v>10</v>
      </c>
      <c r="H417" s="582" t="s">
        <v>450</v>
      </c>
      <c r="I417" t="s">
        <v>510</v>
      </c>
      <c r="J417">
        <v>0.96299999999999997</v>
      </c>
      <c r="K417" t="s">
        <v>2171</v>
      </c>
    </row>
    <row r="418" spans="1:11" hidden="1" x14ac:dyDescent="0.25">
      <c r="A418">
        <v>4151427</v>
      </c>
      <c r="B418" t="s">
        <v>509</v>
      </c>
      <c r="C418">
        <v>0.21306800000000001</v>
      </c>
      <c r="D418">
        <v>789</v>
      </c>
      <c r="E418" t="s">
        <v>60</v>
      </c>
      <c r="F418">
        <v>1009</v>
      </c>
      <c r="G418" s="582" t="s">
        <v>10</v>
      </c>
      <c r="H418" s="582" t="s">
        <v>450</v>
      </c>
      <c r="I418" t="s">
        <v>510</v>
      </c>
      <c r="J418">
        <v>0.96299999999999997</v>
      </c>
      <c r="K418" t="s">
        <v>2171</v>
      </c>
    </row>
    <row r="419" spans="1:11" hidden="1" x14ac:dyDescent="0.25">
      <c r="A419">
        <v>4100796</v>
      </c>
      <c r="B419" t="s">
        <v>552</v>
      </c>
      <c r="C419">
        <v>1.8710000000000001E-3</v>
      </c>
      <c r="D419">
        <v>789</v>
      </c>
      <c r="E419" t="s">
        <v>60</v>
      </c>
      <c r="F419">
        <v>1179</v>
      </c>
      <c r="G419" s="582" t="s">
        <v>10</v>
      </c>
      <c r="H419" s="582" t="s">
        <v>450</v>
      </c>
      <c r="I419" t="s">
        <v>553</v>
      </c>
      <c r="J419">
        <v>1.0069999999999999</v>
      </c>
      <c r="K419" t="s">
        <v>2171</v>
      </c>
    </row>
    <row r="420" spans="1:11" hidden="1" x14ac:dyDescent="0.25">
      <c r="A420">
        <v>4100796</v>
      </c>
      <c r="B420" t="s">
        <v>552</v>
      </c>
      <c r="C420">
        <v>1.707166</v>
      </c>
      <c r="D420">
        <v>789</v>
      </c>
      <c r="E420" t="s">
        <v>60</v>
      </c>
      <c r="F420">
        <v>1180</v>
      </c>
      <c r="G420" s="582" t="s">
        <v>10</v>
      </c>
      <c r="H420" s="582" t="s">
        <v>450</v>
      </c>
      <c r="I420" t="s">
        <v>553</v>
      </c>
      <c r="J420">
        <v>1.0069999999999999</v>
      </c>
      <c r="K420" t="s">
        <v>2171</v>
      </c>
    </row>
    <row r="421" spans="1:11" hidden="1" x14ac:dyDescent="0.25">
      <c r="A421">
        <v>3931837</v>
      </c>
      <c r="B421" t="s">
        <v>2258</v>
      </c>
      <c r="C421">
        <v>2.2244E-2</v>
      </c>
      <c r="D421">
        <v>789</v>
      </c>
      <c r="E421" t="s">
        <v>30</v>
      </c>
      <c r="F421">
        <v>1144</v>
      </c>
      <c r="G421" s="582" t="s">
        <v>10</v>
      </c>
      <c r="H421" s="582" t="s">
        <v>450</v>
      </c>
      <c r="I421" t="s">
        <v>2259</v>
      </c>
      <c r="J421">
        <v>1.1499999999999999</v>
      </c>
      <c r="K421" t="s">
        <v>2171</v>
      </c>
    </row>
    <row r="422" spans="1:11" hidden="1" x14ac:dyDescent="0.25">
      <c r="A422">
        <v>3572038</v>
      </c>
      <c r="B422" t="s">
        <v>521</v>
      </c>
      <c r="C422">
        <v>2.5400000000000002E-3</v>
      </c>
      <c r="D422">
        <v>789</v>
      </c>
      <c r="E422" t="s">
        <v>60</v>
      </c>
      <c r="F422">
        <v>1138</v>
      </c>
      <c r="G422" s="582" t="s">
        <v>10</v>
      </c>
      <c r="H422" s="582" t="s">
        <v>450</v>
      </c>
      <c r="I422" t="s">
        <v>522</v>
      </c>
      <c r="J422">
        <v>1.246</v>
      </c>
      <c r="K422" t="s">
        <v>2171</v>
      </c>
    </row>
    <row r="423" spans="1:11" hidden="1" x14ac:dyDescent="0.25">
      <c r="A423">
        <v>3572038</v>
      </c>
      <c r="B423" t="s">
        <v>521</v>
      </c>
      <c r="C423">
        <v>2.9929999999999998E-2</v>
      </c>
      <c r="D423">
        <v>789</v>
      </c>
      <c r="E423" t="s">
        <v>60</v>
      </c>
      <c r="F423">
        <v>1139</v>
      </c>
      <c r="G423" s="582" t="s">
        <v>10</v>
      </c>
      <c r="H423" s="582" t="s">
        <v>450</v>
      </c>
      <c r="I423" t="s">
        <v>522</v>
      </c>
      <c r="J423">
        <v>1.246</v>
      </c>
      <c r="K423" t="s">
        <v>2171</v>
      </c>
    </row>
    <row r="424" spans="1:11" hidden="1" x14ac:dyDescent="0.25">
      <c r="A424">
        <v>3572038</v>
      </c>
      <c r="B424" t="s">
        <v>521</v>
      </c>
      <c r="C424">
        <v>0.11441999999999999</v>
      </c>
      <c r="D424">
        <v>789</v>
      </c>
      <c r="E424" t="s">
        <v>60</v>
      </c>
      <c r="F424">
        <v>1140</v>
      </c>
      <c r="G424" s="582" t="s">
        <v>10</v>
      </c>
      <c r="H424" s="582" t="s">
        <v>450</v>
      </c>
      <c r="I424" t="s">
        <v>522</v>
      </c>
      <c r="J424">
        <v>1.246</v>
      </c>
      <c r="K424" t="s">
        <v>2171</v>
      </c>
    </row>
    <row r="425" spans="1:11" hidden="1" x14ac:dyDescent="0.25">
      <c r="A425">
        <v>3572038</v>
      </c>
      <c r="B425" t="s">
        <v>521</v>
      </c>
      <c r="C425">
        <v>3.2000000000000001E-2</v>
      </c>
      <c r="D425">
        <v>789</v>
      </c>
      <c r="E425" t="s">
        <v>60</v>
      </c>
      <c r="F425">
        <v>1141</v>
      </c>
      <c r="G425" s="582" t="s">
        <v>10</v>
      </c>
      <c r="H425" s="582" t="s">
        <v>450</v>
      </c>
      <c r="I425" t="s">
        <v>522</v>
      </c>
      <c r="J425">
        <v>1.246</v>
      </c>
      <c r="K425" t="s">
        <v>2171</v>
      </c>
    </row>
    <row r="426" spans="1:11" hidden="1" x14ac:dyDescent="0.25">
      <c r="A426">
        <v>3572038</v>
      </c>
      <c r="B426" t="s">
        <v>521</v>
      </c>
      <c r="C426">
        <v>3.2000000000000001E-2</v>
      </c>
      <c r="D426">
        <v>789</v>
      </c>
      <c r="E426" t="s">
        <v>60</v>
      </c>
      <c r="F426">
        <v>1142</v>
      </c>
      <c r="G426" s="582" t="s">
        <v>10</v>
      </c>
      <c r="H426" s="582" t="s">
        <v>450</v>
      </c>
      <c r="I426" t="s">
        <v>522</v>
      </c>
      <c r="J426">
        <v>1.246</v>
      </c>
      <c r="K426" t="s">
        <v>2171</v>
      </c>
    </row>
    <row r="427" spans="1:11" hidden="1" x14ac:dyDescent="0.25">
      <c r="A427">
        <v>3572038</v>
      </c>
      <c r="B427" t="s">
        <v>521</v>
      </c>
      <c r="C427">
        <v>0.36099999999999999</v>
      </c>
      <c r="D427">
        <v>789</v>
      </c>
      <c r="E427" t="s">
        <v>60</v>
      </c>
      <c r="F427">
        <v>1143</v>
      </c>
      <c r="G427" s="582" t="s">
        <v>10</v>
      </c>
      <c r="H427" s="582" t="s">
        <v>450</v>
      </c>
      <c r="I427" t="s">
        <v>522</v>
      </c>
      <c r="J427">
        <v>1.246</v>
      </c>
      <c r="K427" t="s">
        <v>2171</v>
      </c>
    </row>
    <row r="428" spans="1:11" hidden="1" x14ac:dyDescent="0.25">
      <c r="A428">
        <v>3598957</v>
      </c>
      <c r="B428" t="s">
        <v>665</v>
      </c>
      <c r="C428">
        <v>1.194</v>
      </c>
      <c r="D428">
        <v>789</v>
      </c>
      <c r="E428" t="s">
        <v>18</v>
      </c>
      <c r="F428">
        <v>344</v>
      </c>
      <c r="G428" s="582" t="s">
        <v>10</v>
      </c>
      <c r="H428" s="582" t="s">
        <v>664</v>
      </c>
      <c r="I428" t="s">
        <v>666</v>
      </c>
      <c r="J428">
        <v>0.41399999999999998</v>
      </c>
      <c r="K428" t="s">
        <v>2171</v>
      </c>
    </row>
    <row r="429" spans="1:11" hidden="1" x14ac:dyDescent="0.25">
      <c r="A429">
        <v>3598957</v>
      </c>
      <c r="B429" t="s">
        <v>665</v>
      </c>
      <c r="C429">
        <v>7.8879999999999992E-3</v>
      </c>
      <c r="D429">
        <v>789</v>
      </c>
      <c r="E429" t="s">
        <v>18</v>
      </c>
      <c r="F429">
        <v>345</v>
      </c>
      <c r="G429" s="582" t="s">
        <v>10</v>
      </c>
      <c r="H429" s="582" t="s">
        <v>664</v>
      </c>
      <c r="I429" t="s">
        <v>666</v>
      </c>
      <c r="J429">
        <v>0.41399999999999998</v>
      </c>
      <c r="K429" t="s">
        <v>2171</v>
      </c>
    </row>
    <row r="430" spans="1:11" hidden="1" x14ac:dyDescent="0.25">
      <c r="A430">
        <v>3598957</v>
      </c>
      <c r="B430" t="s">
        <v>665</v>
      </c>
      <c r="C430">
        <v>1.0834680000000001</v>
      </c>
      <c r="D430">
        <v>4731</v>
      </c>
      <c r="E430" t="s">
        <v>18</v>
      </c>
      <c r="F430">
        <v>1695</v>
      </c>
      <c r="G430" s="582" t="s">
        <v>10</v>
      </c>
      <c r="H430" s="582" t="s">
        <v>664</v>
      </c>
      <c r="I430" t="s">
        <v>666</v>
      </c>
      <c r="J430">
        <v>0.41399999999999998</v>
      </c>
      <c r="K430" t="s">
        <v>2171</v>
      </c>
    </row>
    <row r="431" spans="1:11" hidden="1" x14ac:dyDescent="0.25">
      <c r="A431">
        <v>3572039</v>
      </c>
      <c r="B431" t="s">
        <v>519</v>
      </c>
      <c r="C431">
        <v>3.3760000000000001E-3</v>
      </c>
      <c r="D431">
        <v>789</v>
      </c>
      <c r="E431" t="s">
        <v>60</v>
      </c>
      <c r="F431">
        <v>1084</v>
      </c>
      <c r="G431" s="582" t="s">
        <v>10</v>
      </c>
      <c r="H431" s="582" t="s">
        <v>450</v>
      </c>
      <c r="I431" t="s">
        <v>520</v>
      </c>
      <c r="J431">
        <v>1.304</v>
      </c>
      <c r="K431" t="s">
        <v>2171</v>
      </c>
    </row>
    <row r="432" spans="1:11" hidden="1" x14ac:dyDescent="0.25">
      <c r="A432">
        <v>3572039</v>
      </c>
      <c r="B432" t="s">
        <v>519</v>
      </c>
      <c r="C432">
        <v>0.64800000000000002</v>
      </c>
      <c r="D432">
        <v>789</v>
      </c>
      <c r="E432" t="s">
        <v>60</v>
      </c>
      <c r="F432">
        <v>1085</v>
      </c>
      <c r="G432" s="582" t="s">
        <v>10</v>
      </c>
      <c r="H432" s="582" t="s">
        <v>450</v>
      </c>
      <c r="I432" t="s">
        <v>520</v>
      </c>
      <c r="J432">
        <v>1.304</v>
      </c>
      <c r="K432" t="s">
        <v>2171</v>
      </c>
    </row>
    <row r="433" spans="1:11" hidden="1" x14ac:dyDescent="0.25">
      <c r="A433">
        <v>3572039</v>
      </c>
      <c r="B433" t="s">
        <v>519</v>
      </c>
      <c r="C433">
        <v>0.132712</v>
      </c>
      <c r="D433">
        <v>789</v>
      </c>
      <c r="E433" t="s">
        <v>60</v>
      </c>
      <c r="F433">
        <v>1086</v>
      </c>
      <c r="G433" s="582" t="s">
        <v>10</v>
      </c>
      <c r="H433" s="582" t="s">
        <v>450</v>
      </c>
      <c r="I433" t="s">
        <v>520</v>
      </c>
      <c r="J433">
        <v>1.304</v>
      </c>
      <c r="K433" t="s">
        <v>2171</v>
      </c>
    </row>
    <row r="434" spans="1:11" hidden="1" x14ac:dyDescent="0.25">
      <c r="A434">
        <v>3673012</v>
      </c>
      <c r="B434" t="s">
        <v>1518</v>
      </c>
      <c r="C434">
        <v>0.235425</v>
      </c>
      <c r="D434">
        <v>789</v>
      </c>
      <c r="E434" t="s">
        <v>61</v>
      </c>
      <c r="F434">
        <v>353</v>
      </c>
      <c r="G434" s="582" t="s">
        <v>10</v>
      </c>
      <c r="H434" s="582" t="s">
        <v>412</v>
      </c>
      <c r="I434" t="s">
        <v>2260</v>
      </c>
      <c r="J434">
        <v>0.94899999999999995</v>
      </c>
      <c r="K434" t="s">
        <v>2171</v>
      </c>
    </row>
    <row r="435" spans="1:11" hidden="1" x14ac:dyDescent="0.25">
      <c r="A435">
        <v>3775636</v>
      </c>
      <c r="B435" t="s">
        <v>811</v>
      </c>
      <c r="C435">
        <v>8.8099999999999998E-2</v>
      </c>
      <c r="D435">
        <v>789</v>
      </c>
      <c r="E435" t="s">
        <v>53</v>
      </c>
      <c r="F435">
        <v>354</v>
      </c>
      <c r="G435" s="582" t="s">
        <v>10</v>
      </c>
      <c r="H435" s="582" t="s">
        <v>810</v>
      </c>
      <c r="I435" t="s">
        <v>812</v>
      </c>
      <c r="J435">
        <v>0.78300000000000003</v>
      </c>
      <c r="K435" t="s">
        <v>2171</v>
      </c>
    </row>
    <row r="436" spans="1:11" hidden="1" x14ac:dyDescent="0.25">
      <c r="A436">
        <v>3775636</v>
      </c>
      <c r="B436" t="s">
        <v>811</v>
      </c>
      <c r="C436">
        <v>0.26965699999999998</v>
      </c>
      <c r="D436">
        <v>789</v>
      </c>
      <c r="E436" t="s">
        <v>53</v>
      </c>
      <c r="F436">
        <v>355</v>
      </c>
      <c r="G436" s="582" t="s">
        <v>10</v>
      </c>
      <c r="H436" s="582" t="s">
        <v>810</v>
      </c>
      <c r="I436" t="s">
        <v>812</v>
      </c>
      <c r="J436">
        <v>0.78300000000000003</v>
      </c>
      <c r="K436" t="s">
        <v>2171</v>
      </c>
    </row>
    <row r="437" spans="1:11" hidden="1" x14ac:dyDescent="0.25">
      <c r="A437">
        <v>3775636</v>
      </c>
      <c r="B437" t="s">
        <v>811</v>
      </c>
      <c r="C437">
        <v>2.4329999999999998</v>
      </c>
      <c r="D437">
        <v>789</v>
      </c>
      <c r="E437" t="s">
        <v>53</v>
      </c>
      <c r="F437">
        <v>481</v>
      </c>
      <c r="G437" s="582" t="s">
        <v>10</v>
      </c>
      <c r="H437" s="582" t="s">
        <v>810</v>
      </c>
      <c r="I437" t="s">
        <v>812</v>
      </c>
      <c r="J437">
        <v>0.78300000000000003</v>
      </c>
      <c r="K437" t="s">
        <v>2171</v>
      </c>
    </row>
    <row r="438" spans="1:11" hidden="1" x14ac:dyDescent="0.25">
      <c r="A438">
        <v>3775636</v>
      </c>
      <c r="B438" t="s">
        <v>811</v>
      </c>
      <c r="C438">
        <v>0.61899999999999999</v>
      </c>
      <c r="D438">
        <v>789</v>
      </c>
      <c r="E438" t="s">
        <v>53</v>
      </c>
      <c r="F438">
        <v>482</v>
      </c>
      <c r="G438" s="582" t="s">
        <v>10</v>
      </c>
      <c r="H438" s="582" t="s">
        <v>810</v>
      </c>
      <c r="I438" t="s">
        <v>812</v>
      </c>
      <c r="J438">
        <v>0.78300000000000003</v>
      </c>
      <c r="K438" t="s">
        <v>2171</v>
      </c>
    </row>
    <row r="439" spans="1:11" hidden="1" x14ac:dyDescent="0.25">
      <c r="A439">
        <v>3775636</v>
      </c>
      <c r="B439" t="s">
        <v>811</v>
      </c>
      <c r="C439">
        <v>1.327</v>
      </c>
      <c r="D439">
        <v>789</v>
      </c>
      <c r="E439" t="s">
        <v>53</v>
      </c>
      <c r="F439">
        <v>483</v>
      </c>
      <c r="G439" s="582" t="s">
        <v>10</v>
      </c>
      <c r="H439" s="582" t="s">
        <v>810</v>
      </c>
      <c r="I439" t="s">
        <v>812</v>
      </c>
      <c r="J439">
        <v>0.78300000000000003</v>
      </c>
      <c r="K439" t="s">
        <v>2171</v>
      </c>
    </row>
    <row r="440" spans="1:11" hidden="1" x14ac:dyDescent="0.25">
      <c r="A440">
        <v>3775636</v>
      </c>
      <c r="B440" t="s">
        <v>811</v>
      </c>
      <c r="C440">
        <v>0.52500000000000002</v>
      </c>
      <c r="D440">
        <v>789</v>
      </c>
      <c r="E440" t="s">
        <v>53</v>
      </c>
      <c r="F440">
        <v>484</v>
      </c>
      <c r="G440" s="582" t="s">
        <v>10</v>
      </c>
      <c r="H440" s="582" t="s">
        <v>810</v>
      </c>
      <c r="I440" t="s">
        <v>812</v>
      </c>
      <c r="J440">
        <v>0.78300000000000003</v>
      </c>
      <c r="K440" t="s">
        <v>2171</v>
      </c>
    </row>
    <row r="441" spans="1:11" hidden="1" x14ac:dyDescent="0.25">
      <c r="A441">
        <v>3775636</v>
      </c>
      <c r="B441" t="s">
        <v>811</v>
      </c>
      <c r="C441">
        <v>1.1499999999999999</v>
      </c>
      <c r="D441">
        <v>789</v>
      </c>
      <c r="E441" t="s">
        <v>53</v>
      </c>
      <c r="F441">
        <v>485</v>
      </c>
      <c r="G441" s="582" t="s">
        <v>10</v>
      </c>
      <c r="H441" s="582" t="s">
        <v>810</v>
      </c>
      <c r="I441" t="s">
        <v>812</v>
      </c>
      <c r="J441">
        <v>0.78300000000000003</v>
      </c>
      <c r="K441" t="s">
        <v>2171</v>
      </c>
    </row>
    <row r="442" spans="1:11" hidden="1" x14ac:dyDescent="0.25">
      <c r="A442">
        <v>3775636</v>
      </c>
      <c r="B442" t="s">
        <v>811</v>
      </c>
      <c r="C442">
        <v>1.9590000000000001</v>
      </c>
      <c r="D442">
        <v>789</v>
      </c>
      <c r="E442" t="s">
        <v>53</v>
      </c>
      <c r="F442">
        <v>486</v>
      </c>
      <c r="G442" s="582" t="s">
        <v>10</v>
      </c>
      <c r="H442" s="582" t="s">
        <v>810</v>
      </c>
      <c r="I442" t="s">
        <v>812</v>
      </c>
      <c r="J442">
        <v>0.78300000000000003</v>
      </c>
      <c r="K442" t="s">
        <v>2171</v>
      </c>
    </row>
    <row r="443" spans="1:11" hidden="1" x14ac:dyDescent="0.25">
      <c r="A443">
        <v>3775636</v>
      </c>
      <c r="B443" t="s">
        <v>811</v>
      </c>
      <c r="C443">
        <v>0.746</v>
      </c>
      <c r="D443">
        <v>789</v>
      </c>
      <c r="E443" t="s">
        <v>53</v>
      </c>
      <c r="F443">
        <v>487</v>
      </c>
      <c r="G443" s="582" t="s">
        <v>10</v>
      </c>
      <c r="H443" s="582" t="s">
        <v>810</v>
      </c>
      <c r="I443" t="s">
        <v>812</v>
      </c>
      <c r="J443">
        <v>0.78300000000000003</v>
      </c>
      <c r="K443" t="s">
        <v>2171</v>
      </c>
    </row>
    <row r="444" spans="1:11" hidden="1" x14ac:dyDescent="0.25">
      <c r="A444">
        <v>3775636</v>
      </c>
      <c r="B444" t="s">
        <v>811</v>
      </c>
      <c r="C444">
        <v>5.1239E-2</v>
      </c>
      <c r="D444">
        <v>4731</v>
      </c>
      <c r="E444" t="s">
        <v>53</v>
      </c>
      <c r="F444">
        <v>1826</v>
      </c>
      <c r="G444" s="582" t="s">
        <v>10</v>
      </c>
      <c r="H444" s="582" t="s">
        <v>810</v>
      </c>
      <c r="I444" t="s">
        <v>812</v>
      </c>
      <c r="J444">
        <v>0.78300000000000003</v>
      </c>
      <c r="K444" t="s">
        <v>2171</v>
      </c>
    </row>
    <row r="445" spans="1:11" hidden="1" x14ac:dyDescent="0.25">
      <c r="A445">
        <v>3910020</v>
      </c>
      <c r="B445" t="s">
        <v>563</v>
      </c>
      <c r="C445">
        <v>1.606E-3</v>
      </c>
      <c r="D445">
        <v>789</v>
      </c>
      <c r="E445" t="s">
        <v>19</v>
      </c>
      <c r="F445">
        <v>366</v>
      </c>
      <c r="G445" s="582" t="s">
        <v>10</v>
      </c>
      <c r="H445" s="582" t="s">
        <v>562</v>
      </c>
      <c r="I445" t="s">
        <v>564</v>
      </c>
      <c r="J445">
        <v>0.71499999999999997</v>
      </c>
      <c r="K445" t="s">
        <v>2171</v>
      </c>
    </row>
    <row r="446" spans="1:11" hidden="1" x14ac:dyDescent="0.25">
      <c r="A446">
        <v>3910020</v>
      </c>
      <c r="B446" t="s">
        <v>563</v>
      </c>
      <c r="C446">
        <v>0.5</v>
      </c>
      <c r="D446">
        <v>789</v>
      </c>
      <c r="E446" t="s">
        <v>19</v>
      </c>
      <c r="F446">
        <v>367</v>
      </c>
      <c r="G446" s="582" t="s">
        <v>10</v>
      </c>
      <c r="H446" s="582" t="s">
        <v>562</v>
      </c>
      <c r="I446" t="s">
        <v>564</v>
      </c>
      <c r="J446">
        <v>0.71499999999999997</v>
      </c>
      <c r="K446" t="s">
        <v>2171</v>
      </c>
    </row>
    <row r="447" spans="1:11" hidden="1" x14ac:dyDescent="0.25">
      <c r="A447">
        <v>3910020</v>
      </c>
      <c r="B447" t="s">
        <v>563</v>
      </c>
      <c r="C447">
        <v>1.056</v>
      </c>
      <c r="D447">
        <v>789</v>
      </c>
      <c r="E447" t="s">
        <v>19</v>
      </c>
      <c r="F447">
        <v>368</v>
      </c>
      <c r="G447" s="582" t="s">
        <v>10</v>
      </c>
      <c r="H447" s="582" t="s">
        <v>562</v>
      </c>
      <c r="I447" t="s">
        <v>564</v>
      </c>
      <c r="J447">
        <v>0.71499999999999997</v>
      </c>
      <c r="K447" t="s">
        <v>2171</v>
      </c>
    </row>
    <row r="448" spans="1:11" hidden="1" x14ac:dyDescent="0.25">
      <c r="A448">
        <v>3910020</v>
      </c>
      <c r="B448" t="s">
        <v>563</v>
      </c>
      <c r="C448">
        <v>1.8160000000000001</v>
      </c>
      <c r="D448">
        <v>789</v>
      </c>
      <c r="E448" t="s">
        <v>19</v>
      </c>
      <c r="F448">
        <v>369</v>
      </c>
      <c r="G448" s="582" t="s">
        <v>10</v>
      </c>
      <c r="H448" s="582" t="s">
        <v>562</v>
      </c>
      <c r="I448" t="s">
        <v>564</v>
      </c>
      <c r="J448">
        <v>0.71499999999999997</v>
      </c>
      <c r="K448" t="s">
        <v>2171</v>
      </c>
    </row>
    <row r="449" spans="1:11" hidden="1" x14ac:dyDescent="0.25">
      <c r="A449">
        <v>3910020</v>
      </c>
      <c r="B449" t="s">
        <v>563</v>
      </c>
      <c r="C449">
        <v>0.871</v>
      </c>
      <c r="D449">
        <v>789</v>
      </c>
      <c r="E449" t="s">
        <v>19</v>
      </c>
      <c r="F449">
        <v>370</v>
      </c>
      <c r="G449" s="582" t="s">
        <v>10</v>
      </c>
      <c r="H449" s="582" t="s">
        <v>562</v>
      </c>
      <c r="I449" t="s">
        <v>564</v>
      </c>
      <c r="J449">
        <v>0.71499999999999997</v>
      </c>
      <c r="K449" t="s">
        <v>2171</v>
      </c>
    </row>
    <row r="450" spans="1:11" hidden="1" x14ac:dyDescent="0.25">
      <c r="A450">
        <v>3910020</v>
      </c>
      <c r="B450" t="s">
        <v>563</v>
      </c>
      <c r="C450">
        <v>7.9000000000000001E-2</v>
      </c>
      <c r="D450">
        <v>789</v>
      </c>
      <c r="E450" t="s">
        <v>19</v>
      </c>
      <c r="F450">
        <v>371</v>
      </c>
      <c r="G450" s="582" t="s">
        <v>10</v>
      </c>
      <c r="H450" s="582" t="s">
        <v>562</v>
      </c>
      <c r="I450" t="s">
        <v>564</v>
      </c>
      <c r="J450">
        <v>0.71499999999999997</v>
      </c>
      <c r="K450" t="s">
        <v>2171</v>
      </c>
    </row>
    <row r="451" spans="1:11" hidden="1" x14ac:dyDescent="0.25">
      <c r="A451">
        <v>1940146</v>
      </c>
      <c r="B451" t="s">
        <v>451</v>
      </c>
      <c r="C451">
        <v>0.248808</v>
      </c>
      <c r="D451">
        <v>789</v>
      </c>
      <c r="E451" t="s">
        <v>30</v>
      </c>
      <c r="F451">
        <v>1201</v>
      </c>
      <c r="G451" s="582" t="s">
        <v>10</v>
      </c>
      <c r="H451" s="582" t="s">
        <v>450</v>
      </c>
      <c r="I451" t="s">
        <v>452</v>
      </c>
      <c r="J451">
        <v>6</v>
      </c>
      <c r="K451" t="s">
        <v>1838</v>
      </c>
    </row>
    <row r="452" spans="1:11" hidden="1" x14ac:dyDescent="0.25">
      <c r="A452">
        <v>3910648</v>
      </c>
      <c r="B452" t="s">
        <v>887</v>
      </c>
      <c r="C452">
        <v>0.88600000000000001</v>
      </c>
      <c r="D452">
        <v>789</v>
      </c>
      <c r="E452" t="s">
        <v>53</v>
      </c>
      <c r="F452">
        <v>372</v>
      </c>
      <c r="G452" s="582" t="s">
        <v>10</v>
      </c>
      <c r="H452" s="582" t="s">
        <v>886</v>
      </c>
      <c r="I452" t="s">
        <v>888</v>
      </c>
      <c r="J452">
        <v>0.85</v>
      </c>
      <c r="K452" t="s">
        <v>2171</v>
      </c>
    </row>
    <row r="453" spans="1:11" hidden="1" x14ac:dyDescent="0.25">
      <c r="A453">
        <v>3910648</v>
      </c>
      <c r="B453" t="s">
        <v>887</v>
      </c>
      <c r="C453">
        <v>6.8655000000000008E-2</v>
      </c>
      <c r="D453">
        <v>4731</v>
      </c>
      <c r="E453" t="s">
        <v>53</v>
      </c>
      <c r="F453">
        <v>1880</v>
      </c>
      <c r="G453" s="582" t="s">
        <v>10</v>
      </c>
      <c r="H453" s="582" t="s">
        <v>886</v>
      </c>
      <c r="I453" t="s">
        <v>888</v>
      </c>
      <c r="J453">
        <v>0.85</v>
      </c>
      <c r="K453" t="s">
        <v>2171</v>
      </c>
    </row>
    <row r="454" spans="1:11" hidden="1" x14ac:dyDescent="0.25">
      <c r="A454">
        <v>3910648</v>
      </c>
      <c r="B454" t="s">
        <v>887</v>
      </c>
      <c r="C454">
        <v>0.53251199999999999</v>
      </c>
      <c r="D454">
        <v>4731</v>
      </c>
      <c r="E454" t="s">
        <v>53</v>
      </c>
      <c r="F454">
        <v>1881</v>
      </c>
      <c r="G454" s="582" t="s">
        <v>10</v>
      </c>
      <c r="H454" s="582" t="s">
        <v>886</v>
      </c>
      <c r="I454" t="s">
        <v>888</v>
      </c>
      <c r="J454">
        <v>0.85</v>
      </c>
      <c r="K454" t="s">
        <v>2171</v>
      </c>
    </row>
    <row r="455" spans="1:11" hidden="1" x14ac:dyDescent="0.25">
      <c r="A455">
        <v>3910648</v>
      </c>
      <c r="B455" t="s">
        <v>887</v>
      </c>
      <c r="C455">
        <v>2.4791260000000004</v>
      </c>
      <c r="D455">
        <v>4731</v>
      </c>
      <c r="E455" t="s">
        <v>53</v>
      </c>
      <c r="F455">
        <v>1882</v>
      </c>
      <c r="G455" s="582" t="s">
        <v>10</v>
      </c>
      <c r="H455" s="582" t="s">
        <v>886</v>
      </c>
      <c r="I455" t="s">
        <v>888</v>
      </c>
      <c r="J455">
        <v>0.85</v>
      </c>
      <c r="K455" t="s">
        <v>2171</v>
      </c>
    </row>
    <row r="456" spans="1:11" hidden="1" x14ac:dyDescent="0.25">
      <c r="A456">
        <v>3910648</v>
      </c>
      <c r="B456" t="s">
        <v>887</v>
      </c>
      <c r="C456">
        <v>0.78351300000000001</v>
      </c>
      <c r="D456">
        <v>4731</v>
      </c>
      <c r="E456" t="s">
        <v>53</v>
      </c>
      <c r="F456">
        <v>1883</v>
      </c>
      <c r="G456" s="582" t="s">
        <v>10</v>
      </c>
      <c r="H456" s="582" t="s">
        <v>886</v>
      </c>
      <c r="I456" t="s">
        <v>888</v>
      </c>
      <c r="J456">
        <v>0.85</v>
      </c>
      <c r="K456" t="s">
        <v>2171</v>
      </c>
    </row>
    <row r="457" spans="1:11" hidden="1" x14ac:dyDescent="0.25">
      <c r="A457">
        <v>3910648</v>
      </c>
      <c r="B457" t="s">
        <v>887</v>
      </c>
      <c r="C457">
        <v>9.9984000000000003E-2</v>
      </c>
      <c r="D457">
        <v>4731</v>
      </c>
      <c r="E457" t="s">
        <v>53</v>
      </c>
      <c r="F457">
        <v>1884</v>
      </c>
      <c r="G457" s="582" t="s">
        <v>10</v>
      </c>
      <c r="H457" s="582" t="s">
        <v>886</v>
      </c>
      <c r="I457" t="s">
        <v>888</v>
      </c>
      <c r="J457">
        <v>0.85</v>
      </c>
      <c r="K457" t="s">
        <v>2171</v>
      </c>
    </row>
    <row r="458" spans="1:11" hidden="1" x14ac:dyDescent="0.25">
      <c r="A458">
        <v>3910648</v>
      </c>
      <c r="B458" t="s">
        <v>887</v>
      </c>
      <c r="C458">
        <v>4.2558500000000006</v>
      </c>
      <c r="D458">
        <v>8406</v>
      </c>
      <c r="E458" t="s">
        <v>53</v>
      </c>
      <c r="F458">
        <v>1885</v>
      </c>
      <c r="G458" s="582" t="s">
        <v>10</v>
      </c>
      <c r="H458" s="582" t="s">
        <v>886</v>
      </c>
      <c r="I458" t="s">
        <v>888</v>
      </c>
      <c r="J458">
        <v>0.85</v>
      </c>
      <c r="K458" t="s">
        <v>2171</v>
      </c>
    </row>
    <row r="459" spans="1:11" hidden="1" x14ac:dyDescent="0.25">
      <c r="A459">
        <v>4010435</v>
      </c>
      <c r="B459" t="s">
        <v>878</v>
      </c>
      <c r="C459">
        <v>4.0930999999999995E-2</v>
      </c>
      <c r="D459">
        <v>789</v>
      </c>
      <c r="E459" t="s">
        <v>48</v>
      </c>
      <c r="F459">
        <v>378</v>
      </c>
      <c r="G459" s="582" t="s">
        <v>10</v>
      </c>
      <c r="H459" s="582" t="s">
        <v>654</v>
      </c>
      <c r="I459" t="s">
        <v>879</v>
      </c>
      <c r="J459">
        <v>0.23</v>
      </c>
      <c r="K459" t="s">
        <v>2171</v>
      </c>
    </row>
    <row r="460" spans="1:11" hidden="1" x14ac:dyDescent="0.25">
      <c r="A460">
        <v>4010435</v>
      </c>
      <c r="B460" t="s">
        <v>878</v>
      </c>
      <c r="C460">
        <v>7.013599999999999E-2</v>
      </c>
      <c r="D460">
        <v>4731</v>
      </c>
      <c r="E460" t="s">
        <v>48</v>
      </c>
      <c r="F460">
        <v>1916</v>
      </c>
      <c r="G460" s="582" t="s">
        <v>10</v>
      </c>
      <c r="H460" s="582" t="s">
        <v>654</v>
      </c>
      <c r="I460" t="s">
        <v>879</v>
      </c>
      <c r="J460">
        <v>0.23</v>
      </c>
      <c r="K460" t="s">
        <v>2171</v>
      </c>
    </row>
    <row r="461" spans="1:11" hidden="1" x14ac:dyDescent="0.25">
      <c r="A461">
        <v>3605740</v>
      </c>
      <c r="B461" t="s">
        <v>1296</v>
      </c>
      <c r="C461">
        <v>0.25734400000000002</v>
      </c>
      <c r="D461">
        <v>789</v>
      </c>
      <c r="E461" t="s">
        <v>30</v>
      </c>
      <c r="F461">
        <v>929</v>
      </c>
      <c r="G461" s="582" t="s">
        <v>10</v>
      </c>
      <c r="H461" s="582" t="s">
        <v>450</v>
      </c>
      <c r="I461" t="s">
        <v>2261</v>
      </c>
      <c r="J461">
        <v>0.67500000000000004</v>
      </c>
      <c r="K461" t="s">
        <v>2171</v>
      </c>
    </row>
    <row r="462" spans="1:11" hidden="1" x14ac:dyDescent="0.25">
      <c r="A462">
        <v>3605739</v>
      </c>
      <c r="B462" t="s">
        <v>620</v>
      </c>
      <c r="C462">
        <v>0.316</v>
      </c>
      <c r="D462">
        <v>789</v>
      </c>
      <c r="E462" t="s">
        <v>30</v>
      </c>
      <c r="F462">
        <v>787</v>
      </c>
      <c r="G462" s="582" t="s">
        <v>10</v>
      </c>
      <c r="H462" s="582" t="s">
        <v>450</v>
      </c>
      <c r="I462" t="s">
        <v>621</v>
      </c>
      <c r="J462">
        <v>0.871</v>
      </c>
      <c r="K462" t="s">
        <v>2171</v>
      </c>
    </row>
    <row r="463" spans="1:11" hidden="1" x14ac:dyDescent="0.25">
      <c r="A463">
        <v>3605739</v>
      </c>
      <c r="B463" t="s">
        <v>620</v>
      </c>
      <c r="C463">
        <v>0.219</v>
      </c>
      <c r="D463">
        <v>789</v>
      </c>
      <c r="E463" t="s">
        <v>30</v>
      </c>
      <c r="F463">
        <v>788</v>
      </c>
      <c r="G463" s="582" t="s">
        <v>10</v>
      </c>
      <c r="H463" s="582" t="s">
        <v>450</v>
      </c>
      <c r="I463" t="s">
        <v>621</v>
      </c>
      <c r="J463">
        <v>0.871</v>
      </c>
      <c r="K463" t="s">
        <v>2171</v>
      </c>
    </row>
    <row r="464" spans="1:11" hidden="1" x14ac:dyDescent="0.25">
      <c r="A464">
        <v>1903849</v>
      </c>
      <c r="B464" t="s">
        <v>865</v>
      </c>
      <c r="C464">
        <v>7.67E-4</v>
      </c>
      <c r="D464">
        <v>789</v>
      </c>
      <c r="E464" t="s">
        <v>52</v>
      </c>
      <c r="F464">
        <v>409</v>
      </c>
      <c r="G464" s="582" t="s">
        <v>10</v>
      </c>
      <c r="H464" s="582" t="s">
        <v>860</v>
      </c>
      <c r="I464" t="s">
        <v>866</v>
      </c>
      <c r="J464">
        <v>0.432</v>
      </c>
      <c r="K464" t="s">
        <v>2171</v>
      </c>
    </row>
    <row r="465" spans="1:11" hidden="1" x14ac:dyDescent="0.25">
      <c r="A465">
        <v>1903849</v>
      </c>
      <c r="B465" t="s">
        <v>865</v>
      </c>
      <c r="C465">
        <v>7.6000000000000004E-4</v>
      </c>
      <c r="D465">
        <v>789</v>
      </c>
      <c r="E465" t="s">
        <v>52</v>
      </c>
      <c r="F465">
        <v>410</v>
      </c>
      <c r="G465" s="582" t="s">
        <v>10</v>
      </c>
      <c r="H465" s="582" t="s">
        <v>860</v>
      </c>
      <c r="I465" t="s">
        <v>866</v>
      </c>
      <c r="J465">
        <v>0.432</v>
      </c>
      <c r="K465" t="s">
        <v>2171</v>
      </c>
    </row>
    <row r="466" spans="1:11" hidden="1" x14ac:dyDescent="0.25">
      <c r="A466">
        <v>1903849</v>
      </c>
      <c r="B466" t="s">
        <v>865</v>
      </c>
      <c r="C466">
        <v>0.30827899999999997</v>
      </c>
      <c r="D466">
        <v>4731</v>
      </c>
      <c r="E466" t="s">
        <v>52</v>
      </c>
      <c r="F466">
        <v>1293</v>
      </c>
      <c r="G466" s="582" t="s">
        <v>10</v>
      </c>
      <c r="H466" s="582" t="s">
        <v>860</v>
      </c>
      <c r="I466" t="s">
        <v>866</v>
      </c>
      <c r="J466">
        <v>0.432</v>
      </c>
      <c r="K466" t="s">
        <v>2171</v>
      </c>
    </row>
    <row r="467" spans="1:11" hidden="1" x14ac:dyDescent="0.25">
      <c r="A467">
        <v>1938251</v>
      </c>
      <c r="B467" t="s">
        <v>1511</v>
      </c>
      <c r="C467">
        <v>0.56100000000000005</v>
      </c>
      <c r="D467">
        <v>789</v>
      </c>
      <c r="E467" t="s">
        <v>151</v>
      </c>
      <c r="F467">
        <v>413</v>
      </c>
      <c r="G467" s="582" t="s">
        <v>10</v>
      </c>
      <c r="H467" s="582" t="s">
        <v>412</v>
      </c>
      <c r="I467" t="s">
        <v>2262</v>
      </c>
      <c r="J467">
        <v>0.39400000000000002</v>
      </c>
      <c r="K467" t="s">
        <v>2171</v>
      </c>
    </row>
    <row r="468" spans="1:11" hidden="1" x14ac:dyDescent="0.25">
      <c r="A468">
        <v>1938251</v>
      </c>
      <c r="B468" t="s">
        <v>1511</v>
      </c>
      <c r="C468">
        <v>5.5147000000000002E-2</v>
      </c>
      <c r="D468">
        <v>789</v>
      </c>
      <c r="E468" t="s">
        <v>151</v>
      </c>
      <c r="F468">
        <v>750</v>
      </c>
      <c r="G468" s="582" t="s">
        <v>10</v>
      </c>
      <c r="H468" s="582" t="s">
        <v>412</v>
      </c>
      <c r="I468" t="s">
        <v>2262</v>
      </c>
      <c r="J468">
        <v>0.39400000000000002</v>
      </c>
      <c r="K468" t="s">
        <v>2171</v>
      </c>
    </row>
    <row r="469" spans="1:11" hidden="1" x14ac:dyDescent="0.25">
      <c r="A469">
        <v>1938251</v>
      </c>
      <c r="B469" t="s">
        <v>1511</v>
      </c>
      <c r="C469">
        <v>0.27800000000000002</v>
      </c>
      <c r="D469">
        <v>789</v>
      </c>
      <c r="E469" t="s">
        <v>151</v>
      </c>
      <c r="F469">
        <v>751</v>
      </c>
      <c r="G469" s="582" t="s">
        <v>10</v>
      </c>
      <c r="H469" s="582" t="s">
        <v>412</v>
      </c>
      <c r="I469" t="s">
        <v>2262</v>
      </c>
      <c r="J469">
        <v>0.39400000000000002</v>
      </c>
      <c r="K469" t="s">
        <v>2171</v>
      </c>
    </row>
    <row r="470" spans="1:11" hidden="1" x14ac:dyDescent="0.25">
      <c r="A470">
        <v>1940313</v>
      </c>
      <c r="B470" t="s">
        <v>707</v>
      </c>
      <c r="C470">
        <v>5.2230000000000002E-3</v>
      </c>
      <c r="D470">
        <v>789</v>
      </c>
      <c r="E470" t="s">
        <v>18</v>
      </c>
      <c r="F470">
        <v>424</v>
      </c>
      <c r="G470" s="582" t="s">
        <v>10</v>
      </c>
      <c r="H470" s="582" t="s">
        <v>407</v>
      </c>
      <c r="I470" t="s">
        <v>708</v>
      </c>
      <c r="J470">
        <v>0.30299999999999999</v>
      </c>
      <c r="K470" t="s">
        <v>2171</v>
      </c>
    </row>
    <row r="471" spans="1:11" hidden="1" x14ac:dyDescent="0.25">
      <c r="A471">
        <v>1940313</v>
      </c>
      <c r="B471" t="s">
        <v>707</v>
      </c>
      <c r="C471">
        <v>6.2336999999999997E-2</v>
      </c>
      <c r="D471">
        <v>789</v>
      </c>
      <c r="E471" t="s">
        <v>18</v>
      </c>
      <c r="F471">
        <v>425</v>
      </c>
      <c r="G471" s="582" t="s">
        <v>10</v>
      </c>
      <c r="H471" s="582" t="s">
        <v>407</v>
      </c>
      <c r="I471" t="s">
        <v>708</v>
      </c>
      <c r="J471">
        <v>0.30299999999999999</v>
      </c>
      <c r="K471" t="s">
        <v>2171</v>
      </c>
    </row>
    <row r="472" spans="1:11" hidden="1" x14ac:dyDescent="0.25">
      <c r="A472">
        <v>1940313</v>
      </c>
      <c r="B472" t="s">
        <v>707</v>
      </c>
      <c r="C472">
        <v>5.4938000000000001E-2</v>
      </c>
      <c r="D472">
        <v>4731</v>
      </c>
      <c r="E472" t="s">
        <v>18</v>
      </c>
      <c r="F472">
        <v>1328</v>
      </c>
      <c r="G472" s="582" t="s">
        <v>10</v>
      </c>
      <c r="H472" s="582" t="s">
        <v>407</v>
      </c>
      <c r="I472" t="s">
        <v>708</v>
      </c>
      <c r="J472">
        <v>0.30299999999999999</v>
      </c>
      <c r="K472" t="s">
        <v>2171</v>
      </c>
    </row>
    <row r="473" spans="1:11" hidden="1" x14ac:dyDescent="0.25">
      <c r="A473">
        <v>1940313</v>
      </c>
      <c r="B473" t="s">
        <v>707</v>
      </c>
      <c r="C473">
        <v>2.0075280000000002</v>
      </c>
      <c r="D473">
        <v>4731</v>
      </c>
      <c r="E473" t="s">
        <v>18</v>
      </c>
      <c r="F473">
        <v>1329</v>
      </c>
      <c r="G473" s="582" t="s">
        <v>10</v>
      </c>
      <c r="H473" s="582" t="s">
        <v>407</v>
      </c>
      <c r="I473" t="s">
        <v>708</v>
      </c>
      <c r="J473">
        <v>0.30299999999999999</v>
      </c>
      <c r="K473" t="s">
        <v>2171</v>
      </c>
    </row>
    <row r="474" spans="1:11" hidden="1" x14ac:dyDescent="0.25">
      <c r="A474">
        <v>3635694</v>
      </c>
      <c r="B474" t="s">
        <v>649</v>
      </c>
      <c r="C474">
        <v>0.71799999999999997</v>
      </c>
      <c r="D474">
        <v>789</v>
      </c>
      <c r="E474" t="s">
        <v>9</v>
      </c>
      <c r="F474">
        <v>789</v>
      </c>
      <c r="G474" s="582" t="s">
        <v>10</v>
      </c>
      <c r="H474" s="582" t="s">
        <v>648</v>
      </c>
      <c r="I474" t="s">
        <v>650</v>
      </c>
      <c r="J474">
        <v>1.2</v>
      </c>
      <c r="K474" t="s">
        <v>2171</v>
      </c>
    </row>
    <row r="475" spans="1:11" hidden="1" x14ac:dyDescent="0.25">
      <c r="A475">
        <v>3635694</v>
      </c>
      <c r="B475" t="s">
        <v>649</v>
      </c>
      <c r="C475">
        <v>0.214</v>
      </c>
      <c r="D475">
        <v>789</v>
      </c>
      <c r="E475" t="s">
        <v>30</v>
      </c>
      <c r="F475">
        <v>790</v>
      </c>
      <c r="G475" s="582" t="s">
        <v>10</v>
      </c>
      <c r="H475" s="582" t="s">
        <v>648</v>
      </c>
      <c r="I475" t="s">
        <v>650</v>
      </c>
      <c r="J475">
        <v>1.2</v>
      </c>
      <c r="K475" t="s">
        <v>2171</v>
      </c>
    </row>
    <row r="476" spans="1:11" hidden="1" x14ac:dyDescent="0.25">
      <c r="A476">
        <v>3635694</v>
      </c>
      <c r="B476" t="s">
        <v>649</v>
      </c>
      <c r="C476">
        <v>0.33261499999999999</v>
      </c>
      <c r="D476">
        <v>789</v>
      </c>
      <c r="E476" t="s">
        <v>30</v>
      </c>
      <c r="F476">
        <v>1089</v>
      </c>
      <c r="G476" s="582" t="s">
        <v>10</v>
      </c>
      <c r="H476" s="582" t="s">
        <v>648</v>
      </c>
      <c r="I476" t="s">
        <v>650</v>
      </c>
      <c r="J476">
        <v>1.2</v>
      </c>
      <c r="K476" t="s">
        <v>2171</v>
      </c>
    </row>
    <row r="477" spans="1:11" hidden="1" x14ac:dyDescent="0.25">
      <c r="A477">
        <v>3635694</v>
      </c>
      <c r="B477" t="s">
        <v>649</v>
      </c>
      <c r="C477">
        <v>0.51848499999999997</v>
      </c>
      <c r="D477">
        <v>789</v>
      </c>
      <c r="E477" t="s">
        <v>30</v>
      </c>
      <c r="F477">
        <v>1090</v>
      </c>
      <c r="G477" s="582" t="s">
        <v>10</v>
      </c>
      <c r="H477" s="582" t="s">
        <v>648</v>
      </c>
      <c r="I477" t="s">
        <v>650</v>
      </c>
      <c r="J477">
        <v>1.2</v>
      </c>
      <c r="K477" t="s">
        <v>2171</v>
      </c>
    </row>
    <row r="478" spans="1:11" hidden="1" x14ac:dyDescent="0.25">
      <c r="A478">
        <v>1940479</v>
      </c>
      <c r="B478" t="s">
        <v>698</v>
      </c>
      <c r="C478">
        <v>1.1008E-2</v>
      </c>
      <c r="D478">
        <v>789</v>
      </c>
      <c r="E478" t="s">
        <v>181</v>
      </c>
      <c r="F478">
        <v>427</v>
      </c>
      <c r="G478" s="582" t="s">
        <v>10</v>
      </c>
      <c r="H478" s="582" t="s">
        <v>642</v>
      </c>
      <c r="I478" t="s">
        <v>699</v>
      </c>
      <c r="J478">
        <v>0.93</v>
      </c>
      <c r="K478" t="s">
        <v>2171</v>
      </c>
    </row>
    <row r="479" spans="1:11" hidden="1" x14ac:dyDescent="0.25">
      <c r="A479">
        <v>1940538</v>
      </c>
      <c r="B479" t="s">
        <v>1553</v>
      </c>
      <c r="C479">
        <v>9.0999999999999998E-2</v>
      </c>
      <c r="D479">
        <v>789</v>
      </c>
      <c r="E479" t="s">
        <v>151</v>
      </c>
      <c r="F479">
        <v>428</v>
      </c>
      <c r="G479" s="582" t="s">
        <v>10</v>
      </c>
      <c r="H479" s="582" t="s">
        <v>785</v>
      </c>
      <c r="I479" t="s">
        <v>2263</v>
      </c>
      <c r="J479">
        <v>0.84499999999999997</v>
      </c>
      <c r="K479" t="s">
        <v>2171</v>
      </c>
    </row>
    <row r="480" spans="1:11" hidden="1" x14ac:dyDescent="0.25">
      <c r="A480">
        <v>1940538</v>
      </c>
      <c r="B480" t="s">
        <v>1553</v>
      </c>
      <c r="C480">
        <v>6.2500000000000001E-4</v>
      </c>
      <c r="D480">
        <v>789</v>
      </c>
      <c r="E480" t="s">
        <v>151</v>
      </c>
      <c r="F480">
        <v>429</v>
      </c>
      <c r="G480" s="582" t="s">
        <v>10</v>
      </c>
      <c r="H480" s="582" t="s">
        <v>785</v>
      </c>
      <c r="I480" t="s">
        <v>2263</v>
      </c>
      <c r="J480">
        <v>0.84499999999999997</v>
      </c>
      <c r="K480" t="s">
        <v>2171</v>
      </c>
    </row>
    <row r="481" spans="1:11" hidden="1" x14ac:dyDescent="0.25">
      <c r="A481">
        <v>3518158</v>
      </c>
      <c r="B481" t="s">
        <v>1311</v>
      </c>
      <c r="C481">
        <v>1.4999999999999999E-2</v>
      </c>
      <c r="D481">
        <v>789</v>
      </c>
      <c r="E481" t="s">
        <v>151</v>
      </c>
      <c r="F481">
        <v>728</v>
      </c>
      <c r="G481" s="582" t="s">
        <v>10</v>
      </c>
      <c r="H481" s="582" t="s">
        <v>648</v>
      </c>
      <c r="I481" t="s">
        <v>2264</v>
      </c>
      <c r="J481">
        <v>1.095</v>
      </c>
      <c r="K481" t="s">
        <v>2171</v>
      </c>
    </row>
    <row r="482" spans="1:11" hidden="1" x14ac:dyDescent="0.25">
      <c r="A482">
        <v>3518158</v>
      </c>
      <c r="B482" t="s">
        <v>1311</v>
      </c>
      <c r="C482">
        <v>1.4999999999999999E-2</v>
      </c>
      <c r="D482">
        <v>789</v>
      </c>
      <c r="E482" t="s">
        <v>151</v>
      </c>
      <c r="F482">
        <v>729</v>
      </c>
      <c r="G482" s="582" t="s">
        <v>10</v>
      </c>
      <c r="H482" s="582" t="s">
        <v>648</v>
      </c>
      <c r="I482" t="s">
        <v>2264</v>
      </c>
      <c r="J482">
        <v>1.095</v>
      </c>
      <c r="K482" t="s">
        <v>2171</v>
      </c>
    </row>
    <row r="483" spans="1:11" hidden="1" x14ac:dyDescent="0.25">
      <c r="A483">
        <v>3518158</v>
      </c>
      <c r="B483" t="s">
        <v>1311</v>
      </c>
      <c r="C483">
        <v>0.02</v>
      </c>
      <c r="D483">
        <v>789</v>
      </c>
      <c r="E483" t="s">
        <v>151</v>
      </c>
      <c r="F483">
        <v>730</v>
      </c>
      <c r="G483" s="582" t="s">
        <v>10</v>
      </c>
      <c r="H483" s="582" t="s">
        <v>648</v>
      </c>
      <c r="I483" t="s">
        <v>2264</v>
      </c>
      <c r="J483">
        <v>1.095</v>
      </c>
      <c r="K483" t="s">
        <v>2171</v>
      </c>
    </row>
    <row r="484" spans="1:11" hidden="1" x14ac:dyDescent="0.25">
      <c r="A484">
        <v>3518158</v>
      </c>
      <c r="B484" t="s">
        <v>1311</v>
      </c>
      <c r="C484">
        <v>0.02</v>
      </c>
      <c r="D484">
        <v>789</v>
      </c>
      <c r="E484" t="s">
        <v>151</v>
      </c>
      <c r="F484">
        <v>731</v>
      </c>
      <c r="G484" s="582" t="s">
        <v>10</v>
      </c>
      <c r="H484" s="582" t="s">
        <v>648</v>
      </c>
      <c r="I484" t="s">
        <v>2264</v>
      </c>
      <c r="J484">
        <v>1.095</v>
      </c>
      <c r="K484" t="s">
        <v>2171</v>
      </c>
    </row>
    <row r="485" spans="1:11" hidden="1" x14ac:dyDescent="0.25">
      <c r="A485">
        <v>1940815</v>
      </c>
      <c r="B485" t="s">
        <v>790</v>
      </c>
      <c r="C485">
        <v>6.228E-3</v>
      </c>
      <c r="D485">
        <v>789</v>
      </c>
      <c r="E485" t="s">
        <v>18</v>
      </c>
      <c r="F485">
        <v>438</v>
      </c>
      <c r="G485" s="582" t="s">
        <v>10</v>
      </c>
      <c r="H485" s="582" t="s">
        <v>661</v>
      </c>
      <c r="I485" t="s">
        <v>791</v>
      </c>
      <c r="J485">
        <v>0.48</v>
      </c>
      <c r="K485" t="s">
        <v>2171</v>
      </c>
    </row>
    <row r="486" spans="1:11" hidden="1" x14ac:dyDescent="0.25">
      <c r="A486">
        <v>1940815</v>
      </c>
      <c r="B486" t="s">
        <v>790</v>
      </c>
      <c r="C486">
        <v>7.5760000000000003E-3</v>
      </c>
      <c r="D486">
        <v>789</v>
      </c>
      <c r="E486" t="s">
        <v>18</v>
      </c>
      <c r="F486">
        <v>764</v>
      </c>
      <c r="G486" s="582" t="s">
        <v>10</v>
      </c>
      <c r="H486" s="582" t="s">
        <v>661</v>
      </c>
      <c r="I486" t="s">
        <v>791</v>
      </c>
      <c r="J486">
        <v>0.48</v>
      </c>
      <c r="K486" t="s">
        <v>2171</v>
      </c>
    </row>
    <row r="487" spans="1:11" hidden="1" x14ac:dyDescent="0.25">
      <c r="A487">
        <v>1940815</v>
      </c>
      <c r="B487" t="s">
        <v>790</v>
      </c>
      <c r="C487">
        <v>2.1360000000000003E-3</v>
      </c>
      <c r="D487">
        <v>789</v>
      </c>
      <c r="E487" t="s">
        <v>18</v>
      </c>
      <c r="F487">
        <v>765</v>
      </c>
      <c r="G487" s="582" t="s">
        <v>10</v>
      </c>
      <c r="H487" s="582" t="s">
        <v>661</v>
      </c>
      <c r="I487" t="s">
        <v>791</v>
      </c>
      <c r="J487">
        <v>0.48</v>
      </c>
      <c r="K487" t="s">
        <v>2171</v>
      </c>
    </row>
    <row r="488" spans="1:11" hidden="1" x14ac:dyDescent="0.25">
      <c r="A488">
        <v>3409366</v>
      </c>
      <c r="B488" t="s">
        <v>1313</v>
      </c>
      <c r="C488">
        <v>2.5000000000000001E-4</v>
      </c>
      <c r="D488">
        <v>789</v>
      </c>
      <c r="E488" t="s">
        <v>37</v>
      </c>
      <c r="F488">
        <v>883</v>
      </c>
      <c r="G488" s="582" t="s">
        <v>33</v>
      </c>
      <c r="H488" s="582" t="s">
        <v>471</v>
      </c>
      <c r="I488" t="s">
        <v>2266</v>
      </c>
      <c r="J488">
        <v>0.109</v>
      </c>
      <c r="K488" t="s">
        <v>2171</v>
      </c>
    </row>
    <row r="489" spans="1:11" hidden="1" x14ac:dyDescent="0.25">
      <c r="A489">
        <v>3409366</v>
      </c>
      <c r="B489" t="s">
        <v>1313</v>
      </c>
      <c r="C489">
        <v>1.5599999999999999E-2</v>
      </c>
      <c r="D489">
        <v>789</v>
      </c>
      <c r="E489" t="s">
        <v>37</v>
      </c>
      <c r="F489">
        <v>884</v>
      </c>
      <c r="G489" s="582" t="s">
        <v>33</v>
      </c>
      <c r="H489" s="582" t="s">
        <v>471</v>
      </c>
      <c r="I489" t="s">
        <v>2266</v>
      </c>
      <c r="J489">
        <v>0.109</v>
      </c>
      <c r="K489" t="s">
        <v>2171</v>
      </c>
    </row>
    <row r="490" spans="1:11" hidden="1" x14ac:dyDescent="0.25">
      <c r="A490">
        <v>3929691</v>
      </c>
      <c r="B490" t="s">
        <v>535</v>
      </c>
      <c r="C490">
        <v>1.5252999999999999E-2</v>
      </c>
      <c r="D490">
        <v>789</v>
      </c>
      <c r="E490" t="s">
        <v>60</v>
      </c>
      <c r="F490">
        <v>1248</v>
      </c>
      <c r="G490" s="582" t="s">
        <v>10</v>
      </c>
      <c r="H490" s="582" t="s">
        <v>532</v>
      </c>
      <c r="I490" t="s">
        <v>536</v>
      </c>
      <c r="J490">
        <v>0.2</v>
      </c>
      <c r="K490" t="s">
        <v>2171</v>
      </c>
    </row>
    <row r="491" spans="1:11" hidden="1" x14ac:dyDescent="0.25">
      <c r="A491">
        <v>3929691</v>
      </c>
      <c r="B491" t="s">
        <v>535</v>
      </c>
      <c r="C491">
        <v>2.1777999999999999E-2</v>
      </c>
      <c r="D491">
        <v>789</v>
      </c>
      <c r="E491" t="s">
        <v>60</v>
      </c>
      <c r="F491">
        <v>1249</v>
      </c>
      <c r="G491" s="582" t="s">
        <v>10</v>
      </c>
      <c r="H491" s="582" t="s">
        <v>532</v>
      </c>
      <c r="I491" t="s">
        <v>536</v>
      </c>
      <c r="J491">
        <v>0.2</v>
      </c>
      <c r="K491" t="s">
        <v>2171</v>
      </c>
    </row>
    <row r="492" spans="1:11" hidden="1" x14ac:dyDescent="0.25">
      <c r="A492">
        <v>3929691</v>
      </c>
      <c r="B492" t="s">
        <v>535</v>
      </c>
      <c r="C492">
        <v>0.60277800000000004</v>
      </c>
      <c r="D492">
        <v>789</v>
      </c>
      <c r="E492" t="s">
        <v>60</v>
      </c>
      <c r="F492">
        <v>1250</v>
      </c>
      <c r="G492" s="582" t="s">
        <v>10</v>
      </c>
      <c r="H492" s="582" t="s">
        <v>532</v>
      </c>
      <c r="I492" t="s">
        <v>536</v>
      </c>
      <c r="J492">
        <v>0.2</v>
      </c>
      <c r="K492" t="s">
        <v>2171</v>
      </c>
    </row>
    <row r="493" spans="1:11" hidden="1" x14ac:dyDescent="0.25">
      <c r="A493">
        <v>3929691</v>
      </c>
      <c r="B493" t="s">
        <v>535</v>
      </c>
      <c r="C493">
        <v>7.0912000000000003E-2</v>
      </c>
      <c r="D493">
        <v>789</v>
      </c>
      <c r="E493" t="s">
        <v>60</v>
      </c>
      <c r="F493">
        <v>1251</v>
      </c>
      <c r="G493" s="582" t="s">
        <v>10</v>
      </c>
      <c r="H493" s="582" t="s">
        <v>532</v>
      </c>
      <c r="I493" t="s">
        <v>536</v>
      </c>
      <c r="J493">
        <v>0.2</v>
      </c>
      <c r="K493" t="s">
        <v>2171</v>
      </c>
    </row>
    <row r="494" spans="1:11" hidden="1" x14ac:dyDescent="0.25">
      <c r="A494">
        <v>3233555</v>
      </c>
      <c r="B494" t="s">
        <v>482</v>
      </c>
      <c r="C494">
        <v>7.8379999999999995E-3</v>
      </c>
      <c r="D494">
        <v>789</v>
      </c>
      <c r="E494" t="s">
        <v>60</v>
      </c>
      <c r="F494">
        <v>450</v>
      </c>
      <c r="G494" s="582" t="s">
        <v>10</v>
      </c>
      <c r="H494" s="582" t="s">
        <v>456</v>
      </c>
      <c r="I494" t="s">
        <v>483</v>
      </c>
      <c r="J494">
        <v>1.1200000000000001</v>
      </c>
      <c r="K494" t="s">
        <v>2171</v>
      </c>
    </row>
    <row r="495" spans="1:11" hidden="1" x14ac:dyDescent="0.25">
      <c r="A495">
        <v>3233555</v>
      </c>
      <c r="B495" t="s">
        <v>482</v>
      </c>
      <c r="C495">
        <v>4.8759999999999998E-2</v>
      </c>
      <c r="D495">
        <v>789</v>
      </c>
      <c r="E495" t="s">
        <v>60</v>
      </c>
      <c r="F495">
        <v>451</v>
      </c>
      <c r="G495" s="582" t="s">
        <v>10</v>
      </c>
      <c r="H495" s="582" t="s">
        <v>456</v>
      </c>
      <c r="I495" t="s">
        <v>483</v>
      </c>
      <c r="J495">
        <v>1.1200000000000001</v>
      </c>
      <c r="K495" t="s">
        <v>2171</v>
      </c>
    </row>
    <row r="496" spans="1:11" hidden="1" x14ac:dyDescent="0.25">
      <c r="A496">
        <v>3233555</v>
      </c>
      <c r="B496" t="s">
        <v>482</v>
      </c>
      <c r="C496">
        <v>0.45486599999999999</v>
      </c>
      <c r="D496">
        <v>789</v>
      </c>
      <c r="E496" t="s">
        <v>60</v>
      </c>
      <c r="F496">
        <v>452</v>
      </c>
      <c r="G496" s="582" t="s">
        <v>10</v>
      </c>
      <c r="H496" s="582" t="s">
        <v>456</v>
      </c>
      <c r="I496" t="s">
        <v>483</v>
      </c>
      <c r="J496">
        <v>1.1200000000000001</v>
      </c>
      <c r="K496" t="s">
        <v>2171</v>
      </c>
    </row>
    <row r="497" spans="1:11" hidden="1" x14ac:dyDescent="0.25">
      <c r="A497">
        <v>3233555</v>
      </c>
      <c r="B497" t="s">
        <v>482</v>
      </c>
      <c r="C497">
        <v>2.0230000000000001</v>
      </c>
      <c r="D497">
        <v>789</v>
      </c>
      <c r="E497" t="s">
        <v>60</v>
      </c>
      <c r="F497">
        <v>453</v>
      </c>
      <c r="G497" s="582" t="s">
        <v>10</v>
      </c>
      <c r="H497" s="582" t="s">
        <v>456</v>
      </c>
      <c r="I497" t="s">
        <v>483</v>
      </c>
      <c r="J497">
        <v>1.1200000000000001</v>
      </c>
      <c r="K497" t="s">
        <v>2171</v>
      </c>
    </row>
    <row r="498" spans="1:11" hidden="1" x14ac:dyDescent="0.25">
      <c r="A498">
        <v>3233555</v>
      </c>
      <c r="B498" t="s">
        <v>482</v>
      </c>
      <c r="C498">
        <v>0.92500000000000004</v>
      </c>
      <c r="D498">
        <v>789</v>
      </c>
      <c r="E498" t="s">
        <v>60</v>
      </c>
      <c r="F498">
        <v>454</v>
      </c>
      <c r="G498" s="582" t="s">
        <v>10</v>
      </c>
      <c r="H498" s="582" t="s">
        <v>456</v>
      </c>
      <c r="I498" t="s">
        <v>483</v>
      </c>
      <c r="J498">
        <v>1.1200000000000001</v>
      </c>
      <c r="K498" t="s">
        <v>2171</v>
      </c>
    </row>
    <row r="499" spans="1:11" hidden="1" x14ac:dyDescent="0.25">
      <c r="A499">
        <v>3938681</v>
      </c>
      <c r="B499" t="s">
        <v>2106</v>
      </c>
      <c r="C499">
        <v>0.34968299999999997</v>
      </c>
      <c r="D499">
        <v>789</v>
      </c>
      <c r="E499" t="s">
        <v>60</v>
      </c>
      <c r="F499">
        <v>1073</v>
      </c>
      <c r="G499" s="582" t="s">
        <v>10</v>
      </c>
      <c r="H499" s="582" t="s">
        <v>532</v>
      </c>
      <c r="I499" t="s">
        <v>2268</v>
      </c>
      <c r="J499">
        <v>0.22</v>
      </c>
      <c r="K499" t="s">
        <v>2171</v>
      </c>
    </row>
    <row r="500" spans="1:11" hidden="1" x14ac:dyDescent="0.25">
      <c r="A500">
        <v>3938682</v>
      </c>
      <c r="B500" t="s">
        <v>2107</v>
      </c>
      <c r="C500">
        <v>1.6478000000000003E-2</v>
      </c>
      <c r="D500">
        <v>789</v>
      </c>
      <c r="E500" t="s">
        <v>60</v>
      </c>
      <c r="F500">
        <v>1005</v>
      </c>
      <c r="G500" s="582" t="s">
        <v>10</v>
      </c>
      <c r="H500" s="582" t="s">
        <v>532</v>
      </c>
      <c r="I500" t="s">
        <v>2269</v>
      </c>
      <c r="J500">
        <v>0.32</v>
      </c>
      <c r="K500" t="s">
        <v>2171</v>
      </c>
    </row>
    <row r="501" spans="1:11" hidden="1" x14ac:dyDescent="0.25">
      <c r="A501">
        <v>3938682</v>
      </c>
      <c r="B501" t="s">
        <v>2107</v>
      </c>
      <c r="C501">
        <v>0.338478</v>
      </c>
      <c r="D501">
        <v>789</v>
      </c>
      <c r="E501" t="s">
        <v>60</v>
      </c>
      <c r="F501">
        <v>1006</v>
      </c>
      <c r="G501" s="582" t="s">
        <v>10</v>
      </c>
      <c r="H501" s="582" t="s">
        <v>532</v>
      </c>
      <c r="I501" t="s">
        <v>2269</v>
      </c>
      <c r="J501">
        <v>0.32</v>
      </c>
      <c r="K501" t="s">
        <v>2171</v>
      </c>
    </row>
    <row r="502" spans="1:11" hidden="1" x14ac:dyDescent="0.25">
      <c r="A502">
        <v>3239890</v>
      </c>
      <c r="B502" t="s">
        <v>1315</v>
      </c>
      <c r="C502">
        <v>0.187</v>
      </c>
      <c r="D502">
        <v>789</v>
      </c>
      <c r="E502" t="s">
        <v>9</v>
      </c>
      <c r="F502">
        <v>455</v>
      </c>
      <c r="G502" s="582" t="s">
        <v>10</v>
      </c>
      <c r="H502" s="582" t="s">
        <v>471</v>
      </c>
      <c r="I502" t="s">
        <v>2265</v>
      </c>
      <c r="J502">
        <v>0.33</v>
      </c>
      <c r="K502" t="s">
        <v>2171</v>
      </c>
    </row>
    <row r="503" spans="1:11" hidden="1" x14ac:dyDescent="0.25">
      <c r="A503">
        <v>3239890</v>
      </c>
      <c r="B503" t="s">
        <v>1315</v>
      </c>
      <c r="C503">
        <v>0.33100000000000002</v>
      </c>
      <c r="D503">
        <v>789</v>
      </c>
      <c r="E503" t="s">
        <v>9</v>
      </c>
      <c r="F503">
        <v>456</v>
      </c>
      <c r="G503" s="582" t="s">
        <v>10</v>
      </c>
      <c r="H503" s="582" t="s">
        <v>471</v>
      </c>
      <c r="I503" t="s">
        <v>2265</v>
      </c>
      <c r="J503">
        <v>0.33</v>
      </c>
      <c r="K503" t="s">
        <v>2171</v>
      </c>
    </row>
    <row r="504" spans="1:11" hidden="1" x14ac:dyDescent="0.25">
      <c r="A504">
        <v>3239890</v>
      </c>
      <c r="B504" t="s">
        <v>1315</v>
      </c>
      <c r="C504">
        <v>7.9283999999999993E-2</v>
      </c>
      <c r="D504">
        <v>789</v>
      </c>
      <c r="E504" t="s">
        <v>37</v>
      </c>
      <c r="F504">
        <v>457</v>
      </c>
      <c r="G504" s="582" t="s">
        <v>33</v>
      </c>
      <c r="H504" s="582" t="s">
        <v>471</v>
      </c>
      <c r="I504" t="s">
        <v>2265</v>
      </c>
      <c r="J504">
        <v>0.33</v>
      </c>
      <c r="K504" t="s">
        <v>2171</v>
      </c>
    </row>
    <row r="505" spans="1:11" hidden="1" x14ac:dyDescent="0.25">
      <c r="A505">
        <v>3935313</v>
      </c>
      <c r="B505" t="s">
        <v>560</v>
      </c>
      <c r="C505">
        <v>2.0470000000000002E-3</v>
      </c>
      <c r="D505">
        <v>789</v>
      </c>
      <c r="E505" t="s">
        <v>60</v>
      </c>
      <c r="F505">
        <v>1239</v>
      </c>
      <c r="G505" s="582" t="s">
        <v>10</v>
      </c>
      <c r="H505" s="582" t="s">
        <v>532</v>
      </c>
      <c r="I505" t="s">
        <v>561</v>
      </c>
      <c r="J505">
        <v>0.33</v>
      </c>
      <c r="K505" t="s">
        <v>2171</v>
      </c>
    </row>
    <row r="506" spans="1:11" hidden="1" x14ac:dyDescent="0.25">
      <c r="A506">
        <v>3935313</v>
      </c>
      <c r="B506" t="s">
        <v>560</v>
      </c>
      <c r="C506">
        <v>8.8194999999999996E-2</v>
      </c>
      <c r="D506">
        <v>789</v>
      </c>
      <c r="E506" t="s">
        <v>60</v>
      </c>
      <c r="F506">
        <v>1240</v>
      </c>
      <c r="G506" s="582" t="s">
        <v>10</v>
      </c>
      <c r="H506" s="582" t="s">
        <v>532</v>
      </c>
      <c r="I506" t="s">
        <v>561</v>
      </c>
      <c r="J506">
        <v>0.33</v>
      </c>
      <c r="K506" t="s">
        <v>2171</v>
      </c>
    </row>
    <row r="507" spans="1:11" hidden="1" x14ac:dyDescent="0.25">
      <c r="A507">
        <v>3935313</v>
      </c>
      <c r="B507" t="s">
        <v>560</v>
      </c>
      <c r="C507">
        <v>2.6516999999999999E-2</v>
      </c>
      <c r="D507">
        <v>789</v>
      </c>
      <c r="E507" t="s">
        <v>60</v>
      </c>
      <c r="F507">
        <v>1241</v>
      </c>
      <c r="G507" s="582" t="s">
        <v>10</v>
      </c>
      <c r="H507" s="582" t="s">
        <v>532</v>
      </c>
      <c r="I507" t="s">
        <v>561</v>
      </c>
      <c r="J507">
        <v>0.33</v>
      </c>
      <c r="K507" t="s">
        <v>2171</v>
      </c>
    </row>
    <row r="508" spans="1:11" hidden="1" x14ac:dyDescent="0.25">
      <c r="A508">
        <v>3935313</v>
      </c>
      <c r="B508" t="s">
        <v>560</v>
      </c>
      <c r="C508">
        <v>9.5656000000000005E-2</v>
      </c>
      <c r="D508">
        <v>789</v>
      </c>
      <c r="E508" t="s">
        <v>60</v>
      </c>
      <c r="F508">
        <v>1242</v>
      </c>
      <c r="G508" s="582" t="s">
        <v>10</v>
      </c>
      <c r="H508" s="582" t="s">
        <v>532</v>
      </c>
      <c r="I508" t="s">
        <v>561</v>
      </c>
      <c r="J508">
        <v>0.33</v>
      </c>
      <c r="K508" t="s">
        <v>2171</v>
      </c>
    </row>
    <row r="509" spans="1:11" hidden="1" x14ac:dyDescent="0.25">
      <c r="A509">
        <v>3938683</v>
      </c>
      <c r="B509" t="s">
        <v>2108</v>
      </c>
      <c r="C509">
        <v>1.8439999999999999E-3</v>
      </c>
      <c r="D509">
        <v>789</v>
      </c>
      <c r="E509" t="s">
        <v>60</v>
      </c>
      <c r="F509">
        <v>1028</v>
      </c>
      <c r="G509" s="582" t="s">
        <v>10</v>
      </c>
      <c r="H509" s="582" t="s">
        <v>532</v>
      </c>
      <c r="I509" t="s">
        <v>2270</v>
      </c>
      <c r="J509">
        <v>0.377</v>
      </c>
      <c r="K509" t="s">
        <v>2171</v>
      </c>
    </row>
    <row r="510" spans="1:11" hidden="1" x14ac:dyDescent="0.25">
      <c r="A510">
        <v>3938683</v>
      </c>
      <c r="B510" t="s">
        <v>2108</v>
      </c>
      <c r="C510">
        <v>1.8439999999999999E-3</v>
      </c>
      <c r="D510">
        <v>789</v>
      </c>
      <c r="E510" t="s">
        <v>60</v>
      </c>
      <c r="F510">
        <v>1029</v>
      </c>
      <c r="G510" s="582" t="s">
        <v>10</v>
      </c>
      <c r="H510" s="582" t="s">
        <v>532</v>
      </c>
      <c r="I510" t="s">
        <v>2270</v>
      </c>
      <c r="J510">
        <v>0.377</v>
      </c>
      <c r="K510" t="s">
        <v>2171</v>
      </c>
    </row>
    <row r="511" spans="1:11" hidden="1" x14ac:dyDescent="0.25">
      <c r="A511">
        <v>3938683</v>
      </c>
      <c r="B511" t="s">
        <v>2108</v>
      </c>
      <c r="C511">
        <v>0.108698</v>
      </c>
      <c r="D511">
        <v>789</v>
      </c>
      <c r="E511" t="s">
        <v>60</v>
      </c>
      <c r="F511">
        <v>1030</v>
      </c>
      <c r="G511" s="582" t="s">
        <v>10</v>
      </c>
      <c r="H511" s="582" t="s">
        <v>532</v>
      </c>
      <c r="I511" t="s">
        <v>2270</v>
      </c>
      <c r="J511">
        <v>0.377</v>
      </c>
      <c r="K511" t="s">
        <v>2171</v>
      </c>
    </row>
    <row r="512" spans="1:11" hidden="1" x14ac:dyDescent="0.25">
      <c r="A512">
        <v>2409616</v>
      </c>
      <c r="B512" t="s">
        <v>1317</v>
      </c>
      <c r="C512">
        <v>2.3039999999999996E-3</v>
      </c>
      <c r="D512">
        <v>789</v>
      </c>
      <c r="E512" t="s">
        <v>37</v>
      </c>
      <c r="F512">
        <v>985</v>
      </c>
      <c r="G512" s="582" t="s">
        <v>33</v>
      </c>
      <c r="H512" s="582" t="s">
        <v>471</v>
      </c>
      <c r="I512" t="s">
        <v>2271</v>
      </c>
      <c r="J512">
        <v>0.51300000000000001</v>
      </c>
      <c r="K512" t="s">
        <v>2171</v>
      </c>
    </row>
    <row r="513" spans="1:11" hidden="1" x14ac:dyDescent="0.25">
      <c r="A513">
        <v>2409616</v>
      </c>
      <c r="B513" t="s">
        <v>1317</v>
      </c>
      <c r="C513">
        <v>8.064E-3</v>
      </c>
      <c r="D513">
        <v>789</v>
      </c>
      <c r="E513" t="s">
        <v>37</v>
      </c>
      <c r="F513">
        <v>986</v>
      </c>
      <c r="G513" s="582" t="s">
        <v>33</v>
      </c>
      <c r="H513" s="582" t="s">
        <v>471</v>
      </c>
      <c r="I513" t="s">
        <v>2271</v>
      </c>
      <c r="J513">
        <v>0.51300000000000001</v>
      </c>
      <c r="K513" t="s">
        <v>2171</v>
      </c>
    </row>
    <row r="514" spans="1:11" hidden="1" x14ac:dyDescent="0.25">
      <c r="A514">
        <v>2409616</v>
      </c>
      <c r="B514" t="s">
        <v>1317</v>
      </c>
      <c r="C514">
        <v>4.0000000000000002E-4</v>
      </c>
      <c r="D514">
        <v>789</v>
      </c>
      <c r="E514" t="s">
        <v>37</v>
      </c>
      <c r="F514">
        <v>987</v>
      </c>
      <c r="G514" s="582" t="s">
        <v>33</v>
      </c>
      <c r="H514" s="582" t="s">
        <v>471</v>
      </c>
      <c r="I514" t="s">
        <v>2271</v>
      </c>
      <c r="J514">
        <v>0.51300000000000001</v>
      </c>
      <c r="K514" t="s">
        <v>2171</v>
      </c>
    </row>
    <row r="515" spans="1:11" hidden="1" x14ac:dyDescent="0.25">
      <c r="A515">
        <v>3572050</v>
      </c>
      <c r="B515" t="s">
        <v>1666</v>
      </c>
      <c r="C515">
        <v>1.3180000000000001</v>
      </c>
      <c r="D515">
        <v>789</v>
      </c>
      <c r="E515" t="s">
        <v>60</v>
      </c>
      <c r="F515">
        <v>460</v>
      </c>
      <c r="G515" s="582" t="s">
        <v>10</v>
      </c>
      <c r="H515" s="582" t="s">
        <v>456</v>
      </c>
      <c r="I515" t="s">
        <v>2267</v>
      </c>
      <c r="J515">
        <v>0.71</v>
      </c>
      <c r="K515" t="s">
        <v>2171</v>
      </c>
    </row>
    <row r="516" spans="1:11" hidden="1" x14ac:dyDescent="0.25">
      <c r="A516">
        <v>1940188</v>
      </c>
      <c r="B516" t="s">
        <v>1976</v>
      </c>
      <c r="C516">
        <v>0.63400000000000001</v>
      </c>
      <c r="D516">
        <v>789</v>
      </c>
      <c r="E516" t="s">
        <v>151</v>
      </c>
      <c r="F516">
        <v>758</v>
      </c>
      <c r="G516" s="582" t="s">
        <v>10</v>
      </c>
      <c r="H516" s="582" t="s">
        <v>471</v>
      </c>
      <c r="I516" t="s">
        <v>2272</v>
      </c>
      <c r="J516">
        <v>0.63100000000000001</v>
      </c>
      <c r="K516" t="s">
        <v>2171</v>
      </c>
    </row>
    <row r="517" spans="1:11" hidden="1" x14ac:dyDescent="0.25">
      <c r="A517">
        <v>1940188</v>
      </c>
      <c r="B517" t="s">
        <v>1976</v>
      </c>
      <c r="C517">
        <v>0.38300000000000001</v>
      </c>
      <c r="D517">
        <v>789</v>
      </c>
      <c r="E517" t="s">
        <v>151</v>
      </c>
      <c r="F517">
        <v>759</v>
      </c>
      <c r="G517" s="582" t="s">
        <v>10</v>
      </c>
      <c r="H517" s="582" t="s">
        <v>471</v>
      </c>
      <c r="I517" t="s">
        <v>2272</v>
      </c>
      <c r="J517">
        <v>0.63100000000000001</v>
      </c>
      <c r="K517" t="s">
        <v>2171</v>
      </c>
    </row>
    <row r="518" spans="1:11" hidden="1" x14ac:dyDescent="0.25">
      <c r="A518">
        <v>1940188</v>
      </c>
      <c r="B518" t="s">
        <v>1976</v>
      </c>
      <c r="C518">
        <v>1.8819999999999999</v>
      </c>
      <c r="D518">
        <v>789</v>
      </c>
      <c r="E518" t="s">
        <v>151</v>
      </c>
      <c r="F518">
        <v>760</v>
      </c>
      <c r="G518" s="582" t="s">
        <v>10</v>
      </c>
      <c r="H518" s="582" t="s">
        <v>471</v>
      </c>
      <c r="I518" t="s">
        <v>2272</v>
      </c>
      <c r="J518">
        <v>0.63100000000000001</v>
      </c>
      <c r="K518" t="s">
        <v>2171</v>
      </c>
    </row>
    <row r="519" spans="1:11" hidden="1" x14ac:dyDescent="0.25">
      <c r="A519">
        <v>1937022</v>
      </c>
      <c r="B519" t="s">
        <v>1321</v>
      </c>
      <c r="C519">
        <v>2.4870000000000001</v>
      </c>
      <c r="D519">
        <v>789</v>
      </c>
      <c r="E519" t="s">
        <v>52</v>
      </c>
      <c r="F519">
        <v>1010</v>
      </c>
      <c r="G519" s="582" t="s">
        <v>10</v>
      </c>
      <c r="H519" s="582" t="s">
        <v>471</v>
      </c>
      <c r="I519" t="s">
        <v>2273</v>
      </c>
      <c r="J519">
        <v>0.65</v>
      </c>
      <c r="K519" t="s">
        <v>2171</v>
      </c>
    </row>
    <row r="520" spans="1:11" hidden="1" x14ac:dyDescent="0.25">
      <c r="A520">
        <v>1937022</v>
      </c>
      <c r="B520" t="s">
        <v>1321</v>
      </c>
      <c r="C520">
        <v>1.114892</v>
      </c>
      <c r="D520">
        <v>789</v>
      </c>
      <c r="E520" t="s">
        <v>52</v>
      </c>
      <c r="F520">
        <v>1011</v>
      </c>
      <c r="G520" s="582" t="s">
        <v>10</v>
      </c>
      <c r="H520" s="582" t="s">
        <v>471</v>
      </c>
      <c r="I520" t="s">
        <v>2273</v>
      </c>
      <c r="J520">
        <v>0.65</v>
      </c>
      <c r="K520" t="s">
        <v>2171</v>
      </c>
    </row>
    <row r="521" spans="1:11" hidden="1" x14ac:dyDescent="0.25">
      <c r="A521">
        <v>1940189</v>
      </c>
      <c r="B521" t="s">
        <v>1977</v>
      </c>
      <c r="C521">
        <v>6.8985000000000005E-2</v>
      </c>
      <c r="D521">
        <v>789</v>
      </c>
      <c r="E521" t="s">
        <v>151</v>
      </c>
      <c r="F521">
        <v>505</v>
      </c>
      <c r="G521" s="582" t="s">
        <v>10</v>
      </c>
      <c r="H521" s="582" t="s">
        <v>471</v>
      </c>
      <c r="I521" t="s">
        <v>2274</v>
      </c>
      <c r="J521">
        <v>0.68</v>
      </c>
      <c r="K521" t="s">
        <v>2171</v>
      </c>
    </row>
    <row r="522" spans="1:11" hidden="1" x14ac:dyDescent="0.25">
      <c r="A522">
        <v>1940189</v>
      </c>
      <c r="B522" t="s">
        <v>1977</v>
      </c>
      <c r="C522">
        <v>0.442</v>
      </c>
      <c r="D522">
        <v>789</v>
      </c>
      <c r="E522" t="s">
        <v>151</v>
      </c>
      <c r="F522">
        <v>802</v>
      </c>
      <c r="G522" s="582" t="s">
        <v>10</v>
      </c>
      <c r="H522" s="582" t="s">
        <v>471</v>
      </c>
      <c r="I522" t="s">
        <v>2274</v>
      </c>
      <c r="J522">
        <v>0.68</v>
      </c>
      <c r="K522" t="s">
        <v>2171</v>
      </c>
    </row>
    <row r="523" spans="1:11" hidden="1" x14ac:dyDescent="0.25">
      <c r="A523">
        <v>1940189</v>
      </c>
      <c r="B523" t="s">
        <v>1977</v>
      </c>
      <c r="C523">
        <v>1.5089999999999999</v>
      </c>
      <c r="D523">
        <v>789</v>
      </c>
      <c r="E523" t="s">
        <v>151</v>
      </c>
      <c r="F523">
        <v>803</v>
      </c>
      <c r="G523" s="582" t="s">
        <v>10</v>
      </c>
      <c r="H523" s="582" t="s">
        <v>471</v>
      </c>
      <c r="I523" t="s">
        <v>2274</v>
      </c>
      <c r="J523">
        <v>0.68</v>
      </c>
      <c r="K523" t="s">
        <v>2171</v>
      </c>
    </row>
    <row r="524" spans="1:11" hidden="1" x14ac:dyDescent="0.25">
      <c r="A524">
        <v>1940189</v>
      </c>
      <c r="B524" t="s">
        <v>1977</v>
      </c>
      <c r="C524">
        <v>0.98099999999999998</v>
      </c>
      <c r="D524">
        <v>789</v>
      </c>
      <c r="E524" t="s">
        <v>151</v>
      </c>
      <c r="F524">
        <v>804</v>
      </c>
      <c r="G524" s="582" t="s">
        <v>10</v>
      </c>
      <c r="H524" s="582" t="s">
        <v>471</v>
      </c>
      <c r="I524" t="s">
        <v>2274</v>
      </c>
      <c r="J524">
        <v>0.68</v>
      </c>
      <c r="K524" t="s">
        <v>2171</v>
      </c>
    </row>
    <row r="525" spans="1:11" hidden="1" x14ac:dyDescent="0.25">
      <c r="A525">
        <v>1940189</v>
      </c>
      <c r="B525" t="s">
        <v>1977</v>
      </c>
      <c r="C525">
        <v>0.52800000000000002</v>
      </c>
      <c r="D525">
        <v>789</v>
      </c>
      <c r="E525" t="s">
        <v>151</v>
      </c>
      <c r="F525">
        <v>805</v>
      </c>
      <c r="G525" s="582" t="s">
        <v>10</v>
      </c>
      <c r="H525" s="582" t="s">
        <v>471</v>
      </c>
      <c r="I525" t="s">
        <v>2274</v>
      </c>
      <c r="J525">
        <v>0.68</v>
      </c>
      <c r="K525" t="s">
        <v>2171</v>
      </c>
    </row>
    <row r="526" spans="1:11" hidden="1" x14ac:dyDescent="0.25">
      <c r="A526">
        <v>3929540</v>
      </c>
      <c r="B526" t="s">
        <v>627</v>
      </c>
      <c r="C526">
        <v>1.7986000000000002E-2</v>
      </c>
      <c r="D526">
        <v>789</v>
      </c>
      <c r="E526" t="s">
        <v>30</v>
      </c>
      <c r="F526">
        <v>1173</v>
      </c>
      <c r="G526" s="582" t="s">
        <v>10</v>
      </c>
      <c r="H526" s="582" t="s">
        <v>626</v>
      </c>
      <c r="I526" t="s">
        <v>628</v>
      </c>
      <c r="J526">
        <v>0.68200000000000005</v>
      </c>
      <c r="K526" t="s">
        <v>2171</v>
      </c>
    </row>
    <row r="527" spans="1:11" hidden="1" x14ac:dyDescent="0.25">
      <c r="A527">
        <v>3929540</v>
      </c>
      <c r="B527" t="s">
        <v>627</v>
      </c>
      <c r="C527">
        <v>6.6500000000000001E-4</v>
      </c>
      <c r="D527">
        <v>789</v>
      </c>
      <c r="E527" t="s">
        <v>30</v>
      </c>
      <c r="F527">
        <v>1174</v>
      </c>
      <c r="G527" s="582" t="s">
        <v>10</v>
      </c>
      <c r="H527" s="582" t="s">
        <v>626</v>
      </c>
      <c r="I527" t="s">
        <v>628</v>
      </c>
      <c r="J527">
        <v>0.68200000000000005</v>
      </c>
      <c r="K527" t="s">
        <v>2171</v>
      </c>
    </row>
    <row r="528" spans="1:11" hidden="1" x14ac:dyDescent="0.25">
      <c r="A528">
        <v>3929540</v>
      </c>
      <c r="B528" t="s">
        <v>627</v>
      </c>
      <c r="C528">
        <v>8.5519999999999988E-3</v>
      </c>
      <c r="D528">
        <v>789</v>
      </c>
      <c r="E528" t="s">
        <v>30</v>
      </c>
      <c r="F528">
        <v>1175</v>
      </c>
      <c r="G528" s="582" t="s">
        <v>10</v>
      </c>
      <c r="H528" s="582" t="s">
        <v>626</v>
      </c>
      <c r="I528" t="s">
        <v>628</v>
      </c>
      <c r="J528">
        <v>0.68200000000000005</v>
      </c>
      <c r="K528" t="s">
        <v>2171</v>
      </c>
    </row>
    <row r="529" spans="1:11" hidden="1" x14ac:dyDescent="0.25">
      <c r="A529">
        <v>3929540</v>
      </c>
      <c r="B529" t="s">
        <v>627</v>
      </c>
      <c r="C529">
        <v>0.109345</v>
      </c>
      <c r="D529">
        <v>789</v>
      </c>
      <c r="E529" t="s">
        <v>30</v>
      </c>
      <c r="F529">
        <v>1176</v>
      </c>
      <c r="G529" s="582" t="s">
        <v>10</v>
      </c>
      <c r="H529" s="582" t="s">
        <v>626</v>
      </c>
      <c r="I529" t="s">
        <v>628</v>
      </c>
      <c r="J529">
        <v>0.68200000000000005</v>
      </c>
      <c r="K529" t="s">
        <v>2171</v>
      </c>
    </row>
    <row r="530" spans="1:11" hidden="1" x14ac:dyDescent="0.25">
      <c r="A530">
        <v>3929540</v>
      </c>
      <c r="B530" t="s">
        <v>627</v>
      </c>
      <c r="C530">
        <v>9.0399999999999994E-3</v>
      </c>
      <c r="D530">
        <v>789</v>
      </c>
      <c r="E530" t="s">
        <v>30</v>
      </c>
      <c r="F530">
        <v>1177</v>
      </c>
      <c r="G530" s="582" t="s">
        <v>10</v>
      </c>
      <c r="H530" s="582" t="s">
        <v>626</v>
      </c>
      <c r="I530" t="s">
        <v>628</v>
      </c>
      <c r="J530">
        <v>0.68200000000000005</v>
      </c>
      <c r="K530" t="s">
        <v>2171</v>
      </c>
    </row>
    <row r="531" spans="1:11" hidden="1" x14ac:dyDescent="0.25">
      <c r="A531">
        <v>3929540</v>
      </c>
      <c r="B531" t="s">
        <v>627</v>
      </c>
      <c r="C531">
        <v>0.22</v>
      </c>
      <c r="D531">
        <v>789</v>
      </c>
      <c r="E531" t="s">
        <v>30</v>
      </c>
      <c r="F531">
        <v>1178</v>
      </c>
      <c r="G531" s="582" t="s">
        <v>10</v>
      </c>
      <c r="H531" s="582" t="s">
        <v>626</v>
      </c>
      <c r="I531" t="s">
        <v>628</v>
      </c>
      <c r="J531">
        <v>0.68200000000000005</v>
      </c>
      <c r="K531" t="s">
        <v>2171</v>
      </c>
    </row>
    <row r="532" spans="1:11" hidden="1" x14ac:dyDescent="0.25">
      <c r="A532">
        <v>3712521</v>
      </c>
      <c r="B532" t="s">
        <v>631</v>
      </c>
      <c r="C532">
        <v>3.4043999999999998E-2</v>
      </c>
      <c r="D532">
        <v>789</v>
      </c>
      <c r="E532" t="s">
        <v>48</v>
      </c>
      <c r="F532">
        <v>479</v>
      </c>
      <c r="G532" s="582" t="s">
        <v>10</v>
      </c>
      <c r="H532" s="582" t="s">
        <v>586</v>
      </c>
      <c r="I532" t="s">
        <v>632</v>
      </c>
      <c r="J532">
        <v>0.83499999999999996</v>
      </c>
      <c r="K532" t="s">
        <v>2171</v>
      </c>
    </row>
    <row r="533" spans="1:11" hidden="1" x14ac:dyDescent="0.25">
      <c r="A533">
        <v>3712521</v>
      </c>
      <c r="B533" t="s">
        <v>631</v>
      </c>
      <c r="C533">
        <v>0.53511399999999998</v>
      </c>
      <c r="D533">
        <v>4731</v>
      </c>
      <c r="E533" t="s">
        <v>48</v>
      </c>
      <c r="F533">
        <v>1766</v>
      </c>
      <c r="G533" s="582" t="s">
        <v>10</v>
      </c>
      <c r="H533" s="582" t="s">
        <v>586</v>
      </c>
      <c r="I533" t="s">
        <v>632</v>
      </c>
      <c r="J533">
        <v>0.83499999999999996</v>
      </c>
      <c r="K533" t="s">
        <v>2171</v>
      </c>
    </row>
    <row r="534" spans="1:11" hidden="1" x14ac:dyDescent="0.25">
      <c r="A534">
        <v>3712521</v>
      </c>
      <c r="B534" t="s">
        <v>631</v>
      </c>
      <c r="C534">
        <v>0.34414299999999998</v>
      </c>
      <c r="D534">
        <v>4731</v>
      </c>
      <c r="E534" t="s">
        <v>48</v>
      </c>
      <c r="F534">
        <v>1767</v>
      </c>
      <c r="G534" s="582" t="s">
        <v>10</v>
      </c>
      <c r="H534" s="582" t="s">
        <v>586</v>
      </c>
      <c r="I534" t="s">
        <v>632</v>
      </c>
      <c r="J534">
        <v>0.83499999999999996</v>
      </c>
      <c r="K534" t="s">
        <v>2171</v>
      </c>
    </row>
    <row r="535" spans="1:11" hidden="1" x14ac:dyDescent="0.25">
      <c r="A535">
        <v>3727212</v>
      </c>
      <c r="B535" t="s">
        <v>669</v>
      </c>
      <c r="C535">
        <v>1.124E-2</v>
      </c>
      <c r="D535">
        <v>789</v>
      </c>
      <c r="E535" t="s">
        <v>18</v>
      </c>
      <c r="F535">
        <v>480</v>
      </c>
      <c r="G535" s="582" t="s">
        <v>10</v>
      </c>
      <c r="H535" s="582" t="s">
        <v>664</v>
      </c>
      <c r="I535" t="s">
        <v>670</v>
      </c>
      <c r="J535">
        <v>0.215</v>
      </c>
      <c r="K535" t="s">
        <v>2171</v>
      </c>
    </row>
    <row r="536" spans="1:11" hidden="1" x14ac:dyDescent="0.25">
      <c r="A536">
        <v>3229740</v>
      </c>
      <c r="B536" t="s">
        <v>472</v>
      </c>
      <c r="C536">
        <v>6.0847999999999999E-2</v>
      </c>
      <c r="D536">
        <v>789</v>
      </c>
      <c r="E536" t="s">
        <v>9</v>
      </c>
      <c r="F536">
        <v>988</v>
      </c>
      <c r="G536" s="582" t="s">
        <v>10</v>
      </c>
      <c r="H536" s="582" t="s">
        <v>471</v>
      </c>
      <c r="I536" t="s">
        <v>473</v>
      </c>
      <c r="J536">
        <v>1.075</v>
      </c>
      <c r="K536" t="s">
        <v>2171</v>
      </c>
    </row>
    <row r="537" spans="1:11" hidden="1" x14ac:dyDescent="0.25">
      <c r="A537">
        <v>3229740</v>
      </c>
      <c r="B537" t="s">
        <v>472</v>
      </c>
      <c r="C537">
        <v>1.7101999999999999E-2</v>
      </c>
      <c r="D537">
        <v>789</v>
      </c>
      <c r="E537" t="s">
        <v>9</v>
      </c>
      <c r="F537">
        <v>989</v>
      </c>
      <c r="G537" s="582" t="s">
        <v>10</v>
      </c>
      <c r="H537" s="582" t="s">
        <v>471</v>
      </c>
      <c r="I537" t="s">
        <v>473</v>
      </c>
      <c r="J537">
        <v>1.075</v>
      </c>
      <c r="K537" t="s">
        <v>2171</v>
      </c>
    </row>
    <row r="538" spans="1:11" hidden="1" x14ac:dyDescent="0.25">
      <c r="A538">
        <v>3229740</v>
      </c>
      <c r="B538" t="s">
        <v>472</v>
      </c>
      <c r="C538">
        <v>2.6306999999999997E-2</v>
      </c>
      <c r="D538">
        <v>789</v>
      </c>
      <c r="E538" t="s">
        <v>9</v>
      </c>
      <c r="F538">
        <v>990</v>
      </c>
      <c r="G538" s="582" t="s">
        <v>10</v>
      </c>
      <c r="H538" s="582" t="s">
        <v>471</v>
      </c>
      <c r="I538" t="s">
        <v>473</v>
      </c>
      <c r="J538">
        <v>1.075</v>
      </c>
      <c r="K538" t="s">
        <v>2171</v>
      </c>
    </row>
    <row r="539" spans="1:11" hidden="1" x14ac:dyDescent="0.25">
      <c r="A539">
        <v>3229740</v>
      </c>
      <c r="B539" t="s">
        <v>472</v>
      </c>
      <c r="C539">
        <v>1.8554000000000001E-2</v>
      </c>
      <c r="D539">
        <v>789</v>
      </c>
      <c r="E539" t="s">
        <v>9</v>
      </c>
      <c r="F539">
        <v>991</v>
      </c>
      <c r="G539" s="582" t="s">
        <v>10</v>
      </c>
      <c r="H539" s="582" t="s">
        <v>471</v>
      </c>
      <c r="I539" t="s">
        <v>473</v>
      </c>
      <c r="J539">
        <v>1.075</v>
      </c>
      <c r="K539" t="s">
        <v>2171</v>
      </c>
    </row>
    <row r="540" spans="1:11" hidden="1" x14ac:dyDescent="0.25">
      <c r="A540">
        <v>3910451</v>
      </c>
      <c r="B540" t="s">
        <v>850</v>
      </c>
      <c r="C540">
        <v>5.5100000000000006E-4</v>
      </c>
      <c r="D540">
        <v>789</v>
      </c>
      <c r="E540" t="s">
        <v>18</v>
      </c>
      <c r="F540">
        <v>488</v>
      </c>
      <c r="G540" s="582" t="s">
        <v>10</v>
      </c>
      <c r="H540" s="582" t="s">
        <v>849</v>
      </c>
      <c r="I540" t="s">
        <v>851</v>
      </c>
      <c r="J540">
        <v>0.29799999999999999</v>
      </c>
      <c r="K540" t="s">
        <v>2171</v>
      </c>
    </row>
    <row r="541" spans="1:11" hidden="1" x14ac:dyDescent="0.25">
      <c r="A541">
        <v>3229739</v>
      </c>
      <c r="B541" t="s">
        <v>1324</v>
      </c>
      <c r="C541">
        <v>0.15593799999999999</v>
      </c>
      <c r="D541">
        <v>789</v>
      </c>
      <c r="E541" t="s">
        <v>9</v>
      </c>
      <c r="F541">
        <v>921</v>
      </c>
      <c r="G541" s="582" t="s">
        <v>10</v>
      </c>
      <c r="H541" s="582" t="s">
        <v>471</v>
      </c>
      <c r="I541" t="s">
        <v>2275</v>
      </c>
      <c r="J541">
        <v>1.1299999999999999</v>
      </c>
      <c r="K541" t="s">
        <v>2171</v>
      </c>
    </row>
    <row r="542" spans="1:11" hidden="1" x14ac:dyDescent="0.25">
      <c r="A542">
        <v>3229739</v>
      </c>
      <c r="B542" t="s">
        <v>1324</v>
      </c>
      <c r="C542">
        <v>0.59699999999999998</v>
      </c>
      <c r="D542">
        <v>789</v>
      </c>
      <c r="E542" t="s">
        <v>9</v>
      </c>
      <c r="F542">
        <v>922</v>
      </c>
      <c r="G542" s="582" t="s">
        <v>10</v>
      </c>
      <c r="H542" s="582" t="s">
        <v>471</v>
      </c>
      <c r="I542" t="s">
        <v>2275</v>
      </c>
      <c r="J542">
        <v>1.1299999999999999</v>
      </c>
      <c r="K542" t="s">
        <v>2171</v>
      </c>
    </row>
    <row r="543" spans="1:11" hidden="1" x14ac:dyDescent="0.25">
      <c r="A543">
        <v>3229739</v>
      </c>
      <c r="B543" t="s">
        <v>1324</v>
      </c>
      <c r="C543">
        <v>0.60723400000000005</v>
      </c>
      <c r="D543">
        <v>789</v>
      </c>
      <c r="E543" t="s">
        <v>9</v>
      </c>
      <c r="F543">
        <v>923</v>
      </c>
      <c r="G543" s="582" t="s">
        <v>10</v>
      </c>
      <c r="H543" s="582" t="s">
        <v>471</v>
      </c>
      <c r="I543" t="s">
        <v>2275</v>
      </c>
      <c r="J543">
        <v>1.1299999999999999</v>
      </c>
      <c r="K543" t="s">
        <v>2171</v>
      </c>
    </row>
    <row r="544" spans="1:11" hidden="1" x14ac:dyDescent="0.25">
      <c r="A544">
        <v>4110464</v>
      </c>
      <c r="B544" t="s">
        <v>477</v>
      </c>
      <c r="C544">
        <v>1.3703999999999999E-2</v>
      </c>
      <c r="D544">
        <v>789</v>
      </c>
      <c r="E544" t="s">
        <v>37</v>
      </c>
      <c r="F544">
        <v>950</v>
      </c>
      <c r="G544" s="582" t="s">
        <v>33</v>
      </c>
      <c r="H544" s="582" t="s">
        <v>471</v>
      </c>
      <c r="J544">
        <v>1.145</v>
      </c>
      <c r="K544" t="s">
        <v>2171</v>
      </c>
    </row>
    <row r="545" spans="1:11" hidden="1" x14ac:dyDescent="0.25">
      <c r="A545">
        <v>4110464</v>
      </c>
      <c r="B545" t="s">
        <v>477</v>
      </c>
      <c r="C545">
        <v>0.25428800000000001</v>
      </c>
      <c r="D545">
        <v>789</v>
      </c>
      <c r="E545" t="s">
        <v>37</v>
      </c>
      <c r="F545">
        <v>951</v>
      </c>
      <c r="G545" s="582" t="s">
        <v>33</v>
      </c>
      <c r="H545" s="582" t="s">
        <v>471</v>
      </c>
      <c r="J545">
        <v>1.145</v>
      </c>
      <c r="K545" t="s">
        <v>2171</v>
      </c>
    </row>
    <row r="546" spans="1:11" hidden="1" x14ac:dyDescent="0.25">
      <c r="A546">
        <v>3929692</v>
      </c>
      <c r="B546" t="s">
        <v>533</v>
      </c>
      <c r="C546">
        <v>7.6800000000000002E-4</v>
      </c>
      <c r="D546">
        <v>789</v>
      </c>
      <c r="E546" t="s">
        <v>60</v>
      </c>
      <c r="F546">
        <v>1225</v>
      </c>
      <c r="G546" s="582" t="s">
        <v>10</v>
      </c>
      <c r="H546" s="582" t="s">
        <v>532</v>
      </c>
      <c r="I546" t="s">
        <v>534</v>
      </c>
      <c r="J546">
        <v>1.23</v>
      </c>
      <c r="K546" t="s">
        <v>2171</v>
      </c>
    </row>
    <row r="547" spans="1:11" hidden="1" x14ac:dyDescent="0.25">
      <c r="A547">
        <v>3929692</v>
      </c>
      <c r="B547" t="s">
        <v>533</v>
      </c>
      <c r="C547">
        <v>7.6800000000000002E-4</v>
      </c>
      <c r="D547">
        <v>789</v>
      </c>
      <c r="E547" t="s">
        <v>60</v>
      </c>
      <c r="F547">
        <v>1226</v>
      </c>
      <c r="G547" s="582" t="s">
        <v>10</v>
      </c>
      <c r="H547" s="582" t="s">
        <v>532</v>
      </c>
      <c r="I547" t="s">
        <v>534</v>
      </c>
      <c r="J547">
        <v>1.23</v>
      </c>
      <c r="K547" t="s">
        <v>2171</v>
      </c>
    </row>
    <row r="548" spans="1:11" hidden="1" x14ac:dyDescent="0.25">
      <c r="A548">
        <v>3929692</v>
      </c>
      <c r="B548" t="s">
        <v>533</v>
      </c>
      <c r="C548">
        <v>8.9599999999999999E-4</v>
      </c>
      <c r="D548">
        <v>789</v>
      </c>
      <c r="E548" t="s">
        <v>60</v>
      </c>
      <c r="F548">
        <v>1227</v>
      </c>
      <c r="G548" s="582" t="s">
        <v>10</v>
      </c>
      <c r="H548" s="582" t="s">
        <v>532</v>
      </c>
      <c r="I548" t="s">
        <v>534</v>
      </c>
      <c r="J548">
        <v>1.23</v>
      </c>
      <c r="K548" t="s">
        <v>2171</v>
      </c>
    </row>
    <row r="549" spans="1:11" hidden="1" x14ac:dyDescent="0.25">
      <c r="A549">
        <v>3929692</v>
      </c>
      <c r="B549" t="s">
        <v>533</v>
      </c>
      <c r="C549">
        <v>8.9599999999999999E-4</v>
      </c>
      <c r="D549">
        <v>789</v>
      </c>
      <c r="E549" t="s">
        <v>60</v>
      </c>
      <c r="F549">
        <v>1228</v>
      </c>
      <c r="G549" s="582" t="s">
        <v>10</v>
      </c>
      <c r="H549" s="582" t="s">
        <v>532</v>
      </c>
      <c r="I549" t="s">
        <v>534</v>
      </c>
      <c r="J549">
        <v>1.23</v>
      </c>
      <c r="K549" t="s">
        <v>2171</v>
      </c>
    </row>
    <row r="550" spans="1:11" hidden="1" x14ac:dyDescent="0.25">
      <c r="A550">
        <v>3929692</v>
      </c>
      <c r="B550" t="s">
        <v>533</v>
      </c>
      <c r="C550">
        <v>1.351E-3</v>
      </c>
      <c r="D550">
        <v>789</v>
      </c>
      <c r="E550" t="s">
        <v>60</v>
      </c>
      <c r="F550">
        <v>1229</v>
      </c>
      <c r="G550" s="582" t="s">
        <v>10</v>
      </c>
      <c r="H550" s="582" t="s">
        <v>532</v>
      </c>
      <c r="I550" t="s">
        <v>534</v>
      </c>
      <c r="J550">
        <v>1.23</v>
      </c>
      <c r="K550" t="s">
        <v>2171</v>
      </c>
    </row>
    <row r="551" spans="1:11" hidden="1" x14ac:dyDescent="0.25">
      <c r="A551">
        <v>3929692</v>
      </c>
      <c r="B551" t="s">
        <v>533</v>
      </c>
      <c r="C551">
        <v>0.50425599999999993</v>
      </c>
      <c r="D551">
        <v>789</v>
      </c>
      <c r="E551" t="s">
        <v>60</v>
      </c>
      <c r="F551">
        <v>1230</v>
      </c>
      <c r="G551" s="582" t="s">
        <v>10</v>
      </c>
      <c r="H551" s="582" t="s">
        <v>532</v>
      </c>
      <c r="I551" t="s">
        <v>534</v>
      </c>
      <c r="J551">
        <v>1.23</v>
      </c>
      <c r="K551" t="s">
        <v>2171</v>
      </c>
    </row>
    <row r="552" spans="1:11" hidden="1" x14ac:dyDescent="0.25">
      <c r="A552">
        <v>3409367</v>
      </c>
      <c r="B552" t="s">
        <v>667</v>
      </c>
      <c r="C552">
        <v>3.2554E-2</v>
      </c>
      <c r="D552">
        <v>789</v>
      </c>
      <c r="E552" t="s">
        <v>9</v>
      </c>
      <c r="F552">
        <v>832</v>
      </c>
      <c r="G552" s="582" t="s">
        <v>10</v>
      </c>
      <c r="H552" s="582" t="s">
        <v>471</v>
      </c>
      <c r="I552" t="s">
        <v>668</v>
      </c>
      <c r="J552">
        <v>1.2749999999999999</v>
      </c>
      <c r="K552" t="s">
        <v>2171</v>
      </c>
    </row>
    <row r="553" spans="1:11" hidden="1" x14ac:dyDescent="0.25">
      <c r="A553">
        <v>3409367</v>
      </c>
      <c r="B553" t="s">
        <v>667</v>
      </c>
      <c r="C553">
        <v>0.15571600000000002</v>
      </c>
      <c r="D553">
        <v>789</v>
      </c>
      <c r="E553" t="s">
        <v>9</v>
      </c>
      <c r="F553">
        <v>833</v>
      </c>
      <c r="G553" s="582" t="s">
        <v>10</v>
      </c>
      <c r="H553" s="582" t="s">
        <v>471</v>
      </c>
      <c r="I553" t="s">
        <v>668</v>
      </c>
      <c r="J553">
        <v>1.2749999999999999</v>
      </c>
      <c r="K553" t="s">
        <v>2171</v>
      </c>
    </row>
    <row r="554" spans="1:11" hidden="1" x14ac:dyDescent="0.25">
      <c r="A554">
        <v>1940430</v>
      </c>
      <c r="B554" t="s">
        <v>762</v>
      </c>
      <c r="C554">
        <v>1.6508999999999999E-2</v>
      </c>
      <c r="D554">
        <v>789</v>
      </c>
      <c r="E554" t="s">
        <v>61</v>
      </c>
      <c r="F554">
        <v>506</v>
      </c>
      <c r="G554" s="582" t="s">
        <v>10</v>
      </c>
      <c r="H554" s="582" t="s">
        <v>633</v>
      </c>
      <c r="I554" t="s">
        <v>763</v>
      </c>
      <c r="J554">
        <v>0.22</v>
      </c>
      <c r="K554" t="s">
        <v>2171</v>
      </c>
    </row>
    <row r="555" spans="1:11" hidden="1" x14ac:dyDescent="0.25">
      <c r="A555">
        <v>1940626</v>
      </c>
      <c r="B555" t="s">
        <v>583</v>
      </c>
      <c r="C555">
        <v>2.1509999999999997E-3</v>
      </c>
      <c r="D555">
        <v>789</v>
      </c>
      <c r="E555" t="s">
        <v>18</v>
      </c>
      <c r="F555">
        <v>507</v>
      </c>
      <c r="G555" s="582" t="s">
        <v>10</v>
      </c>
      <c r="H555" s="582" t="s">
        <v>582</v>
      </c>
      <c r="I555" t="s">
        <v>584</v>
      </c>
      <c r="J555">
        <v>0.47499999999999998</v>
      </c>
      <c r="K555" t="s">
        <v>2171</v>
      </c>
    </row>
    <row r="556" spans="1:11" hidden="1" x14ac:dyDescent="0.25">
      <c r="A556">
        <v>1940626</v>
      </c>
      <c r="B556" t="s">
        <v>583</v>
      </c>
      <c r="C556">
        <v>1.3080000000000001</v>
      </c>
      <c r="D556">
        <v>789</v>
      </c>
      <c r="E556" t="s">
        <v>17</v>
      </c>
      <c r="F556">
        <v>709</v>
      </c>
      <c r="G556" s="582" t="s">
        <v>10</v>
      </c>
      <c r="H556" s="582" t="s">
        <v>582</v>
      </c>
      <c r="I556" t="s">
        <v>584</v>
      </c>
      <c r="J556">
        <v>0.47499999999999998</v>
      </c>
      <c r="K556" t="s">
        <v>2171</v>
      </c>
    </row>
    <row r="557" spans="1:11" hidden="1" x14ac:dyDescent="0.25">
      <c r="A557">
        <v>1940626</v>
      </c>
      <c r="B557" t="s">
        <v>583</v>
      </c>
      <c r="C557">
        <v>2.9119999999999999</v>
      </c>
      <c r="D557">
        <v>789</v>
      </c>
      <c r="E557" t="s">
        <v>17</v>
      </c>
      <c r="F557">
        <v>710</v>
      </c>
      <c r="G557" s="582" t="s">
        <v>10</v>
      </c>
      <c r="H557" s="582" t="s">
        <v>582</v>
      </c>
      <c r="I557" t="s">
        <v>584</v>
      </c>
      <c r="J557">
        <v>0.47499999999999998</v>
      </c>
      <c r="K557" t="s">
        <v>2171</v>
      </c>
    </row>
    <row r="558" spans="1:11" hidden="1" x14ac:dyDescent="0.25">
      <c r="A558">
        <v>1940626</v>
      </c>
      <c r="B558" t="s">
        <v>583</v>
      </c>
      <c r="C558">
        <v>0.68500000000000005</v>
      </c>
      <c r="D558">
        <v>789</v>
      </c>
      <c r="E558" t="s">
        <v>17</v>
      </c>
      <c r="F558">
        <v>711</v>
      </c>
      <c r="G558" s="582" t="s">
        <v>10</v>
      </c>
      <c r="H558" s="582" t="s">
        <v>582</v>
      </c>
      <c r="I558" t="s">
        <v>584</v>
      </c>
      <c r="J558">
        <v>0.47499999999999998</v>
      </c>
      <c r="K558" t="s">
        <v>2171</v>
      </c>
    </row>
    <row r="559" spans="1:11" hidden="1" x14ac:dyDescent="0.25">
      <c r="A559">
        <v>1940626</v>
      </c>
      <c r="B559" t="s">
        <v>583</v>
      </c>
      <c r="C559">
        <v>0.85399999999999998</v>
      </c>
      <c r="D559">
        <v>789</v>
      </c>
      <c r="E559" t="s">
        <v>17</v>
      </c>
      <c r="F559">
        <v>712</v>
      </c>
      <c r="G559" s="582" t="s">
        <v>10</v>
      </c>
      <c r="H559" s="582" t="s">
        <v>582</v>
      </c>
      <c r="I559" t="s">
        <v>584</v>
      </c>
      <c r="J559">
        <v>0.47499999999999998</v>
      </c>
      <c r="K559" t="s">
        <v>2171</v>
      </c>
    </row>
    <row r="560" spans="1:11" hidden="1" x14ac:dyDescent="0.25">
      <c r="A560">
        <v>1940626</v>
      </c>
      <c r="B560" t="s">
        <v>583</v>
      </c>
      <c r="C560">
        <v>8.5876999999999995E-2</v>
      </c>
      <c r="D560">
        <v>4731</v>
      </c>
      <c r="E560" t="s">
        <v>18</v>
      </c>
      <c r="F560">
        <v>1338</v>
      </c>
      <c r="G560" s="582" t="s">
        <v>10</v>
      </c>
      <c r="H560" s="582" t="s">
        <v>582</v>
      </c>
      <c r="I560" t="s">
        <v>584</v>
      </c>
      <c r="J560">
        <v>0.47499999999999998</v>
      </c>
      <c r="K560" t="s">
        <v>2171</v>
      </c>
    </row>
    <row r="561" spans="1:11" hidden="1" x14ac:dyDescent="0.25">
      <c r="A561">
        <v>1940821</v>
      </c>
      <c r="B561" t="s">
        <v>571</v>
      </c>
      <c r="C561">
        <v>7.3370000000000005E-2</v>
      </c>
      <c r="D561">
        <v>789</v>
      </c>
      <c r="E561" t="s">
        <v>18</v>
      </c>
      <c r="F561">
        <v>511</v>
      </c>
      <c r="G561" s="582" t="s">
        <v>10</v>
      </c>
      <c r="H561" s="582" t="s">
        <v>428</v>
      </c>
      <c r="I561" t="s">
        <v>572</v>
      </c>
      <c r="J561">
        <v>0.51300000000000001</v>
      </c>
      <c r="K561" t="s">
        <v>2171</v>
      </c>
    </row>
    <row r="562" spans="1:11" hidden="1" x14ac:dyDescent="0.25">
      <c r="A562">
        <v>1940821</v>
      </c>
      <c r="B562" t="s">
        <v>571</v>
      </c>
      <c r="C562">
        <v>8.03E-4</v>
      </c>
      <c r="D562">
        <v>789</v>
      </c>
      <c r="E562" t="s">
        <v>18</v>
      </c>
      <c r="F562">
        <v>586</v>
      </c>
      <c r="G562" s="582" t="s">
        <v>10</v>
      </c>
      <c r="H562" s="582" t="s">
        <v>428</v>
      </c>
      <c r="I562" t="s">
        <v>572</v>
      </c>
      <c r="J562">
        <v>0.51300000000000001</v>
      </c>
      <c r="K562" t="s">
        <v>2171</v>
      </c>
    </row>
    <row r="563" spans="1:11" hidden="1" x14ac:dyDescent="0.25">
      <c r="A563">
        <v>1940821</v>
      </c>
      <c r="B563" t="s">
        <v>571</v>
      </c>
      <c r="C563">
        <v>0.13898500000000005</v>
      </c>
      <c r="D563">
        <v>4731</v>
      </c>
      <c r="E563" t="s">
        <v>18</v>
      </c>
      <c r="F563">
        <v>1354</v>
      </c>
      <c r="G563" s="582" t="s">
        <v>10</v>
      </c>
      <c r="H563" s="582" t="s">
        <v>428</v>
      </c>
      <c r="I563" t="s">
        <v>572</v>
      </c>
      <c r="J563">
        <v>0.51300000000000001</v>
      </c>
      <c r="K563" t="s">
        <v>2171</v>
      </c>
    </row>
    <row r="564" spans="1:11" hidden="1" x14ac:dyDescent="0.25">
      <c r="A564">
        <v>1940830</v>
      </c>
      <c r="B564" t="s">
        <v>587</v>
      </c>
      <c r="C564">
        <v>1.405E-2</v>
      </c>
      <c r="D564">
        <v>789</v>
      </c>
      <c r="E564" t="s">
        <v>48</v>
      </c>
      <c r="F564">
        <v>512</v>
      </c>
      <c r="G564" s="582" t="s">
        <v>10</v>
      </c>
      <c r="H564" s="582" t="s">
        <v>586</v>
      </c>
      <c r="I564" t="s">
        <v>588</v>
      </c>
      <c r="J564">
        <v>0.86</v>
      </c>
      <c r="K564" t="s">
        <v>2171</v>
      </c>
    </row>
    <row r="565" spans="1:11" hidden="1" x14ac:dyDescent="0.25">
      <c r="A565">
        <v>2422186</v>
      </c>
      <c r="B565" t="s">
        <v>2098</v>
      </c>
      <c r="C565">
        <v>7.4799999999999997E-4</v>
      </c>
      <c r="D565">
        <v>789</v>
      </c>
      <c r="E565" t="s">
        <v>180</v>
      </c>
      <c r="F565">
        <v>524</v>
      </c>
      <c r="G565" s="582" t="s">
        <v>10</v>
      </c>
      <c r="H565" s="582" t="s">
        <v>633</v>
      </c>
      <c r="I565" t="s">
        <v>2218</v>
      </c>
      <c r="J565">
        <v>0.77500000000000002</v>
      </c>
      <c r="K565" t="s">
        <v>2171</v>
      </c>
    </row>
    <row r="566" spans="1:11" hidden="1" x14ac:dyDescent="0.25">
      <c r="A566">
        <v>2422186</v>
      </c>
      <c r="B566" t="s">
        <v>2098</v>
      </c>
      <c r="C566">
        <v>7.4799999999999997E-4</v>
      </c>
      <c r="D566">
        <v>789</v>
      </c>
      <c r="E566" t="s">
        <v>180</v>
      </c>
      <c r="F566">
        <v>525</v>
      </c>
      <c r="G566" s="582" t="s">
        <v>10</v>
      </c>
      <c r="H566" s="582" t="s">
        <v>633</v>
      </c>
      <c r="I566" t="s">
        <v>2218</v>
      </c>
      <c r="J566">
        <v>0.77500000000000002</v>
      </c>
      <c r="K566" t="s">
        <v>2171</v>
      </c>
    </row>
    <row r="567" spans="1:11" hidden="1" x14ac:dyDescent="0.25">
      <c r="A567">
        <v>2422186</v>
      </c>
      <c r="B567" t="s">
        <v>2098</v>
      </c>
      <c r="C567">
        <v>7.7200000000000001E-4</v>
      </c>
      <c r="D567">
        <v>789</v>
      </c>
      <c r="E567" t="s">
        <v>180</v>
      </c>
      <c r="F567">
        <v>526</v>
      </c>
      <c r="G567" s="582" t="s">
        <v>10</v>
      </c>
      <c r="H567" s="582" t="s">
        <v>633</v>
      </c>
      <c r="I567" t="s">
        <v>2218</v>
      </c>
      <c r="J567">
        <v>0.77500000000000002</v>
      </c>
      <c r="K567" t="s">
        <v>2171</v>
      </c>
    </row>
    <row r="568" spans="1:11" hidden="1" x14ac:dyDescent="0.25">
      <c r="A568">
        <v>2422186</v>
      </c>
      <c r="B568" t="s">
        <v>2098</v>
      </c>
      <c r="C568">
        <v>7.4799999999999997E-4</v>
      </c>
      <c r="D568">
        <v>789</v>
      </c>
      <c r="E568" t="s">
        <v>180</v>
      </c>
      <c r="F568">
        <v>527</v>
      </c>
      <c r="G568" s="582" t="s">
        <v>10</v>
      </c>
      <c r="H568" s="582" t="s">
        <v>633</v>
      </c>
      <c r="I568" t="s">
        <v>2218</v>
      </c>
      <c r="J568">
        <v>0.77500000000000002</v>
      </c>
      <c r="K568" t="s">
        <v>2171</v>
      </c>
    </row>
    <row r="569" spans="1:11" hidden="1" x14ac:dyDescent="0.25">
      <c r="A569">
        <v>2422186</v>
      </c>
      <c r="B569" t="s">
        <v>2098</v>
      </c>
      <c r="C569">
        <v>7.4799999999999997E-4</v>
      </c>
      <c r="D569">
        <v>789</v>
      </c>
      <c r="E569" t="s">
        <v>180</v>
      </c>
      <c r="F569">
        <v>528</v>
      </c>
      <c r="G569" s="582" t="s">
        <v>10</v>
      </c>
      <c r="H569" s="582" t="s">
        <v>633</v>
      </c>
      <c r="I569" t="s">
        <v>2218</v>
      </c>
      <c r="J569">
        <v>0.77500000000000002</v>
      </c>
      <c r="K569" t="s">
        <v>2171</v>
      </c>
    </row>
    <row r="570" spans="1:11" hidden="1" x14ac:dyDescent="0.25">
      <c r="A570">
        <v>2422186</v>
      </c>
      <c r="B570" t="s">
        <v>2098</v>
      </c>
      <c r="C570">
        <v>0.52252399999999999</v>
      </c>
      <c r="D570">
        <v>789</v>
      </c>
      <c r="E570" t="s">
        <v>180</v>
      </c>
      <c r="F570">
        <v>529</v>
      </c>
      <c r="G570" s="582" t="s">
        <v>10</v>
      </c>
      <c r="H570" s="582" t="s">
        <v>633</v>
      </c>
      <c r="I570" t="s">
        <v>2218</v>
      </c>
      <c r="J570">
        <v>0.77500000000000002</v>
      </c>
      <c r="K570" t="s">
        <v>2171</v>
      </c>
    </row>
    <row r="571" spans="1:11" hidden="1" x14ac:dyDescent="0.25">
      <c r="A571">
        <v>3219710</v>
      </c>
      <c r="B571" t="s">
        <v>1434</v>
      </c>
      <c r="C571">
        <v>2.6059999999999999</v>
      </c>
      <c r="D571">
        <v>789</v>
      </c>
      <c r="E571" t="s">
        <v>37</v>
      </c>
      <c r="F571">
        <v>531</v>
      </c>
      <c r="G571" s="582" t="s">
        <v>33</v>
      </c>
      <c r="H571" s="582" t="s">
        <v>3795</v>
      </c>
      <c r="I571" t="s">
        <v>3796</v>
      </c>
      <c r="J571">
        <v>6</v>
      </c>
      <c r="K571" t="s">
        <v>1838</v>
      </c>
    </row>
    <row r="572" spans="1:11" hidden="1" x14ac:dyDescent="0.25">
      <c r="A572">
        <v>3219710</v>
      </c>
      <c r="B572" t="s">
        <v>1434</v>
      </c>
      <c r="C572">
        <v>2.706</v>
      </c>
      <c r="D572">
        <v>789</v>
      </c>
      <c r="E572" t="s">
        <v>37</v>
      </c>
      <c r="F572">
        <v>532</v>
      </c>
      <c r="G572" s="582" t="s">
        <v>33</v>
      </c>
      <c r="H572" s="582" t="s">
        <v>3795</v>
      </c>
      <c r="I572" t="s">
        <v>3796</v>
      </c>
      <c r="J572">
        <v>6</v>
      </c>
      <c r="K572" t="s">
        <v>1838</v>
      </c>
    </row>
    <row r="573" spans="1:11" hidden="1" x14ac:dyDescent="0.25">
      <c r="A573">
        <v>3219710</v>
      </c>
      <c r="B573" t="s">
        <v>1434</v>
      </c>
      <c r="C573">
        <v>2.706</v>
      </c>
      <c r="D573">
        <v>789</v>
      </c>
      <c r="E573" t="s">
        <v>37</v>
      </c>
      <c r="F573">
        <v>533</v>
      </c>
      <c r="G573" s="582" t="s">
        <v>33</v>
      </c>
      <c r="H573" s="582" t="s">
        <v>3795</v>
      </c>
      <c r="I573" t="s">
        <v>3796</v>
      </c>
      <c r="J573">
        <v>6</v>
      </c>
      <c r="K573" t="s">
        <v>1838</v>
      </c>
    </row>
    <row r="574" spans="1:11" hidden="1" x14ac:dyDescent="0.25">
      <c r="A574">
        <v>3509016</v>
      </c>
      <c r="B574" t="s">
        <v>800</v>
      </c>
      <c r="C574">
        <v>8.8800000000000001E-4</v>
      </c>
      <c r="D574">
        <v>789</v>
      </c>
      <c r="E574" t="s">
        <v>19</v>
      </c>
      <c r="F574">
        <v>537</v>
      </c>
      <c r="G574" s="582" t="s">
        <v>10</v>
      </c>
      <c r="H574" s="582" t="s">
        <v>799</v>
      </c>
      <c r="I574" t="s">
        <v>801</v>
      </c>
      <c r="J574">
        <v>0.193</v>
      </c>
      <c r="K574" t="s">
        <v>2171</v>
      </c>
    </row>
    <row r="575" spans="1:11" hidden="1" x14ac:dyDescent="0.25">
      <c r="A575">
        <v>3509016</v>
      </c>
      <c r="B575" t="s">
        <v>800</v>
      </c>
      <c r="C575">
        <v>0.33527800000000002</v>
      </c>
      <c r="D575">
        <v>4731</v>
      </c>
      <c r="E575" t="s">
        <v>19</v>
      </c>
      <c r="F575">
        <v>1646</v>
      </c>
      <c r="G575" s="582" t="s">
        <v>10</v>
      </c>
      <c r="H575" s="582" t="s">
        <v>799</v>
      </c>
      <c r="I575" t="s">
        <v>801</v>
      </c>
      <c r="J575">
        <v>0.193</v>
      </c>
      <c r="K575" t="s">
        <v>2171</v>
      </c>
    </row>
    <row r="576" spans="1:11" hidden="1" x14ac:dyDescent="0.25">
      <c r="A576">
        <v>3509016</v>
      </c>
      <c r="B576" t="s">
        <v>800</v>
      </c>
      <c r="C576">
        <v>0.42915599999999998</v>
      </c>
      <c r="D576">
        <v>4731</v>
      </c>
      <c r="E576" t="s">
        <v>19</v>
      </c>
      <c r="F576">
        <v>1647</v>
      </c>
      <c r="G576" s="582" t="s">
        <v>10</v>
      </c>
      <c r="H576" s="582" t="s">
        <v>799</v>
      </c>
      <c r="I576" t="s">
        <v>801</v>
      </c>
      <c r="J576">
        <v>0.193</v>
      </c>
      <c r="K576" t="s">
        <v>2171</v>
      </c>
    </row>
    <row r="577" spans="1:11" hidden="1" x14ac:dyDescent="0.25">
      <c r="A577">
        <v>3509016</v>
      </c>
      <c r="B577" t="s">
        <v>800</v>
      </c>
      <c r="C577">
        <v>0.13716300000000001</v>
      </c>
      <c r="D577">
        <v>4731</v>
      </c>
      <c r="E577" t="s">
        <v>19</v>
      </c>
      <c r="F577">
        <v>1648</v>
      </c>
      <c r="G577" s="582" t="s">
        <v>10</v>
      </c>
      <c r="H577" s="582" t="s">
        <v>799</v>
      </c>
      <c r="I577" t="s">
        <v>801</v>
      </c>
      <c r="J577">
        <v>0.193</v>
      </c>
      <c r="K577" t="s">
        <v>2171</v>
      </c>
    </row>
    <row r="578" spans="1:11" hidden="1" x14ac:dyDescent="0.25">
      <c r="A578">
        <v>3572051</v>
      </c>
      <c r="B578" t="s">
        <v>484</v>
      </c>
      <c r="C578">
        <v>6.9940000000000002E-2</v>
      </c>
      <c r="D578">
        <v>789</v>
      </c>
      <c r="E578" t="s">
        <v>60</v>
      </c>
      <c r="F578">
        <v>538</v>
      </c>
      <c r="G578" s="582" t="s">
        <v>10</v>
      </c>
      <c r="H578" s="582" t="s">
        <v>456</v>
      </c>
      <c r="I578" t="s">
        <v>485</v>
      </c>
      <c r="J578">
        <v>0.86</v>
      </c>
      <c r="K578" t="s">
        <v>2171</v>
      </c>
    </row>
    <row r="579" spans="1:11" hidden="1" x14ac:dyDescent="0.25">
      <c r="A579">
        <v>3572051</v>
      </c>
      <c r="B579" t="s">
        <v>484</v>
      </c>
      <c r="C579">
        <v>4.5999999999999999E-2</v>
      </c>
      <c r="D579">
        <v>789</v>
      </c>
      <c r="E579" t="s">
        <v>60</v>
      </c>
      <c r="F579">
        <v>539</v>
      </c>
      <c r="G579" s="582" t="s">
        <v>10</v>
      </c>
      <c r="H579" s="582" t="s">
        <v>456</v>
      </c>
      <c r="I579" t="s">
        <v>485</v>
      </c>
      <c r="J579">
        <v>0.86</v>
      </c>
      <c r="K579" t="s">
        <v>2171</v>
      </c>
    </row>
    <row r="580" spans="1:11" hidden="1" x14ac:dyDescent="0.25">
      <c r="A580">
        <v>3572051</v>
      </c>
      <c r="B580" t="s">
        <v>484</v>
      </c>
      <c r="C580">
        <v>0.65700000000000003</v>
      </c>
      <c r="D580">
        <v>789</v>
      </c>
      <c r="E580" t="s">
        <v>60</v>
      </c>
      <c r="F580">
        <v>540</v>
      </c>
      <c r="G580" s="582" t="s">
        <v>10</v>
      </c>
      <c r="H580" s="582" t="s">
        <v>456</v>
      </c>
      <c r="I580" t="s">
        <v>485</v>
      </c>
      <c r="J580">
        <v>0.86</v>
      </c>
      <c r="K580" t="s">
        <v>2171</v>
      </c>
    </row>
    <row r="581" spans="1:11" hidden="1" x14ac:dyDescent="0.25">
      <c r="A581">
        <v>3572051</v>
      </c>
      <c r="B581" t="s">
        <v>484</v>
      </c>
      <c r="C581">
        <v>0.25700000000000001</v>
      </c>
      <c r="D581">
        <v>789</v>
      </c>
      <c r="E581" t="s">
        <v>60</v>
      </c>
      <c r="F581">
        <v>541</v>
      </c>
      <c r="G581" s="582" t="s">
        <v>10</v>
      </c>
      <c r="H581" s="582" t="s">
        <v>456</v>
      </c>
      <c r="I581" t="s">
        <v>485</v>
      </c>
      <c r="J581">
        <v>0.86</v>
      </c>
      <c r="K581" t="s">
        <v>2171</v>
      </c>
    </row>
    <row r="582" spans="1:11" hidden="1" x14ac:dyDescent="0.25">
      <c r="A582">
        <v>3572051</v>
      </c>
      <c r="B582" t="s">
        <v>484</v>
      </c>
      <c r="C582">
        <v>0.60617999999999994</v>
      </c>
      <c r="D582">
        <v>789</v>
      </c>
      <c r="E582" t="s">
        <v>60</v>
      </c>
      <c r="F582">
        <v>542</v>
      </c>
      <c r="G582" s="582" t="s">
        <v>10</v>
      </c>
      <c r="H582" s="582" t="s">
        <v>456</v>
      </c>
      <c r="I582" t="s">
        <v>485</v>
      </c>
      <c r="J582">
        <v>0.86</v>
      </c>
      <c r="K582" t="s">
        <v>2171</v>
      </c>
    </row>
    <row r="583" spans="1:11" hidden="1" x14ac:dyDescent="0.25">
      <c r="A583">
        <v>3572051</v>
      </c>
      <c r="B583" t="s">
        <v>484</v>
      </c>
      <c r="C583">
        <v>2.1840000000000002</v>
      </c>
      <c r="D583">
        <v>789</v>
      </c>
      <c r="E583" t="s">
        <v>60</v>
      </c>
      <c r="F583">
        <v>543</v>
      </c>
      <c r="G583" s="582" t="s">
        <v>10</v>
      </c>
      <c r="H583" s="582" t="s">
        <v>456</v>
      </c>
      <c r="I583" t="s">
        <v>485</v>
      </c>
      <c r="J583">
        <v>0.86</v>
      </c>
      <c r="K583" t="s">
        <v>2171</v>
      </c>
    </row>
    <row r="584" spans="1:11" hidden="1" x14ac:dyDescent="0.25">
      <c r="A584">
        <v>3649700</v>
      </c>
      <c r="B584" t="s">
        <v>2276</v>
      </c>
      <c r="C584">
        <v>5.4900000000000001E-3</v>
      </c>
      <c r="D584">
        <v>789</v>
      </c>
      <c r="E584" t="s">
        <v>36</v>
      </c>
      <c r="F584">
        <v>548</v>
      </c>
      <c r="G584" s="582" t="s">
        <v>33</v>
      </c>
      <c r="H584" s="582" t="s">
        <v>2250</v>
      </c>
      <c r="I584" t="s">
        <v>2277</v>
      </c>
      <c r="J584">
        <v>0.7</v>
      </c>
      <c r="K584" t="s">
        <v>2171</v>
      </c>
    </row>
    <row r="585" spans="1:11" hidden="1" x14ac:dyDescent="0.25">
      <c r="A585">
        <v>3672610</v>
      </c>
      <c r="B585" t="s">
        <v>1943</v>
      </c>
      <c r="C585">
        <v>1.3149999999999999</v>
      </c>
      <c r="D585">
        <v>789</v>
      </c>
      <c r="E585" t="s">
        <v>30</v>
      </c>
      <c r="F585">
        <v>549</v>
      </c>
      <c r="G585" s="582" t="s">
        <v>10</v>
      </c>
      <c r="H585" s="582" t="s">
        <v>785</v>
      </c>
      <c r="I585" t="s">
        <v>2278</v>
      </c>
      <c r="J585">
        <v>2.585</v>
      </c>
      <c r="K585" t="s">
        <v>2171</v>
      </c>
    </row>
    <row r="586" spans="1:11" hidden="1" x14ac:dyDescent="0.25">
      <c r="A586">
        <v>3672610</v>
      </c>
      <c r="B586" t="s">
        <v>1943</v>
      </c>
      <c r="C586">
        <v>1.4259999999999999</v>
      </c>
      <c r="D586">
        <v>789</v>
      </c>
      <c r="E586" t="s">
        <v>30</v>
      </c>
      <c r="F586">
        <v>550</v>
      </c>
      <c r="G586" s="582" t="s">
        <v>10</v>
      </c>
      <c r="H586" s="582" t="s">
        <v>785</v>
      </c>
      <c r="I586" t="s">
        <v>2278</v>
      </c>
      <c r="J586">
        <v>2.585</v>
      </c>
      <c r="K586" t="s">
        <v>2171</v>
      </c>
    </row>
    <row r="587" spans="1:11" hidden="1" x14ac:dyDescent="0.25">
      <c r="A587">
        <v>3672610</v>
      </c>
      <c r="B587" t="s">
        <v>1943</v>
      </c>
      <c r="C587">
        <v>1.482</v>
      </c>
      <c r="D587">
        <v>789</v>
      </c>
      <c r="E587" t="s">
        <v>30</v>
      </c>
      <c r="F587">
        <v>551</v>
      </c>
      <c r="G587" s="582" t="s">
        <v>10</v>
      </c>
      <c r="H587" s="582" t="s">
        <v>785</v>
      </c>
      <c r="I587" t="s">
        <v>2278</v>
      </c>
      <c r="J587">
        <v>2.585</v>
      </c>
      <c r="K587" t="s">
        <v>2171</v>
      </c>
    </row>
    <row r="588" spans="1:11" hidden="1" x14ac:dyDescent="0.25">
      <c r="A588">
        <v>3672610</v>
      </c>
      <c r="B588" t="s">
        <v>1943</v>
      </c>
      <c r="C588">
        <v>1.482</v>
      </c>
      <c r="D588">
        <v>789</v>
      </c>
      <c r="E588" t="s">
        <v>30</v>
      </c>
      <c r="F588">
        <v>552</v>
      </c>
      <c r="G588" s="582" t="s">
        <v>10</v>
      </c>
      <c r="H588" s="582" t="s">
        <v>785</v>
      </c>
      <c r="I588" t="s">
        <v>2278</v>
      </c>
      <c r="J588">
        <v>2.585</v>
      </c>
      <c r="K588" t="s">
        <v>2171</v>
      </c>
    </row>
    <row r="589" spans="1:11" hidden="1" x14ac:dyDescent="0.25">
      <c r="A589">
        <v>3672610</v>
      </c>
      <c r="B589" t="s">
        <v>1943</v>
      </c>
      <c r="C589">
        <v>1.63</v>
      </c>
      <c r="D589">
        <v>789</v>
      </c>
      <c r="E589" t="s">
        <v>30</v>
      </c>
      <c r="F589">
        <v>553</v>
      </c>
      <c r="G589" s="582" t="s">
        <v>10</v>
      </c>
      <c r="H589" s="582" t="s">
        <v>785</v>
      </c>
      <c r="I589" t="s">
        <v>2278</v>
      </c>
      <c r="J589">
        <v>2.585</v>
      </c>
      <c r="K589" t="s">
        <v>2171</v>
      </c>
    </row>
    <row r="590" spans="1:11" hidden="1" x14ac:dyDescent="0.25">
      <c r="A590">
        <v>3672610</v>
      </c>
      <c r="B590" t="s">
        <v>1943</v>
      </c>
      <c r="C590">
        <v>7.3999999999999996E-2</v>
      </c>
      <c r="D590">
        <v>789</v>
      </c>
      <c r="E590" t="s">
        <v>30</v>
      </c>
      <c r="F590">
        <v>554</v>
      </c>
      <c r="G590" s="582" t="s">
        <v>10</v>
      </c>
      <c r="H590" s="582" t="s">
        <v>785</v>
      </c>
      <c r="I590" t="s">
        <v>2278</v>
      </c>
      <c r="J590">
        <v>2.585</v>
      </c>
      <c r="K590" t="s">
        <v>2171</v>
      </c>
    </row>
    <row r="591" spans="1:11" hidden="1" x14ac:dyDescent="0.25">
      <c r="A591">
        <v>3672610</v>
      </c>
      <c r="B591" t="s">
        <v>1943</v>
      </c>
      <c r="C591">
        <v>5.0559999999999997E-3</v>
      </c>
      <c r="D591">
        <v>789</v>
      </c>
      <c r="E591" t="s">
        <v>30</v>
      </c>
      <c r="F591">
        <v>555</v>
      </c>
      <c r="G591" s="582" t="s">
        <v>10</v>
      </c>
      <c r="H591" s="582" t="s">
        <v>785</v>
      </c>
      <c r="I591" t="s">
        <v>2278</v>
      </c>
      <c r="J591">
        <v>2.585</v>
      </c>
      <c r="K591" t="s">
        <v>2171</v>
      </c>
    </row>
    <row r="592" spans="1:11" hidden="1" x14ac:dyDescent="0.25">
      <c r="A592">
        <v>3775637</v>
      </c>
      <c r="B592" t="s">
        <v>929</v>
      </c>
      <c r="C592">
        <v>1.65</v>
      </c>
      <c r="D592">
        <v>789</v>
      </c>
      <c r="E592" t="s">
        <v>53</v>
      </c>
      <c r="F592">
        <v>559</v>
      </c>
      <c r="G592" s="582" t="s">
        <v>10</v>
      </c>
      <c r="H592" s="582" t="s">
        <v>474</v>
      </c>
      <c r="I592" t="s">
        <v>930</v>
      </c>
      <c r="J592">
        <v>0.60699999999999998</v>
      </c>
      <c r="K592" t="s">
        <v>2171</v>
      </c>
    </row>
    <row r="593" spans="1:11" hidden="1" x14ac:dyDescent="0.25">
      <c r="A593">
        <v>3775637</v>
      </c>
      <c r="B593" t="s">
        <v>929</v>
      </c>
      <c r="C593">
        <v>2.399</v>
      </c>
      <c r="D593">
        <v>789</v>
      </c>
      <c r="E593" t="s">
        <v>53</v>
      </c>
      <c r="F593">
        <v>560</v>
      </c>
      <c r="G593" s="582" t="s">
        <v>10</v>
      </c>
      <c r="H593" s="582" t="s">
        <v>474</v>
      </c>
      <c r="I593" t="s">
        <v>930</v>
      </c>
      <c r="J593">
        <v>0.60699999999999998</v>
      </c>
      <c r="K593" t="s">
        <v>2171</v>
      </c>
    </row>
    <row r="594" spans="1:11" hidden="1" x14ac:dyDescent="0.25">
      <c r="A594">
        <v>3781647</v>
      </c>
      <c r="B594" t="s">
        <v>2279</v>
      </c>
      <c r="C594">
        <v>2.8250000000000003E-3</v>
      </c>
      <c r="D594">
        <v>789</v>
      </c>
      <c r="E594" t="s">
        <v>36</v>
      </c>
      <c r="F594">
        <v>561</v>
      </c>
      <c r="G594" s="582" t="s">
        <v>33</v>
      </c>
      <c r="H594" s="582" t="s">
        <v>568</v>
      </c>
      <c r="I594" t="s">
        <v>2280</v>
      </c>
      <c r="J594">
        <v>0.57199999999999995</v>
      </c>
      <c r="K594" t="s">
        <v>2171</v>
      </c>
    </row>
    <row r="595" spans="1:11" hidden="1" x14ac:dyDescent="0.25">
      <c r="A595">
        <v>3819143</v>
      </c>
      <c r="B595" t="s">
        <v>839</v>
      </c>
      <c r="C595">
        <v>0.86699999999999999</v>
      </c>
      <c r="D595">
        <v>789</v>
      </c>
      <c r="E595" t="s">
        <v>52</v>
      </c>
      <c r="F595">
        <v>562</v>
      </c>
      <c r="G595" s="582" t="s">
        <v>10</v>
      </c>
      <c r="H595" s="582" t="s">
        <v>832</v>
      </c>
      <c r="I595" t="s">
        <v>840</v>
      </c>
      <c r="J595">
        <v>0.68</v>
      </c>
      <c r="K595" t="s">
        <v>2171</v>
      </c>
    </row>
    <row r="596" spans="1:11" hidden="1" x14ac:dyDescent="0.25">
      <c r="A596">
        <v>3819143</v>
      </c>
      <c r="B596" t="s">
        <v>839</v>
      </c>
      <c r="C596">
        <v>4.0249999999999999E-3</v>
      </c>
      <c r="D596">
        <v>789</v>
      </c>
      <c r="E596" t="s">
        <v>52</v>
      </c>
      <c r="F596">
        <v>563</v>
      </c>
      <c r="G596" s="582" t="s">
        <v>10</v>
      </c>
      <c r="H596" s="582" t="s">
        <v>832</v>
      </c>
      <c r="I596" t="s">
        <v>840</v>
      </c>
      <c r="J596">
        <v>0.68</v>
      </c>
      <c r="K596" t="s">
        <v>2171</v>
      </c>
    </row>
    <row r="597" spans="1:11" hidden="1" x14ac:dyDescent="0.25">
      <c r="A597">
        <v>3122347</v>
      </c>
      <c r="B597" t="s">
        <v>1347</v>
      </c>
      <c r="C597">
        <v>0.19980800000000001</v>
      </c>
      <c r="D597">
        <v>789</v>
      </c>
      <c r="E597" t="s">
        <v>46</v>
      </c>
      <c r="F597">
        <v>876</v>
      </c>
      <c r="G597" s="582" t="s">
        <v>10</v>
      </c>
      <c r="H597" s="582" t="s">
        <v>986</v>
      </c>
      <c r="I597" t="s">
        <v>2282</v>
      </c>
      <c r="J597">
        <v>0.39400000000000002</v>
      </c>
      <c r="K597" t="s">
        <v>2171</v>
      </c>
    </row>
    <row r="598" spans="1:11" hidden="1" x14ac:dyDescent="0.25">
      <c r="A598">
        <v>3122347</v>
      </c>
      <c r="B598" t="s">
        <v>1347</v>
      </c>
      <c r="C598">
        <v>0.56899999999999995</v>
      </c>
      <c r="D598">
        <v>789</v>
      </c>
      <c r="E598" t="s">
        <v>46</v>
      </c>
      <c r="F598">
        <v>877</v>
      </c>
      <c r="G598" s="582" t="s">
        <v>10</v>
      </c>
      <c r="H598" s="582" t="s">
        <v>986</v>
      </c>
      <c r="I598" t="s">
        <v>2282</v>
      </c>
      <c r="J598">
        <v>0.39400000000000002</v>
      </c>
      <c r="K598" t="s">
        <v>2171</v>
      </c>
    </row>
    <row r="599" spans="1:11" hidden="1" x14ac:dyDescent="0.25">
      <c r="A599">
        <v>3122347</v>
      </c>
      <c r="B599" t="s">
        <v>1347</v>
      </c>
      <c r="C599">
        <v>1.113</v>
      </c>
      <c r="D599">
        <v>789</v>
      </c>
      <c r="E599" t="s">
        <v>46</v>
      </c>
      <c r="F599">
        <v>920</v>
      </c>
      <c r="G599" s="582" t="s">
        <v>10</v>
      </c>
      <c r="H599" s="582" t="s">
        <v>986</v>
      </c>
      <c r="I599" t="s">
        <v>2282</v>
      </c>
      <c r="J599">
        <v>0.39400000000000002</v>
      </c>
      <c r="K599" t="s">
        <v>2171</v>
      </c>
    </row>
    <row r="600" spans="1:11" hidden="1" x14ac:dyDescent="0.25">
      <c r="A600">
        <v>1940266</v>
      </c>
      <c r="B600" t="s">
        <v>1361</v>
      </c>
      <c r="C600">
        <v>9.1521000000000005E-2</v>
      </c>
      <c r="D600">
        <v>789</v>
      </c>
      <c r="E600" t="s">
        <v>78</v>
      </c>
      <c r="F600">
        <v>575</v>
      </c>
      <c r="G600" s="582" t="s">
        <v>10</v>
      </c>
      <c r="H600" s="582" t="s">
        <v>604</v>
      </c>
      <c r="I600" t="s">
        <v>2281</v>
      </c>
      <c r="J600">
        <v>0.21299999999999999</v>
      </c>
      <c r="K600" t="s">
        <v>2171</v>
      </c>
    </row>
    <row r="601" spans="1:11" hidden="1" x14ac:dyDescent="0.25">
      <c r="A601">
        <v>1940266</v>
      </c>
      <c r="B601" t="s">
        <v>1361</v>
      </c>
      <c r="C601">
        <v>9.8499999999999994E-3</v>
      </c>
      <c r="D601">
        <v>789</v>
      </c>
      <c r="E601" t="s">
        <v>78</v>
      </c>
      <c r="F601">
        <v>576</v>
      </c>
      <c r="G601" s="582" t="s">
        <v>10</v>
      </c>
      <c r="H601" s="582" t="s">
        <v>604</v>
      </c>
      <c r="I601" t="s">
        <v>2281</v>
      </c>
      <c r="J601">
        <v>0.21299999999999999</v>
      </c>
      <c r="K601" t="s">
        <v>2171</v>
      </c>
    </row>
    <row r="602" spans="1:11" hidden="1" x14ac:dyDescent="0.25">
      <c r="A602">
        <v>1940287</v>
      </c>
      <c r="B602" t="s">
        <v>605</v>
      </c>
      <c r="C602">
        <v>8.6239999999999997E-3</v>
      </c>
      <c r="D602">
        <v>789</v>
      </c>
      <c r="E602" t="s">
        <v>61</v>
      </c>
      <c r="F602">
        <v>577</v>
      </c>
      <c r="G602" s="582" t="s">
        <v>10</v>
      </c>
      <c r="H602" s="582" t="s">
        <v>604</v>
      </c>
      <c r="I602" t="s">
        <v>606</v>
      </c>
      <c r="J602">
        <v>0.81499999999999995</v>
      </c>
      <c r="K602" t="s">
        <v>2171</v>
      </c>
    </row>
    <row r="603" spans="1:11" hidden="1" x14ac:dyDescent="0.25">
      <c r="A603">
        <v>1940306</v>
      </c>
      <c r="B603" t="s">
        <v>454</v>
      </c>
      <c r="C603">
        <v>4.0000000000000002E-4</v>
      </c>
      <c r="D603">
        <v>789</v>
      </c>
      <c r="E603" t="s">
        <v>61</v>
      </c>
      <c r="F603">
        <v>578</v>
      </c>
      <c r="G603" s="582" t="s">
        <v>10</v>
      </c>
      <c r="H603" s="582" t="s">
        <v>407</v>
      </c>
      <c r="I603" t="s">
        <v>455</v>
      </c>
      <c r="J603">
        <v>0.23599999999999999</v>
      </c>
      <c r="K603" t="s">
        <v>2171</v>
      </c>
    </row>
    <row r="604" spans="1:11" hidden="1" x14ac:dyDescent="0.25">
      <c r="A604">
        <v>1940306</v>
      </c>
      <c r="B604" t="s">
        <v>454</v>
      </c>
      <c r="C604">
        <v>1.325E-3</v>
      </c>
      <c r="D604">
        <v>789</v>
      </c>
      <c r="E604" t="s">
        <v>61</v>
      </c>
      <c r="F604">
        <v>579</v>
      </c>
      <c r="G604" s="582" t="s">
        <v>10</v>
      </c>
      <c r="H604" s="582" t="s">
        <v>407</v>
      </c>
      <c r="I604" t="s">
        <v>455</v>
      </c>
      <c r="J604">
        <v>0.23599999999999999</v>
      </c>
      <c r="K604" t="s">
        <v>2171</v>
      </c>
    </row>
    <row r="605" spans="1:11" hidden="1" x14ac:dyDescent="0.25">
      <c r="A605">
        <v>1940306</v>
      </c>
      <c r="B605" t="s">
        <v>454</v>
      </c>
      <c r="C605">
        <v>4.45E-3</v>
      </c>
      <c r="D605">
        <v>789</v>
      </c>
      <c r="E605" t="s">
        <v>61</v>
      </c>
      <c r="F605">
        <v>580</v>
      </c>
      <c r="G605" s="582" t="s">
        <v>10</v>
      </c>
      <c r="H605" s="582" t="s">
        <v>407</v>
      </c>
      <c r="I605" t="s">
        <v>455</v>
      </c>
      <c r="J605">
        <v>0.23599999999999999</v>
      </c>
      <c r="K605" t="s">
        <v>2171</v>
      </c>
    </row>
    <row r="606" spans="1:11" hidden="1" x14ac:dyDescent="0.25">
      <c r="A606">
        <v>1940306</v>
      </c>
      <c r="B606" t="s">
        <v>454</v>
      </c>
      <c r="C606">
        <v>1.75E-3</v>
      </c>
      <c r="D606">
        <v>789</v>
      </c>
      <c r="E606" t="s">
        <v>61</v>
      </c>
      <c r="F606">
        <v>1039</v>
      </c>
      <c r="G606" s="582" t="s">
        <v>10</v>
      </c>
      <c r="H606" s="582" t="s">
        <v>407</v>
      </c>
      <c r="I606" t="s">
        <v>455</v>
      </c>
      <c r="J606">
        <v>0.23599999999999999</v>
      </c>
      <c r="K606" t="s">
        <v>2171</v>
      </c>
    </row>
    <row r="607" spans="1:11" hidden="1" x14ac:dyDescent="0.25">
      <c r="A607">
        <v>2331953</v>
      </c>
      <c r="B607" t="s">
        <v>2283</v>
      </c>
      <c r="C607">
        <v>1.8279E-2</v>
      </c>
      <c r="D607">
        <v>789</v>
      </c>
      <c r="E607" t="s">
        <v>151</v>
      </c>
      <c r="F607">
        <v>869</v>
      </c>
      <c r="G607" s="582" t="s">
        <v>10</v>
      </c>
      <c r="H607" s="582" t="s">
        <v>983</v>
      </c>
      <c r="I607" t="s">
        <v>2284</v>
      </c>
      <c r="J607">
        <v>0.61</v>
      </c>
      <c r="K607" t="s">
        <v>2171</v>
      </c>
    </row>
    <row r="608" spans="1:11" hidden="1" x14ac:dyDescent="0.25">
      <c r="A608">
        <v>2331953</v>
      </c>
      <c r="B608" t="s">
        <v>2283</v>
      </c>
      <c r="C608">
        <v>1.2E-2</v>
      </c>
      <c r="D608">
        <v>789</v>
      </c>
      <c r="E608" t="s">
        <v>151</v>
      </c>
      <c r="F608">
        <v>870</v>
      </c>
      <c r="G608" s="582" t="s">
        <v>10</v>
      </c>
      <c r="H608" s="582" t="s">
        <v>983</v>
      </c>
      <c r="I608" t="s">
        <v>2284</v>
      </c>
      <c r="J608">
        <v>0.61</v>
      </c>
      <c r="K608" t="s">
        <v>2171</v>
      </c>
    </row>
    <row r="609" spans="1:11" hidden="1" x14ac:dyDescent="0.25">
      <c r="A609">
        <v>1940710</v>
      </c>
      <c r="B609" t="s">
        <v>566</v>
      </c>
      <c r="C609">
        <v>0.562608</v>
      </c>
      <c r="D609">
        <v>789</v>
      </c>
      <c r="E609" t="s">
        <v>19</v>
      </c>
      <c r="F609">
        <v>582</v>
      </c>
      <c r="G609" s="582" t="s">
        <v>10</v>
      </c>
      <c r="H609" s="582" t="s">
        <v>565</v>
      </c>
      <c r="I609" t="s">
        <v>567</v>
      </c>
      <c r="J609">
        <v>1.726</v>
      </c>
      <c r="K609" t="s">
        <v>2171</v>
      </c>
    </row>
    <row r="610" spans="1:11" hidden="1" x14ac:dyDescent="0.25">
      <c r="A610">
        <v>1940710</v>
      </c>
      <c r="B610" t="s">
        <v>566</v>
      </c>
      <c r="C610">
        <v>0.216</v>
      </c>
      <c r="D610">
        <v>789</v>
      </c>
      <c r="E610" t="s">
        <v>19</v>
      </c>
      <c r="F610">
        <v>583</v>
      </c>
      <c r="G610" s="582" t="s">
        <v>10</v>
      </c>
      <c r="H610" s="582" t="s">
        <v>565</v>
      </c>
      <c r="I610" t="s">
        <v>567</v>
      </c>
      <c r="J610">
        <v>1.726</v>
      </c>
      <c r="K610" t="s">
        <v>2171</v>
      </c>
    </row>
    <row r="611" spans="1:11" hidden="1" x14ac:dyDescent="0.25">
      <c r="A611">
        <v>1940710</v>
      </c>
      <c r="B611" t="s">
        <v>566</v>
      </c>
      <c r="C611">
        <v>0.63600000000000001</v>
      </c>
      <c r="D611">
        <v>789</v>
      </c>
      <c r="E611" t="s">
        <v>19</v>
      </c>
      <c r="F611">
        <v>584</v>
      </c>
      <c r="G611" s="582" t="s">
        <v>10</v>
      </c>
      <c r="H611" s="582" t="s">
        <v>565</v>
      </c>
      <c r="I611" t="s">
        <v>567</v>
      </c>
      <c r="J611">
        <v>1.726</v>
      </c>
      <c r="K611" t="s">
        <v>2171</v>
      </c>
    </row>
    <row r="612" spans="1:11" hidden="1" x14ac:dyDescent="0.25">
      <c r="A612">
        <v>1940710</v>
      </c>
      <c r="B612" t="s">
        <v>566</v>
      </c>
      <c r="C612">
        <v>0.63600000000000001</v>
      </c>
      <c r="D612">
        <v>789</v>
      </c>
      <c r="E612" t="s">
        <v>19</v>
      </c>
      <c r="F612">
        <v>585</v>
      </c>
      <c r="G612" s="582" t="s">
        <v>10</v>
      </c>
      <c r="H612" s="582" t="s">
        <v>565</v>
      </c>
      <c r="I612" t="s">
        <v>567</v>
      </c>
      <c r="J612">
        <v>1.726</v>
      </c>
      <c r="K612" t="s">
        <v>2171</v>
      </c>
    </row>
    <row r="613" spans="1:11" hidden="1" x14ac:dyDescent="0.25">
      <c r="A613">
        <v>3841883</v>
      </c>
      <c r="B613" t="s">
        <v>1351</v>
      </c>
      <c r="C613">
        <v>9.7889999999999991E-3</v>
      </c>
      <c r="D613">
        <v>789</v>
      </c>
      <c r="E613" t="s">
        <v>48</v>
      </c>
      <c r="F613">
        <v>746</v>
      </c>
      <c r="G613" s="582" t="s">
        <v>10</v>
      </c>
      <c r="H613" s="582" t="s">
        <v>986</v>
      </c>
      <c r="I613" t="s">
        <v>2285</v>
      </c>
      <c r="J613">
        <v>0.77500000000000002</v>
      </c>
      <c r="K613" t="s">
        <v>2171</v>
      </c>
    </row>
    <row r="614" spans="1:11" hidden="1" x14ac:dyDescent="0.25">
      <c r="A614">
        <v>1940837</v>
      </c>
      <c r="B614" t="s">
        <v>593</v>
      </c>
      <c r="C614">
        <v>2.1680000000000001</v>
      </c>
      <c r="D614">
        <v>789</v>
      </c>
      <c r="E614" t="s">
        <v>48</v>
      </c>
      <c r="F614">
        <v>588</v>
      </c>
      <c r="G614" s="582" t="s">
        <v>10</v>
      </c>
      <c r="H614" s="582" t="s">
        <v>578</v>
      </c>
      <c r="I614" t="s">
        <v>594</v>
      </c>
      <c r="J614">
        <v>0.87</v>
      </c>
      <c r="K614" t="s">
        <v>2171</v>
      </c>
    </row>
    <row r="615" spans="1:11" hidden="1" x14ac:dyDescent="0.25">
      <c r="A615">
        <v>1940837</v>
      </c>
      <c r="B615" t="s">
        <v>593</v>
      </c>
      <c r="C615">
        <v>2.278</v>
      </c>
      <c r="D615">
        <v>789</v>
      </c>
      <c r="E615" t="s">
        <v>46</v>
      </c>
      <c r="F615">
        <v>767</v>
      </c>
      <c r="G615" s="582" t="s">
        <v>10</v>
      </c>
      <c r="H615" s="582" t="s">
        <v>578</v>
      </c>
      <c r="I615" t="s">
        <v>594</v>
      </c>
      <c r="J615">
        <v>0.87</v>
      </c>
      <c r="K615" t="s">
        <v>2171</v>
      </c>
    </row>
    <row r="616" spans="1:11" hidden="1" x14ac:dyDescent="0.25">
      <c r="A616">
        <v>1940837</v>
      </c>
      <c r="B616" t="s">
        <v>593</v>
      </c>
      <c r="C616">
        <v>2.2050000000000001</v>
      </c>
      <c r="D616">
        <v>789</v>
      </c>
      <c r="E616" t="s">
        <v>46</v>
      </c>
      <c r="F616">
        <v>768</v>
      </c>
      <c r="G616" s="582" t="s">
        <v>10</v>
      </c>
      <c r="H616" s="582" t="s">
        <v>578</v>
      </c>
      <c r="I616" t="s">
        <v>594</v>
      </c>
      <c r="J616">
        <v>0.87</v>
      </c>
      <c r="K616" t="s">
        <v>2171</v>
      </c>
    </row>
    <row r="617" spans="1:11" hidden="1" x14ac:dyDescent="0.25">
      <c r="A617">
        <v>1940837</v>
      </c>
      <c r="B617" t="s">
        <v>593</v>
      </c>
      <c r="C617">
        <v>1.7490000000000001</v>
      </c>
      <c r="D617">
        <v>789</v>
      </c>
      <c r="E617" t="s">
        <v>46</v>
      </c>
      <c r="F617">
        <v>769</v>
      </c>
      <c r="G617" s="582" t="s">
        <v>10</v>
      </c>
      <c r="H617" s="582" t="s">
        <v>578</v>
      </c>
      <c r="I617" t="s">
        <v>594</v>
      </c>
      <c r="J617">
        <v>0.87</v>
      </c>
      <c r="K617" t="s">
        <v>2171</v>
      </c>
    </row>
    <row r="618" spans="1:11" hidden="1" x14ac:dyDescent="0.25">
      <c r="A618">
        <v>1940837</v>
      </c>
      <c r="B618" t="s">
        <v>593</v>
      </c>
      <c r="C618">
        <v>0.72899999999999998</v>
      </c>
      <c r="D618">
        <v>789</v>
      </c>
      <c r="E618" t="s">
        <v>46</v>
      </c>
      <c r="F618">
        <v>770</v>
      </c>
      <c r="G618" s="582" t="s">
        <v>10</v>
      </c>
      <c r="H618" s="582" t="s">
        <v>578</v>
      </c>
      <c r="I618" t="s">
        <v>594</v>
      </c>
      <c r="J618">
        <v>0.87</v>
      </c>
      <c r="K618" t="s">
        <v>2171</v>
      </c>
    </row>
    <row r="619" spans="1:11" hidden="1" x14ac:dyDescent="0.25">
      <c r="A619">
        <v>1940837</v>
      </c>
      <c r="B619" t="s">
        <v>593</v>
      </c>
      <c r="C619">
        <v>1.2076739999999999</v>
      </c>
      <c r="D619">
        <v>789</v>
      </c>
      <c r="E619" t="s">
        <v>46</v>
      </c>
      <c r="F619">
        <v>771</v>
      </c>
      <c r="G619" s="582" t="s">
        <v>10</v>
      </c>
      <c r="H619" s="582" t="s">
        <v>578</v>
      </c>
      <c r="I619" t="s">
        <v>594</v>
      </c>
      <c r="J619">
        <v>0.87</v>
      </c>
      <c r="K619" t="s">
        <v>2171</v>
      </c>
    </row>
    <row r="620" spans="1:11" hidden="1" x14ac:dyDescent="0.25">
      <c r="A620">
        <v>2426142</v>
      </c>
      <c r="B620" t="s">
        <v>786</v>
      </c>
      <c r="C620">
        <v>2.1019999999999997E-3</v>
      </c>
      <c r="D620">
        <v>789</v>
      </c>
      <c r="E620" t="s">
        <v>30</v>
      </c>
      <c r="F620">
        <v>598</v>
      </c>
      <c r="G620" s="582" t="s">
        <v>10</v>
      </c>
      <c r="H620" s="582" t="s">
        <v>785</v>
      </c>
      <c r="I620" t="s">
        <v>787</v>
      </c>
      <c r="J620">
        <v>2.5499999999999998</v>
      </c>
      <c r="K620" t="s">
        <v>2171</v>
      </c>
    </row>
    <row r="621" spans="1:11" hidden="1" x14ac:dyDescent="0.25">
      <c r="A621">
        <v>3233557</v>
      </c>
      <c r="B621" t="s">
        <v>610</v>
      </c>
      <c r="C621">
        <v>2.29</v>
      </c>
      <c r="D621">
        <v>789</v>
      </c>
      <c r="E621" t="s">
        <v>30</v>
      </c>
      <c r="F621">
        <v>603</v>
      </c>
      <c r="G621" s="582" t="s">
        <v>10</v>
      </c>
      <c r="H621" s="582" t="s">
        <v>456</v>
      </c>
      <c r="I621" t="s">
        <v>611</v>
      </c>
      <c r="J621">
        <v>0.8</v>
      </c>
      <c r="K621" t="s">
        <v>2171</v>
      </c>
    </row>
    <row r="622" spans="1:11" hidden="1" x14ac:dyDescent="0.25">
      <c r="A622">
        <v>3233557</v>
      </c>
      <c r="B622" t="s">
        <v>610</v>
      </c>
      <c r="C622">
        <v>0.26400000000000001</v>
      </c>
      <c r="D622">
        <v>789</v>
      </c>
      <c r="E622" t="s">
        <v>30</v>
      </c>
      <c r="F622">
        <v>604</v>
      </c>
      <c r="G622" s="582" t="s">
        <v>10</v>
      </c>
      <c r="H622" s="582" t="s">
        <v>456</v>
      </c>
      <c r="I622" t="s">
        <v>611</v>
      </c>
      <c r="J622">
        <v>0.8</v>
      </c>
      <c r="K622" t="s">
        <v>2171</v>
      </c>
    </row>
    <row r="623" spans="1:11" hidden="1" x14ac:dyDescent="0.25">
      <c r="A623">
        <v>3233557</v>
      </c>
      <c r="B623" t="s">
        <v>610</v>
      </c>
      <c r="C623">
        <v>0.59499999999999997</v>
      </c>
      <c r="D623">
        <v>789</v>
      </c>
      <c r="E623" t="s">
        <v>30</v>
      </c>
      <c r="F623">
        <v>605</v>
      </c>
      <c r="G623" s="582" t="s">
        <v>10</v>
      </c>
      <c r="H623" s="582" t="s">
        <v>456</v>
      </c>
      <c r="I623" t="s">
        <v>611</v>
      </c>
      <c r="J623">
        <v>0.8</v>
      </c>
      <c r="K623" t="s">
        <v>2171</v>
      </c>
    </row>
    <row r="624" spans="1:11" hidden="1" x14ac:dyDescent="0.25">
      <c r="A624">
        <v>3233557</v>
      </c>
      <c r="B624" t="s">
        <v>610</v>
      </c>
      <c r="C624">
        <v>1.534E-3</v>
      </c>
      <c r="D624">
        <v>789</v>
      </c>
      <c r="E624" t="s">
        <v>30</v>
      </c>
      <c r="F624">
        <v>606</v>
      </c>
      <c r="G624" s="582" t="s">
        <v>10</v>
      </c>
      <c r="H624" s="582" t="s">
        <v>456</v>
      </c>
      <c r="I624" t="s">
        <v>611</v>
      </c>
      <c r="J624">
        <v>0.8</v>
      </c>
      <c r="K624" t="s">
        <v>2171</v>
      </c>
    </row>
    <row r="625" spans="1:11" hidden="1" x14ac:dyDescent="0.25">
      <c r="A625">
        <v>3553684</v>
      </c>
      <c r="B625" t="s">
        <v>1505</v>
      </c>
      <c r="C625">
        <v>7.6800000000000002E-4</v>
      </c>
      <c r="D625">
        <v>789</v>
      </c>
      <c r="E625" t="s">
        <v>52</v>
      </c>
      <c r="F625">
        <v>612</v>
      </c>
      <c r="G625" s="582" t="s">
        <v>10</v>
      </c>
      <c r="H625" s="582" t="s">
        <v>412</v>
      </c>
      <c r="I625" t="s">
        <v>2286</v>
      </c>
      <c r="J625">
        <v>0.27400000000000002</v>
      </c>
      <c r="K625" t="s">
        <v>2171</v>
      </c>
    </row>
    <row r="626" spans="1:11" hidden="1" x14ac:dyDescent="0.25">
      <c r="A626">
        <v>3122348</v>
      </c>
      <c r="B626" t="s">
        <v>2288</v>
      </c>
      <c r="C626">
        <v>1.804E-2</v>
      </c>
      <c r="D626">
        <v>789</v>
      </c>
      <c r="E626" t="s">
        <v>46</v>
      </c>
      <c r="F626">
        <v>1161</v>
      </c>
      <c r="G626" s="582" t="s">
        <v>10</v>
      </c>
      <c r="H626" s="582" t="s">
        <v>604</v>
      </c>
      <c r="I626" t="s">
        <v>2289</v>
      </c>
      <c r="J626">
        <v>0.23849999999999999</v>
      </c>
      <c r="K626" t="s">
        <v>2171</v>
      </c>
    </row>
    <row r="627" spans="1:11" hidden="1" x14ac:dyDescent="0.25">
      <c r="A627">
        <v>3801265</v>
      </c>
      <c r="B627" t="s">
        <v>889</v>
      </c>
      <c r="C627">
        <v>6.4320000000000002E-3</v>
      </c>
      <c r="D627">
        <v>789</v>
      </c>
      <c r="E627" t="s">
        <v>53</v>
      </c>
      <c r="F627">
        <v>619</v>
      </c>
      <c r="G627" s="582" t="s">
        <v>10</v>
      </c>
      <c r="H627" s="582" t="s">
        <v>428</v>
      </c>
      <c r="I627" t="s">
        <v>890</v>
      </c>
      <c r="J627">
        <v>0.56100000000000005</v>
      </c>
      <c r="K627" t="s">
        <v>2171</v>
      </c>
    </row>
    <row r="628" spans="1:11" hidden="1" x14ac:dyDescent="0.25">
      <c r="A628">
        <v>1940269</v>
      </c>
      <c r="B628" t="s">
        <v>2013</v>
      </c>
      <c r="C628">
        <v>5.6566000000000005E-2</v>
      </c>
      <c r="D628">
        <v>789</v>
      </c>
      <c r="E628" t="s">
        <v>78</v>
      </c>
      <c r="F628">
        <v>632</v>
      </c>
      <c r="G628" s="582" t="s">
        <v>10</v>
      </c>
      <c r="H628" s="582" t="s">
        <v>604</v>
      </c>
      <c r="I628" t="s">
        <v>2287</v>
      </c>
      <c r="J628">
        <v>0.24</v>
      </c>
      <c r="K628" t="s">
        <v>2171</v>
      </c>
    </row>
    <row r="629" spans="1:11" hidden="1" x14ac:dyDescent="0.25">
      <c r="A629">
        <v>4151472</v>
      </c>
      <c r="B629" t="s">
        <v>488</v>
      </c>
      <c r="C629">
        <v>1.3089999999999998E-3</v>
      </c>
      <c r="D629">
        <v>789</v>
      </c>
      <c r="E629" t="s">
        <v>60</v>
      </c>
      <c r="F629">
        <v>629</v>
      </c>
      <c r="G629" s="582" t="s">
        <v>10</v>
      </c>
      <c r="H629" s="582" t="s">
        <v>456</v>
      </c>
      <c r="I629" t="s">
        <v>489</v>
      </c>
      <c r="J629">
        <v>0.755</v>
      </c>
      <c r="K629" t="s">
        <v>2171</v>
      </c>
    </row>
    <row r="630" spans="1:11" hidden="1" x14ac:dyDescent="0.25">
      <c r="A630">
        <v>4151472</v>
      </c>
      <c r="B630" t="s">
        <v>488</v>
      </c>
      <c r="C630">
        <v>4.5209999999999998E-3</v>
      </c>
      <c r="D630">
        <v>789</v>
      </c>
      <c r="E630" t="s">
        <v>60</v>
      </c>
      <c r="F630">
        <v>630</v>
      </c>
      <c r="G630" s="582" t="s">
        <v>10</v>
      </c>
      <c r="H630" s="582" t="s">
        <v>456</v>
      </c>
      <c r="I630" t="s">
        <v>489</v>
      </c>
      <c r="J630">
        <v>0.755</v>
      </c>
      <c r="K630" t="s">
        <v>2171</v>
      </c>
    </row>
    <row r="631" spans="1:11" hidden="1" x14ac:dyDescent="0.25">
      <c r="A631">
        <v>1940272</v>
      </c>
      <c r="B631" t="s">
        <v>2014</v>
      </c>
      <c r="C631">
        <v>9.4280000000000006E-3</v>
      </c>
      <c r="D631">
        <v>789</v>
      </c>
      <c r="E631" t="s">
        <v>78</v>
      </c>
      <c r="F631">
        <v>705</v>
      </c>
      <c r="G631" s="582" t="s">
        <v>10</v>
      </c>
      <c r="H631" s="582" t="s">
        <v>604</v>
      </c>
      <c r="I631" t="s">
        <v>2291</v>
      </c>
      <c r="J631">
        <v>0.25900000000000001</v>
      </c>
      <c r="K631" t="s">
        <v>2171</v>
      </c>
    </row>
    <row r="632" spans="1:11" hidden="1" x14ac:dyDescent="0.25">
      <c r="A632">
        <v>1940307</v>
      </c>
      <c r="B632" t="s">
        <v>408</v>
      </c>
      <c r="C632">
        <v>1.5200000000000001E-3</v>
      </c>
      <c r="D632">
        <v>789</v>
      </c>
      <c r="E632" t="s">
        <v>61</v>
      </c>
      <c r="F632">
        <v>633</v>
      </c>
      <c r="G632" s="582" t="s">
        <v>10</v>
      </c>
      <c r="H632" s="582" t="s">
        <v>407</v>
      </c>
      <c r="I632" t="s">
        <v>409</v>
      </c>
      <c r="J632">
        <v>0.252</v>
      </c>
      <c r="K632" t="s">
        <v>2171</v>
      </c>
    </row>
    <row r="633" spans="1:11" hidden="1" x14ac:dyDescent="0.25">
      <c r="A633">
        <v>1940307</v>
      </c>
      <c r="B633" t="s">
        <v>408</v>
      </c>
      <c r="C633">
        <v>7.8399999999999997E-3</v>
      </c>
      <c r="D633">
        <v>789</v>
      </c>
      <c r="E633" t="s">
        <v>61</v>
      </c>
      <c r="F633">
        <v>634</v>
      </c>
      <c r="G633" s="582" t="s">
        <v>10</v>
      </c>
      <c r="H633" s="582" t="s">
        <v>407</v>
      </c>
      <c r="I633" t="s">
        <v>409</v>
      </c>
      <c r="J633">
        <v>0.252</v>
      </c>
      <c r="K633" t="s">
        <v>2171</v>
      </c>
    </row>
    <row r="634" spans="1:11" hidden="1" x14ac:dyDescent="0.25">
      <c r="A634">
        <v>1940307</v>
      </c>
      <c r="B634" t="s">
        <v>408</v>
      </c>
      <c r="C634">
        <v>0.76800000000000002</v>
      </c>
      <c r="D634">
        <v>4731</v>
      </c>
      <c r="E634" t="s">
        <v>61</v>
      </c>
      <c r="F634">
        <v>1327</v>
      </c>
      <c r="G634" s="582" t="s">
        <v>10</v>
      </c>
      <c r="H634" s="582" t="s">
        <v>407</v>
      </c>
      <c r="I634" t="s">
        <v>409</v>
      </c>
      <c r="J634">
        <v>0.252</v>
      </c>
      <c r="K634" t="s">
        <v>2171</v>
      </c>
    </row>
    <row r="635" spans="1:11" hidden="1" x14ac:dyDescent="0.25">
      <c r="A635">
        <v>1940307</v>
      </c>
      <c r="B635" t="s">
        <v>408</v>
      </c>
      <c r="C635">
        <v>9.3423000000000006E-2</v>
      </c>
      <c r="D635">
        <v>4731</v>
      </c>
      <c r="E635" t="s">
        <v>61</v>
      </c>
      <c r="F635">
        <v>1959</v>
      </c>
      <c r="G635" s="582" t="s">
        <v>10</v>
      </c>
      <c r="H635" s="582" t="s">
        <v>407</v>
      </c>
      <c r="I635" t="s">
        <v>409</v>
      </c>
      <c r="J635">
        <v>0.252</v>
      </c>
      <c r="K635" t="s">
        <v>2171</v>
      </c>
    </row>
    <row r="636" spans="1:11" hidden="1" x14ac:dyDescent="0.25">
      <c r="A636">
        <v>1940307</v>
      </c>
      <c r="B636" t="s">
        <v>408</v>
      </c>
      <c r="C636">
        <v>0.32657700000000001</v>
      </c>
      <c r="D636">
        <v>4731</v>
      </c>
      <c r="E636" t="s">
        <v>61</v>
      </c>
      <c r="F636">
        <v>1960</v>
      </c>
      <c r="G636" s="582" t="s">
        <v>10</v>
      </c>
      <c r="H636" s="582" t="s">
        <v>407</v>
      </c>
      <c r="I636" t="s">
        <v>409</v>
      </c>
      <c r="J636">
        <v>0.252</v>
      </c>
      <c r="K636" t="s">
        <v>2171</v>
      </c>
    </row>
    <row r="637" spans="1:11" hidden="1" x14ac:dyDescent="0.25">
      <c r="A637">
        <v>1940420</v>
      </c>
      <c r="B637" t="s">
        <v>1519</v>
      </c>
      <c r="C637">
        <v>6.1200999999999998E-2</v>
      </c>
      <c r="D637">
        <v>789</v>
      </c>
      <c r="E637" t="s">
        <v>45</v>
      </c>
      <c r="F637">
        <v>635</v>
      </c>
      <c r="G637" s="582" t="s">
        <v>10</v>
      </c>
      <c r="H637" s="582" t="s">
        <v>412</v>
      </c>
      <c r="I637" t="s">
        <v>731</v>
      </c>
      <c r="J637">
        <v>1.175</v>
      </c>
      <c r="K637" t="s">
        <v>2171</v>
      </c>
    </row>
    <row r="638" spans="1:11" hidden="1" x14ac:dyDescent="0.25">
      <c r="A638">
        <v>1940474</v>
      </c>
      <c r="B638" t="s">
        <v>2101</v>
      </c>
      <c r="C638">
        <v>2.6459999999999999E-3</v>
      </c>
      <c r="D638">
        <v>789</v>
      </c>
      <c r="E638" t="s">
        <v>180</v>
      </c>
      <c r="F638">
        <v>636</v>
      </c>
      <c r="G638" s="582" t="s">
        <v>10</v>
      </c>
      <c r="H638" s="582" t="s">
        <v>642</v>
      </c>
      <c r="I638" t="s">
        <v>2290</v>
      </c>
      <c r="J638">
        <v>0.86499999999999999</v>
      </c>
      <c r="K638" t="s">
        <v>2171</v>
      </c>
    </row>
    <row r="639" spans="1:11" hidden="1" x14ac:dyDescent="0.25">
      <c r="A639">
        <v>1940474</v>
      </c>
      <c r="B639" t="s">
        <v>2101</v>
      </c>
      <c r="C639">
        <v>9.1026999999999997E-2</v>
      </c>
      <c r="D639">
        <v>789</v>
      </c>
      <c r="E639" t="s">
        <v>180</v>
      </c>
      <c r="F639">
        <v>637</v>
      </c>
      <c r="G639" s="582" t="s">
        <v>10</v>
      </c>
      <c r="H639" s="582" t="s">
        <v>642</v>
      </c>
      <c r="I639" t="s">
        <v>2290</v>
      </c>
      <c r="J639">
        <v>0.86499999999999999</v>
      </c>
      <c r="K639" t="s">
        <v>2171</v>
      </c>
    </row>
    <row r="640" spans="1:11" hidden="1" x14ac:dyDescent="0.25">
      <c r="A640">
        <v>1940825</v>
      </c>
      <c r="B640" t="s">
        <v>788</v>
      </c>
      <c r="C640">
        <v>9.1600000000000004E-4</v>
      </c>
      <c r="D640">
        <v>789</v>
      </c>
      <c r="E640" t="s">
        <v>18</v>
      </c>
      <c r="F640">
        <v>649</v>
      </c>
      <c r="G640" s="582" t="s">
        <v>10</v>
      </c>
      <c r="H640" s="582" t="s">
        <v>428</v>
      </c>
      <c r="I640" t="s">
        <v>789</v>
      </c>
      <c r="J640">
        <v>0.58499999999999996</v>
      </c>
      <c r="K640" t="s">
        <v>2171</v>
      </c>
    </row>
    <row r="641" spans="1:11" hidden="1" x14ac:dyDescent="0.25">
      <c r="A641">
        <v>1940825</v>
      </c>
      <c r="B641" t="s">
        <v>788</v>
      </c>
      <c r="C641">
        <v>6.6119999999999998E-3</v>
      </c>
      <c r="D641">
        <v>789</v>
      </c>
      <c r="E641" t="s">
        <v>18</v>
      </c>
      <c r="F641">
        <v>713</v>
      </c>
      <c r="G641" s="582" t="s">
        <v>10</v>
      </c>
      <c r="H641" s="582" t="s">
        <v>428</v>
      </c>
      <c r="I641" t="s">
        <v>789</v>
      </c>
      <c r="J641">
        <v>0.58499999999999996</v>
      </c>
      <c r="K641" t="s">
        <v>2171</v>
      </c>
    </row>
    <row r="642" spans="1:11" hidden="1" x14ac:dyDescent="0.25">
      <c r="A642">
        <v>1940825</v>
      </c>
      <c r="B642" t="s">
        <v>788</v>
      </c>
      <c r="C642">
        <v>2.98E-3</v>
      </c>
      <c r="D642">
        <v>789</v>
      </c>
      <c r="E642" t="s">
        <v>18</v>
      </c>
      <c r="F642">
        <v>714</v>
      </c>
      <c r="G642" s="582" t="s">
        <v>10</v>
      </c>
      <c r="H642" s="582" t="s">
        <v>428</v>
      </c>
      <c r="I642" t="s">
        <v>789</v>
      </c>
      <c r="J642">
        <v>0.58499999999999996</v>
      </c>
      <c r="K642" t="s">
        <v>2171</v>
      </c>
    </row>
    <row r="643" spans="1:11" hidden="1" x14ac:dyDescent="0.25">
      <c r="A643">
        <v>3233559</v>
      </c>
      <c r="B643" t="s">
        <v>490</v>
      </c>
      <c r="C643">
        <v>3.7200000000000002E-3</v>
      </c>
      <c r="D643">
        <v>789</v>
      </c>
      <c r="E643" t="s">
        <v>60</v>
      </c>
      <c r="F643">
        <v>660</v>
      </c>
      <c r="G643" s="582" t="s">
        <v>10</v>
      </c>
      <c r="H643" s="582" t="s">
        <v>456</v>
      </c>
      <c r="I643" t="s">
        <v>491</v>
      </c>
      <c r="J643">
        <v>0.12</v>
      </c>
      <c r="K643" t="s">
        <v>2171</v>
      </c>
    </row>
    <row r="644" spans="1:11" hidden="1" x14ac:dyDescent="0.25">
      <c r="A644">
        <v>3233559</v>
      </c>
      <c r="B644" t="s">
        <v>490</v>
      </c>
      <c r="C644">
        <v>2.8878000000000001E-2</v>
      </c>
      <c r="D644">
        <v>789</v>
      </c>
      <c r="E644" t="s">
        <v>60</v>
      </c>
      <c r="F644">
        <v>661</v>
      </c>
      <c r="G644" s="582" t="s">
        <v>10</v>
      </c>
      <c r="H644" s="582" t="s">
        <v>456</v>
      </c>
      <c r="I644" t="s">
        <v>491</v>
      </c>
      <c r="J644">
        <v>0.12</v>
      </c>
      <c r="K644" t="s">
        <v>2171</v>
      </c>
    </row>
    <row r="645" spans="1:11" hidden="1" x14ac:dyDescent="0.25">
      <c r="A645">
        <v>3233559</v>
      </c>
      <c r="B645" t="s">
        <v>490</v>
      </c>
      <c r="C645">
        <v>0.95</v>
      </c>
      <c r="D645">
        <v>789</v>
      </c>
      <c r="E645" t="s">
        <v>60</v>
      </c>
      <c r="F645">
        <v>662</v>
      </c>
      <c r="G645" s="582" t="s">
        <v>10</v>
      </c>
      <c r="H645" s="582" t="s">
        <v>456</v>
      </c>
      <c r="I645" t="s">
        <v>491</v>
      </c>
      <c r="J645">
        <v>0.12</v>
      </c>
      <c r="K645" t="s">
        <v>2171</v>
      </c>
    </row>
    <row r="646" spans="1:11" hidden="1" x14ac:dyDescent="0.25">
      <c r="A646">
        <v>3438761</v>
      </c>
      <c r="B646" t="s">
        <v>682</v>
      </c>
      <c r="C646">
        <v>0.379384</v>
      </c>
      <c r="D646">
        <v>789</v>
      </c>
      <c r="E646" t="s">
        <v>30</v>
      </c>
      <c r="F646">
        <v>667</v>
      </c>
      <c r="G646" s="582" t="s">
        <v>10</v>
      </c>
      <c r="H646" s="582" t="s">
        <v>428</v>
      </c>
      <c r="I646" t="s">
        <v>683</v>
      </c>
      <c r="J646">
        <v>0.51400000000000001</v>
      </c>
      <c r="K646" t="s">
        <v>2171</v>
      </c>
    </row>
    <row r="647" spans="1:11" hidden="1" x14ac:dyDescent="0.25">
      <c r="A647">
        <v>3508742</v>
      </c>
      <c r="B647" t="s">
        <v>861</v>
      </c>
      <c r="C647">
        <v>1.0152E-2</v>
      </c>
      <c r="D647">
        <v>789</v>
      </c>
      <c r="E647" t="s">
        <v>53</v>
      </c>
      <c r="F647">
        <v>668</v>
      </c>
      <c r="G647" s="582" t="s">
        <v>10</v>
      </c>
      <c r="H647" s="582" t="s">
        <v>860</v>
      </c>
      <c r="I647" t="s">
        <v>862</v>
      </c>
      <c r="J647">
        <v>0.41</v>
      </c>
      <c r="K647" t="s">
        <v>2171</v>
      </c>
    </row>
    <row r="648" spans="1:11" hidden="1" x14ac:dyDescent="0.25">
      <c r="A648">
        <v>3508742</v>
      </c>
      <c r="B648" t="s">
        <v>861</v>
      </c>
      <c r="C648">
        <v>0.17647499999999999</v>
      </c>
      <c r="D648">
        <v>4731</v>
      </c>
      <c r="E648" t="s">
        <v>53</v>
      </c>
      <c r="F648">
        <v>1645</v>
      </c>
      <c r="G648" s="582" t="s">
        <v>10</v>
      </c>
      <c r="H648" s="582" t="s">
        <v>860</v>
      </c>
      <c r="I648" t="s">
        <v>862</v>
      </c>
      <c r="J648">
        <v>0.41</v>
      </c>
      <c r="K648" t="s">
        <v>2171</v>
      </c>
    </row>
    <row r="649" spans="1:11" hidden="1" x14ac:dyDescent="0.25">
      <c r="A649">
        <v>3584171</v>
      </c>
      <c r="B649" t="s">
        <v>686</v>
      </c>
      <c r="C649">
        <v>5.0000000000000001E-3</v>
      </c>
      <c r="D649">
        <v>789</v>
      </c>
      <c r="E649" t="s">
        <v>60</v>
      </c>
      <c r="F649">
        <v>689</v>
      </c>
      <c r="G649" s="582" t="s">
        <v>10</v>
      </c>
      <c r="H649" s="582" t="s">
        <v>456</v>
      </c>
      <c r="I649" t="s">
        <v>687</v>
      </c>
      <c r="J649">
        <v>0.13</v>
      </c>
      <c r="K649" t="s">
        <v>2171</v>
      </c>
    </row>
    <row r="650" spans="1:11" hidden="1" x14ac:dyDescent="0.25">
      <c r="A650">
        <v>3768907</v>
      </c>
      <c r="B650" t="s">
        <v>655</v>
      </c>
      <c r="C650">
        <v>0.22220999999999999</v>
      </c>
      <c r="D650">
        <v>789</v>
      </c>
      <c r="E650" t="s">
        <v>39</v>
      </c>
      <c r="F650">
        <v>691</v>
      </c>
      <c r="G650" s="582" t="s">
        <v>10</v>
      </c>
      <c r="H650" s="582" t="s">
        <v>654</v>
      </c>
      <c r="I650" t="s">
        <v>656</v>
      </c>
      <c r="J650">
        <v>0.246</v>
      </c>
      <c r="K650" t="s">
        <v>2171</v>
      </c>
    </row>
    <row r="651" spans="1:11" hidden="1" x14ac:dyDescent="0.25">
      <c r="A651">
        <v>3768907</v>
      </c>
      <c r="B651" t="s">
        <v>655</v>
      </c>
      <c r="C651">
        <v>0.437666</v>
      </c>
      <c r="D651">
        <v>4731</v>
      </c>
      <c r="E651" t="s">
        <v>39</v>
      </c>
      <c r="F651">
        <v>1779</v>
      </c>
      <c r="G651" s="582" t="s">
        <v>10</v>
      </c>
      <c r="H651" s="582" t="s">
        <v>654</v>
      </c>
      <c r="I651" t="s">
        <v>656</v>
      </c>
      <c r="J651">
        <v>0.246</v>
      </c>
      <c r="K651" t="s">
        <v>2171</v>
      </c>
    </row>
    <row r="652" spans="1:11" hidden="1" x14ac:dyDescent="0.25">
      <c r="A652">
        <v>3768907</v>
      </c>
      <c r="B652" t="s">
        <v>655</v>
      </c>
      <c r="C652">
        <v>6.0467E-2</v>
      </c>
      <c r="D652">
        <v>4731</v>
      </c>
      <c r="E652" t="s">
        <v>39</v>
      </c>
      <c r="F652">
        <v>1780</v>
      </c>
      <c r="G652" s="582" t="s">
        <v>10</v>
      </c>
      <c r="H652" s="582" t="s">
        <v>654</v>
      </c>
      <c r="I652" t="s">
        <v>656</v>
      </c>
      <c r="J652">
        <v>0.246</v>
      </c>
      <c r="K652" t="s">
        <v>2171</v>
      </c>
    </row>
    <row r="653" spans="1:11" hidden="1" x14ac:dyDescent="0.25">
      <c r="A653">
        <v>3768907</v>
      </c>
      <c r="B653" t="s">
        <v>655</v>
      </c>
      <c r="C653">
        <v>6.0883E-2</v>
      </c>
      <c r="D653">
        <v>4731</v>
      </c>
      <c r="E653" t="s">
        <v>39</v>
      </c>
      <c r="F653">
        <v>1781</v>
      </c>
      <c r="G653" s="582" t="s">
        <v>10</v>
      </c>
      <c r="H653" s="582" t="s">
        <v>654</v>
      </c>
      <c r="I653" t="s">
        <v>656</v>
      </c>
      <c r="J653">
        <v>0.246</v>
      </c>
      <c r="K653" t="s">
        <v>2171</v>
      </c>
    </row>
    <row r="654" spans="1:11" hidden="1" x14ac:dyDescent="0.25">
      <c r="A654">
        <v>3768907</v>
      </c>
      <c r="B654" t="s">
        <v>655</v>
      </c>
      <c r="C654">
        <v>0.15223100000000001</v>
      </c>
      <c r="D654">
        <v>4731</v>
      </c>
      <c r="E654" t="s">
        <v>39</v>
      </c>
      <c r="F654">
        <v>1782</v>
      </c>
      <c r="G654" s="582" t="s">
        <v>10</v>
      </c>
      <c r="H654" s="582" t="s">
        <v>654</v>
      </c>
      <c r="I654" t="s">
        <v>656</v>
      </c>
      <c r="J654">
        <v>0.246</v>
      </c>
      <c r="K654" t="s">
        <v>2171</v>
      </c>
    </row>
    <row r="655" spans="1:11" hidden="1" x14ac:dyDescent="0.25">
      <c r="A655">
        <v>3938688</v>
      </c>
      <c r="B655" t="s">
        <v>2294</v>
      </c>
      <c r="C655">
        <v>2.2401999999999998E-2</v>
      </c>
      <c r="D655">
        <v>789</v>
      </c>
      <c r="E655" t="s">
        <v>60</v>
      </c>
      <c r="F655">
        <v>695</v>
      </c>
      <c r="G655" s="582" t="s">
        <v>10</v>
      </c>
      <c r="H655" s="582" t="s">
        <v>456</v>
      </c>
      <c r="I655" t="s">
        <v>2295</v>
      </c>
      <c r="J655">
        <v>9.5000000000000001E-2</v>
      </c>
      <c r="K655" t="s">
        <v>2171</v>
      </c>
    </row>
    <row r="656" spans="1:11" hidden="1" x14ac:dyDescent="0.25">
      <c r="A656">
        <v>4098594</v>
      </c>
      <c r="B656" t="s">
        <v>2296</v>
      </c>
      <c r="C656">
        <v>3.1199999999999999E-3</v>
      </c>
      <c r="D656">
        <v>789</v>
      </c>
      <c r="E656" t="s">
        <v>17</v>
      </c>
      <c r="F656">
        <v>698</v>
      </c>
      <c r="G656" s="582" t="s">
        <v>10</v>
      </c>
      <c r="H656" s="582" t="s">
        <v>748</v>
      </c>
      <c r="I656" t="s">
        <v>2297</v>
      </c>
      <c r="J656">
        <v>0.23</v>
      </c>
      <c r="K656" t="s">
        <v>2171</v>
      </c>
    </row>
    <row r="657" spans="1:11" hidden="1" x14ac:dyDescent="0.25">
      <c r="A657">
        <v>1940333</v>
      </c>
      <c r="B657" t="s">
        <v>2298</v>
      </c>
      <c r="C657">
        <v>0.34</v>
      </c>
      <c r="D657">
        <v>789</v>
      </c>
      <c r="E657" t="s">
        <v>37</v>
      </c>
      <c r="F657">
        <v>706</v>
      </c>
      <c r="G657" s="582" t="s">
        <v>33</v>
      </c>
      <c r="H657" s="582" t="s">
        <v>407</v>
      </c>
      <c r="I657" t="s">
        <v>2299</v>
      </c>
      <c r="J657">
        <v>6</v>
      </c>
      <c r="K657" t="s">
        <v>1838</v>
      </c>
    </row>
    <row r="658" spans="1:11" hidden="1" x14ac:dyDescent="0.25">
      <c r="A658">
        <v>1940333</v>
      </c>
      <c r="B658" t="s">
        <v>2298</v>
      </c>
      <c r="C658">
        <v>0.06</v>
      </c>
      <c r="D658">
        <v>789</v>
      </c>
      <c r="E658" t="s">
        <v>37</v>
      </c>
      <c r="F658">
        <v>707</v>
      </c>
      <c r="G658" s="582" t="s">
        <v>33</v>
      </c>
      <c r="H658" s="582" t="s">
        <v>407</v>
      </c>
      <c r="I658" t="s">
        <v>2299</v>
      </c>
      <c r="J658">
        <v>6</v>
      </c>
      <c r="K658" t="s">
        <v>1838</v>
      </c>
    </row>
    <row r="659" spans="1:11" hidden="1" x14ac:dyDescent="0.25">
      <c r="A659">
        <v>1940333</v>
      </c>
      <c r="B659" t="s">
        <v>2298</v>
      </c>
      <c r="C659">
        <v>0.20399999999999999</v>
      </c>
      <c r="D659">
        <v>789</v>
      </c>
      <c r="E659" t="s">
        <v>37</v>
      </c>
      <c r="F659">
        <v>708</v>
      </c>
      <c r="G659" s="582" t="s">
        <v>33</v>
      </c>
      <c r="H659" s="582" t="s">
        <v>407</v>
      </c>
      <c r="I659" t="s">
        <v>2299</v>
      </c>
      <c r="J659">
        <v>6</v>
      </c>
      <c r="K659" t="s">
        <v>1838</v>
      </c>
    </row>
    <row r="660" spans="1:11" hidden="1" x14ac:dyDescent="0.25">
      <c r="A660">
        <v>3507523</v>
      </c>
      <c r="B660" t="s">
        <v>2301</v>
      </c>
      <c r="C660">
        <v>6.0166999999999998E-2</v>
      </c>
      <c r="D660">
        <v>789</v>
      </c>
      <c r="E660" t="s">
        <v>61</v>
      </c>
      <c r="F660">
        <v>1281</v>
      </c>
      <c r="G660" s="582" t="s">
        <v>10</v>
      </c>
      <c r="H660" s="582" t="s">
        <v>407</v>
      </c>
      <c r="I660" t="s">
        <v>2302</v>
      </c>
      <c r="J660">
        <v>0.21</v>
      </c>
      <c r="K660" t="s">
        <v>2171</v>
      </c>
    </row>
    <row r="661" spans="1:11" hidden="1" x14ac:dyDescent="0.25">
      <c r="A661">
        <v>2431251</v>
      </c>
      <c r="B661" t="s">
        <v>2300</v>
      </c>
      <c r="C661">
        <v>2.71</v>
      </c>
      <c r="D661">
        <v>789</v>
      </c>
      <c r="E661" t="s">
        <v>37</v>
      </c>
      <c r="F661">
        <v>716</v>
      </c>
      <c r="G661" s="582" t="s">
        <v>33</v>
      </c>
      <c r="H661" s="582" t="s">
        <v>633</v>
      </c>
      <c r="I661" t="s">
        <v>782</v>
      </c>
      <c r="J661">
        <v>5.4</v>
      </c>
      <c r="K661" t="s">
        <v>1838</v>
      </c>
    </row>
    <row r="662" spans="1:11" hidden="1" x14ac:dyDescent="0.25">
      <c r="A662">
        <v>2431251</v>
      </c>
      <c r="B662" t="s">
        <v>2300</v>
      </c>
      <c r="C662">
        <v>1.345</v>
      </c>
      <c r="D662">
        <v>789</v>
      </c>
      <c r="E662" t="s">
        <v>37</v>
      </c>
      <c r="F662">
        <v>717</v>
      </c>
      <c r="G662" s="582" t="s">
        <v>33</v>
      </c>
      <c r="H662" s="582" t="s">
        <v>633</v>
      </c>
      <c r="I662" t="s">
        <v>782</v>
      </c>
      <c r="J662">
        <v>5.4</v>
      </c>
      <c r="K662" t="s">
        <v>1838</v>
      </c>
    </row>
    <row r="663" spans="1:11" hidden="1" x14ac:dyDescent="0.25">
      <c r="A663">
        <v>2431251</v>
      </c>
      <c r="B663" t="s">
        <v>2300</v>
      </c>
      <c r="C663">
        <v>0.32500000000000001</v>
      </c>
      <c r="D663">
        <v>789</v>
      </c>
      <c r="E663" t="s">
        <v>37</v>
      </c>
      <c r="F663">
        <v>718</v>
      </c>
      <c r="G663" s="582" t="s">
        <v>33</v>
      </c>
      <c r="H663" s="582" t="s">
        <v>633</v>
      </c>
      <c r="I663" t="s">
        <v>782</v>
      </c>
      <c r="J663">
        <v>5.4</v>
      </c>
      <c r="K663" t="s">
        <v>1838</v>
      </c>
    </row>
    <row r="664" spans="1:11" hidden="1" x14ac:dyDescent="0.25">
      <c r="A664">
        <v>1940309</v>
      </c>
      <c r="B664" t="s">
        <v>703</v>
      </c>
      <c r="C664">
        <v>0.70499999999999996</v>
      </c>
      <c r="D664">
        <v>789</v>
      </c>
      <c r="E664" t="s">
        <v>61</v>
      </c>
      <c r="F664">
        <v>1117</v>
      </c>
      <c r="G664" s="582" t="s">
        <v>10</v>
      </c>
      <c r="H664" s="582" t="s">
        <v>407</v>
      </c>
      <c r="I664" t="s">
        <v>704</v>
      </c>
      <c r="J664">
        <v>0.26500000000000001</v>
      </c>
      <c r="K664" t="s">
        <v>2171</v>
      </c>
    </row>
    <row r="665" spans="1:11" hidden="1" x14ac:dyDescent="0.25">
      <c r="A665">
        <v>1940309</v>
      </c>
      <c r="B665" t="s">
        <v>703</v>
      </c>
      <c r="C665">
        <v>0.69153999999999993</v>
      </c>
      <c r="D665">
        <v>789</v>
      </c>
      <c r="E665" t="s">
        <v>61</v>
      </c>
      <c r="F665">
        <v>1118</v>
      </c>
      <c r="G665" s="582" t="s">
        <v>10</v>
      </c>
      <c r="H665" s="582" t="s">
        <v>407</v>
      </c>
      <c r="I665" t="s">
        <v>704</v>
      </c>
      <c r="J665">
        <v>0.26500000000000001</v>
      </c>
      <c r="K665" t="s">
        <v>2171</v>
      </c>
    </row>
    <row r="666" spans="1:11" hidden="1" x14ac:dyDescent="0.25">
      <c r="A666">
        <v>1940309</v>
      </c>
      <c r="B666" t="s">
        <v>703</v>
      </c>
      <c r="C666">
        <v>0.42799999999999999</v>
      </c>
      <c r="D666">
        <v>789</v>
      </c>
      <c r="E666" t="s">
        <v>61</v>
      </c>
      <c r="F666">
        <v>1119</v>
      </c>
      <c r="G666" s="582" t="s">
        <v>10</v>
      </c>
      <c r="H666" s="582" t="s">
        <v>407</v>
      </c>
      <c r="I666" t="s">
        <v>704</v>
      </c>
      <c r="J666">
        <v>0.26500000000000001</v>
      </c>
      <c r="K666" t="s">
        <v>2171</v>
      </c>
    </row>
    <row r="667" spans="1:11" hidden="1" x14ac:dyDescent="0.25">
      <c r="A667">
        <v>3507718</v>
      </c>
      <c r="B667" t="s">
        <v>931</v>
      </c>
      <c r="C667">
        <v>5.7231999999999998E-2</v>
      </c>
      <c r="D667">
        <v>4731</v>
      </c>
      <c r="E667" t="s">
        <v>61</v>
      </c>
      <c r="F667">
        <v>1641</v>
      </c>
      <c r="G667" s="582" t="s">
        <v>10</v>
      </c>
      <c r="H667" s="582" t="s">
        <v>407</v>
      </c>
      <c r="I667" t="s">
        <v>704</v>
      </c>
      <c r="J667">
        <v>0.26500000000000001</v>
      </c>
      <c r="K667" t="s">
        <v>2171</v>
      </c>
    </row>
    <row r="668" spans="1:11" hidden="1" x14ac:dyDescent="0.25">
      <c r="A668">
        <v>3572047</v>
      </c>
      <c r="B668" t="s">
        <v>492</v>
      </c>
      <c r="C668">
        <v>1.8649999999999999E-3</v>
      </c>
      <c r="D668">
        <v>789</v>
      </c>
      <c r="E668" t="s">
        <v>60</v>
      </c>
      <c r="F668">
        <v>732</v>
      </c>
      <c r="G668" s="582" t="s">
        <v>10</v>
      </c>
      <c r="H668" s="582" t="s">
        <v>456</v>
      </c>
      <c r="I668" t="s">
        <v>493</v>
      </c>
      <c r="J668">
        <v>0.11</v>
      </c>
      <c r="K668" t="s">
        <v>2171</v>
      </c>
    </row>
    <row r="669" spans="1:11" hidden="1" x14ac:dyDescent="0.25">
      <c r="A669">
        <v>3572047</v>
      </c>
      <c r="B669" t="s">
        <v>492</v>
      </c>
      <c r="C669">
        <v>0.39500000000000002</v>
      </c>
      <c r="D669">
        <v>789</v>
      </c>
      <c r="E669" t="s">
        <v>60</v>
      </c>
      <c r="F669">
        <v>733</v>
      </c>
      <c r="G669" s="582" t="s">
        <v>10</v>
      </c>
      <c r="H669" s="582" t="s">
        <v>456</v>
      </c>
      <c r="I669" t="s">
        <v>493</v>
      </c>
      <c r="J669">
        <v>0.11</v>
      </c>
      <c r="K669" t="s">
        <v>2171</v>
      </c>
    </row>
    <row r="670" spans="1:11" hidden="1" x14ac:dyDescent="0.25">
      <c r="A670">
        <v>3677062</v>
      </c>
      <c r="B670" t="s">
        <v>713</v>
      </c>
      <c r="C670">
        <v>2.648E-2</v>
      </c>
      <c r="D670">
        <v>789</v>
      </c>
      <c r="E670" t="s">
        <v>151</v>
      </c>
      <c r="F670">
        <v>738</v>
      </c>
      <c r="G670" s="582" t="s">
        <v>10</v>
      </c>
      <c r="H670" s="582" t="s">
        <v>712</v>
      </c>
      <c r="I670" t="s">
        <v>714</v>
      </c>
      <c r="J670">
        <v>0.19600000000000001</v>
      </c>
      <c r="K670" t="s">
        <v>2171</v>
      </c>
    </row>
    <row r="671" spans="1:11" hidden="1" x14ac:dyDescent="0.25">
      <c r="A671">
        <v>3781637</v>
      </c>
      <c r="B671" t="s">
        <v>5292</v>
      </c>
      <c r="C671">
        <v>0.28138000000000002</v>
      </c>
      <c r="D671">
        <v>4731</v>
      </c>
      <c r="E671" t="s">
        <v>61</v>
      </c>
      <c r="F671">
        <v>1842</v>
      </c>
      <c r="G671" s="582" t="s">
        <v>10</v>
      </c>
      <c r="H671" s="582" t="s">
        <v>407</v>
      </c>
      <c r="I671" t="s">
        <v>411</v>
      </c>
      <c r="J671">
        <v>0.29499999999999998</v>
      </c>
      <c r="K671" t="s">
        <v>2171</v>
      </c>
    </row>
    <row r="672" spans="1:11" hidden="1" x14ac:dyDescent="0.25">
      <c r="A672">
        <v>3781637</v>
      </c>
      <c r="B672" t="s">
        <v>5292</v>
      </c>
      <c r="C672">
        <v>0.30313600000000002</v>
      </c>
      <c r="D672">
        <v>4731</v>
      </c>
      <c r="E672" t="s">
        <v>61</v>
      </c>
      <c r="F672">
        <v>1843</v>
      </c>
      <c r="G672" s="582" t="s">
        <v>10</v>
      </c>
      <c r="H672" s="582" t="s">
        <v>407</v>
      </c>
      <c r="I672" t="s">
        <v>411</v>
      </c>
      <c r="J672">
        <v>0.29499999999999998</v>
      </c>
      <c r="K672" t="s">
        <v>2171</v>
      </c>
    </row>
    <row r="673" spans="1:11" hidden="1" x14ac:dyDescent="0.25">
      <c r="A673">
        <v>3781637</v>
      </c>
      <c r="B673" t="s">
        <v>5292</v>
      </c>
      <c r="C673">
        <v>2.840903</v>
      </c>
      <c r="D673">
        <v>4731</v>
      </c>
      <c r="E673" t="s">
        <v>61</v>
      </c>
      <c r="F673">
        <v>1844</v>
      </c>
      <c r="G673" s="582" t="s">
        <v>10</v>
      </c>
      <c r="H673" s="582" t="s">
        <v>407</v>
      </c>
      <c r="I673" t="s">
        <v>411</v>
      </c>
      <c r="J673">
        <v>0.29499999999999998</v>
      </c>
      <c r="K673" t="s">
        <v>2171</v>
      </c>
    </row>
    <row r="674" spans="1:11" hidden="1" x14ac:dyDescent="0.25">
      <c r="A674">
        <v>1940312</v>
      </c>
      <c r="B674" t="s">
        <v>410</v>
      </c>
      <c r="C674">
        <v>0.46300000000000002</v>
      </c>
      <c r="D674">
        <v>789</v>
      </c>
      <c r="E674" t="s">
        <v>61</v>
      </c>
      <c r="F674">
        <v>1153</v>
      </c>
      <c r="G674" s="582" t="s">
        <v>10</v>
      </c>
      <c r="H674" s="582" t="s">
        <v>407</v>
      </c>
      <c r="I674" t="s">
        <v>411</v>
      </c>
      <c r="J674">
        <v>0.29499999999999998</v>
      </c>
      <c r="K674" t="s">
        <v>2171</v>
      </c>
    </row>
    <row r="675" spans="1:11" hidden="1" x14ac:dyDescent="0.25">
      <c r="A675">
        <v>1940312</v>
      </c>
      <c r="B675" t="s">
        <v>410</v>
      </c>
      <c r="C675">
        <v>0.62103999999999993</v>
      </c>
      <c r="D675">
        <v>789</v>
      </c>
      <c r="E675" t="s">
        <v>61</v>
      </c>
      <c r="F675">
        <v>1154</v>
      </c>
      <c r="G675" s="582" t="s">
        <v>10</v>
      </c>
      <c r="H675" s="582" t="s">
        <v>407</v>
      </c>
      <c r="I675" t="s">
        <v>411</v>
      </c>
      <c r="J675">
        <v>0.29499999999999998</v>
      </c>
      <c r="K675" t="s">
        <v>2171</v>
      </c>
    </row>
    <row r="676" spans="1:11" hidden="1" x14ac:dyDescent="0.25">
      <c r="A676">
        <v>1940312</v>
      </c>
      <c r="B676" t="s">
        <v>410</v>
      </c>
      <c r="C676">
        <v>0.49099999999999999</v>
      </c>
      <c r="D676">
        <v>789</v>
      </c>
      <c r="E676" t="s">
        <v>61</v>
      </c>
      <c r="F676">
        <v>1155</v>
      </c>
      <c r="G676" s="582" t="s">
        <v>10</v>
      </c>
      <c r="H676" s="582" t="s">
        <v>407</v>
      </c>
      <c r="I676" t="s">
        <v>411</v>
      </c>
      <c r="J676">
        <v>0.29499999999999998</v>
      </c>
      <c r="K676" t="s">
        <v>2171</v>
      </c>
    </row>
    <row r="677" spans="1:11" hidden="1" x14ac:dyDescent="0.25">
      <c r="A677">
        <v>1940312</v>
      </c>
      <c r="B677" t="s">
        <v>410</v>
      </c>
      <c r="C677">
        <v>0.308</v>
      </c>
      <c r="D677">
        <v>789</v>
      </c>
      <c r="E677" t="s">
        <v>61</v>
      </c>
      <c r="F677">
        <v>1156</v>
      </c>
      <c r="G677" s="582" t="s">
        <v>10</v>
      </c>
      <c r="H677" s="582" t="s">
        <v>407</v>
      </c>
      <c r="I677" t="s">
        <v>411</v>
      </c>
      <c r="J677">
        <v>0.29499999999999998</v>
      </c>
      <c r="K677" t="s">
        <v>2171</v>
      </c>
    </row>
    <row r="678" spans="1:11" hidden="1" x14ac:dyDescent="0.25">
      <c r="A678">
        <v>1940312</v>
      </c>
      <c r="B678" t="s">
        <v>410</v>
      </c>
      <c r="C678">
        <v>0.18099999999999999</v>
      </c>
      <c r="D678">
        <v>789</v>
      </c>
      <c r="E678" t="s">
        <v>61</v>
      </c>
      <c r="F678">
        <v>1157</v>
      </c>
      <c r="G678" s="582" t="s">
        <v>10</v>
      </c>
      <c r="H678" s="582" t="s">
        <v>407</v>
      </c>
      <c r="I678" t="s">
        <v>411</v>
      </c>
      <c r="J678">
        <v>0.29499999999999998</v>
      </c>
      <c r="K678" t="s">
        <v>2171</v>
      </c>
    </row>
    <row r="679" spans="1:11" hidden="1" x14ac:dyDescent="0.25">
      <c r="A679">
        <v>1940312</v>
      </c>
      <c r="B679" t="s">
        <v>410</v>
      </c>
      <c r="C679">
        <v>1.591742</v>
      </c>
      <c r="D679">
        <v>4731</v>
      </c>
      <c r="E679" t="s">
        <v>61</v>
      </c>
      <c r="F679">
        <v>1961</v>
      </c>
      <c r="G679" s="582" t="s">
        <v>10</v>
      </c>
      <c r="H679" s="582" t="s">
        <v>407</v>
      </c>
      <c r="I679" t="s">
        <v>411</v>
      </c>
      <c r="J679">
        <v>0.29499999999999998</v>
      </c>
      <c r="K679" t="s">
        <v>2171</v>
      </c>
    </row>
    <row r="680" spans="1:11" hidden="1" x14ac:dyDescent="0.25">
      <c r="A680">
        <v>1940312</v>
      </c>
      <c r="B680" t="s">
        <v>410</v>
      </c>
      <c r="C680">
        <v>0.29665800000000003</v>
      </c>
      <c r="D680">
        <v>4731</v>
      </c>
      <c r="E680" t="s">
        <v>61</v>
      </c>
      <c r="F680">
        <v>1962</v>
      </c>
      <c r="G680" s="582" t="s">
        <v>10</v>
      </c>
      <c r="H680" s="582" t="s">
        <v>407</v>
      </c>
      <c r="I680" t="s">
        <v>411</v>
      </c>
      <c r="J680">
        <v>0.29499999999999998</v>
      </c>
      <c r="K680" t="s">
        <v>2171</v>
      </c>
    </row>
    <row r="681" spans="1:11" hidden="1" x14ac:dyDescent="0.25">
      <c r="A681">
        <v>1940312</v>
      </c>
      <c r="B681" t="s">
        <v>410</v>
      </c>
      <c r="C681">
        <v>0.72762099999999996</v>
      </c>
      <c r="D681">
        <v>4731</v>
      </c>
      <c r="E681" t="s">
        <v>61</v>
      </c>
      <c r="F681">
        <v>1963</v>
      </c>
      <c r="G681" s="582" t="s">
        <v>10</v>
      </c>
      <c r="H681" s="582" t="s">
        <v>407</v>
      </c>
      <c r="I681" t="s">
        <v>411</v>
      </c>
      <c r="J681">
        <v>0.29499999999999998</v>
      </c>
      <c r="K681" t="s">
        <v>2171</v>
      </c>
    </row>
    <row r="682" spans="1:11" hidden="1" x14ac:dyDescent="0.25">
      <c r="A682">
        <v>1940312</v>
      </c>
      <c r="B682" t="s">
        <v>410</v>
      </c>
      <c r="C682">
        <v>0.62028399999999995</v>
      </c>
      <c r="D682">
        <v>4731</v>
      </c>
      <c r="E682" t="s">
        <v>61</v>
      </c>
      <c r="F682">
        <v>1964</v>
      </c>
      <c r="G682" s="582" t="s">
        <v>10</v>
      </c>
      <c r="H682" s="582" t="s">
        <v>407</v>
      </c>
      <c r="I682" t="s">
        <v>411</v>
      </c>
      <c r="J682">
        <v>0.29499999999999998</v>
      </c>
      <c r="K682" t="s">
        <v>2171</v>
      </c>
    </row>
    <row r="683" spans="1:11" hidden="1" x14ac:dyDescent="0.25">
      <c r="A683">
        <v>1940312</v>
      </c>
      <c r="B683" t="s">
        <v>410</v>
      </c>
      <c r="C683">
        <v>0.123695</v>
      </c>
      <c r="D683">
        <v>4731</v>
      </c>
      <c r="E683" t="s">
        <v>61</v>
      </c>
      <c r="F683">
        <v>1965</v>
      </c>
      <c r="G683" s="582" t="s">
        <v>10</v>
      </c>
      <c r="H683" s="582" t="s">
        <v>407</v>
      </c>
      <c r="I683" t="s">
        <v>411</v>
      </c>
      <c r="J683">
        <v>0.29499999999999998</v>
      </c>
      <c r="K683" t="s">
        <v>2171</v>
      </c>
    </row>
    <row r="684" spans="1:11" hidden="1" x14ac:dyDescent="0.25">
      <c r="A684">
        <v>3781649</v>
      </c>
      <c r="B684" t="s">
        <v>569</v>
      </c>
      <c r="C684">
        <v>0.26800000000000002</v>
      </c>
      <c r="D684">
        <v>789</v>
      </c>
      <c r="E684" t="s">
        <v>19</v>
      </c>
      <c r="F684">
        <v>743</v>
      </c>
      <c r="G684" s="582" t="s">
        <v>10</v>
      </c>
      <c r="H684" s="582" t="s">
        <v>568</v>
      </c>
      <c r="I684" t="s">
        <v>570</v>
      </c>
      <c r="J684">
        <v>0.64100000000000001</v>
      </c>
      <c r="K684" t="s">
        <v>2171</v>
      </c>
    </row>
    <row r="685" spans="1:11" hidden="1" x14ac:dyDescent="0.25">
      <c r="A685">
        <v>3781649</v>
      </c>
      <c r="B685" t="s">
        <v>569</v>
      </c>
      <c r="C685">
        <v>3.0599999999999998E-3</v>
      </c>
      <c r="D685">
        <v>789</v>
      </c>
      <c r="E685" t="s">
        <v>19</v>
      </c>
      <c r="F685">
        <v>933</v>
      </c>
      <c r="G685" s="582" t="s">
        <v>10</v>
      </c>
      <c r="H685" s="582" t="s">
        <v>568</v>
      </c>
      <c r="I685" t="s">
        <v>570</v>
      </c>
      <c r="J685">
        <v>0.64100000000000001</v>
      </c>
      <c r="K685" t="s">
        <v>2171</v>
      </c>
    </row>
    <row r="686" spans="1:11" hidden="1" x14ac:dyDescent="0.25">
      <c r="A686">
        <v>3781649</v>
      </c>
      <c r="B686" t="s">
        <v>569</v>
      </c>
      <c r="C686">
        <v>1.8799999999999999E-3</v>
      </c>
      <c r="D686">
        <v>789</v>
      </c>
      <c r="E686" t="s">
        <v>19</v>
      </c>
      <c r="F686">
        <v>934</v>
      </c>
      <c r="G686" s="582" t="s">
        <v>10</v>
      </c>
      <c r="H686" s="582" t="s">
        <v>568</v>
      </c>
      <c r="I686" t="s">
        <v>570</v>
      </c>
      <c r="J686">
        <v>0.64100000000000001</v>
      </c>
      <c r="K686" t="s">
        <v>2171</v>
      </c>
    </row>
    <row r="687" spans="1:11" hidden="1" x14ac:dyDescent="0.25">
      <c r="A687">
        <v>3781649</v>
      </c>
      <c r="B687" t="s">
        <v>569</v>
      </c>
      <c r="C687">
        <v>1.903</v>
      </c>
      <c r="D687">
        <v>789</v>
      </c>
      <c r="E687" t="s">
        <v>19</v>
      </c>
      <c r="F687">
        <v>935</v>
      </c>
      <c r="G687" s="582" t="s">
        <v>10</v>
      </c>
      <c r="H687" s="582" t="s">
        <v>568</v>
      </c>
      <c r="I687" t="s">
        <v>570</v>
      </c>
      <c r="J687">
        <v>0.64100000000000001</v>
      </c>
      <c r="K687" t="s">
        <v>2171</v>
      </c>
    </row>
    <row r="688" spans="1:11" hidden="1" x14ac:dyDescent="0.25">
      <c r="A688">
        <v>3781649</v>
      </c>
      <c r="B688" t="s">
        <v>569</v>
      </c>
      <c r="C688">
        <v>2.39</v>
      </c>
      <c r="D688">
        <v>789</v>
      </c>
      <c r="E688" t="s">
        <v>19</v>
      </c>
      <c r="F688">
        <v>936</v>
      </c>
      <c r="G688" s="582" t="s">
        <v>10</v>
      </c>
      <c r="H688" s="582" t="s">
        <v>568</v>
      </c>
      <c r="I688" t="s">
        <v>570</v>
      </c>
      <c r="J688">
        <v>0.64100000000000001</v>
      </c>
      <c r="K688" t="s">
        <v>2171</v>
      </c>
    </row>
    <row r="689" spans="1:11" hidden="1" x14ac:dyDescent="0.25">
      <c r="A689">
        <v>3781649</v>
      </c>
      <c r="B689" t="s">
        <v>569</v>
      </c>
      <c r="C689">
        <v>2.4140000000000001</v>
      </c>
      <c r="D689">
        <v>789</v>
      </c>
      <c r="E689" t="s">
        <v>19</v>
      </c>
      <c r="F689">
        <v>937</v>
      </c>
      <c r="G689" s="582" t="s">
        <v>10</v>
      </c>
      <c r="H689" s="582" t="s">
        <v>568</v>
      </c>
      <c r="I689" t="s">
        <v>570</v>
      </c>
      <c r="J689">
        <v>0.64100000000000001</v>
      </c>
      <c r="K689" t="s">
        <v>2171</v>
      </c>
    </row>
    <row r="690" spans="1:11" hidden="1" x14ac:dyDescent="0.25">
      <c r="A690">
        <v>3781649</v>
      </c>
      <c r="B690" t="s">
        <v>569</v>
      </c>
      <c r="C690">
        <v>2.5270000000000001</v>
      </c>
      <c r="D690">
        <v>789</v>
      </c>
      <c r="E690" t="s">
        <v>19</v>
      </c>
      <c r="F690">
        <v>938</v>
      </c>
      <c r="G690" s="582" t="s">
        <v>10</v>
      </c>
      <c r="H690" s="582" t="s">
        <v>568</v>
      </c>
      <c r="I690" t="s">
        <v>570</v>
      </c>
      <c r="J690">
        <v>0.64100000000000001</v>
      </c>
      <c r="K690" t="s">
        <v>2171</v>
      </c>
    </row>
    <row r="691" spans="1:11" hidden="1" x14ac:dyDescent="0.25">
      <c r="A691">
        <v>3781649</v>
      </c>
      <c r="B691" t="s">
        <v>569</v>
      </c>
      <c r="C691">
        <v>2.5209999999999999</v>
      </c>
      <c r="D691">
        <v>789</v>
      </c>
      <c r="E691" t="s">
        <v>19</v>
      </c>
      <c r="F691">
        <v>939</v>
      </c>
      <c r="G691" s="582" t="s">
        <v>10</v>
      </c>
      <c r="H691" s="582" t="s">
        <v>568</v>
      </c>
      <c r="I691" t="s">
        <v>570</v>
      </c>
      <c r="J691">
        <v>0.64100000000000001</v>
      </c>
      <c r="K691" t="s">
        <v>2171</v>
      </c>
    </row>
    <row r="692" spans="1:11" hidden="1" x14ac:dyDescent="0.25">
      <c r="A692">
        <v>3781649</v>
      </c>
      <c r="B692" t="s">
        <v>569</v>
      </c>
      <c r="C692">
        <v>2.141</v>
      </c>
      <c r="D692">
        <v>789</v>
      </c>
      <c r="E692" t="s">
        <v>19</v>
      </c>
      <c r="F692">
        <v>940</v>
      </c>
      <c r="G692" s="582" t="s">
        <v>10</v>
      </c>
      <c r="H692" s="582" t="s">
        <v>568</v>
      </c>
      <c r="I692" t="s">
        <v>570</v>
      </c>
      <c r="J692">
        <v>0.64100000000000001</v>
      </c>
      <c r="K692" t="s">
        <v>2171</v>
      </c>
    </row>
    <row r="693" spans="1:11" hidden="1" x14ac:dyDescent="0.25">
      <c r="A693">
        <v>3781649</v>
      </c>
      <c r="B693" t="s">
        <v>569</v>
      </c>
      <c r="C693">
        <v>1.748</v>
      </c>
      <c r="D693">
        <v>789</v>
      </c>
      <c r="E693" t="s">
        <v>19</v>
      </c>
      <c r="F693">
        <v>941</v>
      </c>
      <c r="G693" s="582" t="s">
        <v>10</v>
      </c>
      <c r="H693" s="582" t="s">
        <v>568</v>
      </c>
      <c r="I693" t="s">
        <v>570</v>
      </c>
      <c r="J693">
        <v>0.64100000000000001</v>
      </c>
      <c r="K693" t="s">
        <v>2171</v>
      </c>
    </row>
    <row r="694" spans="1:11" hidden="1" x14ac:dyDescent="0.25">
      <c r="A694">
        <v>3781649</v>
      </c>
      <c r="B694" t="s">
        <v>569</v>
      </c>
      <c r="C694">
        <v>0.26800000000000002</v>
      </c>
      <c r="D694">
        <v>789</v>
      </c>
      <c r="E694" t="s">
        <v>19</v>
      </c>
      <c r="F694">
        <v>942</v>
      </c>
      <c r="G694" s="582" t="s">
        <v>10</v>
      </c>
      <c r="H694" s="582" t="s">
        <v>568</v>
      </c>
      <c r="I694" t="s">
        <v>570</v>
      </c>
      <c r="J694">
        <v>0.64100000000000001</v>
      </c>
      <c r="K694" t="s">
        <v>2171</v>
      </c>
    </row>
    <row r="695" spans="1:11" hidden="1" x14ac:dyDescent="0.25">
      <c r="A695">
        <v>3781649</v>
      </c>
      <c r="B695" t="s">
        <v>569</v>
      </c>
      <c r="C695">
        <v>0.26800000000000002</v>
      </c>
      <c r="D695">
        <v>789</v>
      </c>
      <c r="E695" t="s">
        <v>19</v>
      </c>
      <c r="F695">
        <v>943</v>
      </c>
      <c r="G695" s="582" t="s">
        <v>10</v>
      </c>
      <c r="H695" s="582" t="s">
        <v>568</v>
      </c>
      <c r="I695" t="s">
        <v>570</v>
      </c>
      <c r="J695">
        <v>0.64100000000000001</v>
      </c>
      <c r="K695" t="s">
        <v>2171</v>
      </c>
    </row>
    <row r="696" spans="1:11" hidden="1" x14ac:dyDescent="0.25">
      <c r="A696">
        <v>3781649</v>
      </c>
      <c r="B696" t="s">
        <v>569</v>
      </c>
      <c r="C696">
        <v>1.522</v>
      </c>
      <c r="D696">
        <v>789</v>
      </c>
      <c r="E696" t="s">
        <v>19</v>
      </c>
      <c r="F696">
        <v>944</v>
      </c>
      <c r="G696" s="582" t="s">
        <v>10</v>
      </c>
      <c r="H696" s="582" t="s">
        <v>568</v>
      </c>
      <c r="I696" t="s">
        <v>570</v>
      </c>
      <c r="J696">
        <v>0.64100000000000001</v>
      </c>
      <c r="K696" t="s">
        <v>2171</v>
      </c>
    </row>
    <row r="697" spans="1:11" hidden="1" x14ac:dyDescent="0.25">
      <c r="A697">
        <v>3786201</v>
      </c>
      <c r="B697" t="s">
        <v>429</v>
      </c>
      <c r="C697">
        <v>8.5419999999999992E-3</v>
      </c>
      <c r="D697">
        <v>789</v>
      </c>
      <c r="E697" t="s">
        <v>30</v>
      </c>
      <c r="F697">
        <v>745</v>
      </c>
      <c r="G697" s="582" t="s">
        <v>10</v>
      </c>
      <c r="H697" s="582" t="s">
        <v>428</v>
      </c>
      <c r="I697" t="s">
        <v>430</v>
      </c>
      <c r="J697">
        <v>0.53800000000000003</v>
      </c>
      <c r="K697" t="s">
        <v>2171</v>
      </c>
    </row>
    <row r="698" spans="1:11" hidden="1" x14ac:dyDescent="0.25">
      <c r="A698">
        <v>3910649</v>
      </c>
      <c r="B698" t="s">
        <v>773</v>
      </c>
      <c r="C698">
        <v>0.01</v>
      </c>
      <c r="D698">
        <v>789</v>
      </c>
      <c r="E698" t="s">
        <v>53</v>
      </c>
      <c r="F698">
        <v>747</v>
      </c>
      <c r="G698" s="582" t="s">
        <v>10</v>
      </c>
      <c r="H698" s="582" t="s">
        <v>770</v>
      </c>
      <c r="I698" t="s">
        <v>774</v>
      </c>
      <c r="J698">
        <v>0.86299999999999999</v>
      </c>
      <c r="K698" t="s">
        <v>2171</v>
      </c>
    </row>
    <row r="699" spans="1:11" hidden="1" x14ac:dyDescent="0.25">
      <c r="A699">
        <v>3910649</v>
      </c>
      <c r="B699" t="s">
        <v>773</v>
      </c>
      <c r="C699">
        <v>0.01</v>
      </c>
      <c r="D699">
        <v>789</v>
      </c>
      <c r="E699" t="s">
        <v>53</v>
      </c>
      <c r="F699">
        <v>748</v>
      </c>
      <c r="G699" s="582" t="s">
        <v>10</v>
      </c>
      <c r="H699" s="582" t="s">
        <v>770</v>
      </c>
      <c r="I699" t="s">
        <v>774</v>
      </c>
      <c r="J699">
        <v>0.86299999999999999</v>
      </c>
      <c r="K699" t="s">
        <v>2171</v>
      </c>
    </row>
    <row r="700" spans="1:11" hidden="1" x14ac:dyDescent="0.25">
      <c r="A700">
        <v>1940318</v>
      </c>
      <c r="B700" t="s">
        <v>710</v>
      </c>
      <c r="C700">
        <v>9.0399999999999996E-4</v>
      </c>
      <c r="D700">
        <v>789</v>
      </c>
      <c r="E700" t="s">
        <v>151</v>
      </c>
      <c r="F700">
        <v>913</v>
      </c>
      <c r="G700" s="582" t="s">
        <v>10</v>
      </c>
      <c r="H700" s="582" t="s">
        <v>407</v>
      </c>
      <c r="I700" t="s">
        <v>711</v>
      </c>
      <c r="J700">
        <v>0.39400000000000002</v>
      </c>
      <c r="K700" t="s">
        <v>2171</v>
      </c>
    </row>
    <row r="701" spans="1:11" hidden="1" x14ac:dyDescent="0.25">
      <c r="A701">
        <v>1940318</v>
      </c>
      <c r="B701" t="s">
        <v>710</v>
      </c>
      <c r="C701">
        <v>2E-3</v>
      </c>
      <c r="D701">
        <v>789</v>
      </c>
      <c r="E701" t="s">
        <v>151</v>
      </c>
      <c r="F701">
        <v>914</v>
      </c>
      <c r="G701" s="582" t="s">
        <v>10</v>
      </c>
      <c r="H701" s="582" t="s">
        <v>407</v>
      </c>
      <c r="I701" t="s">
        <v>711</v>
      </c>
      <c r="J701">
        <v>0.39400000000000002</v>
      </c>
      <c r="K701" t="s">
        <v>2171</v>
      </c>
    </row>
    <row r="702" spans="1:11" hidden="1" x14ac:dyDescent="0.25">
      <c r="A702">
        <v>4228296</v>
      </c>
      <c r="B702" t="s">
        <v>646</v>
      </c>
      <c r="C702">
        <v>4.3393999999999995E-2</v>
      </c>
      <c r="D702">
        <v>789</v>
      </c>
      <c r="E702" t="s">
        <v>180</v>
      </c>
      <c r="F702">
        <v>749</v>
      </c>
      <c r="G702" s="582" t="s">
        <v>10</v>
      </c>
      <c r="H702" s="582" t="s">
        <v>645</v>
      </c>
      <c r="I702" t="s">
        <v>647</v>
      </c>
      <c r="J702">
        <v>0.86499999999999999</v>
      </c>
      <c r="K702" t="s">
        <v>2171</v>
      </c>
    </row>
    <row r="703" spans="1:11" hidden="1" x14ac:dyDescent="0.25">
      <c r="A703">
        <v>1940399</v>
      </c>
      <c r="B703" t="s">
        <v>598</v>
      </c>
      <c r="C703">
        <v>2.4063999999999999E-2</v>
      </c>
      <c r="D703">
        <v>789</v>
      </c>
      <c r="E703" t="s">
        <v>78</v>
      </c>
      <c r="F703">
        <v>762</v>
      </c>
      <c r="G703" s="582" t="s">
        <v>10</v>
      </c>
      <c r="H703" s="582" t="s">
        <v>412</v>
      </c>
      <c r="I703" t="s">
        <v>599</v>
      </c>
      <c r="J703">
        <v>0.40100000000000002</v>
      </c>
      <c r="K703" t="s">
        <v>2171</v>
      </c>
    </row>
    <row r="704" spans="1:11" hidden="1" x14ac:dyDescent="0.25">
      <c r="A704">
        <v>1940614</v>
      </c>
      <c r="B704" t="s">
        <v>693</v>
      </c>
      <c r="C704">
        <v>2.5950000000000001E-3</v>
      </c>
      <c r="D704">
        <v>789</v>
      </c>
      <c r="E704" t="s">
        <v>52</v>
      </c>
      <c r="F704">
        <v>763</v>
      </c>
      <c r="G704" s="582" t="s">
        <v>10</v>
      </c>
      <c r="H704" s="582" t="s">
        <v>692</v>
      </c>
      <c r="I704" t="s">
        <v>694</v>
      </c>
      <c r="J704">
        <v>0.59499999999999997</v>
      </c>
      <c r="K704" t="s">
        <v>2171</v>
      </c>
    </row>
    <row r="705" spans="1:11" hidden="1" x14ac:dyDescent="0.25">
      <c r="A705">
        <v>1940614</v>
      </c>
      <c r="B705" t="s">
        <v>693</v>
      </c>
      <c r="C705">
        <v>7.2345000000000007E-2</v>
      </c>
      <c r="D705">
        <v>4731</v>
      </c>
      <c r="E705" t="s">
        <v>52</v>
      </c>
      <c r="F705">
        <v>1336</v>
      </c>
      <c r="G705" s="582" t="s">
        <v>10</v>
      </c>
      <c r="H705" s="582" t="s">
        <v>692</v>
      </c>
      <c r="I705" t="s">
        <v>694</v>
      </c>
      <c r="J705">
        <v>0.59499999999999997</v>
      </c>
      <c r="K705" t="s">
        <v>2171</v>
      </c>
    </row>
    <row r="706" spans="1:11" hidden="1" x14ac:dyDescent="0.25">
      <c r="A706">
        <v>1940614</v>
      </c>
      <c r="B706" t="s">
        <v>693</v>
      </c>
      <c r="C706">
        <v>0.13009700000000002</v>
      </c>
      <c r="D706">
        <v>4731</v>
      </c>
      <c r="E706" t="s">
        <v>52</v>
      </c>
      <c r="F706">
        <v>1337</v>
      </c>
      <c r="G706" s="582" t="s">
        <v>10</v>
      </c>
      <c r="H706" s="582" t="s">
        <v>692</v>
      </c>
      <c r="I706" t="s">
        <v>694</v>
      </c>
      <c r="J706">
        <v>0.59499999999999997</v>
      </c>
      <c r="K706" t="s">
        <v>2171</v>
      </c>
    </row>
    <row r="707" spans="1:11" hidden="1" x14ac:dyDescent="0.25">
      <c r="A707">
        <v>1940325</v>
      </c>
      <c r="B707" t="s">
        <v>715</v>
      </c>
      <c r="C707">
        <v>0.37309999999999999</v>
      </c>
      <c r="D707">
        <v>789</v>
      </c>
      <c r="E707" t="s">
        <v>61</v>
      </c>
      <c r="F707">
        <v>1167</v>
      </c>
      <c r="G707" s="582" t="s">
        <v>10</v>
      </c>
      <c r="H707" s="582" t="s">
        <v>407</v>
      </c>
      <c r="I707" t="s">
        <v>716</v>
      </c>
      <c r="J707">
        <v>0.56999999999999995</v>
      </c>
      <c r="K707" t="s">
        <v>2171</v>
      </c>
    </row>
    <row r="708" spans="1:11" hidden="1" x14ac:dyDescent="0.25">
      <c r="A708">
        <v>3507077</v>
      </c>
      <c r="B708" t="s">
        <v>717</v>
      </c>
      <c r="C708">
        <v>0.39394299999999999</v>
      </c>
      <c r="D708">
        <v>4731</v>
      </c>
      <c r="E708" t="s">
        <v>61</v>
      </c>
      <c r="F708">
        <v>1640</v>
      </c>
      <c r="G708" s="582" t="s">
        <v>10</v>
      </c>
      <c r="H708" s="582" t="s">
        <v>407</v>
      </c>
      <c r="I708" t="s">
        <v>716</v>
      </c>
      <c r="J708">
        <v>0.56999999999999995</v>
      </c>
      <c r="K708" t="s">
        <v>2171</v>
      </c>
    </row>
    <row r="709" spans="1:11" hidden="1" x14ac:dyDescent="0.25">
      <c r="A709">
        <v>1940831</v>
      </c>
      <c r="B709" t="s">
        <v>657</v>
      </c>
      <c r="C709">
        <v>9.8168000000000005E-2</v>
      </c>
      <c r="D709">
        <v>789</v>
      </c>
      <c r="E709" t="s">
        <v>39</v>
      </c>
      <c r="F709">
        <v>766</v>
      </c>
      <c r="G709" s="582" t="s">
        <v>10</v>
      </c>
      <c r="H709" s="582" t="s">
        <v>586</v>
      </c>
      <c r="I709" t="s">
        <v>658</v>
      </c>
      <c r="J709">
        <v>0.88</v>
      </c>
      <c r="K709" t="s">
        <v>2171</v>
      </c>
    </row>
    <row r="710" spans="1:11" hidden="1" x14ac:dyDescent="0.25">
      <c r="A710">
        <v>3508521</v>
      </c>
      <c r="B710" t="s">
        <v>721</v>
      </c>
      <c r="C710">
        <v>5.2977000000000003E-2</v>
      </c>
      <c r="D710">
        <v>4731</v>
      </c>
      <c r="E710" t="s">
        <v>61</v>
      </c>
      <c r="F710">
        <v>1644</v>
      </c>
      <c r="G710" s="582" t="s">
        <v>10</v>
      </c>
      <c r="H710" s="582" t="s">
        <v>407</v>
      </c>
      <c r="I710" t="s">
        <v>722</v>
      </c>
      <c r="J710">
        <v>0.61</v>
      </c>
      <c r="K710" t="s">
        <v>2171</v>
      </c>
    </row>
    <row r="711" spans="1:11" hidden="1" x14ac:dyDescent="0.25">
      <c r="A711">
        <v>1940329</v>
      </c>
      <c r="B711" t="s">
        <v>1419</v>
      </c>
      <c r="C711">
        <v>0.12891999999999998</v>
      </c>
      <c r="D711">
        <v>789</v>
      </c>
      <c r="E711" t="s">
        <v>61</v>
      </c>
      <c r="F711">
        <v>1181</v>
      </c>
      <c r="G711" s="582" t="s">
        <v>10</v>
      </c>
      <c r="H711" s="582" t="s">
        <v>407</v>
      </c>
      <c r="I711" t="s">
        <v>722</v>
      </c>
      <c r="J711">
        <v>0.61</v>
      </c>
      <c r="K711" t="s">
        <v>2171</v>
      </c>
    </row>
    <row r="712" spans="1:11" hidden="1" x14ac:dyDescent="0.25">
      <c r="A712">
        <v>1940329</v>
      </c>
      <c r="B712" t="s">
        <v>1419</v>
      </c>
      <c r="C712">
        <v>1.2869999999999999</v>
      </c>
      <c r="D712">
        <v>789</v>
      </c>
      <c r="E712" t="s">
        <v>61</v>
      </c>
      <c r="F712">
        <v>1182</v>
      </c>
      <c r="G712" s="582" t="s">
        <v>10</v>
      </c>
      <c r="H712" s="582" t="s">
        <v>407</v>
      </c>
      <c r="I712" t="s">
        <v>722</v>
      </c>
      <c r="J712">
        <v>0.61</v>
      </c>
      <c r="K712" t="s">
        <v>2171</v>
      </c>
    </row>
    <row r="713" spans="1:11" hidden="1" x14ac:dyDescent="0.25">
      <c r="A713">
        <v>1940329</v>
      </c>
      <c r="B713" t="s">
        <v>1419</v>
      </c>
      <c r="C713">
        <v>1.2350000000000001</v>
      </c>
      <c r="D713">
        <v>789</v>
      </c>
      <c r="E713" t="s">
        <v>61</v>
      </c>
      <c r="F713">
        <v>1183</v>
      </c>
      <c r="G713" s="582" t="s">
        <v>10</v>
      </c>
      <c r="H713" s="582" t="s">
        <v>407</v>
      </c>
      <c r="I713" t="s">
        <v>722</v>
      </c>
      <c r="J713">
        <v>0.61</v>
      </c>
      <c r="K713" t="s">
        <v>2171</v>
      </c>
    </row>
    <row r="714" spans="1:11" hidden="1" x14ac:dyDescent="0.25">
      <c r="A714">
        <v>1940329</v>
      </c>
      <c r="B714" t="s">
        <v>1419</v>
      </c>
      <c r="C714">
        <v>0.32283999999999996</v>
      </c>
      <c r="D714">
        <v>789</v>
      </c>
      <c r="E714" t="s">
        <v>61</v>
      </c>
      <c r="F714">
        <v>1184</v>
      </c>
      <c r="G714" s="582" t="s">
        <v>10</v>
      </c>
      <c r="H714" s="582" t="s">
        <v>407</v>
      </c>
      <c r="I714" t="s">
        <v>722</v>
      </c>
      <c r="J714">
        <v>0.61</v>
      </c>
      <c r="K714" t="s">
        <v>2171</v>
      </c>
    </row>
    <row r="715" spans="1:11" hidden="1" x14ac:dyDescent="0.25">
      <c r="A715">
        <v>1940329</v>
      </c>
      <c r="B715" t="s">
        <v>1419</v>
      </c>
      <c r="C715">
        <v>0.10100000000000001</v>
      </c>
      <c r="D715">
        <v>789</v>
      </c>
      <c r="E715" t="s">
        <v>61</v>
      </c>
      <c r="F715">
        <v>1185</v>
      </c>
      <c r="G715" s="582" t="s">
        <v>10</v>
      </c>
      <c r="H715" s="582" t="s">
        <v>407</v>
      </c>
      <c r="I715" t="s">
        <v>722</v>
      </c>
      <c r="J715">
        <v>0.61</v>
      </c>
      <c r="K715" t="s">
        <v>2171</v>
      </c>
    </row>
    <row r="716" spans="1:11" hidden="1" x14ac:dyDescent="0.25">
      <c r="A716">
        <v>1940329</v>
      </c>
      <c r="B716" t="s">
        <v>1419</v>
      </c>
      <c r="C716">
        <v>0.92800000000000005</v>
      </c>
      <c r="D716">
        <v>789</v>
      </c>
      <c r="E716" t="s">
        <v>61</v>
      </c>
      <c r="F716">
        <v>1186</v>
      </c>
      <c r="G716" s="582" t="s">
        <v>10</v>
      </c>
      <c r="H716" s="582" t="s">
        <v>407</v>
      </c>
      <c r="I716" t="s">
        <v>722</v>
      </c>
      <c r="J716">
        <v>0.61</v>
      </c>
      <c r="K716" t="s">
        <v>2171</v>
      </c>
    </row>
    <row r="717" spans="1:11" hidden="1" x14ac:dyDescent="0.25">
      <c r="A717">
        <v>1940329</v>
      </c>
      <c r="B717" t="s">
        <v>1419</v>
      </c>
      <c r="C717">
        <v>0.309</v>
      </c>
      <c r="D717">
        <v>789</v>
      </c>
      <c r="E717" t="s">
        <v>61</v>
      </c>
      <c r="F717">
        <v>1187</v>
      </c>
      <c r="G717" s="582" t="s">
        <v>10</v>
      </c>
      <c r="H717" s="582" t="s">
        <v>407</v>
      </c>
      <c r="I717" t="s">
        <v>722</v>
      </c>
      <c r="J717">
        <v>0.61</v>
      </c>
      <c r="K717" t="s">
        <v>2171</v>
      </c>
    </row>
    <row r="718" spans="1:11" hidden="1" x14ac:dyDescent="0.25">
      <c r="A718">
        <v>2427158</v>
      </c>
      <c r="B718" t="s">
        <v>671</v>
      </c>
      <c r="C718">
        <v>1.7595E-2</v>
      </c>
      <c r="D718">
        <v>789</v>
      </c>
      <c r="E718" t="s">
        <v>18</v>
      </c>
      <c r="F718">
        <v>782</v>
      </c>
      <c r="G718" s="582" t="s">
        <v>10</v>
      </c>
      <c r="H718" s="582" t="s">
        <v>474</v>
      </c>
      <c r="I718" t="s">
        <v>672</v>
      </c>
      <c r="J718">
        <v>0.60399999999999998</v>
      </c>
      <c r="K718" t="s">
        <v>2171</v>
      </c>
    </row>
    <row r="719" spans="1:11" hidden="1" x14ac:dyDescent="0.25">
      <c r="A719">
        <v>2427158</v>
      </c>
      <c r="B719" t="s">
        <v>671</v>
      </c>
      <c r="C719">
        <v>0.215582</v>
      </c>
      <c r="D719">
        <v>789</v>
      </c>
      <c r="E719" t="s">
        <v>18</v>
      </c>
      <c r="F719">
        <v>919</v>
      </c>
      <c r="G719" s="582" t="s">
        <v>10</v>
      </c>
      <c r="H719" s="582" t="s">
        <v>474</v>
      </c>
      <c r="I719" t="s">
        <v>672</v>
      </c>
      <c r="J719">
        <v>0.60399999999999998</v>
      </c>
      <c r="K719" t="s">
        <v>2171</v>
      </c>
    </row>
    <row r="720" spans="1:11" hidden="1" x14ac:dyDescent="0.25">
      <c r="A720">
        <v>3786202</v>
      </c>
      <c r="B720" t="s">
        <v>435</v>
      </c>
      <c r="C720">
        <v>1.4548E-2</v>
      </c>
      <c r="D720">
        <v>789</v>
      </c>
      <c r="E720" t="s">
        <v>30</v>
      </c>
      <c r="F720">
        <v>793</v>
      </c>
      <c r="G720" s="582" t="s">
        <v>10</v>
      </c>
      <c r="H720" s="582" t="s">
        <v>428</v>
      </c>
      <c r="I720" t="s">
        <v>436</v>
      </c>
      <c r="J720">
        <v>0.58699999999999997</v>
      </c>
      <c r="K720" t="s">
        <v>2171</v>
      </c>
    </row>
    <row r="721" spans="1:11" hidden="1" x14ac:dyDescent="0.25">
      <c r="A721">
        <v>1940337</v>
      </c>
      <c r="B721" t="s">
        <v>2303</v>
      </c>
      <c r="C721">
        <v>0.155</v>
      </c>
      <c r="D721">
        <v>789</v>
      </c>
      <c r="E721" t="s">
        <v>37</v>
      </c>
      <c r="F721">
        <v>1120</v>
      </c>
      <c r="G721" s="582" t="s">
        <v>33</v>
      </c>
      <c r="H721" s="582" t="s">
        <v>407</v>
      </c>
      <c r="I721" t="s">
        <v>2299</v>
      </c>
      <c r="J721">
        <v>6.32</v>
      </c>
      <c r="K721" t="s">
        <v>1838</v>
      </c>
    </row>
    <row r="722" spans="1:11" hidden="1" x14ac:dyDescent="0.25">
      <c r="A722">
        <v>1940337</v>
      </c>
      <c r="B722" t="s">
        <v>2303</v>
      </c>
      <c r="C722">
        <v>1.8</v>
      </c>
      <c r="D722">
        <v>789</v>
      </c>
      <c r="E722" t="s">
        <v>37</v>
      </c>
      <c r="F722">
        <v>1121</v>
      </c>
      <c r="G722" s="582" t="s">
        <v>33</v>
      </c>
      <c r="H722" s="582" t="s">
        <v>407</v>
      </c>
      <c r="I722" t="s">
        <v>2299</v>
      </c>
      <c r="J722">
        <v>6.32</v>
      </c>
      <c r="K722" t="s">
        <v>1838</v>
      </c>
    </row>
    <row r="723" spans="1:11" hidden="1" x14ac:dyDescent="0.25">
      <c r="A723">
        <v>1940337</v>
      </c>
      <c r="B723" t="s">
        <v>2303</v>
      </c>
      <c r="C723">
        <v>2.7450000000000001</v>
      </c>
      <c r="D723">
        <v>789</v>
      </c>
      <c r="E723" t="s">
        <v>37</v>
      </c>
      <c r="F723">
        <v>1122</v>
      </c>
      <c r="G723" s="582" t="s">
        <v>33</v>
      </c>
      <c r="H723" s="582" t="s">
        <v>407</v>
      </c>
      <c r="I723" t="s">
        <v>2299</v>
      </c>
      <c r="J723">
        <v>6.32</v>
      </c>
      <c r="K723" t="s">
        <v>1838</v>
      </c>
    </row>
    <row r="724" spans="1:11" hidden="1" x14ac:dyDescent="0.25">
      <c r="A724">
        <v>1940337</v>
      </c>
      <c r="B724" t="s">
        <v>2303</v>
      </c>
      <c r="C724">
        <v>2.6629999999999998</v>
      </c>
      <c r="D724">
        <v>789</v>
      </c>
      <c r="E724" t="s">
        <v>37</v>
      </c>
      <c r="F724">
        <v>1123</v>
      </c>
      <c r="G724" s="582" t="s">
        <v>33</v>
      </c>
      <c r="H724" s="582" t="s">
        <v>407</v>
      </c>
      <c r="I724" t="s">
        <v>2299</v>
      </c>
      <c r="J724">
        <v>6.32</v>
      </c>
      <c r="K724" t="s">
        <v>1838</v>
      </c>
    </row>
    <row r="725" spans="1:11" hidden="1" x14ac:dyDescent="0.25">
      <c r="A725">
        <v>1940337</v>
      </c>
      <c r="B725" t="s">
        <v>2303</v>
      </c>
      <c r="C725">
        <v>1.3759999999999999</v>
      </c>
      <c r="D725">
        <v>789</v>
      </c>
      <c r="E725" t="s">
        <v>37</v>
      </c>
      <c r="F725">
        <v>1124</v>
      </c>
      <c r="G725" s="582" t="s">
        <v>33</v>
      </c>
      <c r="H725" s="582" t="s">
        <v>407</v>
      </c>
      <c r="I725" t="s">
        <v>2299</v>
      </c>
      <c r="J725">
        <v>6.32</v>
      </c>
      <c r="K725" t="s">
        <v>1838</v>
      </c>
    </row>
    <row r="726" spans="1:11" hidden="1" x14ac:dyDescent="0.25">
      <c r="A726">
        <v>1940337</v>
      </c>
      <c r="B726" t="s">
        <v>2303</v>
      </c>
      <c r="C726">
        <v>1.62</v>
      </c>
      <c r="D726">
        <v>789</v>
      </c>
      <c r="E726" t="s">
        <v>37</v>
      </c>
      <c r="F726">
        <v>1125</v>
      </c>
      <c r="G726" s="582" t="s">
        <v>33</v>
      </c>
      <c r="H726" s="582" t="s">
        <v>407</v>
      </c>
      <c r="I726" t="s">
        <v>2299</v>
      </c>
      <c r="J726">
        <v>6.32</v>
      </c>
      <c r="K726" t="s">
        <v>1838</v>
      </c>
    </row>
    <row r="727" spans="1:11" hidden="1" x14ac:dyDescent="0.25">
      <c r="A727">
        <v>3500582</v>
      </c>
      <c r="B727" t="s">
        <v>1423</v>
      </c>
      <c r="C727">
        <v>0.118022</v>
      </c>
      <c r="D727">
        <v>4731</v>
      </c>
      <c r="E727" t="s">
        <v>61</v>
      </c>
      <c r="F727">
        <v>1472</v>
      </c>
      <c r="G727" s="582" t="s">
        <v>10</v>
      </c>
      <c r="H727" s="582" t="s">
        <v>407</v>
      </c>
      <c r="I727" t="s">
        <v>2299</v>
      </c>
      <c r="J727">
        <v>7</v>
      </c>
      <c r="K727" t="s">
        <v>1838</v>
      </c>
    </row>
    <row r="728" spans="1:11" hidden="1" x14ac:dyDescent="0.25">
      <c r="A728">
        <v>3500582</v>
      </c>
      <c r="B728" t="s">
        <v>1423</v>
      </c>
      <c r="C728">
        <v>0.14208299999999999</v>
      </c>
      <c r="D728">
        <v>4731</v>
      </c>
      <c r="E728" t="s">
        <v>61</v>
      </c>
      <c r="F728">
        <v>1473</v>
      </c>
      <c r="G728" s="582" t="s">
        <v>10</v>
      </c>
      <c r="H728" s="582" t="s">
        <v>407</v>
      </c>
      <c r="I728" t="s">
        <v>2299</v>
      </c>
      <c r="J728">
        <v>7</v>
      </c>
      <c r="K728" t="s">
        <v>1838</v>
      </c>
    </row>
    <row r="729" spans="1:11" hidden="1" x14ac:dyDescent="0.25">
      <c r="A729">
        <v>3500582</v>
      </c>
      <c r="B729" t="s">
        <v>1423</v>
      </c>
      <c r="C729">
        <v>0.30049400000000004</v>
      </c>
      <c r="D729">
        <v>4731</v>
      </c>
      <c r="E729" t="s">
        <v>61</v>
      </c>
      <c r="F729">
        <v>1474</v>
      </c>
      <c r="G729" s="582" t="s">
        <v>10</v>
      </c>
      <c r="H729" s="582" t="s">
        <v>407</v>
      </c>
      <c r="I729" t="s">
        <v>2299</v>
      </c>
      <c r="J729">
        <v>7</v>
      </c>
      <c r="K729" t="s">
        <v>1838</v>
      </c>
    </row>
    <row r="730" spans="1:11" hidden="1" x14ac:dyDescent="0.25">
      <c r="A730">
        <v>3500582</v>
      </c>
      <c r="B730" t="s">
        <v>1423</v>
      </c>
      <c r="C730">
        <v>0.19284999999999999</v>
      </c>
      <c r="D730">
        <v>4731</v>
      </c>
      <c r="E730" t="s">
        <v>61</v>
      </c>
      <c r="F730">
        <v>1475</v>
      </c>
      <c r="G730" s="582" t="s">
        <v>10</v>
      </c>
      <c r="H730" s="582" t="s">
        <v>407</v>
      </c>
      <c r="I730" t="s">
        <v>2299</v>
      </c>
      <c r="J730">
        <v>7</v>
      </c>
      <c r="K730" t="s">
        <v>1838</v>
      </c>
    </row>
    <row r="731" spans="1:11" hidden="1" x14ac:dyDescent="0.25">
      <c r="A731">
        <v>3500582</v>
      </c>
      <c r="B731" t="s">
        <v>1423</v>
      </c>
      <c r="C731">
        <v>2.9927700000000002</v>
      </c>
      <c r="D731">
        <v>4731</v>
      </c>
      <c r="E731" t="s">
        <v>61</v>
      </c>
      <c r="F731">
        <v>1476</v>
      </c>
      <c r="G731" s="582" t="s">
        <v>10</v>
      </c>
      <c r="H731" s="582" t="s">
        <v>407</v>
      </c>
      <c r="I731" t="s">
        <v>2299</v>
      </c>
      <c r="J731">
        <v>7</v>
      </c>
      <c r="K731" t="s">
        <v>1838</v>
      </c>
    </row>
    <row r="732" spans="1:11" hidden="1" x14ac:dyDescent="0.25">
      <c r="A732">
        <v>3500582</v>
      </c>
      <c r="B732" t="s">
        <v>1423</v>
      </c>
      <c r="C732">
        <v>2.986119</v>
      </c>
      <c r="D732">
        <v>4731</v>
      </c>
      <c r="E732" t="s">
        <v>61</v>
      </c>
      <c r="F732">
        <v>1477</v>
      </c>
      <c r="G732" s="582" t="s">
        <v>10</v>
      </c>
      <c r="H732" s="582" t="s">
        <v>407</v>
      </c>
      <c r="I732" t="s">
        <v>2299</v>
      </c>
      <c r="J732">
        <v>7</v>
      </c>
      <c r="K732" t="s">
        <v>1838</v>
      </c>
    </row>
    <row r="733" spans="1:11" hidden="1" x14ac:dyDescent="0.25">
      <c r="A733">
        <v>3500582</v>
      </c>
      <c r="B733" t="s">
        <v>1423</v>
      </c>
      <c r="C733">
        <v>2.9794689999999999</v>
      </c>
      <c r="D733">
        <v>4731</v>
      </c>
      <c r="E733" t="s">
        <v>61</v>
      </c>
      <c r="F733">
        <v>1478</v>
      </c>
      <c r="G733" s="582" t="s">
        <v>10</v>
      </c>
      <c r="H733" s="582" t="s">
        <v>407</v>
      </c>
      <c r="I733" t="s">
        <v>2299</v>
      </c>
      <c r="J733">
        <v>7</v>
      </c>
      <c r="K733" t="s">
        <v>1838</v>
      </c>
    </row>
    <row r="734" spans="1:11" hidden="1" x14ac:dyDescent="0.25">
      <c r="A734">
        <v>3500582</v>
      </c>
      <c r="B734" t="s">
        <v>1423</v>
      </c>
      <c r="C734">
        <v>2.9794689999999999</v>
      </c>
      <c r="D734">
        <v>4731</v>
      </c>
      <c r="E734" t="s">
        <v>61</v>
      </c>
      <c r="F734">
        <v>1479</v>
      </c>
      <c r="G734" s="582" t="s">
        <v>10</v>
      </c>
      <c r="H734" s="582" t="s">
        <v>407</v>
      </c>
      <c r="I734" t="s">
        <v>2299</v>
      </c>
      <c r="J734">
        <v>7</v>
      </c>
      <c r="K734" t="s">
        <v>1838</v>
      </c>
    </row>
    <row r="735" spans="1:11" hidden="1" x14ac:dyDescent="0.25">
      <c r="A735">
        <v>3500582</v>
      </c>
      <c r="B735" t="s">
        <v>1423</v>
      </c>
      <c r="C735">
        <v>2.986119</v>
      </c>
      <c r="D735">
        <v>4731</v>
      </c>
      <c r="E735" t="s">
        <v>61</v>
      </c>
      <c r="F735">
        <v>1480</v>
      </c>
      <c r="G735" s="582" t="s">
        <v>10</v>
      </c>
      <c r="H735" s="582" t="s">
        <v>407</v>
      </c>
      <c r="I735" t="s">
        <v>2299</v>
      </c>
      <c r="J735">
        <v>7</v>
      </c>
      <c r="K735" t="s">
        <v>1838</v>
      </c>
    </row>
    <row r="736" spans="1:11" hidden="1" x14ac:dyDescent="0.25">
      <c r="A736">
        <v>3500582</v>
      </c>
      <c r="B736" t="s">
        <v>1423</v>
      </c>
      <c r="C736">
        <v>2.986119</v>
      </c>
      <c r="D736">
        <v>4731</v>
      </c>
      <c r="E736" t="s">
        <v>61</v>
      </c>
      <c r="F736">
        <v>1481</v>
      </c>
      <c r="G736" s="582" t="s">
        <v>10</v>
      </c>
      <c r="H736" s="582" t="s">
        <v>407</v>
      </c>
      <c r="I736" t="s">
        <v>2299</v>
      </c>
      <c r="J736">
        <v>7</v>
      </c>
      <c r="K736" t="s">
        <v>1838</v>
      </c>
    </row>
    <row r="737" spans="1:11" hidden="1" x14ac:dyDescent="0.25">
      <c r="A737">
        <v>3500582</v>
      </c>
      <c r="B737" t="s">
        <v>1423</v>
      </c>
      <c r="C737">
        <v>2.986119</v>
      </c>
      <c r="D737">
        <v>4731</v>
      </c>
      <c r="E737" t="s">
        <v>61</v>
      </c>
      <c r="F737">
        <v>1482</v>
      </c>
      <c r="G737" s="582" t="s">
        <v>10</v>
      </c>
      <c r="H737" s="582" t="s">
        <v>407</v>
      </c>
      <c r="I737" t="s">
        <v>2299</v>
      </c>
      <c r="J737">
        <v>7</v>
      </c>
      <c r="K737" t="s">
        <v>1838</v>
      </c>
    </row>
    <row r="738" spans="1:11" hidden="1" x14ac:dyDescent="0.25">
      <c r="A738">
        <v>3500582</v>
      </c>
      <c r="B738" t="s">
        <v>1423</v>
      </c>
      <c r="C738">
        <v>2.986119</v>
      </c>
      <c r="D738">
        <v>4731</v>
      </c>
      <c r="E738" t="s">
        <v>61</v>
      </c>
      <c r="F738">
        <v>1483</v>
      </c>
      <c r="G738" s="582" t="s">
        <v>10</v>
      </c>
      <c r="H738" s="582" t="s">
        <v>407</v>
      </c>
      <c r="I738" t="s">
        <v>2299</v>
      </c>
      <c r="J738">
        <v>7</v>
      </c>
      <c r="K738" t="s">
        <v>1838</v>
      </c>
    </row>
    <row r="739" spans="1:11" hidden="1" x14ac:dyDescent="0.25">
      <c r="A739">
        <v>3500582</v>
      </c>
      <c r="B739" t="s">
        <v>1423</v>
      </c>
      <c r="C739">
        <v>2.1531220000000002</v>
      </c>
      <c r="D739">
        <v>8406</v>
      </c>
      <c r="E739" t="s">
        <v>61</v>
      </c>
      <c r="F739">
        <v>1484</v>
      </c>
      <c r="G739" s="582" t="s">
        <v>10</v>
      </c>
      <c r="H739" s="582" t="s">
        <v>407</v>
      </c>
      <c r="I739" t="s">
        <v>2299</v>
      </c>
      <c r="J739">
        <v>7</v>
      </c>
      <c r="K739" t="s">
        <v>1838</v>
      </c>
    </row>
    <row r="740" spans="1:11" hidden="1" x14ac:dyDescent="0.25">
      <c r="A740">
        <v>3500582</v>
      </c>
      <c r="B740" t="s">
        <v>1423</v>
      </c>
      <c r="C740">
        <v>4.4274059999999995</v>
      </c>
      <c r="D740">
        <v>8406</v>
      </c>
      <c r="E740" t="s">
        <v>61</v>
      </c>
      <c r="F740">
        <v>1485</v>
      </c>
      <c r="G740" s="582" t="s">
        <v>10</v>
      </c>
      <c r="H740" s="582" t="s">
        <v>407</v>
      </c>
      <c r="I740" t="s">
        <v>2299</v>
      </c>
      <c r="J740">
        <v>7</v>
      </c>
      <c r="K740" t="s">
        <v>1838</v>
      </c>
    </row>
    <row r="741" spans="1:11" hidden="1" x14ac:dyDescent="0.25">
      <c r="A741">
        <v>3500582</v>
      </c>
      <c r="B741" t="s">
        <v>1423</v>
      </c>
      <c r="C741">
        <v>5.9722379999999999</v>
      </c>
      <c r="D741">
        <v>8406</v>
      </c>
      <c r="E741" t="s">
        <v>61</v>
      </c>
      <c r="F741">
        <v>1486</v>
      </c>
      <c r="G741" s="582" t="s">
        <v>10</v>
      </c>
      <c r="H741" s="582" t="s">
        <v>407</v>
      </c>
      <c r="I741" t="s">
        <v>2299</v>
      </c>
      <c r="J741">
        <v>7</v>
      </c>
      <c r="K741" t="s">
        <v>1838</v>
      </c>
    </row>
    <row r="742" spans="1:11" hidden="1" x14ac:dyDescent="0.25">
      <c r="A742">
        <v>3500582</v>
      </c>
      <c r="B742" t="s">
        <v>1423</v>
      </c>
      <c r="C742">
        <v>5.9655879999999994</v>
      </c>
      <c r="D742">
        <v>8406</v>
      </c>
      <c r="E742" t="s">
        <v>61</v>
      </c>
      <c r="F742">
        <v>1487</v>
      </c>
      <c r="G742" s="582" t="s">
        <v>10</v>
      </c>
      <c r="H742" s="582" t="s">
        <v>407</v>
      </c>
      <c r="I742" t="s">
        <v>2299</v>
      </c>
      <c r="J742">
        <v>7</v>
      </c>
      <c r="K742" t="s">
        <v>1838</v>
      </c>
    </row>
    <row r="743" spans="1:11" hidden="1" x14ac:dyDescent="0.25">
      <c r="A743">
        <v>3500582</v>
      </c>
      <c r="B743" t="s">
        <v>1423</v>
      </c>
      <c r="C743">
        <v>2.9794689999999999</v>
      </c>
      <c r="D743">
        <v>8406</v>
      </c>
      <c r="E743" t="s">
        <v>61</v>
      </c>
      <c r="F743">
        <v>1488</v>
      </c>
      <c r="G743" s="582" t="s">
        <v>10</v>
      </c>
      <c r="H743" s="582" t="s">
        <v>407</v>
      </c>
      <c r="I743" t="s">
        <v>2299</v>
      </c>
      <c r="J743">
        <v>7</v>
      </c>
      <c r="K743" t="s">
        <v>1838</v>
      </c>
    </row>
    <row r="744" spans="1:11" hidden="1" x14ac:dyDescent="0.25">
      <c r="A744">
        <v>3500582</v>
      </c>
      <c r="B744" t="s">
        <v>1423</v>
      </c>
      <c r="C744">
        <v>2.9728180000000002</v>
      </c>
      <c r="D744">
        <v>8406</v>
      </c>
      <c r="E744" t="s">
        <v>61</v>
      </c>
      <c r="F744">
        <v>1489</v>
      </c>
      <c r="G744" s="582" t="s">
        <v>10</v>
      </c>
      <c r="H744" s="582" t="s">
        <v>407</v>
      </c>
      <c r="I744" t="s">
        <v>2299</v>
      </c>
      <c r="J744">
        <v>7</v>
      </c>
      <c r="K744" t="s">
        <v>1838</v>
      </c>
    </row>
    <row r="745" spans="1:11" hidden="1" x14ac:dyDescent="0.25">
      <c r="A745">
        <v>3500582</v>
      </c>
      <c r="B745" t="s">
        <v>1423</v>
      </c>
      <c r="C745">
        <v>2.986119</v>
      </c>
      <c r="D745">
        <v>8406</v>
      </c>
      <c r="E745" t="s">
        <v>61</v>
      </c>
      <c r="F745">
        <v>1490</v>
      </c>
      <c r="G745" s="582" t="s">
        <v>10</v>
      </c>
      <c r="H745" s="582" t="s">
        <v>407</v>
      </c>
      <c r="I745" t="s">
        <v>2299</v>
      </c>
      <c r="J745">
        <v>7</v>
      </c>
      <c r="K745" t="s">
        <v>1838</v>
      </c>
    </row>
    <row r="746" spans="1:11" hidden="1" x14ac:dyDescent="0.25">
      <c r="A746">
        <v>3500582</v>
      </c>
      <c r="B746" t="s">
        <v>1423</v>
      </c>
      <c r="C746">
        <v>2.9927700000000002</v>
      </c>
      <c r="D746">
        <v>8406</v>
      </c>
      <c r="E746" t="s">
        <v>61</v>
      </c>
      <c r="F746">
        <v>1491</v>
      </c>
      <c r="G746" s="582" t="s">
        <v>10</v>
      </c>
      <c r="H746" s="582" t="s">
        <v>407</v>
      </c>
      <c r="I746" t="s">
        <v>2299</v>
      </c>
      <c r="J746">
        <v>7</v>
      </c>
      <c r="K746" t="s">
        <v>1838</v>
      </c>
    </row>
    <row r="747" spans="1:11" hidden="1" x14ac:dyDescent="0.25">
      <c r="A747">
        <v>3500582</v>
      </c>
      <c r="B747" t="s">
        <v>1423</v>
      </c>
      <c r="C747">
        <v>2.9661680000000001</v>
      </c>
      <c r="D747">
        <v>8406</v>
      </c>
      <c r="E747" t="s">
        <v>61</v>
      </c>
      <c r="F747">
        <v>1492</v>
      </c>
      <c r="G747" s="582" t="s">
        <v>10</v>
      </c>
      <c r="H747" s="582" t="s">
        <v>407</v>
      </c>
      <c r="I747" t="s">
        <v>2299</v>
      </c>
      <c r="J747">
        <v>7</v>
      </c>
      <c r="K747" t="s">
        <v>1838</v>
      </c>
    </row>
    <row r="748" spans="1:11" hidden="1" x14ac:dyDescent="0.25">
      <c r="A748">
        <v>3500582</v>
      </c>
      <c r="B748" t="s">
        <v>1423</v>
      </c>
      <c r="C748">
        <v>4.9413960000000001</v>
      </c>
      <c r="D748">
        <v>8406</v>
      </c>
      <c r="E748" t="s">
        <v>61</v>
      </c>
      <c r="F748">
        <v>1493</v>
      </c>
      <c r="G748" s="582" t="s">
        <v>10</v>
      </c>
      <c r="H748" s="582" t="s">
        <v>407</v>
      </c>
      <c r="I748" t="s">
        <v>2299</v>
      </c>
      <c r="J748">
        <v>7</v>
      </c>
      <c r="K748" t="s">
        <v>1838</v>
      </c>
    </row>
    <row r="749" spans="1:11" hidden="1" x14ac:dyDescent="0.25">
      <c r="A749">
        <v>1940838</v>
      </c>
      <c r="B749" t="s">
        <v>659</v>
      </c>
      <c r="C749">
        <v>2.3410000000000002</v>
      </c>
      <c r="D749">
        <v>789</v>
      </c>
      <c r="E749" t="s">
        <v>39</v>
      </c>
      <c r="F749">
        <v>806</v>
      </c>
      <c r="G749" s="582" t="s">
        <v>10</v>
      </c>
      <c r="H749" s="582" t="s">
        <v>578</v>
      </c>
      <c r="I749" t="s">
        <v>660</v>
      </c>
      <c r="J749">
        <v>0.88</v>
      </c>
      <c r="K749" t="s">
        <v>2171</v>
      </c>
    </row>
    <row r="750" spans="1:11" hidden="1" x14ac:dyDescent="0.25">
      <c r="A750">
        <v>1940838</v>
      </c>
      <c r="B750" t="s">
        <v>659</v>
      </c>
      <c r="C750">
        <v>5.5E-2</v>
      </c>
      <c r="D750">
        <v>789</v>
      </c>
      <c r="E750" t="s">
        <v>39</v>
      </c>
      <c r="F750">
        <v>807</v>
      </c>
      <c r="G750" s="582" t="s">
        <v>10</v>
      </c>
      <c r="H750" s="582" t="s">
        <v>578</v>
      </c>
      <c r="I750" t="s">
        <v>660</v>
      </c>
      <c r="J750">
        <v>0.88</v>
      </c>
      <c r="K750" t="s">
        <v>2171</v>
      </c>
    </row>
    <row r="751" spans="1:11" hidden="1" x14ac:dyDescent="0.25">
      <c r="A751">
        <v>1940838</v>
      </c>
      <c r="B751" t="s">
        <v>659</v>
      </c>
      <c r="C751">
        <v>4.0675999999999997E-2</v>
      </c>
      <c r="D751">
        <v>789</v>
      </c>
      <c r="E751" t="s">
        <v>39</v>
      </c>
      <c r="F751">
        <v>808</v>
      </c>
      <c r="G751" s="582" t="s">
        <v>10</v>
      </c>
      <c r="H751" s="582" t="s">
        <v>578</v>
      </c>
      <c r="I751" t="s">
        <v>660</v>
      </c>
      <c r="J751">
        <v>0.88</v>
      </c>
      <c r="K751" t="s">
        <v>2171</v>
      </c>
    </row>
    <row r="752" spans="1:11" hidden="1" x14ac:dyDescent="0.25">
      <c r="A752">
        <v>1940838</v>
      </c>
      <c r="B752" t="s">
        <v>659</v>
      </c>
      <c r="C752">
        <v>0.46088000000000001</v>
      </c>
      <c r="D752">
        <v>789</v>
      </c>
      <c r="E752" t="s">
        <v>39</v>
      </c>
      <c r="F752">
        <v>809</v>
      </c>
      <c r="G752" s="582" t="s">
        <v>10</v>
      </c>
      <c r="H752" s="582" t="s">
        <v>578</v>
      </c>
      <c r="I752" t="s">
        <v>660</v>
      </c>
      <c r="J752">
        <v>0.88</v>
      </c>
      <c r="K752" t="s">
        <v>2171</v>
      </c>
    </row>
    <row r="753" spans="1:11" hidden="1" x14ac:dyDescent="0.25">
      <c r="A753">
        <v>1940838</v>
      </c>
      <c r="B753" t="s">
        <v>659</v>
      </c>
      <c r="C753">
        <v>2.35</v>
      </c>
      <c r="D753">
        <v>789</v>
      </c>
      <c r="E753" t="s">
        <v>39</v>
      </c>
      <c r="F753">
        <v>810</v>
      </c>
      <c r="G753" s="582" t="s">
        <v>10</v>
      </c>
      <c r="H753" s="582" t="s">
        <v>578</v>
      </c>
      <c r="I753" t="s">
        <v>660</v>
      </c>
      <c r="J753">
        <v>0.88</v>
      </c>
      <c r="K753" t="s">
        <v>2171</v>
      </c>
    </row>
    <row r="754" spans="1:11" hidden="1" x14ac:dyDescent="0.25">
      <c r="A754">
        <v>1940838</v>
      </c>
      <c r="B754" t="s">
        <v>659</v>
      </c>
      <c r="C754">
        <v>2.359</v>
      </c>
      <c r="D754">
        <v>789</v>
      </c>
      <c r="E754" t="s">
        <v>39</v>
      </c>
      <c r="F754">
        <v>811</v>
      </c>
      <c r="G754" s="582" t="s">
        <v>10</v>
      </c>
      <c r="H754" s="582" t="s">
        <v>578</v>
      </c>
      <c r="I754" t="s">
        <v>660</v>
      </c>
      <c r="J754">
        <v>0.88</v>
      </c>
      <c r="K754" t="s">
        <v>2171</v>
      </c>
    </row>
    <row r="755" spans="1:11" hidden="1" x14ac:dyDescent="0.25">
      <c r="A755">
        <v>3228788</v>
      </c>
      <c r="B755" t="s">
        <v>725</v>
      </c>
      <c r="C755">
        <v>0.71119699999999997</v>
      </c>
      <c r="D755">
        <v>4731</v>
      </c>
      <c r="E755" t="s">
        <v>151</v>
      </c>
      <c r="F755">
        <v>1415</v>
      </c>
      <c r="G755" s="582" t="s">
        <v>10</v>
      </c>
      <c r="H755" s="582" t="s">
        <v>724</v>
      </c>
      <c r="I755" t="s">
        <v>726</v>
      </c>
      <c r="J755">
        <v>0.27300000000000002</v>
      </c>
      <c r="K755" t="s">
        <v>2171</v>
      </c>
    </row>
    <row r="756" spans="1:11" hidden="1" x14ac:dyDescent="0.25">
      <c r="A756">
        <v>3769066</v>
      </c>
      <c r="B756" t="s">
        <v>2449</v>
      </c>
      <c r="C756">
        <v>1.1719999999999999</v>
      </c>
      <c r="D756" t="s">
        <v>362</v>
      </c>
      <c r="E756" t="s">
        <v>151</v>
      </c>
      <c r="F756">
        <v>2229</v>
      </c>
      <c r="G756" s="582" t="s">
        <v>10</v>
      </c>
      <c r="H756" s="582" t="s">
        <v>724</v>
      </c>
      <c r="I756" t="s">
        <v>3788</v>
      </c>
      <c r="J756">
        <v>5.85</v>
      </c>
      <c r="K756" t="s">
        <v>1838</v>
      </c>
    </row>
    <row r="757" spans="1:11" hidden="1" x14ac:dyDescent="0.25">
      <c r="A757">
        <v>1940879</v>
      </c>
      <c r="B757" t="s">
        <v>676</v>
      </c>
      <c r="C757">
        <v>8.0099999999999998E-3</v>
      </c>
      <c r="D757">
        <v>789</v>
      </c>
      <c r="E757" t="s">
        <v>19</v>
      </c>
      <c r="F757">
        <v>812</v>
      </c>
      <c r="G757" s="582" t="s">
        <v>10</v>
      </c>
      <c r="H757" s="582" t="s">
        <v>474</v>
      </c>
      <c r="I757" t="s">
        <v>677</v>
      </c>
      <c r="J757">
        <v>0.63600000000000001</v>
      </c>
      <c r="K757" t="s">
        <v>2171</v>
      </c>
    </row>
    <row r="758" spans="1:11" hidden="1" x14ac:dyDescent="0.25">
      <c r="A758">
        <v>1940879</v>
      </c>
      <c r="B758" t="s">
        <v>676</v>
      </c>
      <c r="C758">
        <v>1.593</v>
      </c>
      <c r="D758">
        <v>789</v>
      </c>
      <c r="E758" t="s">
        <v>19</v>
      </c>
      <c r="F758">
        <v>813</v>
      </c>
      <c r="G758" s="582" t="s">
        <v>10</v>
      </c>
      <c r="H758" s="582" t="s">
        <v>474</v>
      </c>
      <c r="I758" t="s">
        <v>677</v>
      </c>
      <c r="J758">
        <v>0.63600000000000001</v>
      </c>
      <c r="K758" t="s">
        <v>2171</v>
      </c>
    </row>
    <row r="759" spans="1:11" hidden="1" x14ac:dyDescent="0.25">
      <c r="A759">
        <v>1940879</v>
      </c>
      <c r="B759" t="s">
        <v>676</v>
      </c>
      <c r="C759">
        <v>0.57399999999999995</v>
      </c>
      <c r="D759">
        <v>789</v>
      </c>
      <c r="E759" t="s">
        <v>19</v>
      </c>
      <c r="F759">
        <v>814</v>
      </c>
      <c r="G759" s="582" t="s">
        <v>10</v>
      </c>
      <c r="H759" s="582" t="s">
        <v>474</v>
      </c>
      <c r="I759" t="s">
        <v>677</v>
      </c>
      <c r="J759">
        <v>0.63600000000000001</v>
      </c>
      <c r="K759" t="s">
        <v>2171</v>
      </c>
    </row>
    <row r="760" spans="1:11" hidden="1" x14ac:dyDescent="0.25">
      <c r="A760">
        <v>1940879</v>
      </c>
      <c r="B760" t="s">
        <v>676</v>
      </c>
      <c r="C760">
        <v>0.25900000000000001</v>
      </c>
      <c r="D760">
        <v>789</v>
      </c>
      <c r="E760" t="s">
        <v>19</v>
      </c>
      <c r="F760">
        <v>815</v>
      </c>
      <c r="G760" s="582" t="s">
        <v>10</v>
      </c>
      <c r="H760" s="582" t="s">
        <v>474</v>
      </c>
      <c r="I760" t="s">
        <v>677</v>
      </c>
      <c r="J760">
        <v>0.63600000000000001</v>
      </c>
      <c r="K760" t="s">
        <v>2171</v>
      </c>
    </row>
    <row r="761" spans="1:11" hidden="1" x14ac:dyDescent="0.25">
      <c r="A761">
        <v>1940911</v>
      </c>
      <c r="B761" t="s">
        <v>2050</v>
      </c>
      <c r="C761">
        <v>1.2692E-2</v>
      </c>
      <c r="D761">
        <v>789</v>
      </c>
      <c r="E761" t="s">
        <v>46</v>
      </c>
      <c r="F761">
        <v>816</v>
      </c>
      <c r="G761" s="582" t="s">
        <v>10</v>
      </c>
      <c r="H761" s="582" t="s">
        <v>926</v>
      </c>
      <c r="I761" t="s">
        <v>928</v>
      </c>
      <c r="J761">
        <v>0.77200000000000002</v>
      </c>
      <c r="K761" t="s">
        <v>2171</v>
      </c>
    </row>
    <row r="762" spans="1:11" hidden="1" x14ac:dyDescent="0.25">
      <c r="A762">
        <v>1940911</v>
      </c>
      <c r="B762" t="s">
        <v>2050</v>
      </c>
      <c r="C762">
        <v>2.9320000000000001E-3</v>
      </c>
      <c r="D762">
        <v>789</v>
      </c>
      <c r="E762" t="s">
        <v>46</v>
      </c>
      <c r="F762">
        <v>817</v>
      </c>
      <c r="G762" s="582" t="s">
        <v>10</v>
      </c>
      <c r="H762" s="582" t="s">
        <v>926</v>
      </c>
      <c r="I762" t="s">
        <v>928</v>
      </c>
      <c r="J762">
        <v>0.77200000000000002</v>
      </c>
      <c r="K762" t="s">
        <v>2171</v>
      </c>
    </row>
    <row r="763" spans="1:11" hidden="1" x14ac:dyDescent="0.25">
      <c r="A763">
        <v>2410999</v>
      </c>
      <c r="B763" t="s">
        <v>728</v>
      </c>
      <c r="C763">
        <v>1.8677429999999999</v>
      </c>
      <c r="D763">
        <v>8406</v>
      </c>
      <c r="E763" t="s">
        <v>48</v>
      </c>
      <c r="F763">
        <v>1395</v>
      </c>
      <c r="G763" s="582" t="s">
        <v>10</v>
      </c>
      <c r="H763" s="582" t="s">
        <v>727</v>
      </c>
      <c r="I763" t="s">
        <v>729</v>
      </c>
      <c r="J763">
        <v>6</v>
      </c>
      <c r="K763" t="s">
        <v>1838</v>
      </c>
    </row>
    <row r="764" spans="1:11" hidden="1" x14ac:dyDescent="0.25">
      <c r="A764">
        <v>2413708</v>
      </c>
      <c r="B764" t="s">
        <v>634</v>
      </c>
      <c r="C764">
        <v>1.3852E-2</v>
      </c>
      <c r="D764">
        <v>789</v>
      </c>
      <c r="E764" t="s">
        <v>52</v>
      </c>
      <c r="F764">
        <v>818</v>
      </c>
      <c r="G764" s="582" t="s">
        <v>10</v>
      </c>
      <c r="H764" s="582" t="s">
        <v>633</v>
      </c>
      <c r="I764" t="s">
        <v>635</v>
      </c>
      <c r="J764">
        <v>0.81499999999999995</v>
      </c>
      <c r="K764" t="s">
        <v>2171</v>
      </c>
    </row>
    <row r="765" spans="1:11" hidden="1" x14ac:dyDescent="0.25">
      <c r="A765">
        <v>3667938</v>
      </c>
      <c r="B765" t="s">
        <v>639</v>
      </c>
      <c r="C765">
        <v>1.3569999999999999E-3</v>
      </c>
      <c r="D765">
        <v>789</v>
      </c>
      <c r="E765" t="s">
        <v>52</v>
      </c>
      <c r="F765">
        <v>1042</v>
      </c>
      <c r="G765" s="582" t="s">
        <v>10</v>
      </c>
      <c r="H765" s="582" t="s">
        <v>607</v>
      </c>
      <c r="I765" t="s">
        <v>640</v>
      </c>
      <c r="J765">
        <v>0.67300000000000004</v>
      </c>
      <c r="K765" t="s">
        <v>2171</v>
      </c>
    </row>
    <row r="766" spans="1:11" hidden="1" x14ac:dyDescent="0.25">
      <c r="A766">
        <v>3781676</v>
      </c>
      <c r="B766" t="s">
        <v>932</v>
      </c>
      <c r="C766">
        <v>0.24293999999999999</v>
      </c>
      <c r="D766">
        <v>8406</v>
      </c>
      <c r="E766" t="s">
        <v>101</v>
      </c>
      <c r="F766">
        <v>1847</v>
      </c>
      <c r="G766" s="582" t="s">
        <v>10</v>
      </c>
      <c r="H766" s="582" t="s">
        <v>607</v>
      </c>
      <c r="I766" t="s">
        <v>933</v>
      </c>
      <c r="J766">
        <v>1.1619999999999999</v>
      </c>
      <c r="K766" t="s">
        <v>2171</v>
      </c>
    </row>
    <row r="767" spans="1:11" hidden="1" x14ac:dyDescent="0.25">
      <c r="A767">
        <v>3556680</v>
      </c>
      <c r="B767" t="s">
        <v>600</v>
      </c>
      <c r="C767">
        <v>2.8580000000000003E-3</v>
      </c>
      <c r="D767">
        <v>789</v>
      </c>
      <c r="E767" t="s">
        <v>78</v>
      </c>
      <c r="F767">
        <v>835</v>
      </c>
      <c r="G767" s="582" t="s">
        <v>10</v>
      </c>
      <c r="H767" s="582" t="s">
        <v>412</v>
      </c>
      <c r="I767" t="s">
        <v>601</v>
      </c>
      <c r="J767">
        <v>0.64</v>
      </c>
      <c r="K767" t="s">
        <v>2171</v>
      </c>
    </row>
    <row r="768" spans="1:11" hidden="1" x14ac:dyDescent="0.25">
      <c r="A768">
        <v>3556680</v>
      </c>
      <c r="B768" t="s">
        <v>600</v>
      </c>
      <c r="C768">
        <v>2.0819999999999996E-3</v>
      </c>
      <c r="D768">
        <v>789</v>
      </c>
      <c r="E768" t="s">
        <v>78</v>
      </c>
      <c r="F768">
        <v>836</v>
      </c>
      <c r="G768" s="582" t="s">
        <v>10</v>
      </c>
      <c r="H768" s="582" t="s">
        <v>412</v>
      </c>
      <c r="I768" t="s">
        <v>601</v>
      </c>
      <c r="J768">
        <v>0.64</v>
      </c>
      <c r="K768" t="s">
        <v>2171</v>
      </c>
    </row>
    <row r="769" spans="1:11" hidden="1" x14ac:dyDescent="0.25">
      <c r="A769">
        <v>3556680</v>
      </c>
      <c r="B769" t="s">
        <v>600</v>
      </c>
      <c r="C769">
        <v>3.9500000000000004E-3</v>
      </c>
      <c r="D769">
        <v>789</v>
      </c>
      <c r="E769" t="s">
        <v>78</v>
      </c>
      <c r="F769">
        <v>837</v>
      </c>
      <c r="G769" s="582" t="s">
        <v>10</v>
      </c>
      <c r="H769" s="582" t="s">
        <v>412</v>
      </c>
      <c r="I769" t="s">
        <v>601</v>
      </c>
      <c r="J769">
        <v>0.64</v>
      </c>
      <c r="K769" t="s">
        <v>2171</v>
      </c>
    </row>
    <row r="770" spans="1:11" hidden="1" x14ac:dyDescent="0.25">
      <c r="A770">
        <v>3556680</v>
      </c>
      <c r="B770" t="s">
        <v>600</v>
      </c>
      <c r="C770">
        <v>0.28226400000000001</v>
      </c>
      <c r="D770">
        <v>4731</v>
      </c>
      <c r="E770" t="s">
        <v>78</v>
      </c>
      <c r="F770">
        <v>1676</v>
      </c>
      <c r="G770" s="582" t="s">
        <v>10</v>
      </c>
      <c r="H770" s="582" t="s">
        <v>412</v>
      </c>
      <c r="I770" t="s">
        <v>601</v>
      </c>
      <c r="J770">
        <v>0.64</v>
      </c>
      <c r="K770" t="s">
        <v>2171</v>
      </c>
    </row>
    <row r="771" spans="1:11" hidden="1" x14ac:dyDescent="0.25">
      <c r="A771">
        <v>3781147</v>
      </c>
      <c r="B771" t="s">
        <v>2307</v>
      </c>
      <c r="C771">
        <v>0.70860900000000004</v>
      </c>
      <c r="D771">
        <v>4731</v>
      </c>
      <c r="E771" t="s">
        <v>30</v>
      </c>
      <c r="F771">
        <v>1833</v>
      </c>
      <c r="G771" s="582" t="s">
        <v>10</v>
      </c>
      <c r="H771" s="582" t="s">
        <v>412</v>
      </c>
      <c r="I771" t="s">
        <v>2240</v>
      </c>
      <c r="J771">
        <v>0.28499999999999998</v>
      </c>
      <c r="K771" t="s">
        <v>2171</v>
      </c>
    </row>
    <row r="772" spans="1:11" hidden="1" x14ac:dyDescent="0.25">
      <c r="A772">
        <v>3926270</v>
      </c>
      <c r="B772" t="s">
        <v>804</v>
      </c>
      <c r="C772">
        <v>2.3170000000000002</v>
      </c>
      <c r="D772">
        <v>789</v>
      </c>
      <c r="E772" t="s">
        <v>53</v>
      </c>
      <c r="F772">
        <v>844</v>
      </c>
      <c r="G772" s="582" t="s">
        <v>10</v>
      </c>
      <c r="H772" s="582" t="s">
        <v>737</v>
      </c>
      <c r="I772" t="s">
        <v>805</v>
      </c>
      <c r="J772">
        <v>0.41799999999999998</v>
      </c>
      <c r="K772" t="s">
        <v>2171</v>
      </c>
    </row>
    <row r="773" spans="1:11" hidden="1" x14ac:dyDescent="0.25">
      <c r="A773">
        <v>3926270</v>
      </c>
      <c r="B773" t="s">
        <v>804</v>
      </c>
      <c r="C773">
        <v>1.496</v>
      </c>
      <c r="D773">
        <v>789</v>
      </c>
      <c r="E773" t="s">
        <v>53</v>
      </c>
      <c r="F773">
        <v>845</v>
      </c>
      <c r="G773" s="582" t="s">
        <v>10</v>
      </c>
      <c r="H773" s="582" t="s">
        <v>737</v>
      </c>
      <c r="I773" t="s">
        <v>805</v>
      </c>
      <c r="J773">
        <v>0.41799999999999998</v>
      </c>
      <c r="K773" t="s">
        <v>2171</v>
      </c>
    </row>
    <row r="774" spans="1:11" hidden="1" x14ac:dyDescent="0.25">
      <c r="A774">
        <v>3926270</v>
      </c>
      <c r="B774" t="s">
        <v>804</v>
      </c>
      <c r="C774">
        <v>0.72399999999999998</v>
      </c>
      <c r="D774">
        <v>789</v>
      </c>
      <c r="E774" t="s">
        <v>53</v>
      </c>
      <c r="F774">
        <v>846</v>
      </c>
      <c r="G774" s="582" t="s">
        <v>10</v>
      </c>
      <c r="H774" s="582" t="s">
        <v>737</v>
      </c>
      <c r="I774" t="s">
        <v>805</v>
      </c>
      <c r="J774">
        <v>0.41799999999999998</v>
      </c>
      <c r="K774" t="s">
        <v>2171</v>
      </c>
    </row>
    <row r="775" spans="1:11" hidden="1" x14ac:dyDescent="0.25">
      <c r="A775">
        <v>3926270</v>
      </c>
      <c r="B775" t="s">
        <v>804</v>
      </c>
      <c r="C775">
        <v>1.0980000000000001</v>
      </c>
      <c r="D775">
        <v>789</v>
      </c>
      <c r="E775" t="s">
        <v>53</v>
      </c>
      <c r="F775">
        <v>847</v>
      </c>
      <c r="G775" s="582" t="s">
        <v>10</v>
      </c>
      <c r="H775" s="582" t="s">
        <v>737</v>
      </c>
      <c r="I775" t="s">
        <v>805</v>
      </c>
      <c r="J775">
        <v>0.41799999999999998</v>
      </c>
      <c r="K775" t="s">
        <v>2171</v>
      </c>
    </row>
    <row r="776" spans="1:11" hidden="1" x14ac:dyDescent="0.25">
      <c r="A776">
        <v>3926270</v>
      </c>
      <c r="B776" t="s">
        <v>804</v>
      </c>
      <c r="C776">
        <v>0.32600000000000001</v>
      </c>
      <c r="D776">
        <v>789</v>
      </c>
      <c r="E776" t="s">
        <v>53</v>
      </c>
      <c r="F776">
        <v>848</v>
      </c>
      <c r="G776" s="582" t="s">
        <v>10</v>
      </c>
      <c r="H776" s="582" t="s">
        <v>737</v>
      </c>
      <c r="I776" t="s">
        <v>805</v>
      </c>
      <c r="J776">
        <v>0.41799999999999998</v>
      </c>
      <c r="K776" t="s">
        <v>2171</v>
      </c>
    </row>
    <row r="777" spans="1:11" hidden="1" x14ac:dyDescent="0.25">
      <c r="A777">
        <v>4098592</v>
      </c>
      <c r="B777" t="s">
        <v>579</v>
      </c>
      <c r="C777">
        <v>1.3600000000000001E-3</v>
      </c>
      <c r="D777">
        <v>789</v>
      </c>
      <c r="E777" t="s">
        <v>18</v>
      </c>
      <c r="F777">
        <v>849</v>
      </c>
      <c r="G777" s="582" t="s">
        <v>10</v>
      </c>
      <c r="H777" s="582" t="s">
        <v>578</v>
      </c>
      <c r="I777" t="s">
        <v>580</v>
      </c>
      <c r="J777">
        <v>0.14799999999999999</v>
      </c>
      <c r="K777" t="s">
        <v>2171</v>
      </c>
    </row>
    <row r="778" spans="1:11" hidden="1" x14ac:dyDescent="0.25">
      <c r="A778">
        <v>4098592</v>
      </c>
      <c r="B778" t="s">
        <v>579</v>
      </c>
      <c r="C778">
        <v>1E-3</v>
      </c>
      <c r="D778">
        <v>789</v>
      </c>
      <c r="E778" t="s">
        <v>18</v>
      </c>
      <c r="F778">
        <v>850</v>
      </c>
      <c r="G778" s="582" t="s">
        <v>10</v>
      </c>
      <c r="H778" s="582" t="s">
        <v>578</v>
      </c>
      <c r="I778" t="s">
        <v>580</v>
      </c>
      <c r="J778">
        <v>0.14799999999999999</v>
      </c>
      <c r="K778" t="s">
        <v>2171</v>
      </c>
    </row>
    <row r="779" spans="1:11" hidden="1" x14ac:dyDescent="0.25">
      <c r="A779">
        <v>4098592</v>
      </c>
      <c r="B779" t="s">
        <v>579</v>
      </c>
      <c r="C779">
        <v>3.6040000000000003E-2</v>
      </c>
      <c r="D779">
        <v>789</v>
      </c>
      <c r="E779" t="s">
        <v>18</v>
      </c>
      <c r="F779">
        <v>851</v>
      </c>
      <c r="G779" s="582" t="s">
        <v>10</v>
      </c>
      <c r="H779" s="582" t="s">
        <v>578</v>
      </c>
      <c r="I779" t="s">
        <v>580</v>
      </c>
      <c r="J779">
        <v>0.14799999999999999</v>
      </c>
      <c r="K779" t="s">
        <v>2171</v>
      </c>
    </row>
    <row r="780" spans="1:11" hidden="1" x14ac:dyDescent="0.25">
      <c r="A780">
        <v>3509824</v>
      </c>
      <c r="B780" t="s">
        <v>2030</v>
      </c>
      <c r="C780">
        <v>3.8440000000000002E-3</v>
      </c>
      <c r="D780">
        <v>789</v>
      </c>
      <c r="E780" t="s">
        <v>78</v>
      </c>
      <c r="F780">
        <v>886</v>
      </c>
      <c r="G780" s="582" t="s">
        <v>10</v>
      </c>
      <c r="H780" s="582" t="s">
        <v>412</v>
      </c>
      <c r="I780" t="s">
        <v>2304</v>
      </c>
      <c r="J780">
        <v>1.21</v>
      </c>
      <c r="K780" t="s">
        <v>2171</v>
      </c>
    </row>
    <row r="781" spans="1:11" hidden="1" x14ac:dyDescent="0.25">
      <c r="A781">
        <v>3531648</v>
      </c>
      <c r="B781" t="s">
        <v>1737</v>
      </c>
      <c r="C781">
        <v>1.9419999999999999</v>
      </c>
      <c r="D781">
        <v>789</v>
      </c>
      <c r="E781" t="s">
        <v>39</v>
      </c>
      <c r="F781">
        <v>887</v>
      </c>
      <c r="G781" s="582" t="s">
        <v>10</v>
      </c>
      <c r="H781" s="582" t="s">
        <v>2305</v>
      </c>
      <c r="I781" t="s">
        <v>2306</v>
      </c>
      <c r="J781">
        <v>0.73899999999999999</v>
      </c>
      <c r="K781" t="s">
        <v>2171</v>
      </c>
    </row>
    <row r="782" spans="1:11" hidden="1" x14ac:dyDescent="0.25">
      <c r="A782">
        <v>3534935</v>
      </c>
      <c r="B782" t="s">
        <v>2312</v>
      </c>
      <c r="C782">
        <v>5.9161999999999999E-2</v>
      </c>
      <c r="D782">
        <v>4731</v>
      </c>
      <c r="E782" t="s">
        <v>52</v>
      </c>
      <c r="F782">
        <v>1665</v>
      </c>
      <c r="G782" s="582" t="s">
        <v>10</v>
      </c>
      <c r="H782" s="582" t="s">
        <v>412</v>
      </c>
      <c r="I782" t="s">
        <v>2293</v>
      </c>
      <c r="J782">
        <v>5.8</v>
      </c>
      <c r="K782" t="s">
        <v>1838</v>
      </c>
    </row>
    <row r="783" spans="1:11" hidden="1" x14ac:dyDescent="0.25">
      <c r="A783">
        <v>4098593</v>
      </c>
      <c r="B783" t="s">
        <v>1896</v>
      </c>
      <c r="C783">
        <v>0.68500000000000005</v>
      </c>
      <c r="D783">
        <v>789</v>
      </c>
      <c r="E783" t="s">
        <v>18</v>
      </c>
      <c r="F783">
        <v>899</v>
      </c>
      <c r="G783" s="582" t="s">
        <v>10</v>
      </c>
      <c r="H783" s="582" t="s">
        <v>578</v>
      </c>
      <c r="I783" t="s">
        <v>2308</v>
      </c>
      <c r="J783">
        <v>0.16200000000000001</v>
      </c>
      <c r="K783" t="s">
        <v>2171</v>
      </c>
    </row>
    <row r="784" spans="1:11" hidden="1" x14ac:dyDescent="0.25">
      <c r="A784">
        <v>4098593</v>
      </c>
      <c r="B784" t="s">
        <v>1896</v>
      </c>
      <c r="C784">
        <v>3.5715999999999998E-2</v>
      </c>
      <c r="D784">
        <v>789</v>
      </c>
      <c r="E784" t="s">
        <v>18</v>
      </c>
      <c r="F784">
        <v>900</v>
      </c>
      <c r="G784" s="582" t="s">
        <v>10</v>
      </c>
      <c r="H784" s="582" t="s">
        <v>578</v>
      </c>
      <c r="I784" t="s">
        <v>2308</v>
      </c>
      <c r="J784">
        <v>0.16200000000000001</v>
      </c>
      <c r="K784" t="s">
        <v>2171</v>
      </c>
    </row>
    <row r="785" spans="1:11" hidden="1" x14ac:dyDescent="0.25">
      <c r="A785">
        <v>2420106</v>
      </c>
      <c r="B785" t="s">
        <v>775</v>
      </c>
      <c r="C785">
        <v>8.6230000000000001E-2</v>
      </c>
      <c r="D785">
        <v>789</v>
      </c>
      <c r="E785" t="s">
        <v>78</v>
      </c>
      <c r="F785">
        <v>918</v>
      </c>
      <c r="G785" s="582" t="s">
        <v>10</v>
      </c>
      <c r="H785" s="582" t="s">
        <v>633</v>
      </c>
      <c r="I785" t="s">
        <v>776</v>
      </c>
      <c r="J785">
        <v>1.325</v>
      </c>
      <c r="K785" t="s">
        <v>2171</v>
      </c>
    </row>
    <row r="786" spans="1:11" hidden="1" x14ac:dyDescent="0.25">
      <c r="A786">
        <v>3500554</v>
      </c>
      <c r="B786" t="s">
        <v>1485</v>
      </c>
      <c r="C786">
        <v>0.184</v>
      </c>
      <c r="D786">
        <v>789</v>
      </c>
      <c r="E786" t="s">
        <v>37</v>
      </c>
      <c r="F786">
        <v>924</v>
      </c>
      <c r="G786" s="582" t="s">
        <v>33</v>
      </c>
      <c r="H786" s="582" t="s">
        <v>633</v>
      </c>
      <c r="I786" t="s">
        <v>782</v>
      </c>
      <c r="J786">
        <v>5.0999999999999996</v>
      </c>
      <c r="K786" t="s">
        <v>1838</v>
      </c>
    </row>
    <row r="787" spans="1:11" hidden="1" x14ac:dyDescent="0.25">
      <c r="A787">
        <v>3500554</v>
      </c>
      <c r="B787" t="s">
        <v>1485</v>
      </c>
      <c r="C787">
        <v>1.4999999999999999E-2</v>
      </c>
      <c r="D787">
        <v>789</v>
      </c>
      <c r="E787" t="s">
        <v>37</v>
      </c>
      <c r="F787">
        <v>925</v>
      </c>
      <c r="G787" s="582" t="s">
        <v>33</v>
      </c>
      <c r="H787" s="582" t="s">
        <v>633</v>
      </c>
      <c r="I787" t="s">
        <v>782</v>
      </c>
      <c r="J787">
        <v>5.0999999999999996</v>
      </c>
      <c r="K787" t="s">
        <v>1838</v>
      </c>
    </row>
    <row r="788" spans="1:11" hidden="1" x14ac:dyDescent="0.25">
      <c r="A788">
        <v>3500554</v>
      </c>
      <c r="B788" t="s">
        <v>1485</v>
      </c>
      <c r="C788">
        <v>5.4432000000000001E-2</v>
      </c>
      <c r="D788">
        <v>4731</v>
      </c>
      <c r="E788" t="s">
        <v>37</v>
      </c>
      <c r="F788">
        <v>1471</v>
      </c>
      <c r="G788" s="582" t="s">
        <v>33</v>
      </c>
      <c r="H788" s="582" t="s">
        <v>633</v>
      </c>
      <c r="I788" t="s">
        <v>782</v>
      </c>
      <c r="J788">
        <v>5.0999999999999996</v>
      </c>
      <c r="K788" t="s">
        <v>1838</v>
      </c>
    </row>
    <row r="789" spans="1:11" hidden="1" x14ac:dyDescent="0.25">
      <c r="A789">
        <v>3531649</v>
      </c>
      <c r="B789" t="s">
        <v>1691</v>
      </c>
      <c r="C789">
        <v>2.1309999999999998</v>
      </c>
      <c r="D789">
        <v>789</v>
      </c>
      <c r="E789" t="s">
        <v>39</v>
      </c>
      <c r="F789">
        <v>926</v>
      </c>
      <c r="G789" s="582" t="s">
        <v>10</v>
      </c>
      <c r="H789" s="582" t="s">
        <v>2309</v>
      </c>
      <c r="I789" t="s">
        <v>2310</v>
      </c>
      <c r="J789">
        <v>0.41699999999999998</v>
      </c>
      <c r="K789" t="s">
        <v>2171</v>
      </c>
    </row>
    <row r="790" spans="1:11" hidden="1" x14ac:dyDescent="0.25">
      <c r="A790">
        <v>3531649</v>
      </c>
      <c r="B790" t="s">
        <v>1691</v>
      </c>
      <c r="C790">
        <v>0.39900000000000002</v>
      </c>
      <c r="D790">
        <v>789</v>
      </c>
      <c r="E790" t="s">
        <v>39</v>
      </c>
      <c r="F790">
        <v>927</v>
      </c>
      <c r="G790" s="582" t="s">
        <v>10</v>
      </c>
      <c r="H790" s="582" t="s">
        <v>2309</v>
      </c>
      <c r="I790" t="s">
        <v>2310</v>
      </c>
      <c r="J790">
        <v>0.41699999999999998</v>
      </c>
      <c r="K790" t="s">
        <v>2171</v>
      </c>
    </row>
    <row r="791" spans="1:11" hidden="1" x14ac:dyDescent="0.25">
      <c r="A791">
        <v>3605861</v>
      </c>
      <c r="B791" t="s">
        <v>792</v>
      </c>
      <c r="C791">
        <v>0.45600000000000002</v>
      </c>
      <c r="D791">
        <v>789</v>
      </c>
      <c r="E791" t="s">
        <v>30</v>
      </c>
      <c r="F791">
        <v>930</v>
      </c>
      <c r="G791" s="582" t="s">
        <v>10</v>
      </c>
      <c r="H791" s="582" t="s">
        <v>468</v>
      </c>
      <c r="I791" t="s">
        <v>793</v>
      </c>
      <c r="J791">
        <v>2.58</v>
      </c>
      <c r="K791" t="s">
        <v>2171</v>
      </c>
    </row>
    <row r="792" spans="1:11" hidden="1" x14ac:dyDescent="0.25">
      <c r="A792">
        <v>3605861</v>
      </c>
      <c r="B792" t="s">
        <v>792</v>
      </c>
      <c r="C792">
        <v>9.5547999999999994E-2</v>
      </c>
      <c r="D792">
        <v>789</v>
      </c>
      <c r="E792" t="s">
        <v>30</v>
      </c>
      <c r="F792">
        <v>931</v>
      </c>
      <c r="G792" s="582" t="s">
        <v>10</v>
      </c>
      <c r="H792" s="582" t="s">
        <v>468</v>
      </c>
      <c r="I792" t="s">
        <v>793</v>
      </c>
      <c r="J792">
        <v>2.58</v>
      </c>
      <c r="K792" t="s">
        <v>2171</v>
      </c>
    </row>
    <row r="793" spans="1:11" hidden="1" x14ac:dyDescent="0.25">
      <c r="A793">
        <v>3605861</v>
      </c>
      <c r="B793" t="s">
        <v>792</v>
      </c>
      <c r="C793">
        <v>1.677</v>
      </c>
      <c r="D793">
        <v>789</v>
      </c>
      <c r="E793" t="s">
        <v>30</v>
      </c>
      <c r="F793">
        <v>1087</v>
      </c>
      <c r="G793" s="582" t="s">
        <v>10</v>
      </c>
      <c r="H793" s="582" t="s">
        <v>468</v>
      </c>
      <c r="I793" t="s">
        <v>793</v>
      </c>
      <c r="J793">
        <v>2.58</v>
      </c>
      <c r="K793" t="s">
        <v>2171</v>
      </c>
    </row>
    <row r="794" spans="1:11" hidden="1" x14ac:dyDescent="0.25">
      <c r="A794">
        <v>3605861</v>
      </c>
      <c r="B794" t="s">
        <v>792</v>
      </c>
      <c r="C794">
        <v>0.71499999999999997</v>
      </c>
      <c r="D794">
        <v>789</v>
      </c>
      <c r="E794" t="s">
        <v>30</v>
      </c>
      <c r="F794">
        <v>1088</v>
      </c>
      <c r="G794" s="582" t="s">
        <v>10</v>
      </c>
      <c r="H794" s="582" t="s">
        <v>468</v>
      </c>
      <c r="I794" t="s">
        <v>793</v>
      </c>
      <c r="J794">
        <v>2.58</v>
      </c>
      <c r="K794" t="s">
        <v>2171</v>
      </c>
    </row>
    <row r="795" spans="1:11" hidden="1" x14ac:dyDescent="0.25">
      <c r="A795">
        <v>3780004</v>
      </c>
      <c r="B795" t="s">
        <v>1730</v>
      </c>
      <c r="C795">
        <v>7.5760999999999995E-2</v>
      </c>
      <c r="D795">
        <v>789</v>
      </c>
      <c r="E795" t="s">
        <v>53</v>
      </c>
      <c r="F795">
        <v>932</v>
      </c>
      <c r="G795" s="582" t="s">
        <v>10</v>
      </c>
      <c r="H795" s="582" t="s">
        <v>1824</v>
      </c>
      <c r="I795" t="s">
        <v>2311</v>
      </c>
      <c r="J795">
        <v>0.60699999999999998</v>
      </c>
      <c r="K795" t="s">
        <v>2171</v>
      </c>
    </row>
    <row r="796" spans="1:11" hidden="1" x14ac:dyDescent="0.25">
      <c r="A796">
        <v>3863819</v>
      </c>
      <c r="B796" t="s">
        <v>802</v>
      </c>
      <c r="C796">
        <v>1.2789999999999999</v>
      </c>
      <c r="D796">
        <v>789</v>
      </c>
      <c r="E796" t="s">
        <v>151</v>
      </c>
      <c r="F796">
        <v>945</v>
      </c>
      <c r="G796" s="582" t="s">
        <v>10</v>
      </c>
      <c r="H796" s="582" t="s">
        <v>737</v>
      </c>
      <c r="I796" t="s">
        <v>803</v>
      </c>
      <c r="J796">
        <v>0.41199999999999998</v>
      </c>
      <c r="K796" t="s">
        <v>2171</v>
      </c>
    </row>
    <row r="797" spans="1:11" hidden="1" x14ac:dyDescent="0.25">
      <c r="A797">
        <v>3863819</v>
      </c>
      <c r="B797" t="s">
        <v>802</v>
      </c>
      <c r="C797">
        <v>0.59294500000000006</v>
      </c>
      <c r="D797">
        <v>4731</v>
      </c>
      <c r="E797" t="s">
        <v>151</v>
      </c>
      <c r="F797">
        <v>1863</v>
      </c>
      <c r="G797" s="582" t="s">
        <v>10</v>
      </c>
      <c r="H797" s="582" t="s">
        <v>737</v>
      </c>
      <c r="I797" t="s">
        <v>803</v>
      </c>
      <c r="J797">
        <v>0.41199999999999998</v>
      </c>
      <c r="K797" t="s">
        <v>2171</v>
      </c>
    </row>
    <row r="798" spans="1:11" hidden="1" x14ac:dyDescent="0.25">
      <c r="A798">
        <v>3863819</v>
      </c>
      <c r="B798" t="s">
        <v>802</v>
      </c>
      <c r="C798">
        <v>0.7798529999999998</v>
      </c>
      <c r="D798">
        <v>4731</v>
      </c>
      <c r="E798" t="s">
        <v>151</v>
      </c>
      <c r="F798">
        <v>1864</v>
      </c>
      <c r="G798" s="582" t="s">
        <v>10</v>
      </c>
      <c r="H798" s="582" t="s">
        <v>737</v>
      </c>
      <c r="I798" t="s">
        <v>803</v>
      </c>
      <c r="J798">
        <v>0.41199999999999998</v>
      </c>
      <c r="K798" t="s">
        <v>2171</v>
      </c>
    </row>
    <row r="799" spans="1:11" hidden="1" x14ac:dyDescent="0.25">
      <c r="A799">
        <v>3568328</v>
      </c>
      <c r="B799" t="s">
        <v>2321</v>
      </c>
      <c r="C799">
        <v>0.50320600000000004</v>
      </c>
      <c r="D799">
        <v>4731</v>
      </c>
      <c r="E799" t="s">
        <v>72</v>
      </c>
      <c r="F799">
        <v>1680</v>
      </c>
      <c r="G799" s="582" t="s">
        <v>10</v>
      </c>
      <c r="H799" s="582" t="s">
        <v>562</v>
      </c>
      <c r="I799" t="s">
        <v>2322</v>
      </c>
      <c r="J799">
        <v>5.39</v>
      </c>
      <c r="K799" t="s">
        <v>1838</v>
      </c>
    </row>
    <row r="800" spans="1:11" hidden="1" x14ac:dyDescent="0.25">
      <c r="A800">
        <v>3568328</v>
      </c>
      <c r="B800" t="s">
        <v>2321</v>
      </c>
      <c r="C800">
        <v>2.2045379999999999</v>
      </c>
      <c r="D800">
        <v>4731</v>
      </c>
      <c r="E800" t="s">
        <v>72</v>
      </c>
      <c r="F800">
        <v>1681</v>
      </c>
      <c r="G800" s="582" t="s">
        <v>10</v>
      </c>
      <c r="H800" s="582" t="s">
        <v>562</v>
      </c>
      <c r="I800" t="s">
        <v>2322</v>
      </c>
      <c r="J800">
        <v>5.39</v>
      </c>
      <c r="K800" t="s">
        <v>1838</v>
      </c>
    </row>
    <row r="801" spans="1:11" hidden="1" x14ac:dyDescent="0.25">
      <c r="A801">
        <v>3568328</v>
      </c>
      <c r="B801" t="s">
        <v>2321</v>
      </c>
      <c r="C801">
        <v>2.2045379999999999</v>
      </c>
      <c r="D801">
        <v>4731</v>
      </c>
      <c r="E801" t="s">
        <v>72</v>
      </c>
      <c r="F801">
        <v>1682</v>
      </c>
      <c r="G801" s="582" t="s">
        <v>10</v>
      </c>
      <c r="H801" s="582" t="s">
        <v>562</v>
      </c>
      <c r="I801" t="s">
        <v>2322</v>
      </c>
      <c r="J801">
        <v>5.39</v>
      </c>
      <c r="K801" t="s">
        <v>1838</v>
      </c>
    </row>
    <row r="802" spans="1:11" hidden="1" x14ac:dyDescent="0.25">
      <c r="A802">
        <v>3568328</v>
      </c>
      <c r="B802" t="s">
        <v>2321</v>
      </c>
      <c r="C802">
        <v>0.51964099999999991</v>
      </c>
      <c r="D802">
        <v>4731</v>
      </c>
      <c r="E802" t="s">
        <v>72</v>
      </c>
      <c r="F802">
        <v>1683</v>
      </c>
      <c r="G802" s="582" t="s">
        <v>10</v>
      </c>
      <c r="H802" s="582" t="s">
        <v>562</v>
      </c>
      <c r="I802" t="s">
        <v>2322</v>
      </c>
      <c r="J802">
        <v>5.39</v>
      </c>
      <c r="K802" t="s">
        <v>1838</v>
      </c>
    </row>
    <row r="803" spans="1:11" hidden="1" x14ac:dyDescent="0.25">
      <c r="A803">
        <v>3568328</v>
      </c>
      <c r="B803" t="s">
        <v>2321</v>
      </c>
      <c r="C803">
        <v>2.2045379999999999</v>
      </c>
      <c r="D803">
        <v>4731</v>
      </c>
      <c r="E803" t="s">
        <v>72</v>
      </c>
      <c r="F803">
        <v>1684</v>
      </c>
      <c r="G803" s="582" t="s">
        <v>10</v>
      </c>
      <c r="H803" s="582" t="s">
        <v>562</v>
      </c>
      <c r="I803" t="s">
        <v>2322</v>
      </c>
      <c r="J803">
        <v>5.39</v>
      </c>
      <c r="K803" t="s">
        <v>1838</v>
      </c>
    </row>
    <row r="804" spans="1:11" hidden="1" x14ac:dyDescent="0.25">
      <c r="A804">
        <v>3938685</v>
      </c>
      <c r="B804" t="s">
        <v>2313</v>
      </c>
      <c r="C804">
        <v>8.6E-3</v>
      </c>
      <c r="D804">
        <v>789</v>
      </c>
      <c r="E804" t="s">
        <v>60</v>
      </c>
      <c r="F804">
        <v>948</v>
      </c>
      <c r="G804" s="582" t="s">
        <v>10</v>
      </c>
      <c r="H804" s="582" t="s">
        <v>445</v>
      </c>
      <c r="I804" t="s">
        <v>2314</v>
      </c>
      <c r="J804">
        <v>8.5000000000000006E-2</v>
      </c>
      <c r="K804" t="s">
        <v>2171</v>
      </c>
    </row>
    <row r="805" spans="1:11" hidden="1" x14ac:dyDescent="0.25">
      <c r="A805">
        <v>3905466</v>
      </c>
      <c r="B805" t="s">
        <v>1487</v>
      </c>
      <c r="C805">
        <v>0.126915</v>
      </c>
      <c r="D805">
        <v>4731</v>
      </c>
      <c r="E805" t="s">
        <v>61</v>
      </c>
      <c r="F805">
        <v>1868</v>
      </c>
      <c r="G805" s="582" t="s">
        <v>10</v>
      </c>
      <c r="H805" s="582" t="s">
        <v>633</v>
      </c>
      <c r="I805" t="s">
        <v>782</v>
      </c>
      <c r="J805">
        <v>5.9509999999999996</v>
      </c>
      <c r="K805" t="s">
        <v>1838</v>
      </c>
    </row>
    <row r="806" spans="1:11" hidden="1" x14ac:dyDescent="0.25">
      <c r="A806">
        <v>3905466</v>
      </c>
      <c r="B806" t="s">
        <v>1487</v>
      </c>
      <c r="C806">
        <v>0.84375</v>
      </c>
      <c r="D806">
        <v>4731</v>
      </c>
      <c r="E806" t="s">
        <v>61</v>
      </c>
      <c r="F806">
        <v>1869</v>
      </c>
      <c r="G806" s="582" t="s">
        <v>10</v>
      </c>
      <c r="H806" s="582" t="s">
        <v>633</v>
      </c>
      <c r="I806" t="s">
        <v>782</v>
      </c>
      <c r="J806">
        <v>5.9509999999999996</v>
      </c>
      <c r="K806" t="s">
        <v>1838</v>
      </c>
    </row>
    <row r="807" spans="1:11" hidden="1" x14ac:dyDescent="0.25">
      <c r="A807">
        <v>3905466</v>
      </c>
      <c r="B807" t="s">
        <v>1487</v>
      </c>
      <c r="C807">
        <v>9.8519000000000009E-2</v>
      </c>
      <c r="D807">
        <v>4731</v>
      </c>
      <c r="E807" t="s">
        <v>61</v>
      </c>
      <c r="F807">
        <v>1870</v>
      </c>
      <c r="G807" s="582" t="s">
        <v>10</v>
      </c>
      <c r="H807" s="582" t="s">
        <v>633</v>
      </c>
      <c r="I807" t="s">
        <v>782</v>
      </c>
      <c r="J807">
        <v>5.9509999999999996</v>
      </c>
      <c r="K807" t="s">
        <v>1838</v>
      </c>
    </row>
    <row r="808" spans="1:11" hidden="1" x14ac:dyDescent="0.25">
      <c r="A808">
        <v>1940437</v>
      </c>
      <c r="B808" t="s">
        <v>637</v>
      </c>
      <c r="C808">
        <v>2.3479999999999998E-3</v>
      </c>
      <c r="D808">
        <v>789</v>
      </c>
      <c r="E808" t="s">
        <v>52</v>
      </c>
      <c r="F808">
        <v>952</v>
      </c>
      <c r="G808" s="582" t="s">
        <v>10</v>
      </c>
      <c r="H808" s="582" t="s">
        <v>633</v>
      </c>
      <c r="I808" t="s">
        <v>638</v>
      </c>
      <c r="J808">
        <v>0.39400000000000002</v>
      </c>
      <c r="K808" t="s">
        <v>2171</v>
      </c>
    </row>
    <row r="809" spans="1:11" hidden="1" x14ac:dyDescent="0.25">
      <c r="A809">
        <v>1940498</v>
      </c>
      <c r="B809" t="s">
        <v>1535</v>
      </c>
      <c r="C809">
        <v>9.7694000000000003E-2</v>
      </c>
      <c r="D809">
        <v>789</v>
      </c>
      <c r="E809" t="s">
        <v>61</v>
      </c>
      <c r="F809">
        <v>953</v>
      </c>
      <c r="G809" s="582" t="s">
        <v>10</v>
      </c>
      <c r="H809" s="582" t="s">
        <v>748</v>
      </c>
      <c r="I809" t="s">
        <v>752</v>
      </c>
      <c r="J809">
        <v>0.28100000000000003</v>
      </c>
      <c r="K809" t="s">
        <v>2171</v>
      </c>
    </row>
    <row r="810" spans="1:11" hidden="1" x14ac:dyDescent="0.25">
      <c r="A810">
        <v>3572043</v>
      </c>
      <c r="B810" t="s">
        <v>1544</v>
      </c>
      <c r="C810">
        <v>1.2E-2</v>
      </c>
      <c r="D810">
        <v>789</v>
      </c>
      <c r="E810" t="s">
        <v>60</v>
      </c>
      <c r="F810">
        <v>963</v>
      </c>
      <c r="G810" s="582" t="s">
        <v>10</v>
      </c>
      <c r="H810" s="582" t="s">
        <v>529</v>
      </c>
      <c r="I810" t="s">
        <v>2315</v>
      </c>
      <c r="J810">
        <v>0.64200000000000002</v>
      </c>
      <c r="K810" t="s">
        <v>2171</v>
      </c>
    </row>
    <row r="811" spans="1:11" hidden="1" x14ac:dyDescent="0.25">
      <c r="A811">
        <v>3572043</v>
      </c>
      <c r="B811" t="s">
        <v>1544</v>
      </c>
      <c r="C811">
        <v>1.4999999999999999E-2</v>
      </c>
      <c r="D811">
        <v>789</v>
      </c>
      <c r="E811" t="s">
        <v>60</v>
      </c>
      <c r="F811">
        <v>964</v>
      </c>
      <c r="G811" s="582" t="s">
        <v>10</v>
      </c>
      <c r="H811" s="582" t="s">
        <v>529</v>
      </c>
      <c r="I811" t="s">
        <v>2315</v>
      </c>
      <c r="J811">
        <v>0.64200000000000002</v>
      </c>
      <c r="K811" t="s">
        <v>2171</v>
      </c>
    </row>
    <row r="812" spans="1:11" hidden="1" x14ac:dyDescent="0.25">
      <c r="A812">
        <v>3572043</v>
      </c>
      <c r="B812" t="s">
        <v>1544</v>
      </c>
      <c r="C812">
        <v>0.45247999999999999</v>
      </c>
      <c r="D812">
        <v>789</v>
      </c>
      <c r="E812" t="s">
        <v>60</v>
      </c>
      <c r="F812">
        <v>965</v>
      </c>
      <c r="G812" s="582" t="s">
        <v>10</v>
      </c>
      <c r="H812" s="582" t="s">
        <v>529</v>
      </c>
      <c r="I812" t="s">
        <v>2315</v>
      </c>
      <c r="J812">
        <v>0.64200000000000002</v>
      </c>
      <c r="K812" t="s">
        <v>2171</v>
      </c>
    </row>
    <row r="813" spans="1:11" hidden="1" x14ac:dyDescent="0.25">
      <c r="A813">
        <v>3907863</v>
      </c>
      <c r="B813" t="s">
        <v>1749</v>
      </c>
      <c r="C813">
        <v>1.5</v>
      </c>
      <c r="D813">
        <v>789</v>
      </c>
      <c r="E813" t="s">
        <v>37</v>
      </c>
      <c r="F813">
        <v>966</v>
      </c>
      <c r="G813" s="582" t="s">
        <v>33</v>
      </c>
      <c r="H813" s="582" t="s">
        <v>926</v>
      </c>
      <c r="I813" t="s">
        <v>2316</v>
      </c>
      <c r="J813">
        <v>5.7110000000000003</v>
      </c>
      <c r="K813" t="s">
        <v>1838</v>
      </c>
    </row>
    <row r="814" spans="1:11" hidden="1" x14ac:dyDescent="0.25">
      <c r="A814">
        <v>3907863</v>
      </c>
      <c r="B814" t="s">
        <v>1749</v>
      </c>
      <c r="C814">
        <v>1.28</v>
      </c>
      <c r="D814">
        <v>789</v>
      </c>
      <c r="E814" t="s">
        <v>37</v>
      </c>
      <c r="F814">
        <v>967</v>
      </c>
      <c r="G814" s="582" t="s">
        <v>33</v>
      </c>
      <c r="H814" s="582" t="s">
        <v>926</v>
      </c>
      <c r="I814" t="s">
        <v>2316</v>
      </c>
      <c r="J814">
        <v>5.7110000000000003</v>
      </c>
      <c r="K814" t="s">
        <v>1838</v>
      </c>
    </row>
    <row r="815" spans="1:11" hidden="1" x14ac:dyDescent="0.25">
      <c r="A815">
        <v>3907863</v>
      </c>
      <c r="B815" t="s">
        <v>1749</v>
      </c>
      <c r="C815">
        <v>1.5009999999999999</v>
      </c>
      <c r="D815">
        <v>789</v>
      </c>
      <c r="E815" t="s">
        <v>37</v>
      </c>
      <c r="F815">
        <v>968</v>
      </c>
      <c r="G815" s="582" t="s">
        <v>33</v>
      </c>
      <c r="H815" s="582" t="s">
        <v>926</v>
      </c>
      <c r="I815" t="s">
        <v>2316</v>
      </c>
      <c r="J815">
        <v>5.7110000000000003</v>
      </c>
      <c r="K815" t="s">
        <v>1838</v>
      </c>
    </row>
    <row r="816" spans="1:11" hidden="1" x14ac:dyDescent="0.25">
      <c r="A816">
        <v>3907863</v>
      </c>
      <c r="B816" t="s">
        <v>1749</v>
      </c>
      <c r="C816">
        <v>1.5009999999999999</v>
      </c>
      <c r="D816">
        <v>789</v>
      </c>
      <c r="E816" t="s">
        <v>37</v>
      </c>
      <c r="F816">
        <v>969</v>
      </c>
      <c r="G816" s="582" t="s">
        <v>33</v>
      </c>
      <c r="H816" s="582" t="s">
        <v>926</v>
      </c>
      <c r="I816" t="s">
        <v>2316</v>
      </c>
      <c r="J816">
        <v>5.7110000000000003</v>
      </c>
      <c r="K816" t="s">
        <v>1838</v>
      </c>
    </row>
    <row r="817" spans="1:11" hidden="1" x14ac:dyDescent="0.25">
      <c r="A817">
        <v>3907863</v>
      </c>
      <c r="B817" t="s">
        <v>1749</v>
      </c>
      <c r="C817">
        <v>1.4590000000000001</v>
      </c>
      <c r="D817">
        <v>789</v>
      </c>
      <c r="E817" t="s">
        <v>37</v>
      </c>
      <c r="F817">
        <v>970</v>
      </c>
      <c r="G817" s="582" t="s">
        <v>33</v>
      </c>
      <c r="H817" s="582" t="s">
        <v>926</v>
      </c>
      <c r="I817" t="s">
        <v>2316</v>
      </c>
      <c r="J817">
        <v>5.7110000000000003</v>
      </c>
      <c r="K817" t="s">
        <v>1838</v>
      </c>
    </row>
    <row r="818" spans="1:11" hidden="1" x14ac:dyDescent="0.25">
      <c r="A818">
        <v>3907863</v>
      </c>
      <c r="B818" t="s">
        <v>1749</v>
      </c>
      <c r="C818">
        <v>2.5000000000000001E-2</v>
      </c>
      <c r="D818">
        <v>789</v>
      </c>
      <c r="E818" t="s">
        <v>37</v>
      </c>
      <c r="F818">
        <v>971</v>
      </c>
      <c r="G818" s="582" t="s">
        <v>33</v>
      </c>
      <c r="H818" s="582" t="s">
        <v>926</v>
      </c>
      <c r="I818" t="s">
        <v>2316</v>
      </c>
      <c r="J818">
        <v>5.7110000000000003</v>
      </c>
      <c r="K818" t="s">
        <v>1838</v>
      </c>
    </row>
    <row r="819" spans="1:11" hidden="1" x14ac:dyDescent="0.25">
      <c r="A819">
        <v>3907863</v>
      </c>
      <c r="B819" t="s">
        <v>1749</v>
      </c>
      <c r="C819">
        <v>3.5999999999999997E-2</v>
      </c>
      <c r="D819">
        <v>789</v>
      </c>
      <c r="E819" t="s">
        <v>37</v>
      </c>
      <c r="F819">
        <v>972</v>
      </c>
      <c r="G819" s="582" t="s">
        <v>33</v>
      </c>
      <c r="H819" s="582" t="s">
        <v>926</v>
      </c>
      <c r="I819" t="s">
        <v>2316</v>
      </c>
      <c r="J819">
        <v>5.7110000000000003</v>
      </c>
      <c r="K819" t="s">
        <v>1838</v>
      </c>
    </row>
    <row r="820" spans="1:11" hidden="1" x14ac:dyDescent="0.25">
      <c r="A820">
        <v>3907863</v>
      </c>
      <c r="B820" t="s">
        <v>1749</v>
      </c>
      <c r="C820">
        <v>0.31</v>
      </c>
      <c r="D820">
        <v>789</v>
      </c>
      <c r="E820" t="s">
        <v>37</v>
      </c>
      <c r="F820">
        <v>998</v>
      </c>
      <c r="G820" s="582" t="s">
        <v>33</v>
      </c>
      <c r="H820" s="582" t="s">
        <v>926</v>
      </c>
      <c r="I820" t="s">
        <v>2316</v>
      </c>
      <c r="J820">
        <v>5.7110000000000003</v>
      </c>
      <c r="K820" t="s">
        <v>1838</v>
      </c>
    </row>
    <row r="821" spans="1:11" hidden="1" x14ac:dyDescent="0.25">
      <c r="A821">
        <v>3907863</v>
      </c>
      <c r="B821" t="s">
        <v>1749</v>
      </c>
      <c r="C821">
        <v>0.34100000000000003</v>
      </c>
      <c r="D821">
        <v>789</v>
      </c>
      <c r="E821" t="s">
        <v>37</v>
      </c>
      <c r="F821">
        <v>999</v>
      </c>
      <c r="G821" s="582" t="s">
        <v>33</v>
      </c>
      <c r="H821" s="582" t="s">
        <v>926</v>
      </c>
      <c r="I821" t="s">
        <v>2316</v>
      </c>
      <c r="J821">
        <v>5.7110000000000003</v>
      </c>
      <c r="K821" t="s">
        <v>1838</v>
      </c>
    </row>
    <row r="822" spans="1:11" hidden="1" x14ac:dyDescent="0.25">
      <c r="A822">
        <v>3907863</v>
      </c>
      <c r="B822" t="s">
        <v>1749</v>
      </c>
      <c r="C822">
        <v>1.367</v>
      </c>
      <c r="D822">
        <v>789</v>
      </c>
      <c r="E822" t="s">
        <v>37</v>
      </c>
      <c r="F822">
        <v>1000</v>
      </c>
      <c r="G822" s="582" t="s">
        <v>33</v>
      </c>
      <c r="H822" s="582" t="s">
        <v>926</v>
      </c>
      <c r="I822" t="s">
        <v>2316</v>
      </c>
      <c r="J822">
        <v>5.7110000000000003</v>
      </c>
      <c r="K822" t="s">
        <v>1838</v>
      </c>
    </row>
    <row r="823" spans="1:11" hidden="1" x14ac:dyDescent="0.25">
      <c r="A823">
        <v>3907863</v>
      </c>
      <c r="B823" t="s">
        <v>1749</v>
      </c>
      <c r="C823">
        <v>0.02</v>
      </c>
      <c r="D823">
        <v>789</v>
      </c>
      <c r="E823" t="s">
        <v>37</v>
      </c>
      <c r="F823">
        <v>1001</v>
      </c>
      <c r="G823" s="582" t="s">
        <v>33</v>
      </c>
      <c r="H823" s="582" t="s">
        <v>926</v>
      </c>
      <c r="I823" t="s">
        <v>2316</v>
      </c>
      <c r="J823">
        <v>5.7110000000000003</v>
      </c>
      <c r="K823" t="s">
        <v>1838</v>
      </c>
    </row>
    <row r="824" spans="1:11" hidden="1" x14ac:dyDescent="0.25">
      <c r="A824">
        <v>3907863</v>
      </c>
      <c r="B824" t="s">
        <v>1749</v>
      </c>
      <c r="C824">
        <v>1.5</v>
      </c>
      <c r="D824">
        <v>789</v>
      </c>
      <c r="E824" t="s">
        <v>37</v>
      </c>
      <c r="F824">
        <v>1002</v>
      </c>
      <c r="G824" s="582" t="s">
        <v>33</v>
      </c>
      <c r="H824" s="582" t="s">
        <v>926</v>
      </c>
      <c r="I824" t="s">
        <v>2316</v>
      </c>
      <c r="J824">
        <v>5.7110000000000003</v>
      </c>
      <c r="K824" t="s">
        <v>1838</v>
      </c>
    </row>
    <row r="825" spans="1:11" hidden="1" x14ac:dyDescent="0.25">
      <c r="A825">
        <v>3907863</v>
      </c>
      <c r="B825" t="s">
        <v>1749</v>
      </c>
      <c r="C825">
        <v>1.496</v>
      </c>
      <c r="D825">
        <v>789</v>
      </c>
      <c r="E825" t="s">
        <v>37</v>
      </c>
      <c r="F825">
        <v>1003</v>
      </c>
      <c r="G825" s="582" t="s">
        <v>33</v>
      </c>
      <c r="H825" s="582" t="s">
        <v>926</v>
      </c>
      <c r="I825" t="s">
        <v>2316</v>
      </c>
      <c r="J825">
        <v>5.7110000000000003</v>
      </c>
      <c r="K825" t="s">
        <v>1838</v>
      </c>
    </row>
    <row r="826" spans="1:11" hidden="1" x14ac:dyDescent="0.25">
      <c r="A826">
        <v>3907863</v>
      </c>
      <c r="B826" t="s">
        <v>1749</v>
      </c>
      <c r="C826">
        <v>0.39200000000000002</v>
      </c>
      <c r="D826">
        <v>789</v>
      </c>
      <c r="E826" t="s">
        <v>37</v>
      </c>
      <c r="F826">
        <v>1004</v>
      </c>
      <c r="G826" s="582" t="s">
        <v>33</v>
      </c>
      <c r="H826" s="582" t="s">
        <v>926</v>
      </c>
      <c r="I826" t="s">
        <v>2316</v>
      </c>
      <c r="J826">
        <v>5.7110000000000003</v>
      </c>
      <c r="K826" t="s">
        <v>1838</v>
      </c>
    </row>
    <row r="827" spans="1:11" hidden="1" x14ac:dyDescent="0.25">
      <c r="A827">
        <v>4095223</v>
      </c>
      <c r="B827" t="s">
        <v>2317</v>
      </c>
      <c r="C827">
        <v>1.7099999999999999E-3</v>
      </c>
      <c r="D827">
        <v>789</v>
      </c>
      <c r="E827" t="s">
        <v>30</v>
      </c>
      <c r="F827">
        <v>973</v>
      </c>
      <c r="G827" s="582" t="s">
        <v>10</v>
      </c>
      <c r="H827" s="582" t="s">
        <v>1008</v>
      </c>
      <c r="I827" t="s">
        <v>2318</v>
      </c>
      <c r="J827">
        <v>0.28999999999999998</v>
      </c>
      <c r="K827" t="s">
        <v>2171</v>
      </c>
    </row>
    <row r="828" spans="1:11" hidden="1" x14ac:dyDescent="0.25">
      <c r="A828">
        <v>4229657</v>
      </c>
      <c r="B828" t="s">
        <v>740</v>
      </c>
      <c r="C828">
        <v>1.7989000000000002E-2</v>
      </c>
      <c r="D828">
        <v>789</v>
      </c>
      <c r="E828" t="s">
        <v>48</v>
      </c>
      <c r="F828">
        <v>976</v>
      </c>
      <c r="G828" s="582" t="s">
        <v>10</v>
      </c>
      <c r="H828" s="582" t="s">
        <v>428</v>
      </c>
      <c r="I828" t="s">
        <v>741</v>
      </c>
      <c r="J828">
        <v>0.64700000000000002</v>
      </c>
      <c r="K828" t="s">
        <v>2171</v>
      </c>
    </row>
    <row r="829" spans="1:11" hidden="1" x14ac:dyDescent="0.25">
      <c r="A829">
        <v>3629057</v>
      </c>
      <c r="B829" t="s">
        <v>753</v>
      </c>
      <c r="C829">
        <v>7.1221000000000007E-2</v>
      </c>
      <c r="D829">
        <v>4731</v>
      </c>
      <c r="E829" t="s">
        <v>61</v>
      </c>
      <c r="F829">
        <v>1703</v>
      </c>
      <c r="G829" s="582" t="s">
        <v>10</v>
      </c>
      <c r="H829" s="582" t="s">
        <v>748</v>
      </c>
      <c r="I829" t="s">
        <v>754</v>
      </c>
      <c r="J829">
        <v>0.42699999999999999</v>
      </c>
      <c r="K829" t="s">
        <v>2171</v>
      </c>
    </row>
    <row r="830" spans="1:11" hidden="1" x14ac:dyDescent="0.25">
      <c r="A830">
        <v>1940472</v>
      </c>
      <c r="B830" t="s">
        <v>2063</v>
      </c>
      <c r="C830">
        <v>1.082E-2</v>
      </c>
      <c r="D830">
        <v>789</v>
      </c>
      <c r="E830" t="s">
        <v>46</v>
      </c>
      <c r="F830">
        <v>978</v>
      </c>
      <c r="G830" s="582" t="s">
        <v>10</v>
      </c>
      <c r="H830" s="582" t="s">
        <v>633</v>
      </c>
      <c r="I830" t="s">
        <v>2319</v>
      </c>
      <c r="J830">
        <v>0.86199999999999999</v>
      </c>
      <c r="K830" t="s">
        <v>2171</v>
      </c>
    </row>
    <row r="831" spans="1:11" hidden="1" x14ac:dyDescent="0.25">
      <c r="A831">
        <v>3500367</v>
      </c>
      <c r="B831" t="s">
        <v>755</v>
      </c>
      <c r="C831">
        <v>0.9449160000000002</v>
      </c>
      <c r="D831">
        <v>4731</v>
      </c>
      <c r="E831" t="s">
        <v>72</v>
      </c>
      <c r="F831">
        <v>1462</v>
      </c>
      <c r="G831" s="582" t="s">
        <v>10</v>
      </c>
      <c r="H831" s="582" t="s">
        <v>748</v>
      </c>
      <c r="I831" t="s">
        <v>756</v>
      </c>
      <c r="J831">
        <v>6.22</v>
      </c>
      <c r="K831" t="s">
        <v>1838</v>
      </c>
    </row>
    <row r="832" spans="1:11" hidden="1" x14ac:dyDescent="0.25">
      <c r="A832">
        <v>3500367</v>
      </c>
      <c r="B832" t="s">
        <v>755</v>
      </c>
      <c r="C832">
        <v>1.3734820000000001</v>
      </c>
      <c r="D832">
        <v>4731</v>
      </c>
      <c r="E832" t="s">
        <v>72</v>
      </c>
      <c r="F832">
        <v>1463</v>
      </c>
      <c r="G832" s="582" t="s">
        <v>10</v>
      </c>
      <c r="H832" s="582" t="s">
        <v>748</v>
      </c>
      <c r="I832" t="s">
        <v>756</v>
      </c>
      <c r="J832">
        <v>6.22</v>
      </c>
      <c r="K832" t="s">
        <v>1838</v>
      </c>
    </row>
    <row r="833" spans="1:11" hidden="1" x14ac:dyDescent="0.25">
      <c r="A833">
        <v>3500367</v>
      </c>
      <c r="B833" t="s">
        <v>755</v>
      </c>
      <c r="C833">
        <v>0.68168899999999999</v>
      </c>
      <c r="D833">
        <v>4731</v>
      </c>
      <c r="E833" t="s">
        <v>72</v>
      </c>
      <c r="F833">
        <v>1464</v>
      </c>
      <c r="G833" s="582" t="s">
        <v>10</v>
      </c>
      <c r="H833" s="582" t="s">
        <v>748</v>
      </c>
      <c r="I833" t="s">
        <v>756</v>
      </c>
      <c r="J833">
        <v>6.22</v>
      </c>
      <c r="K833" t="s">
        <v>1838</v>
      </c>
    </row>
    <row r="834" spans="1:11" hidden="1" x14ac:dyDescent="0.25">
      <c r="A834">
        <v>3500367</v>
      </c>
      <c r="B834" t="s">
        <v>755</v>
      </c>
      <c r="C834">
        <v>0.79425199999999996</v>
      </c>
      <c r="D834">
        <v>4731</v>
      </c>
      <c r="E834" t="s">
        <v>72</v>
      </c>
      <c r="F834">
        <v>1465</v>
      </c>
      <c r="G834" s="582" t="s">
        <v>10</v>
      </c>
      <c r="H834" s="582" t="s">
        <v>748</v>
      </c>
      <c r="I834" t="s">
        <v>756</v>
      </c>
      <c r="J834">
        <v>6.22</v>
      </c>
      <c r="K834" t="s">
        <v>1838</v>
      </c>
    </row>
    <row r="835" spans="1:11" hidden="1" x14ac:dyDescent="0.25">
      <c r="A835">
        <v>3500367</v>
      </c>
      <c r="B835" t="s">
        <v>755</v>
      </c>
      <c r="C835">
        <v>8.9411000000000004E-2</v>
      </c>
      <c r="D835">
        <v>4731</v>
      </c>
      <c r="E835" t="s">
        <v>72</v>
      </c>
      <c r="F835">
        <v>1466</v>
      </c>
      <c r="G835" s="582" t="s">
        <v>10</v>
      </c>
      <c r="H835" s="582" t="s">
        <v>748</v>
      </c>
      <c r="I835" t="s">
        <v>756</v>
      </c>
      <c r="J835">
        <v>6.22</v>
      </c>
      <c r="K835" t="s">
        <v>1838</v>
      </c>
    </row>
    <row r="836" spans="1:11" hidden="1" x14ac:dyDescent="0.25">
      <c r="A836">
        <v>3500367</v>
      </c>
      <c r="B836" t="s">
        <v>755</v>
      </c>
      <c r="C836">
        <v>1.518615</v>
      </c>
      <c r="D836">
        <v>4731</v>
      </c>
      <c r="E836" t="s">
        <v>72</v>
      </c>
      <c r="F836">
        <v>1467</v>
      </c>
      <c r="G836" s="582" t="s">
        <v>10</v>
      </c>
      <c r="H836" s="582" t="s">
        <v>748</v>
      </c>
      <c r="I836" t="s">
        <v>756</v>
      </c>
      <c r="J836">
        <v>6.22</v>
      </c>
      <c r="K836" t="s">
        <v>1838</v>
      </c>
    </row>
    <row r="837" spans="1:11" hidden="1" x14ac:dyDescent="0.25">
      <c r="A837">
        <v>3500367</v>
      </c>
      <c r="B837" t="s">
        <v>755</v>
      </c>
      <c r="C837">
        <v>1.347615</v>
      </c>
      <c r="D837">
        <v>4731</v>
      </c>
      <c r="E837" t="s">
        <v>72</v>
      </c>
      <c r="F837">
        <v>1468</v>
      </c>
      <c r="G837" s="582" t="s">
        <v>10</v>
      </c>
      <c r="H837" s="582" t="s">
        <v>748</v>
      </c>
      <c r="I837" t="s">
        <v>756</v>
      </c>
      <c r="J837">
        <v>6.22</v>
      </c>
      <c r="K837" t="s">
        <v>1838</v>
      </c>
    </row>
    <row r="838" spans="1:11" hidden="1" x14ac:dyDescent="0.25">
      <c r="A838">
        <v>3500367</v>
      </c>
      <c r="B838" t="s">
        <v>755</v>
      </c>
      <c r="C838">
        <v>6.0994E-2</v>
      </c>
      <c r="D838">
        <v>4731</v>
      </c>
      <c r="E838" t="s">
        <v>72</v>
      </c>
      <c r="F838">
        <v>1469</v>
      </c>
      <c r="G838" s="582" t="s">
        <v>10</v>
      </c>
      <c r="H838" s="582" t="s">
        <v>748</v>
      </c>
      <c r="I838" t="s">
        <v>756</v>
      </c>
      <c r="J838">
        <v>6.22</v>
      </c>
      <c r="K838" t="s">
        <v>1838</v>
      </c>
    </row>
    <row r="839" spans="1:11" hidden="1" x14ac:dyDescent="0.25">
      <c r="A839">
        <v>3732180</v>
      </c>
      <c r="B839" t="s">
        <v>1566</v>
      </c>
      <c r="C839">
        <v>1.8599999999999999E-4</v>
      </c>
      <c r="D839">
        <v>789</v>
      </c>
      <c r="E839" t="s">
        <v>39</v>
      </c>
      <c r="F839">
        <v>992</v>
      </c>
      <c r="G839" s="582" t="s">
        <v>10</v>
      </c>
      <c r="H839" s="582" t="s">
        <v>1007</v>
      </c>
      <c r="I839" t="s">
        <v>2323</v>
      </c>
      <c r="J839">
        <v>0.20799999999999999</v>
      </c>
      <c r="K839" t="s">
        <v>2171</v>
      </c>
    </row>
    <row r="840" spans="1:11" hidden="1" x14ac:dyDescent="0.25">
      <c r="A840">
        <v>3732180</v>
      </c>
      <c r="B840" t="s">
        <v>1566</v>
      </c>
      <c r="C840">
        <v>1.76E-4</v>
      </c>
      <c r="D840">
        <v>789</v>
      </c>
      <c r="E840" t="s">
        <v>39</v>
      </c>
      <c r="F840">
        <v>993</v>
      </c>
      <c r="G840" s="582" t="s">
        <v>10</v>
      </c>
      <c r="H840" s="582" t="s">
        <v>1007</v>
      </c>
      <c r="I840" t="s">
        <v>2323</v>
      </c>
      <c r="J840">
        <v>0.20799999999999999</v>
      </c>
      <c r="K840" t="s">
        <v>2171</v>
      </c>
    </row>
    <row r="841" spans="1:11" hidden="1" x14ac:dyDescent="0.25">
      <c r="A841">
        <v>3732180</v>
      </c>
      <c r="B841" t="s">
        <v>1566</v>
      </c>
      <c r="C841">
        <v>1.75E-4</v>
      </c>
      <c r="D841">
        <v>789</v>
      </c>
      <c r="E841" t="s">
        <v>39</v>
      </c>
      <c r="F841">
        <v>994</v>
      </c>
      <c r="G841" s="582" t="s">
        <v>10</v>
      </c>
      <c r="H841" s="582" t="s">
        <v>1007</v>
      </c>
      <c r="I841" t="s">
        <v>2323</v>
      </c>
      <c r="J841">
        <v>0.20799999999999999</v>
      </c>
      <c r="K841" t="s">
        <v>2171</v>
      </c>
    </row>
    <row r="842" spans="1:11" hidden="1" x14ac:dyDescent="0.25">
      <c r="A842">
        <v>3732180</v>
      </c>
      <c r="B842" t="s">
        <v>1566</v>
      </c>
      <c r="C842">
        <v>1.8599999999999999E-4</v>
      </c>
      <c r="D842">
        <v>789</v>
      </c>
      <c r="E842" t="s">
        <v>39</v>
      </c>
      <c r="F842">
        <v>995</v>
      </c>
      <c r="G842" s="582" t="s">
        <v>10</v>
      </c>
      <c r="H842" s="582" t="s">
        <v>1007</v>
      </c>
      <c r="I842" t="s">
        <v>2323</v>
      </c>
      <c r="J842">
        <v>0.20799999999999999</v>
      </c>
      <c r="K842" t="s">
        <v>2171</v>
      </c>
    </row>
    <row r="843" spans="1:11" hidden="1" x14ac:dyDescent="0.25">
      <c r="A843">
        <v>3732180</v>
      </c>
      <c r="B843" t="s">
        <v>1566</v>
      </c>
      <c r="C843">
        <v>1.75E-4</v>
      </c>
      <c r="D843">
        <v>789</v>
      </c>
      <c r="E843" t="s">
        <v>39</v>
      </c>
      <c r="F843">
        <v>996</v>
      </c>
      <c r="G843" s="582" t="s">
        <v>10</v>
      </c>
      <c r="H843" s="582" t="s">
        <v>1007</v>
      </c>
      <c r="I843" t="s">
        <v>2323</v>
      </c>
      <c r="J843">
        <v>0.20799999999999999</v>
      </c>
      <c r="K843" t="s">
        <v>2171</v>
      </c>
    </row>
    <row r="844" spans="1:11" hidden="1" x14ac:dyDescent="0.25">
      <c r="A844">
        <v>3732180</v>
      </c>
      <c r="B844" t="s">
        <v>1566</v>
      </c>
      <c r="C844">
        <v>1.7699999999999999E-4</v>
      </c>
      <c r="D844">
        <v>789</v>
      </c>
      <c r="E844" t="s">
        <v>39</v>
      </c>
      <c r="F844">
        <v>997</v>
      </c>
      <c r="G844" s="582" t="s">
        <v>10</v>
      </c>
      <c r="H844" s="582" t="s">
        <v>1007</v>
      </c>
      <c r="I844" t="s">
        <v>2323</v>
      </c>
      <c r="J844">
        <v>0.20799999999999999</v>
      </c>
      <c r="K844" t="s">
        <v>2171</v>
      </c>
    </row>
    <row r="845" spans="1:11" hidden="1" x14ac:dyDescent="0.25">
      <c r="A845">
        <v>3732180</v>
      </c>
      <c r="B845" t="s">
        <v>1566</v>
      </c>
      <c r="C845">
        <v>0.25542199999999998</v>
      </c>
      <c r="D845">
        <v>4731</v>
      </c>
      <c r="E845" t="s">
        <v>39</v>
      </c>
      <c r="F845">
        <v>1774</v>
      </c>
      <c r="G845" s="582" t="s">
        <v>10</v>
      </c>
      <c r="H845" s="582" t="s">
        <v>1007</v>
      </c>
      <c r="I845" t="s">
        <v>2323</v>
      </c>
      <c r="J845">
        <v>0.20799999999999999</v>
      </c>
      <c r="K845" t="s">
        <v>2171</v>
      </c>
    </row>
    <row r="846" spans="1:11" hidden="1" x14ac:dyDescent="0.25">
      <c r="A846">
        <v>1940466</v>
      </c>
      <c r="B846" t="s">
        <v>764</v>
      </c>
      <c r="C846">
        <v>0.24714700000000001</v>
      </c>
      <c r="D846">
        <v>789</v>
      </c>
      <c r="E846" t="s">
        <v>151</v>
      </c>
      <c r="F846">
        <v>1013</v>
      </c>
      <c r="G846" s="582" t="s">
        <v>10</v>
      </c>
      <c r="H846" s="582" t="s">
        <v>633</v>
      </c>
      <c r="I846" t="s">
        <v>765</v>
      </c>
      <c r="J846">
        <v>0.80900000000000005</v>
      </c>
      <c r="K846" t="s">
        <v>2171</v>
      </c>
    </row>
    <row r="847" spans="1:11" hidden="1" x14ac:dyDescent="0.25">
      <c r="A847">
        <v>1940466</v>
      </c>
      <c r="B847" t="s">
        <v>764</v>
      </c>
      <c r="C847">
        <v>1.534</v>
      </c>
      <c r="D847">
        <v>789</v>
      </c>
      <c r="E847" t="s">
        <v>151</v>
      </c>
      <c r="F847">
        <v>1014</v>
      </c>
      <c r="G847" s="582" t="s">
        <v>10</v>
      </c>
      <c r="H847" s="582" t="s">
        <v>633</v>
      </c>
      <c r="I847" t="s">
        <v>765</v>
      </c>
      <c r="J847">
        <v>0.80900000000000005</v>
      </c>
      <c r="K847" t="s">
        <v>2171</v>
      </c>
    </row>
    <row r="848" spans="1:11" hidden="1" x14ac:dyDescent="0.25">
      <c r="A848">
        <v>1940466</v>
      </c>
      <c r="B848" t="s">
        <v>764</v>
      </c>
      <c r="C848">
        <v>7.4689000000000005E-2</v>
      </c>
      <c r="D848">
        <v>4731</v>
      </c>
      <c r="E848" t="s">
        <v>151</v>
      </c>
      <c r="F848">
        <v>1330</v>
      </c>
      <c r="G848" s="582" t="s">
        <v>10</v>
      </c>
      <c r="H848" s="582" t="s">
        <v>633</v>
      </c>
      <c r="I848" t="s">
        <v>765</v>
      </c>
      <c r="J848">
        <v>0.80900000000000005</v>
      </c>
      <c r="K848" t="s">
        <v>2171</v>
      </c>
    </row>
    <row r="849" spans="1:11" hidden="1" x14ac:dyDescent="0.25">
      <c r="A849">
        <v>2270133</v>
      </c>
      <c r="B849" t="s">
        <v>413</v>
      </c>
      <c r="C849">
        <v>6.8399999999999997E-3</v>
      </c>
      <c r="D849">
        <v>789</v>
      </c>
      <c r="E849" t="s">
        <v>61</v>
      </c>
      <c r="F849">
        <v>1188</v>
      </c>
      <c r="G849" s="582" t="s">
        <v>10</v>
      </c>
      <c r="H849" s="582" t="s">
        <v>412</v>
      </c>
      <c r="I849" t="s">
        <v>414</v>
      </c>
      <c r="J849">
        <v>0.7</v>
      </c>
      <c r="K849" t="s">
        <v>2171</v>
      </c>
    </row>
    <row r="850" spans="1:11" hidden="1" x14ac:dyDescent="0.25">
      <c r="A850">
        <v>3673011</v>
      </c>
      <c r="B850" t="s">
        <v>651</v>
      </c>
      <c r="C850">
        <v>0.12601799999999999</v>
      </c>
      <c r="D850">
        <v>789</v>
      </c>
      <c r="E850" t="s">
        <v>61</v>
      </c>
      <c r="F850">
        <v>1247</v>
      </c>
      <c r="G850" s="582" t="s">
        <v>10</v>
      </c>
      <c r="H850" s="582" t="s">
        <v>412</v>
      </c>
      <c r="I850" t="s">
        <v>652</v>
      </c>
      <c r="J850">
        <v>1.304</v>
      </c>
      <c r="K850" t="s">
        <v>2171</v>
      </c>
    </row>
    <row r="851" spans="1:11" hidden="1" x14ac:dyDescent="0.25">
      <c r="A851">
        <v>2349249</v>
      </c>
      <c r="B851" t="s">
        <v>2328</v>
      </c>
      <c r="C851">
        <v>1.124E-2</v>
      </c>
      <c r="D851">
        <v>789</v>
      </c>
      <c r="E851" t="s">
        <v>61</v>
      </c>
      <c r="F851">
        <v>1255</v>
      </c>
      <c r="G851" s="582" t="s">
        <v>10</v>
      </c>
      <c r="H851" s="582" t="s">
        <v>412</v>
      </c>
      <c r="I851" t="s">
        <v>761</v>
      </c>
      <c r="J851">
        <v>1.3380000000000001</v>
      </c>
      <c r="K851" t="s">
        <v>2171</v>
      </c>
    </row>
    <row r="852" spans="1:11" hidden="1" x14ac:dyDescent="0.25">
      <c r="A852">
        <v>3715133</v>
      </c>
      <c r="B852" t="s">
        <v>2084</v>
      </c>
      <c r="C852">
        <v>1.3464E-2</v>
      </c>
      <c r="D852">
        <v>789</v>
      </c>
      <c r="E852" t="s">
        <v>52</v>
      </c>
      <c r="F852">
        <v>1106</v>
      </c>
      <c r="G852" s="582" t="s">
        <v>10</v>
      </c>
      <c r="H852" s="582" t="s">
        <v>1028</v>
      </c>
      <c r="I852" t="s">
        <v>2325</v>
      </c>
      <c r="J852">
        <v>0.65800000000000003</v>
      </c>
      <c r="K852" t="s">
        <v>2171</v>
      </c>
    </row>
    <row r="853" spans="1:11" hidden="1" x14ac:dyDescent="0.25">
      <c r="A853">
        <v>3935311</v>
      </c>
      <c r="B853" t="s">
        <v>622</v>
      </c>
      <c r="C853">
        <v>8.0450000000000001E-3</v>
      </c>
      <c r="D853">
        <v>789</v>
      </c>
      <c r="E853" t="s">
        <v>30</v>
      </c>
      <c r="F853">
        <v>1108</v>
      </c>
      <c r="G853" s="582" t="s">
        <v>10</v>
      </c>
      <c r="H853" s="582" t="s">
        <v>529</v>
      </c>
      <c r="I853" t="s">
        <v>623</v>
      </c>
      <c r="J853">
        <v>1.298</v>
      </c>
      <c r="K853" t="s">
        <v>2171</v>
      </c>
    </row>
    <row r="854" spans="1:11" hidden="1" x14ac:dyDescent="0.25">
      <c r="A854">
        <v>3935311</v>
      </c>
      <c r="B854" t="s">
        <v>622</v>
      </c>
      <c r="C854">
        <v>1.1869999999999999E-3</v>
      </c>
      <c r="D854">
        <v>789</v>
      </c>
      <c r="E854" t="s">
        <v>30</v>
      </c>
      <c r="F854">
        <v>1109</v>
      </c>
      <c r="G854" s="582" t="s">
        <v>10</v>
      </c>
      <c r="H854" s="582" t="s">
        <v>529</v>
      </c>
      <c r="I854" t="s">
        <v>623</v>
      </c>
      <c r="J854">
        <v>1.298</v>
      </c>
      <c r="K854" t="s">
        <v>2171</v>
      </c>
    </row>
    <row r="855" spans="1:11" hidden="1" x14ac:dyDescent="0.25">
      <c r="A855">
        <v>3935311</v>
      </c>
      <c r="B855" t="s">
        <v>622</v>
      </c>
      <c r="C855">
        <v>1.255E-2</v>
      </c>
      <c r="D855">
        <v>789</v>
      </c>
      <c r="E855" t="s">
        <v>30</v>
      </c>
      <c r="F855">
        <v>1110</v>
      </c>
      <c r="G855" s="582" t="s">
        <v>10</v>
      </c>
      <c r="H855" s="582" t="s">
        <v>529</v>
      </c>
      <c r="I855" t="s">
        <v>623</v>
      </c>
      <c r="J855">
        <v>1.298</v>
      </c>
      <c r="K855" t="s">
        <v>2171</v>
      </c>
    </row>
    <row r="856" spans="1:11" hidden="1" x14ac:dyDescent="0.25">
      <c r="A856">
        <v>3935311</v>
      </c>
      <c r="B856" t="s">
        <v>622</v>
      </c>
      <c r="C856">
        <v>0.75170000000000003</v>
      </c>
      <c r="D856">
        <v>789</v>
      </c>
      <c r="E856" t="s">
        <v>30</v>
      </c>
      <c r="F856">
        <v>1111</v>
      </c>
      <c r="G856" s="582" t="s">
        <v>10</v>
      </c>
      <c r="H856" s="582" t="s">
        <v>529</v>
      </c>
      <c r="I856" t="s">
        <v>623</v>
      </c>
      <c r="J856">
        <v>1.298</v>
      </c>
      <c r="K856" t="s">
        <v>2171</v>
      </c>
    </row>
    <row r="857" spans="1:11" hidden="1" x14ac:dyDescent="0.25">
      <c r="A857">
        <v>2331952</v>
      </c>
      <c r="B857" t="s">
        <v>2326</v>
      </c>
      <c r="C857">
        <v>1.4999999999999999E-2</v>
      </c>
      <c r="D857">
        <v>789</v>
      </c>
      <c r="E857" t="s">
        <v>151</v>
      </c>
      <c r="F857">
        <v>1126</v>
      </c>
      <c r="G857" s="582" t="s">
        <v>10</v>
      </c>
      <c r="H857" s="582" t="s">
        <v>692</v>
      </c>
      <c r="I857" t="s">
        <v>2327</v>
      </c>
      <c r="J857">
        <v>0.61</v>
      </c>
      <c r="K857" t="s">
        <v>2171</v>
      </c>
    </row>
    <row r="858" spans="1:11" hidden="1" x14ac:dyDescent="0.25">
      <c r="A858">
        <v>2331952</v>
      </c>
      <c r="B858" t="s">
        <v>2326</v>
      </c>
      <c r="C858">
        <v>0.14044000000000001</v>
      </c>
      <c r="D858">
        <v>789</v>
      </c>
      <c r="E858" t="s">
        <v>151</v>
      </c>
      <c r="F858">
        <v>1127</v>
      </c>
      <c r="G858" s="582" t="s">
        <v>10</v>
      </c>
      <c r="H858" s="582" t="s">
        <v>692</v>
      </c>
      <c r="I858" t="s">
        <v>2327</v>
      </c>
      <c r="J858">
        <v>0.61</v>
      </c>
      <c r="K858" t="s">
        <v>2171</v>
      </c>
    </row>
    <row r="859" spans="1:11" hidden="1" x14ac:dyDescent="0.25">
      <c r="A859">
        <v>2331952</v>
      </c>
      <c r="B859" t="s">
        <v>2326</v>
      </c>
      <c r="C859">
        <v>1.617</v>
      </c>
      <c r="D859">
        <v>789</v>
      </c>
      <c r="E859" t="s">
        <v>151</v>
      </c>
      <c r="F859">
        <v>1128</v>
      </c>
      <c r="G859" s="582" t="s">
        <v>10</v>
      </c>
      <c r="H859" s="582" t="s">
        <v>692</v>
      </c>
      <c r="I859" t="s">
        <v>2327</v>
      </c>
      <c r="J859">
        <v>0.61</v>
      </c>
      <c r="K859" t="s">
        <v>2171</v>
      </c>
    </row>
    <row r="860" spans="1:11" hidden="1" x14ac:dyDescent="0.25">
      <c r="A860">
        <v>3230482</v>
      </c>
      <c r="B860" t="s">
        <v>624</v>
      </c>
      <c r="C860">
        <v>0.20100000000000001</v>
      </c>
      <c r="D860">
        <v>789</v>
      </c>
      <c r="E860" t="s">
        <v>30</v>
      </c>
      <c r="F860">
        <v>1129</v>
      </c>
      <c r="G860" s="582" t="s">
        <v>10</v>
      </c>
      <c r="H860" s="582" t="s">
        <v>529</v>
      </c>
      <c r="I860" t="s">
        <v>625</v>
      </c>
      <c r="J860">
        <v>0.78700000000000003</v>
      </c>
      <c r="K860" t="s">
        <v>2171</v>
      </c>
    </row>
    <row r="861" spans="1:11" hidden="1" x14ac:dyDescent="0.25">
      <c r="A861">
        <v>3230482</v>
      </c>
      <c r="B861" t="s">
        <v>624</v>
      </c>
      <c r="C861">
        <v>3.5000000000000003E-2</v>
      </c>
      <c r="D861">
        <v>789</v>
      </c>
      <c r="E861" t="s">
        <v>30</v>
      </c>
      <c r="F861">
        <v>1130</v>
      </c>
      <c r="G861" s="582" t="s">
        <v>10</v>
      </c>
      <c r="H861" s="582" t="s">
        <v>529</v>
      </c>
      <c r="I861" t="s">
        <v>625</v>
      </c>
      <c r="J861">
        <v>0.78700000000000003</v>
      </c>
      <c r="K861" t="s">
        <v>2171</v>
      </c>
    </row>
    <row r="862" spans="1:11" hidden="1" x14ac:dyDescent="0.25">
      <c r="A862">
        <v>3230482</v>
      </c>
      <c r="B862" t="s">
        <v>624</v>
      </c>
      <c r="C862">
        <v>3.4599999999999999E-2</v>
      </c>
      <c r="D862">
        <v>789</v>
      </c>
      <c r="E862" t="s">
        <v>30</v>
      </c>
      <c r="F862">
        <v>1131</v>
      </c>
      <c r="G862" s="582" t="s">
        <v>10</v>
      </c>
      <c r="H862" s="582" t="s">
        <v>529</v>
      </c>
      <c r="I862" t="s">
        <v>625</v>
      </c>
      <c r="J862">
        <v>0.78700000000000003</v>
      </c>
      <c r="K862" t="s">
        <v>2171</v>
      </c>
    </row>
    <row r="863" spans="1:11" hidden="1" x14ac:dyDescent="0.25">
      <c r="A863">
        <v>3230482</v>
      </c>
      <c r="B863" t="s">
        <v>624</v>
      </c>
      <c r="C863">
        <v>7.0000000000000001E-3</v>
      </c>
      <c r="D863">
        <v>789</v>
      </c>
      <c r="E863" t="s">
        <v>30</v>
      </c>
      <c r="F863">
        <v>1132</v>
      </c>
      <c r="G863" s="582" t="s">
        <v>10</v>
      </c>
      <c r="H863" s="582" t="s">
        <v>529</v>
      </c>
      <c r="I863" t="s">
        <v>625</v>
      </c>
      <c r="J863">
        <v>0.78700000000000003</v>
      </c>
      <c r="K863" t="s">
        <v>2171</v>
      </c>
    </row>
    <row r="864" spans="1:11" hidden="1" x14ac:dyDescent="0.25">
      <c r="A864">
        <v>3230482</v>
      </c>
      <c r="B864" t="s">
        <v>624</v>
      </c>
      <c r="C864">
        <v>3.2551999999999998E-2</v>
      </c>
      <c r="D864">
        <v>789</v>
      </c>
      <c r="E864" t="s">
        <v>30</v>
      </c>
      <c r="F864">
        <v>1133</v>
      </c>
      <c r="G864" s="582" t="s">
        <v>10</v>
      </c>
      <c r="H864" s="582" t="s">
        <v>529</v>
      </c>
      <c r="I864" t="s">
        <v>625</v>
      </c>
      <c r="J864">
        <v>0.78700000000000003</v>
      </c>
      <c r="K864" t="s">
        <v>2171</v>
      </c>
    </row>
    <row r="865" spans="1:11" hidden="1" x14ac:dyDescent="0.25">
      <c r="A865">
        <v>3230482</v>
      </c>
      <c r="B865" t="s">
        <v>624</v>
      </c>
      <c r="C865">
        <v>0.140488</v>
      </c>
      <c r="D865">
        <v>789</v>
      </c>
      <c r="E865" t="s">
        <v>30</v>
      </c>
      <c r="F865">
        <v>1134</v>
      </c>
      <c r="G865" s="582" t="s">
        <v>10</v>
      </c>
      <c r="H865" s="582" t="s">
        <v>529</v>
      </c>
      <c r="I865" t="s">
        <v>625</v>
      </c>
      <c r="J865">
        <v>0.78700000000000003</v>
      </c>
      <c r="K865" t="s">
        <v>2171</v>
      </c>
    </row>
    <row r="866" spans="1:11" hidden="1" x14ac:dyDescent="0.25">
      <c r="A866">
        <v>3230482</v>
      </c>
      <c r="B866" t="s">
        <v>624</v>
      </c>
      <c r="C866">
        <v>0.266488</v>
      </c>
      <c r="D866">
        <v>789</v>
      </c>
      <c r="E866" t="s">
        <v>30</v>
      </c>
      <c r="F866">
        <v>1135</v>
      </c>
      <c r="G866" s="582" t="s">
        <v>10</v>
      </c>
      <c r="H866" s="582" t="s">
        <v>529</v>
      </c>
      <c r="I866" t="s">
        <v>625</v>
      </c>
      <c r="J866">
        <v>0.78700000000000003</v>
      </c>
      <c r="K866" t="s">
        <v>2171</v>
      </c>
    </row>
    <row r="867" spans="1:11" hidden="1" x14ac:dyDescent="0.25">
      <c r="A867">
        <v>3910650</v>
      </c>
      <c r="B867" t="s">
        <v>771</v>
      </c>
      <c r="C867">
        <v>0.16569200000000001</v>
      </c>
      <c r="D867">
        <v>4731</v>
      </c>
      <c r="E867" t="s">
        <v>52</v>
      </c>
      <c r="F867">
        <v>1886</v>
      </c>
      <c r="G867" s="582" t="s">
        <v>10</v>
      </c>
      <c r="H867" s="582" t="s">
        <v>770</v>
      </c>
      <c r="I867" t="s">
        <v>772</v>
      </c>
      <c r="J867">
        <v>0.85499999999999998</v>
      </c>
      <c r="K867" t="s">
        <v>2171</v>
      </c>
    </row>
    <row r="868" spans="1:11" hidden="1" x14ac:dyDescent="0.25">
      <c r="A868">
        <v>3910650</v>
      </c>
      <c r="B868" t="s">
        <v>771</v>
      </c>
      <c r="C868">
        <v>0.84278699999999995</v>
      </c>
      <c r="D868">
        <v>4731</v>
      </c>
      <c r="E868" t="s">
        <v>52</v>
      </c>
      <c r="F868">
        <v>1887</v>
      </c>
      <c r="G868" s="582" t="s">
        <v>10</v>
      </c>
      <c r="H868" s="582" t="s">
        <v>770</v>
      </c>
      <c r="I868" t="s">
        <v>772</v>
      </c>
      <c r="J868">
        <v>0.85499999999999998</v>
      </c>
      <c r="K868" t="s">
        <v>2171</v>
      </c>
    </row>
    <row r="869" spans="1:11" hidden="1" x14ac:dyDescent="0.25">
      <c r="A869">
        <v>1940852</v>
      </c>
      <c r="B869" t="s">
        <v>446</v>
      </c>
      <c r="C869">
        <v>1.113</v>
      </c>
      <c r="D869">
        <v>789</v>
      </c>
      <c r="E869" t="s">
        <v>30</v>
      </c>
      <c r="F869">
        <v>1168</v>
      </c>
      <c r="G869" s="582" t="s">
        <v>10</v>
      </c>
      <c r="H869" s="582" t="s">
        <v>445</v>
      </c>
      <c r="I869" t="s">
        <v>447</v>
      </c>
      <c r="J869">
        <v>6</v>
      </c>
      <c r="K869" t="s">
        <v>1838</v>
      </c>
    </row>
    <row r="870" spans="1:11" hidden="1" x14ac:dyDescent="0.25">
      <c r="A870">
        <v>1940852</v>
      </c>
      <c r="B870" t="s">
        <v>446</v>
      </c>
      <c r="C870">
        <v>0.337949</v>
      </c>
      <c r="D870">
        <v>789</v>
      </c>
      <c r="E870" t="s">
        <v>30</v>
      </c>
      <c r="F870">
        <v>1169</v>
      </c>
      <c r="G870" s="582" t="s">
        <v>10</v>
      </c>
      <c r="H870" s="582" t="s">
        <v>445</v>
      </c>
      <c r="I870" t="s">
        <v>447</v>
      </c>
      <c r="J870">
        <v>6</v>
      </c>
      <c r="K870" t="s">
        <v>1838</v>
      </c>
    </row>
    <row r="871" spans="1:11" hidden="1" x14ac:dyDescent="0.25">
      <c r="A871">
        <v>1931535</v>
      </c>
      <c r="B871" t="s">
        <v>781</v>
      </c>
      <c r="C871">
        <v>1.1399999999999999</v>
      </c>
      <c r="D871">
        <v>4731</v>
      </c>
      <c r="E871" t="s">
        <v>72</v>
      </c>
      <c r="F871">
        <v>1294</v>
      </c>
      <c r="G871" s="582" t="s">
        <v>10</v>
      </c>
      <c r="H871" s="582" t="s">
        <v>633</v>
      </c>
      <c r="I871" t="s">
        <v>782</v>
      </c>
      <c r="J871">
        <v>6</v>
      </c>
      <c r="K871" t="s">
        <v>1838</v>
      </c>
    </row>
    <row r="872" spans="1:11" hidden="1" x14ac:dyDescent="0.25">
      <c r="A872">
        <v>1931535</v>
      </c>
      <c r="B872" t="s">
        <v>781</v>
      </c>
      <c r="C872">
        <v>1.1785000000000001</v>
      </c>
      <c r="D872">
        <v>4731</v>
      </c>
      <c r="E872" t="s">
        <v>72</v>
      </c>
      <c r="F872">
        <v>1295</v>
      </c>
      <c r="G872" s="582" t="s">
        <v>10</v>
      </c>
      <c r="H872" s="582" t="s">
        <v>633</v>
      </c>
      <c r="I872" t="s">
        <v>782</v>
      </c>
      <c r="J872">
        <v>6</v>
      </c>
      <c r="K872" t="s">
        <v>1838</v>
      </c>
    </row>
    <row r="873" spans="1:11" hidden="1" x14ac:dyDescent="0.25">
      <c r="A873">
        <v>1931535</v>
      </c>
      <c r="B873" t="s">
        <v>781</v>
      </c>
      <c r="C873">
        <v>0.41497400000000001</v>
      </c>
      <c r="D873">
        <v>4731</v>
      </c>
      <c r="E873" t="s">
        <v>72</v>
      </c>
      <c r="F873">
        <v>1296</v>
      </c>
      <c r="G873" s="582" t="s">
        <v>10</v>
      </c>
      <c r="H873" s="582" t="s">
        <v>633</v>
      </c>
      <c r="I873" t="s">
        <v>782</v>
      </c>
      <c r="J873">
        <v>6</v>
      </c>
      <c r="K873" t="s">
        <v>1838</v>
      </c>
    </row>
    <row r="874" spans="1:11" hidden="1" x14ac:dyDescent="0.25">
      <c r="A874">
        <v>1931535</v>
      </c>
      <c r="B874" t="s">
        <v>781</v>
      </c>
      <c r="C874">
        <v>1.5680000000000001</v>
      </c>
      <c r="D874">
        <v>4731</v>
      </c>
      <c r="E874" t="s">
        <v>72</v>
      </c>
      <c r="F874">
        <v>1297</v>
      </c>
      <c r="G874" s="582" t="s">
        <v>10</v>
      </c>
      <c r="H874" s="582" t="s">
        <v>633</v>
      </c>
      <c r="I874" t="s">
        <v>782</v>
      </c>
      <c r="J874">
        <v>6</v>
      </c>
      <c r="K874" t="s">
        <v>1838</v>
      </c>
    </row>
    <row r="875" spans="1:11" hidden="1" x14ac:dyDescent="0.25">
      <c r="A875">
        <v>1931535</v>
      </c>
      <c r="B875" t="s">
        <v>781</v>
      </c>
      <c r="C875">
        <v>7.8815999999999997E-2</v>
      </c>
      <c r="D875">
        <v>4731</v>
      </c>
      <c r="E875" t="s">
        <v>72</v>
      </c>
      <c r="F875">
        <v>1298</v>
      </c>
      <c r="G875" s="582" t="s">
        <v>10</v>
      </c>
      <c r="H875" s="582" t="s">
        <v>633</v>
      </c>
      <c r="I875" t="s">
        <v>782</v>
      </c>
      <c r="J875">
        <v>6</v>
      </c>
      <c r="K875" t="s">
        <v>1838</v>
      </c>
    </row>
    <row r="876" spans="1:11" hidden="1" x14ac:dyDescent="0.25">
      <c r="A876">
        <v>1931535</v>
      </c>
      <c r="B876" t="s">
        <v>781</v>
      </c>
      <c r="C876">
        <v>0.52</v>
      </c>
      <c r="D876">
        <v>8406</v>
      </c>
      <c r="E876" t="s">
        <v>72</v>
      </c>
      <c r="F876">
        <v>1299</v>
      </c>
      <c r="G876" s="582" t="s">
        <v>10</v>
      </c>
      <c r="H876" s="582" t="s">
        <v>633</v>
      </c>
      <c r="I876" t="s">
        <v>782</v>
      </c>
      <c r="J876">
        <v>6</v>
      </c>
      <c r="K876" t="s">
        <v>1838</v>
      </c>
    </row>
    <row r="877" spans="1:11" hidden="1" x14ac:dyDescent="0.25">
      <c r="A877">
        <v>3804796</v>
      </c>
      <c r="B877" t="s">
        <v>2329</v>
      </c>
      <c r="C877">
        <v>0.46991000000000011</v>
      </c>
      <c r="D877">
        <v>8406</v>
      </c>
      <c r="E877" t="s">
        <v>44</v>
      </c>
      <c r="F877">
        <v>1858</v>
      </c>
      <c r="G877" s="582" t="s">
        <v>10</v>
      </c>
      <c r="H877" s="582" t="s">
        <v>642</v>
      </c>
      <c r="I877" t="s">
        <v>2330</v>
      </c>
      <c r="J877">
        <v>6.133</v>
      </c>
      <c r="K877" t="s">
        <v>1838</v>
      </c>
    </row>
    <row r="878" spans="1:11" hidden="1" x14ac:dyDescent="0.25">
      <c r="A878">
        <v>3804796</v>
      </c>
      <c r="B878" t="s">
        <v>2329</v>
      </c>
      <c r="C878">
        <v>2.6160000000000001</v>
      </c>
      <c r="D878">
        <v>8406</v>
      </c>
      <c r="E878" t="s">
        <v>44</v>
      </c>
      <c r="F878">
        <v>1859</v>
      </c>
      <c r="G878" s="582" t="s">
        <v>10</v>
      </c>
      <c r="H878" s="582" t="s">
        <v>642</v>
      </c>
      <c r="I878" t="s">
        <v>2330</v>
      </c>
      <c r="J878">
        <v>6.133</v>
      </c>
      <c r="K878" t="s">
        <v>1838</v>
      </c>
    </row>
    <row r="879" spans="1:11" hidden="1" x14ac:dyDescent="0.25">
      <c r="A879">
        <v>3804796</v>
      </c>
      <c r="B879" t="s">
        <v>2329</v>
      </c>
      <c r="C879">
        <v>2.742</v>
      </c>
      <c r="D879">
        <v>8406</v>
      </c>
      <c r="E879" t="s">
        <v>44</v>
      </c>
      <c r="F879">
        <v>1860</v>
      </c>
      <c r="G879" s="582" t="s">
        <v>10</v>
      </c>
      <c r="H879" s="582" t="s">
        <v>642</v>
      </c>
      <c r="I879" t="s">
        <v>2330</v>
      </c>
      <c r="J879">
        <v>6.133</v>
      </c>
      <c r="K879" t="s">
        <v>1838</v>
      </c>
    </row>
    <row r="880" spans="1:11" hidden="1" x14ac:dyDescent="0.25">
      <c r="A880">
        <v>3230495</v>
      </c>
      <c r="B880" t="s">
        <v>629</v>
      </c>
      <c r="C880">
        <v>3.1300000000000002E-4</v>
      </c>
      <c r="D880">
        <v>789</v>
      </c>
      <c r="E880" t="s">
        <v>30</v>
      </c>
      <c r="F880">
        <v>1209</v>
      </c>
      <c r="G880" s="582" t="s">
        <v>10</v>
      </c>
      <c r="H880" s="582" t="s">
        <v>549</v>
      </c>
      <c r="I880" t="s">
        <v>630</v>
      </c>
      <c r="J880">
        <v>0.22</v>
      </c>
      <c r="K880" t="s">
        <v>2171</v>
      </c>
    </row>
    <row r="881" spans="1:11" hidden="1" x14ac:dyDescent="0.25">
      <c r="A881">
        <v>3230495</v>
      </c>
      <c r="B881" t="s">
        <v>629</v>
      </c>
      <c r="C881">
        <v>0.91300000000000003</v>
      </c>
      <c r="D881">
        <v>789</v>
      </c>
      <c r="E881" t="s">
        <v>30</v>
      </c>
      <c r="F881">
        <v>1210</v>
      </c>
      <c r="G881" s="582" t="s">
        <v>10</v>
      </c>
      <c r="H881" s="582" t="s">
        <v>549</v>
      </c>
      <c r="I881" t="s">
        <v>630</v>
      </c>
      <c r="J881">
        <v>0.22</v>
      </c>
      <c r="K881" t="s">
        <v>2171</v>
      </c>
    </row>
    <row r="882" spans="1:11" hidden="1" x14ac:dyDescent="0.25">
      <c r="A882">
        <v>3926424</v>
      </c>
      <c r="B882" t="s">
        <v>783</v>
      </c>
      <c r="C882">
        <v>0.86684000000000005</v>
      </c>
      <c r="D882">
        <v>4731</v>
      </c>
      <c r="E882" t="s">
        <v>101</v>
      </c>
      <c r="F882">
        <v>1893</v>
      </c>
      <c r="G882" s="582" t="s">
        <v>10</v>
      </c>
      <c r="H882" s="582" t="s">
        <v>645</v>
      </c>
      <c r="I882" t="s">
        <v>784</v>
      </c>
      <c r="J882">
        <v>0.37</v>
      </c>
      <c r="K882" t="s">
        <v>2171</v>
      </c>
    </row>
    <row r="883" spans="1:11" hidden="1" x14ac:dyDescent="0.25">
      <c r="A883">
        <v>4151430</v>
      </c>
      <c r="B883" t="s">
        <v>530</v>
      </c>
      <c r="C883">
        <v>3.13E-3</v>
      </c>
      <c r="D883">
        <v>789</v>
      </c>
      <c r="E883" t="s">
        <v>60</v>
      </c>
      <c r="F883">
        <v>1221</v>
      </c>
      <c r="G883" s="582" t="s">
        <v>10</v>
      </c>
      <c r="H883" s="582" t="s">
        <v>529</v>
      </c>
      <c r="I883" t="s">
        <v>531</v>
      </c>
      <c r="J883">
        <v>0.64</v>
      </c>
      <c r="K883" t="s">
        <v>2171</v>
      </c>
    </row>
    <row r="884" spans="1:11" hidden="1" x14ac:dyDescent="0.25">
      <c r="A884">
        <v>4151430</v>
      </c>
      <c r="B884" t="s">
        <v>530</v>
      </c>
      <c r="C884">
        <v>2.3260000000000003E-2</v>
      </c>
      <c r="D884">
        <v>789</v>
      </c>
      <c r="E884" t="s">
        <v>60</v>
      </c>
      <c r="F884">
        <v>1222</v>
      </c>
      <c r="G884" s="582" t="s">
        <v>10</v>
      </c>
      <c r="H884" s="582" t="s">
        <v>529</v>
      </c>
      <c r="I884" t="s">
        <v>531</v>
      </c>
      <c r="J884">
        <v>0.64</v>
      </c>
      <c r="K884" t="s">
        <v>2171</v>
      </c>
    </row>
    <row r="885" spans="1:11" hidden="1" x14ac:dyDescent="0.25">
      <c r="A885">
        <v>1940849</v>
      </c>
      <c r="B885" t="s">
        <v>690</v>
      </c>
      <c r="C885">
        <v>3.0000000000000001E-3</v>
      </c>
      <c r="D885">
        <v>789</v>
      </c>
      <c r="E885" t="s">
        <v>60</v>
      </c>
      <c r="F885">
        <v>1235</v>
      </c>
      <c r="G885" s="582" t="s">
        <v>10</v>
      </c>
      <c r="H885" s="582" t="s">
        <v>445</v>
      </c>
      <c r="I885" t="s">
        <v>691</v>
      </c>
      <c r="J885">
        <v>0.125</v>
      </c>
      <c r="K885" t="s">
        <v>2171</v>
      </c>
    </row>
    <row r="886" spans="1:11" hidden="1" x14ac:dyDescent="0.25">
      <c r="A886">
        <v>1940849</v>
      </c>
      <c r="B886" t="s">
        <v>690</v>
      </c>
      <c r="C886">
        <v>1.7000000000000001E-2</v>
      </c>
      <c r="D886">
        <v>789</v>
      </c>
      <c r="E886" t="s">
        <v>60</v>
      </c>
      <c r="F886">
        <v>1236</v>
      </c>
      <c r="G886" s="582" t="s">
        <v>10</v>
      </c>
      <c r="H886" s="582" t="s">
        <v>445</v>
      </c>
      <c r="I886" t="s">
        <v>691</v>
      </c>
      <c r="J886">
        <v>0.125</v>
      </c>
      <c r="K886" t="s">
        <v>2171</v>
      </c>
    </row>
    <row r="887" spans="1:11" hidden="1" x14ac:dyDescent="0.25">
      <c r="A887">
        <v>1940849</v>
      </c>
      <c r="B887" t="s">
        <v>690</v>
      </c>
      <c r="C887">
        <v>9.0999999999999998E-2</v>
      </c>
      <c r="D887">
        <v>789</v>
      </c>
      <c r="E887" t="s">
        <v>60</v>
      </c>
      <c r="F887">
        <v>1237</v>
      </c>
      <c r="G887" s="582" t="s">
        <v>10</v>
      </c>
      <c r="H887" s="582" t="s">
        <v>445</v>
      </c>
      <c r="I887" t="s">
        <v>691</v>
      </c>
      <c r="J887">
        <v>0.125</v>
      </c>
      <c r="K887" t="s">
        <v>2171</v>
      </c>
    </row>
    <row r="888" spans="1:11" hidden="1" x14ac:dyDescent="0.25">
      <c r="A888">
        <v>3752128</v>
      </c>
      <c r="B888" t="s">
        <v>2331</v>
      </c>
      <c r="C888">
        <v>1.1299999999999999</v>
      </c>
      <c r="D888">
        <v>4731</v>
      </c>
      <c r="E888" t="s">
        <v>60</v>
      </c>
      <c r="F888">
        <v>1777</v>
      </c>
      <c r="G888" s="582" t="s">
        <v>10</v>
      </c>
      <c r="H888" s="582" t="s">
        <v>529</v>
      </c>
      <c r="I888" t="s">
        <v>2332</v>
      </c>
      <c r="J888">
        <v>6.4</v>
      </c>
      <c r="K888" t="s">
        <v>1838</v>
      </c>
    </row>
    <row r="889" spans="1:11" hidden="1" x14ac:dyDescent="0.25">
      <c r="A889">
        <v>3752128</v>
      </c>
      <c r="B889" t="s">
        <v>2331</v>
      </c>
      <c r="C889">
        <v>1.4159999999999999</v>
      </c>
      <c r="D889">
        <v>4731</v>
      </c>
      <c r="E889" t="s">
        <v>60</v>
      </c>
      <c r="F889">
        <v>1778</v>
      </c>
      <c r="G889" s="582" t="s">
        <v>10</v>
      </c>
      <c r="H889" s="582" t="s">
        <v>529</v>
      </c>
      <c r="I889" t="s">
        <v>2332</v>
      </c>
      <c r="J889">
        <v>6.4</v>
      </c>
      <c r="K889" t="s">
        <v>1838</v>
      </c>
    </row>
    <row r="890" spans="1:11" hidden="1" x14ac:dyDescent="0.25">
      <c r="A890">
        <v>3597714</v>
      </c>
      <c r="B890" t="s">
        <v>744</v>
      </c>
      <c r="C890">
        <v>0.173481</v>
      </c>
      <c r="D890">
        <v>789</v>
      </c>
      <c r="E890" t="s">
        <v>30</v>
      </c>
      <c r="F890">
        <v>1238</v>
      </c>
      <c r="G890" s="582" t="s">
        <v>10</v>
      </c>
      <c r="H890" s="582" t="s">
        <v>456</v>
      </c>
      <c r="I890" t="s">
        <v>458</v>
      </c>
      <c r="J890">
        <v>5.68</v>
      </c>
      <c r="K890" t="s">
        <v>1838</v>
      </c>
    </row>
    <row r="891" spans="1:11" hidden="1" x14ac:dyDescent="0.25">
      <c r="A891">
        <v>3572055</v>
      </c>
      <c r="B891" t="s">
        <v>542</v>
      </c>
      <c r="C891">
        <v>3.3942E-2</v>
      </c>
      <c r="D891">
        <v>789</v>
      </c>
      <c r="E891" t="s">
        <v>60</v>
      </c>
      <c r="F891">
        <v>1261</v>
      </c>
      <c r="G891" s="582" t="s">
        <v>10</v>
      </c>
      <c r="H891" s="582" t="s">
        <v>445</v>
      </c>
      <c r="I891" t="s">
        <v>543</v>
      </c>
      <c r="J891">
        <v>0.158</v>
      </c>
      <c r="K891" t="s">
        <v>2171</v>
      </c>
    </row>
    <row r="892" spans="1:11" hidden="1" x14ac:dyDescent="0.25">
      <c r="A892">
        <v>3572055</v>
      </c>
      <c r="B892" t="s">
        <v>542</v>
      </c>
      <c r="C892">
        <v>3.8189999999999999E-3</v>
      </c>
      <c r="D892">
        <v>789</v>
      </c>
      <c r="E892" t="s">
        <v>60</v>
      </c>
      <c r="F892">
        <v>1262</v>
      </c>
      <c r="G892" s="582" t="s">
        <v>10</v>
      </c>
      <c r="H892" s="582" t="s">
        <v>445</v>
      </c>
      <c r="I892" t="s">
        <v>543</v>
      </c>
      <c r="J892">
        <v>0.158</v>
      </c>
      <c r="K892" t="s">
        <v>2171</v>
      </c>
    </row>
    <row r="893" spans="1:11" hidden="1" x14ac:dyDescent="0.25">
      <c r="A893">
        <v>3572055</v>
      </c>
      <c r="B893" t="s">
        <v>542</v>
      </c>
      <c r="C893">
        <v>7.6623000000000011E-2</v>
      </c>
      <c r="D893">
        <v>789</v>
      </c>
      <c r="E893" t="s">
        <v>60</v>
      </c>
      <c r="F893">
        <v>1263</v>
      </c>
      <c r="G893" s="582" t="s">
        <v>10</v>
      </c>
      <c r="H893" s="582" t="s">
        <v>445</v>
      </c>
      <c r="I893" t="s">
        <v>543</v>
      </c>
      <c r="J893">
        <v>0.158</v>
      </c>
      <c r="K893" t="s">
        <v>2171</v>
      </c>
    </row>
    <row r="894" spans="1:11" hidden="1" x14ac:dyDescent="0.25">
      <c r="A894">
        <v>3572055</v>
      </c>
      <c r="B894" t="s">
        <v>542</v>
      </c>
      <c r="C894">
        <v>0.34899999999999998</v>
      </c>
      <c r="D894">
        <v>789</v>
      </c>
      <c r="E894" t="s">
        <v>60</v>
      </c>
      <c r="F894">
        <v>1264</v>
      </c>
      <c r="G894" s="582" t="s">
        <v>10</v>
      </c>
      <c r="H894" s="582" t="s">
        <v>445</v>
      </c>
      <c r="I894" t="s">
        <v>543</v>
      </c>
      <c r="J894">
        <v>0.158</v>
      </c>
      <c r="K894" t="s">
        <v>2171</v>
      </c>
    </row>
    <row r="895" spans="1:11" hidden="1" x14ac:dyDescent="0.25">
      <c r="A895">
        <v>3572055</v>
      </c>
      <c r="B895" t="s">
        <v>542</v>
      </c>
      <c r="C895">
        <v>0.46400000000000002</v>
      </c>
      <c r="D895">
        <v>789</v>
      </c>
      <c r="E895" t="s">
        <v>60</v>
      </c>
      <c r="F895">
        <v>1265</v>
      </c>
      <c r="G895" s="582" t="s">
        <v>10</v>
      </c>
      <c r="H895" s="582" t="s">
        <v>445</v>
      </c>
      <c r="I895" t="s">
        <v>543</v>
      </c>
      <c r="J895">
        <v>0.158</v>
      </c>
      <c r="K895" t="s">
        <v>2171</v>
      </c>
    </row>
    <row r="896" spans="1:11" hidden="1" x14ac:dyDescent="0.25">
      <c r="A896">
        <v>3572055</v>
      </c>
      <c r="B896" t="s">
        <v>542</v>
      </c>
      <c r="C896">
        <v>1.877E-3</v>
      </c>
      <c r="D896">
        <v>789</v>
      </c>
      <c r="E896" t="s">
        <v>60</v>
      </c>
      <c r="F896">
        <v>1266</v>
      </c>
      <c r="G896" s="582" t="s">
        <v>10</v>
      </c>
      <c r="H896" s="582" t="s">
        <v>445</v>
      </c>
      <c r="I896" t="s">
        <v>543</v>
      </c>
      <c r="J896">
        <v>0.158</v>
      </c>
      <c r="K896" t="s">
        <v>2171</v>
      </c>
    </row>
    <row r="897" spans="1:11" hidden="1" x14ac:dyDescent="0.25">
      <c r="A897">
        <v>4151471</v>
      </c>
      <c r="B897" t="s">
        <v>544</v>
      </c>
      <c r="C897">
        <v>2.7620000000000001E-3</v>
      </c>
      <c r="D897">
        <v>789</v>
      </c>
      <c r="E897" t="s">
        <v>60</v>
      </c>
      <c r="F897">
        <v>1267</v>
      </c>
      <c r="G897" s="582" t="s">
        <v>10</v>
      </c>
      <c r="H897" s="582" t="s">
        <v>445</v>
      </c>
      <c r="I897" t="s">
        <v>545</v>
      </c>
      <c r="J897">
        <v>0.115</v>
      </c>
      <c r="K897" t="s">
        <v>2171</v>
      </c>
    </row>
    <row r="898" spans="1:11" hidden="1" x14ac:dyDescent="0.25">
      <c r="A898">
        <v>4151471</v>
      </c>
      <c r="B898" t="s">
        <v>544</v>
      </c>
      <c r="C898">
        <v>1.6931000000000002E-2</v>
      </c>
      <c r="D898">
        <v>789</v>
      </c>
      <c r="E898" t="s">
        <v>60</v>
      </c>
      <c r="F898">
        <v>1268</v>
      </c>
      <c r="G898" s="582" t="s">
        <v>10</v>
      </c>
      <c r="H898" s="582" t="s">
        <v>445</v>
      </c>
      <c r="I898" t="s">
        <v>545</v>
      </c>
      <c r="J898">
        <v>0.115</v>
      </c>
      <c r="K898" t="s">
        <v>2171</v>
      </c>
    </row>
    <row r="899" spans="1:11" hidden="1" x14ac:dyDescent="0.25">
      <c r="A899">
        <v>4151471</v>
      </c>
      <c r="B899" t="s">
        <v>544</v>
      </c>
      <c r="C899">
        <v>6.7900000000000002E-4</v>
      </c>
      <c r="D899">
        <v>789</v>
      </c>
      <c r="E899" t="s">
        <v>60</v>
      </c>
      <c r="F899">
        <v>1269</v>
      </c>
      <c r="G899" s="582" t="s">
        <v>10</v>
      </c>
      <c r="H899" s="582" t="s">
        <v>445</v>
      </c>
      <c r="I899" t="s">
        <v>545</v>
      </c>
      <c r="J899">
        <v>0.115</v>
      </c>
      <c r="K899" t="s">
        <v>2171</v>
      </c>
    </row>
    <row r="900" spans="1:11" hidden="1" x14ac:dyDescent="0.25">
      <c r="A900">
        <v>4151471</v>
      </c>
      <c r="B900" t="s">
        <v>544</v>
      </c>
      <c r="C900">
        <v>8.1329999999999996E-3</v>
      </c>
      <c r="D900">
        <v>789</v>
      </c>
      <c r="E900" t="s">
        <v>60</v>
      </c>
      <c r="F900">
        <v>1270</v>
      </c>
      <c r="G900" s="582" t="s">
        <v>10</v>
      </c>
      <c r="H900" s="582" t="s">
        <v>445</v>
      </c>
      <c r="I900" t="s">
        <v>545</v>
      </c>
      <c r="J900">
        <v>0.115</v>
      </c>
      <c r="K900" t="s">
        <v>2171</v>
      </c>
    </row>
    <row r="901" spans="1:11" hidden="1" x14ac:dyDescent="0.25">
      <c r="A901">
        <v>4151471</v>
      </c>
      <c r="B901" t="s">
        <v>544</v>
      </c>
      <c r="C901">
        <v>3.3399999999999999E-2</v>
      </c>
      <c r="D901">
        <v>789</v>
      </c>
      <c r="E901" t="s">
        <v>60</v>
      </c>
      <c r="F901">
        <v>1271</v>
      </c>
      <c r="G901" s="582" t="s">
        <v>10</v>
      </c>
      <c r="H901" s="582" t="s">
        <v>445</v>
      </c>
      <c r="I901" t="s">
        <v>545</v>
      </c>
      <c r="J901">
        <v>0.115</v>
      </c>
      <c r="K901" t="s">
        <v>2171</v>
      </c>
    </row>
    <row r="902" spans="1:11" hidden="1" x14ac:dyDescent="0.25">
      <c r="A902">
        <v>4151471</v>
      </c>
      <c r="B902" t="s">
        <v>544</v>
      </c>
      <c r="C902">
        <v>1.8308000000000001E-2</v>
      </c>
      <c r="D902">
        <v>789</v>
      </c>
      <c r="E902" t="s">
        <v>60</v>
      </c>
      <c r="F902">
        <v>1272</v>
      </c>
      <c r="G902" s="582" t="s">
        <v>10</v>
      </c>
      <c r="H902" s="582" t="s">
        <v>445</v>
      </c>
      <c r="I902" t="s">
        <v>545</v>
      </c>
      <c r="J902">
        <v>0.115</v>
      </c>
      <c r="K902" t="s">
        <v>2171</v>
      </c>
    </row>
    <row r="903" spans="1:11" hidden="1" x14ac:dyDescent="0.25">
      <c r="A903">
        <v>4151471</v>
      </c>
      <c r="B903" t="s">
        <v>544</v>
      </c>
      <c r="C903">
        <v>9.4531999999999977E-2</v>
      </c>
      <c r="D903">
        <v>789</v>
      </c>
      <c r="E903" t="s">
        <v>60</v>
      </c>
      <c r="F903">
        <v>1273</v>
      </c>
      <c r="G903" s="582" t="s">
        <v>10</v>
      </c>
      <c r="H903" s="582" t="s">
        <v>445</v>
      </c>
      <c r="I903" t="s">
        <v>545</v>
      </c>
      <c r="J903">
        <v>0.115</v>
      </c>
      <c r="K903" t="s">
        <v>2171</v>
      </c>
    </row>
    <row r="904" spans="1:11" hidden="1" x14ac:dyDescent="0.25">
      <c r="A904">
        <v>4151471</v>
      </c>
      <c r="B904" t="s">
        <v>544</v>
      </c>
      <c r="C904">
        <v>5.0660000000000002E-3</v>
      </c>
      <c r="D904">
        <v>789</v>
      </c>
      <c r="E904" t="s">
        <v>60</v>
      </c>
      <c r="F904">
        <v>1274</v>
      </c>
      <c r="G904" s="582" t="s">
        <v>10</v>
      </c>
      <c r="H904" s="582" t="s">
        <v>445</v>
      </c>
      <c r="I904" t="s">
        <v>545</v>
      </c>
      <c r="J904">
        <v>0.115</v>
      </c>
      <c r="K904" t="s">
        <v>2171</v>
      </c>
    </row>
    <row r="905" spans="1:11" hidden="1" x14ac:dyDescent="0.25">
      <c r="A905">
        <v>1940584</v>
      </c>
      <c r="B905" t="s">
        <v>779</v>
      </c>
      <c r="C905">
        <v>0.65836300000000003</v>
      </c>
      <c r="D905">
        <v>789</v>
      </c>
      <c r="E905" t="s">
        <v>61</v>
      </c>
      <c r="F905">
        <v>1275</v>
      </c>
      <c r="G905" s="582" t="s">
        <v>10</v>
      </c>
      <c r="H905" s="582" t="s">
        <v>737</v>
      </c>
      <c r="I905" t="s">
        <v>780</v>
      </c>
      <c r="J905">
        <v>0.28100000000000003</v>
      </c>
      <c r="K905" t="s">
        <v>2171</v>
      </c>
    </row>
    <row r="906" spans="1:11" hidden="1" x14ac:dyDescent="0.25">
      <c r="A906">
        <v>1940584</v>
      </c>
      <c r="B906" t="s">
        <v>779</v>
      </c>
      <c r="C906">
        <v>1.2809999999999999</v>
      </c>
      <c r="D906">
        <v>789</v>
      </c>
      <c r="E906" t="s">
        <v>61</v>
      </c>
      <c r="F906">
        <v>1276</v>
      </c>
      <c r="G906" s="582" t="s">
        <v>10</v>
      </c>
      <c r="H906" s="582" t="s">
        <v>737</v>
      </c>
      <c r="I906" t="s">
        <v>780</v>
      </c>
      <c r="J906">
        <v>0.28100000000000003</v>
      </c>
      <c r="K906" t="s">
        <v>2171</v>
      </c>
    </row>
    <row r="907" spans="1:11" hidden="1" x14ac:dyDescent="0.25">
      <c r="A907">
        <v>1940584</v>
      </c>
      <c r="B907" t="s">
        <v>779</v>
      </c>
      <c r="C907">
        <v>4.1000000000000002E-2</v>
      </c>
      <c r="D907">
        <v>789</v>
      </c>
      <c r="E907" t="s">
        <v>61</v>
      </c>
      <c r="F907">
        <v>1277</v>
      </c>
      <c r="G907" s="582" t="s">
        <v>10</v>
      </c>
      <c r="H907" s="582" t="s">
        <v>737</v>
      </c>
      <c r="I907" t="s">
        <v>780</v>
      </c>
      <c r="J907">
        <v>0.28100000000000003</v>
      </c>
      <c r="K907" t="s">
        <v>2171</v>
      </c>
    </row>
    <row r="908" spans="1:11" hidden="1" x14ac:dyDescent="0.25">
      <c r="A908">
        <v>1940584</v>
      </c>
      <c r="B908" t="s">
        <v>779</v>
      </c>
      <c r="C908">
        <v>5.0844E-2</v>
      </c>
      <c r="D908">
        <v>4731</v>
      </c>
      <c r="E908" t="s">
        <v>61</v>
      </c>
      <c r="F908">
        <v>1331</v>
      </c>
      <c r="G908" s="582" t="s">
        <v>10</v>
      </c>
      <c r="H908" s="582" t="s">
        <v>737</v>
      </c>
      <c r="I908" t="s">
        <v>780</v>
      </c>
      <c r="J908">
        <v>0.28100000000000003</v>
      </c>
      <c r="K908" t="s">
        <v>2171</v>
      </c>
    </row>
    <row r="909" spans="1:11" hidden="1" x14ac:dyDescent="0.25">
      <c r="A909">
        <v>1940584</v>
      </c>
      <c r="B909" t="s">
        <v>779</v>
      </c>
      <c r="C909">
        <v>0.90722199999999997</v>
      </c>
      <c r="D909">
        <v>8406</v>
      </c>
      <c r="E909" t="s">
        <v>61</v>
      </c>
      <c r="F909">
        <v>1332</v>
      </c>
      <c r="G909" s="582" t="s">
        <v>10</v>
      </c>
      <c r="H909" s="582" t="s">
        <v>737</v>
      </c>
      <c r="I909" t="s">
        <v>780</v>
      </c>
      <c r="J909">
        <v>0.28100000000000003</v>
      </c>
      <c r="K909" t="s">
        <v>2171</v>
      </c>
    </row>
    <row r="910" spans="1:11" hidden="1" x14ac:dyDescent="0.25">
      <c r="A910">
        <v>4151424</v>
      </c>
      <c r="B910" t="s">
        <v>550</v>
      </c>
      <c r="C910">
        <v>8.0900000000000004E-4</v>
      </c>
      <c r="D910">
        <v>789</v>
      </c>
      <c r="E910" t="s">
        <v>60</v>
      </c>
      <c r="F910">
        <v>1278</v>
      </c>
      <c r="G910" s="582" t="s">
        <v>10</v>
      </c>
      <c r="H910" s="582" t="s">
        <v>549</v>
      </c>
      <c r="I910" t="s">
        <v>551</v>
      </c>
      <c r="J910">
        <v>0.19</v>
      </c>
      <c r="K910" t="s">
        <v>2171</v>
      </c>
    </row>
    <row r="911" spans="1:11" hidden="1" x14ac:dyDescent="0.25">
      <c r="A911">
        <v>4151424</v>
      </c>
      <c r="B911" t="s">
        <v>550</v>
      </c>
      <c r="C911">
        <v>2.2000000000000001E-4</v>
      </c>
      <c r="D911">
        <v>789</v>
      </c>
      <c r="E911" t="s">
        <v>60</v>
      </c>
      <c r="F911">
        <v>1279</v>
      </c>
      <c r="G911" s="582" t="s">
        <v>10</v>
      </c>
      <c r="H911" s="582" t="s">
        <v>549</v>
      </c>
      <c r="I911" t="s">
        <v>551</v>
      </c>
      <c r="J911">
        <v>0.19</v>
      </c>
      <c r="K911" t="s">
        <v>2171</v>
      </c>
    </row>
    <row r="912" spans="1:11" hidden="1" x14ac:dyDescent="0.25">
      <c r="A912">
        <v>4151424</v>
      </c>
      <c r="B912" t="s">
        <v>550</v>
      </c>
      <c r="C912">
        <v>2.2100000000000001E-4</v>
      </c>
      <c r="D912">
        <v>789</v>
      </c>
      <c r="E912" t="s">
        <v>60</v>
      </c>
      <c r="F912">
        <v>1280</v>
      </c>
      <c r="G912" s="582" t="s">
        <v>10</v>
      </c>
      <c r="H912" s="582" t="s">
        <v>549</v>
      </c>
      <c r="I912" t="s">
        <v>551</v>
      </c>
      <c r="J912">
        <v>0.19</v>
      </c>
      <c r="K912" t="s">
        <v>2171</v>
      </c>
    </row>
    <row r="913" spans="1:11" hidden="1" x14ac:dyDescent="0.25">
      <c r="A913">
        <v>3572045</v>
      </c>
      <c r="B913" t="s">
        <v>1592</v>
      </c>
      <c r="C913">
        <v>8.9999999999999993E-3</v>
      </c>
      <c r="D913">
        <v>789</v>
      </c>
      <c r="E913" t="s">
        <v>60</v>
      </c>
      <c r="F913">
        <v>1282</v>
      </c>
      <c r="G913" s="582" t="s">
        <v>10</v>
      </c>
      <c r="H913" s="582" t="s">
        <v>549</v>
      </c>
      <c r="I913" t="s">
        <v>2333</v>
      </c>
      <c r="J913">
        <v>0.14000000000000001</v>
      </c>
      <c r="K913" t="s">
        <v>2171</v>
      </c>
    </row>
    <row r="914" spans="1:11" hidden="1" x14ac:dyDescent="0.25">
      <c r="A914">
        <v>3572045</v>
      </c>
      <c r="B914" t="s">
        <v>1592</v>
      </c>
      <c r="C914">
        <v>1E-3</v>
      </c>
      <c r="D914">
        <v>789</v>
      </c>
      <c r="E914" t="s">
        <v>60</v>
      </c>
      <c r="F914">
        <v>1283</v>
      </c>
      <c r="G914" s="582" t="s">
        <v>10</v>
      </c>
      <c r="H914" s="582" t="s">
        <v>549</v>
      </c>
      <c r="I914" t="s">
        <v>2333</v>
      </c>
      <c r="J914">
        <v>0.14000000000000001</v>
      </c>
      <c r="K914" t="s">
        <v>2171</v>
      </c>
    </row>
    <row r="915" spans="1:11" hidden="1" x14ac:dyDescent="0.25">
      <c r="A915">
        <v>3572045</v>
      </c>
      <c r="B915" t="s">
        <v>1592</v>
      </c>
      <c r="C915">
        <v>3.0000000000000001E-3</v>
      </c>
      <c r="D915">
        <v>789</v>
      </c>
      <c r="E915" t="s">
        <v>60</v>
      </c>
      <c r="F915">
        <v>1284</v>
      </c>
      <c r="G915" s="582" t="s">
        <v>10</v>
      </c>
      <c r="H915" s="582" t="s">
        <v>549</v>
      </c>
      <c r="I915" t="s">
        <v>2333</v>
      </c>
      <c r="J915">
        <v>0.14000000000000001</v>
      </c>
      <c r="K915" t="s">
        <v>2171</v>
      </c>
    </row>
    <row r="916" spans="1:11" hidden="1" x14ac:dyDescent="0.25">
      <c r="A916">
        <v>3572045</v>
      </c>
      <c r="B916" t="s">
        <v>1592</v>
      </c>
      <c r="C916">
        <v>7.5999999999999998E-2</v>
      </c>
      <c r="D916">
        <v>789</v>
      </c>
      <c r="E916" t="s">
        <v>60</v>
      </c>
      <c r="F916">
        <v>1285</v>
      </c>
      <c r="G916" s="582" t="s">
        <v>10</v>
      </c>
      <c r="H916" s="582" t="s">
        <v>549</v>
      </c>
      <c r="I916" t="s">
        <v>2333</v>
      </c>
      <c r="J916">
        <v>0.14000000000000001</v>
      </c>
      <c r="K916" t="s">
        <v>2171</v>
      </c>
    </row>
    <row r="917" spans="1:11" hidden="1" x14ac:dyDescent="0.25">
      <c r="A917">
        <v>1900941</v>
      </c>
      <c r="B917" t="s">
        <v>2334</v>
      </c>
      <c r="C917">
        <v>5.6078999999999997E-2</v>
      </c>
      <c r="D917">
        <v>4731</v>
      </c>
      <c r="E917" t="s">
        <v>151</v>
      </c>
      <c r="F917">
        <v>1286</v>
      </c>
      <c r="G917" s="582" t="s">
        <v>10</v>
      </c>
      <c r="H917" s="582" t="s">
        <v>860</v>
      </c>
      <c r="I917" t="s">
        <v>2199</v>
      </c>
      <c r="J917">
        <v>6</v>
      </c>
      <c r="K917" t="s">
        <v>1838</v>
      </c>
    </row>
    <row r="918" spans="1:11" hidden="1" x14ac:dyDescent="0.25">
      <c r="A918">
        <v>1901169</v>
      </c>
      <c r="B918" t="s">
        <v>2335</v>
      </c>
      <c r="C918">
        <v>0.49046000000000001</v>
      </c>
      <c r="D918">
        <v>4731</v>
      </c>
      <c r="E918" t="s">
        <v>60</v>
      </c>
      <c r="F918">
        <v>1287</v>
      </c>
      <c r="G918" s="582" t="s">
        <v>10</v>
      </c>
      <c r="H918" s="582" t="s">
        <v>456</v>
      </c>
      <c r="J918">
        <v>6</v>
      </c>
      <c r="K918" t="s">
        <v>1838</v>
      </c>
    </row>
    <row r="919" spans="1:11" hidden="1" x14ac:dyDescent="0.25">
      <c r="A919">
        <v>1901169</v>
      </c>
      <c r="B919" t="s">
        <v>2335</v>
      </c>
      <c r="C919">
        <v>0.41044000000000003</v>
      </c>
      <c r="D919">
        <v>4731</v>
      </c>
      <c r="E919" t="s">
        <v>60</v>
      </c>
      <c r="F919">
        <v>1288</v>
      </c>
      <c r="G919" s="582" t="s">
        <v>10</v>
      </c>
      <c r="H919" s="582" t="s">
        <v>456</v>
      </c>
      <c r="J919">
        <v>6</v>
      </c>
      <c r="K919" t="s">
        <v>1838</v>
      </c>
    </row>
    <row r="920" spans="1:11" hidden="1" x14ac:dyDescent="0.25">
      <c r="A920">
        <v>1901169</v>
      </c>
      <c r="B920" t="s">
        <v>2335</v>
      </c>
      <c r="C920">
        <v>0.105</v>
      </c>
      <c r="D920">
        <v>4731</v>
      </c>
      <c r="E920" t="s">
        <v>60</v>
      </c>
      <c r="F920">
        <v>1289</v>
      </c>
      <c r="G920" s="582" t="s">
        <v>10</v>
      </c>
      <c r="H920" s="582" t="s">
        <v>456</v>
      </c>
      <c r="J920">
        <v>6</v>
      </c>
      <c r="K920" t="s">
        <v>1838</v>
      </c>
    </row>
    <row r="921" spans="1:11" hidden="1" x14ac:dyDescent="0.25">
      <c r="A921">
        <v>1901169</v>
      </c>
      <c r="B921" t="s">
        <v>2335</v>
      </c>
      <c r="C921">
        <v>1.98</v>
      </c>
      <c r="D921">
        <v>4731</v>
      </c>
      <c r="E921" t="s">
        <v>60</v>
      </c>
      <c r="F921">
        <v>1290</v>
      </c>
      <c r="G921" s="582" t="s">
        <v>10</v>
      </c>
      <c r="H921" s="582" t="s">
        <v>456</v>
      </c>
      <c r="J921">
        <v>6</v>
      </c>
      <c r="K921" t="s">
        <v>1838</v>
      </c>
    </row>
    <row r="922" spans="1:11" hidden="1" x14ac:dyDescent="0.25">
      <c r="A922">
        <v>1901169</v>
      </c>
      <c r="B922" t="s">
        <v>2335</v>
      </c>
      <c r="C922">
        <v>2.0110000000000001</v>
      </c>
      <c r="D922">
        <v>4731</v>
      </c>
      <c r="E922" t="s">
        <v>60</v>
      </c>
      <c r="F922">
        <v>1291</v>
      </c>
      <c r="G922" s="582" t="s">
        <v>10</v>
      </c>
      <c r="H922" s="582" t="s">
        <v>456</v>
      </c>
      <c r="J922">
        <v>6</v>
      </c>
      <c r="K922" t="s">
        <v>1838</v>
      </c>
    </row>
    <row r="923" spans="1:11" hidden="1" x14ac:dyDescent="0.25">
      <c r="A923">
        <v>1901169</v>
      </c>
      <c r="B923" t="s">
        <v>2335</v>
      </c>
      <c r="C923">
        <v>0.64628999999999992</v>
      </c>
      <c r="D923">
        <v>4731</v>
      </c>
      <c r="E923" t="s">
        <v>60</v>
      </c>
      <c r="F923">
        <v>1292</v>
      </c>
      <c r="G923" s="582" t="s">
        <v>10</v>
      </c>
      <c r="H923" s="582" t="s">
        <v>456</v>
      </c>
      <c r="J923">
        <v>6</v>
      </c>
      <c r="K923" t="s">
        <v>1838</v>
      </c>
    </row>
    <row r="924" spans="1:11" hidden="1" x14ac:dyDescent="0.25">
      <c r="A924">
        <v>1938125</v>
      </c>
      <c r="B924" t="s">
        <v>870</v>
      </c>
      <c r="C924">
        <v>0.16971700000000001</v>
      </c>
      <c r="D924">
        <v>4731</v>
      </c>
      <c r="E924" t="s">
        <v>72</v>
      </c>
      <c r="F924">
        <v>1311</v>
      </c>
      <c r="G924" s="582" t="s">
        <v>10</v>
      </c>
      <c r="H924" s="582" t="s">
        <v>869</v>
      </c>
      <c r="I924" t="s">
        <v>871</v>
      </c>
      <c r="J924">
        <v>0.27200000000000002</v>
      </c>
      <c r="K924" t="s">
        <v>2171</v>
      </c>
    </row>
    <row r="925" spans="1:11" hidden="1" x14ac:dyDescent="0.25">
      <c r="A925">
        <v>1938125</v>
      </c>
      <c r="B925" t="s">
        <v>870</v>
      </c>
      <c r="C925">
        <v>0.61854999999999993</v>
      </c>
      <c r="D925">
        <v>4731</v>
      </c>
      <c r="E925" t="s">
        <v>72</v>
      </c>
      <c r="F925">
        <v>1312</v>
      </c>
      <c r="G925" s="582" t="s">
        <v>10</v>
      </c>
      <c r="H925" s="582" t="s">
        <v>869</v>
      </c>
      <c r="I925" t="s">
        <v>871</v>
      </c>
      <c r="J925">
        <v>0.27200000000000002</v>
      </c>
      <c r="K925" t="s">
        <v>2171</v>
      </c>
    </row>
    <row r="926" spans="1:11" hidden="1" x14ac:dyDescent="0.25">
      <c r="A926">
        <v>1938125</v>
      </c>
      <c r="B926" t="s">
        <v>870</v>
      </c>
      <c r="C926">
        <v>0.18778500000000001</v>
      </c>
      <c r="D926">
        <v>4731</v>
      </c>
      <c r="E926" t="s">
        <v>72</v>
      </c>
      <c r="F926">
        <v>1313</v>
      </c>
      <c r="G926" s="582" t="s">
        <v>10</v>
      </c>
      <c r="H926" s="582" t="s">
        <v>869</v>
      </c>
      <c r="I926" t="s">
        <v>871</v>
      </c>
      <c r="J926">
        <v>0.27200000000000002</v>
      </c>
      <c r="K926" t="s">
        <v>2171</v>
      </c>
    </row>
    <row r="927" spans="1:11" hidden="1" x14ac:dyDescent="0.25">
      <c r="A927">
        <v>1938125</v>
      </c>
      <c r="B927" t="s">
        <v>870</v>
      </c>
      <c r="C927">
        <v>0.12239999999999999</v>
      </c>
      <c r="D927">
        <v>4731</v>
      </c>
      <c r="E927" t="s">
        <v>72</v>
      </c>
      <c r="F927">
        <v>1314</v>
      </c>
      <c r="G927" s="582" t="s">
        <v>10</v>
      </c>
      <c r="H927" s="582" t="s">
        <v>869</v>
      </c>
      <c r="I927" t="s">
        <v>871</v>
      </c>
      <c r="J927">
        <v>0.27200000000000002</v>
      </c>
      <c r="K927" t="s">
        <v>2171</v>
      </c>
    </row>
    <row r="928" spans="1:11" hidden="1" x14ac:dyDescent="0.25">
      <c r="A928">
        <v>1938127</v>
      </c>
      <c r="B928" t="s">
        <v>1733</v>
      </c>
      <c r="C928">
        <v>0.112995</v>
      </c>
      <c r="D928">
        <v>4731</v>
      </c>
      <c r="E928" t="s">
        <v>151</v>
      </c>
      <c r="F928">
        <v>1315</v>
      </c>
      <c r="G928" s="582" t="s">
        <v>10</v>
      </c>
      <c r="H928" s="582" t="s">
        <v>895</v>
      </c>
      <c r="I928" t="s">
        <v>897</v>
      </c>
      <c r="J928">
        <v>0.84699999999999998</v>
      </c>
      <c r="K928" t="s">
        <v>2171</v>
      </c>
    </row>
    <row r="929" spans="1:11" hidden="1" x14ac:dyDescent="0.25">
      <c r="A929">
        <v>1938358</v>
      </c>
      <c r="B929" t="s">
        <v>892</v>
      </c>
      <c r="C929">
        <v>0.29733100000000001</v>
      </c>
      <c r="D929">
        <v>4731</v>
      </c>
      <c r="E929" t="s">
        <v>72</v>
      </c>
      <c r="F929">
        <v>1318</v>
      </c>
      <c r="G929" s="582" t="s">
        <v>10</v>
      </c>
      <c r="H929" s="582" t="s">
        <v>891</v>
      </c>
      <c r="I929" t="s">
        <v>893</v>
      </c>
      <c r="J929">
        <v>0.254</v>
      </c>
      <c r="K929" t="s">
        <v>2171</v>
      </c>
    </row>
    <row r="930" spans="1:11" hidden="1" x14ac:dyDescent="0.25">
      <c r="A930">
        <v>1938358</v>
      </c>
      <c r="B930" t="s">
        <v>892</v>
      </c>
      <c r="C930">
        <v>0.22240399999999999</v>
      </c>
      <c r="D930">
        <v>4731</v>
      </c>
      <c r="E930" t="s">
        <v>72</v>
      </c>
      <c r="F930">
        <v>1319</v>
      </c>
      <c r="G930" s="582" t="s">
        <v>10</v>
      </c>
      <c r="H930" s="582" t="s">
        <v>891</v>
      </c>
      <c r="I930" t="s">
        <v>893</v>
      </c>
      <c r="J930">
        <v>0.254</v>
      </c>
      <c r="K930" t="s">
        <v>2171</v>
      </c>
    </row>
    <row r="931" spans="1:11" hidden="1" x14ac:dyDescent="0.25">
      <c r="A931">
        <v>1939544</v>
      </c>
      <c r="B931" t="s">
        <v>807</v>
      </c>
      <c r="C931">
        <v>0.18027000000000001</v>
      </c>
      <c r="D931">
        <v>4731</v>
      </c>
      <c r="E931" t="s">
        <v>30</v>
      </c>
      <c r="F931">
        <v>1322</v>
      </c>
      <c r="G931" s="582" t="s">
        <v>10</v>
      </c>
      <c r="H931" s="582" t="s">
        <v>806</v>
      </c>
      <c r="I931" t="s">
        <v>808</v>
      </c>
      <c r="J931">
        <v>0.217</v>
      </c>
      <c r="K931" t="s">
        <v>2171</v>
      </c>
    </row>
    <row r="932" spans="1:11" hidden="1" x14ac:dyDescent="0.25">
      <c r="A932">
        <v>1939544</v>
      </c>
      <c r="B932" t="s">
        <v>807</v>
      </c>
      <c r="C932">
        <v>0.28804800000000003</v>
      </c>
      <c r="D932">
        <v>4731</v>
      </c>
      <c r="E932" t="s">
        <v>30</v>
      </c>
      <c r="F932">
        <v>1323</v>
      </c>
      <c r="G932" s="582" t="s">
        <v>10</v>
      </c>
      <c r="H932" s="582" t="s">
        <v>806</v>
      </c>
      <c r="I932" t="s">
        <v>808</v>
      </c>
      <c r="J932">
        <v>0.217</v>
      </c>
      <c r="K932" t="s">
        <v>2171</v>
      </c>
    </row>
    <row r="933" spans="1:11" hidden="1" x14ac:dyDescent="0.25">
      <c r="A933">
        <v>1939544</v>
      </c>
      <c r="B933" t="s">
        <v>807</v>
      </c>
      <c r="C933">
        <v>0.72618899999999997</v>
      </c>
      <c r="D933">
        <v>4731</v>
      </c>
      <c r="E933" t="s">
        <v>30</v>
      </c>
      <c r="F933">
        <v>1324</v>
      </c>
      <c r="G933" s="582" t="s">
        <v>10</v>
      </c>
      <c r="H933" s="582" t="s">
        <v>806</v>
      </c>
      <c r="I933" t="s">
        <v>808</v>
      </c>
      <c r="J933">
        <v>0.217</v>
      </c>
      <c r="K933" t="s">
        <v>2171</v>
      </c>
    </row>
    <row r="934" spans="1:11" hidden="1" x14ac:dyDescent="0.25">
      <c r="A934">
        <v>1939544</v>
      </c>
      <c r="B934" t="s">
        <v>807</v>
      </c>
      <c r="C934">
        <v>0.99165099999999995</v>
      </c>
      <c r="D934">
        <v>8406</v>
      </c>
      <c r="E934" t="s">
        <v>30</v>
      </c>
      <c r="F934">
        <v>1325</v>
      </c>
      <c r="G934" s="582" t="s">
        <v>10</v>
      </c>
      <c r="H934" s="582" t="s">
        <v>806</v>
      </c>
      <c r="I934" t="s">
        <v>808</v>
      </c>
      <c r="J934">
        <v>0.217</v>
      </c>
      <c r="K934" t="s">
        <v>2171</v>
      </c>
    </row>
    <row r="935" spans="1:11" hidden="1" x14ac:dyDescent="0.25">
      <c r="A935">
        <v>3702196</v>
      </c>
      <c r="B935" t="s">
        <v>2337</v>
      </c>
      <c r="C935">
        <v>0.37323000000000001</v>
      </c>
      <c r="D935">
        <v>4731</v>
      </c>
      <c r="E935" t="s">
        <v>72</v>
      </c>
      <c r="F935">
        <v>1745</v>
      </c>
      <c r="G935" s="582" t="s">
        <v>10</v>
      </c>
      <c r="H935" s="582" t="s">
        <v>1008</v>
      </c>
      <c r="J935">
        <v>6</v>
      </c>
      <c r="K935" t="s">
        <v>1838</v>
      </c>
    </row>
    <row r="936" spans="1:11" hidden="1" x14ac:dyDescent="0.25">
      <c r="A936">
        <v>3702196</v>
      </c>
      <c r="B936" t="s">
        <v>2337</v>
      </c>
      <c r="C936">
        <v>0.77500000000000002</v>
      </c>
      <c r="D936">
        <v>4731</v>
      </c>
      <c r="E936" t="s">
        <v>72</v>
      </c>
      <c r="F936">
        <v>1746</v>
      </c>
      <c r="G936" s="582" t="s">
        <v>10</v>
      </c>
      <c r="H936" s="582" t="s">
        <v>1008</v>
      </c>
      <c r="J936">
        <v>6</v>
      </c>
      <c r="K936" t="s">
        <v>1838</v>
      </c>
    </row>
    <row r="937" spans="1:11" hidden="1" x14ac:dyDescent="0.25">
      <c r="A937">
        <v>1940731</v>
      </c>
      <c r="B937" t="s">
        <v>1642</v>
      </c>
      <c r="C937">
        <v>0.68285299999999993</v>
      </c>
      <c r="D937">
        <v>4731</v>
      </c>
      <c r="E937" t="s">
        <v>151</v>
      </c>
      <c r="F937">
        <v>1339</v>
      </c>
      <c r="G937" s="582" t="s">
        <v>10</v>
      </c>
      <c r="H937" s="582" t="s">
        <v>1043</v>
      </c>
      <c r="I937" t="s">
        <v>2336</v>
      </c>
      <c r="J937">
        <v>0.81200000000000006</v>
      </c>
      <c r="K937" t="s">
        <v>2171</v>
      </c>
    </row>
    <row r="938" spans="1:11" hidden="1" x14ac:dyDescent="0.25">
      <c r="A938">
        <v>1940731</v>
      </c>
      <c r="B938" t="s">
        <v>1642</v>
      </c>
      <c r="C938">
        <v>9.4178999999999999E-2</v>
      </c>
      <c r="D938">
        <v>4731</v>
      </c>
      <c r="E938" t="s">
        <v>151</v>
      </c>
      <c r="F938">
        <v>1340</v>
      </c>
      <c r="G938" s="582" t="s">
        <v>10</v>
      </c>
      <c r="H938" s="582" t="s">
        <v>1043</v>
      </c>
      <c r="I938" t="s">
        <v>2336</v>
      </c>
      <c r="J938">
        <v>0.81200000000000006</v>
      </c>
      <c r="K938" t="s">
        <v>2171</v>
      </c>
    </row>
    <row r="939" spans="1:11" hidden="1" x14ac:dyDescent="0.25">
      <c r="A939">
        <v>1940731</v>
      </c>
      <c r="B939" t="s">
        <v>1642</v>
      </c>
      <c r="C939">
        <v>3.859</v>
      </c>
      <c r="D939">
        <v>8406</v>
      </c>
      <c r="E939" t="s">
        <v>151</v>
      </c>
      <c r="F939">
        <v>1341</v>
      </c>
      <c r="G939" s="582" t="s">
        <v>10</v>
      </c>
      <c r="H939" s="582" t="s">
        <v>1043</v>
      </c>
      <c r="I939" t="s">
        <v>2336</v>
      </c>
      <c r="J939">
        <v>0.81200000000000006</v>
      </c>
      <c r="K939" t="s">
        <v>2171</v>
      </c>
    </row>
    <row r="940" spans="1:11" hidden="1" x14ac:dyDescent="0.25">
      <c r="A940">
        <v>1940738</v>
      </c>
      <c r="B940" t="s">
        <v>863</v>
      </c>
      <c r="C940">
        <v>0.1172</v>
      </c>
      <c r="D940">
        <v>4731</v>
      </c>
      <c r="E940" t="s">
        <v>151</v>
      </c>
      <c r="F940">
        <v>1342</v>
      </c>
      <c r="G940" s="582" t="s">
        <v>10</v>
      </c>
      <c r="H940" s="582" t="s">
        <v>860</v>
      </c>
      <c r="I940" t="s">
        <v>864</v>
      </c>
      <c r="J940">
        <v>0.42499999999999999</v>
      </c>
      <c r="K940" t="s">
        <v>2171</v>
      </c>
    </row>
    <row r="941" spans="1:11" hidden="1" x14ac:dyDescent="0.25">
      <c r="A941">
        <v>1940738</v>
      </c>
      <c r="B941" t="s">
        <v>863</v>
      </c>
      <c r="C941">
        <v>1.97143</v>
      </c>
      <c r="D941">
        <v>4731</v>
      </c>
      <c r="E941" t="s">
        <v>151</v>
      </c>
      <c r="F941">
        <v>1343</v>
      </c>
      <c r="G941" s="582" t="s">
        <v>10</v>
      </c>
      <c r="H941" s="582" t="s">
        <v>860</v>
      </c>
      <c r="I941" t="s">
        <v>864</v>
      </c>
      <c r="J941">
        <v>0.42499999999999999</v>
      </c>
      <c r="K941" t="s">
        <v>2171</v>
      </c>
    </row>
    <row r="942" spans="1:11" hidden="1" x14ac:dyDescent="0.25">
      <c r="A942">
        <v>1940738</v>
      </c>
      <c r="B942" t="s">
        <v>863</v>
      </c>
      <c r="C942">
        <v>1.6585450000000002</v>
      </c>
      <c r="D942">
        <v>4731</v>
      </c>
      <c r="E942" t="s">
        <v>151</v>
      </c>
      <c r="F942">
        <v>1344</v>
      </c>
      <c r="G942" s="582" t="s">
        <v>10</v>
      </c>
      <c r="H942" s="582" t="s">
        <v>860</v>
      </c>
      <c r="I942" t="s">
        <v>864</v>
      </c>
      <c r="J942">
        <v>0.42499999999999999</v>
      </c>
      <c r="K942" t="s">
        <v>2171</v>
      </c>
    </row>
    <row r="943" spans="1:11" hidden="1" x14ac:dyDescent="0.25">
      <c r="A943">
        <v>1940738</v>
      </c>
      <c r="B943" t="s">
        <v>863</v>
      </c>
      <c r="C943">
        <v>6.8845000000000003E-2</v>
      </c>
      <c r="D943">
        <v>4731</v>
      </c>
      <c r="E943" t="s">
        <v>151</v>
      </c>
      <c r="F943">
        <v>1345</v>
      </c>
      <c r="G943" s="582" t="s">
        <v>10</v>
      </c>
      <c r="H943" s="582" t="s">
        <v>860</v>
      </c>
      <c r="I943" t="s">
        <v>864</v>
      </c>
      <c r="J943">
        <v>0.42499999999999999</v>
      </c>
      <c r="K943" t="s">
        <v>2171</v>
      </c>
    </row>
    <row r="944" spans="1:11" hidden="1" x14ac:dyDescent="0.25">
      <c r="A944">
        <v>1940738</v>
      </c>
      <c r="B944" t="s">
        <v>863</v>
      </c>
      <c r="C944">
        <v>5.876E-2</v>
      </c>
      <c r="D944">
        <v>4731</v>
      </c>
      <c r="E944" t="s">
        <v>151</v>
      </c>
      <c r="F944">
        <v>1346</v>
      </c>
      <c r="G944" s="582" t="s">
        <v>10</v>
      </c>
      <c r="H944" s="582" t="s">
        <v>860</v>
      </c>
      <c r="I944" t="s">
        <v>864</v>
      </c>
      <c r="J944">
        <v>0.42499999999999999</v>
      </c>
      <c r="K944" t="s">
        <v>2171</v>
      </c>
    </row>
    <row r="945" spans="1:11" hidden="1" x14ac:dyDescent="0.25">
      <c r="A945">
        <v>3682066</v>
      </c>
      <c r="B945" t="s">
        <v>2340</v>
      </c>
      <c r="C945">
        <v>2.8268299999999997</v>
      </c>
      <c r="D945">
        <v>4731</v>
      </c>
      <c r="E945" t="s">
        <v>52</v>
      </c>
      <c r="F945">
        <v>1715</v>
      </c>
      <c r="G945" s="582" t="s">
        <v>10</v>
      </c>
      <c r="H945" s="582" t="s">
        <v>810</v>
      </c>
      <c r="I945" t="s">
        <v>2341</v>
      </c>
      <c r="J945">
        <v>5.95</v>
      </c>
      <c r="K945" t="s">
        <v>1838</v>
      </c>
    </row>
    <row r="946" spans="1:11" hidden="1" x14ac:dyDescent="0.25">
      <c r="A946">
        <v>3682066</v>
      </c>
      <c r="B946" t="s">
        <v>2340</v>
      </c>
      <c r="C946">
        <v>2.8349299999999999</v>
      </c>
      <c r="D946">
        <v>4731</v>
      </c>
      <c r="E946" t="s">
        <v>52</v>
      </c>
      <c r="F946">
        <v>1716</v>
      </c>
      <c r="G946" s="582" t="s">
        <v>10</v>
      </c>
      <c r="H946" s="582" t="s">
        <v>810</v>
      </c>
      <c r="I946" t="s">
        <v>2341</v>
      </c>
      <c r="J946">
        <v>5.95</v>
      </c>
      <c r="K946" t="s">
        <v>1838</v>
      </c>
    </row>
    <row r="947" spans="1:11" hidden="1" x14ac:dyDescent="0.25">
      <c r="A947">
        <v>3682066</v>
      </c>
      <c r="B947" t="s">
        <v>2340</v>
      </c>
      <c r="C947">
        <v>0.16927400000000001</v>
      </c>
      <c r="D947">
        <v>4731</v>
      </c>
      <c r="E947" t="s">
        <v>52</v>
      </c>
      <c r="F947">
        <v>1717</v>
      </c>
      <c r="G947" s="582" t="s">
        <v>10</v>
      </c>
      <c r="H947" s="582" t="s">
        <v>810</v>
      </c>
      <c r="I947" t="s">
        <v>2341</v>
      </c>
      <c r="J947">
        <v>5.95</v>
      </c>
      <c r="K947" t="s">
        <v>1838</v>
      </c>
    </row>
    <row r="948" spans="1:11" hidden="1" x14ac:dyDescent="0.25">
      <c r="A948">
        <v>3682066</v>
      </c>
      <c r="B948" t="s">
        <v>2340</v>
      </c>
      <c r="C948">
        <v>0.49492999999999998</v>
      </c>
      <c r="D948">
        <v>4731</v>
      </c>
      <c r="E948" t="s">
        <v>52</v>
      </c>
      <c r="F948">
        <v>1718</v>
      </c>
      <c r="G948" s="582" t="s">
        <v>10</v>
      </c>
      <c r="H948" s="582" t="s">
        <v>810</v>
      </c>
      <c r="I948" t="s">
        <v>2341</v>
      </c>
      <c r="J948">
        <v>5.95</v>
      </c>
      <c r="K948" t="s">
        <v>1838</v>
      </c>
    </row>
    <row r="949" spans="1:11" hidden="1" x14ac:dyDescent="0.25">
      <c r="A949">
        <v>3682066</v>
      </c>
      <c r="B949" t="s">
        <v>2340</v>
      </c>
      <c r="C949">
        <v>1.7004140000000001</v>
      </c>
      <c r="D949">
        <v>4731</v>
      </c>
      <c r="E949" t="s">
        <v>52</v>
      </c>
      <c r="F949">
        <v>1719</v>
      </c>
      <c r="G949" s="582" t="s">
        <v>10</v>
      </c>
      <c r="H949" s="582" t="s">
        <v>810</v>
      </c>
      <c r="I949" t="s">
        <v>2341</v>
      </c>
      <c r="J949">
        <v>5.95</v>
      </c>
      <c r="K949" t="s">
        <v>1838</v>
      </c>
    </row>
    <row r="950" spans="1:11" hidden="1" x14ac:dyDescent="0.25">
      <c r="A950">
        <v>3770391</v>
      </c>
      <c r="B950" t="s">
        <v>2343</v>
      </c>
      <c r="C950">
        <v>0.11963</v>
      </c>
      <c r="D950">
        <v>4731</v>
      </c>
      <c r="E950" t="s">
        <v>72</v>
      </c>
      <c r="F950">
        <v>1783</v>
      </c>
      <c r="G950" s="582" t="s">
        <v>10</v>
      </c>
      <c r="H950" s="582" t="s">
        <v>806</v>
      </c>
      <c r="I950" t="s">
        <v>2344</v>
      </c>
      <c r="J950">
        <v>6.05</v>
      </c>
      <c r="K950" t="s">
        <v>1838</v>
      </c>
    </row>
    <row r="951" spans="1:11" hidden="1" x14ac:dyDescent="0.25">
      <c r="A951">
        <v>3770391</v>
      </c>
      <c r="B951" t="s">
        <v>2343</v>
      </c>
      <c r="C951">
        <v>1.425</v>
      </c>
      <c r="D951">
        <v>4731</v>
      </c>
      <c r="E951" t="s">
        <v>72</v>
      </c>
      <c r="F951">
        <v>1784</v>
      </c>
      <c r="G951" s="582" t="s">
        <v>10</v>
      </c>
      <c r="H951" s="582" t="s">
        <v>806</v>
      </c>
      <c r="I951" t="s">
        <v>2344</v>
      </c>
      <c r="J951">
        <v>6.05</v>
      </c>
      <c r="K951" t="s">
        <v>1838</v>
      </c>
    </row>
    <row r="952" spans="1:11" hidden="1" x14ac:dyDescent="0.25">
      <c r="A952">
        <v>3770391</v>
      </c>
      <c r="B952" t="s">
        <v>2343</v>
      </c>
      <c r="C952">
        <v>1.2387699999999999</v>
      </c>
      <c r="D952">
        <v>4731</v>
      </c>
      <c r="E952" t="s">
        <v>72</v>
      </c>
      <c r="F952">
        <v>1785</v>
      </c>
      <c r="G952" s="582" t="s">
        <v>10</v>
      </c>
      <c r="H952" s="582" t="s">
        <v>806</v>
      </c>
      <c r="I952" t="s">
        <v>2344</v>
      </c>
      <c r="J952">
        <v>6.05</v>
      </c>
      <c r="K952" t="s">
        <v>1838</v>
      </c>
    </row>
    <row r="953" spans="1:11" hidden="1" x14ac:dyDescent="0.25">
      <c r="A953">
        <v>3770391</v>
      </c>
      <c r="B953" t="s">
        <v>2343</v>
      </c>
      <c r="C953">
        <v>0.25712499999999999</v>
      </c>
      <c r="D953">
        <v>4731</v>
      </c>
      <c r="E953" t="s">
        <v>72</v>
      </c>
      <c r="F953">
        <v>1786</v>
      </c>
      <c r="G953" s="582" t="s">
        <v>10</v>
      </c>
      <c r="H953" s="582" t="s">
        <v>806</v>
      </c>
      <c r="I953" t="s">
        <v>2344</v>
      </c>
      <c r="J953">
        <v>6.05</v>
      </c>
      <c r="K953" t="s">
        <v>1838</v>
      </c>
    </row>
    <row r="954" spans="1:11" hidden="1" x14ac:dyDescent="0.25">
      <c r="A954">
        <v>3770391</v>
      </c>
      <c r="B954" t="s">
        <v>2343</v>
      </c>
      <c r="C954">
        <v>1.3320000000000001</v>
      </c>
      <c r="D954">
        <v>4731</v>
      </c>
      <c r="E954" t="s">
        <v>72</v>
      </c>
      <c r="F954">
        <v>1787</v>
      </c>
      <c r="G954" s="582" t="s">
        <v>10</v>
      </c>
      <c r="H954" s="582" t="s">
        <v>806</v>
      </c>
      <c r="I954" t="s">
        <v>2344</v>
      </c>
      <c r="J954">
        <v>6.05</v>
      </c>
      <c r="K954" t="s">
        <v>1838</v>
      </c>
    </row>
    <row r="955" spans="1:11" hidden="1" x14ac:dyDescent="0.25">
      <c r="A955">
        <v>3770391</v>
      </c>
      <c r="B955" t="s">
        <v>2343</v>
      </c>
      <c r="C955">
        <v>0.15725</v>
      </c>
      <c r="D955">
        <v>4731</v>
      </c>
      <c r="E955" t="s">
        <v>72</v>
      </c>
      <c r="F955">
        <v>1788</v>
      </c>
      <c r="G955" s="582" t="s">
        <v>10</v>
      </c>
      <c r="H955" s="582" t="s">
        <v>806</v>
      </c>
      <c r="I955" t="s">
        <v>2344</v>
      </c>
      <c r="J955">
        <v>6.05</v>
      </c>
      <c r="K955" t="s">
        <v>1838</v>
      </c>
    </row>
    <row r="956" spans="1:11" hidden="1" x14ac:dyDescent="0.25">
      <c r="A956">
        <v>3770391</v>
      </c>
      <c r="B956" t="s">
        <v>2343</v>
      </c>
      <c r="C956">
        <v>1.3540000000000001</v>
      </c>
      <c r="D956">
        <v>4731</v>
      </c>
      <c r="E956" t="s">
        <v>72</v>
      </c>
      <c r="F956">
        <v>1789</v>
      </c>
      <c r="G956" s="582" t="s">
        <v>10</v>
      </c>
      <c r="H956" s="582" t="s">
        <v>806</v>
      </c>
      <c r="I956" t="s">
        <v>2344</v>
      </c>
      <c r="J956">
        <v>6.05</v>
      </c>
      <c r="K956" t="s">
        <v>1838</v>
      </c>
    </row>
    <row r="957" spans="1:11" hidden="1" x14ac:dyDescent="0.25">
      <c r="A957">
        <v>3770391</v>
      </c>
      <c r="B957" t="s">
        <v>2343</v>
      </c>
      <c r="C957">
        <v>0.36299999999999999</v>
      </c>
      <c r="D957">
        <v>4731</v>
      </c>
      <c r="E957" t="s">
        <v>72</v>
      </c>
      <c r="F957">
        <v>1790</v>
      </c>
      <c r="G957" s="582" t="s">
        <v>10</v>
      </c>
      <c r="H957" s="582" t="s">
        <v>806</v>
      </c>
      <c r="I957" t="s">
        <v>2344</v>
      </c>
      <c r="J957">
        <v>6.05</v>
      </c>
      <c r="K957" t="s">
        <v>1838</v>
      </c>
    </row>
    <row r="958" spans="1:11" hidden="1" x14ac:dyDescent="0.25">
      <c r="A958">
        <v>1940743</v>
      </c>
      <c r="B958" t="s">
        <v>867</v>
      </c>
      <c r="C958">
        <v>0.14182900000000001</v>
      </c>
      <c r="D958">
        <v>4731</v>
      </c>
      <c r="E958" t="s">
        <v>151</v>
      </c>
      <c r="F958">
        <v>1347</v>
      </c>
      <c r="G958" s="582" t="s">
        <v>10</v>
      </c>
      <c r="H958" s="582" t="s">
        <v>860</v>
      </c>
      <c r="I958" t="s">
        <v>868</v>
      </c>
      <c r="J958">
        <v>0.81200000000000006</v>
      </c>
      <c r="K958" t="s">
        <v>2171</v>
      </c>
    </row>
    <row r="959" spans="1:11" hidden="1" x14ac:dyDescent="0.25">
      <c r="A959">
        <v>1940743</v>
      </c>
      <c r="B959" t="s">
        <v>867</v>
      </c>
      <c r="C959">
        <v>7.5420000000000001E-2</v>
      </c>
      <c r="D959">
        <v>4731</v>
      </c>
      <c r="E959" t="s">
        <v>151</v>
      </c>
      <c r="F959">
        <v>1348</v>
      </c>
      <c r="G959" s="582" t="s">
        <v>10</v>
      </c>
      <c r="H959" s="582" t="s">
        <v>860</v>
      </c>
      <c r="I959" t="s">
        <v>868</v>
      </c>
      <c r="J959">
        <v>0.81200000000000006</v>
      </c>
      <c r="K959" t="s">
        <v>2171</v>
      </c>
    </row>
    <row r="960" spans="1:11" hidden="1" x14ac:dyDescent="0.25">
      <c r="A960">
        <v>1940743</v>
      </c>
      <c r="B960" t="s">
        <v>867</v>
      </c>
      <c r="C960">
        <v>0.119035</v>
      </c>
      <c r="D960">
        <v>4731</v>
      </c>
      <c r="E960" t="s">
        <v>151</v>
      </c>
      <c r="F960">
        <v>1349</v>
      </c>
      <c r="G960" s="582" t="s">
        <v>10</v>
      </c>
      <c r="H960" s="582" t="s">
        <v>860</v>
      </c>
      <c r="I960" t="s">
        <v>868</v>
      </c>
      <c r="J960">
        <v>0.81200000000000006</v>
      </c>
      <c r="K960" t="s">
        <v>2171</v>
      </c>
    </row>
    <row r="961" spans="1:11" hidden="1" x14ac:dyDescent="0.25">
      <c r="A961">
        <v>1940743</v>
      </c>
      <c r="B961" t="s">
        <v>867</v>
      </c>
      <c r="C961">
        <v>0.36612</v>
      </c>
      <c r="D961">
        <v>4731</v>
      </c>
      <c r="E961" t="s">
        <v>151</v>
      </c>
      <c r="F961">
        <v>1350</v>
      </c>
      <c r="G961" s="582" t="s">
        <v>10</v>
      </c>
      <c r="H961" s="582" t="s">
        <v>860</v>
      </c>
      <c r="I961" t="s">
        <v>868</v>
      </c>
      <c r="J961">
        <v>0.81200000000000006</v>
      </c>
      <c r="K961" t="s">
        <v>2171</v>
      </c>
    </row>
    <row r="962" spans="1:11" hidden="1" x14ac:dyDescent="0.25">
      <c r="A962">
        <v>1940743</v>
      </c>
      <c r="B962" t="s">
        <v>867</v>
      </c>
      <c r="C962">
        <v>1.5558959999999999</v>
      </c>
      <c r="D962">
        <v>4731</v>
      </c>
      <c r="E962" t="s">
        <v>151</v>
      </c>
      <c r="F962">
        <v>1351</v>
      </c>
      <c r="G962" s="582" t="s">
        <v>10</v>
      </c>
      <c r="H962" s="582" t="s">
        <v>860</v>
      </c>
      <c r="I962" t="s">
        <v>868</v>
      </c>
      <c r="J962">
        <v>0.81200000000000006</v>
      </c>
      <c r="K962" t="s">
        <v>2171</v>
      </c>
    </row>
    <row r="963" spans="1:11" hidden="1" x14ac:dyDescent="0.25">
      <c r="A963">
        <v>1940743</v>
      </c>
      <c r="B963" t="s">
        <v>867</v>
      </c>
      <c r="C963">
        <v>7.0834520000000003</v>
      </c>
      <c r="D963">
        <v>8406</v>
      </c>
      <c r="E963" t="s">
        <v>151</v>
      </c>
      <c r="F963">
        <v>1352</v>
      </c>
      <c r="G963" s="582" t="s">
        <v>10</v>
      </c>
      <c r="H963" s="582" t="s">
        <v>860</v>
      </c>
      <c r="I963" t="s">
        <v>868</v>
      </c>
      <c r="J963">
        <v>0.81200000000000006</v>
      </c>
      <c r="K963" t="s">
        <v>2171</v>
      </c>
    </row>
    <row r="964" spans="1:11" hidden="1" x14ac:dyDescent="0.25">
      <c r="A964">
        <v>2410997</v>
      </c>
      <c r="B964" t="s">
        <v>814</v>
      </c>
      <c r="C964">
        <v>0.19838500000000001</v>
      </c>
      <c r="D964">
        <v>4731</v>
      </c>
      <c r="E964" t="s">
        <v>52</v>
      </c>
      <c r="F964">
        <v>1394</v>
      </c>
      <c r="G964" s="582" t="s">
        <v>10</v>
      </c>
      <c r="H964" s="582" t="s">
        <v>813</v>
      </c>
      <c r="I964" t="s">
        <v>815</v>
      </c>
      <c r="J964">
        <v>6</v>
      </c>
      <c r="K964" t="s">
        <v>1838</v>
      </c>
    </row>
    <row r="965" spans="1:11" hidden="1" x14ac:dyDescent="0.25">
      <c r="A965">
        <v>3770392</v>
      </c>
      <c r="B965" t="s">
        <v>405</v>
      </c>
      <c r="C965">
        <v>0.15059700000000001</v>
      </c>
      <c r="D965">
        <v>4731</v>
      </c>
      <c r="E965" t="s">
        <v>71</v>
      </c>
      <c r="F965">
        <v>1791</v>
      </c>
      <c r="G965" s="582" t="s">
        <v>10</v>
      </c>
      <c r="H965" s="582" t="s">
        <v>404</v>
      </c>
      <c r="I965" t="s">
        <v>406</v>
      </c>
      <c r="J965">
        <v>5.6</v>
      </c>
      <c r="K965" t="s">
        <v>1838</v>
      </c>
    </row>
    <row r="966" spans="1:11" hidden="1" x14ac:dyDescent="0.25">
      <c r="A966">
        <v>3770392</v>
      </c>
      <c r="B966" t="s">
        <v>405</v>
      </c>
      <c r="C966">
        <v>1.294</v>
      </c>
      <c r="D966" t="s">
        <v>362</v>
      </c>
      <c r="E966" t="s">
        <v>71</v>
      </c>
      <c r="F966">
        <v>2230</v>
      </c>
      <c r="G966" s="582" t="s">
        <v>10</v>
      </c>
      <c r="H966" s="582" t="s">
        <v>404</v>
      </c>
      <c r="I966" t="s">
        <v>406</v>
      </c>
      <c r="J966">
        <v>5.6</v>
      </c>
      <c r="K966" t="s">
        <v>1838</v>
      </c>
    </row>
    <row r="967" spans="1:11" hidden="1" x14ac:dyDescent="0.25">
      <c r="A967">
        <v>3770392</v>
      </c>
      <c r="B967" t="s">
        <v>405</v>
      </c>
      <c r="C967">
        <v>0.26500000000000001</v>
      </c>
      <c r="D967" t="s">
        <v>362</v>
      </c>
      <c r="E967" t="s">
        <v>71</v>
      </c>
      <c r="F967">
        <v>2231</v>
      </c>
      <c r="G967" s="582" t="s">
        <v>10</v>
      </c>
      <c r="H967" s="582" t="s">
        <v>404</v>
      </c>
      <c r="I967" t="s">
        <v>406</v>
      </c>
      <c r="J967">
        <v>5.6</v>
      </c>
      <c r="K967" t="s">
        <v>1838</v>
      </c>
    </row>
    <row r="968" spans="1:11" hidden="1" x14ac:dyDescent="0.25">
      <c r="A968">
        <v>3770392</v>
      </c>
      <c r="B968" t="s">
        <v>405</v>
      </c>
      <c r="C968">
        <v>1.6930000000000001</v>
      </c>
      <c r="D968" t="s">
        <v>362</v>
      </c>
      <c r="E968" t="s">
        <v>71</v>
      </c>
      <c r="F968">
        <v>2232</v>
      </c>
      <c r="G968" s="582" t="s">
        <v>10</v>
      </c>
      <c r="H968" s="582" t="s">
        <v>404</v>
      </c>
      <c r="I968" t="s">
        <v>406</v>
      </c>
      <c r="J968">
        <v>5.6</v>
      </c>
      <c r="K968" t="s">
        <v>1838</v>
      </c>
    </row>
    <row r="969" spans="1:11" hidden="1" x14ac:dyDescent="0.25">
      <c r="A969">
        <v>3770392</v>
      </c>
      <c r="B969" t="s">
        <v>405</v>
      </c>
      <c r="C969">
        <v>1.5980000000000001</v>
      </c>
      <c r="D969" t="s">
        <v>362</v>
      </c>
      <c r="E969" t="s">
        <v>71</v>
      </c>
      <c r="F969">
        <v>2233</v>
      </c>
      <c r="G969" s="582" t="s">
        <v>10</v>
      </c>
      <c r="H969" s="582" t="s">
        <v>404</v>
      </c>
      <c r="I969" t="s">
        <v>406</v>
      </c>
      <c r="J969">
        <v>5.6</v>
      </c>
      <c r="K969" t="s">
        <v>1838</v>
      </c>
    </row>
    <row r="970" spans="1:11" hidden="1" x14ac:dyDescent="0.25">
      <c r="A970">
        <v>3770392</v>
      </c>
      <c r="B970" t="s">
        <v>405</v>
      </c>
      <c r="C970">
        <v>1.6930000000000001</v>
      </c>
      <c r="D970" t="s">
        <v>362</v>
      </c>
      <c r="E970" t="s">
        <v>71</v>
      </c>
      <c r="F970">
        <v>2234</v>
      </c>
      <c r="G970" s="582" t="s">
        <v>10</v>
      </c>
      <c r="H970" s="582" t="s">
        <v>404</v>
      </c>
      <c r="I970" t="s">
        <v>406</v>
      </c>
      <c r="J970">
        <v>5.6</v>
      </c>
      <c r="K970" t="s">
        <v>1838</v>
      </c>
    </row>
    <row r="971" spans="1:11" hidden="1" x14ac:dyDescent="0.25">
      <c r="A971">
        <v>3770392</v>
      </c>
      <c r="B971" t="s">
        <v>405</v>
      </c>
      <c r="C971">
        <v>1.333</v>
      </c>
      <c r="D971" t="s">
        <v>362</v>
      </c>
      <c r="E971" t="s">
        <v>71</v>
      </c>
      <c r="F971">
        <v>2235</v>
      </c>
      <c r="G971" s="582" t="s">
        <v>10</v>
      </c>
      <c r="H971" s="582" t="s">
        <v>404</v>
      </c>
      <c r="I971" t="s">
        <v>406</v>
      </c>
      <c r="J971">
        <v>5.6</v>
      </c>
      <c r="K971" t="s">
        <v>1838</v>
      </c>
    </row>
    <row r="972" spans="1:11" hidden="1" x14ac:dyDescent="0.25">
      <c r="A972">
        <v>3770392</v>
      </c>
      <c r="B972" t="s">
        <v>405</v>
      </c>
      <c r="C972">
        <v>1.5449999999999999</v>
      </c>
      <c r="D972" t="s">
        <v>362</v>
      </c>
      <c r="E972" t="s">
        <v>71</v>
      </c>
      <c r="F972">
        <v>2236</v>
      </c>
      <c r="G972" s="582" t="s">
        <v>10</v>
      </c>
      <c r="H972" s="582" t="s">
        <v>404</v>
      </c>
      <c r="I972" t="s">
        <v>406</v>
      </c>
      <c r="J972">
        <v>5.6</v>
      </c>
      <c r="K972" t="s">
        <v>1838</v>
      </c>
    </row>
    <row r="973" spans="1:11" hidden="1" x14ac:dyDescent="0.25">
      <c r="A973">
        <v>3770392</v>
      </c>
      <c r="B973" t="s">
        <v>405</v>
      </c>
      <c r="C973">
        <v>1.333</v>
      </c>
      <c r="D973" t="s">
        <v>362</v>
      </c>
      <c r="E973" t="s">
        <v>71</v>
      </c>
      <c r="F973">
        <v>2237</v>
      </c>
      <c r="G973" s="582" t="s">
        <v>10</v>
      </c>
      <c r="H973" s="582" t="s">
        <v>404</v>
      </c>
      <c r="I973" t="s">
        <v>406</v>
      </c>
      <c r="J973">
        <v>5.6</v>
      </c>
      <c r="K973" t="s">
        <v>1838</v>
      </c>
    </row>
    <row r="974" spans="1:11" hidden="1" x14ac:dyDescent="0.25">
      <c r="A974">
        <v>3770392</v>
      </c>
      <c r="B974" t="s">
        <v>405</v>
      </c>
      <c r="C974">
        <v>1.5369999999999999</v>
      </c>
      <c r="D974" t="s">
        <v>362</v>
      </c>
      <c r="E974" t="s">
        <v>71</v>
      </c>
      <c r="F974">
        <v>2238</v>
      </c>
      <c r="G974" s="582" t="s">
        <v>10</v>
      </c>
      <c r="H974" s="582" t="s">
        <v>404</v>
      </c>
      <c r="I974" t="s">
        <v>406</v>
      </c>
      <c r="J974">
        <v>5.6</v>
      </c>
      <c r="K974" t="s">
        <v>1838</v>
      </c>
    </row>
    <row r="975" spans="1:11" hidden="1" x14ac:dyDescent="0.25">
      <c r="A975">
        <v>3770392</v>
      </c>
      <c r="B975" t="s">
        <v>405</v>
      </c>
      <c r="C975">
        <v>1.7170000000000001</v>
      </c>
      <c r="D975" t="s">
        <v>362</v>
      </c>
      <c r="E975" t="s">
        <v>71</v>
      </c>
      <c r="F975">
        <v>2239</v>
      </c>
      <c r="G975" s="582" t="s">
        <v>10</v>
      </c>
      <c r="H975" s="582" t="s">
        <v>404</v>
      </c>
      <c r="I975" t="s">
        <v>406</v>
      </c>
      <c r="J975">
        <v>5.6</v>
      </c>
      <c r="K975" t="s">
        <v>1838</v>
      </c>
    </row>
    <row r="976" spans="1:11" hidden="1" x14ac:dyDescent="0.25">
      <c r="A976">
        <v>3770392</v>
      </c>
      <c r="B976" t="s">
        <v>405</v>
      </c>
      <c r="C976">
        <v>1.534</v>
      </c>
      <c r="D976" t="s">
        <v>362</v>
      </c>
      <c r="E976" t="s">
        <v>71</v>
      </c>
      <c r="F976">
        <v>2240</v>
      </c>
      <c r="G976" s="582" t="s">
        <v>10</v>
      </c>
      <c r="H976" s="582" t="s">
        <v>404</v>
      </c>
      <c r="I976" t="s">
        <v>406</v>
      </c>
      <c r="J976">
        <v>5.6</v>
      </c>
      <c r="K976" t="s">
        <v>1838</v>
      </c>
    </row>
    <row r="977" spans="1:11" hidden="1" x14ac:dyDescent="0.25">
      <c r="A977">
        <v>3770392</v>
      </c>
      <c r="B977" t="s">
        <v>405</v>
      </c>
      <c r="C977">
        <v>1.6930000000000001</v>
      </c>
      <c r="D977" t="s">
        <v>362</v>
      </c>
      <c r="E977" t="s">
        <v>71</v>
      </c>
      <c r="F977">
        <v>2241</v>
      </c>
      <c r="G977" s="582" t="s">
        <v>10</v>
      </c>
      <c r="H977" s="582" t="s">
        <v>404</v>
      </c>
      <c r="I977" t="s">
        <v>406</v>
      </c>
      <c r="J977">
        <v>5.6</v>
      </c>
      <c r="K977" t="s">
        <v>1838</v>
      </c>
    </row>
    <row r="978" spans="1:11" hidden="1" x14ac:dyDescent="0.25">
      <c r="A978">
        <v>3770392</v>
      </c>
      <c r="B978" t="s">
        <v>405</v>
      </c>
      <c r="C978">
        <v>1.6930000000000001</v>
      </c>
      <c r="D978" t="s">
        <v>362</v>
      </c>
      <c r="E978" t="s">
        <v>71</v>
      </c>
      <c r="F978">
        <v>2242</v>
      </c>
      <c r="G978" s="582" t="s">
        <v>10</v>
      </c>
      <c r="H978" s="582" t="s">
        <v>404</v>
      </c>
      <c r="I978" t="s">
        <v>406</v>
      </c>
      <c r="J978">
        <v>5.6</v>
      </c>
      <c r="K978" t="s">
        <v>1838</v>
      </c>
    </row>
    <row r="979" spans="1:11" hidden="1" x14ac:dyDescent="0.25">
      <c r="A979">
        <v>3770392</v>
      </c>
      <c r="B979" t="s">
        <v>405</v>
      </c>
      <c r="C979">
        <v>1.6930000000000001</v>
      </c>
      <c r="D979" t="s">
        <v>362</v>
      </c>
      <c r="E979" t="s">
        <v>71</v>
      </c>
      <c r="F979">
        <v>2243</v>
      </c>
      <c r="G979" s="582" t="s">
        <v>10</v>
      </c>
      <c r="H979" s="582" t="s">
        <v>404</v>
      </c>
      <c r="I979" t="s">
        <v>406</v>
      </c>
      <c r="J979">
        <v>5.6</v>
      </c>
      <c r="K979" t="s">
        <v>1838</v>
      </c>
    </row>
    <row r="980" spans="1:11" hidden="1" x14ac:dyDescent="0.25">
      <c r="A980">
        <v>3770392</v>
      </c>
      <c r="B980" t="s">
        <v>405</v>
      </c>
      <c r="C980">
        <v>1.611</v>
      </c>
      <c r="D980" t="s">
        <v>362</v>
      </c>
      <c r="E980" t="s">
        <v>71</v>
      </c>
      <c r="F980">
        <v>2244</v>
      </c>
      <c r="G980" s="582" t="s">
        <v>10</v>
      </c>
      <c r="H980" s="582" t="s">
        <v>404</v>
      </c>
      <c r="I980" t="s">
        <v>406</v>
      </c>
      <c r="J980">
        <v>5.6</v>
      </c>
      <c r="K980" t="s">
        <v>1838</v>
      </c>
    </row>
    <row r="981" spans="1:11" hidden="1" x14ac:dyDescent="0.25">
      <c r="A981">
        <v>3770392</v>
      </c>
      <c r="B981" t="s">
        <v>405</v>
      </c>
      <c r="C981">
        <v>1.714</v>
      </c>
      <c r="D981" t="s">
        <v>362</v>
      </c>
      <c r="E981" t="s">
        <v>71</v>
      </c>
      <c r="F981">
        <v>2245</v>
      </c>
      <c r="G981" s="582" t="s">
        <v>10</v>
      </c>
      <c r="H981" s="582" t="s">
        <v>404</v>
      </c>
      <c r="I981" t="s">
        <v>406</v>
      </c>
      <c r="J981">
        <v>5.6</v>
      </c>
      <c r="K981" t="s">
        <v>1838</v>
      </c>
    </row>
    <row r="982" spans="1:11" hidden="1" x14ac:dyDescent="0.25">
      <c r="A982">
        <v>3770392</v>
      </c>
      <c r="B982" t="s">
        <v>405</v>
      </c>
      <c r="C982">
        <v>1.6930000000000001</v>
      </c>
      <c r="D982" t="s">
        <v>362</v>
      </c>
      <c r="E982" t="s">
        <v>71</v>
      </c>
      <c r="F982">
        <v>2246</v>
      </c>
      <c r="G982" s="582" t="s">
        <v>10</v>
      </c>
      <c r="H982" s="582" t="s">
        <v>404</v>
      </c>
      <c r="I982" t="s">
        <v>406</v>
      </c>
      <c r="J982">
        <v>5.6</v>
      </c>
      <c r="K982" t="s">
        <v>1838</v>
      </c>
    </row>
    <row r="983" spans="1:11" hidden="1" x14ac:dyDescent="0.25">
      <c r="A983">
        <v>3770392</v>
      </c>
      <c r="B983" t="s">
        <v>405</v>
      </c>
      <c r="C983">
        <v>1.7170000000000001</v>
      </c>
      <c r="D983" t="s">
        <v>362</v>
      </c>
      <c r="E983" t="s">
        <v>71</v>
      </c>
      <c r="F983">
        <v>2247</v>
      </c>
      <c r="G983" s="582" t="s">
        <v>10</v>
      </c>
      <c r="H983" s="582" t="s">
        <v>404</v>
      </c>
      <c r="I983" t="s">
        <v>406</v>
      </c>
      <c r="J983">
        <v>5.6</v>
      </c>
      <c r="K983" t="s">
        <v>1838</v>
      </c>
    </row>
    <row r="984" spans="1:11" hidden="1" x14ac:dyDescent="0.25">
      <c r="A984">
        <v>3770392</v>
      </c>
      <c r="B984" t="s">
        <v>405</v>
      </c>
      <c r="C984">
        <v>1.6930000000000001</v>
      </c>
      <c r="D984" t="s">
        <v>362</v>
      </c>
      <c r="E984" t="s">
        <v>71</v>
      </c>
      <c r="F984">
        <v>2248</v>
      </c>
      <c r="G984" s="582" t="s">
        <v>10</v>
      </c>
      <c r="H984" s="582" t="s">
        <v>404</v>
      </c>
      <c r="I984" t="s">
        <v>406</v>
      </c>
      <c r="J984">
        <v>5.6</v>
      </c>
      <c r="K984" t="s">
        <v>1838</v>
      </c>
    </row>
    <row r="985" spans="1:11" hidden="1" x14ac:dyDescent="0.25">
      <c r="A985">
        <v>3770392</v>
      </c>
      <c r="B985" t="s">
        <v>405</v>
      </c>
      <c r="C985">
        <v>1.587</v>
      </c>
      <c r="D985" t="s">
        <v>362</v>
      </c>
      <c r="E985" t="s">
        <v>71</v>
      </c>
      <c r="F985">
        <v>2249</v>
      </c>
      <c r="G985" s="582" t="s">
        <v>10</v>
      </c>
      <c r="H985" s="582" t="s">
        <v>404</v>
      </c>
      <c r="I985" t="s">
        <v>406</v>
      </c>
      <c r="J985">
        <v>5.6</v>
      </c>
      <c r="K985" t="s">
        <v>1838</v>
      </c>
    </row>
    <row r="986" spans="1:11" hidden="1" x14ac:dyDescent="0.25">
      <c r="A986">
        <v>3770392</v>
      </c>
      <c r="B986" t="s">
        <v>405</v>
      </c>
      <c r="C986">
        <v>1.704</v>
      </c>
      <c r="D986" t="s">
        <v>362</v>
      </c>
      <c r="E986" t="s">
        <v>71</v>
      </c>
      <c r="F986">
        <v>2250</v>
      </c>
      <c r="G986" s="582" t="s">
        <v>10</v>
      </c>
      <c r="H986" s="582" t="s">
        <v>404</v>
      </c>
      <c r="I986" t="s">
        <v>406</v>
      </c>
      <c r="J986">
        <v>5.6</v>
      </c>
      <c r="K986" t="s">
        <v>1838</v>
      </c>
    </row>
    <row r="987" spans="1:11" hidden="1" x14ac:dyDescent="0.25">
      <c r="A987">
        <v>3770392</v>
      </c>
      <c r="B987" t="s">
        <v>405</v>
      </c>
      <c r="C987">
        <v>1.6930000000000001</v>
      </c>
      <c r="D987" t="s">
        <v>362</v>
      </c>
      <c r="E987" t="s">
        <v>71</v>
      </c>
      <c r="F987">
        <v>2251</v>
      </c>
      <c r="G987" s="582" t="s">
        <v>10</v>
      </c>
      <c r="H987" s="582" t="s">
        <v>404</v>
      </c>
      <c r="I987" t="s">
        <v>406</v>
      </c>
      <c r="J987">
        <v>5.6</v>
      </c>
      <c r="K987" t="s">
        <v>1838</v>
      </c>
    </row>
    <row r="988" spans="1:11" hidden="1" x14ac:dyDescent="0.25">
      <c r="A988">
        <v>3770392</v>
      </c>
      <c r="B988" t="s">
        <v>405</v>
      </c>
      <c r="C988">
        <v>1.6930000000000001</v>
      </c>
      <c r="D988" t="s">
        <v>362</v>
      </c>
      <c r="E988" t="s">
        <v>71</v>
      </c>
      <c r="F988">
        <v>2252</v>
      </c>
      <c r="G988" s="582" t="s">
        <v>10</v>
      </c>
      <c r="H988" s="582" t="s">
        <v>404</v>
      </c>
      <c r="I988" t="s">
        <v>406</v>
      </c>
      <c r="J988">
        <v>5.6</v>
      </c>
      <c r="K988" t="s">
        <v>1838</v>
      </c>
    </row>
    <row r="989" spans="1:11" hidden="1" x14ac:dyDescent="0.25">
      <c r="A989">
        <v>3770392</v>
      </c>
      <c r="B989" t="s">
        <v>405</v>
      </c>
      <c r="C989">
        <v>1.6080000000000001</v>
      </c>
      <c r="D989" t="s">
        <v>362</v>
      </c>
      <c r="E989" t="s">
        <v>71</v>
      </c>
      <c r="F989">
        <v>2253</v>
      </c>
      <c r="G989" s="582" t="s">
        <v>10</v>
      </c>
      <c r="H989" s="582" t="s">
        <v>404</v>
      </c>
      <c r="I989" t="s">
        <v>406</v>
      </c>
      <c r="J989">
        <v>5.6</v>
      </c>
      <c r="K989" t="s">
        <v>1838</v>
      </c>
    </row>
    <row r="990" spans="1:11" hidden="1" x14ac:dyDescent="0.25">
      <c r="A990">
        <v>3770392</v>
      </c>
      <c r="B990" t="s">
        <v>405</v>
      </c>
      <c r="C990">
        <v>1.5449999999999999</v>
      </c>
      <c r="D990" t="s">
        <v>362</v>
      </c>
      <c r="E990" t="s">
        <v>71</v>
      </c>
      <c r="F990">
        <v>2254</v>
      </c>
      <c r="G990" s="582" t="s">
        <v>10</v>
      </c>
      <c r="H990" s="582" t="s">
        <v>404</v>
      </c>
      <c r="I990" t="s">
        <v>406</v>
      </c>
      <c r="J990">
        <v>5.6</v>
      </c>
      <c r="K990" t="s">
        <v>1838</v>
      </c>
    </row>
    <row r="991" spans="1:11" hidden="1" x14ac:dyDescent="0.25">
      <c r="A991">
        <v>3770392</v>
      </c>
      <c r="B991" t="s">
        <v>405</v>
      </c>
      <c r="C991">
        <v>1.82</v>
      </c>
      <c r="D991" t="s">
        <v>362</v>
      </c>
      <c r="E991" t="s">
        <v>71</v>
      </c>
      <c r="F991">
        <v>2255</v>
      </c>
      <c r="G991" s="582" t="s">
        <v>10</v>
      </c>
      <c r="H991" s="582" t="s">
        <v>404</v>
      </c>
      <c r="I991" t="s">
        <v>406</v>
      </c>
      <c r="J991">
        <v>5.6</v>
      </c>
      <c r="K991" t="s">
        <v>1838</v>
      </c>
    </row>
    <row r="992" spans="1:11" hidden="1" x14ac:dyDescent="0.25">
      <c r="A992">
        <v>3770392</v>
      </c>
      <c r="B992" t="s">
        <v>405</v>
      </c>
      <c r="C992">
        <v>1.7170000000000001</v>
      </c>
      <c r="D992" t="s">
        <v>362</v>
      </c>
      <c r="E992" t="s">
        <v>71</v>
      </c>
      <c r="F992">
        <v>2256</v>
      </c>
      <c r="G992" s="582" t="s">
        <v>10</v>
      </c>
      <c r="H992" s="582" t="s">
        <v>404</v>
      </c>
      <c r="I992" t="s">
        <v>406</v>
      </c>
      <c r="J992">
        <v>5.6</v>
      </c>
      <c r="K992" t="s">
        <v>1838</v>
      </c>
    </row>
    <row r="993" spans="1:11" hidden="1" x14ac:dyDescent="0.25">
      <c r="A993">
        <v>3770392</v>
      </c>
      <c r="B993" t="s">
        <v>405</v>
      </c>
      <c r="C993">
        <v>1.6930000000000001</v>
      </c>
      <c r="D993" t="s">
        <v>362</v>
      </c>
      <c r="E993" t="s">
        <v>71</v>
      </c>
      <c r="F993">
        <v>2257</v>
      </c>
      <c r="G993" s="582" t="s">
        <v>10</v>
      </c>
      <c r="H993" s="582" t="s">
        <v>404</v>
      </c>
      <c r="I993" t="s">
        <v>406</v>
      </c>
      <c r="J993">
        <v>5.6</v>
      </c>
      <c r="K993" t="s">
        <v>1838</v>
      </c>
    </row>
    <row r="994" spans="1:11" hidden="1" x14ac:dyDescent="0.25">
      <c r="A994">
        <v>3770392</v>
      </c>
      <c r="B994" t="s">
        <v>405</v>
      </c>
      <c r="C994">
        <v>1.5129999999999999</v>
      </c>
      <c r="D994" t="s">
        <v>362</v>
      </c>
      <c r="E994" t="s">
        <v>71</v>
      </c>
      <c r="F994">
        <v>2258</v>
      </c>
      <c r="G994" s="582" t="s">
        <v>10</v>
      </c>
      <c r="H994" s="582" t="s">
        <v>404</v>
      </c>
      <c r="I994" t="s">
        <v>406</v>
      </c>
      <c r="J994">
        <v>5.6</v>
      </c>
      <c r="K994" t="s">
        <v>1838</v>
      </c>
    </row>
    <row r="995" spans="1:11" hidden="1" x14ac:dyDescent="0.25">
      <c r="A995">
        <v>3770392</v>
      </c>
      <c r="B995" t="s">
        <v>405</v>
      </c>
      <c r="C995">
        <v>1.5129999999999999</v>
      </c>
      <c r="D995" t="s">
        <v>362</v>
      </c>
      <c r="E995" t="s">
        <v>71</v>
      </c>
      <c r="F995">
        <v>2259</v>
      </c>
      <c r="G995" s="582" t="s">
        <v>10</v>
      </c>
      <c r="H995" s="582" t="s">
        <v>404</v>
      </c>
      <c r="I995" t="s">
        <v>406</v>
      </c>
      <c r="J995">
        <v>5.6</v>
      </c>
      <c r="K995" t="s">
        <v>1838</v>
      </c>
    </row>
    <row r="996" spans="1:11" hidden="1" x14ac:dyDescent="0.25">
      <c r="A996">
        <v>3770392</v>
      </c>
      <c r="B996" t="s">
        <v>405</v>
      </c>
      <c r="C996">
        <v>1.5129999999999999</v>
      </c>
      <c r="D996" t="s">
        <v>362</v>
      </c>
      <c r="E996" t="s">
        <v>71</v>
      </c>
      <c r="F996">
        <v>2260</v>
      </c>
      <c r="G996" s="582" t="s">
        <v>10</v>
      </c>
      <c r="H996" s="582" t="s">
        <v>404</v>
      </c>
      <c r="I996" t="s">
        <v>406</v>
      </c>
      <c r="J996">
        <v>5.6</v>
      </c>
      <c r="K996" t="s">
        <v>1838</v>
      </c>
    </row>
    <row r="997" spans="1:11" hidden="1" x14ac:dyDescent="0.25">
      <c r="A997">
        <v>3770392</v>
      </c>
      <c r="B997" t="s">
        <v>405</v>
      </c>
      <c r="C997">
        <v>1.452</v>
      </c>
      <c r="D997" t="s">
        <v>362</v>
      </c>
      <c r="E997" t="s">
        <v>71</v>
      </c>
      <c r="F997">
        <v>2261</v>
      </c>
      <c r="G997" s="582" t="s">
        <v>10</v>
      </c>
      <c r="H997" s="582" t="s">
        <v>404</v>
      </c>
      <c r="I997" t="s">
        <v>406</v>
      </c>
      <c r="J997">
        <v>5.6</v>
      </c>
      <c r="K997" t="s">
        <v>1838</v>
      </c>
    </row>
    <row r="998" spans="1:11" hidden="1" x14ac:dyDescent="0.25">
      <c r="A998">
        <v>3770392</v>
      </c>
      <c r="B998" t="s">
        <v>405</v>
      </c>
      <c r="C998">
        <v>1.4390000000000001</v>
      </c>
      <c r="D998" t="s">
        <v>362</v>
      </c>
      <c r="E998" t="s">
        <v>71</v>
      </c>
      <c r="F998">
        <v>2262</v>
      </c>
      <c r="G998" s="582" t="s">
        <v>10</v>
      </c>
      <c r="H998" s="582" t="s">
        <v>404</v>
      </c>
      <c r="I998" t="s">
        <v>406</v>
      </c>
      <c r="J998">
        <v>5.6</v>
      </c>
      <c r="K998" t="s">
        <v>1838</v>
      </c>
    </row>
    <row r="999" spans="1:11" hidden="1" x14ac:dyDescent="0.25">
      <c r="A999">
        <v>3770392</v>
      </c>
      <c r="B999" t="s">
        <v>405</v>
      </c>
      <c r="C999">
        <v>2.137</v>
      </c>
      <c r="D999" t="s">
        <v>362</v>
      </c>
      <c r="E999" t="s">
        <v>71</v>
      </c>
      <c r="F999">
        <v>2263</v>
      </c>
      <c r="G999" s="582" t="s">
        <v>10</v>
      </c>
      <c r="H999" s="582" t="s">
        <v>404</v>
      </c>
      <c r="I999" t="s">
        <v>406</v>
      </c>
      <c r="J999">
        <v>5.6</v>
      </c>
      <c r="K999" t="s">
        <v>1838</v>
      </c>
    </row>
    <row r="1000" spans="1:11" hidden="1" x14ac:dyDescent="0.25">
      <c r="A1000">
        <v>3770392</v>
      </c>
      <c r="B1000" t="s">
        <v>405</v>
      </c>
      <c r="C1000">
        <v>1.7170000000000001</v>
      </c>
      <c r="D1000" t="s">
        <v>362</v>
      </c>
      <c r="E1000" t="s">
        <v>71</v>
      </c>
      <c r="F1000">
        <v>2264</v>
      </c>
      <c r="G1000" s="582" t="s">
        <v>10</v>
      </c>
      <c r="H1000" s="582" t="s">
        <v>404</v>
      </c>
      <c r="I1000" t="s">
        <v>406</v>
      </c>
      <c r="J1000">
        <v>5.6</v>
      </c>
      <c r="K1000" t="s">
        <v>1838</v>
      </c>
    </row>
    <row r="1001" spans="1:11" hidden="1" x14ac:dyDescent="0.25">
      <c r="A1001">
        <v>1940833</v>
      </c>
      <c r="B1001" t="s">
        <v>2338</v>
      </c>
      <c r="C1001">
        <v>0.95786300000000002</v>
      </c>
      <c r="D1001">
        <v>4731</v>
      </c>
      <c r="E1001" t="s">
        <v>72</v>
      </c>
      <c r="F1001">
        <v>1355</v>
      </c>
      <c r="G1001" s="582" t="s">
        <v>10</v>
      </c>
      <c r="H1001" s="582" t="s">
        <v>586</v>
      </c>
      <c r="I1001" t="s">
        <v>2339</v>
      </c>
      <c r="J1001">
        <v>6.23</v>
      </c>
      <c r="K1001" t="s">
        <v>1838</v>
      </c>
    </row>
    <row r="1002" spans="1:11" hidden="1" x14ac:dyDescent="0.25">
      <c r="A1002">
        <v>1941840</v>
      </c>
      <c r="B1002" t="s">
        <v>2067</v>
      </c>
      <c r="C1002">
        <v>2.051301</v>
      </c>
      <c r="D1002">
        <v>8406</v>
      </c>
      <c r="E1002" t="s">
        <v>46</v>
      </c>
      <c r="F1002">
        <v>1362</v>
      </c>
      <c r="G1002" s="582" t="s">
        <v>10</v>
      </c>
      <c r="H1002" s="582" t="s">
        <v>799</v>
      </c>
      <c r="I1002" t="s">
        <v>845</v>
      </c>
      <c r="J1002">
        <v>6</v>
      </c>
      <c r="K1002" t="s">
        <v>1838</v>
      </c>
    </row>
    <row r="1003" spans="1:11" hidden="1" x14ac:dyDescent="0.25">
      <c r="A1003">
        <v>1942166</v>
      </c>
      <c r="B1003" t="s">
        <v>1930</v>
      </c>
      <c r="C1003">
        <v>0.16159899999999999</v>
      </c>
      <c r="D1003">
        <v>4731</v>
      </c>
      <c r="E1003" t="s">
        <v>30</v>
      </c>
      <c r="F1003">
        <v>1363</v>
      </c>
      <c r="G1003" s="582" t="s">
        <v>10</v>
      </c>
      <c r="H1003" s="582" t="s">
        <v>827</v>
      </c>
      <c r="I1003" t="s">
        <v>2342</v>
      </c>
      <c r="J1003">
        <v>5.93</v>
      </c>
      <c r="K1003" t="s">
        <v>1838</v>
      </c>
    </row>
    <row r="1004" spans="1:11" hidden="1" x14ac:dyDescent="0.25">
      <c r="A1004">
        <v>3702101</v>
      </c>
      <c r="B1004" t="s">
        <v>2345</v>
      </c>
      <c r="C1004">
        <v>0.1009</v>
      </c>
      <c r="D1004">
        <v>4731</v>
      </c>
      <c r="E1004" t="s">
        <v>101</v>
      </c>
      <c r="F1004">
        <v>1743</v>
      </c>
      <c r="G1004" s="582" t="s">
        <v>10</v>
      </c>
      <c r="H1004" s="582" t="s">
        <v>692</v>
      </c>
      <c r="I1004" t="s">
        <v>2346</v>
      </c>
      <c r="J1004">
        <v>6</v>
      </c>
      <c r="K1004" t="s">
        <v>1838</v>
      </c>
    </row>
    <row r="1005" spans="1:11" hidden="1" x14ac:dyDescent="0.25">
      <c r="A1005">
        <v>2359755</v>
      </c>
      <c r="B1005" t="s">
        <v>828</v>
      </c>
      <c r="C1005">
        <v>0.52376700000000009</v>
      </c>
      <c r="D1005">
        <v>4731</v>
      </c>
      <c r="E1005" t="s">
        <v>30</v>
      </c>
      <c r="F1005">
        <v>1373</v>
      </c>
      <c r="G1005" s="582" t="s">
        <v>10</v>
      </c>
      <c r="H1005" s="582" t="s">
        <v>827</v>
      </c>
      <c r="I1005" t="s">
        <v>829</v>
      </c>
      <c r="J1005">
        <v>0.48499999999999999</v>
      </c>
      <c r="K1005" t="s">
        <v>2171</v>
      </c>
    </row>
    <row r="1006" spans="1:11" hidden="1" x14ac:dyDescent="0.25">
      <c r="A1006">
        <v>2359755</v>
      </c>
      <c r="B1006" t="s">
        <v>828</v>
      </c>
      <c r="C1006">
        <v>0.12623699999999999</v>
      </c>
      <c r="D1006">
        <v>4731</v>
      </c>
      <c r="E1006" t="s">
        <v>30</v>
      </c>
      <c r="F1006">
        <v>1374</v>
      </c>
      <c r="G1006" s="582" t="s">
        <v>10</v>
      </c>
      <c r="H1006" s="582" t="s">
        <v>827</v>
      </c>
      <c r="I1006" t="s">
        <v>829</v>
      </c>
      <c r="J1006">
        <v>0.48499999999999999</v>
      </c>
      <c r="K1006" t="s">
        <v>2171</v>
      </c>
    </row>
    <row r="1007" spans="1:11" hidden="1" x14ac:dyDescent="0.25">
      <c r="A1007">
        <v>2359755</v>
      </c>
      <c r="B1007" t="s">
        <v>828</v>
      </c>
      <c r="C1007">
        <v>0.190302</v>
      </c>
      <c r="D1007">
        <v>4731</v>
      </c>
      <c r="E1007" t="s">
        <v>30</v>
      </c>
      <c r="F1007">
        <v>1375</v>
      </c>
      <c r="G1007" s="582" t="s">
        <v>10</v>
      </c>
      <c r="H1007" s="582" t="s">
        <v>827</v>
      </c>
      <c r="I1007" t="s">
        <v>829</v>
      </c>
      <c r="J1007">
        <v>0.48499999999999999</v>
      </c>
      <c r="K1007" t="s">
        <v>2171</v>
      </c>
    </row>
    <row r="1008" spans="1:11" hidden="1" x14ac:dyDescent="0.25">
      <c r="A1008">
        <v>2396464</v>
      </c>
      <c r="B1008" t="s">
        <v>921</v>
      </c>
      <c r="C1008">
        <v>0.113612</v>
      </c>
      <c r="D1008">
        <v>4731</v>
      </c>
      <c r="E1008" t="s">
        <v>151</v>
      </c>
      <c r="F1008">
        <v>1382</v>
      </c>
      <c r="G1008" s="582" t="s">
        <v>10</v>
      </c>
      <c r="H1008" s="582" t="s">
        <v>920</v>
      </c>
      <c r="I1008" t="s">
        <v>922</v>
      </c>
      <c r="J1008">
        <v>1.1399999999999999</v>
      </c>
      <c r="K1008" t="s">
        <v>2171</v>
      </c>
    </row>
    <row r="1009" spans="1:11" hidden="1" x14ac:dyDescent="0.25">
      <c r="A1009">
        <v>2396464</v>
      </c>
      <c r="B1009" t="s">
        <v>921</v>
      </c>
      <c r="C1009">
        <v>5.6807999999999997E-2</v>
      </c>
      <c r="D1009">
        <v>4731</v>
      </c>
      <c r="E1009" t="s">
        <v>151</v>
      </c>
      <c r="F1009">
        <v>1383</v>
      </c>
      <c r="G1009" s="582" t="s">
        <v>10</v>
      </c>
      <c r="H1009" s="582" t="s">
        <v>920</v>
      </c>
      <c r="I1009" t="s">
        <v>922</v>
      </c>
      <c r="J1009">
        <v>1.1399999999999999</v>
      </c>
      <c r="K1009" t="s">
        <v>2171</v>
      </c>
    </row>
    <row r="1010" spans="1:11" hidden="1" x14ac:dyDescent="0.25">
      <c r="A1010">
        <v>2410388</v>
      </c>
      <c r="B1010" t="s">
        <v>819</v>
      </c>
      <c r="C1010">
        <v>0.95068200000000003</v>
      </c>
      <c r="D1010">
        <v>4731</v>
      </c>
      <c r="E1010" t="s">
        <v>17</v>
      </c>
      <c r="F1010">
        <v>1386</v>
      </c>
      <c r="G1010" s="582" t="s">
        <v>10</v>
      </c>
      <c r="H1010" s="582" t="s">
        <v>816</v>
      </c>
      <c r="I1010" t="s">
        <v>820</v>
      </c>
      <c r="J1010">
        <v>6</v>
      </c>
      <c r="K1010" t="s">
        <v>1838</v>
      </c>
    </row>
    <row r="1011" spans="1:11" hidden="1" x14ac:dyDescent="0.25">
      <c r="A1011">
        <v>2410960</v>
      </c>
      <c r="B1011" t="s">
        <v>847</v>
      </c>
      <c r="C1011">
        <v>5.3088999999999997E-2</v>
      </c>
      <c r="D1011">
        <v>4731</v>
      </c>
      <c r="E1011" t="s">
        <v>151</v>
      </c>
      <c r="F1011">
        <v>1387</v>
      </c>
      <c r="G1011" s="582" t="s">
        <v>10</v>
      </c>
      <c r="H1011" s="582" t="s">
        <v>846</v>
      </c>
      <c r="I1011" t="s">
        <v>848</v>
      </c>
      <c r="J1011">
        <v>6</v>
      </c>
      <c r="K1011" t="s">
        <v>1838</v>
      </c>
    </row>
    <row r="1012" spans="1:11" hidden="1" x14ac:dyDescent="0.25">
      <c r="A1012">
        <v>3702095</v>
      </c>
      <c r="B1012" t="s">
        <v>2349</v>
      </c>
      <c r="C1012">
        <v>0.38358799999999998</v>
      </c>
      <c r="D1012">
        <v>4731</v>
      </c>
      <c r="E1012" t="s">
        <v>101</v>
      </c>
      <c r="F1012">
        <v>1739</v>
      </c>
      <c r="G1012" s="582" t="s">
        <v>10</v>
      </c>
      <c r="H1012" s="582" t="s">
        <v>582</v>
      </c>
      <c r="I1012" t="s">
        <v>2350</v>
      </c>
      <c r="J1012">
        <v>6</v>
      </c>
      <c r="K1012" t="s">
        <v>1838</v>
      </c>
    </row>
    <row r="1013" spans="1:11" hidden="1" x14ac:dyDescent="0.25">
      <c r="A1013">
        <v>3702095</v>
      </c>
      <c r="B1013" t="s">
        <v>2349</v>
      </c>
      <c r="C1013">
        <v>1.5148729999999999</v>
      </c>
      <c r="D1013">
        <v>4731</v>
      </c>
      <c r="E1013" t="s">
        <v>101</v>
      </c>
      <c r="F1013">
        <v>1740</v>
      </c>
      <c r="G1013" s="582" t="s">
        <v>10</v>
      </c>
      <c r="H1013" s="582" t="s">
        <v>582</v>
      </c>
      <c r="I1013" t="s">
        <v>2350</v>
      </c>
      <c r="J1013">
        <v>6</v>
      </c>
      <c r="K1013" t="s">
        <v>1838</v>
      </c>
    </row>
    <row r="1014" spans="1:11" hidden="1" x14ac:dyDescent="0.25">
      <c r="A1014">
        <v>3702095</v>
      </c>
      <c r="B1014" t="s">
        <v>2349</v>
      </c>
      <c r="C1014">
        <v>1.3660000000000001</v>
      </c>
      <c r="D1014">
        <v>4731</v>
      </c>
      <c r="E1014" t="s">
        <v>101</v>
      </c>
      <c r="F1014">
        <v>1741</v>
      </c>
      <c r="G1014" s="582" t="s">
        <v>10</v>
      </c>
      <c r="H1014" s="582" t="s">
        <v>582</v>
      </c>
      <c r="I1014" t="s">
        <v>2350</v>
      </c>
      <c r="J1014">
        <v>6</v>
      </c>
      <c r="K1014" t="s">
        <v>1838</v>
      </c>
    </row>
    <row r="1015" spans="1:11" hidden="1" x14ac:dyDescent="0.25">
      <c r="A1015">
        <v>3702095</v>
      </c>
      <c r="B1015" t="s">
        <v>2349</v>
      </c>
      <c r="C1015">
        <v>1.413</v>
      </c>
      <c r="D1015">
        <v>4731</v>
      </c>
      <c r="E1015" t="s">
        <v>101</v>
      </c>
      <c r="F1015">
        <v>1742</v>
      </c>
      <c r="G1015" s="582" t="s">
        <v>10</v>
      </c>
      <c r="H1015" s="582" t="s">
        <v>582</v>
      </c>
      <c r="I1015" t="s">
        <v>2350</v>
      </c>
      <c r="J1015">
        <v>6</v>
      </c>
      <c r="K1015" t="s">
        <v>1838</v>
      </c>
    </row>
    <row r="1016" spans="1:11" hidden="1" x14ac:dyDescent="0.25">
      <c r="A1016">
        <v>3617058</v>
      </c>
      <c r="B1016" t="s">
        <v>817</v>
      </c>
      <c r="C1016">
        <v>1.7283989999999998</v>
      </c>
      <c r="D1016">
        <v>8406</v>
      </c>
      <c r="E1016" t="s">
        <v>101</v>
      </c>
      <c r="F1016">
        <v>1700</v>
      </c>
      <c r="G1016" s="582" t="s">
        <v>10</v>
      </c>
      <c r="H1016" s="582" t="s">
        <v>816</v>
      </c>
      <c r="I1016" t="s">
        <v>818</v>
      </c>
      <c r="J1016">
        <v>0.20899999999999999</v>
      </c>
      <c r="K1016" t="s">
        <v>2171</v>
      </c>
    </row>
    <row r="1017" spans="1:11" hidden="1" x14ac:dyDescent="0.25">
      <c r="A1017">
        <v>2426240</v>
      </c>
      <c r="B1017" t="s">
        <v>1877</v>
      </c>
      <c r="C1017">
        <v>1.6417580000000001</v>
      </c>
      <c r="D1017">
        <v>4731</v>
      </c>
      <c r="E1017" t="s">
        <v>101</v>
      </c>
      <c r="F1017">
        <v>1397</v>
      </c>
      <c r="G1017" s="582" t="s">
        <v>10</v>
      </c>
      <c r="H1017" s="582" t="s">
        <v>1073</v>
      </c>
      <c r="I1017" t="s">
        <v>2347</v>
      </c>
      <c r="J1017">
        <v>3.5</v>
      </c>
      <c r="K1017" t="s">
        <v>1838</v>
      </c>
    </row>
    <row r="1018" spans="1:11" hidden="1" x14ac:dyDescent="0.25">
      <c r="A1018">
        <v>2426240</v>
      </c>
      <c r="B1018" t="s">
        <v>1877</v>
      </c>
      <c r="C1018">
        <v>0.42595899999999998</v>
      </c>
      <c r="D1018">
        <v>4731</v>
      </c>
      <c r="E1018" t="s">
        <v>101</v>
      </c>
      <c r="F1018">
        <v>1398</v>
      </c>
      <c r="G1018" s="582" t="s">
        <v>10</v>
      </c>
      <c r="H1018" s="582" t="s">
        <v>1073</v>
      </c>
      <c r="I1018" t="s">
        <v>2347</v>
      </c>
      <c r="J1018">
        <v>3.5</v>
      </c>
      <c r="K1018" t="s">
        <v>1838</v>
      </c>
    </row>
    <row r="1019" spans="1:11" hidden="1" x14ac:dyDescent="0.25">
      <c r="A1019">
        <v>2426240</v>
      </c>
      <c r="B1019" t="s">
        <v>1877</v>
      </c>
      <c r="C1019">
        <v>0.270507</v>
      </c>
      <c r="D1019">
        <v>4731</v>
      </c>
      <c r="E1019" t="s">
        <v>101</v>
      </c>
      <c r="F1019">
        <v>1399</v>
      </c>
      <c r="G1019" s="582" t="s">
        <v>10</v>
      </c>
      <c r="H1019" s="582" t="s">
        <v>1073</v>
      </c>
      <c r="I1019" t="s">
        <v>2347</v>
      </c>
      <c r="J1019">
        <v>3.5</v>
      </c>
      <c r="K1019" t="s">
        <v>1838</v>
      </c>
    </row>
    <row r="1020" spans="1:11" hidden="1" x14ac:dyDescent="0.25">
      <c r="A1020">
        <v>2428441</v>
      </c>
      <c r="B1020" t="s">
        <v>1695</v>
      </c>
      <c r="C1020">
        <v>0.20630999999999999</v>
      </c>
      <c r="D1020">
        <v>4731</v>
      </c>
      <c r="E1020" t="s">
        <v>39</v>
      </c>
      <c r="F1020">
        <v>1400</v>
      </c>
      <c r="G1020" s="582" t="s">
        <v>10</v>
      </c>
      <c r="H1020" s="582" t="s">
        <v>891</v>
      </c>
      <c r="I1020" t="s">
        <v>2348</v>
      </c>
      <c r="J1020">
        <v>0.23499999999999999</v>
      </c>
      <c r="K1020" t="s">
        <v>2171</v>
      </c>
    </row>
    <row r="1021" spans="1:11" hidden="1" x14ac:dyDescent="0.25">
      <c r="A1021">
        <v>2429059</v>
      </c>
      <c r="B1021" t="s">
        <v>894</v>
      </c>
      <c r="C1021">
        <v>3.064457</v>
      </c>
      <c r="D1021">
        <v>4731</v>
      </c>
      <c r="E1021" t="s">
        <v>151</v>
      </c>
      <c r="F1021">
        <v>1401</v>
      </c>
      <c r="G1021" s="582" t="s">
        <v>10</v>
      </c>
      <c r="H1021" s="582" t="s">
        <v>872</v>
      </c>
      <c r="I1021" t="s">
        <v>874</v>
      </c>
      <c r="J1021">
        <v>0.23599999999999999</v>
      </c>
      <c r="K1021" t="s">
        <v>2171</v>
      </c>
    </row>
    <row r="1022" spans="1:11" hidden="1" x14ac:dyDescent="0.25">
      <c r="A1022">
        <v>3909903</v>
      </c>
      <c r="B1022" t="s">
        <v>822</v>
      </c>
      <c r="C1022">
        <v>9.9681000000000006E-2</v>
      </c>
      <c r="D1022">
        <v>4731</v>
      </c>
      <c r="E1022" t="s">
        <v>24</v>
      </c>
      <c r="F1022">
        <v>1871</v>
      </c>
      <c r="G1022" s="582" t="s">
        <v>10</v>
      </c>
      <c r="H1022" s="582" t="s">
        <v>393</v>
      </c>
      <c r="I1022" t="s">
        <v>823</v>
      </c>
      <c r="J1022">
        <v>0.35699999999999998</v>
      </c>
      <c r="K1022" t="s">
        <v>2171</v>
      </c>
    </row>
    <row r="1023" spans="1:11" hidden="1" x14ac:dyDescent="0.25">
      <c r="A1023">
        <v>3909903</v>
      </c>
      <c r="B1023" t="s">
        <v>822</v>
      </c>
      <c r="C1023">
        <v>2.0657649999999999</v>
      </c>
      <c r="D1023">
        <v>4731</v>
      </c>
      <c r="E1023" t="s">
        <v>24</v>
      </c>
      <c r="F1023">
        <v>1872</v>
      </c>
      <c r="G1023" s="582" t="s">
        <v>10</v>
      </c>
      <c r="H1023" s="582" t="s">
        <v>393</v>
      </c>
      <c r="I1023" t="s">
        <v>823</v>
      </c>
      <c r="J1023">
        <v>0.35699999999999998</v>
      </c>
      <c r="K1023" t="s">
        <v>2171</v>
      </c>
    </row>
    <row r="1024" spans="1:11" hidden="1" x14ac:dyDescent="0.25">
      <c r="A1024">
        <v>3909903</v>
      </c>
      <c r="B1024" t="s">
        <v>822</v>
      </c>
      <c r="C1024">
        <v>0.103765</v>
      </c>
      <c r="D1024">
        <v>4731</v>
      </c>
      <c r="E1024" t="s">
        <v>24</v>
      </c>
      <c r="F1024">
        <v>1873</v>
      </c>
      <c r="G1024" s="582" t="s">
        <v>10</v>
      </c>
      <c r="H1024" s="582" t="s">
        <v>393</v>
      </c>
      <c r="I1024" t="s">
        <v>823</v>
      </c>
      <c r="J1024">
        <v>0.35699999999999998</v>
      </c>
      <c r="K1024" t="s">
        <v>2171</v>
      </c>
    </row>
    <row r="1025" spans="1:11" hidden="1" x14ac:dyDescent="0.25">
      <c r="A1025">
        <v>3909903</v>
      </c>
      <c r="B1025" t="s">
        <v>822</v>
      </c>
      <c r="C1025">
        <v>2.1634259999999998</v>
      </c>
      <c r="D1025">
        <v>4731</v>
      </c>
      <c r="E1025" t="s">
        <v>24</v>
      </c>
      <c r="F1025">
        <v>1874</v>
      </c>
      <c r="G1025" s="582" t="s">
        <v>10</v>
      </c>
      <c r="H1025" s="582" t="s">
        <v>393</v>
      </c>
      <c r="I1025" t="s">
        <v>823</v>
      </c>
      <c r="J1025">
        <v>0.35699999999999998</v>
      </c>
      <c r="K1025" t="s">
        <v>2171</v>
      </c>
    </row>
    <row r="1026" spans="1:11" hidden="1" x14ac:dyDescent="0.25">
      <c r="A1026">
        <v>3909903</v>
      </c>
      <c r="B1026" t="s">
        <v>822</v>
      </c>
      <c r="C1026">
        <v>0.55424800000000007</v>
      </c>
      <c r="D1026">
        <v>4731</v>
      </c>
      <c r="E1026" t="s">
        <v>24</v>
      </c>
      <c r="F1026">
        <v>1875</v>
      </c>
      <c r="G1026" s="582" t="s">
        <v>10</v>
      </c>
      <c r="H1026" s="582" t="s">
        <v>393</v>
      </c>
      <c r="I1026" t="s">
        <v>823</v>
      </c>
      <c r="J1026">
        <v>0.35699999999999998</v>
      </c>
      <c r="K1026" t="s">
        <v>2171</v>
      </c>
    </row>
    <row r="1027" spans="1:11" hidden="1" x14ac:dyDescent="0.25">
      <c r="A1027">
        <v>3995629</v>
      </c>
      <c r="B1027" t="s">
        <v>394</v>
      </c>
      <c r="C1027">
        <v>0.105098</v>
      </c>
      <c r="D1027">
        <v>4731</v>
      </c>
      <c r="E1027" t="s">
        <v>24</v>
      </c>
      <c r="F1027">
        <v>1899</v>
      </c>
      <c r="G1027" s="582" t="s">
        <v>10</v>
      </c>
      <c r="H1027" s="582" t="s">
        <v>393</v>
      </c>
      <c r="I1027" t="s">
        <v>395</v>
      </c>
      <c r="J1027">
        <v>4.4400000000000004</v>
      </c>
      <c r="K1027" t="s">
        <v>1838</v>
      </c>
    </row>
    <row r="1028" spans="1:11" hidden="1" x14ac:dyDescent="0.25">
      <c r="A1028">
        <v>3995629</v>
      </c>
      <c r="B1028" t="s">
        <v>394</v>
      </c>
      <c r="C1028">
        <v>0.44761400000000001</v>
      </c>
      <c r="D1028">
        <v>4731</v>
      </c>
      <c r="E1028" t="s">
        <v>24</v>
      </c>
      <c r="F1028">
        <v>1900</v>
      </c>
      <c r="G1028" s="582" t="s">
        <v>10</v>
      </c>
      <c r="H1028" s="582" t="s">
        <v>393</v>
      </c>
      <c r="I1028" t="s">
        <v>395</v>
      </c>
      <c r="J1028">
        <v>4.4400000000000004</v>
      </c>
      <c r="K1028" t="s">
        <v>1838</v>
      </c>
    </row>
    <row r="1029" spans="1:11" hidden="1" x14ac:dyDescent="0.25">
      <c r="A1029">
        <v>3995629</v>
      </c>
      <c r="B1029" t="s">
        <v>394</v>
      </c>
      <c r="C1029">
        <v>0.17339599999999999</v>
      </c>
      <c r="D1029">
        <v>4731</v>
      </c>
      <c r="E1029" t="s">
        <v>24</v>
      </c>
      <c r="F1029">
        <v>1901</v>
      </c>
      <c r="G1029" s="582" t="s">
        <v>10</v>
      </c>
      <c r="H1029" s="582" t="s">
        <v>393</v>
      </c>
      <c r="I1029" t="s">
        <v>395</v>
      </c>
      <c r="J1029">
        <v>4.4400000000000004</v>
      </c>
      <c r="K1029" t="s">
        <v>1838</v>
      </c>
    </row>
    <row r="1030" spans="1:11" hidden="1" x14ac:dyDescent="0.25">
      <c r="A1030">
        <v>3995629</v>
      </c>
      <c r="B1030" t="s">
        <v>394</v>
      </c>
      <c r="C1030">
        <v>0.226605</v>
      </c>
      <c r="D1030">
        <v>4731</v>
      </c>
      <c r="E1030" t="s">
        <v>24</v>
      </c>
      <c r="F1030">
        <v>1902</v>
      </c>
      <c r="G1030" s="582" t="s">
        <v>10</v>
      </c>
      <c r="H1030" s="582" t="s">
        <v>393</v>
      </c>
      <c r="I1030" t="s">
        <v>395</v>
      </c>
      <c r="J1030">
        <v>4.4400000000000004</v>
      </c>
      <c r="K1030" t="s">
        <v>1838</v>
      </c>
    </row>
    <row r="1031" spans="1:11" hidden="1" x14ac:dyDescent="0.25">
      <c r="A1031">
        <v>3995629</v>
      </c>
      <c r="B1031" t="s">
        <v>394</v>
      </c>
      <c r="C1031">
        <v>0.27487499999999998</v>
      </c>
      <c r="D1031">
        <v>4731</v>
      </c>
      <c r="E1031" t="s">
        <v>24</v>
      </c>
      <c r="F1031">
        <v>1903</v>
      </c>
      <c r="G1031" s="582" t="s">
        <v>10</v>
      </c>
      <c r="H1031" s="582" t="s">
        <v>393</v>
      </c>
      <c r="I1031" t="s">
        <v>395</v>
      </c>
      <c r="J1031">
        <v>4.4400000000000004</v>
      </c>
      <c r="K1031" t="s">
        <v>1838</v>
      </c>
    </row>
    <row r="1032" spans="1:11" hidden="1" x14ac:dyDescent="0.25">
      <c r="A1032">
        <v>3995629</v>
      </c>
      <c r="B1032" t="s">
        <v>394</v>
      </c>
      <c r="C1032">
        <v>0.29853399999999997</v>
      </c>
      <c r="D1032">
        <v>4731</v>
      </c>
      <c r="E1032" t="s">
        <v>24</v>
      </c>
      <c r="F1032">
        <v>1904</v>
      </c>
      <c r="G1032" s="582" t="s">
        <v>10</v>
      </c>
      <c r="H1032" s="582" t="s">
        <v>393</v>
      </c>
      <c r="I1032" t="s">
        <v>395</v>
      </c>
      <c r="J1032">
        <v>4.4400000000000004</v>
      </c>
      <c r="K1032" t="s">
        <v>1838</v>
      </c>
    </row>
    <row r="1033" spans="1:11" hidden="1" x14ac:dyDescent="0.25">
      <c r="A1033">
        <v>3995629</v>
      </c>
      <c r="B1033" t="s">
        <v>394</v>
      </c>
      <c r="C1033">
        <v>0.17199999999999999</v>
      </c>
      <c r="D1033">
        <v>4731</v>
      </c>
      <c r="E1033" t="s">
        <v>24</v>
      </c>
      <c r="F1033">
        <v>1905</v>
      </c>
      <c r="G1033" s="582" t="s">
        <v>10</v>
      </c>
      <c r="H1033" s="582" t="s">
        <v>393</v>
      </c>
      <c r="I1033" t="s">
        <v>395</v>
      </c>
      <c r="J1033">
        <v>4.4400000000000004</v>
      </c>
      <c r="K1033" t="s">
        <v>1838</v>
      </c>
    </row>
    <row r="1034" spans="1:11" hidden="1" x14ac:dyDescent="0.25">
      <c r="A1034">
        <v>3995629</v>
      </c>
      <c r="B1034" t="s">
        <v>394</v>
      </c>
      <c r="C1034">
        <v>1.7370000000000001</v>
      </c>
      <c r="D1034">
        <v>4731</v>
      </c>
      <c r="E1034" t="s">
        <v>24</v>
      </c>
      <c r="F1034">
        <v>1906</v>
      </c>
      <c r="G1034" s="582" t="s">
        <v>10</v>
      </c>
      <c r="H1034" s="582" t="s">
        <v>393</v>
      </c>
      <c r="I1034" t="s">
        <v>395</v>
      </c>
      <c r="J1034">
        <v>4.4400000000000004</v>
      </c>
      <c r="K1034" t="s">
        <v>1838</v>
      </c>
    </row>
    <row r="1035" spans="1:11" hidden="1" x14ac:dyDescent="0.25">
      <c r="A1035">
        <v>3995629</v>
      </c>
      <c r="B1035" t="s">
        <v>394</v>
      </c>
      <c r="C1035">
        <v>1.88</v>
      </c>
      <c r="D1035">
        <v>4731</v>
      </c>
      <c r="E1035" t="s">
        <v>24</v>
      </c>
      <c r="F1035">
        <v>1907</v>
      </c>
      <c r="G1035" s="582" t="s">
        <v>10</v>
      </c>
      <c r="H1035" s="582" t="s">
        <v>393</v>
      </c>
      <c r="I1035" t="s">
        <v>395</v>
      </c>
      <c r="J1035">
        <v>4.4400000000000004</v>
      </c>
      <c r="K1035" t="s">
        <v>1838</v>
      </c>
    </row>
    <row r="1036" spans="1:11" hidden="1" x14ac:dyDescent="0.25">
      <c r="A1036">
        <v>3995629</v>
      </c>
      <c r="B1036" t="s">
        <v>394</v>
      </c>
      <c r="C1036">
        <v>1.8680000000000001</v>
      </c>
      <c r="D1036">
        <v>4731</v>
      </c>
      <c r="E1036" t="s">
        <v>24</v>
      </c>
      <c r="F1036">
        <v>1908</v>
      </c>
      <c r="G1036" s="582" t="s">
        <v>10</v>
      </c>
      <c r="H1036" s="582" t="s">
        <v>393</v>
      </c>
      <c r="I1036" t="s">
        <v>395</v>
      </c>
      <c r="J1036">
        <v>4.4400000000000004</v>
      </c>
      <c r="K1036" t="s">
        <v>1838</v>
      </c>
    </row>
    <row r="1037" spans="1:11" hidden="1" x14ac:dyDescent="0.25">
      <c r="A1037">
        <v>3995629</v>
      </c>
      <c r="B1037" t="s">
        <v>394</v>
      </c>
      <c r="C1037">
        <v>1.8029999999999999</v>
      </c>
      <c r="D1037">
        <v>4731</v>
      </c>
      <c r="E1037" t="s">
        <v>24</v>
      </c>
      <c r="F1037">
        <v>1909</v>
      </c>
      <c r="G1037" s="582" t="s">
        <v>10</v>
      </c>
      <c r="H1037" s="582" t="s">
        <v>393</v>
      </c>
      <c r="I1037" t="s">
        <v>395</v>
      </c>
      <c r="J1037">
        <v>4.4400000000000004</v>
      </c>
      <c r="K1037" t="s">
        <v>1838</v>
      </c>
    </row>
    <row r="1038" spans="1:11" hidden="1" x14ac:dyDescent="0.25">
      <c r="A1038">
        <v>3995629</v>
      </c>
      <c r="B1038" t="s">
        <v>394</v>
      </c>
      <c r="C1038">
        <v>2.06</v>
      </c>
      <c r="D1038">
        <v>4731</v>
      </c>
      <c r="E1038" t="s">
        <v>24</v>
      </c>
      <c r="F1038">
        <v>1910</v>
      </c>
      <c r="G1038" s="582" t="s">
        <v>10</v>
      </c>
      <c r="H1038" s="582" t="s">
        <v>393</v>
      </c>
      <c r="I1038" t="s">
        <v>395</v>
      </c>
      <c r="J1038">
        <v>4.4400000000000004</v>
      </c>
      <c r="K1038" t="s">
        <v>1838</v>
      </c>
    </row>
    <row r="1039" spans="1:11" hidden="1" x14ac:dyDescent="0.25">
      <c r="A1039">
        <v>3995629</v>
      </c>
      <c r="B1039" t="s">
        <v>394</v>
      </c>
      <c r="C1039">
        <v>2.06</v>
      </c>
      <c r="D1039">
        <v>4731</v>
      </c>
      <c r="E1039" t="s">
        <v>24</v>
      </c>
      <c r="F1039">
        <v>1911</v>
      </c>
      <c r="G1039" s="582" t="s">
        <v>10</v>
      </c>
      <c r="H1039" s="582" t="s">
        <v>393</v>
      </c>
      <c r="I1039" t="s">
        <v>395</v>
      </c>
      <c r="J1039">
        <v>4.4400000000000004</v>
      </c>
      <c r="K1039" t="s">
        <v>1838</v>
      </c>
    </row>
    <row r="1040" spans="1:11" hidden="1" x14ac:dyDescent="0.25">
      <c r="A1040">
        <v>3995629</v>
      </c>
      <c r="B1040" t="s">
        <v>394</v>
      </c>
      <c r="C1040">
        <v>5.5E-2</v>
      </c>
      <c r="D1040">
        <v>4731</v>
      </c>
      <c r="E1040" t="s">
        <v>24</v>
      </c>
      <c r="F1040">
        <v>1912</v>
      </c>
      <c r="G1040" s="582" t="s">
        <v>10</v>
      </c>
      <c r="H1040" s="582" t="s">
        <v>393</v>
      </c>
      <c r="I1040" t="s">
        <v>395</v>
      </c>
      <c r="J1040">
        <v>4.4400000000000004</v>
      </c>
      <c r="K1040" t="s">
        <v>1838</v>
      </c>
    </row>
    <row r="1041" spans="1:11" hidden="1" x14ac:dyDescent="0.25">
      <c r="A1041">
        <v>3995629</v>
      </c>
      <c r="B1041" t="s">
        <v>394</v>
      </c>
      <c r="C1041">
        <v>1.3245400000000001</v>
      </c>
      <c r="D1041">
        <v>4731</v>
      </c>
      <c r="E1041" t="s">
        <v>24</v>
      </c>
      <c r="F1041">
        <v>1913</v>
      </c>
      <c r="G1041" s="582" t="s">
        <v>10</v>
      </c>
      <c r="H1041" s="582" t="s">
        <v>393</v>
      </c>
      <c r="I1041" t="s">
        <v>395</v>
      </c>
      <c r="J1041">
        <v>4.4400000000000004</v>
      </c>
      <c r="K1041" t="s">
        <v>1838</v>
      </c>
    </row>
    <row r="1042" spans="1:11" hidden="1" x14ac:dyDescent="0.25">
      <c r="A1042">
        <v>3995629</v>
      </c>
      <c r="B1042" t="s">
        <v>394</v>
      </c>
      <c r="C1042">
        <v>1.8939999999999999</v>
      </c>
      <c r="D1042">
        <v>4731</v>
      </c>
      <c r="E1042" t="s">
        <v>24</v>
      </c>
      <c r="F1042">
        <v>1914</v>
      </c>
      <c r="G1042" s="582" t="s">
        <v>10</v>
      </c>
      <c r="H1042" s="582" t="s">
        <v>393</v>
      </c>
      <c r="I1042" t="s">
        <v>395</v>
      </c>
      <c r="J1042">
        <v>4.4400000000000004</v>
      </c>
      <c r="K1042" t="s">
        <v>1838</v>
      </c>
    </row>
    <row r="1043" spans="1:11" hidden="1" x14ac:dyDescent="0.25">
      <c r="A1043">
        <v>3995629</v>
      </c>
      <c r="B1043" t="s">
        <v>394</v>
      </c>
      <c r="C1043">
        <v>1.833</v>
      </c>
      <c r="D1043">
        <v>4731</v>
      </c>
      <c r="E1043" t="s">
        <v>24</v>
      </c>
      <c r="F1043">
        <v>1915</v>
      </c>
      <c r="G1043" s="582" t="s">
        <v>10</v>
      </c>
      <c r="H1043" s="582" t="s">
        <v>393</v>
      </c>
      <c r="I1043" t="s">
        <v>395</v>
      </c>
      <c r="J1043">
        <v>4.4400000000000004</v>
      </c>
      <c r="K1043" t="s">
        <v>1838</v>
      </c>
    </row>
    <row r="1044" spans="1:11" hidden="1" x14ac:dyDescent="0.25">
      <c r="A1044">
        <v>3499608</v>
      </c>
      <c r="B1044" t="s">
        <v>2351</v>
      </c>
      <c r="C1044">
        <v>0.71933599999999998</v>
      </c>
      <c r="D1044">
        <v>4731</v>
      </c>
      <c r="E1044" t="s">
        <v>27</v>
      </c>
      <c r="F1044">
        <v>1429</v>
      </c>
      <c r="G1044" s="582" t="s">
        <v>10</v>
      </c>
      <c r="H1044" s="582" t="s">
        <v>914</v>
      </c>
      <c r="I1044" t="s">
        <v>2352</v>
      </c>
      <c r="J1044">
        <v>6</v>
      </c>
      <c r="K1044" t="s">
        <v>1838</v>
      </c>
    </row>
    <row r="1045" spans="1:11" hidden="1" x14ac:dyDescent="0.25">
      <c r="A1045">
        <v>3499608</v>
      </c>
      <c r="B1045" t="s">
        <v>2351</v>
      </c>
      <c r="C1045">
        <v>0.439</v>
      </c>
      <c r="D1045">
        <v>4731</v>
      </c>
      <c r="E1045" t="s">
        <v>27</v>
      </c>
      <c r="F1045">
        <v>1430</v>
      </c>
      <c r="G1045" s="582" t="s">
        <v>10</v>
      </c>
      <c r="H1045" s="582" t="s">
        <v>914</v>
      </c>
      <c r="I1045" t="s">
        <v>2352</v>
      </c>
      <c r="J1045">
        <v>6</v>
      </c>
      <c r="K1045" t="s">
        <v>1838</v>
      </c>
    </row>
    <row r="1046" spans="1:11" hidden="1" x14ac:dyDescent="0.25">
      <c r="A1046">
        <v>3499608</v>
      </c>
      <c r="B1046" t="s">
        <v>2351</v>
      </c>
      <c r="C1046">
        <v>1.756</v>
      </c>
      <c r="D1046">
        <v>4731</v>
      </c>
      <c r="E1046" t="s">
        <v>27</v>
      </c>
      <c r="F1046">
        <v>1431</v>
      </c>
      <c r="G1046" s="582" t="s">
        <v>10</v>
      </c>
      <c r="H1046" s="582" t="s">
        <v>914</v>
      </c>
      <c r="I1046" t="s">
        <v>2352</v>
      </c>
      <c r="J1046">
        <v>6</v>
      </c>
      <c r="K1046" t="s">
        <v>1838</v>
      </c>
    </row>
    <row r="1047" spans="1:11" hidden="1" x14ac:dyDescent="0.25">
      <c r="A1047">
        <v>3499608</v>
      </c>
      <c r="B1047" t="s">
        <v>2351</v>
      </c>
      <c r="C1047">
        <v>0.29158000000000001</v>
      </c>
      <c r="D1047">
        <v>4731</v>
      </c>
      <c r="E1047" t="s">
        <v>27</v>
      </c>
      <c r="F1047">
        <v>1432</v>
      </c>
      <c r="G1047" s="582" t="s">
        <v>10</v>
      </c>
      <c r="H1047" s="582" t="s">
        <v>914</v>
      </c>
      <c r="I1047" t="s">
        <v>2352</v>
      </c>
      <c r="J1047">
        <v>6</v>
      </c>
      <c r="K1047" t="s">
        <v>1838</v>
      </c>
    </row>
    <row r="1048" spans="1:11" hidden="1" x14ac:dyDescent="0.25">
      <c r="A1048">
        <v>3499608</v>
      </c>
      <c r="B1048" t="s">
        <v>2351</v>
      </c>
      <c r="C1048">
        <v>7.9000000000000001E-2</v>
      </c>
      <c r="D1048">
        <v>4731</v>
      </c>
      <c r="E1048" t="s">
        <v>27</v>
      </c>
      <c r="F1048">
        <v>1433</v>
      </c>
      <c r="G1048" s="582" t="s">
        <v>10</v>
      </c>
      <c r="H1048" s="582" t="s">
        <v>914</v>
      </c>
      <c r="I1048" t="s">
        <v>2352</v>
      </c>
      <c r="J1048">
        <v>6</v>
      </c>
      <c r="K1048" t="s">
        <v>1838</v>
      </c>
    </row>
    <row r="1049" spans="1:11" hidden="1" x14ac:dyDescent="0.25">
      <c r="A1049">
        <v>3499608</v>
      </c>
      <c r="B1049" t="s">
        <v>2351</v>
      </c>
      <c r="C1049">
        <v>0.29299999999999998</v>
      </c>
      <c r="D1049">
        <v>4731</v>
      </c>
      <c r="E1049" t="s">
        <v>27</v>
      </c>
      <c r="F1049">
        <v>1434</v>
      </c>
      <c r="G1049" s="582" t="s">
        <v>10</v>
      </c>
      <c r="H1049" s="582" t="s">
        <v>914</v>
      </c>
      <c r="I1049" t="s">
        <v>2352</v>
      </c>
      <c r="J1049">
        <v>6</v>
      </c>
      <c r="K1049" t="s">
        <v>1838</v>
      </c>
    </row>
    <row r="1050" spans="1:11" hidden="1" x14ac:dyDescent="0.25">
      <c r="A1050">
        <v>3499608</v>
      </c>
      <c r="B1050" t="s">
        <v>2351</v>
      </c>
      <c r="C1050">
        <v>1.9750000000000001</v>
      </c>
      <c r="D1050">
        <v>8406</v>
      </c>
      <c r="E1050" t="s">
        <v>27</v>
      </c>
      <c r="F1050">
        <v>1435</v>
      </c>
      <c r="G1050" s="582" t="s">
        <v>10</v>
      </c>
      <c r="H1050" s="582" t="s">
        <v>914</v>
      </c>
      <c r="I1050" t="s">
        <v>2352</v>
      </c>
      <c r="J1050">
        <v>6</v>
      </c>
      <c r="K1050" t="s">
        <v>1838</v>
      </c>
    </row>
    <row r="1051" spans="1:11" hidden="1" x14ac:dyDescent="0.25">
      <c r="A1051">
        <v>3499608</v>
      </c>
      <c r="B1051" t="s">
        <v>2351</v>
      </c>
      <c r="C1051">
        <v>1.3820699999999999</v>
      </c>
      <c r="D1051">
        <v>8406</v>
      </c>
      <c r="E1051" t="s">
        <v>27</v>
      </c>
      <c r="F1051">
        <v>1436</v>
      </c>
      <c r="G1051" s="582" t="s">
        <v>10</v>
      </c>
      <c r="H1051" s="582" t="s">
        <v>914</v>
      </c>
      <c r="I1051" t="s">
        <v>2352</v>
      </c>
      <c r="J1051">
        <v>6</v>
      </c>
      <c r="K1051" t="s">
        <v>1838</v>
      </c>
    </row>
    <row r="1052" spans="1:11" hidden="1" x14ac:dyDescent="0.25">
      <c r="A1052">
        <v>3499608</v>
      </c>
      <c r="B1052" t="s">
        <v>2351</v>
      </c>
      <c r="C1052">
        <v>1.8979999999999999</v>
      </c>
      <c r="D1052">
        <v>8406</v>
      </c>
      <c r="E1052" t="s">
        <v>27</v>
      </c>
      <c r="F1052">
        <v>1437</v>
      </c>
      <c r="G1052" s="582" t="s">
        <v>10</v>
      </c>
      <c r="H1052" s="582" t="s">
        <v>914</v>
      </c>
      <c r="I1052" t="s">
        <v>2352</v>
      </c>
      <c r="J1052">
        <v>6</v>
      </c>
      <c r="K1052" t="s">
        <v>1838</v>
      </c>
    </row>
    <row r="1053" spans="1:11" hidden="1" x14ac:dyDescent="0.25">
      <c r="A1053">
        <v>3499608</v>
      </c>
      <c r="B1053" t="s">
        <v>2351</v>
      </c>
      <c r="C1053">
        <v>1.962</v>
      </c>
      <c r="D1053">
        <v>8406</v>
      </c>
      <c r="E1053" t="s">
        <v>27</v>
      </c>
      <c r="F1053">
        <v>1438</v>
      </c>
      <c r="G1053" s="582" t="s">
        <v>10</v>
      </c>
      <c r="H1053" s="582" t="s">
        <v>914</v>
      </c>
      <c r="I1053" t="s">
        <v>2352</v>
      </c>
      <c r="J1053">
        <v>6</v>
      </c>
      <c r="K1053" t="s">
        <v>1838</v>
      </c>
    </row>
    <row r="1054" spans="1:11" hidden="1" x14ac:dyDescent="0.25">
      <c r="A1054">
        <v>3499608</v>
      </c>
      <c r="B1054" t="s">
        <v>2351</v>
      </c>
      <c r="C1054">
        <v>1.6439999999999999</v>
      </c>
      <c r="D1054" t="s">
        <v>362</v>
      </c>
      <c r="E1054" t="s">
        <v>27</v>
      </c>
      <c r="F1054">
        <v>2082</v>
      </c>
      <c r="G1054" s="582" t="s">
        <v>10</v>
      </c>
      <c r="H1054" s="582" t="s">
        <v>914</v>
      </c>
      <c r="I1054" t="s">
        <v>2352</v>
      </c>
      <c r="J1054">
        <v>6</v>
      </c>
      <c r="K1054" t="s">
        <v>1838</v>
      </c>
    </row>
    <row r="1055" spans="1:11" hidden="1" x14ac:dyDescent="0.25">
      <c r="A1055">
        <v>3499608</v>
      </c>
      <c r="B1055" t="s">
        <v>2351</v>
      </c>
      <c r="C1055">
        <v>1.486</v>
      </c>
      <c r="D1055" t="s">
        <v>362</v>
      </c>
      <c r="E1055" t="s">
        <v>27</v>
      </c>
      <c r="F1055">
        <v>2083</v>
      </c>
      <c r="G1055" s="582" t="s">
        <v>10</v>
      </c>
      <c r="H1055" s="582" t="s">
        <v>914</v>
      </c>
      <c r="I1055" t="s">
        <v>2352</v>
      </c>
      <c r="J1055">
        <v>6</v>
      </c>
      <c r="K1055" t="s">
        <v>1838</v>
      </c>
    </row>
    <row r="1056" spans="1:11" hidden="1" x14ac:dyDescent="0.25">
      <c r="A1056">
        <v>3499608</v>
      </c>
      <c r="B1056" t="s">
        <v>2351</v>
      </c>
      <c r="C1056">
        <v>2.5289999999999999</v>
      </c>
      <c r="D1056" t="s">
        <v>362</v>
      </c>
      <c r="E1056" t="s">
        <v>27</v>
      </c>
      <c r="F1056">
        <v>2084</v>
      </c>
      <c r="G1056" s="582" t="s">
        <v>10</v>
      </c>
      <c r="H1056" s="582" t="s">
        <v>914</v>
      </c>
      <c r="I1056" t="s">
        <v>2352</v>
      </c>
      <c r="J1056">
        <v>6</v>
      </c>
      <c r="K1056" t="s">
        <v>1838</v>
      </c>
    </row>
    <row r="1057" spans="1:11" hidden="1" x14ac:dyDescent="0.25">
      <c r="A1057">
        <v>3499608</v>
      </c>
      <c r="B1057" t="s">
        <v>2351</v>
      </c>
      <c r="C1057">
        <v>1.7390000000000001</v>
      </c>
      <c r="D1057" t="s">
        <v>362</v>
      </c>
      <c r="E1057" t="s">
        <v>27</v>
      </c>
      <c r="F1057">
        <v>2085</v>
      </c>
      <c r="G1057" s="582" t="s">
        <v>10</v>
      </c>
      <c r="H1057" s="582" t="s">
        <v>914</v>
      </c>
      <c r="I1057" t="s">
        <v>2352</v>
      </c>
      <c r="J1057">
        <v>6</v>
      </c>
      <c r="K1057" t="s">
        <v>1838</v>
      </c>
    </row>
    <row r="1058" spans="1:11" hidden="1" x14ac:dyDescent="0.25">
      <c r="A1058">
        <v>3499608</v>
      </c>
      <c r="B1058" t="s">
        <v>2351</v>
      </c>
      <c r="C1058">
        <v>1.992</v>
      </c>
      <c r="D1058" t="s">
        <v>362</v>
      </c>
      <c r="E1058" t="s">
        <v>27</v>
      </c>
      <c r="F1058">
        <v>2086</v>
      </c>
      <c r="G1058" s="582" t="s">
        <v>10</v>
      </c>
      <c r="H1058" s="582" t="s">
        <v>914</v>
      </c>
      <c r="I1058" t="s">
        <v>2352</v>
      </c>
      <c r="J1058">
        <v>6</v>
      </c>
      <c r="K1058" t="s">
        <v>1838</v>
      </c>
    </row>
    <row r="1059" spans="1:11" hidden="1" x14ac:dyDescent="0.25">
      <c r="A1059">
        <v>3499608</v>
      </c>
      <c r="B1059" t="s">
        <v>2351</v>
      </c>
      <c r="C1059">
        <v>2.5920000000000001</v>
      </c>
      <c r="D1059" t="s">
        <v>362</v>
      </c>
      <c r="E1059" t="s">
        <v>27</v>
      </c>
      <c r="F1059">
        <v>2087</v>
      </c>
      <c r="G1059" s="582" t="s">
        <v>10</v>
      </c>
      <c r="H1059" s="582" t="s">
        <v>914</v>
      </c>
      <c r="I1059" t="s">
        <v>2352</v>
      </c>
      <c r="J1059">
        <v>6</v>
      </c>
      <c r="K1059" t="s">
        <v>1838</v>
      </c>
    </row>
    <row r="1060" spans="1:11" hidden="1" x14ac:dyDescent="0.25">
      <c r="A1060">
        <v>3499608</v>
      </c>
      <c r="B1060" t="s">
        <v>2351</v>
      </c>
      <c r="C1060">
        <v>1.075</v>
      </c>
      <c r="D1060" t="s">
        <v>362</v>
      </c>
      <c r="E1060" t="s">
        <v>27</v>
      </c>
      <c r="F1060">
        <v>2088</v>
      </c>
      <c r="G1060" s="582" t="s">
        <v>10</v>
      </c>
      <c r="H1060" s="582" t="s">
        <v>914</v>
      </c>
      <c r="I1060" t="s">
        <v>2352</v>
      </c>
      <c r="J1060">
        <v>6</v>
      </c>
      <c r="K1060" t="s">
        <v>1838</v>
      </c>
    </row>
    <row r="1061" spans="1:11" hidden="1" x14ac:dyDescent="0.25">
      <c r="A1061">
        <v>3499608</v>
      </c>
      <c r="B1061" t="s">
        <v>2351</v>
      </c>
      <c r="C1061">
        <v>2.0550000000000002</v>
      </c>
      <c r="D1061" t="s">
        <v>362</v>
      </c>
      <c r="E1061" t="s">
        <v>27</v>
      </c>
      <c r="F1061">
        <v>2089</v>
      </c>
      <c r="G1061" s="582" t="s">
        <v>10</v>
      </c>
      <c r="H1061" s="582" t="s">
        <v>914</v>
      </c>
      <c r="I1061" t="s">
        <v>2352</v>
      </c>
      <c r="J1061">
        <v>6</v>
      </c>
      <c r="K1061" t="s">
        <v>1838</v>
      </c>
    </row>
    <row r="1062" spans="1:11" hidden="1" x14ac:dyDescent="0.25">
      <c r="A1062">
        <v>3499608</v>
      </c>
      <c r="B1062" t="s">
        <v>2351</v>
      </c>
      <c r="C1062">
        <v>2.34</v>
      </c>
      <c r="D1062" t="s">
        <v>362</v>
      </c>
      <c r="E1062" t="s">
        <v>27</v>
      </c>
      <c r="F1062">
        <v>2090</v>
      </c>
      <c r="G1062" s="582" t="s">
        <v>10</v>
      </c>
      <c r="H1062" s="582" t="s">
        <v>914</v>
      </c>
      <c r="I1062" t="s">
        <v>2352</v>
      </c>
      <c r="J1062">
        <v>6</v>
      </c>
      <c r="K1062" t="s">
        <v>1838</v>
      </c>
    </row>
    <row r="1063" spans="1:11" hidden="1" x14ac:dyDescent="0.25">
      <c r="A1063">
        <v>3499608</v>
      </c>
      <c r="B1063" t="s">
        <v>2351</v>
      </c>
      <c r="C1063">
        <v>2.3079999999999998</v>
      </c>
      <c r="D1063" t="s">
        <v>362</v>
      </c>
      <c r="E1063" t="s">
        <v>27</v>
      </c>
      <c r="F1063">
        <v>2091</v>
      </c>
      <c r="G1063" s="582" t="s">
        <v>10</v>
      </c>
      <c r="H1063" s="582" t="s">
        <v>914</v>
      </c>
      <c r="I1063" t="s">
        <v>2352</v>
      </c>
      <c r="J1063">
        <v>6</v>
      </c>
      <c r="K1063" t="s">
        <v>1838</v>
      </c>
    </row>
    <row r="1064" spans="1:11" hidden="1" x14ac:dyDescent="0.25">
      <c r="A1064">
        <v>3499608</v>
      </c>
      <c r="B1064" t="s">
        <v>2351</v>
      </c>
      <c r="C1064">
        <v>2.2450000000000001</v>
      </c>
      <c r="D1064" t="s">
        <v>362</v>
      </c>
      <c r="E1064" t="s">
        <v>27</v>
      </c>
      <c r="F1064">
        <v>2092</v>
      </c>
      <c r="G1064" s="582" t="s">
        <v>10</v>
      </c>
      <c r="H1064" s="582" t="s">
        <v>914</v>
      </c>
      <c r="I1064" t="s">
        <v>2352</v>
      </c>
      <c r="J1064">
        <v>6</v>
      </c>
      <c r="K1064" t="s">
        <v>1838</v>
      </c>
    </row>
    <row r="1065" spans="1:11" hidden="1" x14ac:dyDescent="0.25">
      <c r="A1065">
        <v>3499608</v>
      </c>
      <c r="B1065" t="s">
        <v>2351</v>
      </c>
      <c r="C1065">
        <v>2.1179999999999999</v>
      </c>
      <c r="D1065" t="s">
        <v>362</v>
      </c>
      <c r="E1065" t="s">
        <v>27</v>
      </c>
      <c r="F1065">
        <v>2093</v>
      </c>
      <c r="G1065" s="582" t="s">
        <v>10</v>
      </c>
      <c r="H1065" s="582" t="s">
        <v>914</v>
      </c>
      <c r="I1065" t="s">
        <v>2352</v>
      </c>
      <c r="J1065">
        <v>6</v>
      </c>
      <c r="K1065" t="s">
        <v>1838</v>
      </c>
    </row>
    <row r="1066" spans="1:11" hidden="1" x14ac:dyDescent="0.25">
      <c r="A1066">
        <v>3499608</v>
      </c>
      <c r="B1066" t="s">
        <v>2351</v>
      </c>
      <c r="C1066">
        <v>2.15</v>
      </c>
      <c r="D1066" t="s">
        <v>362</v>
      </c>
      <c r="E1066" t="s">
        <v>27</v>
      </c>
      <c r="F1066">
        <v>2094</v>
      </c>
      <c r="G1066" s="582" t="s">
        <v>10</v>
      </c>
      <c r="H1066" s="582" t="s">
        <v>914</v>
      </c>
      <c r="I1066" t="s">
        <v>2352</v>
      </c>
      <c r="J1066">
        <v>6</v>
      </c>
      <c r="K1066" t="s">
        <v>1838</v>
      </c>
    </row>
    <row r="1067" spans="1:11" hidden="1" x14ac:dyDescent="0.25">
      <c r="A1067">
        <v>3770394</v>
      </c>
      <c r="B1067" t="s">
        <v>2353</v>
      </c>
      <c r="C1067">
        <v>1.0108999999999999</v>
      </c>
      <c r="D1067">
        <v>4731</v>
      </c>
      <c r="E1067" t="s">
        <v>71</v>
      </c>
      <c r="F1067">
        <v>1792</v>
      </c>
      <c r="G1067" s="582" t="s">
        <v>10</v>
      </c>
      <c r="H1067" s="582" t="s">
        <v>824</v>
      </c>
      <c r="I1067" t="s">
        <v>2354</v>
      </c>
      <c r="J1067">
        <v>5.55</v>
      </c>
      <c r="K1067" t="s">
        <v>1838</v>
      </c>
    </row>
    <row r="1068" spans="1:11" hidden="1" x14ac:dyDescent="0.25">
      <c r="A1068">
        <v>3770394</v>
      </c>
      <c r="B1068" t="s">
        <v>2353</v>
      </c>
      <c r="C1068">
        <v>0.18237999999999999</v>
      </c>
      <c r="D1068">
        <v>4731</v>
      </c>
      <c r="E1068" t="s">
        <v>71</v>
      </c>
      <c r="F1068">
        <v>1793</v>
      </c>
      <c r="G1068" s="582" t="s">
        <v>10</v>
      </c>
      <c r="H1068" s="582" t="s">
        <v>824</v>
      </c>
      <c r="I1068" t="s">
        <v>2354</v>
      </c>
      <c r="J1068">
        <v>5.55</v>
      </c>
      <c r="K1068" t="s">
        <v>1838</v>
      </c>
    </row>
    <row r="1069" spans="1:11" hidden="1" x14ac:dyDescent="0.25">
      <c r="A1069">
        <v>3770394</v>
      </c>
      <c r="B1069" t="s">
        <v>2353</v>
      </c>
      <c r="C1069">
        <v>2.2360000000000002</v>
      </c>
      <c r="D1069">
        <v>4731</v>
      </c>
      <c r="E1069" t="s">
        <v>71</v>
      </c>
      <c r="F1069">
        <v>1794</v>
      </c>
      <c r="G1069" s="582" t="s">
        <v>10</v>
      </c>
      <c r="H1069" s="582" t="s">
        <v>824</v>
      </c>
      <c r="I1069" t="s">
        <v>2354</v>
      </c>
      <c r="J1069">
        <v>5.55</v>
      </c>
      <c r="K1069" t="s">
        <v>1838</v>
      </c>
    </row>
    <row r="1070" spans="1:11" hidden="1" x14ac:dyDescent="0.25">
      <c r="A1070">
        <v>3770394</v>
      </c>
      <c r="B1070" t="s">
        <v>2353</v>
      </c>
      <c r="C1070">
        <v>1.5469999999999999</v>
      </c>
      <c r="D1070">
        <v>4731</v>
      </c>
      <c r="E1070" t="s">
        <v>71</v>
      </c>
      <c r="F1070">
        <v>1795</v>
      </c>
      <c r="G1070" s="582" t="s">
        <v>10</v>
      </c>
      <c r="H1070" s="582" t="s">
        <v>824</v>
      </c>
      <c r="I1070" t="s">
        <v>2354</v>
      </c>
      <c r="J1070">
        <v>5.55</v>
      </c>
      <c r="K1070" t="s">
        <v>1838</v>
      </c>
    </row>
    <row r="1071" spans="1:11" hidden="1" x14ac:dyDescent="0.25">
      <c r="A1071">
        <v>3770394</v>
      </c>
      <c r="B1071" t="s">
        <v>2353</v>
      </c>
      <c r="C1071">
        <v>1.869</v>
      </c>
      <c r="D1071">
        <v>4731</v>
      </c>
      <c r="E1071" t="s">
        <v>71</v>
      </c>
      <c r="F1071">
        <v>1796</v>
      </c>
      <c r="G1071" s="582" t="s">
        <v>10</v>
      </c>
      <c r="H1071" s="582" t="s">
        <v>824</v>
      </c>
      <c r="I1071" t="s">
        <v>2354</v>
      </c>
      <c r="J1071">
        <v>5.55</v>
      </c>
      <c r="K1071" t="s">
        <v>1838</v>
      </c>
    </row>
    <row r="1072" spans="1:11" hidden="1" x14ac:dyDescent="0.25">
      <c r="A1072">
        <v>3770394</v>
      </c>
      <c r="B1072" t="s">
        <v>2353</v>
      </c>
      <c r="C1072">
        <v>3.7080000000000002</v>
      </c>
      <c r="D1072">
        <v>4731</v>
      </c>
      <c r="E1072" t="s">
        <v>71</v>
      </c>
      <c r="F1072">
        <v>1797</v>
      </c>
      <c r="G1072" s="582" t="s">
        <v>10</v>
      </c>
      <c r="H1072" s="582" t="s">
        <v>824</v>
      </c>
      <c r="I1072" t="s">
        <v>2354</v>
      </c>
      <c r="J1072">
        <v>5.55</v>
      </c>
      <c r="K1072" t="s">
        <v>1838</v>
      </c>
    </row>
    <row r="1073" spans="1:11" hidden="1" x14ac:dyDescent="0.25">
      <c r="A1073">
        <v>3770394</v>
      </c>
      <c r="B1073" t="s">
        <v>2353</v>
      </c>
      <c r="C1073">
        <v>0.59282100000000004</v>
      </c>
      <c r="D1073">
        <v>8406</v>
      </c>
      <c r="E1073" t="s">
        <v>71</v>
      </c>
      <c r="F1073">
        <v>1798</v>
      </c>
      <c r="G1073" s="582" t="s">
        <v>10</v>
      </c>
      <c r="H1073" s="582" t="s">
        <v>824</v>
      </c>
      <c r="I1073" t="s">
        <v>2354</v>
      </c>
      <c r="J1073">
        <v>5.55</v>
      </c>
      <c r="K1073" t="s">
        <v>1838</v>
      </c>
    </row>
    <row r="1074" spans="1:11" hidden="1" x14ac:dyDescent="0.25">
      <c r="A1074">
        <v>3770394</v>
      </c>
      <c r="B1074" t="s">
        <v>2353</v>
      </c>
      <c r="C1074">
        <v>1.04908</v>
      </c>
      <c r="D1074">
        <v>8406</v>
      </c>
      <c r="E1074" t="s">
        <v>71</v>
      </c>
      <c r="F1074">
        <v>1799</v>
      </c>
      <c r="G1074" s="582" t="s">
        <v>10</v>
      </c>
      <c r="H1074" s="582" t="s">
        <v>824</v>
      </c>
      <c r="I1074" t="s">
        <v>2354</v>
      </c>
      <c r="J1074">
        <v>5.55</v>
      </c>
      <c r="K1074" t="s">
        <v>1838</v>
      </c>
    </row>
    <row r="1075" spans="1:11" hidden="1" x14ac:dyDescent="0.25">
      <c r="A1075">
        <v>3770394</v>
      </c>
      <c r="B1075" t="s">
        <v>2353</v>
      </c>
      <c r="C1075">
        <v>1.736</v>
      </c>
      <c r="D1075">
        <v>8406</v>
      </c>
      <c r="E1075" t="s">
        <v>71</v>
      </c>
      <c r="F1075">
        <v>1800</v>
      </c>
      <c r="G1075" s="582" t="s">
        <v>10</v>
      </c>
      <c r="H1075" s="582" t="s">
        <v>824</v>
      </c>
      <c r="I1075" t="s">
        <v>2354</v>
      </c>
      <c r="J1075">
        <v>5.55</v>
      </c>
      <c r="K1075" t="s">
        <v>1838</v>
      </c>
    </row>
    <row r="1076" spans="1:11" hidden="1" x14ac:dyDescent="0.25">
      <c r="A1076">
        <v>3770394</v>
      </c>
      <c r="B1076" t="s">
        <v>2353</v>
      </c>
      <c r="C1076">
        <v>1.736</v>
      </c>
      <c r="D1076">
        <v>8406</v>
      </c>
      <c r="E1076" t="s">
        <v>71</v>
      </c>
      <c r="F1076">
        <v>1801</v>
      </c>
      <c r="G1076" s="582" t="s">
        <v>10</v>
      </c>
      <c r="H1076" s="582" t="s">
        <v>824</v>
      </c>
      <c r="I1076" t="s">
        <v>2354</v>
      </c>
      <c r="J1076">
        <v>5.55</v>
      </c>
      <c r="K1076" t="s">
        <v>1838</v>
      </c>
    </row>
    <row r="1077" spans="1:11" hidden="1" x14ac:dyDescent="0.25">
      <c r="A1077">
        <v>3770394</v>
      </c>
      <c r="B1077" t="s">
        <v>2353</v>
      </c>
      <c r="C1077">
        <v>0.42709900000000001</v>
      </c>
      <c r="D1077">
        <v>8406</v>
      </c>
      <c r="E1077" t="s">
        <v>71</v>
      </c>
      <c r="F1077">
        <v>1802</v>
      </c>
      <c r="G1077" s="582" t="s">
        <v>10</v>
      </c>
      <c r="H1077" s="582" t="s">
        <v>824</v>
      </c>
      <c r="I1077" t="s">
        <v>2354</v>
      </c>
      <c r="J1077">
        <v>5.55</v>
      </c>
      <c r="K1077" t="s">
        <v>1838</v>
      </c>
    </row>
    <row r="1078" spans="1:11" hidden="1" x14ac:dyDescent="0.25">
      <c r="A1078">
        <v>3770394</v>
      </c>
      <c r="B1078" t="s">
        <v>2353</v>
      </c>
      <c r="C1078">
        <v>1.5620000000000001</v>
      </c>
      <c r="D1078">
        <v>8406</v>
      </c>
      <c r="E1078" t="s">
        <v>71</v>
      </c>
      <c r="F1078">
        <v>1803</v>
      </c>
      <c r="G1078" s="582" t="s">
        <v>10</v>
      </c>
      <c r="H1078" s="582" t="s">
        <v>824</v>
      </c>
      <c r="I1078" t="s">
        <v>2354</v>
      </c>
      <c r="J1078">
        <v>5.55</v>
      </c>
      <c r="K1078" t="s">
        <v>1838</v>
      </c>
    </row>
    <row r="1079" spans="1:11" hidden="1" x14ac:dyDescent="0.25">
      <c r="A1079">
        <v>3770394</v>
      </c>
      <c r="B1079" t="s">
        <v>2353</v>
      </c>
      <c r="C1079">
        <v>1.7370000000000001</v>
      </c>
      <c r="D1079">
        <v>8406</v>
      </c>
      <c r="E1079" t="s">
        <v>71</v>
      </c>
      <c r="F1079">
        <v>1804</v>
      </c>
      <c r="G1079" s="582" t="s">
        <v>10</v>
      </c>
      <c r="H1079" s="582" t="s">
        <v>824</v>
      </c>
      <c r="I1079" t="s">
        <v>2354</v>
      </c>
      <c r="J1079">
        <v>5.55</v>
      </c>
      <c r="K1079" t="s">
        <v>1838</v>
      </c>
    </row>
    <row r="1080" spans="1:11" hidden="1" x14ac:dyDescent="0.25">
      <c r="A1080">
        <v>3770398</v>
      </c>
      <c r="B1080" t="s">
        <v>2357</v>
      </c>
      <c r="C1080">
        <v>6.5357999999999999E-2</v>
      </c>
      <c r="D1080">
        <v>4731</v>
      </c>
      <c r="E1080" t="s">
        <v>30</v>
      </c>
      <c r="F1080">
        <v>1805</v>
      </c>
      <c r="G1080" s="582" t="s">
        <v>10</v>
      </c>
      <c r="H1080" s="582" t="s">
        <v>827</v>
      </c>
      <c r="I1080" t="s">
        <v>2342</v>
      </c>
      <c r="J1080">
        <v>5.95</v>
      </c>
      <c r="K1080" t="s">
        <v>1838</v>
      </c>
    </row>
    <row r="1081" spans="1:11" hidden="1" x14ac:dyDescent="0.25">
      <c r="A1081">
        <v>3770398</v>
      </c>
      <c r="B1081" t="s">
        <v>2357</v>
      </c>
      <c r="C1081">
        <v>0.15887200000000001</v>
      </c>
      <c r="D1081">
        <v>4731</v>
      </c>
      <c r="E1081" t="s">
        <v>30</v>
      </c>
      <c r="F1081">
        <v>1806</v>
      </c>
      <c r="G1081" s="582" t="s">
        <v>10</v>
      </c>
      <c r="H1081" s="582" t="s">
        <v>827</v>
      </c>
      <c r="I1081" t="s">
        <v>2342</v>
      </c>
      <c r="J1081">
        <v>5.95</v>
      </c>
      <c r="K1081" t="s">
        <v>1838</v>
      </c>
    </row>
    <row r="1082" spans="1:11" hidden="1" x14ac:dyDescent="0.25">
      <c r="A1082">
        <v>3770398</v>
      </c>
      <c r="B1082" t="s">
        <v>2357</v>
      </c>
      <c r="C1082">
        <v>0.21376000000000001</v>
      </c>
      <c r="D1082">
        <v>4731</v>
      </c>
      <c r="E1082" t="s">
        <v>30</v>
      </c>
      <c r="F1082">
        <v>1807</v>
      </c>
      <c r="G1082" s="582" t="s">
        <v>10</v>
      </c>
      <c r="H1082" s="582" t="s">
        <v>827</v>
      </c>
      <c r="I1082" t="s">
        <v>2342</v>
      </c>
      <c r="J1082">
        <v>5.95</v>
      </c>
      <c r="K1082" t="s">
        <v>1838</v>
      </c>
    </row>
    <row r="1083" spans="1:11" hidden="1" x14ac:dyDescent="0.25">
      <c r="A1083">
        <v>3770398</v>
      </c>
      <c r="B1083" t="s">
        <v>2357</v>
      </c>
      <c r="C1083">
        <v>8.5223999999999994E-2</v>
      </c>
      <c r="D1083">
        <v>4731</v>
      </c>
      <c r="E1083" t="s">
        <v>30</v>
      </c>
      <c r="F1083">
        <v>1808</v>
      </c>
      <c r="G1083" s="582" t="s">
        <v>10</v>
      </c>
      <c r="H1083" s="582" t="s">
        <v>827</v>
      </c>
      <c r="I1083" t="s">
        <v>2342</v>
      </c>
      <c r="J1083">
        <v>5.95</v>
      </c>
      <c r="K1083" t="s">
        <v>1838</v>
      </c>
    </row>
    <row r="1084" spans="1:11" hidden="1" x14ac:dyDescent="0.25">
      <c r="A1084">
        <v>3770398</v>
      </c>
      <c r="B1084" t="s">
        <v>2357</v>
      </c>
      <c r="C1084">
        <v>0.42327999999999999</v>
      </c>
      <c r="D1084">
        <v>4731</v>
      </c>
      <c r="E1084" t="s">
        <v>30</v>
      </c>
      <c r="F1084">
        <v>1809</v>
      </c>
      <c r="G1084" s="582" t="s">
        <v>10</v>
      </c>
      <c r="H1084" s="582" t="s">
        <v>827</v>
      </c>
      <c r="I1084" t="s">
        <v>2342</v>
      </c>
      <c r="J1084">
        <v>5.95</v>
      </c>
      <c r="K1084" t="s">
        <v>1838</v>
      </c>
    </row>
    <row r="1085" spans="1:11" hidden="1" x14ac:dyDescent="0.25">
      <c r="A1085">
        <v>3770398</v>
      </c>
      <c r="B1085" t="s">
        <v>2357</v>
      </c>
      <c r="C1085">
        <v>0.23</v>
      </c>
      <c r="D1085">
        <v>4731</v>
      </c>
      <c r="E1085" t="s">
        <v>30</v>
      </c>
      <c r="F1085">
        <v>1810</v>
      </c>
      <c r="G1085" s="582" t="s">
        <v>10</v>
      </c>
      <c r="H1085" s="582" t="s">
        <v>827</v>
      </c>
      <c r="I1085" t="s">
        <v>2342</v>
      </c>
      <c r="J1085">
        <v>5.95</v>
      </c>
      <c r="K1085" t="s">
        <v>1838</v>
      </c>
    </row>
    <row r="1086" spans="1:11" hidden="1" x14ac:dyDescent="0.25">
      <c r="A1086">
        <v>3500233</v>
      </c>
      <c r="B1086" t="s">
        <v>2355</v>
      </c>
      <c r="C1086">
        <v>8.0336000000000005E-2</v>
      </c>
      <c r="D1086">
        <v>4731</v>
      </c>
      <c r="E1086" t="s">
        <v>52</v>
      </c>
      <c r="F1086">
        <v>1440</v>
      </c>
      <c r="G1086" s="582" t="s">
        <v>10</v>
      </c>
      <c r="H1086" s="582" t="s">
        <v>1043</v>
      </c>
      <c r="I1086" t="s">
        <v>2356</v>
      </c>
      <c r="J1086">
        <v>4.95</v>
      </c>
      <c r="K1086" t="s">
        <v>1838</v>
      </c>
    </row>
    <row r="1087" spans="1:11" hidden="1" x14ac:dyDescent="0.25">
      <c r="A1087">
        <v>3500233</v>
      </c>
      <c r="B1087" t="s">
        <v>2355</v>
      </c>
      <c r="C1087">
        <v>1.4777170000000002</v>
      </c>
      <c r="D1087">
        <v>4731</v>
      </c>
      <c r="E1087" t="s">
        <v>52</v>
      </c>
      <c r="F1087">
        <v>1441</v>
      </c>
      <c r="G1087" s="582" t="s">
        <v>10</v>
      </c>
      <c r="H1087" s="582" t="s">
        <v>1043</v>
      </c>
      <c r="I1087" t="s">
        <v>2356</v>
      </c>
      <c r="J1087">
        <v>4.95</v>
      </c>
      <c r="K1087" t="s">
        <v>1838</v>
      </c>
    </row>
    <row r="1088" spans="1:11" hidden="1" x14ac:dyDescent="0.25">
      <c r="A1088">
        <v>3500233</v>
      </c>
      <c r="B1088" t="s">
        <v>2355</v>
      </c>
      <c r="C1088">
        <v>1.491463</v>
      </c>
      <c r="D1088">
        <v>4731</v>
      </c>
      <c r="E1088" t="s">
        <v>52</v>
      </c>
      <c r="F1088">
        <v>1442</v>
      </c>
      <c r="G1088" s="582" t="s">
        <v>10</v>
      </c>
      <c r="H1088" s="582" t="s">
        <v>1043</v>
      </c>
      <c r="I1088" t="s">
        <v>2356</v>
      </c>
      <c r="J1088">
        <v>4.95</v>
      </c>
      <c r="K1088" t="s">
        <v>1838</v>
      </c>
    </row>
    <row r="1089" spans="1:11" hidden="1" x14ac:dyDescent="0.25">
      <c r="A1089">
        <v>3500233</v>
      </c>
      <c r="B1089" t="s">
        <v>2355</v>
      </c>
      <c r="C1089">
        <v>1.3196349999999999</v>
      </c>
      <c r="D1089">
        <v>4731</v>
      </c>
      <c r="E1089" t="s">
        <v>52</v>
      </c>
      <c r="F1089">
        <v>1443</v>
      </c>
      <c r="G1089" s="582" t="s">
        <v>10</v>
      </c>
      <c r="H1089" s="582" t="s">
        <v>1043</v>
      </c>
      <c r="I1089" t="s">
        <v>2356</v>
      </c>
      <c r="J1089">
        <v>4.95</v>
      </c>
      <c r="K1089" t="s">
        <v>1838</v>
      </c>
    </row>
    <row r="1090" spans="1:11" hidden="1" x14ac:dyDescent="0.25">
      <c r="A1090">
        <v>3500233</v>
      </c>
      <c r="B1090" t="s">
        <v>2355</v>
      </c>
      <c r="C1090">
        <v>0.8110259999999998</v>
      </c>
      <c r="D1090">
        <v>4731</v>
      </c>
      <c r="E1090" t="s">
        <v>52</v>
      </c>
      <c r="F1090">
        <v>1444</v>
      </c>
      <c r="G1090" s="582" t="s">
        <v>10</v>
      </c>
      <c r="H1090" s="582" t="s">
        <v>1043</v>
      </c>
      <c r="I1090" t="s">
        <v>2356</v>
      </c>
      <c r="J1090">
        <v>4.95</v>
      </c>
      <c r="K1090" t="s">
        <v>1838</v>
      </c>
    </row>
    <row r="1091" spans="1:11" hidden="1" x14ac:dyDescent="0.25">
      <c r="A1091">
        <v>3500233</v>
      </c>
      <c r="B1091" t="s">
        <v>2355</v>
      </c>
      <c r="C1091">
        <v>1.4845900000000001</v>
      </c>
      <c r="D1091">
        <v>8406</v>
      </c>
      <c r="E1091" t="s">
        <v>52</v>
      </c>
      <c r="F1091">
        <v>1445</v>
      </c>
      <c r="G1091" s="582" t="s">
        <v>10</v>
      </c>
      <c r="H1091" s="582" t="s">
        <v>1043</v>
      </c>
      <c r="I1091" t="s">
        <v>2356</v>
      </c>
      <c r="J1091">
        <v>4.95</v>
      </c>
      <c r="K1091" t="s">
        <v>1838</v>
      </c>
    </row>
    <row r="1092" spans="1:11" hidden="1" x14ac:dyDescent="0.25">
      <c r="A1092">
        <v>3500233</v>
      </c>
      <c r="B1092" t="s">
        <v>2355</v>
      </c>
      <c r="C1092">
        <v>1.4845900000000001</v>
      </c>
      <c r="D1092">
        <v>8406</v>
      </c>
      <c r="E1092" t="s">
        <v>52</v>
      </c>
      <c r="F1092">
        <v>1446</v>
      </c>
      <c r="G1092" s="582" t="s">
        <v>10</v>
      </c>
      <c r="H1092" s="582" t="s">
        <v>1043</v>
      </c>
      <c r="I1092" t="s">
        <v>2356</v>
      </c>
      <c r="J1092">
        <v>4.95</v>
      </c>
      <c r="K1092" t="s">
        <v>1838</v>
      </c>
    </row>
    <row r="1093" spans="1:11" hidden="1" x14ac:dyDescent="0.25">
      <c r="A1093">
        <v>3781608</v>
      </c>
      <c r="B1093" t="s">
        <v>830</v>
      </c>
      <c r="C1093">
        <v>0.15306999999999998</v>
      </c>
      <c r="D1093">
        <v>4731</v>
      </c>
      <c r="E1093" t="s">
        <v>72</v>
      </c>
      <c r="F1093">
        <v>1835</v>
      </c>
      <c r="G1093" s="582" t="s">
        <v>10</v>
      </c>
      <c r="H1093" s="582" t="s">
        <v>827</v>
      </c>
      <c r="I1093" t="s">
        <v>831</v>
      </c>
      <c r="J1093">
        <v>0.46500000000000002</v>
      </c>
      <c r="K1093" t="s">
        <v>2171</v>
      </c>
    </row>
    <row r="1094" spans="1:11" hidden="1" x14ac:dyDescent="0.25">
      <c r="A1094">
        <v>3781608</v>
      </c>
      <c r="B1094" t="s">
        <v>830</v>
      </c>
      <c r="C1094">
        <v>0.10574799999999999</v>
      </c>
      <c r="D1094">
        <v>4731</v>
      </c>
      <c r="E1094" t="s">
        <v>72</v>
      </c>
      <c r="F1094">
        <v>1836</v>
      </c>
      <c r="G1094" s="582" t="s">
        <v>10</v>
      </c>
      <c r="H1094" s="582" t="s">
        <v>827</v>
      </c>
      <c r="I1094" t="s">
        <v>831</v>
      </c>
      <c r="J1094">
        <v>0.46500000000000002</v>
      </c>
      <c r="K1094" t="s">
        <v>2171</v>
      </c>
    </row>
    <row r="1095" spans="1:11" hidden="1" x14ac:dyDescent="0.25">
      <c r="A1095">
        <v>3781608</v>
      </c>
      <c r="B1095" t="s">
        <v>830</v>
      </c>
      <c r="C1095">
        <v>8.5948999999999998E-2</v>
      </c>
      <c r="D1095">
        <v>4731</v>
      </c>
      <c r="E1095" t="s">
        <v>72</v>
      </c>
      <c r="F1095">
        <v>1837</v>
      </c>
      <c r="G1095" s="582" t="s">
        <v>10</v>
      </c>
      <c r="H1095" s="582" t="s">
        <v>827</v>
      </c>
      <c r="I1095" t="s">
        <v>831</v>
      </c>
      <c r="J1095">
        <v>0.46500000000000002</v>
      </c>
      <c r="K1095" t="s">
        <v>2171</v>
      </c>
    </row>
    <row r="1096" spans="1:11" hidden="1" x14ac:dyDescent="0.25">
      <c r="A1096">
        <v>3781608</v>
      </c>
      <c r="B1096" t="s">
        <v>830</v>
      </c>
      <c r="C1096">
        <v>6.6543999999999992E-2</v>
      </c>
      <c r="D1096">
        <v>4731</v>
      </c>
      <c r="E1096" t="s">
        <v>72</v>
      </c>
      <c r="F1096">
        <v>1838</v>
      </c>
      <c r="G1096" s="582" t="s">
        <v>10</v>
      </c>
      <c r="H1096" s="582" t="s">
        <v>827</v>
      </c>
      <c r="I1096" t="s">
        <v>831</v>
      </c>
      <c r="J1096">
        <v>0.46500000000000002</v>
      </c>
      <c r="K1096" t="s">
        <v>2171</v>
      </c>
    </row>
    <row r="1097" spans="1:11" hidden="1" x14ac:dyDescent="0.25">
      <c r="A1097">
        <v>3781608</v>
      </c>
      <c r="B1097" t="s">
        <v>830</v>
      </c>
      <c r="C1097">
        <v>0.15900299999999998</v>
      </c>
      <c r="D1097">
        <v>4731</v>
      </c>
      <c r="E1097" t="s">
        <v>72</v>
      </c>
      <c r="F1097">
        <v>1839</v>
      </c>
      <c r="G1097" s="582" t="s">
        <v>10</v>
      </c>
      <c r="H1097" s="582" t="s">
        <v>827</v>
      </c>
      <c r="I1097" t="s">
        <v>831</v>
      </c>
      <c r="J1097">
        <v>0.46500000000000002</v>
      </c>
      <c r="K1097" t="s">
        <v>2171</v>
      </c>
    </row>
    <row r="1098" spans="1:11" hidden="1" x14ac:dyDescent="0.25">
      <c r="A1098">
        <v>3781608</v>
      </c>
      <c r="B1098" t="s">
        <v>830</v>
      </c>
      <c r="C1098">
        <v>6.8553000000000003E-2</v>
      </c>
      <c r="D1098">
        <v>4731</v>
      </c>
      <c r="E1098" t="s">
        <v>72</v>
      </c>
      <c r="F1098">
        <v>1840</v>
      </c>
      <c r="G1098" s="582" t="s">
        <v>10</v>
      </c>
      <c r="H1098" s="582" t="s">
        <v>827</v>
      </c>
      <c r="I1098" t="s">
        <v>831</v>
      </c>
      <c r="J1098">
        <v>0.46500000000000002</v>
      </c>
      <c r="K1098" t="s">
        <v>2171</v>
      </c>
    </row>
    <row r="1099" spans="1:11" hidden="1" x14ac:dyDescent="0.25">
      <c r="A1099">
        <v>3500240</v>
      </c>
      <c r="B1099" t="s">
        <v>2358</v>
      </c>
      <c r="C1099">
        <v>0.57999999999999996</v>
      </c>
      <c r="D1099">
        <v>4731</v>
      </c>
      <c r="E1099" t="s">
        <v>37</v>
      </c>
      <c r="F1099">
        <v>1447</v>
      </c>
      <c r="G1099" s="582" t="s">
        <v>33</v>
      </c>
      <c r="H1099" s="582" t="s">
        <v>1048</v>
      </c>
      <c r="I1099" t="s">
        <v>2359</v>
      </c>
      <c r="J1099">
        <v>5.65</v>
      </c>
      <c r="K1099" t="s">
        <v>1838</v>
      </c>
    </row>
    <row r="1100" spans="1:11" hidden="1" x14ac:dyDescent="0.25">
      <c r="A1100">
        <v>3500268</v>
      </c>
      <c r="B1100" t="s">
        <v>2360</v>
      </c>
      <c r="C1100">
        <v>0.13628800000000002</v>
      </c>
      <c r="D1100">
        <v>4731</v>
      </c>
      <c r="E1100" t="s">
        <v>37</v>
      </c>
      <c r="F1100">
        <v>1448</v>
      </c>
      <c r="G1100" s="582" t="s">
        <v>33</v>
      </c>
      <c r="H1100" s="582" t="s">
        <v>895</v>
      </c>
      <c r="I1100" t="s">
        <v>2361</v>
      </c>
      <c r="J1100">
        <v>6</v>
      </c>
      <c r="K1100" t="s">
        <v>1838</v>
      </c>
    </row>
    <row r="1101" spans="1:11" hidden="1" x14ac:dyDescent="0.25">
      <c r="A1101">
        <v>3500268</v>
      </c>
      <c r="B1101" t="s">
        <v>2360</v>
      </c>
      <c r="C1101">
        <v>8.5674E-2</v>
      </c>
      <c r="D1101">
        <v>4731</v>
      </c>
      <c r="E1101" t="s">
        <v>37</v>
      </c>
      <c r="F1101">
        <v>1449</v>
      </c>
      <c r="G1101" s="582" t="s">
        <v>33</v>
      </c>
      <c r="H1101" s="582" t="s">
        <v>895</v>
      </c>
      <c r="I1101" t="s">
        <v>2361</v>
      </c>
      <c r="J1101">
        <v>6</v>
      </c>
      <c r="K1101" t="s">
        <v>1838</v>
      </c>
    </row>
    <row r="1102" spans="1:11" hidden="1" x14ac:dyDescent="0.25">
      <c r="A1102">
        <v>3500268</v>
      </c>
      <c r="B1102" t="s">
        <v>2360</v>
      </c>
      <c r="C1102">
        <v>0.27130100000000001</v>
      </c>
      <c r="D1102">
        <v>4731</v>
      </c>
      <c r="E1102" t="s">
        <v>37</v>
      </c>
      <c r="F1102">
        <v>1450</v>
      </c>
      <c r="G1102" s="582" t="s">
        <v>33</v>
      </c>
      <c r="H1102" s="582" t="s">
        <v>895</v>
      </c>
      <c r="I1102" t="s">
        <v>2361</v>
      </c>
      <c r="J1102">
        <v>6</v>
      </c>
      <c r="K1102" t="s">
        <v>1838</v>
      </c>
    </row>
    <row r="1103" spans="1:11" hidden="1" x14ac:dyDescent="0.25">
      <c r="A1103">
        <v>3500268</v>
      </c>
      <c r="B1103" t="s">
        <v>2360</v>
      </c>
      <c r="C1103">
        <v>0.57116</v>
      </c>
      <c r="D1103">
        <v>4731</v>
      </c>
      <c r="E1103" t="s">
        <v>37</v>
      </c>
      <c r="F1103">
        <v>1451</v>
      </c>
      <c r="G1103" s="582" t="s">
        <v>33</v>
      </c>
      <c r="H1103" s="582" t="s">
        <v>895</v>
      </c>
      <c r="I1103" t="s">
        <v>2361</v>
      </c>
      <c r="J1103">
        <v>6</v>
      </c>
      <c r="K1103" t="s">
        <v>1838</v>
      </c>
    </row>
    <row r="1104" spans="1:11" hidden="1" x14ac:dyDescent="0.25">
      <c r="A1104">
        <v>3500268</v>
      </c>
      <c r="B1104" t="s">
        <v>2360</v>
      </c>
      <c r="C1104">
        <v>0.28558</v>
      </c>
      <c r="D1104">
        <v>4731</v>
      </c>
      <c r="E1104" t="s">
        <v>37</v>
      </c>
      <c r="F1104">
        <v>1452</v>
      </c>
      <c r="G1104" s="582" t="s">
        <v>33</v>
      </c>
      <c r="H1104" s="582" t="s">
        <v>895</v>
      </c>
      <c r="I1104" t="s">
        <v>2361</v>
      </c>
      <c r="J1104">
        <v>6</v>
      </c>
      <c r="K1104" t="s">
        <v>1838</v>
      </c>
    </row>
    <row r="1105" spans="1:11" hidden="1" x14ac:dyDescent="0.25">
      <c r="A1105">
        <v>3500268</v>
      </c>
      <c r="B1105" t="s">
        <v>2360</v>
      </c>
      <c r="C1105">
        <v>1.4279000000000002</v>
      </c>
      <c r="D1105">
        <v>8406</v>
      </c>
      <c r="E1105" t="s">
        <v>37</v>
      </c>
      <c r="F1105">
        <v>1453</v>
      </c>
      <c r="G1105" s="582" t="s">
        <v>33</v>
      </c>
      <c r="H1105" s="582" t="s">
        <v>895</v>
      </c>
      <c r="I1105" t="s">
        <v>2361</v>
      </c>
      <c r="J1105">
        <v>6</v>
      </c>
      <c r="K1105" t="s">
        <v>1838</v>
      </c>
    </row>
    <row r="1106" spans="1:11" hidden="1" x14ac:dyDescent="0.25">
      <c r="A1106">
        <v>3500268</v>
      </c>
      <c r="B1106" t="s">
        <v>2360</v>
      </c>
      <c r="C1106">
        <v>1.4279000000000002</v>
      </c>
      <c r="D1106">
        <v>8406</v>
      </c>
      <c r="E1106" t="s">
        <v>37</v>
      </c>
      <c r="F1106">
        <v>1454</v>
      </c>
      <c r="G1106" s="582" t="s">
        <v>33</v>
      </c>
      <c r="H1106" s="582" t="s">
        <v>895</v>
      </c>
      <c r="I1106" t="s">
        <v>2361</v>
      </c>
      <c r="J1106">
        <v>6</v>
      </c>
      <c r="K1106" t="s">
        <v>1838</v>
      </c>
    </row>
    <row r="1107" spans="1:11" hidden="1" x14ac:dyDescent="0.25">
      <c r="A1107">
        <v>3500268</v>
      </c>
      <c r="B1107" t="s">
        <v>2360</v>
      </c>
      <c r="C1107">
        <v>1.4279000000000002</v>
      </c>
      <c r="D1107">
        <v>8406</v>
      </c>
      <c r="E1107" t="s">
        <v>37</v>
      </c>
      <c r="F1107">
        <v>1455</v>
      </c>
      <c r="G1107" s="582" t="s">
        <v>33</v>
      </c>
      <c r="H1107" s="582" t="s">
        <v>895</v>
      </c>
      <c r="I1107" t="s">
        <v>2361</v>
      </c>
      <c r="J1107">
        <v>6</v>
      </c>
      <c r="K1107" t="s">
        <v>1838</v>
      </c>
    </row>
    <row r="1108" spans="1:11" hidden="1" x14ac:dyDescent="0.25">
      <c r="A1108">
        <v>3500268</v>
      </c>
      <c r="B1108" t="s">
        <v>2360</v>
      </c>
      <c r="C1108">
        <v>1.4279000000000002</v>
      </c>
      <c r="D1108">
        <v>8406</v>
      </c>
      <c r="E1108" t="s">
        <v>37</v>
      </c>
      <c r="F1108">
        <v>1456</v>
      </c>
      <c r="G1108" s="582" t="s">
        <v>33</v>
      </c>
      <c r="H1108" s="582" t="s">
        <v>895</v>
      </c>
      <c r="I1108" t="s">
        <v>2361</v>
      </c>
      <c r="J1108">
        <v>6</v>
      </c>
      <c r="K1108" t="s">
        <v>1838</v>
      </c>
    </row>
    <row r="1109" spans="1:11" hidden="1" x14ac:dyDescent="0.25">
      <c r="A1109">
        <v>3500268</v>
      </c>
      <c r="B1109" t="s">
        <v>2360</v>
      </c>
      <c r="C1109">
        <v>1.4279000000000002</v>
      </c>
      <c r="D1109">
        <v>8406</v>
      </c>
      <c r="E1109" t="s">
        <v>37</v>
      </c>
      <c r="F1109">
        <v>1457</v>
      </c>
      <c r="G1109" s="582" t="s">
        <v>33</v>
      </c>
      <c r="H1109" s="582" t="s">
        <v>895</v>
      </c>
      <c r="I1109" t="s">
        <v>2361</v>
      </c>
      <c r="J1109">
        <v>6</v>
      </c>
      <c r="K1109" t="s">
        <v>1838</v>
      </c>
    </row>
    <row r="1110" spans="1:11" hidden="1" x14ac:dyDescent="0.25">
      <c r="A1110">
        <v>3500268</v>
      </c>
      <c r="B1110" t="s">
        <v>2360</v>
      </c>
      <c r="C1110">
        <v>1.4279000000000002</v>
      </c>
      <c r="D1110">
        <v>8406</v>
      </c>
      <c r="E1110" t="s">
        <v>37</v>
      </c>
      <c r="F1110">
        <v>1458</v>
      </c>
      <c r="G1110" s="582" t="s">
        <v>33</v>
      </c>
      <c r="H1110" s="582" t="s">
        <v>895</v>
      </c>
      <c r="I1110" t="s">
        <v>2361</v>
      </c>
      <c r="J1110">
        <v>6</v>
      </c>
      <c r="K1110" t="s">
        <v>1838</v>
      </c>
    </row>
    <row r="1111" spans="1:11" hidden="1" x14ac:dyDescent="0.25">
      <c r="A1111">
        <v>3500268</v>
      </c>
      <c r="B1111" t="s">
        <v>2360</v>
      </c>
      <c r="C1111">
        <v>1.4279000000000002</v>
      </c>
      <c r="D1111">
        <v>8406</v>
      </c>
      <c r="E1111" t="s">
        <v>37</v>
      </c>
      <c r="F1111">
        <v>1459</v>
      </c>
      <c r="G1111" s="582" t="s">
        <v>33</v>
      </c>
      <c r="H1111" s="582" t="s">
        <v>895</v>
      </c>
      <c r="I1111" t="s">
        <v>2361</v>
      </c>
      <c r="J1111">
        <v>6</v>
      </c>
      <c r="K1111" t="s">
        <v>1838</v>
      </c>
    </row>
    <row r="1112" spans="1:11" hidden="1" x14ac:dyDescent="0.25">
      <c r="A1112">
        <v>3500268</v>
      </c>
      <c r="B1112" t="s">
        <v>2360</v>
      </c>
      <c r="C1112">
        <v>1.4279000000000002</v>
      </c>
      <c r="D1112">
        <v>8406</v>
      </c>
      <c r="E1112" t="s">
        <v>37</v>
      </c>
      <c r="F1112">
        <v>1460</v>
      </c>
      <c r="G1112" s="582" t="s">
        <v>33</v>
      </c>
      <c r="H1112" s="582" t="s">
        <v>895</v>
      </c>
      <c r="I1112" t="s">
        <v>2361</v>
      </c>
      <c r="J1112">
        <v>6</v>
      </c>
      <c r="K1112" t="s">
        <v>1838</v>
      </c>
    </row>
    <row r="1113" spans="1:11" hidden="1" x14ac:dyDescent="0.25">
      <c r="A1113">
        <v>3500268</v>
      </c>
      <c r="B1113" t="s">
        <v>2360</v>
      </c>
      <c r="C1113">
        <v>1.4279000000000002</v>
      </c>
      <c r="D1113">
        <v>8406</v>
      </c>
      <c r="E1113" t="s">
        <v>37</v>
      </c>
      <c r="F1113">
        <v>1461</v>
      </c>
      <c r="G1113" s="582" t="s">
        <v>33</v>
      </c>
      <c r="H1113" s="582" t="s">
        <v>895</v>
      </c>
      <c r="I1113" t="s">
        <v>2361</v>
      </c>
      <c r="J1113">
        <v>6</v>
      </c>
      <c r="K1113" t="s">
        <v>1838</v>
      </c>
    </row>
    <row r="1114" spans="1:11" hidden="1" x14ac:dyDescent="0.25">
      <c r="A1114">
        <v>4072797</v>
      </c>
      <c r="B1114" t="s">
        <v>2362</v>
      </c>
      <c r="C1114">
        <v>1.669</v>
      </c>
      <c r="D1114">
        <v>4731</v>
      </c>
      <c r="E1114" t="s">
        <v>36</v>
      </c>
      <c r="F1114">
        <v>1917</v>
      </c>
      <c r="G1114" s="582" t="s">
        <v>33</v>
      </c>
      <c r="H1114" s="582" t="s">
        <v>1029</v>
      </c>
      <c r="J1114">
        <v>5.92</v>
      </c>
      <c r="K1114" t="s">
        <v>1838</v>
      </c>
    </row>
    <row r="1115" spans="1:11" hidden="1" x14ac:dyDescent="0.25">
      <c r="A1115">
        <v>4072797</v>
      </c>
      <c r="B1115" t="s">
        <v>2362</v>
      </c>
      <c r="C1115">
        <v>0.161</v>
      </c>
      <c r="D1115">
        <v>4731</v>
      </c>
      <c r="E1115" t="s">
        <v>36</v>
      </c>
      <c r="F1115">
        <v>1918</v>
      </c>
      <c r="G1115" s="582" t="s">
        <v>33</v>
      </c>
      <c r="H1115" s="582" t="s">
        <v>1029</v>
      </c>
      <c r="J1115">
        <v>5.92</v>
      </c>
      <c r="K1115" t="s">
        <v>1838</v>
      </c>
    </row>
    <row r="1116" spans="1:11" hidden="1" x14ac:dyDescent="0.25">
      <c r="A1116">
        <v>3702361</v>
      </c>
      <c r="B1116" t="s">
        <v>844</v>
      </c>
      <c r="C1116">
        <v>0.25772600000000001</v>
      </c>
      <c r="D1116">
        <v>4731</v>
      </c>
      <c r="E1116" t="s">
        <v>72</v>
      </c>
      <c r="F1116">
        <v>1750</v>
      </c>
      <c r="G1116" s="582" t="s">
        <v>10</v>
      </c>
      <c r="H1116" s="582" t="s">
        <v>799</v>
      </c>
      <c r="I1116" t="s">
        <v>845</v>
      </c>
      <c r="J1116">
        <v>6</v>
      </c>
      <c r="K1116" t="s">
        <v>1838</v>
      </c>
    </row>
    <row r="1117" spans="1:11" hidden="1" x14ac:dyDescent="0.25">
      <c r="A1117">
        <v>3702361</v>
      </c>
      <c r="B1117" t="s">
        <v>844</v>
      </c>
      <c r="C1117">
        <v>0.35065499999999999</v>
      </c>
      <c r="D1117">
        <v>4731</v>
      </c>
      <c r="E1117" t="s">
        <v>72</v>
      </c>
      <c r="F1117">
        <v>1751</v>
      </c>
      <c r="G1117" s="582" t="s">
        <v>10</v>
      </c>
      <c r="H1117" s="582" t="s">
        <v>799</v>
      </c>
      <c r="I1117" t="s">
        <v>845</v>
      </c>
      <c r="J1117">
        <v>6</v>
      </c>
      <c r="K1117" t="s">
        <v>1838</v>
      </c>
    </row>
    <row r="1118" spans="1:11" hidden="1" x14ac:dyDescent="0.25">
      <c r="A1118">
        <v>3702361</v>
      </c>
      <c r="B1118" t="s">
        <v>844</v>
      </c>
      <c r="C1118">
        <v>2.38</v>
      </c>
      <c r="D1118">
        <v>8406</v>
      </c>
      <c r="E1118" t="s">
        <v>72</v>
      </c>
      <c r="F1118">
        <v>1752</v>
      </c>
      <c r="G1118" s="582" t="s">
        <v>10</v>
      </c>
      <c r="H1118" s="582" t="s">
        <v>799</v>
      </c>
      <c r="I1118" t="s">
        <v>845</v>
      </c>
      <c r="J1118">
        <v>6</v>
      </c>
      <c r="K1118" t="s">
        <v>1838</v>
      </c>
    </row>
    <row r="1119" spans="1:11" hidden="1" x14ac:dyDescent="0.25">
      <c r="A1119">
        <v>3500650</v>
      </c>
      <c r="B1119" t="s">
        <v>1694</v>
      </c>
      <c r="C1119">
        <v>0.61894000000000005</v>
      </c>
      <c r="D1119">
        <v>4731</v>
      </c>
      <c r="E1119" t="s">
        <v>52</v>
      </c>
      <c r="F1119">
        <v>1531</v>
      </c>
      <c r="G1119" s="582" t="s">
        <v>10</v>
      </c>
      <c r="H1119" s="582" t="s">
        <v>875</v>
      </c>
      <c r="I1119" t="s">
        <v>2363</v>
      </c>
      <c r="J1119">
        <v>6</v>
      </c>
      <c r="K1119" t="s">
        <v>1838</v>
      </c>
    </row>
    <row r="1120" spans="1:11" hidden="1" x14ac:dyDescent="0.25">
      <c r="A1120">
        <v>3500650</v>
      </c>
      <c r="B1120" t="s">
        <v>1694</v>
      </c>
      <c r="C1120">
        <v>2.2469999999999999</v>
      </c>
      <c r="D1120">
        <v>4731</v>
      </c>
      <c r="E1120" t="s">
        <v>52</v>
      </c>
      <c r="F1120">
        <v>1532</v>
      </c>
      <c r="G1120" s="582" t="s">
        <v>10</v>
      </c>
      <c r="H1120" s="582" t="s">
        <v>875</v>
      </c>
      <c r="I1120" t="s">
        <v>2363</v>
      </c>
      <c r="J1120">
        <v>6</v>
      </c>
      <c r="K1120" t="s">
        <v>1838</v>
      </c>
    </row>
    <row r="1121" spans="1:11" hidden="1" x14ac:dyDescent="0.25">
      <c r="A1121">
        <v>3500650</v>
      </c>
      <c r="B1121" t="s">
        <v>1694</v>
      </c>
      <c r="C1121">
        <v>6.9000000000000006E-2</v>
      </c>
      <c r="D1121">
        <v>4731</v>
      </c>
      <c r="E1121" t="s">
        <v>52</v>
      </c>
      <c r="F1121">
        <v>1533</v>
      </c>
      <c r="G1121" s="582" t="s">
        <v>10</v>
      </c>
      <c r="H1121" s="582" t="s">
        <v>875</v>
      </c>
      <c r="I1121" t="s">
        <v>2363</v>
      </c>
      <c r="J1121">
        <v>6</v>
      </c>
      <c r="K1121" t="s">
        <v>1838</v>
      </c>
    </row>
    <row r="1122" spans="1:11" hidden="1" x14ac:dyDescent="0.25">
      <c r="A1122">
        <v>3500650</v>
      </c>
      <c r="B1122" t="s">
        <v>1694</v>
      </c>
      <c r="C1122">
        <v>0.88293999999999995</v>
      </c>
      <c r="D1122">
        <v>4731</v>
      </c>
      <c r="E1122" t="s">
        <v>52</v>
      </c>
      <c r="F1122">
        <v>1534</v>
      </c>
      <c r="G1122" s="582" t="s">
        <v>10</v>
      </c>
      <c r="H1122" s="582" t="s">
        <v>875</v>
      </c>
      <c r="I1122" t="s">
        <v>2363</v>
      </c>
      <c r="J1122">
        <v>6</v>
      </c>
      <c r="K1122" t="s">
        <v>1838</v>
      </c>
    </row>
    <row r="1123" spans="1:11" hidden="1" x14ac:dyDescent="0.25">
      <c r="A1123">
        <v>3500650</v>
      </c>
      <c r="B1123" t="s">
        <v>1694</v>
      </c>
      <c r="C1123">
        <v>0.45954099999999998</v>
      </c>
      <c r="D1123">
        <v>4731</v>
      </c>
      <c r="E1123" t="s">
        <v>52</v>
      </c>
      <c r="F1123">
        <v>1535</v>
      </c>
      <c r="G1123" s="582" t="s">
        <v>10</v>
      </c>
      <c r="H1123" s="582" t="s">
        <v>875</v>
      </c>
      <c r="I1123" t="s">
        <v>2363</v>
      </c>
      <c r="J1123">
        <v>6</v>
      </c>
      <c r="K1123" t="s">
        <v>1838</v>
      </c>
    </row>
    <row r="1124" spans="1:11" hidden="1" x14ac:dyDescent="0.25">
      <c r="A1124">
        <v>3500650</v>
      </c>
      <c r="B1124" t="s">
        <v>1694</v>
      </c>
      <c r="C1124">
        <v>0.54100000000000004</v>
      </c>
      <c r="D1124">
        <v>4731</v>
      </c>
      <c r="E1124" t="s">
        <v>52</v>
      </c>
      <c r="F1124">
        <v>1536</v>
      </c>
      <c r="G1124" s="582" t="s">
        <v>10</v>
      </c>
      <c r="H1124" s="582" t="s">
        <v>875</v>
      </c>
      <c r="I1124" t="s">
        <v>2363</v>
      </c>
      <c r="J1124">
        <v>6</v>
      </c>
      <c r="K1124" t="s">
        <v>1838</v>
      </c>
    </row>
    <row r="1125" spans="1:11" hidden="1" x14ac:dyDescent="0.25">
      <c r="A1125">
        <v>3500714</v>
      </c>
      <c r="B1125" t="s">
        <v>1922</v>
      </c>
      <c r="C1125">
        <v>0.18640799999999999</v>
      </c>
      <c r="D1125">
        <v>4731</v>
      </c>
      <c r="E1125" t="s">
        <v>37</v>
      </c>
      <c r="F1125">
        <v>1545</v>
      </c>
      <c r="G1125" s="582" t="s">
        <v>33</v>
      </c>
      <c r="H1125" s="582" t="s">
        <v>891</v>
      </c>
      <c r="I1125" t="s">
        <v>2364</v>
      </c>
      <c r="J1125">
        <v>5.5</v>
      </c>
      <c r="K1125" t="s">
        <v>1838</v>
      </c>
    </row>
    <row r="1126" spans="1:11" hidden="1" x14ac:dyDescent="0.25">
      <c r="A1126">
        <v>3500714</v>
      </c>
      <c r="B1126" t="s">
        <v>1922</v>
      </c>
      <c r="C1126">
        <v>9.6975000000000006E-2</v>
      </c>
      <c r="D1126">
        <v>4731</v>
      </c>
      <c r="E1126" t="s">
        <v>37</v>
      </c>
      <c r="F1126">
        <v>1546</v>
      </c>
      <c r="G1126" s="582" t="s">
        <v>33</v>
      </c>
      <c r="H1126" s="582" t="s">
        <v>891</v>
      </c>
      <c r="I1126" t="s">
        <v>2364</v>
      </c>
      <c r="J1126">
        <v>5.5</v>
      </c>
      <c r="K1126" t="s">
        <v>1838</v>
      </c>
    </row>
    <row r="1127" spans="1:11" hidden="1" x14ac:dyDescent="0.25">
      <c r="A1127">
        <v>3500714</v>
      </c>
      <c r="B1127" t="s">
        <v>1922</v>
      </c>
      <c r="C1127">
        <v>0.78544400000000003</v>
      </c>
      <c r="D1127">
        <v>8406</v>
      </c>
      <c r="E1127" t="s">
        <v>37</v>
      </c>
      <c r="F1127">
        <v>1547</v>
      </c>
      <c r="G1127" s="582" t="s">
        <v>33</v>
      </c>
      <c r="H1127" s="582" t="s">
        <v>891</v>
      </c>
      <c r="I1127" t="s">
        <v>2364</v>
      </c>
      <c r="J1127">
        <v>5.5</v>
      </c>
      <c r="K1127" t="s">
        <v>1838</v>
      </c>
    </row>
    <row r="1128" spans="1:11" hidden="1" x14ac:dyDescent="0.25">
      <c r="A1128">
        <v>3500714</v>
      </c>
      <c r="B1128" t="s">
        <v>1922</v>
      </c>
      <c r="C1128">
        <v>2.28566</v>
      </c>
      <c r="D1128">
        <v>8406</v>
      </c>
      <c r="E1128" t="s">
        <v>37</v>
      </c>
      <c r="F1128">
        <v>1548</v>
      </c>
      <c r="G1128" s="582" t="s">
        <v>33</v>
      </c>
      <c r="H1128" s="582" t="s">
        <v>891</v>
      </c>
      <c r="I1128" t="s">
        <v>2364</v>
      </c>
      <c r="J1128">
        <v>5.5</v>
      </c>
      <c r="K1128" t="s">
        <v>1838</v>
      </c>
    </row>
    <row r="1129" spans="1:11" hidden="1" x14ac:dyDescent="0.25">
      <c r="A1129">
        <v>3500714</v>
      </c>
      <c r="B1129" t="s">
        <v>1922</v>
      </c>
      <c r="C1129">
        <v>2.4540000000000002</v>
      </c>
      <c r="D1129">
        <v>8406</v>
      </c>
      <c r="E1129" t="s">
        <v>37</v>
      </c>
      <c r="F1129">
        <v>1549</v>
      </c>
      <c r="G1129" s="582" t="s">
        <v>33</v>
      </c>
      <c r="H1129" s="582" t="s">
        <v>891</v>
      </c>
      <c r="I1129" t="s">
        <v>2364</v>
      </c>
      <c r="J1129">
        <v>5.5</v>
      </c>
      <c r="K1129" t="s">
        <v>1838</v>
      </c>
    </row>
    <row r="1130" spans="1:11" hidden="1" x14ac:dyDescent="0.25">
      <c r="A1130">
        <v>3500714</v>
      </c>
      <c r="B1130" t="s">
        <v>1922</v>
      </c>
      <c r="C1130">
        <v>2.3490000000000002</v>
      </c>
      <c r="D1130">
        <v>8406</v>
      </c>
      <c r="E1130" t="s">
        <v>37</v>
      </c>
      <c r="F1130">
        <v>1550</v>
      </c>
      <c r="G1130" s="582" t="s">
        <v>33</v>
      </c>
      <c r="H1130" s="582" t="s">
        <v>891</v>
      </c>
      <c r="I1130" t="s">
        <v>2364</v>
      </c>
      <c r="J1130">
        <v>5.5</v>
      </c>
      <c r="K1130" t="s">
        <v>1838</v>
      </c>
    </row>
    <row r="1131" spans="1:11" hidden="1" x14ac:dyDescent="0.25">
      <c r="A1131">
        <v>3500714</v>
      </c>
      <c r="B1131" t="s">
        <v>1922</v>
      </c>
      <c r="C1131">
        <v>2.0990000000000002</v>
      </c>
      <c r="D1131">
        <v>8406</v>
      </c>
      <c r="E1131" t="s">
        <v>37</v>
      </c>
      <c r="F1131">
        <v>1551</v>
      </c>
      <c r="G1131" s="582" t="s">
        <v>33</v>
      </c>
      <c r="H1131" s="582" t="s">
        <v>891</v>
      </c>
      <c r="I1131" t="s">
        <v>2364</v>
      </c>
      <c r="J1131">
        <v>5.5</v>
      </c>
      <c r="K1131" t="s">
        <v>1838</v>
      </c>
    </row>
    <row r="1132" spans="1:11" hidden="1" x14ac:dyDescent="0.25">
      <c r="A1132">
        <v>3500714</v>
      </c>
      <c r="B1132" t="s">
        <v>1922</v>
      </c>
      <c r="C1132">
        <v>2.4220000000000002</v>
      </c>
      <c r="D1132">
        <v>8406</v>
      </c>
      <c r="E1132" t="s">
        <v>37</v>
      </c>
      <c r="F1132">
        <v>1552</v>
      </c>
      <c r="G1132" s="582" t="s">
        <v>33</v>
      </c>
      <c r="H1132" s="582" t="s">
        <v>891</v>
      </c>
      <c r="I1132" t="s">
        <v>2364</v>
      </c>
      <c r="J1132">
        <v>5.5</v>
      </c>
      <c r="K1132" t="s">
        <v>1838</v>
      </c>
    </row>
    <row r="1133" spans="1:11" hidden="1" x14ac:dyDescent="0.25">
      <c r="A1133">
        <v>3500714</v>
      </c>
      <c r="B1133" t="s">
        <v>1922</v>
      </c>
      <c r="C1133">
        <v>2.3650000000000002</v>
      </c>
      <c r="D1133">
        <v>8406</v>
      </c>
      <c r="E1133" t="s">
        <v>37</v>
      </c>
      <c r="F1133">
        <v>1553</v>
      </c>
      <c r="G1133" s="582" t="s">
        <v>33</v>
      </c>
      <c r="H1133" s="582" t="s">
        <v>891</v>
      </c>
      <c r="I1133" t="s">
        <v>2364</v>
      </c>
      <c r="J1133">
        <v>5.5</v>
      </c>
      <c r="K1133" t="s">
        <v>1838</v>
      </c>
    </row>
    <row r="1134" spans="1:11" hidden="1" x14ac:dyDescent="0.25">
      <c r="A1134">
        <v>3500714</v>
      </c>
      <c r="B1134" t="s">
        <v>1922</v>
      </c>
      <c r="C1134">
        <v>2.0920000000000001</v>
      </c>
      <c r="D1134">
        <v>8406</v>
      </c>
      <c r="E1134" t="s">
        <v>37</v>
      </c>
      <c r="F1134">
        <v>1554</v>
      </c>
      <c r="G1134" s="582" t="s">
        <v>33</v>
      </c>
      <c r="H1134" s="582" t="s">
        <v>891</v>
      </c>
      <c r="I1134" t="s">
        <v>2364</v>
      </c>
      <c r="J1134">
        <v>5.5</v>
      </c>
      <c r="K1134" t="s">
        <v>1838</v>
      </c>
    </row>
    <row r="1135" spans="1:11" hidden="1" x14ac:dyDescent="0.25">
      <c r="A1135">
        <v>3500714</v>
      </c>
      <c r="B1135" t="s">
        <v>1922</v>
      </c>
      <c r="C1135">
        <v>2.0710000000000002</v>
      </c>
      <c r="D1135">
        <v>8406</v>
      </c>
      <c r="E1135" t="s">
        <v>37</v>
      </c>
      <c r="F1135">
        <v>1555</v>
      </c>
      <c r="G1135" s="582" t="s">
        <v>33</v>
      </c>
      <c r="H1135" s="582" t="s">
        <v>891</v>
      </c>
      <c r="I1135" t="s">
        <v>2364</v>
      </c>
      <c r="J1135">
        <v>5.5</v>
      </c>
      <c r="K1135" t="s">
        <v>1838</v>
      </c>
    </row>
    <row r="1136" spans="1:11" hidden="1" x14ac:dyDescent="0.25">
      <c r="A1136">
        <v>3500714</v>
      </c>
      <c r="B1136" t="s">
        <v>1922</v>
      </c>
      <c r="C1136">
        <v>2.0960000000000001</v>
      </c>
      <c r="D1136">
        <v>8406</v>
      </c>
      <c r="E1136" t="s">
        <v>37</v>
      </c>
      <c r="F1136">
        <v>1556</v>
      </c>
      <c r="G1136" s="582" t="s">
        <v>33</v>
      </c>
      <c r="H1136" s="582" t="s">
        <v>891</v>
      </c>
      <c r="I1136" t="s">
        <v>2364</v>
      </c>
      <c r="J1136">
        <v>5.5</v>
      </c>
      <c r="K1136" t="s">
        <v>1838</v>
      </c>
    </row>
    <row r="1137" spans="1:11" hidden="1" x14ac:dyDescent="0.25">
      <c r="A1137">
        <v>3500714</v>
      </c>
      <c r="B1137" t="s">
        <v>1922</v>
      </c>
      <c r="C1137">
        <v>2.012</v>
      </c>
      <c r="D1137">
        <v>8406</v>
      </c>
      <c r="E1137" t="s">
        <v>37</v>
      </c>
      <c r="F1137">
        <v>1557</v>
      </c>
      <c r="G1137" s="582" t="s">
        <v>33</v>
      </c>
      <c r="H1137" s="582" t="s">
        <v>891</v>
      </c>
      <c r="I1137" t="s">
        <v>2364</v>
      </c>
      <c r="J1137">
        <v>5.5</v>
      </c>
      <c r="K1137" t="s">
        <v>1838</v>
      </c>
    </row>
    <row r="1138" spans="1:11" hidden="1" x14ac:dyDescent="0.25">
      <c r="A1138">
        <v>3500714</v>
      </c>
      <c r="B1138" t="s">
        <v>1922</v>
      </c>
      <c r="C1138">
        <v>0.71399999999999997</v>
      </c>
      <c r="D1138" t="s">
        <v>362</v>
      </c>
      <c r="E1138" t="s">
        <v>37</v>
      </c>
      <c r="F1138">
        <v>2012</v>
      </c>
      <c r="G1138" s="582" t="s">
        <v>33</v>
      </c>
      <c r="H1138" s="582" t="s">
        <v>891</v>
      </c>
      <c r="I1138" t="s">
        <v>2364</v>
      </c>
      <c r="J1138">
        <v>5.5</v>
      </c>
      <c r="K1138" t="s">
        <v>1838</v>
      </c>
    </row>
    <row r="1139" spans="1:11" hidden="1" x14ac:dyDescent="0.25">
      <c r="A1139">
        <v>3500714</v>
      </c>
      <c r="B1139" t="s">
        <v>1922</v>
      </c>
      <c r="C1139">
        <v>1.028</v>
      </c>
      <c r="D1139" t="s">
        <v>362</v>
      </c>
      <c r="E1139" t="s">
        <v>37</v>
      </c>
      <c r="F1139">
        <v>2013</v>
      </c>
      <c r="G1139" s="582" t="s">
        <v>33</v>
      </c>
      <c r="H1139" s="582" t="s">
        <v>891</v>
      </c>
      <c r="I1139" t="s">
        <v>2364</v>
      </c>
      <c r="J1139">
        <v>5.5</v>
      </c>
      <c r="K1139" t="s">
        <v>1838</v>
      </c>
    </row>
    <row r="1140" spans="1:11" hidden="1" x14ac:dyDescent="0.25">
      <c r="A1140">
        <v>3500714</v>
      </c>
      <c r="B1140" t="s">
        <v>1922</v>
      </c>
      <c r="C1140">
        <v>2.2879999999999998</v>
      </c>
      <c r="D1140" t="s">
        <v>362</v>
      </c>
      <c r="E1140" t="s">
        <v>37</v>
      </c>
      <c r="F1140">
        <v>2014</v>
      </c>
      <c r="G1140" s="582" t="s">
        <v>33</v>
      </c>
      <c r="H1140" s="582" t="s">
        <v>891</v>
      </c>
      <c r="I1140" t="s">
        <v>2364</v>
      </c>
      <c r="J1140">
        <v>5.5</v>
      </c>
      <c r="K1140" t="s">
        <v>1838</v>
      </c>
    </row>
    <row r="1141" spans="1:11" hidden="1" x14ac:dyDescent="0.25">
      <c r="A1141">
        <v>3500714</v>
      </c>
      <c r="B1141" t="s">
        <v>1922</v>
      </c>
      <c r="C1141">
        <v>1.931</v>
      </c>
      <c r="D1141" t="s">
        <v>362</v>
      </c>
      <c r="E1141" t="s">
        <v>37</v>
      </c>
      <c r="F1141">
        <v>2015</v>
      </c>
      <c r="G1141" s="582" t="s">
        <v>33</v>
      </c>
      <c r="H1141" s="582" t="s">
        <v>891</v>
      </c>
      <c r="I1141" t="s">
        <v>2364</v>
      </c>
      <c r="J1141">
        <v>5.5</v>
      </c>
      <c r="K1141" t="s">
        <v>1838</v>
      </c>
    </row>
    <row r="1142" spans="1:11" hidden="1" x14ac:dyDescent="0.25">
      <c r="A1142">
        <v>3500714</v>
      </c>
      <c r="B1142" t="s">
        <v>1922</v>
      </c>
      <c r="C1142">
        <v>0.94399999999999995</v>
      </c>
      <c r="D1142" t="s">
        <v>362</v>
      </c>
      <c r="E1142" t="s">
        <v>37</v>
      </c>
      <c r="F1142">
        <v>2016</v>
      </c>
      <c r="G1142" s="582" t="s">
        <v>33</v>
      </c>
      <c r="H1142" s="582" t="s">
        <v>891</v>
      </c>
      <c r="I1142" t="s">
        <v>2364</v>
      </c>
      <c r="J1142">
        <v>5.5</v>
      </c>
      <c r="K1142" t="s">
        <v>1838</v>
      </c>
    </row>
    <row r="1143" spans="1:11" hidden="1" x14ac:dyDescent="0.25">
      <c r="A1143">
        <v>3500714</v>
      </c>
      <c r="B1143" t="s">
        <v>1922</v>
      </c>
      <c r="C1143">
        <v>0.46200000000000002</v>
      </c>
      <c r="D1143" t="s">
        <v>362</v>
      </c>
      <c r="E1143" t="s">
        <v>37</v>
      </c>
      <c r="F1143">
        <v>2017</v>
      </c>
      <c r="G1143" s="582" t="s">
        <v>33</v>
      </c>
      <c r="H1143" s="582" t="s">
        <v>891</v>
      </c>
      <c r="I1143" t="s">
        <v>2364</v>
      </c>
      <c r="J1143">
        <v>5.5</v>
      </c>
      <c r="K1143" t="s">
        <v>1838</v>
      </c>
    </row>
    <row r="1144" spans="1:11" hidden="1" x14ac:dyDescent="0.25">
      <c r="A1144">
        <v>3500714</v>
      </c>
      <c r="B1144" t="s">
        <v>1922</v>
      </c>
      <c r="C1144">
        <v>2.12</v>
      </c>
      <c r="D1144" t="s">
        <v>362</v>
      </c>
      <c r="E1144" t="s">
        <v>37</v>
      </c>
      <c r="F1144">
        <v>2018</v>
      </c>
      <c r="G1144" s="582" t="s">
        <v>33</v>
      </c>
      <c r="H1144" s="582" t="s">
        <v>891</v>
      </c>
      <c r="I1144" t="s">
        <v>2364</v>
      </c>
      <c r="J1144">
        <v>5.5</v>
      </c>
      <c r="K1144" t="s">
        <v>1838</v>
      </c>
    </row>
    <row r="1145" spans="1:11" hidden="1" x14ac:dyDescent="0.25">
      <c r="A1145">
        <v>3500714</v>
      </c>
      <c r="B1145" t="s">
        <v>1922</v>
      </c>
      <c r="C1145">
        <v>2.141</v>
      </c>
      <c r="D1145" t="s">
        <v>362</v>
      </c>
      <c r="E1145" t="s">
        <v>37</v>
      </c>
      <c r="F1145">
        <v>2019</v>
      </c>
      <c r="G1145" s="582" t="s">
        <v>33</v>
      </c>
      <c r="H1145" s="582" t="s">
        <v>891</v>
      </c>
      <c r="I1145" t="s">
        <v>2364</v>
      </c>
      <c r="J1145">
        <v>5.5</v>
      </c>
      <c r="K1145" t="s">
        <v>1838</v>
      </c>
    </row>
    <row r="1146" spans="1:11" hidden="1" x14ac:dyDescent="0.25">
      <c r="A1146">
        <v>3500714</v>
      </c>
      <c r="B1146" t="s">
        <v>1922</v>
      </c>
      <c r="C1146">
        <v>2.3719999999999999</v>
      </c>
      <c r="D1146" t="s">
        <v>362</v>
      </c>
      <c r="E1146" t="s">
        <v>37</v>
      </c>
      <c r="F1146">
        <v>2020</v>
      </c>
      <c r="G1146" s="582" t="s">
        <v>33</v>
      </c>
      <c r="H1146" s="582" t="s">
        <v>891</v>
      </c>
      <c r="I1146" t="s">
        <v>2364</v>
      </c>
      <c r="J1146">
        <v>5.5</v>
      </c>
      <c r="K1146" t="s">
        <v>1838</v>
      </c>
    </row>
    <row r="1147" spans="1:11" hidden="1" x14ac:dyDescent="0.25">
      <c r="A1147">
        <v>3500714</v>
      </c>
      <c r="B1147" t="s">
        <v>1922</v>
      </c>
      <c r="C1147">
        <v>1.931</v>
      </c>
      <c r="D1147" t="s">
        <v>362</v>
      </c>
      <c r="E1147" t="s">
        <v>37</v>
      </c>
      <c r="F1147">
        <v>2021</v>
      </c>
      <c r="G1147" s="582" t="s">
        <v>33</v>
      </c>
      <c r="H1147" s="582" t="s">
        <v>891</v>
      </c>
      <c r="I1147" t="s">
        <v>2364</v>
      </c>
      <c r="J1147">
        <v>5.5</v>
      </c>
      <c r="K1147" t="s">
        <v>1838</v>
      </c>
    </row>
    <row r="1148" spans="1:11" hidden="1" x14ac:dyDescent="0.25">
      <c r="A1148">
        <v>3500714</v>
      </c>
      <c r="B1148" t="s">
        <v>1922</v>
      </c>
      <c r="C1148">
        <v>2.3719999999999999</v>
      </c>
      <c r="D1148" t="s">
        <v>362</v>
      </c>
      <c r="E1148" t="s">
        <v>37</v>
      </c>
      <c r="F1148">
        <v>2022</v>
      </c>
      <c r="G1148" s="582" t="s">
        <v>33</v>
      </c>
      <c r="H1148" s="582" t="s">
        <v>891</v>
      </c>
      <c r="I1148" t="s">
        <v>2364</v>
      </c>
      <c r="J1148">
        <v>5.5</v>
      </c>
      <c r="K1148" t="s">
        <v>1838</v>
      </c>
    </row>
    <row r="1149" spans="1:11" hidden="1" x14ac:dyDescent="0.25">
      <c r="A1149">
        <v>3500714</v>
      </c>
      <c r="B1149" t="s">
        <v>1922</v>
      </c>
      <c r="C1149">
        <v>0.63</v>
      </c>
      <c r="D1149" t="s">
        <v>362</v>
      </c>
      <c r="E1149" t="s">
        <v>37</v>
      </c>
      <c r="F1149">
        <v>2023</v>
      </c>
      <c r="G1149" s="582" t="s">
        <v>33</v>
      </c>
      <c r="H1149" s="582" t="s">
        <v>891</v>
      </c>
      <c r="I1149" t="s">
        <v>2364</v>
      </c>
      <c r="J1149">
        <v>5.5</v>
      </c>
      <c r="K1149" t="s">
        <v>1838</v>
      </c>
    </row>
    <row r="1150" spans="1:11" hidden="1" x14ac:dyDescent="0.25">
      <c r="A1150">
        <v>3500714</v>
      </c>
      <c r="B1150" t="s">
        <v>1922</v>
      </c>
      <c r="C1150">
        <v>1.4690000000000001</v>
      </c>
      <c r="D1150" t="s">
        <v>362</v>
      </c>
      <c r="E1150" t="s">
        <v>37</v>
      </c>
      <c r="F1150">
        <v>2024</v>
      </c>
      <c r="G1150" s="582" t="s">
        <v>33</v>
      </c>
      <c r="H1150" s="582" t="s">
        <v>891</v>
      </c>
      <c r="I1150" t="s">
        <v>2364</v>
      </c>
      <c r="J1150">
        <v>5.5</v>
      </c>
      <c r="K1150" t="s">
        <v>1838</v>
      </c>
    </row>
    <row r="1151" spans="1:11" hidden="1" x14ac:dyDescent="0.25">
      <c r="A1151">
        <v>3500714</v>
      </c>
      <c r="B1151" t="s">
        <v>1922</v>
      </c>
      <c r="C1151">
        <v>2.3929999999999998</v>
      </c>
      <c r="D1151" t="s">
        <v>362</v>
      </c>
      <c r="E1151" t="s">
        <v>37</v>
      </c>
      <c r="F1151">
        <v>2025</v>
      </c>
      <c r="G1151" s="582" t="s">
        <v>33</v>
      </c>
      <c r="H1151" s="582" t="s">
        <v>891</v>
      </c>
      <c r="I1151" t="s">
        <v>2364</v>
      </c>
      <c r="J1151">
        <v>5.5</v>
      </c>
      <c r="K1151" t="s">
        <v>1838</v>
      </c>
    </row>
    <row r="1152" spans="1:11" hidden="1" x14ac:dyDescent="0.25">
      <c r="A1152">
        <v>3500714</v>
      </c>
      <c r="B1152" t="s">
        <v>1922</v>
      </c>
      <c r="C1152">
        <v>2.3090000000000002</v>
      </c>
      <c r="D1152" t="s">
        <v>362</v>
      </c>
      <c r="E1152" t="s">
        <v>37</v>
      </c>
      <c r="F1152">
        <v>2026</v>
      </c>
      <c r="G1152" s="582" t="s">
        <v>33</v>
      </c>
      <c r="H1152" s="582" t="s">
        <v>891</v>
      </c>
      <c r="I1152" t="s">
        <v>2364</v>
      </c>
      <c r="J1152">
        <v>5.5</v>
      </c>
      <c r="K1152" t="s">
        <v>1838</v>
      </c>
    </row>
    <row r="1153" spans="1:11" hidden="1" x14ac:dyDescent="0.25">
      <c r="A1153">
        <v>3500714</v>
      </c>
      <c r="B1153" t="s">
        <v>1922</v>
      </c>
      <c r="C1153">
        <v>2.3719999999999999</v>
      </c>
      <c r="D1153" t="s">
        <v>362</v>
      </c>
      <c r="E1153" t="s">
        <v>37</v>
      </c>
      <c r="F1153">
        <v>2027</v>
      </c>
      <c r="G1153" s="582" t="s">
        <v>33</v>
      </c>
      <c r="H1153" s="582" t="s">
        <v>891</v>
      </c>
      <c r="I1153" t="s">
        <v>2364</v>
      </c>
      <c r="J1153">
        <v>5.5</v>
      </c>
      <c r="K1153" t="s">
        <v>1838</v>
      </c>
    </row>
    <row r="1154" spans="1:11" hidden="1" x14ac:dyDescent="0.25">
      <c r="A1154">
        <v>3500714</v>
      </c>
      <c r="B1154" t="s">
        <v>1922</v>
      </c>
      <c r="C1154">
        <v>2.2879999999999998</v>
      </c>
      <c r="D1154" t="s">
        <v>362</v>
      </c>
      <c r="E1154" t="s">
        <v>37</v>
      </c>
      <c r="F1154">
        <v>2028</v>
      </c>
      <c r="G1154" s="582" t="s">
        <v>33</v>
      </c>
      <c r="H1154" s="582" t="s">
        <v>891</v>
      </c>
      <c r="I1154" t="s">
        <v>2364</v>
      </c>
      <c r="J1154">
        <v>5.5</v>
      </c>
      <c r="K1154" t="s">
        <v>1838</v>
      </c>
    </row>
    <row r="1155" spans="1:11" hidden="1" x14ac:dyDescent="0.25">
      <c r="A1155">
        <v>3500714</v>
      </c>
      <c r="B1155" t="s">
        <v>1922</v>
      </c>
      <c r="C1155">
        <v>1.9730000000000001</v>
      </c>
      <c r="D1155" t="s">
        <v>362</v>
      </c>
      <c r="E1155" t="s">
        <v>37</v>
      </c>
      <c r="F1155">
        <v>2122</v>
      </c>
      <c r="G1155" s="582" t="s">
        <v>33</v>
      </c>
      <c r="H1155" s="582" t="s">
        <v>891</v>
      </c>
      <c r="I1155" t="s">
        <v>2364</v>
      </c>
      <c r="J1155">
        <v>5.5</v>
      </c>
      <c r="K1155" t="s">
        <v>1838</v>
      </c>
    </row>
    <row r="1156" spans="1:11" hidden="1" x14ac:dyDescent="0.25">
      <c r="A1156">
        <v>3500714</v>
      </c>
      <c r="B1156" t="s">
        <v>1922</v>
      </c>
      <c r="C1156">
        <v>2.141</v>
      </c>
      <c r="D1156" t="s">
        <v>362</v>
      </c>
      <c r="E1156" t="s">
        <v>37</v>
      </c>
      <c r="F1156">
        <v>2123</v>
      </c>
      <c r="G1156" s="582" t="s">
        <v>33</v>
      </c>
      <c r="H1156" s="582" t="s">
        <v>891</v>
      </c>
      <c r="I1156" t="s">
        <v>2364</v>
      </c>
      <c r="J1156">
        <v>5.5</v>
      </c>
      <c r="K1156" t="s">
        <v>1838</v>
      </c>
    </row>
    <row r="1157" spans="1:11" hidden="1" x14ac:dyDescent="0.25">
      <c r="A1157">
        <v>3500714</v>
      </c>
      <c r="B1157" t="s">
        <v>1922</v>
      </c>
      <c r="C1157">
        <v>2.4140000000000001</v>
      </c>
      <c r="D1157" t="s">
        <v>362</v>
      </c>
      <c r="E1157" t="s">
        <v>37</v>
      </c>
      <c r="F1157">
        <v>2124</v>
      </c>
      <c r="G1157" s="582" t="s">
        <v>33</v>
      </c>
      <c r="H1157" s="582" t="s">
        <v>891</v>
      </c>
      <c r="I1157" t="s">
        <v>2364</v>
      </c>
      <c r="J1157">
        <v>5.5</v>
      </c>
      <c r="K1157" t="s">
        <v>1838</v>
      </c>
    </row>
    <row r="1158" spans="1:11" hidden="1" x14ac:dyDescent="0.25">
      <c r="A1158">
        <v>3500714</v>
      </c>
      <c r="B1158" t="s">
        <v>1922</v>
      </c>
      <c r="C1158">
        <v>2.0990000000000002</v>
      </c>
      <c r="D1158" t="s">
        <v>362</v>
      </c>
      <c r="E1158" t="s">
        <v>37</v>
      </c>
      <c r="F1158">
        <v>2125</v>
      </c>
      <c r="G1158" s="582" t="s">
        <v>33</v>
      </c>
      <c r="H1158" s="582" t="s">
        <v>891</v>
      </c>
      <c r="I1158" t="s">
        <v>2364</v>
      </c>
      <c r="J1158">
        <v>5.5</v>
      </c>
      <c r="K1158" t="s">
        <v>1838</v>
      </c>
    </row>
    <row r="1159" spans="1:11" hidden="1" x14ac:dyDescent="0.25">
      <c r="A1159">
        <v>3500714</v>
      </c>
      <c r="B1159" t="s">
        <v>1922</v>
      </c>
      <c r="C1159">
        <v>1.7629999999999999</v>
      </c>
      <c r="D1159" t="s">
        <v>362</v>
      </c>
      <c r="E1159" t="s">
        <v>37</v>
      </c>
      <c r="F1159">
        <v>2126</v>
      </c>
      <c r="G1159" s="582" t="s">
        <v>33</v>
      </c>
      <c r="H1159" s="582" t="s">
        <v>891</v>
      </c>
      <c r="I1159" t="s">
        <v>2364</v>
      </c>
      <c r="J1159">
        <v>5.5</v>
      </c>
      <c r="K1159" t="s">
        <v>1838</v>
      </c>
    </row>
    <row r="1160" spans="1:11" hidden="1" x14ac:dyDescent="0.25">
      <c r="A1160">
        <v>3500714</v>
      </c>
      <c r="B1160" t="s">
        <v>1922</v>
      </c>
      <c r="C1160">
        <v>1.9730000000000001</v>
      </c>
      <c r="D1160" t="s">
        <v>362</v>
      </c>
      <c r="E1160" t="s">
        <v>37</v>
      </c>
      <c r="F1160">
        <v>2127</v>
      </c>
      <c r="G1160" s="582" t="s">
        <v>33</v>
      </c>
      <c r="H1160" s="582" t="s">
        <v>891</v>
      </c>
      <c r="I1160" t="s">
        <v>2364</v>
      </c>
      <c r="J1160">
        <v>5.5</v>
      </c>
      <c r="K1160" t="s">
        <v>1838</v>
      </c>
    </row>
    <row r="1161" spans="1:11" hidden="1" x14ac:dyDescent="0.25">
      <c r="A1161">
        <v>3500714</v>
      </c>
      <c r="B1161" t="s">
        <v>1922</v>
      </c>
      <c r="C1161">
        <v>1.343</v>
      </c>
      <c r="D1161" t="s">
        <v>362</v>
      </c>
      <c r="E1161" t="s">
        <v>37</v>
      </c>
      <c r="F1161">
        <v>2128</v>
      </c>
      <c r="G1161" s="582" t="s">
        <v>33</v>
      </c>
      <c r="H1161" s="582" t="s">
        <v>891</v>
      </c>
      <c r="I1161" t="s">
        <v>2364</v>
      </c>
      <c r="J1161">
        <v>5.5</v>
      </c>
      <c r="K1161" t="s">
        <v>1838</v>
      </c>
    </row>
    <row r="1162" spans="1:11" hidden="1" x14ac:dyDescent="0.25">
      <c r="A1162">
        <v>3500714</v>
      </c>
      <c r="B1162" t="s">
        <v>1922</v>
      </c>
      <c r="C1162">
        <v>2.3929999999999998</v>
      </c>
      <c r="D1162" t="s">
        <v>362</v>
      </c>
      <c r="E1162" t="s">
        <v>37</v>
      </c>
      <c r="F1162">
        <v>2129</v>
      </c>
      <c r="G1162" s="582" t="s">
        <v>33</v>
      </c>
      <c r="H1162" s="582" t="s">
        <v>891</v>
      </c>
      <c r="I1162" t="s">
        <v>2364</v>
      </c>
      <c r="J1162">
        <v>5.5</v>
      </c>
      <c r="K1162" t="s">
        <v>1838</v>
      </c>
    </row>
    <row r="1163" spans="1:11" hidden="1" x14ac:dyDescent="0.25">
      <c r="A1163">
        <v>3500714</v>
      </c>
      <c r="B1163" t="s">
        <v>1922</v>
      </c>
      <c r="C1163">
        <v>2.3719999999999999</v>
      </c>
      <c r="D1163" t="s">
        <v>362</v>
      </c>
      <c r="E1163" t="s">
        <v>37</v>
      </c>
      <c r="F1163">
        <v>2130</v>
      </c>
      <c r="G1163" s="582" t="s">
        <v>33</v>
      </c>
      <c r="H1163" s="582" t="s">
        <v>891</v>
      </c>
      <c r="I1163" t="s">
        <v>2364</v>
      </c>
      <c r="J1163">
        <v>5.5</v>
      </c>
      <c r="K1163" t="s">
        <v>1838</v>
      </c>
    </row>
    <row r="1164" spans="1:11" hidden="1" x14ac:dyDescent="0.25">
      <c r="A1164">
        <v>3500714</v>
      </c>
      <c r="B1164" t="s">
        <v>1922</v>
      </c>
      <c r="C1164">
        <v>2.3090000000000002</v>
      </c>
      <c r="D1164" t="s">
        <v>362</v>
      </c>
      <c r="E1164" t="s">
        <v>37</v>
      </c>
      <c r="F1164">
        <v>2131</v>
      </c>
      <c r="G1164" s="582" t="s">
        <v>33</v>
      </c>
      <c r="H1164" s="582" t="s">
        <v>891</v>
      </c>
      <c r="I1164" t="s">
        <v>2364</v>
      </c>
      <c r="J1164">
        <v>5.5</v>
      </c>
      <c r="K1164" t="s">
        <v>1838</v>
      </c>
    </row>
    <row r="1165" spans="1:11" hidden="1" x14ac:dyDescent="0.25">
      <c r="A1165">
        <v>3500714</v>
      </c>
      <c r="B1165" t="s">
        <v>1922</v>
      </c>
      <c r="C1165">
        <v>2.0569999999999999</v>
      </c>
      <c r="D1165" t="s">
        <v>362</v>
      </c>
      <c r="E1165" t="s">
        <v>37</v>
      </c>
      <c r="F1165">
        <v>2132</v>
      </c>
      <c r="G1165" s="582" t="s">
        <v>33</v>
      </c>
      <c r="H1165" s="582" t="s">
        <v>891</v>
      </c>
      <c r="I1165" t="s">
        <v>2364</v>
      </c>
      <c r="J1165">
        <v>5.5</v>
      </c>
      <c r="K1165" t="s">
        <v>1838</v>
      </c>
    </row>
    <row r="1166" spans="1:11" hidden="1" x14ac:dyDescent="0.25">
      <c r="A1166">
        <v>3500714</v>
      </c>
      <c r="B1166" t="s">
        <v>1922</v>
      </c>
      <c r="C1166">
        <v>2.3929999999999998</v>
      </c>
      <c r="D1166" t="s">
        <v>362</v>
      </c>
      <c r="E1166" t="s">
        <v>37</v>
      </c>
      <c r="F1166">
        <v>2133</v>
      </c>
      <c r="G1166" s="582" t="s">
        <v>33</v>
      </c>
      <c r="H1166" s="582" t="s">
        <v>891</v>
      </c>
      <c r="I1166" t="s">
        <v>2364</v>
      </c>
      <c r="J1166">
        <v>5.5</v>
      </c>
      <c r="K1166" t="s">
        <v>1838</v>
      </c>
    </row>
    <row r="1167" spans="1:11" hidden="1" x14ac:dyDescent="0.25">
      <c r="A1167">
        <v>3500714</v>
      </c>
      <c r="B1167" t="s">
        <v>1922</v>
      </c>
      <c r="C1167">
        <v>2.141</v>
      </c>
      <c r="D1167" t="s">
        <v>362</v>
      </c>
      <c r="E1167" t="s">
        <v>37</v>
      </c>
      <c r="F1167">
        <v>2134</v>
      </c>
      <c r="G1167" s="582" t="s">
        <v>33</v>
      </c>
      <c r="H1167" s="582" t="s">
        <v>891</v>
      </c>
      <c r="I1167" t="s">
        <v>2364</v>
      </c>
      <c r="J1167">
        <v>5.5</v>
      </c>
      <c r="K1167" t="s">
        <v>1838</v>
      </c>
    </row>
    <row r="1168" spans="1:11" hidden="1" x14ac:dyDescent="0.25">
      <c r="A1168">
        <v>3500714</v>
      </c>
      <c r="B1168" t="s">
        <v>1922</v>
      </c>
      <c r="C1168">
        <v>2.1619999999999999</v>
      </c>
      <c r="D1168" t="s">
        <v>362</v>
      </c>
      <c r="E1168" t="s">
        <v>37</v>
      </c>
      <c r="F1168">
        <v>2135</v>
      </c>
      <c r="G1168" s="582" t="s">
        <v>33</v>
      </c>
      <c r="H1168" s="582" t="s">
        <v>891</v>
      </c>
      <c r="I1168" t="s">
        <v>2364</v>
      </c>
      <c r="J1168">
        <v>5.5</v>
      </c>
      <c r="K1168" t="s">
        <v>1838</v>
      </c>
    </row>
    <row r="1169" spans="1:11" hidden="1" x14ac:dyDescent="0.25">
      <c r="A1169">
        <v>3500714</v>
      </c>
      <c r="B1169" t="s">
        <v>1922</v>
      </c>
      <c r="C1169">
        <v>2.3719999999999999</v>
      </c>
      <c r="D1169" t="s">
        <v>362</v>
      </c>
      <c r="E1169" t="s">
        <v>37</v>
      </c>
      <c r="F1169">
        <v>2136</v>
      </c>
      <c r="G1169" s="582" t="s">
        <v>33</v>
      </c>
      <c r="H1169" s="582" t="s">
        <v>891</v>
      </c>
      <c r="I1169" t="s">
        <v>2364</v>
      </c>
      <c r="J1169">
        <v>5.5</v>
      </c>
      <c r="K1169" t="s">
        <v>1838</v>
      </c>
    </row>
    <row r="1170" spans="1:11" hidden="1" x14ac:dyDescent="0.25">
      <c r="A1170">
        <v>3500714</v>
      </c>
      <c r="B1170" t="s">
        <v>1922</v>
      </c>
      <c r="C1170">
        <v>2.33</v>
      </c>
      <c r="D1170" t="s">
        <v>362</v>
      </c>
      <c r="E1170" t="s">
        <v>37</v>
      </c>
      <c r="F1170">
        <v>2137</v>
      </c>
      <c r="G1170" s="582" t="s">
        <v>33</v>
      </c>
      <c r="H1170" s="582" t="s">
        <v>891</v>
      </c>
      <c r="I1170" t="s">
        <v>2364</v>
      </c>
      <c r="J1170">
        <v>5.5</v>
      </c>
      <c r="K1170" t="s">
        <v>1838</v>
      </c>
    </row>
    <row r="1171" spans="1:11" hidden="1" x14ac:dyDescent="0.25">
      <c r="A1171">
        <v>3500714</v>
      </c>
      <c r="B1171" t="s">
        <v>1922</v>
      </c>
      <c r="C1171">
        <v>2.3719999999999999</v>
      </c>
      <c r="D1171" t="s">
        <v>362</v>
      </c>
      <c r="E1171" t="s">
        <v>37</v>
      </c>
      <c r="F1171">
        <v>2138</v>
      </c>
      <c r="G1171" s="582" t="s">
        <v>33</v>
      </c>
      <c r="H1171" s="582" t="s">
        <v>891</v>
      </c>
      <c r="I1171" t="s">
        <v>2364</v>
      </c>
      <c r="J1171">
        <v>5.5</v>
      </c>
      <c r="K1171" t="s">
        <v>1838</v>
      </c>
    </row>
    <row r="1172" spans="1:11" hidden="1" x14ac:dyDescent="0.25">
      <c r="A1172">
        <v>3500714</v>
      </c>
      <c r="B1172" t="s">
        <v>1922</v>
      </c>
      <c r="C1172">
        <v>2.3719999999999999</v>
      </c>
      <c r="D1172" t="s">
        <v>362</v>
      </c>
      <c r="E1172" t="s">
        <v>37</v>
      </c>
      <c r="F1172">
        <v>2139</v>
      </c>
      <c r="G1172" s="582" t="s">
        <v>33</v>
      </c>
      <c r="H1172" s="582" t="s">
        <v>891</v>
      </c>
      <c r="I1172" t="s">
        <v>2364</v>
      </c>
      <c r="J1172">
        <v>5.5</v>
      </c>
      <c r="K1172" t="s">
        <v>1838</v>
      </c>
    </row>
    <row r="1173" spans="1:11" hidden="1" x14ac:dyDescent="0.25">
      <c r="A1173">
        <v>3500714</v>
      </c>
      <c r="B1173" t="s">
        <v>1922</v>
      </c>
      <c r="C1173">
        <v>2.3929999999999998</v>
      </c>
      <c r="D1173" t="s">
        <v>362</v>
      </c>
      <c r="E1173" t="s">
        <v>37</v>
      </c>
      <c r="F1173">
        <v>2140</v>
      </c>
      <c r="G1173" s="582" t="s">
        <v>33</v>
      </c>
      <c r="H1173" s="582" t="s">
        <v>891</v>
      </c>
      <c r="I1173" t="s">
        <v>2364</v>
      </c>
      <c r="J1173">
        <v>5.5</v>
      </c>
      <c r="K1173" t="s">
        <v>1838</v>
      </c>
    </row>
    <row r="1174" spans="1:11" hidden="1" x14ac:dyDescent="0.25">
      <c r="A1174">
        <v>3500714</v>
      </c>
      <c r="B1174" t="s">
        <v>1922</v>
      </c>
      <c r="C1174">
        <v>2.3719999999999999</v>
      </c>
      <c r="D1174" t="s">
        <v>362</v>
      </c>
      <c r="E1174" t="s">
        <v>37</v>
      </c>
      <c r="F1174">
        <v>2141</v>
      </c>
      <c r="G1174" s="582" t="s">
        <v>33</v>
      </c>
      <c r="H1174" s="582" t="s">
        <v>891</v>
      </c>
      <c r="I1174" t="s">
        <v>2364</v>
      </c>
      <c r="J1174">
        <v>5.5</v>
      </c>
      <c r="K1174" t="s">
        <v>1838</v>
      </c>
    </row>
    <row r="1175" spans="1:11" hidden="1" x14ac:dyDescent="0.25">
      <c r="A1175">
        <v>3500714</v>
      </c>
      <c r="B1175" t="s">
        <v>1922</v>
      </c>
      <c r="C1175">
        <v>2.2879999999999998</v>
      </c>
      <c r="D1175" t="s">
        <v>362</v>
      </c>
      <c r="E1175" t="s">
        <v>37</v>
      </c>
      <c r="F1175">
        <v>2142</v>
      </c>
      <c r="G1175" s="582" t="s">
        <v>33</v>
      </c>
      <c r="H1175" s="582" t="s">
        <v>891</v>
      </c>
      <c r="I1175" t="s">
        <v>2364</v>
      </c>
      <c r="J1175">
        <v>5.5</v>
      </c>
      <c r="K1175" t="s">
        <v>1838</v>
      </c>
    </row>
    <row r="1176" spans="1:11" hidden="1" x14ac:dyDescent="0.25">
      <c r="A1176">
        <v>3500714</v>
      </c>
      <c r="B1176" t="s">
        <v>1922</v>
      </c>
      <c r="C1176">
        <v>2.2669999999999999</v>
      </c>
      <c r="D1176" t="s">
        <v>362</v>
      </c>
      <c r="E1176" t="s">
        <v>37</v>
      </c>
      <c r="F1176">
        <v>2143</v>
      </c>
      <c r="G1176" s="582" t="s">
        <v>33</v>
      </c>
      <c r="H1176" s="582" t="s">
        <v>891</v>
      </c>
      <c r="I1176" t="s">
        <v>2364</v>
      </c>
      <c r="J1176">
        <v>5.5</v>
      </c>
      <c r="K1176" t="s">
        <v>1838</v>
      </c>
    </row>
    <row r="1177" spans="1:11" hidden="1" x14ac:dyDescent="0.25">
      <c r="A1177">
        <v>3500714</v>
      </c>
      <c r="B1177" t="s">
        <v>1922</v>
      </c>
      <c r="C1177">
        <v>2.2669999999999999</v>
      </c>
      <c r="D1177" t="s">
        <v>362</v>
      </c>
      <c r="E1177" t="s">
        <v>37</v>
      </c>
      <c r="F1177">
        <v>2144</v>
      </c>
      <c r="G1177" s="582" t="s">
        <v>33</v>
      </c>
      <c r="H1177" s="582" t="s">
        <v>891</v>
      </c>
      <c r="I1177" t="s">
        <v>2364</v>
      </c>
      <c r="J1177">
        <v>5.5</v>
      </c>
      <c r="K1177" t="s">
        <v>1838</v>
      </c>
    </row>
    <row r="1178" spans="1:11" hidden="1" x14ac:dyDescent="0.25">
      <c r="A1178">
        <v>3500714</v>
      </c>
      <c r="B1178" t="s">
        <v>1922</v>
      </c>
      <c r="C1178">
        <v>2.33</v>
      </c>
      <c r="D1178" t="s">
        <v>362</v>
      </c>
      <c r="E1178" t="s">
        <v>37</v>
      </c>
      <c r="F1178">
        <v>2145</v>
      </c>
      <c r="G1178" s="582" t="s">
        <v>33</v>
      </c>
      <c r="H1178" s="582" t="s">
        <v>891</v>
      </c>
      <c r="I1178" t="s">
        <v>2364</v>
      </c>
      <c r="J1178">
        <v>5.5</v>
      </c>
      <c r="K1178" t="s">
        <v>1838</v>
      </c>
    </row>
    <row r="1179" spans="1:11" hidden="1" x14ac:dyDescent="0.25">
      <c r="A1179">
        <v>3500714</v>
      </c>
      <c r="B1179" t="s">
        <v>1922</v>
      </c>
      <c r="C1179">
        <v>2.2250000000000001</v>
      </c>
      <c r="D1179" t="s">
        <v>362</v>
      </c>
      <c r="E1179" t="s">
        <v>37</v>
      </c>
      <c r="F1179">
        <v>2146</v>
      </c>
      <c r="G1179" s="582" t="s">
        <v>33</v>
      </c>
      <c r="H1179" s="582" t="s">
        <v>891</v>
      </c>
      <c r="I1179" t="s">
        <v>2364</v>
      </c>
      <c r="J1179">
        <v>5.5</v>
      </c>
      <c r="K1179" t="s">
        <v>1838</v>
      </c>
    </row>
    <row r="1180" spans="1:11" hidden="1" x14ac:dyDescent="0.25">
      <c r="A1180">
        <v>3500714</v>
      </c>
      <c r="B1180" t="s">
        <v>1922</v>
      </c>
      <c r="C1180">
        <v>2.351</v>
      </c>
      <c r="D1180" t="s">
        <v>362</v>
      </c>
      <c r="E1180" t="s">
        <v>37</v>
      </c>
      <c r="F1180">
        <v>2147</v>
      </c>
      <c r="G1180" s="582" t="s">
        <v>33</v>
      </c>
      <c r="H1180" s="582" t="s">
        <v>891</v>
      </c>
      <c r="I1180" t="s">
        <v>2364</v>
      </c>
      <c r="J1180">
        <v>5.5</v>
      </c>
      <c r="K1180" t="s">
        <v>1838</v>
      </c>
    </row>
    <row r="1181" spans="1:11" hidden="1" x14ac:dyDescent="0.25">
      <c r="A1181">
        <v>3500714</v>
      </c>
      <c r="B1181" t="s">
        <v>1922</v>
      </c>
      <c r="C1181">
        <v>2.3929999999999998</v>
      </c>
      <c r="D1181" t="s">
        <v>362</v>
      </c>
      <c r="E1181" t="s">
        <v>37</v>
      </c>
      <c r="F1181">
        <v>2148</v>
      </c>
      <c r="G1181" s="582" t="s">
        <v>33</v>
      </c>
      <c r="H1181" s="582" t="s">
        <v>891</v>
      </c>
      <c r="I1181" t="s">
        <v>2364</v>
      </c>
      <c r="J1181">
        <v>5.5</v>
      </c>
      <c r="K1181" t="s">
        <v>1838</v>
      </c>
    </row>
    <row r="1182" spans="1:11" hidden="1" x14ac:dyDescent="0.25">
      <c r="A1182">
        <v>3500714</v>
      </c>
      <c r="B1182" t="s">
        <v>1922</v>
      </c>
      <c r="C1182">
        <v>2.3719999999999999</v>
      </c>
      <c r="D1182" t="s">
        <v>362</v>
      </c>
      <c r="E1182" t="s">
        <v>37</v>
      </c>
      <c r="F1182">
        <v>2149</v>
      </c>
      <c r="G1182" s="582" t="s">
        <v>33</v>
      </c>
      <c r="H1182" s="582" t="s">
        <v>891</v>
      </c>
      <c r="I1182" t="s">
        <v>2364</v>
      </c>
      <c r="J1182">
        <v>5.5</v>
      </c>
      <c r="K1182" t="s">
        <v>1838</v>
      </c>
    </row>
    <row r="1183" spans="1:11" hidden="1" x14ac:dyDescent="0.25">
      <c r="A1183">
        <v>3500714</v>
      </c>
      <c r="B1183" t="s">
        <v>1922</v>
      </c>
      <c r="C1183">
        <v>2.3719999999999999</v>
      </c>
      <c r="D1183" t="s">
        <v>362</v>
      </c>
      <c r="E1183" t="s">
        <v>37</v>
      </c>
      <c r="F1183">
        <v>2150</v>
      </c>
      <c r="G1183" s="582" t="s">
        <v>33</v>
      </c>
      <c r="H1183" s="582" t="s">
        <v>891</v>
      </c>
      <c r="I1183" t="s">
        <v>2364</v>
      </c>
      <c r="J1183">
        <v>5.5</v>
      </c>
      <c r="K1183" t="s">
        <v>1838</v>
      </c>
    </row>
    <row r="1184" spans="1:11" hidden="1" x14ac:dyDescent="0.25">
      <c r="A1184">
        <v>3500714</v>
      </c>
      <c r="B1184" t="s">
        <v>1922</v>
      </c>
      <c r="C1184">
        <v>2.3719999999999999</v>
      </c>
      <c r="D1184" t="s">
        <v>362</v>
      </c>
      <c r="E1184" t="s">
        <v>37</v>
      </c>
      <c r="F1184">
        <v>2151</v>
      </c>
      <c r="G1184" s="582" t="s">
        <v>33</v>
      </c>
      <c r="H1184" s="582" t="s">
        <v>891</v>
      </c>
      <c r="I1184" t="s">
        <v>2364</v>
      </c>
      <c r="J1184">
        <v>5.5</v>
      </c>
      <c r="K1184" t="s">
        <v>1838</v>
      </c>
    </row>
    <row r="1185" spans="1:11" hidden="1" x14ac:dyDescent="0.25">
      <c r="A1185">
        <v>3500714</v>
      </c>
      <c r="B1185" t="s">
        <v>1922</v>
      </c>
      <c r="C1185">
        <v>1.679</v>
      </c>
      <c r="D1185" t="s">
        <v>362</v>
      </c>
      <c r="E1185" t="s">
        <v>37</v>
      </c>
      <c r="F1185">
        <v>2152</v>
      </c>
      <c r="G1185" s="582" t="s">
        <v>33</v>
      </c>
      <c r="H1185" s="582" t="s">
        <v>891</v>
      </c>
      <c r="I1185" t="s">
        <v>2364</v>
      </c>
      <c r="J1185">
        <v>5.5</v>
      </c>
      <c r="K1185" t="s">
        <v>1838</v>
      </c>
    </row>
    <row r="1186" spans="1:11" hidden="1" x14ac:dyDescent="0.25">
      <c r="A1186">
        <v>3500714</v>
      </c>
      <c r="B1186" t="s">
        <v>1922</v>
      </c>
      <c r="C1186">
        <v>0.48299999999999998</v>
      </c>
      <c r="D1186" t="s">
        <v>362</v>
      </c>
      <c r="E1186" t="s">
        <v>37</v>
      </c>
      <c r="F1186">
        <v>2153</v>
      </c>
      <c r="G1186" s="582" t="s">
        <v>33</v>
      </c>
      <c r="H1186" s="582" t="s">
        <v>891</v>
      </c>
      <c r="I1186" t="s">
        <v>2364</v>
      </c>
      <c r="J1186">
        <v>5.5</v>
      </c>
      <c r="K1186" t="s">
        <v>1838</v>
      </c>
    </row>
    <row r="1187" spans="1:11" hidden="1" x14ac:dyDescent="0.25">
      <c r="A1187">
        <v>3500714</v>
      </c>
      <c r="B1187" t="s">
        <v>1922</v>
      </c>
      <c r="C1187">
        <v>2.3719999999999999</v>
      </c>
      <c r="D1187" t="s">
        <v>362</v>
      </c>
      <c r="E1187" t="s">
        <v>37</v>
      </c>
      <c r="F1187">
        <v>2154</v>
      </c>
      <c r="G1187" s="582" t="s">
        <v>33</v>
      </c>
      <c r="H1187" s="582" t="s">
        <v>891</v>
      </c>
      <c r="I1187" t="s">
        <v>2364</v>
      </c>
      <c r="J1187">
        <v>5.5</v>
      </c>
      <c r="K1187" t="s">
        <v>1838</v>
      </c>
    </row>
    <row r="1188" spans="1:11" hidden="1" x14ac:dyDescent="0.25">
      <c r="A1188">
        <v>3500714</v>
      </c>
      <c r="B1188" t="s">
        <v>1922</v>
      </c>
      <c r="C1188">
        <v>2.3719999999999999</v>
      </c>
      <c r="D1188" t="s">
        <v>362</v>
      </c>
      <c r="E1188" t="s">
        <v>37</v>
      </c>
      <c r="F1188">
        <v>2155</v>
      </c>
      <c r="G1188" s="582" t="s">
        <v>33</v>
      </c>
      <c r="H1188" s="582" t="s">
        <v>891</v>
      </c>
      <c r="I1188" t="s">
        <v>2364</v>
      </c>
      <c r="J1188">
        <v>5.5</v>
      </c>
      <c r="K1188" t="s">
        <v>1838</v>
      </c>
    </row>
    <row r="1189" spans="1:11" hidden="1" x14ac:dyDescent="0.25">
      <c r="A1189">
        <v>3500714</v>
      </c>
      <c r="B1189" t="s">
        <v>1922</v>
      </c>
      <c r="C1189">
        <v>2.33</v>
      </c>
      <c r="D1189" t="s">
        <v>362</v>
      </c>
      <c r="E1189" t="s">
        <v>37</v>
      </c>
      <c r="F1189">
        <v>2156</v>
      </c>
      <c r="G1189" s="582" t="s">
        <v>33</v>
      </c>
      <c r="H1189" s="582" t="s">
        <v>891</v>
      </c>
      <c r="I1189" t="s">
        <v>2364</v>
      </c>
      <c r="J1189">
        <v>5.5</v>
      </c>
      <c r="K1189" t="s">
        <v>1838</v>
      </c>
    </row>
    <row r="1190" spans="1:11" hidden="1" x14ac:dyDescent="0.25">
      <c r="A1190">
        <v>3500714</v>
      </c>
      <c r="B1190" t="s">
        <v>1922</v>
      </c>
      <c r="C1190">
        <v>2.3929999999999998</v>
      </c>
      <c r="D1190" t="s">
        <v>362</v>
      </c>
      <c r="E1190" t="s">
        <v>37</v>
      </c>
      <c r="F1190">
        <v>2157</v>
      </c>
      <c r="G1190" s="582" t="s">
        <v>33</v>
      </c>
      <c r="H1190" s="582" t="s">
        <v>891</v>
      </c>
      <c r="I1190" t="s">
        <v>2364</v>
      </c>
      <c r="J1190">
        <v>5.5</v>
      </c>
      <c r="K1190" t="s">
        <v>1838</v>
      </c>
    </row>
    <row r="1191" spans="1:11" hidden="1" x14ac:dyDescent="0.25">
      <c r="A1191">
        <v>3500714</v>
      </c>
      <c r="B1191" t="s">
        <v>1922</v>
      </c>
      <c r="C1191">
        <v>2.0779999999999998</v>
      </c>
      <c r="D1191" t="s">
        <v>362</v>
      </c>
      <c r="E1191" t="s">
        <v>37</v>
      </c>
      <c r="F1191">
        <v>2158</v>
      </c>
      <c r="G1191" s="582" t="s">
        <v>33</v>
      </c>
      <c r="H1191" s="582" t="s">
        <v>891</v>
      </c>
      <c r="I1191" t="s">
        <v>2364</v>
      </c>
      <c r="J1191">
        <v>5.5</v>
      </c>
      <c r="K1191" t="s">
        <v>1838</v>
      </c>
    </row>
    <row r="1192" spans="1:11" hidden="1" x14ac:dyDescent="0.25">
      <c r="A1192">
        <v>3500714</v>
      </c>
      <c r="B1192" t="s">
        <v>1922</v>
      </c>
      <c r="C1192">
        <v>2.351</v>
      </c>
      <c r="D1192" t="s">
        <v>362</v>
      </c>
      <c r="E1192" t="s">
        <v>37</v>
      </c>
      <c r="F1192">
        <v>2159</v>
      </c>
      <c r="G1192" s="582" t="s">
        <v>33</v>
      </c>
      <c r="H1192" s="582" t="s">
        <v>891</v>
      </c>
      <c r="I1192" t="s">
        <v>2364</v>
      </c>
      <c r="J1192">
        <v>5.5</v>
      </c>
      <c r="K1192" t="s">
        <v>1838</v>
      </c>
    </row>
    <row r="1193" spans="1:11" hidden="1" x14ac:dyDescent="0.25">
      <c r="A1193">
        <v>3500714</v>
      </c>
      <c r="B1193" t="s">
        <v>1922</v>
      </c>
      <c r="C1193">
        <v>2.351</v>
      </c>
      <c r="D1193" t="s">
        <v>362</v>
      </c>
      <c r="E1193" t="s">
        <v>37</v>
      </c>
      <c r="F1193">
        <v>2160</v>
      </c>
      <c r="G1193" s="582" t="s">
        <v>33</v>
      </c>
      <c r="H1193" s="582" t="s">
        <v>891</v>
      </c>
      <c r="I1193" t="s">
        <v>2364</v>
      </c>
      <c r="J1193">
        <v>5.5</v>
      </c>
      <c r="K1193" t="s">
        <v>1838</v>
      </c>
    </row>
    <row r="1194" spans="1:11" hidden="1" x14ac:dyDescent="0.25">
      <c r="A1194">
        <v>3500714</v>
      </c>
      <c r="B1194" t="s">
        <v>1922</v>
      </c>
      <c r="C1194">
        <v>2.12</v>
      </c>
      <c r="D1194" t="s">
        <v>362</v>
      </c>
      <c r="E1194" t="s">
        <v>37</v>
      </c>
      <c r="F1194">
        <v>2161</v>
      </c>
      <c r="G1194" s="582" t="s">
        <v>33</v>
      </c>
      <c r="H1194" s="582" t="s">
        <v>891</v>
      </c>
      <c r="I1194" t="s">
        <v>2364</v>
      </c>
      <c r="J1194">
        <v>5.5</v>
      </c>
      <c r="K1194" t="s">
        <v>1838</v>
      </c>
    </row>
    <row r="1195" spans="1:11" hidden="1" x14ac:dyDescent="0.25">
      <c r="A1195">
        <v>3500714</v>
      </c>
      <c r="B1195" t="s">
        <v>1922</v>
      </c>
      <c r="C1195">
        <v>2.351</v>
      </c>
      <c r="D1195" t="s">
        <v>362</v>
      </c>
      <c r="E1195" t="s">
        <v>37</v>
      </c>
      <c r="F1195">
        <v>2162</v>
      </c>
      <c r="G1195" s="582" t="s">
        <v>33</v>
      </c>
      <c r="H1195" s="582" t="s">
        <v>891</v>
      </c>
      <c r="I1195" t="s">
        <v>2364</v>
      </c>
      <c r="J1195">
        <v>5.5</v>
      </c>
      <c r="K1195" t="s">
        <v>1838</v>
      </c>
    </row>
    <row r="1196" spans="1:11" hidden="1" x14ac:dyDescent="0.25">
      <c r="A1196">
        <v>3500714</v>
      </c>
      <c r="B1196" t="s">
        <v>1922</v>
      </c>
      <c r="C1196">
        <v>2.3090000000000002</v>
      </c>
      <c r="D1196" t="s">
        <v>362</v>
      </c>
      <c r="E1196" t="s">
        <v>37</v>
      </c>
      <c r="F1196">
        <v>2163</v>
      </c>
      <c r="G1196" s="582" t="s">
        <v>33</v>
      </c>
      <c r="H1196" s="582" t="s">
        <v>891</v>
      </c>
      <c r="I1196" t="s">
        <v>2364</v>
      </c>
      <c r="J1196">
        <v>5.5</v>
      </c>
      <c r="K1196" t="s">
        <v>1838</v>
      </c>
    </row>
    <row r="1197" spans="1:11" hidden="1" x14ac:dyDescent="0.25">
      <c r="A1197">
        <v>3500714</v>
      </c>
      <c r="B1197" t="s">
        <v>1922</v>
      </c>
      <c r="C1197">
        <v>2.2250000000000001</v>
      </c>
      <c r="D1197" t="s">
        <v>362</v>
      </c>
      <c r="E1197" t="s">
        <v>37</v>
      </c>
      <c r="F1197">
        <v>2164</v>
      </c>
      <c r="G1197" s="582" t="s">
        <v>33</v>
      </c>
      <c r="H1197" s="582" t="s">
        <v>891</v>
      </c>
      <c r="I1197" t="s">
        <v>2364</v>
      </c>
      <c r="J1197">
        <v>5.5</v>
      </c>
      <c r="K1197" t="s">
        <v>1838</v>
      </c>
    </row>
    <row r="1198" spans="1:11" hidden="1" x14ac:dyDescent="0.25">
      <c r="A1198">
        <v>3500714</v>
      </c>
      <c r="B1198" t="s">
        <v>1922</v>
      </c>
      <c r="C1198">
        <v>2.33</v>
      </c>
      <c r="D1198" t="s">
        <v>362</v>
      </c>
      <c r="E1198" t="s">
        <v>37</v>
      </c>
      <c r="F1198">
        <v>2165</v>
      </c>
      <c r="G1198" s="582" t="s">
        <v>33</v>
      </c>
      <c r="H1198" s="582" t="s">
        <v>891</v>
      </c>
      <c r="I1198" t="s">
        <v>2364</v>
      </c>
      <c r="J1198">
        <v>5.5</v>
      </c>
      <c r="K1198" t="s">
        <v>1838</v>
      </c>
    </row>
    <row r="1199" spans="1:11" hidden="1" x14ac:dyDescent="0.25">
      <c r="A1199">
        <v>3500714</v>
      </c>
      <c r="B1199" t="s">
        <v>1922</v>
      </c>
      <c r="C1199">
        <v>2.3719999999999999</v>
      </c>
      <c r="D1199" t="s">
        <v>362</v>
      </c>
      <c r="E1199" t="s">
        <v>37</v>
      </c>
      <c r="F1199">
        <v>2166</v>
      </c>
      <c r="G1199" s="582" t="s">
        <v>33</v>
      </c>
      <c r="H1199" s="582" t="s">
        <v>891</v>
      </c>
      <c r="I1199" t="s">
        <v>2364</v>
      </c>
      <c r="J1199">
        <v>5.5</v>
      </c>
      <c r="K1199" t="s">
        <v>1838</v>
      </c>
    </row>
    <row r="1200" spans="1:11" hidden="1" x14ac:dyDescent="0.25">
      <c r="A1200">
        <v>3500714</v>
      </c>
      <c r="B1200" t="s">
        <v>1922</v>
      </c>
      <c r="C1200">
        <v>2.3929999999999998</v>
      </c>
      <c r="D1200" t="s">
        <v>362</v>
      </c>
      <c r="E1200" t="s">
        <v>37</v>
      </c>
      <c r="F1200">
        <v>2167</v>
      </c>
      <c r="G1200" s="582" t="s">
        <v>33</v>
      </c>
      <c r="H1200" s="582" t="s">
        <v>891</v>
      </c>
      <c r="I1200" t="s">
        <v>2364</v>
      </c>
      <c r="J1200">
        <v>5.5</v>
      </c>
      <c r="K1200" t="s">
        <v>1838</v>
      </c>
    </row>
    <row r="1201" spans="1:11" hidden="1" x14ac:dyDescent="0.25">
      <c r="A1201">
        <v>3500714</v>
      </c>
      <c r="B1201" t="s">
        <v>1922</v>
      </c>
      <c r="C1201">
        <v>2.0779999999999998</v>
      </c>
      <c r="D1201" t="s">
        <v>362</v>
      </c>
      <c r="E1201" t="s">
        <v>37</v>
      </c>
      <c r="F1201">
        <v>2168</v>
      </c>
      <c r="G1201" s="582" t="s">
        <v>33</v>
      </c>
      <c r="H1201" s="582" t="s">
        <v>891</v>
      </c>
      <c r="I1201" t="s">
        <v>2364</v>
      </c>
      <c r="J1201">
        <v>5.5</v>
      </c>
      <c r="K1201" t="s">
        <v>1838</v>
      </c>
    </row>
    <row r="1202" spans="1:11" hidden="1" x14ac:dyDescent="0.25">
      <c r="A1202">
        <v>3500714</v>
      </c>
      <c r="B1202" t="s">
        <v>1922</v>
      </c>
      <c r="C1202">
        <v>2.0779999999999998</v>
      </c>
      <c r="D1202" t="s">
        <v>362</v>
      </c>
      <c r="E1202" t="s">
        <v>37</v>
      </c>
      <c r="F1202">
        <v>2169</v>
      </c>
      <c r="G1202" s="582" t="s">
        <v>33</v>
      </c>
      <c r="H1202" s="582" t="s">
        <v>891</v>
      </c>
      <c r="I1202" t="s">
        <v>2364</v>
      </c>
      <c r="J1202">
        <v>5.5</v>
      </c>
      <c r="K1202" t="s">
        <v>1838</v>
      </c>
    </row>
    <row r="1203" spans="1:11" hidden="1" x14ac:dyDescent="0.25">
      <c r="A1203">
        <v>3500714</v>
      </c>
      <c r="B1203" t="s">
        <v>1922</v>
      </c>
      <c r="C1203">
        <v>2.351</v>
      </c>
      <c r="D1203" t="s">
        <v>362</v>
      </c>
      <c r="E1203" t="s">
        <v>37</v>
      </c>
      <c r="F1203">
        <v>2170</v>
      </c>
      <c r="G1203" s="582" t="s">
        <v>33</v>
      </c>
      <c r="H1203" s="582" t="s">
        <v>891</v>
      </c>
      <c r="I1203" t="s">
        <v>2364</v>
      </c>
      <c r="J1203">
        <v>5.5</v>
      </c>
      <c r="K1203" t="s">
        <v>1838</v>
      </c>
    </row>
    <row r="1204" spans="1:11" hidden="1" x14ac:dyDescent="0.25">
      <c r="A1204">
        <v>3500714</v>
      </c>
      <c r="B1204" t="s">
        <v>1922</v>
      </c>
      <c r="C1204">
        <v>2.1619999999999999</v>
      </c>
      <c r="D1204" t="s">
        <v>362</v>
      </c>
      <c r="E1204" t="s">
        <v>37</v>
      </c>
      <c r="F1204">
        <v>2171</v>
      </c>
      <c r="G1204" s="582" t="s">
        <v>33</v>
      </c>
      <c r="H1204" s="582" t="s">
        <v>891</v>
      </c>
      <c r="I1204" t="s">
        <v>2364</v>
      </c>
      <c r="J1204">
        <v>5.5</v>
      </c>
      <c r="K1204" t="s">
        <v>1838</v>
      </c>
    </row>
    <row r="1205" spans="1:11" hidden="1" x14ac:dyDescent="0.25">
      <c r="A1205">
        <v>3500714</v>
      </c>
      <c r="B1205" t="s">
        <v>1922</v>
      </c>
      <c r="C1205">
        <v>2.0779999999999998</v>
      </c>
      <c r="D1205" t="s">
        <v>362</v>
      </c>
      <c r="E1205" t="s">
        <v>37</v>
      </c>
      <c r="F1205">
        <v>2172</v>
      </c>
      <c r="G1205" s="582" t="s">
        <v>33</v>
      </c>
      <c r="H1205" s="582" t="s">
        <v>891</v>
      </c>
      <c r="I1205" t="s">
        <v>2364</v>
      </c>
      <c r="J1205">
        <v>5.5</v>
      </c>
      <c r="K1205" t="s">
        <v>1838</v>
      </c>
    </row>
    <row r="1206" spans="1:11" hidden="1" x14ac:dyDescent="0.25">
      <c r="A1206">
        <v>3500714</v>
      </c>
      <c r="B1206" t="s">
        <v>1922</v>
      </c>
      <c r="C1206">
        <v>2.3929999999999998</v>
      </c>
      <c r="D1206" t="s">
        <v>362</v>
      </c>
      <c r="E1206" t="s">
        <v>37</v>
      </c>
      <c r="F1206">
        <v>2173</v>
      </c>
      <c r="G1206" s="582" t="s">
        <v>33</v>
      </c>
      <c r="H1206" s="582" t="s">
        <v>891</v>
      </c>
      <c r="I1206" t="s">
        <v>2364</v>
      </c>
      <c r="J1206">
        <v>5.5</v>
      </c>
      <c r="K1206" t="s">
        <v>1838</v>
      </c>
    </row>
    <row r="1207" spans="1:11" hidden="1" x14ac:dyDescent="0.25">
      <c r="A1207">
        <v>3500714</v>
      </c>
      <c r="B1207" t="s">
        <v>1922</v>
      </c>
      <c r="C1207">
        <v>2.3719999999999999</v>
      </c>
      <c r="D1207" t="s">
        <v>362</v>
      </c>
      <c r="E1207" t="s">
        <v>37</v>
      </c>
      <c r="F1207">
        <v>2174</v>
      </c>
      <c r="G1207" s="582" t="s">
        <v>33</v>
      </c>
      <c r="H1207" s="582" t="s">
        <v>891</v>
      </c>
      <c r="I1207" t="s">
        <v>2364</v>
      </c>
      <c r="J1207">
        <v>5.5</v>
      </c>
      <c r="K1207" t="s">
        <v>1838</v>
      </c>
    </row>
    <row r="1208" spans="1:11" hidden="1" x14ac:dyDescent="0.25">
      <c r="A1208">
        <v>3500714</v>
      </c>
      <c r="B1208" t="s">
        <v>1922</v>
      </c>
      <c r="C1208">
        <v>2.141</v>
      </c>
      <c r="D1208" t="s">
        <v>362</v>
      </c>
      <c r="E1208" t="s">
        <v>37</v>
      </c>
      <c r="F1208">
        <v>2175</v>
      </c>
      <c r="G1208" s="582" t="s">
        <v>33</v>
      </c>
      <c r="H1208" s="582" t="s">
        <v>891</v>
      </c>
      <c r="I1208" t="s">
        <v>2364</v>
      </c>
      <c r="J1208">
        <v>5.5</v>
      </c>
      <c r="K1208" t="s">
        <v>1838</v>
      </c>
    </row>
    <row r="1209" spans="1:11" hidden="1" x14ac:dyDescent="0.25">
      <c r="A1209">
        <v>3500714</v>
      </c>
      <c r="B1209" t="s">
        <v>1922</v>
      </c>
      <c r="C1209">
        <v>2.12</v>
      </c>
      <c r="D1209" t="s">
        <v>362</v>
      </c>
      <c r="E1209" t="s">
        <v>37</v>
      </c>
      <c r="F1209">
        <v>2176</v>
      </c>
      <c r="G1209" s="582" t="s">
        <v>33</v>
      </c>
      <c r="H1209" s="582" t="s">
        <v>891</v>
      </c>
      <c r="I1209" t="s">
        <v>2364</v>
      </c>
      <c r="J1209">
        <v>5.5</v>
      </c>
      <c r="K1209" t="s">
        <v>1838</v>
      </c>
    </row>
    <row r="1210" spans="1:11" hidden="1" x14ac:dyDescent="0.25">
      <c r="A1210">
        <v>3500714</v>
      </c>
      <c r="B1210" t="s">
        <v>1922</v>
      </c>
      <c r="C1210">
        <v>2.246</v>
      </c>
      <c r="D1210" t="s">
        <v>362</v>
      </c>
      <c r="E1210" t="s">
        <v>37</v>
      </c>
      <c r="F1210">
        <v>2177</v>
      </c>
      <c r="G1210" s="582" t="s">
        <v>33</v>
      </c>
      <c r="H1210" s="582" t="s">
        <v>891</v>
      </c>
      <c r="I1210" t="s">
        <v>2364</v>
      </c>
      <c r="J1210">
        <v>5.5</v>
      </c>
      <c r="K1210" t="s">
        <v>1838</v>
      </c>
    </row>
    <row r="1211" spans="1:11" hidden="1" x14ac:dyDescent="0.25">
      <c r="A1211">
        <v>3500714</v>
      </c>
      <c r="B1211" t="s">
        <v>1922</v>
      </c>
      <c r="C1211">
        <v>2.351</v>
      </c>
      <c r="D1211" t="s">
        <v>362</v>
      </c>
      <c r="E1211" t="s">
        <v>37</v>
      </c>
      <c r="F1211">
        <v>2178</v>
      </c>
      <c r="G1211" s="582" t="s">
        <v>33</v>
      </c>
      <c r="H1211" s="582" t="s">
        <v>891</v>
      </c>
      <c r="I1211" t="s">
        <v>2364</v>
      </c>
      <c r="J1211">
        <v>5.5</v>
      </c>
      <c r="K1211" t="s">
        <v>1838</v>
      </c>
    </row>
    <row r="1212" spans="1:11" hidden="1" x14ac:dyDescent="0.25">
      <c r="A1212">
        <v>3500714</v>
      </c>
      <c r="B1212" t="s">
        <v>1922</v>
      </c>
      <c r="C1212">
        <v>2.2879999999999998</v>
      </c>
      <c r="D1212" t="s">
        <v>362</v>
      </c>
      <c r="E1212" t="s">
        <v>37</v>
      </c>
      <c r="F1212">
        <v>2179</v>
      </c>
      <c r="G1212" s="582" t="s">
        <v>33</v>
      </c>
      <c r="H1212" s="582" t="s">
        <v>891</v>
      </c>
      <c r="I1212" t="s">
        <v>2364</v>
      </c>
      <c r="J1212">
        <v>5.5</v>
      </c>
      <c r="K1212" t="s">
        <v>1838</v>
      </c>
    </row>
    <row r="1213" spans="1:11" hidden="1" x14ac:dyDescent="0.25">
      <c r="A1213">
        <v>3500714</v>
      </c>
      <c r="B1213" t="s">
        <v>1922</v>
      </c>
      <c r="C1213">
        <v>2.3719999999999999</v>
      </c>
      <c r="D1213" t="s">
        <v>362</v>
      </c>
      <c r="E1213" t="s">
        <v>37</v>
      </c>
      <c r="F1213">
        <v>2180</v>
      </c>
      <c r="G1213" s="582" t="s">
        <v>33</v>
      </c>
      <c r="H1213" s="582" t="s">
        <v>891</v>
      </c>
      <c r="I1213" t="s">
        <v>2364</v>
      </c>
      <c r="J1213">
        <v>5.5</v>
      </c>
      <c r="K1213" t="s">
        <v>1838</v>
      </c>
    </row>
    <row r="1214" spans="1:11" hidden="1" x14ac:dyDescent="0.25">
      <c r="A1214">
        <v>3500714</v>
      </c>
      <c r="B1214" t="s">
        <v>1922</v>
      </c>
      <c r="C1214">
        <v>2.3929999999999998</v>
      </c>
      <c r="D1214" t="s">
        <v>362</v>
      </c>
      <c r="E1214" t="s">
        <v>37</v>
      </c>
      <c r="F1214">
        <v>2181</v>
      </c>
      <c r="G1214" s="582" t="s">
        <v>33</v>
      </c>
      <c r="H1214" s="582" t="s">
        <v>891</v>
      </c>
      <c r="I1214" t="s">
        <v>2364</v>
      </c>
      <c r="J1214">
        <v>5.5</v>
      </c>
      <c r="K1214" t="s">
        <v>1838</v>
      </c>
    </row>
    <row r="1215" spans="1:11" hidden="1" x14ac:dyDescent="0.25">
      <c r="A1215">
        <v>3500714</v>
      </c>
      <c r="B1215" t="s">
        <v>1922</v>
      </c>
      <c r="C1215">
        <v>2.351</v>
      </c>
      <c r="D1215" t="s">
        <v>362</v>
      </c>
      <c r="E1215" t="s">
        <v>37</v>
      </c>
      <c r="F1215">
        <v>2182</v>
      </c>
      <c r="G1215" s="582" t="s">
        <v>33</v>
      </c>
      <c r="H1215" s="582" t="s">
        <v>891</v>
      </c>
      <c r="I1215" t="s">
        <v>2364</v>
      </c>
      <c r="J1215">
        <v>5.5</v>
      </c>
      <c r="K1215" t="s">
        <v>1838</v>
      </c>
    </row>
    <row r="1216" spans="1:11" hidden="1" x14ac:dyDescent="0.25">
      <c r="A1216">
        <v>3500714</v>
      </c>
      <c r="B1216" t="s">
        <v>1922</v>
      </c>
      <c r="C1216">
        <v>2.3719999999999999</v>
      </c>
      <c r="D1216" t="s">
        <v>362</v>
      </c>
      <c r="E1216" t="s">
        <v>37</v>
      </c>
      <c r="F1216">
        <v>2183</v>
      </c>
      <c r="G1216" s="582" t="s">
        <v>33</v>
      </c>
      <c r="H1216" s="582" t="s">
        <v>891</v>
      </c>
      <c r="I1216" t="s">
        <v>2364</v>
      </c>
      <c r="J1216">
        <v>5.5</v>
      </c>
      <c r="K1216" t="s">
        <v>1838</v>
      </c>
    </row>
    <row r="1217" spans="1:11" hidden="1" x14ac:dyDescent="0.25">
      <c r="A1217">
        <v>3500714</v>
      </c>
      <c r="B1217" t="s">
        <v>1922</v>
      </c>
      <c r="C1217">
        <v>2.2250000000000001</v>
      </c>
      <c r="D1217" t="s">
        <v>362</v>
      </c>
      <c r="E1217" t="s">
        <v>37</v>
      </c>
      <c r="F1217">
        <v>2184</v>
      </c>
      <c r="G1217" s="582" t="s">
        <v>33</v>
      </c>
      <c r="H1217" s="582" t="s">
        <v>891</v>
      </c>
      <c r="I1217" t="s">
        <v>2364</v>
      </c>
      <c r="J1217">
        <v>5.5</v>
      </c>
      <c r="K1217" t="s">
        <v>1838</v>
      </c>
    </row>
    <row r="1218" spans="1:11" hidden="1" x14ac:dyDescent="0.25">
      <c r="A1218">
        <v>3500714</v>
      </c>
      <c r="B1218" t="s">
        <v>1922</v>
      </c>
      <c r="C1218">
        <v>2.2669999999999999</v>
      </c>
      <c r="D1218" t="s">
        <v>362</v>
      </c>
      <c r="E1218" t="s">
        <v>37</v>
      </c>
      <c r="F1218">
        <v>2185</v>
      </c>
      <c r="G1218" s="582" t="s">
        <v>33</v>
      </c>
      <c r="H1218" s="582" t="s">
        <v>891</v>
      </c>
      <c r="I1218" t="s">
        <v>2364</v>
      </c>
      <c r="J1218">
        <v>5.5</v>
      </c>
      <c r="K1218" t="s">
        <v>1838</v>
      </c>
    </row>
    <row r="1219" spans="1:11" hidden="1" x14ac:dyDescent="0.25">
      <c r="A1219">
        <v>3500714</v>
      </c>
      <c r="B1219" t="s">
        <v>1922</v>
      </c>
      <c r="C1219">
        <v>2.2250000000000001</v>
      </c>
      <c r="D1219" t="s">
        <v>362</v>
      </c>
      <c r="E1219" t="s">
        <v>37</v>
      </c>
      <c r="F1219">
        <v>2186</v>
      </c>
      <c r="G1219" s="582" t="s">
        <v>33</v>
      </c>
      <c r="H1219" s="582" t="s">
        <v>891</v>
      </c>
      <c r="I1219" t="s">
        <v>2364</v>
      </c>
      <c r="J1219">
        <v>5.5</v>
      </c>
      <c r="K1219" t="s">
        <v>1838</v>
      </c>
    </row>
    <row r="1220" spans="1:11" hidden="1" x14ac:dyDescent="0.25">
      <c r="A1220">
        <v>3500714</v>
      </c>
      <c r="B1220" t="s">
        <v>1922</v>
      </c>
      <c r="C1220">
        <v>2.33</v>
      </c>
      <c r="D1220" t="s">
        <v>362</v>
      </c>
      <c r="E1220" t="s">
        <v>37</v>
      </c>
      <c r="F1220">
        <v>2187</v>
      </c>
      <c r="G1220" s="582" t="s">
        <v>33</v>
      </c>
      <c r="H1220" s="582" t="s">
        <v>891</v>
      </c>
      <c r="I1220" t="s">
        <v>2364</v>
      </c>
      <c r="J1220">
        <v>5.5</v>
      </c>
      <c r="K1220" t="s">
        <v>1838</v>
      </c>
    </row>
    <row r="1221" spans="1:11" hidden="1" x14ac:dyDescent="0.25">
      <c r="A1221">
        <v>3500714</v>
      </c>
      <c r="B1221" t="s">
        <v>1922</v>
      </c>
      <c r="C1221">
        <v>2.0990000000000002</v>
      </c>
      <c r="D1221" t="s">
        <v>362</v>
      </c>
      <c r="E1221" t="s">
        <v>37</v>
      </c>
      <c r="F1221">
        <v>2188</v>
      </c>
      <c r="G1221" s="582" t="s">
        <v>33</v>
      </c>
      <c r="H1221" s="582" t="s">
        <v>891</v>
      </c>
      <c r="I1221" t="s">
        <v>2364</v>
      </c>
      <c r="J1221">
        <v>5.5</v>
      </c>
      <c r="K1221" t="s">
        <v>1838</v>
      </c>
    </row>
    <row r="1222" spans="1:11" hidden="1" x14ac:dyDescent="0.25">
      <c r="A1222">
        <v>3500714</v>
      </c>
      <c r="B1222" t="s">
        <v>1922</v>
      </c>
      <c r="C1222">
        <v>2.0569999999999999</v>
      </c>
      <c r="D1222" t="s">
        <v>362</v>
      </c>
      <c r="E1222" t="s">
        <v>37</v>
      </c>
      <c r="F1222">
        <v>2189</v>
      </c>
      <c r="G1222" s="582" t="s">
        <v>33</v>
      </c>
      <c r="H1222" s="582" t="s">
        <v>891</v>
      </c>
      <c r="I1222" t="s">
        <v>2364</v>
      </c>
      <c r="J1222">
        <v>5.5</v>
      </c>
      <c r="K1222" t="s">
        <v>1838</v>
      </c>
    </row>
    <row r="1223" spans="1:11" hidden="1" x14ac:dyDescent="0.25">
      <c r="A1223">
        <v>3500714</v>
      </c>
      <c r="B1223" t="s">
        <v>1922</v>
      </c>
      <c r="C1223">
        <v>2.036</v>
      </c>
      <c r="D1223" t="s">
        <v>362</v>
      </c>
      <c r="E1223" t="s">
        <v>37</v>
      </c>
      <c r="F1223">
        <v>2190</v>
      </c>
      <c r="G1223" s="582" t="s">
        <v>33</v>
      </c>
      <c r="H1223" s="582" t="s">
        <v>891</v>
      </c>
      <c r="I1223" t="s">
        <v>2364</v>
      </c>
      <c r="J1223">
        <v>5.5</v>
      </c>
      <c r="K1223" t="s">
        <v>1838</v>
      </c>
    </row>
    <row r="1224" spans="1:11" hidden="1" x14ac:dyDescent="0.25">
      <c r="A1224">
        <v>3500714</v>
      </c>
      <c r="B1224" t="s">
        <v>1922</v>
      </c>
      <c r="C1224">
        <v>2.3929999999999998</v>
      </c>
      <c r="D1224" t="s">
        <v>362</v>
      </c>
      <c r="E1224" t="s">
        <v>37</v>
      </c>
      <c r="F1224">
        <v>2191</v>
      </c>
      <c r="G1224" s="582" t="s">
        <v>33</v>
      </c>
      <c r="H1224" s="582" t="s">
        <v>891</v>
      </c>
      <c r="I1224" t="s">
        <v>2364</v>
      </c>
      <c r="J1224">
        <v>5.5</v>
      </c>
      <c r="K1224" t="s">
        <v>1838</v>
      </c>
    </row>
    <row r="1225" spans="1:11" hidden="1" x14ac:dyDescent="0.25">
      <c r="A1225">
        <v>3500714</v>
      </c>
      <c r="B1225" t="s">
        <v>1922</v>
      </c>
      <c r="C1225">
        <v>1.07</v>
      </c>
      <c r="D1225" t="s">
        <v>362</v>
      </c>
      <c r="E1225" t="s">
        <v>37</v>
      </c>
      <c r="F1225">
        <v>2192</v>
      </c>
      <c r="G1225" s="582" t="s">
        <v>33</v>
      </c>
      <c r="H1225" s="582" t="s">
        <v>891</v>
      </c>
      <c r="I1225" t="s">
        <v>2364</v>
      </c>
      <c r="J1225">
        <v>5.5</v>
      </c>
      <c r="K1225" t="s">
        <v>1838</v>
      </c>
    </row>
    <row r="1226" spans="1:11" hidden="1" x14ac:dyDescent="0.25">
      <c r="A1226">
        <v>3500714</v>
      </c>
      <c r="B1226" t="s">
        <v>1922</v>
      </c>
      <c r="C1226">
        <v>2.14</v>
      </c>
      <c r="D1226" t="s">
        <v>362</v>
      </c>
      <c r="E1226" t="s">
        <v>37</v>
      </c>
      <c r="F1226">
        <v>2193</v>
      </c>
      <c r="G1226" s="582" t="s">
        <v>33</v>
      </c>
      <c r="H1226" s="582" t="s">
        <v>891</v>
      </c>
      <c r="I1226" t="s">
        <v>2364</v>
      </c>
      <c r="J1226">
        <v>5.5</v>
      </c>
      <c r="K1226" t="s">
        <v>1838</v>
      </c>
    </row>
    <row r="1227" spans="1:11" hidden="1" x14ac:dyDescent="0.25">
      <c r="A1227">
        <v>3911992</v>
      </c>
      <c r="B1227" t="s">
        <v>1629</v>
      </c>
      <c r="C1227">
        <v>0.78097499999999997</v>
      </c>
      <c r="D1227">
        <v>4731</v>
      </c>
      <c r="E1227" t="s">
        <v>101</v>
      </c>
      <c r="F1227">
        <v>1888</v>
      </c>
      <c r="G1227" s="582" t="s">
        <v>10</v>
      </c>
      <c r="H1227" s="582" t="s">
        <v>849</v>
      </c>
      <c r="I1227" t="s">
        <v>2367</v>
      </c>
      <c r="J1227">
        <v>0.33400000000000002</v>
      </c>
      <c r="K1227" t="s">
        <v>2171</v>
      </c>
    </row>
    <row r="1228" spans="1:11" hidden="1" x14ac:dyDescent="0.25">
      <c r="A1228">
        <v>3911993</v>
      </c>
      <c r="B1228" t="s">
        <v>855</v>
      </c>
      <c r="C1228">
        <v>0.78566100000000005</v>
      </c>
      <c r="D1228">
        <v>4731</v>
      </c>
      <c r="E1228" t="s">
        <v>18</v>
      </c>
      <c r="F1228">
        <v>1889</v>
      </c>
      <c r="G1228" s="582" t="s">
        <v>10</v>
      </c>
      <c r="H1228" s="582" t="s">
        <v>849</v>
      </c>
      <c r="I1228" t="s">
        <v>856</v>
      </c>
      <c r="J1228">
        <v>1.5009999999999999</v>
      </c>
      <c r="K1228" t="s">
        <v>2171</v>
      </c>
    </row>
    <row r="1229" spans="1:11" hidden="1" x14ac:dyDescent="0.25">
      <c r="A1229">
        <v>3911993</v>
      </c>
      <c r="B1229" t="s">
        <v>855</v>
      </c>
      <c r="C1229">
        <v>2.2603439999999999</v>
      </c>
      <c r="D1229">
        <v>4731</v>
      </c>
      <c r="E1229" t="s">
        <v>18</v>
      </c>
      <c r="F1229">
        <v>1890</v>
      </c>
      <c r="G1229" s="582" t="s">
        <v>10</v>
      </c>
      <c r="H1229" s="582" t="s">
        <v>849</v>
      </c>
      <c r="I1229" t="s">
        <v>856</v>
      </c>
      <c r="J1229">
        <v>1.5009999999999999</v>
      </c>
      <c r="K1229" t="s">
        <v>2171</v>
      </c>
    </row>
    <row r="1230" spans="1:11" hidden="1" x14ac:dyDescent="0.25">
      <c r="A1230">
        <v>3911993</v>
      </c>
      <c r="B1230" t="s">
        <v>855</v>
      </c>
      <c r="C1230">
        <v>0.37850099999999998</v>
      </c>
      <c r="D1230">
        <v>4731</v>
      </c>
      <c r="E1230" t="s">
        <v>18</v>
      </c>
      <c r="F1230">
        <v>1891</v>
      </c>
      <c r="G1230" s="582" t="s">
        <v>10</v>
      </c>
      <c r="H1230" s="582" t="s">
        <v>849</v>
      </c>
      <c r="I1230" t="s">
        <v>856</v>
      </c>
      <c r="J1230">
        <v>1.5009999999999999</v>
      </c>
      <c r="K1230" t="s">
        <v>2171</v>
      </c>
    </row>
    <row r="1231" spans="1:11" hidden="1" x14ac:dyDescent="0.25">
      <c r="A1231">
        <v>3500816</v>
      </c>
      <c r="B1231" t="s">
        <v>2365</v>
      </c>
      <c r="C1231">
        <v>0.35287400000000002</v>
      </c>
      <c r="D1231">
        <v>4731</v>
      </c>
      <c r="E1231" t="s">
        <v>27</v>
      </c>
      <c r="F1231">
        <v>1558</v>
      </c>
      <c r="G1231" s="582" t="s">
        <v>10</v>
      </c>
      <c r="H1231" s="582" t="s">
        <v>872</v>
      </c>
      <c r="I1231" t="s">
        <v>2366</v>
      </c>
      <c r="J1231">
        <v>6</v>
      </c>
      <c r="K1231" t="s">
        <v>1838</v>
      </c>
    </row>
    <row r="1232" spans="1:11" hidden="1" x14ac:dyDescent="0.25">
      <c r="A1232">
        <v>3500816</v>
      </c>
      <c r="B1232" t="s">
        <v>2365</v>
      </c>
      <c r="C1232">
        <v>0.46948000000000001</v>
      </c>
      <c r="D1232">
        <v>4731</v>
      </c>
      <c r="E1232" t="s">
        <v>27</v>
      </c>
      <c r="F1232">
        <v>1559</v>
      </c>
      <c r="G1232" s="582" t="s">
        <v>10</v>
      </c>
      <c r="H1232" s="582" t="s">
        <v>872</v>
      </c>
      <c r="I1232" t="s">
        <v>2366</v>
      </c>
      <c r="J1232">
        <v>6</v>
      </c>
      <c r="K1232" t="s">
        <v>1838</v>
      </c>
    </row>
    <row r="1233" spans="1:11" hidden="1" x14ac:dyDescent="0.25">
      <c r="A1233">
        <v>3500816</v>
      </c>
      <c r="B1233" t="s">
        <v>2365</v>
      </c>
      <c r="C1233">
        <v>0.29369400000000001</v>
      </c>
      <c r="D1233">
        <v>4731</v>
      </c>
      <c r="E1233" t="s">
        <v>27</v>
      </c>
      <c r="F1233">
        <v>1560</v>
      </c>
      <c r="G1233" s="582" t="s">
        <v>10</v>
      </c>
      <c r="H1233" s="582" t="s">
        <v>872</v>
      </c>
      <c r="I1233" t="s">
        <v>2366</v>
      </c>
      <c r="J1233">
        <v>6</v>
      </c>
      <c r="K1233" t="s">
        <v>1838</v>
      </c>
    </row>
    <row r="1234" spans="1:11" hidden="1" x14ac:dyDescent="0.25">
      <c r="A1234">
        <v>3500816</v>
      </c>
      <c r="B1234" t="s">
        <v>2365</v>
      </c>
      <c r="C1234">
        <v>0.64283299999999999</v>
      </c>
      <c r="D1234">
        <v>4731</v>
      </c>
      <c r="E1234" t="s">
        <v>27</v>
      </c>
      <c r="F1234">
        <v>1561</v>
      </c>
      <c r="G1234" s="582" t="s">
        <v>10</v>
      </c>
      <c r="H1234" s="582" t="s">
        <v>872</v>
      </c>
      <c r="I1234" t="s">
        <v>2366</v>
      </c>
      <c r="J1234">
        <v>6</v>
      </c>
      <c r="K1234" t="s">
        <v>1838</v>
      </c>
    </row>
    <row r="1235" spans="1:11" hidden="1" x14ac:dyDescent="0.25">
      <c r="A1235">
        <v>3500816</v>
      </c>
      <c r="B1235" t="s">
        <v>2365</v>
      </c>
      <c r="C1235">
        <v>2.57</v>
      </c>
      <c r="D1235">
        <v>4731</v>
      </c>
      <c r="E1235" t="s">
        <v>27</v>
      </c>
      <c r="F1235">
        <v>1562</v>
      </c>
      <c r="G1235" s="582" t="s">
        <v>10</v>
      </c>
      <c r="H1235" s="582" t="s">
        <v>872</v>
      </c>
      <c r="I1235" t="s">
        <v>2366</v>
      </c>
      <c r="J1235">
        <v>6</v>
      </c>
      <c r="K1235" t="s">
        <v>1838</v>
      </c>
    </row>
    <row r="1236" spans="1:11" hidden="1" x14ac:dyDescent="0.25">
      <c r="A1236">
        <v>3500816</v>
      </c>
      <c r="B1236" t="s">
        <v>2365</v>
      </c>
      <c r="C1236">
        <v>0.55800000000000005</v>
      </c>
      <c r="D1236">
        <v>4731</v>
      </c>
      <c r="E1236" t="s">
        <v>27</v>
      </c>
      <c r="F1236">
        <v>1563</v>
      </c>
      <c r="G1236" s="582" t="s">
        <v>10</v>
      </c>
      <c r="H1236" s="582" t="s">
        <v>872</v>
      </c>
      <c r="I1236" t="s">
        <v>2366</v>
      </c>
      <c r="J1236">
        <v>6</v>
      </c>
      <c r="K1236" t="s">
        <v>1838</v>
      </c>
    </row>
    <row r="1237" spans="1:11" hidden="1" x14ac:dyDescent="0.25">
      <c r="A1237">
        <v>3500816</v>
      </c>
      <c r="B1237" t="s">
        <v>2365</v>
      </c>
      <c r="C1237">
        <v>2.2829999999999999</v>
      </c>
      <c r="D1237">
        <v>4731</v>
      </c>
      <c r="E1237" t="s">
        <v>27</v>
      </c>
      <c r="F1237">
        <v>1564</v>
      </c>
      <c r="G1237" s="582" t="s">
        <v>10</v>
      </c>
      <c r="H1237" s="582" t="s">
        <v>872</v>
      </c>
      <c r="I1237" t="s">
        <v>2366</v>
      </c>
      <c r="J1237">
        <v>6</v>
      </c>
      <c r="K1237" t="s">
        <v>1838</v>
      </c>
    </row>
    <row r="1238" spans="1:11" hidden="1" x14ac:dyDescent="0.25">
      <c r="A1238">
        <v>3500816</v>
      </c>
      <c r="B1238" t="s">
        <v>2365</v>
      </c>
      <c r="C1238">
        <v>1.7549999999999999</v>
      </c>
      <c r="D1238">
        <v>4731</v>
      </c>
      <c r="E1238" t="s">
        <v>27</v>
      </c>
      <c r="F1238">
        <v>1565</v>
      </c>
      <c r="G1238" s="582" t="s">
        <v>10</v>
      </c>
      <c r="H1238" s="582" t="s">
        <v>872</v>
      </c>
      <c r="I1238" t="s">
        <v>2366</v>
      </c>
      <c r="J1238">
        <v>6</v>
      </c>
      <c r="K1238" t="s">
        <v>1838</v>
      </c>
    </row>
    <row r="1239" spans="1:11" hidden="1" x14ac:dyDescent="0.25">
      <c r="A1239">
        <v>3500816</v>
      </c>
      <c r="B1239" t="s">
        <v>2365</v>
      </c>
      <c r="C1239">
        <v>1.649</v>
      </c>
      <c r="D1239">
        <v>4731</v>
      </c>
      <c r="E1239" t="s">
        <v>27</v>
      </c>
      <c r="F1239">
        <v>1566</v>
      </c>
      <c r="G1239" s="582" t="s">
        <v>10</v>
      </c>
      <c r="H1239" s="582" t="s">
        <v>872</v>
      </c>
      <c r="I1239" t="s">
        <v>2366</v>
      </c>
      <c r="J1239">
        <v>6</v>
      </c>
      <c r="K1239" t="s">
        <v>1838</v>
      </c>
    </row>
    <row r="1240" spans="1:11" hidden="1" x14ac:dyDescent="0.25">
      <c r="A1240">
        <v>3500816</v>
      </c>
      <c r="B1240" t="s">
        <v>2365</v>
      </c>
      <c r="C1240">
        <v>1.3320000000000001</v>
      </c>
      <c r="D1240">
        <v>4731</v>
      </c>
      <c r="E1240" t="s">
        <v>27</v>
      </c>
      <c r="F1240">
        <v>1567</v>
      </c>
      <c r="G1240" s="582" t="s">
        <v>10</v>
      </c>
      <c r="H1240" s="582" t="s">
        <v>872</v>
      </c>
      <c r="I1240" t="s">
        <v>2366</v>
      </c>
      <c r="J1240">
        <v>6</v>
      </c>
      <c r="K1240" t="s">
        <v>1838</v>
      </c>
    </row>
    <row r="1241" spans="1:11" hidden="1" x14ac:dyDescent="0.25">
      <c r="A1241">
        <v>3500816</v>
      </c>
      <c r="B1241" t="s">
        <v>2365</v>
      </c>
      <c r="C1241">
        <v>1.72</v>
      </c>
      <c r="D1241">
        <v>4731</v>
      </c>
      <c r="E1241" t="s">
        <v>27</v>
      </c>
      <c r="F1241">
        <v>1568</v>
      </c>
      <c r="G1241" s="582" t="s">
        <v>10</v>
      </c>
      <c r="H1241" s="582" t="s">
        <v>872</v>
      </c>
      <c r="I1241" t="s">
        <v>2366</v>
      </c>
      <c r="J1241">
        <v>6</v>
      </c>
      <c r="K1241" t="s">
        <v>1838</v>
      </c>
    </row>
    <row r="1242" spans="1:11" hidden="1" x14ac:dyDescent="0.25">
      <c r="A1242">
        <v>3500816</v>
      </c>
      <c r="B1242" t="s">
        <v>2365</v>
      </c>
      <c r="C1242">
        <v>1.6140000000000001</v>
      </c>
      <c r="D1242">
        <v>4731</v>
      </c>
      <c r="E1242" t="s">
        <v>27</v>
      </c>
      <c r="F1242">
        <v>1569</v>
      </c>
      <c r="G1242" s="582" t="s">
        <v>10</v>
      </c>
      <c r="H1242" s="582" t="s">
        <v>872</v>
      </c>
      <c r="I1242" t="s">
        <v>2366</v>
      </c>
      <c r="J1242">
        <v>6</v>
      </c>
      <c r="K1242" t="s">
        <v>1838</v>
      </c>
    </row>
    <row r="1243" spans="1:11" hidden="1" x14ac:dyDescent="0.25">
      <c r="A1243">
        <v>3500816</v>
      </c>
      <c r="B1243" t="s">
        <v>2365</v>
      </c>
      <c r="C1243">
        <v>0.41272500000000001</v>
      </c>
      <c r="D1243">
        <v>4731</v>
      </c>
      <c r="E1243" t="s">
        <v>27</v>
      </c>
      <c r="F1243">
        <v>1570</v>
      </c>
      <c r="G1243" s="582" t="s">
        <v>10</v>
      </c>
      <c r="H1243" s="582" t="s">
        <v>872</v>
      </c>
      <c r="I1243" t="s">
        <v>2366</v>
      </c>
      <c r="J1243">
        <v>6</v>
      </c>
      <c r="K1243" t="s">
        <v>1838</v>
      </c>
    </row>
    <row r="1244" spans="1:11" hidden="1" x14ac:dyDescent="0.25">
      <c r="A1244">
        <v>3500816</v>
      </c>
      <c r="B1244" t="s">
        <v>2365</v>
      </c>
      <c r="C1244">
        <v>0.113</v>
      </c>
      <c r="D1244">
        <v>4731</v>
      </c>
      <c r="E1244" t="s">
        <v>27</v>
      </c>
      <c r="F1244">
        <v>1571</v>
      </c>
      <c r="G1244" s="582" t="s">
        <v>10</v>
      </c>
      <c r="H1244" s="582" t="s">
        <v>872</v>
      </c>
      <c r="I1244" t="s">
        <v>2366</v>
      </c>
      <c r="J1244">
        <v>6</v>
      </c>
      <c r="K1244" t="s">
        <v>1838</v>
      </c>
    </row>
    <row r="1245" spans="1:11" hidden="1" x14ac:dyDescent="0.25">
      <c r="A1245">
        <v>3500816</v>
      </c>
      <c r="B1245" t="s">
        <v>2365</v>
      </c>
      <c r="C1245">
        <v>0.33388000000000001</v>
      </c>
      <c r="D1245">
        <v>4731</v>
      </c>
      <c r="E1245" t="s">
        <v>27</v>
      </c>
      <c r="F1245">
        <v>1572</v>
      </c>
      <c r="G1245" s="582" t="s">
        <v>10</v>
      </c>
      <c r="H1245" s="582" t="s">
        <v>872</v>
      </c>
      <c r="I1245" t="s">
        <v>2366</v>
      </c>
      <c r="J1245">
        <v>6</v>
      </c>
      <c r="K1245" t="s">
        <v>1838</v>
      </c>
    </row>
    <row r="1246" spans="1:11" hidden="1" x14ac:dyDescent="0.25">
      <c r="A1246">
        <v>3500816</v>
      </c>
      <c r="B1246" t="s">
        <v>2365</v>
      </c>
      <c r="C1246">
        <v>1.3680000000000001</v>
      </c>
      <c r="D1246">
        <v>4731</v>
      </c>
      <c r="E1246" t="s">
        <v>27</v>
      </c>
      <c r="F1246">
        <v>1573</v>
      </c>
      <c r="G1246" s="582" t="s">
        <v>10</v>
      </c>
      <c r="H1246" s="582" t="s">
        <v>872</v>
      </c>
      <c r="I1246" t="s">
        <v>2366</v>
      </c>
      <c r="J1246">
        <v>6</v>
      </c>
      <c r="K1246" t="s">
        <v>1838</v>
      </c>
    </row>
    <row r="1247" spans="1:11" hidden="1" x14ac:dyDescent="0.25">
      <c r="A1247">
        <v>3500816</v>
      </c>
      <c r="B1247" t="s">
        <v>2365</v>
      </c>
      <c r="C1247">
        <v>0.42399999999999999</v>
      </c>
      <c r="D1247">
        <v>4731</v>
      </c>
      <c r="E1247" t="s">
        <v>27</v>
      </c>
      <c r="F1247">
        <v>1574</v>
      </c>
      <c r="G1247" s="582" t="s">
        <v>10</v>
      </c>
      <c r="H1247" s="582" t="s">
        <v>872</v>
      </c>
      <c r="I1247" t="s">
        <v>2366</v>
      </c>
      <c r="J1247">
        <v>6</v>
      </c>
      <c r="K1247" t="s">
        <v>1838</v>
      </c>
    </row>
    <row r="1248" spans="1:11" hidden="1" x14ac:dyDescent="0.25">
      <c r="A1248">
        <v>3500816</v>
      </c>
      <c r="B1248" t="s">
        <v>2365</v>
      </c>
      <c r="C1248">
        <v>2.7589999999999999</v>
      </c>
      <c r="D1248">
        <v>4731</v>
      </c>
      <c r="E1248" t="s">
        <v>27</v>
      </c>
      <c r="F1248">
        <v>1575</v>
      </c>
      <c r="G1248" s="582" t="s">
        <v>10</v>
      </c>
      <c r="H1248" s="582" t="s">
        <v>872</v>
      </c>
      <c r="I1248" t="s">
        <v>2366</v>
      </c>
      <c r="J1248">
        <v>6</v>
      </c>
      <c r="K1248" t="s">
        <v>1838</v>
      </c>
    </row>
    <row r="1249" spans="1:11" hidden="1" x14ac:dyDescent="0.25">
      <c r="A1249">
        <v>3500816</v>
      </c>
      <c r="B1249" t="s">
        <v>2365</v>
      </c>
      <c r="C1249">
        <v>3.2570000000000001</v>
      </c>
      <c r="D1249">
        <v>8406</v>
      </c>
      <c r="E1249" t="s">
        <v>27</v>
      </c>
      <c r="F1249">
        <v>1576</v>
      </c>
      <c r="G1249" s="582" t="s">
        <v>10</v>
      </c>
      <c r="H1249" s="582" t="s">
        <v>872</v>
      </c>
      <c r="I1249" t="s">
        <v>2366</v>
      </c>
      <c r="J1249">
        <v>6</v>
      </c>
      <c r="K1249" t="s">
        <v>1838</v>
      </c>
    </row>
    <row r="1250" spans="1:11" hidden="1" x14ac:dyDescent="0.25">
      <c r="A1250">
        <v>3500816</v>
      </c>
      <c r="B1250" t="s">
        <v>2365</v>
      </c>
      <c r="C1250">
        <v>1.056</v>
      </c>
      <c r="D1250" t="s">
        <v>362</v>
      </c>
      <c r="E1250" t="s">
        <v>27</v>
      </c>
      <c r="F1250">
        <v>2194</v>
      </c>
      <c r="G1250" s="582" t="s">
        <v>10</v>
      </c>
      <c r="H1250" s="582" t="s">
        <v>872</v>
      </c>
      <c r="I1250" t="s">
        <v>2366</v>
      </c>
      <c r="J1250">
        <v>6</v>
      </c>
      <c r="K1250" t="s">
        <v>1838</v>
      </c>
    </row>
    <row r="1251" spans="1:11" hidden="1" x14ac:dyDescent="0.25">
      <c r="A1251">
        <v>3500816</v>
      </c>
      <c r="B1251" t="s">
        <v>2365</v>
      </c>
      <c r="C1251">
        <v>3.0979999999999999</v>
      </c>
      <c r="D1251" t="s">
        <v>362</v>
      </c>
      <c r="E1251" t="s">
        <v>27</v>
      </c>
      <c r="F1251">
        <v>2195</v>
      </c>
      <c r="G1251" s="582" t="s">
        <v>10</v>
      </c>
      <c r="H1251" s="582" t="s">
        <v>872</v>
      </c>
      <c r="I1251" t="s">
        <v>2366</v>
      </c>
      <c r="J1251">
        <v>6</v>
      </c>
      <c r="K1251" t="s">
        <v>1838</v>
      </c>
    </row>
    <row r="1252" spans="1:11" hidden="1" x14ac:dyDescent="0.25">
      <c r="A1252">
        <v>3500816</v>
      </c>
      <c r="B1252" t="s">
        <v>2365</v>
      </c>
      <c r="C1252">
        <v>3.133</v>
      </c>
      <c r="D1252" t="s">
        <v>362</v>
      </c>
      <c r="E1252" t="s">
        <v>27</v>
      </c>
      <c r="F1252">
        <v>2196</v>
      </c>
      <c r="G1252" s="582" t="s">
        <v>10</v>
      </c>
      <c r="H1252" s="582" t="s">
        <v>872</v>
      </c>
      <c r="I1252" t="s">
        <v>2366</v>
      </c>
      <c r="J1252">
        <v>6</v>
      </c>
      <c r="K1252" t="s">
        <v>1838</v>
      </c>
    </row>
    <row r="1253" spans="1:11" hidden="1" x14ac:dyDescent="0.25">
      <c r="A1253">
        <v>3500816</v>
      </c>
      <c r="B1253" t="s">
        <v>2365</v>
      </c>
      <c r="C1253">
        <v>0.98599999999999999</v>
      </c>
      <c r="D1253" t="s">
        <v>362</v>
      </c>
      <c r="E1253" t="s">
        <v>27</v>
      </c>
      <c r="F1253">
        <v>2197</v>
      </c>
      <c r="G1253" s="582" t="s">
        <v>10</v>
      </c>
      <c r="H1253" s="582" t="s">
        <v>872</v>
      </c>
      <c r="I1253" t="s">
        <v>2366</v>
      </c>
      <c r="J1253">
        <v>6</v>
      </c>
      <c r="K1253" t="s">
        <v>1838</v>
      </c>
    </row>
    <row r="1254" spans="1:11" hidden="1" x14ac:dyDescent="0.25">
      <c r="A1254">
        <v>3500816</v>
      </c>
      <c r="B1254" t="s">
        <v>2365</v>
      </c>
      <c r="C1254">
        <v>2.077</v>
      </c>
      <c r="D1254" t="s">
        <v>362</v>
      </c>
      <c r="E1254" t="s">
        <v>27</v>
      </c>
      <c r="F1254">
        <v>2198</v>
      </c>
      <c r="G1254" s="582" t="s">
        <v>10</v>
      </c>
      <c r="H1254" s="582" t="s">
        <v>872</v>
      </c>
      <c r="I1254" t="s">
        <v>2366</v>
      </c>
      <c r="J1254">
        <v>6</v>
      </c>
      <c r="K1254" t="s">
        <v>1838</v>
      </c>
    </row>
    <row r="1255" spans="1:11" hidden="1" x14ac:dyDescent="0.25">
      <c r="A1255">
        <v>3500816</v>
      </c>
      <c r="B1255" t="s">
        <v>2365</v>
      </c>
      <c r="C1255">
        <v>0.84499999999999997</v>
      </c>
      <c r="D1255" t="s">
        <v>362</v>
      </c>
      <c r="E1255" t="s">
        <v>27</v>
      </c>
      <c r="F1255">
        <v>2199</v>
      </c>
      <c r="G1255" s="582" t="s">
        <v>10</v>
      </c>
      <c r="H1255" s="582" t="s">
        <v>872</v>
      </c>
      <c r="I1255" t="s">
        <v>2366</v>
      </c>
      <c r="J1255">
        <v>6</v>
      </c>
      <c r="K1255" t="s">
        <v>1838</v>
      </c>
    </row>
    <row r="1256" spans="1:11" hidden="1" x14ac:dyDescent="0.25">
      <c r="A1256">
        <v>3500816</v>
      </c>
      <c r="B1256" t="s">
        <v>2365</v>
      </c>
      <c r="C1256">
        <v>1.76</v>
      </c>
      <c r="D1256" t="s">
        <v>362</v>
      </c>
      <c r="E1256" t="s">
        <v>27</v>
      </c>
      <c r="F1256">
        <v>2200</v>
      </c>
      <c r="G1256" s="582" t="s">
        <v>10</v>
      </c>
      <c r="H1256" s="582" t="s">
        <v>872</v>
      </c>
      <c r="I1256" t="s">
        <v>2366</v>
      </c>
      <c r="J1256">
        <v>6</v>
      </c>
      <c r="K1256" t="s">
        <v>1838</v>
      </c>
    </row>
    <row r="1257" spans="1:11" hidden="1" x14ac:dyDescent="0.25">
      <c r="A1257">
        <v>3500816</v>
      </c>
      <c r="B1257" t="s">
        <v>2365</v>
      </c>
      <c r="C1257">
        <v>1.4079999999999999</v>
      </c>
      <c r="D1257" t="s">
        <v>362</v>
      </c>
      <c r="E1257" t="s">
        <v>27</v>
      </c>
      <c r="F1257">
        <v>2201</v>
      </c>
      <c r="G1257" s="582" t="s">
        <v>10</v>
      </c>
      <c r="H1257" s="582" t="s">
        <v>872</v>
      </c>
      <c r="I1257" t="s">
        <v>2366</v>
      </c>
      <c r="J1257">
        <v>6</v>
      </c>
      <c r="K1257" t="s">
        <v>1838</v>
      </c>
    </row>
    <row r="1258" spans="1:11" hidden="1" x14ac:dyDescent="0.25">
      <c r="A1258">
        <v>3500816</v>
      </c>
      <c r="B1258" t="s">
        <v>2365</v>
      </c>
      <c r="C1258">
        <v>2.1120000000000001</v>
      </c>
      <c r="D1258" t="s">
        <v>362</v>
      </c>
      <c r="E1258" t="s">
        <v>27</v>
      </c>
      <c r="F1258">
        <v>2202</v>
      </c>
      <c r="G1258" s="582" t="s">
        <v>10</v>
      </c>
      <c r="H1258" s="582" t="s">
        <v>872</v>
      </c>
      <c r="I1258" t="s">
        <v>2366</v>
      </c>
      <c r="J1258">
        <v>6</v>
      </c>
      <c r="K1258" t="s">
        <v>1838</v>
      </c>
    </row>
    <row r="1259" spans="1:11" hidden="1" x14ac:dyDescent="0.25">
      <c r="A1259">
        <v>3500816</v>
      </c>
      <c r="B1259" t="s">
        <v>2365</v>
      </c>
      <c r="C1259">
        <v>1.514</v>
      </c>
      <c r="D1259" t="s">
        <v>362</v>
      </c>
      <c r="E1259" t="s">
        <v>27</v>
      </c>
      <c r="F1259">
        <v>2203</v>
      </c>
      <c r="G1259" s="582" t="s">
        <v>10</v>
      </c>
      <c r="H1259" s="582" t="s">
        <v>872</v>
      </c>
      <c r="I1259" t="s">
        <v>2366</v>
      </c>
      <c r="J1259">
        <v>6</v>
      </c>
      <c r="K1259" t="s">
        <v>1838</v>
      </c>
    </row>
    <row r="1260" spans="1:11" hidden="1" x14ac:dyDescent="0.25">
      <c r="A1260">
        <v>3500816</v>
      </c>
      <c r="B1260" t="s">
        <v>2365</v>
      </c>
      <c r="C1260">
        <v>2.3940000000000001</v>
      </c>
      <c r="D1260" t="s">
        <v>362</v>
      </c>
      <c r="E1260" t="s">
        <v>27</v>
      </c>
      <c r="F1260">
        <v>2204</v>
      </c>
      <c r="G1260" s="582" t="s">
        <v>10</v>
      </c>
      <c r="H1260" s="582" t="s">
        <v>872</v>
      </c>
      <c r="I1260" t="s">
        <v>2366</v>
      </c>
      <c r="J1260">
        <v>6</v>
      </c>
      <c r="K1260" t="s">
        <v>1838</v>
      </c>
    </row>
    <row r="1261" spans="1:11" hidden="1" x14ac:dyDescent="0.25">
      <c r="A1261">
        <v>3500816</v>
      </c>
      <c r="B1261" t="s">
        <v>2365</v>
      </c>
      <c r="C1261">
        <v>1.1970000000000001</v>
      </c>
      <c r="D1261" t="s">
        <v>362</v>
      </c>
      <c r="E1261" t="s">
        <v>27</v>
      </c>
      <c r="F1261">
        <v>2205</v>
      </c>
      <c r="G1261" s="582" t="s">
        <v>10</v>
      </c>
      <c r="H1261" s="582" t="s">
        <v>872</v>
      </c>
      <c r="I1261" t="s">
        <v>2366</v>
      </c>
      <c r="J1261">
        <v>6</v>
      </c>
      <c r="K1261" t="s">
        <v>1838</v>
      </c>
    </row>
    <row r="1262" spans="1:11" hidden="1" x14ac:dyDescent="0.25">
      <c r="A1262">
        <v>3500816</v>
      </c>
      <c r="B1262" t="s">
        <v>2365</v>
      </c>
      <c r="C1262">
        <v>1.8660000000000001</v>
      </c>
      <c r="D1262" t="s">
        <v>362</v>
      </c>
      <c r="E1262" t="s">
        <v>27</v>
      </c>
      <c r="F1262">
        <v>2206</v>
      </c>
      <c r="G1262" s="582" t="s">
        <v>10</v>
      </c>
      <c r="H1262" s="582" t="s">
        <v>872</v>
      </c>
      <c r="I1262" t="s">
        <v>2366</v>
      </c>
      <c r="J1262">
        <v>6</v>
      </c>
      <c r="K1262" t="s">
        <v>1838</v>
      </c>
    </row>
    <row r="1263" spans="1:11" hidden="1" x14ac:dyDescent="0.25">
      <c r="A1263">
        <v>3500816</v>
      </c>
      <c r="B1263" t="s">
        <v>2365</v>
      </c>
      <c r="C1263">
        <v>1.7250000000000001</v>
      </c>
      <c r="D1263" t="s">
        <v>362</v>
      </c>
      <c r="E1263" t="s">
        <v>27</v>
      </c>
      <c r="F1263">
        <v>2207</v>
      </c>
      <c r="G1263" s="582" t="s">
        <v>10</v>
      </c>
      <c r="H1263" s="582" t="s">
        <v>872</v>
      </c>
      <c r="I1263" t="s">
        <v>2366</v>
      </c>
      <c r="J1263">
        <v>6</v>
      </c>
      <c r="K1263" t="s">
        <v>1838</v>
      </c>
    </row>
    <row r="1264" spans="1:11" hidden="1" x14ac:dyDescent="0.25">
      <c r="A1264">
        <v>3500816</v>
      </c>
      <c r="B1264" t="s">
        <v>2365</v>
      </c>
      <c r="C1264">
        <v>1.4079999999999999</v>
      </c>
      <c r="D1264" t="s">
        <v>362</v>
      </c>
      <c r="E1264" t="s">
        <v>27</v>
      </c>
      <c r="F1264">
        <v>2208</v>
      </c>
      <c r="G1264" s="582" t="s">
        <v>10</v>
      </c>
      <c r="H1264" s="582" t="s">
        <v>872</v>
      </c>
      <c r="I1264" t="s">
        <v>2366</v>
      </c>
      <c r="J1264">
        <v>6</v>
      </c>
      <c r="K1264" t="s">
        <v>1838</v>
      </c>
    </row>
    <row r="1265" spans="1:11" hidden="1" x14ac:dyDescent="0.25">
      <c r="A1265">
        <v>3500816</v>
      </c>
      <c r="B1265" t="s">
        <v>2365</v>
      </c>
      <c r="C1265">
        <v>2.1120000000000001</v>
      </c>
      <c r="D1265" t="s">
        <v>362</v>
      </c>
      <c r="E1265" t="s">
        <v>27</v>
      </c>
      <c r="F1265">
        <v>2209</v>
      </c>
      <c r="G1265" s="582" t="s">
        <v>10</v>
      </c>
      <c r="H1265" s="582" t="s">
        <v>872</v>
      </c>
      <c r="I1265" t="s">
        <v>2366</v>
      </c>
      <c r="J1265">
        <v>6</v>
      </c>
      <c r="K1265" t="s">
        <v>1838</v>
      </c>
    </row>
    <row r="1266" spans="1:11" hidden="1" x14ac:dyDescent="0.25">
      <c r="A1266">
        <v>3500816</v>
      </c>
      <c r="B1266" t="s">
        <v>2365</v>
      </c>
      <c r="C1266">
        <v>1.514</v>
      </c>
      <c r="D1266" t="s">
        <v>362</v>
      </c>
      <c r="E1266" t="s">
        <v>27</v>
      </c>
      <c r="F1266">
        <v>2210</v>
      </c>
      <c r="G1266" s="582" t="s">
        <v>10</v>
      </c>
      <c r="H1266" s="582" t="s">
        <v>872</v>
      </c>
      <c r="I1266" t="s">
        <v>2366</v>
      </c>
      <c r="J1266">
        <v>6</v>
      </c>
      <c r="K1266" t="s">
        <v>1838</v>
      </c>
    </row>
    <row r="1267" spans="1:11" hidden="1" x14ac:dyDescent="0.25">
      <c r="A1267">
        <v>3500816</v>
      </c>
      <c r="B1267" t="s">
        <v>2365</v>
      </c>
      <c r="C1267">
        <v>1.901</v>
      </c>
      <c r="D1267" t="s">
        <v>362</v>
      </c>
      <c r="E1267" t="s">
        <v>27</v>
      </c>
      <c r="F1267">
        <v>2211</v>
      </c>
      <c r="G1267" s="582" t="s">
        <v>10</v>
      </c>
      <c r="H1267" s="582" t="s">
        <v>872</v>
      </c>
      <c r="I1267" t="s">
        <v>2366</v>
      </c>
      <c r="J1267">
        <v>6</v>
      </c>
      <c r="K1267" t="s">
        <v>1838</v>
      </c>
    </row>
    <row r="1268" spans="1:11" hidden="1" x14ac:dyDescent="0.25">
      <c r="A1268">
        <v>3500816</v>
      </c>
      <c r="B1268" t="s">
        <v>2365</v>
      </c>
      <c r="C1268">
        <v>1.901</v>
      </c>
      <c r="D1268" t="s">
        <v>362</v>
      </c>
      <c r="E1268" t="s">
        <v>27</v>
      </c>
      <c r="F1268">
        <v>2212</v>
      </c>
      <c r="G1268" s="582" t="s">
        <v>10</v>
      </c>
      <c r="H1268" s="582" t="s">
        <v>872</v>
      </c>
      <c r="I1268" t="s">
        <v>2366</v>
      </c>
      <c r="J1268">
        <v>6</v>
      </c>
      <c r="K1268" t="s">
        <v>1838</v>
      </c>
    </row>
    <row r="1269" spans="1:11" hidden="1" x14ac:dyDescent="0.25">
      <c r="A1269">
        <v>3500816</v>
      </c>
      <c r="B1269" t="s">
        <v>2365</v>
      </c>
      <c r="C1269">
        <v>1.6539999999999999</v>
      </c>
      <c r="D1269" t="s">
        <v>362</v>
      </c>
      <c r="E1269" t="s">
        <v>27</v>
      </c>
      <c r="F1269">
        <v>2213</v>
      </c>
      <c r="G1269" s="582" t="s">
        <v>10</v>
      </c>
      <c r="H1269" s="582" t="s">
        <v>872</v>
      </c>
      <c r="I1269" t="s">
        <v>2366</v>
      </c>
      <c r="J1269">
        <v>6</v>
      </c>
      <c r="K1269" t="s">
        <v>1838</v>
      </c>
    </row>
    <row r="1270" spans="1:11" hidden="1" x14ac:dyDescent="0.25">
      <c r="A1270">
        <v>3500816</v>
      </c>
      <c r="B1270" t="s">
        <v>2365</v>
      </c>
      <c r="C1270">
        <v>2.0419999999999998</v>
      </c>
      <c r="D1270" t="s">
        <v>362</v>
      </c>
      <c r="E1270" t="s">
        <v>27</v>
      </c>
      <c r="F1270">
        <v>2214</v>
      </c>
      <c r="G1270" s="582" t="s">
        <v>10</v>
      </c>
      <c r="H1270" s="582" t="s">
        <v>872</v>
      </c>
      <c r="I1270" t="s">
        <v>2366</v>
      </c>
      <c r="J1270">
        <v>6</v>
      </c>
      <c r="K1270" t="s">
        <v>1838</v>
      </c>
    </row>
    <row r="1271" spans="1:11" hidden="1" x14ac:dyDescent="0.25">
      <c r="A1271">
        <v>3500816</v>
      </c>
      <c r="B1271" t="s">
        <v>2365</v>
      </c>
      <c r="C1271">
        <v>2.1120000000000001</v>
      </c>
      <c r="D1271" t="s">
        <v>362</v>
      </c>
      <c r="E1271" t="s">
        <v>27</v>
      </c>
      <c r="F1271">
        <v>2215</v>
      </c>
      <c r="G1271" s="582" t="s">
        <v>10</v>
      </c>
      <c r="H1271" s="582" t="s">
        <v>872</v>
      </c>
      <c r="I1271" t="s">
        <v>2366</v>
      </c>
      <c r="J1271">
        <v>6</v>
      </c>
      <c r="K1271" t="s">
        <v>1838</v>
      </c>
    </row>
    <row r="1272" spans="1:11" hidden="1" x14ac:dyDescent="0.25">
      <c r="A1272">
        <v>3500816</v>
      </c>
      <c r="B1272" t="s">
        <v>2365</v>
      </c>
      <c r="C1272">
        <v>1.514</v>
      </c>
      <c r="D1272" t="s">
        <v>362</v>
      </c>
      <c r="E1272" t="s">
        <v>27</v>
      </c>
      <c r="F1272">
        <v>2216</v>
      </c>
      <c r="G1272" s="582" t="s">
        <v>10</v>
      </c>
      <c r="H1272" s="582" t="s">
        <v>872</v>
      </c>
      <c r="I1272" t="s">
        <v>2366</v>
      </c>
      <c r="J1272">
        <v>6</v>
      </c>
      <c r="K1272" t="s">
        <v>1838</v>
      </c>
    </row>
    <row r="1273" spans="1:11" hidden="1" x14ac:dyDescent="0.25">
      <c r="A1273">
        <v>3500816</v>
      </c>
      <c r="B1273" t="s">
        <v>2365</v>
      </c>
      <c r="C1273">
        <v>1.514</v>
      </c>
      <c r="D1273" t="s">
        <v>362</v>
      </c>
      <c r="E1273" t="s">
        <v>27</v>
      </c>
      <c r="F1273">
        <v>2217</v>
      </c>
      <c r="G1273" s="582" t="s">
        <v>10</v>
      </c>
      <c r="H1273" s="582" t="s">
        <v>872</v>
      </c>
      <c r="I1273" t="s">
        <v>2366</v>
      </c>
      <c r="J1273">
        <v>6</v>
      </c>
      <c r="K1273" t="s">
        <v>1838</v>
      </c>
    </row>
    <row r="1274" spans="1:11" hidden="1" x14ac:dyDescent="0.25">
      <c r="A1274">
        <v>3500816</v>
      </c>
      <c r="B1274" t="s">
        <v>2365</v>
      </c>
      <c r="C1274">
        <v>1.901</v>
      </c>
      <c r="D1274" t="s">
        <v>362</v>
      </c>
      <c r="E1274" t="s">
        <v>27</v>
      </c>
      <c r="F1274">
        <v>2218</v>
      </c>
      <c r="G1274" s="582" t="s">
        <v>10</v>
      </c>
      <c r="H1274" s="582" t="s">
        <v>872</v>
      </c>
      <c r="I1274" t="s">
        <v>2366</v>
      </c>
      <c r="J1274">
        <v>6</v>
      </c>
      <c r="K1274" t="s">
        <v>1838</v>
      </c>
    </row>
    <row r="1275" spans="1:11" hidden="1" x14ac:dyDescent="0.25">
      <c r="A1275">
        <v>3500816</v>
      </c>
      <c r="B1275" t="s">
        <v>2365</v>
      </c>
      <c r="C1275">
        <v>1.901</v>
      </c>
      <c r="D1275" t="s">
        <v>362</v>
      </c>
      <c r="E1275" t="s">
        <v>27</v>
      </c>
      <c r="F1275">
        <v>2219</v>
      </c>
      <c r="G1275" s="582" t="s">
        <v>10</v>
      </c>
      <c r="H1275" s="582" t="s">
        <v>872</v>
      </c>
      <c r="I1275" t="s">
        <v>2366</v>
      </c>
      <c r="J1275">
        <v>6</v>
      </c>
      <c r="K1275" t="s">
        <v>1838</v>
      </c>
    </row>
    <row r="1276" spans="1:11" hidden="1" x14ac:dyDescent="0.25">
      <c r="A1276">
        <v>4140303</v>
      </c>
      <c r="B1276" t="s">
        <v>2368</v>
      </c>
      <c r="C1276">
        <v>0.75900000000000001</v>
      </c>
      <c r="D1276">
        <v>4731</v>
      </c>
      <c r="E1276" t="s">
        <v>101</v>
      </c>
      <c r="F1276">
        <v>1925</v>
      </c>
      <c r="G1276" s="582" t="s">
        <v>10</v>
      </c>
      <c r="H1276" s="582" t="s">
        <v>673</v>
      </c>
      <c r="J1276">
        <v>5.23</v>
      </c>
      <c r="K1276" t="s">
        <v>1838</v>
      </c>
    </row>
    <row r="1277" spans="1:11" hidden="1" x14ac:dyDescent="0.25">
      <c r="A1277">
        <v>3500959</v>
      </c>
      <c r="B1277" t="s">
        <v>1651</v>
      </c>
      <c r="C1277">
        <v>2.1314169999999999</v>
      </c>
      <c r="D1277">
        <v>4731</v>
      </c>
      <c r="E1277" t="s">
        <v>151</v>
      </c>
      <c r="F1277">
        <v>1577</v>
      </c>
      <c r="G1277" s="582" t="s">
        <v>10</v>
      </c>
      <c r="H1277" s="582" t="s">
        <v>860</v>
      </c>
      <c r="I1277" t="s">
        <v>2199</v>
      </c>
      <c r="J1277">
        <v>5.65</v>
      </c>
      <c r="K1277" t="s">
        <v>1838</v>
      </c>
    </row>
    <row r="1278" spans="1:11" hidden="1" x14ac:dyDescent="0.25">
      <c r="A1278">
        <v>3500959</v>
      </c>
      <c r="B1278" t="s">
        <v>1651</v>
      </c>
      <c r="C1278">
        <v>2.1412390000000001</v>
      </c>
      <c r="D1278">
        <v>4731</v>
      </c>
      <c r="E1278" t="s">
        <v>151</v>
      </c>
      <c r="F1278">
        <v>1578</v>
      </c>
      <c r="G1278" s="582" t="s">
        <v>10</v>
      </c>
      <c r="H1278" s="582" t="s">
        <v>860</v>
      </c>
      <c r="I1278" t="s">
        <v>2199</v>
      </c>
      <c r="J1278">
        <v>5.65</v>
      </c>
      <c r="K1278" t="s">
        <v>1838</v>
      </c>
    </row>
    <row r="1279" spans="1:11" hidden="1" x14ac:dyDescent="0.25">
      <c r="A1279">
        <v>3500959</v>
      </c>
      <c r="B1279" t="s">
        <v>1651</v>
      </c>
      <c r="C1279">
        <v>2.3867940000000001</v>
      </c>
      <c r="D1279">
        <v>4731</v>
      </c>
      <c r="E1279" t="s">
        <v>151</v>
      </c>
      <c r="F1279">
        <v>1579</v>
      </c>
      <c r="G1279" s="582" t="s">
        <v>10</v>
      </c>
      <c r="H1279" s="582" t="s">
        <v>860</v>
      </c>
      <c r="I1279" t="s">
        <v>2199</v>
      </c>
      <c r="J1279">
        <v>5.65</v>
      </c>
      <c r="K1279" t="s">
        <v>1838</v>
      </c>
    </row>
    <row r="1280" spans="1:11" hidden="1" x14ac:dyDescent="0.25">
      <c r="A1280">
        <v>3500959</v>
      </c>
      <c r="B1280" t="s">
        <v>1651</v>
      </c>
      <c r="C1280">
        <v>2.1314169999999999</v>
      </c>
      <c r="D1280">
        <v>4731</v>
      </c>
      <c r="E1280" t="s">
        <v>151</v>
      </c>
      <c r="F1280">
        <v>1580</v>
      </c>
      <c r="G1280" s="582" t="s">
        <v>10</v>
      </c>
      <c r="H1280" s="582" t="s">
        <v>860</v>
      </c>
      <c r="I1280" t="s">
        <v>2199</v>
      </c>
      <c r="J1280">
        <v>5.65</v>
      </c>
      <c r="K1280" t="s">
        <v>1838</v>
      </c>
    </row>
    <row r="1281" spans="1:11" hidden="1" x14ac:dyDescent="0.25">
      <c r="A1281">
        <v>3500959</v>
      </c>
      <c r="B1281" t="s">
        <v>1651</v>
      </c>
      <c r="C1281">
        <v>2.1314169999999999</v>
      </c>
      <c r="D1281">
        <v>4731</v>
      </c>
      <c r="E1281" t="s">
        <v>151</v>
      </c>
      <c r="F1281">
        <v>1581</v>
      </c>
      <c r="G1281" s="582" t="s">
        <v>10</v>
      </c>
      <c r="H1281" s="582" t="s">
        <v>860</v>
      </c>
      <c r="I1281" t="s">
        <v>2199</v>
      </c>
      <c r="J1281">
        <v>5.65</v>
      </c>
      <c r="K1281" t="s">
        <v>1838</v>
      </c>
    </row>
    <row r="1282" spans="1:11" hidden="1" x14ac:dyDescent="0.25">
      <c r="A1282">
        <v>3500959</v>
      </c>
      <c r="B1282" t="s">
        <v>1651</v>
      </c>
      <c r="C1282">
        <v>2.1314169999999999</v>
      </c>
      <c r="D1282">
        <v>4731</v>
      </c>
      <c r="E1282" t="s">
        <v>151</v>
      </c>
      <c r="F1282">
        <v>1582</v>
      </c>
      <c r="G1282" s="582" t="s">
        <v>10</v>
      </c>
      <c r="H1282" s="582" t="s">
        <v>860</v>
      </c>
      <c r="I1282" t="s">
        <v>2199</v>
      </c>
      <c r="J1282">
        <v>5.65</v>
      </c>
      <c r="K1282" t="s">
        <v>1838</v>
      </c>
    </row>
    <row r="1283" spans="1:11" hidden="1" x14ac:dyDescent="0.25">
      <c r="A1283">
        <v>3502026</v>
      </c>
      <c r="B1283" t="s">
        <v>2369</v>
      </c>
      <c r="C1283">
        <v>1.511126</v>
      </c>
      <c r="D1283">
        <v>4731</v>
      </c>
      <c r="E1283" t="s">
        <v>151</v>
      </c>
      <c r="F1283">
        <v>1614</v>
      </c>
      <c r="G1283" s="582" t="s">
        <v>10</v>
      </c>
      <c r="H1283" s="582" t="s">
        <v>1042</v>
      </c>
      <c r="I1283" t="s">
        <v>2370</v>
      </c>
      <c r="J1283">
        <v>6</v>
      </c>
      <c r="K1283" t="s">
        <v>1838</v>
      </c>
    </row>
    <row r="1284" spans="1:11" hidden="1" x14ac:dyDescent="0.25">
      <c r="A1284">
        <v>3502026</v>
      </c>
      <c r="B1284" t="s">
        <v>2369</v>
      </c>
      <c r="C1284">
        <v>2.0190000000000001</v>
      </c>
      <c r="D1284">
        <v>4731</v>
      </c>
      <c r="E1284" t="s">
        <v>151</v>
      </c>
      <c r="F1284">
        <v>1615</v>
      </c>
      <c r="G1284" s="582" t="s">
        <v>10</v>
      </c>
      <c r="H1284" s="582" t="s">
        <v>1042</v>
      </c>
      <c r="I1284" t="s">
        <v>2370</v>
      </c>
      <c r="J1284">
        <v>6</v>
      </c>
      <c r="K1284" t="s">
        <v>1838</v>
      </c>
    </row>
    <row r="1285" spans="1:11" hidden="1" x14ac:dyDescent="0.25">
      <c r="A1285">
        <v>3502026</v>
      </c>
      <c r="B1285" t="s">
        <v>2369</v>
      </c>
      <c r="C1285">
        <v>1.9259999999999999</v>
      </c>
      <c r="D1285">
        <v>4731</v>
      </c>
      <c r="E1285" t="s">
        <v>151</v>
      </c>
      <c r="F1285">
        <v>1616</v>
      </c>
      <c r="G1285" s="582" t="s">
        <v>10</v>
      </c>
      <c r="H1285" s="582" t="s">
        <v>1042</v>
      </c>
      <c r="I1285" t="s">
        <v>2370</v>
      </c>
      <c r="J1285">
        <v>6</v>
      </c>
      <c r="K1285" t="s">
        <v>1838</v>
      </c>
    </row>
    <row r="1286" spans="1:11" hidden="1" x14ac:dyDescent="0.25">
      <c r="A1286">
        <v>3502026</v>
      </c>
      <c r="B1286" t="s">
        <v>2369</v>
      </c>
      <c r="C1286">
        <v>1.901</v>
      </c>
      <c r="D1286">
        <v>4731</v>
      </c>
      <c r="E1286" t="s">
        <v>151</v>
      </c>
      <c r="F1286">
        <v>1617</v>
      </c>
      <c r="G1286" s="582" t="s">
        <v>10</v>
      </c>
      <c r="H1286" s="582" t="s">
        <v>1042</v>
      </c>
      <c r="I1286" t="s">
        <v>2370</v>
      </c>
      <c r="J1286">
        <v>6</v>
      </c>
      <c r="K1286" t="s">
        <v>1838</v>
      </c>
    </row>
    <row r="1287" spans="1:11" hidden="1" x14ac:dyDescent="0.25">
      <c r="A1287">
        <v>3502026</v>
      </c>
      <c r="B1287" t="s">
        <v>2369</v>
      </c>
      <c r="C1287">
        <v>2.0710000000000002</v>
      </c>
      <c r="D1287">
        <v>4731</v>
      </c>
      <c r="E1287" t="s">
        <v>151</v>
      </c>
      <c r="F1287">
        <v>1618</v>
      </c>
      <c r="G1287" s="582" t="s">
        <v>10</v>
      </c>
      <c r="H1287" s="582" t="s">
        <v>1042</v>
      </c>
      <c r="I1287" t="s">
        <v>2370</v>
      </c>
      <c r="J1287">
        <v>6</v>
      </c>
      <c r="K1287" t="s">
        <v>1838</v>
      </c>
    </row>
    <row r="1288" spans="1:11" hidden="1" x14ac:dyDescent="0.25">
      <c r="A1288">
        <v>3502026</v>
      </c>
      <c r="B1288" t="s">
        <v>2369</v>
      </c>
      <c r="C1288">
        <v>1.357</v>
      </c>
      <c r="D1288">
        <v>4731</v>
      </c>
      <c r="E1288" t="s">
        <v>151</v>
      </c>
      <c r="F1288">
        <v>1619</v>
      </c>
      <c r="G1288" s="582" t="s">
        <v>10</v>
      </c>
      <c r="H1288" s="582" t="s">
        <v>1042</v>
      </c>
      <c r="I1288" t="s">
        <v>2370</v>
      </c>
      <c r="J1288">
        <v>6</v>
      </c>
      <c r="K1288" t="s">
        <v>1838</v>
      </c>
    </row>
    <row r="1289" spans="1:11" hidden="1" x14ac:dyDescent="0.25">
      <c r="A1289">
        <v>3502026</v>
      </c>
      <c r="B1289" t="s">
        <v>2369</v>
      </c>
      <c r="C1289">
        <v>1.9319999999999999</v>
      </c>
      <c r="D1289">
        <v>4731</v>
      </c>
      <c r="E1289" t="s">
        <v>151</v>
      </c>
      <c r="F1289">
        <v>1620</v>
      </c>
      <c r="G1289" s="582" t="s">
        <v>10</v>
      </c>
      <c r="H1289" s="582" t="s">
        <v>1042</v>
      </c>
      <c r="I1289" t="s">
        <v>2370</v>
      </c>
      <c r="J1289">
        <v>6</v>
      </c>
      <c r="K1289" t="s">
        <v>1838</v>
      </c>
    </row>
    <row r="1290" spans="1:11" hidden="1" x14ac:dyDescent="0.25">
      <c r="A1290">
        <v>3502026</v>
      </c>
      <c r="B1290" t="s">
        <v>2369</v>
      </c>
      <c r="C1290">
        <v>2.0249999999999999</v>
      </c>
      <c r="D1290">
        <v>4731</v>
      </c>
      <c r="E1290" t="s">
        <v>151</v>
      </c>
      <c r="F1290">
        <v>1621</v>
      </c>
      <c r="G1290" s="582" t="s">
        <v>10</v>
      </c>
      <c r="H1290" s="582" t="s">
        <v>1042</v>
      </c>
      <c r="I1290" t="s">
        <v>2370</v>
      </c>
      <c r="J1290">
        <v>6</v>
      </c>
      <c r="K1290" t="s">
        <v>1838</v>
      </c>
    </row>
    <row r="1291" spans="1:11" hidden="1" x14ac:dyDescent="0.25">
      <c r="A1291">
        <v>3502026</v>
      </c>
      <c r="B1291" t="s">
        <v>2369</v>
      </c>
      <c r="C1291">
        <v>1.429</v>
      </c>
      <c r="D1291" t="s">
        <v>362</v>
      </c>
      <c r="E1291" t="s">
        <v>151</v>
      </c>
      <c r="F1291">
        <v>2220</v>
      </c>
      <c r="G1291" s="582" t="s">
        <v>10</v>
      </c>
      <c r="H1291" s="582" t="s">
        <v>1042</v>
      </c>
      <c r="I1291" t="s">
        <v>2370</v>
      </c>
      <c r="J1291">
        <v>6</v>
      </c>
      <c r="K1291" t="s">
        <v>1838</v>
      </c>
    </row>
    <row r="1292" spans="1:11" hidden="1" x14ac:dyDescent="0.25">
      <c r="A1292">
        <v>3502026</v>
      </c>
      <c r="B1292" t="s">
        <v>2369</v>
      </c>
      <c r="C1292">
        <v>1.972</v>
      </c>
      <c r="D1292" t="s">
        <v>362</v>
      </c>
      <c r="E1292" t="s">
        <v>151</v>
      </c>
      <c r="F1292">
        <v>2221</v>
      </c>
      <c r="G1292" s="582" t="s">
        <v>10</v>
      </c>
      <c r="H1292" s="582" t="s">
        <v>1042</v>
      </c>
      <c r="I1292" t="s">
        <v>2370</v>
      </c>
      <c r="J1292">
        <v>6</v>
      </c>
      <c r="K1292" t="s">
        <v>1838</v>
      </c>
    </row>
    <row r="1293" spans="1:11" hidden="1" x14ac:dyDescent="0.25">
      <c r="A1293">
        <v>3502026</v>
      </c>
      <c r="B1293" t="s">
        <v>2369</v>
      </c>
      <c r="C1293">
        <v>1.8320000000000001</v>
      </c>
      <c r="D1293" t="s">
        <v>362</v>
      </c>
      <c r="E1293" t="s">
        <v>151</v>
      </c>
      <c r="F1293">
        <v>2222</v>
      </c>
      <c r="G1293" s="582" t="s">
        <v>10</v>
      </c>
      <c r="H1293" s="582" t="s">
        <v>1042</v>
      </c>
      <c r="I1293" t="s">
        <v>2370</v>
      </c>
      <c r="J1293">
        <v>6</v>
      </c>
      <c r="K1293" t="s">
        <v>1838</v>
      </c>
    </row>
    <row r="1294" spans="1:11" hidden="1" x14ac:dyDescent="0.25">
      <c r="A1294">
        <v>3502026</v>
      </c>
      <c r="B1294" t="s">
        <v>2369</v>
      </c>
      <c r="C1294">
        <v>1.9259999999999999</v>
      </c>
      <c r="D1294" t="s">
        <v>362</v>
      </c>
      <c r="E1294" t="s">
        <v>151</v>
      </c>
      <c r="F1294">
        <v>2223</v>
      </c>
      <c r="G1294" s="582" t="s">
        <v>10</v>
      </c>
      <c r="H1294" s="582" t="s">
        <v>1042</v>
      </c>
      <c r="I1294" t="s">
        <v>2370</v>
      </c>
      <c r="J1294">
        <v>6</v>
      </c>
      <c r="K1294" t="s">
        <v>1838</v>
      </c>
    </row>
    <row r="1295" spans="1:11" hidden="1" x14ac:dyDescent="0.25">
      <c r="A1295">
        <v>3502026</v>
      </c>
      <c r="B1295" t="s">
        <v>2369</v>
      </c>
      <c r="C1295">
        <v>0.65200000000000002</v>
      </c>
      <c r="D1295" t="s">
        <v>362</v>
      </c>
      <c r="E1295" t="s">
        <v>151</v>
      </c>
      <c r="F1295">
        <v>2224</v>
      </c>
      <c r="G1295" s="582" t="s">
        <v>10</v>
      </c>
      <c r="H1295" s="582" t="s">
        <v>1042</v>
      </c>
      <c r="I1295" t="s">
        <v>2370</v>
      </c>
      <c r="J1295">
        <v>6</v>
      </c>
      <c r="K1295" t="s">
        <v>1838</v>
      </c>
    </row>
    <row r="1296" spans="1:11" hidden="1" x14ac:dyDescent="0.25">
      <c r="A1296">
        <v>3502026</v>
      </c>
      <c r="B1296" t="s">
        <v>2369</v>
      </c>
      <c r="C1296">
        <v>1.056</v>
      </c>
      <c r="D1296" t="s">
        <v>362</v>
      </c>
      <c r="E1296" t="s">
        <v>151</v>
      </c>
      <c r="F1296">
        <v>2225</v>
      </c>
      <c r="G1296" s="582" t="s">
        <v>10</v>
      </c>
      <c r="H1296" s="582" t="s">
        <v>1042</v>
      </c>
      <c r="I1296" t="s">
        <v>2370</v>
      </c>
      <c r="J1296">
        <v>6</v>
      </c>
      <c r="K1296" t="s">
        <v>1838</v>
      </c>
    </row>
    <row r="1297" spans="1:11" hidden="1" x14ac:dyDescent="0.25">
      <c r="A1297">
        <v>3502026</v>
      </c>
      <c r="B1297" t="s">
        <v>2369</v>
      </c>
      <c r="C1297">
        <v>1.242</v>
      </c>
      <c r="D1297" t="s">
        <v>362</v>
      </c>
      <c r="E1297" t="s">
        <v>151</v>
      </c>
      <c r="F1297">
        <v>2226</v>
      </c>
      <c r="G1297" s="582" t="s">
        <v>10</v>
      </c>
      <c r="H1297" s="582" t="s">
        <v>1042</v>
      </c>
      <c r="I1297" t="s">
        <v>2370</v>
      </c>
      <c r="J1297">
        <v>6</v>
      </c>
      <c r="K1297" t="s">
        <v>1838</v>
      </c>
    </row>
    <row r="1298" spans="1:11" hidden="1" x14ac:dyDescent="0.25">
      <c r="A1298">
        <v>3502026</v>
      </c>
      <c r="B1298" t="s">
        <v>2369</v>
      </c>
      <c r="C1298">
        <v>1.087</v>
      </c>
      <c r="D1298" t="s">
        <v>362</v>
      </c>
      <c r="E1298" t="s">
        <v>151</v>
      </c>
      <c r="F1298">
        <v>2227</v>
      </c>
      <c r="G1298" s="582" t="s">
        <v>10</v>
      </c>
      <c r="H1298" s="582" t="s">
        <v>1042</v>
      </c>
      <c r="I1298" t="s">
        <v>2370</v>
      </c>
      <c r="J1298">
        <v>6</v>
      </c>
      <c r="K1298" t="s">
        <v>1838</v>
      </c>
    </row>
    <row r="1299" spans="1:11" hidden="1" x14ac:dyDescent="0.25">
      <c r="A1299">
        <v>3502026</v>
      </c>
      <c r="B1299" t="s">
        <v>2369</v>
      </c>
      <c r="C1299">
        <v>1.5369999999999999</v>
      </c>
      <c r="D1299" t="s">
        <v>362</v>
      </c>
      <c r="E1299" t="s">
        <v>151</v>
      </c>
      <c r="F1299">
        <v>2228</v>
      </c>
      <c r="G1299" s="582" t="s">
        <v>10</v>
      </c>
      <c r="H1299" s="582" t="s">
        <v>1042</v>
      </c>
      <c r="I1299" t="s">
        <v>2370</v>
      </c>
      <c r="J1299">
        <v>6</v>
      </c>
      <c r="K1299" t="s">
        <v>1838</v>
      </c>
    </row>
    <row r="1300" spans="1:11" hidden="1" x14ac:dyDescent="0.25">
      <c r="A1300">
        <v>3501047</v>
      </c>
      <c r="B1300" t="s">
        <v>2371</v>
      </c>
      <c r="C1300">
        <v>0.80610400000000004</v>
      </c>
      <c r="D1300">
        <v>4731</v>
      </c>
      <c r="E1300" t="s">
        <v>72</v>
      </c>
      <c r="F1300">
        <v>1583</v>
      </c>
      <c r="G1300" s="582" t="s">
        <v>10</v>
      </c>
      <c r="H1300" s="582" t="s">
        <v>926</v>
      </c>
      <c r="I1300" t="s">
        <v>2316</v>
      </c>
      <c r="J1300">
        <v>5.75</v>
      </c>
      <c r="K1300" t="s">
        <v>1838</v>
      </c>
    </row>
    <row r="1301" spans="1:11" hidden="1" x14ac:dyDescent="0.25">
      <c r="A1301">
        <v>3501264</v>
      </c>
      <c r="B1301" t="s">
        <v>2372</v>
      </c>
      <c r="C1301">
        <v>2.022729</v>
      </c>
      <c r="D1301">
        <v>4731</v>
      </c>
      <c r="E1301" t="s">
        <v>72</v>
      </c>
      <c r="F1301">
        <v>1593</v>
      </c>
      <c r="G1301" s="582" t="s">
        <v>10</v>
      </c>
      <c r="H1301" s="582" t="s">
        <v>909</v>
      </c>
      <c r="I1301" t="s">
        <v>2373</v>
      </c>
      <c r="J1301">
        <v>6</v>
      </c>
      <c r="K1301" t="s">
        <v>1838</v>
      </c>
    </row>
    <row r="1302" spans="1:11" hidden="1" x14ac:dyDescent="0.25">
      <c r="A1302">
        <v>3501264</v>
      </c>
      <c r="B1302" t="s">
        <v>2372</v>
      </c>
      <c r="C1302">
        <v>0.31624999999999998</v>
      </c>
      <c r="D1302">
        <v>4731</v>
      </c>
      <c r="E1302" t="s">
        <v>72</v>
      </c>
      <c r="F1302">
        <v>1594</v>
      </c>
      <c r="G1302" s="582" t="s">
        <v>10</v>
      </c>
      <c r="H1302" s="582" t="s">
        <v>909</v>
      </c>
      <c r="I1302" t="s">
        <v>2373</v>
      </c>
      <c r="J1302">
        <v>6</v>
      </c>
      <c r="K1302" t="s">
        <v>1838</v>
      </c>
    </row>
    <row r="1303" spans="1:11" hidden="1" x14ac:dyDescent="0.25">
      <c r="A1303">
        <v>3501264</v>
      </c>
      <c r="B1303" t="s">
        <v>2372</v>
      </c>
      <c r="C1303">
        <v>0.116119</v>
      </c>
      <c r="D1303">
        <v>4731</v>
      </c>
      <c r="E1303" t="s">
        <v>72</v>
      </c>
      <c r="F1303">
        <v>1595</v>
      </c>
      <c r="G1303" s="582" t="s">
        <v>10</v>
      </c>
      <c r="H1303" s="582" t="s">
        <v>909</v>
      </c>
      <c r="I1303" t="s">
        <v>2373</v>
      </c>
      <c r="J1303">
        <v>6</v>
      </c>
      <c r="K1303" t="s">
        <v>1838</v>
      </c>
    </row>
    <row r="1304" spans="1:11" hidden="1" x14ac:dyDescent="0.25">
      <c r="A1304">
        <v>3502254</v>
      </c>
      <c r="B1304" t="s">
        <v>858</v>
      </c>
      <c r="C1304">
        <v>1.7938000000000001</v>
      </c>
      <c r="D1304">
        <v>4731</v>
      </c>
      <c r="E1304" t="s">
        <v>151</v>
      </c>
      <c r="F1304">
        <v>1634</v>
      </c>
      <c r="G1304" s="582" t="s">
        <v>10</v>
      </c>
      <c r="H1304" s="582" t="s">
        <v>857</v>
      </c>
      <c r="I1304" t="s">
        <v>859</v>
      </c>
      <c r="J1304">
        <v>6.19</v>
      </c>
      <c r="K1304" t="s">
        <v>1838</v>
      </c>
    </row>
    <row r="1305" spans="1:11" hidden="1" x14ac:dyDescent="0.25">
      <c r="A1305">
        <v>3502254</v>
      </c>
      <c r="B1305" t="s">
        <v>858</v>
      </c>
      <c r="C1305">
        <v>1.2034499999999999</v>
      </c>
      <c r="D1305">
        <v>4731</v>
      </c>
      <c r="E1305" t="s">
        <v>151</v>
      </c>
      <c r="F1305">
        <v>1635</v>
      </c>
      <c r="G1305" s="582" t="s">
        <v>10</v>
      </c>
      <c r="H1305" s="582" t="s">
        <v>857</v>
      </c>
      <c r="I1305" t="s">
        <v>859</v>
      </c>
      <c r="J1305">
        <v>6.19</v>
      </c>
      <c r="K1305" t="s">
        <v>1838</v>
      </c>
    </row>
    <row r="1306" spans="1:11" hidden="1" x14ac:dyDescent="0.25">
      <c r="A1306">
        <v>3502422</v>
      </c>
      <c r="B1306" t="s">
        <v>2374</v>
      </c>
      <c r="C1306">
        <v>2.9204479999999999</v>
      </c>
      <c r="D1306">
        <v>4731</v>
      </c>
      <c r="E1306" t="s">
        <v>52</v>
      </c>
      <c r="F1306">
        <v>1637</v>
      </c>
      <c r="G1306" s="582" t="s">
        <v>10</v>
      </c>
      <c r="H1306" s="582" t="s">
        <v>712</v>
      </c>
      <c r="I1306" t="s">
        <v>2178</v>
      </c>
      <c r="J1306">
        <v>6.05</v>
      </c>
      <c r="K1306" t="s">
        <v>1838</v>
      </c>
    </row>
    <row r="1307" spans="1:11" hidden="1" x14ac:dyDescent="0.25">
      <c r="A1307">
        <v>3502422</v>
      </c>
      <c r="B1307" t="s">
        <v>2374</v>
      </c>
      <c r="C1307">
        <v>3.1088640000000001</v>
      </c>
      <c r="D1307">
        <v>4731</v>
      </c>
      <c r="E1307" t="s">
        <v>52</v>
      </c>
      <c r="F1307">
        <v>1638</v>
      </c>
      <c r="G1307" s="582" t="s">
        <v>10</v>
      </c>
      <c r="H1307" s="582" t="s">
        <v>712</v>
      </c>
      <c r="I1307" t="s">
        <v>2178</v>
      </c>
      <c r="J1307">
        <v>6.05</v>
      </c>
      <c r="K1307" t="s">
        <v>1838</v>
      </c>
    </row>
    <row r="1308" spans="1:11" hidden="1" x14ac:dyDescent="0.25">
      <c r="A1308">
        <v>3531650</v>
      </c>
      <c r="B1308" t="s">
        <v>1717</v>
      </c>
      <c r="C1308">
        <v>2.9301439999999999</v>
      </c>
      <c r="D1308">
        <v>4731</v>
      </c>
      <c r="E1308" t="s">
        <v>39</v>
      </c>
      <c r="F1308">
        <v>1660</v>
      </c>
      <c r="G1308" s="582" t="s">
        <v>10</v>
      </c>
      <c r="H1308" s="582" t="s">
        <v>712</v>
      </c>
      <c r="I1308" t="s">
        <v>2376</v>
      </c>
      <c r="J1308">
        <v>0.185</v>
      </c>
      <c r="K1308" t="s">
        <v>2171</v>
      </c>
    </row>
    <row r="1309" spans="1:11" hidden="1" x14ac:dyDescent="0.25">
      <c r="A1309">
        <v>3531650</v>
      </c>
      <c r="B1309" t="s">
        <v>1717</v>
      </c>
      <c r="C1309">
        <v>0.121405</v>
      </c>
      <c r="D1309">
        <v>4731</v>
      </c>
      <c r="E1309" t="s">
        <v>39</v>
      </c>
      <c r="F1309">
        <v>1661</v>
      </c>
      <c r="G1309" s="582" t="s">
        <v>10</v>
      </c>
      <c r="H1309" s="582" t="s">
        <v>712</v>
      </c>
      <c r="I1309" t="s">
        <v>2376</v>
      </c>
      <c r="J1309">
        <v>0.185</v>
      </c>
      <c r="K1309" t="s">
        <v>2171</v>
      </c>
    </row>
    <row r="1310" spans="1:11" hidden="1" x14ac:dyDescent="0.25">
      <c r="A1310">
        <v>3531650</v>
      </c>
      <c r="B1310" t="s">
        <v>1717</v>
      </c>
      <c r="C1310">
        <v>0.209786</v>
      </c>
      <c r="D1310">
        <v>4731</v>
      </c>
      <c r="E1310" t="s">
        <v>39</v>
      </c>
      <c r="F1310">
        <v>1662</v>
      </c>
      <c r="G1310" s="582" t="s">
        <v>10</v>
      </c>
      <c r="H1310" s="582" t="s">
        <v>712</v>
      </c>
      <c r="I1310" t="s">
        <v>2376</v>
      </c>
      <c r="J1310">
        <v>0.185</v>
      </c>
      <c r="K1310" t="s">
        <v>2171</v>
      </c>
    </row>
    <row r="1311" spans="1:11" hidden="1" x14ac:dyDescent="0.25">
      <c r="A1311">
        <v>3537130</v>
      </c>
      <c r="B1311" t="s">
        <v>2377</v>
      </c>
      <c r="C1311">
        <v>0.20113700000000001</v>
      </c>
      <c r="D1311">
        <v>4731</v>
      </c>
      <c r="E1311" t="s">
        <v>52</v>
      </c>
      <c r="F1311">
        <v>1666</v>
      </c>
      <c r="G1311" s="582" t="s">
        <v>10</v>
      </c>
      <c r="H1311" s="582" t="s">
        <v>810</v>
      </c>
      <c r="I1311" t="s">
        <v>2341</v>
      </c>
    </row>
    <row r="1312" spans="1:11" hidden="1" x14ac:dyDescent="0.25">
      <c r="A1312">
        <v>3545558</v>
      </c>
      <c r="B1312" t="s">
        <v>2378</v>
      </c>
      <c r="C1312">
        <v>0.309359</v>
      </c>
      <c r="D1312">
        <v>4731</v>
      </c>
      <c r="E1312" t="s">
        <v>32</v>
      </c>
      <c r="F1312">
        <v>1669</v>
      </c>
      <c r="G1312" s="582" t="s">
        <v>33</v>
      </c>
      <c r="H1312" s="582" t="s">
        <v>2379</v>
      </c>
      <c r="I1312" t="s">
        <v>2380</v>
      </c>
      <c r="J1312">
        <v>5.7</v>
      </c>
      <c r="K1312" t="s">
        <v>1838</v>
      </c>
    </row>
    <row r="1313" spans="1:11" hidden="1" x14ac:dyDescent="0.25">
      <c r="A1313">
        <v>3575647</v>
      </c>
      <c r="B1313" t="s">
        <v>2382</v>
      </c>
      <c r="C1313">
        <v>9.5313000000000023E-2</v>
      </c>
      <c r="D1313">
        <v>4731</v>
      </c>
      <c r="E1313" t="s">
        <v>52</v>
      </c>
      <c r="F1313">
        <v>1685</v>
      </c>
      <c r="G1313" s="582" t="s">
        <v>10</v>
      </c>
      <c r="H1313" s="582" t="s">
        <v>794</v>
      </c>
      <c r="J1313">
        <v>5.82</v>
      </c>
      <c r="K1313" t="s">
        <v>1838</v>
      </c>
    </row>
    <row r="1314" spans="1:11" hidden="1" x14ac:dyDescent="0.25">
      <c r="A1314">
        <v>3575647</v>
      </c>
      <c r="B1314" t="s">
        <v>2382</v>
      </c>
      <c r="C1314">
        <v>0.5284310000000001</v>
      </c>
      <c r="D1314">
        <v>4731</v>
      </c>
      <c r="E1314" t="s">
        <v>52</v>
      </c>
      <c r="F1314">
        <v>1686</v>
      </c>
      <c r="G1314" s="582" t="s">
        <v>10</v>
      </c>
      <c r="H1314" s="582" t="s">
        <v>794</v>
      </c>
      <c r="J1314">
        <v>5.82</v>
      </c>
      <c r="K1314" t="s">
        <v>1838</v>
      </c>
    </row>
    <row r="1315" spans="1:11" hidden="1" x14ac:dyDescent="0.25">
      <c r="A1315">
        <v>3575647</v>
      </c>
      <c r="B1315" t="s">
        <v>2382</v>
      </c>
      <c r="C1315">
        <v>0.4133</v>
      </c>
      <c r="D1315">
        <v>4731</v>
      </c>
      <c r="E1315" t="s">
        <v>52</v>
      </c>
      <c r="F1315">
        <v>1687</v>
      </c>
      <c r="G1315" s="582" t="s">
        <v>10</v>
      </c>
      <c r="H1315" s="582" t="s">
        <v>794</v>
      </c>
      <c r="J1315">
        <v>5.82</v>
      </c>
      <c r="K1315" t="s">
        <v>1838</v>
      </c>
    </row>
    <row r="1316" spans="1:11" hidden="1" x14ac:dyDescent="0.25">
      <c r="A1316">
        <v>3575647</v>
      </c>
      <c r="B1316" t="s">
        <v>2382</v>
      </c>
      <c r="C1316">
        <v>0.92100000000000004</v>
      </c>
      <c r="D1316">
        <v>4731</v>
      </c>
      <c r="E1316" t="s">
        <v>52</v>
      </c>
      <c r="F1316">
        <v>1688</v>
      </c>
      <c r="G1316" s="582" t="s">
        <v>10</v>
      </c>
      <c r="H1316" s="582" t="s">
        <v>794</v>
      </c>
      <c r="J1316">
        <v>5.82</v>
      </c>
      <c r="K1316" t="s">
        <v>1838</v>
      </c>
    </row>
    <row r="1317" spans="1:11" hidden="1" x14ac:dyDescent="0.25">
      <c r="A1317">
        <v>3575647</v>
      </c>
      <c r="B1317" t="s">
        <v>2382</v>
      </c>
      <c r="C1317">
        <v>8.1970000000000001E-2</v>
      </c>
      <c r="D1317">
        <v>4731</v>
      </c>
      <c r="E1317" t="s">
        <v>52</v>
      </c>
      <c r="F1317">
        <v>1689</v>
      </c>
      <c r="G1317" s="582" t="s">
        <v>10</v>
      </c>
      <c r="H1317" s="582" t="s">
        <v>794</v>
      </c>
      <c r="J1317">
        <v>5.82</v>
      </c>
      <c r="K1317" t="s">
        <v>1838</v>
      </c>
    </row>
    <row r="1318" spans="1:11" hidden="1" x14ac:dyDescent="0.25">
      <c r="A1318">
        <v>3575647</v>
      </c>
      <c r="B1318" t="s">
        <v>2382</v>
      </c>
      <c r="C1318">
        <v>0.15476900000000002</v>
      </c>
      <c r="D1318">
        <v>4731</v>
      </c>
      <c r="E1318" t="s">
        <v>52</v>
      </c>
      <c r="F1318">
        <v>1690</v>
      </c>
      <c r="G1318" s="582" t="s">
        <v>10</v>
      </c>
      <c r="H1318" s="582" t="s">
        <v>794</v>
      </c>
      <c r="J1318">
        <v>5.82</v>
      </c>
      <c r="K1318" t="s">
        <v>1838</v>
      </c>
    </row>
    <row r="1319" spans="1:11" hidden="1" x14ac:dyDescent="0.25">
      <c r="A1319">
        <v>3575647</v>
      </c>
      <c r="B1319" t="s">
        <v>2382</v>
      </c>
      <c r="C1319">
        <v>0.89800000000000002</v>
      </c>
      <c r="D1319">
        <v>4731</v>
      </c>
      <c r="E1319" t="s">
        <v>52</v>
      </c>
      <c r="F1319">
        <v>1691</v>
      </c>
      <c r="G1319" s="582" t="s">
        <v>10</v>
      </c>
      <c r="H1319" s="582" t="s">
        <v>794</v>
      </c>
      <c r="J1319">
        <v>5.82</v>
      </c>
      <c r="K1319" t="s">
        <v>1838</v>
      </c>
    </row>
    <row r="1320" spans="1:11" hidden="1" x14ac:dyDescent="0.25">
      <c r="A1320">
        <v>3575647</v>
      </c>
      <c r="B1320" t="s">
        <v>2382</v>
      </c>
      <c r="C1320">
        <v>0.85399999999999998</v>
      </c>
      <c r="D1320">
        <v>4731</v>
      </c>
      <c r="E1320" t="s">
        <v>52</v>
      </c>
      <c r="F1320">
        <v>1692</v>
      </c>
      <c r="G1320" s="582" t="s">
        <v>10</v>
      </c>
      <c r="H1320" s="582" t="s">
        <v>794</v>
      </c>
      <c r="J1320">
        <v>5.82</v>
      </c>
      <c r="K1320" t="s">
        <v>1838</v>
      </c>
    </row>
    <row r="1321" spans="1:11" hidden="1" x14ac:dyDescent="0.25">
      <c r="A1321">
        <v>3682063</v>
      </c>
      <c r="B1321" t="s">
        <v>2381</v>
      </c>
      <c r="C1321">
        <v>2.1511610000000001</v>
      </c>
      <c r="D1321">
        <v>4731</v>
      </c>
      <c r="E1321" t="s">
        <v>52</v>
      </c>
      <c r="F1321">
        <v>1707</v>
      </c>
      <c r="G1321" s="582" t="s">
        <v>10</v>
      </c>
      <c r="H1321" s="582" t="s">
        <v>860</v>
      </c>
      <c r="I1321" t="s">
        <v>2199</v>
      </c>
      <c r="J1321">
        <v>5.8010000000000002</v>
      </c>
      <c r="K1321" t="s">
        <v>1838</v>
      </c>
    </row>
    <row r="1322" spans="1:11" hidden="1" x14ac:dyDescent="0.25">
      <c r="A1322">
        <v>3682063</v>
      </c>
      <c r="B1322" t="s">
        <v>2381</v>
      </c>
      <c r="C1322">
        <v>2.208615</v>
      </c>
      <c r="D1322">
        <v>4731</v>
      </c>
      <c r="E1322" t="s">
        <v>52</v>
      </c>
      <c r="F1322">
        <v>1708</v>
      </c>
      <c r="G1322" s="582" t="s">
        <v>10</v>
      </c>
      <c r="H1322" s="582" t="s">
        <v>860</v>
      </c>
      <c r="I1322" t="s">
        <v>2199</v>
      </c>
      <c r="J1322">
        <v>5.8010000000000002</v>
      </c>
      <c r="K1322" t="s">
        <v>1838</v>
      </c>
    </row>
    <row r="1323" spans="1:11" hidden="1" x14ac:dyDescent="0.25">
      <c r="A1323">
        <v>3682063</v>
      </c>
      <c r="B1323" t="s">
        <v>2381</v>
      </c>
      <c r="C1323">
        <v>2.1884450000000002</v>
      </c>
      <c r="D1323">
        <v>4731</v>
      </c>
      <c r="E1323" t="s">
        <v>52</v>
      </c>
      <c r="F1323">
        <v>1709</v>
      </c>
      <c r="G1323" s="582" t="s">
        <v>10</v>
      </c>
      <c r="H1323" s="582" t="s">
        <v>860</v>
      </c>
      <c r="I1323" t="s">
        <v>2199</v>
      </c>
      <c r="J1323">
        <v>5.8010000000000002</v>
      </c>
      <c r="K1323" t="s">
        <v>1838</v>
      </c>
    </row>
    <row r="1324" spans="1:11" hidden="1" x14ac:dyDescent="0.25">
      <c r="A1324">
        <v>3682063</v>
      </c>
      <c r="B1324" t="s">
        <v>2381</v>
      </c>
      <c r="C1324">
        <v>2.1985300000000003</v>
      </c>
      <c r="D1324">
        <v>4731</v>
      </c>
      <c r="E1324" t="s">
        <v>52</v>
      </c>
      <c r="F1324">
        <v>1710</v>
      </c>
      <c r="G1324" s="582" t="s">
        <v>10</v>
      </c>
      <c r="H1324" s="582" t="s">
        <v>860</v>
      </c>
      <c r="I1324" t="s">
        <v>2199</v>
      </c>
      <c r="J1324">
        <v>5.8010000000000002</v>
      </c>
      <c r="K1324" t="s">
        <v>1838</v>
      </c>
    </row>
    <row r="1325" spans="1:11" hidden="1" x14ac:dyDescent="0.25">
      <c r="A1325">
        <v>3682063</v>
      </c>
      <c r="B1325" t="s">
        <v>2381</v>
      </c>
      <c r="C1325">
        <v>2.1884450000000002</v>
      </c>
      <c r="D1325">
        <v>4731</v>
      </c>
      <c r="E1325" t="s">
        <v>52</v>
      </c>
      <c r="F1325">
        <v>1711</v>
      </c>
      <c r="G1325" s="582" t="s">
        <v>10</v>
      </c>
      <c r="H1325" s="582" t="s">
        <v>860</v>
      </c>
      <c r="I1325" t="s">
        <v>2199</v>
      </c>
      <c r="J1325">
        <v>5.8010000000000002</v>
      </c>
      <c r="K1325" t="s">
        <v>1838</v>
      </c>
    </row>
    <row r="1326" spans="1:11" hidden="1" x14ac:dyDescent="0.25">
      <c r="A1326">
        <v>3682063</v>
      </c>
      <c r="B1326" t="s">
        <v>2381</v>
      </c>
      <c r="C1326">
        <v>2.2186999999999997</v>
      </c>
      <c r="D1326">
        <v>4731</v>
      </c>
      <c r="E1326" t="s">
        <v>52</v>
      </c>
      <c r="F1326">
        <v>1712</v>
      </c>
      <c r="G1326" s="582" t="s">
        <v>10</v>
      </c>
      <c r="H1326" s="582" t="s">
        <v>860</v>
      </c>
      <c r="I1326" t="s">
        <v>2199</v>
      </c>
      <c r="J1326">
        <v>5.8010000000000002</v>
      </c>
      <c r="K1326" t="s">
        <v>1838</v>
      </c>
    </row>
    <row r="1327" spans="1:11" hidden="1" x14ac:dyDescent="0.25">
      <c r="A1327">
        <v>3682063</v>
      </c>
      <c r="B1327" t="s">
        <v>2381</v>
      </c>
      <c r="C1327">
        <v>2.1985300000000003</v>
      </c>
      <c r="D1327">
        <v>4731</v>
      </c>
      <c r="E1327" t="s">
        <v>52</v>
      </c>
      <c r="F1327">
        <v>1713</v>
      </c>
      <c r="G1327" s="582" t="s">
        <v>10</v>
      </c>
      <c r="H1327" s="582" t="s">
        <v>860</v>
      </c>
      <c r="I1327" t="s">
        <v>2199</v>
      </c>
      <c r="J1327">
        <v>5.8010000000000002</v>
      </c>
      <c r="K1327" t="s">
        <v>1838</v>
      </c>
    </row>
    <row r="1328" spans="1:11" hidden="1" x14ac:dyDescent="0.25">
      <c r="A1328">
        <v>3682063</v>
      </c>
      <c r="B1328" t="s">
        <v>2381</v>
      </c>
      <c r="C1328">
        <v>2.1884450000000002</v>
      </c>
      <c r="D1328">
        <v>4731</v>
      </c>
      <c r="E1328" t="s">
        <v>52</v>
      </c>
      <c r="F1328">
        <v>1714</v>
      </c>
      <c r="G1328" s="582" t="s">
        <v>10</v>
      </c>
      <c r="H1328" s="582" t="s">
        <v>860</v>
      </c>
      <c r="I1328" t="s">
        <v>2199</v>
      </c>
      <c r="J1328">
        <v>5.8010000000000002</v>
      </c>
      <c r="K1328" t="s">
        <v>1838</v>
      </c>
    </row>
    <row r="1329" spans="1:11" hidden="1" x14ac:dyDescent="0.25">
      <c r="A1329">
        <v>3597718</v>
      </c>
      <c r="B1329" t="s">
        <v>2383</v>
      </c>
      <c r="C1329">
        <v>0.61827399999999999</v>
      </c>
      <c r="D1329">
        <v>4731</v>
      </c>
      <c r="E1329" t="s">
        <v>37</v>
      </c>
      <c r="F1329">
        <v>1694</v>
      </c>
      <c r="G1329" s="582" t="s">
        <v>33</v>
      </c>
      <c r="H1329" s="582" t="s">
        <v>428</v>
      </c>
      <c r="J1329">
        <v>5.99</v>
      </c>
      <c r="K1329" t="s">
        <v>1838</v>
      </c>
    </row>
    <row r="1330" spans="1:11" hidden="1" x14ac:dyDescent="0.25">
      <c r="A1330">
        <v>3775631</v>
      </c>
      <c r="B1330" t="s">
        <v>2385</v>
      </c>
      <c r="C1330">
        <v>0.10813300000000001</v>
      </c>
      <c r="D1330">
        <v>4731</v>
      </c>
      <c r="E1330" t="s">
        <v>30</v>
      </c>
      <c r="F1330">
        <v>1820</v>
      </c>
      <c r="G1330" s="582" t="s">
        <v>10</v>
      </c>
      <c r="H1330" s="582" t="s">
        <v>869</v>
      </c>
      <c r="I1330" t="s">
        <v>2386</v>
      </c>
      <c r="J1330">
        <v>6.15</v>
      </c>
      <c r="K1330" t="s">
        <v>1838</v>
      </c>
    </row>
    <row r="1331" spans="1:11" hidden="1" x14ac:dyDescent="0.25">
      <c r="A1331">
        <v>3775631</v>
      </c>
      <c r="B1331" t="s">
        <v>2385</v>
      </c>
      <c r="C1331">
        <v>0.82884000000000002</v>
      </c>
      <c r="D1331">
        <v>4731</v>
      </c>
      <c r="E1331" t="s">
        <v>30</v>
      </c>
      <c r="F1331">
        <v>1821</v>
      </c>
      <c r="G1331" s="582" t="s">
        <v>10</v>
      </c>
      <c r="H1331" s="582" t="s">
        <v>869</v>
      </c>
      <c r="I1331" t="s">
        <v>2386</v>
      </c>
      <c r="J1331">
        <v>6.15</v>
      </c>
      <c r="K1331" t="s">
        <v>1838</v>
      </c>
    </row>
    <row r="1332" spans="1:11" hidden="1" x14ac:dyDescent="0.25">
      <c r="A1332">
        <v>3775631</v>
      </c>
      <c r="B1332" t="s">
        <v>2385</v>
      </c>
      <c r="C1332">
        <v>0.170595</v>
      </c>
      <c r="D1332">
        <v>4731</v>
      </c>
      <c r="E1332" t="s">
        <v>30</v>
      </c>
      <c r="F1332">
        <v>1822</v>
      </c>
      <c r="G1332" s="582" t="s">
        <v>10</v>
      </c>
      <c r="H1332" s="582" t="s">
        <v>869</v>
      </c>
      <c r="I1332" t="s">
        <v>2386</v>
      </c>
      <c r="J1332">
        <v>6.15</v>
      </c>
      <c r="K1332" t="s">
        <v>1838</v>
      </c>
    </row>
    <row r="1333" spans="1:11" hidden="1" x14ac:dyDescent="0.25">
      <c r="A1333">
        <v>3775631</v>
      </c>
      <c r="B1333" t="s">
        <v>2385</v>
      </c>
      <c r="C1333">
        <v>2.6309999999999998</v>
      </c>
      <c r="D1333">
        <v>4731</v>
      </c>
      <c r="E1333" t="s">
        <v>30</v>
      </c>
      <c r="F1333">
        <v>1823</v>
      </c>
      <c r="G1333" s="582" t="s">
        <v>10</v>
      </c>
      <c r="H1333" s="582" t="s">
        <v>869</v>
      </c>
      <c r="I1333" t="s">
        <v>2386</v>
      </c>
      <c r="J1333">
        <v>6.15</v>
      </c>
      <c r="K1333" t="s">
        <v>1838</v>
      </c>
    </row>
    <row r="1334" spans="1:11" hidden="1" x14ac:dyDescent="0.25">
      <c r="A1334">
        <v>3775631</v>
      </c>
      <c r="B1334" t="s">
        <v>2385</v>
      </c>
      <c r="C1334">
        <v>2.2160000000000002</v>
      </c>
      <c r="D1334">
        <v>4731</v>
      </c>
      <c r="E1334" t="s">
        <v>30</v>
      </c>
      <c r="F1334">
        <v>1824</v>
      </c>
      <c r="G1334" s="582" t="s">
        <v>10</v>
      </c>
      <c r="H1334" s="582" t="s">
        <v>869</v>
      </c>
      <c r="I1334" t="s">
        <v>2386</v>
      </c>
      <c r="J1334">
        <v>6.15</v>
      </c>
      <c r="K1334" t="s">
        <v>1838</v>
      </c>
    </row>
    <row r="1335" spans="1:11" hidden="1" x14ac:dyDescent="0.25">
      <c r="A1335">
        <v>3775631</v>
      </c>
      <c r="B1335" t="s">
        <v>2385</v>
      </c>
      <c r="C1335">
        <v>0.3876</v>
      </c>
      <c r="D1335">
        <v>4731</v>
      </c>
      <c r="E1335" t="s">
        <v>30</v>
      </c>
      <c r="F1335">
        <v>1825</v>
      </c>
      <c r="G1335" s="582" t="s">
        <v>10</v>
      </c>
      <c r="H1335" s="582" t="s">
        <v>869</v>
      </c>
      <c r="I1335" t="s">
        <v>2386</v>
      </c>
      <c r="J1335">
        <v>6.15</v>
      </c>
      <c r="K1335" t="s">
        <v>1838</v>
      </c>
    </row>
    <row r="1336" spans="1:11" hidden="1" x14ac:dyDescent="0.25">
      <c r="A1336">
        <v>3682118</v>
      </c>
      <c r="B1336" t="s">
        <v>2387</v>
      </c>
      <c r="C1336">
        <v>7.7157000000000003E-2</v>
      </c>
      <c r="D1336">
        <v>4731</v>
      </c>
      <c r="E1336" t="s">
        <v>151</v>
      </c>
      <c r="F1336">
        <v>1720</v>
      </c>
      <c r="G1336" s="582" t="s">
        <v>10</v>
      </c>
      <c r="H1336" s="582" t="s">
        <v>904</v>
      </c>
      <c r="I1336" t="s">
        <v>2388</v>
      </c>
      <c r="J1336">
        <v>6.95</v>
      </c>
      <c r="K1336" t="s">
        <v>1838</v>
      </c>
    </row>
    <row r="1337" spans="1:11" hidden="1" x14ac:dyDescent="0.25">
      <c r="A1337">
        <v>3682118</v>
      </c>
      <c r="B1337" t="s">
        <v>2387</v>
      </c>
      <c r="C1337">
        <v>2.63144</v>
      </c>
      <c r="D1337">
        <v>8406</v>
      </c>
      <c r="E1337" t="s">
        <v>151</v>
      </c>
      <c r="F1337">
        <v>1721</v>
      </c>
      <c r="G1337" s="582" t="s">
        <v>10</v>
      </c>
      <c r="H1337" s="582" t="s">
        <v>904</v>
      </c>
      <c r="I1337" t="s">
        <v>2388</v>
      </c>
      <c r="J1337">
        <v>6.95</v>
      </c>
      <c r="K1337" t="s">
        <v>1838</v>
      </c>
    </row>
    <row r="1338" spans="1:11" hidden="1" x14ac:dyDescent="0.25">
      <c r="A1338">
        <v>3682118</v>
      </c>
      <c r="B1338" t="s">
        <v>2387</v>
      </c>
      <c r="C1338">
        <v>2.63144</v>
      </c>
      <c r="D1338">
        <v>8406</v>
      </c>
      <c r="E1338" t="s">
        <v>151</v>
      </c>
      <c r="F1338">
        <v>1722</v>
      </c>
      <c r="G1338" s="582" t="s">
        <v>10</v>
      </c>
      <c r="H1338" s="582" t="s">
        <v>904</v>
      </c>
      <c r="I1338" t="s">
        <v>2388</v>
      </c>
      <c r="J1338">
        <v>6.95</v>
      </c>
      <c r="K1338" t="s">
        <v>1838</v>
      </c>
    </row>
    <row r="1339" spans="1:11" hidden="1" x14ac:dyDescent="0.25">
      <c r="A1339">
        <v>3682118</v>
      </c>
      <c r="B1339" t="s">
        <v>2387</v>
      </c>
      <c r="C1339">
        <v>2.63144</v>
      </c>
      <c r="D1339">
        <v>8406</v>
      </c>
      <c r="E1339" t="s">
        <v>151</v>
      </c>
      <c r="F1339">
        <v>1723</v>
      </c>
      <c r="G1339" s="582" t="s">
        <v>10</v>
      </c>
      <c r="H1339" s="582" t="s">
        <v>904</v>
      </c>
      <c r="I1339" t="s">
        <v>2388</v>
      </c>
      <c r="J1339">
        <v>6.95</v>
      </c>
      <c r="K1339" t="s">
        <v>1838</v>
      </c>
    </row>
    <row r="1340" spans="1:11" hidden="1" x14ac:dyDescent="0.25">
      <c r="A1340">
        <v>3682118</v>
      </c>
      <c r="B1340" t="s">
        <v>2387</v>
      </c>
      <c r="C1340">
        <v>1.98912</v>
      </c>
      <c r="D1340">
        <v>8406</v>
      </c>
      <c r="E1340" t="s">
        <v>151</v>
      </c>
      <c r="F1340">
        <v>1724</v>
      </c>
      <c r="G1340" s="582" t="s">
        <v>10</v>
      </c>
      <c r="H1340" s="582" t="s">
        <v>904</v>
      </c>
      <c r="I1340" t="s">
        <v>2388</v>
      </c>
      <c r="J1340">
        <v>6.95</v>
      </c>
      <c r="K1340" t="s">
        <v>1838</v>
      </c>
    </row>
    <row r="1341" spans="1:11" hidden="1" x14ac:dyDescent="0.25">
      <c r="A1341">
        <v>3682118</v>
      </c>
      <c r="B1341" t="s">
        <v>2387</v>
      </c>
      <c r="C1341">
        <v>1.658337</v>
      </c>
      <c r="D1341">
        <v>8406</v>
      </c>
      <c r="E1341" t="s">
        <v>151</v>
      </c>
      <c r="F1341">
        <v>1725</v>
      </c>
      <c r="G1341" s="582" t="s">
        <v>10</v>
      </c>
      <c r="H1341" s="582" t="s">
        <v>904</v>
      </c>
      <c r="I1341" t="s">
        <v>2388</v>
      </c>
      <c r="J1341">
        <v>6.95</v>
      </c>
      <c r="K1341" t="s">
        <v>1838</v>
      </c>
    </row>
    <row r="1342" spans="1:11" hidden="1" x14ac:dyDescent="0.25">
      <c r="A1342">
        <v>3682118</v>
      </c>
      <c r="B1342" t="s">
        <v>2387</v>
      </c>
      <c r="C1342">
        <v>2.6107199999999997</v>
      </c>
      <c r="D1342">
        <v>8406</v>
      </c>
      <c r="E1342" t="s">
        <v>151</v>
      </c>
      <c r="F1342">
        <v>1726</v>
      </c>
      <c r="G1342" s="582" t="s">
        <v>10</v>
      </c>
      <c r="H1342" s="582" t="s">
        <v>904</v>
      </c>
      <c r="I1342" t="s">
        <v>2388</v>
      </c>
      <c r="J1342">
        <v>6.95</v>
      </c>
      <c r="K1342" t="s">
        <v>1838</v>
      </c>
    </row>
    <row r="1343" spans="1:11" hidden="1" x14ac:dyDescent="0.25">
      <c r="A1343">
        <v>3682118</v>
      </c>
      <c r="B1343" t="s">
        <v>2387</v>
      </c>
      <c r="C1343">
        <v>2.63144</v>
      </c>
      <c r="D1343">
        <v>8406</v>
      </c>
      <c r="E1343" t="s">
        <v>151</v>
      </c>
      <c r="F1343">
        <v>1727</v>
      </c>
      <c r="G1343" s="582" t="s">
        <v>10</v>
      </c>
      <c r="H1343" s="582" t="s">
        <v>904</v>
      </c>
      <c r="I1343" t="s">
        <v>2388</v>
      </c>
      <c r="J1343">
        <v>6.95</v>
      </c>
      <c r="K1343" t="s">
        <v>1838</v>
      </c>
    </row>
    <row r="1344" spans="1:11" hidden="1" x14ac:dyDescent="0.25">
      <c r="A1344">
        <v>3682118</v>
      </c>
      <c r="B1344" t="s">
        <v>2387</v>
      </c>
      <c r="C1344">
        <v>1.31</v>
      </c>
      <c r="D1344">
        <v>8406</v>
      </c>
      <c r="E1344" t="s">
        <v>151</v>
      </c>
      <c r="F1344">
        <v>1728</v>
      </c>
      <c r="G1344" s="582" t="s">
        <v>10</v>
      </c>
      <c r="H1344" s="582" t="s">
        <v>904</v>
      </c>
      <c r="I1344" t="s">
        <v>2388</v>
      </c>
      <c r="J1344">
        <v>6.95</v>
      </c>
      <c r="K1344" t="s">
        <v>1838</v>
      </c>
    </row>
    <row r="1345" spans="1:11" hidden="1" x14ac:dyDescent="0.25">
      <c r="A1345">
        <v>3682118</v>
      </c>
      <c r="B1345" t="s">
        <v>2387</v>
      </c>
      <c r="C1345">
        <v>0.47799999999999998</v>
      </c>
      <c r="D1345">
        <v>8406</v>
      </c>
      <c r="E1345" t="s">
        <v>151</v>
      </c>
      <c r="F1345">
        <v>1729</v>
      </c>
      <c r="G1345" s="582" t="s">
        <v>10</v>
      </c>
      <c r="H1345" s="582" t="s">
        <v>904</v>
      </c>
      <c r="I1345" t="s">
        <v>2388</v>
      </c>
      <c r="J1345">
        <v>6.95</v>
      </c>
      <c r="K1345" t="s">
        <v>1838</v>
      </c>
    </row>
    <row r="1346" spans="1:11" hidden="1" x14ac:dyDescent="0.25">
      <c r="A1346">
        <v>3682118</v>
      </c>
      <c r="B1346" t="s">
        <v>2387</v>
      </c>
      <c r="C1346">
        <v>0.24266299999999999</v>
      </c>
      <c r="D1346">
        <v>8406</v>
      </c>
      <c r="E1346" t="s">
        <v>151</v>
      </c>
      <c r="F1346">
        <v>1730</v>
      </c>
      <c r="G1346" s="582" t="s">
        <v>10</v>
      </c>
      <c r="H1346" s="582" t="s">
        <v>904</v>
      </c>
      <c r="I1346" t="s">
        <v>2388</v>
      </c>
      <c r="J1346">
        <v>6.95</v>
      </c>
      <c r="K1346" t="s">
        <v>1838</v>
      </c>
    </row>
    <row r="1347" spans="1:11" hidden="1" x14ac:dyDescent="0.25">
      <c r="A1347">
        <v>3682118</v>
      </c>
      <c r="B1347" t="s">
        <v>2387</v>
      </c>
      <c r="C1347">
        <v>0.53800000000000003</v>
      </c>
      <c r="D1347">
        <v>8406</v>
      </c>
      <c r="E1347" t="s">
        <v>151</v>
      </c>
      <c r="F1347">
        <v>1731</v>
      </c>
      <c r="G1347" s="582" t="s">
        <v>10</v>
      </c>
      <c r="H1347" s="582" t="s">
        <v>904</v>
      </c>
      <c r="I1347" t="s">
        <v>2388</v>
      </c>
      <c r="J1347">
        <v>6.95</v>
      </c>
      <c r="K1347" t="s">
        <v>1838</v>
      </c>
    </row>
    <row r="1348" spans="1:11" hidden="1" x14ac:dyDescent="0.25">
      <c r="A1348">
        <v>3682118</v>
      </c>
      <c r="B1348" t="s">
        <v>2387</v>
      </c>
      <c r="C1348">
        <v>0.50900000000000001</v>
      </c>
      <c r="D1348">
        <v>8406</v>
      </c>
      <c r="E1348" t="s">
        <v>151</v>
      </c>
      <c r="F1348">
        <v>1732</v>
      </c>
      <c r="G1348" s="582" t="s">
        <v>10</v>
      </c>
      <c r="H1348" s="582" t="s">
        <v>904</v>
      </c>
      <c r="I1348" t="s">
        <v>2388</v>
      </c>
      <c r="J1348">
        <v>6.95</v>
      </c>
      <c r="K1348" t="s">
        <v>1838</v>
      </c>
    </row>
    <row r="1349" spans="1:11" hidden="1" x14ac:dyDescent="0.25">
      <c r="A1349">
        <v>3690546</v>
      </c>
      <c r="B1349" t="s">
        <v>901</v>
      </c>
      <c r="C1349">
        <v>0.56110700000000002</v>
      </c>
      <c r="D1349">
        <v>8406</v>
      </c>
      <c r="E1349" t="s">
        <v>151</v>
      </c>
      <c r="F1349">
        <v>1733</v>
      </c>
      <c r="G1349" s="582" t="s">
        <v>10</v>
      </c>
      <c r="H1349" s="582" t="s">
        <v>875</v>
      </c>
      <c r="I1349" t="s">
        <v>877</v>
      </c>
      <c r="J1349">
        <v>0.21</v>
      </c>
      <c r="K1349" t="s">
        <v>2171</v>
      </c>
    </row>
    <row r="1350" spans="1:11" hidden="1" x14ac:dyDescent="0.25">
      <c r="A1350">
        <v>3702875</v>
      </c>
      <c r="B1350" t="s">
        <v>2007</v>
      </c>
      <c r="C1350">
        <v>8.9056999999999997E-2</v>
      </c>
      <c r="D1350">
        <v>4731</v>
      </c>
      <c r="E1350" t="s">
        <v>37</v>
      </c>
      <c r="F1350">
        <v>1753</v>
      </c>
      <c r="G1350" s="582" t="s">
        <v>33</v>
      </c>
      <c r="H1350" s="582" t="s">
        <v>1070</v>
      </c>
      <c r="I1350" t="s">
        <v>2389</v>
      </c>
      <c r="J1350">
        <v>6</v>
      </c>
      <c r="K1350" t="s">
        <v>1838</v>
      </c>
    </row>
    <row r="1351" spans="1:11" hidden="1" x14ac:dyDescent="0.25">
      <c r="A1351">
        <v>3702875</v>
      </c>
      <c r="B1351" t="s">
        <v>2007</v>
      </c>
      <c r="C1351">
        <v>1.962</v>
      </c>
      <c r="D1351">
        <v>8406</v>
      </c>
      <c r="E1351" t="s">
        <v>37</v>
      </c>
      <c r="F1351">
        <v>1754</v>
      </c>
      <c r="G1351" s="582" t="s">
        <v>33</v>
      </c>
      <c r="H1351" s="582" t="s">
        <v>1070</v>
      </c>
      <c r="I1351" t="s">
        <v>2389</v>
      </c>
      <c r="J1351">
        <v>6</v>
      </c>
      <c r="K1351" t="s">
        <v>1838</v>
      </c>
    </row>
    <row r="1352" spans="1:11" hidden="1" x14ac:dyDescent="0.25">
      <c r="A1352">
        <v>3702875</v>
      </c>
      <c r="B1352" t="s">
        <v>2007</v>
      </c>
      <c r="C1352">
        <v>2.1339999999999999</v>
      </c>
      <c r="D1352">
        <v>8406</v>
      </c>
      <c r="E1352" t="s">
        <v>37</v>
      </c>
      <c r="F1352">
        <v>1755</v>
      </c>
      <c r="G1352" s="582" t="s">
        <v>33</v>
      </c>
      <c r="H1352" s="582" t="s">
        <v>1070</v>
      </c>
      <c r="I1352" t="s">
        <v>2389</v>
      </c>
      <c r="J1352">
        <v>6</v>
      </c>
      <c r="K1352" t="s">
        <v>1838</v>
      </c>
    </row>
    <row r="1353" spans="1:11" hidden="1" x14ac:dyDescent="0.25">
      <c r="A1353">
        <v>3702875</v>
      </c>
      <c r="B1353" t="s">
        <v>2007</v>
      </c>
      <c r="C1353">
        <v>1.0820000000000001</v>
      </c>
      <c r="D1353">
        <v>8406</v>
      </c>
      <c r="E1353" t="s">
        <v>37</v>
      </c>
      <c r="F1353">
        <v>1756</v>
      </c>
      <c r="G1353" s="582" t="s">
        <v>33</v>
      </c>
      <c r="H1353" s="582" t="s">
        <v>1070</v>
      </c>
      <c r="I1353" t="s">
        <v>2389</v>
      </c>
      <c r="J1353">
        <v>6</v>
      </c>
      <c r="K1353" t="s">
        <v>1838</v>
      </c>
    </row>
    <row r="1354" spans="1:11" hidden="1" x14ac:dyDescent="0.25">
      <c r="A1354">
        <v>3702875</v>
      </c>
      <c r="B1354" t="s">
        <v>2007</v>
      </c>
      <c r="C1354">
        <v>1.048</v>
      </c>
      <c r="D1354">
        <v>8406</v>
      </c>
      <c r="E1354" t="s">
        <v>37</v>
      </c>
      <c r="F1354">
        <v>1757</v>
      </c>
      <c r="G1354" s="582" t="s">
        <v>33</v>
      </c>
      <c r="H1354" s="582" t="s">
        <v>1070</v>
      </c>
      <c r="I1354" t="s">
        <v>2389</v>
      </c>
      <c r="J1354">
        <v>6</v>
      </c>
      <c r="K1354" t="s">
        <v>1838</v>
      </c>
    </row>
    <row r="1355" spans="1:11" hidden="1" x14ac:dyDescent="0.25">
      <c r="A1355">
        <v>3702875</v>
      </c>
      <c r="B1355" t="s">
        <v>2007</v>
      </c>
      <c r="C1355">
        <v>1.897</v>
      </c>
      <c r="D1355">
        <v>8406</v>
      </c>
      <c r="E1355" t="s">
        <v>37</v>
      </c>
      <c r="F1355">
        <v>1758</v>
      </c>
      <c r="G1355" s="582" t="s">
        <v>33</v>
      </c>
      <c r="H1355" s="582" t="s">
        <v>1070</v>
      </c>
      <c r="I1355" t="s">
        <v>2389</v>
      </c>
      <c r="J1355">
        <v>6</v>
      </c>
      <c r="K1355" t="s">
        <v>1838</v>
      </c>
    </row>
    <row r="1356" spans="1:11" hidden="1" x14ac:dyDescent="0.25">
      <c r="A1356">
        <v>3702875</v>
      </c>
      <c r="B1356" t="s">
        <v>2007</v>
      </c>
      <c r="C1356">
        <v>1.3280000000000001</v>
      </c>
      <c r="D1356">
        <v>8406</v>
      </c>
      <c r="E1356" t="s">
        <v>37</v>
      </c>
      <c r="F1356">
        <v>1759</v>
      </c>
      <c r="G1356" s="582" t="s">
        <v>33</v>
      </c>
      <c r="H1356" s="582" t="s">
        <v>1070</v>
      </c>
      <c r="I1356" t="s">
        <v>2389</v>
      </c>
      <c r="J1356">
        <v>6</v>
      </c>
      <c r="K1356" t="s">
        <v>1838</v>
      </c>
    </row>
    <row r="1357" spans="1:11" hidden="1" x14ac:dyDescent="0.25">
      <c r="A1357">
        <v>3702875</v>
      </c>
      <c r="B1357" t="s">
        <v>2007</v>
      </c>
      <c r="C1357">
        <v>1.9139999999999999</v>
      </c>
      <c r="D1357">
        <v>8406</v>
      </c>
      <c r="E1357" t="s">
        <v>37</v>
      </c>
      <c r="F1357">
        <v>1760</v>
      </c>
      <c r="G1357" s="582" t="s">
        <v>33</v>
      </c>
      <c r="H1357" s="582" t="s">
        <v>1070</v>
      </c>
      <c r="I1357" t="s">
        <v>2389</v>
      </c>
      <c r="J1357">
        <v>6</v>
      </c>
      <c r="K1357" t="s">
        <v>1838</v>
      </c>
    </row>
    <row r="1358" spans="1:11" hidden="1" x14ac:dyDescent="0.25">
      <c r="A1358">
        <v>3702875</v>
      </c>
      <c r="B1358" t="s">
        <v>2007</v>
      </c>
      <c r="C1358">
        <v>1.224</v>
      </c>
      <c r="D1358">
        <v>8406</v>
      </c>
      <c r="E1358" t="s">
        <v>37</v>
      </c>
      <c r="F1358">
        <v>1761</v>
      </c>
      <c r="G1358" s="582" t="s">
        <v>33</v>
      </c>
      <c r="H1358" s="582" t="s">
        <v>1070</v>
      </c>
      <c r="I1358" t="s">
        <v>2389</v>
      </c>
      <c r="J1358">
        <v>6</v>
      </c>
      <c r="K1358" t="s">
        <v>1838</v>
      </c>
    </row>
    <row r="1359" spans="1:11" hidden="1" x14ac:dyDescent="0.25">
      <c r="A1359">
        <v>3702875</v>
      </c>
      <c r="B1359" t="s">
        <v>2007</v>
      </c>
      <c r="C1359">
        <v>1.69</v>
      </c>
      <c r="D1359">
        <v>8406</v>
      </c>
      <c r="E1359" t="s">
        <v>37</v>
      </c>
      <c r="F1359">
        <v>1762</v>
      </c>
      <c r="G1359" s="582" t="s">
        <v>33</v>
      </c>
      <c r="H1359" s="582" t="s">
        <v>1070</v>
      </c>
      <c r="I1359" t="s">
        <v>2389</v>
      </c>
      <c r="J1359">
        <v>6</v>
      </c>
      <c r="K1359" t="s">
        <v>1838</v>
      </c>
    </row>
    <row r="1360" spans="1:11" hidden="1" x14ac:dyDescent="0.25">
      <c r="A1360">
        <v>3702875</v>
      </c>
      <c r="B1360" t="s">
        <v>2007</v>
      </c>
      <c r="C1360">
        <v>1.6859999999999999</v>
      </c>
      <c r="D1360">
        <v>8406</v>
      </c>
      <c r="E1360" t="s">
        <v>37</v>
      </c>
      <c r="F1360">
        <v>1763</v>
      </c>
      <c r="G1360" s="582" t="s">
        <v>33</v>
      </c>
      <c r="H1360" s="582" t="s">
        <v>1070</v>
      </c>
      <c r="I1360" t="s">
        <v>2389</v>
      </c>
      <c r="J1360">
        <v>6</v>
      </c>
      <c r="K1360" t="s">
        <v>1838</v>
      </c>
    </row>
    <row r="1361" spans="1:11" hidden="1" x14ac:dyDescent="0.25">
      <c r="A1361">
        <v>3702875</v>
      </c>
      <c r="B1361" t="s">
        <v>2007</v>
      </c>
      <c r="C1361">
        <v>1.776</v>
      </c>
      <c r="D1361" t="s">
        <v>362</v>
      </c>
      <c r="E1361" t="s">
        <v>37</v>
      </c>
      <c r="F1361">
        <v>2034</v>
      </c>
      <c r="G1361" s="582" t="s">
        <v>33</v>
      </c>
      <c r="H1361" s="582" t="s">
        <v>1070</v>
      </c>
      <c r="I1361" t="s">
        <v>2389</v>
      </c>
      <c r="J1361">
        <v>6</v>
      </c>
      <c r="K1361" t="s">
        <v>1838</v>
      </c>
    </row>
    <row r="1362" spans="1:11" hidden="1" x14ac:dyDescent="0.25">
      <c r="A1362">
        <v>3702875</v>
      </c>
      <c r="B1362" t="s">
        <v>2007</v>
      </c>
      <c r="C1362">
        <v>2</v>
      </c>
      <c r="D1362" t="s">
        <v>362</v>
      </c>
      <c r="E1362" t="s">
        <v>37</v>
      </c>
      <c r="F1362">
        <v>2035</v>
      </c>
      <c r="G1362" s="582" t="s">
        <v>33</v>
      </c>
      <c r="H1362" s="582" t="s">
        <v>1070</v>
      </c>
      <c r="I1362" t="s">
        <v>2389</v>
      </c>
      <c r="J1362">
        <v>6</v>
      </c>
      <c r="K1362" t="s">
        <v>1838</v>
      </c>
    </row>
    <row r="1363" spans="1:11" hidden="1" x14ac:dyDescent="0.25">
      <c r="A1363">
        <v>3702875</v>
      </c>
      <c r="B1363" t="s">
        <v>2007</v>
      </c>
      <c r="C1363">
        <v>1.3620000000000001</v>
      </c>
      <c r="D1363" t="s">
        <v>362</v>
      </c>
      <c r="E1363" t="s">
        <v>37</v>
      </c>
      <c r="F1363">
        <v>2036</v>
      </c>
      <c r="G1363" s="582" t="s">
        <v>33</v>
      </c>
      <c r="H1363" s="582" t="s">
        <v>1070</v>
      </c>
      <c r="I1363" t="s">
        <v>2389</v>
      </c>
      <c r="J1363">
        <v>6</v>
      </c>
      <c r="K1363" t="s">
        <v>1838</v>
      </c>
    </row>
    <row r="1364" spans="1:11" hidden="1" x14ac:dyDescent="0.25">
      <c r="A1364">
        <v>3702875</v>
      </c>
      <c r="B1364" t="s">
        <v>2007</v>
      </c>
      <c r="C1364">
        <v>2.2250000000000001</v>
      </c>
      <c r="D1364" t="s">
        <v>362</v>
      </c>
      <c r="E1364" t="s">
        <v>37</v>
      </c>
      <c r="F1364">
        <v>2037</v>
      </c>
      <c r="G1364" s="582" t="s">
        <v>33</v>
      </c>
      <c r="H1364" s="582" t="s">
        <v>1070</v>
      </c>
      <c r="I1364" t="s">
        <v>2389</v>
      </c>
      <c r="J1364">
        <v>6</v>
      </c>
      <c r="K1364" t="s">
        <v>1838</v>
      </c>
    </row>
    <row r="1365" spans="1:11" hidden="1" x14ac:dyDescent="0.25">
      <c r="A1365">
        <v>3702875</v>
      </c>
      <c r="B1365" t="s">
        <v>2007</v>
      </c>
      <c r="C1365">
        <v>1.621</v>
      </c>
      <c r="D1365" t="s">
        <v>362</v>
      </c>
      <c r="E1365" t="s">
        <v>37</v>
      </c>
      <c r="F1365">
        <v>2038</v>
      </c>
      <c r="G1365" s="582" t="s">
        <v>33</v>
      </c>
      <c r="H1365" s="582" t="s">
        <v>1070</v>
      </c>
      <c r="I1365" t="s">
        <v>2389</v>
      </c>
      <c r="J1365">
        <v>6</v>
      </c>
      <c r="K1365" t="s">
        <v>1838</v>
      </c>
    </row>
    <row r="1366" spans="1:11" hidden="1" x14ac:dyDescent="0.25">
      <c r="A1366">
        <v>3702875</v>
      </c>
      <c r="B1366" t="s">
        <v>2007</v>
      </c>
      <c r="C1366">
        <v>0.43099999999999999</v>
      </c>
      <c r="D1366" t="s">
        <v>362</v>
      </c>
      <c r="E1366" t="s">
        <v>37</v>
      </c>
      <c r="F1366">
        <v>2039</v>
      </c>
      <c r="G1366" s="582" t="s">
        <v>33</v>
      </c>
      <c r="H1366" s="582" t="s">
        <v>1070</v>
      </c>
      <c r="I1366" t="s">
        <v>2389</v>
      </c>
      <c r="J1366">
        <v>6</v>
      </c>
      <c r="K1366" t="s">
        <v>1838</v>
      </c>
    </row>
    <row r="1367" spans="1:11" hidden="1" x14ac:dyDescent="0.25">
      <c r="A1367">
        <v>3711330</v>
      </c>
      <c r="B1367" t="s">
        <v>925</v>
      </c>
      <c r="C1367">
        <v>3.46434</v>
      </c>
      <c r="D1367">
        <v>8406</v>
      </c>
      <c r="E1367" t="s">
        <v>151</v>
      </c>
      <c r="F1367">
        <v>1764</v>
      </c>
      <c r="G1367" s="582" t="s">
        <v>10</v>
      </c>
      <c r="H1367" s="582" t="s">
        <v>920</v>
      </c>
      <c r="I1367" t="s">
        <v>922</v>
      </c>
      <c r="J1367">
        <v>1.1399999999999999</v>
      </c>
      <c r="K1367" t="s">
        <v>2171</v>
      </c>
    </row>
    <row r="1368" spans="1:11" hidden="1" x14ac:dyDescent="0.25">
      <c r="A1368">
        <v>3711330</v>
      </c>
      <c r="B1368" t="s">
        <v>925</v>
      </c>
      <c r="C1368">
        <v>1.5</v>
      </c>
      <c r="D1368">
        <v>8406</v>
      </c>
      <c r="E1368" t="s">
        <v>151</v>
      </c>
      <c r="F1368">
        <v>1765</v>
      </c>
      <c r="G1368" s="582" t="s">
        <v>10</v>
      </c>
      <c r="H1368" s="582" t="s">
        <v>920</v>
      </c>
      <c r="I1368" t="s">
        <v>922</v>
      </c>
      <c r="J1368">
        <v>1.1399999999999999</v>
      </c>
      <c r="K1368" t="s">
        <v>2171</v>
      </c>
    </row>
    <row r="1369" spans="1:11" hidden="1" x14ac:dyDescent="0.25">
      <c r="A1369">
        <v>3722021</v>
      </c>
      <c r="B1369" t="s">
        <v>2390</v>
      </c>
      <c r="C1369">
        <v>0.10768999999999999</v>
      </c>
      <c r="D1369">
        <v>4731</v>
      </c>
      <c r="E1369" t="s">
        <v>52</v>
      </c>
      <c r="F1369">
        <v>1768</v>
      </c>
      <c r="G1369" s="582" t="s">
        <v>10</v>
      </c>
      <c r="H1369" s="582" t="s">
        <v>875</v>
      </c>
      <c r="I1369" t="s">
        <v>885</v>
      </c>
      <c r="J1369">
        <v>0.20799999999999999</v>
      </c>
      <c r="K1369" t="s">
        <v>2171</v>
      </c>
    </row>
    <row r="1370" spans="1:11" hidden="1" x14ac:dyDescent="0.25">
      <c r="A1370">
        <v>3722021</v>
      </c>
      <c r="B1370" t="s">
        <v>2390</v>
      </c>
      <c r="C1370">
        <v>6.4769999999999994E-2</v>
      </c>
      <c r="D1370">
        <v>4731</v>
      </c>
      <c r="E1370" t="s">
        <v>52</v>
      </c>
      <c r="F1370">
        <v>1769</v>
      </c>
      <c r="G1370" s="582" t="s">
        <v>10</v>
      </c>
      <c r="H1370" s="582" t="s">
        <v>875</v>
      </c>
      <c r="I1370" t="s">
        <v>885</v>
      </c>
      <c r="J1370">
        <v>0.20799999999999999</v>
      </c>
      <c r="K1370" t="s">
        <v>2171</v>
      </c>
    </row>
    <row r="1371" spans="1:11" hidden="1" x14ac:dyDescent="0.25">
      <c r="A1371">
        <v>3722021</v>
      </c>
      <c r="B1371" t="s">
        <v>2390</v>
      </c>
      <c r="C1371">
        <v>0.80506900000000003</v>
      </c>
      <c r="D1371">
        <v>4731</v>
      </c>
      <c r="E1371" t="s">
        <v>52</v>
      </c>
      <c r="F1371">
        <v>1770</v>
      </c>
      <c r="G1371" s="582" t="s">
        <v>10</v>
      </c>
      <c r="H1371" s="582" t="s">
        <v>875</v>
      </c>
      <c r="I1371" t="s">
        <v>885</v>
      </c>
      <c r="J1371">
        <v>0.20799999999999999</v>
      </c>
      <c r="K1371" t="s">
        <v>2171</v>
      </c>
    </row>
    <row r="1372" spans="1:11" hidden="1" x14ac:dyDescent="0.25">
      <c r="A1372">
        <v>3746291</v>
      </c>
      <c r="B1372" t="s">
        <v>880</v>
      </c>
      <c r="C1372">
        <v>0.83921299999999999</v>
      </c>
      <c r="D1372">
        <v>4731</v>
      </c>
      <c r="E1372" t="s">
        <v>151</v>
      </c>
      <c r="F1372">
        <v>1775</v>
      </c>
      <c r="G1372" s="582" t="s">
        <v>10</v>
      </c>
      <c r="H1372" s="582" t="s">
        <v>872</v>
      </c>
      <c r="I1372" t="s">
        <v>881</v>
      </c>
      <c r="J1372">
        <v>0.23400000000000001</v>
      </c>
      <c r="K1372" t="s">
        <v>2171</v>
      </c>
    </row>
    <row r="1373" spans="1:11" hidden="1" x14ac:dyDescent="0.25">
      <c r="A1373">
        <v>3746291</v>
      </c>
      <c r="B1373" t="s">
        <v>880</v>
      </c>
      <c r="C1373">
        <v>5.2214000000000003E-2</v>
      </c>
      <c r="D1373">
        <v>4731</v>
      </c>
      <c r="E1373" t="s">
        <v>151</v>
      </c>
      <c r="F1373">
        <v>1776</v>
      </c>
      <c r="G1373" s="582" t="s">
        <v>10</v>
      </c>
      <c r="H1373" s="582" t="s">
        <v>872</v>
      </c>
      <c r="I1373" t="s">
        <v>881</v>
      </c>
      <c r="J1373">
        <v>0.23400000000000001</v>
      </c>
      <c r="K1373" t="s">
        <v>2171</v>
      </c>
    </row>
    <row r="1374" spans="1:11" hidden="1" x14ac:dyDescent="0.25">
      <c r="A1374">
        <v>3777563</v>
      </c>
      <c r="B1374" t="s">
        <v>2391</v>
      </c>
      <c r="C1374">
        <v>3.504</v>
      </c>
      <c r="D1374">
        <v>4731</v>
      </c>
      <c r="E1374" t="s">
        <v>151</v>
      </c>
      <c r="F1374">
        <v>1828</v>
      </c>
      <c r="G1374" s="582" t="s">
        <v>10</v>
      </c>
      <c r="H1374" s="582" t="s">
        <v>920</v>
      </c>
      <c r="I1374" t="s">
        <v>2392</v>
      </c>
      <c r="J1374">
        <v>5.79</v>
      </c>
      <c r="K1374" t="s">
        <v>1838</v>
      </c>
    </row>
    <row r="1375" spans="1:11" hidden="1" x14ac:dyDescent="0.25">
      <c r="A1375">
        <v>3777563</v>
      </c>
      <c r="B1375" t="s">
        <v>2391</v>
      </c>
      <c r="C1375">
        <v>3.319</v>
      </c>
      <c r="D1375">
        <v>4731</v>
      </c>
      <c r="E1375" t="s">
        <v>151</v>
      </c>
      <c r="F1375">
        <v>1829</v>
      </c>
      <c r="G1375" s="582" t="s">
        <v>10</v>
      </c>
      <c r="H1375" s="582" t="s">
        <v>920</v>
      </c>
      <c r="I1375" t="s">
        <v>2392</v>
      </c>
      <c r="J1375">
        <v>5.79</v>
      </c>
      <c r="K1375" t="s">
        <v>1838</v>
      </c>
    </row>
    <row r="1376" spans="1:11" hidden="1" x14ac:dyDescent="0.25">
      <c r="A1376">
        <v>3777563</v>
      </c>
      <c r="B1376" t="s">
        <v>2391</v>
      </c>
      <c r="C1376">
        <v>1.966</v>
      </c>
      <c r="D1376">
        <v>8406</v>
      </c>
      <c r="E1376" t="s">
        <v>151</v>
      </c>
      <c r="F1376">
        <v>1830</v>
      </c>
      <c r="G1376" s="582" t="s">
        <v>10</v>
      </c>
      <c r="H1376" s="582" t="s">
        <v>920</v>
      </c>
      <c r="I1376" t="s">
        <v>2392</v>
      </c>
      <c r="J1376">
        <v>5.79</v>
      </c>
      <c r="K1376" t="s">
        <v>1838</v>
      </c>
    </row>
    <row r="1377" spans="1:11" hidden="1" x14ac:dyDescent="0.25">
      <c r="A1377">
        <v>3777563</v>
      </c>
      <c r="B1377" t="s">
        <v>2391</v>
      </c>
      <c r="C1377">
        <v>3.4660000000000002</v>
      </c>
      <c r="D1377">
        <v>8406</v>
      </c>
      <c r="E1377" t="s">
        <v>151</v>
      </c>
      <c r="F1377">
        <v>1831</v>
      </c>
      <c r="G1377" s="582" t="s">
        <v>10</v>
      </c>
      <c r="H1377" s="582" t="s">
        <v>920</v>
      </c>
      <c r="I1377" t="s">
        <v>2392</v>
      </c>
      <c r="J1377">
        <v>5.79</v>
      </c>
      <c r="K1377" t="s">
        <v>1838</v>
      </c>
    </row>
    <row r="1378" spans="1:11" hidden="1" x14ac:dyDescent="0.25">
      <c r="A1378">
        <v>3777563</v>
      </c>
      <c r="B1378" t="s">
        <v>2391</v>
      </c>
      <c r="C1378">
        <v>3.0950000000000002</v>
      </c>
      <c r="D1378">
        <v>8406</v>
      </c>
      <c r="E1378" t="s">
        <v>151</v>
      </c>
      <c r="F1378">
        <v>1832</v>
      </c>
      <c r="G1378" s="582" t="s">
        <v>10</v>
      </c>
      <c r="H1378" s="582" t="s">
        <v>920</v>
      </c>
      <c r="I1378" t="s">
        <v>2392</v>
      </c>
      <c r="J1378">
        <v>5.79</v>
      </c>
      <c r="K1378" t="s">
        <v>1838</v>
      </c>
    </row>
    <row r="1379" spans="1:11" hidden="1" x14ac:dyDescent="0.25">
      <c r="A1379">
        <v>3781594</v>
      </c>
      <c r="B1379" t="s">
        <v>900</v>
      </c>
      <c r="C1379">
        <v>1.6720630000000001</v>
      </c>
      <c r="D1379">
        <v>4731</v>
      </c>
      <c r="E1379" t="s">
        <v>151</v>
      </c>
      <c r="F1379">
        <v>1834</v>
      </c>
      <c r="G1379" s="582" t="s">
        <v>10</v>
      </c>
      <c r="H1379" s="582" t="s">
        <v>712</v>
      </c>
      <c r="I1379" t="s">
        <v>714</v>
      </c>
      <c r="J1379">
        <v>0.19600000000000001</v>
      </c>
      <c r="K1379" t="s">
        <v>2171</v>
      </c>
    </row>
    <row r="1380" spans="1:11" hidden="1" x14ac:dyDescent="0.25">
      <c r="A1380">
        <v>3781610</v>
      </c>
      <c r="B1380" t="s">
        <v>915</v>
      </c>
      <c r="C1380">
        <v>1.305944</v>
      </c>
      <c r="D1380">
        <v>8406</v>
      </c>
      <c r="E1380" t="s">
        <v>27</v>
      </c>
      <c r="F1380">
        <v>1841</v>
      </c>
      <c r="G1380" s="582" t="s">
        <v>10</v>
      </c>
      <c r="H1380" s="582" t="s">
        <v>914</v>
      </c>
      <c r="I1380" t="s">
        <v>916</v>
      </c>
      <c r="J1380">
        <v>0.49</v>
      </c>
      <c r="K1380" t="s">
        <v>2171</v>
      </c>
    </row>
    <row r="1381" spans="1:11" hidden="1" x14ac:dyDescent="0.25">
      <c r="A1381">
        <v>3781664</v>
      </c>
      <c r="B1381" t="s">
        <v>896</v>
      </c>
      <c r="C1381">
        <v>3.0236999999999998</v>
      </c>
      <c r="D1381">
        <v>4731</v>
      </c>
      <c r="E1381" t="s">
        <v>151</v>
      </c>
      <c r="F1381">
        <v>1845</v>
      </c>
      <c r="G1381" s="582" t="s">
        <v>10</v>
      </c>
      <c r="H1381" s="582" t="s">
        <v>895</v>
      </c>
      <c r="I1381" t="s">
        <v>897</v>
      </c>
      <c r="J1381">
        <v>0.84699999999999998</v>
      </c>
      <c r="K1381" t="s">
        <v>2171</v>
      </c>
    </row>
    <row r="1382" spans="1:11" hidden="1" x14ac:dyDescent="0.25">
      <c r="A1382">
        <v>3781664</v>
      </c>
      <c r="B1382" t="s">
        <v>896</v>
      </c>
      <c r="C1382">
        <v>0.15487600000000001</v>
      </c>
      <c r="D1382">
        <v>4731</v>
      </c>
      <c r="E1382" t="s">
        <v>151</v>
      </c>
      <c r="F1382">
        <v>1846</v>
      </c>
      <c r="G1382" s="582" t="s">
        <v>10</v>
      </c>
      <c r="H1382" s="582" t="s">
        <v>895</v>
      </c>
      <c r="I1382" t="s">
        <v>897</v>
      </c>
      <c r="J1382">
        <v>0.84699999999999998</v>
      </c>
      <c r="K1382" t="s">
        <v>2171</v>
      </c>
    </row>
    <row r="1383" spans="1:11" hidden="1" x14ac:dyDescent="0.25">
      <c r="A1383">
        <v>3781680</v>
      </c>
      <c r="B1383" t="s">
        <v>905</v>
      </c>
      <c r="C1383">
        <v>1.1654599999999999</v>
      </c>
      <c r="D1383">
        <v>8406</v>
      </c>
      <c r="E1383" t="s">
        <v>151</v>
      </c>
      <c r="F1383">
        <v>1848</v>
      </c>
      <c r="G1383" s="582" t="s">
        <v>10</v>
      </c>
      <c r="H1383" s="582" t="s">
        <v>904</v>
      </c>
      <c r="I1383" t="s">
        <v>906</v>
      </c>
      <c r="J1383">
        <v>1.365</v>
      </c>
      <c r="K1383" t="s">
        <v>2171</v>
      </c>
    </row>
    <row r="1384" spans="1:11" hidden="1" x14ac:dyDescent="0.25">
      <c r="A1384">
        <v>3781680</v>
      </c>
      <c r="B1384" t="s">
        <v>905</v>
      </c>
      <c r="C1384">
        <v>0.966831</v>
      </c>
      <c r="D1384">
        <v>8406</v>
      </c>
      <c r="E1384" t="s">
        <v>151</v>
      </c>
      <c r="F1384">
        <v>1849</v>
      </c>
      <c r="G1384" s="582" t="s">
        <v>10</v>
      </c>
      <c r="H1384" s="582" t="s">
        <v>904</v>
      </c>
      <c r="I1384" t="s">
        <v>906</v>
      </c>
      <c r="J1384">
        <v>1.365</v>
      </c>
      <c r="K1384" t="s">
        <v>2171</v>
      </c>
    </row>
    <row r="1385" spans="1:11" hidden="1" x14ac:dyDescent="0.25">
      <c r="A1385">
        <v>3781701</v>
      </c>
      <c r="B1385" t="s">
        <v>907</v>
      </c>
      <c r="C1385">
        <v>1.99278</v>
      </c>
      <c r="D1385">
        <v>8406</v>
      </c>
      <c r="E1385" t="s">
        <v>101</v>
      </c>
      <c r="F1385">
        <v>1850</v>
      </c>
      <c r="G1385" s="582" t="s">
        <v>10</v>
      </c>
      <c r="H1385" s="582" t="s">
        <v>891</v>
      </c>
      <c r="I1385" t="s">
        <v>908</v>
      </c>
      <c r="J1385">
        <v>0.28999999999999998</v>
      </c>
      <c r="K1385" t="s">
        <v>2171</v>
      </c>
    </row>
    <row r="1386" spans="1:11" hidden="1" x14ac:dyDescent="0.25">
      <c r="A1386">
        <v>3783938</v>
      </c>
      <c r="B1386" t="s">
        <v>912</v>
      </c>
      <c r="C1386">
        <v>0.125917</v>
      </c>
      <c r="D1386">
        <v>8406</v>
      </c>
      <c r="E1386" t="s">
        <v>101</v>
      </c>
      <c r="F1386">
        <v>1851</v>
      </c>
      <c r="G1386" s="582" t="s">
        <v>10</v>
      </c>
      <c r="H1386" s="582" t="s">
        <v>909</v>
      </c>
      <c r="I1386" t="s">
        <v>913</v>
      </c>
      <c r="J1386">
        <v>0.71299999999999997</v>
      </c>
      <c r="K1386" t="s">
        <v>2171</v>
      </c>
    </row>
    <row r="1387" spans="1:11" hidden="1" x14ac:dyDescent="0.25">
      <c r="A1387">
        <v>3784473</v>
      </c>
      <c r="B1387" t="s">
        <v>873</v>
      </c>
      <c r="C1387">
        <v>0.12986900000000001</v>
      </c>
      <c r="D1387">
        <v>4731</v>
      </c>
      <c r="E1387" t="s">
        <v>151</v>
      </c>
      <c r="F1387">
        <v>1852</v>
      </c>
      <c r="G1387" s="582" t="s">
        <v>10</v>
      </c>
      <c r="H1387" s="582" t="s">
        <v>872</v>
      </c>
      <c r="I1387" t="s">
        <v>874</v>
      </c>
      <c r="J1387">
        <v>0.23599999999999999</v>
      </c>
      <c r="K1387" t="s">
        <v>2171</v>
      </c>
    </row>
    <row r="1388" spans="1:11" hidden="1" x14ac:dyDescent="0.25">
      <c r="A1388">
        <v>3784473</v>
      </c>
      <c r="B1388" t="s">
        <v>873</v>
      </c>
      <c r="C1388">
        <v>6.2059999999999997E-2</v>
      </c>
      <c r="D1388">
        <v>4731</v>
      </c>
      <c r="E1388" t="s">
        <v>151</v>
      </c>
      <c r="F1388">
        <v>1853</v>
      </c>
      <c r="G1388" s="582" t="s">
        <v>10</v>
      </c>
      <c r="H1388" s="582" t="s">
        <v>872</v>
      </c>
      <c r="I1388" t="s">
        <v>874</v>
      </c>
      <c r="J1388">
        <v>0.23599999999999999</v>
      </c>
      <c r="K1388" t="s">
        <v>2171</v>
      </c>
    </row>
    <row r="1389" spans="1:11" hidden="1" x14ac:dyDescent="0.25">
      <c r="A1389">
        <v>3784473</v>
      </c>
      <c r="B1389" t="s">
        <v>873</v>
      </c>
      <c r="C1389">
        <v>0.21218699999999999</v>
      </c>
      <c r="D1389">
        <v>4731</v>
      </c>
      <c r="E1389" t="s">
        <v>151</v>
      </c>
      <c r="F1389">
        <v>1854</v>
      </c>
      <c r="G1389" s="582" t="s">
        <v>10</v>
      </c>
      <c r="H1389" s="582" t="s">
        <v>872</v>
      </c>
      <c r="I1389" t="s">
        <v>874</v>
      </c>
      <c r="J1389">
        <v>0.23599999999999999</v>
      </c>
      <c r="K1389" t="s">
        <v>2171</v>
      </c>
    </row>
    <row r="1390" spans="1:11" hidden="1" x14ac:dyDescent="0.25">
      <c r="A1390">
        <v>3784473</v>
      </c>
      <c r="B1390" t="s">
        <v>873</v>
      </c>
      <c r="C1390">
        <v>1.4565999999999999</v>
      </c>
      <c r="D1390">
        <v>8406</v>
      </c>
      <c r="E1390" t="s">
        <v>151</v>
      </c>
      <c r="F1390">
        <v>1855</v>
      </c>
      <c r="G1390" s="582" t="s">
        <v>10</v>
      </c>
      <c r="H1390" s="582" t="s">
        <v>872</v>
      </c>
      <c r="I1390" t="s">
        <v>874</v>
      </c>
      <c r="J1390">
        <v>0.23599999999999999</v>
      </c>
      <c r="K1390" t="s">
        <v>2171</v>
      </c>
    </row>
    <row r="1391" spans="1:11" hidden="1" x14ac:dyDescent="0.25">
      <c r="A1391">
        <v>3801263</v>
      </c>
      <c r="B1391" t="s">
        <v>923</v>
      </c>
      <c r="C1391">
        <v>5.9177E-2</v>
      </c>
      <c r="D1391">
        <v>4731</v>
      </c>
      <c r="E1391" t="s">
        <v>27</v>
      </c>
      <c r="F1391">
        <v>1856</v>
      </c>
      <c r="G1391" s="582" t="s">
        <v>10</v>
      </c>
      <c r="H1391" s="582" t="s">
        <v>914</v>
      </c>
      <c r="I1391" t="s">
        <v>924</v>
      </c>
      <c r="J1391">
        <v>0.51200000000000001</v>
      </c>
      <c r="K1391" t="s">
        <v>2171</v>
      </c>
    </row>
    <row r="1392" spans="1:11" hidden="1" x14ac:dyDescent="0.25">
      <c r="A1392">
        <v>3801263</v>
      </c>
      <c r="B1392" t="s">
        <v>923</v>
      </c>
      <c r="C1392">
        <v>0.51549800000000001</v>
      </c>
      <c r="D1392">
        <v>4731</v>
      </c>
      <c r="E1392" t="s">
        <v>27</v>
      </c>
      <c r="F1392">
        <v>1857</v>
      </c>
      <c r="G1392" s="582" t="s">
        <v>10</v>
      </c>
      <c r="H1392" s="582" t="s">
        <v>914</v>
      </c>
      <c r="I1392" t="s">
        <v>924</v>
      </c>
      <c r="J1392">
        <v>0.51200000000000001</v>
      </c>
      <c r="K1392" t="s">
        <v>2171</v>
      </c>
    </row>
    <row r="1393" spans="1:11" hidden="1" x14ac:dyDescent="0.25">
      <c r="A1393">
        <v>3901714</v>
      </c>
      <c r="B1393" t="s">
        <v>902</v>
      </c>
      <c r="C1393">
        <v>0.62522800000000001</v>
      </c>
      <c r="D1393">
        <v>4731</v>
      </c>
      <c r="E1393" t="s">
        <v>52</v>
      </c>
      <c r="F1393">
        <v>1865</v>
      </c>
      <c r="G1393" s="582" t="s">
        <v>10</v>
      </c>
      <c r="H1393" s="582" t="s">
        <v>891</v>
      </c>
      <c r="I1393" t="s">
        <v>903</v>
      </c>
      <c r="J1393">
        <v>0.215</v>
      </c>
      <c r="K1393" t="s">
        <v>2171</v>
      </c>
    </row>
    <row r="1394" spans="1:11" hidden="1" x14ac:dyDescent="0.25">
      <c r="A1394">
        <v>3901714</v>
      </c>
      <c r="B1394" t="s">
        <v>902</v>
      </c>
      <c r="C1394">
        <v>0.24623400000000001</v>
      </c>
      <c r="D1394">
        <v>4731</v>
      </c>
      <c r="E1394" t="s">
        <v>52</v>
      </c>
      <c r="F1394">
        <v>1866</v>
      </c>
      <c r="G1394" s="582" t="s">
        <v>10</v>
      </c>
      <c r="H1394" s="582" t="s">
        <v>891</v>
      </c>
      <c r="I1394" t="s">
        <v>903</v>
      </c>
      <c r="J1394">
        <v>0.215</v>
      </c>
      <c r="K1394" t="s">
        <v>2171</v>
      </c>
    </row>
    <row r="1395" spans="1:11" hidden="1" x14ac:dyDescent="0.25">
      <c r="A1395">
        <v>3901714</v>
      </c>
      <c r="B1395" t="s">
        <v>902</v>
      </c>
      <c r="C1395">
        <v>0.34421300000000005</v>
      </c>
      <c r="D1395">
        <v>4731</v>
      </c>
      <c r="E1395" t="s">
        <v>52</v>
      </c>
      <c r="F1395">
        <v>1867</v>
      </c>
      <c r="G1395" s="582" t="s">
        <v>10</v>
      </c>
      <c r="H1395" s="582" t="s">
        <v>891</v>
      </c>
      <c r="I1395" t="s">
        <v>903</v>
      </c>
      <c r="J1395">
        <v>0.215</v>
      </c>
      <c r="K1395" t="s">
        <v>2171</v>
      </c>
    </row>
    <row r="1396" spans="1:11" hidden="1" x14ac:dyDescent="0.25">
      <c r="A1396">
        <v>3910001</v>
      </c>
      <c r="B1396" t="s">
        <v>1752</v>
      </c>
      <c r="C1396">
        <v>2.5104090000000001</v>
      </c>
      <c r="D1396">
        <v>8406</v>
      </c>
      <c r="E1396" t="s">
        <v>72</v>
      </c>
      <c r="F1396">
        <v>1876</v>
      </c>
      <c r="G1396" s="582" t="s">
        <v>10</v>
      </c>
      <c r="H1396" s="582" t="s">
        <v>926</v>
      </c>
      <c r="I1396" t="s">
        <v>2316</v>
      </c>
      <c r="J1396">
        <v>6.1</v>
      </c>
      <c r="K1396" t="s">
        <v>1838</v>
      </c>
    </row>
    <row r="1397" spans="1:11" hidden="1" x14ac:dyDescent="0.25">
      <c r="A1397">
        <v>3910001</v>
      </c>
      <c r="B1397" t="s">
        <v>1752</v>
      </c>
      <c r="C1397">
        <v>2.5104090000000001</v>
      </c>
      <c r="D1397">
        <v>8406</v>
      </c>
      <c r="E1397" t="s">
        <v>72</v>
      </c>
      <c r="F1397">
        <v>1877</v>
      </c>
      <c r="G1397" s="582" t="s">
        <v>10</v>
      </c>
      <c r="H1397" s="582" t="s">
        <v>926</v>
      </c>
      <c r="I1397" t="s">
        <v>2316</v>
      </c>
      <c r="J1397">
        <v>6.1</v>
      </c>
      <c r="K1397" t="s">
        <v>1838</v>
      </c>
    </row>
    <row r="1398" spans="1:11" hidden="1" x14ac:dyDescent="0.25">
      <c r="A1398">
        <v>4196298</v>
      </c>
      <c r="B1398" t="s">
        <v>882</v>
      </c>
      <c r="C1398">
        <v>0.53017399999999992</v>
      </c>
      <c r="D1398">
        <v>4731</v>
      </c>
      <c r="E1398" t="s">
        <v>151</v>
      </c>
      <c r="F1398">
        <v>1955</v>
      </c>
      <c r="G1398" s="582" t="s">
        <v>10</v>
      </c>
      <c r="H1398" s="582" t="s">
        <v>872</v>
      </c>
      <c r="I1398" t="s">
        <v>883</v>
      </c>
      <c r="J1398">
        <v>0.26300000000000001</v>
      </c>
      <c r="K1398" t="s">
        <v>2171</v>
      </c>
    </row>
    <row r="1399" spans="1:11" hidden="1" x14ac:dyDescent="0.25">
      <c r="A1399">
        <v>3500391</v>
      </c>
      <c r="B1399" t="s">
        <v>2397</v>
      </c>
      <c r="C1399">
        <v>2.5630000000000002</v>
      </c>
      <c r="D1399" t="s">
        <v>362</v>
      </c>
      <c r="E1399" t="s">
        <v>37</v>
      </c>
      <c r="F1399">
        <v>2006</v>
      </c>
      <c r="G1399" s="582" t="s">
        <v>33</v>
      </c>
      <c r="H1399" s="582" t="s">
        <v>2398</v>
      </c>
      <c r="I1399" t="s">
        <v>2392</v>
      </c>
      <c r="J1399">
        <v>5.91</v>
      </c>
      <c r="K1399" t="s">
        <v>1838</v>
      </c>
    </row>
    <row r="1400" spans="1:11" hidden="1" x14ac:dyDescent="0.25">
      <c r="A1400">
        <v>3905049</v>
      </c>
      <c r="B1400" t="s">
        <v>2399</v>
      </c>
      <c r="C1400">
        <v>1.3740000000000001</v>
      </c>
      <c r="D1400" t="s">
        <v>362</v>
      </c>
      <c r="E1400" t="s">
        <v>37</v>
      </c>
      <c r="F1400">
        <v>2044</v>
      </c>
      <c r="G1400" s="582" t="s">
        <v>33</v>
      </c>
      <c r="H1400" s="582" t="s">
        <v>1070</v>
      </c>
      <c r="I1400" t="s">
        <v>2389</v>
      </c>
      <c r="J1400">
        <v>5.9</v>
      </c>
      <c r="K1400" t="s">
        <v>1838</v>
      </c>
    </row>
    <row r="1401" spans="1:11" hidden="1" x14ac:dyDescent="0.25">
      <c r="A1401">
        <v>3905049</v>
      </c>
      <c r="B1401" t="s">
        <v>2399</v>
      </c>
      <c r="C1401">
        <v>1.5429999999999999</v>
      </c>
      <c r="D1401" t="s">
        <v>362</v>
      </c>
      <c r="E1401" t="s">
        <v>37</v>
      </c>
      <c r="F1401">
        <v>2045</v>
      </c>
      <c r="G1401" s="582" t="s">
        <v>33</v>
      </c>
      <c r="H1401" s="582" t="s">
        <v>1070</v>
      </c>
      <c r="I1401" t="s">
        <v>2389</v>
      </c>
      <c r="J1401">
        <v>5.9</v>
      </c>
      <c r="K1401" t="s">
        <v>1838</v>
      </c>
    </row>
    <row r="1402" spans="1:11" hidden="1" x14ac:dyDescent="0.25">
      <c r="A1402">
        <v>3770392</v>
      </c>
      <c r="B1402" t="s">
        <v>405</v>
      </c>
      <c r="C1402">
        <v>1.5129999999999999</v>
      </c>
      <c r="D1402" t="s">
        <v>362</v>
      </c>
      <c r="E1402" t="s">
        <v>71</v>
      </c>
      <c r="F1402">
        <v>2265</v>
      </c>
      <c r="G1402" s="582" t="s">
        <v>10</v>
      </c>
      <c r="H1402" s="582" t="s">
        <v>404</v>
      </c>
      <c r="I1402" t="s">
        <v>406</v>
      </c>
      <c r="J1402">
        <v>5.6</v>
      </c>
      <c r="K1402" t="s">
        <v>1838</v>
      </c>
    </row>
    <row r="1403" spans="1:11" hidden="1" x14ac:dyDescent="0.25">
      <c r="A1403">
        <v>3770392</v>
      </c>
      <c r="B1403" t="s">
        <v>405</v>
      </c>
      <c r="C1403">
        <v>1.7250000000000001</v>
      </c>
      <c r="D1403" t="s">
        <v>362</v>
      </c>
      <c r="E1403" t="s">
        <v>71</v>
      </c>
      <c r="F1403">
        <v>2266</v>
      </c>
      <c r="G1403" s="582" t="s">
        <v>10</v>
      </c>
      <c r="H1403" s="582" t="s">
        <v>404</v>
      </c>
      <c r="I1403" t="s">
        <v>406</v>
      </c>
      <c r="J1403">
        <v>5.6</v>
      </c>
      <c r="K1403" t="s">
        <v>1838</v>
      </c>
    </row>
    <row r="1404" spans="1:11" hidden="1" x14ac:dyDescent="0.25">
      <c r="A1404">
        <v>3770392</v>
      </c>
      <c r="B1404" t="s">
        <v>405</v>
      </c>
      <c r="C1404">
        <v>1.4179999999999999</v>
      </c>
      <c r="D1404" t="s">
        <v>362</v>
      </c>
      <c r="E1404" t="s">
        <v>71</v>
      </c>
      <c r="F1404">
        <v>2267</v>
      </c>
      <c r="G1404" s="582" t="s">
        <v>10</v>
      </c>
      <c r="H1404" s="582" t="s">
        <v>404</v>
      </c>
      <c r="I1404" t="s">
        <v>406</v>
      </c>
      <c r="J1404">
        <v>5.6</v>
      </c>
      <c r="K1404" t="s">
        <v>1838</v>
      </c>
    </row>
    <row r="1405" spans="1:11" hidden="1" x14ac:dyDescent="0.25">
      <c r="A1405">
        <v>3770392</v>
      </c>
      <c r="B1405" t="s">
        <v>405</v>
      </c>
      <c r="C1405">
        <v>1.492</v>
      </c>
      <c r="D1405" t="s">
        <v>362</v>
      </c>
      <c r="E1405" t="s">
        <v>71</v>
      </c>
      <c r="F1405">
        <v>2268</v>
      </c>
      <c r="G1405" s="582" t="s">
        <v>10</v>
      </c>
      <c r="H1405" s="582" t="s">
        <v>404</v>
      </c>
      <c r="I1405" t="s">
        <v>406</v>
      </c>
      <c r="J1405">
        <v>5.6</v>
      </c>
      <c r="K1405" t="s">
        <v>1838</v>
      </c>
    </row>
    <row r="1406" spans="1:11" hidden="1" x14ac:dyDescent="0.25">
      <c r="A1406">
        <v>3770392</v>
      </c>
      <c r="B1406" t="s">
        <v>405</v>
      </c>
      <c r="C1406">
        <v>0.52900000000000003</v>
      </c>
      <c r="D1406" t="s">
        <v>362</v>
      </c>
      <c r="E1406" t="s">
        <v>71</v>
      </c>
      <c r="F1406">
        <v>2269</v>
      </c>
      <c r="G1406" s="582" t="s">
        <v>10</v>
      </c>
      <c r="H1406" s="582" t="s">
        <v>404</v>
      </c>
      <c r="I1406" t="s">
        <v>406</v>
      </c>
      <c r="J1406">
        <v>5.6</v>
      </c>
      <c r="K1406" t="s">
        <v>1838</v>
      </c>
    </row>
    <row r="1407" spans="1:11" hidden="1" x14ac:dyDescent="0.25">
      <c r="A1407">
        <v>3770392</v>
      </c>
      <c r="B1407" t="s">
        <v>405</v>
      </c>
      <c r="C1407">
        <v>1.577</v>
      </c>
      <c r="D1407" t="s">
        <v>362</v>
      </c>
      <c r="E1407" t="s">
        <v>71</v>
      </c>
      <c r="F1407">
        <v>2270</v>
      </c>
      <c r="G1407" s="582" t="s">
        <v>10</v>
      </c>
      <c r="H1407" s="582" t="s">
        <v>404</v>
      </c>
      <c r="I1407" t="s">
        <v>406</v>
      </c>
      <c r="J1407">
        <v>5.6</v>
      </c>
      <c r="K1407" t="s">
        <v>1838</v>
      </c>
    </row>
    <row r="1408" spans="1:11" hidden="1" x14ac:dyDescent="0.25">
      <c r="A1408">
        <v>3770392</v>
      </c>
      <c r="B1408" t="s">
        <v>405</v>
      </c>
      <c r="C1408">
        <v>1.421</v>
      </c>
      <c r="D1408" t="s">
        <v>362</v>
      </c>
      <c r="E1408" t="s">
        <v>71</v>
      </c>
      <c r="F1408">
        <v>2271</v>
      </c>
      <c r="G1408" s="582" t="s">
        <v>10</v>
      </c>
      <c r="H1408" s="582" t="s">
        <v>404</v>
      </c>
      <c r="I1408" t="s">
        <v>406</v>
      </c>
      <c r="J1408">
        <v>5.6</v>
      </c>
      <c r="K1408" t="s">
        <v>1838</v>
      </c>
    </row>
    <row r="1409" spans="1:11" hidden="1" x14ac:dyDescent="0.25">
      <c r="A1409">
        <v>3770392</v>
      </c>
      <c r="B1409" t="s">
        <v>405</v>
      </c>
      <c r="C1409">
        <v>1.64</v>
      </c>
      <c r="D1409" t="s">
        <v>362</v>
      </c>
      <c r="E1409" t="s">
        <v>71</v>
      </c>
      <c r="F1409">
        <v>2272</v>
      </c>
      <c r="G1409" s="582" t="s">
        <v>10</v>
      </c>
      <c r="H1409" s="582" t="s">
        <v>404</v>
      </c>
      <c r="I1409" t="s">
        <v>406</v>
      </c>
      <c r="J1409">
        <v>5.6</v>
      </c>
      <c r="K1409" t="s">
        <v>1838</v>
      </c>
    </row>
    <row r="1410" spans="1:11" hidden="1" x14ac:dyDescent="0.25">
      <c r="A1410">
        <v>3770392</v>
      </c>
      <c r="B1410" t="s">
        <v>405</v>
      </c>
      <c r="C1410">
        <v>1.2589999999999999</v>
      </c>
      <c r="D1410" t="s">
        <v>362</v>
      </c>
      <c r="E1410" t="s">
        <v>71</v>
      </c>
      <c r="F1410">
        <v>2273</v>
      </c>
      <c r="G1410" s="582" t="s">
        <v>10</v>
      </c>
      <c r="H1410" s="582" t="s">
        <v>404</v>
      </c>
      <c r="I1410" t="s">
        <v>406</v>
      </c>
      <c r="J1410">
        <v>5.6</v>
      </c>
      <c r="K1410" t="s">
        <v>1838</v>
      </c>
    </row>
    <row r="1411" spans="1:11" hidden="1" x14ac:dyDescent="0.25">
      <c r="A1411">
        <v>3770392</v>
      </c>
      <c r="B1411" t="s">
        <v>405</v>
      </c>
      <c r="C1411">
        <v>0.127</v>
      </c>
      <c r="D1411" t="s">
        <v>362</v>
      </c>
      <c r="E1411" t="s">
        <v>71</v>
      </c>
      <c r="F1411">
        <v>2274</v>
      </c>
      <c r="G1411" s="582" t="s">
        <v>10</v>
      </c>
      <c r="H1411" s="582" t="s">
        <v>404</v>
      </c>
      <c r="I1411" t="s">
        <v>406</v>
      </c>
      <c r="J1411">
        <v>5.6</v>
      </c>
      <c r="K1411" t="s">
        <v>1838</v>
      </c>
    </row>
    <row r="1412" spans="1:11" hidden="1" x14ac:dyDescent="0.25">
      <c r="A1412">
        <v>3770392</v>
      </c>
      <c r="B1412" t="s">
        <v>405</v>
      </c>
      <c r="C1412">
        <v>1.577</v>
      </c>
      <c r="D1412" t="s">
        <v>362</v>
      </c>
      <c r="E1412" t="s">
        <v>71</v>
      </c>
      <c r="F1412">
        <v>2275</v>
      </c>
      <c r="G1412" s="582" t="s">
        <v>10</v>
      </c>
      <c r="H1412" s="582" t="s">
        <v>404</v>
      </c>
      <c r="I1412" t="s">
        <v>406</v>
      </c>
      <c r="J1412">
        <v>5.6</v>
      </c>
      <c r="K1412" t="s">
        <v>1838</v>
      </c>
    </row>
    <row r="1413" spans="1:11" hidden="1" x14ac:dyDescent="0.25">
      <c r="A1413">
        <v>3770392</v>
      </c>
      <c r="B1413" t="s">
        <v>405</v>
      </c>
      <c r="C1413">
        <v>1.7250000000000001</v>
      </c>
      <c r="D1413" t="s">
        <v>362</v>
      </c>
      <c r="E1413" t="s">
        <v>71</v>
      </c>
      <c r="F1413">
        <v>2276</v>
      </c>
      <c r="G1413" s="582" t="s">
        <v>10</v>
      </c>
      <c r="H1413" s="582" t="s">
        <v>404</v>
      </c>
      <c r="I1413" t="s">
        <v>406</v>
      </c>
      <c r="J1413">
        <v>5.6</v>
      </c>
      <c r="K1413" t="s">
        <v>1838</v>
      </c>
    </row>
    <row r="1414" spans="1:11" hidden="1" x14ac:dyDescent="0.25">
      <c r="A1414">
        <v>3770392</v>
      </c>
      <c r="B1414" t="s">
        <v>405</v>
      </c>
      <c r="C1414">
        <v>1.534</v>
      </c>
      <c r="D1414" t="s">
        <v>362</v>
      </c>
      <c r="E1414" t="s">
        <v>71</v>
      </c>
      <c r="F1414">
        <v>2277</v>
      </c>
      <c r="G1414" s="582" t="s">
        <v>10</v>
      </c>
      <c r="H1414" s="582" t="s">
        <v>404</v>
      </c>
      <c r="I1414" t="s">
        <v>406</v>
      </c>
      <c r="J1414">
        <v>5.6</v>
      </c>
      <c r="K1414" t="s">
        <v>1838</v>
      </c>
    </row>
    <row r="1415" spans="1:11" hidden="1" x14ac:dyDescent="0.25">
      <c r="A1415">
        <v>3770394</v>
      </c>
      <c r="B1415" t="s">
        <v>2353</v>
      </c>
      <c r="C1415">
        <v>1.931</v>
      </c>
      <c r="D1415" t="s">
        <v>362</v>
      </c>
      <c r="E1415" t="s">
        <v>71</v>
      </c>
      <c r="F1415">
        <v>2278</v>
      </c>
      <c r="G1415" s="582" t="s">
        <v>10</v>
      </c>
      <c r="H1415" s="582" t="s">
        <v>824</v>
      </c>
      <c r="I1415" t="s">
        <v>2354</v>
      </c>
      <c r="J1415">
        <v>5.55</v>
      </c>
      <c r="K1415" t="s">
        <v>1838</v>
      </c>
    </row>
    <row r="1416" spans="1:11" hidden="1" x14ac:dyDescent="0.25">
      <c r="A1416">
        <v>3770394</v>
      </c>
      <c r="B1416" t="s">
        <v>2353</v>
      </c>
      <c r="C1416">
        <v>1.518</v>
      </c>
      <c r="D1416" t="s">
        <v>362</v>
      </c>
      <c r="E1416" t="s">
        <v>71</v>
      </c>
      <c r="F1416">
        <v>2279</v>
      </c>
      <c r="G1416" s="582" t="s">
        <v>10</v>
      </c>
      <c r="H1416" s="582" t="s">
        <v>824</v>
      </c>
      <c r="I1416" t="s">
        <v>2354</v>
      </c>
      <c r="J1416">
        <v>5.55</v>
      </c>
      <c r="K1416" t="s">
        <v>1838</v>
      </c>
    </row>
    <row r="1417" spans="1:11" hidden="1" x14ac:dyDescent="0.25">
      <c r="A1417">
        <v>3770394</v>
      </c>
      <c r="B1417" t="s">
        <v>2353</v>
      </c>
      <c r="C1417">
        <v>2.0230000000000001</v>
      </c>
      <c r="D1417" t="s">
        <v>362</v>
      </c>
      <c r="E1417" t="s">
        <v>71</v>
      </c>
      <c r="F1417">
        <v>2280</v>
      </c>
      <c r="G1417" s="582" t="s">
        <v>10</v>
      </c>
      <c r="H1417" s="582" t="s">
        <v>824</v>
      </c>
      <c r="I1417" t="s">
        <v>2354</v>
      </c>
      <c r="J1417">
        <v>5.55</v>
      </c>
      <c r="K1417" t="s">
        <v>1838</v>
      </c>
    </row>
    <row r="1418" spans="1:11" hidden="1" x14ac:dyDescent="0.25">
      <c r="A1418">
        <v>3770394</v>
      </c>
      <c r="B1418" t="s">
        <v>2353</v>
      </c>
      <c r="C1418">
        <v>2.0230000000000001</v>
      </c>
      <c r="D1418" t="s">
        <v>362</v>
      </c>
      <c r="E1418" t="s">
        <v>71</v>
      </c>
      <c r="F1418">
        <v>2281</v>
      </c>
      <c r="G1418" s="582" t="s">
        <v>10</v>
      </c>
      <c r="H1418" s="582" t="s">
        <v>824</v>
      </c>
      <c r="I1418" t="s">
        <v>2354</v>
      </c>
      <c r="J1418">
        <v>5.55</v>
      </c>
      <c r="K1418" t="s">
        <v>1838</v>
      </c>
    </row>
    <row r="1419" spans="1:11" hidden="1" x14ac:dyDescent="0.25">
      <c r="A1419">
        <v>3770394</v>
      </c>
      <c r="B1419" t="s">
        <v>2353</v>
      </c>
      <c r="C1419">
        <v>1.012</v>
      </c>
      <c r="D1419" t="s">
        <v>362</v>
      </c>
      <c r="E1419" t="s">
        <v>71</v>
      </c>
      <c r="F1419">
        <v>2282</v>
      </c>
      <c r="G1419" s="582" t="s">
        <v>10</v>
      </c>
      <c r="H1419" s="582" t="s">
        <v>824</v>
      </c>
      <c r="I1419" t="s">
        <v>2354</v>
      </c>
      <c r="J1419">
        <v>5.55</v>
      </c>
      <c r="K1419" t="s">
        <v>1838</v>
      </c>
    </row>
    <row r="1420" spans="1:11" hidden="1" x14ac:dyDescent="0.25">
      <c r="A1420">
        <v>3770394</v>
      </c>
      <c r="B1420" t="s">
        <v>2353</v>
      </c>
      <c r="C1420">
        <v>2.161</v>
      </c>
      <c r="D1420" t="s">
        <v>362</v>
      </c>
      <c r="E1420" t="s">
        <v>71</v>
      </c>
      <c r="F1420">
        <v>2283</v>
      </c>
      <c r="G1420" s="582" t="s">
        <v>10</v>
      </c>
      <c r="H1420" s="582" t="s">
        <v>824</v>
      </c>
      <c r="I1420" t="s">
        <v>2354</v>
      </c>
      <c r="J1420">
        <v>5.55</v>
      </c>
      <c r="K1420" t="s">
        <v>1838</v>
      </c>
    </row>
    <row r="1421" spans="1:11" hidden="1" x14ac:dyDescent="0.25">
      <c r="A1421">
        <v>3770394</v>
      </c>
      <c r="B1421" t="s">
        <v>2353</v>
      </c>
      <c r="C1421">
        <v>2.2989999999999999</v>
      </c>
      <c r="D1421" t="s">
        <v>362</v>
      </c>
      <c r="E1421" t="s">
        <v>71</v>
      </c>
      <c r="F1421">
        <v>2284</v>
      </c>
      <c r="G1421" s="582" t="s">
        <v>10</v>
      </c>
      <c r="H1421" s="582" t="s">
        <v>824</v>
      </c>
      <c r="I1421" t="s">
        <v>2354</v>
      </c>
      <c r="J1421">
        <v>5.55</v>
      </c>
      <c r="K1421" t="s">
        <v>1838</v>
      </c>
    </row>
    <row r="1422" spans="1:11" hidden="1" x14ac:dyDescent="0.25">
      <c r="A1422">
        <v>3770394</v>
      </c>
      <c r="B1422" t="s">
        <v>2353</v>
      </c>
      <c r="C1422">
        <v>0.64400000000000002</v>
      </c>
      <c r="D1422" t="s">
        <v>362</v>
      </c>
      <c r="E1422" t="s">
        <v>71</v>
      </c>
      <c r="F1422">
        <v>2285</v>
      </c>
      <c r="G1422" s="582" t="s">
        <v>10</v>
      </c>
      <c r="H1422" s="582" t="s">
        <v>824</v>
      </c>
      <c r="I1422" t="s">
        <v>2354</v>
      </c>
      <c r="J1422">
        <v>5.55</v>
      </c>
      <c r="K1422" t="s">
        <v>1838</v>
      </c>
    </row>
    <row r="1423" spans="1:11" hidden="1" x14ac:dyDescent="0.25">
      <c r="A1423">
        <v>3770394</v>
      </c>
      <c r="B1423" t="s">
        <v>2353</v>
      </c>
      <c r="C1423">
        <v>1.5940000000000001</v>
      </c>
      <c r="D1423" t="s">
        <v>362</v>
      </c>
      <c r="E1423" t="s">
        <v>71</v>
      </c>
      <c r="F1423">
        <v>2286</v>
      </c>
      <c r="G1423" s="582" t="s">
        <v>10</v>
      </c>
      <c r="H1423" s="582" t="s">
        <v>824</v>
      </c>
      <c r="I1423" t="s">
        <v>2354</v>
      </c>
      <c r="J1423">
        <v>5.55</v>
      </c>
      <c r="K1423" t="s">
        <v>1838</v>
      </c>
    </row>
    <row r="1424" spans="1:11" hidden="1" x14ac:dyDescent="0.25">
      <c r="A1424">
        <v>3770394</v>
      </c>
      <c r="B1424" t="s">
        <v>2353</v>
      </c>
      <c r="C1424">
        <v>2.2989999999999999</v>
      </c>
      <c r="D1424" t="s">
        <v>362</v>
      </c>
      <c r="E1424" t="s">
        <v>71</v>
      </c>
      <c r="F1424">
        <v>2287</v>
      </c>
      <c r="G1424" s="582" t="s">
        <v>10</v>
      </c>
      <c r="H1424" s="582" t="s">
        <v>824</v>
      </c>
      <c r="I1424" t="s">
        <v>2354</v>
      </c>
      <c r="J1424">
        <v>5.55</v>
      </c>
      <c r="K1424" t="s">
        <v>1838</v>
      </c>
    </row>
    <row r="1425" spans="1:11" hidden="1" x14ac:dyDescent="0.25">
      <c r="A1425">
        <v>3770394</v>
      </c>
      <c r="B1425" t="s">
        <v>2353</v>
      </c>
      <c r="C1425">
        <v>2.2069999999999999</v>
      </c>
      <c r="D1425" t="s">
        <v>362</v>
      </c>
      <c r="E1425" t="s">
        <v>71</v>
      </c>
      <c r="F1425">
        <v>2288</v>
      </c>
      <c r="G1425" s="582" t="s">
        <v>10</v>
      </c>
      <c r="H1425" s="582" t="s">
        <v>824</v>
      </c>
      <c r="I1425" t="s">
        <v>2354</v>
      </c>
      <c r="J1425">
        <v>5.55</v>
      </c>
      <c r="K1425" t="s">
        <v>1838</v>
      </c>
    </row>
    <row r="1426" spans="1:11" hidden="1" x14ac:dyDescent="0.25">
      <c r="A1426">
        <v>3770394</v>
      </c>
      <c r="B1426" t="s">
        <v>2353</v>
      </c>
      <c r="C1426">
        <v>2.2069999999999999</v>
      </c>
      <c r="D1426" t="s">
        <v>362</v>
      </c>
      <c r="E1426" t="s">
        <v>71</v>
      </c>
      <c r="F1426">
        <v>2289</v>
      </c>
      <c r="G1426" s="582" t="s">
        <v>10</v>
      </c>
      <c r="H1426" s="582" t="s">
        <v>824</v>
      </c>
      <c r="I1426" t="s">
        <v>2354</v>
      </c>
      <c r="J1426">
        <v>5.55</v>
      </c>
      <c r="K1426" t="s">
        <v>1838</v>
      </c>
    </row>
    <row r="1427" spans="1:11" hidden="1" x14ac:dyDescent="0.25">
      <c r="A1427">
        <v>3770394</v>
      </c>
      <c r="B1427" t="s">
        <v>2353</v>
      </c>
      <c r="C1427">
        <v>2.2989999999999999</v>
      </c>
      <c r="D1427" t="s">
        <v>362</v>
      </c>
      <c r="E1427" t="s">
        <v>71</v>
      </c>
      <c r="F1427">
        <v>2290</v>
      </c>
      <c r="G1427" s="582" t="s">
        <v>10</v>
      </c>
      <c r="H1427" s="582" t="s">
        <v>824</v>
      </c>
      <c r="I1427" t="s">
        <v>2354</v>
      </c>
      <c r="J1427">
        <v>5.55</v>
      </c>
      <c r="K1427" t="s">
        <v>1838</v>
      </c>
    </row>
    <row r="1428" spans="1:11" hidden="1" x14ac:dyDescent="0.25">
      <c r="A1428">
        <v>3770394</v>
      </c>
      <c r="B1428" t="s">
        <v>2353</v>
      </c>
      <c r="C1428">
        <v>2.2989999999999999</v>
      </c>
      <c r="D1428" t="s">
        <v>362</v>
      </c>
      <c r="E1428" t="s">
        <v>71</v>
      </c>
      <c r="F1428">
        <v>2291</v>
      </c>
      <c r="G1428" s="582" t="s">
        <v>10</v>
      </c>
      <c r="H1428" s="582" t="s">
        <v>824</v>
      </c>
      <c r="I1428" t="s">
        <v>2354</v>
      </c>
      <c r="J1428">
        <v>5.55</v>
      </c>
      <c r="K1428" t="s">
        <v>1838</v>
      </c>
    </row>
    <row r="1429" spans="1:11" hidden="1" x14ac:dyDescent="0.25">
      <c r="A1429">
        <v>3770394</v>
      </c>
      <c r="B1429" t="s">
        <v>2353</v>
      </c>
      <c r="C1429">
        <v>1.196</v>
      </c>
      <c r="D1429" t="s">
        <v>362</v>
      </c>
      <c r="E1429" t="s">
        <v>71</v>
      </c>
      <c r="F1429">
        <v>2292</v>
      </c>
      <c r="G1429" s="582" t="s">
        <v>10</v>
      </c>
      <c r="H1429" s="582" t="s">
        <v>824</v>
      </c>
      <c r="I1429" t="s">
        <v>2354</v>
      </c>
      <c r="J1429">
        <v>5.55</v>
      </c>
      <c r="K1429" t="s">
        <v>1838</v>
      </c>
    </row>
    <row r="1430" spans="1:11" hidden="1" x14ac:dyDescent="0.25">
      <c r="A1430">
        <v>3770394</v>
      </c>
      <c r="B1430" t="s">
        <v>2353</v>
      </c>
      <c r="C1430">
        <v>1.012</v>
      </c>
      <c r="D1430" t="s">
        <v>362</v>
      </c>
      <c r="E1430" t="s">
        <v>71</v>
      </c>
      <c r="F1430">
        <v>2293</v>
      </c>
      <c r="G1430" s="582" t="s">
        <v>10</v>
      </c>
      <c r="H1430" s="582" t="s">
        <v>824</v>
      </c>
      <c r="I1430" t="s">
        <v>2354</v>
      </c>
      <c r="J1430">
        <v>5.55</v>
      </c>
      <c r="K1430" t="s">
        <v>1838</v>
      </c>
    </row>
    <row r="1431" spans="1:11" hidden="1" x14ac:dyDescent="0.25">
      <c r="A1431">
        <v>3770394</v>
      </c>
      <c r="B1431" t="s">
        <v>2353</v>
      </c>
      <c r="C1431">
        <v>2.2989999999999999</v>
      </c>
      <c r="D1431" t="s">
        <v>362</v>
      </c>
      <c r="E1431" t="s">
        <v>71</v>
      </c>
      <c r="F1431">
        <v>2294</v>
      </c>
      <c r="G1431" s="582" t="s">
        <v>10</v>
      </c>
      <c r="H1431" s="582" t="s">
        <v>824</v>
      </c>
      <c r="I1431" t="s">
        <v>2354</v>
      </c>
      <c r="J1431">
        <v>5.55</v>
      </c>
      <c r="K1431" t="s">
        <v>1838</v>
      </c>
    </row>
    <row r="1432" spans="1:11" hidden="1" x14ac:dyDescent="0.25">
      <c r="A1432">
        <v>3770394</v>
      </c>
      <c r="B1432" t="s">
        <v>2353</v>
      </c>
      <c r="C1432">
        <v>2.2989999999999999</v>
      </c>
      <c r="D1432" t="s">
        <v>362</v>
      </c>
      <c r="E1432" t="s">
        <v>71</v>
      </c>
      <c r="F1432">
        <v>2295</v>
      </c>
      <c r="G1432" s="582" t="s">
        <v>10</v>
      </c>
      <c r="H1432" s="582" t="s">
        <v>824</v>
      </c>
      <c r="I1432" t="s">
        <v>2354</v>
      </c>
      <c r="J1432">
        <v>5.55</v>
      </c>
      <c r="K1432" t="s">
        <v>1838</v>
      </c>
    </row>
    <row r="1433" spans="1:11" hidden="1" x14ac:dyDescent="0.25">
      <c r="A1433">
        <v>3770394</v>
      </c>
      <c r="B1433" t="s">
        <v>2353</v>
      </c>
      <c r="C1433">
        <v>1.196</v>
      </c>
      <c r="D1433" t="s">
        <v>362</v>
      </c>
      <c r="E1433" t="s">
        <v>71</v>
      </c>
      <c r="F1433">
        <v>2296</v>
      </c>
      <c r="G1433" s="582" t="s">
        <v>10</v>
      </c>
      <c r="H1433" s="582" t="s">
        <v>824</v>
      </c>
      <c r="I1433" t="s">
        <v>2354</v>
      </c>
      <c r="J1433">
        <v>5.55</v>
      </c>
      <c r="K1433" t="s">
        <v>1838</v>
      </c>
    </row>
    <row r="1434" spans="1:11" hidden="1" x14ac:dyDescent="0.25">
      <c r="A1434">
        <v>3770394</v>
      </c>
      <c r="B1434" t="s">
        <v>2353</v>
      </c>
      <c r="C1434">
        <v>1.625</v>
      </c>
      <c r="D1434" t="s">
        <v>362</v>
      </c>
      <c r="E1434" t="s">
        <v>71</v>
      </c>
      <c r="F1434">
        <v>2297</v>
      </c>
      <c r="G1434" s="582" t="s">
        <v>10</v>
      </c>
      <c r="H1434" s="582" t="s">
        <v>824</v>
      </c>
      <c r="I1434" t="s">
        <v>2354</v>
      </c>
      <c r="J1434">
        <v>5.55</v>
      </c>
      <c r="K1434" t="s">
        <v>1838</v>
      </c>
    </row>
    <row r="1435" spans="1:11" hidden="1" x14ac:dyDescent="0.25">
      <c r="A1435">
        <v>3770394</v>
      </c>
      <c r="B1435" t="s">
        <v>2353</v>
      </c>
      <c r="C1435">
        <v>2.1309999999999998</v>
      </c>
      <c r="D1435" t="s">
        <v>362</v>
      </c>
      <c r="E1435" t="s">
        <v>71</v>
      </c>
      <c r="F1435">
        <v>2298</v>
      </c>
      <c r="G1435" s="582" t="s">
        <v>10</v>
      </c>
      <c r="H1435" s="582" t="s">
        <v>824</v>
      </c>
      <c r="I1435" t="s">
        <v>2354</v>
      </c>
      <c r="J1435">
        <v>5.55</v>
      </c>
      <c r="K1435" t="s">
        <v>1838</v>
      </c>
    </row>
    <row r="1436" spans="1:11" hidden="1" x14ac:dyDescent="0.25">
      <c r="A1436">
        <v>3770394</v>
      </c>
      <c r="B1436" t="s">
        <v>2353</v>
      </c>
      <c r="C1436">
        <v>2.2989999999999999</v>
      </c>
      <c r="D1436" t="s">
        <v>362</v>
      </c>
      <c r="E1436" t="s">
        <v>71</v>
      </c>
      <c r="F1436">
        <v>2299</v>
      </c>
      <c r="G1436" s="582" t="s">
        <v>10</v>
      </c>
      <c r="H1436" s="582" t="s">
        <v>824</v>
      </c>
      <c r="I1436" t="s">
        <v>2354</v>
      </c>
      <c r="J1436">
        <v>5.55</v>
      </c>
      <c r="K1436" t="s">
        <v>1838</v>
      </c>
    </row>
    <row r="1437" spans="1:11" hidden="1" x14ac:dyDescent="0.25">
      <c r="A1437">
        <v>3770394</v>
      </c>
      <c r="B1437" t="s">
        <v>2353</v>
      </c>
      <c r="C1437">
        <v>2.0230000000000001</v>
      </c>
      <c r="D1437" t="s">
        <v>362</v>
      </c>
      <c r="E1437" t="s">
        <v>71</v>
      </c>
      <c r="F1437">
        <v>2300</v>
      </c>
      <c r="G1437" s="582" t="s">
        <v>10</v>
      </c>
      <c r="H1437" s="582" t="s">
        <v>824</v>
      </c>
      <c r="I1437" t="s">
        <v>2354</v>
      </c>
      <c r="J1437">
        <v>5.55</v>
      </c>
      <c r="K1437" t="s">
        <v>1838</v>
      </c>
    </row>
    <row r="1438" spans="1:11" hidden="1" x14ac:dyDescent="0.25">
      <c r="A1438">
        <v>3770394</v>
      </c>
      <c r="B1438" t="s">
        <v>2353</v>
      </c>
      <c r="C1438">
        <v>2.1920000000000002</v>
      </c>
      <c r="D1438" t="s">
        <v>362</v>
      </c>
      <c r="E1438" t="s">
        <v>71</v>
      </c>
      <c r="F1438">
        <v>2301</v>
      </c>
      <c r="G1438" s="582" t="s">
        <v>10</v>
      </c>
      <c r="H1438" s="582" t="s">
        <v>824</v>
      </c>
      <c r="I1438" t="s">
        <v>2354</v>
      </c>
      <c r="J1438">
        <v>5.55</v>
      </c>
      <c r="K1438" t="s">
        <v>1838</v>
      </c>
    </row>
    <row r="1439" spans="1:11" hidden="1" x14ac:dyDescent="0.25">
      <c r="A1439">
        <v>3770394</v>
      </c>
      <c r="B1439" t="s">
        <v>2353</v>
      </c>
      <c r="C1439">
        <v>2.2069999999999999</v>
      </c>
      <c r="D1439" t="s">
        <v>362</v>
      </c>
      <c r="E1439" t="s">
        <v>71</v>
      </c>
      <c r="F1439">
        <v>2302</v>
      </c>
      <c r="G1439" s="582" t="s">
        <v>10</v>
      </c>
      <c r="H1439" s="582" t="s">
        <v>824</v>
      </c>
      <c r="I1439" t="s">
        <v>2354</v>
      </c>
      <c r="J1439">
        <v>5.55</v>
      </c>
      <c r="K1439" t="s">
        <v>1838</v>
      </c>
    </row>
    <row r="1440" spans="1:11" hidden="1" x14ac:dyDescent="0.25">
      <c r="A1440">
        <v>3770394</v>
      </c>
      <c r="B1440" t="s">
        <v>2353</v>
      </c>
      <c r="C1440">
        <v>2.069</v>
      </c>
      <c r="D1440" t="s">
        <v>362</v>
      </c>
      <c r="E1440" t="s">
        <v>71</v>
      </c>
      <c r="F1440">
        <v>2303</v>
      </c>
      <c r="G1440" s="582" t="s">
        <v>10</v>
      </c>
      <c r="H1440" s="582" t="s">
        <v>824</v>
      </c>
      <c r="I1440" t="s">
        <v>2354</v>
      </c>
      <c r="J1440">
        <v>5.55</v>
      </c>
      <c r="K1440" t="s">
        <v>1838</v>
      </c>
    </row>
    <row r="1441" spans="1:11" hidden="1" x14ac:dyDescent="0.25">
      <c r="A1441">
        <v>3770394</v>
      </c>
      <c r="B1441" t="s">
        <v>2353</v>
      </c>
      <c r="C1441">
        <v>2.2069999999999999</v>
      </c>
      <c r="D1441" t="s">
        <v>362</v>
      </c>
      <c r="E1441" t="s">
        <v>71</v>
      </c>
      <c r="F1441">
        <v>2304</v>
      </c>
      <c r="G1441" s="582" t="s">
        <v>10</v>
      </c>
      <c r="H1441" s="582" t="s">
        <v>824</v>
      </c>
      <c r="I1441" t="s">
        <v>2354</v>
      </c>
      <c r="J1441">
        <v>5.55</v>
      </c>
      <c r="K1441" t="s">
        <v>1838</v>
      </c>
    </row>
    <row r="1442" spans="1:11" hidden="1" x14ac:dyDescent="0.25">
      <c r="A1442">
        <v>3770394</v>
      </c>
      <c r="B1442" t="s">
        <v>2353</v>
      </c>
      <c r="C1442">
        <v>2.2989999999999999</v>
      </c>
      <c r="D1442" t="s">
        <v>362</v>
      </c>
      <c r="E1442" t="s">
        <v>71</v>
      </c>
      <c r="F1442">
        <v>2305</v>
      </c>
      <c r="G1442" s="582" t="s">
        <v>10</v>
      </c>
      <c r="H1442" s="582" t="s">
        <v>824</v>
      </c>
      <c r="I1442" t="s">
        <v>2354</v>
      </c>
      <c r="J1442">
        <v>5.55</v>
      </c>
      <c r="K1442" t="s">
        <v>1838</v>
      </c>
    </row>
    <row r="1443" spans="1:11" hidden="1" x14ac:dyDescent="0.25">
      <c r="A1443">
        <v>3770394</v>
      </c>
      <c r="B1443" t="s">
        <v>2353</v>
      </c>
      <c r="C1443">
        <v>2.2989999999999999</v>
      </c>
      <c r="D1443" t="s">
        <v>362</v>
      </c>
      <c r="E1443" t="s">
        <v>71</v>
      </c>
      <c r="F1443">
        <v>2306</v>
      </c>
      <c r="G1443" s="582" t="s">
        <v>10</v>
      </c>
      <c r="H1443" s="582" t="s">
        <v>824</v>
      </c>
      <c r="I1443" t="s">
        <v>2354</v>
      </c>
      <c r="J1443">
        <v>5.55</v>
      </c>
      <c r="K1443" t="s">
        <v>1838</v>
      </c>
    </row>
    <row r="1444" spans="1:11" hidden="1" x14ac:dyDescent="0.25">
      <c r="A1444">
        <v>3770394</v>
      </c>
      <c r="B1444" t="s">
        <v>2353</v>
      </c>
      <c r="C1444">
        <v>2.2989999999999999</v>
      </c>
      <c r="D1444" t="s">
        <v>362</v>
      </c>
      <c r="E1444" t="s">
        <v>71</v>
      </c>
      <c r="F1444">
        <v>2307</v>
      </c>
      <c r="G1444" s="582" t="s">
        <v>10</v>
      </c>
      <c r="H1444" s="582" t="s">
        <v>824</v>
      </c>
      <c r="I1444" t="s">
        <v>2354</v>
      </c>
      <c r="J1444">
        <v>5.55</v>
      </c>
      <c r="K1444" t="s">
        <v>1838</v>
      </c>
    </row>
    <row r="1445" spans="1:11" hidden="1" x14ac:dyDescent="0.25">
      <c r="A1445">
        <v>3770394</v>
      </c>
      <c r="B1445" t="s">
        <v>2353</v>
      </c>
      <c r="C1445">
        <v>1.87</v>
      </c>
      <c r="D1445" t="s">
        <v>362</v>
      </c>
      <c r="E1445" t="s">
        <v>71</v>
      </c>
      <c r="F1445">
        <v>2308</v>
      </c>
      <c r="G1445" s="582" t="s">
        <v>10</v>
      </c>
      <c r="H1445" s="582" t="s">
        <v>824</v>
      </c>
      <c r="I1445" t="s">
        <v>2354</v>
      </c>
      <c r="J1445">
        <v>5.55</v>
      </c>
      <c r="K1445" t="s">
        <v>1838</v>
      </c>
    </row>
    <row r="1446" spans="1:11" hidden="1" x14ac:dyDescent="0.25">
      <c r="A1446">
        <v>3770394</v>
      </c>
      <c r="B1446" t="s">
        <v>2353</v>
      </c>
      <c r="C1446">
        <v>2.2069999999999999</v>
      </c>
      <c r="D1446" t="s">
        <v>362</v>
      </c>
      <c r="E1446" t="s">
        <v>71</v>
      </c>
      <c r="F1446">
        <v>2309</v>
      </c>
      <c r="G1446" s="582" t="s">
        <v>10</v>
      </c>
      <c r="H1446" s="582" t="s">
        <v>824</v>
      </c>
      <c r="I1446" t="s">
        <v>2354</v>
      </c>
      <c r="J1446">
        <v>5.55</v>
      </c>
      <c r="K1446" t="s">
        <v>1838</v>
      </c>
    </row>
    <row r="1447" spans="1:11" hidden="1" x14ac:dyDescent="0.25">
      <c r="A1447">
        <v>3770394</v>
      </c>
      <c r="B1447" t="s">
        <v>2353</v>
      </c>
      <c r="C1447">
        <v>1.5640000000000001</v>
      </c>
      <c r="D1447" t="s">
        <v>362</v>
      </c>
      <c r="E1447" t="s">
        <v>71</v>
      </c>
      <c r="F1447">
        <v>2310</v>
      </c>
      <c r="G1447" s="582" t="s">
        <v>10</v>
      </c>
      <c r="H1447" s="582" t="s">
        <v>824</v>
      </c>
      <c r="I1447" t="s">
        <v>2354</v>
      </c>
      <c r="J1447">
        <v>5.55</v>
      </c>
      <c r="K1447" t="s">
        <v>1838</v>
      </c>
    </row>
    <row r="1448" spans="1:11" hidden="1" x14ac:dyDescent="0.25">
      <c r="A1448">
        <v>3770394</v>
      </c>
      <c r="B1448" t="s">
        <v>2353</v>
      </c>
      <c r="C1448">
        <v>0.90400000000000003</v>
      </c>
      <c r="D1448" t="s">
        <v>362</v>
      </c>
      <c r="E1448" t="s">
        <v>71</v>
      </c>
      <c r="F1448">
        <v>2311</v>
      </c>
      <c r="G1448" s="582" t="s">
        <v>10</v>
      </c>
      <c r="H1448" s="582" t="s">
        <v>824</v>
      </c>
      <c r="I1448" t="s">
        <v>2354</v>
      </c>
      <c r="J1448">
        <v>5.55</v>
      </c>
      <c r="K1448" t="s">
        <v>1838</v>
      </c>
    </row>
    <row r="1449" spans="1:11" hidden="1" x14ac:dyDescent="0.25">
      <c r="A1449">
        <v>3770394</v>
      </c>
      <c r="B1449" t="s">
        <v>2353</v>
      </c>
      <c r="C1449">
        <v>0.53700000000000003</v>
      </c>
      <c r="D1449" t="s">
        <v>362</v>
      </c>
      <c r="E1449" t="s">
        <v>71</v>
      </c>
      <c r="F1449">
        <v>2312</v>
      </c>
      <c r="G1449" s="582" t="s">
        <v>10</v>
      </c>
      <c r="H1449" s="582" t="s">
        <v>824</v>
      </c>
      <c r="I1449" t="s">
        <v>2354</v>
      </c>
      <c r="J1449">
        <v>5.55</v>
      </c>
      <c r="K1449" t="s">
        <v>1838</v>
      </c>
    </row>
    <row r="1450" spans="1:11" hidden="1" x14ac:dyDescent="0.25">
      <c r="A1450">
        <v>3770394</v>
      </c>
      <c r="B1450" t="s">
        <v>2353</v>
      </c>
      <c r="C1450">
        <v>3.9550000000000001</v>
      </c>
      <c r="D1450" t="s">
        <v>362</v>
      </c>
      <c r="E1450" t="s">
        <v>71</v>
      </c>
      <c r="F1450">
        <v>2313</v>
      </c>
      <c r="G1450" s="582" t="s">
        <v>10</v>
      </c>
      <c r="H1450" s="582" t="s">
        <v>824</v>
      </c>
      <c r="I1450" t="s">
        <v>2354</v>
      </c>
      <c r="J1450">
        <v>5.55</v>
      </c>
      <c r="K1450" t="s">
        <v>1838</v>
      </c>
    </row>
    <row r="1451" spans="1:11" hidden="1" x14ac:dyDescent="0.25">
      <c r="A1451">
        <v>3770394</v>
      </c>
      <c r="B1451" t="s">
        <v>2353</v>
      </c>
      <c r="C1451">
        <v>2.2989999999999999</v>
      </c>
      <c r="D1451" t="s">
        <v>362</v>
      </c>
      <c r="E1451" t="s">
        <v>71</v>
      </c>
      <c r="F1451">
        <v>2314</v>
      </c>
      <c r="G1451" s="582" t="s">
        <v>10</v>
      </c>
      <c r="H1451" s="582" t="s">
        <v>824</v>
      </c>
      <c r="I1451" t="s">
        <v>2354</v>
      </c>
      <c r="J1451">
        <v>5.55</v>
      </c>
      <c r="K1451" t="s">
        <v>1838</v>
      </c>
    </row>
    <row r="1452" spans="1:11" hidden="1" x14ac:dyDescent="0.25">
      <c r="A1452">
        <v>3770394</v>
      </c>
      <c r="B1452" t="s">
        <v>2353</v>
      </c>
      <c r="C1452">
        <v>3.9550000000000001</v>
      </c>
      <c r="D1452" t="s">
        <v>362</v>
      </c>
      <c r="E1452" t="s">
        <v>71</v>
      </c>
      <c r="F1452">
        <v>2315</v>
      </c>
      <c r="G1452" s="582" t="s">
        <v>10</v>
      </c>
      <c r="H1452" s="582" t="s">
        <v>824</v>
      </c>
      <c r="I1452" t="s">
        <v>2354</v>
      </c>
      <c r="J1452">
        <v>5.55</v>
      </c>
      <c r="K1452" t="s">
        <v>1838</v>
      </c>
    </row>
    <row r="1453" spans="1:11" hidden="1" x14ac:dyDescent="0.25">
      <c r="A1453">
        <v>3770394</v>
      </c>
      <c r="B1453" t="s">
        <v>2353</v>
      </c>
      <c r="C1453">
        <v>1.778</v>
      </c>
      <c r="D1453" t="s">
        <v>362</v>
      </c>
      <c r="E1453" t="s">
        <v>71</v>
      </c>
      <c r="F1453">
        <v>2316</v>
      </c>
      <c r="G1453" s="582" t="s">
        <v>10</v>
      </c>
      <c r="H1453" s="582" t="s">
        <v>824</v>
      </c>
      <c r="I1453" t="s">
        <v>2354</v>
      </c>
      <c r="J1453">
        <v>5.55</v>
      </c>
      <c r="K1453" t="s">
        <v>1838</v>
      </c>
    </row>
    <row r="1454" spans="1:11" hidden="1" x14ac:dyDescent="0.25">
      <c r="A1454">
        <v>3770394</v>
      </c>
      <c r="B1454" t="s">
        <v>2353</v>
      </c>
      <c r="C1454">
        <v>3.5870000000000002</v>
      </c>
      <c r="D1454" t="s">
        <v>362</v>
      </c>
      <c r="E1454" t="s">
        <v>71</v>
      </c>
      <c r="F1454">
        <v>2317</v>
      </c>
      <c r="G1454" s="582" t="s">
        <v>10</v>
      </c>
      <c r="H1454" s="582" t="s">
        <v>824</v>
      </c>
      <c r="I1454" t="s">
        <v>2354</v>
      </c>
      <c r="J1454">
        <v>5.55</v>
      </c>
      <c r="K1454" t="s">
        <v>1838</v>
      </c>
    </row>
    <row r="1455" spans="1:11" hidden="1" x14ac:dyDescent="0.25">
      <c r="A1455">
        <v>3770394</v>
      </c>
      <c r="B1455" t="s">
        <v>2353</v>
      </c>
      <c r="C1455">
        <v>2.2069999999999999</v>
      </c>
      <c r="D1455" t="s">
        <v>362</v>
      </c>
      <c r="E1455" t="s">
        <v>71</v>
      </c>
      <c r="F1455">
        <v>2318</v>
      </c>
      <c r="G1455" s="582" t="s">
        <v>10</v>
      </c>
      <c r="H1455" s="582" t="s">
        <v>824</v>
      </c>
      <c r="I1455" t="s">
        <v>2354</v>
      </c>
      <c r="J1455">
        <v>5.55</v>
      </c>
      <c r="K1455" t="s">
        <v>1838</v>
      </c>
    </row>
    <row r="1456" spans="1:11" hidden="1" x14ac:dyDescent="0.25">
      <c r="A1456">
        <v>3770398</v>
      </c>
      <c r="B1456" t="s">
        <v>2357</v>
      </c>
      <c r="C1456">
        <v>1.804</v>
      </c>
      <c r="D1456" t="s">
        <v>362</v>
      </c>
      <c r="E1456" t="s">
        <v>30</v>
      </c>
      <c r="F1456">
        <v>2319</v>
      </c>
      <c r="G1456" s="582" t="s">
        <v>10</v>
      </c>
      <c r="H1456" s="582" t="s">
        <v>827</v>
      </c>
      <c r="I1456" t="s">
        <v>2342</v>
      </c>
      <c r="J1456">
        <v>5.95</v>
      </c>
      <c r="K1456" t="s">
        <v>1838</v>
      </c>
    </row>
    <row r="1457" spans="1:11" hidden="1" x14ac:dyDescent="0.25">
      <c r="A1457">
        <v>3770398</v>
      </c>
      <c r="B1457" t="s">
        <v>2357</v>
      </c>
      <c r="C1457">
        <v>1.2729999999999999</v>
      </c>
      <c r="D1457" t="s">
        <v>362</v>
      </c>
      <c r="E1457" t="s">
        <v>30</v>
      </c>
      <c r="F1457">
        <v>2320</v>
      </c>
      <c r="G1457" s="582" t="s">
        <v>10</v>
      </c>
      <c r="H1457" s="582" t="s">
        <v>827</v>
      </c>
      <c r="I1457" t="s">
        <v>2342</v>
      </c>
      <c r="J1457">
        <v>5.95</v>
      </c>
      <c r="K1457" t="s">
        <v>1838</v>
      </c>
    </row>
    <row r="1458" spans="1:11" x14ac:dyDescent="0.25">
      <c r="A1458">
        <v>3775569</v>
      </c>
      <c r="B1458" t="s">
        <v>595</v>
      </c>
      <c r="C1458">
        <v>1.7450000000000001</v>
      </c>
      <c r="D1458" t="s">
        <v>362</v>
      </c>
      <c r="E1458" t="s">
        <v>61</v>
      </c>
      <c r="F1458">
        <v>2332</v>
      </c>
      <c r="G1458" s="582" t="s">
        <v>10</v>
      </c>
      <c r="H1458" s="582" t="s">
        <v>590</v>
      </c>
      <c r="I1458" t="s">
        <v>596</v>
      </c>
      <c r="J1458">
        <v>6.2</v>
      </c>
      <c r="K1458" t="s">
        <v>1838</v>
      </c>
    </row>
    <row r="1459" spans="1:11" x14ac:dyDescent="0.25">
      <c r="A1459">
        <v>3775569</v>
      </c>
      <c r="B1459" t="s">
        <v>595</v>
      </c>
      <c r="C1459">
        <v>1.6819999999999999</v>
      </c>
      <c r="D1459" t="s">
        <v>362</v>
      </c>
      <c r="E1459" t="s">
        <v>61</v>
      </c>
      <c r="F1459">
        <v>2333</v>
      </c>
      <c r="G1459" s="582" t="s">
        <v>10</v>
      </c>
      <c r="H1459" s="582" t="s">
        <v>590</v>
      </c>
      <c r="I1459" t="s">
        <v>596</v>
      </c>
      <c r="J1459">
        <v>6.2</v>
      </c>
      <c r="K1459" t="s">
        <v>1838</v>
      </c>
    </row>
    <row r="1460" spans="1:11" x14ac:dyDescent="0.25">
      <c r="A1460">
        <v>3775569</v>
      </c>
      <c r="B1460" t="s">
        <v>595</v>
      </c>
      <c r="C1460">
        <v>0.78200000000000003</v>
      </c>
      <c r="D1460" t="s">
        <v>362</v>
      </c>
      <c r="E1460" t="s">
        <v>61</v>
      </c>
      <c r="F1460">
        <v>2334</v>
      </c>
      <c r="G1460" s="582" t="s">
        <v>10</v>
      </c>
      <c r="H1460" s="582" t="s">
        <v>590</v>
      </c>
      <c r="I1460" t="s">
        <v>596</v>
      </c>
      <c r="J1460">
        <v>6.2</v>
      </c>
      <c r="K1460" t="s">
        <v>1838</v>
      </c>
    </row>
    <row r="1461" spans="1:11" x14ac:dyDescent="0.25">
      <c r="A1461">
        <v>3775569</v>
      </c>
      <c r="B1461" t="s">
        <v>595</v>
      </c>
      <c r="C1461">
        <v>1.69</v>
      </c>
      <c r="D1461" t="s">
        <v>362</v>
      </c>
      <c r="E1461" t="s">
        <v>61</v>
      </c>
      <c r="F1461">
        <v>2335</v>
      </c>
      <c r="G1461" s="582" t="s">
        <v>10</v>
      </c>
      <c r="H1461" s="582" t="s">
        <v>590</v>
      </c>
      <c r="I1461" t="s">
        <v>596</v>
      </c>
      <c r="J1461">
        <v>6.2</v>
      </c>
      <c r="K1461" t="s">
        <v>1838</v>
      </c>
    </row>
    <row r="1462" spans="1:11" x14ac:dyDescent="0.25">
      <c r="A1462">
        <v>3775569</v>
      </c>
      <c r="B1462" t="s">
        <v>595</v>
      </c>
      <c r="C1462">
        <v>1.103</v>
      </c>
      <c r="D1462" t="s">
        <v>362</v>
      </c>
      <c r="E1462" t="s">
        <v>61</v>
      </c>
      <c r="F1462">
        <v>2336</v>
      </c>
      <c r="G1462" s="582" t="s">
        <v>10</v>
      </c>
      <c r="H1462" s="582" t="s">
        <v>590</v>
      </c>
      <c r="I1462" t="s">
        <v>596</v>
      </c>
      <c r="J1462">
        <v>6.2</v>
      </c>
      <c r="K1462" t="s">
        <v>1838</v>
      </c>
    </row>
    <row r="1463" spans="1:11" hidden="1" x14ac:dyDescent="0.25">
      <c r="A1463">
        <v>3775631</v>
      </c>
      <c r="B1463" t="s">
        <v>2385</v>
      </c>
      <c r="C1463">
        <v>1.079</v>
      </c>
      <c r="D1463" t="s">
        <v>362</v>
      </c>
      <c r="E1463" t="s">
        <v>30</v>
      </c>
      <c r="F1463">
        <v>2337</v>
      </c>
      <c r="G1463" s="582" t="s">
        <v>10</v>
      </c>
      <c r="H1463" s="582" t="s">
        <v>869</v>
      </c>
      <c r="I1463" t="s">
        <v>2386</v>
      </c>
      <c r="J1463">
        <v>6.15</v>
      </c>
      <c r="K1463" t="s">
        <v>1838</v>
      </c>
    </row>
    <row r="1464" spans="1:11" hidden="1" x14ac:dyDescent="0.25">
      <c r="A1464">
        <v>3777563</v>
      </c>
      <c r="B1464" t="s">
        <v>2391</v>
      </c>
      <c r="C1464">
        <v>3.45</v>
      </c>
      <c r="D1464" t="s">
        <v>362</v>
      </c>
      <c r="E1464" t="s">
        <v>151</v>
      </c>
      <c r="F1464">
        <v>2338</v>
      </c>
      <c r="G1464" s="582" t="s">
        <v>10</v>
      </c>
      <c r="H1464" s="582" t="s">
        <v>920</v>
      </c>
      <c r="I1464" t="s">
        <v>2392</v>
      </c>
      <c r="J1464">
        <v>5.79</v>
      </c>
      <c r="K1464" t="s">
        <v>1838</v>
      </c>
    </row>
    <row r="1465" spans="1:11" hidden="1" x14ac:dyDescent="0.25">
      <c r="A1465">
        <v>3777563</v>
      </c>
      <c r="B1465" t="s">
        <v>2391</v>
      </c>
      <c r="C1465">
        <v>3.254</v>
      </c>
      <c r="D1465" t="s">
        <v>362</v>
      </c>
      <c r="E1465" t="s">
        <v>151</v>
      </c>
      <c r="F1465">
        <v>2339</v>
      </c>
      <c r="G1465" s="582" t="s">
        <v>10</v>
      </c>
      <c r="H1465" s="582" t="s">
        <v>920</v>
      </c>
      <c r="I1465" t="s">
        <v>2392</v>
      </c>
      <c r="J1465">
        <v>5.79</v>
      </c>
      <c r="K1465" t="s">
        <v>1838</v>
      </c>
    </row>
    <row r="1466" spans="1:11" hidden="1" x14ac:dyDescent="0.25">
      <c r="A1466">
        <v>3777563</v>
      </c>
      <c r="B1466" t="s">
        <v>2391</v>
      </c>
      <c r="C1466">
        <v>3.472</v>
      </c>
      <c r="D1466" t="s">
        <v>362</v>
      </c>
      <c r="E1466" t="s">
        <v>151</v>
      </c>
      <c r="F1466">
        <v>2340</v>
      </c>
      <c r="G1466" s="582" t="s">
        <v>10</v>
      </c>
      <c r="H1466" s="582" t="s">
        <v>920</v>
      </c>
      <c r="I1466" t="s">
        <v>2392</v>
      </c>
      <c r="J1466">
        <v>5.79</v>
      </c>
      <c r="K1466" t="s">
        <v>1838</v>
      </c>
    </row>
    <row r="1467" spans="1:11" hidden="1" x14ac:dyDescent="0.25">
      <c r="A1467">
        <v>3777563</v>
      </c>
      <c r="B1467" t="s">
        <v>2391</v>
      </c>
      <c r="C1467">
        <v>3.3849999999999998</v>
      </c>
      <c r="D1467" t="s">
        <v>362</v>
      </c>
      <c r="E1467" t="s">
        <v>151</v>
      </c>
      <c r="F1467">
        <v>2341</v>
      </c>
      <c r="G1467" s="582" t="s">
        <v>10</v>
      </c>
      <c r="H1467" s="582" t="s">
        <v>920</v>
      </c>
      <c r="I1467" t="s">
        <v>2392</v>
      </c>
      <c r="J1467">
        <v>5.79</v>
      </c>
      <c r="K1467" t="s">
        <v>1838</v>
      </c>
    </row>
    <row r="1468" spans="1:11" hidden="1" x14ac:dyDescent="0.25">
      <c r="A1468">
        <v>3500959</v>
      </c>
      <c r="B1468" t="s">
        <v>1651</v>
      </c>
      <c r="C1468">
        <v>2.1314169999999999</v>
      </c>
      <c r="D1468">
        <v>8406</v>
      </c>
      <c r="E1468" t="s">
        <v>124</v>
      </c>
      <c r="F1468">
        <v>2342</v>
      </c>
      <c r="G1468" s="582" t="s">
        <v>125</v>
      </c>
      <c r="H1468" s="582" t="s">
        <v>860</v>
      </c>
      <c r="I1468" t="s">
        <v>2199</v>
      </c>
      <c r="J1468">
        <v>5.65</v>
      </c>
      <c r="K1468" t="s">
        <v>1838</v>
      </c>
    </row>
    <row r="1469" spans="1:11" hidden="1" x14ac:dyDescent="0.25">
      <c r="A1469">
        <v>3500959</v>
      </c>
      <c r="B1469" t="s">
        <v>1651</v>
      </c>
      <c r="C1469">
        <v>2.1314169999999999</v>
      </c>
      <c r="D1469">
        <v>8406</v>
      </c>
      <c r="E1469" t="s">
        <v>124</v>
      </c>
      <c r="F1469">
        <v>2343</v>
      </c>
      <c r="G1469" s="582" t="s">
        <v>125</v>
      </c>
      <c r="H1469" s="582" t="s">
        <v>860</v>
      </c>
      <c r="I1469" t="s">
        <v>2199</v>
      </c>
      <c r="J1469">
        <v>5.65</v>
      </c>
      <c r="K1469" t="s">
        <v>1838</v>
      </c>
    </row>
    <row r="1470" spans="1:11" hidden="1" x14ac:dyDescent="0.25">
      <c r="A1470">
        <v>3500959</v>
      </c>
      <c r="B1470" t="s">
        <v>1651</v>
      </c>
      <c r="C1470">
        <v>2.1314169999999999</v>
      </c>
      <c r="D1470">
        <v>8406</v>
      </c>
      <c r="E1470" t="s">
        <v>124</v>
      </c>
      <c r="F1470">
        <v>2344</v>
      </c>
      <c r="G1470" s="582" t="s">
        <v>125</v>
      </c>
      <c r="H1470" s="582" t="s">
        <v>860</v>
      </c>
      <c r="I1470" t="s">
        <v>2199</v>
      </c>
      <c r="J1470">
        <v>5.65</v>
      </c>
      <c r="K1470" t="s">
        <v>1838</v>
      </c>
    </row>
    <row r="1471" spans="1:11" hidden="1" x14ac:dyDescent="0.25">
      <c r="A1471">
        <v>3500959</v>
      </c>
      <c r="B1471" t="s">
        <v>1651</v>
      </c>
      <c r="C1471">
        <v>2.1314169999999999</v>
      </c>
      <c r="D1471">
        <v>8406</v>
      </c>
      <c r="E1471" t="s">
        <v>124</v>
      </c>
      <c r="F1471">
        <v>2345</v>
      </c>
      <c r="G1471" s="582" t="s">
        <v>125</v>
      </c>
      <c r="H1471" s="582" t="s">
        <v>860</v>
      </c>
      <c r="I1471" t="s">
        <v>2199</v>
      </c>
      <c r="J1471">
        <v>5.65</v>
      </c>
      <c r="K1471" t="s">
        <v>1838</v>
      </c>
    </row>
    <row r="1472" spans="1:11" hidden="1" x14ac:dyDescent="0.25">
      <c r="A1472">
        <v>3500959</v>
      </c>
      <c r="B1472" t="s">
        <v>1651</v>
      </c>
      <c r="C1472">
        <v>2.1117730000000003</v>
      </c>
      <c r="D1472">
        <v>8406</v>
      </c>
      <c r="E1472" t="s">
        <v>124</v>
      </c>
      <c r="F1472">
        <v>2346</v>
      </c>
      <c r="G1472" s="582" t="s">
        <v>125</v>
      </c>
      <c r="H1472" s="582" t="s">
        <v>860</v>
      </c>
      <c r="I1472" t="s">
        <v>2199</v>
      </c>
      <c r="J1472">
        <v>5.65</v>
      </c>
      <c r="K1472" t="s">
        <v>1838</v>
      </c>
    </row>
    <row r="1473" spans="1:11" hidden="1" x14ac:dyDescent="0.25">
      <c r="A1473">
        <v>3500959</v>
      </c>
      <c r="B1473" t="s">
        <v>1651</v>
      </c>
      <c r="C1473">
        <v>2.1117730000000003</v>
      </c>
      <c r="D1473">
        <v>8406</v>
      </c>
      <c r="E1473" t="s">
        <v>124</v>
      </c>
      <c r="F1473">
        <v>2347</v>
      </c>
      <c r="G1473" s="582" t="s">
        <v>125</v>
      </c>
      <c r="H1473" s="582" t="s">
        <v>860</v>
      </c>
      <c r="I1473" t="s">
        <v>2199</v>
      </c>
      <c r="J1473">
        <v>5.65</v>
      </c>
      <c r="K1473" t="s">
        <v>1838</v>
      </c>
    </row>
    <row r="1474" spans="1:11" hidden="1" x14ac:dyDescent="0.25">
      <c r="A1474">
        <v>3500959</v>
      </c>
      <c r="B1474" t="s">
        <v>1651</v>
      </c>
      <c r="C1474">
        <v>2.1019510000000001</v>
      </c>
      <c r="D1474">
        <v>8406</v>
      </c>
      <c r="E1474" t="s">
        <v>124</v>
      </c>
      <c r="F1474">
        <v>2348</v>
      </c>
      <c r="G1474" s="582" t="s">
        <v>125</v>
      </c>
      <c r="H1474" s="582" t="s">
        <v>860</v>
      </c>
      <c r="I1474" t="s">
        <v>2199</v>
      </c>
      <c r="J1474">
        <v>5.65</v>
      </c>
      <c r="K1474" t="s">
        <v>1838</v>
      </c>
    </row>
    <row r="1475" spans="1:11" hidden="1" x14ac:dyDescent="0.25">
      <c r="A1475">
        <v>3500959</v>
      </c>
      <c r="B1475" t="s">
        <v>1651</v>
      </c>
      <c r="C1475">
        <v>2.1019510000000001</v>
      </c>
      <c r="D1475">
        <v>8406</v>
      </c>
      <c r="E1475" t="s">
        <v>124</v>
      </c>
      <c r="F1475">
        <v>2349</v>
      </c>
      <c r="G1475" s="582" t="s">
        <v>125</v>
      </c>
      <c r="H1475" s="582" t="s">
        <v>860</v>
      </c>
      <c r="I1475" t="s">
        <v>2199</v>
      </c>
      <c r="J1475">
        <v>5.65</v>
      </c>
      <c r="K1475" t="s">
        <v>1838</v>
      </c>
    </row>
    <row r="1476" spans="1:11" hidden="1" x14ac:dyDescent="0.25">
      <c r="A1476">
        <v>3500959</v>
      </c>
      <c r="B1476" t="s">
        <v>1651</v>
      </c>
      <c r="C1476">
        <v>2.1314169999999999</v>
      </c>
      <c r="D1476">
        <v>8406</v>
      </c>
      <c r="E1476" t="s">
        <v>124</v>
      </c>
      <c r="F1476">
        <v>2350</v>
      </c>
      <c r="G1476" s="582" t="s">
        <v>125</v>
      </c>
      <c r="H1476" s="582" t="s">
        <v>860</v>
      </c>
      <c r="I1476" t="s">
        <v>2199</v>
      </c>
      <c r="J1476">
        <v>5.65</v>
      </c>
      <c r="K1476" t="s">
        <v>1838</v>
      </c>
    </row>
    <row r="1477" spans="1:11" hidden="1" x14ac:dyDescent="0.25">
      <c r="A1477">
        <v>3500959</v>
      </c>
      <c r="B1477" t="s">
        <v>1651</v>
      </c>
      <c r="C1477">
        <v>2.1215949999999997</v>
      </c>
      <c r="D1477">
        <v>8406</v>
      </c>
      <c r="E1477" t="s">
        <v>124</v>
      </c>
      <c r="F1477">
        <v>2351</v>
      </c>
      <c r="G1477" s="582" t="s">
        <v>125</v>
      </c>
      <c r="H1477" s="582" t="s">
        <v>860</v>
      </c>
      <c r="I1477" t="s">
        <v>2199</v>
      </c>
      <c r="J1477">
        <v>5.65</v>
      </c>
      <c r="K1477" t="s">
        <v>1838</v>
      </c>
    </row>
    <row r="1478" spans="1:11" hidden="1" x14ac:dyDescent="0.25">
      <c r="A1478">
        <v>3500959</v>
      </c>
      <c r="B1478" t="s">
        <v>1651</v>
      </c>
      <c r="C1478">
        <v>2.1215949999999997</v>
      </c>
      <c r="D1478">
        <v>8406</v>
      </c>
      <c r="E1478" t="s">
        <v>124</v>
      </c>
      <c r="F1478">
        <v>2352</v>
      </c>
      <c r="G1478" s="582" t="s">
        <v>125</v>
      </c>
      <c r="H1478" s="582" t="s">
        <v>860</v>
      </c>
      <c r="I1478" t="s">
        <v>2199</v>
      </c>
      <c r="J1478">
        <v>5.65</v>
      </c>
      <c r="K1478" t="s">
        <v>1838</v>
      </c>
    </row>
    <row r="1479" spans="1:11" hidden="1" x14ac:dyDescent="0.25">
      <c r="A1479">
        <v>3500959</v>
      </c>
      <c r="B1479" t="s">
        <v>1651</v>
      </c>
      <c r="C1479">
        <v>2.1314169999999999</v>
      </c>
      <c r="D1479">
        <v>8406</v>
      </c>
      <c r="E1479" t="s">
        <v>124</v>
      </c>
      <c r="F1479">
        <v>2353</v>
      </c>
      <c r="G1479" s="582" t="s">
        <v>125</v>
      </c>
      <c r="H1479" s="582" t="s">
        <v>860</v>
      </c>
      <c r="I1479" t="s">
        <v>2199</v>
      </c>
      <c r="J1479">
        <v>5.65</v>
      </c>
      <c r="K1479" t="s">
        <v>1838</v>
      </c>
    </row>
    <row r="1480" spans="1:11" hidden="1" x14ac:dyDescent="0.25">
      <c r="A1480">
        <v>3682063</v>
      </c>
      <c r="B1480" t="s">
        <v>2381</v>
      </c>
      <c r="C1480">
        <v>2.1985300000000003</v>
      </c>
      <c r="D1480">
        <v>8406</v>
      </c>
      <c r="E1480" t="s">
        <v>124</v>
      </c>
      <c r="F1480">
        <v>2354</v>
      </c>
      <c r="G1480" s="582" t="s">
        <v>125</v>
      </c>
      <c r="H1480" s="582" t="s">
        <v>860</v>
      </c>
      <c r="I1480" t="s">
        <v>2199</v>
      </c>
      <c r="J1480">
        <v>5.8010000000000002</v>
      </c>
      <c r="K1480" t="s">
        <v>1838</v>
      </c>
    </row>
    <row r="1481" spans="1:11" hidden="1" x14ac:dyDescent="0.25">
      <c r="A1481">
        <v>3682063</v>
      </c>
      <c r="B1481" t="s">
        <v>2381</v>
      </c>
      <c r="C1481">
        <v>2.1985300000000003</v>
      </c>
      <c r="D1481">
        <v>8406</v>
      </c>
      <c r="E1481" t="s">
        <v>124</v>
      </c>
      <c r="F1481">
        <v>2355</v>
      </c>
      <c r="G1481" s="582" t="s">
        <v>125</v>
      </c>
      <c r="H1481" s="582" t="s">
        <v>860</v>
      </c>
      <c r="I1481" t="s">
        <v>2199</v>
      </c>
      <c r="J1481">
        <v>5.8010000000000002</v>
      </c>
      <c r="K1481" t="s">
        <v>1838</v>
      </c>
    </row>
    <row r="1482" spans="1:11" hidden="1" x14ac:dyDescent="0.25">
      <c r="A1482">
        <v>3682063</v>
      </c>
      <c r="B1482" t="s">
        <v>2381</v>
      </c>
      <c r="C1482">
        <v>2.1985300000000003</v>
      </c>
      <c r="D1482">
        <v>8406</v>
      </c>
      <c r="E1482" t="s">
        <v>124</v>
      </c>
      <c r="F1482">
        <v>2356</v>
      </c>
      <c r="G1482" s="582" t="s">
        <v>125</v>
      </c>
      <c r="H1482" s="582" t="s">
        <v>860</v>
      </c>
      <c r="I1482" t="s">
        <v>2199</v>
      </c>
      <c r="J1482">
        <v>5.8010000000000002</v>
      </c>
      <c r="K1482" t="s">
        <v>1838</v>
      </c>
    </row>
    <row r="1483" spans="1:11" hidden="1" x14ac:dyDescent="0.25">
      <c r="A1483">
        <v>3682063</v>
      </c>
      <c r="B1483" t="s">
        <v>2381</v>
      </c>
      <c r="C1483">
        <v>2.1985300000000003</v>
      </c>
      <c r="D1483">
        <v>8406</v>
      </c>
      <c r="E1483" t="s">
        <v>124</v>
      </c>
      <c r="F1483">
        <v>2357</v>
      </c>
      <c r="G1483" s="582" t="s">
        <v>125</v>
      </c>
      <c r="H1483" s="582" t="s">
        <v>860</v>
      </c>
      <c r="I1483" t="s">
        <v>2199</v>
      </c>
      <c r="J1483">
        <v>5.8010000000000002</v>
      </c>
      <c r="K1483" t="s">
        <v>1838</v>
      </c>
    </row>
    <row r="1484" spans="1:11" hidden="1" x14ac:dyDescent="0.25">
      <c r="A1484">
        <v>3682063</v>
      </c>
      <c r="B1484" t="s">
        <v>2381</v>
      </c>
      <c r="C1484">
        <v>2.1884450000000002</v>
      </c>
      <c r="D1484">
        <v>8406</v>
      </c>
      <c r="E1484" t="s">
        <v>124</v>
      </c>
      <c r="F1484">
        <v>2358</v>
      </c>
      <c r="G1484" s="582" t="s">
        <v>125</v>
      </c>
      <c r="H1484" s="582" t="s">
        <v>860</v>
      </c>
      <c r="I1484" t="s">
        <v>2199</v>
      </c>
      <c r="J1484">
        <v>5.8010000000000002</v>
      </c>
      <c r="K1484" t="s">
        <v>1838</v>
      </c>
    </row>
    <row r="1485" spans="1:11" hidden="1" x14ac:dyDescent="0.25">
      <c r="A1485">
        <v>3682063</v>
      </c>
      <c r="B1485" t="s">
        <v>2381</v>
      </c>
      <c r="C1485">
        <v>2.1884450000000002</v>
      </c>
      <c r="D1485">
        <v>8406</v>
      </c>
      <c r="E1485" t="s">
        <v>124</v>
      </c>
      <c r="F1485">
        <v>2359</v>
      </c>
      <c r="G1485" s="582" t="s">
        <v>125</v>
      </c>
      <c r="H1485" s="582" t="s">
        <v>860</v>
      </c>
      <c r="I1485" t="s">
        <v>2199</v>
      </c>
      <c r="J1485">
        <v>5.8010000000000002</v>
      </c>
      <c r="K1485" t="s">
        <v>1838</v>
      </c>
    </row>
    <row r="1486" spans="1:11" hidden="1" x14ac:dyDescent="0.25">
      <c r="A1486">
        <v>3682063</v>
      </c>
      <c r="B1486" t="s">
        <v>2381</v>
      </c>
      <c r="C1486">
        <v>2.1884450000000002</v>
      </c>
      <c r="D1486">
        <v>8406</v>
      </c>
      <c r="E1486" t="s">
        <v>124</v>
      </c>
      <c r="F1486">
        <v>2360</v>
      </c>
      <c r="G1486" s="582" t="s">
        <v>125</v>
      </c>
      <c r="H1486" s="582" t="s">
        <v>860</v>
      </c>
      <c r="I1486" t="s">
        <v>2199</v>
      </c>
      <c r="J1486">
        <v>5.8010000000000002</v>
      </c>
      <c r="K1486" t="s">
        <v>1838</v>
      </c>
    </row>
    <row r="1487" spans="1:11" hidden="1" x14ac:dyDescent="0.25">
      <c r="A1487">
        <v>3682063</v>
      </c>
      <c r="B1487" t="s">
        <v>2381</v>
      </c>
      <c r="C1487">
        <v>2.1884450000000002</v>
      </c>
      <c r="D1487">
        <v>8406</v>
      </c>
      <c r="E1487" t="s">
        <v>124</v>
      </c>
      <c r="F1487">
        <v>2361</v>
      </c>
      <c r="G1487" s="582" t="s">
        <v>125</v>
      </c>
      <c r="H1487" s="582" t="s">
        <v>860</v>
      </c>
      <c r="I1487" t="s">
        <v>2199</v>
      </c>
      <c r="J1487">
        <v>5.8010000000000002</v>
      </c>
      <c r="K1487" t="s">
        <v>1838</v>
      </c>
    </row>
    <row r="1488" spans="1:11" hidden="1" x14ac:dyDescent="0.25">
      <c r="A1488">
        <v>3682063</v>
      </c>
      <c r="B1488" t="s">
        <v>2381</v>
      </c>
      <c r="C1488">
        <v>2.168275</v>
      </c>
      <c r="D1488">
        <v>8406</v>
      </c>
      <c r="E1488" t="s">
        <v>124</v>
      </c>
      <c r="F1488">
        <v>2362</v>
      </c>
      <c r="G1488" s="582" t="s">
        <v>125</v>
      </c>
      <c r="H1488" s="582" t="s">
        <v>860</v>
      </c>
      <c r="I1488" t="s">
        <v>2199</v>
      </c>
      <c r="J1488">
        <v>5.8010000000000002</v>
      </c>
      <c r="K1488" t="s">
        <v>1838</v>
      </c>
    </row>
    <row r="1489" spans="1:11" hidden="1" x14ac:dyDescent="0.25">
      <c r="A1489">
        <v>3682063</v>
      </c>
      <c r="B1489" t="s">
        <v>2381</v>
      </c>
      <c r="C1489">
        <v>2.1783600000000001</v>
      </c>
      <c r="D1489">
        <v>8406</v>
      </c>
      <c r="E1489" t="s">
        <v>124</v>
      </c>
      <c r="F1489">
        <v>2363</v>
      </c>
      <c r="G1489" s="582" t="s">
        <v>125</v>
      </c>
      <c r="H1489" s="582" t="s">
        <v>860</v>
      </c>
      <c r="I1489" t="s">
        <v>2199</v>
      </c>
      <c r="J1489">
        <v>5.8010000000000002</v>
      </c>
      <c r="K1489" t="s">
        <v>1838</v>
      </c>
    </row>
    <row r="1490" spans="1:11" hidden="1" x14ac:dyDescent="0.25">
      <c r="A1490">
        <v>3682063</v>
      </c>
      <c r="B1490" t="s">
        <v>2381</v>
      </c>
      <c r="C1490">
        <v>1.8354699999999999</v>
      </c>
      <c r="D1490">
        <v>8406</v>
      </c>
      <c r="E1490" t="s">
        <v>124</v>
      </c>
      <c r="F1490">
        <v>2364</v>
      </c>
      <c r="G1490" s="582" t="s">
        <v>125</v>
      </c>
      <c r="H1490" s="582" t="s">
        <v>860</v>
      </c>
      <c r="I1490" t="s">
        <v>2199</v>
      </c>
      <c r="J1490">
        <v>5.8010000000000002</v>
      </c>
      <c r="K1490" t="s">
        <v>1838</v>
      </c>
    </row>
    <row r="1491" spans="1:11" hidden="1" x14ac:dyDescent="0.25">
      <c r="A1491">
        <v>3500714</v>
      </c>
      <c r="B1491" t="s">
        <v>1922</v>
      </c>
      <c r="C1491">
        <v>1.6859999999999999</v>
      </c>
      <c r="D1491">
        <v>8406</v>
      </c>
      <c r="E1491" t="s">
        <v>124</v>
      </c>
      <c r="F1491">
        <v>2374</v>
      </c>
      <c r="G1491" s="582" t="s">
        <v>125</v>
      </c>
      <c r="H1491" s="582" t="s">
        <v>891</v>
      </c>
      <c r="I1491" t="s">
        <v>2364</v>
      </c>
      <c r="J1491">
        <v>5.5</v>
      </c>
      <c r="K1491" t="s">
        <v>1838</v>
      </c>
    </row>
    <row r="1492" spans="1:11" hidden="1" x14ac:dyDescent="0.25">
      <c r="A1492">
        <v>3500714</v>
      </c>
      <c r="B1492" t="s">
        <v>1922</v>
      </c>
      <c r="C1492">
        <v>2.3580000000000001</v>
      </c>
      <c r="D1492">
        <v>8406</v>
      </c>
      <c r="E1492" t="s">
        <v>124</v>
      </c>
      <c r="F1492">
        <v>2375</v>
      </c>
      <c r="G1492" s="582" t="s">
        <v>125</v>
      </c>
      <c r="H1492" s="582" t="s">
        <v>891</v>
      </c>
      <c r="I1492" t="s">
        <v>2364</v>
      </c>
      <c r="J1492">
        <v>5.5</v>
      </c>
      <c r="K1492" t="s">
        <v>1838</v>
      </c>
    </row>
    <row r="1493" spans="1:11" hidden="1" x14ac:dyDescent="0.25">
      <c r="A1493">
        <v>3777563</v>
      </c>
      <c r="B1493" t="s">
        <v>2391</v>
      </c>
      <c r="C1493">
        <v>3.109</v>
      </c>
      <c r="D1493">
        <v>8406</v>
      </c>
      <c r="E1493" t="s">
        <v>124</v>
      </c>
      <c r="F1493">
        <v>2376</v>
      </c>
      <c r="G1493" s="582" t="s">
        <v>125</v>
      </c>
      <c r="H1493" s="582" t="s">
        <v>920</v>
      </c>
      <c r="I1493" t="s">
        <v>2392</v>
      </c>
      <c r="J1493">
        <v>5.79</v>
      </c>
      <c r="K1493" t="s">
        <v>1838</v>
      </c>
    </row>
    <row r="1494" spans="1:11" hidden="1" x14ac:dyDescent="0.25">
      <c r="A1494">
        <v>3777563</v>
      </c>
      <c r="B1494" t="s">
        <v>2391</v>
      </c>
      <c r="C1494">
        <v>3.0880000000000001</v>
      </c>
      <c r="D1494">
        <v>8406</v>
      </c>
      <c r="E1494" t="s">
        <v>124</v>
      </c>
      <c r="F1494">
        <v>2377</v>
      </c>
      <c r="G1494" s="582" t="s">
        <v>125</v>
      </c>
      <c r="H1494" s="582" t="s">
        <v>920</v>
      </c>
      <c r="I1494" t="s">
        <v>2392</v>
      </c>
      <c r="J1494">
        <v>5.79</v>
      </c>
      <c r="K1494" t="s">
        <v>1838</v>
      </c>
    </row>
    <row r="1495" spans="1:11" hidden="1" x14ac:dyDescent="0.25">
      <c r="A1495">
        <v>3777563</v>
      </c>
      <c r="B1495" t="s">
        <v>2391</v>
      </c>
      <c r="C1495">
        <v>0.83</v>
      </c>
      <c r="D1495">
        <v>8406</v>
      </c>
      <c r="E1495" t="s">
        <v>124</v>
      </c>
      <c r="F1495">
        <v>2378</v>
      </c>
      <c r="G1495" s="582" t="s">
        <v>125</v>
      </c>
      <c r="H1495" s="582" t="s">
        <v>920</v>
      </c>
      <c r="I1495" t="s">
        <v>2392</v>
      </c>
      <c r="J1495">
        <v>5.79</v>
      </c>
      <c r="K1495" t="s">
        <v>1838</v>
      </c>
    </row>
    <row r="1496" spans="1:11" hidden="1" x14ac:dyDescent="0.25">
      <c r="A1496">
        <v>3777563</v>
      </c>
      <c r="B1496" t="s">
        <v>2391</v>
      </c>
      <c r="C1496">
        <v>3.2189999999999999</v>
      </c>
      <c r="D1496">
        <v>8406</v>
      </c>
      <c r="E1496" t="s">
        <v>124</v>
      </c>
      <c r="F1496">
        <v>2379</v>
      </c>
      <c r="G1496" s="582" t="s">
        <v>125</v>
      </c>
      <c r="H1496" s="582" t="s">
        <v>920</v>
      </c>
      <c r="I1496" t="s">
        <v>2392</v>
      </c>
      <c r="J1496">
        <v>5.79</v>
      </c>
      <c r="K1496" t="s">
        <v>1838</v>
      </c>
    </row>
    <row r="1497" spans="1:11" hidden="1" x14ac:dyDescent="0.25">
      <c r="A1497">
        <v>1931535</v>
      </c>
      <c r="B1497" t="s">
        <v>781</v>
      </c>
      <c r="C1497">
        <v>0.52700000000000002</v>
      </c>
      <c r="D1497">
        <v>8406</v>
      </c>
      <c r="E1497" t="s">
        <v>124</v>
      </c>
      <c r="F1497">
        <v>2386</v>
      </c>
      <c r="G1497" s="582" t="s">
        <v>125</v>
      </c>
      <c r="H1497" s="582" t="s">
        <v>633</v>
      </c>
      <c r="I1497" t="s">
        <v>782</v>
      </c>
      <c r="J1497">
        <v>6</v>
      </c>
      <c r="K1497" t="s">
        <v>1838</v>
      </c>
    </row>
    <row r="1498" spans="1:11" hidden="1" x14ac:dyDescent="0.25">
      <c r="A1498">
        <v>3500650</v>
      </c>
      <c r="B1498" t="s">
        <v>1694</v>
      </c>
      <c r="C1498">
        <v>2.3639999999999999</v>
      </c>
      <c r="D1498">
        <v>8406</v>
      </c>
      <c r="E1498" t="s">
        <v>124</v>
      </c>
      <c r="F1498">
        <v>2387</v>
      </c>
      <c r="G1498" s="582" t="s">
        <v>125</v>
      </c>
      <c r="H1498" s="582" t="s">
        <v>875</v>
      </c>
      <c r="I1498" t="s">
        <v>2363</v>
      </c>
      <c r="J1498">
        <v>6</v>
      </c>
      <c r="K1498" t="s">
        <v>1838</v>
      </c>
    </row>
    <row r="1499" spans="1:11" hidden="1" x14ac:dyDescent="0.25">
      <c r="A1499">
        <v>3500650</v>
      </c>
      <c r="B1499" t="s">
        <v>1694</v>
      </c>
      <c r="C1499">
        <v>2.2829999999999999</v>
      </c>
      <c r="D1499">
        <v>8406</v>
      </c>
      <c r="E1499" t="s">
        <v>124</v>
      </c>
      <c r="F1499">
        <v>2388</v>
      </c>
      <c r="G1499" s="582" t="s">
        <v>125</v>
      </c>
      <c r="H1499" s="582" t="s">
        <v>875</v>
      </c>
      <c r="I1499" t="s">
        <v>2363</v>
      </c>
      <c r="J1499">
        <v>6</v>
      </c>
      <c r="K1499" t="s">
        <v>1838</v>
      </c>
    </row>
    <row r="1500" spans="1:11" hidden="1" x14ac:dyDescent="0.25">
      <c r="A1500">
        <v>3770392</v>
      </c>
      <c r="B1500" t="s">
        <v>405</v>
      </c>
      <c r="C1500">
        <v>1.048</v>
      </c>
      <c r="D1500">
        <v>4731</v>
      </c>
      <c r="E1500" t="s">
        <v>124</v>
      </c>
      <c r="F1500">
        <v>2405</v>
      </c>
      <c r="G1500" s="582" t="s">
        <v>125</v>
      </c>
      <c r="H1500" s="582" t="s">
        <v>404</v>
      </c>
      <c r="I1500" t="s">
        <v>406</v>
      </c>
      <c r="J1500">
        <v>5.6</v>
      </c>
      <c r="K1500" t="s">
        <v>1838</v>
      </c>
    </row>
    <row r="1501" spans="1:11" hidden="1" x14ac:dyDescent="0.25">
      <c r="A1501">
        <v>3770392</v>
      </c>
      <c r="B1501" t="s">
        <v>405</v>
      </c>
      <c r="C1501">
        <v>1.534</v>
      </c>
      <c r="D1501">
        <v>4731</v>
      </c>
      <c r="E1501" t="s">
        <v>124</v>
      </c>
      <c r="F1501">
        <v>2406</v>
      </c>
      <c r="G1501" s="582" t="s">
        <v>125</v>
      </c>
      <c r="H1501" s="582" t="s">
        <v>404</v>
      </c>
      <c r="I1501" t="s">
        <v>406</v>
      </c>
      <c r="J1501">
        <v>5.6</v>
      </c>
      <c r="K1501" t="s">
        <v>1838</v>
      </c>
    </row>
    <row r="1502" spans="1:11" hidden="1" x14ac:dyDescent="0.25">
      <c r="A1502">
        <v>3770392</v>
      </c>
      <c r="B1502" t="s">
        <v>405</v>
      </c>
      <c r="C1502">
        <v>1.534</v>
      </c>
      <c r="D1502">
        <v>4731</v>
      </c>
      <c r="E1502" t="s">
        <v>124</v>
      </c>
      <c r="F1502">
        <v>2407</v>
      </c>
      <c r="G1502" s="582" t="s">
        <v>125</v>
      </c>
      <c r="H1502" s="582" t="s">
        <v>404</v>
      </c>
      <c r="I1502" t="s">
        <v>406</v>
      </c>
      <c r="J1502">
        <v>5.6</v>
      </c>
      <c r="K1502" t="s">
        <v>1838</v>
      </c>
    </row>
    <row r="1503" spans="1:11" hidden="1" x14ac:dyDescent="0.25">
      <c r="A1503">
        <v>3770392</v>
      </c>
      <c r="B1503" t="s">
        <v>405</v>
      </c>
      <c r="C1503">
        <v>1.534</v>
      </c>
      <c r="D1503">
        <v>4731</v>
      </c>
      <c r="E1503" t="s">
        <v>124</v>
      </c>
      <c r="F1503">
        <v>2408</v>
      </c>
      <c r="G1503" s="582" t="s">
        <v>125</v>
      </c>
      <c r="H1503" s="582" t="s">
        <v>404</v>
      </c>
      <c r="I1503" t="s">
        <v>406</v>
      </c>
      <c r="J1503">
        <v>5.6</v>
      </c>
      <c r="K1503" t="s">
        <v>1838</v>
      </c>
    </row>
    <row r="1504" spans="1:11" hidden="1" x14ac:dyDescent="0.25">
      <c r="A1504">
        <v>3770392</v>
      </c>
      <c r="B1504" t="s">
        <v>405</v>
      </c>
      <c r="C1504">
        <v>1.577</v>
      </c>
      <c r="D1504">
        <v>4731</v>
      </c>
      <c r="E1504" t="s">
        <v>124</v>
      </c>
      <c r="F1504">
        <v>2409</v>
      </c>
      <c r="G1504" s="582" t="s">
        <v>125</v>
      </c>
      <c r="H1504" s="582" t="s">
        <v>404</v>
      </c>
      <c r="I1504" t="s">
        <v>406</v>
      </c>
      <c r="J1504">
        <v>5.6</v>
      </c>
      <c r="K1504" t="s">
        <v>1838</v>
      </c>
    </row>
    <row r="1505" spans="1:11" hidden="1" x14ac:dyDescent="0.25">
      <c r="A1505">
        <v>3770392</v>
      </c>
      <c r="B1505" t="s">
        <v>405</v>
      </c>
      <c r="C1505">
        <v>1.63</v>
      </c>
      <c r="D1505">
        <v>4731</v>
      </c>
      <c r="E1505" t="s">
        <v>124</v>
      </c>
      <c r="F1505">
        <v>2410</v>
      </c>
      <c r="G1505" s="582" t="s">
        <v>125</v>
      </c>
      <c r="H1505" s="582" t="s">
        <v>404</v>
      </c>
      <c r="I1505" t="s">
        <v>406</v>
      </c>
      <c r="J1505">
        <v>5.6</v>
      </c>
      <c r="K1505" t="s">
        <v>1838</v>
      </c>
    </row>
    <row r="1506" spans="1:11" hidden="1" x14ac:dyDescent="0.25">
      <c r="A1506">
        <v>3770392</v>
      </c>
      <c r="B1506" t="s">
        <v>405</v>
      </c>
      <c r="C1506">
        <v>1.6930000000000001</v>
      </c>
      <c r="D1506">
        <v>4731</v>
      </c>
      <c r="E1506" t="s">
        <v>124</v>
      </c>
      <c r="F1506">
        <v>2411</v>
      </c>
      <c r="G1506" s="582" t="s">
        <v>125</v>
      </c>
      <c r="H1506" s="582" t="s">
        <v>404</v>
      </c>
      <c r="I1506" t="s">
        <v>406</v>
      </c>
      <c r="J1506">
        <v>5.6</v>
      </c>
      <c r="K1506" t="s">
        <v>1838</v>
      </c>
    </row>
    <row r="1507" spans="1:11" hidden="1" x14ac:dyDescent="0.25">
      <c r="A1507">
        <v>3770398</v>
      </c>
      <c r="B1507" t="s">
        <v>2357</v>
      </c>
      <c r="C1507">
        <v>1.58</v>
      </c>
      <c r="D1507">
        <v>4731</v>
      </c>
      <c r="E1507" t="s">
        <v>124</v>
      </c>
      <c r="F1507">
        <v>2412</v>
      </c>
      <c r="G1507" s="582" t="s">
        <v>125</v>
      </c>
      <c r="H1507" s="582" t="s">
        <v>827</v>
      </c>
      <c r="I1507" t="s">
        <v>2342</v>
      </c>
      <c r="J1507">
        <v>5.95</v>
      </c>
      <c r="K1507" t="s">
        <v>1838</v>
      </c>
    </row>
    <row r="1508" spans="1:11" hidden="1" x14ac:dyDescent="0.25">
      <c r="A1508">
        <v>3770398</v>
      </c>
      <c r="B1508" t="s">
        <v>2357</v>
      </c>
      <c r="C1508">
        <v>1.68</v>
      </c>
      <c r="D1508">
        <v>4731</v>
      </c>
      <c r="E1508" t="s">
        <v>124</v>
      </c>
      <c r="F1508">
        <v>2413</v>
      </c>
      <c r="G1508" s="582" t="s">
        <v>125</v>
      </c>
      <c r="H1508" s="582" t="s">
        <v>827</v>
      </c>
      <c r="I1508" t="s">
        <v>2342</v>
      </c>
      <c r="J1508">
        <v>5.95</v>
      </c>
      <c r="K1508" t="s">
        <v>1838</v>
      </c>
    </row>
    <row r="1509" spans="1:11" hidden="1" x14ac:dyDescent="0.25">
      <c r="A1509">
        <v>3770398</v>
      </c>
      <c r="B1509" t="s">
        <v>2357</v>
      </c>
      <c r="C1509">
        <v>1.845</v>
      </c>
      <c r="D1509">
        <v>4731</v>
      </c>
      <c r="E1509" t="s">
        <v>124</v>
      </c>
      <c r="F1509">
        <v>2414</v>
      </c>
      <c r="G1509" s="582" t="s">
        <v>125</v>
      </c>
      <c r="H1509" s="582" t="s">
        <v>827</v>
      </c>
      <c r="I1509" t="s">
        <v>2342</v>
      </c>
      <c r="J1509">
        <v>5.95</v>
      </c>
      <c r="K1509" t="s">
        <v>1838</v>
      </c>
    </row>
    <row r="1510" spans="1:11" hidden="1" x14ac:dyDescent="0.25">
      <c r="A1510">
        <v>3770398</v>
      </c>
      <c r="B1510" t="s">
        <v>2357</v>
      </c>
      <c r="C1510">
        <v>1.8819999999999999</v>
      </c>
      <c r="D1510">
        <v>4731</v>
      </c>
      <c r="E1510" t="s">
        <v>124</v>
      </c>
      <c r="F1510">
        <v>2415</v>
      </c>
      <c r="G1510" s="582" t="s">
        <v>125</v>
      </c>
      <c r="H1510" s="582" t="s">
        <v>827</v>
      </c>
      <c r="I1510" t="s">
        <v>2342</v>
      </c>
      <c r="J1510">
        <v>5.95</v>
      </c>
      <c r="K1510" t="s">
        <v>1838</v>
      </c>
    </row>
    <row r="1511" spans="1:11" hidden="1" x14ac:dyDescent="0.25">
      <c r="A1511">
        <v>3770398</v>
      </c>
      <c r="B1511" t="s">
        <v>2357</v>
      </c>
      <c r="C1511">
        <v>1.9830000000000001</v>
      </c>
      <c r="D1511">
        <v>4731</v>
      </c>
      <c r="E1511" t="s">
        <v>124</v>
      </c>
      <c r="F1511">
        <v>2416</v>
      </c>
      <c r="G1511" s="582" t="s">
        <v>125</v>
      </c>
      <c r="H1511" s="582" t="s">
        <v>827</v>
      </c>
      <c r="I1511" t="s">
        <v>2342</v>
      </c>
      <c r="J1511">
        <v>5.95</v>
      </c>
      <c r="K1511" t="s">
        <v>1838</v>
      </c>
    </row>
    <row r="1512" spans="1:11" hidden="1" x14ac:dyDescent="0.25">
      <c r="A1512">
        <v>3995629</v>
      </c>
      <c r="B1512" t="s">
        <v>394</v>
      </c>
      <c r="C1512">
        <v>1.2010000000000001</v>
      </c>
      <c r="D1512">
        <v>4731</v>
      </c>
      <c r="E1512" t="s">
        <v>124</v>
      </c>
      <c r="F1512">
        <v>2437</v>
      </c>
      <c r="G1512" s="582" t="s">
        <v>125</v>
      </c>
      <c r="H1512" s="582" t="s">
        <v>393</v>
      </c>
      <c r="I1512" t="s">
        <v>395</v>
      </c>
      <c r="J1512">
        <v>4.4400000000000004</v>
      </c>
      <c r="K1512" t="s">
        <v>1838</v>
      </c>
    </row>
  </sheetData>
  <phoneticPr fontId="13"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
    <tabColor rgb="FF00B050"/>
  </sheetPr>
  <dimension ref="A1:AS114"/>
  <sheetViews>
    <sheetView topLeftCell="X1" zoomScale="96" zoomScaleNormal="100" workbookViewId="0">
      <selection activeCell="AD11" sqref="AD11"/>
    </sheetView>
  </sheetViews>
  <sheetFormatPr defaultRowHeight="15" outlineLevelCol="1" x14ac:dyDescent="0.25"/>
  <cols>
    <col min="1" max="1" width="13.28515625" customWidth="1"/>
    <col min="4" max="4" width="11.42578125" customWidth="1"/>
    <col min="5" max="5" width="9.28515625" customWidth="1"/>
    <col min="6" max="6" width="9.7109375" customWidth="1"/>
    <col min="8" max="8" width="19.85546875" bestFit="1" customWidth="1"/>
    <col min="9" max="9" width="7.28515625" customWidth="1"/>
    <col min="13" max="13" width="9.140625" customWidth="1" outlineLevel="1"/>
    <col min="14" max="14" width="38.5703125" customWidth="1" outlineLevel="1"/>
    <col min="15" max="15" width="5.7109375" customWidth="1" outlineLevel="1"/>
    <col min="16" max="19" width="9.140625" customWidth="1" outlineLevel="1"/>
    <col min="20" max="20" width="9.5703125" customWidth="1" outlineLevel="1"/>
    <col min="21" max="22" width="9.140625" customWidth="1" outlineLevel="1"/>
    <col min="23" max="23" width="31.7109375" customWidth="1" outlineLevel="1"/>
    <col min="24" max="24" width="44.140625" customWidth="1" outlineLevel="1"/>
    <col min="25" max="25" width="31.42578125" customWidth="1" outlineLevel="1"/>
    <col min="26" max="26" width="31.140625" bestFit="1" customWidth="1"/>
    <col min="27" max="27" width="18.140625" bestFit="1" customWidth="1"/>
    <col min="28" max="28" width="12.7109375" customWidth="1"/>
    <col min="29" max="30" width="11.28515625" customWidth="1"/>
    <col min="31" max="31" width="9.140625" hidden="1" customWidth="1"/>
    <col min="33" max="33" width="0" hidden="1" customWidth="1"/>
    <col min="35" max="38" width="15.5703125" customWidth="1"/>
    <col min="39" max="39" width="15.5703125" bestFit="1" customWidth="1"/>
    <col min="40" max="40" width="7.42578125" customWidth="1"/>
  </cols>
  <sheetData>
    <row r="1" spans="1:45" ht="57.75" customHeight="1" x14ac:dyDescent="0.25">
      <c r="AA1" s="135">
        <f>SUBTOTAL(9,salesforecast[Schedule])</f>
        <v>2967.6549601804363</v>
      </c>
      <c r="AB1" s="135">
        <f>SUBTOTAL(9,salesforecast[Sales])</f>
        <v>1517.1913440000001</v>
      </c>
      <c r="AC1" s="135">
        <f>SUBTOTAL(9,salesforecast[Stock CTL])</f>
        <v>324.13709100000005</v>
      </c>
      <c r="AD1" s="135">
        <f>SUBTOTAL(9,salesforecast[Stock LL])</f>
        <v>1156.4884940000002</v>
      </c>
      <c r="AF1" s="135">
        <f>SUBTOTAL(9,salesforecast[WIP])</f>
        <v>544.1350000000001</v>
      </c>
      <c r="AH1" s="310">
        <f>SUBTOTAL(9,salesforecast[Khopoli Stock LL])</f>
        <v>472.41600000000005</v>
      </c>
    </row>
    <row r="2" spans="1:45" x14ac:dyDescent="0.25">
      <c r="A2" t="s">
        <v>937</v>
      </c>
      <c r="B2" t="s">
        <v>316</v>
      </c>
      <c r="C2" t="s">
        <v>317</v>
      </c>
      <c r="D2" t="s">
        <v>938</v>
      </c>
      <c r="E2" t="s">
        <v>315</v>
      </c>
      <c r="F2" t="s">
        <v>376</v>
      </c>
      <c r="G2" t="s">
        <v>1846</v>
      </c>
      <c r="H2" t="s">
        <v>261</v>
      </c>
      <c r="I2" t="s">
        <v>2405</v>
      </c>
      <c r="J2" t="s">
        <v>2406</v>
      </c>
      <c r="K2" t="s">
        <v>2407</v>
      </c>
      <c r="L2" t="s">
        <v>2408</v>
      </c>
      <c r="M2" t="s">
        <v>2409</v>
      </c>
      <c r="N2" t="s">
        <v>204</v>
      </c>
      <c r="O2" t="s">
        <v>1847</v>
      </c>
      <c r="P2" t="s">
        <v>1801</v>
      </c>
      <c r="Q2" t="s">
        <v>2410</v>
      </c>
      <c r="R2" t="s">
        <v>2411</v>
      </c>
      <c r="S2" t="s">
        <v>2412</v>
      </c>
      <c r="T2" t="s">
        <v>2413</v>
      </c>
      <c r="U2" t="s">
        <v>2414</v>
      </c>
      <c r="V2" t="s">
        <v>2415</v>
      </c>
      <c r="W2" t="s">
        <v>258</v>
      </c>
      <c r="X2" t="s">
        <v>2416</v>
      </c>
      <c r="Y2" t="s">
        <v>2417</v>
      </c>
      <c r="Z2" t="s">
        <v>2418</v>
      </c>
      <c r="AA2" t="s">
        <v>1829</v>
      </c>
      <c r="AB2" t="s">
        <v>269</v>
      </c>
      <c r="AC2" t="s">
        <v>1803</v>
      </c>
      <c r="AD2" t="s">
        <v>1804</v>
      </c>
      <c r="AE2" t="s">
        <v>2419</v>
      </c>
      <c r="AF2" t="s">
        <v>944</v>
      </c>
      <c r="AG2" t="s">
        <v>2420</v>
      </c>
      <c r="AH2" t="s">
        <v>2421</v>
      </c>
      <c r="AI2" t="s">
        <v>2422</v>
      </c>
      <c r="AJ2" t="s">
        <v>2423</v>
      </c>
      <c r="AK2" t="s">
        <v>2424</v>
      </c>
      <c r="AL2" t="s">
        <v>2425</v>
      </c>
      <c r="AM2" t="s">
        <v>2426</v>
      </c>
      <c r="AN2" t="s">
        <v>2427</v>
      </c>
      <c r="AO2" t="s">
        <v>2428</v>
      </c>
      <c r="AP2" t="s">
        <v>2429</v>
      </c>
      <c r="AQ2" t="s">
        <v>2430</v>
      </c>
      <c r="AR2" t="s">
        <v>2431</v>
      </c>
      <c r="AS2" t="s">
        <v>2432</v>
      </c>
    </row>
    <row r="3" spans="1:45" x14ac:dyDescent="0.25">
      <c r="B3">
        <v>12</v>
      </c>
      <c r="C3">
        <v>0</v>
      </c>
      <c r="D3">
        <v>1.6</v>
      </c>
      <c r="E3" t="s">
        <v>357</v>
      </c>
      <c r="F3" t="s">
        <v>357</v>
      </c>
      <c r="G3" t="s">
        <v>239</v>
      </c>
      <c r="H3" t="s">
        <v>2433</v>
      </c>
      <c r="I3" s="43">
        <f>SUMIFS(scheduleapr[SCHEDULE IN MT],scheduleapr[Bucket],salesforecast[[#This Row],[Bucket]])</f>
        <v>0</v>
      </c>
      <c r="K3">
        <f>COUNTIF('helper sheet'!$A$1:$A$33,salesforecast[[#This Row],[LL Material Code]])</f>
        <v>0</v>
      </c>
      <c r="P3" s="47" t="s">
        <v>362</v>
      </c>
      <c r="T3" s="52">
        <f>ROUNDUP(MAX(salesforecast[[#This Row],[FY25 Average]],salesforecast[[#This Row],[July Schedule]]),0)</f>
        <v>0</v>
      </c>
      <c r="U3">
        <f>salesforecast[[#This Row],[Forecast]]-salesforecast[[#This Row],[July Schedule]]</f>
        <v>0</v>
      </c>
      <c r="V3" t="str">
        <f>salesforecast[[#This Row],[Plant]]</f>
        <v>0788</v>
      </c>
      <c r="W3" s="66" t="e" cm="1" vm="1">
        <f t="array" ref="W3">_xlfn.TEXTJOIN("|",TRUE,(_xlfn.UNIQUE(_xlfn._xlws.FILTER(scheduleapr[CUSTOMER NAME],scheduleapr[Bucket]=salesforecast[[#This Row],[Bucket]]))))</f>
        <v>#VALUE!</v>
      </c>
      <c r="X3" s="66" t="e" cm="1" vm="1">
        <f t="array" ref="X3">_xlfn.TEXTJOIN("|",TRUE,(_xlfn.UNIQUE(_xlfn._xlws.SORT(_xlfn._xlws.FILTER(scheduleapr[LENGTH],scheduleapr[Bucket]=salesforecast[[#This Row],[Bucket]])))))</f>
        <v>#VALUE!</v>
      </c>
      <c r="Y3" s="66" t="e" cm="1" vm="1">
        <f t="array" ref="Y3">_xlfn.TEXTJOIN("|",TRUE,_xlfn._xlws.FILTER(buckets[Material Codes],(buckets[Bucket]=salesforecast[[#This Row],[Bucket2]])))</f>
        <v>#VALUE!</v>
      </c>
      <c r="Z3" t="str">
        <f>salesforecast[[#This Row],[Bucket]]</f>
        <v>12-0-1.6-CEW-CEW</v>
      </c>
      <c r="AA3" s="43">
        <f>salesforecast[[#This Row],[July Schedule]]</f>
        <v>0</v>
      </c>
      <c r="AB3">
        <f>SUMIF(salesTVS[buckets.Bucket],salesforecast[[#This Row],[Bucket]],salesTVS[Quantity])/1000</f>
        <v>0</v>
      </c>
      <c r="AC3" s="43">
        <f>SUMIFS(stock[MT],stock[Bucket],salesforecast[[#This Row],[Bucket]],stock[LL or CTL],"CTL")</f>
        <v>0</v>
      </c>
      <c r="AD3" s="43">
        <f>SUMIF(stock[Bucket],salesforecast[[#This Row],[Bucket]],stock[MT])</f>
        <v>0</v>
      </c>
      <c r="AE3" s="43" t="e">
        <v>#REF!</v>
      </c>
      <c r="AF3">
        <f>SUMIF(wip[Bucket],salesforecast[[#This Row],[Bucket]],wip[Stock(Net Wt)])/1000</f>
        <v>0</v>
      </c>
      <c r="AG3" s="43" t="e">
        <v>#REF!</v>
      </c>
      <c r="AH3" s="43">
        <f>SUMIFS(stock[MT],stock[Bucket],salesforecast[[#This Row],[Bucket2]],stock[Plant],"0788")</f>
        <v>0</v>
      </c>
      <c r="AI3" t="e">
        <f>((salesforecast[[#This Row],[WIP]]+salesforecast[[#This Row],[Stock LL]]))/salesforecast[[#This Row],[July Schedule]]*30</f>
        <v>#DIV/0!</v>
      </c>
      <c r="AJ3" t="e">
        <f>salesforecast[[#This Row],[Stock LL]]/salesforecast[[#This Row],[Schedule]]*30</f>
        <v>#DIV/0!</v>
      </c>
      <c r="AK3" s="43">
        <f>SUMIFS(stock[MT],stock[Bucket],salesforecast[[#This Row],[Bucket2]],stock[Plant],"0789",stock[LL or CTL],"LL")</f>
        <v>0</v>
      </c>
      <c r="AL3" s="193" t="e">
        <f>(salesforecast[[#This Row],[Sales]])/salesforecast[[#This Row],[Schedule]]</f>
        <v>#DIV/0!</v>
      </c>
      <c r="AM3" s="43">
        <f>SUMIFS(stock[MT],stock[Plant],salesforecast[[#This Row],[Plant]],stock[LL or CTL],"LL",stock[Bucket],salesforecast[[#This Row],[Bucket]])</f>
        <v>0</v>
      </c>
      <c r="AN3" s="43">
        <f>SUMIFS(scheduleapr[SCHEDULE IN MT],scheduleapr[CUSTOMER NAME],"*Rajsriya*",scheduleapr[Bucket],salesforecast[[#This Row],[Bucket]])</f>
        <v>0</v>
      </c>
      <c r="AO3" s="43">
        <f>SUMIFS(salesTVS[Quantity],salesTVS[CUSTOMER  NAME],"*RAJSRIYA*",salesTVS[buckets.Bucket],salesforecast[[#This Row],[Bucket]])/1000</f>
        <v>0</v>
      </c>
      <c r="AP3" s="43">
        <f>SUMIFS(stock[MT],stock[Plant],4318,stock[Bucket],salesforecast[[#This Row],[Bucket2]])</f>
        <v>0</v>
      </c>
      <c r="AQ3" s="43">
        <f>SUMIFS(stock[MT],stock[Plant],4731,stock[Bucket],salesforecast[[#This Row],[Bucket2]],stock[LL or CTL],"CTL")</f>
        <v>0</v>
      </c>
      <c r="AR3" s="43">
        <f>SUMIFS(stock[MT],stock[Plant],4731,stock[Bucket],salesforecast[[#This Row],[Bucket2]])-salesforecast[[#This Row],[4731 Stock CTL]]</f>
        <v>0</v>
      </c>
      <c r="AS3" s="43">
        <f>SUMIFS(stock[MT],stock[Plant],8406,stock[Bucket],salesforecast[[#This Row],[Bucket2]])</f>
        <v>0</v>
      </c>
    </row>
    <row r="4" spans="1:45" ht="30" x14ac:dyDescent="0.25">
      <c r="A4">
        <v>12.7</v>
      </c>
      <c r="B4">
        <v>12.7</v>
      </c>
      <c r="C4">
        <v>0</v>
      </c>
      <c r="D4">
        <v>1.2</v>
      </c>
      <c r="E4" t="s">
        <v>962</v>
      </c>
      <c r="F4" t="s">
        <v>963</v>
      </c>
      <c r="G4" t="s">
        <v>1867</v>
      </c>
      <c r="H4" t="str">
        <f>_xlfn.CONCAT(salesforecast[[#This Row],[OD]],"-",salesforecast[[#This Row],[ID]],"-",salesforecast[[#This Row],[TICKNESS]],"-",salesforecast[[#This Row],[GRADE]],"-",salesforecast[[#This Row],[FC/NFC]])</f>
        <v>12.7-0-1.2-ERW 1-PE</v>
      </c>
      <c r="I4" s="43">
        <f>SUMIFS(scheduleapr[SCHEDULE IN MT],scheduleapr[Bucket],salesforecast[[#This Row],[Bucket]])</f>
        <v>6.8466639936</v>
      </c>
      <c r="J4">
        <v>1939985</v>
      </c>
      <c r="K4">
        <f>COUNTIF('helper sheet'!$A$1:$A$33,salesforecast[[#This Row],[LL Material Code]])</f>
        <v>0</v>
      </c>
      <c r="N4" t="s">
        <v>1137</v>
      </c>
      <c r="P4" s="47" t="s">
        <v>345</v>
      </c>
      <c r="Q4">
        <v>4</v>
      </c>
      <c r="R4">
        <v>15</v>
      </c>
      <c r="S4">
        <v>8</v>
      </c>
      <c r="T4" s="52">
        <f>ROUNDUP(MAX(salesforecast[[#This Row],[FY25 Average]],salesforecast[[#This Row],[July Schedule]]),0)</f>
        <v>8</v>
      </c>
      <c r="U4" s="52">
        <f>salesforecast[[#This Row],[Forecast]]-salesforecast[[#This Row],[July Schedule]]</f>
        <v>1.1533360064</v>
      </c>
      <c r="V4" t="str">
        <f>salesforecast[[#This Row],[Plant]]</f>
        <v>0789</v>
      </c>
      <c r="W4" s="66" t="str" cm="1">
        <f t="array" ref="W4">_xlfn.TEXTJOIN("|",TRUE,(_xlfn.UNIQUE(_xlfn._xlws.FILTER(scheduleapr[CUSTOMER NAME],scheduleapr[Bucket]=salesforecast[[#This Row],[Bucket]]))))</f>
        <v>ELKAYEM AUTO|Sandhar Automach|SRIKAM HITECH</v>
      </c>
      <c r="X4" s="66" t="str" cm="1">
        <f t="array" ref="X4">_xlfn.TEXTJOIN("|",TRUE,(_xlfn.UNIQUE(_xlfn._xlws.SORT(_xlfn._xlws.FILTER(scheduleapr[LENGTH],scheduleapr[Bucket]=salesforecast[[#This Row],[Bucket]])))))</f>
        <v>278|408|600|772|1000</v>
      </c>
      <c r="Y4" s="66" t="str" cm="1">
        <f t="array" ref="Y4">_xlfn.TEXTJOIN("|",TRUE,_xlfn._xlws.FILTER(buckets[Material Codes],(buckets[Bucket]=salesforecast[[#This Row],[Bucket2]])*(buckets[LL or CTL]="CTL")))</f>
        <v>1939963|1939966|2386074|1939974|2403436</v>
      </c>
      <c r="Z4" t="str">
        <f>salesforecast[[#This Row],[Bucket]]</f>
        <v>12.7-0-1.2-ERW 1-PE</v>
      </c>
      <c r="AA4" s="43">
        <f>salesforecast[[#This Row],[July Schedule]]</f>
        <v>6.8466639936</v>
      </c>
      <c r="AB4" s="43">
        <f>SUMIF(salesTVS[buckets.Bucket],salesforecast[[#This Row],[Bucket]],salesTVS[Quantity])/1000</f>
        <v>5.1311</v>
      </c>
      <c r="AC4" s="43">
        <f>SUMIFS(stock[MT],stock[Bucket],salesforecast[[#This Row],[Bucket]],stock[LL or CTL],"CTL")</f>
        <v>0.89390999999999998</v>
      </c>
      <c r="AD4" s="43">
        <f>SUMIF(stock[Bucket],salesforecast[[#This Row],[Bucket]],stock[MT])-salesforecast[[#This Row],[Stock CTL]]</f>
        <v>20.176453000000002</v>
      </c>
      <c r="AE4" s="43" t="e">
        <v>#REF!</v>
      </c>
      <c r="AF4" s="43">
        <f>SUMIF(wip[Bucket],salesforecast[[#This Row],[Bucket]],wip[Stock(Net Wt)])/1000</f>
        <v>0</v>
      </c>
      <c r="AG4" s="43" t="e">
        <v>#REF!</v>
      </c>
      <c r="AH4" s="43">
        <f>SUMIFS(stock[MT],stock[Bucket],salesforecast[[#This Row],[Bucket2]],stock[Plant],"0788")</f>
        <v>0</v>
      </c>
      <c r="AI4" s="43">
        <f>((salesforecast[[#This Row],[WIP]]+salesforecast[[#This Row],[Stock LL]]))/salesforecast[[#This Row],[July Schedule]]*30</f>
        <v>88.407082714414699</v>
      </c>
      <c r="AJ4" s="52">
        <f>salesforecast[[#This Row],[Stock LL]]/salesforecast[[#This Row],[Schedule]]*30</f>
        <v>88.407082714414699</v>
      </c>
      <c r="AK4" s="43">
        <f>SUMIFS(stock[MT],stock[Bucket],salesforecast[[#This Row],[Bucket2]],stock[Plant],"0789",stock[LL or CTL],"LL")</f>
        <v>20.176452999999999</v>
      </c>
      <c r="AL4" s="193">
        <f>(salesforecast[[#This Row],[Sales]])/salesforecast[[#This Row],[Schedule]]</f>
        <v>0.74943067233858074</v>
      </c>
      <c r="AM4" s="43">
        <f>SUMIFS(stock[MT],stock[Plant],salesforecast[[#This Row],[Plant]],stock[LL or CTL],"LL",stock[Bucket],salesforecast[[#This Row],[Bucket]])</f>
        <v>20.176452999999999</v>
      </c>
      <c r="AN4" s="43">
        <f>SUMIFS(scheduleapr[SCHEDULE IN MT],scheduleapr[CUSTOMER NAME],"*Rajsriya*",scheduleapr[Bucket],salesforecast[[#This Row],[Bucket]])</f>
        <v>0</v>
      </c>
      <c r="AO4" s="43">
        <f>SUMIFS(salesTVS[Quantity],salesTVS[CUSTOMER  NAME],"*RAJSRIYA*",salesTVS[buckets.Bucket],salesforecast[[#This Row],[Bucket]])/1000</f>
        <v>0</v>
      </c>
      <c r="AP4" s="43">
        <f>SUMIFS(stock[MT],stock[Plant],4318,stock[Bucket],salesforecast[[#This Row],[Bucket2]])</f>
        <v>0</v>
      </c>
      <c r="AQ4" s="43">
        <f>SUMIFS(stock[MT],stock[Plant],4731,stock[Bucket],salesforecast[[#This Row],[Bucket2]],stock[LL or CTL],"CTL")</f>
        <v>0</v>
      </c>
      <c r="AR4" s="43">
        <f>SUMIFS(stock[MT],stock[Plant],4731,stock[Bucket],salesforecast[[#This Row],[Bucket2]])-salesforecast[[#This Row],[4731 Stock CTL]]</f>
        <v>0</v>
      </c>
      <c r="AS4" s="43">
        <f>SUMIFS(stock[MT],stock[Plant],8406,stock[Bucket],salesforecast[[#This Row],[Bucket2]])</f>
        <v>0</v>
      </c>
    </row>
    <row r="5" spans="1:45" ht="75" x14ac:dyDescent="0.25">
      <c r="A5">
        <v>12.7</v>
      </c>
      <c r="B5">
        <v>12.7</v>
      </c>
      <c r="C5">
        <v>0</v>
      </c>
      <c r="D5">
        <v>1.6</v>
      </c>
      <c r="E5" t="s">
        <v>962</v>
      </c>
      <c r="F5" t="s">
        <v>963</v>
      </c>
      <c r="G5" t="s">
        <v>1867</v>
      </c>
      <c r="H5" t="str">
        <f>_xlfn.CONCAT(salesforecast[[#This Row],[OD]],"-",salesforecast[[#This Row],[ID]],"-",salesforecast[[#This Row],[TICKNESS]],"-",salesforecast[[#This Row],[GRADE]],"-",salesforecast[[#This Row],[FC/NFC]])</f>
        <v>12.7-0-1.6-ERW 1-PE</v>
      </c>
      <c r="I5" s="43">
        <f>SUMIFS(scheduleapr[SCHEDULE IN MT],scheduleapr[Bucket],salesforecast[[#This Row],[Bucket]])</f>
        <v>35.701806820080002</v>
      </c>
      <c r="J5">
        <v>2362827</v>
      </c>
      <c r="K5">
        <f>COUNTIF('helper sheet'!$A$1:$A$33,salesforecast[[#This Row],[LL Material Code]])</f>
        <v>1</v>
      </c>
      <c r="L5">
        <v>1940014</v>
      </c>
      <c r="N5" t="s">
        <v>2434</v>
      </c>
      <c r="O5" t="s">
        <v>1881</v>
      </c>
      <c r="P5" s="47" t="s">
        <v>345</v>
      </c>
      <c r="Q5">
        <v>8</v>
      </c>
      <c r="R5">
        <v>50</v>
      </c>
      <c r="S5">
        <v>20</v>
      </c>
      <c r="T5" s="52">
        <f>ROUNDUP(MAX(salesforecast[[#This Row],[FY25 Average]],salesforecast[[#This Row],[July Schedule]]),0)</f>
        <v>36</v>
      </c>
      <c r="U5" s="52">
        <f>salesforecast[[#This Row],[Forecast]]-salesforecast[[#This Row],[July Schedule]]</f>
        <v>0.29819317991999839</v>
      </c>
      <c r="V5" t="str">
        <f>salesforecast[[#This Row],[Plant]]</f>
        <v>0789</v>
      </c>
      <c r="W5" s="66" t="str" cm="1">
        <f t="array" ref="W5">_xlfn.TEXTJOIN("|",TRUE,(_xlfn.UNIQUE(_xlfn._xlws.FILTER(scheduleapr[CUSTOMER NAME],scheduleapr[Bucket]=salesforecast[[#This Row],[Bucket]]))))</f>
        <v>Balaji press product|ELKAYEM AUTO|NMPL TVSM|Rajsriya Unit 2|Rajsriya Unit 5|Rajsriya Automotive|Rajsriya Mysore |SRIKAM HITECH</v>
      </c>
      <c r="X5" s="66" t="str" cm="1">
        <f t="array" ref="X5">_xlfn.TEXTJOIN("|",TRUE,(_xlfn.UNIQUE(_xlfn._xlws.SORT(_xlfn._xlws.FILTER(scheduleapr[LENGTH],scheduleapr[Bucket]=salesforecast[[#This Row],[Bucket]])))))</f>
        <v>145|187|189|250|252|255|257|260|280|295|320|393|907|950|1000|6000</v>
      </c>
      <c r="Y5" s="66" t="str" cm="1">
        <f t="array" ref="Y5">_xlfn.TEXTJOIN("|",TRUE,_xlfn._xlws.FILTER(buckets[Material Codes],(buckets[Bucket]=salesforecast[[#This Row],[Bucket2]])*(buckets[LL or CTL]="CTL")))</f>
        <v>1939991|1939992|3432081|1939993|3727213|3223304|3676336|1932848|1939994|2440974|1939996|3676337|1940003|4151968|3172238|3620427</v>
      </c>
      <c r="Z5" t="str">
        <f>salesforecast[[#This Row],[Bucket]]</f>
        <v>12.7-0-1.6-ERW 1-PE</v>
      </c>
      <c r="AA5" s="43">
        <f>salesforecast[[#This Row],[July Schedule]]</f>
        <v>35.701806820080002</v>
      </c>
      <c r="AB5" s="43">
        <f>SUMIF(salesTVS[buckets.Bucket],salesforecast[[#This Row],[Bucket]],salesTVS[Quantity])/1000</f>
        <v>17.795043</v>
      </c>
      <c r="AC5" s="43">
        <f>SUMIFS(stock[MT],stock[Bucket],salesforecast[[#This Row],[Bucket]],stock[LL or CTL],"CTL")</f>
        <v>5.401047000000001</v>
      </c>
      <c r="AD5" s="43">
        <f>SUMIF(stock[Bucket],salesforecast[[#This Row],[Bucket]],stock[MT])-salesforecast[[#This Row],[Stock CTL]]</f>
        <v>6.5656999999999854E-2</v>
      </c>
      <c r="AE5" s="43" t="e">
        <v>#REF!</v>
      </c>
      <c r="AF5" s="43">
        <f>SUMIF(wip[Bucket],salesforecast[[#This Row],[Bucket]],wip[Stock(Net Wt)])/1000</f>
        <v>8.9860000000000007</v>
      </c>
      <c r="AG5" s="64" t="e">
        <v>#REF!</v>
      </c>
      <c r="AH5" s="43">
        <f>SUMIFS(stock[MT],stock[Bucket],salesforecast[[#This Row],[Bucket2]],stock[Plant],"0788")</f>
        <v>0</v>
      </c>
      <c r="AI5" s="43">
        <f>((salesforecast[[#This Row],[WIP]]+salesforecast[[#This Row],[Stock LL]]))/salesforecast[[#This Row],[July Schedule]]*30</f>
        <v>7.6060495024378021</v>
      </c>
      <c r="AJ5" s="52">
        <f>salesforecast[[#This Row],[Stock LL]]/salesforecast[[#This Row],[Schedule]]*30</f>
        <v>5.5171157300984514E-2</v>
      </c>
      <c r="AK5" s="43">
        <f>SUMIFS(stock[MT],stock[Bucket],salesforecast[[#This Row],[Bucket2]],stock[Plant],"0789",stock[LL or CTL],"LL")</f>
        <v>6.5656999999999993E-2</v>
      </c>
      <c r="AL5" s="193">
        <f>(salesforecast[[#This Row],[Sales]])/salesforecast[[#This Row],[Schedule]]</f>
        <v>0.49843536182015913</v>
      </c>
      <c r="AM5" s="43">
        <f>SUMIFS(stock[MT],stock[Plant],salesforecast[[#This Row],[Plant]],stock[LL or CTL],"LL",stock[Bucket],salesforecast[[#This Row],[Bucket]])</f>
        <v>6.5656999999999993E-2</v>
      </c>
      <c r="AN5" s="43">
        <f>SUMIFS(scheduleapr[SCHEDULE IN MT],scheduleapr[CUSTOMER NAME],"*Rajsriya*",scheduleapr[Bucket],salesforecast[[#This Row],[Bucket]])</f>
        <v>11.213382237599999</v>
      </c>
      <c r="AO5" s="43">
        <f>SUMIFS(salesTVS[Quantity],salesTVS[CUSTOMER  NAME],"*RAJSRIYA*",salesTVS[buckets.Bucket],salesforecast[[#This Row],[Bucket]])/1000</f>
        <v>3.7180000000000004</v>
      </c>
      <c r="AP5" s="43">
        <f>SUMIFS(stock[MT],stock[Plant],4318,stock[Bucket],salesforecast[[#This Row],[Bucket2]])</f>
        <v>0</v>
      </c>
      <c r="AQ5" s="43">
        <f>SUMIFS(stock[MT],stock[Plant],4731,stock[Bucket],salesforecast[[#This Row],[Bucket2]],stock[LL or CTL],"CTL")</f>
        <v>0.65920800000000002</v>
      </c>
      <c r="AR5" s="43">
        <f>SUMIFS(stock[MT],stock[Plant],4731,stock[Bucket],salesforecast[[#This Row],[Bucket2]])-salesforecast[[#This Row],[4731 Stock CTL]]</f>
        <v>0</v>
      </c>
      <c r="AS5" s="43">
        <f>SUMIFS(stock[MT],stock[Plant],8406,stock[Bucket],salesforecast[[#This Row],[Bucket2]])</f>
        <v>0</v>
      </c>
    </row>
    <row r="6" spans="1:45" x14ac:dyDescent="0.25">
      <c r="A6">
        <v>14</v>
      </c>
      <c r="B6">
        <v>14</v>
      </c>
      <c r="C6">
        <v>0</v>
      </c>
      <c r="D6">
        <v>1.6</v>
      </c>
      <c r="E6" t="s">
        <v>357</v>
      </c>
      <c r="F6" t="s">
        <v>357</v>
      </c>
      <c r="G6" t="s">
        <v>1867</v>
      </c>
      <c r="H6" t="str">
        <f>_xlfn.CONCAT(salesforecast[[#This Row],[OD]],"-",salesforecast[[#This Row],[ID]],"-",salesforecast[[#This Row],[TICKNESS]],"-",salesforecast[[#This Row],[GRADE]],"-",salesforecast[[#This Row],[FC/NFC]])</f>
        <v>14-0-1.6-CEW-CEW</v>
      </c>
      <c r="I6" s="43">
        <f>SUMIFS(scheduleapr[SCHEDULE IN MT],scheduleapr[Bucket],salesforecast[[#This Row],[Bucket]])</f>
        <v>0</v>
      </c>
      <c r="J6">
        <v>3183851</v>
      </c>
      <c r="K6">
        <f>COUNTIF('helper sheet'!$A$1:$A$33,salesforecast[[#This Row],[LL Material Code]])</f>
        <v>0</v>
      </c>
      <c r="N6" t="s">
        <v>2435</v>
      </c>
      <c r="P6" s="47" t="s">
        <v>362</v>
      </c>
      <c r="Q6">
        <v>0</v>
      </c>
      <c r="R6">
        <v>2</v>
      </c>
      <c r="S6">
        <v>1</v>
      </c>
      <c r="T6" s="52">
        <f>ROUNDUP(MAX(salesforecast[[#This Row],[FY25 Average]],salesforecast[[#This Row],[July Schedule]]),0)</f>
        <v>1</v>
      </c>
      <c r="U6" s="52">
        <f>salesforecast[[#This Row],[Forecast]]-salesforecast[[#This Row],[July Schedule]]</f>
        <v>1</v>
      </c>
      <c r="V6" t="str">
        <f>salesforecast[[#This Row],[Plant]]</f>
        <v>0788</v>
      </c>
      <c r="W6" s="66" t="str" cm="1">
        <f t="array" ref="W6">_xlfn.TEXTJOIN("|",TRUE,(_xlfn.UNIQUE(_xlfn._xlws.FILTER(scheduleapr[CUSTOMER NAME],scheduleapr[Bucket]=salesforecast[[#This Row],[Bucket]]))))</f>
        <v>ELKAYEM AUTO</v>
      </c>
      <c r="X6" s="66" t="str" cm="1">
        <f t="array" ref="X6">_xlfn.TEXTJOIN("|",TRUE,(_xlfn.UNIQUE(_xlfn._xlws.SORT(_xlfn._xlws.FILTER(scheduleapr[LENGTH],scheduleapr[Bucket]=salesforecast[[#This Row],[Bucket]])))))</f>
        <v>1000</v>
      </c>
      <c r="Y6" s="66" t="str" cm="1">
        <f t="array" ref="Y6">_xlfn.TEXTJOIN("|",TRUE,_xlfn._xlws.FILTER(buckets[Material Codes],(buckets[Bucket]=salesforecast[[#This Row],[Bucket2]])))</f>
        <v>2410389</v>
      </c>
      <c r="Z6" t="str">
        <f>salesforecast[[#This Row],[Bucket]]</f>
        <v>14-0-1.6-CEW-CEW</v>
      </c>
      <c r="AA6" s="43">
        <f>salesforecast[[#This Row],[July Schedule]]</f>
        <v>0</v>
      </c>
      <c r="AB6" s="43">
        <f>SUMIF(salesTVS[buckets.Bucket],salesforecast[[#This Row],[Bucket]],salesTVS[Quantity])/1000</f>
        <v>0</v>
      </c>
      <c r="AC6" s="43">
        <f>SUMIFS(stock[MT],stock[Bucket],salesforecast[[#This Row],[Bucket]],stock[LL or CTL],"CTL")</f>
        <v>0</v>
      </c>
      <c r="AD6" s="43">
        <f>SUMIF(stock[Bucket],salesforecast[[#This Row],[Bucket]],stock[MT])-salesforecast[[#This Row],[Stock CTL]]</f>
        <v>0</v>
      </c>
      <c r="AE6" s="43" t="e">
        <v>#REF!</v>
      </c>
      <c r="AF6" s="43">
        <f>SUMIF(wip[Bucket],salesforecast[[#This Row],[Bucket]],wip[Stock(Net Wt)])/1000</f>
        <v>0</v>
      </c>
      <c r="AG6" s="43" t="e">
        <v>#REF!</v>
      </c>
      <c r="AH6" s="43">
        <f>SUMIFS(stock[MT],stock[Bucket],salesforecast[[#This Row],[Bucket2]],stock[Plant],"0788")</f>
        <v>0</v>
      </c>
      <c r="AI6" s="43" t="e">
        <f>((salesforecast[[#This Row],[WIP]]+salesforecast[[#This Row],[Stock LL]]))/salesforecast[[#This Row],[July Schedule]]*30</f>
        <v>#DIV/0!</v>
      </c>
      <c r="AJ6" s="52" t="e">
        <f>salesforecast[[#This Row],[Stock LL]]/salesforecast[[#This Row],[Schedule]]*30</f>
        <v>#DIV/0!</v>
      </c>
      <c r="AK6" s="43">
        <f>SUMIFS(stock[MT],stock[Bucket],salesforecast[[#This Row],[Bucket2]],stock[Plant],"0789",stock[LL or CTL],"LL")</f>
        <v>0</v>
      </c>
      <c r="AL6" s="193" t="e">
        <f>(salesforecast[[#This Row],[Sales]])/salesforecast[[#This Row],[Schedule]]</f>
        <v>#DIV/0!</v>
      </c>
      <c r="AM6" s="43">
        <f>SUMIFS(stock[MT],stock[Plant],salesforecast[[#This Row],[Plant]],stock[LL or CTL],"LL",stock[Bucket],salesforecast[[#This Row],[Bucket]])</f>
        <v>0</v>
      </c>
      <c r="AN6" s="43">
        <f>SUMIFS(scheduleapr[SCHEDULE IN MT],scheduleapr[CUSTOMER NAME],"*Rajsriya*",scheduleapr[Bucket],salesforecast[[#This Row],[Bucket]])</f>
        <v>0</v>
      </c>
      <c r="AO6" s="43">
        <f>SUMIFS(salesTVS[Quantity],salesTVS[CUSTOMER  NAME],"*RAJSRIYA*",salesTVS[buckets.Bucket],salesforecast[[#This Row],[Bucket]])/1000</f>
        <v>0</v>
      </c>
      <c r="AP6" s="43">
        <f>SUMIFS(stock[MT],stock[Plant],4318,stock[Bucket],salesforecast[[#This Row],[Bucket2]])</f>
        <v>0</v>
      </c>
      <c r="AQ6" s="43">
        <f>SUMIFS(stock[MT],stock[Plant],4731,stock[Bucket],salesforecast[[#This Row],[Bucket2]],stock[LL or CTL],"CTL")</f>
        <v>0</v>
      </c>
      <c r="AR6" s="43">
        <f>SUMIFS(stock[MT],stock[Plant],4731,stock[Bucket],salesforecast[[#This Row],[Bucket2]])-salesforecast[[#This Row],[4731 Stock CTL]]</f>
        <v>0</v>
      </c>
      <c r="AS6" s="43">
        <f>SUMIFS(stock[MT],stock[Plant],8406,stock[Bucket],salesforecast[[#This Row],[Bucket2]])</f>
        <v>0</v>
      </c>
    </row>
    <row r="7" spans="1:45" x14ac:dyDescent="0.25">
      <c r="A7">
        <v>14</v>
      </c>
      <c r="B7">
        <v>14</v>
      </c>
      <c r="C7">
        <f>salesforecast[[#This Row],[OD]]-salesforecast[[#This Row],[TICKNESS]]-salesforecast[[#This Row],[TICKNESS]]</f>
        <v>10.100000000000001</v>
      </c>
      <c r="D7">
        <v>1.95</v>
      </c>
      <c r="E7" t="s">
        <v>357</v>
      </c>
      <c r="F7" t="s">
        <v>357</v>
      </c>
      <c r="G7" t="s">
        <v>1867</v>
      </c>
      <c r="H7" t="s">
        <v>970</v>
      </c>
      <c r="I7" s="43">
        <f>SUMIFS(scheduleapr[SCHEDULE IN MT],scheduleapr[Bucket],salesforecast[[#This Row],[Bucket]])</f>
        <v>0</v>
      </c>
      <c r="J7">
        <v>2410963</v>
      </c>
      <c r="K7">
        <f>COUNTIF('helper sheet'!$A$1:$A$33,salesforecast[[#This Row],[LL Material Code]])</f>
        <v>0</v>
      </c>
      <c r="N7" t="s">
        <v>2129</v>
      </c>
      <c r="P7" s="47" t="s">
        <v>362</v>
      </c>
      <c r="Q7">
        <v>0</v>
      </c>
      <c r="R7">
        <v>1</v>
      </c>
      <c r="S7">
        <v>1</v>
      </c>
      <c r="T7" s="52">
        <f>ROUNDUP(MAX(salesforecast[[#This Row],[FY25 Average]],salesforecast[[#This Row],[July Schedule]]),0)</f>
        <v>1</v>
      </c>
      <c r="U7" s="52">
        <f>salesforecast[[#This Row],[Forecast]]-salesforecast[[#This Row],[July Schedule]]</f>
        <v>1</v>
      </c>
      <c r="V7" t="str">
        <f>salesforecast[[#This Row],[Plant]]</f>
        <v>0788</v>
      </c>
      <c r="W7" s="66" t="str" cm="1">
        <f t="array" ref="W7">_xlfn.TEXTJOIN("|",TRUE,(_xlfn.UNIQUE(_xlfn._xlws.FILTER(scheduleapr[CUSTOMER NAME],scheduleapr[Bucket]=salesforecast[[#This Row],[Bucket]]))))</f>
        <v>SRIKAM HITECH</v>
      </c>
      <c r="X7" s="66" t="str" cm="1">
        <f t="array" ref="X7">_xlfn.TEXTJOIN("|",TRUE,(_xlfn.UNIQUE(_xlfn._xlws.SORT(_xlfn._xlws.FILTER(scheduleapr[LENGTH],scheduleapr[Bucket]=salesforecast[[#This Row],[Bucket]])))))</f>
        <v>1000</v>
      </c>
      <c r="Y7" s="66" t="str" cm="1">
        <f t="array" ref="Y7">_xlfn.TEXTJOIN("|",TRUE,_xlfn._xlws.FILTER(buckets[Material Codes],(buckets[Bucket]=salesforecast[[#This Row],[Bucket2]])))</f>
        <v>3487710|2410963</v>
      </c>
      <c r="Z7" t="str">
        <f>salesforecast[[#This Row],[Bucket]]</f>
        <v>14-10.1-1.95-CEW-CEW</v>
      </c>
      <c r="AA7" s="43">
        <f>salesforecast[[#This Row],[July Schedule]]</f>
        <v>0</v>
      </c>
      <c r="AB7" s="43">
        <f>SUMIF(salesTVS[buckets.Bucket],salesforecast[[#This Row],[Bucket]],salesTVS[Quantity])/1000</f>
        <v>0</v>
      </c>
      <c r="AC7" s="43">
        <f>SUMIFS(stock[MT],stock[Bucket],salesforecast[[#This Row],[Bucket]],stock[LL or CTL],"CTL")</f>
        <v>0</v>
      </c>
      <c r="AD7" s="43">
        <f>SUMIF(stock[Bucket],salesforecast[[#This Row],[Bucket]],stock[MT])-salesforecast[[#This Row],[Stock CTL]]</f>
        <v>0</v>
      </c>
      <c r="AE7" s="43" t="e">
        <v>#REF!</v>
      </c>
      <c r="AF7" s="43">
        <f>SUMIF(wip[Bucket],salesforecast[[#This Row],[Bucket]],wip[Stock(Net Wt)])/1000</f>
        <v>0</v>
      </c>
      <c r="AG7" s="43" t="e">
        <v>#REF!</v>
      </c>
      <c r="AH7" s="43">
        <f>SUMIFS(stock[MT],stock[Bucket],salesforecast[[#This Row],[Bucket2]],stock[Plant],"0788")</f>
        <v>0</v>
      </c>
      <c r="AI7" s="43" t="e">
        <f>((salesforecast[[#This Row],[WIP]]+salesforecast[[#This Row],[Stock LL]]))/salesforecast[[#This Row],[July Schedule]]*30</f>
        <v>#DIV/0!</v>
      </c>
      <c r="AJ7" s="52" t="e">
        <f>salesforecast[[#This Row],[Stock LL]]/salesforecast[[#This Row],[Schedule]]*30</f>
        <v>#DIV/0!</v>
      </c>
      <c r="AK7" s="43">
        <f>SUMIFS(stock[MT],stock[Bucket],salesforecast[[#This Row],[Bucket2]],stock[Plant],"0789",stock[LL or CTL],"LL")</f>
        <v>0</v>
      </c>
      <c r="AL7" s="193" t="e">
        <f>(salesforecast[[#This Row],[Sales]])/salesforecast[[#This Row],[Schedule]]</f>
        <v>#DIV/0!</v>
      </c>
      <c r="AM7" s="43">
        <f>SUMIFS(stock[MT],stock[Plant],salesforecast[[#This Row],[Plant]],stock[LL or CTL],"LL",stock[Bucket],salesforecast[[#This Row],[Bucket]])</f>
        <v>0</v>
      </c>
      <c r="AN7" s="43">
        <f>SUMIFS(scheduleapr[SCHEDULE IN MT],scheduleapr[CUSTOMER NAME],"*Rajsriya*",scheduleapr[Bucket],salesforecast[[#This Row],[Bucket]])</f>
        <v>0</v>
      </c>
      <c r="AO7" s="43">
        <f>SUMIFS(salesTVS[Quantity],salesTVS[CUSTOMER  NAME],"*RAJSRIYA*",salesTVS[buckets.Bucket],salesforecast[[#This Row],[Bucket]])/1000</f>
        <v>0</v>
      </c>
      <c r="AP7" s="43">
        <f>SUMIFS(stock[MT],stock[Plant],4318,stock[Bucket],salesforecast[[#This Row],[Bucket2]])</f>
        <v>0</v>
      </c>
      <c r="AQ7" s="43">
        <f>SUMIFS(stock[MT],stock[Plant],4731,stock[Bucket],salesforecast[[#This Row],[Bucket2]],stock[LL or CTL],"CTL")</f>
        <v>0</v>
      </c>
      <c r="AR7" s="43">
        <f>SUMIFS(stock[MT],stock[Plant],4731,stock[Bucket],salesforecast[[#This Row],[Bucket2]])-salesforecast[[#This Row],[4731 Stock CTL]]</f>
        <v>0</v>
      </c>
      <c r="AS7" s="43">
        <f>SUMIFS(stock[MT],stock[Plant],8406,stock[Bucket],salesforecast[[#This Row],[Bucket2]])</f>
        <v>0</v>
      </c>
    </row>
    <row r="8" spans="1:45" ht="30" x14ac:dyDescent="0.25">
      <c r="A8">
        <v>14</v>
      </c>
      <c r="B8">
        <v>14</v>
      </c>
      <c r="C8">
        <v>0</v>
      </c>
      <c r="D8">
        <v>2.4500000000000002</v>
      </c>
      <c r="E8" t="s">
        <v>357</v>
      </c>
      <c r="F8" t="s">
        <v>357</v>
      </c>
      <c r="G8" t="s">
        <v>239</v>
      </c>
      <c r="H8" t="str">
        <f>_xlfn.CONCAT(salesforecast[[#This Row],[OD]],"-",salesforecast[[#This Row],[ID]],"-",salesforecast[[#This Row],[TICKNESS]],"-",salesforecast[[#This Row],[GRADE]],"-",salesforecast[[#This Row],[FC/NFC]])</f>
        <v>14-0-2.45-CEW-CEW</v>
      </c>
      <c r="I8" s="43">
        <f>SUMIFS(scheduleapr[SCHEDULE IN MT],scheduleapr[Bucket],salesforecast[[#This Row],[Bucket]])</f>
        <v>4.1850304650000005</v>
      </c>
      <c r="J8" s="46">
        <v>2363145</v>
      </c>
      <c r="K8">
        <f>COUNTIF('helper sheet'!$A$1:$A$33,salesforecast[[#This Row],[LL Material Code]])</f>
        <v>0</v>
      </c>
      <c r="N8" t="s">
        <v>1946</v>
      </c>
      <c r="P8" s="47" t="s">
        <v>362</v>
      </c>
      <c r="Q8">
        <v>0</v>
      </c>
      <c r="R8">
        <v>1</v>
      </c>
      <c r="S8">
        <v>1</v>
      </c>
      <c r="T8" s="52">
        <f>ROUNDUP(MAX(salesforecast[[#This Row],[FY25 Average]],salesforecast[[#This Row],[July Schedule]]),0)</f>
        <v>5</v>
      </c>
      <c r="U8" s="52">
        <f>salesforecast[[#This Row],[Forecast]]-salesforecast[[#This Row],[July Schedule]]</f>
        <v>0.81496953499999947</v>
      </c>
      <c r="V8" t="str">
        <f>salesforecast[[#This Row],[Plant]]</f>
        <v>0788</v>
      </c>
      <c r="W8" s="66" t="str" cm="1">
        <f t="array" ref="W8">_xlfn.TEXTJOIN("|",TRUE,(_xlfn.UNIQUE(_xlfn._xlws.FILTER(scheduleapr[CUSTOMER NAME],scheduleapr[Bucket]=salesforecast[[#This Row],[Bucket]]))))</f>
        <v xml:space="preserve">NMPL TVSM|Sandhar Engg Mysore </v>
      </c>
      <c r="X8" s="66" t="str" cm="1">
        <f t="array" ref="X8">_xlfn.TEXTJOIN("|",TRUE,(_xlfn.UNIQUE(_xlfn._xlws.SORT(_xlfn._xlws.FILTER(scheduleapr[LENGTH],scheduleapr[Bucket]=salesforecast[[#This Row],[Bucket]])))))</f>
        <v>1000</v>
      </c>
      <c r="Y8" s="66" t="str" cm="1">
        <f t="array" ref="Y8">_xlfn.TEXTJOIN("|",TRUE,_xlfn._xlws.FILTER(buckets[Material Codes],(buckets[Bucket]=salesforecast[[#This Row],[Bucket2]])))</f>
        <v>2363145|3402383</v>
      </c>
      <c r="Z8" t="str">
        <f>salesforecast[[#This Row],[Bucket]]</f>
        <v>14-0-2.45-CEW-CEW</v>
      </c>
      <c r="AA8" s="43">
        <f>salesforecast[[#This Row],[July Schedule]]</f>
        <v>4.1850304650000005</v>
      </c>
      <c r="AB8" s="43">
        <f>SUMIF(salesTVS[buckets.Bucket],salesforecast[[#This Row],[Bucket]],salesTVS[Quantity])/1000</f>
        <v>0</v>
      </c>
      <c r="AC8" s="43">
        <f>SUMIFS(stock[MT],stock[Bucket],salesforecast[[#This Row],[Bucket]],stock[LL or CTL],"CTL")</f>
        <v>0</v>
      </c>
      <c r="AD8" s="43">
        <f>SUMIF(stock[Bucket],salesforecast[[#This Row],[Bucket]],stock[MT])-salesforecast[[#This Row],[Stock CTL]]</f>
        <v>2.0270000000000001</v>
      </c>
      <c r="AE8" s="43" t="e">
        <v>#REF!</v>
      </c>
      <c r="AF8" s="43">
        <f>SUMIF(wip[Bucket],salesforecast[[#This Row],[Bucket]],wip[Stock(Net Wt)])/1000</f>
        <v>0</v>
      </c>
      <c r="AG8" s="43" t="e">
        <v>#REF!</v>
      </c>
      <c r="AH8" s="43">
        <f>SUMIFS(stock[MT],stock[Bucket],salesforecast[[#This Row],[Bucket2]],stock[Plant],"0788")</f>
        <v>2.0270000000000001</v>
      </c>
      <c r="AI8" s="43">
        <f>((salesforecast[[#This Row],[WIP]]+salesforecast[[#This Row],[Stock LL]]))/salesforecast[[#This Row],[July Schedule]]*30</f>
        <v>14.530360175048331</v>
      </c>
      <c r="AJ8" s="52">
        <f>salesforecast[[#This Row],[Stock LL]]/salesforecast[[#This Row],[Schedule]]*30</f>
        <v>14.530360175048331</v>
      </c>
      <c r="AK8" s="43">
        <f>SUMIFS(stock[MT],stock[Bucket],salesforecast[[#This Row],[Bucket2]],stock[Plant],"0789",stock[LL or CTL],"LL")</f>
        <v>0</v>
      </c>
      <c r="AL8" s="193">
        <f>(salesforecast[[#This Row],[Sales]])/salesforecast[[#This Row],[Schedule]]</f>
        <v>0</v>
      </c>
      <c r="AM8" s="67">
        <f>SUMIFS(stock[MT],stock[Plant],salesforecast[[#This Row],[Plant]],stock[LL or CTL],"LL",stock[Bucket],salesforecast[[#This Row],[Bucket]])</f>
        <v>2.0270000000000001</v>
      </c>
      <c r="AN8" s="43">
        <f>SUMIFS(scheduleapr[SCHEDULE IN MT],scheduleapr[CUSTOMER NAME],"*Rajsriya*",scheduleapr[Bucket],salesforecast[[#This Row],[Bucket]])</f>
        <v>0</v>
      </c>
      <c r="AO8" s="43">
        <f>SUMIFS(salesTVS[Quantity],salesTVS[CUSTOMER  NAME],"*RAJSRIYA*",salesTVS[buckets.Bucket],salesforecast[[#This Row],[Bucket]])/1000</f>
        <v>0</v>
      </c>
      <c r="AP8" s="43">
        <f>SUMIFS(stock[MT],stock[Plant],4318,stock[Bucket],salesforecast[[#This Row],[Bucket2]])</f>
        <v>0</v>
      </c>
      <c r="AQ8" s="43">
        <f>SUMIFS(stock[MT],stock[Plant],4731,stock[Bucket],salesforecast[[#This Row],[Bucket2]],stock[LL or CTL],"CTL")</f>
        <v>0</v>
      </c>
      <c r="AR8" s="43">
        <f>SUMIFS(stock[MT],stock[Plant],4731,stock[Bucket],salesforecast[[#This Row],[Bucket2]])-salesforecast[[#This Row],[4731 Stock CTL]]</f>
        <v>0</v>
      </c>
      <c r="AS8" s="43">
        <f>SUMIFS(stock[MT],stock[Plant],8406,stock[Bucket],salesforecast[[#This Row],[Bucket2]])</f>
        <v>0</v>
      </c>
    </row>
    <row r="9" spans="1:45" ht="45" x14ac:dyDescent="0.25">
      <c r="A9">
        <v>15.88</v>
      </c>
      <c r="B9">
        <v>15.88</v>
      </c>
      <c r="C9">
        <v>0</v>
      </c>
      <c r="D9">
        <v>1</v>
      </c>
      <c r="E9" t="s">
        <v>962</v>
      </c>
      <c r="F9" t="s">
        <v>963</v>
      </c>
      <c r="G9" t="s">
        <v>1867</v>
      </c>
      <c r="H9" t="str">
        <f>_xlfn.CONCAT(salesforecast[[#This Row],[OD]],"-",salesforecast[[#This Row],[ID]],"-",salesforecast[[#This Row],[TICKNESS]],"-",salesforecast[[#This Row],[GRADE]],"-",salesforecast[[#This Row],[FC/NFC]])</f>
        <v>15.88-0-1-ERW 1-PE</v>
      </c>
      <c r="I9" s="43">
        <f>SUMIFS(scheduleapr[SCHEDULE IN MT],scheduleapr[Bucket],salesforecast[[#This Row],[Bucket]])</f>
        <v>34.61147309447999</v>
      </c>
      <c r="J9">
        <v>3497961</v>
      </c>
      <c r="K9">
        <f>COUNTIF('helper sheet'!$A$1:$A$33,salesforecast[[#This Row],[LL Material Code]])</f>
        <v>0</v>
      </c>
      <c r="N9" t="s">
        <v>2436</v>
      </c>
      <c r="P9" s="47" t="s">
        <v>345</v>
      </c>
      <c r="Q9">
        <v>0</v>
      </c>
      <c r="R9">
        <v>10</v>
      </c>
      <c r="S9">
        <v>2</v>
      </c>
      <c r="T9" s="52">
        <f>ROUNDUP(MAX(salesforecast[[#This Row],[FY25 Average]],salesforecast[[#This Row],[July Schedule]]),0)</f>
        <v>35</v>
      </c>
      <c r="U9" s="52">
        <f>salesforecast[[#This Row],[Forecast]]-salesforecast[[#This Row],[July Schedule]]</f>
        <v>0.38852690552000979</v>
      </c>
      <c r="V9" t="str">
        <f>salesforecast[[#This Row],[Plant]]</f>
        <v>0789</v>
      </c>
      <c r="W9" s="66" t="str" cm="1">
        <f t="array" ref="W9">_xlfn.TEXTJOIN("|",TRUE,(_xlfn.UNIQUE(_xlfn._xlws.FILTER(scheduleapr[CUSTOMER NAME],scheduleapr[Bucket]=salesforecast[[#This Row],[Bucket]]))))</f>
        <v>Marathwada|NMPL HUB|NMPL TVSM</v>
      </c>
      <c r="X9" s="66" t="str" cm="1">
        <f t="array" ref="X9">_xlfn.TEXTJOIN("|",TRUE,(_xlfn.UNIQUE(_xlfn._xlws.SORT(_xlfn._xlws.FILTER(scheduleapr[LENGTH],scheduleapr[Bucket]=salesforecast[[#This Row],[Bucket]])))))</f>
        <v>140|592|1234|1603|1715|1745|2185|2340|2490|2905</v>
      </c>
      <c r="Y9" s="66" t="str" cm="1">
        <f t="array" ref="Y9">_xlfn.TEXTJOIN("|",TRUE,_xlfn._xlws.FILTER(buckets[Material Codes],(buckets[Bucket]=salesforecast[[#This Row],[Bucket2]])*(buckets[LL or CTL]="CTL")))</f>
        <v>1940019|2244449|1941845|1941846|3672607|3672606|1941847|3672608|1941848|3541434</v>
      </c>
      <c r="Z9" t="str">
        <f>salesforecast[[#This Row],[Bucket]]</f>
        <v>15.88-0-1-ERW 1-PE</v>
      </c>
      <c r="AA9" s="43">
        <f>salesforecast[[#This Row],[July Schedule]]</f>
        <v>34.61147309447999</v>
      </c>
      <c r="AB9" s="43">
        <f>SUMIF(salesTVS[buckets.Bucket],salesforecast[[#This Row],[Bucket]],salesTVS[Quantity])/1000</f>
        <v>16.544900000000002</v>
      </c>
      <c r="AC9" s="43">
        <f>SUMIFS(stock[MT],stock[Bucket],salesforecast[[#This Row],[Bucket]],stock[LL or CTL],"CTL")</f>
        <v>7.565932000000001</v>
      </c>
      <c r="AD9" s="43">
        <f>SUMIF(stock[Bucket],salesforecast[[#This Row],[Bucket]],stock[MT])-salesforecast[[#This Row],[Stock CTL]]</f>
        <v>0.17900000000000027</v>
      </c>
      <c r="AE9" s="43" t="e">
        <v>#REF!</v>
      </c>
      <c r="AF9" s="43">
        <f>SUMIF(wip[Bucket],salesforecast[[#This Row],[Bucket]],wip[Stock(Net Wt)])/1000</f>
        <v>0</v>
      </c>
      <c r="AG9" s="64" t="e">
        <v>#REF!</v>
      </c>
      <c r="AH9" s="43">
        <f>SUMIFS(stock[MT],stock[Bucket],salesforecast[[#This Row],[Bucket2]],stock[Plant],"0788")</f>
        <v>0</v>
      </c>
      <c r="AI9" s="43">
        <f>((salesforecast[[#This Row],[WIP]]+salesforecast[[#This Row],[Stock LL]]))/salesforecast[[#This Row],[July Schedule]]*30</f>
        <v>0.15515086530242025</v>
      </c>
      <c r="AJ9" s="52">
        <f>salesforecast[[#This Row],[Stock LL]]/salesforecast[[#This Row],[Schedule]]*30</f>
        <v>0.15515086530242025</v>
      </c>
      <c r="AK9" s="43">
        <f>SUMIFS(stock[MT],stock[Bucket],salesforecast[[#This Row],[Bucket2]],stock[Plant],"0789",stock[LL or CTL],"LL")</f>
        <v>0.17899999999999999</v>
      </c>
      <c r="AL9" s="193">
        <f>(salesforecast[[#This Row],[Sales]])/salesforecast[[#This Row],[Schedule]]</f>
        <v>0.47801779354599805</v>
      </c>
      <c r="AM9" s="43">
        <f>SUMIFS(stock[MT],stock[Plant],salesforecast[[#This Row],[Plant]],stock[LL or CTL],"LL",stock[Bucket],salesforecast[[#This Row],[Bucket]])</f>
        <v>0.17899999999999999</v>
      </c>
      <c r="AN9" s="43">
        <f>SUMIFS(scheduleapr[SCHEDULE IN MT],scheduleapr[CUSTOMER NAME],"*Rajsriya*",scheduleapr[Bucket],salesforecast[[#This Row],[Bucket]])</f>
        <v>0</v>
      </c>
      <c r="AO9" s="43">
        <f>SUMIFS(salesTVS[Quantity],salesTVS[CUSTOMER  NAME],"*RAJSRIYA*",salesTVS[buckets.Bucket],salesforecast[[#This Row],[Bucket]])/1000</f>
        <v>0</v>
      </c>
      <c r="AP9" s="43">
        <f>SUMIFS(stock[MT],stock[Plant],4318,stock[Bucket],salesforecast[[#This Row],[Bucket2]])</f>
        <v>0</v>
      </c>
      <c r="AQ9" s="43">
        <f>SUMIFS(stock[MT],stock[Plant],4731,stock[Bucket],salesforecast[[#This Row],[Bucket2]],stock[LL or CTL],"CTL")</f>
        <v>0</v>
      </c>
      <c r="AR9" s="43">
        <f>SUMIFS(stock[MT],stock[Plant],4731,stock[Bucket],salesforecast[[#This Row],[Bucket2]])-salesforecast[[#This Row],[4731 Stock CTL]]</f>
        <v>0</v>
      </c>
      <c r="AS9" s="43">
        <f>SUMIFS(stock[MT],stock[Plant],8406,stock[Bucket],salesforecast[[#This Row],[Bucket2]])</f>
        <v>0</v>
      </c>
    </row>
    <row r="10" spans="1:45" ht="60" x14ac:dyDescent="0.25">
      <c r="A10">
        <v>15.88</v>
      </c>
      <c r="B10">
        <v>15.88</v>
      </c>
      <c r="C10">
        <v>0</v>
      </c>
      <c r="D10">
        <v>1.2</v>
      </c>
      <c r="E10" t="s">
        <v>962</v>
      </c>
      <c r="F10" t="s">
        <v>963</v>
      </c>
      <c r="G10" t="s">
        <v>1867</v>
      </c>
      <c r="H10" t="str">
        <f>_xlfn.CONCAT(salesforecast[[#This Row],[OD]],"-",salesforecast[[#This Row],[ID]],"-",salesforecast[[#This Row],[TICKNESS]],"-",salesforecast[[#This Row],[GRADE]],"-",salesforecast[[#This Row],[FC/NFC]])</f>
        <v>15.88-0-1.2-ERW 1-PE</v>
      </c>
      <c r="I10" s="43">
        <f>SUMIFS(scheduleapr[SCHEDULE IN MT],scheduleapr[Bucket],salesforecast[[#This Row],[Bucket]])</f>
        <v>17.993943528960003</v>
      </c>
      <c r="J10">
        <v>1940057</v>
      </c>
      <c r="K10">
        <f>COUNTIF('helper sheet'!$A$1:$A$33,salesforecast[[#This Row],[LL Material Code]])</f>
        <v>1</v>
      </c>
      <c r="L10">
        <v>3570901</v>
      </c>
      <c r="N10" t="s">
        <v>2437</v>
      </c>
      <c r="P10" s="47" t="s">
        <v>345</v>
      </c>
      <c r="Q10">
        <v>4</v>
      </c>
      <c r="R10">
        <v>21</v>
      </c>
      <c r="S10">
        <v>11</v>
      </c>
      <c r="T10" s="52">
        <f>ROUNDUP(MAX(salesforecast[[#This Row],[FY25 Average]],salesforecast[[#This Row],[July Schedule]]),0)</f>
        <v>18</v>
      </c>
      <c r="U10" s="52">
        <f>salesforecast[[#This Row],[Forecast]]-salesforecast[[#This Row],[July Schedule]]</f>
        <v>6.056471039997291E-3</v>
      </c>
      <c r="V10" t="str">
        <f>salesforecast[[#This Row],[Plant]]</f>
        <v>0789</v>
      </c>
      <c r="W10" s="66" t="str" cm="1">
        <f t="array" ref="W10">_xlfn.TEXTJOIN("|",TRUE,(_xlfn.UNIQUE(_xlfn._xlws.FILTER(scheduleapr[CUSTOMER NAME],scheduleapr[Bucket]=salesforecast[[#This Row],[Bucket]]))))</f>
        <v>Balaji press product|RUCHA|SRI BALAJI GEARS V4|Balaji Gears V3|SRI BALAJI GEARS V7|SRIKAM HITECH</v>
      </c>
      <c r="X10" s="66" t="str" cm="1">
        <f t="array" ref="X10">_xlfn.TEXTJOIN("|",TRUE,(_xlfn.UNIQUE(_xlfn._xlws.SORT(_xlfn._xlws.FILTER(scheduleapr[LENGTH],scheduleapr[Bucket]=salesforecast[[#This Row],[Bucket]])))))</f>
        <v>150|540|680|730|755|888|1130|1310</v>
      </c>
      <c r="Y10" s="66" t="str" cm="1">
        <f t="array" ref="Y10">_xlfn.TEXTJOIN("|",TRUE,_xlfn._xlws.FILTER(buckets[Material Codes],(buckets[Bucket]=salesforecast[[#This Row],[Bucket2]])*(buckets[LL or CTL]="CTL")))</f>
        <v>1940034|1940038|4241099|3715199|2409610|1940043|1940045|1940046|3935312|4104140</v>
      </c>
      <c r="Z10" t="str">
        <f>salesforecast[[#This Row],[Bucket]]</f>
        <v>15.88-0-1.2-ERW 1-PE</v>
      </c>
      <c r="AA10" s="43">
        <f>salesforecast[[#This Row],[July Schedule]]</f>
        <v>17.993943528960003</v>
      </c>
      <c r="AB10" s="43">
        <f>SUMIF(salesTVS[buckets.Bucket],salesforecast[[#This Row],[Bucket]],salesTVS[Quantity])/1000</f>
        <v>12.248701999999994</v>
      </c>
      <c r="AC10" s="43">
        <f>SUMIFS(stock[MT],stock[Bucket],salesforecast[[#This Row],[Bucket]],stock[LL or CTL],"CTL")</f>
        <v>4.7158829999999998</v>
      </c>
      <c r="AD10" s="43">
        <f>SUMIF(stock[Bucket],salesforecast[[#This Row],[Bucket]],stock[MT])-salesforecast[[#This Row],[Stock CTL]]</f>
        <v>6.0695910000000008</v>
      </c>
      <c r="AE10" s="43" t="e">
        <v>#REF!</v>
      </c>
      <c r="AF10" s="64">
        <f>SUMIF(wip[Bucket],salesforecast[[#This Row],[Bucket]],wip[Stock(Net Wt)])/1000</f>
        <v>7.3860000000000001</v>
      </c>
      <c r="AG10" s="64" t="e">
        <v>#REF!</v>
      </c>
      <c r="AH10" s="43">
        <f>SUMIFS(stock[MT],stock[Bucket],salesforecast[[#This Row],[Bucket2]],stock[Plant],"0788")</f>
        <v>0</v>
      </c>
      <c r="AI10" s="43">
        <f>((salesforecast[[#This Row],[WIP]]+salesforecast[[#This Row],[Stock LL]]))/salesforecast[[#This Row],[July Schedule]]*30</f>
        <v>22.433533224683341</v>
      </c>
      <c r="AJ10" s="52">
        <f>salesforecast[[#This Row],[Stock LL]]/salesforecast[[#This Row],[Schedule]]*30</f>
        <v>10.11938987731858</v>
      </c>
      <c r="AK10" s="43">
        <f>SUMIFS(stock[MT],stock[Bucket],salesforecast[[#This Row],[Bucket2]],stock[Plant],"0789",stock[LL or CTL],"LL")</f>
        <v>5.8987420000000004</v>
      </c>
      <c r="AL10" s="193">
        <f>(salesforecast[[#This Row],[Sales]])/salesforecast[[#This Row],[Schedule]]</f>
        <v>0.68071248419150365</v>
      </c>
      <c r="AM10" s="43">
        <f>SUMIFS(stock[MT],stock[Plant],salesforecast[[#This Row],[Plant]],stock[LL or CTL],"LL",stock[Bucket],salesforecast[[#This Row],[Bucket]])</f>
        <v>5.8987420000000004</v>
      </c>
      <c r="AN10" s="43">
        <f>SUMIFS(scheduleapr[SCHEDULE IN MT],scheduleapr[CUSTOMER NAME],"*Rajsriya*",scheduleapr[Bucket],salesforecast[[#This Row],[Bucket]])</f>
        <v>0</v>
      </c>
      <c r="AO10" s="43">
        <f>SUMIFS(salesTVS[Quantity],salesTVS[CUSTOMER  NAME],"*RAJSRIYA*",salesTVS[buckets.Bucket],salesforecast[[#This Row],[Bucket]])/1000</f>
        <v>0</v>
      </c>
      <c r="AP10" s="43">
        <f>SUMIFS(stock[MT],stock[Plant],4318,stock[Bucket],salesforecast[[#This Row],[Bucket2]])</f>
        <v>0</v>
      </c>
      <c r="AQ10" s="43">
        <f>SUMIFS(stock[MT],stock[Plant],4731,stock[Bucket],salesforecast[[#This Row],[Bucket2]],stock[LL or CTL],"CTL")</f>
        <v>0</v>
      </c>
      <c r="AR10" s="43">
        <f>SUMIFS(stock[MT],stock[Plant],4731,stock[Bucket],salesforecast[[#This Row],[Bucket2]])-salesforecast[[#This Row],[4731 Stock CTL]]</f>
        <v>0.170849</v>
      </c>
      <c r="AS10" s="43">
        <f>SUMIFS(stock[MT],stock[Plant],8406,stock[Bucket],salesforecast[[#This Row],[Bucket2]])</f>
        <v>0</v>
      </c>
    </row>
    <row r="11" spans="1:45" ht="60" x14ac:dyDescent="0.25">
      <c r="A11">
        <v>15.88</v>
      </c>
      <c r="B11">
        <v>15.88</v>
      </c>
      <c r="C11">
        <v>0</v>
      </c>
      <c r="D11">
        <v>1.6</v>
      </c>
      <c r="E11" t="s">
        <v>962</v>
      </c>
      <c r="F11" t="s">
        <v>963</v>
      </c>
      <c r="G11" t="s">
        <v>1867</v>
      </c>
      <c r="H11" t="str">
        <f>_xlfn.CONCAT(salesforecast[[#This Row],[OD]],"-",salesforecast[[#This Row],[ID]],"-",salesforecast[[#This Row],[TICKNESS]],"-",salesforecast[[#This Row],[GRADE]],"-",salesforecast[[#This Row],[FC/NFC]])</f>
        <v>15.88-0-1.6-ERW 1-PE</v>
      </c>
      <c r="I11" s="43">
        <f>SUMIFS(scheduleapr[SCHEDULE IN MT],scheduleapr[Bucket],salesforecast[[#This Row],[Bucket]])</f>
        <v>15.081969826560002</v>
      </c>
      <c r="J11">
        <v>3586627</v>
      </c>
      <c r="K11">
        <f>COUNTIF('helper sheet'!$A$1:$A$33,salesforecast[[#This Row],[LL Material Code]])</f>
        <v>0</v>
      </c>
      <c r="N11" t="s">
        <v>2438</v>
      </c>
      <c r="O11" t="s">
        <v>1881</v>
      </c>
      <c r="P11" s="47" t="s">
        <v>345</v>
      </c>
      <c r="Q11">
        <v>1</v>
      </c>
      <c r="R11">
        <v>15</v>
      </c>
      <c r="S11">
        <v>8</v>
      </c>
      <c r="T11" s="52">
        <f>ROUNDUP(MAX(salesforecast[[#This Row],[FY25 Average]],salesforecast[[#This Row],[July Schedule]]),0)</f>
        <v>16</v>
      </c>
      <c r="U11" s="52">
        <f>salesforecast[[#This Row],[Forecast]]-salesforecast[[#This Row],[July Schedule]]</f>
        <v>0.91803017343999826</v>
      </c>
      <c r="V11" t="str">
        <f>salesforecast[[#This Row],[Plant]]</f>
        <v>0789</v>
      </c>
      <c r="W11" s="66" t="str" cm="1">
        <f t="array" ref="W11">_xlfn.TEXTJOIN("|",TRUE,(_xlfn.UNIQUE(_xlfn._xlws.FILTER(scheduleapr[CUSTOMER NAME],scheduleapr[Bucket]=salesforecast[[#This Row],[Bucket]]))))</f>
        <v>ELKAYEM AUTO|ELKAYEM AUTO MYSORE |Marathwada|Rajsriya Unit 2|Rajsriya Unit 5|Rajsriya Automotive|SRIKAM HITECH</v>
      </c>
      <c r="X11" s="66" t="str" cm="1">
        <f t="array" ref="X11">_xlfn.TEXTJOIN("|",TRUE,(_xlfn.UNIQUE(_xlfn._xlws.SORT(_xlfn._xlws.FILTER(scheduleapr[LENGTH],scheduleapr[Bucket]=salesforecast[[#This Row],[Bucket]])))))</f>
        <v>150|154|435|442|1000|6000</v>
      </c>
      <c r="Y11" s="66" t="str" cm="1">
        <f t="array" ref="Y11">_xlfn.TEXTJOIN("|",TRUE,_xlfn._xlws.FILTER(buckets[Material Codes],(buckets[Bucket]=salesforecast[[#This Row],[Bucket2]])*(buckets[LL or CTL]="CTL")))</f>
        <v>4096696|4096695|3620428|3217233|2387804</v>
      </c>
      <c r="Z11" t="str">
        <f>salesforecast[[#This Row],[Bucket]]</f>
        <v>15.88-0-1.6-ERW 1-PE</v>
      </c>
      <c r="AA11" s="43">
        <f>salesforecast[[#This Row],[July Schedule]]</f>
        <v>15.081969826560002</v>
      </c>
      <c r="AB11" s="43">
        <f>SUMIF(salesTVS[buckets.Bucket],salesforecast[[#This Row],[Bucket]],salesTVS[Quantity])/1000</f>
        <v>11.105666999999999</v>
      </c>
      <c r="AC11" s="43">
        <f>SUMIFS(stock[MT],stock[Bucket],salesforecast[[#This Row],[Bucket]],stock[LL or CTL],"CTL")</f>
        <v>2.3809990000000001</v>
      </c>
      <c r="AD11" s="43">
        <f>SUMIF(stock[Bucket],salesforecast[[#This Row],[Bucket]],stock[MT])-salesforecast[[#This Row],[Stock CTL]]</f>
        <v>0</v>
      </c>
      <c r="AE11" s="43" t="e">
        <v>#REF!</v>
      </c>
      <c r="AF11" s="43">
        <f>SUMIF(wip[Bucket],salesforecast[[#This Row],[Bucket]],wip[Stock(Net Wt)])/1000</f>
        <v>3.8879999999999999</v>
      </c>
      <c r="AG11" s="64" t="e">
        <v>#REF!</v>
      </c>
      <c r="AH11" s="43">
        <f>SUMIFS(stock[MT],stock[Bucket],salesforecast[[#This Row],[Bucket2]],stock[Plant],"0788")</f>
        <v>0</v>
      </c>
      <c r="AI11" s="43">
        <f>((salesforecast[[#This Row],[WIP]]+salesforecast[[#This Row],[Stock LL]]))/salesforecast[[#This Row],[July Schedule]]*30</f>
        <v>7.7337377903111779</v>
      </c>
      <c r="AJ11" s="52">
        <f>salesforecast[[#This Row],[Stock LL]]/salesforecast[[#This Row],[Schedule]]*30</f>
        <v>0</v>
      </c>
      <c r="AK11" s="43">
        <f>SUMIFS(stock[MT],stock[Bucket],salesforecast[[#This Row],[Bucket2]],stock[Plant],"0789",stock[LL or CTL],"LL")</f>
        <v>0</v>
      </c>
      <c r="AL11" s="193">
        <f>(salesforecast[[#This Row],[Sales]])/salesforecast[[#This Row],[Schedule]]</f>
        <v>0.73635388001124613</v>
      </c>
      <c r="AM11" s="43">
        <f>SUMIFS(stock[MT],stock[Plant],salesforecast[[#This Row],[Plant]],stock[LL or CTL],"LL",stock[Bucket],salesforecast[[#This Row],[Bucket]])</f>
        <v>0</v>
      </c>
      <c r="AN11" s="43">
        <f>SUMIFS(scheduleapr[SCHEDULE IN MT],scheduleapr[CUSTOMER NAME],"*Rajsriya*",scheduleapr[Bucket],salesforecast[[#This Row],[Bucket]])</f>
        <v>2.6525794579199999</v>
      </c>
      <c r="AO11" s="43">
        <f>SUMIFS(salesTVS[Quantity],salesTVS[CUSTOMER  NAME],"*RAJSRIYA*",salesTVS[buckets.Bucket],salesforecast[[#This Row],[Bucket]])/1000</f>
        <v>0</v>
      </c>
      <c r="AP11" s="43">
        <f>SUMIFS(stock[MT],stock[Plant],4318,stock[Bucket],salesforecast[[#This Row],[Bucket2]])</f>
        <v>0</v>
      </c>
      <c r="AQ11" s="43">
        <f>SUMIFS(stock[MT],stock[Plant],4731,stock[Bucket],salesforecast[[#This Row],[Bucket2]],stock[LL or CTL],"CTL")</f>
        <v>0</v>
      </c>
      <c r="AR11" s="43">
        <f>SUMIFS(stock[MT],stock[Plant],4731,stock[Bucket],salesforecast[[#This Row],[Bucket2]])-salesforecast[[#This Row],[4731 Stock CTL]]</f>
        <v>0</v>
      </c>
      <c r="AS11" s="43">
        <f>SUMIFS(stock[MT],stock[Plant],8406,stock[Bucket],salesforecast[[#This Row],[Bucket2]])</f>
        <v>0</v>
      </c>
    </row>
    <row r="12" spans="1:45" ht="60" x14ac:dyDescent="0.25">
      <c r="A12">
        <v>15.88</v>
      </c>
      <c r="B12">
        <v>15.88</v>
      </c>
      <c r="C12">
        <v>0</v>
      </c>
      <c r="D12">
        <v>2</v>
      </c>
      <c r="E12" t="s">
        <v>962</v>
      </c>
      <c r="F12" t="s">
        <v>963</v>
      </c>
      <c r="G12" t="s">
        <v>239</v>
      </c>
      <c r="H12" t="str">
        <f>_xlfn.CONCAT(salesforecast[[#This Row],[OD]],"-",salesforecast[[#This Row],[ID]],"-",salesforecast[[#This Row],[TICKNESS]],"-",salesforecast[[#This Row],[GRADE]],"-",salesforecast[[#This Row],[FC/NFC]])</f>
        <v>15.88-0-2-ERW 1-PE</v>
      </c>
      <c r="I12" s="43">
        <f>SUMIFS(scheduleapr[SCHEDULE IN MT],scheduleapr[Bucket],salesforecast[[#This Row],[Bucket]])</f>
        <v>12.835552252416001</v>
      </c>
      <c r="J12">
        <v>1940124</v>
      </c>
      <c r="K12">
        <f>COUNTIF('helper sheet'!$A$1:$A$33,salesforecast[[#This Row],[LL Material Code]])</f>
        <v>0</v>
      </c>
      <c r="N12" t="s">
        <v>2439</v>
      </c>
      <c r="P12" s="47" t="s">
        <v>345</v>
      </c>
      <c r="Q12">
        <v>2</v>
      </c>
      <c r="R12">
        <v>11</v>
      </c>
      <c r="S12">
        <v>6</v>
      </c>
      <c r="T12" s="52">
        <f>ROUNDUP(MAX(salesforecast[[#This Row],[FY25 Average]],salesforecast[[#This Row],[July Schedule]]),0)</f>
        <v>13</v>
      </c>
      <c r="U12" s="52">
        <f>salesforecast[[#This Row],[Forecast]]-salesforecast[[#This Row],[July Schedule]]</f>
        <v>0.16444774758399916</v>
      </c>
      <c r="V12" t="str">
        <f>salesforecast[[#This Row],[Plant]]</f>
        <v>0789</v>
      </c>
      <c r="W12" s="66" t="str" cm="1">
        <f t="array" ref="W12">_xlfn.TEXTJOIN("|",TRUE,(_xlfn.UNIQUE(_xlfn._xlws.FILTER(scheduleapr[CUSTOMER NAME],scheduleapr[Bucket]=salesforecast[[#This Row],[Bucket]]))))</f>
        <v>ELKAYEM AUTO|ELKAYEM AUTO MYSORE |Rajsriya Unit 8|Rajsriya Unit 1|Rajsriya Mysore |RUCHA|SRIKAM HITECH</v>
      </c>
      <c r="X12" s="66" t="str" cm="1">
        <f t="array" ref="X12">_xlfn.TEXTJOIN("|",TRUE,(_xlfn.UNIQUE(_xlfn._xlws.SORT(_xlfn._xlws.FILTER(scheduleapr[LENGTH],scheduleapr[Bucket]=salesforecast[[#This Row],[Bucket]])))))</f>
        <v>155|160|291|442|537</v>
      </c>
      <c r="Y12" s="66" t="str" cm="1">
        <f t="array" ref="Y12">_xlfn.TEXTJOIN("|",TRUE,_xlfn._xlws.FILTER(buckets[Material Codes],(buckets[Bucket]=salesforecast[[#This Row],[Bucket2]])*(buckets[LL or CTL]="CTL")))</f>
        <v>2420205|3706751|468311|1940090|3506797|2243845|1941353</v>
      </c>
      <c r="Z12" t="str">
        <f>salesforecast[[#This Row],[Bucket]]</f>
        <v>15.88-0-2-ERW 1-PE</v>
      </c>
      <c r="AA12" s="43">
        <f>salesforecast[[#This Row],[July Schedule]]</f>
        <v>12.835552252416001</v>
      </c>
      <c r="AB12" s="43">
        <f>SUMIF(salesTVS[buckets.Bucket],salesforecast[[#This Row],[Bucket]],salesTVS[Quantity])/1000</f>
        <v>8.190179999999998</v>
      </c>
      <c r="AC12" s="43">
        <f>SUMIFS(stock[MT],stock[Bucket],salesforecast[[#This Row],[Bucket]],stock[LL or CTL],"CTL")</f>
        <v>0.30237799999999998</v>
      </c>
      <c r="AD12" s="43">
        <f>SUMIF(stock[Bucket],salesforecast[[#This Row],[Bucket]],stock[MT])-salesforecast[[#This Row],[Stock CTL]]</f>
        <v>0</v>
      </c>
      <c r="AE12" s="43" t="e">
        <v>#REF!</v>
      </c>
      <c r="AF12" s="43">
        <f>SUMIF(wip[Bucket],salesforecast[[#This Row],[Bucket]],wip[Stock(Net Wt)])/1000</f>
        <v>0.24399999999999999</v>
      </c>
      <c r="AG12" s="43" t="e">
        <v>#REF!</v>
      </c>
      <c r="AH12" s="43">
        <f>SUMIFS(stock[MT],stock[Bucket],salesforecast[[#This Row],[Bucket2]],stock[Plant],"0788")</f>
        <v>0</v>
      </c>
      <c r="AI12" s="43">
        <f>((salesforecast[[#This Row],[WIP]]+salesforecast[[#This Row],[Stock LL]]))/salesforecast[[#This Row],[July Schedule]]*30</f>
        <v>0.57029100548612355</v>
      </c>
      <c r="AJ12" s="52">
        <f>salesforecast[[#This Row],[Stock LL]]/salesforecast[[#This Row],[Schedule]]*30</f>
        <v>0</v>
      </c>
      <c r="AK12" s="43">
        <f>SUMIFS(stock[MT],stock[Bucket],salesforecast[[#This Row],[Bucket2]],stock[Plant],"0789",stock[LL or CTL],"LL")</f>
        <v>0</v>
      </c>
      <c r="AL12" s="193">
        <f>(salesforecast[[#This Row],[Sales]])/salesforecast[[#This Row],[Schedule]]</f>
        <v>0.63808551739239605</v>
      </c>
      <c r="AM12" s="43">
        <f>SUMIFS(stock[MT],stock[Plant],salesforecast[[#This Row],[Plant]],stock[LL or CTL],"LL",stock[Bucket],salesforecast[[#This Row],[Bucket]])</f>
        <v>0</v>
      </c>
      <c r="AN12" s="43">
        <f>SUMIFS(scheduleapr[SCHEDULE IN MT],scheduleapr[CUSTOMER NAME],"*Rajsriya*",scheduleapr[Bucket],salesforecast[[#This Row],[Bucket]])</f>
        <v>4.9779641460000006</v>
      </c>
      <c r="AO12" s="43">
        <f>SUMIFS(salesTVS[Quantity],salesTVS[CUSTOMER  NAME],"*RAJSRIYA*",salesTVS[buckets.Bucket],salesforecast[[#This Row],[Bucket]])/1000</f>
        <v>2.9127500000000004</v>
      </c>
      <c r="AP12" s="43">
        <f>SUMIFS(stock[MT],stock[Plant],4318,stock[Bucket],salesforecast[[#This Row],[Bucket2]])</f>
        <v>0</v>
      </c>
      <c r="AQ12" s="43">
        <f>SUMIFS(stock[MT],stock[Plant],4731,stock[Bucket],salesforecast[[#This Row],[Bucket2]],stock[LL or CTL],"CTL")</f>
        <v>0</v>
      </c>
      <c r="AR12" s="43">
        <f>SUMIFS(stock[MT],stock[Plant],4731,stock[Bucket],salesforecast[[#This Row],[Bucket2]])-salesforecast[[#This Row],[4731 Stock CTL]]</f>
        <v>0</v>
      </c>
      <c r="AS12" s="43">
        <f>SUMIFS(stock[MT],stock[Plant],8406,stock[Bucket],salesforecast[[#This Row],[Bucket2]])</f>
        <v>0</v>
      </c>
    </row>
    <row r="13" spans="1:45" x14ac:dyDescent="0.25">
      <c r="A13">
        <v>16.100000000000001</v>
      </c>
      <c r="B13">
        <v>16.100000000000001</v>
      </c>
      <c r="C13">
        <v>10.4</v>
      </c>
      <c r="D13">
        <v>2.7</v>
      </c>
      <c r="E13" t="s">
        <v>357</v>
      </c>
      <c r="F13" t="s">
        <v>357</v>
      </c>
      <c r="G13" t="s">
        <v>239</v>
      </c>
      <c r="H13" t="str">
        <f>_xlfn.CONCAT(salesforecast[[#This Row],[OD]],"-",salesforecast[[#This Row],[ID]],"-",salesforecast[[#This Row],[TICKNESS]],"-",salesforecast[[#This Row],[GRADE]],"-",salesforecast[[#This Row],[FC/NFC]])</f>
        <v>16.1-10.4-2.7-CEW-CEW</v>
      </c>
      <c r="I13" s="43">
        <f>SUMIFS(scheduleapr[SCHEDULE IN MT],scheduleapr[Bucket],salesforecast[[#This Row],[Bucket]])</f>
        <v>2.6754024600000008</v>
      </c>
      <c r="J13" s="28">
        <v>2410996</v>
      </c>
      <c r="K13">
        <f>COUNTIF('helper sheet'!$A$1:$A$33,salesforecast[[#This Row],[LL Material Code]])</f>
        <v>0</v>
      </c>
      <c r="N13" t="s">
        <v>1230</v>
      </c>
      <c r="P13" s="47" t="s">
        <v>362</v>
      </c>
      <c r="Q13">
        <v>0</v>
      </c>
      <c r="R13">
        <v>3</v>
      </c>
      <c r="S13">
        <v>0</v>
      </c>
      <c r="T13" s="52">
        <f>ROUNDUP(MAX(salesforecast[[#This Row],[FY25 Average]],salesforecast[[#This Row],[July Schedule]]),0)</f>
        <v>3</v>
      </c>
      <c r="U13" s="52">
        <f>salesforecast[[#This Row],[Forecast]]-salesforecast[[#This Row],[July Schedule]]</f>
        <v>0.32459753999999919</v>
      </c>
      <c r="V13" t="str">
        <f>salesforecast[[#This Row],[Plant]]</f>
        <v>0788</v>
      </c>
      <c r="W13" s="66" t="str" cm="1">
        <f t="array" ref="W13">_xlfn.TEXTJOIN("|",TRUE,(_xlfn.UNIQUE(_xlfn._xlws.FILTER(scheduleapr[CUSTOMER NAME],scheduleapr[Bucket]=salesforecast[[#This Row],[Bucket]]))))</f>
        <v xml:space="preserve">Rajsriya Unit 5|Rajsriya Mysore </v>
      </c>
      <c r="X13" s="66" t="str" cm="1">
        <f t="array" ref="X13">_xlfn.TEXTJOIN("|",TRUE,(_xlfn.UNIQUE(_xlfn._xlws.SORT(_xlfn._xlws.FILTER(scheduleapr[LENGTH],scheduleapr[Bucket]=salesforecast[[#This Row],[Bucket]])))))</f>
        <v>1000</v>
      </c>
      <c r="Y13" s="66" t="str" cm="1">
        <f t="array" ref="Y13">_xlfn.TEXTJOIN("|",TRUE,_xlfn._xlws.FILTER(buckets[Material Codes],(buckets[Bucket]=salesforecast[[#This Row],[Bucket2]])))</f>
        <v>2410996</v>
      </c>
      <c r="Z13" t="str">
        <f>salesforecast[[#This Row],[Bucket]]</f>
        <v>16.1-10.4-2.7-CEW-CEW</v>
      </c>
      <c r="AA13" s="43">
        <f>salesforecast[[#This Row],[July Schedule]]</f>
        <v>2.6754024600000008</v>
      </c>
      <c r="AB13" s="43">
        <f>SUMIF(salesTVS[buckets.Bucket],salesforecast[[#This Row],[Bucket]],salesTVS[Quantity])/1000</f>
        <v>0</v>
      </c>
      <c r="AC13" s="43">
        <f>SUMIFS(stock[MT],stock[Bucket],salesforecast[[#This Row],[Bucket]],stock[LL or CTL],"CTL")</f>
        <v>0</v>
      </c>
      <c r="AD13" s="43">
        <f>SUMIF(stock[Bucket],salesforecast[[#This Row],[Bucket]],stock[MT])-salesforecast[[#This Row],[Stock CTL]]</f>
        <v>7.4622169999999999</v>
      </c>
      <c r="AE13" s="43" t="e">
        <v>#REF!</v>
      </c>
      <c r="AF13" s="43">
        <f>SUMIF(wip[Bucket],salesforecast[[#This Row],[Bucket]],wip[Stock(Net Wt)])/1000</f>
        <v>0</v>
      </c>
      <c r="AG13" s="43" t="e">
        <v>#REF!</v>
      </c>
      <c r="AH13" s="43">
        <f>SUMIFS(stock[MT],stock[Bucket],salesforecast[[#This Row],[Bucket2]],stock[Plant],"0788")</f>
        <v>1.212</v>
      </c>
      <c r="AI13" s="43">
        <f>((salesforecast[[#This Row],[WIP]]+salesforecast[[#This Row],[Stock LL]]))/salesforecast[[#This Row],[July Schedule]]*30</f>
        <v>83.675825729785686</v>
      </c>
      <c r="AJ13" s="52">
        <f>salesforecast[[#This Row],[Stock LL]]/salesforecast[[#This Row],[Schedule]]*30</f>
        <v>83.675825729785686</v>
      </c>
      <c r="AK13" s="43">
        <f>SUMIFS(stock[MT],stock[Bucket],salesforecast[[#This Row],[Bucket2]],stock[Plant],"0789",stock[LL or CTL],"LL")</f>
        <v>0</v>
      </c>
      <c r="AL13" s="193">
        <f>(salesforecast[[#This Row],[Sales]])/salesforecast[[#This Row],[Schedule]]</f>
        <v>0</v>
      </c>
      <c r="AM13" s="43">
        <f>SUMIFS(stock[MT],stock[Plant],salesforecast[[#This Row],[Plant]],stock[LL or CTL],"LL",stock[Bucket],salesforecast[[#This Row],[Bucket]])</f>
        <v>1.212</v>
      </c>
      <c r="AN13" s="43">
        <f>SUMIFS(scheduleapr[SCHEDULE IN MT],scheduleapr[CUSTOMER NAME],"*Rajsriya*",scheduleapr[Bucket],salesforecast[[#This Row],[Bucket]])</f>
        <v>2.6754024600000008</v>
      </c>
      <c r="AO13" s="43">
        <f>SUMIFS(salesTVS[Quantity],salesTVS[CUSTOMER  NAME],"*RAJSRIYA*",salesTVS[buckets.Bucket],salesforecast[[#This Row],[Bucket]])/1000</f>
        <v>0</v>
      </c>
      <c r="AP13" s="43">
        <f>SUMIFS(stock[MT],stock[Plant],4318,stock[Bucket],salesforecast[[#This Row],[Bucket2]])</f>
        <v>0</v>
      </c>
      <c r="AQ13" s="43">
        <f>SUMIFS(stock[MT],stock[Plant],4731,stock[Bucket],salesforecast[[#This Row],[Bucket2]],stock[LL or CTL],"CTL")</f>
        <v>0</v>
      </c>
      <c r="AR13" s="43">
        <f>SUMIFS(stock[MT],stock[Plant],4731,stock[Bucket],salesforecast[[#This Row],[Bucket2]])-salesforecast[[#This Row],[4731 Stock CTL]]</f>
        <v>6.2502170000000001</v>
      </c>
      <c r="AS13" s="43">
        <f>SUMIFS(stock[MT],stock[Plant],8406,stock[Bucket],salesforecast[[#This Row],[Bucket2]])</f>
        <v>0</v>
      </c>
    </row>
    <row r="14" spans="1:45" ht="30" x14ac:dyDescent="0.25">
      <c r="A14">
        <v>16.100000000000001</v>
      </c>
      <c r="B14">
        <v>16.100000000000001</v>
      </c>
      <c r="C14">
        <v>0</v>
      </c>
      <c r="D14">
        <v>2.8</v>
      </c>
      <c r="E14" t="s">
        <v>357</v>
      </c>
      <c r="F14" t="s">
        <v>357</v>
      </c>
      <c r="G14" t="s">
        <v>239</v>
      </c>
      <c r="H14" t="str">
        <f>_xlfn.CONCAT(salesforecast[[#This Row],[OD]],"-",salesforecast[[#This Row],[ID]],"-",salesforecast[[#This Row],[TICKNESS]],"-",salesforecast[[#This Row],[GRADE]],"-",salesforecast[[#This Row],[FC/NFC]])</f>
        <v>16.1-0-2.8-CEW-CEW</v>
      </c>
      <c r="I14" s="43">
        <f>SUMIFS(scheduleapr[SCHEDULE IN MT],scheduleapr[Bucket],salesforecast[[#This Row],[Bucket]])</f>
        <v>0</v>
      </c>
      <c r="J14" s="91">
        <v>3188792</v>
      </c>
      <c r="K14">
        <f>COUNTIF('helper sheet'!$A$1:$A$33,salesforecast[[#This Row],[LL Material Code]])</f>
        <v>0</v>
      </c>
      <c r="N14" t="s">
        <v>547</v>
      </c>
      <c r="P14" s="47" t="s">
        <v>362</v>
      </c>
      <c r="Q14">
        <v>0</v>
      </c>
      <c r="R14">
        <v>5</v>
      </c>
      <c r="S14">
        <v>2</v>
      </c>
      <c r="T14" s="52">
        <f>ROUNDUP(MAX(salesforecast[[#This Row],[FY25 Average]],salesforecast[[#This Row],[July Schedule]]),0)</f>
        <v>2</v>
      </c>
      <c r="U14" s="52">
        <f>salesforecast[[#This Row],[Forecast]]-salesforecast[[#This Row],[July Schedule]]</f>
        <v>2</v>
      </c>
      <c r="V14" t="str">
        <f>salesforecast[[#This Row],[Plant]]</f>
        <v>0788</v>
      </c>
      <c r="W14" s="66" t="str" cm="1">
        <f t="array" ref="W14">_xlfn.TEXTJOIN("|",TRUE,(_xlfn.UNIQUE(_xlfn._xlws.FILTER(scheduleapr[CUSTOMER NAME],scheduleapr[Bucket]=salesforecast[[#This Row],[Bucket]]))))</f>
        <v>ELKAYEM AUTO|Rajsriya Automotive</v>
      </c>
      <c r="X14" s="66" t="str" cm="1">
        <f t="array" ref="X14">_xlfn.TEXTJOIN("|",TRUE,(_xlfn.UNIQUE(_xlfn._xlws.SORT(_xlfn._xlws.FILTER(scheduleapr[LENGTH],scheduleapr[Bucket]=salesforecast[[#This Row],[Bucket]])))))</f>
        <v>1000|4500</v>
      </c>
      <c r="Y14" s="66" t="str" cm="1">
        <f t="array" ref="Y14">_xlfn.TEXTJOIN("|",TRUE,_xlfn._xlws.FILTER(buckets[Material Codes],(buckets[Bucket]=salesforecast[[#This Row],[Bucket2]])))</f>
        <v>3188792</v>
      </c>
      <c r="Z14" t="str">
        <f>salesforecast[[#This Row],[Bucket]]</f>
        <v>16.1-0-2.8-CEW-CEW</v>
      </c>
      <c r="AA14" s="43">
        <f>salesforecast[[#This Row],[July Schedule]]</f>
        <v>0</v>
      </c>
      <c r="AB14" s="43">
        <f>SUMIF(salesTVS[buckets.Bucket],salesforecast[[#This Row],[Bucket]],salesTVS[Quantity])/1000</f>
        <v>6.8385009999999999</v>
      </c>
      <c r="AC14" s="43">
        <f>SUMIFS(stock[MT],stock[Bucket],salesforecast[[#This Row],[Bucket]],stock[LL or CTL],"CTL")</f>
        <v>0</v>
      </c>
      <c r="AD14" s="43">
        <f>SUMIF(stock[Bucket],salesforecast[[#This Row],[Bucket]],stock[MT])-salesforecast[[#This Row],[Stock CTL]]</f>
        <v>1.92143</v>
      </c>
      <c r="AE14" s="43" t="e">
        <v>#REF!</v>
      </c>
      <c r="AF14" s="43">
        <f>SUMIF(wip[Bucket],salesforecast[[#This Row],[Bucket]],wip[Stock(Net Wt)])/1000</f>
        <v>0</v>
      </c>
      <c r="AG14" s="43" t="e">
        <v>#REF!</v>
      </c>
      <c r="AH14" s="43">
        <f>SUMIFS(stock[MT],stock[Bucket],salesforecast[[#This Row],[Bucket2]],stock[Plant],"0788")</f>
        <v>1.1000000000000001</v>
      </c>
      <c r="AI14" s="43" t="e">
        <f>((salesforecast[[#This Row],[WIP]]+salesforecast[[#This Row],[Stock LL]]))/salesforecast[[#This Row],[July Schedule]]*30</f>
        <v>#DIV/0!</v>
      </c>
      <c r="AJ14" s="52" t="e">
        <f>salesforecast[[#This Row],[Stock LL]]/salesforecast[[#This Row],[Schedule]]*30</f>
        <v>#DIV/0!</v>
      </c>
      <c r="AK14" s="43">
        <f>SUMIFS(stock[MT],stock[Bucket],salesforecast[[#This Row],[Bucket2]],stock[Plant],"0789",stock[LL or CTL],"LL")</f>
        <v>0</v>
      </c>
      <c r="AL14" s="193" t="e">
        <f>(salesforecast[[#This Row],[Sales]])/salesforecast[[#This Row],[Schedule]]</f>
        <v>#DIV/0!</v>
      </c>
      <c r="AM14" s="43">
        <f>SUMIFS(stock[MT],stock[Plant],salesforecast[[#This Row],[Plant]],stock[LL or CTL],"LL",stock[Bucket],salesforecast[[#This Row],[Bucket]])</f>
        <v>1.1000000000000001</v>
      </c>
      <c r="AN14" s="43">
        <f>SUMIFS(scheduleapr[SCHEDULE IN MT],scheduleapr[CUSTOMER NAME],"*Rajsriya*",scheduleapr[Bucket],salesforecast[[#This Row],[Bucket]])</f>
        <v>0</v>
      </c>
      <c r="AO14" s="43">
        <f>SUMIFS(salesTVS[Quantity],salesTVS[CUSTOMER  NAME],"*RAJSRIYA*",salesTVS[buckets.Bucket],salesforecast[[#This Row],[Bucket]])/1000</f>
        <v>0</v>
      </c>
      <c r="AP14" s="43">
        <f>SUMIFS(stock[MT],stock[Plant],4318,stock[Bucket],salesforecast[[#This Row],[Bucket2]])</f>
        <v>0</v>
      </c>
      <c r="AQ14" s="43">
        <f>SUMIFS(stock[MT],stock[Plant],4731,stock[Bucket],salesforecast[[#This Row],[Bucket2]],stock[LL or CTL],"CTL")</f>
        <v>0</v>
      </c>
      <c r="AR14" s="43">
        <f>SUMIFS(stock[MT],stock[Plant],4731,stock[Bucket],salesforecast[[#This Row],[Bucket2]])-salesforecast[[#This Row],[4731 Stock CTL]]</f>
        <v>0.82142999999999999</v>
      </c>
      <c r="AS14" s="43">
        <f>SUMIFS(stock[MT],stock[Plant],8406,stock[Bucket],salesforecast[[#This Row],[Bucket2]])</f>
        <v>0</v>
      </c>
    </row>
    <row r="15" spans="1:45" x14ac:dyDescent="0.25">
      <c r="A15">
        <v>16.100000000000001</v>
      </c>
      <c r="B15">
        <v>16.100000000000001</v>
      </c>
      <c r="C15">
        <v>10.7</v>
      </c>
      <c r="D15">
        <v>2.95</v>
      </c>
      <c r="E15" t="s">
        <v>357</v>
      </c>
      <c r="F15" t="s">
        <v>357</v>
      </c>
      <c r="G15" t="s">
        <v>239</v>
      </c>
      <c r="H15" t="str">
        <f>_xlfn.CONCAT(salesforecast[[#This Row],[OD]],"-",salesforecast[[#This Row],[ID]],"-",salesforecast[[#This Row],[TICKNESS]],"-",salesforecast[[#This Row],[GRADE]],"-",salesforecast[[#This Row],[FC/NFC]])</f>
        <v>16.1-10.7-2.95-CEW-CEW</v>
      </c>
      <c r="I15" s="43">
        <f>SUMIFS(scheduleapr[SCHEDULE IN MT],scheduleapr[Bucket],salesforecast[[#This Row],[Bucket]])</f>
        <v>0</v>
      </c>
      <c r="J15" s="46">
        <v>2410995</v>
      </c>
      <c r="K15">
        <f>COUNTIF('helper sheet'!$A$1:$A$33,salesforecast[[#This Row],[LL Material Code]])</f>
        <v>0</v>
      </c>
      <c r="N15" t="s">
        <v>1875</v>
      </c>
      <c r="P15" s="47" t="s">
        <v>362</v>
      </c>
      <c r="Q15">
        <v>0</v>
      </c>
      <c r="R15">
        <v>1</v>
      </c>
      <c r="S15">
        <v>0</v>
      </c>
      <c r="T15" s="52">
        <f>ROUNDUP(MAX(salesforecast[[#This Row],[FY25 Average]],salesforecast[[#This Row],[July Schedule]]),0)</f>
        <v>0</v>
      </c>
      <c r="U15" s="52">
        <f>salesforecast[[#This Row],[Forecast]]-salesforecast[[#This Row],[July Schedule]]</f>
        <v>0</v>
      </c>
      <c r="V15" t="str">
        <f>salesforecast[[#This Row],[Plant]]</f>
        <v>0788</v>
      </c>
      <c r="W15" s="66" t="str" cm="1">
        <f t="array" ref="W15">_xlfn.TEXTJOIN("|",TRUE,(_xlfn.UNIQUE(_xlfn._xlws.FILTER(scheduleapr[CUSTOMER NAME],scheduleapr[Bucket]=salesforecast[[#This Row],[Bucket]]))))</f>
        <v>ELKAYEM AUTO</v>
      </c>
      <c r="X15" s="66" t="str" cm="1">
        <f t="array" ref="X15">_xlfn.TEXTJOIN("|",TRUE,(_xlfn.UNIQUE(_xlfn._xlws.SORT(_xlfn._xlws.FILTER(scheduleapr[LENGTH],scheduleapr[Bucket]=salesforecast[[#This Row],[Bucket]])))))</f>
        <v>1000</v>
      </c>
      <c r="Y15" s="66" t="str" cm="1">
        <f t="array" ref="Y15">_xlfn.TEXTJOIN("|",TRUE,_xlfn._xlws.FILTER(buckets[Material Codes],(buckets[Bucket]=salesforecast[[#This Row],[Bucket2]])))</f>
        <v>2410995</v>
      </c>
      <c r="Z15" t="str">
        <f>salesforecast[[#This Row],[Bucket]]</f>
        <v>16.1-10.7-2.95-CEW-CEW</v>
      </c>
      <c r="AA15" s="43">
        <f>salesforecast[[#This Row],[July Schedule]]</f>
        <v>0</v>
      </c>
      <c r="AB15" s="43">
        <f>SUMIF(salesTVS[buckets.Bucket],salesforecast[[#This Row],[Bucket]],salesTVS[Quantity])/1000</f>
        <v>0</v>
      </c>
      <c r="AC15" s="43">
        <f>SUMIFS(stock[MT],stock[Bucket],salesforecast[[#This Row],[Bucket]],stock[LL or CTL],"CTL")</f>
        <v>0</v>
      </c>
      <c r="AD15" s="43">
        <f>SUMIF(stock[Bucket],salesforecast[[#This Row],[Bucket]],stock[MT])-salesforecast[[#This Row],[Stock CTL]]</f>
        <v>0</v>
      </c>
      <c r="AE15" s="43" t="e">
        <v>#REF!</v>
      </c>
      <c r="AF15" s="43">
        <f>SUMIF(wip[Bucket],salesforecast[[#This Row],[Bucket]],wip[Stock(Net Wt)])/1000</f>
        <v>0</v>
      </c>
      <c r="AG15" s="43" t="e">
        <v>#REF!</v>
      </c>
      <c r="AH15" s="43">
        <f>SUMIFS(stock[MT],stock[Bucket],salesforecast[[#This Row],[Bucket2]],stock[Plant],"0788")</f>
        <v>0</v>
      </c>
      <c r="AI15" s="43" t="e">
        <f>((salesforecast[[#This Row],[WIP]]+salesforecast[[#This Row],[Stock LL]]))/salesforecast[[#This Row],[July Schedule]]*30</f>
        <v>#DIV/0!</v>
      </c>
      <c r="AJ15" s="52" t="e">
        <f>salesforecast[[#This Row],[Stock LL]]/salesforecast[[#This Row],[Schedule]]*30</f>
        <v>#DIV/0!</v>
      </c>
      <c r="AK15" s="43">
        <f>SUMIFS(stock[MT],stock[Bucket],salesforecast[[#This Row],[Bucket2]],stock[Plant],"0789",stock[LL or CTL],"LL")</f>
        <v>0</v>
      </c>
      <c r="AL15" s="193" t="e">
        <f>(salesforecast[[#This Row],[Sales]])/salesforecast[[#This Row],[Schedule]]</f>
        <v>#DIV/0!</v>
      </c>
      <c r="AM15" s="67">
        <f>SUMIFS(stock[MT],stock[Plant],salesforecast[[#This Row],[Plant]],stock[LL or CTL],"LL",stock[Bucket],salesforecast[[#This Row],[Bucket]])</f>
        <v>0</v>
      </c>
      <c r="AN15" s="43">
        <f>SUMIFS(scheduleapr[SCHEDULE IN MT],scheduleapr[CUSTOMER NAME],"*Rajsriya*",scheduleapr[Bucket],salesforecast[[#This Row],[Bucket]])</f>
        <v>0</v>
      </c>
      <c r="AO15" s="43">
        <f>SUMIFS(salesTVS[Quantity],salesTVS[CUSTOMER  NAME],"*RAJSRIYA*",salesTVS[buckets.Bucket],salesforecast[[#This Row],[Bucket]])/1000</f>
        <v>0</v>
      </c>
      <c r="AP15" s="43">
        <f>SUMIFS(stock[MT],stock[Plant],4318,stock[Bucket],salesforecast[[#This Row],[Bucket2]])</f>
        <v>0</v>
      </c>
      <c r="AQ15" s="43">
        <f>SUMIFS(stock[MT],stock[Plant],4731,stock[Bucket],salesforecast[[#This Row],[Bucket2]],stock[LL or CTL],"CTL")</f>
        <v>0</v>
      </c>
      <c r="AR15" s="43">
        <f>SUMIFS(stock[MT],stock[Plant],4731,stock[Bucket],salesforecast[[#This Row],[Bucket2]])-salesforecast[[#This Row],[4731 Stock CTL]]</f>
        <v>0</v>
      </c>
      <c r="AS15" s="43">
        <f>SUMIFS(stock[MT],stock[Plant],8406,stock[Bucket],salesforecast[[#This Row],[Bucket2]])</f>
        <v>0</v>
      </c>
    </row>
    <row r="16" spans="1:45" ht="30" x14ac:dyDescent="0.25">
      <c r="A16">
        <v>17.3</v>
      </c>
      <c r="B16">
        <v>17.3</v>
      </c>
      <c r="C16">
        <v>0</v>
      </c>
      <c r="D16">
        <v>1.2</v>
      </c>
      <c r="E16" t="s">
        <v>962</v>
      </c>
      <c r="F16" t="s">
        <v>963</v>
      </c>
      <c r="G16" t="s">
        <v>1867</v>
      </c>
      <c r="H16" t="str">
        <f>_xlfn.CONCAT(salesforecast[[#This Row],[OD]],"-",salesforecast[[#This Row],[ID]],"-",salesforecast[[#This Row],[TICKNESS]],"-",salesforecast[[#This Row],[GRADE]],"-",salesforecast[[#This Row],[FC/NFC]])</f>
        <v>17.3-0-1.2-ERW 1-PE</v>
      </c>
      <c r="I16" s="43">
        <f>SUMIFS(scheduleapr[SCHEDULE IN MT],scheduleapr[Bucket],salesforecast[[#This Row],[Bucket]])</f>
        <v>1.4429426004000003</v>
      </c>
      <c r="J16">
        <v>3702201</v>
      </c>
      <c r="K16">
        <f>COUNTIF('helper sheet'!$A$1:$A$33,salesforecast[[#This Row],[LL Material Code]])</f>
        <v>0</v>
      </c>
      <c r="N16" t="s">
        <v>1968</v>
      </c>
      <c r="P16" s="47" t="s">
        <v>362</v>
      </c>
      <c r="Q16">
        <v>1</v>
      </c>
      <c r="R16">
        <v>5</v>
      </c>
      <c r="S16">
        <v>2</v>
      </c>
      <c r="T16" s="52">
        <f>ROUNDUP(MAX(salesforecast[[#This Row],[FY25 Average]],salesforecast[[#This Row],[July Schedule]]),0)</f>
        <v>2</v>
      </c>
      <c r="U16" s="52">
        <f>salesforecast[[#This Row],[Forecast]]-salesforecast[[#This Row],[July Schedule]]</f>
        <v>0.55705739959999967</v>
      </c>
      <c r="V16" t="str">
        <f>salesforecast[[#This Row],[Plant]]</f>
        <v>0788</v>
      </c>
      <c r="W16" s="66" t="str" cm="1">
        <f t="array" ref="W16">_xlfn.TEXTJOIN("|",TRUE,(_xlfn.UNIQUE(_xlfn._xlws.FILTER(scheduleapr[CUSTOMER NAME],scheduleapr[Bucket]=salesforecast[[#This Row],[Bucket]]))))</f>
        <v>NMPL HUB|NMPL TVSM</v>
      </c>
      <c r="X16" s="66" t="str" cm="1">
        <f t="array" ref="X16">_xlfn.TEXTJOIN("|",TRUE,(_xlfn.UNIQUE(_xlfn._xlws.SORT(_xlfn._xlws.FILTER(scheduleapr[LENGTH],scheduleapr[Bucket]=salesforecast[[#This Row],[Bucket]])))))</f>
        <v>150</v>
      </c>
      <c r="Y16" s="66" t="str" cm="1">
        <f t="array" ref="Y16">_xlfn.TEXTJOIN("|",TRUE,_xlfn._xlws.FILTER(buckets[Material Codes],(buckets[Bucket]=salesforecast[[#This Row],[Bucket2]])))</f>
        <v>1938195|1225244|1931824|3702201</v>
      </c>
      <c r="Z16" t="str">
        <f>salesforecast[[#This Row],[Bucket]]</f>
        <v>17.3-0-1.2-ERW 1-PE</v>
      </c>
      <c r="AA16" s="43">
        <f>salesforecast[[#This Row],[July Schedule]]</f>
        <v>1.4429426004000003</v>
      </c>
      <c r="AB16" s="43">
        <f>SUMIF(salesTVS[buckets.Bucket],salesforecast[[#This Row],[Bucket]],salesTVS[Quantity])/1000</f>
        <v>0.56799999999999995</v>
      </c>
      <c r="AC16" s="43">
        <f>SUMIFS(stock[MT],stock[Bucket],salesforecast[[#This Row],[Bucket]],stock[LL or CTL],"CTL")</f>
        <v>0</v>
      </c>
      <c r="AD16" s="43">
        <f>SUMIF(stock[Bucket],salesforecast[[#This Row],[Bucket]],stock[MT])-salesforecast[[#This Row],[Stock CTL]]</f>
        <v>4.49552</v>
      </c>
      <c r="AE16" s="43" t="e">
        <v>#REF!</v>
      </c>
      <c r="AF16" s="43">
        <f>SUMIF(wip[Bucket],salesforecast[[#This Row],[Bucket]],wip[Stock(Net Wt)])/1000</f>
        <v>0</v>
      </c>
      <c r="AG16" s="43" t="e">
        <v>#REF!</v>
      </c>
      <c r="AH16" s="43">
        <f>SUMIFS(stock[MT],stock[Bucket],salesforecast[[#This Row],[Bucket2]],stock[Plant],"0788")</f>
        <v>0</v>
      </c>
      <c r="AI16" s="43">
        <f>((salesforecast[[#This Row],[WIP]]+salesforecast[[#This Row],[Stock LL]]))/salesforecast[[#This Row],[July Schedule]]*30</f>
        <v>93.465672135962791</v>
      </c>
      <c r="AJ16" s="52">
        <f>salesforecast[[#This Row],[Stock LL]]/salesforecast[[#This Row],[Schedule]]*30</f>
        <v>93.465672135962791</v>
      </c>
      <c r="AK16" s="43">
        <f>SUMIFS(stock[MT],stock[Bucket],salesforecast[[#This Row],[Bucket2]],stock[Plant],"0789",stock[LL or CTL],"LL")</f>
        <v>0</v>
      </c>
      <c r="AL16" s="193">
        <f>(salesforecast[[#This Row],[Sales]])/salesforecast[[#This Row],[Schedule]]</f>
        <v>0.39364005182364414</v>
      </c>
      <c r="AM16" s="43">
        <f>SUMIFS(stock[MT],stock[Plant],salesforecast[[#This Row],[Plant]],stock[LL or CTL],"LL",stock[Bucket],salesforecast[[#This Row],[Bucket]])</f>
        <v>0</v>
      </c>
      <c r="AN16" s="43">
        <f>SUMIFS(scheduleapr[SCHEDULE IN MT],scheduleapr[CUSTOMER NAME],"*Rajsriya*",scheduleapr[Bucket],salesforecast[[#This Row],[Bucket]])</f>
        <v>0</v>
      </c>
      <c r="AO16" s="43">
        <f>SUMIFS(salesTVS[Quantity],salesTVS[CUSTOMER  NAME],"*RAJSRIYA*",salesTVS[buckets.Bucket],salesforecast[[#This Row],[Bucket]])/1000</f>
        <v>0</v>
      </c>
      <c r="AP16" s="43">
        <f>SUMIFS(stock[MT],stock[Plant],4318,stock[Bucket],salesforecast[[#This Row],[Bucket2]])</f>
        <v>0</v>
      </c>
      <c r="AQ16" s="43">
        <f>SUMIFS(stock[MT],stock[Plant],4731,stock[Bucket],salesforecast[[#This Row],[Bucket2]],stock[LL or CTL],"CTL")</f>
        <v>0</v>
      </c>
      <c r="AR16" s="43">
        <f>SUMIFS(stock[MT],stock[Plant],4731,stock[Bucket],salesforecast[[#This Row],[Bucket2]])-salesforecast[[#This Row],[4731 Stock CTL]]</f>
        <v>3.29942</v>
      </c>
      <c r="AS16" s="43">
        <f>SUMIFS(stock[MT],stock[Plant],8406,stock[Bucket],salesforecast[[#This Row],[Bucket2]])</f>
        <v>1.1960999999999999</v>
      </c>
    </row>
    <row r="17" spans="1:45" ht="60" x14ac:dyDescent="0.25">
      <c r="A17">
        <v>17.3</v>
      </c>
      <c r="B17">
        <v>17.3</v>
      </c>
      <c r="C17">
        <v>0</v>
      </c>
      <c r="D17">
        <v>1.6</v>
      </c>
      <c r="E17" t="s">
        <v>962</v>
      </c>
      <c r="F17" t="s">
        <v>963</v>
      </c>
      <c r="G17" t="s">
        <v>1867</v>
      </c>
      <c r="H17" t="str">
        <f>_xlfn.CONCAT(salesforecast[[#This Row],[OD]],"-",salesforecast[[#This Row],[ID]],"-",salesforecast[[#This Row],[TICKNESS]],"-",salesforecast[[#This Row],[GRADE]],"-",salesforecast[[#This Row],[FC/NFC]])</f>
        <v>17.3-0-1.6-ERW 1-PE</v>
      </c>
      <c r="I17" s="43">
        <f>SUMIFS(scheduleapr[SCHEDULE IN MT],scheduleapr[Bucket],salesforecast[[#This Row],[Bucket]])</f>
        <v>15.727245152</v>
      </c>
      <c r="J17">
        <v>1931823</v>
      </c>
      <c r="K17">
        <f>COUNTIF('helper sheet'!$A$1:$A$33,salesforecast[[#This Row],[LL Material Code]])</f>
        <v>0</v>
      </c>
      <c r="N17" t="s">
        <v>1876</v>
      </c>
      <c r="O17" t="s">
        <v>1883</v>
      </c>
      <c r="P17" s="47" t="s">
        <v>362</v>
      </c>
      <c r="Q17">
        <v>5</v>
      </c>
      <c r="R17">
        <v>19</v>
      </c>
      <c r="S17">
        <v>12</v>
      </c>
      <c r="T17" s="52">
        <f>ROUNDUP(MAX(salesforecast[[#This Row],[FY25 Average]],salesforecast[[#This Row],[July Schedule]]),0)</f>
        <v>16</v>
      </c>
      <c r="U17" s="52">
        <f>salesforecast[[#This Row],[Forecast]]-salesforecast[[#This Row],[July Schedule]]</f>
        <v>0.27275484799999994</v>
      </c>
      <c r="V17" t="str">
        <f>salesforecast[[#This Row],[Plant]]</f>
        <v>0788</v>
      </c>
      <c r="W17" s="66" t="str" cm="1">
        <f t="array" ref="W17">_xlfn.TEXTJOIN("|",TRUE,(_xlfn.UNIQUE(_xlfn._xlws.FILTER(scheduleapr[CUSTOMER NAME],scheduleapr[Bucket]=salesforecast[[#This Row],[Bucket]]))))</f>
        <v>ELKAYEM AUTO|Marathwada|SANDHAR ENGINEERING PVT LTD.|SRIKAM HITECH</v>
      </c>
      <c r="X17" s="66" t="str" cm="1">
        <f t="array" ref="X17">_xlfn.TEXTJOIN("|",TRUE,(_xlfn.UNIQUE(_xlfn._xlws.SORT(_xlfn._xlws.FILTER(scheduleapr[LENGTH],scheduleapr[Bucket]=salesforecast[[#This Row],[Bucket]])))))</f>
        <v>355|363|385|400|415|640</v>
      </c>
      <c r="Y17" s="66" t="str" cm="1">
        <f t="array" ref="Y17">_xlfn.TEXTJOIN("|",TRUE,_xlfn._xlws.FILTER(buckets[Material Codes],(buckets[Bucket]=salesforecast[[#This Row],[Bucket2]])))</f>
        <v>1938118|1938382|1938119|1938163|1931823|3702200</v>
      </c>
      <c r="Z17" t="str">
        <f>salesforecast[[#This Row],[Bucket]]</f>
        <v>17.3-0-1.6-ERW 1-PE</v>
      </c>
      <c r="AA17" s="43">
        <f>salesforecast[[#This Row],[July Schedule]]</f>
        <v>15.727245152</v>
      </c>
      <c r="AB17" s="43">
        <f>SUMIF(salesTVS[buckets.Bucket],salesforecast[[#This Row],[Bucket]],salesTVS[Quantity])/1000</f>
        <v>0.24787799999999999</v>
      </c>
      <c r="AC17" s="43">
        <f>SUMIFS(stock[MT],stock[Bucket],salesforecast[[#This Row],[Bucket]],stock[LL or CTL],"CTL")</f>
        <v>0.75500499999999993</v>
      </c>
      <c r="AD17" s="43">
        <f>SUMIF(stock[Bucket],salesforecast[[#This Row],[Bucket]],stock[MT])-salesforecast[[#This Row],[Stock CTL]]</f>
        <v>9.3040000000000012E-2</v>
      </c>
      <c r="AE17" s="43" t="e">
        <v>#REF!</v>
      </c>
      <c r="AF17" s="43">
        <f>SUMIF(wip[Bucket],salesforecast[[#This Row],[Bucket]],wip[Stock(Net Wt)])/1000</f>
        <v>0</v>
      </c>
      <c r="AG17" s="43" t="e">
        <v>#REF!</v>
      </c>
      <c r="AH17" s="43">
        <f>SUMIFS(stock[MT],stock[Bucket],salesforecast[[#This Row],[Bucket2]],stock[Plant],"0788")</f>
        <v>0</v>
      </c>
      <c r="AI17" s="43">
        <f>((salesforecast[[#This Row],[WIP]]+salesforecast[[#This Row],[Stock LL]]))/salesforecast[[#This Row],[July Schedule]]*30</f>
        <v>0.17747545568367068</v>
      </c>
      <c r="AJ17" s="52">
        <f>salesforecast[[#This Row],[Stock LL]]/salesforecast[[#This Row],[Schedule]]*30</f>
        <v>0.17747545568367068</v>
      </c>
      <c r="AK17" s="43">
        <f>SUMIFS(stock[MT],stock[Bucket],salesforecast[[#This Row],[Bucket2]],stock[Plant],"0789",stock[LL or CTL],"LL")</f>
        <v>0</v>
      </c>
      <c r="AL17" s="193">
        <f>(salesforecast[[#This Row],[Sales]])/salesforecast[[#This Row],[Schedule]]</f>
        <v>1.576105653624137E-2</v>
      </c>
      <c r="AM17" s="43">
        <f>SUMIFS(stock[MT],stock[Plant],salesforecast[[#This Row],[Plant]],stock[LL or CTL],"LL",stock[Bucket],salesforecast[[#This Row],[Bucket]])</f>
        <v>0</v>
      </c>
      <c r="AN17" s="43">
        <f>SUMIFS(scheduleapr[SCHEDULE IN MT],scheduleapr[CUSTOMER NAME],"*Rajsriya*",scheduleapr[Bucket],salesforecast[[#This Row],[Bucket]])</f>
        <v>0</v>
      </c>
      <c r="AO17" s="43">
        <f>SUMIFS(salesTVS[Quantity],salesTVS[CUSTOMER  NAME],"*RAJSRIYA*",salesTVS[buckets.Bucket],salesforecast[[#This Row],[Bucket]])/1000</f>
        <v>0</v>
      </c>
      <c r="AP17" s="43">
        <f>SUMIFS(stock[MT],stock[Plant],4318,stock[Bucket],salesforecast[[#This Row],[Bucket2]])</f>
        <v>0</v>
      </c>
      <c r="AQ17" s="43">
        <f>SUMIFS(stock[MT],stock[Plant],4731,stock[Bucket],salesforecast[[#This Row],[Bucket2]],stock[LL or CTL],"CTL")</f>
        <v>0.75500499999999993</v>
      </c>
      <c r="AR17" s="43">
        <f>SUMIFS(stock[MT],stock[Plant],4731,stock[Bucket],salesforecast[[#This Row],[Bucket2]])-salesforecast[[#This Row],[4731 Stock CTL]]</f>
        <v>9.3040000000000012E-2</v>
      </c>
      <c r="AS17" s="43">
        <f>SUMIFS(stock[MT],stock[Plant],8406,stock[Bucket],salesforecast[[#This Row],[Bucket2]])</f>
        <v>0</v>
      </c>
    </row>
    <row r="18" spans="1:45" x14ac:dyDescent="0.25">
      <c r="A18">
        <v>18</v>
      </c>
      <c r="B18">
        <v>18</v>
      </c>
      <c r="C18">
        <v>10.8</v>
      </c>
      <c r="D18">
        <v>3.6</v>
      </c>
      <c r="E18" t="s">
        <v>357</v>
      </c>
      <c r="F18" t="s">
        <v>357</v>
      </c>
      <c r="G18" t="s">
        <v>239</v>
      </c>
      <c r="H18" t="str">
        <f>_xlfn.CONCAT(salesforecast[[#This Row],[OD]],"-",salesforecast[[#This Row],[ID]],"-",salesforecast[[#This Row],[TICKNESS]],"-",salesforecast[[#This Row],[GRADE]],"-",salesforecast[[#This Row],[FC/NFC]])</f>
        <v>18-10.8-3.6-CEW-CEW</v>
      </c>
      <c r="I18" s="43">
        <f>SUMIFS(scheduleapr[SCHEDULE IN MT],scheduleapr[Bucket],salesforecast[[#This Row],[Bucket]])</f>
        <v>0</v>
      </c>
      <c r="J18">
        <v>2410642</v>
      </c>
      <c r="K18">
        <f>COUNTIF('helper sheet'!$A$1:$A$33,salesforecast[[#This Row],[LL Material Code]])</f>
        <v>0</v>
      </c>
      <c r="N18" t="s">
        <v>2440</v>
      </c>
      <c r="P18" s="47" t="s">
        <v>362</v>
      </c>
      <c r="Q18">
        <v>0</v>
      </c>
      <c r="R18">
        <v>2</v>
      </c>
      <c r="S18">
        <v>0</v>
      </c>
      <c r="T18" s="52">
        <f>ROUNDUP(MAX(salesforecast[[#This Row],[FY25 Average]],salesforecast[[#This Row],[July Schedule]]),0)</f>
        <v>0</v>
      </c>
      <c r="U18" s="52">
        <f>salesforecast[[#This Row],[Forecast]]-salesforecast[[#This Row],[July Schedule]]</f>
        <v>0</v>
      </c>
      <c r="V18" t="str">
        <f>salesforecast[[#This Row],[Plant]]</f>
        <v>0788</v>
      </c>
      <c r="W18" s="66" t="e" cm="1" vm="1">
        <f t="array" ref="W18">_xlfn.TEXTJOIN("|",TRUE,(_xlfn.UNIQUE(_xlfn._xlws.FILTER(scheduleapr[CUSTOMER NAME],scheduleapr[Bucket]=salesforecast[[#This Row],[Bucket]]))))</f>
        <v>#VALUE!</v>
      </c>
      <c r="X18" s="66" t="e" cm="1" vm="1">
        <f t="array" ref="X18">_xlfn.TEXTJOIN("|",TRUE,(_xlfn.UNIQUE(_xlfn._xlws.SORT(_xlfn._xlws.FILTER(scheduleapr[LENGTH],scheduleapr[Bucket]=salesforecast[[#This Row],[Bucket]])))))</f>
        <v>#VALUE!</v>
      </c>
      <c r="Y18" s="66" t="str" cm="1">
        <f t="array" ref="Y18">_xlfn.TEXTJOIN("|",TRUE,_xlfn._xlws.FILTER(buckets[Material Codes],(buckets[Bucket]=salesforecast[[#This Row],[Bucket2]])))</f>
        <v>2410642</v>
      </c>
      <c r="Z18" t="str">
        <f>salesforecast[[#This Row],[Bucket]]</f>
        <v>18-10.8-3.6-CEW-CEW</v>
      </c>
      <c r="AA18" s="43">
        <f>salesforecast[[#This Row],[July Schedule]]</f>
        <v>0</v>
      </c>
      <c r="AB18" s="43">
        <f>SUMIF(salesTVS[buckets.Bucket],salesforecast[[#This Row],[Bucket]],salesTVS[Quantity])/1000</f>
        <v>0</v>
      </c>
      <c r="AC18" s="43">
        <f>SUMIFS(stock[MT],stock[Bucket],salesforecast[[#This Row],[Bucket]],stock[LL or CTL],"CTL")</f>
        <v>0</v>
      </c>
      <c r="AD18" s="43">
        <f>SUMIF(stock[Bucket],salesforecast[[#This Row],[Bucket]],stock[MT])-salesforecast[[#This Row],[Stock CTL]]</f>
        <v>0</v>
      </c>
      <c r="AE18" s="43" t="e">
        <v>#REF!</v>
      </c>
      <c r="AF18" s="43">
        <f>SUMIF(wip[Bucket],salesforecast[[#This Row],[Bucket]],wip[Stock(Net Wt)])/1000</f>
        <v>0</v>
      </c>
      <c r="AG18" s="43" t="e">
        <v>#REF!</v>
      </c>
      <c r="AH18" s="43">
        <f>SUMIFS(stock[MT],stock[Bucket],salesforecast[[#This Row],[Bucket2]],stock[Plant],"0788")</f>
        <v>0</v>
      </c>
      <c r="AI18" s="43" t="e">
        <f>((salesforecast[[#This Row],[WIP]]+salesforecast[[#This Row],[Stock LL]]))/salesforecast[[#This Row],[July Schedule]]*30</f>
        <v>#DIV/0!</v>
      </c>
      <c r="AJ18" t="e">
        <f>salesforecast[[#This Row],[Stock LL]]/salesforecast[[#This Row],[Schedule]]*30</f>
        <v>#DIV/0!</v>
      </c>
      <c r="AK18" s="43">
        <f>SUMIFS(stock[MT],stock[Bucket],salesforecast[[#This Row],[Bucket2]],stock[Plant],"0789",stock[LL or CTL],"LL")</f>
        <v>0</v>
      </c>
      <c r="AL18" s="193" t="e">
        <f>(salesforecast[[#This Row],[Sales]])/salesforecast[[#This Row],[Schedule]]</f>
        <v>#DIV/0!</v>
      </c>
      <c r="AM18" s="43">
        <f>SUMIFS(stock[MT],stock[Plant],salesforecast[[#This Row],[Plant]],stock[LL or CTL],"LL",stock[Bucket],salesforecast[[#This Row],[Bucket]])</f>
        <v>0</v>
      </c>
      <c r="AN18" s="43">
        <f>SUMIFS(scheduleapr[SCHEDULE IN MT],scheduleapr[CUSTOMER NAME],"*Rajsriya*",scheduleapr[Bucket],salesforecast[[#This Row],[Bucket]])</f>
        <v>0</v>
      </c>
      <c r="AO18" s="43">
        <f>SUMIFS(salesTVS[Quantity],salesTVS[CUSTOMER  NAME],"*RAJSRIYA*",salesTVS[buckets.Bucket],salesforecast[[#This Row],[Bucket]])/1000</f>
        <v>0</v>
      </c>
      <c r="AP18" s="43">
        <f>SUMIFS(stock[MT],stock[Plant],4318,stock[Bucket],salesforecast[[#This Row],[Bucket2]])</f>
        <v>0</v>
      </c>
      <c r="AQ18" s="43">
        <f>SUMIFS(stock[MT],stock[Plant],4731,stock[Bucket],salesforecast[[#This Row],[Bucket2]],stock[LL or CTL],"CTL")</f>
        <v>0</v>
      </c>
      <c r="AR18" s="43">
        <f>SUMIFS(stock[MT],stock[Plant],4731,stock[Bucket],salesforecast[[#This Row],[Bucket2]])-salesforecast[[#This Row],[4731 Stock CTL]]</f>
        <v>0</v>
      </c>
      <c r="AS18" s="43">
        <f>SUMIFS(stock[MT],stock[Plant],8406,stock[Bucket],salesforecast[[#This Row],[Bucket2]])</f>
        <v>0</v>
      </c>
    </row>
    <row r="19" spans="1:45" x14ac:dyDescent="0.25">
      <c r="A19">
        <v>18.2</v>
      </c>
      <c r="B19">
        <v>18.2</v>
      </c>
      <c r="C19">
        <v>0</v>
      </c>
      <c r="D19">
        <v>1</v>
      </c>
      <c r="E19" t="s">
        <v>962</v>
      </c>
      <c r="F19" t="s">
        <v>963</v>
      </c>
      <c r="G19" t="s">
        <v>1867</v>
      </c>
      <c r="H19" t="str">
        <f>_xlfn.CONCAT(salesforecast[[#This Row],[OD]],"-",salesforecast[[#This Row],[ID]],"-",salesforecast[[#This Row],[TICKNESS]],"-",salesforecast[[#This Row],[GRADE]],"-",salesforecast[[#This Row],[FC/NFC]])</f>
        <v>18.2-0-1-ERW 1-PE</v>
      </c>
      <c r="I19" s="43">
        <f>SUMIFS(scheduleapr[SCHEDULE IN MT],scheduleapr[Bucket],salesforecast[[#This Row],[Bucket]])</f>
        <v>3.8813794339999999</v>
      </c>
      <c r="J19" s="45">
        <v>3702439</v>
      </c>
      <c r="K19">
        <f>COUNTIF('helper sheet'!$A$1:$A$33,salesforecast[[#This Row],[LL Material Code]])</f>
        <v>1</v>
      </c>
      <c r="L19" t="s">
        <v>2441</v>
      </c>
      <c r="N19" t="s">
        <v>1241</v>
      </c>
      <c r="P19" s="47" t="s">
        <v>362</v>
      </c>
      <c r="Q19">
        <v>0</v>
      </c>
      <c r="R19">
        <v>3</v>
      </c>
      <c r="S19">
        <v>2</v>
      </c>
      <c r="T19" s="52">
        <f>ROUNDUP(MAX(salesforecast[[#This Row],[FY25 Average]],salesforecast[[#This Row],[July Schedule]]),0)</f>
        <v>4</v>
      </c>
      <c r="U19" s="52">
        <f>salesforecast[[#This Row],[Forecast]]-salesforecast[[#This Row],[July Schedule]]</f>
        <v>0.11862056600000015</v>
      </c>
      <c r="V19" t="str">
        <f>salesforecast[[#This Row],[Plant]]</f>
        <v>0788</v>
      </c>
      <c r="W19" s="66" t="str" cm="1">
        <f t="array" ref="W19">_xlfn.TEXTJOIN("|",TRUE,(_xlfn.UNIQUE(_xlfn._xlws.FILTER(scheduleapr[CUSTOMER NAME],scheduleapr[Bucket]=salesforecast[[#This Row],[Bucket]]))))</f>
        <v>NMPL HUB|NMPL TVSM</v>
      </c>
      <c r="X19" s="66" t="str" cm="1">
        <f t="array" ref="X19">_xlfn.TEXTJOIN("|",TRUE,(_xlfn.UNIQUE(_xlfn._xlws.SORT(_xlfn._xlws.FILTER(scheduleapr[LENGTH],scheduleapr[Bucket]=salesforecast[[#This Row],[Bucket]])))))</f>
        <v>110|145</v>
      </c>
      <c r="Y19" s="66" t="str" cm="1">
        <f t="array" ref="Y19">_xlfn.TEXTJOIN("|",TRUE,_xlfn._xlws.FILTER(buckets[Material Codes],(buckets[Bucket]=salesforecast[[#This Row],[Bucket2]])))</f>
        <v>1938116|1938117|2288945</v>
      </c>
      <c r="Z19" t="str">
        <f>salesforecast[[#This Row],[Bucket]]</f>
        <v>18.2-0-1-ERW 1-PE</v>
      </c>
      <c r="AA19" s="43">
        <f>salesforecast[[#This Row],[July Schedule]]</f>
        <v>3.8813794339999999</v>
      </c>
      <c r="AB19" s="43">
        <f>SUMIF(salesTVS[buckets.Bucket],salesforecast[[#This Row],[Bucket]],salesTVS[Quantity])/1000</f>
        <v>0</v>
      </c>
      <c r="AC19" s="43">
        <f>SUMIFS(stock[MT],stock[Bucket],salesforecast[[#This Row],[Bucket]],stock[LL or CTL],"CTL")</f>
        <v>0.19340000000000002</v>
      </c>
      <c r="AD19" s="43">
        <f>SUMIF(stock[Bucket],salesforecast[[#This Row],[Bucket]],stock[MT])-salesforecast[[#This Row],[Stock CTL]]</f>
        <v>0.18590300000000004</v>
      </c>
      <c r="AE19" s="43" t="e">
        <v>#REF!</v>
      </c>
      <c r="AF19" s="43">
        <f>SUMIF(wip[Bucket],salesforecast[[#This Row],[Bucket]],wip[Stock(Net Wt)])/1000</f>
        <v>0</v>
      </c>
      <c r="AG19" s="43" t="e">
        <v>#REF!</v>
      </c>
      <c r="AH19" s="43">
        <f>SUMIFS(stock[MT],stock[Bucket],salesforecast[[#This Row],[Bucket2]],stock[Plant],"0788")</f>
        <v>0</v>
      </c>
      <c r="AI19" s="43">
        <f>((salesforecast[[#This Row],[WIP]]+salesforecast[[#This Row],[Stock LL]]))/salesforecast[[#This Row],[July Schedule]]*30</f>
        <v>1.4368834830076036</v>
      </c>
      <c r="AJ19" s="52">
        <f>salesforecast[[#This Row],[Stock LL]]/salesforecast[[#This Row],[Schedule]]*30</f>
        <v>1.4368834830076036</v>
      </c>
      <c r="AK19" s="43">
        <f>SUMIFS(stock[MT],stock[Bucket],salesforecast[[#This Row],[Bucket2]],stock[Plant],"0789",stock[LL or CTL],"LL")</f>
        <v>0</v>
      </c>
      <c r="AL19" s="193">
        <f>(salesforecast[[#This Row],[Sales]])/salesforecast[[#This Row],[Schedule]]</f>
        <v>0</v>
      </c>
      <c r="AM19" s="43">
        <f>SUMIFS(stock[MT],stock[Plant],salesforecast[[#This Row],[Plant]],stock[LL or CTL],"LL",stock[Bucket],salesforecast[[#This Row],[Bucket]])</f>
        <v>0</v>
      </c>
      <c r="AN19" s="43">
        <f>SUMIFS(scheduleapr[SCHEDULE IN MT],scheduleapr[CUSTOMER NAME],"*Rajsriya*",scheduleapr[Bucket],salesforecast[[#This Row],[Bucket]])</f>
        <v>0</v>
      </c>
      <c r="AO19" s="43">
        <f>SUMIFS(salesTVS[Quantity],salesTVS[CUSTOMER  NAME],"*RAJSRIYA*",salesTVS[buckets.Bucket],salesforecast[[#This Row],[Bucket]])/1000</f>
        <v>0</v>
      </c>
      <c r="AP19" s="43">
        <f>SUMIFS(stock[MT],stock[Plant],4318,stock[Bucket],salesforecast[[#This Row],[Bucket2]])</f>
        <v>0</v>
      </c>
      <c r="AQ19" s="43">
        <f>SUMIFS(stock[MT],stock[Plant],4731,stock[Bucket],salesforecast[[#This Row],[Bucket2]],stock[LL or CTL],"CTL")</f>
        <v>0.19340000000000002</v>
      </c>
      <c r="AR19" s="43">
        <f>SUMIFS(stock[MT],stock[Plant],4731,stock[Bucket],salesforecast[[#This Row],[Bucket2]])-salesforecast[[#This Row],[4731 Stock CTL]]</f>
        <v>0.18590300000000004</v>
      </c>
      <c r="AS19" s="43">
        <f>SUMIFS(stock[MT],stock[Plant],8406,stock[Bucket],salesforecast[[#This Row],[Bucket2]])</f>
        <v>0</v>
      </c>
    </row>
    <row r="20" spans="1:45" x14ac:dyDescent="0.25">
      <c r="A20">
        <v>18.2</v>
      </c>
      <c r="B20">
        <v>18.2</v>
      </c>
      <c r="C20">
        <v>12.3</v>
      </c>
      <c r="D20">
        <v>2.95</v>
      </c>
      <c r="E20" t="s">
        <v>357</v>
      </c>
      <c r="F20" t="s">
        <v>357</v>
      </c>
      <c r="G20" t="s">
        <v>239</v>
      </c>
      <c r="H20" t="str">
        <f>_xlfn.CONCAT(salesforecast[[#This Row],[OD]],"-",salesforecast[[#This Row],[ID]],"-",salesforecast[[#This Row],[TICKNESS]],"-",salesforecast[[#This Row],[GRADE]],"-",salesforecast[[#This Row],[FC/NFC]])</f>
        <v>18.2-12.3-2.95-CEW-CEW</v>
      </c>
      <c r="I20" s="43">
        <f>SUMIFS(scheduleapr[SCHEDULE IN MT],scheduleapr[Bucket],salesforecast[[#This Row],[Bucket]])</f>
        <v>2.7722422187500007</v>
      </c>
      <c r="J20">
        <v>2410998</v>
      </c>
      <c r="K20">
        <f>COUNTIF('helper sheet'!$A$1:$A$33,salesforecast[[#This Row],[LL Material Code]])</f>
        <v>0</v>
      </c>
      <c r="N20" t="s">
        <v>2003</v>
      </c>
      <c r="P20" s="47" t="s">
        <v>362</v>
      </c>
      <c r="Q20">
        <v>0</v>
      </c>
      <c r="R20">
        <v>9</v>
      </c>
      <c r="S20">
        <v>2</v>
      </c>
      <c r="T20" s="52">
        <f>ROUNDUP(MAX(salesforecast[[#This Row],[FY25 Average]],salesforecast[[#This Row],[July Schedule]]),0)</f>
        <v>3</v>
      </c>
      <c r="U20" s="52">
        <f>salesforecast[[#This Row],[Forecast]]-salesforecast[[#This Row],[July Schedule]]</f>
        <v>0.22775778124999935</v>
      </c>
      <c r="V20" t="str">
        <f>salesforecast[[#This Row],[Plant]]</f>
        <v>0788</v>
      </c>
      <c r="W20" s="66" t="str" cm="1">
        <f t="array" ref="W20">_xlfn.TEXTJOIN("|",TRUE,(_xlfn.UNIQUE(_xlfn._xlws.FILTER(scheduleapr[CUSTOMER NAME],scheduleapr[Bucket]=salesforecast[[#This Row],[Bucket]]))))</f>
        <v xml:space="preserve">Rajsriya Unit 5|Rajsriya Mysore </v>
      </c>
      <c r="X20" s="66" t="str" cm="1">
        <f t="array" ref="X20">_xlfn.TEXTJOIN("|",TRUE,(_xlfn.UNIQUE(_xlfn._xlws.SORT(_xlfn._xlws.FILTER(scheduleapr[LENGTH],scheduleapr[Bucket]=salesforecast[[#This Row],[Bucket]])))))</f>
        <v>1000|4500</v>
      </c>
      <c r="Y20" s="66" t="str" cm="1">
        <f t="array" ref="Y20">_xlfn.TEXTJOIN("|",TRUE,_xlfn._xlws.FILTER(buckets[Material Codes],(buckets[Bucket]=salesforecast[[#This Row],[Bucket2]])))</f>
        <v>3702439|2410998|4032064</v>
      </c>
      <c r="Z20" t="str">
        <f>salesforecast[[#This Row],[Bucket]]</f>
        <v>18.2-12.3-2.95-CEW-CEW</v>
      </c>
      <c r="AA20" s="43">
        <f>salesforecast[[#This Row],[July Schedule]]</f>
        <v>2.7722422187500007</v>
      </c>
      <c r="AB20" s="43">
        <f>SUMIF(salesTVS[buckets.Bucket],salesforecast[[#This Row],[Bucket]],salesTVS[Quantity])/1000</f>
        <v>0</v>
      </c>
      <c r="AC20" s="43">
        <f>SUMIFS(stock[MT],stock[Bucket],salesforecast[[#This Row],[Bucket]],stock[LL or CTL],"CTL")</f>
        <v>0</v>
      </c>
      <c r="AD20" s="43">
        <f>SUMIF(stock[Bucket],salesforecast[[#This Row],[Bucket]],stock[MT])-salesforecast[[#This Row],[Stock CTL]]</f>
        <v>0</v>
      </c>
      <c r="AE20" s="43" t="e">
        <v>#REF!</v>
      </c>
      <c r="AF20" s="43">
        <f>SUMIF(wip[Bucket],salesforecast[[#This Row],[Bucket]],wip[Stock(Net Wt)])/1000</f>
        <v>0</v>
      </c>
      <c r="AG20" s="43" t="e">
        <v>#REF!</v>
      </c>
      <c r="AH20" s="43">
        <f>SUMIFS(stock[MT],stock[Bucket],salesforecast[[#This Row],[Bucket2]],stock[Plant],"0788")</f>
        <v>0</v>
      </c>
      <c r="AI20" s="43">
        <f>((salesforecast[[#This Row],[WIP]]+salesforecast[[#This Row],[Stock LL]]))/salesforecast[[#This Row],[July Schedule]]*30</f>
        <v>0</v>
      </c>
      <c r="AJ20">
        <f>salesforecast[[#This Row],[Stock LL]]/salesforecast[[#This Row],[Schedule]]*30</f>
        <v>0</v>
      </c>
      <c r="AK20" s="43">
        <f>SUMIFS(stock[MT],stock[Bucket],salesforecast[[#This Row],[Bucket2]],stock[Plant],"0789",stock[LL or CTL],"LL")</f>
        <v>0</v>
      </c>
      <c r="AL20" s="193">
        <f>(salesforecast[[#This Row],[Sales]])/salesforecast[[#This Row],[Schedule]]</f>
        <v>0</v>
      </c>
      <c r="AM20" s="43">
        <f>SUMIFS(stock[MT],stock[Plant],salesforecast[[#This Row],[Plant]],stock[LL or CTL],"LL",stock[Bucket],salesforecast[[#This Row],[Bucket]])</f>
        <v>0</v>
      </c>
      <c r="AN20" s="43">
        <f>SUMIFS(scheduleapr[SCHEDULE IN MT],scheduleapr[CUSTOMER NAME],"*Rajsriya*",scheduleapr[Bucket],salesforecast[[#This Row],[Bucket]])</f>
        <v>2.7722422187500007</v>
      </c>
      <c r="AO20" s="43">
        <f>SUMIFS(salesTVS[Quantity],salesTVS[CUSTOMER  NAME],"*RAJSRIYA*",salesTVS[buckets.Bucket],salesforecast[[#This Row],[Bucket]])/1000</f>
        <v>0</v>
      </c>
      <c r="AP20" s="43">
        <f>SUMIFS(stock[MT],stock[Plant],4318,stock[Bucket],salesforecast[[#This Row],[Bucket2]])</f>
        <v>0</v>
      </c>
      <c r="AQ20" s="43">
        <f>SUMIFS(stock[MT],stock[Plant],4731,stock[Bucket],salesforecast[[#This Row],[Bucket2]],stock[LL or CTL],"CTL")</f>
        <v>0</v>
      </c>
      <c r="AR20" s="43">
        <f>SUMIFS(stock[MT],stock[Plant],4731,stock[Bucket],salesforecast[[#This Row],[Bucket2]])-salesforecast[[#This Row],[4731 Stock CTL]]</f>
        <v>0</v>
      </c>
      <c r="AS20" s="43">
        <f>SUMIFS(stock[MT],stock[Plant],8406,stock[Bucket],salesforecast[[#This Row],[Bucket2]])</f>
        <v>0</v>
      </c>
    </row>
    <row r="21" spans="1:45" ht="195" x14ac:dyDescent="0.25">
      <c r="A21">
        <v>23.42</v>
      </c>
      <c r="B21">
        <v>19</v>
      </c>
      <c r="C21">
        <v>19</v>
      </c>
      <c r="D21">
        <v>1</v>
      </c>
      <c r="E21" t="s">
        <v>229</v>
      </c>
      <c r="F21" t="s">
        <v>963</v>
      </c>
      <c r="G21" t="s">
        <v>1867</v>
      </c>
      <c r="H21" t="str">
        <f>_xlfn.CONCAT(salesforecast[[#This Row],[OD]],"-",salesforecast[[#This Row],[ID]],"-",salesforecast[[#This Row],[TICKNESS]],"-",salesforecast[[#This Row],[GRADE]],"-",salesforecast[[#This Row],[FC/NFC]])</f>
        <v>19-19-1-CRFH-PE</v>
      </c>
      <c r="I21" s="43">
        <f>SUMIFS(scheduleapr[SCHEDULE IN MT],scheduleapr[Bucket],salesforecast[[#This Row],[Bucket]])</f>
        <v>128.05832115050001</v>
      </c>
      <c r="J21">
        <v>1940146</v>
      </c>
      <c r="K21">
        <f>COUNTIF('helper sheet'!$A$1:$A$33,salesforecast[[#This Row],[LL Material Code]])</f>
        <v>0</v>
      </c>
      <c r="N21" t="s">
        <v>451</v>
      </c>
      <c r="P21" s="47" t="s">
        <v>345</v>
      </c>
      <c r="Q21">
        <v>30</v>
      </c>
      <c r="R21">
        <v>101</v>
      </c>
      <c r="S21">
        <v>69</v>
      </c>
      <c r="T21" s="52">
        <v>60</v>
      </c>
      <c r="U21" s="52">
        <f>salesforecast[[#This Row],[Forecast]]-salesforecast[[#This Row],[July Schedule]]</f>
        <v>-68.058321150500007</v>
      </c>
      <c r="V21" t="str">
        <f>salesforecast[[#This Row],[Plant]]</f>
        <v>0789</v>
      </c>
      <c r="W21" s="66" t="str" cm="1">
        <f t="array" ref="W21">_xlfn.TEXTJOIN("|",TRUE,(_xlfn.UNIQUE(_xlfn._xlws.FILTER(scheduleapr[CUSTOMER NAME],scheduleapr[Bucket]=salesforecast[[#This Row],[Bucket]]))))</f>
        <v>Marathwada v7|Marathwada|SRI BALAJI GEARS V7|SRI BALAJI GEARS V4|Balaji Gears V3</v>
      </c>
      <c r="X21" s="66" t="str" cm="1">
        <f t="array" ref="X21">_xlfn.TEXTJOIN("|",TRUE,(_xlfn.UNIQUE(_xlfn._xlws.SORT(_xlfn._xlws.FILTER(scheduleapr[LENGTH],scheduleapr[Bucket]=salesforecast[[#This Row],[Bucket]])))))</f>
        <v>100|110|115|129|150|290|330|355|392|400|470|486|540|675|682|710|750|755|790|795|800|835|840|871|875|880|890|962|963|1000|1007|1246|1304</v>
      </c>
      <c r="Y21" s="66" t="str" cm="1">
        <f t="array" ref="Y21">_xlfn.TEXTJOIN("|",TRUE,_xlfn._xlws.FILTER(buckets[Material Codes],(buckets[Bucket]=salesforecast[[#This Row],[Bucket2]])*(buckets[LL or CTL]="CTL")))</f>
        <v>3931834|3931835|4151428|3938687|3230486|3571862|3584173|3571863|3571864|3571865|3571866|3838020|3230490|3571867|3571868|3230487|3234371|3952059|3230488|3571869|3571870|3230491|3572031|3572032|4151426|3572033|4151429|3931836|4151425|3230485|3233560|3230492|3572034|3572035|4075254|3572036|3938684|4151427|4100796|3572037|3931837|3572038|3230494|3572039|3572040|3605740|3605739</v>
      </c>
      <c r="Z21" t="str">
        <f>salesforecast[[#This Row],[Bucket]]</f>
        <v>19-19-1-CRFH-PE</v>
      </c>
      <c r="AA21" s="43">
        <f>salesforecast[[#This Row],[July Schedule]]</f>
        <v>128.05832115050001</v>
      </c>
      <c r="AB21" s="43">
        <f>SUMIF(salesTVS[buckets.Bucket],salesforecast[[#This Row],[Bucket]],salesTVS[Quantity])/1000</f>
        <v>89.344291000000112</v>
      </c>
      <c r="AC21" s="43">
        <f>SUMIFS(stock[MT],stock[Bucket],salesforecast[[#This Row],[Bucket]],stock[LL or CTL],"CTL")</f>
        <v>18.460063000000002</v>
      </c>
      <c r="AD21" s="43">
        <f>SUMIF(stock[Bucket],salesforecast[[#This Row],[Bucket]],stock[MT])-salesforecast[[#This Row],[Stock CTL]]</f>
        <v>15.867808</v>
      </c>
      <c r="AE21" s="43" t="e">
        <v>#REF!</v>
      </c>
      <c r="AF21" s="43">
        <f>SUMIF(wip[Bucket],salesforecast[[#This Row],[Bucket]],wip[Stock(Net Wt)])/1000</f>
        <v>41.765000000000001</v>
      </c>
      <c r="AG21" s="43" t="e">
        <v>#REF!</v>
      </c>
      <c r="AH21" s="43">
        <f>SUMIFS(stock[MT],stock[Bucket],salesforecast[[#This Row],[Bucket2]],stock[Plant],"0788")</f>
        <v>0</v>
      </c>
      <c r="AI21" s="43">
        <f>((salesforecast[[#This Row],[WIP]]+salesforecast[[#This Row],[Stock LL]]))/salesforecast[[#This Row],[July Schedule]]*30</f>
        <v>13.501537615568289</v>
      </c>
      <c r="AJ21" s="52">
        <f>salesforecast[[#This Row],[Stock LL]]/salesforecast[[#This Row],[Schedule]]*30</f>
        <v>3.7173237609490659</v>
      </c>
      <c r="AK21" s="43">
        <f>SUMIFS(stock[MT],stock[Bucket],salesforecast[[#This Row],[Bucket2]],stock[Plant],"0789",stock[LL or CTL],"LL")</f>
        <v>15.867808</v>
      </c>
      <c r="AL21" s="193">
        <f>(salesforecast[[#This Row],[Sales]])/salesforecast[[#This Row],[Schedule]]</f>
        <v>0.69768438471872984</v>
      </c>
      <c r="AM21" s="43">
        <f>SUMIFS(stock[MT],stock[Plant],salesforecast[[#This Row],[Plant]],stock[LL or CTL],"LL",stock[Bucket],salesforecast[[#This Row],[Bucket]])</f>
        <v>15.867808</v>
      </c>
      <c r="AN21" s="43">
        <f>SUMIFS(scheduleapr[SCHEDULE IN MT],scheduleapr[CUSTOMER NAME],"*Rajsriya*",scheduleapr[Bucket],salesforecast[[#This Row],[Bucket]])</f>
        <v>0</v>
      </c>
      <c r="AO21" s="43">
        <f>SUMIFS(salesTVS[Quantity],salesTVS[CUSTOMER  NAME],"*RAJSRIYA*",salesTVS[buckets.Bucket],salesforecast[[#This Row],[Bucket]])/1000</f>
        <v>0</v>
      </c>
      <c r="AP21" s="43">
        <f>SUMIFS(stock[MT],stock[Plant],4318,stock[Bucket],salesforecast[[#This Row],[Bucket2]])</f>
        <v>0</v>
      </c>
      <c r="AQ21" s="43">
        <f>SUMIFS(stock[MT],stock[Plant],4731,stock[Bucket],salesforecast[[#This Row],[Bucket2]],stock[LL or CTL],"CTL")</f>
        <v>0.25440699999999999</v>
      </c>
      <c r="AR21" s="43">
        <f>SUMIFS(stock[MT],stock[Plant],4731,stock[Bucket],salesforecast[[#This Row],[Bucket2]])-salesforecast[[#This Row],[4731 Stock CTL]]</f>
        <v>0</v>
      </c>
      <c r="AS21" s="43">
        <f>SUMIFS(stock[MT],stock[Plant],8406,stock[Bucket],salesforecast[[#This Row],[Bucket2]])</f>
        <v>0</v>
      </c>
    </row>
    <row r="22" spans="1:45" ht="30" x14ac:dyDescent="0.25">
      <c r="A22">
        <v>23.42</v>
      </c>
      <c r="B22">
        <v>19</v>
      </c>
      <c r="C22">
        <v>19</v>
      </c>
      <c r="D22">
        <v>1.2</v>
      </c>
      <c r="E22" t="s">
        <v>229</v>
      </c>
      <c r="F22" t="s">
        <v>963</v>
      </c>
      <c r="G22" t="s">
        <v>1867</v>
      </c>
      <c r="H22" t="str">
        <f>_xlfn.CONCAT(salesforecast[[#This Row],[OD]],"-",salesforecast[[#This Row],[ID]],"-",salesforecast[[#This Row],[TICKNESS]],"-",salesforecast[[#This Row],[GRADE]],"-",salesforecast[[#This Row],[FC/NFC]])</f>
        <v>19-19-1.2-CRFH-PE</v>
      </c>
      <c r="I22" s="43">
        <f>SUMIFS(scheduleapr[SCHEDULE IN MT],scheduleapr[Bucket],salesforecast[[#This Row],[Bucket]])</f>
        <v>0</v>
      </c>
      <c r="J22">
        <v>1940167</v>
      </c>
      <c r="K22">
        <f>COUNTIF('helper sheet'!$A$1:$A$33,salesforecast[[#This Row],[LL Material Code]])</f>
        <v>1</v>
      </c>
      <c r="L22">
        <v>3576136</v>
      </c>
      <c r="N22" t="s">
        <v>2442</v>
      </c>
      <c r="P22" s="47" t="s">
        <v>345</v>
      </c>
      <c r="Q22">
        <v>0</v>
      </c>
      <c r="R22">
        <v>2</v>
      </c>
      <c r="S22">
        <v>1</v>
      </c>
      <c r="T22" s="52">
        <f>ROUNDUP(MAX(salesforecast[[#This Row],[FY25 Average]],salesforecast[[#This Row],[July Schedule]]),0)</f>
        <v>1</v>
      </c>
      <c r="U22" s="52">
        <f>salesforecast[[#This Row],[Forecast]]-salesforecast[[#This Row],[July Schedule]]</f>
        <v>1</v>
      </c>
      <c r="V22" t="str">
        <f>salesforecast[[#This Row],[Plant]]</f>
        <v>0789</v>
      </c>
      <c r="W22" s="66" t="e" cm="1" vm="1">
        <f t="array" ref="W22">_xlfn.TEXTJOIN("|",TRUE,(_xlfn.UNIQUE(_xlfn._xlws.FILTER(scheduleapr[CUSTOMER NAME],scheduleapr[Bucket]=salesforecast[[#This Row],[Bucket]]))))</f>
        <v>#VALUE!</v>
      </c>
      <c r="X22" s="66" t="e" cm="1" vm="1">
        <f t="array" ref="X22">_xlfn.TEXTJOIN("|",TRUE,(_xlfn.UNIQUE(_xlfn._xlws.SORT(_xlfn._xlws.FILTER(scheduleapr[LENGTH],scheduleapr[Bucket]=salesforecast[[#This Row],[Bucket]])))))</f>
        <v>#VALUE!</v>
      </c>
      <c r="Y22" s="66" t="str" cm="1">
        <f t="array" ref="Y22">_xlfn.TEXTJOIN("|",TRUE,_xlfn._xlws.FILTER(buckets[Material Codes],(buckets[Bucket]=salesforecast[[#This Row],[Bucket2]])*(buckets[LL or CTL]="CTL")))</f>
        <v>3234372|1940151|1940152|3432217|3929540</v>
      </c>
      <c r="Z22" t="str">
        <f>salesforecast[[#This Row],[Bucket]]</f>
        <v>19-19-1.2-CRFH-PE</v>
      </c>
      <c r="AA22" s="43">
        <f>salesforecast[[#This Row],[July Schedule]]</f>
        <v>0</v>
      </c>
      <c r="AB22" s="43">
        <f>SUMIF(salesTVS[buckets.Bucket],salesforecast[[#This Row],[Bucket]],salesTVS[Quantity])/1000</f>
        <v>2.521868</v>
      </c>
      <c r="AC22" s="43">
        <f>SUMIFS(stock[MT],stock[Bucket],salesforecast[[#This Row],[Bucket]],stock[LL or CTL],"CTL")</f>
        <v>0.36558800000000002</v>
      </c>
      <c r="AD22" s="43">
        <f>SUMIF(stock[Bucket],salesforecast[[#This Row],[Bucket]],stock[MT])-salesforecast[[#This Row],[Stock CTL]]</f>
        <v>0</v>
      </c>
      <c r="AE22" s="43" t="e">
        <v>#REF!</v>
      </c>
      <c r="AF22" s="43">
        <f>SUMIF(wip[Bucket],salesforecast[[#This Row],[Bucket]],wip[Stock(Net Wt)])/1000</f>
        <v>3.4649999999999999</v>
      </c>
      <c r="AG22" s="43" t="e">
        <v>#REF!</v>
      </c>
      <c r="AH22" s="43">
        <f>SUMIFS(stock[MT],stock[Bucket],salesforecast[[#This Row],[Bucket2]],stock[Plant],"0788")</f>
        <v>0</v>
      </c>
      <c r="AI22" s="43" t="e">
        <f>((salesforecast[[#This Row],[WIP]]+salesforecast[[#This Row],[Stock LL]]))/salesforecast[[#This Row],[July Schedule]]*30</f>
        <v>#DIV/0!</v>
      </c>
      <c r="AJ22" t="e">
        <f>salesforecast[[#This Row],[Stock LL]]/salesforecast[[#This Row],[Schedule]]*30</f>
        <v>#DIV/0!</v>
      </c>
      <c r="AK22" s="43">
        <f>SUMIFS(stock[MT],stock[Bucket],salesforecast[[#This Row],[Bucket2]],stock[Plant],"0789",stock[LL or CTL],"LL")</f>
        <v>0</v>
      </c>
      <c r="AL22" s="193" t="e">
        <f>(salesforecast[[#This Row],[Sales]])/salesforecast[[#This Row],[Schedule]]</f>
        <v>#DIV/0!</v>
      </c>
      <c r="AM22" s="43">
        <f>SUMIFS(stock[MT],stock[Plant],salesforecast[[#This Row],[Plant]],stock[LL or CTL],"LL",stock[Bucket],salesforecast[[#This Row],[Bucket]])</f>
        <v>0</v>
      </c>
      <c r="AN22" s="43">
        <f>SUMIFS(scheduleapr[SCHEDULE IN MT],scheduleapr[CUSTOMER NAME],"*Rajsriya*",scheduleapr[Bucket],salesforecast[[#This Row],[Bucket]])</f>
        <v>0</v>
      </c>
      <c r="AO22" s="43">
        <f>SUMIFS(salesTVS[Quantity],salesTVS[CUSTOMER  NAME],"*RAJSRIYA*",salesTVS[buckets.Bucket],salesforecast[[#This Row],[Bucket]])/1000</f>
        <v>0</v>
      </c>
      <c r="AP22" s="43">
        <f>SUMIFS(stock[MT],stock[Plant],4318,stock[Bucket],salesforecast[[#This Row],[Bucket2]])</f>
        <v>0</v>
      </c>
      <c r="AQ22" s="43">
        <f>SUMIFS(stock[MT],stock[Plant],4731,stock[Bucket],salesforecast[[#This Row],[Bucket2]],stock[LL or CTL],"CTL")</f>
        <v>0</v>
      </c>
      <c r="AR22" s="43">
        <f>SUMIFS(stock[MT],stock[Plant],4731,stock[Bucket],salesforecast[[#This Row],[Bucket2]])-salesforecast[[#This Row],[4731 Stock CTL]]</f>
        <v>0</v>
      </c>
      <c r="AS22" s="43">
        <f>SUMIFS(stock[MT],stock[Plant],8406,stock[Bucket],salesforecast[[#This Row],[Bucket2]])</f>
        <v>0</v>
      </c>
    </row>
    <row r="23" spans="1:45" ht="45" x14ac:dyDescent="0.25">
      <c r="A23">
        <v>19</v>
      </c>
      <c r="B23">
        <v>19</v>
      </c>
      <c r="C23">
        <v>12.5</v>
      </c>
      <c r="D23">
        <v>3.25</v>
      </c>
      <c r="E23" t="s">
        <v>357</v>
      </c>
      <c r="F23" t="s">
        <v>357</v>
      </c>
      <c r="G23" t="s">
        <v>239</v>
      </c>
      <c r="H23" t="str">
        <f>_xlfn.CONCAT(salesforecast[[#This Row],[OD]],"-",salesforecast[[#This Row],[ID]],"-",salesforecast[[#This Row],[TICKNESS]],"-",salesforecast[[#This Row],[GRADE]],"-",salesforecast[[#This Row],[FC/NFC]])</f>
        <v>19-12.5-3.25-CEW-CEW</v>
      </c>
      <c r="I23" s="43">
        <f>SUMIFS(scheduleapr[SCHEDULE IN MT],scheduleapr[Bucket],salesforecast[[#This Row],[Bucket]])</f>
        <v>26.041914990000002</v>
      </c>
      <c r="J23">
        <v>3775569</v>
      </c>
      <c r="K23">
        <f>COUNTIF('helper sheet'!$A$1:$A$33,salesforecast[[#This Row],[LL Material Code]])</f>
        <v>0</v>
      </c>
      <c r="N23" t="s">
        <v>595</v>
      </c>
      <c r="P23" s="47" t="s">
        <v>362</v>
      </c>
      <c r="Q23">
        <v>0</v>
      </c>
      <c r="R23">
        <v>15</v>
      </c>
      <c r="S23">
        <v>6</v>
      </c>
      <c r="T23" s="52">
        <f>ROUNDUP(MAX(salesforecast[[#This Row],[FY25 Average]],salesforecast[[#This Row],[July Schedule]]),0)</f>
        <v>27</v>
      </c>
      <c r="U23" s="52">
        <f>salesforecast[[#This Row],[Forecast]]-salesforecast[[#This Row],[July Schedule]]</f>
        <v>0.95808500999999779</v>
      </c>
      <c r="V23" t="str">
        <f>salesforecast[[#This Row],[Plant]]</f>
        <v>0788</v>
      </c>
      <c r="W23" s="66" t="str" cm="1">
        <f t="array" ref="W23">_xlfn.TEXTJOIN("|",TRUE,(_xlfn.UNIQUE(_xlfn._xlws.FILTER(scheduleapr[CUSTOMER NAME],scheduleapr[Bucket]=salesforecast[[#This Row],[Bucket]]))))</f>
        <v>Metalman|Rajsriya Unit 8|Rajsriya Unit 1|Rajsriya Automotive|SRIKAM HITECH</v>
      </c>
      <c r="X23" s="66" t="str" cm="1">
        <f t="array" ref="X23">_xlfn.TEXTJOIN("|",TRUE,(_xlfn.UNIQUE(_xlfn._xlws.SORT(_xlfn._xlws.FILTER(scheduleapr[LENGTH],scheduleapr[Bucket]=salesforecast[[#This Row],[Bucket]])))))</f>
        <v>180|195|200|319|588|5000</v>
      </c>
      <c r="Y23" s="66" t="str" cm="1">
        <f t="array" ref="Y23">_xlfn.TEXTJOIN("|",TRUE,_xlfn._xlws.FILTER(buckets[Material Codes],(buckets[Bucket]=salesforecast[[#This Row],[Bucket2]])))</f>
        <v>3842023|3545493|3842024|3545492|1939459|3545491|1938191|2419066|3775569</v>
      </c>
      <c r="Z23" t="str">
        <f>salesforecast[[#This Row],[Bucket]]</f>
        <v>19-12.5-3.25-CEW-CEW</v>
      </c>
      <c r="AA23" s="43">
        <f>salesforecast[[#This Row],[July Schedule]]</f>
        <v>26.041914990000002</v>
      </c>
      <c r="AB23" s="43">
        <f>SUMIF(salesTVS[buckets.Bucket],salesforecast[[#This Row],[Bucket]],salesTVS[Quantity])/1000</f>
        <v>26.089235000000002</v>
      </c>
      <c r="AC23" s="43">
        <f>SUMIFS(stock[MT],stock[Bucket],salesforecast[[#This Row],[Bucket]],stock[LL or CTL],"CTL")</f>
        <v>3.520054</v>
      </c>
      <c r="AD23" s="43">
        <f>SUMIF(stock[Bucket],salesforecast[[#This Row],[Bucket]],stock[MT])-salesforecast[[#This Row],[Stock CTL]]</f>
        <v>9.9577899999999993</v>
      </c>
      <c r="AE23" s="43" t="e">
        <v>#REF!</v>
      </c>
      <c r="AF23" s="43">
        <f>SUMIF(wip[Bucket],salesforecast[[#This Row],[Bucket]],wip[Stock(Net Wt)])/1000</f>
        <v>0</v>
      </c>
      <c r="AG23" s="43" t="e">
        <v>#REF!</v>
      </c>
      <c r="AH23" s="43">
        <f>SUMIFS(stock[MT],stock[Bucket],salesforecast[[#This Row],[Bucket2]],stock[Plant],"0788")</f>
        <v>7.0019999999999989</v>
      </c>
      <c r="AI23" s="43">
        <f>((salesforecast[[#This Row],[WIP]]+salesforecast[[#This Row],[Stock LL]]))/salesforecast[[#This Row],[July Schedule]]*30</f>
        <v>11.471264694424837</v>
      </c>
      <c r="AJ23" s="52">
        <f>salesforecast[[#This Row],[Stock LL]]/salesforecast[[#This Row],[Schedule]]*30</f>
        <v>11.471264694424837</v>
      </c>
      <c r="AK23" s="43">
        <f>SUMIFS(stock[MT],stock[Bucket],salesforecast[[#This Row],[Bucket2]],stock[Plant],"0789",stock[LL or CTL],"LL")</f>
        <v>0</v>
      </c>
      <c r="AL23" s="193">
        <f>(salesforecast[[#This Row],[Sales]])/salesforecast[[#This Row],[Schedule]]</f>
        <v>1.0018170710571082</v>
      </c>
      <c r="AM23" s="43">
        <f>SUMIFS(stock[MT],stock[Plant],salesforecast[[#This Row],[Plant]],stock[LL or CTL],"LL",stock[Bucket],salesforecast[[#This Row],[Bucket]])</f>
        <v>7.0019999999999989</v>
      </c>
      <c r="AN23" s="43">
        <f>SUMIFS(scheduleapr[SCHEDULE IN MT],scheduleapr[CUSTOMER NAME],"*Rajsriya*",scheduleapr[Bucket],salesforecast[[#This Row],[Bucket]])</f>
        <v>9.841421362500002</v>
      </c>
      <c r="AO23" s="43">
        <f>SUMIFS(salesTVS[Quantity],salesTVS[CUSTOMER  NAME],"*RAJSRIYA*",salesTVS[buckets.Bucket],salesforecast[[#This Row],[Bucket]])/1000</f>
        <v>12.418032999999998</v>
      </c>
      <c r="AP23" s="43">
        <f>SUMIFS(stock[MT],stock[Plant],4318,stock[Bucket],salesforecast[[#This Row],[Bucket2]])</f>
        <v>0</v>
      </c>
      <c r="AQ23" s="43">
        <f>SUMIFS(stock[MT],stock[Plant],4731,stock[Bucket],salesforecast[[#This Row],[Bucket2]],stock[LL or CTL],"CTL")</f>
        <v>2.0143949999999999</v>
      </c>
      <c r="AR23" s="43">
        <f>SUMIFS(stock[MT],stock[Plant],4731,stock[Bucket],salesforecast[[#This Row],[Bucket2]])-salesforecast[[#This Row],[4731 Stock CTL]]</f>
        <v>2.9557899999999999</v>
      </c>
      <c r="AS23" s="43">
        <f>SUMIFS(stock[MT],stock[Plant],8406,stock[Bucket],salesforecast[[#This Row],[Bucket2]])</f>
        <v>1.5056590000000001</v>
      </c>
    </row>
    <row r="24" spans="1:45" ht="45" x14ac:dyDescent="0.25">
      <c r="A24">
        <v>19.05</v>
      </c>
      <c r="B24">
        <v>19.05</v>
      </c>
      <c r="C24">
        <v>0</v>
      </c>
      <c r="D24">
        <v>1</v>
      </c>
      <c r="E24" t="s">
        <v>962</v>
      </c>
      <c r="F24" t="s">
        <v>963</v>
      </c>
      <c r="G24" t="s">
        <v>1867</v>
      </c>
      <c r="H24" t="str">
        <f>_xlfn.CONCAT(salesforecast[[#This Row],[OD]],"-",salesforecast[[#This Row],[ID]],"-",salesforecast[[#This Row],[TICKNESS]],"-",salesforecast[[#This Row],[GRADE]],"-",salesforecast[[#This Row],[FC/NFC]])</f>
        <v>19.05-0-1-ERW 1-PE</v>
      </c>
      <c r="I24" s="43">
        <f>SUMIFS(scheduleapr[SCHEDULE IN MT],scheduleapr[Bucket],salesforecast[[#This Row],[Bucket]])</f>
        <v>15.830056131000003</v>
      </c>
      <c r="J24">
        <v>1940181</v>
      </c>
      <c r="K24">
        <f>COUNTIF('helper sheet'!$A$1:$A$33,salesforecast[[#This Row],[LL Material Code]])</f>
        <v>0</v>
      </c>
      <c r="N24" t="s">
        <v>2443</v>
      </c>
      <c r="P24" s="47" t="s">
        <v>345</v>
      </c>
      <c r="Q24">
        <v>1</v>
      </c>
      <c r="R24">
        <v>9</v>
      </c>
      <c r="S24">
        <v>3</v>
      </c>
      <c r="T24" s="52">
        <f>ROUNDUP(MAX(salesforecast[[#This Row],[FY25 Average]],salesforecast[[#This Row],[July Schedule]]),0)</f>
        <v>16</v>
      </c>
      <c r="U24" s="52">
        <f>salesforecast[[#This Row],[Forecast]]-salesforecast[[#This Row],[July Schedule]]</f>
        <v>0.16994386899999725</v>
      </c>
      <c r="V24" t="str">
        <f>salesforecast[[#This Row],[Plant]]</f>
        <v>0789</v>
      </c>
      <c r="W24" s="66" t="str" cm="1">
        <f t="array" ref="W24">_xlfn.TEXTJOIN("|",TRUE,(_xlfn.UNIQUE(_xlfn._xlws.FILTER(scheduleapr[CUSTOMER NAME],scheduleapr[Bucket]=salesforecast[[#This Row],[Bucket]]))))</f>
        <v>Balaji press product|Marathwada|NMPL TVSM</v>
      </c>
      <c r="X24" s="66" t="str" cm="1">
        <f t="array" ref="X24">_xlfn.TEXTJOIN("|",TRUE,(_xlfn.UNIQUE(_xlfn._xlws.SORT(_xlfn._xlws.FILTER(scheduleapr[LENGTH],scheduleapr[Bucket]=salesforecast[[#This Row],[Bucket]])))))</f>
        <v>1095|1200</v>
      </c>
      <c r="Y24" s="66" t="str" cm="1">
        <f t="array" ref="Y24">_xlfn.TEXTJOIN("|",TRUE,_xlfn._xlws.FILTER(buckets[Material Codes],(buckets[Bucket]=salesforecast[[#This Row],[Bucket2]])*(buckets[LL or CTL]="CTL")))</f>
        <v>2426140|3635694|3672609|3518158</v>
      </c>
      <c r="Z24" t="str">
        <f>salesforecast[[#This Row],[Bucket]]</f>
        <v>19.05-0-1-ERW 1-PE</v>
      </c>
      <c r="AA24" s="43">
        <f>salesforecast[[#This Row],[July Schedule]]</f>
        <v>15.830056131000003</v>
      </c>
      <c r="AB24" s="43">
        <f>SUMIF(salesTVS[buckets.Bucket],salesforecast[[#This Row],[Bucket]],salesTVS[Quantity])/1000</f>
        <v>4.1328750000000003</v>
      </c>
      <c r="AC24" s="43">
        <f>SUMIFS(stock[MT],stock[Bucket],salesforecast[[#This Row],[Bucket]],stock[LL or CTL],"CTL")</f>
        <v>1.8531</v>
      </c>
      <c r="AD24" s="43">
        <f>SUMIF(stock[Bucket],salesforecast[[#This Row],[Bucket]],stock[MT])-salesforecast[[#This Row],[Stock CTL]]</f>
        <v>0</v>
      </c>
      <c r="AE24" s="43" t="e">
        <v>#REF!</v>
      </c>
      <c r="AF24" s="43">
        <f>SUMIF(wip[Bucket],salesforecast[[#This Row],[Bucket]],wip[Stock(Net Wt)])/1000</f>
        <v>18.324000000000002</v>
      </c>
      <c r="AG24" s="43" t="e">
        <v>#REF!</v>
      </c>
      <c r="AH24" s="43">
        <f>SUMIFS(stock[MT],stock[Bucket],salesforecast[[#This Row],[Bucket2]],stock[Plant],"0788")</f>
        <v>0</v>
      </c>
      <c r="AI24" s="43">
        <f>((salesforecast[[#This Row],[WIP]]+salesforecast[[#This Row],[Stock LL]]))/salesforecast[[#This Row],[July Schedule]]*30</f>
        <v>34.726345595419794</v>
      </c>
      <c r="AJ24" s="52">
        <f>salesforecast[[#This Row],[Stock LL]]/salesforecast[[#This Row],[Schedule]]*30</f>
        <v>0</v>
      </c>
      <c r="AK24" s="43">
        <f>SUMIFS(stock[MT],stock[Bucket],salesforecast[[#This Row],[Bucket2]],stock[Plant],"0789",stock[LL or CTL],"LL")</f>
        <v>0</v>
      </c>
      <c r="AL24" s="193">
        <f>(salesforecast[[#This Row],[Sales]])/salesforecast[[#This Row],[Schedule]]</f>
        <v>0.26107772239080002</v>
      </c>
      <c r="AM24" s="43">
        <f>SUMIFS(stock[MT],stock[Plant],salesforecast[[#This Row],[Plant]],stock[LL or CTL],"LL",stock[Bucket],salesforecast[[#This Row],[Bucket]])</f>
        <v>0</v>
      </c>
      <c r="AN24" s="43">
        <f>SUMIFS(scheduleapr[SCHEDULE IN MT],scheduleapr[CUSTOMER NAME],"*Rajsriya*",scheduleapr[Bucket],salesforecast[[#This Row],[Bucket]])</f>
        <v>0</v>
      </c>
      <c r="AO24" s="43">
        <f>SUMIFS(salesTVS[Quantity],salesTVS[CUSTOMER  NAME],"*RAJSRIYA*",salesTVS[buckets.Bucket],salesforecast[[#This Row],[Bucket]])/1000</f>
        <v>0</v>
      </c>
      <c r="AP24" s="43">
        <f>SUMIFS(stock[MT],stock[Plant],4318,stock[Bucket],salesforecast[[#This Row],[Bucket2]])</f>
        <v>0</v>
      </c>
      <c r="AQ24" s="43">
        <f>SUMIFS(stock[MT],stock[Plant],4731,stock[Bucket],salesforecast[[#This Row],[Bucket2]],stock[LL or CTL],"CTL")</f>
        <v>0</v>
      </c>
      <c r="AR24" s="43">
        <f>SUMIFS(stock[MT],stock[Plant],4731,stock[Bucket],salesforecast[[#This Row],[Bucket2]])-salesforecast[[#This Row],[4731 Stock CTL]]</f>
        <v>0</v>
      </c>
      <c r="AS24" s="43">
        <f>SUMIFS(stock[MT],stock[Plant],8406,stock[Bucket],salesforecast[[#This Row],[Bucket2]])</f>
        <v>0</v>
      </c>
    </row>
    <row r="25" spans="1:45" ht="75" x14ac:dyDescent="0.25">
      <c r="A25">
        <v>19.05</v>
      </c>
      <c r="B25">
        <v>19.05</v>
      </c>
      <c r="C25">
        <v>0</v>
      </c>
      <c r="D25">
        <v>1.2</v>
      </c>
      <c r="E25" t="s">
        <v>962</v>
      </c>
      <c r="F25" t="s">
        <v>963</v>
      </c>
      <c r="G25" t="s">
        <v>1867</v>
      </c>
      <c r="H25" t="str">
        <f>_xlfn.CONCAT(salesforecast[[#This Row],[OD]],"-",salesforecast[[#This Row],[ID]],"-",salesforecast[[#This Row],[TICKNESS]],"-",salesforecast[[#This Row],[GRADE]],"-",salesforecast[[#This Row],[FC/NFC]])</f>
        <v>19.05-0-1.2-ERW 1-PE</v>
      </c>
      <c r="I25" s="43">
        <f>SUMIFS(scheduleapr[SCHEDULE IN MT],scheduleapr[Bucket],salesforecast[[#This Row],[Bucket]])</f>
        <v>40.782617193150003</v>
      </c>
      <c r="J25">
        <v>1940191</v>
      </c>
      <c r="K25">
        <f>COUNTIF('helper sheet'!$A$1:$A$33,salesforecast[[#This Row],[LL Material Code]])</f>
        <v>0</v>
      </c>
      <c r="N25" t="s">
        <v>2444</v>
      </c>
      <c r="P25" s="47" t="s">
        <v>345</v>
      </c>
      <c r="Q25">
        <v>2</v>
      </c>
      <c r="R25">
        <v>19</v>
      </c>
      <c r="S25">
        <v>7</v>
      </c>
      <c r="T25" s="52">
        <f>ROUNDUP(MAX(salesforecast[[#This Row],[FY25 Average]],salesforecast[[#This Row],[July Schedule]]),0)</f>
        <v>41</v>
      </c>
      <c r="U25" s="52">
        <f>salesforecast[[#This Row],[Forecast]]-salesforecast[[#This Row],[July Schedule]]</f>
        <v>0.21738280684999722</v>
      </c>
      <c r="V25" t="str">
        <f>salesforecast[[#This Row],[Plant]]</f>
        <v>0789</v>
      </c>
      <c r="W25" s="66" t="str" cm="1">
        <f t="array" ref="W25">_xlfn.TEXTJOIN("|",TRUE,(_xlfn.UNIQUE(_xlfn._xlws.FILTER(scheduleapr[CUSTOMER NAME],scheduleapr[Bucket]=salesforecast[[#This Row],[Bucket]]))))</f>
        <v>Balaji press product|Marathwada|NMPL TVSM|SANDHAR ENGINEERING PVT LTD.|Balaji Gears V3</v>
      </c>
      <c r="X25" s="66" t="str" cm="1">
        <f t="array" ref="X25">_xlfn.TEXTJOIN("|",TRUE,(_xlfn.UNIQUE(_xlfn._xlws.SORT(_xlfn._xlws.FILTER(scheduleapr[LENGTH],scheduleapr[Bucket]=salesforecast[[#This Row],[Bucket]])))))</f>
        <v>109|200|258|330|403|513|631|650|680|682|1075|1130|1145|1230|1275|1615</v>
      </c>
      <c r="Y25" s="66" t="str" cm="1">
        <f t="array" ref="Y25">_xlfn.TEXTJOIN("|",TRUE,_xlfn._xlws.FILTER(buckets[Material Codes],(buckets[Bucket]=salesforecast[[#This Row],[Bucket2]])*(buckets[LL or CTL]="CTL")))</f>
        <v>3409366|3239890|1936576|3929662|2409616|3506438|1940188|1937022|3781600|1940189|296369|3229740|3229739|3509884|4110464|2409617|3409367|4109613</v>
      </c>
      <c r="Z25" t="str">
        <f>salesforecast[[#This Row],[Bucket]]</f>
        <v>19.05-0-1.2-ERW 1-PE</v>
      </c>
      <c r="AA25" s="43">
        <f>salesforecast[[#This Row],[July Schedule]]</f>
        <v>40.782617193150003</v>
      </c>
      <c r="AB25" s="43">
        <f>SUMIF(salesTVS[buckets.Bucket],salesforecast[[#This Row],[Bucket]],salesTVS[Quantity])/1000</f>
        <v>7.5176540000000012</v>
      </c>
      <c r="AC25" s="43">
        <f>SUMIFS(stock[MT],stock[Bucket],salesforecast[[#This Row],[Bucket]],stock[LL or CTL],"CTL")</f>
        <v>12.593024</v>
      </c>
      <c r="AD25" s="43">
        <f>SUMIF(stock[Bucket],salesforecast[[#This Row],[Bucket]],stock[MT])-salesforecast[[#This Row],[Stock CTL]]</f>
        <v>0</v>
      </c>
      <c r="AE25" s="43" t="e">
        <v>#REF!</v>
      </c>
      <c r="AF25" s="43">
        <f>SUMIF(wip[Bucket],salesforecast[[#This Row],[Bucket]],wip[Stock(Net Wt)])/1000</f>
        <v>20.588000000000001</v>
      </c>
      <c r="AG25" s="43" t="e">
        <v>#REF!</v>
      </c>
      <c r="AH25" s="43">
        <f>SUMIFS(stock[MT],stock[Bucket],salesforecast[[#This Row],[Bucket2]],stock[Plant],"0788")</f>
        <v>0</v>
      </c>
      <c r="AI25" s="43">
        <f>((salesforecast[[#This Row],[WIP]]+salesforecast[[#This Row],[Stock LL]]))/salesforecast[[#This Row],[July Schedule]]*30</f>
        <v>15.144687675996947</v>
      </c>
      <c r="AJ25" s="52">
        <f>salesforecast[[#This Row],[Stock LL]]/salesforecast[[#This Row],[Schedule]]*30</f>
        <v>0</v>
      </c>
      <c r="AK25" s="43">
        <f>SUMIFS(stock[MT],stock[Bucket],salesforecast[[#This Row],[Bucket2]],stock[Plant],"0789",stock[LL or CTL],"LL")</f>
        <v>0</v>
      </c>
      <c r="AL25" s="193">
        <f>(salesforecast[[#This Row],[Sales]])/salesforecast[[#This Row],[Schedule]]</f>
        <v>0.18433476116541864</v>
      </c>
      <c r="AM25" s="43">
        <f>SUMIFS(stock[MT],stock[Plant],salesforecast[[#This Row],[Plant]],stock[LL or CTL],"LL",stock[Bucket],salesforecast[[#This Row],[Bucket]])</f>
        <v>0</v>
      </c>
      <c r="AN25" s="43">
        <f>SUMIFS(scheduleapr[SCHEDULE IN MT],scheduleapr[CUSTOMER NAME],"*Rajsriya*",scheduleapr[Bucket],salesforecast[[#This Row],[Bucket]])</f>
        <v>0</v>
      </c>
      <c r="AO25" s="43">
        <f>SUMIFS(salesTVS[Quantity],salesTVS[CUSTOMER  NAME],"*RAJSRIYA*",salesTVS[buckets.Bucket],salesforecast[[#This Row],[Bucket]])/1000</f>
        <v>0</v>
      </c>
      <c r="AP25" s="43">
        <f>SUMIFS(stock[MT],stock[Plant],4318,stock[Bucket],salesforecast[[#This Row],[Bucket2]])</f>
        <v>0</v>
      </c>
      <c r="AQ25" s="43">
        <f>SUMIFS(stock[MT],stock[Plant],4731,stock[Bucket],salesforecast[[#This Row],[Bucket2]],stock[LL or CTL],"CTL")</f>
        <v>0</v>
      </c>
      <c r="AR25" s="43">
        <f>SUMIFS(stock[MT],stock[Plant],4731,stock[Bucket],salesforecast[[#This Row],[Bucket2]])-salesforecast[[#This Row],[4731 Stock CTL]]</f>
        <v>0</v>
      </c>
      <c r="AS25" s="43">
        <f>SUMIFS(stock[MT],stock[Plant],8406,stock[Bucket],salesforecast[[#This Row],[Bucket2]])</f>
        <v>0</v>
      </c>
    </row>
    <row r="26" spans="1:45" ht="30" x14ac:dyDescent="0.25">
      <c r="A26">
        <v>19.05</v>
      </c>
      <c r="B26">
        <v>19.05</v>
      </c>
      <c r="C26">
        <v>0</v>
      </c>
      <c r="D26">
        <v>1.2</v>
      </c>
      <c r="E26" t="s">
        <v>229</v>
      </c>
      <c r="F26" t="s">
        <v>963</v>
      </c>
      <c r="G26" t="s">
        <v>1867</v>
      </c>
      <c r="H26" t="s">
        <v>532</v>
      </c>
      <c r="I26" s="43">
        <f>SUMIFS(scheduleapr[SCHEDULE IN MT],scheduleapr[Bucket],salesforecast[[#This Row],[Bucket]])</f>
        <v>19.573069142970006</v>
      </c>
      <c r="K26">
        <f>COUNTIF('helper sheet'!$A$1:$A$33,salesforecast[[#This Row],[LL Material Code]])</f>
        <v>0</v>
      </c>
      <c r="P26" s="47" t="s">
        <v>345</v>
      </c>
      <c r="T26" s="52">
        <f>ROUNDUP(MAX(salesforecast[[#This Row],[FY25 Average]],salesforecast[[#This Row],[July Schedule]]),0)</f>
        <v>20</v>
      </c>
      <c r="U26" s="52">
        <f>salesforecast[[#This Row],[Forecast]]-salesforecast[[#This Row],[July Schedule]]</f>
        <v>0.42693085702999412</v>
      </c>
      <c r="V26" t="str">
        <f>salesforecast[[#This Row],[Plant]]</f>
        <v>0789</v>
      </c>
      <c r="W26" s="66" t="str" cm="1">
        <f t="array" ref="W26">_xlfn.TEXTJOIN("|",TRUE,(_xlfn.UNIQUE(_xlfn._xlws.FILTER(scheduleapr[CUSTOMER NAME],scheduleapr[Bucket]=salesforecast[[#This Row],[Bucket]]))))</f>
        <v>Marathwada v7|SRI BALAJI GEARS V4|SRI BALAJI GEARS V7</v>
      </c>
      <c r="X26" s="66" t="str" cm="1">
        <f t="array" ref="X26">_xlfn.TEXTJOIN("|",TRUE,(_xlfn.UNIQUE(_xlfn._xlws.SORT(_xlfn._xlws.FILTER(scheduleapr[LENGTH],scheduleapr[Bucket]=salesforecast[[#This Row],[Bucket]])))))</f>
        <v>200|220|320|330|377|682|1230</v>
      </c>
      <c r="Y26" s="66" t="str" cm="1">
        <f t="array" ref="Y26">_xlfn.TEXTJOIN("|",TRUE,_xlfn._xlws.FILTER(buckets[Material Codes],(buckets[Bucket]=salesforecast[[#This Row],[Bucket2]])*(buckets[LL or CTL]="CTL")))</f>
        <v>3929691|3938681|3938682|3935313|3938683|3929692</v>
      </c>
      <c r="Z26" t="s">
        <v>532</v>
      </c>
      <c r="AA26" s="43">
        <f>salesforecast[[#This Row],[July Schedule]]</f>
        <v>19.573069142970006</v>
      </c>
      <c r="AB26" s="43">
        <f>SUMIF(salesTVS[buckets.Bucket],salesforecast[[#This Row],[Bucket]],salesTVS[Quantity])/1000</f>
        <v>12.382282000000014</v>
      </c>
      <c r="AC26" s="43">
        <f>SUMIFS(stock[MT],stock[Bucket],salesforecast[[#This Row],[Bucket]],stock[LL or CTL],"CTL")</f>
        <v>2.2490960000000002</v>
      </c>
      <c r="AD26" s="43">
        <f>SUMIF(stock[Bucket],salesforecast[[#This Row],[Bucket]],stock[MT])</f>
        <v>2.2490960000000002</v>
      </c>
      <c r="AE26" s="43" t="e">
        <v>#REF!</v>
      </c>
      <c r="AF26" s="43">
        <f>SUMIF(wip[Bucket],salesforecast[[#This Row],[Bucket]],wip[Stock(Net Wt)])/1000</f>
        <v>16.085999999999999</v>
      </c>
      <c r="AG26" s="43" t="e">
        <v>#REF!</v>
      </c>
      <c r="AH26" s="43">
        <f>SUMIFS(stock[MT],stock[Bucket],salesforecast[[#This Row],[Bucket2]],stock[Plant],"0788")</f>
        <v>0</v>
      </c>
      <c r="AI26" s="43">
        <f>((salesforecast[[#This Row],[WIP]]+salesforecast[[#This Row],[Stock LL]]))/salesforecast[[#This Row],[July Schedule]]*30</f>
        <v>28.102535988719005</v>
      </c>
      <c r="AJ26" s="52">
        <f>salesforecast[[#This Row],[Stock LL]]/salesforecast[[#This Row],[Schedule]]*30</f>
        <v>3.4472304525748849</v>
      </c>
      <c r="AK26" s="43">
        <f>SUMIFS(stock[MT],stock[Bucket],salesforecast[[#This Row],[Bucket2]],stock[Plant],"0789",stock[LL or CTL],"LL")</f>
        <v>0</v>
      </c>
      <c r="AL26" s="193">
        <f>(salesforecast[[#This Row],[Sales]])/salesforecast[[#This Row],[Schedule]]</f>
        <v>0.63261831394732071</v>
      </c>
      <c r="AM26" s="43">
        <f>SUMIFS(stock[MT],stock[Plant],salesforecast[[#This Row],[Plant]],stock[LL or CTL],"LL",stock[Bucket],salesforecast[[#This Row],[Bucket]])</f>
        <v>0</v>
      </c>
      <c r="AN26" s="43">
        <f>SUMIFS(scheduleapr[SCHEDULE IN MT],scheduleapr[CUSTOMER NAME],"*Rajsriya*",scheduleapr[Bucket],salesforecast[[#This Row],[Bucket]])</f>
        <v>0</v>
      </c>
      <c r="AO26" s="43">
        <f>SUMIFS(salesTVS[Quantity],salesTVS[CUSTOMER  NAME],"*RAJSRIYA*",salesTVS[buckets.Bucket],salesforecast[[#This Row],[Bucket]])/1000</f>
        <v>0</v>
      </c>
      <c r="AP26" s="43">
        <f>SUMIFS(stock[MT],stock[Plant],4318,stock[Bucket],salesforecast[[#This Row],[Bucket2]])</f>
        <v>0</v>
      </c>
      <c r="AQ26" s="43">
        <f>SUMIFS(stock[MT],stock[Plant],4731,stock[Bucket],salesforecast[[#This Row],[Bucket2]],stock[LL or CTL],"CTL")</f>
        <v>0</v>
      </c>
      <c r="AR26" s="43">
        <f>SUMIFS(stock[MT],stock[Plant],4731,stock[Bucket],salesforecast[[#This Row],[Bucket2]])-salesforecast[[#This Row],[4731 Stock CTL]]</f>
        <v>0</v>
      </c>
      <c r="AS26" s="43">
        <f>SUMIFS(stock[MT],stock[Plant],8406,stock[Bucket],salesforecast[[#This Row],[Bucket2]])</f>
        <v>0</v>
      </c>
    </row>
    <row r="27" spans="1:45" ht="105" x14ac:dyDescent="0.25">
      <c r="A27">
        <v>19.05</v>
      </c>
      <c r="B27">
        <v>19.05</v>
      </c>
      <c r="C27">
        <v>0</v>
      </c>
      <c r="D27">
        <v>1.6</v>
      </c>
      <c r="E27" t="s">
        <v>962</v>
      </c>
      <c r="F27" t="s">
        <v>963</v>
      </c>
      <c r="G27" t="s">
        <v>1867</v>
      </c>
      <c r="H27" t="str">
        <f>_xlfn.CONCAT(salesforecast[[#This Row],[OD]],"-",salesforecast[[#This Row],[ID]],"-",salesforecast[[#This Row],[TICKNESS]],"-",salesforecast[[#This Row],[GRADE]],"-",salesforecast[[#This Row],[FC/NFC]])</f>
        <v>19.05-0-1.6-ERW 1-PE</v>
      </c>
      <c r="I27" s="43">
        <f>SUMIFS(scheduleapr[SCHEDULE IN MT],scheduleapr[Bucket],salesforecast[[#This Row],[Bucket]])</f>
        <v>4.1154364783999995</v>
      </c>
      <c r="J27">
        <v>1940255</v>
      </c>
      <c r="K27">
        <f>COUNTIF('helper sheet'!$A$1:$A$33,salesforecast[[#This Row],[LL Material Code]])</f>
        <v>1</v>
      </c>
      <c r="L27">
        <v>1940236</v>
      </c>
      <c r="N27" t="s">
        <v>2445</v>
      </c>
      <c r="O27" t="s">
        <v>1881</v>
      </c>
      <c r="P27" s="47" t="s">
        <v>345</v>
      </c>
      <c r="Q27">
        <v>1</v>
      </c>
      <c r="R27">
        <v>23</v>
      </c>
      <c r="S27">
        <v>11</v>
      </c>
      <c r="T27" s="52">
        <f>ROUNDUP(MAX(salesforecast[[#This Row],[FY25 Average]],salesforecast[[#This Row],[July Schedule]]),0)</f>
        <v>11</v>
      </c>
      <c r="U27" s="52">
        <f>salesforecast[[#This Row],[Forecast]]-salesforecast[[#This Row],[July Schedule]]</f>
        <v>6.8845635216000005</v>
      </c>
      <c r="V27" t="str">
        <f>salesforecast[[#This Row],[Plant]]</f>
        <v>0789</v>
      </c>
      <c r="W27" s="66" t="str" cm="1">
        <f t="array" ref="W27">_xlfn.TEXTJOIN("|",TRUE,(_xlfn.UNIQUE(_xlfn._xlws.FILTER(scheduleapr[CUSTOMER NAME],scheduleapr[Bucket]=salesforecast[[#This Row],[Bucket]]))))</f>
        <v>Metalman|NMPL TVSM|SANDHAR ENGINEERING PVT LTD.|SRIKAM HITECH</v>
      </c>
      <c r="X27" s="66" t="str" cm="1">
        <f t="array" ref="X27">_xlfn.TEXTJOIN("|",TRUE,(_xlfn.UNIQUE(_xlfn._xlws.SORT(_xlfn._xlws.FILTER(scheduleapr[LENGTH],scheduleapr[Bucket]=salesforecast[[#This Row],[Bucket]])))))</f>
        <v>258|268|275|595|610|1405</v>
      </c>
      <c r="Y27" s="66" t="str" cm="1">
        <f t="array" ref="Y27">_xlfn.TEXTJOIN("|",TRUE,_xlfn._xlws.FILTER(buckets[Material Codes],(buckets[Bucket]=salesforecast[[#This Row],[Bucket2]])*(buckets[LL or CTL]="CTL")))</f>
        <v>1940220|3209979|3838038|3850310|3484653|3217232|1529261|1529260|1174861|3784367|464578|3187716|3063589|2384088|1531612|1940236|1940241|3210052|1940247|236341|2331953|1908799|2418569|319456</v>
      </c>
      <c r="Z27" t="str">
        <f>salesforecast[[#This Row],[Bucket]]</f>
        <v>19.05-0-1.6-ERW 1-PE</v>
      </c>
      <c r="AA27" s="43">
        <f>salesforecast[[#This Row],[July Schedule]]</f>
        <v>4.1154364783999995</v>
      </c>
      <c r="AB27" s="43">
        <f>SUMIF(salesTVS[buckets.Bucket],salesforecast[[#This Row],[Bucket]],salesTVS[Quantity])/1000</f>
        <v>1.7630000000000001</v>
      </c>
      <c r="AC27" s="43">
        <f>SUMIFS(stock[MT],stock[Bucket],salesforecast[[#This Row],[Bucket]],stock[LL or CTL],"CTL")</f>
        <v>1.3187990000000001</v>
      </c>
      <c r="AD27" s="43">
        <f>SUMIF(stock[Bucket],salesforecast[[#This Row],[Bucket]],stock[MT])-salesforecast[[#This Row],[Stock CTL]]</f>
        <v>0</v>
      </c>
      <c r="AE27" s="43" t="e">
        <v>#REF!</v>
      </c>
      <c r="AF27" s="43">
        <f>SUMIF(wip[Bucket],salesforecast[[#This Row],[Bucket]],wip[Stock(Net Wt)])/1000</f>
        <v>2.8860000000000001</v>
      </c>
      <c r="AG27" s="43" t="e">
        <v>#REF!</v>
      </c>
      <c r="AH27" s="43">
        <f>SUMIFS(stock[MT],stock[Bucket],salesforecast[[#This Row],[Bucket2]],stock[Plant],"0788")</f>
        <v>0</v>
      </c>
      <c r="AI27" s="43">
        <f>((salesforecast[[#This Row],[WIP]]+salesforecast[[#This Row],[Stock LL]]))/salesforecast[[#This Row],[July Schedule]]*30</f>
        <v>21.037865717140313</v>
      </c>
      <c r="AJ27" s="52">
        <f>salesforecast[[#This Row],[Stock LL]]/salesforecast[[#This Row],[Schedule]]*30</f>
        <v>0</v>
      </c>
      <c r="AK27" s="43">
        <f>SUMIFS(stock[MT],stock[Bucket],salesforecast[[#This Row],[Bucket2]],stock[Plant],"0789",stock[LL or CTL],"LL")</f>
        <v>0</v>
      </c>
      <c r="AL27" s="193">
        <f>(salesforecast[[#This Row],[Sales]])/salesforecast[[#This Row],[Schedule]]</f>
        <v>0.42838712473225193</v>
      </c>
      <c r="AM27" s="43">
        <f>SUMIFS(stock[MT],stock[Plant],salesforecast[[#This Row],[Plant]],stock[LL or CTL],"LL",stock[Bucket],salesforecast[[#This Row],[Bucket]])</f>
        <v>0</v>
      </c>
      <c r="AN27" s="43">
        <f>SUMIFS(scheduleapr[SCHEDULE IN MT],scheduleapr[CUSTOMER NAME],"*Rajsriya*",scheduleapr[Bucket],salesforecast[[#This Row],[Bucket]])</f>
        <v>0</v>
      </c>
      <c r="AO27" s="43">
        <f>SUMIFS(salesTVS[Quantity],salesTVS[CUSTOMER  NAME],"*RAJSRIYA*",salesTVS[buckets.Bucket],salesforecast[[#This Row],[Bucket]])/1000</f>
        <v>0</v>
      </c>
      <c r="AP27" s="43">
        <f>SUMIFS(stock[MT],stock[Plant],4318,stock[Bucket],salesforecast[[#This Row],[Bucket2]])</f>
        <v>0</v>
      </c>
      <c r="AQ27" s="43">
        <f>SUMIFS(stock[MT],stock[Plant],4731,stock[Bucket],salesforecast[[#This Row],[Bucket2]],stock[LL or CTL],"CTL")</f>
        <v>0</v>
      </c>
      <c r="AR27" s="43">
        <f>SUMIFS(stock[MT],stock[Plant],4731,stock[Bucket],salesforecast[[#This Row],[Bucket2]])-salesforecast[[#This Row],[4731 Stock CTL]]</f>
        <v>0</v>
      </c>
      <c r="AS27" s="43">
        <f>SUMIFS(stock[MT],stock[Plant],8406,stock[Bucket],salesforecast[[#This Row],[Bucket2]])</f>
        <v>0</v>
      </c>
    </row>
    <row r="28" spans="1:45" ht="30" x14ac:dyDescent="0.25">
      <c r="A28" s="50">
        <v>19.05</v>
      </c>
      <c r="B28">
        <v>19.05</v>
      </c>
      <c r="C28">
        <v>0</v>
      </c>
      <c r="D28">
        <v>1.6</v>
      </c>
      <c r="E28" t="s">
        <v>985</v>
      </c>
      <c r="F28" t="s">
        <v>963</v>
      </c>
      <c r="G28" t="s">
        <v>1867</v>
      </c>
      <c r="H28" t="str">
        <f>_xlfn.CONCAT(salesforecast[[#This Row],[OD]],"-",salesforecast[[#This Row],[ID]],"-",salesforecast[[#This Row],[TICKNESS]],"-",salesforecast[[#This Row],[GRADE]],"-",salesforecast[[#This Row],[FC/NFC]])</f>
        <v>19.05-0-1.6-ERW 2 MAHS-PE</v>
      </c>
      <c r="I28" s="43">
        <f>SUMIFS(scheduleapr[SCHEDULE IN MT],scheduleapr[Bucket],salesforecast[[#This Row],[Bucket]])</f>
        <v>0</v>
      </c>
      <c r="J28">
        <v>3410965</v>
      </c>
      <c r="K28">
        <f>COUNTIF('helper sheet'!$A$1:$A$33,salesforecast[[#This Row],[LL Material Code]])</f>
        <v>0</v>
      </c>
      <c r="N28" t="s">
        <v>2446</v>
      </c>
      <c r="O28" t="s">
        <v>1924</v>
      </c>
      <c r="P28" s="47" t="s">
        <v>345</v>
      </c>
      <c r="Q28">
        <v>1</v>
      </c>
      <c r="R28">
        <v>21</v>
      </c>
      <c r="S28">
        <v>8</v>
      </c>
      <c r="T28" s="52">
        <f>ROUNDUP(MAX(salesforecast[[#This Row],[FY25 Average]],salesforecast[[#This Row],[July Schedule]]),0)</f>
        <v>8</v>
      </c>
      <c r="U28" s="52">
        <f>salesforecast[[#This Row],[Forecast]]-salesforecast[[#This Row],[July Schedule]]</f>
        <v>8</v>
      </c>
      <c r="V28" t="str">
        <f>salesforecast[[#This Row],[Plant]]</f>
        <v>0789</v>
      </c>
      <c r="W28" s="66" t="str" cm="1">
        <f t="array" ref="W28">_xlfn.TEXTJOIN("|",TRUE,(_xlfn.UNIQUE(_xlfn._xlws.FILTER(scheduleapr[CUSTOMER NAME],scheduleapr[Bucket]=salesforecast[[#This Row],[Bucket]]))))</f>
        <v>Rajsriya Unit 8</v>
      </c>
      <c r="X28" s="66" t="str" cm="1">
        <f t="array" ref="X28">_xlfn.TEXTJOIN("|",TRUE,(_xlfn.UNIQUE(_xlfn._xlws.SORT(_xlfn._xlws.FILTER(scheduleapr[LENGTH],scheduleapr[Bucket]=salesforecast[[#This Row],[Bucket]])))))</f>
        <v>394</v>
      </c>
      <c r="Y28" s="66" t="str" cm="1">
        <f t="array" ref="Y28">_xlfn.TEXTJOIN("|",TRUE,_xlfn._xlws.FILTER(buckets[Material Codes],(buckets[Bucket]=salesforecast[[#This Row],[Bucket2]])*(buckets[LL or CTL]="CTL")))</f>
        <v>3122347|3213875|2425969|3841883</v>
      </c>
      <c r="Z28" t="str">
        <f>salesforecast[[#This Row],[Bucket]]</f>
        <v>19.05-0-1.6-ERW 2 MAHS-PE</v>
      </c>
      <c r="AA28" s="43">
        <f>salesforecast[[#This Row],[July Schedule]]</f>
        <v>0</v>
      </c>
      <c r="AB28" s="43">
        <f>SUMIF(salesTVS[buckets.Bucket],salesforecast[[#This Row],[Bucket]],salesTVS[Quantity])/1000</f>
        <v>0</v>
      </c>
      <c r="AC28" s="43">
        <f>SUMIFS(stock[MT],stock[Bucket],salesforecast[[#This Row],[Bucket]],stock[LL or CTL],"CTL")</f>
        <v>1.891597</v>
      </c>
      <c r="AD28" s="43">
        <f>SUMIF(stock[Bucket],salesforecast[[#This Row],[Bucket]],stock[MT])-salesforecast[[#This Row],[Stock CTL]]</f>
        <v>0</v>
      </c>
      <c r="AE28" s="43" t="e">
        <v>#REF!</v>
      </c>
      <c r="AF28" s="43">
        <f>SUMIF(wip[Bucket],salesforecast[[#This Row],[Bucket]],wip[Stock(Net Wt)])/1000</f>
        <v>2.9860000000000002</v>
      </c>
      <c r="AG28" s="43" t="e">
        <v>#REF!</v>
      </c>
      <c r="AH28" s="43">
        <f>SUMIFS(stock[MT],stock[Bucket],salesforecast[[#This Row],[Bucket2]],stock[Plant],"0788")</f>
        <v>0</v>
      </c>
      <c r="AI28" s="43" t="e">
        <f>((salesforecast[[#This Row],[WIP]]+salesforecast[[#This Row],[Stock LL]]))/salesforecast[[#This Row],[July Schedule]]*30</f>
        <v>#DIV/0!</v>
      </c>
      <c r="AJ28" s="52" t="e">
        <f>salesforecast[[#This Row],[Stock LL]]/salesforecast[[#This Row],[Schedule]]*30</f>
        <v>#DIV/0!</v>
      </c>
      <c r="AK28" s="43">
        <f>SUMIFS(stock[MT],stock[Bucket],salesforecast[[#This Row],[Bucket2]],stock[Plant],"0789",stock[LL or CTL],"LL")</f>
        <v>0</v>
      </c>
      <c r="AL28" s="193" t="e">
        <f>(salesforecast[[#This Row],[Sales]])/salesforecast[[#This Row],[Schedule]]</f>
        <v>#DIV/0!</v>
      </c>
      <c r="AM28" s="43">
        <f>SUMIFS(stock[MT],stock[Plant],salesforecast[[#This Row],[Plant]],stock[LL or CTL],"LL",stock[Bucket],salesforecast[[#This Row],[Bucket]])</f>
        <v>0</v>
      </c>
      <c r="AN28" s="43">
        <f>SUMIFS(scheduleapr[SCHEDULE IN MT],scheduleapr[CUSTOMER NAME],"*Rajsriya*",scheduleapr[Bucket],salesforecast[[#This Row],[Bucket]])</f>
        <v>0</v>
      </c>
      <c r="AO28" s="43">
        <f>SUMIFS(salesTVS[Quantity],salesTVS[CUSTOMER  NAME],"*RAJSRIYA*",salesTVS[buckets.Bucket],salesforecast[[#This Row],[Bucket]])/1000</f>
        <v>0</v>
      </c>
      <c r="AP28" s="43">
        <f>SUMIFS(stock[MT],stock[Plant],4318,stock[Bucket],salesforecast[[#This Row],[Bucket2]])</f>
        <v>0</v>
      </c>
      <c r="AQ28" s="43">
        <f>SUMIFS(stock[MT],stock[Plant],4731,stock[Bucket],salesforecast[[#This Row],[Bucket2]],stock[LL or CTL],"CTL")</f>
        <v>0</v>
      </c>
      <c r="AR28" s="43">
        <f>SUMIFS(stock[MT],stock[Plant],4731,stock[Bucket],salesforecast[[#This Row],[Bucket2]])-salesforecast[[#This Row],[4731 Stock CTL]]</f>
        <v>0</v>
      </c>
      <c r="AS28" s="43">
        <f>SUMIFS(stock[MT],stock[Plant],8406,stock[Bucket],salesforecast[[#This Row],[Bucket2]])</f>
        <v>0</v>
      </c>
    </row>
    <row r="29" spans="1:45" ht="195" x14ac:dyDescent="0.25">
      <c r="A29" s="50">
        <v>19.05</v>
      </c>
      <c r="B29">
        <v>19.05</v>
      </c>
      <c r="C29">
        <v>0</v>
      </c>
      <c r="D29">
        <v>2</v>
      </c>
      <c r="E29" t="s">
        <v>962</v>
      </c>
      <c r="F29" t="s">
        <v>963</v>
      </c>
      <c r="G29" t="s">
        <v>239</v>
      </c>
      <c r="H29" t="str">
        <f>_xlfn.CONCAT(salesforecast[[#This Row],[OD]],"-",salesforecast[[#This Row],[ID]],"-",salesforecast[[#This Row],[TICKNESS]],"-",salesforecast[[#This Row],[GRADE]],"-",salesforecast[[#This Row],[FC/NFC]])</f>
        <v>19.05-0-2-ERW 1-PE</v>
      </c>
      <c r="I29" s="43">
        <f>SUMIFS(scheduleapr[SCHEDULE IN MT],scheduleapr[Bucket],salesforecast[[#This Row],[Bucket]])</f>
        <v>73.459038536400001</v>
      </c>
      <c r="J29">
        <v>1932568</v>
      </c>
      <c r="K29">
        <f>COUNTIF('helper sheet'!$A$1:$A$33,salesforecast[[#This Row],[LL Material Code]])</f>
        <v>0</v>
      </c>
      <c r="N29" t="s">
        <v>2447</v>
      </c>
      <c r="P29" s="47" t="s">
        <v>345</v>
      </c>
      <c r="Q29">
        <v>15</v>
      </c>
      <c r="R29">
        <v>131</v>
      </c>
      <c r="S29">
        <v>53</v>
      </c>
      <c r="T29" s="52">
        <f>ROUNDUP(MAX(salesforecast[[#This Row],[FY25 Average]],salesforecast[[#This Row],[July Schedule]]),0)</f>
        <v>74</v>
      </c>
      <c r="U29" s="52">
        <f>salesforecast[[#This Row],[Forecast]]-salesforecast[[#This Row],[July Schedule]]</f>
        <v>0.54096146359999864</v>
      </c>
      <c r="V29" t="str">
        <f>salesforecast[[#This Row],[Plant]]</f>
        <v>0789</v>
      </c>
      <c r="W29" s="66" t="str" cm="1">
        <f t="array" ref="W29">_xlfn.TEXTJOIN("|",TRUE,(_xlfn.UNIQUE(_xlfn._xlws.FILTER(scheduleapr[CUSTOMER NAME],scheduleapr[Bucket]=salesforecast[[#This Row],[Bucket]]))))</f>
        <v>ELKAYEM AUTO|KNITVEL NEEDLES P LTD|Rajsriya Unit 2|Rajsriya Unit 1|Rajsriya Unit 5|Rajsriya Unit 8|Rajsriya Mysore |RUCHA|SRIKAM HITECH</v>
      </c>
      <c r="X29" s="66" t="str" cm="1">
        <f t="array" ref="X29">_xlfn.TEXTJOIN("|",TRUE,(_xlfn.UNIQUE(_xlfn._xlws.SORT(_xlfn._xlws.FILTER(scheduleapr[LENGTH],scheduleapr[Bucket]=salesforecast[[#This Row],[Bucket]])))))</f>
        <v>104|213|240|259|265|358|394|475|775|785|815|820|830|900|1000</v>
      </c>
      <c r="Y29" s="66" t="str" cm="1">
        <f t="array" ref="Y29">_xlfn.TEXTJOIN("|",TRUE,_xlfn._xlws.FILTER(buckets[Material Codes],(buckets[Bucket]=salesforecast[[#This Row],[Bucket2]])*(buckets[LL or CTL]="CTL")))</f>
        <v>3781674|1940262|511882|1940266|521117|3122348|1940269|1180079|3507270|3507090|3507089|521115|1940272|3509248|2422190|3677042|1940273|2403386|1432171|3620714|4159768|1432169|3508947|1432170|2403384|3509633|1637759|2403383|1432172|3508950|1249097|3507464|1940284|1188598|3784368|1284065|1940287|3509196|3732182|1479701|1399341|3508741|451367|440216|1937438</v>
      </c>
      <c r="Z29" t="str">
        <f>salesforecast[[#This Row],[Bucket]]</f>
        <v>19.05-0-2-ERW 1-PE</v>
      </c>
      <c r="AA29" s="43">
        <f>salesforecast[[#This Row],[July Schedule]]</f>
        <v>73.459038536400001</v>
      </c>
      <c r="AB29" s="43">
        <f>SUMIF(salesTVS[buckets.Bucket],salesforecast[[#This Row],[Bucket]],salesTVS[Quantity])/1000</f>
        <v>16.170392</v>
      </c>
      <c r="AC29" s="43">
        <f>SUMIFS(stock[MT],stock[Bucket],salesforecast[[#This Row],[Bucket]],stock[LL or CTL],"CTL")</f>
        <v>0.56252400000000002</v>
      </c>
      <c r="AD29" s="43">
        <f>SUMIF(stock[Bucket],salesforecast[[#This Row],[Bucket]],stock[MT])-salesforecast[[#This Row],[Stock CTL]]</f>
        <v>0</v>
      </c>
      <c r="AE29" s="43" t="e">
        <v>#REF!</v>
      </c>
      <c r="AF29" s="43">
        <f>SUMIF(wip[Bucket],salesforecast[[#This Row],[Bucket]],wip[Stock(Net Wt)])/1000</f>
        <v>11.189</v>
      </c>
      <c r="AG29" s="43" t="e">
        <v>#REF!</v>
      </c>
      <c r="AH29" s="43">
        <f>SUMIFS(stock[MT],stock[Bucket],salesforecast[[#This Row],[Bucket2]],stock[Plant],"0788")</f>
        <v>0</v>
      </c>
      <c r="AI29" s="43">
        <f>((salesforecast[[#This Row],[WIP]]+salesforecast[[#This Row],[Stock LL]]))/salesforecast[[#This Row],[July Schedule]]*30</f>
        <v>4.5694853443211176</v>
      </c>
      <c r="AJ29" s="52">
        <f>salesforecast[[#This Row],[Stock LL]]/salesforecast[[#This Row],[Schedule]]*30</f>
        <v>0</v>
      </c>
      <c r="AK29" s="43">
        <f>SUMIFS(stock[MT],stock[Bucket],salesforecast[[#This Row],[Bucket2]],stock[Plant],"0789",stock[LL or CTL],"LL")</f>
        <v>0</v>
      </c>
      <c r="AL29" s="193">
        <f>(salesforecast[[#This Row],[Sales]])/salesforecast[[#This Row],[Schedule]]</f>
        <v>0.22012801041477476</v>
      </c>
      <c r="AM29" s="43">
        <f>SUMIFS(stock[MT],stock[Plant],salesforecast[[#This Row],[Plant]],stock[LL or CTL],"LL",stock[Bucket],salesforecast[[#This Row],[Bucket]])</f>
        <v>0</v>
      </c>
      <c r="AN29" s="43">
        <f>SUMIFS(scheduleapr[SCHEDULE IN MT],scheduleapr[CUSTOMER NAME],"*Rajsriya*",scheduleapr[Bucket],salesforecast[[#This Row],[Bucket]])</f>
        <v>34.487823357899998</v>
      </c>
      <c r="AO29" s="43">
        <f>SUMIFS(salesTVS[Quantity],salesTVS[CUSTOMER  NAME],"*RAJSRIYA*",salesTVS[buckets.Bucket],salesforecast[[#This Row],[Bucket]])/1000</f>
        <v>8.3328420000000012</v>
      </c>
      <c r="AP29" s="43">
        <f>SUMIFS(stock[MT],stock[Plant],4318,stock[Bucket],salesforecast[[#This Row],[Bucket2]])</f>
        <v>0</v>
      </c>
      <c r="AQ29" s="43">
        <f>SUMIFS(stock[MT],stock[Plant],4731,stock[Bucket],salesforecast[[#This Row],[Bucket2]],stock[LL or CTL],"CTL")</f>
        <v>0</v>
      </c>
      <c r="AR29" s="43">
        <f>SUMIFS(stock[MT],stock[Plant],4731,stock[Bucket],salesforecast[[#This Row],[Bucket2]])-salesforecast[[#This Row],[4731 Stock CTL]]</f>
        <v>0</v>
      </c>
      <c r="AS29" s="43">
        <f>SUMIFS(stock[MT],stock[Plant],8406,stock[Bucket],salesforecast[[#This Row],[Bucket2]])</f>
        <v>0</v>
      </c>
    </row>
    <row r="30" spans="1:45" ht="225" x14ac:dyDescent="0.25">
      <c r="A30" s="50">
        <v>19.05</v>
      </c>
      <c r="B30">
        <v>19.05</v>
      </c>
      <c r="C30">
        <v>0</v>
      </c>
      <c r="D30">
        <v>2.2999999999999998</v>
      </c>
      <c r="E30" t="s">
        <v>962</v>
      </c>
      <c r="F30" t="s">
        <v>963</v>
      </c>
      <c r="G30" t="s">
        <v>239</v>
      </c>
      <c r="H30" t="str">
        <f>_xlfn.CONCAT(salesforecast[[#This Row],[OD]],"-",salesforecast[[#This Row],[ID]],"-",salesforecast[[#This Row],[TICKNESS]],"-",salesforecast[[#This Row],[GRADE]],"-",salesforecast[[#This Row],[FC/NFC]])</f>
        <v>19.05-0-2.3-ERW 1-PE</v>
      </c>
      <c r="I30" s="43">
        <f>SUMIFS(scheduleapr[SCHEDULE IN MT],scheduleapr[Bucket],salesforecast[[#This Row],[Bucket]])</f>
        <v>99.752442651712485</v>
      </c>
      <c r="J30">
        <v>3682070</v>
      </c>
      <c r="K30">
        <f>COUNTIF('helper sheet'!$A$1:$A$33,salesforecast[[#This Row],[LL Material Code]])</f>
        <v>0</v>
      </c>
      <c r="N30" t="s">
        <v>2448</v>
      </c>
      <c r="P30" s="47" t="s">
        <v>345</v>
      </c>
      <c r="Q30">
        <v>37</v>
      </c>
      <c r="R30">
        <v>100</v>
      </c>
      <c r="S30">
        <v>63</v>
      </c>
      <c r="T30" s="52">
        <f>ROUNDUP(MAX(salesforecast[[#This Row],[FY25 Average]],salesforecast[[#This Row],[July Schedule]]),0)</f>
        <v>100</v>
      </c>
      <c r="U30" s="52">
        <f>salesforecast[[#This Row],[Forecast]]-salesforecast[[#This Row],[July Schedule]]</f>
        <v>0.24755734828751486</v>
      </c>
      <c r="V30" t="str">
        <f>salesforecast[[#This Row],[Plant]]</f>
        <v>0789</v>
      </c>
      <c r="W30" s="66" t="str" cm="1">
        <f t="array" ref="W30">_xlfn.TEXTJOIN("|",TRUE,(_xlfn.UNIQUE(_xlfn._xlws.FILTER(scheduleapr[CUSTOMER NAME],scheduleapr[Bucket]=salesforecast[[#This Row],[Bucket]]))))</f>
        <v>ELKAYEM AUTO|NMPL TVSM|Rajsriya Unit 2|Rajsriya Unit 5|Rajsriya Unit 1|Rajsriya Automotive|RUCHA|SANDHAR ENGINEERING PVT LTD.|SRIKAM HITECH</v>
      </c>
      <c r="X30" s="66" t="str" cm="1">
        <f t="array" ref="X30">_xlfn.TEXTJOIN("|",TRUE,(_xlfn.UNIQUE(_xlfn._xlws.SORT(_xlfn._xlws.FILTER(scheduleapr[LENGTH],scheduleapr[Bucket]=salesforecast[[#This Row],[Bucket]])))))</f>
        <v>195|210|236|250|252|255|265|278|281|285|295|303|394|400|554|570|585|600|610|1000</v>
      </c>
      <c r="Y30" s="66" t="str" cm="1">
        <f t="array" ref="Y30">_xlfn.TEXTJOIN("|",TRUE,_xlfn._xlws.FILTER(buckets[Material Codes],(buckets[Bucket]=salesforecast[[#This Row],[Bucket2]])*(buckets[LL or CTL]="CTL")))</f>
        <v>1333189|1940302|1259405|3507523|3781673|1940306|511879|437147|1940307|3783914|2427712|1442308|3508993|1300148|1940309|3507718|3508992|437156|477004|1940310|3781667|2427711|3781637|1940312|437154|3783916|1940313|508988|3781671|1940318|437148|2320564|1940319|508992|1940322|513789|2332783|1940324|437150|511878|1940325|3507077|3781672|437144|1940327|3535743|1940328|3508521|1940329|1372704|3984123|3984124|238726|3718926|238539</v>
      </c>
      <c r="Z30" t="str">
        <f>salesforecast[[#This Row],[Bucket]]</f>
        <v>19.05-0-2.3-ERW 1-PE</v>
      </c>
      <c r="AA30" s="43">
        <f>salesforecast[[#This Row],[July Schedule]]</f>
        <v>99.752442651712485</v>
      </c>
      <c r="AB30" s="43">
        <f>SUMIF(salesTVS[buckets.Bucket],salesforecast[[#This Row],[Bucket]],salesTVS[Quantity])/1000</f>
        <v>65.309253999999996</v>
      </c>
      <c r="AC30" s="43">
        <f>SUMIFS(stock[MT],stock[Bucket],salesforecast[[#This Row],[Bucket]],stock[LL or CTL],"CTL")</f>
        <v>19.279643</v>
      </c>
      <c r="AD30" s="43">
        <f>SUMIF(stock[Bucket],salesforecast[[#This Row],[Bucket]],stock[MT])-salesforecast[[#This Row],[Stock CTL]]</f>
        <v>73.955846000000008</v>
      </c>
      <c r="AE30" s="43" t="e">
        <v>#REF!</v>
      </c>
      <c r="AF30" s="43">
        <f>SUMIF(wip[Bucket],salesforecast[[#This Row],[Bucket]],wip[Stock(Net Wt)])/1000</f>
        <v>6.0149999999999997</v>
      </c>
      <c r="AG30" s="43" t="e">
        <v>#REF!</v>
      </c>
      <c r="AH30" s="43">
        <f>SUMIFS(stock[MT],stock[Bucket],salesforecast[[#This Row],[Bucket2]],stock[Plant],"0788")</f>
        <v>0</v>
      </c>
      <c r="AI30" s="43">
        <f>((salesforecast[[#This Row],[WIP]]+salesforecast[[#This Row],[Stock LL]]))/salesforecast[[#This Row],[July Schedule]]*30</f>
        <v>24.050793306150819</v>
      </c>
      <c r="AJ30" s="52">
        <f>salesforecast[[#This Row],[Stock LL]]/salesforecast[[#This Row],[Schedule]]*30</f>
        <v>22.241815047542712</v>
      </c>
      <c r="AK30" s="43">
        <f>SUMIFS(stock[MT],stock[Bucket],salesforecast[[#This Row],[Bucket2]],stock[Plant],"0789",stock[LL or CTL],"LL")</f>
        <v>10.963000000000001</v>
      </c>
      <c r="AL30" s="193">
        <f>(salesforecast[[#This Row],[Sales]])/salesforecast[[#This Row],[Schedule]]</f>
        <v>0.65471333096101192</v>
      </c>
      <c r="AM30" s="43">
        <f>SUMIFS(stock[MT],stock[Plant],salesforecast[[#This Row],[Plant]],stock[LL or CTL],"LL",stock[Bucket],salesforecast[[#This Row],[Bucket]])</f>
        <v>10.963000000000001</v>
      </c>
      <c r="AN30" s="43">
        <f>SUMIFS(scheduleapr[SCHEDULE IN MT],scheduleapr[CUSTOMER NAME],"*Rajsriya*",scheduleapr[Bucket],salesforecast[[#This Row],[Bucket]])</f>
        <v>17.682552342224998</v>
      </c>
      <c r="AO30" s="43">
        <f>SUMIFS(salesTVS[Quantity],salesTVS[CUSTOMER  NAME],"*RAJSRIYA*",salesTVS[buckets.Bucket],salesforecast[[#This Row],[Bucket]])/1000</f>
        <v>6.4114650000000006</v>
      </c>
      <c r="AP30" s="43">
        <f>SUMIFS(stock[MT],stock[Plant],4318,stock[Bucket],salesforecast[[#This Row],[Bucket2]])</f>
        <v>0</v>
      </c>
      <c r="AQ30" s="43">
        <f>SUMIFS(stock[MT],stock[Plant],4731,stock[Bucket],salesforecast[[#This Row],[Bucket2]],stock[LL or CTL],"CTL")</f>
        <v>10.540037</v>
      </c>
      <c r="AR30" s="43">
        <f>SUMIFS(stock[MT],stock[Plant],4731,stock[Bucket],salesforecast[[#This Row],[Bucket2]])-salesforecast[[#This Row],[4731 Stock CTL]]</f>
        <v>24.635752000000004</v>
      </c>
      <c r="AS30" s="43">
        <f>SUMIFS(stock[MT],stock[Plant],8406,stock[Bucket],salesforecast[[#This Row],[Bucket2]])</f>
        <v>38.357093999999996</v>
      </c>
    </row>
    <row r="31" spans="1:45" x14ac:dyDescent="0.25">
      <c r="A31">
        <v>20</v>
      </c>
      <c r="B31">
        <v>20</v>
      </c>
      <c r="C31">
        <v>17.16</v>
      </c>
      <c r="D31">
        <v>1.42</v>
      </c>
      <c r="E31" t="s">
        <v>357</v>
      </c>
      <c r="F31" t="s">
        <v>357</v>
      </c>
      <c r="G31" t="s">
        <v>239</v>
      </c>
      <c r="H31" t="str">
        <f>_xlfn.CONCAT(salesforecast[[#This Row],[OD]],"-",salesforecast[[#This Row],[ID]],"-",salesforecast[[#This Row],[TICKNESS]],"-",salesforecast[[#This Row],[GRADE]],"-",salesforecast[[#This Row],[FC/NFC]])</f>
        <v>20-17.16-1.42-CEW-CEW</v>
      </c>
      <c r="I31" s="43">
        <f>SUMIFS(scheduleapr[SCHEDULE IN MT],scheduleapr[Bucket],salesforecast[[#This Row],[Bucket]])</f>
        <v>6.0363570861047986</v>
      </c>
      <c r="J31">
        <v>3769066</v>
      </c>
      <c r="K31">
        <f>COUNTIF('helper sheet'!$A$1:$A$33,salesforecast[[#This Row],[LL Material Code]])</f>
        <v>0</v>
      </c>
      <c r="N31" t="s">
        <v>2449</v>
      </c>
      <c r="P31" s="47" t="s">
        <v>362</v>
      </c>
      <c r="Q31">
        <v>0</v>
      </c>
      <c r="R31">
        <v>3</v>
      </c>
      <c r="S31">
        <v>1</v>
      </c>
      <c r="T31" s="52">
        <f>ROUNDUP(MAX(salesforecast[[#This Row],[FY25 Average]],salesforecast[[#This Row],[July Schedule]]),0)</f>
        <v>7</v>
      </c>
      <c r="U31" s="52">
        <f>salesforecast[[#This Row],[Forecast]]-salesforecast[[#This Row],[July Schedule]]</f>
        <v>0.9636429138952014</v>
      </c>
      <c r="V31" t="str">
        <f>salesforecast[[#This Row],[Plant]]</f>
        <v>0788</v>
      </c>
      <c r="W31" s="66" t="str" cm="1">
        <f t="array" ref="W31">_xlfn.TEXTJOIN("|",TRUE,(_xlfn.UNIQUE(_xlfn._xlws.FILTER(scheduleapr[CUSTOMER NAME],scheduleapr[Bucket]=salesforecast[[#This Row],[Bucket]]))))</f>
        <v>Laxmi|NMPL TVSM</v>
      </c>
      <c r="X31" s="66" t="str" cm="1">
        <f t="array" ref="X31">_xlfn.TEXTJOIN("|",TRUE,(_xlfn.UNIQUE(_xlfn._xlws.SORT(_xlfn._xlws.FILTER(scheduleapr[LENGTH],scheduleapr[Bucket]=salesforecast[[#This Row],[Bucket]])))))</f>
        <v>273</v>
      </c>
      <c r="Y31" s="66" t="str" cm="1">
        <f t="array" ref="Y31">_xlfn.TEXTJOIN("|",TRUE,_xlfn._xlws.FILTER(buckets[Material Codes],(buckets[Bucket]=salesforecast[[#This Row],[Bucket2]])))</f>
        <v>3228788|3769066</v>
      </c>
      <c r="Z31" t="str">
        <f>salesforecast[[#This Row],[Bucket]]</f>
        <v>20-17.16-1.42-CEW-CEW</v>
      </c>
      <c r="AA31" s="43">
        <f>salesforecast[[#This Row],[July Schedule]]</f>
        <v>6.0363570861047986</v>
      </c>
      <c r="AB31" s="43">
        <f>SUMIF(salesTVS[buckets.Bucket],salesforecast[[#This Row],[Bucket]],salesTVS[Quantity])/1000</f>
        <v>1.593</v>
      </c>
      <c r="AC31" s="43">
        <f>SUMIFS(stock[MT],stock[Bucket],salesforecast[[#This Row],[Bucket]],stock[LL or CTL],"CTL")</f>
        <v>0.71119699999999997</v>
      </c>
      <c r="AD31" s="43">
        <f>SUMIF(stock[Bucket],salesforecast[[#This Row],[Bucket]],stock[MT])-salesforecast[[#This Row],[Stock CTL]]</f>
        <v>1.1720000000000002</v>
      </c>
      <c r="AE31" s="43" t="e">
        <v>#REF!</v>
      </c>
      <c r="AF31" s="43">
        <f>SUMIF(wip[Bucket],salesforecast[[#This Row],[Bucket]],wip[Stock(Net Wt)])/1000</f>
        <v>0</v>
      </c>
      <c r="AG31" s="43" t="e">
        <v>#REF!</v>
      </c>
      <c r="AH31" s="43">
        <f>SUMIFS(stock[MT],stock[Bucket],salesforecast[[#This Row],[Bucket2]],stock[Plant],"0788")</f>
        <v>1.1719999999999999</v>
      </c>
      <c r="AI31" s="43">
        <f>((salesforecast[[#This Row],[WIP]]+salesforecast[[#This Row],[Stock LL]]))/salesforecast[[#This Row],[July Schedule]]*30</f>
        <v>5.8247051157618648</v>
      </c>
      <c r="AJ31" s="52">
        <f>salesforecast[[#This Row],[Stock LL]]/salesforecast[[#This Row],[Schedule]]*30</f>
        <v>5.8247051157618648</v>
      </c>
      <c r="AK31" s="43">
        <f>SUMIFS(stock[MT],stock[Bucket],salesforecast[[#This Row],[Bucket2]],stock[Plant],"0789",stock[LL or CTL],"LL")</f>
        <v>0</v>
      </c>
      <c r="AL31" s="193">
        <f>(salesforecast[[#This Row],[Sales]])/salesforecast[[#This Row],[Schedule]]</f>
        <v>0.26390088877726536</v>
      </c>
      <c r="AM31" s="43">
        <f>SUMIFS(stock[MT],stock[Plant],salesforecast[[#This Row],[Plant]],stock[LL or CTL],"LL",stock[Bucket],salesforecast[[#This Row],[Bucket]])</f>
        <v>1.1719999999999999</v>
      </c>
      <c r="AN31" s="43">
        <f>SUMIFS(scheduleapr[SCHEDULE IN MT],scheduleapr[CUSTOMER NAME],"*Rajsriya*",scheduleapr[Bucket],salesforecast[[#This Row],[Bucket]])</f>
        <v>0</v>
      </c>
      <c r="AO31" s="43">
        <f>SUMIFS(salesTVS[Quantity],salesTVS[CUSTOMER  NAME],"*RAJSRIYA*",salesTVS[buckets.Bucket],salesforecast[[#This Row],[Bucket]])/1000</f>
        <v>0</v>
      </c>
      <c r="AP31" s="43">
        <f>SUMIFS(stock[MT],stock[Plant],4318,stock[Bucket],salesforecast[[#This Row],[Bucket2]])</f>
        <v>0</v>
      </c>
      <c r="AQ31" s="43">
        <f>SUMIFS(stock[MT],stock[Plant],4731,stock[Bucket],salesforecast[[#This Row],[Bucket2]],stock[LL or CTL],"CTL")</f>
        <v>0.71119699999999997</v>
      </c>
      <c r="AR31" s="43">
        <f>SUMIFS(stock[MT],stock[Plant],4731,stock[Bucket],salesforecast[[#This Row],[Bucket2]])-salesforecast[[#This Row],[4731 Stock CTL]]</f>
        <v>0</v>
      </c>
      <c r="AS31" s="43">
        <f>SUMIFS(stock[MT],stock[Plant],8406,stock[Bucket],salesforecast[[#This Row],[Bucket2]])</f>
        <v>0</v>
      </c>
    </row>
    <row r="32" spans="1:45" x14ac:dyDescent="0.25">
      <c r="A32">
        <v>20</v>
      </c>
      <c r="B32">
        <v>20</v>
      </c>
      <c r="C32">
        <v>12.4</v>
      </c>
      <c r="D32">
        <v>3.8</v>
      </c>
      <c r="E32" t="s">
        <v>357</v>
      </c>
      <c r="F32" t="s">
        <v>357</v>
      </c>
      <c r="G32" t="s">
        <v>239</v>
      </c>
      <c r="H32" t="str">
        <f>_xlfn.CONCAT(salesforecast[[#This Row],[OD]],"-",salesforecast[[#This Row],[ID]],"-",salesforecast[[#This Row],[TICKNESS]],"-",salesforecast[[#This Row],[GRADE]],"-",salesforecast[[#This Row],[FC/NFC]])</f>
        <v>20-12.4-3.8-CEW-CEW</v>
      </c>
      <c r="I32" s="43">
        <f>SUMIFS(scheduleapr[SCHEDULE IN MT],scheduleapr[Bucket],salesforecast[[#This Row],[Bucket]])</f>
        <v>0</v>
      </c>
      <c r="J32">
        <v>2439536</v>
      </c>
      <c r="K32">
        <f>COUNTIF('helper sheet'!$A$1:$A$33,salesforecast[[#This Row],[LL Material Code]])</f>
        <v>0</v>
      </c>
      <c r="N32" t="s">
        <v>1428</v>
      </c>
      <c r="P32" s="47" t="s">
        <v>362</v>
      </c>
      <c r="Q32">
        <v>0</v>
      </c>
      <c r="R32">
        <v>18</v>
      </c>
      <c r="S32">
        <v>3</v>
      </c>
      <c r="T32" s="52">
        <f>ROUNDUP(MAX(salesforecast[[#This Row],[FY25 Average]],salesforecast[[#This Row],[July Schedule]]),0)</f>
        <v>3</v>
      </c>
      <c r="U32" s="52">
        <f>salesforecast[[#This Row],[Forecast]]-salesforecast[[#This Row],[July Schedule]]</f>
        <v>3</v>
      </c>
      <c r="V32" t="str">
        <f>salesforecast[[#This Row],[Plant]]</f>
        <v>0788</v>
      </c>
      <c r="W32" s="66" t="str" cm="1">
        <f t="array" ref="W32">_xlfn.TEXTJOIN("|",TRUE,(_xlfn.UNIQUE(_xlfn._xlws.FILTER(scheduleapr[CUSTOMER NAME],scheduleapr[Bucket]=salesforecast[[#This Row],[Bucket]]))))</f>
        <v xml:space="preserve">Sandhar Engg Mysore </v>
      </c>
      <c r="X32" s="66" t="str" cm="1">
        <f t="array" ref="X32">_xlfn.TEXTJOIN("|",TRUE,(_xlfn.UNIQUE(_xlfn._xlws.SORT(_xlfn._xlws.FILTER(scheduleapr[LENGTH],scheduleapr[Bucket]=salesforecast[[#This Row],[Bucket]])))))</f>
        <v>1000</v>
      </c>
      <c r="Y32" s="66" t="str" cm="1">
        <f t="array" ref="Y32">_xlfn.TEXTJOIN("|",TRUE,_xlfn._xlws.FILTER(buckets[Material Codes],(buckets[Bucket]=salesforecast[[#This Row],[Bucket2]])))</f>
        <v>2439536</v>
      </c>
      <c r="Z32" t="str">
        <f>salesforecast[[#This Row],[Bucket]]</f>
        <v>20-12.4-3.8-CEW-CEW</v>
      </c>
      <c r="AA32" s="43">
        <f>salesforecast[[#This Row],[July Schedule]]</f>
        <v>0</v>
      </c>
      <c r="AB32" s="43">
        <f>SUMIF(salesTVS[buckets.Bucket],salesforecast[[#This Row],[Bucket]],salesTVS[Quantity])/1000</f>
        <v>0</v>
      </c>
      <c r="AC32" s="43">
        <f>SUMIFS(stock[MT],stock[Bucket],salesforecast[[#This Row],[Bucket]],stock[LL or CTL],"CTL")</f>
        <v>0</v>
      </c>
      <c r="AD32" s="43">
        <f>SUMIF(stock[Bucket],salesforecast[[#This Row],[Bucket]],stock[MT])-salesforecast[[#This Row],[Stock CTL]]</f>
        <v>0</v>
      </c>
      <c r="AE32" s="43" t="e">
        <v>#REF!</v>
      </c>
      <c r="AF32" s="43">
        <f>SUMIF(wip[Bucket],salesforecast[[#This Row],[Bucket]],wip[Stock(Net Wt)])/1000</f>
        <v>0</v>
      </c>
      <c r="AG32" s="43" t="e">
        <v>#REF!</v>
      </c>
      <c r="AH32" s="43">
        <f>SUMIFS(stock[MT],stock[Bucket],salesforecast[[#This Row],[Bucket2]],stock[Plant],"0788")</f>
        <v>0</v>
      </c>
      <c r="AI32" s="43" t="e">
        <f>((salesforecast[[#This Row],[WIP]]+salesforecast[[#This Row],[Stock LL]]))/salesforecast[[#This Row],[July Schedule]]*30</f>
        <v>#DIV/0!</v>
      </c>
      <c r="AJ32" s="52" t="e">
        <f>salesforecast[[#This Row],[Stock LL]]/salesforecast[[#This Row],[Schedule]]*30</f>
        <v>#DIV/0!</v>
      </c>
      <c r="AK32" s="43">
        <f>SUMIFS(stock[MT],stock[Bucket],salesforecast[[#This Row],[Bucket2]],stock[Plant],"0789",stock[LL or CTL],"LL")</f>
        <v>0</v>
      </c>
      <c r="AL32" s="193" t="e">
        <f>(salesforecast[[#This Row],[Sales]])/salesforecast[[#This Row],[Schedule]]</f>
        <v>#DIV/0!</v>
      </c>
      <c r="AM32" s="67">
        <f>SUMIFS(stock[MT],stock[Plant],salesforecast[[#This Row],[Plant]],stock[LL or CTL],"LL",stock[Bucket],salesforecast[[#This Row],[Bucket]])</f>
        <v>0</v>
      </c>
      <c r="AN32" s="43">
        <f>SUMIFS(scheduleapr[SCHEDULE IN MT],scheduleapr[CUSTOMER NAME],"*Rajsriya*",scheduleapr[Bucket],salesforecast[[#This Row],[Bucket]])</f>
        <v>0</v>
      </c>
      <c r="AO32" s="43">
        <f>SUMIFS(salesTVS[Quantity],salesTVS[CUSTOMER  NAME],"*RAJSRIYA*",salesTVS[buckets.Bucket],salesforecast[[#This Row],[Bucket]])/1000</f>
        <v>0</v>
      </c>
      <c r="AP32" s="43">
        <f>SUMIFS(stock[MT],stock[Plant],4318,stock[Bucket],salesforecast[[#This Row],[Bucket2]])</f>
        <v>0</v>
      </c>
      <c r="AQ32" s="43">
        <f>SUMIFS(stock[MT],stock[Plant],4731,stock[Bucket],salesforecast[[#This Row],[Bucket2]],stock[LL or CTL],"CTL")</f>
        <v>0</v>
      </c>
      <c r="AR32" s="43">
        <f>SUMIFS(stock[MT],stock[Plant],4731,stock[Bucket],salesforecast[[#This Row],[Bucket2]])-salesforecast[[#This Row],[4731 Stock CTL]]</f>
        <v>0</v>
      </c>
      <c r="AS32" s="43">
        <f>SUMIFS(stock[MT],stock[Plant],8406,stock[Bucket],salesforecast[[#This Row],[Bucket2]])</f>
        <v>0</v>
      </c>
    </row>
    <row r="33" spans="1:45" x14ac:dyDescent="0.25">
      <c r="A33">
        <v>20</v>
      </c>
      <c r="B33">
        <v>20</v>
      </c>
      <c r="C33">
        <v>12.4</v>
      </c>
      <c r="D33">
        <v>4.5</v>
      </c>
      <c r="E33" t="s">
        <v>357</v>
      </c>
      <c r="F33" t="s">
        <v>357</v>
      </c>
      <c r="G33" t="s">
        <v>239</v>
      </c>
      <c r="H33" t="str">
        <f>_xlfn.CONCAT(salesforecast[[#This Row],[OD]],"-",salesforecast[[#This Row],[ID]],"-",salesforecast[[#This Row],[TICKNESS]],"-",salesforecast[[#This Row],[GRADE]],"-",salesforecast[[#This Row],[FC/NFC]])</f>
        <v>20-12.4-4.5-CEW-CEW</v>
      </c>
      <c r="I33" s="43">
        <f>SUMIFS(scheduleapr[SCHEDULE IN MT],scheduleapr[Bucket],salesforecast[[#This Row],[Bucket]])</f>
        <v>3.4385355000000004</v>
      </c>
      <c r="J33" s="91">
        <v>2439535</v>
      </c>
      <c r="K33">
        <f>COUNTIF('helper sheet'!$A$1:$A$33,salesforecast[[#This Row],[LL Material Code]])</f>
        <v>0</v>
      </c>
      <c r="N33" t="s">
        <v>1430</v>
      </c>
      <c r="P33" s="47" t="s">
        <v>362</v>
      </c>
      <c r="Q33">
        <v>0</v>
      </c>
      <c r="R33">
        <v>2</v>
      </c>
      <c r="S33">
        <v>0</v>
      </c>
      <c r="T33" s="52">
        <f>ROUNDUP(MAX(salesforecast[[#This Row],[FY25 Average]],salesforecast[[#This Row],[July Schedule]]),0)</f>
        <v>4</v>
      </c>
      <c r="U33" s="52">
        <f>salesforecast[[#This Row],[Forecast]]-salesforecast[[#This Row],[July Schedule]]</f>
        <v>0.56146449999999959</v>
      </c>
      <c r="V33" t="str">
        <f>salesforecast[[#This Row],[Plant]]</f>
        <v>0788</v>
      </c>
      <c r="W33" s="66" t="str" cm="1">
        <f t="array" ref="W33">_xlfn.TEXTJOIN("|",TRUE,(_xlfn.UNIQUE(_xlfn._xlws.FILTER(scheduleapr[CUSTOMER NAME],scheduleapr[Bucket]=salesforecast[[#This Row],[Bucket]]))))</f>
        <v xml:space="preserve">NMPL HUB|Sandhar Engg Mysore </v>
      </c>
      <c r="X33" s="66" t="str" cm="1">
        <f t="array" ref="X33">_xlfn.TEXTJOIN("|",TRUE,(_xlfn.UNIQUE(_xlfn._xlws.SORT(_xlfn._xlws.FILTER(scheduleapr[LENGTH],scheduleapr[Bucket]=salesforecast[[#This Row],[Bucket]])))))</f>
        <v>1000</v>
      </c>
      <c r="Y33" s="66" t="str" cm="1">
        <f t="array" ref="Y33">_xlfn.TEXTJOIN("|",TRUE,_xlfn._xlws.FILTER(buckets[Material Codes],(buckets[Bucket]=salesforecast[[#This Row],[Bucket2]])))</f>
        <v>2439535</v>
      </c>
      <c r="Z33" t="str">
        <f>salesforecast[[#This Row],[Bucket]]</f>
        <v>20-12.4-4.5-CEW-CEW</v>
      </c>
      <c r="AA33" s="43">
        <f>salesforecast[[#This Row],[July Schedule]]</f>
        <v>3.4385355000000004</v>
      </c>
      <c r="AB33" s="43">
        <f>SUMIF(salesTVS[buckets.Bucket],salesforecast[[#This Row],[Bucket]],salesTVS[Quantity])/1000</f>
        <v>0</v>
      </c>
      <c r="AC33" s="43">
        <f>SUMIFS(stock[MT],stock[Bucket],salesforecast[[#This Row],[Bucket]],stock[LL or CTL],"CTL")</f>
        <v>0</v>
      </c>
      <c r="AD33" s="43">
        <f>SUMIF(stock[Bucket],salesforecast[[#This Row],[Bucket]],stock[MT])-salesforecast[[#This Row],[Stock CTL]]</f>
        <v>0</v>
      </c>
      <c r="AE33" s="43" t="e">
        <v>#REF!</v>
      </c>
      <c r="AF33" s="43">
        <f>SUMIF(wip[Bucket],salesforecast[[#This Row],[Bucket]],wip[Stock(Net Wt)])/1000</f>
        <v>0</v>
      </c>
      <c r="AG33" s="43" t="e">
        <v>#REF!</v>
      </c>
      <c r="AH33" s="43">
        <f>SUMIFS(stock[MT],stock[Bucket],salesforecast[[#This Row],[Bucket2]],stock[Plant],"0788")</f>
        <v>0</v>
      </c>
      <c r="AI33" s="43">
        <f>((salesforecast[[#This Row],[WIP]]+salesforecast[[#This Row],[Stock LL]]))/salesforecast[[#This Row],[July Schedule]]*30</f>
        <v>0</v>
      </c>
      <c r="AJ33" s="52">
        <f>salesforecast[[#This Row],[Stock LL]]/salesforecast[[#This Row],[Schedule]]*30</f>
        <v>0</v>
      </c>
      <c r="AK33" s="43">
        <f>SUMIFS(stock[MT],stock[Bucket],salesforecast[[#This Row],[Bucket2]],stock[Plant],"0789",stock[LL or CTL],"LL")</f>
        <v>0</v>
      </c>
      <c r="AL33" s="193">
        <f>(salesforecast[[#This Row],[Sales]])/salesforecast[[#This Row],[Schedule]]</f>
        <v>0</v>
      </c>
      <c r="AM33" s="43">
        <f>SUMIFS(stock[MT],stock[Plant],salesforecast[[#This Row],[Plant]],stock[LL or CTL],"LL",stock[Bucket],salesforecast[[#This Row],[Bucket]])</f>
        <v>0</v>
      </c>
      <c r="AN33" s="43">
        <f>SUMIFS(scheduleapr[SCHEDULE IN MT],scheduleapr[CUSTOMER NAME],"*Rajsriya*",scheduleapr[Bucket],salesforecast[[#This Row],[Bucket]])</f>
        <v>0</v>
      </c>
      <c r="AO33" s="43">
        <f>SUMIFS(salesTVS[Quantity],salesTVS[CUSTOMER  NAME],"*RAJSRIYA*",salesTVS[buckets.Bucket],salesforecast[[#This Row],[Bucket]])/1000</f>
        <v>0</v>
      </c>
      <c r="AP33" s="43">
        <f>SUMIFS(stock[MT],stock[Plant],4318,stock[Bucket],salesforecast[[#This Row],[Bucket2]])</f>
        <v>0</v>
      </c>
      <c r="AQ33" s="43">
        <f>SUMIFS(stock[MT],stock[Plant],4731,stock[Bucket],salesforecast[[#This Row],[Bucket2]],stock[LL or CTL],"CTL")</f>
        <v>0</v>
      </c>
      <c r="AR33" s="43">
        <f>SUMIFS(stock[MT],stock[Plant],4731,stock[Bucket],salesforecast[[#This Row],[Bucket2]])-salesforecast[[#This Row],[4731 Stock CTL]]</f>
        <v>0</v>
      </c>
      <c r="AS33" s="43">
        <f>SUMIFS(stock[MT],stock[Plant],8406,stock[Bucket],salesforecast[[#This Row],[Bucket2]])</f>
        <v>0</v>
      </c>
    </row>
    <row r="34" spans="1:45" ht="30" x14ac:dyDescent="0.25">
      <c r="A34">
        <v>21.7</v>
      </c>
      <c r="B34">
        <v>21.7</v>
      </c>
      <c r="C34">
        <v>16.2</v>
      </c>
      <c r="D34">
        <v>2.75</v>
      </c>
      <c r="E34" t="s">
        <v>357</v>
      </c>
      <c r="F34" t="s">
        <v>357</v>
      </c>
      <c r="G34" t="s">
        <v>239</v>
      </c>
      <c r="H34" t="str">
        <f>_xlfn.CONCAT(salesforecast[[#This Row],[OD]],"-",salesforecast[[#This Row],[ID]],"-",salesforecast[[#This Row],[TICKNESS]],"-",salesforecast[[#This Row],[GRADE]],"-",salesforecast[[#This Row],[FC/NFC]])</f>
        <v>21.7-16.2-2.75-CEW-CEW</v>
      </c>
      <c r="I34" s="43">
        <f>SUMIFS(scheduleapr[SCHEDULE IN MT],scheduleapr[Bucket],salesforecast[[#This Row],[Bucket]])</f>
        <v>1.9267815187499999</v>
      </c>
      <c r="J34">
        <v>2410999</v>
      </c>
      <c r="K34">
        <f>COUNTIF('helper sheet'!$A$1:$A$33,salesforecast[[#This Row],[LL Material Code]])</f>
        <v>0</v>
      </c>
      <c r="N34" t="s">
        <v>728</v>
      </c>
      <c r="P34" s="47" t="s">
        <v>362</v>
      </c>
      <c r="Q34">
        <v>0</v>
      </c>
      <c r="R34">
        <v>6</v>
      </c>
      <c r="S34">
        <v>1</v>
      </c>
      <c r="T34" s="52">
        <f>ROUNDUP(MAX(salesforecast[[#This Row],[FY25 Average]],salesforecast[[#This Row],[July Schedule]]),0)</f>
        <v>2</v>
      </c>
      <c r="U34" s="52">
        <f>salesforecast[[#This Row],[Forecast]]-salesforecast[[#This Row],[July Schedule]]</f>
        <v>7.3218481250000078E-2</v>
      </c>
      <c r="V34" t="str">
        <f>salesforecast[[#This Row],[Plant]]</f>
        <v>0788</v>
      </c>
      <c r="W34" s="66" t="str" cm="1">
        <f t="array" ref="W34">_xlfn.TEXTJOIN("|",TRUE,(_xlfn.UNIQUE(_xlfn._xlws.FILTER(scheduleapr[CUSTOMER NAME],scheduleapr[Bucket]=salesforecast[[#This Row],[Bucket]]))))</f>
        <v>NMPL TVSM|Rajsriya Unit 5|SRIKAM HITECH</v>
      </c>
      <c r="X34" s="66" t="str" cm="1">
        <f t="array" ref="X34">_xlfn.TEXTJOIN("|",TRUE,(_xlfn.UNIQUE(_xlfn._xlws.SORT(_xlfn._xlws.FILTER(scheduleapr[LENGTH],scheduleapr[Bucket]=salesforecast[[#This Row],[Bucket]])))))</f>
        <v>1000</v>
      </c>
      <c r="Y34" s="66" t="str" cm="1">
        <f t="array" ref="Y34">_xlfn.TEXTJOIN("|",TRUE,_xlfn._xlws.FILTER(buckets[Material Codes],(buckets[Bucket]=salesforecast[[#This Row],[Bucket2]])))</f>
        <v>2410999</v>
      </c>
      <c r="Z34" t="str">
        <f>salesforecast[[#This Row],[Bucket]]</f>
        <v>21.7-16.2-2.75-CEW-CEW</v>
      </c>
      <c r="AA34" s="43">
        <f>salesforecast[[#This Row],[July Schedule]]</f>
        <v>1.9267815187499999</v>
      </c>
      <c r="AB34" s="43">
        <f>SUMIF(salesTVS[buckets.Bucket],salesforecast[[#This Row],[Bucket]],salesTVS[Quantity])/1000</f>
        <v>2.9208829999999999</v>
      </c>
      <c r="AC34" s="43">
        <f>SUMIFS(stock[MT],stock[Bucket],salesforecast[[#This Row],[Bucket]],stock[LL or CTL],"CTL")</f>
        <v>0</v>
      </c>
      <c r="AD34" s="43">
        <f>SUMIF(stock[Bucket],salesforecast[[#This Row],[Bucket]],stock[MT])-salesforecast[[#This Row],[Stock CTL]]</f>
        <v>1.8677429999999999</v>
      </c>
      <c r="AE34" s="43" t="e">
        <v>#REF!</v>
      </c>
      <c r="AF34" s="43">
        <f>SUMIF(wip[Bucket],salesforecast[[#This Row],[Bucket]],wip[Stock(Net Wt)])/1000</f>
        <v>0</v>
      </c>
      <c r="AG34" s="43" t="e">
        <v>#REF!</v>
      </c>
      <c r="AH34" s="43">
        <f>SUMIFS(stock[MT],stock[Bucket],salesforecast[[#This Row],[Bucket2]],stock[Plant],"0788")</f>
        <v>0</v>
      </c>
      <c r="AI34" s="43">
        <f>((salesforecast[[#This Row],[WIP]]+salesforecast[[#This Row],[Stock LL]]))/salesforecast[[#This Row],[July Schedule]]*30</f>
        <v>29.080769902936876</v>
      </c>
      <c r="AJ34" s="52">
        <f>salesforecast[[#This Row],[Stock LL]]/salesforecast[[#This Row],[Schedule]]*30</f>
        <v>29.080769902936876</v>
      </c>
      <c r="AK34" s="43">
        <f>SUMIFS(stock[MT],stock[Bucket],salesforecast[[#This Row],[Bucket2]],stock[Plant],"0789",stock[LL or CTL],"LL")</f>
        <v>0</v>
      </c>
      <c r="AL34" s="193">
        <f>(salesforecast[[#This Row],[Sales]])/salesforecast[[#This Row],[Schedule]]</f>
        <v>1.5159388708974766</v>
      </c>
      <c r="AM34" s="43">
        <f>SUMIFS(stock[MT],stock[Plant],salesforecast[[#This Row],[Plant]],stock[LL or CTL],"LL",stock[Bucket],salesforecast[[#This Row],[Bucket]])</f>
        <v>0</v>
      </c>
      <c r="AN34" s="43">
        <f>SUMIFS(scheduleapr[SCHEDULE IN MT],scheduleapr[CUSTOMER NAME],"*Rajsriya*",scheduleapr[Bucket],salesforecast[[#This Row],[Bucket]])</f>
        <v>1.9267815187499999</v>
      </c>
      <c r="AO34" s="43">
        <f>SUMIFS(salesTVS[Quantity],salesTVS[CUSTOMER  NAME],"*RAJSRIYA*",salesTVS[buckets.Bucket],salesforecast[[#This Row],[Bucket]])/1000</f>
        <v>0</v>
      </c>
      <c r="AP34" s="43">
        <f>SUMIFS(stock[MT],stock[Plant],4318,stock[Bucket],salesforecast[[#This Row],[Bucket2]])</f>
        <v>0</v>
      </c>
      <c r="AQ34" s="43">
        <f>SUMIFS(stock[MT],stock[Plant],4731,stock[Bucket],salesforecast[[#This Row],[Bucket2]],stock[LL or CTL],"CTL")</f>
        <v>0</v>
      </c>
      <c r="AR34" s="43">
        <f>SUMIFS(stock[MT],stock[Plant],4731,stock[Bucket],salesforecast[[#This Row],[Bucket2]])-salesforecast[[#This Row],[4731 Stock CTL]]</f>
        <v>0</v>
      </c>
      <c r="AS34" s="43">
        <f>SUMIFS(stock[MT],stock[Plant],8406,stock[Bucket],salesforecast[[#This Row],[Bucket2]])</f>
        <v>1.8677429999999999</v>
      </c>
    </row>
    <row r="35" spans="1:45" ht="30" x14ac:dyDescent="0.25">
      <c r="A35">
        <v>21.75</v>
      </c>
      <c r="B35">
        <v>21.75</v>
      </c>
      <c r="C35">
        <v>0</v>
      </c>
      <c r="D35">
        <v>3.5</v>
      </c>
      <c r="E35" t="s">
        <v>357</v>
      </c>
      <c r="F35" t="s">
        <v>357</v>
      </c>
      <c r="G35" t="s">
        <v>239</v>
      </c>
      <c r="H35" t="str">
        <f>_xlfn.CONCAT(salesforecast[[#This Row],[OD]],"-",salesforecast[[#This Row],[ID]],"-",salesforecast[[#This Row],[TICKNESS]],"-",salesforecast[[#This Row],[GRADE]],"-",salesforecast[[#This Row],[FC/NFC]])</f>
        <v>21.75-0-3.5-CEW-CEW</v>
      </c>
      <c r="I35" s="43">
        <f>SUMIFS(scheduleapr[SCHEDULE IN MT],scheduleapr[Bucket],salesforecast[[#This Row],[Bucket]])</f>
        <v>0</v>
      </c>
      <c r="J35" s="28">
        <v>2410994</v>
      </c>
      <c r="K35">
        <f>COUNTIF('helper sheet'!$A$1:$A$33,salesforecast[[#This Row],[LL Material Code]])</f>
        <v>0</v>
      </c>
      <c r="N35" t="s">
        <v>1949</v>
      </c>
      <c r="P35" s="47" t="s">
        <v>362</v>
      </c>
      <c r="Q35">
        <v>0</v>
      </c>
      <c r="R35">
        <v>11</v>
      </c>
      <c r="S35">
        <v>3</v>
      </c>
      <c r="T35" s="52">
        <f>ROUNDUP(MAX(salesforecast[[#This Row],[FY25 Average]],salesforecast[[#This Row],[July Schedule]]),0)</f>
        <v>3</v>
      </c>
      <c r="U35" s="52">
        <f>salesforecast[[#This Row],[Forecast]]-salesforecast[[#This Row],[July Schedule]]</f>
        <v>3</v>
      </c>
      <c r="V35" t="str">
        <f>salesforecast[[#This Row],[Plant]]</f>
        <v>0788</v>
      </c>
      <c r="W35" s="66" t="str" cm="1">
        <f t="array" ref="W35">_xlfn.TEXTJOIN("|",TRUE,(_xlfn.UNIQUE(_xlfn._xlws.FILTER(scheduleapr[CUSTOMER NAME],scheduleapr[Bucket]=salesforecast[[#This Row],[Bucket]]))))</f>
        <v xml:space="preserve">NMPL TVSM|Sandhar Engg Mysore </v>
      </c>
      <c r="X35" s="66" t="str" cm="1">
        <f t="array" ref="X35">_xlfn.TEXTJOIN("|",TRUE,(_xlfn.UNIQUE(_xlfn._xlws.SORT(_xlfn._xlws.FILTER(scheduleapr[LENGTH],scheduleapr[Bucket]=salesforecast[[#This Row],[Bucket]])))))</f>
        <v>1000</v>
      </c>
      <c r="Y35" s="66" t="str" cm="1">
        <f t="array" ref="Y35">_xlfn.TEXTJOIN("|",TRUE,_xlfn._xlws.FILTER(buckets[Material Codes],(buckets[Bucket]=salesforecast[[#This Row],[Bucket2]])))</f>
        <v>2410994</v>
      </c>
      <c r="Z35" t="str">
        <f>salesforecast[[#This Row],[Bucket]]</f>
        <v>21.75-0-3.5-CEW-CEW</v>
      </c>
      <c r="AA35" s="43">
        <f>salesforecast[[#This Row],[July Schedule]]</f>
        <v>0</v>
      </c>
      <c r="AB35" s="43">
        <f>SUMIF(salesTVS[buckets.Bucket],salesforecast[[#This Row],[Bucket]],salesTVS[Quantity])/1000</f>
        <v>0</v>
      </c>
      <c r="AC35" s="43">
        <f>SUMIFS(stock[MT],stock[Bucket],salesforecast[[#This Row],[Bucket]],stock[LL or CTL],"CTL")</f>
        <v>0</v>
      </c>
      <c r="AD35" s="43">
        <f>SUMIF(stock[Bucket],salesforecast[[#This Row],[Bucket]],stock[MT])-salesforecast[[#This Row],[Stock CTL]]</f>
        <v>0</v>
      </c>
      <c r="AE35" s="43" t="e">
        <v>#REF!</v>
      </c>
      <c r="AF35" s="43">
        <f>SUMIF(wip[Bucket],salesforecast[[#This Row],[Bucket]],wip[Stock(Net Wt)])/1000</f>
        <v>0</v>
      </c>
      <c r="AG35" s="43" t="e">
        <v>#REF!</v>
      </c>
      <c r="AH35" s="43">
        <f>SUMIFS(stock[MT],stock[Bucket],salesforecast[[#This Row],[Bucket2]],stock[Plant],"0788")</f>
        <v>0</v>
      </c>
      <c r="AI35" s="43" t="e">
        <f>((salesforecast[[#This Row],[WIP]]+salesforecast[[#This Row],[Stock LL]]))/salesforecast[[#This Row],[July Schedule]]*30</f>
        <v>#DIV/0!</v>
      </c>
      <c r="AJ35" s="52" t="e">
        <f>salesforecast[[#This Row],[Stock LL]]/salesforecast[[#This Row],[Schedule]]*30</f>
        <v>#DIV/0!</v>
      </c>
      <c r="AK35" s="43">
        <f>SUMIFS(stock[MT],stock[Bucket],salesforecast[[#This Row],[Bucket2]],stock[Plant],"0789",stock[LL or CTL],"LL")</f>
        <v>0</v>
      </c>
      <c r="AL35" s="193" t="e">
        <f>(salesforecast[[#This Row],[Sales]])/salesforecast[[#This Row],[Schedule]]</f>
        <v>#DIV/0!</v>
      </c>
      <c r="AM35" s="43">
        <f>SUMIFS(stock[MT],stock[Plant],salesforecast[[#This Row],[Plant]],stock[LL or CTL],"LL",stock[Bucket],salesforecast[[#This Row],[Bucket]])</f>
        <v>0</v>
      </c>
      <c r="AN35" s="43">
        <f>SUMIFS(scheduleapr[SCHEDULE IN MT],scheduleapr[CUSTOMER NAME],"*Rajsriya*",scheduleapr[Bucket],salesforecast[[#This Row],[Bucket]])</f>
        <v>0</v>
      </c>
      <c r="AO35" s="43">
        <f>SUMIFS(salesTVS[Quantity],salesTVS[CUSTOMER  NAME],"*RAJSRIYA*",salesTVS[buckets.Bucket],salesforecast[[#This Row],[Bucket]])/1000</f>
        <v>0</v>
      </c>
      <c r="AP35" s="43">
        <f>SUMIFS(stock[MT],stock[Plant],4318,stock[Bucket],salesforecast[[#This Row],[Bucket2]])</f>
        <v>0</v>
      </c>
      <c r="AQ35" s="43">
        <f>SUMIFS(stock[MT],stock[Plant],4731,stock[Bucket],salesforecast[[#This Row],[Bucket2]],stock[LL or CTL],"CTL")</f>
        <v>0</v>
      </c>
      <c r="AR35" s="43">
        <f>SUMIFS(stock[MT],stock[Plant],4731,stock[Bucket],salesforecast[[#This Row],[Bucket2]])-salesforecast[[#This Row],[4731 Stock CTL]]</f>
        <v>0</v>
      </c>
      <c r="AS35" s="43">
        <f>SUMIFS(stock[MT],stock[Plant],8406,stock[Bucket],salesforecast[[#This Row],[Bucket2]])</f>
        <v>0</v>
      </c>
    </row>
    <row r="36" spans="1:45" ht="90" x14ac:dyDescent="0.25">
      <c r="A36">
        <v>22.23</v>
      </c>
      <c r="B36">
        <v>22.23</v>
      </c>
      <c r="C36">
        <v>0</v>
      </c>
      <c r="D36">
        <v>1.2</v>
      </c>
      <c r="E36" t="s">
        <v>962</v>
      </c>
      <c r="F36" t="s">
        <v>963</v>
      </c>
      <c r="G36" t="s">
        <v>1867</v>
      </c>
      <c r="H36" t="str">
        <f>_xlfn.CONCAT(salesforecast[[#This Row],[OD]],"-",salesforecast[[#This Row],[ID]],"-",salesforecast[[#This Row],[TICKNESS]],"-",salesforecast[[#This Row],[GRADE]],"-",salesforecast[[#This Row],[FC/NFC]])</f>
        <v>22.23-0-1.2-ERW 1-PE</v>
      </c>
      <c r="I36" s="43">
        <f>SUMIFS(scheduleapr[SCHEDULE IN MT],scheduleapr[Bucket],salesforecast[[#This Row],[Bucket]])</f>
        <v>21.238385605452002</v>
      </c>
      <c r="J36">
        <v>3183145</v>
      </c>
      <c r="K36">
        <f>COUNTIF('helper sheet'!$A$1:$A$33,salesforecast[[#This Row],[LL Material Code]])</f>
        <v>0</v>
      </c>
      <c r="L36" s="15"/>
      <c r="N36" t="s">
        <v>2450</v>
      </c>
      <c r="P36" s="47" t="s">
        <v>345</v>
      </c>
      <c r="Q36">
        <v>4</v>
      </c>
      <c r="R36">
        <v>21</v>
      </c>
      <c r="S36">
        <v>10</v>
      </c>
      <c r="T36" s="52">
        <f>ROUNDUP(MAX(salesforecast[[#This Row],[FY25 Average]],salesforecast[[#This Row],[July Schedule]]),0)</f>
        <v>22</v>
      </c>
      <c r="U36" s="52">
        <f>salesforecast[[#This Row],[Forecast]]-salesforecast[[#This Row],[July Schedule]]</f>
        <v>0.76161439454799762</v>
      </c>
      <c r="V36" t="str">
        <f>salesforecast[[#This Row],[Plant]]</f>
        <v>0789</v>
      </c>
      <c r="W36" s="66" t="str" cm="1">
        <f t="array" ref="W36">_xlfn.TEXTJOIN("|",TRUE,(_xlfn.UNIQUE(_xlfn._xlws.FILTER(scheduleapr[CUSTOMER NAME],scheduleapr[Bucket]=salesforecast[[#This Row],[Bucket]]))))</f>
        <v>ELKAYEM AUTO|NMPL HUB|Rajsriya Unit 4|Rajsriya Unit 2|SANDHAR ENGINEERING PVT LTD.|Sandhar Automach|SRIKAM HITECH</v>
      </c>
      <c r="X36" s="66" t="str" cm="1">
        <f t="array" ref="X36">_xlfn.TEXTJOIN("|",TRUE,(_xlfn.UNIQUE(_xlfn._xlws.SORT(_xlfn._xlws.FILTER(scheduleapr[LENGTH],scheduleapr[Bucket]=salesforecast[[#This Row],[Bucket]])))))</f>
        <v>140|297|600|673|681|1162|1308|1328</v>
      </c>
      <c r="Y36" s="66" t="str" cm="1">
        <f t="array" ref="Y36">_xlfn.TEXTJOIN("|",TRUE,_xlfn._xlws.FILTER(buckets[Material Codes],(buckets[Bucket]=salesforecast[[#This Row],[Bucket2]])*(buckets[LL or CTL]="CTL")))</f>
        <v>314118|420489|3506510|3180928|3667938|281749|3507568|1270328|521118|3781676|3669081|1940357|4083986|1940360|1900466|1940363|1940364|3747393|2423535</v>
      </c>
      <c r="Z36" t="str">
        <f>salesforecast[[#This Row],[Bucket]]</f>
        <v>22.23-0-1.2-ERW 1-PE</v>
      </c>
      <c r="AA36" s="43">
        <f>salesforecast[[#This Row],[July Schedule]]</f>
        <v>21.238385605452002</v>
      </c>
      <c r="AB36" s="43">
        <f>SUMIF(salesTVS[buckets.Bucket],salesforecast[[#This Row],[Bucket]],salesTVS[Quantity])/1000</f>
        <v>4.2701100000000007</v>
      </c>
      <c r="AC36" s="43">
        <f>SUMIFS(stock[MT],stock[Bucket],salesforecast[[#This Row],[Bucket]],stock[LL or CTL],"CTL")</f>
        <v>1.8640619999999999</v>
      </c>
      <c r="AD36" s="43">
        <f>SUMIF(stock[Bucket],salesforecast[[#This Row],[Bucket]],stock[MT])-salesforecast[[#This Row],[Stock CTL]]</f>
        <v>8.4999999999999964E-2</v>
      </c>
      <c r="AE36" s="43" t="e">
        <v>#REF!</v>
      </c>
      <c r="AF36" s="43">
        <f>SUMIF(wip[Bucket],salesforecast[[#This Row],[Bucket]],wip[Stock(Net Wt)])/1000</f>
        <v>3.1040000000000001</v>
      </c>
      <c r="AG36" s="43" t="e">
        <v>#REF!</v>
      </c>
      <c r="AH36" s="43">
        <f>SUMIFS(stock[MT],stock[Bucket],salesforecast[[#This Row],[Bucket2]],stock[Plant],"0788")</f>
        <v>0</v>
      </c>
      <c r="AI36" s="43">
        <f>((salesforecast[[#This Row],[WIP]]+salesforecast[[#This Row],[Stock LL]]))/salesforecast[[#This Row],[July Schedule]]*30</f>
        <v>4.5045796689669775</v>
      </c>
      <c r="AJ36" s="52">
        <f>salesforecast[[#This Row],[Stock LL]]/salesforecast[[#This Row],[Schedule]]*30</f>
        <v>0.12006562303612195</v>
      </c>
      <c r="AK36" s="43">
        <f>SUMIFS(stock[MT],stock[Bucket],salesforecast[[#This Row],[Bucket2]],stock[Plant],"0789",stock[LL or CTL],"LL")</f>
        <v>8.5000000000000006E-2</v>
      </c>
      <c r="AL36" s="193">
        <f>(salesforecast[[#This Row],[Sales]])/salesforecast[[#This Row],[Schedule]]</f>
        <v>0.20105624218932355</v>
      </c>
      <c r="AM36" s="43">
        <f>SUMIFS(stock[MT],stock[Plant],salesforecast[[#This Row],[Plant]],stock[LL or CTL],"LL",stock[Bucket],salesforecast[[#This Row],[Bucket]])</f>
        <v>8.5000000000000006E-2</v>
      </c>
      <c r="AN36" s="43">
        <f>SUMIFS(scheduleapr[SCHEDULE IN MT],scheduleapr[CUSTOMER NAME],"*Rajsriya*",scheduleapr[Bucket],salesforecast[[#This Row],[Bucket]])</f>
        <v>3.5960257500840007</v>
      </c>
      <c r="AO36" s="43">
        <f>SUMIFS(salesTVS[Quantity],salesTVS[CUSTOMER  NAME],"*RAJSRIYA*",salesTVS[buckets.Bucket],salesforecast[[#This Row],[Bucket]])/1000</f>
        <v>0</v>
      </c>
      <c r="AP36" s="43">
        <f>SUMIFS(stock[MT],stock[Plant],4318,stock[Bucket],salesforecast[[#This Row],[Bucket2]])</f>
        <v>0</v>
      </c>
      <c r="AQ36" s="43">
        <f>SUMIFS(stock[MT],stock[Plant],4731,stock[Bucket],salesforecast[[#This Row],[Bucket2]],stock[LL or CTL],"CTL")</f>
        <v>0</v>
      </c>
      <c r="AR36" s="43">
        <f>SUMIFS(stock[MT],stock[Plant],4731,stock[Bucket],salesforecast[[#This Row],[Bucket2]])-salesforecast[[#This Row],[4731 Stock CTL]]</f>
        <v>0</v>
      </c>
      <c r="AS36" s="43">
        <f>SUMIFS(stock[MT],stock[Plant],8406,stock[Bucket],salesforecast[[#This Row],[Bucket2]])</f>
        <v>0.24293999999999999</v>
      </c>
    </row>
    <row r="37" spans="1:45" ht="225" x14ac:dyDescent="0.25">
      <c r="A37">
        <v>22.23</v>
      </c>
      <c r="B37">
        <v>22.23</v>
      </c>
      <c r="C37">
        <v>0</v>
      </c>
      <c r="D37">
        <v>1.6</v>
      </c>
      <c r="E37" t="s">
        <v>962</v>
      </c>
      <c r="F37" t="s">
        <v>963</v>
      </c>
      <c r="G37" t="s">
        <v>1867</v>
      </c>
      <c r="H37" t="str">
        <f>_xlfn.CONCAT(salesforecast[[#This Row],[OD]],"-",salesforecast[[#This Row],[ID]],"-",salesforecast[[#This Row],[TICKNESS]],"-",salesforecast[[#This Row],[GRADE]],"-",salesforecast[[#This Row],[FC/NFC]])</f>
        <v>22.23-0-1.6-ERW 1-PE</v>
      </c>
      <c r="I37" s="43">
        <f>SUMIFS(scheduleapr[SCHEDULE IN MT],scheduleapr[Bucket],salesforecast[[#This Row],[Bucket]])</f>
        <v>133.86215305853759</v>
      </c>
      <c r="J37">
        <v>3584139</v>
      </c>
      <c r="K37">
        <f>COUNTIF('helper sheet'!$A$1:$A$33,salesforecast[[#This Row],[LL Material Code]])</f>
        <v>1</v>
      </c>
      <c r="L37">
        <v>3570689</v>
      </c>
      <c r="N37" t="s">
        <v>2451</v>
      </c>
      <c r="O37" t="s">
        <v>1881</v>
      </c>
      <c r="P37" s="47" t="s">
        <v>345</v>
      </c>
      <c r="Q37">
        <v>49</v>
      </c>
      <c r="R37">
        <v>139</v>
      </c>
      <c r="S37">
        <v>97</v>
      </c>
      <c r="T37" s="52">
        <f>ROUNDUP(MAX(salesforecast[[#This Row],[FY25 Average]],salesforecast[[#This Row],[July Schedule]]),0)</f>
        <v>134</v>
      </c>
      <c r="U37" s="52">
        <f>salesforecast[[#This Row],[Forecast]]-salesforecast[[#This Row],[July Schedule]]</f>
        <v>0.1378469414624135</v>
      </c>
      <c r="V37" t="str">
        <f>salesforecast[[#This Row],[Plant]]</f>
        <v>0789</v>
      </c>
      <c r="W37" s="66" t="str" cm="1">
        <f t="array" ref="W37">_xlfn.TEXTJOIN("|",TRUE,(_xlfn.UNIQUE(_xlfn._xlws.FILTER(scheduleapr[CUSTOMER NAME],scheduleapr[Bucket]=salesforecast[[#This Row],[Bucket]]))))</f>
        <v>ELKAYEM AUTO|KNITVEL NEEDLES P LTD|Marathwada|Metalman|NMPL TVSM|NMPL HUB|Rajsriya Unit 2|Rajsriya Unit 5|SANDHAR ENGINEERING PVT LTD.|Sandhar Engg Mysore |SRIKAM HITECH</v>
      </c>
      <c r="X37" s="66" t="str" cm="1">
        <f t="array" ref="X37">_xlfn.TEXTJOIN("|",TRUE,(_xlfn.UNIQUE(_xlfn._xlws.SORT(_xlfn._xlws.FILTER(scheduleapr[LENGTH],scheduleapr[Bucket]=salesforecast[[#This Row],[Bucket]])))))</f>
        <v>210|274|283|285|394|401|640|670|675|690|700|740|809|880|945|949|967|1175|1210|1222|1290|1304|1337</v>
      </c>
      <c r="Y37" s="66" t="str" cm="1">
        <f t="array" ref="Y37">_xlfn.TEXTJOIN("|",TRUE,_xlfn._xlws.FILTER(buckets[Material Codes],(buckets[Bucket]=salesforecast[[#This Row],[Bucket2]])*(buckets[LL or CTL]="CTL")))</f>
        <v>355991|237644|3781147|3506067|256860|3747395|292334|3781598|508985|3781670|3214089|3556680|1448372|3509031|1399344|292333|3781597|1254735|3507486|420528|3781609|3509824|3533249|3533248|267070|1385283|3506193|296754|2320560|3553684|1940390|1940392|1940393|1938251|1940398|1940399|1940400|3217231|2427960|2427939|3714733|2270133|1940407|1940408|2418687|3599863|3599035|3672992|3673012|1940418|1940420|3673011|2349249</v>
      </c>
      <c r="Z37" t="str">
        <f>salesforecast[[#This Row],[Bucket]]</f>
        <v>22.23-0-1.6-ERW 1-PE</v>
      </c>
      <c r="AA37" s="43">
        <f>salesforecast[[#This Row],[July Schedule]]</f>
        <v>133.86215305853759</v>
      </c>
      <c r="AB37" s="43">
        <f>SUMIF(salesTVS[buckets.Bucket],salesforecast[[#This Row],[Bucket]],salesTVS[Quantity])/1000</f>
        <v>41.810950000000005</v>
      </c>
      <c r="AC37" s="43">
        <f>SUMIFS(stock[MT],stock[Bucket],salesforecast[[#This Row],[Bucket]],stock[LL or CTL],"CTL")</f>
        <v>2.4718240000000002</v>
      </c>
      <c r="AD37" s="43">
        <f>SUMIF(stock[Bucket],salesforecast[[#This Row],[Bucket]],stock[MT])-salesforecast[[#This Row],[Stock CTL]]</f>
        <v>62.742162000000008</v>
      </c>
      <c r="AE37" s="43" t="e">
        <v>#REF!</v>
      </c>
      <c r="AF37" s="43">
        <f>SUMIF(wip[Bucket],salesforecast[[#This Row],[Bucket]],wip[Stock(Net Wt)])/1000</f>
        <v>0</v>
      </c>
      <c r="AG37" s="43" t="e">
        <v>#REF!</v>
      </c>
      <c r="AH37" s="43">
        <f>SUMIFS(stock[MT],stock[Bucket],salesforecast[[#This Row],[Bucket2]],stock[Plant],"0788")</f>
        <v>0</v>
      </c>
      <c r="AI37" s="43">
        <f>((salesforecast[[#This Row],[WIP]]+salesforecast[[#This Row],[Stock LL]]))/salesforecast[[#This Row],[July Schedule]]*30</f>
        <v>14.06121758087135</v>
      </c>
      <c r="AJ37" s="52">
        <f>salesforecast[[#This Row],[Stock LL]]/salesforecast[[#This Row],[Schedule]]*30</f>
        <v>14.06121758087135</v>
      </c>
      <c r="AK37" s="43">
        <f>SUMIFS(stock[MT],stock[Bucket],salesforecast[[#This Row],[Bucket2]],stock[Plant],"0789",stock[LL or CTL],"LL")</f>
        <v>62.683000000000007</v>
      </c>
      <c r="AL37" s="193">
        <f>(salesforecast[[#This Row],[Sales]])/salesforecast[[#This Row],[Schedule]]</f>
        <v>0.31234332516462798</v>
      </c>
      <c r="AM37" s="43">
        <f>SUMIFS(stock[MT],stock[Plant],salesforecast[[#This Row],[Plant]],stock[LL or CTL],"LL",stock[Bucket],salesforecast[[#This Row],[Bucket]])</f>
        <v>62.683000000000007</v>
      </c>
      <c r="AN37" s="43">
        <f>SUMIFS(scheduleapr[SCHEDULE IN MT],scheduleapr[CUSTOMER NAME],"*Rajsriya*",scheduleapr[Bucket],salesforecast[[#This Row],[Bucket]])</f>
        <v>28.452901908432001</v>
      </c>
      <c r="AO37" s="43">
        <f>SUMIFS(salesTVS[Quantity],salesTVS[CUSTOMER  NAME],"*RAJSRIYA*",salesTVS[buckets.Bucket],salesforecast[[#This Row],[Bucket]])/1000</f>
        <v>6.2080520000000003</v>
      </c>
      <c r="AP37" s="43">
        <f>SUMIFS(stock[MT],stock[Plant],4318,stock[Bucket],salesforecast[[#This Row],[Bucket2]])</f>
        <v>0</v>
      </c>
      <c r="AQ37" s="43">
        <f>SUMIFS(stock[MT],stock[Plant],4731,stock[Bucket],salesforecast[[#This Row],[Bucket2]],stock[LL or CTL],"CTL")</f>
        <v>0.99087300000000011</v>
      </c>
      <c r="AR37" s="43">
        <f>SUMIFS(stock[MT],stock[Plant],4731,stock[Bucket],salesforecast[[#This Row],[Bucket2]])-salesforecast[[#This Row],[4731 Stock CTL]]</f>
        <v>5.9161999999999937E-2</v>
      </c>
      <c r="AS37" s="43">
        <f>SUMIFS(stock[MT],stock[Plant],8406,stock[Bucket],salesforecast[[#This Row],[Bucket2]])</f>
        <v>0</v>
      </c>
    </row>
    <row r="38" spans="1:45" ht="30" x14ac:dyDescent="0.25">
      <c r="A38" s="50">
        <v>22.23</v>
      </c>
      <c r="B38">
        <v>22.23</v>
      </c>
      <c r="C38">
        <v>0</v>
      </c>
      <c r="D38">
        <v>1.6</v>
      </c>
      <c r="E38" t="s">
        <v>985</v>
      </c>
      <c r="F38" t="s">
        <v>963</v>
      </c>
      <c r="G38" t="s">
        <v>1867</v>
      </c>
      <c r="H38" t="str">
        <f>_xlfn.CONCAT(salesforecast[[#This Row],[OD]],"-",salesforecast[[#This Row],[ID]],"-",salesforecast[[#This Row],[TICKNESS]],"-",salesforecast[[#This Row],[GRADE]],"-",salesforecast[[#This Row],[FC/NFC]])</f>
        <v>22.23-0-1.6-ERW 2 MAHS-PE</v>
      </c>
      <c r="I38" s="43">
        <f>SUMIFS(scheduleapr[SCHEDULE IN MT],scheduleapr[Bucket],salesforecast[[#This Row],[Bucket]])</f>
        <v>22.821878085599998</v>
      </c>
      <c r="J38">
        <v>2432084</v>
      </c>
      <c r="K38">
        <f>COUNTIF('helper sheet'!$A$1:$A$33,salesforecast[[#This Row],[LL Material Code]])</f>
        <v>1</v>
      </c>
      <c r="L38" s="48">
        <v>1940416</v>
      </c>
      <c r="M38" s="48"/>
      <c r="N38" t="s">
        <v>2452</v>
      </c>
      <c r="O38" t="s">
        <v>1924</v>
      </c>
      <c r="P38" s="47" t="s">
        <v>345</v>
      </c>
      <c r="Q38">
        <v>7</v>
      </c>
      <c r="R38">
        <v>49</v>
      </c>
      <c r="S38">
        <v>30</v>
      </c>
      <c r="T38" s="52">
        <f>ROUNDUP(MAX(salesforecast[[#This Row],[FY25 Average]],salesforecast[[#This Row],[July Schedule]]),0)</f>
        <v>30</v>
      </c>
      <c r="U38" s="52">
        <f>salesforecast[[#This Row],[Forecast]]-salesforecast[[#This Row],[July Schedule]]</f>
        <v>7.1781219144000019</v>
      </c>
      <c r="V38" t="str">
        <f>salesforecast[[#This Row],[Plant]]</f>
        <v>0789</v>
      </c>
      <c r="W38" s="66" t="str" cm="1">
        <f t="array" ref="W38">_xlfn.TEXTJOIN("|",TRUE,(_xlfn.UNIQUE(_xlfn._xlws.FILTER(scheduleapr[CUSTOMER NAME],scheduleapr[Bucket]=salesforecast[[#This Row],[Bucket]]))))</f>
        <v>Sandhar Automach</v>
      </c>
      <c r="X38" s="66" t="str" cm="1">
        <f t="array" ref="X38">_xlfn.TEXTJOIN("|",TRUE,(_xlfn.UNIQUE(_xlfn._xlws.SORT(_xlfn._xlws.FILTER(scheduleapr[LENGTH],scheduleapr[Bucket]=salesforecast[[#This Row],[Bucket]])))))</f>
        <v>935</v>
      </c>
      <c r="Y38" s="66" t="str" cm="1">
        <f t="array" ref="Y38">_xlfn.TEXTJOIN("|",TRUE,_xlfn._xlws.FILTER(buckets[Material Codes],(buckets[Bucket]=salesforecast[[#This Row],[Bucket2]])*(buckets[LL or CTL]="CTL")))</f>
        <v>1940403|1940404|3628242|1940415|1940416</v>
      </c>
      <c r="Z38" t="str">
        <f>salesforecast[[#This Row],[Bucket]]</f>
        <v>22.23-0-1.6-ERW 2 MAHS-PE</v>
      </c>
      <c r="AA38" s="43">
        <f>salesforecast[[#This Row],[July Schedule]]</f>
        <v>22.821878085599998</v>
      </c>
      <c r="AB38" s="43">
        <f>SUMIF(salesTVS[buckets.Bucket],salesforecast[[#This Row],[Bucket]],salesTVS[Quantity])/1000</f>
        <v>2.073725</v>
      </c>
      <c r="AC38" s="43">
        <f>SUMIFS(stock[MT],stock[Bucket],salesforecast[[#This Row],[Bucket]],stock[LL or CTL],"CTL")</f>
        <v>0.63895899999999994</v>
      </c>
      <c r="AD38" s="43">
        <f>SUMIF(stock[Bucket],salesforecast[[#This Row],[Bucket]],stock[MT])-salesforecast[[#This Row],[Stock CTL]]</f>
        <v>0</v>
      </c>
      <c r="AE38" s="43" t="e">
        <v>#REF!</v>
      </c>
      <c r="AF38" s="43">
        <f>SUMIF(wip[Bucket],salesforecast[[#This Row],[Bucket]],wip[Stock(Net Wt)])/1000</f>
        <v>0</v>
      </c>
      <c r="AG38" s="43" t="e">
        <v>#REF!</v>
      </c>
      <c r="AH38" s="43">
        <f>SUMIFS(stock[MT],stock[Bucket],salesforecast[[#This Row],[Bucket2]],stock[Plant],"0788")</f>
        <v>0</v>
      </c>
      <c r="AI38" s="43">
        <f>((salesforecast[[#This Row],[WIP]]+salesforecast[[#This Row],[Stock LL]]))/salesforecast[[#This Row],[July Schedule]]*30</f>
        <v>0</v>
      </c>
      <c r="AJ38" s="52">
        <f>salesforecast[[#This Row],[Stock LL]]/salesforecast[[#This Row],[Schedule]]*30</f>
        <v>0</v>
      </c>
      <c r="AK38" s="43">
        <f>SUMIFS(stock[MT],stock[Bucket],salesforecast[[#This Row],[Bucket2]],stock[Plant],"0789",stock[LL or CTL],"LL")</f>
        <v>0</v>
      </c>
      <c r="AL38" s="193">
        <f>(salesforecast[[#This Row],[Sales]])/salesforecast[[#This Row],[Schedule]]</f>
        <v>9.0865659356425432E-2</v>
      </c>
      <c r="AM38" s="43">
        <f>SUMIFS(stock[MT],stock[Plant],salesforecast[[#This Row],[Plant]],stock[LL or CTL],"LL",stock[Bucket],salesforecast[[#This Row],[Bucket]])</f>
        <v>0</v>
      </c>
      <c r="AN38" s="43">
        <f>SUMIFS(scheduleapr[SCHEDULE IN MT],scheduleapr[CUSTOMER NAME],"*Rajsriya*",scheduleapr[Bucket],salesforecast[[#This Row],[Bucket]])</f>
        <v>0</v>
      </c>
      <c r="AO38" s="43">
        <f>SUMIFS(salesTVS[Quantity],salesTVS[CUSTOMER  NAME],"*RAJSRIYA*",salesTVS[buckets.Bucket],salesforecast[[#This Row],[Bucket]])/1000</f>
        <v>0</v>
      </c>
      <c r="AP38" s="43">
        <f>SUMIFS(stock[MT],stock[Plant],4318,stock[Bucket],salesforecast[[#This Row],[Bucket2]])</f>
        <v>0</v>
      </c>
      <c r="AQ38" s="43">
        <f>SUMIFS(stock[MT],stock[Plant],4731,stock[Bucket],salesforecast[[#This Row],[Bucket2]],stock[LL or CTL],"CTL")</f>
        <v>0</v>
      </c>
      <c r="AR38" s="43">
        <f>SUMIFS(stock[MT],stock[Plant],4731,stock[Bucket],salesforecast[[#This Row],[Bucket2]])-salesforecast[[#This Row],[4731 Stock CTL]]</f>
        <v>0</v>
      </c>
      <c r="AS38" s="43">
        <f>SUMIFS(stock[MT],stock[Plant],8406,stock[Bucket],salesforecast[[#This Row],[Bucket2]])</f>
        <v>0</v>
      </c>
    </row>
    <row r="39" spans="1:45" s="45" customFormat="1" ht="30" x14ac:dyDescent="0.25">
      <c r="A39">
        <v>22.23</v>
      </c>
      <c r="B39">
        <v>22.23</v>
      </c>
      <c r="C39">
        <v>0</v>
      </c>
      <c r="D39">
        <v>2</v>
      </c>
      <c r="E39" t="s">
        <v>962</v>
      </c>
      <c r="F39" t="s">
        <v>1003</v>
      </c>
      <c r="G39" t="s">
        <v>239</v>
      </c>
      <c r="H39" t="str">
        <f>_xlfn.CONCAT(salesforecast[[#This Row],[OD]],"-",salesforecast[[#This Row],[ID]],"-",salesforecast[[#This Row],[TICKNESS]],"-",salesforecast[[#This Row],[GRADE]],"-",salesforecast[[#This Row],[FC/NFC]])</f>
        <v>22.23-0-2-ERW 1-FC</v>
      </c>
      <c r="I39" s="43">
        <f>SUMIFS(scheduleapr[SCHEDULE IN MT],scheduleapr[Bucket],salesforecast[[#This Row],[Bucket]])</f>
        <v>81.816438459730932</v>
      </c>
      <c r="J39">
        <v>3557791</v>
      </c>
      <c r="K39">
        <f>COUNTIF('helper sheet'!$A$1:$A$33,salesforecast[[#This Row],[LL Material Code]])</f>
        <v>0</v>
      </c>
      <c r="L39"/>
      <c r="M39"/>
      <c r="N39" t="s">
        <v>2453</v>
      </c>
      <c r="O39"/>
      <c r="P39" s="47" t="s">
        <v>345</v>
      </c>
      <c r="Q39">
        <v>0</v>
      </c>
      <c r="R39">
        <v>14</v>
      </c>
      <c r="S39">
        <v>5</v>
      </c>
      <c r="T39" s="52">
        <f>ROUNDUP(MAX(salesforecast[[#This Row],[FY25 Average]],salesforecast[[#This Row],[July Schedule]]),0)</f>
        <v>82</v>
      </c>
      <c r="U39" s="52">
        <f>salesforecast[[#This Row],[Forecast]]-salesforecast[[#This Row],[July Schedule]]</f>
        <v>0.18356154026906779</v>
      </c>
      <c r="V39" t="str">
        <f>salesforecast[[#This Row],[Plant]]</f>
        <v>0789</v>
      </c>
      <c r="W39" s="66" t="str" cm="1">
        <f t="array" ref="W39">_xlfn.TEXTJOIN("|",TRUE,(_xlfn.UNIQUE(_xlfn._xlws.FILTER(scheduleapr[CUSTOMER NAME],scheduleapr[Bucket]=salesforecast[[#This Row],[Bucket]]))))</f>
        <v xml:space="preserve">ELKAYEM AUTO|ELKAYEM AUTO MYSORE |Sandhar Engg Mysore </v>
      </c>
      <c r="X39" s="66" t="str" cm="1">
        <f t="array" ref="X39">_xlfn.TEXTJOIN("|",TRUE,(_xlfn.UNIQUE(_xlfn._xlws.SORT(_xlfn._xlws.FILTER(scheduleapr[LENGTH],scheduleapr[Bucket]=salesforecast[[#This Row],[Bucket]])))))</f>
        <v>706|715|855|863|1000</v>
      </c>
      <c r="Y39" s="66" t="str" cm="1">
        <f t="array" ref="Y39">_xlfn.TEXTJOIN("|",TRUE,_xlfn._xlws.FILTER(buckets[Material Codes],(buckets[Bucket]=salesforecast[[#This Row],[Bucket2]])*(buckets[LL or CTL]="CTL")))</f>
        <v>1174856|3910020|4267147|1940458</v>
      </c>
      <c r="Z39" t="str">
        <f>salesforecast[[#This Row],[Bucket]]</f>
        <v>22.23-0-2-ERW 1-FC</v>
      </c>
      <c r="AA39" s="43">
        <f>salesforecast[[#This Row],[July Schedule]]</f>
        <v>81.816438459730932</v>
      </c>
      <c r="AB39" s="43">
        <f>SUMIF(salesTVS[buckets.Bucket],salesforecast[[#This Row],[Bucket]],salesTVS[Quantity])/1000</f>
        <v>3.5521499999999997</v>
      </c>
      <c r="AC39" s="43">
        <f>SUMIFS(stock[MT],stock[Bucket],salesforecast[[#This Row],[Bucket]],stock[LL or CTL],"CTL")</f>
        <v>4.3236059999999998</v>
      </c>
      <c r="AD39" s="43">
        <f>SUMIF(stock[Bucket],salesforecast[[#This Row],[Bucket]],stock[MT])-salesforecast[[#This Row],[Stock CTL]]</f>
        <v>7.6364609999999988</v>
      </c>
      <c r="AE39" s="43" t="e">
        <v>#REF!</v>
      </c>
      <c r="AF39" s="43">
        <f>SUMIF(wip[Bucket],salesforecast[[#This Row],[Bucket]],wip[Stock(Net Wt)])/1000</f>
        <v>2.7130000000000001</v>
      </c>
      <c r="AG39" s="43" t="e">
        <v>#REF!</v>
      </c>
      <c r="AH39" s="43">
        <f>SUMIFS(stock[MT],stock[Bucket],salesforecast[[#This Row],[Bucket2]],stock[Plant],"0788")</f>
        <v>0</v>
      </c>
      <c r="AI39" s="43">
        <f>((salesforecast[[#This Row],[WIP]]+salesforecast[[#This Row],[Stock LL]]))/salesforecast[[#This Row],[July Schedule]]*30</f>
        <v>3.7948832269546457</v>
      </c>
      <c r="AJ39" s="52">
        <f>salesforecast[[#This Row],[Stock LL]]/salesforecast[[#This Row],[Schedule]]*30</f>
        <v>2.8000953636322996</v>
      </c>
      <c r="AK39" s="43">
        <f>SUMIFS(stock[MT],stock[Bucket],salesforecast[[#This Row],[Bucket2]],stock[Plant],"0789",stock[LL or CTL],"LL")</f>
        <v>0</v>
      </c>
      <c r="AL39" s="193">
        <f>(salesforecast[[#This Row],[Sales]])/salesforecast[[#This Row],[Schedule]]</f>
        <v>4.341609176435033E-2</v>
      </c>
      <c r="AM39" s="43">
        <f>SUMIFS(stock[MT],stock[Plant],salesforecast[[#This Row],[Plant]],stock[LL or CTL],"LL",stock[Bucket],salesforecast[[#This Row],[Bucket]])</f>
        <v>0</v>
      </c>
      <c r="AN39" s="43">
        <f>SUMIFS(scheduleapr[SCHEDULE IN MT],scheduleapr[CUSTOMER NAME],"*Rajsriya*",scheduleapr[Bucket],salesforecast[[#This Row],[Bucket]])</f>
        <v>0</v>
      </c>
      <c r="AO39" s="43">
        <f>SUMIFS(salesTVS[Quantity],salesTVS[CUSTOMER  NAME],"*RAJSRIYA*",salesTVS[buckets.Bucket],salesforecast[[#This Row],[Bucket]])/1000</f>
        <v>0</v>
      </c>
      <c r="AP39" s="43">
        <f>SUMIFS(stock[MT],stock[Plant],4318,stock[Bucket],salesforecast[[#This Row],[Bucket2]])</f>
        <v>0</v>
      </c>
      <c r="AQ39" s="43">
        <f>SUMIFS(stock[MT],stock[Plant],4731,stock[Bucket],salesforecast[[#This Row],[Bucket2]],stock[LL or CTL],"CTL")</f>
        <v>0</v>
      </c>
      <c r="AR39" s="43">
        <f>SUMIFS(stock[MT],stock[Plant],4731,stock[Bucket],salesforecast[[#This Row],[Bucket2]])-salesforecast[[#This Row],[4731 Stock CTL]]</f>
        <v>7.6364609999999988</v>
      </c>
      <c r="AS39" s="43">
        <f>SUMIFS(stock[MT],stock[Plant],8406,stock[Bucket],salesforecast[[#This Row],[Bucket2]])</f>
        <v>0</v>
      </c>
    </row>
    <row r="40" spans="1:45" x14ac:dyDescent="0.25">
      <c r="A40" s="50">
        <v>22.23</v>
      </c>
      <c r="B40">
        <v>22.23</v>
      </c>
      <c r="C40">
        <v>0</v>
      </c>
      <c r="D40">
        <v>2</v>
      </c>
      <c r="E40" t="s">
        <v>985</v>
      </c>
      <c r="F40" t="s">
        <v>1003</v>
      </c>
      <c r="G40" t="s">
        <v>1867</v>
      </c>
      <c r="H40" t="str">
        <f>_xlfn.CONCAT(salesforecast[[#This Row],[OD]],"-",salesforecast[[#This Row],[ID]],"-",salesforecast[[#This Row],[TICKNESS]],"-",salesforecast[[#This Row],[GRADE]],"-",salesforecast[[#This Row],[FC/NFC]])</f>
        <v>22.23-0-2-ERW 2 MAHS-FC</v>
      </c>
      <c r="I40" s="43">
        <f>SUMIFS(scheduleapr[SCHEDULE IN MT],scheduleapr[Bucket],salesforecast[[#This Row],[Bucket]])</f>
        <v>41.597322103399996</v>
      </c>
      <c r="K40">
        <f>COUNTIF('helper sheet'!$A$1:$A$33,salesforecast[[#This Row],[LL Material Code]])</f>
        <v>0</v>
      </c>
      <c r="P40" s="47" t="s">
        <v>345</v>
      </c>
      <c r="T40" s="52">
        <f>ROUNDUP(MAX(salesforecast[[#This Row],[FY25 Average]],salesforecast[[#This Row],[July Schedule]]),0)</f>
        <v>42</v>
      </c>
      <c r="U40" s="52">
        <f>salesforecast[[#This Row],[Forecast]]-salesforecast[[#This Row],[July Schedule]]</f>
        <v>0.40267789660000375</v>
      </c>
      <c r="V40" t="str">
        <f>salesforecast[[#This Row],[Plant]]</f>
        <v>0789</v>
      </c>
      <c r="W40" s="66" t="str" cm="1">
        <f t="array" ref="W40">_xlfn.TEXTJOIN("|",TRUE,(_xlfn.UNIQUE(_xlfn._xlws.FILTER(scheduleapr[CUSTOMER NAME],scheduleapr[Bucket]=salesforecast[[#This Row],[Bucket]]))))</f>
        <v>Sandhar Automach</v>
      </c>
      <c r="X40" s="66" t="str" cm="1">
        <f t="array" ref="X40">_xlfn.TEXTJOIN("|",TRUE,(_xlfn.UNIQUE(_xlfn._xlws.SORT(_xlfn._xlws.FILTER(scheduleapr[LENGTH],scheduleapr[Bucket]=salesforecast[[#This Row],[Bucket]])))))</f>
        <v>840|855|865</v>
      </c>
      <c r="Y40" s="66" t="str" cm="1">
        <f t="array" ref="Y40">_xlfn.TEXTJOIN("|",TRUE,_xlfn._xlws.FILTER(buckets[Material Codes],(buckets[Bucket]=salesforecast[[#This Row],[Bucket2]])*(buckets[LL or CTL]="CTL")))</f>
        <v>4036237|3943202|3943203</v>
      </c>
      <c r="Z40" t="str">
        <f>salesforecast[[#This Row],[Bucket]]</f>
        <v>22.23-0-2-ERW 2 MAHS-FC</v>
      </c>
      <c r="AA40" s="43">
        <f>salesforecast[[#This Row],[July Schedule]]</f>
        <v>41.597322103399996</v>
      </c>
      <c r="AB40" s="43">
        <f>SUMIF(salesTVS[buckets.Bucket],salesforecast[[#This Row],[Bucket]],salesTVS[Quantity])/1000</f>
        <v>20.762289999999997</v>
      </c>
      <c r="AC40" s="43">
        <f>SUMIFS(stock[MT],stock[Bucket],salesforecast[[#This Row],[Bucket]],stock[LL or CTL],"CTL")</f>
        <v>1.6344689999999997</v>
      </c>
      <c r="AD40" s="43">
        <f>SUMIF(stock[Bucket],salesforecast[[#This Row],[Bucket]],stock[MT])</f>
        <v>1.6344689999999997</v>
      </c>
      <c r="AE40" s="43" t="e">
        <v>#REF!</v>
      </c>
      <c r="AF40" s="43">
        <f>SUMIF(wip[Bucket],salesforecast[[#This Row],[Bucket]],wip[Stock(Net Wt)])/1000</f>
        <v>0</v>
      </c>
      <c r="AG40" s="43" t="e">
        <v>#REF!</v>
      </c>
      <c r="AH40" s="43">
        <f>SUMIFS(stock[MT],stock[Bucket],salesforecast[[#This Row],[Bucket2]],stock[Plant],"0788")</f>
        <v>0</v>
      </c>
      <c r="AI40" s="43">
        <f>((salesforecast[[#This Row],[WIP]]+salesforecast[[#This Row],[Stock LL]]))/salesforecast[[#This Row],[July Schedule]]*30</f>
        <v>1.1787794867687442</v>
      </c>
      <c r="AJ40" s="52">
        <f>salesforecast[[#This Row],[Stock LL]]/salesforecast[[#This Row],[Schedule]]*30</f>
        <v>1.1787794867687442</v>
      </c>
      <c r="AK40" s="43">
        <f>SUMIFS(stock[MT],stock[Bucket],salesforecast[[#This Row],[Bucket2]],stock[Plant],"0789",stock[LL or CTL],"LL")</f>
        <v>0</v>
      </c>
      <c r="AL40" s="193">
        <f>(salesforecast[[#This Row],[Sales]])/salesforecast[[#This Row],[Schedule]]</f>
        <v>0.49912563958781786</v>
      </c>
      <c r="AM40" s="43">
        <f>SUMIFS(stock[MT],stock[Plant],salesforecast[[#This Row],[Plant]],stock[LL or CTL],"LL",stock[Bucket],salesforecast[[#This Row],[Bucket]])</f>
        <v>0</v>
      </c>
      <c r="AN40" s="43">
        <f>SUMIFS(scheduleapr[SCHEDULE IN MT],scheduleapr[CUSTOMER NAME],"*Rajsriya*",scheduleapr[Bucket],salesforecast[[#This Row],[Bucket]])</f>
        <v>0</v>
      </c>
      <c r="AO40" s="43">
        <f>SUMIFS(salesTVS[Quantity],salesTVS[CUSTOMER  NAME],"*RAJSRIYA*",salesTVS[buckets.Bucket],salesforecast[[#This Row],[Bucket]])/1000</f>
        <v>0</v>
      </c>
      <c r="AP40" s="43">
        <f>SUMIFS(stock[MT],stock[Plant],4318,stock[Bucket],salesforecast[[#This Row],[Bucket2]])</f>
        <v>0</v>
      </c>
      <c r="AQ40" s="43">
        <f>SUMIFS(stock[MT],stock[Plant],4731,stock[Bucket],salesforecast[[#This Row],[Bucket2]],stock[LL or CTL],"CTL")</f>
        <v>0</v>
      </c>
      <c r="AR40" s="43">
        <f>SUMIFS(stock[MT],stock[Plant],4731,stock[Bucket],salesforecast[[#This Row],[Bucket2]])-salesforecast[[#This Row],[4731 Stock CTL]]</f>
        <v>0</v>
      </c>
      <c r="AS40" s="43">
        <f>SUMIFS(stock[MT],stock[Plant],8406,stock[Bucket],salesforecast[[#This Row],[Bucket2]])</f>
        <v>0</v>
      </c>
    </row>
    <row r="41" spans="1:45" ht="180" x14ac:dyDescent="0.25">
      <c r="A41">
        <v>22.23</v>
      </c>
      <c r="B41">
        <v>22.23</v>
      </c>
      <c r="C41">
        <v>0</v>
      </c>
      <c r="D41">
        <v>2</v>
      </c>
      <c r="E41" t="s">
        <v>962</v>
      </c>
      <c r="F41" t="s">
        <v>963</v>
      </c>
      <c r="G41" t="s">
        <v>239</v>
      </c>
      <c r="H41" t="str">
        <f>_xlfn.CONCAT(salesforecast[[#This Row],[OD]],"-",salesforecast[[#This Row],[ID]],"-",salesforecast[[#This Row],[TICKNESS]],"-",salesforecast[[#This Row],[GRADE]],"-",salesforecast[[#This Row],[FC/NFC]])</f>
        <v>22.23-0-2-ERW 1-PE</v>
      </c>
      <c r="I41" s="43">
        <f>SUMIFS(scheduleapr[SCHEDULE IN MT],scheduleapr[Bucket],salesforecast[[#This Row],[Bucket]])</f>
        <v>73.570713295800005</v>
      </c>
      <c r="J41">
        <v>2364548</v>
      </c>
      <c r="K41">
        <f>COUNTIF('helper sheet'!$A$1:$A$33,salesforecast[[#This Row],[LL Material Code]])</f>
        <v>1</v>
      </c>
      <c r="L41">
        <v>2426871</v>
      </c>
      <c r="N41" t="s">
        <v>2454</v>
      </c>
      <c r="P41" s="47" t="s">
        <v>345</v>
      </c>
      <c r="Q41">
        <v>48</v>
      </c>
      <c r="R41">
        <v>142</v>
      </c>
      <c r="S41">
        <v>85</v>
      </c>
      <c r="T41" s="52">
        <v>40</v>
      </c>
      <c r="U41" s="52">
        <f>salesforecast[[#This Row],[Forecast]]-salesforecast[[#This Row],[July Schedule]]</f>
        <v>-33.570713295800005</v>
      </c>
      <c r="V41" t="str">
        <f>salesforecast[[#This Row],[Plant]]</f>
        <v>0789</v>
      </c>
      <c r="W41" s="66" t="str" cm="1">
        <f t="array" ref="W41">_xlfn.TEXTJOIN("|",TRUE,(_xlfn.UNIQUE(_xlfn._xlws.FILTER(scheduleapr[CUSTOMER NAME],scheduleapr[Bucket]=salesforecast[[#This Row],[Bucket]]))))</f>
        <v>ELKAYEM AUTO MYSORE |NMPL TVSM|NMPL HUB|Rajsriya Unit 2|Rajsriya Unit 5|SANDHAR ENGINEERING PVT LTD.|Sandhar Automach|SRIKAM HITECH</v>
      </c>
      <c r="X41" s="66" t="str" cm="1">
        <f t="array" ref="X41">_xlfn.TEXTJOIN("|",TRUE,(_xlfn.UNIQUE(_xlfn._xlws.SORT(_xlfn._xlws.FILTER(scheduleapr[LENGTH],scheduleapr[Bucket]=salesforecast[[#This Row],[Bucket]])))))</f>
        <v>180|220|236|394|775|805|809|815|1000|1325|1385</v>
      </c>
      <c r="Y41" s="66" t="str" cm="1">
        <f t="array" ref="Y41">_xlfn.TEXTJOIN("|",TRUE,_xlfn._xlws.FILTER(buckets[Material Codes],(buckets[Bucket]=salesforecast[[#This Row],[Bucket2]])*(buckets[LL or CTL]="CTL")))</f>
        <v>1159568|471489|3781669|508984|1154248|475364|3781666|1405728|1405729|288719|3506173|3781596|3775108|1936862|3694069|437135|319684|3781605|1140411|3673949|3508391|1361680|1455510|3697417|250198|1940430|1905990|1902334|1940433|1940437|1940445|1940449|2420107|1940454|2422186|1940466|2413708|1940470|1940472|1940481|2420106|1940490</v>
      </c>
      <c r="Z41" t="str">
        <f>salesforecast[[#This Row],[Bucket]]</f>
        <v>22.23-0-2-ERW 1-PE</v>
      </c>
      <c r="AA41" s="43">
        <f>salesforecast[[#This Row],[July Schedule]]</f>
        <v>73.570713295800005</v>
      </c>
      <c r="AB41" s="43">
        <f>SUMIF(salesTVS[buckets.Bucket],salesforecast[[#This Row],[Bucket]],salesTVS[Quantity])/1000</f>
        <v>57.691250000000011</v>
      </c>
      <c r="AC41" s="43">
        <f>SUMIFS(stock[MT],stock[Bucket],salesforecast[[#This Row],[Bucket]],stock[LL or CTL],"CTL")</f>
        <v>2.5288830000000004</v>
      </c>
      <c r="AD41" s="43">
        <f>SUMIF(stock[Bucket],salesforecast[[#This Row],[Bucket]],stock[MT])-salesforecast[[#This Row],[Stock CTL]]</f>
        <v>11.690146999999998</v>
      </c>
      <c r="AE41" s="43" t="e">
        <v>#REF!</v>
      </c>
      <c r="AF41" s="43">
        <f>SUMIF(wip[Bucket],salesforecast[[#This Row],[Bucket]],wip[Stock(Net Wt)])/1000</f>
        <v>1.629</v>
      </c>
      <c r="AG41" s="43" t="e">
        <v>#REF!</v>
      </c>
      <c r="AH41" s="43">
        <f>SUMIFS(stock[MT],stock[Bucket],salesforecast[[#This Row],[Bucket2]],stock[Plant],"0788")</f>
        <v>0</v>
      </c>
      <c r="AI41" s="43">
        <f>((salesforecast[[#This Row],[WIP]]+salesforecast[[#This Row],[Stock LL]]))/salesforecast[[#This Row],[July Schedule]]*30</f>
        <v>5.4311612882352032</v>
      </c>
      <c r="AJ41" s="52">
        <f>salesforecast[[#This Row],[Stock LL]]/salesforecast[[#This Row],[Schedule]]*30</f>
        <v>4.7669024029976468</v>
      </c>
      <c r="AK41" s="43">
        <f>SUMIFS(stock[MT],stock[Bucket],salesforecast[[#This Row],[Bucket2]],stock[Plant],"0789",stock[LL or CTL],"LL")</f>
        <v>5.1392410000000002</v>
      </c>
      <c r="AL41" s="193">
        <f>(salesforecast[[#This Row],[Sales]])/salesforecast[[#This Row],[Schedule]]</f>
        <v>0.78416053638144467</v>
      </c>
      <c r="AM41" s="43">
        <f>SUMIFS(stock[MT],stock[Plant],salesforecast[[#This Row],[Plant]],stock[LL or CTL],"LL",stock[Bucket],salesforecast[[#This Row],[Bucket]])</f>
        <v>5.1392410000000002</v>
      </c>
      <c r="AN41" s="43">
        <f>SUMIFS(scheduleapr[SCHEDULE IN MT],scheduleapr[CUSTOMER NAME],"*Rajsriya*",scheduleapr[Bucket],salesforecast[[#This Row],[Bucket]])</f>
        <v>8.0412181280200006</v>
      </c>
      <c r="AO41" s="43">
        <f>SUMIFS(salesTVS[Quantity],salesTVS[CUSTOMER  NAME],"*RAJSRIYA*",salesTVS[buckets.Bucket],salesforecast[[#This Row],[Bucket]])/1000</f>
        <v>3.0958200000000002</v>
      </c>
      <c r="AP41" s="43">
        <f>SUMIFS(stock[MT],stock[Plant],4318,stock[Bucket],salesforecast[[#This Row],[Bucket2]])</f>
        <v>0</v>
      </c>
      <c r="AQ41" s="43">
        <f>SUMIFS(stock[MT],stock[Plant],4731,stock[Bucket],salesforecast[[#This Row],[Bucket2]],stock[LL or CTL],"CTL")</f>
        <v>7.4689000000000005E-2</v>
      </c>
      <c r="AR41" s="43">
        <f>SUMIFS(stock[MT],stock[Plant],4731,stock[Bucket],salesforecast[[#This Row],[Bucket2]])-salesforecast[[#This Row],[4731 Stock CTL]]</f>
        <v>5.5039059999999997</v>
      </c>
      <c r="AS41" s="43">
        <f>SUMIFS(stock[MT],stock[Plant],8406,stock[Bucket],salesforecast[[#This Row],[Bucket2]])</f>
        <v>1.0470000000000002</v>
      </c>
    </row>
    <row r="42" spans="1:45" ht="30" x14ac:dyDescent="0.25">
      <c r="A42" s="45">
        <v>22.23</v>
      </c>
      <c r="B42" s="45">
        <v>22.23</v>
      </c>
      <c r="C42" s="45">
        <v>0</v>
      </c>
      <c r="D42" s="45">
        <v>2</v>
      </c>
      <c r="E42" s="45" t="s">
        <v>993</v>
      </c>
      <c r="F42" s="45" t="s">
        <v>1003</v>
      </c>
      <c r="G42" s="45" t="s">
        <v>239</v>
      </c>
      <c r="H42" s="45" t="str">
        <f>_xlfn.CONCAT(salesforecast[[#This Row],[OD]],"-",salesforecast[[#This Row],[ID]],"-",salesforecast[[#This Row],[TICKNESS]],"-",salesforecast[[#This Row],[GRADE]],"-",salesforecast[[#This Row],[FC/NFC]])</f>
        <v>22.23-0-2-ERW 2-FC</v>
      </c>
      <c r="I42" s="43">
        <f>SUMIFS(scheduleapr[SCHEDULE IN MT],scheduleapr[Bucket],salesforecast[[#This Row],[Bucket]])</f>
        <v>5.9726214963519997</v>
      </c>
      <c r="J42" s="45">
        <v>3910650</v>
      </c>
      <c r="K42" s="45">
        <f>COUNTIF('helper sheet'!$A$1:$A$33,salesforecast[[#This Row],[LL Material Code]])</f>
        <v>0</v>
      </c>
      <c r="L42" s="45"/>
      <c r="M42" s="45"/>
      <c r="N42" s="45" t="s">
        <v>2087</v>
      </c>
      <c r="P42" s="68" t="s">
        <v>345</v>
      </c>
      <c r="Q42" s="45"/>
      <c r="R42" s="45"/>
      <c r="S42" s="45"/>
      <c r="T42" s="69">
        <f>ROUNDUP(MAX(salesforecast[[#This Row],[FY25 Average]],salesforecast[[#This Row],[July Schedule]]),0)</f>
        <v>6</v>
      </c>
      <c r="U42" s="69">
        <f>salesforecast[[#This Row],[Forecast]]-salesforecast[[#This Row],[July Schedule]]</f>
        <v>2.7378503648000319E-2</v>
      </c>
      <c r="V42" t="str">
        <f>salesforecast[[#This Row],[Plant]]</f>
        <v>0789</v>
      </c>
      <c r="W42" s="66" t="str" cm="1">
        <f t="array" ref="W42">_xlfn.TEXTJOIN("|",TRUE,(_xlfn.UNIQUE(_xlfn._xlws.FILTER(scheduleapr[CUSTOMER NAME],scheduleapr[Bucket]=salesforecast[[#This Row],[Bucket]]))))</f>
        <v>NMPL HUB|SANDHAR ENGINEERING PVT LTD.</v>
      </c>
      <c r="X42" s="66" t="str" cm="1">
        <f t="array" ref="X42">_xlfn.TEXTJOIN("|",TRUE,(_xlfn.UNIQUE(_xlfn._xlws.SORT(_xlfn._xlws.FILTER(scheduleapr[LENGTH],scheduleapr[Bucket]=salesforecast[[#This Row],[Bucket]])))))</f>
        <v>394|855|863</v>
      </c>
      <c r="Y42" s="66" t="str" cm="1">
        <f t="array" ref="Y42">_xlfn.TEXTJOIN("|",TRUE,_xlfn._xlws.FILTER(buckets[Material Codes],(buckets[Bucket]=salesforecast[[#This Row],[Bucket2]])*(buckets[LL or CTL]="CTL")))</f>
        <v>3910650|3910649</v>
      </c>
      <c r="Z42" t="str">
        <f>salesforecast[[#This Row],[Bucket]]</f>
        <v>22.23-0-2-ERW 2-FC</v>
      </c>
      <c r="AA42" s="43">
        <f>salesforecast[[#This Row],[July Schedule]]</f>
        <v>5.9726214963519997</v>
      </c>
      <c r="AB42" s="43">
        <f>SUMIF(salesTVS[buckets.Bucket],salesforecast[[#This Row],[Bucket]],salesTVS[Quantity])/1000</f>
        <v>6.9522579999999996</v>
      </c>
      <c r="AC42" s="43">
        <f>SUMIFS(stock[MT],stock[Bucket],salesforecast[[#This Row],[Bucket]],stock[LL or CTL],"CTL")</f>
        <v>1.0284789999999999</v>
      </c>
      <c r="AD42" s="43">
        <f>SUMIF(stock[Bucket],salesforecast[[#This Row],[Bucket]],stock[MT])-salesforecast[[#This Row],[Stock CTL]]</f>
        <v>0</v>
      </c>
      <c r="AE42" s="43" t="e">
        <v>#REF!</v>
      </c>
      <c r="AF42" s="43">
        <f>SUMIF(wip[Bucket],salesforecast[[#This Row],[Bucket]],wip[Stock(Net Wt)])/1000</f>
        <v>15.21</v>
      </c>
      <c r="AG42" s="67" t="e">
        <v>#REF!</v>
      </c>
      <c r="AH42" s="43">
        <f>SUMIFS(stock[MT],stock[Bucket],salesforecast[[#This Row],[Bucket2]],stock[Plant],"0788")</f>
        <v>0</v>
      </c>
      <c r="AI42" s="43">
        <f>((salesforecast[[#This Row],[WIP]]+salesforecast[[#This Row],[Stock LL]]))/salesforecast[[#This Row],[July Schedule]]*30</f>
        <v>76.398613285422854</v>
      </c>
      <c r="AJ42" s="52">
        <f>salesforecast[[#This Row],[Stock LL]]/salesforecast[[#This Row],[Schedule]]*30</f>
        <v>0</v>
      </c>
      <c r="AK42" s="43">
        <f>SUMIFS(stock[MT],stock[Bucket],salesforecast[[#This Row],[Bucket2]],stock[Plant],"0789",stock[LL or CTL],"LL")</f>
        <v>0</v>
      </c>
      <c r="AL42" s="193">
        <f>(salesforecast[[#This Row],[Sales]])/salesforecast[[#This Row],[Schedule]]</f>
        <v>1.1640211930801825</v>
      </c>
      <c r="AM42" s="43">
        <f>SUMIFS(stock[MT],stock[Plant],salesforecast[[#This Row],[Plant]],stock[LL or CTL],"LL",stock[Bucket],salesforecast[[#This Row],[Bucket]])</f>
        <v>0</v>
      </c>
      <c r="AN42" s="43">
        <f>SUMIFS(scheduleapr[SCHEDULE IN MT],scheduleapr[CUSTOMER NAME],"*Rajsriya*",scheduleapr[Bucket],salesforecast[[#This Row],[Bucket]])</f>
        <v>0</v>
      </c>
      <c r="AO42" s="43">
        <f>SUMIFS(salesTVS[Quantity],salesTVS[CUSTOMER  NAME],"*RAJSRIYA*",salesTVS[buckets.Bucket],salesforecast[[#This Row],[Bucket]])/1000</f>
        <v>0</v>
      </c>
      <c r="AP42" s="43">
        <f>SUMIFS(stock[MT],stock[Plant],4318,stock[Bucket],salesforecast[[#This Row],[Bucket2]])</f>
        <v>0</v>
      </c>
      <c r="AQ42" s="43">
        <f>SUMIFS(stock[MT],stock[Plant],4731,stock[Bucket],salesforecast[[#This Row],[Bucket2]],stock[LL or CTL],"CTL")</f>
        <v>1.0084789999999999</v>
      </c>
      <c r="AR42" s="43">
        <f>SUMIFS(stock[MT],stock[Plant],4731,stock[Bucket],salesforecast[[#This Row],[Bucket2]])-salesforecast[[#This Row],[4731 Stock CTL]]</f>
        <v>0</v>
      </c>
      <c r="AS42" s="43">
        <f>SUMIFS(stock[MT],stock[Plant],8406,stock[Bucket],salesforecast[[#This Row],[Bucket2]])</f>
        <v>0</v>
      </c>
    </row>
    <row r="43" spans="1:45" ht="45" x14ac:dyDescent="0.25">
      <c r="A43" s="50">
        <v>22.23</v>
      </c>
      <c r="B43">
        <v>22.23</v>
      </c>
      <c r="C43">
        <v>0</v>
      </c>
      <c r="D43">
        <v>2</v>
      </c>
      <c r="E43" t="s">
        <v>985</v>
      </c>
      <c r="F43" t="s">
        <v>963</v>
      </c>
      <c r="G43" t="s">
        <v>1867</v>
      </c>
      <c r="H43" t="str">
        <f>_xlfn.CONCAT(salesforecast[[#This Row],[OD]],"-",salesforecast[[#This Row],[ID]],"-",salesforecast[[#This Row],[TICKNESS]],"-",salesforecast[[#This Row],[GRADE]],"-",salesforecast[[#This Row],[FC/NFC]])</f>
        <v>22.23-0-2-ERW 2 MAHS-PE</v>
      </c>
      <c r="I43" s="43">
        <f>SUMIFS(scheduleapr[SCHEDULE IN MT],scheduleapr[Bucket],salesforecast[[#This Row],[Bucket]])</f>
        <v>63.988668923479999</v>
      </c>
      <c r="J43">
        <v>1941615</v>
      </c>
      <c r="K43">
        <f>COUNTIF('helper sheet'!$A$1:$A$33,salesforecast[[#This Row],[LL Material Code]])</f>
        <v>1</v>
      </c>
      <c r="L43">
        <v>1940474</v>
      </c>
      <c r="N43" t="s">
        <v>2455</v>
      </c>
      <c r="P43" s="47" t="s">
        <v>345</v>
      </c>
      <c r="Q43">
        <v>6</v>
      </c>
      <c r="R43">
        <v>49</v>
      </c>
      <c r="S43">
        <v>24</v>
      </c>
      <c r="T43" s="52">
        <f>ROUNDUP(MAX(salesforecast[[#This Row],[FY25 Average]],salesforecast[[#This Row],[July Schedule]]),0)</f>
        <v>64</v>
      </c>
      <c r="U43" s="52">
        <f>salesforecast[[#This Row],[Forecast]]-salesforecast[[#This Row],[July Schedule]]</f>
        <v>1.1331076520001204E-2</v>
      </c>
      <c r="V43" t="str">
        <f>salesforecast[[#This Row],[Plant]]</f>
        <v>0789</v>
      </c>
      <c r="W43" s="66" t="str" cm="1">
        <f t="array" ref="W43">_xlfn.TEXTJOIN("|",TRUE,(_xlfn.UNIQUE(_xlfn._xlws.FILTER(scheduleapr[CUSTOMER NAME],scheduleapr[Bucket]=salesforecast[[#This Row],[Bucket]]))))</f>
        <v>KNITVEL NEEDLES P LTD|Sandhar Automach|SRIKAM HITECH</v>
      </c>
      <c r="X43" s="66" t="str" cm="1">
        <f t="array" ref="X43">_xlfn.TEXTJOIN("|",TRUE,(_xlfn.UNIQUE(_xlfn._xlws.SORT(_xlfn._xlws.FILTER(scheduleapr[LENGTH],scheduleapr[Bucket]=salesforecast[[#This Row],[Bucket]])))))</f>
        <v>604|812|905|925</v>
      </c>
      <c r="Y43" s="66" t="str" cm="1">
        <f t="array" ref="Y43">_xlfn.TEXTJOIN("|",TRUE,_xlfn._xlws.FILTER(buckets[Material Codes],(buckets[Bucket]=salesforecast[[#This Row],[Bucket2]])*(buckets[LL or CTL]="CTL")))</f>
        <v>1940464|1940467|3915667|1940474|1940478|1940479|4184749|4124433|1940489|3442057|3515987</v>
      </c>
      <c r="Z43" t="str">
        <f>salesforecast[[#This Row],[Bucket]]</f>
        <v>22.23-0-2-ERW 2 MAHS-PE</v>
      </c>
      <c r="AA43" s="43">
        <f>salesforecast[[#This Row],[July Schedule]]</f>
        <v>63.988668923479999</v>
      </c>
      <c r="AB43" s="43">
        <f>SUMIF(salesTVS[buckets.Bucket],salesforecast[[#This Row],[Bucket]],salesTVS[Quantity])/1000</f>
        <v>33.500875000000001</v>
      </c>
      <c r="AC43" s="43">
        <f>SUMIFS(stock[MT],stock[Bucket],salesforecast[[#This Row],[Bucket]],stock[LL or CTL],"CTL")</f>
        <v>0.58795400000000009</v>
      </c>
      <c r="AD43" s="43">
        <f>SUMIF(stock[Bucket],salesforecast[[#This Row],[Bucket]],stock[MT])-salesforecast[[#This Row],[Stock CTL]]</f>
        <v>5.8279100000000001</v>
      </c>
      <c r="AE43" s="43" t="e">
        <v>#REF!</v>
      </c>
      <c r="AF43" s="43">
        <f>SUMIF(wip[Bucket],salesforecast[[#This Row],[Bucket]],wip[Stock(Net Wt)])/1000</f>
        <v>0</v>
      </c>
      <c r="AG43" s="43" t="e">
        <v>#REF!</v>
      </c>
      <c r="AH43" s="43">
        <f>SUMIFS(stock[MT],stock[Bucket],salesforecast[[#This Row],[Bucket2]],stock[Plant],"0788")</f>
        <v>0</v>
      </c>
      <c r="AI43" s="43">
        <f>((salesforecast[[#This Row],[WIP]]+salesforecast[[#This Row],[Stock LL]]))/salesforecast[[#This Row],[July Schedule]]*30</f>
        <v>2.7323165638759712</v>
      </c>
      <c r="AJ43" s="52">
        <f>salesforecast[[#This Row],[Stock LL]]/salesforecast[[#This Row],[Schedule]]*30</f>
        <v>2.7323165638759712</v>
      </c>
      <c r="AK43" s="43">
        <f>SUMIFS(stock[MT],stock[Bucket],salesforecast[[#This Row],[Bucket2]],stock[Plant],"0789",stock[LL or CTL],"LL")</f>
        <v>0</v>
      </c>
      <c r="AL43" s="193">
        <f>(salesforecast[[#This Row],[Sales]])/salesforecast[[#This Row],[Schedule]]</f>
        <v>0.52354386430606292</v>
      </c>
      <c r="AM43" s="43">
        <f>SUMIFS(stock[MT],stock[Plant],salesforecast[[#This Row],[Plant]],stock[LL or CTL],"LL",stock[Bucket],salesforecast[[#This Row],[Bucket]])</f>
        <v>0</v>
      </c>
      <c r="AN43" s="43">
        <f>SUMIFS(scheduleapr[SCHEDULE IN MT],scheduleapr[CUSTOMER NAME],"*Rajsriya*",scheduleapr[Bucket],salesforecast[[#This Row],[Bucket]])</f>
        <v>0</v>
      </c>
      <c r="AO43" s="43">
        <f>SUMIFS(salesTVS[Quantity],salesTVS[CUSTOMER  NAME],"*RAJSRIYA*",salesTVS[buckets.Bucket],salesforecast[[#This Row],[Bucket]])/1000</f>
        <v>0</v>
      </c>
      <c r="AP43" s="43">
        <f>SUMIFS(stock[MT],stock[Plant],4318,stock[Bucket],salesforecast[[#This Row],[Bucket2]])</f>
        <v>0</v>
      </c>
      <c r="AQ43" s="43">
        <f>SUMIFS(stock[MT],stock[Plant],4731,stock[Bucket],salesforecast[[#This Row],[Bucket2]],stock[LL or CTL],"CTL")</f>
        <v>0</v>
      </c>
      <c r="AR43" s="43">
        <f>SUMIFS(stock[MT],stock[Plant],4731,stock[Bucket],salesforecast[[#This Row],[Bucket2]])-salesforecast[[#This Row],[4731 Stock CTL]]</f>
        <v>0</v>
      </c>
      <c r="AS43" s="43">
        <f>SUMIFS(stock[MT],stock[Plant],8406,stock[Bucket],salesforecast[[#This Row],[Bucket2]])</f>
        <v>5.8279100000000001</v>
      </c>
    </row>
    <row r="44" spans="1:45" ht="90" x14ac:dyDescent="0.25">
      <c r="A44">
        <v>22.23</v>
      </c>
      <c r="B44">
        <v>22.23</v>
      </c>
      <c r="C44">
        <v>0</v>
      </c>
      <c r="D44">
        <v>2.2999999999999998</v>
      </c>
      <c r="E44" t="s">
        <v>962</v>
      </c>
      <c r="F44" t="s">
        <v>963</v>
      </c>
      <c r="G44" t="s">
        <v>239</v>
      </c>
      <c r="H44" t="str">
        <f>_xlfn.CONCAT(salesforecast[[#This Row],[OD]],"-",salesforecast[[#This Row],[ID]],"-",salesforecast[[#This Row],[TICKNESS]],"-",salesforecast[[#This Row],[GRADE]],"-",salesforecast[[#This Row],[FC/NFC]])</f>
        <v>22.23-0-2.3-ERW 1-PE</v>
      </c>
      <c r="I44" s="43">
        <f>SUMIFS(scheduleapr[SCHEDULE IN MT],scheduleapr[Bucket],salesforecast[[#This Row],[Bucket]])</f>
        <v>41.867907610105</v>
      </c>
      <c r="J44">
        <v>3502683</v>
      </c>
      <c r="K44">
        <f>COUNTIF('helper sheet'!$A$1:$A$33,salesforecast[[#This Row],[LL Material Code]])</f>
        <v>0</v>
      </c>
      <c r="N44" t="s">
        <v>2456</v>
      </c>
      <c r="P44" s="47" t="s">
        <v>345</v>
      </c>
      <c r="Q44">
        <v>1</v>
      </c>
      <c r="R44">
        <v>31</v>
      </c>
      <c r="S44">
        <v>16</v>
      </c>
      <c r="T44" s="52">
        <f>ROUNDUP(MAX(salesforecast[[#This Row],[FY25 Average]],salesforecast[[#This Row],[July Schedule]]),0)</f>
        <v>42</v>
      </c>
      <c r="U44" s="52">
        <f>salesforecast[[#This Row],[Forecast]]-salesforecast[[#This Row],[July Schedule]]</f>
        <v>0.13209238989499994</v>
      </c>
      <c r="V44" t="str">
        <f>salesforecast[[#This Row],[Plant]]</f>
        <v>0789</v>
      </c>
      <c r="W44" s="66" t="str" cm="1">
        <f t="array" ref="W44">_xlfn.TEXTJOIN("|",TRUE,(_xlfn.UNIQUE(_xlfn._xlws.FILTER(scheduleapr[CUSTOMER NAME],scheduleapr[Bucket]=salesforecast[[#This Row],[Bucket]]))))</f>
        <v>ELKAYEM AUTO|Marathwada|NMPL TVSM|Rajsriya Automotive|Rajsriya Unit 2|Rajsriya Unit 5|Rajsriya Mysore |SRIKAM HITECH</v>
      </c>
      <c r="X44" s="66" t="str" cm="1">
        <f t="array" ref="X44">_xlfn.TEXTJOIN("|",TRUE,(_xlfn.UNIQUE(_xlfn._xlws.SORT(_xlfn._xlws.FILTER(scheduleapr[LENGTH],scheduleapr[Bucket]=salesforecast[[#This Row],[Bucket]])))))</f>
        <v>188|220|281|295|350|425|427|430|499|1000</v>
      </c>
      <c r="Y44" s="66" t="str" cm="1">
        <f t="array" ref="Y44">_xlfn.TEXTJOIN("|",TRUE,_xlfn._xlws.FILTER(buckets[Material Codes],(buckets[Bucket]=salesforecast[[#This Row],[Bucket2]])*(buckets[LL or CTL]="CTL")))</f>
        <v>3484652|3673948|3508156|1333188|1364720|1241174|3781975|3087645|3509640|3629057|3506579|4098594|1940497|1940498|1940504|4095224</v>
      </c>
      <c r="Z44" t="str">
        <f>salesforecast[[#This Row],[Bucket]]</f>
        <v>22.23-0-2.3-ERW 1-PE</v>
      </c>
      <c r="AA44" s="43">
        <f>salesforecast[[#This Row],[July Schedule]]</f>
        <v>41.867907610105</v>
      </c>
      <c r="AB44" s="43">
        <f>SUMIF(salesTVS[buckets.Bucket],salesforecast[[#This Row],[Bucket]],salesTVS[Quantity])/1000</f>
        <v>18.830572999999998</v>
      </c>
      <c r="AC44" s="43">
        <f>SUMIFS(stock[MT],stock[Bucket],salesforecast[[#This Row],[Bucket]],stock[LL or CTL],"CTL")</f>
        <v>0.17203499999999999</v>
      </c>
      <c r="AD44" s="43">
        <f>SUMIF(stock[Bucket],salesforecast[[#This Row],[Bucket]],stock[MT])-salesforecast[[#This Row],[Stock CTL]]</f>
        <v>6.8109740000000007</v>
      </c>
      <c r="AE44" s="43" t="e">
        <v>#REF!</v>
      </c>
      <c r="AF44" s="43">
        <f>SUMIF(wip[Bucket],salesforecast[[#This Row],[Bucket]],wip[Stock(Net Wt)])/1000</f>
        <v>0</v>
      </c>
      <c r="AG44" s="43" t="e">
        <v>#REF!</v>
      </c>
      <c r="AH44" s="43">
        <f>SUMIFS(stock[MT],stock[Bucket],salesforecast[[#This Row],[Bucket2]],stock[Plant],"0788")</f>
        <v>0</v>
      </c>
      <c r="AI44" s="43">
        <f>((salesforecast[[#This Row],[WIP]]+salesforecast[[#This Row],[Stock LL]]))/salesforecast[[#This Row],[July Schedule]]*30</f>
        <v>4.8803303452089466</v>
      </c>
      <c r="AJ44" s="52">
        <f>salesforecast[[#This Row],[Stock LL]]/salesforecast[[#This Row],[Schedule]]*30</f>
        <v>4.8803303452089466</v>
      </c>
      <c r="AK44" s="43">
        <f>SUMIFS(stock[MT],stock[Bucket],salesforecast[[#This Row],[Bucket2]],stock[Plant],"0789",stock[LL or CTL],"LL")</f>
        <v>0</v>
      </c>
      <c r="AL44" s="193">
        <f>(salesforecast[[#This Row],[Sales]])/salesforecast[[#This Row],[Schedule]]</f>
        <v>0.4497615017057876</v>
      </c>
      <c r="AM44" s="43">
        <f>SUMIFS(stock[MT],stock[Plant],salesforecast[[#This Row],[Plant]],stock[LL or CTL],"LL",stock[Bucket],salesforecast[[#This Row],[Bucket]])</f>
        <v>0</v>
      </c>
      <c r="AN44" s="43">
        <f>SUMIFS(scheduleapr[SCHEDULE IN MT],scheduleapr[CUSTOMER NAME],"*Rajsriya*",scheduleapr[Bucket],salesforecast[[#This Row],[Bucket]])</f>
        <v>17.230754042749997</v>
      </c>
      <c r="AO44" s="43">
        <f>SUMIFS(salesTVS[Quantity],salesTVS[CUSTOMER  NAME],"*RAJSRIYA*",salesTVS[buckets.Bucket],salesforecast[[#This Row],[Bucket]])/1000</f>
        <v>2.7670050000000002</v>
      </c>
      <c r="AP44" s="43">
        <f>SUMIFS(stock[MT],stock[Plant],4318,stock[Bucket],salesforecast[[#This Row],[Bucket2]])</f>
        <v>0</v>
      </c>
      <c r="AQ44" s="43">
        <f>SUMIFS(stock[MT],stock[Plant],4731,stock[Bucket],salesforecast[[#This Row],[Bucket2]],stock[LL or CTL],"CTL")</f>
        <v>7.1221000000000007E-2</v>
      </c>
      <c r="AR44" s="43">
        <f>SUMIFS(stock[MT],stock[Plant],4731,stock[Bucket],salesforecast[[#This Row],[Bucket2]])-salesforecast[[#This Row],[4731 Stock CTL]]</f>
        <v>6.8109740000000007</v>
      </c>
      <c r="AS44" s="43">
        <f>SUMIFS(stock[MT],stock[Plant],8406,stock[Bucket],salesforecast[[#This Row],[Bucket2]])</f>
        <v>0</v>
      </c>
    </row>
    <row r="45" spans="1:45" ht="45" x14ac:dyDescent="0.25">
      <c r="A45">
        <v>31.75</v>
      </c>
      <c r="B45">
        <v>25</v>
      </c>
      <c r="C45">
        <v>25</v>
      </c>
      <c r="D45">
        <v>1.2</v>
      </c>
      <c r="E45" t="s">
        <v>229</v>
      </c>
      <c r="F45" t="s">
        <v>963</v>
      </c>
      <c r="G45" t="s">
        <v>1867</v>
      </c>
      <c r="H45" t="str">
        <f>_xlfn.CONCAT(salesforecast[[#This Row],[OD]],"-",salesforecast[[#This Row],[ID]],"-",salesforecast[[#This Row],[TICKNESS]],"-",salesforecast[[#This Row],[GRADE]],"-",salesforecast[[#This Row],[FC/NFC]])</f>
        <v>25-25-1.2-CRFH-PE</v>
      </c>
      <c r="I45" s="43">
        <f>SUMIFS(scheduleapr[SCHEDULE IN MT],scheduleapr[Bucket],salesforecast[[#This Row],[Bucket]])</f>
        <v>26.98426893708</v>
      </c>
      <c r="J45">
        <v>3532756</v>
      </c>
      <c r="K45">
        <f>COUNTIF('helper sheet'!$A$1:$A$33,salesforecast[[#This Row],[LL Material Code]])</f>
        <v>0</v>
      </c>
      <c r="N45" t="s">
        <v>2457</v>
      </c>
      <c r="P45" s="47" t="s">
        <v>345</v>
      </c>
      <c r="Q45">
        <v>8</v>
      </c>
      <c r="R45">
        <v>25</v>
      </c>
      <c r="S45">
        <v>19</v>
      </c>
      <c r="T45" s="52">
        <f>ROUNDUP(MAX(salesforecast[[#This Row],[FY25 Average]],salesforecast[[#This Row],[July Schedule]]),0)</f>
        <v>27</v>
      </c>
      <c r="U45" s="52">
        <f>salesforecast[[#This Row],[Forecast]]-salesforecast[[#This Row],[July Schedule]]</f>
        <v>1.5731062920000483E-2</v>
      </c>
      <c r="V45" t="str">
        <f>salesforecast[[#This Row],[Plant]]</f>
        <v>0789</v>
      </c>
      <c r="W45" s="66" t="str" cm="1">
        <f t="array" ref="W45">_xlfn.TEXTJOIN("|",TRUE,(_xlfn.UNIQUE(_xlfn._xlws.FILTER(scheduleapr[CUSTOMER NAME],scheduleapr[Bucket]=salesforecast[[#This Row],[Bucket]]))))</f>
        <v>Marathwada v7|SRI BALAJI GEARS V7|SRI BALAJI GEARS V4|Balaji Gears V3</v>
      </c>
      <c r="X45" s="66" t="str" cm="1">
        <f t="array" ref="X45">_xlfn.TEXTJOIN("|",TRUE,(_xlfn.UNIQUE(_xlfn._xlws.SORT(_xlfn._xlws.FILTER(scheduleapr[LENGTH],scheduleapr[Bucket]=salesforecast[[#This Row],[Bucket]])))))</f>
        <v>330|640|642|787|1298</v>
      </c>
      <c r="Y45" s="66" t="str" cm="1">
        <f t="array" ref="Y45">_xlfn.TEXTJOIN("|",TRUE,_xlfn._xlws.FILTER(buckets[Material Codes],(buckets[Bucket]=salesforecast[[#This Row],[Bucket2]])*(buckets[LL or CTL]="CTL")))</f>
        <v>3515988|3230483|4151430|3572043|3230482|3230484|3935311</v>
      </c>
      <c r="Z45" t="str">
        <f>salesforecast[[#This Row],[Bucket]]</f>
        <v>25-25-1.2-CRFH-PE</v>
      </c>
      <c r="AA45" s="43">
        <f>salesforecast[[#This Row],[July Schedule]]</f>
        <v>26.98426893708</v>
      </c>
      <c r="AB45" s="43">
        <f>SUMIF(salesTVS[buckets.Bucket],salesforecast[[#This Row],[Bucket]],salesTVS[Quantity])/1000</f>
        <v>15.293707999999999</v>
      </c>
      <c r="AC45" s="43">
        <f>SUMIFS(stock[MT],stock[Bucket],salesforecast[[#This Row],[Bucket]],stock[LL or CTL],"CTL")</f>
        <v>1.99648</v>
      </c>
      <c r="AD45" s="43">
        <f>SUMIF(stock[Bucket],salesforecast[[#This Row],[Bucket]],stock[MT])-salesforecast[[#This Row],[Stock CTL]]</f>
        <v>2.5459999999999994</v>
      </c>
      <c r="AE45" s="43" t="e">
        <v>#REF!</v>
      </c>
      <c r="AF45" s="43">
        <f>SUMIF(wip[Bucket],salesforecast[[#This Row],[Bucket]],wip[Stock(Net Wt)])/1000</f>
        <v>25.728999999999999</v>
      </c>
      <c r="AG45" s="43" t="e">
        <v>#REF!</v>
      </c>
      <c r="AH45" s="43">
        <f>SUMIFS(stock[MT],stock[Bucket],salesforecast[[#This Row],[Bucket2]],stock[Plant],"0788")</f>
        <v>0</v>
      </c>
      <c r="AI45" s="43">
        <f>((salesforecast[[#This Row],[WIP]]+salesforecast[[#This Row],[Stock LL]]))/salesforecast[[#This Row],[July Schedule]]*30</f>
        <v>31.434981691662244</v>
      </c>
      <c r="AJ45" s="52">
        <f>salesforecast[[#This Row],[Stock LL]]/salesforecast[[#This Row],[Schedule]]*30</f>
        <v>2.8305380508212927</v>
      </c>
      <c r="AK45" s="43">
        <f>SUMIFS(stock[MT],stock[Bucket],salesforecast[[#This Row],[Bucket2]],stock[Plant],"0789",stock[LL or CTL],"LL")</f>
        <v>0</v>
      </c>
      <c r="AL45" s="193">
        <f>(salesforecast[[#This Row],[Sales]])/salesforecast[[#This Row],[Schedule]]</f>
        <v>0.56676384435912563</v>
      </c>
      <c r="AM45" s="43">
        <f>SUMIFS(stock[MT],stock[Plant],salesforecast[[#This Row],[Plant]],stock[LL or CTL],"LL",stock[Bucket],salesforecast[[#This Row],[Bucket]])</f>
        <v>0</v>
      </c>
      <c r="AN45" s="43">
        <f>SUMIFS(scheduleapr[SCHEDULE IN MT],scheduleapr[CUSTOMER NAME],"*Rajsriya*",scheduleapr[Bucket],salesforecast[[#This Row],[Bucket]])</f>
        <v>0</v>
      </c>
      <c r="AO45" s="43">
        <f>SUMIFS(salesTVS[Quantity],salesTVS[CUSTOMER  NAME],"*RAJSRIYA*",salesTVS[buckets.Bucket],salesforecast[[#This Row],[Bucket]])/1000</f>
        <v>0</v>
      </c>
      <c r="AP45" s="43">
        <f>SUMIFS(stock[MT],stock[Plant],4318,stock[Bucket],salesforecast[[#This Row],[Bucket2]])</f>
        <v>0</v>
      </c>
      <c r="AQ45" s="43">
        <f>SUMIFS(stock[MT],stock[Plant],4731,stock[Bucket],salesforecast[[#This Row],[Bucket2]],stock[LL or CTL],"CTL")</f>
        <v>0</v>
      </c>
      <c r="AR45" s="43">
        <f>SUMIFS(stock[MT],stock[Plant],4731,stock[Bucket],salesforecast[[#This Row],[Bucket2]])-salesforecast[[#This Row],[4731 Stock CTL]]</f>
        <v>2.5459999999999998</v>
      </c>
      <c r="AS45" s="43">
        <f>SUMIFS(stock[MT],stock[Plant],8406,stock[Bucket],salesforecast[[#This Row],[Bucket2]])</f>
        <v>0</v>
      </c>
    </row>
    <row r="46" spans="1:45" ht="30" x14ac:dyDescent="0.25">
      <c r="A46">
        <v>25.4</v>
      </c>
      <c r="B46">
        <v>25.4</v>
      </c>
      <c r="C46">
        <v>0</v>
      </c>
      <c r="D46">
        <v>1.2</v>
      </c>
      <c r="E46" t="s">
        <v>962</v>
      </c>
      <c r="F46" t="s">
        <v>963</v>
      </c>
      <c r="G46" t="s">
        <v>1867</v>
      </c>
      <c r="H46" t="str">
        <f>_xlfn.CONCAT(salesforecast[[#This Row],[OD]],"-",salesforecast[[#This Row],[ID]],"-",salesforecast[[#This Row],[TICKNESS]],"-",salesforecast[[#This Row],[GRADE]],"-",salesforecast[[#This Row],[FC/NFC]])</f>
        <v>25.4-0-1.2-ERW 1-PE</v>
      </c>
      <c r="I46" s="43">
        <f>SUMIFS(scheduleapr[SCHEDULE IN MT],scheduleapr[Bucket],salesforecast[[#This Row],[Bucket]])</f>
        <v>11.596072752</v>
      </c>
      <c r="J46">
        <v>3571603</v>
      </c>
      <c r="K46">
        <f>COUNTIF('helper sheet'!$A$1:$A$33,salesforecast[[#This Row],[LL Material Code]])</f>
        <v>0</v>
      </c>
      <c r="N46" t="s">
        <v>2458</v>
      </c>
      <c r="P46" s="47" t="s">
        <v>345</v>
      </c>
      <c r="Q46">
        <v>1</v>
      </c>
      <c r="R46">
        <v>6</v>
      </c>
      <c r="S46">
        <v>4</v>
      </c>
      <c r="T46" s="52">
        <f>ROUNDUP(MAX(salesforecast[[#This Row],[FY25 Average]],salesforecast[[#This Row],[July Schedule]]),0)</f>
        <v>12</v>
      </c>
      <c r="U46" s="52">
        <f>salesforecast[[#This Row],[Forecast]]-salesforecast[[#This Row],[July Schedule]]</f>
        <v>0.40392724800000046</v>
      </c>
      <c r="V46" t="str">
        <f>salesforecast[[#This Row],[Plant]]</f>
        <v>0789</v>
      </c>
      <c r="W46" s="66" t="str" cm="1">
        <f t="array" ref="W46">_xlfn.TEXTJOIN("|",TRUE,(_xlfn.UNIQUE(_xlfn._xlws.FILTER(scheduleapr[CUSTOMER NAME],scheduleapr[Bucket]=salesforecast[[#This Row],[Bucket]]))))</f>
        <v>Marathwada|NMPL TVSM|NMPL HUB</v>
      </c>
      <c r="X46" s="66" t="str" cm="1">
        <f t="array" ref="X46">_xlfn.TEXTJOIN("|",TRUE,(_xlfn.UNIQUE(_xlfn._xlws.SORT(_xlfn._xlws.FILTER(scheduleapr[LENGTH],scheduleapr[Bucket]=salesforecast[[#This Row],[Bucket]])))))</f>
        <v>845|1000|2550|2585</v>
      </c>
      <c r="Y46" s="66" t="str" cm="1">
        <f t="array" ref="Y46">_xlfn.TEXTJOIN("|",TRUE,_xlfn._xlws.FILTER(buckets[Material Codes],(buckets[Bucket]=salesforecast[[#This Row],[Bucket2]])*(buckets[LL or CTL]="CTL")))</f>
        <v>1940538|435963|3675671|3675672|2426142|3672610|3605862</v>
      </c>
      <c r="Z46" t="str">
        <f>salesforecast[[#This Row],[Bucket]]</f>
        <v>25.4-0-1.2-ERW 1-PE</v>
      </c>
      <c r="AA46" s="43">
        <f>salesforecast[[#This Row],[July Schedule]]</f>
        <v>11.596072752</v>
      </c>
      <c r="AB46" s="43">
        <f>SUMIF(salesTVS[buckets.Bucket],salesforecast[[#This Row],[Bucket]],salesTVS[Quantity])/1000</f>
        <v>6.3579600000000003</v>
      </c>
      <c r="AC46" s="43">
        <f>SUMIFS(stock[MT],stock[Bucket],salesforecast[[#This Row],[Bucket]],stock[LL or CTL],"CTL")</f>
        <v>7.5077829999999999</v>
      </c>
      <c r="AD46" s="43">
        <f>SUMIF(stock[Bucket],salesforecast[[#This Row],[Bucket]],stock[MT])-salesforecast[[#This Row],[Stock CTL]]</f>
        <v>0</v>
      </c>
      <c r="AE46" s="43" t="e">
        <v>#REF!</v>
      </c>
      <c r="AF46" s="43">
        <f>SUMIF(wip[Bucket],salesforecast[[#This Row],[Bucket]],wip[Stock(Net Wt)])/1000</f>
        <v>18.564</v>
      </c>
      <c r="AG46" s="43" t="e">
        <v>#REF!</v>
      </c>
      <c r="AH46" s="43">
        <f>SUMIFS(stock[MT],stock[Bucket],salesforecast[[#This Row],[Bucket2]],stock[Plant],"0788")</f>
        <v>0</v>
      </c>
      <c r="AI46" s="43">
        <f>((salesforecast[[#This Row],[WIP]]+salesforecast[[#This Row],[Stock LL]]))/salesforecast[[#This Row],[July Schedule]]*30</f>
        <v>48.026604516080397</v>
      </c>
      <c r="AJ46" s="52">
        <f>salesforecast[[#This Row],[Stock LL]]/salesforecast[[#This Row],[Schedule]]*30</f>
        <v>0</v>
      </c>
      <c r="AK46" s="43">
        <f>SUMIFS(stock[MT],stock[Bucket],salesforecast[[#This Row],[Bucket2]],stock[Plant],"0789",stock[LL or CTL],"LL")</f>
        <v>0</v>
      </c>
      <c r="AL46" s="193">
        <f>(salesforecast[[#This Row],[Sales]])/salesforecast[[#This Row],[Schedule]]</f>
        <v>0.54828562531253777</v>
      </c>
      <c r="AM46" s="43">
        <f>SUMIFS(stock[MT],stock[Plant],salesforecast[[#This Row],[Plant]],stock[LL or CTL],"LL",stock[Bucket],salesforecast[[#This Row],[Bucket]])</f>
        <v>0</v>
      </c>
      <c r="AN46" s="43">
        <f>SUMIFS(scheduleapr[SCHEDULE IN MT],scheduleapr[CUSTOMER NAME],"*Rajsriya*",scheduleapr[Bucket],salesforecast[[#This Row],[Bucket]])</f>
        <v>0</v>
      </c>
      <c r="AO46" s="43">
        <f>SUMIFS(salesTVS[Quantity],salesTVS[CUSTOMER  NAME],"*RAJSRIYA*",salesTVS[buckets.Bucket],salesforecast[[#This Row],[Bucket]])/1000</f>
        <v>0</v>
      </c>
      <c r="AP46" s="43">
        <f>SUMIFS(stock[MT],stock[Plant],4318,stock[Bucket],salesforecast[[#This Row],[Bucket2]])</f>
        <v>0</v>
      </c>
      <c r="AQ46" s="43">
        <f>SUMIFS(stock[MT],stock[Plant],4731,stock[Bucket],salesforecast[[#This Row],[Bucket2]],stock[LL or CTL],"CTL")</f>
        <v>0</v>
      </c>
      <c r="AR46" s="43">
        <f>SUMIFS(stock[MT],stock[Plant],4731,stock[Bucket],salesforecast[[#This Row],[Bucket2]])-salesforecast[[#This Row],[4731 Stock CTL]]</f>
        <v>0</v>
      </c>
      <c r="AS46" s="43">
        <f>SUMIFS(stock[MT],stock[Plant],8406,stock[Bucket],salesforecast[[#This Row],[Bucket2]])</f>
        <v>0</v>
      </c>
    </row>
    <row r="47" spans="1:45" x14ac:dyDescent="0.25">
      <c r="A47">
        <v>25.4</v>
      </c>
      <c r="B47">
        <v>25.4</v>
      </c>
      <c r="C47">
        <v>0</v>
      </c>
      <c r="D47">
        <v>1.4</v>
      </c>
      <c r="E47" t="s">
        <v>993</v>
      </c>
      <c r="F47" t="s">
        <v>963</v>
      </c>
      <c r="G47" t="s">
        <v>1867</v>
      </c>
      <c r="H47" t="str">
        <f>_xlfn.CONCAT(salesforecast[[#This Row],[OD]],"-",salesforecast[[#This Row],[ID]],"-",salesforecast[[#This Row],[TICKNESS]],"-",salesforecast[[#This Row],[GRADE]],"-",salesforecast[[#This Row],[FC/NFC]])</f>
        <v>25.4-0-1.4-ERW 2-PE</v>
      </c>
      <c r="I47" s="43">
        <f>SUMIFS(scheduleapr[SCHEDULE IN MT],scheduleapr[Bucket],salesforecast[[#This Row],[Bucket]])</f>
        <v>0</v>
      </c>
      <c r="J47">
        <v>2279516</v>
      </c>
      <c r="K47">
        <f>COUNTIF('helper sheet'!$A$1:$A$33,salesforecast[[#This Row],[LL Material Code]])</f>
        <v>1</v>
      </c>
      <c r="L47">
        <v>1931783</v>
      </c>
      <c r="N47" t="s">
        <v>2459</v>
      </c>
      <c r="P47" s="47" t="s">
        <v>345</v>
      </c>
      <c r="Q47">
        <v>0</v>
      </c>
      <c r="R47">
        <v>18</v>
      </c>
      <c r="S47">
        <v>3</v>
      </c>
      <c r="T47" s="52">
        <f>ROUNDUP(MAX(salesforecast[[#This Row],[FY25 Average]],salesforecast[[#This Row],[July Schedule]]),0)</f>
        <v>3</v>
      </c>
      <c r="U47" s="52">
        <f>salesforecast[[#This Row],[Forecast]]-salesforecast[[#This Row],[July Schedule]]</f>
        <v>3</v>
      </c>
      <c r="V47" t="str">
        <f>salesforecast[[#This Row],[Plant]]</f>
        <v>0789</v>
      </c>
      <c r="W47" s="66" t="e" cm="1" vm="1">
        <f t="array" ref="W47">_xlfn.TEXTJOIN("|",TRUE,(_xlfn.UNIQUE(_xlfn._xlws.FILTER(scheduleapr[CUSTOMER NAME],scheduleapr[Bucket]=salesforecast[[#This Row],[Bucket]]))))</f>
        <v>#VALUE!</v>
      </c>
      <c r="X47" s="66" t="e" cm="1" vm="1">
        <f t="array" ref="X47">_xlfn.TEXTJOIN("|",TRUE,(_xlfn.UNIQUE(_xlfn._xlws.SORT(_xlfn._xlws.FILTER(scheduleapr[LENGTH],scheduleapr[Bucket]=salesforecast[[#This Row],[Bucket]])))))</f>
        <v>#VALUE!</v>
      </c>
      <c r="Y47" s="66" t="str" cm="1">
        <f t="array" ref="Y47">_xlfn.TEXTJOIN("|",TRUE,_xlfn._xlws.FILTER(buckets[Material Codes],(buckets[Bucket]=salesforecast[[#This Row],[Bucket2]])*(buckets[LL or CTL]="CTL")))</f>
        <v>2371410</v>
      </c>
      <c r="Z47" t="str">
        <f>salesforecast[[#This Row],[Bucket]]</f>
        <v>25.4-0-1.4-ERW 2-PE</v>
      </c>
      <c r="AA47" s="43">
        <f>salesforecast[[#This Row],[July Schedule]]</f>
        <v>0</v>
      </c>
      <c r="AB47" s="43">
        <f>SUMIF(salesTVS[buckets.Bucket],salesforecast[[#This Row],[Bucket]],salesTVS[Quantity])/1000</f>
        <v>0</v>
      </c>
      <c r="AC47" s="43">
        <f>SUMIFS(stock[MT],stock[Bucket],salesforecast[[#This Row],[Bucket]],stock[LL or CTL],"CTL")</f>
        <v>0</v>
      </c>
      <c r="AD47" s="43">
        <f>SUMIF(stock[Bucket],salesforecast[[#This Row],[Bucket]],stock[MT])-salesforecast[[#This Row],[Stock CTL]]</f>
        <v>0</v>
      </c>
      <c r="AE47" s="43" t="e">
        <v>#REF!</v>
      </c>
      <c r="AF47" s="43">
        <f>SUMIF(wip[Bucket],salesforecast[[#This Row],[Bucket]],wip[Stock(Net Wt)])/1000</f>
        <v>0</v>
      </c>
      <c r="AG47" s="43" t="e">
        <v>#REF!</v>
      </c>
      <c r="AH47" s="43">
        <f>SUMIFS(stock[MT],stock[Bucket],salesforecast[[#This Row],[Bucket2]],stock[Plant],"0788")</f>
        <v>0</v>
      </c>
      <c r="AI47" s="43" t="e">
        <f>((salesforecast[[#This Row],[WIP]]+salesforecast[[#This Row],[Stock LL]]))/salesforecast[[#This Row],[July Schedule]]*30</f>
        <v>#DIV/0!</v>
      </c>
      <c r="AJ47" t="e">
        <f>salesforecast[[#This Row],[Stock LL]]/salesforecast[[#This Row],[Schedule]]*30</f>
        <v>#DIV/0!</v>
      </c>
      <c r="AK47" s="43">
        <f>SUMIFS(stock[MT],stock[Bucket],salesforecast[[#This Row],[Bucket2]],stock[Plant],"0789",stock[LL or CTL],"LL")</f>
        <v>0</v>
      </c>
      <c r="AL47" s="193" t="e">
        <f>(salesforecast[[#This Row],[Sales]])/salesforecast[[#This Row],[Schedule]]</f>
        <v>#DIV/0!</v>
      </c>
      <c r="AM47" s="43">
        <f>SUMIFS(stock[MT],stock[Plant],salesforecast[[#This Row],[Plant]],stock[LL or CTL],"LL",stock[Bucket],salesforecast[[#This Row],[Bucket]])</f>
        <v>0</v>
      </c>
      <c r="AN47" s="43">
        <f>SUMIFS(scheduleapr[SCHEDULE IN MT],scheduleapr[CUSTOMER NAME],"*Rajsriya*",scheduleapr[Bucket],salesforecast[[#This Row],[Bucket]])</f>
        <v>0</v>
      </c>
      <c r="AO47" s="43">
        <f>SUMIFS(salesTVS[Quantity],salesTVS[CUSTOMER  NAME],"*RAJSRIYA*",salesTVS[buckets.Bucket],salesforecast[[#This Row],[Bucket]])/1000</f>
        <v>0</v>
      </c>
      <c r="AP47" s="43">
        <f>SUMIFS(stock[MT],stock[Plant],4318,stock[Bucket],salesforecast[[#This Row],[Bucket2]])</f>
        <v>0</v>
      </c>
      <c r="AQ47" s="43">
        <f>SUMIFS(stock[MT],stock[Plant],4731,stock[Bucket],salesforecast[[#This Row],[Bucket2]],stock[LL or CTL],"CTL")</f>
        <v>0</v>
      </c>
      <c r="AR47" s="43">
        <f>SUMIFS(stock[MT],stock[Plant],4731,stock[Bucket],salesforecast[[#This Row],[Bucket2]])-salesforecast[[#This Row],[4731 Stock CTL]]</f>
        <v>0</v>
      </c>
      <c r="AS47" s="43">
        <f>SUMIFS(stock[MT],stock[Plant],8406,stock[Bucket],salesforecast[[#This Row],[Bucket2]])</f>
        <v>0</v>
      </c>
    </row>
    <row r="48" spans="1:45" ht="30" x14ac:dyDescent="0.25">
      <c r="A48">
        <v>25.4</v>
      </c>
      <c r="B48">
        <v>25.4</v>
      </c>
      <c r="C48">
        <v>0</v>
      </c>
      <c r="D48">
        <v>1.6</v>
      </c>
      <c r="E48" t="s">
        <v>962</v>
      </c>
      <c r="F48" t="s">
        <v>1003</v>
      </c>
      <c r="G48" t="s">
        <v>1867</v>
      </c>
      <c r="H48" t="str">
        <f>_xlfn.CONCAT(salesforecast[[#This Row],[OD]],"-",salesforecast[[#This Row],[ID]],"-",salesforecast[[#This Row],[TICKNESS]],"-",salesforecast[[#This Row],[GRADE]],"-",salesforecast[[#This Row],[FC/NFC]])</f>
        <v>25.4-0-1.6-ERW 1-FC</v>
      </c>
      <c r="I48" s="43">
        <f>SUMIFS(scheduleapr[SCHEDULE IN MT],scheduleapr[Bucket],salesforecast[[#This Row],[Bucket]])</f>
        <v>0</v>
      </c>
      <c r="J48">
        <v>3623213</v>
      </c>
      <c r="K48">
        <f>COUNTIF('helper sheet'!$A$1:$A$33,salesforecast[[#This Row],[LL Material Code]])</f>
        <v>0</v>
      </c>
      <c r="N48" t="s">
        <v>2460</v>
      </c>
      <c r="O48" t="s">
        <v>1868</v>
      </c>
      <c r="P48" s="47" t="s">
        <v>345</v>
      </c>
      <c r="Q48">
        <v>0</v>
      </c>
      <c r="R48">
        <v>5</v>
      </c>
      <c r="S48">
        <v>2</v>
      </c>
      <c r="T48" s="52">
        <f>ROUNDUP(MAX(salesforecast[[#This Row],[FY25 Average]],salesforecast[[#This Row],[July Schedule]]),0)</f>
        <v>2</v>
      </c>
      <c r="U48" s="52">
        <f>salesforecast[[#This Row],[Forecast]]-salesforecast[[#This Row],[July Schedule]]</f>
        <v>2</v>
      </c>
      <c r="V48" t="str">
        <f>salesforecast[[#This Row],[Plant]]</f>
        <v>0789</v>
      </c>
      <c r="W48" s="66" t="str" cm="1">
        <f t="array" ref="W48">_xlfn.TEXTJOIN("|",TRUE,(_xlfn.UNIQUE(_xlfn._xlws.FILTER(scheduleapr[CUSTOMER NAME],scheduleapr[Bucket]=salesforecast[[#This Row],[Bucket]]))))</f>
        <v>Metalman|Rajsriya Mysore |RUCHA</v>
      </c>
      <c r="X48" s="66" t="str" cm="1">
        <f t="array" ref="X48">_xlfn.TEXTJOIN("|",TRUE,(_xlfn.UNIQUE(_xlfn._xlws.SORT(_xlfn._xlws.FILTER(scheduleapr[LENGTH],scheduleapr[Bucket]=salesforecast[[#This Row],[Bucket]])))))</f>
        <v>208|360</v>
      </c>
      <c r="Y48" s="66" t="str" cm="1">
        <f t="array" ref="Y48">_xlfn.TEXTJOIN("|",TRUE,_xlfn._xlws.FILTER(buckets[Material Codes],(buckets[Bucket]=salesforecast[[#This Row],[Bucket2]])*(buckets[LL or CTL]="CTL")))</f>
        <v>3732180|1940562|3551623</v>
      </c>
      <c r="Z48" t="str">
        <f>salesforecast[[#This Row],[Bucket]]</f>
        <v>25.4-0-1.6-ERW 1-FC</v>
      </c>
      <c r="AA48" s="43">
        <f>salesforecast[[#This Row],[July Schedule]]</f>
        <v>0</v>
      </c>
      <c r="AB48" s="43">
        <f>SUMIF(salesTVS[buckets.Bucket],salesforecast[[#This Row],[Bucket]],salesTVS[Quantity])/1000</f>
        <v>0</v>
      </c>
      <c r="AC48" s="43">
        <f>SUMIFS(stock[MT],stock[Bucket],salesforecast[[#This Row],[Bucket]],stock[LL or CTL],"CTL")</f>
        <v>0.25649699999999998</v>
      </c>
      <c r="AD48" s="43">
        <f>SUMIF(stock[Bucket],salesforecast[[#This Row],[Bucket]],stock[MT])-salesforecast[[#This Row],[Stock CTL]]</f>
        <v>0</v>
      </c>
      <c r="AE48" s="43" t="e">
        <v>#REF!</v>
      </c>
      <c r="AF48" s="43">
        <f>SUMIF(wip[Bucket],salesforecast[[#This Row],[Bucket]],wip[Stock(Net Wt)])/1000</f>
        <v>0</v>
      </c>
      <c r="AG48" s="43" t="e">
        <v>#REF!</v>
      </c>
      <c r="AH48" s="43">
        <f>SUMIFS(stock[MT],stock[Bucket],salesforecast[[#This Row],[Bucket2]],stock[Plant],"0788")</f>
        <v>0</v>
      </c>
      <c r="AI48" s="43" t="e">
        <f>((salesforecast[[#This Row],[WIP]]+salesforecast[[#This Row],[Stock LL]]))/salesforecast[[#This Row],[July Schedule]]*30</f>
        <v>#DIV/0!</v>
      </c>
      <c r="AJ48" s="52" t="e">
        <f>salesforecast[[#This Row],[Stock LL]]/salesforecast[[#This Row],[Schedule]]*30</f>
        <v>#DIV/0!</v>
      </c>
      <c r="AK48" s="43">
        <f>SUMIFS(stock[MT],stock[Bucket],salesforecast[[#This Row],[Bucket2]],stock[Plant],"0789",stock[LL or CTL],"LL")</f>
        <v>0</v>
      </c>
      <c r="AL48" s="193" t="e">
        <f>(salesforecast[[#This Row],[Sales]])/salesforecast[[#This Row],[Schedule]]</f>
        <v>#DIV/0!</v>
      </c>
      <c r="AM48" s="43">
        <f>SUMIFS(stock[MT],stock[Plant],salesforecast[[#This Row],[Plant]],stock[LL or CTL],"LL",stock[Bucket],salesforecast[[#This Row],[Bucket]])</f>
        <v>0</v>
      </c>
      <c r="AN48" s="43">
        <f>SUMIFS(scheduleapr[SCHEDULE IN MT],scheduleapr[CUSTOMER NAME],"*Rajsriya*",scheduleapr[Bucket],salesforecast[[#This Row],[Bucket]])</f>
        <v>0</v>
      </c>
      <c r="AO48" s="43">
        <f>SUMIFS(salesTVS[Quantity],salesTVS[CUSTOMER  NAME],"*RAJSRIYA*",salesTVS[buckets.Bucket],salesforecast[[#This Row],[Bucket]])/1000</f>
        <v>0</v>
      </c>
      <c r="AP48" s="43">
        <f>SUMIFS(stock[MT],stock[Plant],4318,stock[Bucket],salesforecast[[#This Row],[Bucket2]])</f>
        <v>0</v>
      </c>
      <c r="AQ48" s="43">
        <f>SUMIFS(stock[MT],stock[Plant],4731,stock[Bucket],salesforecast[[#This Row],[Bucket2]],stock[LL or CTL],"CTL")</f>
        <v>0.25542199999999998</v>
      </c>
      <c r="AR48" s="43">
        <f>SUMIFS(stock[MT],stock[Plant],4731,stock[Bucket],salesforecast[[#This Row],[Bucket2]])-salesforecast[[#This Row],[4731 Stock CTL]]</f>
        <v>0</v>
      </c>
      <c r="AS48" s="43">
        <f>SUMIFS(stock[MT],stock[Plant],8406,stock[Bucket],salesforecast[[#This Row],[Bucket2]])</f>
        <v>0</v>
      </c>
    </row>
    <row r="49" spans="1:45" ht="45" x14ac:dyDescent="0.25">
      <c r="A49">
        <v>25.4</v>
      </c>
      <c r="B49">
        <v>25.4</v>
      </c>
      <c r="C49">
        <v>0</v>
      </c>
      <c r="D49">
        <v>1.6</v>
      </c>
      <c r="E49" t="s">
        <v>962</v>
      </c>
      <c r="F49" t="s">
        <v>963</v>
      </c>
      <c r="G49" t="s">
        <v>1867</v>
      </c>
      <c r="H49" t="str">
        <f>_xlfn.CONCAT(salesforecast[[#This Row],[OD]],"-",salesforecast[[#This Row],[ID]],"-",salesforecast[[#This Row],[TICKNESS]],"-",salesforecast[[#This Row],[GRADE]],"-",salesforecast[[#This Row],[FC/NFC]])</f>
        <v>25.4-0-1.6-ERW 1-PE</v>
      </c>
      <c r="I49" s="43">
        <f>SUMIFS(scheduleapr[SCHEDULE IN MT],scheduleapr[Bucket],salesforecast[[#This Row],[Bucket]])</f>
        <v>24.291845849600001</v>
      </c>
      <c r="J49">
        <v>1940571</v>
      </c>
      <c r="K49">
        <f>COUNTIF('helper sheet'!$A$1:$A$33,salesforecast[[#This Row],[LL Material Code]])</f>
        <v>0</v>
      </c>
      <c r="N49" t="s">
        <v>2461</v>
      </c>
      <c r="O49" t="s">
        <v>1881</v>
      </c>
      <c r="P49" s="47" t="s">
        <v>345</v>
      </c>
      <c r="Q49">
        <v>2</v>
      </c>
      <c r="R49">
        <v>46</v>
      </c>
      <c r="S49">
        <v>14</v>
      </c>
      <c r="T49" s="52">
        <f>ROUNDUP(MAX(salesforecast[[#This Row],[FY25 Average]],salesforecast[[#This Row],[July Schedule]]),0)</f>
        <v>25</v>
      </c>
      <c r="U49" s="52">
        <f>salesforecast[[#This Row],[Forecast]]-salesforecast[[#This Row],[July Schedule]]</f>
        <v>0.70815415039999863</v>
      </c>
      <c r="V49" t="str">
        <f>salesforecast[[#This Row],[Plant]]</f>
        <v>0789</v>
      </c>
      <c r="W49" s="66" t="str" cm="1">
        <f t="array" ref="W49">_xlfn.TEXTJOIN("|",TRUE,(_xlfn.UNIQUE(_xlfn._xlws.FILTER(scheduleapr[CUSTOMER NAME],scheduleapr[Bucket]=salesforecast[[#This Row],[Bucket]]))))</f>
        <v>Balaji press product|Marathwada|NMPL TVSM|Rajsriya Automotive</v>
      </c>
      <c r="X49" s="66" t="str" cm="1">
        <f t="array" ref="X49">_xlfn.TEXTJOIN("|",TRUE,(_xlfn.UNIQUE(_xlfn._xlws.SORT(_xlfn._xlws.FILTER(scheduleapr[LENGTH],scheduleapr[Bucket]=salesforecast[[#This Row],[Bucket]])))))</f>
        <v>360|512|2580|2590</v>
      </c>
      <c r="Y49" s="66" t="str" cm="1">
        <f t="array" ref="Y49">_xlfn.TEXTJOIN("|",TRUE,_xlfn._xlws.FILTER(buckets[Material Codes],(buckets[Bucket]=salesforecast[[#This Row],[Bucket2]])*(buckets[LL or CTL]="CTL")))</f>
        <v>438186|1903091|1119129|249132|3677047|1448370|2400891|3727130|2409618|3673031|3605861</v>
      </c>
      <c r="Z49" t="str">
        <f>salesforecast[[#This Row],[Bucket]]</f>
        <v>25.4-0-1.6-ERW 1-PE</v>
      </c>
      <c r="AA49" s="43">
        <f>salesforecast[[#This Row],[July Schedule]]</f>
        <v>24.291845849600001</v>
      </c>
      <c r="AB49" s="43">
        <f>SUMIF(salesTVS[buckets.Bucket],salesforecast[[#This Row],[Bucket]],salesTVS[Quantity])/1000</f>
        <v>20.244108999999998</v>
      </c>
      <c r="AC49" s="43">
        <f>SUMIFS(stock[MT],stock[Bucket],salesforecast[[#This Row],[Bucket]],stock[LL or CTL],"CTL")</f>
        <v>8.7592549999999996</v>
      </c>
      <c r="AD49" s="43">
        <f>SUMIF(stock[Bucket],salesforecast[[#This Row],[Bucket]],stock[MT])-salesforecast[[#This Row],[Stock CTL]]</f>
        <v>0</v>
      </c>
      <c r="AE49" s="43" t="e">
        <v>#REF!</v>
      </c>
      <c r="AF49" s="43">
        <f>SUMIF(wip[Bucket],salesforecast[[#This Row],[Bucket]],wip[Stock(Net Wt)])/1000</f>
        <v>3.6459999999999999</v>
      </c>
      <c r="AG49" s="43" t="e">
        <v>#REF!</v>
      </c>
      <c r="AH49" s="43">
        <f>SUMIFS(stock[MT],stock[Bucket],salesforecast[[#This Row],[Bucket2]],stock[Plant],"0788")</f>
        <v>0</v>
      </c>
      <c r="AI49" s="43">
        <f>((salesforecast[[#This Row],[WIP]]+salesforecast[[#This Row],[Stock LL]]))/salesforecast[[#This Row],[July Schedule]]*30</f>
        <v>4.502745517043576</v>
      </c>
      <c r="AJ49" s="52">
        <f>salesforecast[[#This Row],[Stock LL]]/salesforecast[[#This Row],[Schedule]]*30</f>
        <v>0</v>
      </c>
      <c r="AK49" s="43">
        <f>SUMIFS(stock[MT],stock[Bucket],salesforecast[[#This Row],[Bucket2]],stock[Plant],"0789",stock[LL or CTL],"LL")</f>
        <v>0</v>
      </c>
      <c r="AL49" s="193">
        <f>(salesforecast[[#This Row],[Sales]])/salesforecast[[#This Row],[Schedule]]</f>
        <v>0.83337055262654502</v>
      </c>
      <c r="AM49" s="43">
        <f>SUMIFS(stock[MT],stock[Plant],salesforecast[[#This Row],[Plant]],stock[LL or CTL],"LL",stock[Bucket],salesforecast[[#This Row],[Bucket]])</f>
        <v>0</v>
      </c>
      <c r="AN49" s="43">
        <f>SUMIFS(scheduleapr[SCHEDULE IN MT],scheduleapr[CUSTOMER NAME],"*Rajsriya*",scheduleapr[Bucket],salesforecast[[#This Row],[Bucket]])</f>
        <v>0</v>
      </c>
      <c r="AO49" s="43">
        <f>SUMIFS(salesTVS[Quantity],salesTVS[CUSTOMER  NAME],"*RAJSRIYA*",salesTVS[buckets.Bucket],salesforecast[[#This Row],[Bucket]])/1000</f>
        <v>0</v>
      </c>
      <c r="AP49" s="43">
        <f>SUMIFS(stock[MT],stock[Plant],4318,stock[Bucket],salesforecast[[#This Row],[Bucket2]])</f>
        <v>0</v>
      </c>
      <c r="AQ49" s="43">
        <f>SUMIFS(stock[MT],stock[Plant],4731,stock[Bucket],salesforecast[[#This Row],[Bucket2]],stock[LL or CTL],"CTL")</f>
        <v>0</v>
      </c>
      <c r="AR49" s="43">
        <f>SUMIFS(stock[MT],stock[Plant],4731,stock[Bucket],salesforecast[[#This Row],[Bucket2]])-salesforecast[[#This Row],[4731 Stock CTL]]</f>
        <v>0</v>
      </c>
      <c r="AS49" s="43">
        <f>SUMIFS(stock[MT],stock[Plant],8406,stock[Bucket],salesforecast[[#This Row],[Bucket2]])</f>
        <v>1.628933</v>
      </c>
    </row>
    <row r="50" spans="1:45" ht="45" x14ac:dyDescent="0.25">
      <c r="A50">
        <v>25.4</v>
      </c>
      <c r="B50">
        <v>25.4</v>
      </c>
      <c r="C50">
        <v>0</v>
      </c>
      <c r="D50">
        <v>2</v>
      </c>
      <c r="E50" t="s">
        <v>962</v>
      </c>
      <c r="F50" t="s">
        <v>963</v>
      </c>
      <c r="G50" t="s">
        <v>239</v>
      </c>
      <c r="H50" t="str">
        <f>_xlfn.CONCAT(salesforecast[[#This Row],[OD]],"-",salesforecast[[#This Row],[ID]],"-",salesforecast[[#This Row],[TICKNESS]],"-",salesforecast[[#This Row],[GRADE]],"-",salesforecast[[#This Row],[FC/NFC]])</f>
        <v>25.4-0-2-ERW 1-PE</v>
      </c>
      <c r="I50" s="43">
        <f>SUMIFS(scheduleapr[SCHEDULE IN MT],scheduleapr[Bucket],salesforecast[[#This Row],[Bucket]])</f>
        <v>16.9967475288</v>
      </c>
      <c r="J50">
        <v>3618120</v>
      </c>
      <c r="K50">
        <f>COUNTIF('helper sheet'!$A$1:$A$33,salesforecast[[#This Row],[LL Material Code]])</f>
        <v>0</v>
      </c>
      <c r="N50" t="s">
        <v>2462</v>
      </c>
      <c r="P50" s="47" t="s">
        <v>345</v>
      </c>
      <c r="Q50">
        <v>0</v>
      </c>
      <c r="R50">
        <v>21</v>
      </c>
      <c r="S50">
        <v>5</v>
      </c>
      <c r="T50" s="52">
        <f>ROUNDUP(MAX(salesforecast[[#This Row],[FY25 Average]],salesforecast[[#This Row],[July Schedule]]),0)</f>
        <v>17</v>
      </c>
      <c r="U50" s="52">
        <f>salesforecast[[#This Row],[Forecast]]-salesforecast[[#This Row],[July Schedule]]</f>
        <v>3.252471199999718E-3</v>
      </c>
      <c r="V50" t="str">
        <f>salesforecast[[#This Row],[Plant]]</f>
        <v>0789</v>
      </c>
      <c r="W50" s="66" t="str" cm="1">
        <f t="array" ref="W50">_xlfn.TEXTJOIN("|",TRUE,(_xlfn.UNIQUE(_xlfn._xlws.FILTER(scheduleapr[CUSTOMER NAME],scheduleapr[Bucket]=salesforecast[[#This Row],[Bucket]]))))</f>
        <v xml:space="preserve">NMPL HUB|Rajsriya Unit 2|Sandhar Engg Mysore </v>
      </c>
      <c r="X50" s="66" t="str" cm="1">
        <f t="array" ref="X50">_xlfn.TEXTJOIN("|",TRUE,(_xlfn.UNIQUE(_xlfn._xlws.SORT(_xlfn._xlws.FILTER(scheduleapr[LENGTH],scheduleapr[Bucket]=salesforecast[[#This Row],[Bucket]])))))</f>
        <v>412|470|567</v>
      </c>
      <c r="Y50" s="66" t="str" cm="1">
        <f t="array" ref="Y50">_xlfn.TEXTJOIN("|",TRUE,_xlfn._xlws.FILTER(buckets[Material Codes],(buckets[Bucket]=salesforecast[[#This Row],[Bucket2]])*(buckets[LL or CTL]="CTL")))</f>
        <v>299981|3506206|4095223|4229655|1413976|3508859|3863800|3509211|1482265|3218520|1190412</v>
      </c>
      <c r="Z50" t="str">
        <f>salesforecast[[#This Row],[Bucket]]</f>
        <v>25.4-0-2-ERW 1-PE</v>
      </c>
      <c r="AA50" s="43">
        <f>salesforecast[[#This Row],[July Schedule]]</f>
        <v>16.9967475288</v>
      </c>
      <c r="AB50" s="43">
        <f>SUMIF(salesTVS[buckets.Bucket],salesforecast[[#This Row],[Bucket]],salesTVS[Quantity])/1000</f>
        <v>0</v>
      </c>
      <c r="AC50" s="43">
        <f>SUMIFS(stock[MT],stock[Bucket],salesforecast[[#This Row],[Bucket]],stock[LL or CTL],"CTL")</f>
        <v>1.7099999999999999E-3</v>
      </c>
      <c r="AD50" s="43">
        <f>SUMIF(stock[Bucket],salesforecast[[#This Row],[Bucket]],stock[MT])-salesforecast[[#This Row],[Stock CTL]]</f>
        <v>1.1482299999999999</v>
      </c>
      <c r="AE50" s="43" t="e">
        <v>#REF!</v>
      </c>
      <c r="AF50" s="43">
        <f>SUMIF(wip[Bucket],salesforecast[[#This Row],[Bucket]],wip[Stock(Net Wt)])/1000</f>
        <v>5.56</v>
      </c>
      <c r="AG50" s="43" t="e">
        <v>#REF!</v>
      </c>
      <c r="AH50" s="43">
        <f>SUMIFS(stock[MT],stock[Bucket],salesforecast[[#This Row],[Bucket2]],stock[Plant],"0788")</f>
        <v>0</v>
      </c>
      <c r="AI50" s="43">
        <f>((salesforecast[[#This Row],[WIP]]+salesforecast[[#This Row],[Stock LL]]))/salesforecast[[#This Row],[July Schedule]]*30</f>
        <v>11.840318252595022</v>
      </c>
      <c r="AJ50" s="52">
        <f>salesforecast[[#This Row],[Stock LL]]/salesforecast[[#This Row],[Schedule]]*30</f>
        <v>2.0266759826626668</v>
      </c>
      <c r="AK50" s="43">
        <f>SUMIFS(stock[MT],stock[Bucket],salesforecast[[#This Row],[Bucket2]],stock[Plant],"0789",stock[LL or CTL],"LL")</f>
        <v>0</v>
      </c>
      <c r="AL50" s="193">
        <f>(salesforecast[[#This Row],[Sales]])/salesforecast[[#This Row],[Schedule]]</f>
        <v>0</v>
      </c>
      <c r="AM50" s="43">
        <f>SUMIFS(stock[MT],stock[Plant],salesforecast[[#This Row],[Plant]],stock[LL or CTL],"LL",stock[Bucket],salesforecast[[#This Row],[Bucket]])</f>
        <v>0</v>
      </c>
      <c r="AN50" s="43">
        <f>SUMIFS(scheduleapr[SCHEDULE IN MT],scheduleapr[CUSTOMER NAME],"*Rajsriya*",scheduleapr[Bucket],salesforecast[[#This Row],[Bucket]])</f>
        <v>6.5407600440000007</v>
      </c>
      <c r="AO50" s="43">
        <f>SUMIFS(salesTVS[Quantity],salesTVS[CUSTOMER  NAME],"*RAJSRIYA*",salesTVS[buckets.Bucket],salesforecast[[#This Row],[Bucket]])/1000</f>
        <v>0</v>
      </c>
      <c r="AP50" s="43">
        <f>SUMIFS(stock[MT],stock[Plant],4318,stock[Bucket],salesforecast[[#This Row],[Bucket2]])</f>
        <v>0</v>
      </c>
      <c r="AQ50" s="43">
        <f>SUMIFS(stock[MT],stock[Plant],4731,stock[Bucket],salesforecast[[#This Row],[Bucket2]],stock[LL or CTL],"CTL")</f>
        <v>0</v>
      </c>
      <c r="AR50" s="43">
        <f>SUMIFS(stock[MT],stock[Plant],4731,stock[Bucket],salesforecast[[#This Row],[Bucket2]])-salesforecast[[#This Row],[4731 Stock CTL]]</f>
        <v>1.1482300000000001</v>
      </c>
      <c r="AS50" s="43">
        <f>SUMIFS(stock[MT],stock[Plant],8406,stock[Bucket],salesforecast[[#This Row],[Bucket2]])</f>
        <v>0</v>
      </c>
    </row>
    <row r="51" spans="1:45" ht="90" x14ac:dyDescent="0.25">
      <c r="A51">
        <v>25.4</v>
      </c>
      <c r="B51">
        <v>25.4</v>
      </c>
      <c r="C51">
        <v>0</v>
      </c>
      <c r="D51">
        <v>2</v>
      </c>
      <c r="E51" t="s">
        <v>962</v>
      </c>
      <c r="F51" t="s">
        <v>1003</v>
      </c>
      <c r="G51" t="s">
        <v>239</v>
      </c>
      <c r="H51" t="str">
        <f>_xlfn.CONCAT(salesforecast[[#This Row],[OD]],"-",salesforecast[[#This Row],[ID]],"-",salesforecast[[#This Row],[TICKNESS]],"-",salesforecast[[#This Row],[GRADE]],"-",salesforecast[[#This Row],[FC/NFC]])</f>
        <v>25.4-0-2-ERW 1-FC</v>
      </c>
      <c r="I51" s="43">
        <f>SUMIFS(scheduleapr[SCHEDULE IN MT],scheduleapr[Bucket],salesforecast[[#This Row],[Bucket]])</f>
        <v>35.401112761996799</v>
      </c>
      <c r="J51">
        <v>1940592</v>
      </c>
      <c r="K51">
        <f>COUNTIF('helper sheet'!$A$1:$A$33,salesforecast[[#This Row],[LL Material Code]])</f>
        <v>1</v>
      </c>
      <c r="L51">
        <v>1940584</v>
      </c>
      <c r="N51" t="s">
        <v>2463</v>
      </c>
      <c r="P51" s="47" t="s">
        <v>345</v>
      </c>
      <c r="Q51">
        <v>9</v>
      </c>
      <c r="R51">
        <v>52</v>
      </c>
      <c r="S51">
        <v>21</v>
      </c>
      <c r="T51" s="52">
        <f>ROUNDUP(MAX(salesforecast[[#This Row],[FY25 Average]],salesforecast[[#This Row],[July Schedule]]),0)</f>
        <v>36</v>
      </c>
      <c r="U51" s="52">
        <f>salesforecast[[#This Row],[Forecast]]-salesforecast[[#This Row],[July Schedule]]</f>
        <v>0.59888723800320065</v>
      </c>
      <c r="V51" t="str">
        <f>salesforecast[[#This Row],[Plant]]</f>
        <v>0789</v>
      </c>
      <c r="W51" s="66" t="str" cm="1">
        <f t="array" ref="W51">_xlfn.TEXTJOIN("|",TRUE,(_xlfn.UNIQUE(_xlfn._xlws.FILTER(scheduleapr[CUSTOMER NAME],scheduleapr[Bucket]=salesforecast[[#This Row],[Bucket]]))))</f>
        <v>ELKAYEM AUTO|ELKAYEM AUTO MYSORE |Marathwada|Rajsriya Unit 8|Rajsriya Automotive|SANDHAR ENGINEERING PVT LTD.|Sandhar Engg Mysore |SRIKAM HITECH</v>
      </c>
      <c r="X51" s="66" t="str" cm="1">
        <f t="array" ref="X51">_xlfn.TEXTJOIN("|",TRUE,(_xlfn.UNIQUE(_xlfn._xlws.SORT(_xlfn._xlws.FILTER(scheduleapr[LENGTH],scheduleapr[Bucket]=salesforecast[[#This Row],[Bucket]])))))</f>
        <v>281|290|315|323|350|355|418|660</v>
      </c>
      <c r="Y51" s="66" t="str" cm="1">
        <f t="array" ref="Y51">_xlfn.TEXTJOIN("|",TRUE,_xlfn._xlws.FILTER(buckets[Material Codes],(buckets[Bucket]=salesforecast[[#This Row],[Bucket2]])*(buckets[LL or CTL]="CTL")))</f>
        <v>4229656|3216121|1940584|3209978|3616911|1940588|3122350|3863819|3926270|2382577|1386656|3924502|4220897|1531609|3784370|2420715</v>
      </c>
      <c r="Z51" t="str">
        <f>salesforecast[[#This Row],[Bucket]]</f>
        <v>25.4-0-2-ERW 1-FC</v>
      </c>
      <c r="AA51" s="43">
        <f>salesforecast[[#This Row],[July Schedule]]</f>
        <v>35.401112761996799</v>
      </c>
      <c r="AB51" s="43">
        <f>SUMIF(salesTVS[buckets.Bucket],salesforecast[[#This Row],[Bucket]],salesTVS[Quantity])/1000</f>
        <v>27.137424000000003</v>
      </c>
      <c r="AC51" s="43">
        <f>SUMIFS(stock[MT],stock[Bucket],salesforecast[[#This Row],[Bucket]],stock[LL or CTL],"CTL")</f>
        <v>14.849622</v>
      </c>
      <c r="AD51" s="43">
        <f>SUMIF(stock[Bucket],salesforecast[[#This Row],[Bucket]],stock[MT])-salesforecast[[#This Row],[Stock CTL]]</f>
        <v>10.739000000000004</v>
      </c>
      <c r="AE51" s="43" t="e">
        <v>#REF!</v>
      </c>
      <c r="AF51" s="43">
        <f>SUMIF(wip[Bucket],salesforecast[[#This Row],[Bucket]],wip[Stock(Net Wt)])/1000</f>
        <v>25.931000000000001</v>
      </c>
      <c r="AG51" s="43" t="e">
        <v>#REF!</v>
      </c>
      <c r="AH51" s="43">
        <f>SUMIFS(stock[MT],stock[Bucket],salesforecast[[#This Row],[Bucket2]],stock[Plant],"0788")</f>
        <v>0</v>
      </c>
      <c r="AI51" s="43">
        <f>((salesforecast[[#This Row],[WIP]]+salesforecast[[#This Row],[Stock LL]]))/salesforecast[[#This Row],[July Schedule]]*30</f>
        <v>31.075294367044886</v>
      </c>
      <c r="AJ51" s="52">
        <f>salesforecast[[#This Row],[Stock LL]]/salesforecast[[#This Row],[Schedule]]*30</f>
        <v>9.1005613909925049</v>
      </c>
      <c r="AK51" s="43">
        <f>SUMIFS(stock[MT],stock[Bucket],salesforecast[[#This Row],[Bucket2]],stock[Plant],"0789",stock[LL or CTL],"LL")</f>
        <v>0.68799999999999994</v>
      </c>
      <c r="AL51" s="193">
        <f>(salesforecast[[#This Row],[Sales]])/salesforecast[[#This Row],[Schedule]]</f>
        <v>0.76656980198464575</v>
      </c>
      <c r="AM51" s="43">
        <f>SUMIFS(stock[MT],stock[Plant],salesforecast[[#This Row],[Plant]],stock[LL or CTL],"LL",stock[Bucket],salesforecast[[#This Row],[Bucket]])</f>
        <v>0.68799999999999994</v>
      </c>
      <c r="AN51" s="43">
        <f>SUMIFS(scheduleapr[SCHEDULE IN MT],scheduleapr[CUSTOMER NAME],"*Rajsriya*",scheduleapr[Bucket],salesforecast[[#This Row],[Bucket]])</f>
        <v>7.821226295999999</v>
      </c>
      <c r="AO51" s="43">
        <f>SUMIFS(salesTVS[Quantity],salesTVS[CUSTOMER  NAME],"*RAJSRIYA*",salesTVS[buckets.Bucket],salesforecast[[#This Row],[Bucket]])/1000</f>
        <v>0</v>
      </c>
      <c r="AP51" s="43">
        <f>SUMIFS(stock[MT],stock[Plant],4318,stock[Bucket],salesforecast[[#This Row],[Bucket2]])</f>
        <v>0</v>
      </c>
      <c r="AQ51" s="43">
        <f>SUMIFS(stock[MT],stock[Plant],4731,stock[Bucket],salesforecast[[#This Row],[Bucket2]],stock[LL or CTL],"CTL")</f>
        <v>2.3189169999999999</v>
      </c>
      <c r="AR51" s="43">
        <f>SUMIFS(stock[MT],stock[Plant],4731,stock[Bucket],salesforecast[[#This Row],[Bucket2]])-salesforecast[[#This Row],[4731 Stock CTL]]</f>
        <v>10.051000000000002</v>
      </c>
      <c r="AS51" s="43">
        <f>SUMIFS(stock[MT],stock[Plant],8406,stock[Bucket],salesforecast[[#This Row],[Bucket2]])</f>
        <v>1.529582</v>
      </c>
    </row>
    <row r="52" spans="1:45" ht="30" x14ac:dyDescent="0.25">
      <c r="A52">
        <v>25.4</v>
      </c>
      <c r="B52">
        <v>25.4</v>
      </c>
      <c r="C52">
        <v>0</v>
      </c>
      <c r="D52">
        <v>2.5</v>
      </c>
      <c r="E52" t="s">
        <v>357</v>
      </c>
      <c r="F52" t="s">
        <v>357</v>
      </c>
      <c r="G52" t="s">
        <v>239</v>
      </c>
      <c r="H52" t="str">
        <f>_xlfn.CONCAT(salesforecast[[#This Row],[OD]],"-",salesforecast[[#This Row],[ID]],"-",salesforecast[[#This Row],[TICKNESS]],"-",salesforecast[[#This Row],[GRADE]],"-",salesforecast[[#This Row],[FC/NFC]])</f>
        <v>25.4-0-2.5-CEW-CEW</v>
      </c>
      <c r="I52" s="43">
        <f>SUMIFS(scheduleapr[SCHEDULE IN MT],scheduleapr[Bucket],salesforecast[[#This Row],[Bucket]])</f>
        <v>15.311034462499997</v>
      </c>
      <c r="J52">
        <v>3770391</v>
      </c>
      <c r="K52">
        <f>COUNTIF('helper sheet'!$A$1:$A$33,salesforecast[[#This Row],[LL Material Code]])</f>
        <v>0</v>
      </c>
      <c r="N52" t="s">
        <v>2343</v>
      </c>
      <c r="P52" s="47" t="s">
        <v>362</v>
      </c>
      <c r="Q52">
        <v>0</v>
      </c>
      <c r="R52">
        <v>8</v>
      </c>
      <c r="S52">
        <v>3</v>
      </c>
      <c r="T52" s="52">
        <f>ROUNDUP(MAX(salesforecast[[#This Row],[FY25 Average]],salesforecast[[#This Row],[July Schedule]]),0)</f>
        <v>16</v>
      </c>
      <c r="U52" s="52">
        <f>salesforecast[[#This Row],[Forecast]]-salesforecast[[#This Row],[July Schedule]]</f>
        <v>0.68896553750000322</v>
      </c>
      <c r="V52" t="str">
        <f>salesforecast[[#This Row],[Plant]]</f>
        <v>0788</v>
      </c>
      <c r="W52" s="66" t="str" cm="1">
        <f t="array" ref="W52">_xlfn.TEXTJOIN("|",TRUE,(_xlfn.UNIQUE(_xlfn._xlws.FILTER(scheduleapr[CUSTOMER NAME],scheduleapr[Bucket]=salesforecast[[#This Row],[Bucket]]))))</f>
        <v>Marathwada|Rajsriya Unit 1</v>
      </c>
      <c r="X52" s="66" t="str" cm="1">
        <f t="array" ref="X52">_xlfn.TEXTJOIN("|",TRUE,(_xlfn.UNIQUE(_xlfn._xlws.SORT(_xlfn._xlws.FILTER(scheduleapr[LENGTH],scheduleapr[Bucket]=salesforecast[[#This Row],[Bucket]])))))</f>
        <v>217</v>
      </c>
      <c r="Y52" s="66" t="str" cm="1">
        <f t="array" ref="Y52">_xlfn.TEXTJOIN("|",TRUE,_xlfn._xlws.FILTER(buckets[Material Codes],(buckets[Bucket]=salesforecast[[#This Row],[Bucket2]])))</f>
        <v>1939544|1941293|3770391|3441355</v>
      </c>
      <c r="Z52" t="str">
        <f>salesforecast[[#This Row],[Bucket]]</f>
        <v>25.4-0-2.5-CEW-CEW</v>
      </c>
      <c r="AA52" s="43">
        <f>salesforecast[[#This Row],[July Schedule]]</f>
        <v>15.311034462499997</v>
      </c>
      <c r="AB52" s="43">
        <f>SUMIF(salesTVS[buckets.Bucket],salesforecast[[#This Row],[Bucket]],salesTVS[Quantity])/1000</f>
        <v>6.69834</v>
      </c>
      <c r="AC52" s="43">
        <f>SUMIFS(stock[MT],stock[Bucket],salesforecast[[#This Row],[Bucket]],stock[LL or CTL],"CTL")</f>
        <v>2.1861579999999998</v>
      </c>
      <c r="AD52" s="43">
        <f>SUMIF(stock[Bucket],salesforecast[[#This Row],[Bucket]],stock[MT])-salesforecast[[#This Row],[Stock CTL]]</f>
        <v>6.2467749999999986</v>
      </c>
      <c r="AE52" s="43" t="e">
        <v>#REF!</v>
      </c>
      <c r="AF52" s="43">
        <f>SUMIF(wip[Bucket],salesforecast[[#This Row],[Bucket]],wip[Stock(Net Wt)])/1000</f>
        <v>0</v>
      </c>
      <c r="AG52" s="43" t="e">
        <v>#REF!</v>
      </c>
      <c r="AH52" s="43">
        <f>SUMIFS(stock[MT],stock[Bucket],salesforecast[[#This Row],[Bucket2]],stock[Plant],"0788")</f>
        <v>0</v>
      </c>
      <c r="AI52" s="43">
        <f>((salesforecast[[#This Row],[WIP]]+salesforecast[[#This Row],[Stock LL]]))/salesforecast[[#This Row],[July Schedule]]*30</f>
        <v>12.239751040923503</v>
      </c>
      <c r="AJ52" s="52">
        <f>salesforecast[[#This Row],[Stock LL]]/salesforecast[[#This Row],[Schedule]]*30</f>
        <v>12.239751040923503</v>
      </c>
      <c r="AK52" s="43">
        <f>SUMIFS(stock[MT],stock[Bucket],salesforecast[[#This Row],[Bucket2]],stock[Plant],"0789",stock[LL or CTL],"LL")</f>
        <v>0</v>
      </c>
      <c r="AL52" s="193">
        <f>(salesforecast[[#This Row],[Sales]])/salesforecast[[#This Row],[Schedule]]</f>
        <v>0.43748448325981304</v>
      </c>
      <c r="AM52" s="43">
        <f>SUMIFS(stock[MT],stock[Plant],salesforecast[[#This Row],[Plant]],stock[LL or CTL],"LL",stock[Bucket],salesforecast[[#This Row],[Bucket]])</f>
        <v>0</v>
      </c>
      <c r="AN52" s="43">
        <f>SUMIFS(scheduleapr[SCHEDULE IN MT],scheduleapr[CUSTOMER NAME],"*Rajsriya*",scheduleapr[Bucket],salesforecast[[#This Row],[Bucket]])</f>
        <v>6.1244137849999989</v>
      </c>
      <c r="AO52" s="43">
        <f>SUMIFS(salesTVS[Quantity],salesTVS[CUSTOMER  NAME],"*RAJSRIYA*",salesTVS[buckets.Bucket],salesforecast[[#This Row],[Bucket]])/1000</f>
        <v>1.20564</v>
      </c>
      <c r="AP52" s="43">
        <f>SUMIFS(stock[MT],stock[Plant],4318,stock[Bucket],salesforecast[[#This Row],[Bucket2]])</f>
        <v>0</v>
      </c>
      <c r="AQ52" s="43">
        <f>SUMIFS(stock[MT],stock[Plant],4731,stock[Bucket],salesforecast[[#This Row],[Bucket2]],stock[LL or CTL],"CTL")</f>
        <v>1.194507</v>
      </c>
      <c r="AR52" s="43">
        <f>SUMIFS(stock[MT],stock[Plant],4731,stock[Bucket],salesforecast[[#This Row],[Bucket2]])-salesforecast[[#This Row],[4731 Stock CTL]]</f>
        <v>6.2467750000000013</v>
      </c>
      <c r="AS52" s="43">
        <f>SUMIFS(stock[MT],stock[Plant],8406,stock[Bucket],salesforecast[[#This Row],[Bucket2]])</f>
        <v>0.99165099999999995</v>
      </c>
    </row>
    <row r="53" spans="1:45" ht="30" x14ac:dyDescent="0.25">
      <c r="A53">
        <v>25.4</v>
      </c>
      <c r="B53">
        <v>25.4</v>
      </c>
      <c r="C53">
        <v>0</v>
      </c>
      <c r="D53">
        <v>2.5</v>
      </c>
      <c r="E53" t="s">
        <v>962</v>
      </c>
      <c r="F53" t="s">
        <v>1003</v>
      </c>
      <c r="G53" t="s">
        <v>239</v>
      </c>
      <c r="H53" t="str">
        <f>_xlfn.CONCAT(salesforecast[[#This Row],[OD]],"-",salesforecast[[#This Row],[ID]],"-",salesforecast[[#This Row],[TICKNESS]],"-",salesforecast[[#This Row],[GRADE]],"-",salesforecast[[#This Row],[FC/NFC]])</f>
        <v>25.4-0-2.5-ERW 1-FC</v>
      </c>
      <c r="I53" s="43">
        <f>SUMIFS(scheduleapr[SCHEDULE IN MT],scheduleapr[Bucket],salesforecast[[#This Row],[Bucket]])</f>
        <v>32.453032983788248</v>
      </c>
      <c r="J53">
        <v>1940592</v>
      </c>
      <c r="K53">
        <f>COUNTIF('helper sheet'!$A$1:$A$33,salesforecast[[#This Row],[LL Material Code]])</f>
        <v>1</v>
      </c>
      <c r="L53">
        <v>1940595</v>
      </c>
      <c r="N53" t="s">
        <v>2463</v>
      </c>
      <c r="P53" s="47" t="s">
        <v>345</v>
      </c>
      <c r="Q53">
        <v>0</v>
      </c>
      <c r="R53">
        <v>9</v>
      </c>
      <c r="S53">
        <v>3</v>
      </c>
      <c r="T53" s="52">
        <f>ROUNDUP(MAX(salesforecast[[#This Row],[FY25 Average]],salesforecast[[#This Row],[July Schedule]]),0)</f>
        <v>33</v>
      </c>
      <c r="U53" s="52">
        <f>salesforecast[[#This Row],[Forecast]]-salesforecast[[#This Row],[July Schedule]]</f>
        <v>0.54696701621175237</v>
      </c>
      <c r="V53" t="str">
        <f>salesforecast[[#This Row],[Plant]]</f>
        <v>0789</v>
      </c>
      <c r="W53" s="66" t="str" cm="1">
        <f t="array" ref="W53">_xlfn.TEXTJOIN("|",TRUE,(_xlfn.UNIQUE(_xlfn._xlws.FILTER(scheduleapr[CUSTOMER NAME],scheduleapr[Bucket]=salesforecast[[#This Row],[Bucket]]))))</f>
        <v xml:space="preserve">Sandhar Engg Mysore </v>
      </c>
      <c r="X53" s="66" t="str" cm="1">
        <f t="array" ref="X53">_xlfn.TEXTJOIN("|",TRUE,(_xlfn.UNIQUE(_xlfn._xlws.SORT(_xlfn._xlws.FILTER(scheduleapr[LENGTH],scheduleapr[Bucket]=salesforecast[[#This Row],[Bucket]])))))</f>
        <v>783</v>
      </c>
      <c r="Y53" s="66" t="str" cm="1">
        <f t="array" ref="Y53">_xlfn.TEXTJOIN("|",TRUE,_xlfn._xlws.FILTER(buckets[Material Codes],(buckets[Bucket]=salesforecast[[#This Row],[Bucket2]])*(buckets[LL or CTL]="CTL")))</f>
        <v>4095196|1940595|3542856|3775636|2280506|1940603</v>
      </c>
      <c r="Z53" t="str">
        <f>salesforecast[[#This Row],[Bucket]]</f>
        <v>25.4-0-2.5-ERW 1-FC</v>
      </c>
      <c r="AA53" s="43">
        <f>salesforecast[[#This Row],[July Schedule]]</f>
        <v>32.453032983788248</v>
      </c>
      <c r="AB53" s="43">
        <f>SUMIF(salesTVS[buckets.Bucket],salesforecast[[#This Row],[Bucket]],salesTVS[Quantity])/1000</f>
        <v>24.407213000000002</v>
      </c>
      <c r="AC53" s="43">
        <f>SUMIFS(stock[MT],stock[Bucket],salesforecast[[#This Row],[Bucket]],stock[LL or CTL],"CTL")</f>
        <v>9.32029</v>
      </c>
      <c r="AD53" s="43">
        <f>SUMIF(stock[Bucket],salesforecast[[#This Row],[Bucket]],stock[MT])-salesforecast[[#This Row],[Stock CTL]]</f>
        <v>8.2275149999999968</v>
      </c>
      <c r="AE53" s="43" t="e">
        <v>#REF!</v>
      </c>
      <c r="AF53" s="43">
        <f>SUMIF(wip[Bucket],salesforecast[[#This Row],[Bucket]],wip[Stock(Net Wt)])/1000</f>
        <v>11.911</v>
      </c>
      <c r="AG53" s="43" t="e">
        <v>#REF!</v>
      </c>
      <c r="AH53" s="43">
        <f>SUMIFS(stock[MT],stock[Bucket],salesforecast[[#This Row],[Bucket2]],stock[Plant],"0788")</f>
        <v>0</v>
      </c>
      <c r="AI53" s="43">
        <f>((salesforecast[[#This Row],[WIP]]+salesforecast[[#This Row],[Stock LL]]))/salesforecast[[#This Row],[July Schedule]]*30</f>
        <v>18.616301604284654</v>
      </c>
      <c r="AJ53" s="52">
        <f>salesforecast[[#This Row],[Stock LL]]/salesforecast[[#This Row],[Schedule]]*30</f>
        <v>7.6056204091401982</v>
      </c>
      <c r="AK53" s="43">
        <f>SUMIFS(stock[MT],stock[Bucket],salesforecast[[#This Row],[Bucket2]],stock[Plant],"0789",stock[LL or CTL],"LL")</f>
        <v>0</v>
      </c>
      <c r="AL53" s="193">
        <f>(salesforecast[[#This Row],[Sales]])/salesforecast[[#This Row],[Schedule]]</f>
        <v>0.75207802648807909</v>
      </c>
      <c r="AM53" s="43">
        <f>SUMIFS(stock[MT],stock[Plant],salesforecast[[#This Row],[Plant]],stock[LL or CTL],"LL",stock[Bucket],salesforecast[[#This Row],[Bucket]])</f>
        <v>0</v>
      </c>
      <c r="AN53" s="43">
        <f>SUMIFS(scheduleapr[SCHEDULE IN MT],scheduleapr[CUSTOMER NAME],"*Rajsriya*",scheduleapr[Bucket],salesforecast[[#This Row],[Bucket]])</f>
        <v>0</v>
      </c>
      <c r="AO53" s="43">
        <f>SUMIFS(salesTVS[Quantity],salesTVS[CUSTOMER  NAME],"*RAJSRIYA*",salesTVS[buckets.Bucket],salesforecast[[#This Row],[Bucket]])/1000</f>
        <v>0</v>
      </c>
      <c r="AP53" s="43">
        <f>SUMIFS(stock[MT],stock[Plant],4318,stock[Bucket],salesforecast[[#This Row],[Bucket2]])</f>
        <v>0</v>
      </c>
      <c r="AQ53" s="43">
        <f>SUMIFS(stock[MT],stock[Plant],4731,stock[Bucket],salesforecast[[#This Row],[Bucket2]],stock[LL or CTL],"CTL")</f>
        <v>0.201239</v>
      </c>
      <c r="AR53" s="43">
        <f>SUMIFS(stock[MT],stock[Plant],4731,stock[Bucket],salesforecast[[#This Row],[Bucket2]])-salesforecast[[#This Row],[4731 Stock CTL]]</f>
        <v>8.2275150000000004</v>
      </c>
      <c r="AS53" s="43">
        <f>SUMIFS(stock[MT],stock[Plant],8406,stock[Bucket],salesforecast[[#This Row],[Bucket2]])</f>
        <v>0</v>
      </c>
    </row>
    <row r="54" spans="1:45" ht="30" x14ac:dyDescent="0.25">
      <c r="A54">
        <v>25.4</v>
      </c>
      <c r="B54">
        <v>25.4</v>
      </c>
      <c r="C54">
        <v>19</v>
      </c>
      <c r="D54">
        <v>3.2</v>
      </c>
      <c r="E54" t="s">
        <v>357</v>
      </c>
      <c r="F54" t="s">
        <v>357</v>
      </c>
      <c r="G54" t="s">
        <v>239</v>
      </c>
      <c r="H54" t="str">
        <f>_xlfn.CONCAT(salesforecast[[#This Row],[OD]],"-",salesforecast[[#This Row],[ID]],"-",salesforecast[[#This Row],[TICKNESS]],"-",salesforecast[[#This Row],[GRADE]],"-",salesforecast[[#This Row],[FC/NFC]])</f>
        <v>25.4-19-3.2-CEW-CEW</v>
      </c>
      <c r="I54" s="43">
        <f>SUMIFS(scheduleapr[SCHEDULE IN MT],scheduleapr[Bucket],salesforecast[[#This Row],[Bucket]])</f>
        <v>3.5021299199999998</v>
      </c>
      <c r="J54">
        <v>2410997</v>
      </c>
      <c r="K54">
        <f>COUNTIF('helper sheet'!$A$1:$A$33,salesforecast[[#This Row],[LL Material Code]])</f>
        <v>0</v>
      </c>
      <c r="N54" t="s">
        <v>814</v>
      </c>
      <c r="P54" s="47" t="s">
        <v>362</v>
      </c>
      <c r="Q54">
        <v>0</v>
      </c>
      <c r="R54">
        <v>9</v>
      </c>
      <c r="S54">
        <v>2</v>
      </c>
      <c r="T54" s="52">
        <f>ROUNDUP(MAX(salesforecast[[#This Row],[FY25 Average]],salesforecast[[#This Row],[July Schedule]]),0)</f>
        <v>4</v>
      </c>
      <c r="U54" s="52">
        <f>salesforecast[[#This Row],[Forecast]]-salesforecast[[#This Row],[July Schedule]]</f>
        <v>0.49787008000000021</v>
      </c>
      <c r="V54" t="str">
        <f>salesforecast[[#This Row],[Plant]]</f>
        <v>0788</v>
      </c>
      <c r="W54" s="66" t="str" cm="1">
        <f t="array" ref="W54">_xlfn.TEXTJOIN("|",TRUE,(_xlfn.UNIQUE(_xlfn._xlws.FILTER(scheduleapr[CUSTOMER NAME],scheduleapr[Bucket]=salesforecast[[#This Row],[Bucket]]))))</f>
        <v xml:space="preserve">NMPL TVSM|NMPL HUB|Sandhar Engg Mysore </v>
      </c>
      <c r="X54" s="66" t="str" cm="1">
        <f t="array" ref="X54">_xlfn.TEXTJOIN("|",TRUE,(_xlfn.UNIQUE(_xlfn._xlws.SORT(_xlfn._xlws.FILTER(scheduleapr[LENGTH],scheduleapr[Bucket]=salesforecast[[#This Row],[Bucket]])))))</f>
        <v>1000</v>
      </c>
      <c r="Y54" s="66" t="str" cm="1">
        <f t="array" ref="Y54">_xlfn.TEXTJOIN("|",TRUE,_xlfn._xlws.FILTER(buckets[Material Codes],(buckets[Bucket]=salesforecast[[#This Row],[Bucket2]])))</f>
        <v>2410997</v>
      </c>
      <c r="Z54" t="str">
        <f>salesforecast[[#This Row],[Bucket]]</f>
        <v>25.4-19-3.2-CEW-CEW</v>
      </c>
      <c r="AA54" s="43">
        <f>salesforecast[[#This Row],[July Schedule]]</f>
        <v>3.5021299199999998</v>
      </c>
      <c r="AB54" s="43">
        <f>SUMIF(salesTVS[buckets.Bucket],salesforecast[[#This Row],[Bucket]],salesTVS[Quantity])/1000</f>
        <v>4.2062389999999992</v>
      </c>
      <c r="AC54" s="43">
        <f>SUMIFS(stock[MT],stock[Bucket],salesforecast[[#This Row],[Bucket]],stock[LL or CTL],"CTL")</f>
        <v>0</v>
      </c>
      <c r="AD54" s="43">
        <f>SUMIF(stock[Bucket],salesforecast[[#This Row],[Bucket]],stock[MT])-salesforecast[[#This Row],[Stock CTL]]</f>
        <v>0.19838500000000001</v>
      </c>
      <c r="AE54" s="43" t="e">
        <v>#REF!</v>
      </c>
      <c r="AF54" s="43">
        <f>SUMIF(wip[Bucket],salesforecast[[#This Row],[Bucket]],wip[Stock(Net Wt)])/1000</f>
        <v>0</v>
      </c>
      <c r="AG54" s="43" t="e">
        <v>#REF!</v>
      </c>
      <c r="AH54" s="43">
        <f>SUMIFS(stock[MT],stock[Bucket],salesforecast[[#This Row],[Bucket2]],stock[Plant],"0788")</f>
        <v>0</v>
      </c>
      <c r="AI54" s="43">
        <f>((salesforecast[[#This Row],[WIP]]+salesforecast[[#This Row],[Stock LL]]))/salesforecast[[#This Row],[July Schedule]]*30</f>
        <v>1.6994086844156828</v>
      </c>
      <c r="AJ54" s="52">
        <f>salesforecast[[#This Row],[Stock LL]]/salesforecast[[#This Row],[Schedule]]*30</f>
        <v>1.6994086844156828</v>
      </c>
      <c r="AK54" s="43">
        <f>SUMIFS(stock[MT],stock[Bucket],salesforecast[[#This Row],[Bucket2]],stock[Plant],"0789",stock[LL or CTL],"LL")</f>
        <v>0</v>
      </c>
      <c r="AL54" s="193">
        <f>(salesforecast[[#This Row],[Sales]])/salesforecast[[#This Row],[Schedule]]</f>
        <v>1.2010516731486647</v>
      </c>
      <c r="AM54" s="43">
        <f>SUMIFS(stock[MT],stock[Plant],salesforecast[[#This Row],[Plant]],stock[LL or CTL],"LL",stock[Bucket],salesforecast[[#This Row],[Bucket]])</f>
        <v>0</v>
      </c>
      <c r="AN54" s="43">
        <f>SUMIFS(scheduleapr[SCHEDULE IN MT],scheduleapr[CUSTOMER NAME],"*Rajsriya*",scheduleapr[Bucket],salesforecast[[#This Row],[Bucket]])</f>
        <v>0</v>
      </c>
      <c r="AO54" s="43">
        <f>SUMIFS(salesTVS[Quantity],salesTVS[CUSTOMER  NAME],"*RAJSRIYA*",salesTVS[buckets.Bucket],salesforecast[[#This Row],[Bucket]])/1000</f>
        <v>0</v>
      </c>
      <c r="AP54" s="43">
        <f>SUMIFS(stock[MT],stock[Plant],4318,stock[Bucket],salesforecast[[#This Row],[Bucket2]])</f>
        <v>0</v>
      </c>
      <c r="AQ54" s="43">
        <f>SUMIFS(stock[MT],stock[Plant],4731,stock[Bucket],salesforecast[[#This Row],[Bucket2]],stock[LL or CTL],"CTL")</f>
        <v>0</v>
      </c>
      <c r="AR54" s="43">
        <f>SUMIFS(stock[MT],stock[Plant],4731,stock[Bucket],salesforecast[[#This Row],[Bucket2]])-salesforecast[[#This Row],[4731 Stock CTL]]</f>
        <v>0.19838500000000001</v>
      </c>
      <c r="AS54" s="43">
        <f>SUMIFS(stock[MT],stock[Plant],8406,stock[Bucket],salesforecast[[#This Row],[Bucket2]])</f>
        <v>0</v>
      </c>
    </row>
    <row r="55" spans="1:45" ht="30" x14ac:dyDescent="0.25">
      <c r="A55">
        <v>25.4</v>
      </c>
      <c r="B55">
        <v>25.4</v>
      </c>
      <c r="C55">
        <v>18.399999999999999</v>
      </c>
      <c r="D55">
        <v>3.5</v>
      </c>
      <c r="E55" t="s">
        <v>357</v>
      </c>
      <c r="F55" t="s">
        <v>357</v>
      </c>
      <c r="G55" t="s">
        <v>239</v>
      </c>
      <c r="H55" t="str">
        <f>_xlfn.CONCAT(salesforecast[[#This Row],[OD]],"-",salesforecast[[#This Row],[ID]],"-",salesforecast[[#This Row],[TICKNESS]],"-",salesforecast[[#This Row],[GRADE]],"-",salesforecast[[#This Row],[FC/NFC]])</f>
        <v>25.4-18.4-3.5-CEW-CEW</v>
      </c>
      <c r="I55" s="43">
        <f>SUMIFS(scheduleapr[SCHEDULE IN MT],scheduleapr[Bucket],salesforecast[[#This Row],[Bucket]])</f>
        <v>35.319431319899998</v>
      </c>
      <c r="J55">
        <v>2418610</v>
      </c>
      <c r="K55">
        <f>COUNTIF('helper sheet'!$A$1:$A$33,salesforecast[[#This Row],[LL Material Code]])</f>
        <v>0</v>
      </c>
      <c r="N55" t="s">
        <v>1964</v>
      </c>
      <c r="P55" s="47" t="s">
        <v>362</v>
      </c>
      <c r="Q55">
        <v>7</v>
      </c>
      <c r="R55">
        <v>49</v>
      </c>
      <c r="S55">
        <v>20</v>
      </c>
      <c r="T55" s="52">
        <f>ROUNDUP(MAX(salesforecast[[#This Row],[FY25 Average]],salesforecast[[#This Row],[July Schedule]]),0)</f>
        <v>36</v>
      </c>
      <c r="U55" s="52">
        <f>salesforecast[[#This Row],[Forecast]]-salesforecast[[#This Row],[July Schedule]]</f>
        <v>0.68056868010000215</v>
      </c>
      <c r="V55" t="str">
        <f>salesforecast[[#This Row],[Plant]]</f>
        <v>0788</v>
      </c>
      <c r="W55" s="66" t="str" cm="1">
        <f t="array" ref="W55">_xlfn.TEXTJOIN("|",TRUE,(_xlfn.UNIQUE(_xlfn._xlws.FILTER(scheduleapr[CUSTOMER NAME],scheduleapr[Bucket]=salesforecast[[#This Row],[Bucket]]))))</f>
        <v>Narasipur Auto Component(P)Ltd</v>
      </c>
      <c r="X55" s="66" t="str" cm="1">
        <f t="array" ref="X55">_xlfn.TEXTJOIN("|",TRUE,(_xlfn.UNIQUE(_xlfn._xlws.SORT(_xlfn._xlws.FILTER(scheduleapr[LENGTH],scheduleapr[Bucket]=salesforecast[[#This Row],[Bucket]])))))</f>
        <v>247|263</v>
      </c>
      <c r="Y55" s="66" t="str" cm="1">
        <f t="array" ref="Y55">_xlfn.TEXTJOIN("|",TRUE,_xlfn._xlws.FILTER(buckets[Material Codes],(buckets[Bucket]=salesforecast[[#This Row],[Bucket2]])))</f>
        <v>4276615|1939284|1939283|3770392|2418610</v>
      </c>
      <c r="Z55" t="str">
        <f>salesforecast[[#This Row],[Bucket]]</f>
        <v>25.4-18.4-3.5-CEW-CEW</v>
      </c>
      <c r="AA55" s="43">
        <f>salesforecast[[#This Row],[July Schedule]]</f>
        <v>35.319431319899998</v>
      </c>
      <c r="AB55" s="43">
        <f>SUMIF(salesTVS[buckets.Bucket],salesforecast[[#This Row],[Bucket]],salesTVS[Quantity])/1000</f>
        <v>36.046999999999997</v>
      </c>
      <c r="AC55" s="43">
        <f>SUMIFS(stock[MT],stock[Bucket],salesforecast[[#This Row],[Bucket]],stock[LL or CTL],"CTL")</f>
        <v>0</v>
      </c>
      <c r="AD55" s="43">
        <f>SUMIF(stock[Bucket],salesforecast[[#This Row],[Bucket]],stock[MT])-salesforecast[[#This Row],[Stock CTL]]</f>
        <v>83.630596999999995</v>
      </c>
      <c r="AE55" s="43" t="e">
        <v>#REF!</v>
      </c>
      <c r="AF55" s="43">
        <f>SUMIF(wip[Bucket],salesforecast[[#This Row],[Bucket]],wip[Stock(Net Wt)])/1000</f>
        <v>0</v>
      </c>
      <c r="AG55" s="43" t="e">
        <v>#REF!</v>
      </c>
      <c r="AH55" s="43">
        <f>SUMIFS(stock[MT],stock[Bucket],salesforecast[[#This Row],[Bucket2]],stock[Plant],"0788")</f>
        <v>72.929999999999978</v>
      </c>
      <c r="AI55" s="43">
        <f>((salesforecast[[#This Row],[WIP]]+salesforecast[[#This Row],[Stock LL]]))/salesforecast[[#This Row],[July Schedule]]*30</f>
        <v>71.035059632639161</v>
      </c>
      <c r="AJ55" s="52">
        <f>salesforecast[[#This Row],[Stock LL]]/salesforecast[[#This Row],[Schedule]]*30</f>
        <v>71.035059632639161</v>
      </c>
      <c r="AK55" s="43">
        <f>SUMIFS(stock[MT],stock[Bucket],salesforecast[[#This Row],[Bucket2]],stock[Plant],"0789",stock[LL or CTL],"LL")</f>
        <v>0</v>
      </c>
      <c r="AL55" s="193">
        <f>(salesforecast[[#This Row],[Sales]])/salesforecast[[#This Row],[Schedule]]</f>
        <v>1.0205996714247794</v>
      </c>
      <c r="AM55" s="43">
        <f>SUMIFS(stock[MT],stock[Plant],salesforecast[[#This Row],[Plant]],stock[LL or CTL],"LL",stock[Bucket],salesforecast[[#This Row],[Bucket]])</f>
        <v>72.929999999999978</v>
      </c>
      <c r="AN55" s="43">
        <f>SUMIFS(scheduleapr[SCHEDULE IN MT],scheduleapr[CUSTOMER NAME],"*Rajsriya*",scheduleapr[Bucket],salesforecast[[#This Row],[Bucket]])</f>
        <v>0</v>
      </c>
      <c r="AO55" s="43">
        <f>SUMIFS(salesTVS[Quantity],salesTVS[CUSTOMER  NAME],"*RAJSRIYA*",salesTVS[buckets.Bucket],salesforecast[[#This Row],[Bucket]])/1000</f>
        <v>0</v>
      </c>
      <c r="AP55" s="43">
        <f>SUMIFS(stock[MT],stock[Plant],4318,stock[Bucket],salesforecast[[#This Row],[Bucket2]])</f>
        <v>0</v>
      </c>
      <c r="AQ55" s="43">
        <f>SUMIFS(stock[MT],stock[Plant],4731,stock[Bucket],salesforecast[[#This Row],[Bucket2]],stock[LL or CTL],"CTL")</f>
        <v>0</v>
      </c>
      <c r="AR55" s="43">
        <f>SUMIFS(stock[MT],stock[Plant],4731,stock[Bucket],salesforecast[[#This Row],[Bucket2]])-salesforecast[[#This Row],[4731 Stock CTL]]</f>
        <v>10.700597</v>
      </c>
      <c r="AS55" s="43">
        <f>SUMIFS(stock[MT],stock[Plant],8406,stock[Bucket],salesforecast[[#This Row],[Bucket2]])</f>
        <v>0</v>
      </c>
    </row>
    <row r="56" spans="1:45" ht="30" x14ac:dyDescent="0.25">
      <c r="A56">
        <v>28.58</v>
      </c>
      <c r="B56">
        <v>28.58</v>
      </c>
      <c r="C56">
        <v>0</v>
      </c>
      <c r="D56">
        <v>1.2</v>
      </c>
      <c r="E56" t="s">
        <v>962</v>
      </c>
      <c r="F56" t="s">
        <v>963</v>
      </c>
      <c r="G56" t="s">
        <v>1867</v>
      </c>
      <c r="H56" t="str">
        <f>_xlfn.CONCAT(salesforecast[[#This Row],[OD]],"-",salesforecast[[#This Row],[ID]],"-",salesforecast[[#This Row],[TICKNESS]],"-",salesforecast[[#This Row],[GRADE]],"-",salesforecast[[#This Row],[FC/NFC]])</f>
        <v>28.58-0-1.2-ERW 1-PE</v>
      </c>
      <c r="I56" s="43">
        <f>SUMIFS(scheduleapr[SCHEDULE IN MT],scheduleapr[Bucket],salesforecast[[#This Row],[Bucket]])</f>
        <v>4.8430079131199992</v>
      </c>
      <c r="J56">
        <v>1940617</v>
      </c>
      <c r="K56">
        <f>COUNTIF('helper sheet'!$A$1:$A$33,salesforecast[[#This Row],[LL Material Code]])</f>
        <v>1</v>
      </c>
      <c r="L56">
        <v>1940614</v>
      </c>
      <c r="N56" t="s">
        <v>2464</v>
      </c>
      <c r="P56" s="47" t="s">
        <v>345</v>
      </c>
      <c r="Q56">
        <v>0</v>
      </c>
      <c r="R56">
        <v>14</v>
      </c>
      <c r="S56">
        <v>4</v>
      </c>
      <c r="T56" s="52">
        <f>ROUNDUP(MAX(salesforecast[[#This Row],[FY25 Average]],salesforecast[[#This Row],[July Schedule]]),0)</f>
        <v>5</v>
      </c>
      <c r="U56" s="52">
        <f>salesforecast[[#This Row],[Forecast]]-salesforecast[[#This Row],[July Schedule]]</f>
        <v>0.15699208688000077</v>
      </c>
      <c r="V56" t="str">
        <f>salesforecast[[#This Row],[Plant]]</f>
        <v>0789</v>
      </c>
      <c r="W56" s="66" t="str" cm="1">
        <f t="array" ref="W56">_xlfn.TEXTJOIN("|",TRUE,(_xlfn.UNIQUE(_xlfn._xlws.FILTER(scheduleapr[CUSTOMER NAME],scheduleapr[Bucket]=salesforecast[[#This Row],[Bucket]]))))</f>
        <v>NMPL TVSM|SANDHAR ENGINEERING PVT LTD.</v>
      </c>
      <c r="X56" s="66" t="str" cm="1">
        <f t="array" ref="X56">_xlfn.TEXTJOIN("|",TRUE,(_xlfn.UNIQUE(_xlfn._xlws.SORT(_xlfn._xlws.FILTER(scheduleapr[LENGTH],scheduleapr[Bucket]=salesforecast[[#This Row],[Bucket]])))))</f>
        <v>595|610</v>
      </c>
      <c r="Y56" s="66" t="str" cm="1">
        <f t="array" ref="Y56">_xlfn.TEXTJOIN("|",TRUE,_xlfn._xlws.FILTER(buckets[Material Codes],(buckets[Bucket]=salesforecast[[#This Row],[Bucket2]])*(buckets[LL or CTL]="CTL")))</f>
        <v>1940614|2331952</v>
      </c>
      <c r="Z56" t="str">
        <f>salesforecast[[#This Row],[Bucket]]</f>
        <v>28.58-0-1.2-ERW 1-PE</v>
      </c>
      <c r="AA56" s="43">
        <f>salesforecast[[#This Row],[July Schedule]]</f>
        <v>4.8430079131199992</v>
      </c>
      <c r="AB56" s="43">
        <f>SUMIF(salesTVS[buckets.Bucket],salesforecast[[#This Row],[Bucket]],salesTVS[Quantity])/1000</f>
        <v>2.5252500000000002</v>
      </c>
      <c r="AC56" s="43">
        <f>SUMIFS(stock[MT],stock[Bucket],salesforecast[[#This Row],[Bucket]],stock[LL or CTL],"CTL")</f>
        <v>1.9774769999999999</v>
      </c>
      <c r="AD56" s="43">
        <f>SUMIF(stock[Bucket],salesforecast[[#This Row],[Bucket]],stock[MT])-salesforecast[[#This Row],[Stock CTL]]</f>
        <v>0.10090000000000021</v>
      </c>
      <c r="AE56" s="43" t="e">
        <v>#REF!</v>
      </c>
      <c r="AF56" s="43">
        <f>SUMIF(wip[Bucket],salesforecast[[#This Row],[Bucket]],wip[Stock(Net Wt)])/1000</f>
        <v>5.8879999999999999</v>
      </c>
      <c r="AG56" s="43" t="e">
        <v>#REF!</v>
      </c>
      <c r="AH56" s="43">
        <f>SUMIFS(stock[MT],stock[Bucket],salesforecast[[#This Row],[Bucket2]],stock[Plant],"0788")</f>
        <v>0</v>
      </c>
      <c r="AI56" s="43">
        <f>((salesforecast[[#This Row],[WIP]]+salesforecast[[#This Row],[Stock LL]]))/salesforecast[[#This Row],[July Schedule]]*30</f>
        <v>37.098225570367397</v>
      </c>
      <c r="AJ56" s="52">
        <f>salesforecast[[#This Row],[Stock LL]]/salesforecast[[#This Row],[Schedule]]*30</f>
        <v>0.6250247892017029</v>
      </c>
      <c r="AK56" s="43">
        <f>SUMIFS(stock[MT],stock[Bucket],salesforecast[[#This Row],[Bucket2]],stock[Plant],"0789",stock[LL or CTL],"LL")</f>
        <v>0</v>
      </c>
      <c r="AL56" s="193">
        <f>(salesforecast[[#This Row],[Sales]])/salesforecast[[#This Row],[Schedule]]</f>
        <v>0.521421819931152</v>
      </c>
      <c r="AM56" s="43">
        <f>SUMIFS(stock[MT],stock[Plant],salesforecast[[#This Row],[Plant]],stock[LL or CTL],"LL",stock[Bucket],salesforecast[[#This Row],[Bucket]])</f>
        <v>0</v>
      </c>
      <c r="AN56" s="43">
        <f>SUMIFS(scheduleapr[SCHEDULE IN MT],scheduleapr[CUSTOMER NAME],"*Rajsriya*",scheduleapr[Bucket],salesforecast[[#This Row],[Bucket]])</f>
        <v>0</v>
      </c>
      <c r="AO56" s="43">
        <f>SUMIFS(salesTVS[Quantity],salesTVS[CUSTOMER  NAME],"*RAJSRIYA*",salesTVS[buckets.Bucket],salesforecast[[#This Row],[Bucket]])/1000</f>
        <v>0</v>
      </c>
      <c r="AP56" s="43">
        <f>SUMIFS(stock[MT],stock[Plant],4318,stock[Bucket],salesforecast[[#This Row],[Bucket2]])</f>
        <v>0</v>
      </c>
      <c r="AQ56" s="43">
        <f>SUMIFS(stock[MT],stock[Plant],4731,stock[Bucket],salesforecast[[#This Row],[Bucket2]],stock[LL or CTL],"CTL")</f>
        <v>0.20244200000000001</v>
      </c>
      <c r="AR56" s="43">
        <f>SUMIFS(stock[MT],stock[Plant],4731,stock[Bucket],salesforecast[[#This Row],[Bucket2]])-salesforecast[[#This Row],[4731 Stock CTL]]</f>
        <v>0.10089999999999999</v>
      </c>
      <c r="AS56" s="43">
        <f>SUMIFS(stock[MT],stock[Plant],8406,stock[Bucket],salesforecast[[#This Row],[Bucket2]])</f>
        <v>0</v>
      </c>
    </row>
    <row r="57" spans="1:45" x14ac:dyDescent="0.25">
      <c r="A57">
        <v>28.58</v>
      </c>
      <c r="B57">
        <v>28.58</v>
      </c>
      <c r="C57">
        <v>0</v>
      </c>
      <c r="D57">
        <v>1.6</v>
      </c>
      <c r="E57" t="s">
        <v>962</v>
      </c>
      <c r="F57" t="s">
        <v>1003</v>
      </c>
      <c r="G57" t="s">
        <v>1867</v>
      </c>
      <c r="H57" t="str">
        <f>_xlfn.CONCAT(salesforecast[[#This Row],[OD]],"-",salesforecast[[#This Row],[ID]],"-",salesforecast[[#This Row],[TICKNESS]],"-",salesforecast[[#This Row],[GRADE]],"-",salesforecast[[#This Row],[FC/NFC]])</f>
        <v>28.58-0-1.6-ERW 1-FC</v>
      </c>
      <c r="I57" s="43">
        <f>SUMIFS(scheduleapr[SCHEDULE IN MT],scheduleapr[Bucket],salesforecast[[#This Row],[Bucket]])</f>
        <v>5.5490104868799985</v>
      </c>
      <c r="J57">
        <v>3598958</v>
      </c>
      <c r="K57">
        <f>COUNTIF('helper sheet'!$A$1:$A$33,salesforecast[[#This Row],[LL Material Code]])</f>
        <v>0</v>
      </c>
      <c r="N57" t="s">
        <v>2465</v>
      </c>
      <c r="O57" t="s">
        <v>1868</v>
      </c>
      <c r="P57" s="47" t="s">
        <v>345</v>
      </c>
      <c r="Q57">
        <v>1</v>
      </c>
      <c r="R57">
        <v>13</v>
      </c>
      <c r="S57">
        <v>6</v>
      </c>
      <c r="T57" s="52">
        <f>ROUNDUP(MAX(salesforecast[[#This Row],[FY25 Average]],salesforecast[[#This Row],[July Schedule]]),0)</f>
        <v>6</v>
      </c>
      <c r="U57" s="52">
        <f>salesforecast[[#This Row],[Forecast]]-salesforecast[[#This Row],[July Schedule]]</f>
        <v>0.45098951312000146</v>
      </c>
      <c r="V57" t="str">
        <f>salesforecast[[#This Row],[Plant]]</f>
        <v>0789</v>
      </c>
      <c r="W57" s="66" t="str" cm="1">
        <f t="array" ref="W57">_xlfn.TEXTJOIN("|",TRUE,(_xlfn.UNIQUE(_xlfn._xlws.FILTER(scheduleapr[CUSTOMER NAME],scheduleapr[Bucket]=salesforecast[[#This Row],[Bucket]]))))</f>
        <v>ELKAYEM AUTO</v>
      </c>
      <c r="X57" s="66" t="str" cm="1">
        <f t="array" ref="X57">_xlfn.TEXTJOIN("|",TRUE,(_xlfn.UNIQUE(_xlfn._xlws.SORT(_xlfn._xlws.FILTER(scheduleapr[LENGTH],scheduleapr[Bucket]=salesforecast[[#This Row],[Bucket]])))))</f>
        <v>215|414</v>
      </c>
      <c r="Y57" s="66" t="str" cm="1">
        <f t="array" ref="Y57">_xlfn.TEXTJOIN("|",TRUE,_xlfn._xlws.FILTER(buckets[Material Codes],(buckets[Bucket]=salesforecast[[#This Row],[Bucket2]])*(buckets[LL or CTL]="CTL")))</f>
        <v>3727212|3598957</v>
      </c>
      <c r="Z57" t="str">
        <f>salesforecast[[#This Row],[Bucket]]</f>
        <v>28.58-0-1.6-ERW 1-FC</v>
      </c>
      <c r="AA57" s="43">
        <f>salesforecast[[#This Row],[July Schedule]]</f>
        <v>5.5490104868799985</v>
      </c>
      <c r="AB57" s="43">
        <f>SUMIF(salesTVS[buckets.Bucket],salesforecast[[#This Row],[Bucket]],salesTVS[Quantity])/1000</f>
        <v>9.8317060000000005</v>
      </c>
      <c r="AC57" s="43">
        <f>SUMIFS(stock[MT],stock[Bucket],salesforecast[[#This Row],[Bucket]],stock[LL or CTL],"CTL")</f>
        <v>2.2965960000000001</v>
      </c>
      <c r="AD57" s="43">
        <f>SUMIF(stock[Bucket],salesforecast[[#This Row],[Bucket]],stock[MT])-salesforecast[[#This Row],[Stock CTL]]</f>
        <v>0</v>
      </c>
      <c r="AE57" s="43" t="e">
        <v>#REF!</v>
      </c>
      <c r="AF57" s="43">
        <f>SUMIF(wip[Bucket],salesforecast[[#This Row],[Bucket]],wip[Stock(Net Wt)])/1000</f>
        <v>11.99</v>
      </c>
      <c r="AG57" s="43" t="e">
        <v>#REF!</v>
      </c>
      <c r="AH57" s="43">
        <f>SUMIFS(stock[MT],stock[Bucket],salesforecast[[#This Row],[Bucket2]],stock[Plant],"0788")</f>
        <v>0</v>
      </c>
      <c r="AI57" s="43">
        <f>((salesforecast[[#This Row],[WIP]]+salesforecast[[#This Row],[Stock LL]]))/salesforecast[[#This Row],[July Schedule]]*30</f>
        <v>64.822368033087983</v>
      </c>
      <c r="AJ57" s="52">
        <f>salesforecast[[#This Row],[Stock LL]]/salesforecast[[#This Row],[Schedule]]*30</f>
        <v>0</v>
      </c>
      <c r="AK57" s="43">
        <f>SUMIFS(stock[MT],stock[Bucket],salesforecast[[#This Row],[Bucket2]],stock[Plant],"0789",stock[LL or CTL],"LL")</f>
        <v>0</v>
      </c>
      <c r="AL57" s="193">
        <f>(salesforecast[[#This Row],[Sales]])/salesforecast[[#This Row],[Schedule]]</f>
        <v>1.771794452947232</v>
      </c>
      <c r="AM57" s="43">
        <f>SUMIFS(stock[MT],stock[Plant],salesforecast[[#This Row],[Plant]],stock[LL or CTL],"LL",stock[Bucket],salesforecast[[#This Row],[Bucket]])</f>
        <v>0</v>
      </c>
      <c r="AN57" s="43">
        <f>SUMIFS(scheduleapr[SCHEDULE IN MT],scheduleapr[CUSTOMER NAME],"*Rajsriya*",scheduleapr[Bucket],salesforecast[[#This Row],[Bucket]])</f>
        <v>0</v>
      </c>
      <c r="AO57" s="43">
        <f>SUMIFS(salesTVS[Quantity],salesTVS[CUSTOMER  NAME],"*RAJSRIYA*",salesTVS[buckets.Bucket],salesforecast[[#This Row],[Bucket]])/1000</f>
        <v>0</v>
      </c>
      <c r="AP57" s="43">
        <f>SUMIFS(stock[MT],stock[Plant],4318,stock[Bucket],salesforecast[[#This Row],[Bucket2]])</f>
        <v>0</v>
      </c>
      <c r="AQ57" s="43">
        <f>SUMIFS(stock[MT],stock[Plant],4731,stock[Bucket],salesforecast[[#This Row],[Bucket2]],stock[LL or CTL],"CTL")</f>
        <v>1.0834680000000001</v>
      </c>
      <c r="AR57" s="43">
        <f>SUMIFS(stock[MT],stock[Plant],4731,stock[Bucket],salesforecast[[#This Row],[Bucket2]])-salesforecast[[#This Row],[4731 Stock CTL]]</f>
        <v>0</v>
      </c>
      <c r="AS57" s="43">
        <f>SUMIFS(stock[MT],stock[Plant],8406,stock[Bucket],salesforecast[[#This Row],[Bucket2]])</f>
        <v>0</v>
      </c>
    </row>
    <row r="58" spans="1:45" x14ac:dyDescent="0.25">
      <c r="A58">
        <v>28.58</v>
      </c>
      <c r="B58">
        <v>28.58</v>
      </c>
      <c r="C58">
        <v>0</v>
      </c>
      <c r="D58">
        <v>1.6</v>
      </c>
      <c r="E58" t="s">
        <v>962</v>
      </c>
      <c r="F58" t="s">
        <v>963</v>
      </c>
      <c r="G58" t="s">
        <v>1867</v>
      </c>
      <c r="H58" t="str">
        <f>_xlfn.CONCAT(salesforecast[[#This Row],[OD]],"-",salesforecast[[#This Row],[ID]],"-",salesforecast[[#This Row],[TICKNESS]],"-",salesforecast[[#This Row],[GRADE]],"-",salesforecast[[#This Row],[FC/NFC]])</f>
        <v>28.58-0-1.6-ERW 1-PE</v>
      </c>
      <c r="I58" s="43">
        <f>SUMIFS(scheduleapr[SCHEDULE IN MT],scheduleapr[Bucket],salesforecast[[#This Row],[Bucket]])</f>
        <v>0</v>
      </c>
      <c r="J58">
        <v>1940620</v>
      </c>
      <c r="K58">
        <f>COUNTIF('helper sheet'!$A$1:$A$33,salesforecast[[#This Row],[LL Material Code]])</f>
        <v>1</v>
      </c>
      <c r="L58">
        <v>3598957</v>
      </c>
      <c r="N58" t="s">
        <v>2466</v>
      </c>
      <c r="O58" t="s">
        <v>1881</v>
      </c>
      <c r="P58" s="47" t="s">
        <v>345</v>
      </c>
      <c r="Q58">
        <v>0</v>
      </c>
      <c r="R58">
        <v>0</v>
      </c>
      <c r="S58">
        <v>0</v>
      </c>
      <c r="T58" s="52">
        <f>ROUNDUP(MAX(salesforecast[[#This Row],[FY25 Average]],salesforecast[[#This Row],[July Schedule]]),0)</f>
        <v>0</v>
      </c>
      <c r="U58" s="52">
        <f>salesforecast[[#This Row],[Forecast]]-salesforecast[[#This Row],[July Schedule]]</f>
        <v>0</v>
      </c>
      <c r="V58" t="str">
        <f>salesforecast[[#This Row],[Plant]]</f>
        <v>0789</v>
      </c>
      <c r="W58" s="66" t="str" cm="1">
        <f t="array" ref="W58">_xlfn.TEXTJOIN("|",TRUE,(_xlfn.UNIQUE(_xlfn._xlws.FILTER(scheduleapr[CUSTOMER NAME],scheduleapr[Bucket]=salesforecast[[#This Row],[Bucket]]))))</f>
        <v>SRIKAM HITECH</v>
      </c>
      <c r="X58" s="66" t="str" cm="1">
        <f t="array" ref="X58">_xlfn.TEXTJOIN("|",TRUE,(_xlfn.UNIQUE(_xlfn._xlws.SORT(_xlfn._xlws.FILTER(scheduleapr[LENGTH],scheduleapr[Bucket]=salesforecast[[#This Row],[Bucket]])))))</f>
        <v>6000</v>
      </c>
      <c r="Y58" s="66" t="e" cm="1" vm="1">
        <f t="array" ref="Y58">_xlfn.TEXTJOIN("|",TRUE,_xlfn._xlws.FILTER(buckets[Material Codes],(buckets[Bucket]=salesforecast[[#This Row],[Bucket2]])*(buckets[LL or CTL]="CTL")))</f>
        <v>#VALUE!</v>
      </c>
      <c r="Z58" t="str">
        <f>salesforecast[[#This Row],[Bucket]]</f>
        <v>28.58-0-1.6-ERW 1-PE</v>
      </c>
      <c r="AA58" s="43">
        <f>salesforecast[[#This Row],[July Schedule]]</f>
        <v>0</v>
      </c>
      <c r="AB58" s="43">
        <f>SUMIF(salesTVS[buckets.Bucket],salesforecast[[#This Row],[Bucket]],salesTVS[Quantity])/1000</f>
        <v>0</v>
      </c>
      <c r="AC58" s="43">
        <f>SUMIFS(stock[MT],stock[Bucket],salesforecast[[#This Row],[Bucket]],stock[LL or CTL],"CTL")</f>
        <v>0</v>
      </c>
      <c r="AD58" s="43">
        <f>SUMIF(stock[Bucket],salesforecast[[#This Row],[Bucket]],stock[MT])-salesforecast[[#This Row],[Stock CTL]]</f>
        <v>0</v>
      </c>
      <c r="AE58" s="43" t="e">
        <v>#REF!</v>
      </c>
      <c r="AF58" s="43">
        <f>SUMIF(wip[Bucket],salesforecast[[#This Row],[Bucket]],wip[Stock(Net Wt)])/1000</f>
        <v>0</v>
      </c>
      <c r="AG58" s="43" t="e">
        <v>#REF!</v>
      </c>
      <c r="AH58" s="43">
        <f>SUMIFS(stock[MT],stock[Bucket],salesforecast[[#This Row],[Bucket2]],stock[Plant],"0788")</f>
        <v>0</v>
      </c>
      <c r="AI58" s="43" t="e">
        <f>((salesforecast[[#This Row],[WIP]]+salesforecast[[#This Row],[Stock LL]]))/salesforecast[[#This Row],[July Schedule]]*30</f>
        <v>#DIV/0!</v>
      </c>
      <c r="AJ58" s="52" t="e">
        <f>salesforecast[[#This Row],[Stock LL]]/salesforecast[[#This Row],[Schedule]]*30</f>
        <v>#DIV/0!</v>
      </c>
      <c r="AK58" s="43">
        <f>SUMIFS(stock[MT],stock[Bucket],salesforecast[[#This Row],[Bucket2]],stock[Plant],"0789",stock[LL or CTL],"LL")</f>
        <v>0</v>
      </c>
      <c r="AL58" s="193" t="e">
        <f>(salesforecast[[#This Row],[Sales]])/salesforecast[[#This Row],[Schedule]]</f>
        <v>#DIV/0!</v>
      </c>
      <c r="AM58" s="43">
        <f>SUMIFS(stock[MT],stock[Plant],salesforecast[[#This Row],[Plant]],stock[LL or CTL],"LL",stock[Bucket],salesforecast[[#This Row],[Bucket]])</f>
        <v>0</v>
      </c>
      <c r="AN58" s="43">
        <f>SUMIFS(scheduleapr[SCHEDULE IN MT],scheduleapr[CUSTOMER NAME],"*Rajsriya*",scheduleapr[Bucket],salesforecast[[#This Row],[Bucket]])</f>
        <v>0</v>
      </c>
      <c r="AO58" s="43">
        <f>SUMIFS(salesTVS[Quantity],salesTVS[CUSTOMER  NAME],"*RAJSRIYA*",salesTVS[buckets.Bucket],salesforecast[[#This Row],[Bucket]])/1000</f>
        <v>0</v>
      </c>
      <c r="AP58" s="43">
        <f>SUMIFS(stock[MT],stock[Plant],4318,stock[Bucket],salesforecast[[#This Row],[Bucket2]])</f>
        <v>0</v>
      </c>
      <c r="AQ58" s="43">
        <f>SUMIFS(stock[MT],stock[Plant],4731,stock[Bucket],salesforecast[[#This Row],[Bucket2]],stock[LL or CTL],"CTL")</f>
        <v>0</v>
      </c>
      <c r="AR58" s="43">
        <f>SUMIFS(stock[MT],stock[Plant],4731,stock[Bucket],salesforecast[[#This Row],[Bucket2]])-salesforecast[[#This Row],[4731 Stock CTL]]</f>
        <v>0</v>
      </c>
      <c r="AS58" s="43">
        <f>SUMIFS(stock[MT],stock[Plant],8406,stock[Bucket],salesforecast[[#This Row],[Bucket2]])</f>
        <v>0</v>
      </c>
    </row>
    <row r="59" spans="1:45" x14ac:dyDescent="0.25">
      <c r="A59">
        <v>28.58</v>
      </c>
      <c r="B59">
        <v>28.58</v>
      </c>
      <c r="C59">
        <v>0</v>
      </c>
      <c r="D59">
        <v>2</v>
      </c>
      <c r="E59" t="s">
        <v>962</v>
      </c>
      <c r="F59" t="s">
        <v>1003</v>
      </c>
      <c r="G59" t="s">
        <v>239</v>
      </c>
      <c r="H59" t="str">
        <f>_xlfn.CONCAT(salesforecast[[#This Row],[OD]],"-",salesforecast[[#This Row],[ID]],"-",salesforecast[[#This Row],[TICKNESS]],"-",salesforecast[[#This Row],[GRADE]],"-",salesforecast[[#This Row],[FC/NFC]])</f>
        <v>28.58-0-2-ERW 1-FC</v>
      </c>
      <c r="I59" s="43">
        <f>SUMIFS(scheduleapr[SCHEDULE IN MT],scheduleapr[Bucket],salesforecast[[#This Row],[Bucket]])</f>
        <v>6.8465308889999976</v>
      </c>
      <c r="J59">
        <v>3586646</v>
      </c>
      <c r="K59">
        <f>COUNTIF('helper sheet'!$A$1:$A$33,salesforecast[[#This Row],[LL Material Code]])</f>
        <v>0</v>
      </c>
      <c r="N59" t="s">
        <v>2467</v>
      </c>
      <c r="P59" s="47" t="s">
        <v>345</v>
      </c>
      <c r="Q59">
        <v>0</v>
      </c>
      <c r="R59">
        <v>8</v>
      </c>
      <c r="S59">
        <v>4</v>
      </c>
      <c r="T59" s="52">
        <f>ROUNDUP(MAX(salesforecast[[#This Row],[FY25 Average]],salesforecast[[#This Row],[July Schedule]]),0)</f>
        <v>7</v>
      </c>
      <c r="U59" s="52">
        <f>salesforecast[[#This Row],[Forecast]]-salesforecast[[#This Row],[July Schedule]]</f>
        <v>0.15346911100000238</v>
      </c>
      <c r="V59" t="str">
        <f>salesforecast[[#This Row],[Plant]]</f>
        <v>0789</v>
      </c>
      <c r="W59" s="66" t="str" cm="1">
        <f t="array" ref="W59">_xlfn.TEXTJOIN("|",TRUE,(_xlfn.UNIQUE(_xlfn._xlws.FILTER(scheduleapr[CUSTOMER NAME],scheduleapr[Bucket]=salesforecast[[#This Row],[Bucket]]))))</f>
        <v>ELKAYEM AUTO</v>
      </c>
      <c r="X59" s="66" t="str" cm="1">
        <f t="array" ref="X59">_xlfn.TEXTJOIN("|",TRUE,(_xlfn.UNIQUE(_xlfn._xlws.SORT(_xlfn._xlws.FILTER(scheduleapr[LENGTH],scheduleapr[Bucket]=salesforecast[[#This Row],[Bucket]])))))</f>
        <v>469|475</v>
      </c>
      <c r="Y59" s="66" t="str" cm="1">
        <f t="array" ref="Y59">_xlfn.TEXTJOIN("|",TRUE,_xlfn._xlws.FILTER(buckets[Material Codes],(buckets[Bucket]=salesforecast[[#This Row],[Bucket2]])*(buckets[LL or CTL]="CTL")))</f>
        <v>2397074|1940626</v>
      </c>
      <c r="Z59" t="str">
        <f>salesforecast[[#This Row],[Bucket]]</f>
        <v>28.58-0-2-ERW 1-FC</v>
      </c>
      <c r="AA59" s="43">
        <f>salesforecast[[#This Row],[July Schedule]]</f>
        <v>6.8465308889999976</v>
      </c>
      <c r="AB59" s="43">
        <f>SUMIF(salesTVS[buckets.Bucket],salesforecast[[#This Row],[Bucket]],salesTVS[Quantity])/1000</f>
        <v>10.025404</v>
      </c>
      <c r="AC59" s="43">
        <f>SUMIFS(stock[MT],stock[Bucket],salesforecast[[#This Row],[Bucket]],stock[LL or CTL],"CTL")</f>
        <v>5.8470280000000008</v>
      </c>
      <c r="AD59" s="43">
        <f>SUMIF(stock[Bucket],salesforecast[[#This Row],[Bucket]],stock[MT])-salesforecast[[#This Row],[Stock CTL]]</f>
        <v>4.6774610000000001</v>
      </c>
      <c r="AE59" s="43" t="e">
        <v>#REF!</v>
      </c>
      <c r="AF59" s="43">
        <f>SUMIF(wip[Bucket],salesforecast[[#This Row],[Bucket]],wip[Stock(Net Wt)])/1000</f>
        <v>7.87</v>
      </c>
      <c r="AG59" s="43" t="e">
        <v>#REF!</v>
      </c>
      <c r="AH59" s="43">
        <f>SUMIFS(stock[MT],stock[Bucket],salesforecast[[#This Row],[Bucket2]],stock[Plant],"0788")</f>
        <v>0</v>
      </c>
      <c r="AI59" s="43">
        <f>((salesforecast[[#This Row],[WIP]]+salesforecast[[#This Row],[Stock LL]]))/salesforecast[[#This Row],[July Schedule]]*30</f>
        <v>54.980228104248042</v>
      </c>
      <c r="AJ59" s="52">
        <f>salesforecast[[#This Row],[Stock LL]]/salesforecast[[#This Row],[Schedule]]*30</f>
        <v>20.495610444911858</v>
      </c>
      <c r="AK59" s="43">
        <f>SUMIFS(stock[MT],stock[Bucket],salesforecast[[#This Row],[Bucket2]],stock[Plant],"0789",stock[LL or CTL],"LL")</f>
        <v>0</v>
      </c>
      <c r="AL59" s="193">
        <f>(salesforecast[[#This Row],[Sales]])/salesforecast[[#This Row],[Schedule]]</f>
        <v>1.4643042093196936</v>
      </c>
      <c r="AM59" s="43">
        <f>SUMIFS(stock[MT],stock[Plant],salesforecast[[#This Row],[Plant]],stock[LL or CTL],"LL",stock[Bucket],salesforecast[[#This Row],[Bucket]])</f>
        <v>0</v>
      </c>
      <c r="AN59" s="43">
        <f>SUMIFS(scheduleapr[SCHEDULE IN MT],scheduleapr[CUSTOMER NAME],"*Rajsriya*",scheduleapr[Bucket],salesforecast[[#This Row],[Bucket]])</f>
        <v>0</v>
      </c>
      <c r="AO59" s="43">
        <f>SUMIFS(salesTVS[Quantity],salesTVS[CUSTOMER  NAME],"*RAJSRIYA*",salesTVS[buckets.Bucket],salesforecast[[#This Row],[Bucket]])/1000</f>
        <v>0</v>
      </c>
      <c r="AP59" s="43">
        <f>SUMIFS(stock[MT],stock[Plant],4318,stock[Bucket],salesforecast[[#This Row],[Bucket2]])</f>
        <v>0</v>
      </c>
      <c r="AQ59" s="43">
        <f>SUMIFS(stock[MT],stock[Plant],4731,stock[Bucket],salesforecast[[#This Row],[Bucket2]],stock[LL or CTL],"CTL")</f>
        <v>8.5876999999999995E-2</v>
      </c>
      <c r="AR59" s="43">
        <f>SUMIFS(stock[MT],stock[Plant],4731,stock[Bucket],salesforecast[[#This Row],[Bucket2]])-salesforecast[[#This Row],[4731 Stock CTL]]</f>
        <v>4.6774610000000001</v>
      </c>
      <c r="AS59" s="43">
        <f>SUMIFS(stock[MT],stock[Plant],8406,stock[Bucket],salesforecast[[#This Row],[Bucket2]])</f>
        <v>0</v>
      </c>
    </row>
    <row r="60" spans="1:45" x14ac:dyDescent="0.25">
      <c r="A60">
        <v>28.58</v>
      </c>
      <c r="B60">
        <v>28.58</v>
      </c>
      <c r="C60">
        <v>0</v>
      </c>
      <c r="D60">
        <v>3.2</v>
      </c>
      <c r="E60" t="s">
        <v>962</v>
      </c>
      <c r="F60" t="s">
        <v>1003</v>
      </c>
      <c r="G60" t="s">
        <v>239</v>
      </c>
      <c r="H60" t="str">
        <f>_xlfn.CONCAT(salesforecast[[#This Row],[OD]],"-",salesforecast[[#This Row],[ID]],"-",salesforecast[[#This Row],[TICKNESS]],"-",salesforecast[[#This Row],[GRADE]],"-",salesforecast[[#This Row],[FC/NFC]])</f>
        <v>28.58-0-3.2-ERW 1-FC</v>
      </c>
      <c r="I60" s="43">
        <f>SUMIFS(scheduleapr[SCHEDULE IN MT],scheduleapr[Bucket],salesforecast[[#This Row],[Bucket]])</f>
        <v>0</v>
      </c>
      <c r="J60">
        <v>1940627</v>
      </c>
      <c r="K60">
        <f>COUNTIF('helper sheet'!$A$1:$A$33,salesforecast[[#This Row],[LL Material Code]])</f>
        <v>0</v>
      </c>
      <c r="N60" t="s">
        <v>1587</v>
      </c>
      <c r="P60" s="47" t="s">
        <v>345</v>
      </c>
      <c r="Q60">
        <v>0</v>
      </c>
      <c r="R60">
        <v>6</v>
      </c>
      <c r="S60">
        <v>1</v>
      </c>
      <c r="T60" s="52">
        <f>ROUNDUP(MAX(salesforecast[[#This Row],[FY25 Average]],salesforecast[[#This Row],[July Schedule]]),0)</f>
        <v>1</v>
      </c>
      <c r="U60" s="52">
        <f>salesforecast[[#This Row],[Forecast]]-salesforecast[[#This Row],[July Schedule]]</f>
        <v>1</v>
      </c>
      <c r="V60" t="str">
        <f>salesforecast[[#This Row],[Plant]]</f>
        <v>0789</v>
      </c>
      <c r="W60" s="66" t="e" cm="1" vm="1">
        <f t="array" ref="W60">_xlfn.TEXTJOIN("|",TRUE,(_xlfn.UNIQUE(_xlfn._xlws.FILTER(scheduleapr[CUSTOMER NAME],scheduleapr[Bucket]=salesforecast[[#This Row],[Bucket]]))))</f>
        <v>#VALUE!</v>
      </c>
      <c r="X60" s="66" t="e" cm="1" vm="1">
        <f t="array" ref="X60">_xlfn.TEXTJOIN("|",TRUE,(_xlfn.UNIQUE(_xlfn._xlws.SORT(_xlfn._xlws.FILTER(scheduleapr[LENGTH],scheduleapr[Bucket]=salesforecast[[#This Row],[Bucket]])))))</f>
        <v>#VALUE!</v>
      </c>
      <c r="Y60" s="66" t="e" cm="1" vm="1">
        <f t="array" ref="Y60">_xlfn.TEXTJOIN("|",TRUE,_xlfn._xlws.FILTER(buckets[Material Codes],(buckets[Bucket]=salesforecast[[#This Row],[Bucket2]])*(buckets[LL or CTL]="CTL")))</f>
        <v>#VALUE!</v>
      </c>
      <c r="Z60" t="str">
        <f>salesforecast[[#This Row],[Bucket]]</f>
        <v>28.58-0-3.2-ERW 1-FC</v>
      </c>
      <c r="AA60" s="43">
        <f>salesforecast[[#This Row],[July Schedule]]</f>
        <v>0</v>
      </c>
      <c r="AB60" s="43">
        <f>SUMIF(salesTVS[buckets.Bucket],salesforecast[[#This Row],[Bucket]],salesTVS[Quantity])/1000</f>
        <v>0</v>
      </c>
      <c r="AC60" s="43">
        <f>SUMIFS(stock[MT],stock[Bucket],salesforecast[[#This Row],[Bucket]],stock[LL or CTL],"CTL")</f>
        <v>0</v>
      </c>
      <c r="AD60" s="43">
        <f>SUMIF(stock[Bucket],salesforecast[[#This Row],[Bucket]],stock[MT])-salesforecast[[#This Row],[Stock CTL]]</f>
        <v>0</v>
      </c>
      <c r="AE60" s="43" t="e">
        <v>#REF!</v>
      </c>
      <c r="AF60" s="43">
        <f>SUMIF(wip[Bucket],salesforecast[[#This Row],[Bucket]],wip[Stock(Net Wt)])/1000</f>
        <v>0</v>
      </c>
      <c r="AG60" s="43" t="e">
        <v>#REF!</v>
      </c>
      <c r="AH60" s="43">
        <f>SUMIFS(stock[MT],stock[Bucket],salesforecast[[#This Row],[Bucket2]],stock[Plant],"0788")</f>
        <v>0</v>
      </c>
      <c r="AI60" s="43" t="e">
        <f>((salesforecast[[#This Row],[WIP]]+salesforecast[[#This Row],[Stock LL]]))/salesforecast[[#This Row],[July Schedule]]*30</f>
        <v>#DIV/0!</v>
      </c>
      <c r="AJ60" t="e">
        <f>salesforecast[[#This Row],[Stock LL]]/salesforecast[[#This Row],[Schedule]]*30</f>
        <v>#DIV/0!</v>
      </c>
      <c r="AK60" s="43">
        <f>SUMIFS(stock[MT],stock[Bucket],salesforecast[[#This Row],[Bucket2]],stock[Plant],"0789",stock[LL or CTL],"LL")</f>
        <v>0</v>
      </c>
      <c r="AL60" s="193" t="e">
        <f>(salesforecast[[#This Row],[Sales]])/salesforecast[[#This Row],[Schedule]]</f>
        <v>#DIV/0!</v>
      </c>
      <c r="AM60" s="43">
        <f>SUMIFS(stock[MT],stock[Plant],salesforecast[[#This Row],[Plant]],stock[LL or CTL],"LL",stock[Bucket],salesforecast[[#This Row],[Bucket]])</f>
        <v>0</v>
      </c>
      <c r="AN60" s="43">
        <f>SUMIFS(scheduleapr[SCHEDULE IN MT],scheduleapr[CUSTOMER NAME],"*Rajsriya*",scheduleapr[Bucket],salesforecast[[#This Row],[Bucket]])</f>
        <v>0</v>
      </c>
      <c r="AO60" s="43">
        <f>SUMIFS(salesTVS[Quantity],salesTVS[CUSTOMER  NAME],"*RAJSRIYA*",salesTVS[buckets.Bucket],salesforecast[[#This Row],[Bucket]])/1000</f>
        <v>0</v>
      </c>
      <c r="AP60" s="43">
        <f>SUMIFS(stock[MT],stock[Plant],4318,stock[Bucket],salesforecast[[#This Row],[Bucket2]])</f>
        <v>0</v>
      </c>
      <c r="AQ60" s="43">
        <f>SUMIFS(stock[MT],stock[Plant],4731,stock[Bucket],salesforecast[[#This Row],[Bucket2]],stock[LL or CTL],"CTL")</f>
        <v>0</v>
      </c>
      <c r="AR60" s="43">
        <f>SUMIFS(stock[MT],stock[Plant],4731,stock[Bucket],salesforecast[[#This Row],[Bucket2]])-salesforecast[[#This Row],[4731 Stock CTL]]</f>
        <v>0</v>
      </c>
      <c r="AS60" s="43">
        <f>SUMIFS(stock[MT],stock[Plant],8406,stock[Bucket],salesforecast[[#This Row],[Bucket2]])</f>
        <v>0</v>
      </c>
    </row>
    <row r="61" spans="1:45" ht="30" x14ac:dyDescent="0.25">
      <c r="A61">
        <v>28.6</v>
      </c>
      <c r="B61">
        <v>28.6</v>
      </c>
      <c r="C61">
        <v>0</v>
      </c>
      <c r="D61">
        <v>2.65</v>
      </c>
      <c r="E61" t="s">
        <v>357</v>
      </c>
      <c r="F61" t="s">
        <v>357</v>
      </c>
      <c r="G61" t="s">
        <v>239</v>
      </c>
      <c r="H61" t="str">
        <f>_xlfn.CONCAT(salesforecast[[#This Row],[OD]],"-",salesforecast[[#This Row],[ID]],"-",salesforecast[[#This Row],[TICKNESS]],"-",salesforecast[[#This Row],[GRADE]],"-",salesforecast[[#This Row],[FC/NFC]])</f>
        <v>28.6-0-2.65-CEW-CEW</v>
      </c>
      <c r="I61" s="43">
        <f>SUMIFS(scheduleapr[SCHEDULE IN MT],scheduleapr[Bucket],salesforecast[[#This Row],[Bucket]])</f>
        <v>22.340760416850003</v>
      </c>
      <c r="J61" s="15">
        <v>2410388</v>
      </c>
      <c r="K61">
        <f>COUNTIF('helper sheet'!$A$1:$A$33,salesforecast[[#This Row],[LL Material Code]])</f>
        <v>0</v>
      </c>
      <c r="N61" s="15" t="s">
        <v>819</v>
      </c>
      <c r="P61" s="47" t="s">
        <v>362</v>
      </c>
      <c r="Q61">
        <v>1</v>
      </c>
      <c r="R61">
        <v>21</v>
      </c>
      <c r="S61">
        <v>9</v>
      </c>
      <c r="T61" s="52">
        <f>ROUNDUP(MAX(salesforecast[[#This Row],[FY25 Average]],salesforecast[[#This Row],[July Schedule]]),0)</f>
        <v>23</v>
      </c>
      <c r="U61" s="52">
        <f>salesforecast[[#This Row],[Forecast]]-salesforecast[[#This Row],[July Schedule]]</f>
        <v>0.65923958314999709</v>
      </c>
      <c r="V61" t="str">
        <f>salesforecast[[#This Row],[Plant]]</f>
        <v>0788</v>
      </c>
      <c r="W61" s="66" t="str" cm="1">
        <f t="array" ref="W61">_xlfn.TEXTJOIN("|",TRUE,(_xlfn.UNIQUE(_xlfn._xlws.FILTER(scheduleapr[CUSTOMER NAME],scheduleapr[Bucket]=salesforecast[[#This Row],[Bucket]]))))</f>
        <v>ELKAYEM AUTO|Marathwada</v>
      </c>
      <c r="X61" s="66" t="str" cm="1">
        <f t="array" ref="X61">_xlfn.TEXTJOIN("|",TRUE,(_xlfn.UNIQUE(_xlfn._xlws.SORT(_xlfn._xlws.FILTER(scheduleapr[LENGTH],scheduleapr[Bucket]=salesforecast[[#This Row],[Bucket]])))))</f>
        <v>209|1000</v>
      </c>
      <c r="Y61" s="66" t="str" cm="1">
        <f t="array" ref="Y61">_xlfn.TEXTJOIN("|",TRUE,_xlfn._xlws.FILTER(buckets[Material Codes],(buckets[Bucket]=salesforecast[[#This Row],[Bucket2]])))</f>
        <v>3617058|3472102|2410388|3770393</v>
      </c>
      <c r="Z61" t="str">
        <f>salesforecast[[#This Row],[Bucket]]</f>
        <v>28.6-0-2.65-CEW-CEW</v>
      </c>
      <c r="AA61" s="43">
        <f>salesforecast[[#This Row],[July Schedule]]</f>
        <v>22.340760416850003</v>
      </c>
      <c r="AB61" s="43">
        <f>SUMIF(salesTVS[buckets.Bucket],salesforecast[[#This Row],[Bucket]],salesTVS[Quantity])/1000</f>
        <v>18.584526</v>
      </c>
      <c r="AC61" s="43">
        <f>SUMIFS(stock[MT],stock[Bucket],salesforecast[[#This Row],[Bucket]],stock[LL or CTL],"CTL")</f>
        <v>1.7283989999999998</v>
      </c>
      <c r="AD61" s="43">
        <f>SUMIF(stock[Bucket],salesforecast[[#This Row],[Bucket]],stock[MT])-salesforecast[[#This Row],[Stock CTL]]</f>
        <v>0.95068200000000025</v>
      </c>
      <c r="AE61" s="43" t="e">
        <v>#REF!</v>
      </c>
      <c r="AF61" s="43">
        <f>SUMIF(wip[Bucket],salesforecast[[#This Row],[Bucket]],wip[Stock(Net Wt)])/1000</f>
        <v>0</v>
      </c>
      <c r="AG61" s="43" t="e">
        <v>#REF!</v>
      </c>
      <c r="AH61" s="43">
        <f>SUMIFS(stock[MT],stock[Bucket],salesforecast[[#This Row],[Bucket2]],stock[Plant],"0788")</f>
        <v>0</v>
      </c>
      <c r="AI61" s="43">
        <f>((salesforecast[[#This Row],[WIP]]+salesforecast[[#This Row],[Stock LL]]))/salesforecast[[#This Row],[July Schedule]]*30</f>
        <v>1.2766109777753629</v>
      </c>
      <c r="AJ61" s="52">
        <f>salesforecast[[#This Row],[Stock LL]]/salesforecast[[#This Row],[Schedule]]*30</f>
        <v>1.2766109777753629</v>
      </c>
      <c r="AK61" s="43">
        <f>SUMIFS(stock[MT],stock[Bucket],salesforecast[[#This Row],[Bucket2]],stock[Plant],"0789",stock[LL or CTL],"LL")</f>
        <v>0</v>
      </c>
      <c r="AL61" s="193">
        <f>(salesforecast[[#This Row],[Sales]])/salesforecast[[#This Row],[Schedule]]</f>
        <v>0.83186631310826153</v>
      </c>
      <c r="AM61" s="43">
        <f>SUMIFS(stock[MT],stock[Plant],salesforecast[[#This Row],[Plant]],stock[LL or CTL],"LL",stock[Bucket],salesforecast[[#This Row],[Bucket]])</f>
        <v>0</v>
      </c>
      <c r="AN61" s="43">
        <f>SUMIFS(scheduleapr[SCHEDULE IN MT],scheduleapr[CUSTOMER NAME],"*Rajsriya*",scheduleapr[Bucket],salesforecast[[#This Row],[Bucket]])</f>
        <v>0</v>
      </c>
      <c r="AO61" s="43">
        <f>SUMIFS(salesTVS[Quantity],salesTVS[CUSTOMER  NAME],"*RAJSRIYA*",salesTVS[buckets.Bucket],salesforecast[[#This Row],[Bucket]])/1000</f>
        <v>0</v>
      </c>
      <c r="AP61" s="43">
        <f>SUMIFS(stock[MT],stock[Plant],4318,stock[Bucket],salesforecast[[#This Row],[Bucket2]])</f>
        <v>0</v>
      </c>
      <c r="AQ61" s="43">
        <f>SUMIFS(stock[MT],stock[Plant],4731,stock[Bucket],salesforecast[[#This Row],[Bucket2]],stock[LL or CTL],"CTL")</f>
        <v>0</v>
      </c>
      <c r="AR61" s="43">
        <f>SUMIFS(stock[MT],stock[Plant],4731,stock[Bucket],salesforecast[[#This Row],[Bucket2]])-salesforecast[[#This Row],[4731 Stock CTL]]</f>
        <v>0.95068200000000003</v>
      </c>
      <c r="AS61" s="43">
        <f>SUMIFS(stock[MT],stock[Plant],8406,stock[Bucket],salesforecast[[#This Row],[Bucket2]])</f>
        <v>1.7283989999999998</v>
      </c>
    </row>
    <row r="62" spans="1:45" x14ac:dyDescent="0.25">
      <c r="A62">
        <v>29.28</v>
      </c>
      <c r="B62">
        <v>29.28</v>
      </c>
      <c r="C62">
        <v>0</v>
      </c>
      <c r="D62">
        <v>3.4</v>
      </c>
      <c r="E62" t="s">
        <v>357</v>
      </c>
      <c r="F62" t="s">
        <v>357</v>
      </c>
      <c r="G62" t="s">
        <v>239</v>
      </c>
      <c r="H62" t="str">
        <f>_xlfn.CONCAT(salesforecast[[#This Row],[OD]],"-",salesforecast[[#This Row],[ID]],"-",salesforecast[[#This Row],[TICKNESS]],"-",salesforecast[[#This Row],[GRADE]],"-",salesforecast[[#This Row],[FC/NFC]])</f>
        <v>29.28-0-3.4-CEW-CEW</v>
      </c>
      <c r="I62" s="43">
        <f>SUMIFS(scheduleapr[SCHEDULE IN MT],scheduleapr[Bucket],salesforecast[[#This Row],[Bucket]])</f>
        <v>0</v>
      </c>
      <c r="J62" s="406">
        <v>2426240</v>
      </c>
      <c r="K62">
        <f>COUNTIF('helper sheet'!$A$1:$A$33,salesforecast[[#This Row],[LL Material Code]])</f>
        <v>0</v>
      </c>
      <c r="N62" s="407" t="s">
        <v>1877</v>
      </c>
      <c r="P62" s="47" t="s">
        <v>362</v>
      </c>
      <c r="Q62">
        <v>0</v>
      </c>
      <c r="R62">
        <v>0</v>
      </c>
      <c r="S62">
        <v>0</v>
      </c>
      <c r="T62" s="52">
        <f>ROUNDUP(MAX(salesforecast[[#This Row],[FY25 Average]],salesforecast[[#This Row],[July Schedule]]),0)</f>
        <v>0</v>
      </c>
      <c r="U62" s="52">
        <f>salesforecast[[#This Row],[Forecast]]-salesforecast[[#This Row],[July Schedule]]</f>
        <v>0</v>
      </c>
      <c r="V62" t="str">
        <f>salesforecast[[#This Row],[Plant]]</f>
        <v>0788</v>
      </c>
      <c r="W62" s="66" t="str" cm="1">
        <f t="array" ref="W62">_xlfn.TEXTJOIN("|",TRUE,(_xlfn.UNIQUE(_xlfn._xlws.FILTER(scheduleapr[CUSTOMER NAME],scheduleapr[Bucket]=salesforecast[[#This Row],[Bucket]]))))</f>
        <v>ELKAYEM AUTO</v>
      </c>
      <c r="X62" s="66" t="str" cm="1">
        <f t="array" ref="X62">_xlfn.TEXTJOIN("|",TRUE,(_xlfn.UNIQUE(_xlfn._xlws.SORT(_xlfn._xlws.FILTER(scheduleapr[LENGTH],scheduleapr[Bucket]=salesforecast[[#This Row],[Bucket]])))))</f>
        <v>1000</v>
      </c>
      <c r="Y62" s="66" t="str" cm="1">
        <f t="array" ref="Y62">_xlfn.TEXTJOIN("|",TRUE,_xlfn._xlws.FILTER(buckets[Material Codes],(buckets[Bucket]=salesforecast[[#This Row],[Bucket2]])))</f>
        <v>2426240</v>
      </c>
      <c r="Z62" t="str">
        <f>salesforecast[[#This Row],[Bucket]]</f>
        <v>29.28-0-3.4-CEW-CEW</v>
      </c>
      <c r="AA62" s="43">
        <f>salesforecast[[#This Row],[July Schedule]]</f>
        <v>0</v>
      </c>
      <c r="AB62" s="43">
        <f>SUMIF(salesTVS[buckets.Bucket],salesforecast[[#This Row],[Bucket]],salesTVS[Quantity])/1000</f>
        <v>0</v>
      </c>
      <c r="AC62" s="43">
        <f>SUMIFS(stock[MT],stock[Bucket],salesforecast[[#This Row],[Bucket]],stock[LL or CTL],"CTL")</f>
        <v>0</v>
      </c>
      <c r="AD62" s="43">
        <f>SUMIF(stock[Bucket],salesforecast[[#This Row],[Bucket]],stock[MT])-salesforecast[[#This Row],[Stock CTL]]</f>
        <v>2.3382239999999999</v>
      </c>
      <c r="AE62" s="43" t="e">
        <v>#REF!</v>
      </c>
      <c r="AF62" s="43">
        <f>SUMIF(wip[Bucket],salesforecast[[#This Row],[Bucket]],wip[Stock(Net Wt)])/1000</f>
        <v>0</v>
      </c>
      <c r="AG62" s="43" t="e">
        <v>#REF!</v>
      </c>
      <c r="AH62" s="43">
        <f>SUMIFS(stock[MT],stock[Bucket],salesforecast[[#This Row],[Bucket2]],stock[Plant],"0788")</f>
        <v>0</v>
      </c>
      <c r="AI62" s="43" t="e">
        <f>((salesforecast[[#This Row],[WIP]]+salesforecast[[#This Row],[Stock LL]]))/salesforecast[[#This Row],[July Schedule]]*30</f>
        <v>#DIV/0!</v>
      </c>
      <c r="AJ62" t="e">
        <f>salesforecast[[#This Row],[Stock LL]]/salesforecast[[#This Row],[Schedule]]*30</f>
        <v>#DIV/0!</v>
      </c>
      <c r="AK62" s="43">
        <f>SUMIFS(stock[MT],stock[Bucket],salesforecast[[#This Row],[Bucket2]],stock[Plant],"0789",stock[LL or CTL],"LL")</f>
        <v>0</v>
      </c>
      <c r="AL62" s="193" t="e">
        <f>(salesforecast[[#This Row],[Sales]])/salesforecast[[#This Row],[Schedule]]</f>
        <v>#DIV/0!</v>
      </c>
      <c r="AM62" s="43">
        <f>SUMIFS(stock[MT],stock[Plant],salesforecast[[#This Row],[Plant]],stock[LL or CTL],"LL",stock[Bucket],salesforecast[[#This Row],[Bucket]])</f>
        <v>0</v>
      </c>
      <c r="AN62" s="43">
        <f>SUMIFS(scheduleapr[SCHEDULE IN MT],scheduleapr[CUSTOMER NAME],"*Rajsriya*",scheduleapr[Bucket],salesforecast[[#This Row],[Bucket]])</f>
        <v>0</v>
      </c>
      <c r="AO62" s="43">
        <f>SUMIFS(salesTVS[Quantity],salesTVS[CUSTOMER  NAME],"*RAJSRIYA*",salesTVS[buckets.Bucket],salesforecast[[#This Row],[Bucket]])/1000</f>
        <v>0</v>
      </c>
      <c r="AP62" s="43">
        <f>SUMIFS(stock[MT],stock[Plant],4318,stock[Bucket],salesforecast[[#This Row],[Bucket2]])</f>
        <v>0</v>
      </c>
      <c r="AQ62" s="43">
        <f>SUMIFS(stock[MT],stock[Plant],4731,stock[Bucket],salesforecast[[#This Row],[Bucket2]],stock[LL or CTL],"CTL")</f>
        <v>0</v>
      </c>
      <c r="AR62" s="43">
        <f>SUMIFS(stock[MT],stock[Plant],4731,stock[Bucket],salesforecast[[#This Row],[Bucket2]])-salesforecast[[#This Row],[4731 Stock CTL]]</f>
        <v>2.3382239999999999</v>
      </c>
      <c r="AS62" s="43">
        <f>SUMIFS(stock[MT],stock[Plant],8406,stock[Bucket],salesforecast[[#This Row],[Bucket2]])</f>
        <v>0</v>
      </c>
    </row>
    <row r="63" spans="1:45" ht="45" x14ac:dyDescent="0.25">
      <c r="A63">
        <v>29.4</v>
      </c>
      <c r="B63">
        <v>29.4</v>
      </c>
      <c r="C63">
        <v>20.399999999999999</v>
      </c>
      <c r="D63">
        <v>4.5</v>
      </c>
      <c r="E63" t="s">
        <v>357</v>
      </c>
      <c r="F63" t="s">
        <v>357</v>
      </c>
      <c r="G63" t="s">
        <v>239</v>
      </c>
      <c r="H63" t="str">
        <f>_xlfn.CONCAT(salesforecast[[#This Row],[OD]],"-",salesforecast[[#This Row],[ID]],"-",salesforecast[[#This Row],[TICKNESS]],"-",salesforecast[[#This Row],[GRADE]],"-",salesforecast[[#This Row],[FC/NFC]])</f>
        <v>29.4-20.4-4.5-CEW-CEW</v>
      </c>
      <c r="I63" s="43">
        <f>SUMIFS(scheduleapr[SCHEDULE IN MT],scheduleapr[Bucket],salesforecast[[#This Row],[Bucket]])</f>
        <v>73.64605641515999</v>
      </c>
      <c r="J63">
        <v>3855139</v>
      </c>
      <c r="K63">
        <f>COUNTIF('helper sheet'!$A$1:$A$33,salesforecast[[#This Row],[LL Material Code]])</f>
        <v>0</v>
      </c>
      <c r="N63" t="s">
        <v>2468</v>
      </c>
      <c r="P63" s="47" t="s">
        <v>362</v>
      </c>
      <c r="Q63">
        <v>0</v>
      </c>
      <c r="R63">
        <v>0</v>
      </c>
      <c r="S63">
        <v>0</v>
      </c>
      <c r="T63" s="52">
        <v>10</v>
      </c>
      <c r="U63" s="52">
        <f>salesforecast[[#This Row],[Forecast]]-salesforecast[[#This Row],[July Schedule]]</f>
        <v>-63.64605641515999</v>
      </c>
      <c r="V63" t="str">
        <f>salesforecast[[#This Row],[Plant]]</f>
        <v>0788</v>
      </c>
      <c r="W63" s="66" t="str" cm="1">
        <f t="array" ref="W63">_xlfn.TEXTJOIN("|",TRUE,(_xlfn.UNIQUE(_xlfn._xlws.FILTER(scheduleapr[CUSTOMER NAME],scheduleapr[Bucket]=salesforecast[[#This Row],[Bucket]]))))</f>
        <v>KAY JAY|Narasipur Auto Component(P)Ltd</v>
      </c>
      <c r="X63" s="66" t="str" cm="1">
        <f t="array" ref="X63">_xlfn.TEXTJOIN("|",TRUE,(_xlfn.UNIQUE(_xlfn._xlws.SORT(_xlfn._xlws.FILTER(scheduleapr[LENGTH],scheduleapr[Bucket]=salesforecast[[#This Row],[Bucket]])))))</f>
        <v>357|360|361|5200</v>
      </c>
      <c r="Y63" s="66" t="str" cm="1">
        <f t="array" ref="Y63">_xlfn.TEXTJOIN("|",TRUE,_xlfn._xlws.FILTER(buckets[Material Codes],(buckets[Bucket]=salesforecast[[#This Row],[Bucket2]])))</f>
        <v>3909903|3948187|3940551|3909902|4070862|3909769|4070861|4123064|3995629|3855139</v>
      </c>
      <c r="Z63" t="str">
        <f>salesforecast[[#This Row],[Bucket]]</f>
        <v>29.4-20.4-4.5-CEW-CEW</v>
      </c>
      <c r="AA63" s="43">
        <f>salesforecast[[#This Row],[July Schedule]]</f>
        <v>73.64605641515999</v>
      </c>
      <c r="AB63" s="43">
        <f>SUMIF(salesTVS[buckets.Bucket],salesforecast[[#This Row],[Bucket]],salesTVS[Quantity])/1000</f>
        <v>31.889092000000009</v>
      </c>
      <c r="AC63" s="43">
        <f>SUMIFS(stock[MT],stock[Bucket],salesforecast[[#This Row],[Bucket]],stock[LL or CTL],"CTL")</f>
        <v>4.986885</v>
      </c>
      <c r="AD63" s="43">
        <f>SUMIF(stock[Bucket],salesforecast[[#This Row],[Bucket]],stock[MT])-salesforecast[[#This Row],[Stock CTL]]</f>
        <v>19.413661999999992</v>
      </c>
      <c r="AE63" s="43" t="e">
        <v>#REF!</v>
      </c>
      <c r="AF63" s="43">
        <f>SUMIF(wip[Bucket],salesforecast[[#This Row],[Bucket]],wip[Stock(Net Wt)])/1000</f>
        <v>0</v>
      </c>
      <c r="AG63" s="43" t="e">
        <v>#REF!</v>
      </c>
      <c r="AH63" s="43">
        <f>SUMIFS(stock[MT],stock[Bucket],salesforecast[[#This Row],[Bucket2]],stock[Plant],"0788")</f>
        <v>0</v>
      </c>
      <c r="AI63" s="43">
        <f>((salesforecast[[#This Row],[WIP]]+salesforecast[[#This Row],[Stock LL]]))/salesforecast[[#This Row],[July Schedule]]*30</f>
        <v>7.9082287409500864</v>
      </c>
      <c r="AJ63" s="52">
        <f>salesforecast[[#This Row],[Stock LL]]/salesforecast[[#This Row],[Schedule]]*30</f>
        <v>7.9082287409500864</v>
      </c>
      <c r="AK63" s="43">
        <f>SUMIFS(stock[MT],stock[Bucket],salesforecast[[#This Row],[Bucket2]],stock[Plant],"0789",stock[LL or CTL],"LL")</f>
        <v>0</v>
      </c>
      <c r="AL63" s="193">
        <f>(salesforecast[[#This Row],[Sales]])/salesforecast[[#This Row],[Schedule]]</f>
        <v>0.43300474665247196</v>
      </c>
      <c r="AM63" s="43">
        <f>SUMIFS(stock[MT],stock[Plant],salesforecast[[#This Row],[Plant]],stock[LL or CTL],"LL",stock[Bucket],salesforecast[[#This Row],[Bucket]])</f>
        <v>0</v>
      </c>
      <c r="AN63" s="43">
        <f>SUMIFS(scheduleapr[SCHEDULE IN MT],scheduleapr[CUSTOMER NAME],"*Rajsriya*",scheduleapr[Bucket],salesforecast[[#This Row],[Bucket]])</f>
        <v>0</v>
      </c>
      <c r="AO63" s="43">
        <f>SUMIFS(salesTVS[Quantity],salesTVS[CUSTOMER  NAME],"*RAJSRIYA*",salesTVS[buckets.Bucket],salesforecast[[#This Row],[Bucket]])/1000</f>
        <v>0</v>
      </c>
      <c r="AP63" s="43">
        <f>SUMIFS(stock[MT],stock[Plant],4318,stock[Bucket],salesforecast[[#This Row],[Bucket2]])</f>
        <v>0</v>
      </c>
      <c r="AQ63" s="43">
        <f>SUMIFS(stock[MT],stock[Plant],4731,stock[Bucket],salesforecast[[#This Row],[Bucket2]],stock[LL or CTL],"CTL")</f>
        <v>4.986885</v>
      </c>
      <c r="AR63" s="43">
        <f>SUMIFS(stock[MT],stock[Plant],4731,stock[Bucket],salesforecast[[#This Row],[Bucket2]])-salesforecast[[#This Row],[4731 Stock CTL]]</f>
        <v>19.413661999999992</v>
      </c>
      <c r="AS63" s="43">
        <f>SUMIFS(stock[MT],stock[Plant],8406,stock[Bucket],salesforecast[[#This Row],[Bucket2]])</f>
        <v>0</v>
      </c>
    </row>
    <row r="64" spans="1:45" ht="45" x14ac:dyDescent="0.25">
      <c r="A64">
        <v>29.4</v>
      </c>
      <c r="B64">
        <v>29.4</v>
      </c>
      <c r="C64">
        <v>20.399999999999999</v>
      </c>
      <c r="D64">
        <v>4.5</v>
      </c>
      <c r="E64" t="s">
        <v>1023</v>
      </c>
      <c r="F64" t="s">
        <v>357</v>
      </c>
      <c r="G64" t="s">
        <v>239</v>
      </c>
      <c r="H64" t="str">
        <f>_xlfn.CONCAT(salesforecast[[#This Row],[OD]],"-",salesforecast[[#This Row],[ID]],"-",salesforecast[[#This Row],[TICKNESS]],"-",salesforecast[[#This Row],[GRADE]],"-",salesforecast[[#This Row],[FC/NFC]])</f>
        <v>29.4-20.4-4.5-CEW STKM 13C-CEW</v>
      </c>
      <c r="I64" s="43">
        <f>SUMIFS(scheduleapr[SCHEDULE IN MT],scheduleapr[Bucket],salesforecast[[#This Row],[Bucket]])</f>
        <v>57.254610928499993</v>
      </c>
      <c r="J64">
        <v>3770394</v>
      </c>
      <c r="K64">
        <f>COUNTIF('helper sheet'!$A$1:$A$33,salesforecast[[#This Row],[LL Material Code]])</f>
        <v>0</v>
      </c>
      <c r="N64" t="s">
        <v>2353</v>
      </c>
      <c r="P64" s="47" t="s">
        <v>362</v>
      </c>
      <c r="Q64">
        <v>13</v>
      </c>
      <c r="R64">
        <v>60</v>
      </c>
      <c r="S64">
        <v>34</v>
      </c>
      <c r="T64" s="52">
        <v>20</v>
      </c>
      <c r="U64" s="52">
        <f>salesforecast[[#This Row],[Forecast]]-salesforecast[[#This Row],[July Schedule]]</f>
        <v>-37.254610928499993</v>
      </c>
      <c r="V64" t="str">
        <f>salesforecast[[#This Row],[Plant]]</f>
        <v>0788</v>
      </c>
      <c r="W64" s="66" t="str" cm="1">
        <f t="array" ref="W64">_xlfn.TEXTJOIN("|",TRUE,(_xlfn.UNIQUE(_xlfn._xlws.FILTER(scheduleapr[CUSTOMER NAME],scheduleapr[Bucket]=salesforecast[[#This Row],[Bucket]]))))</f>
        <v>KAY JAY</v>
      </c>
      <c r="X64" s="66" t="str" cm="1">
        <f t="array" ref="X64">_xlfn.TEXTJOIN("|",TRUE,(_xlfn.UNIQUE(_xlfn._xlws.SORT(_xlfn._xlws.FILTER(scheduleapr[LENGTH],scheduleapr[Bucket]=salesforecast[[#This Row],[Bucket]])))))</f>
        <v>361|363|376|385|450</v>
      </c>
      <c r="Y64" s="66" t="str" cm="1">
        <f t="array" ref="Y64">_xlfn.TEXTJOIN("|",TRUE,_xlfn._xlws.FILTER(buckets[Material Codes],(buckets[Bucket]=salesforecast[[#This Row],[Bucket2]])))</f>
        <v>3974533|3190072|1939285|1941303|2359912|3190073|1939282|1930110|3770394</v>
      </c>
      <c r="Z64" t="str">
        <f>salesforecast[[#This Row],[Bucket]]</f>
        <v>29.4-20.4-4.5-CEW STKM 13C-CEW</v>
      </c>
      <c r="AA64" s="43">
        <f>salesforecast[[#This Row],[July Schedule]]</f>
        <v>57.254610928499993</v>
      </c>
      <c r="AB64" s="43">
        <f>SUMIF(salesTVS[buckets.Bucket],salesforecast[[#This Row],[Bucket]],salesTVS[Quantity])/1000</f>
        <v>1.179265</v>
      </c>
      <c r="AC64" s="43">
        <f>SUMIFS(stock[MT],stock[Bucket],salesforecast[[#This Row],[Bucket]],stock[LL or CTL],"CTL")</f>
        <v>0</v>
      </c>
      <c r="AD64" s="43">
        <f>SUMIF(stock[Bucket],salesforecast[[#This Row],[Bucket]],stock[MT])-salesforecast[[#This Row],[Stock CTL]]</f>
        <v>102.42428000000004</v>
      </c>
      <c r="AE64" s="43" t="e">
        <v>#REF!</v>
      </c>
      <c r="AF64" s="43">
        <f>SUMIF(wip[Bucket],salesforecast[[#This Row],[Bucket]],wip[Stock(Net Wt)])/1000</f>
        <v>0</v>
      </c>
      <c r="AG64" s="43" t="e">
        <v>#REF!</v>
      </c>
      <c r="AH64" s="43">
        <f>SUMIFS(stock[MT],stock[Bucket],salesforecast[[#This Row],[Bucket2]],stock[Plant],"0788")</f>
        <v>83.03100000000002</v>
      </c>
      <c r="AI64" s="43">
        <f>((salesforecast[[#This Row],[WIP]]+salesforecast[[#This Row],[Stock LL]]))/salesforecast[[#This Row],[July Schedule]]*30</f>
        <v>53.66778937398157</v>
      </c>
      <c r="AJ64" s="52">
        <f>salesforecast[[#This Row],[Stock LL]]/salesforecast[[#This Row],[Schedule]]*30</f>
        <v>53.66778937398157</v>
      </c>
      <c r="AK64" s="43">
        <f>SUMIFS(stock[MT],stock[Bucket],salesforecast[[#This Row],[Bucket2]],stock[Plant],"0789",stock[LL or CTL],"LL")</f>
        <v>0</v>
      </c>
      <c r="AL64" s="193">
        <f>(salesforecast[[#This Row],[Sales]])/salesforecast[[#This Row],[Schedule]]</f>
        <v>2.0596856408170782E-2</v>
      </c>
      <c r="AM64" s="43">
        <f>SUMIFS(stock[MT],stock[Plant],salesforecast[[#This Row],[Plant]],stock[LL or CTL],"LL",stock[Bucket],salesforecast[[#This Row],[Bucket]])</f>
        <v>83.03100000000002</v>
      </c>
      <c r="AN64" s="43">
        <f>SUMIFS(scheduleapr[SCHEDULE IN MT],scheduleapr[CUSTOMER NAME],"*Rajsriya*",scheduleapr[Bucket],salesforecast[[#This Row],[Bucket]])</f>
        <v>0</v>
      </c>
      <c r="AO64" s="43">
        <f>SUMIFS(salesTVS[Quantity],salesTVS[CUSTOMER  NAME],"*RAJSRIYA*",salesTVS[buckets.Bucket],salesforecast[[#This Row],[Bucket]])/1000</f>
        <v>0</v>
      </c>
      <c r="AP64" s="43">
        <f>SUMIFS(stock[MT],stock[Plant],4318,stock[Bucket],salesforecast[[#This Row],[Bucket2]])</f>
        <v>0</v>
      </c>
      <c r="AQ64" s="43">
        <f>SUMIFS(stock[MT],stock[Plant],4731,stock[Bucket],salesforecast[[#This Row],[Bucket2]],stock[LL or CTL],"CTL")</f>
        <v>0</v>
      </c>
      <c r="AR64" s="43">
        <f>SUMIFS(stock[MT],stock[Plant],4731,stock[Bucket],salesforecast[[#This Row],[Bucket2]])-salesforecast[[#This Row],[4731 Stock CTL]]</f>
        <v>10.553280000000001</v>
      </c>
      <c r="AS64" s="43">
        <f>SUMIFS(stock[MT],stock[Plant],8406,stock[Bucket],salesforecast[[#This Row],[Bucket2]])</f>
        <v>8.84</v>
      </c>
    </row>
    <row r="65" spans="1:45" ht="45" x14ac:dyDescent="0.25">
      <c r="A65">
        <v>38.1</v>
      </c>
      <c r="B65">
        <v>30</v>
      </c>
      <c r="C65">
        <v>30</v>
      </c>
      <c r="D65">
        <v>1.2</v>
      </c>
      <c r="E65" t="s">
        <v>229</v>
      </c>
      <c r="F65" t="s">
        <v>963</v>
      </c>
      <c r="G65" t="s">
        <v>1867</v>
      </c>
      <c r="H65" t="str">
        <f>_xlfn.CONCAT(salesforecast[[#This Row],[OD]],"-",salesforecast[[#This Row],[ID]],"-",salesforecast[[#This Row],[TICKNESS]],"-",salesforecast[[#This Row],[GRADE]],"-",salesforecast[[#This Row],[FC/NFC]])</f>
        <v>30-30-1.2-CRFH-PE</v>
      </c>
      <c r="I65" s="43">
        <f>SUMIFS(scheduleapr[SCHEDULE IN MT],scheduleapr[Bucket],salesforecast[[#This Row],[Bucket]])</f>
        <v>6.2431381583999999</v>
      </c>
      <c r="J65">
        <v>3234374</v>
      </c>
      <c r="K65">
        <f>COUNTIF('helper sheet'!$A$1:$A$33,salesforecast[[#This Row],[LL Material Code]])</f>
        <v>1</v>
      </c>
      <c r="L65">
        <v>3572045</v>
      </c>
      <c r="N65" t="s">
        <v>2469</v>
      </c>
      <c r="P65" s="47" t="s">
        <v>345</v>
      </c>
      <c r="Q65">
        <v>1</v>
      </c>
      <c r="R65">
        <v>5</v>
      </c>
      <c r="S65">
        <v>3</v>
      </c>
      <c r="T65" s="52">
        <f>ROUNDUP(MAX(salesforecast[[#This Row],[FY25 Average]],salesforecast[[#This Row],[July Schedule]]),0)</f>
        <v>7</v>
      </c>
      <c r="U65" s="52">
        <f>salesforecast[[#This Row],[Forecast]]-salesforecast[[#This Row],[July Schedule]]</f>
        <v>0.75686184160000014</v>
      </c>
      <c r="V65" t="str">
        <f>salesforecast[[#This Row],[Plant]]</f>
        <v>0789</v>
      </c>
      <c r="W65" s="66" t="str" cm="1">
        <f t="array" ref="W65">_xlfn.TEXTJOIN("|",TRUE,(_xlfn.UNIQUE(_xlfn._xlws.FILTER(scheduleapr[CUSTOMER NAME],scheduleapr[Bucket]=salesforecast[[#This Row],[Bucket]]))))</f>
        <v>Marathwada v7|SRI BALAJI GEARS V4|SRI BALAJI GEARS V7|Balaji Gears V3</v>
      </c>
      <c r="X65" s="66" t="str" cm="1">
        <f t="array" ref="X65">_xlfn.TEXTJOIN("|",TRUE,(_xlfn.UNIQUE(_xlfn._xlws.SORT(_xlfn._xlws.FILTER(scheduleapr[LENGTH],scheduleapr[Bucket]=salesforecast[[#This Row],[Bucket]])))))</f>
        <v>140|190|220</v>
      </c>
      <c r="Y65" s="66" t="str" cm="1">
        <f t="array" ref="Y65">_xlfn.TEXTJOIN("|",TRUE,_xlfn._xlws.FILTER(buckets[Material Codes],(buckets[Bucket]=salesforecast[[#This Row],[Bucket2]])*(buckets[LL or CTL]="CTL")))</f>
        <v>3572045|4151424|3230495</v>
      </c>
      <c r="Z65" t="str">
        <f>salesforecast[[#This Row],[Bucket]]</f>
        <v>30-30-1.2-CRFH-PE</v>
      </c>
      <c r="AA65" s="43">
        <f>salesforecast[[#This Row],[July Schedule]]</f>
        <v>6.2431381583999999</v>
      </c>
      <c r="AB65" s="43">
        <f>SUMIF(salesTVS[buckets.Bucket],salesforecast[[#This Row],[Bucket]],salesTVS[Quantity])/1000</f>
        <v>3.970114999999999</v>
      </c>
      <c r="AC65" s="43">
        <f>SUMIFS(stock[MT],stock[Bucket],salesforecast[[#This Row],[Bucket]],stock[LL or CTL],"CTL")</f>
        <v>1.003563</v>
      </c>
      <c r="AD65" s="43">
        <f>SUMIF(stock[Bucket],salesforecast[[#This Row],[Bucket]],stock[MT])-salesforecast[[#This Row],[Stock CTL]]</f>
        <v>0</v>
      </c>
      <c r="AE65" s="43" t="e">
        <v>#REF!</v>
      </c>
      <c r="AF65" s="43">
        <f>SUMIF(wip[Bucket],salesforecast[[#This Row],[Bucket]],wip[Stock(Net Wt)])/1000</f>
        <v>22.942</v>
      </c>
      <c r="AG65" s="43" t="e">
        <v>#REF!</v>
      </c>
      <c r="AH65" s="43">
        <f>SUMIFS(stock[MT],stock[Bucket],salesforecast[[#This Row],[Bucket2]],stock[Plant],"0788")</f>
        <v>0</v>
      </c>
      <c r="AI65" s="43">
        <f>((salesforecast[[#This Row],[WIP]]+salesforecast[[#This Row],[Stock LL]]))/salesforecast[[#This Row],[July Schedule]]*30</f>
        <v>110.24263479960986</v>
      </c>
      <c r="AJ65" s="52">
        <f>salesforecast[[#This Row],[Stock LL]]/salesforecast[[#This Row],[Schedule]]*30</f>
        <v>0</v>
      </c>
      <c r="AK65" s="43">
        <f>SUMIFS(stock[MT],stock[Bucket],salesforecast[[#This Row],[Bucket2]],stock[Plant],"0789",stock[LL or CTL],"LL")</f>
        <v>0</v>
      </c>
      <c r="AL65" s="193">
        <f>(salesforecast[[#This Row],[Sales]])/salesforecast[[#This Row],[Schedule]]</f>
        <v>0.63591656940320951</v>
      </c>
      <c r="AM65" s="43">
        <f>SUMIFS(stock[MT],stock[Plant],salesforecast[[#This Row],[Plant]],stock[LL or CTL],"LL",stock[Bucket],salesforecast[[#This Row],[Bucket]])</f>
        <v>0</v>
      </c>
      <c r="AN65" s="43">
        <f>SUMIFS(scheduleapr[SCHEDULE IN MT],scheduleapr[CUSTOMER NAME],"*Rajsriya*",scheduleapr[Bucket],salesforecast[[#This Row],[Bucket]])</f>
        <v>0</v>
      </c>
      <c r="AO65" s="43">
        <f>SUMIFS(salesTVS[Quantity],salesTVS[CUSTOMER  NAME],"*RAJSRIYA*",salesTVS[buckets.Bucket],salesforecast[[#This Row],[Bucket]])/1000</f>
        <v>0</v>
      </c>
      <c r="AP65" s="43">
        <f>SUMIFS(stock[MT],stock[Plant],4318,stock[Bucket],salesforecast[[#This Row],[Bucket2]])</f>
        <v>0</v>
      </c>
      <c r="AQ65" s="43">
        <f>SUMIFS(stock[MT],stock[Plant],4731,stock[Bucket],salesforecast[[#This Row],[Bucket2]],stock[LL or CTL],"CTL")</f>
        <v>0</v>
      </c>
      <c r="AR65" s="43">
        <f>SUMIFS(stock[MT],stock[Plant],4731,stock[Bucket],salesforecast[[#This Row],[Bucket2]])-salesforecast[[#This Row],[4731 Stock CTL]]</f>
        <v>0</v>
      </c>
      <c r="AS65" s="43">
        <f>SUMIFS(stock[MT],stock[Plant],8406,stock[Bucket],salesforecast[[#This Row],[Bucket2]])</f>
        <v>0</v>
      </c>
    </row>
    <row r="66" spans="1:45" ht="30" x14ac:dyDescent="0.25">
      <c r="A66">
        <v>30.15</v>
      </c>
      <c r="B66">
        <v>30</v>
      </c>
      <c r="C66">
        <v>25.5</v>
      </c>
      <c r="D66">
        <v>2.25</v>
      </c>
      <c r="E66" t="s">
        <v>357</v>
      </c>
      <c r="F66" t="s">
        <v>357</v>
      </c>
      <c r="G66" t="s">
        <v>239</v>
      </c>
      <c r="H66" t="str">
        <f>_xlfn.CONCAT(salesforecast[[#This Row],[OD]],"-",salesforecast[[#This Row],[ID]],"-",salesforecast[[#This Row],[TICKNESS]],"-",salesforecast[[#This Row],[GRADE]],"-",salesforecast[[#This Row],[FC/NFC]])</f>
        <v>30-25.5-2.25-CEW-CEW</v>
      </c>
      <c r="I66" s="43">
        <f>SUMIFS(scheduleapr[SCHEDULE IN MT],scheduleapr[Bucket],salesforecast[[#This Row],[Bucket]])</f>
        <v>70.984267228125006</v>
      </c>
      <c r="J66">
        <v>3770398</v>
      </c>
      <c r="K66">
        <f>COUNTIF('helper sheet'!$A$1:$A$33,salesforecast[[#This Row],[LL Material Code]])</f>
        <v>0</v>
      </c>
      <c r="N66" t="s">
        <v>2357</v>
      </c>
      <c r="P66" s="47" t="s">
        <v>362</v>
      </c>
      <c r="Q66">
        <v>12</v>
      </c>
      <c r="R66">
        <v>54</v>
      </c>
      <c r="S66">
        <v>36</v>
      </c>
      <c r="T66" s="52">
        <f>ROUNDUP(MAX(salesforecast[[#This Row],[FY25 Average]],salesforecast[[#This Row],[July Schedule]]),0)</f>
        <v>71</v>
      </c>
      <c r="U66" s="52">
        <f>salesforecast[[#This Row],[Forecast]]-salesforecast[[#This Row],[July Schedule]]</f>
        <v>1.5732771874994E-2</v>
      </c>
      <c r="V66" t="str">
        <f>salesforecast[[#This Row],[Plant]]</f>
        <v>0788</v>
      </c>
      <c r="W66" s="66" t="str" cm="1">
        <f t="array" ref="W66">_xlfn.TEXTJOIN("|",TRUE,(_xlfn.UNIQUE(_xlfn._xlws.FILTER(scheduleapr[CUSTOMER NAME],scheduleapr[Bucket]=salesforecast[[#This Row],[Bucket]]))))</f>
        <v>Marathwada|Rajsriya Unit 1</v>
      </c>
      <c r="X66" s="66" t="str" cm="1">
        <f t="array" ref="X66">_xlfn.TEXTJOIN("|",TRUE,(_xlfn.UNIQUE(_xlfn._xlws.SORT(_xlfn._xlws.FILTER(scheduleapr[LENGTH],scheduleapr[Bucket]=salesforecast[[#This Row],[Bucket]])))))</f>
        <v>465|485</v>
      </c>
      <c r="Y66" s="66" t="str" cm="1">
        <f t="array" ref="Y66">_xlfn.TEXTJOIN("|",TRUE,_xlfn._xlws.FILTER(buckets[Material Codes],(buckets[Bucket]=salesforecast[[#This Row],[Bucket2]])))</f>
        <v>2359755|1938121|1942166|3770398|403040|3781608|503108</v>
      </c>
      <c r="Z66" t="str">
        <f>salesforecast[[#This Row],[Bucket]]</f>
        <v>30-25.5-2.25-CEW-CEW</v>
      </c>
      <c r="AA66" s="43">
        <f>salesforecast[[#This Row],[July Schedule]]</f>
        <v>70.984267228125006</v>
      </c>
      <c r="AB66" s="43">
        <f>SUMIF(salesTVS[buckets.Bucket],salesforecast[[#This Row],[Bucket]],salesTVS[Quantity])/1000</f>
        <v>27.335820999999999</v>
      </c>
      <c r="AC66" s="43">
        <f>SUMIFS(stock[MT],stock[Bucket],salesforecast[[#This Row],[Bucket]],stock[LL or CTL],"CTL")</f>
        <v>1.4791730000000001</v>
      </c>
      <c r="AD66" s="43">
        <f>SUMIF(stock[Bucket],salesforecast[[#This Row],[Bucket]],stock[MT])-salesforecast[[#This Row],[Stock CTL]]</f>
        <v>13.385093000000001</v>
      </c>
      <c r="AE66" s="43" t="e">
        <v>#REF!</v>
      </c>
      <c r="AF66" s="43">
        <f>SUMIF(wip[Bucket],salesforecast[[#This Row],[Bucket]],wip[Stock(Net Wt)])/1000</f>
        <v>0</v>
      </c>
      <c r="AG66" s="43" t="e">
        <v>#REF!</v>
      </c>
      <c r="AH66" s="43">
        <f>SUMIFS(stock[MT],stock[Bucket],salesforecast[[#This Row],[Bucket2]],stock[Plant],"0788")</f>
        <v>3.077</v>
      </c>
      <c r="AI66" s="43">
        <f>((salesforecast[[#This Row],[WIP]]+salesforecast[[#This Row],[Stock LL]]))/salesforecast[[#This Row],[July Schedule]]*30</f>
        <v>5.6569266075469029</v>
      </c>
      <c r="AJ66" s="52">
        <f>salesforecast[[#This Row],[Stock LL]]/salesforecast[[#This Row],[Schedule]]*30</f>
        <v>5.6569266075469029</v>
      </c>
      <c r="AK66" s="43">
        <f>SUMIFS(stock[MT],stock[Bucket],salesforecast[[#This Row],[Bucket2]],stock[Plant],"0789",stock[LL or CTL],"LL")</f>
        <v>0</v>
      </c>
      <c r="AL66" s="193">
        <f>(salesforecast[[#This Row],[Sales]])/salesforecast[[#This Row],[Schedule]]</f>
        <v>0.38509689636084804</v>
      </c>
      <c r="AM66" s="43">
        <f>SUMIFS(stock[MT],stock[Plant],salesforecast[[#This Row],[Plant]],stock[LL or CTL],"LL",stock[Bucket],salesforecast[[#This Row],[Bucket]])</f>
        <v>3.077</v>
      </c>
      <c r="AN66" s="43">
        <f>SUMIFS(scheduleapr[SCHEDULE IN MT],scheduleapr[CUSTOMER NAME],"*Rajsriya*",scheduleapr[Bucket],salesforecast[[#This Row],[Bucket]])</f>
        <v>25.956644855625001</v>
      </c>
      <c r="AO66" s="43">
        <f>SUMIFS(salesTVS[Quantity],salesTVS[CUSTOMER  NAME],"*RAJSRIYA*",salesTVS[buckets.Bucket],salesforecast[[#This Row],[Bucket]])/1000</f>
        <v>15.757322</v>
      </c>
      <c r="AP66" s="43">
        <f>SUMIFS(stock[MT],stock[Plant],4318,stock[Bucket],salesforecast[[#This Row],[Bucket2]])</f>
        <v>0</v>
      </c>
      <c r="AQ66" s="43">
        <f>SUMIFS(stock[MT],stock[Plant],4731,stock[Bucket],salesforecast[[#This Row],[Bucket2]],stock[LL or CTL],"CTL")</f>
        <v>1.4791730000000001</v>
      </c>
      <c r="AR66" s="43">
        <f>SUMIFS(stock[MT],stock[Plant],4731,stock[Bucket],salesforecast[[#This Row],[Bucket2]])-salesforecast[[#This Row],[4731 Stock CTL]]</f>
        <v>10.308093000000001</v>
      </c>
      <c r="AS66" s="43">
        <f>SUMIFS(stock[MT],stock[Plant],8406,stock[Bucket],salesforecast[[#This Row],[Bucket2]])</f>
        <v>0</v>
      </c>
    </row>
    <row r="67" spans="1:45" ht="60" x14ac:dyDescent="0.25">
      <c r="A67">
        <v>31.75</v>
      </c>
      <c r="B67">
        <v>31.75</v>
      </c>
      <c r="C67">
        <v>0</v>
      </c>
      <c r="D67">
        <v>1.2</v>
      </c>
      <c r="E67" t="s">
        <v>962</v>
      </c>
      <c r="F67" t="s">
        <v>1003</v>
      </c>
      <c r="G67" t="s">
        <v>1867</v>
      </c>
      <c r="H67" t="str">
        <f>_xlfn.CONCAT(salesforecast[[#This Row],[OD]],"-",salesforecast[[#This Row],[ID]],"-",salesforecast[[#This Row],[TICKNESS]],"-",salesforecast[[#This Row],[GRADE]],"-",salesforecast[[#This Row],[FC/NFC]])</f>
        <v>31.75-0-1.2-ERW 1-FC</v>
      </c>
      <c r="I67" s="43">
        <f>SUMIFS(scheduleapr[SCHEDULE IN MT],scheduleapr[Bucket],salesforecast[[#This Row],[Bucket]])</f>
        <v>23.413113929399998</v>
      </c>
      <c r="J67">
        <v>3623212</v>
      </c>
      <c r="K67">
        <f>COUNTIF('helper sheet'!$A$1:$A$33,salesforecast[[#This Row],[LL Material Code]])</f>
        <v>0</v>
      </c>
      <c r="N67" t="s">
        <v>2470</v>
      </c>
      <c r="P67" s="47" t="s">
        <v>345</v>
      </c>
      <c r="Q67">
        <v>0</v>
      </c>
      <c r="R67">
        <v>3</v>
      </c>
      <c r="S67">
        <v>1</v>
      </c>
      <c r="T67" s="52">
        <f>ROUNDUP(MAX(salesforecast[[#This Row],[FY25 Average]],salesforecast[[#This Row],[July Schedule]]),0)</f>
        <v>24</v>
      </c>
      <c r="U67" s="52">
        <f>salesforecast[[#This Row],[Forecast]]-salesforecast[[#This Row],[July Schedule]]</f>
        <v>0.58688607060000209</v>
      </c>
      <c r="V67" t="str">
        <f>salesforecast[[#This Row],[Plant]]</f>
        <v>0789</v>
      </c>
      <c r="W67" s="66" t="str" cm="1">
        <f t="array" ref="W67">_xlfn.TEXTJOIN("|",TRUE,(_xlfn.UNIQUE(_xlfn._xlws.FILTER(scheduleapr[CUSTOMER NAME],scheduleapr[Bucket]=salesforecast[[#This Row],[Bucket]]))))</f>
        <v>NMPL TVSM|Rajsriya Unit 4|Rajsriya Unit 2|Rajsriya Automotive|SANDHAR ENGINEERING PVT LTD.</v>
      </c>
      <c r="X67" s="66" t="str" cm="1">
        <f t="array" ref="X67">_xlfn.TEXTJOIN("|",TRUE,(_xlfn.UNIQUE(_xlfn._xlws.SORT(_xlfn._xlws.FILTER(scheduleapr[LENGTH],scheduleapr[Bucket]=salesforecast[[#This Row],[Bucket]])))))</f>
        <v>210|598|600|657|670|680|1000</v>
      </c>
      <c r="Y67" s="66" t="str" cm="1">
        <f t="array" ref="Y67">_xlfn.TEXTJOIN("|",TRUE,_xlfn._xlws.FILTER(buckets[Material Codes],(buckets[Bucket]=salesforecast[[#This Row],[Bucket2]])*(buckets[LL or CTL]="CTL")))</f>
        <v>2256593|4082199</v>
      </c>
      <c r="Z67" t="str">
        <f>salesforecast[[#This Row],[Bucket]]</f>
        <v>31.75-0-1.2-ERW 1-FC</v>
      </c>
      <c r="AA67" s="43">
        <f>salesforecast[[#This Row],[July Schedule]]</f>
        <v>23.413113929399998</v>
      </c>
      <c r="AB67" s="43">
        <f>SUMIF(salesTVS[buckets.Bucket],salesforecast[[#This Row],[Bucket]],salesTVS[Quantity])/1000</f>
        <v>1.0556430000000001</v>
      </c>
      <c r="AC67" s="43">
        <f>SUMIFS(stock[MT],stock[Bucket],salesforecast[[#This Row],[Bucket]],stock[LL or CTL],"CTL")</f>
        <v>0.89200600000000008</v>
      </c>
      <c r="AD67" s="43">
        <f>SUMIF(stock[Bucket],salesforecast[[#This Row],[Bucket]],stock[MT])-salesforecast[[#This Row],[Stock CTL]]</f>
        <v>0</v>
      </c>
      <c r="AE67" s="43" t="e">
        <v>#REF!</v>
      </c>
      <c r="AF67" s="43">
        <f>SUMIF(wip[Bucket],salesforecast[[#This Row],[Bucket]],wip[Stock(Net Wt)])/1000</f>
        <v>0</v>
      </c>
      <c r="AG67" s="43" t="e">
        <v>#REF!</v>
      </c>
      <c r="AH67" s="43">
        <f>SUMIFS(stock[MT],stock[Bucket],salesforecast[[#This Row],[Bucket2]],stock[Plant],"0788")</f>
        <v>0</v>
      </c>
      <c r="AI67" s="43">
        <f>((salesforecast[[#This Row],[WIP]]+salesforecast[[#This Row],[Stock LL]]))/salesforecast[[#This Row],[July Schedule]]*30</f>
        <v>0</v>
      </c>
      <c r="AJ67" s="52">
        <f>salesforecast[[#This Row],[Stock LL]]/salesforecast[[#This Row],[Schedule]]*30</f>
        <v>0</v>
      </c>
      <c r="AK67" s="43">
        <f>SUMIFS(stock[MT],stock[Bucket],salesforecast[[#This Row],[Bucket2]],stock[Plant],"0789",stock[LL or CTL],"LL")</f>
        <v>0</v>
      </c>
      <c r="AL67" s="193">
        <f>(salesforecast[[#This Row],[Sales]])/salesforecast[[#This Row],[Schedule]]</f>
        <v>4.5087680484671558E-2</v>
      </c>
      <c r="AM67" s="43">
        <f>SUMIFS(stock[MT],stock[Plant],salesforecast[[#This Row],[Plant]],stock[LL or CTL],"LL",stock[Bucket],salesforecast[[#This Row],[Bucket]])</f>
        <v>0</v>
      </c>
      <c r="AN67" s="43">
        <f>SUMIFS(scheduleapr[SCHEDULE IN MT],scheduleapr[CUSTOMER NAME],"*Rajsriya*",scheduleapr[Bucket],salesforecast[[#This Row],[Bucket]])</f>
        <v>5.4127577165999998</v>
      </c>
      <c r="AO67" s="43">
        <f>SUMIFS(salesTVS[Quantity],salesTVS[CUSTOMER  NAME],"*RAJSRIYA*",salesTVS[buckets.Bucket],salesforecast[[#This Row],[Bucket]])/1000</f>
        <v>0.93214300000000005</v>
      </c>
      <c r="AP67" s="43">
        <f>SUMIFS(stock[MT],stock[Plant],4318,stock[Bucket],salesforecast[[#This Row],[Bucket2]])</f>
        <v>0</v>
      </c>
      <c r="AQ67" s="43">
        <f>SUMIFS(stock[MT],stock[Plant],4731,stock[Bucket],salesforecast[[#This Row],[Bucket2]],stock[LL or CTL],"CTL")</f>
        <v>0</v>
      </c>
      <c r="AR67" s="43">
        <f>SUMIFS(stock[MT],stock[Plant],4731,stock[Bucket],salesforecast[[#This Row],[Bucket2]])-salesforecast[[#This Row],[4731 Stock CTL]]</f>
        <v>0</v>
      </c>
      <c r="AS67" s="43">
        <f>SUMIFS(stock[MT],stock[Plant],8406,stock[Bucket],salesforecast[[#This Row],[Bucket2]])</f>
        <v>0</v>
      </c>
    </row>
    <row r="68" spans="1:45" ht="45" x14ac:dyDescent="0.25">
      <c r="A68">
        <v>31.75</v>
      </c>
      <c r="B68">
        <v>31.75</v>
      </c>
      <c r="C68">
        <v>0</v>
      </c>
      <c r="D68">
        <v>1.2</v>
      </c>
      <c r="E68" t="s">
        <v>962</v>
      </c>
      <c r="F68" t="s">
        <v>963</v>
      </c>
      <c r="G68" t="s">
        <v>1867</v>
      </c>
      <c r="H68" t="str">
        <f>_xlfn.CONCAT(salesforecast[[#This Row],[OD]],"-",salesforecast[[#This Row],[ID]],"-",salesforecast[[#This Row],[TICKNESS]],"-",salesforecast[[#This Row],[GRADE]],"-",salesforecast[[#This Row],[FC/NFC]])</f>
        <v>31.75-0-1.2-ERW 1-PE</v>
      </c>
      <c r="I68" s="43">
        <f>SUMIFS(scheduleapr[SCHEDULE IN MT],scheduleapr[Bucket],salesforecast[[#This Row],[Bucket]])</f>
        <v>0</v>
      </c>
      <c r="J68">
        <v>1940655</v>
      </c>
      <c r="K68">
        <f>COUNTIF('helper sheet'!$A$1:$A$33,salesforecast[[#This Row],[LL Material Code]])</f>
        <v>1</v>
      </c>
      <c r="L68">
        <v>3171772</v>
      </c>
      <c r="N68" t="s">
        <v>2471</v>
      </c>
      <c r="P68" s="47" t="s">
        <v>345</v>
      </c>
      <c r="Q68">
        <v>0</v>
      </c>
      <c r="R68">
        <v>14</v>
      </c>
      <c r="S68">
        <v>5</v>
      </c>
      <c r="T68" s="52">
        <f>ROUNDUP(MAX(salesforecast[[#This Row],[FY25 Average]],salesforecast[[#This Row],[July Schedule]]),0)</f>
        <v>5</v>
      </c>
      <c r="U68" s="52">
        <f>salesforecast[[#This Row],[Forecast]]-salesforecast[[#This Row],[July Schedule]]</f>
        <v>5</v>
      </c>
      <c r="V68" t="str">
        <f>salesforecast[[#This Row],[Plant]]</f>
        <v>0789</v>
      </c>
      <c r="W68" s="66" t="e" cm="1" vm="1">
        <f t="array" ref="W68">_xlfn.TEXTJOIN("|",TRUE,(_xlfn.UNIQUE(_xlfn._xlws.FILTER(scheduleapr[CUSTOMER NAME],scheduleapr[Bucket]=salesforecast[[#This Row],[Bucket]]))))</f>
        <v>#VALUE!</v>
      </c>
      <c r="X68" s="66" t="e" cm="1" vm="1">
        <f t="array" ref="X68">_xlfn.TEXTJOIN("|",TRUE,(_xlfn.UNIQUE(_xlfn._xlws.SORT(_xlfn._xlws.FILTER(scheduleapr[LENGTH],scheduleapr[Bucket]=salesforecast[[#This Row],[Bucket]])))))</f>
        <v>#VALUE!</v>
      </c>
      <c r="Y68" s="66" t="str" cm="1">
        <f t="array" ref="Y68">_xlfn.TEXTJOIN("|",TRUE,_xlfn._xlws.FILTER(buckets[Material Codes],(buckets[Bucket]=salesforecast[[#This Row],[Bucket2]])*(buckets[LL or CTL]="CTL")))</f>
        <v>3508456|444028|3507795|373013|1940653|3506437|3819143|1904406</v>
      </c>
      <c r="Z68" t="str">
        <f>salesforecast[[#This Row],[Bucket]]</f>
        <v>31.75-0-1.2-ERW 1-PE</v>
      </c>
      <c r="AA68" s="43">
        <f>salesforecast[[#This Row],[July Schedule]]</f>
        <v>0</v>
      </c>
      <c r="AB68" s="43">
        <f>SUMIF(salesTVS[buckets.Bucket],salesforecast[[#This Row],[Bucket]],salesTVS[Quantity])/1000</f>
        <v>2.7823709999999999</v>
      </c>
      <c r="AC68" s="43">
        <f>SUMIFS(stock[MT],stock[Bucket],salesforecast[[#This Row],[Bucket]],stock[LL or CTL],"CTL")</f>
        <v>7.1497729999999997</v>
      </c>
      <c r="AD68" s="43">
        <f>SUMIF(stock[Bucket],salesforecast[[#This Row],[Bucket]],stock[MT])-salesforecast[[#This Row],[Stock CTL]]</f>
        <v>16.845880000000001</v>
      </c>
      <c r="AE68" s="43" t="e">
        <v>#REF!</v>
      </c>
      <c r="AF68" s="43">
        <f>SUMIF(wip[Bucket],salesforecast[[#This Row],[Bucket]],wip[Stock(Net Wt)])/1000</f>
        <v>0</v>
      </c>
      <c r="AG68" s="43" t="e">
        <v>#REF!</v>
      </c>
      <c r="AH68" s="43">
        <f>SUMIFS(stock[MT],stock[Bucket],salesforecast[[#This Row],[Bucket2]],stock[Plant],"0788")</f>
        <v>0</v>
      </c>
      <c r="AI68" s="43" t="e">
        <f>((salesforecast[[#This Row],[WIP]]+salesforecast[[#This Row],[Stock LL]]))/salesforecast[[#This Row],[July Schedule]]*30</f>
        <v>#DIV/0!</v>
      </c>
      <c r="AJ68" s="52" t="e">
        <f>salesforecast[[#This Row],[Stock LL]]/salesforecast[[#This Row],[Schedule]]*30</f>
        <v>#DIV/0!</v>
      </c>
      <c r="AK68" s="43">
        <f>SUMIFS(stock[MT],stock[Bucket],salesforecast[[#This Row],[Bucket2]],stock[Plant],"0789",stock[LL or CTL],"LL")</f>
        <v>6.4566439999999998</v>
      </c>
      <c r="AL68" s="193" t="e">
        <f>(salesforecast[[#This Row],[Sales]])/salesforecast[[#This Row],[Schedule]]</f>
        <v>#DIV/0!</v>
      </c>
      <c r="AM68" s="43">
        <f>SUMIFS(stock[MT],stock[Plant],salesforecast[[#This Row],[Plant]],stock[LL or CTL],"LL",stock[Bucket],salesforecast[[#This Row],[Bucket]])</f>
        <v>6.4566439999999998</v>
      </c>
      <c r="AN68" s="43">
        <f>SUMIFS(scheduleapr[SCHEDULE IN MT],scheduleapr[CUSTOMER NAME],"*Rajsriya*",scheduleapr[Bucket],salesforecast[[#This Row],[Bucket]])</f>
        <v>0</v>
      </c>
      <c r="AO68" s="43">
        <f>SUMIFS(salesTVS[Quantity],salesTVS[CUSTOMER  NAME],"*RAJSRIYA*",salesTVS[buckets.Bucket],salesforecast[[#This Row],[Bucket]])/1000</f>
        <v>0</v>
      </c>
      <c r="AP68" s="43">
        <f>SUMIFS(stock[MT],stock[Plant],4318,stock[Bucket],salesforecast[[#This Row],[Bucket2]])</f>
        <v>0</v>
      </c>
      <c r="AQ68" s="43">
        <f>SUMIFS(stock[MT],stock[Plant],4731,stock[Bucket],salesforecast[[#This Row],[Bucket2]],stock[LL or CTL],"CTL")</f>
        <v>0</v>
      </c>
      <c r="AR68" s="43">
        <f>SUMIFS(stock[MT],stock[Plant],4731,stock[Bucket],salesforecast[[#This Row],[Bucket2]])-salesforecast[[#This Row],[4731 Stock CTL]]</f>
        <v>8.2089999999999996</v>
      </c>
      <c r="AS68" s="43">
        <f>SUMIFS(stock[MT],stock[Plant],8406,stock[Bucket],salesforecast[[#This Row],[Bucket2]])</f>
        <v>2.1802359999999998</v>
      </c>
    </row>
    <row r="69" spans="1:45" x14ac:dyDescent="0.25">
      <c r="A69">
        <v>31.75</v>
      </c>
      <c r="B69">
        <v>31.75</v>
      </c>
      <c r="C69">
        <v>0</v>
      </c>
      <c r="D69">
        <v>1.6</v>
      </c>
      <c r="E69" t="s">
        <v>962</v>
      </c>
      <c r="F69" t="s">
        <v>1003</v>
      </c>
      <c r="G69" t="s">
        <v>1867</v>
      </c>
      <c r="H69" t="str">
        <f>_xlfn.CONCAT(salesforecast[[#This Row],[OD]],"-",salesforecast[[#This Row],[ID]],"-",salesforecast[[#This Row],[TICKNESS]],"-",salesforecast[[#This Row],[GRADE]],"-",salesforecast[[#This Row],[FC/NFC]])</f>
        <v>31.75-0-1.6-ERW 1-FC</v>
      </c>
      <c r="I69" s="43">
        <f>SUMIFS(scheduleapr[SCHEDULE IN MT],scheduleapr[Bucket],salesforecast[[#This Row],[Bucket]])</f>
        <v>0</v>
      </c>
      <c r="J69">
        <v>1940675</v>
      </c>
      <c r="K69">
        <f>COUNTIF('helper sheet'!$A$1:$A$33,salesforecast[[#This Row],[LL Material Code]])</f>
        <v>1</v>
      </c>
      <c r="L69">
        <v>3715133</v>
      </c>
      <c r="N69" t="s">
        <v>2472</v>
      </c>
      <c r="O69" t="s">
        <v>1881</v>
      </c>
      <c r="P69" s="47" t="s">
        <v>345</v>
      </c>
      <c r="Q69">
        <v>0</v>
      </c>
      <c r="R69">
        <v>4</v>
      </c>
      <c r="S69">
        <v>1</v>
      </c>
      <c r="T69" s="52">
        <f>ROUNDUP(MAX(salesforecast[[#This Row],[FY25 Average]],salesforecast[[#This Row],[July Schedule]]),0)</f>
        <v>1</v>
      </c>
      <c r="U69" s="52">
        <f>salesforecast[[#This Row],[Forecast]]-salesforecast[[#This Row],[July Schedule]]</f>
        <v>1</v>
      </c>
      <c r="V69" t="str">
        <f>salesforecast[[#This Row],[Plant]]</f>
        <v>0789</v>
      </c>
      <c r="W69" s="66" t="str" cm="1">
        <f t="array" ref="W69">_xlfn.TEXTJOIN("|",TRUE,(_xlfn.UNIQUE(_xlfn._xlws.FILTER(scheduleapr[CUSTOMER NAME],scheduleapr[Bucket]=salesforecast[[#This Row],[Bucket]]))))</f>
        <v>SANDHAR ENGINEERING PVT LTD.</v>
      </c>
      <c r="X69" s="66" t="str" cm="1">
        <f t="array" ref="X69">_xlfn.TEXTJOIN("|",TRUE,(_xlfn.UNIQUE(_xlfn._xlws.SORT(_xlfn._xlws.FILTER(scheduleapr[LENGTH],scheduleapr[Bucket]=salesforecast[[#This Row],[Bucket]])))))</f>
        <v>658</v>
      </c>
      <c r="Y69" s="66" t="str" cm="1">
        <f t="array" ref="Y69">_xlfn.TEXTJOIN("|",TRUE,_xlfn._xlws.FILTER(buckets[Material Codes],(buckets[Bucket]=salesforecast[[#This Row],[Bucket2]])*(buckets[LL or CTL]="CTL")))</f>
        <v>3715133|3447257</v>
      </c>
      <c r="Z69" t="str">
        <f>salesforecast[[#This Row],[Bucket]]</f>
        <v>31.75-0-1.6-ERW 1-FC</v>
      </c>
      <c r="AA69" s="43">
        <f>salesforecast[[#This Row],[July Schedule]]</f>
        <v>0</v>
      </c>
      <c r="AB69" s="43">
        <f>SUMIF(salesTVS[buckets.Bucket],salesforecast[[#This Row],[Bucket]],salesTVS[Quantity])/1000</f>
        <v>0</v>
      </c>
      <c r="AC69" s="43">
        <f>SUMIFS(stock[MT],stock[Bucket],salesforecast[[#This Row],[Bucket]],stock[LL or CTL],"CTL")</f>
        <v>1.3464E-2</v>
      </c>
      <c r="AD69" s="43">
        <f>SUMIF(stock[Bucket],salesforecast[[#This Row],[Bucket]],stock[MT])-salesforecast[[#This Row],[Stock CTL]]</f>
        <v>0</v>
      </c>
      <c r="AE69" s="43" t="e">
        <v>#REF!</v>
      </c>
      <c r="AF69" s="43">
        <f>SUMIF(wip[Bucket],salesforecast[[#This Row],[Bucket]],wip[Stock(Net Wt)])/1000</f>
        <v>1.9610000000000001</v>
      </c>
      <c r="AG69" s="43" t="e">
        <v>#REF!</v>
      </c>
      <c r="AH69" s="43">
        <f>SUMIFS(stock[MT],stock[Bucket],salesforecast[[#This Row],[Bucket2]],stock[Plant],"0788")</f>
        <v>0</v>
      </c>
      <c r="AI69" s="43" t="e">
        <f>((salesforecast[[#This Row],[WIP]]+salesforecast[[#This Row],[Stock LL]]))/salesforecast[[#This Row],[July Schedule]]*30</f>
        <v>#DIV/0!</v>
      </c>
      <c r="AJ69" s="52" t="e">
        <f>salesforecast[[#This Row],[Stock LL]]/salesforecast[[#This Row],[Schedule]]*30</f>
        <v>#DIV/0!</v>
      </c>
      <c r="AK69" s="43">
        <f>SUMIFS(stock[MT],stock[Bucket],salesforecast[[#This Row],[Bucket2]],stock[Plant],"0789",stock[LL or CTL],"LL")</f>
        <v>0</v>
      </c>
      <c r="AL69" s="193" t="e">
        <f>(salesforecast[[#This Row],[Sales]])/salesforecast[[#This Row],[Schedule]]</f>
        <v>#DIV/0!</v>
      </c>
      <c r="AM69" s="43">
        <f>SUMIFS(stock[MT],stock[Plant],salesforecast[[#This Row],[Plant]],stock[LL or CTL],"LL",stock[Bucket],salesforecast[[#This Row],[Bucket]])</f>
        <v>0</v>
      </c>
      <c r="AN69" s="43">
        <f>SUMIFS(scheduleapr[SCHEDULE IN MT],scheduleapr[CUSTOMER NAME],"*Rajsriya*",scheduleapr[Bucket],salesforecast[[#This Row],[Bucket]])</f>
        <v>0</v>
      </c>
      <c r="AO69" s="43">
        <f>SUMIFS(salesTVS[Quantity],salesTVS[CUSTOMER  NAME],"*RAJSRIYA*",salesTVS[buckets.Bucket],salesforecast[[#This Row],[Bucket]])/1000</f>
        <v>0</v>
      </c>
      <c r="AP69" s="43">
        <f>SUMIFS(stock[MT],stock[Plant],4318,stock[Bucket],salesforecast[[#This Row],[Bucket2]])</f>
        <v>0</v>
      </c>
      <c r="AQ69" s="43">
        <f>SUMIFS(stock[MT],stock[Plant],4731,stock[Bucket],salesforecast[[#This Row],[Bucket2]],stock[LL or CTL],"CTL")</f>
        <v>0</v>
      </c>
      <c r="AR69" s="43">
        <f>SUMIFS(stock[MT],stock[Plant],4731,stock[Bucket],salesforecast[[#This Row],[Bucket2]])-salesforecast[[#This Row],[4731 Stock CTL]]</f>
        <v>0</v>
      </c>
      <c r="AS69" s="43">
        <f>SUMIFS(stock[MT],stock[Plant],8406,stock[Bucket],salesforecast[[#This Row],[Bucket2]])</f>
        <v>0</v>
      </c>
    </row>
    <row r="70" spans="1:45" x14ac:dyDescent="0.25">
      <c r="A70">
        <v>31.75</v>
      </c>
      <c r="B70">
        <v>31.75</v>
      </c>
      <c r="C70">
        <v>0</v>
      </c>
      <c r="D70">
        <v>2.2999999999999998</v>
      </c>
      <c r="E70" t="s">
        <v>962</v>
      </c>
      <c r="F70" t="s">
        <v>1003</v>
      </c>
      <c r="G70" t="s">
        <v>239</v>
      </c>
      <c r="H70" t="s">
        <v>1029</v>
      </c>
      <c r="I70" s="43">
        <f>SUMIFS(scheduleapr[SCHEDULE IN MT],scheduleapr[Bucket],salesforecast[[#This Row],[Bucket]])</f>
        <v>0</v>
      </c>
      <c r="K70">
        <f>COUNTIF('helper sheet'!$A$1:$A$33,salesforecast[[#This Row],[LL Material Code]])</f>
        <v>0</v>
      </c>
      <c r="P70" s="47"/>
      <c r="T70" s="52">
        <f>ROUNDUP(MAX(salesforecast[[#This Row],[FY25 Average]],salesforecast[[#This Row],[July Schedule]]),0)</f>
        <v>0</v>
      </c>
      <c r="U70" s="52">
        <f>salesforecast[[#This Row],[Forecast]]-salesforecast[[#This Row],[July Schedule]]</f>
        <v>0</v>
      </c>
      <c r="V70">
        <f>salesforecast[[#This Row],[Plant]]</f>
        <v>0</v>
      </c>
      <c r="W70" s="66" t="str" cm="1">
        <f t="array" ref="W70">_xlfn.TEXTJOIN("|",TRUE,(_xlfn.UNIQUE(_xlfn._xlws.FILTER(scheduleapr[CUSTOMER NAME],scheduleapr[Bucket]=salesforecast[[#This Row],[Bucket]]))))</f>
        <v>Rucha</v>
      </c>
      <c r="X70" s="66" t="str" cm="1">
        <f t="array" ref="X70">_xlfn.TEXTJOIN("|",TRUE,(_xlfn.UNIQUE(_xlfn._xlws.SORT(_xlfn._xlws.FILTER(scheduleapr[LENGTH],scheduleapr[Bucket]=salesforecast[[#This Row],[Bucket]])))))</f>
        <v>193</v>
      </c>
      <c r="Y70" s="66" t="e" cm="1" vm="1">
        <f t="array" ref="Y70">_xlfn.TEXTJOIN("|",TRUE,_xlfn._xlws.FILTER(buckets[Material Codes],(buckets[Bucket]=salesforecast[[#This Row],[Bucket2]])*(buckets[LL or CTL]="CTL")))</f>
        <v>#VALUE!</v>
      </c>
      <c r="Z70" t="s">
        <v>1029</v>
      </c>
      <c r="AA70" s="43">
        <f>salesforecast[[#This Row],[July Schedule]]</f>
        <v>0</v>
      </c>
      <c r="AB70" s="43">
        <f>SUMIF(salesTVS[buckets.Bucket],salesforecast[[#This Row],[Bucket]],salesTVS[Quantity])/1000</f>
        <v>0</v>
      </c>
      <c r="AC70" s="43">
        <f>SUMIFS(stock[MT],stock[Bucket],salesforecast[[#This Row],[Bucket]],stock[LL or CTL],"CTL")</f>
        <v>0</v>
      </c>
      <c r="AD70" s="43">
        <f>SUMIF(stock[Bucket],salesforecast[[#This Row],[Bucket]],stock[MT])</f>
        <v>1.83</v>
      </c>
      <c r="AE70" s="43"/>
      <c r="AF70" s="43">
        <f>SUMIF(wip[Bucket],salesforecast[[#This Row],[Bucket]],wip[Stock(Net Wt)])/1000</f>
        <v>0</v>
      </c>
      <c r="AG70" s="43"/>
      <c r="AH70" s="43">
        <f>SUMIFS(stock[MT],stock[Bucket],salesforecast[[#This Row],[Bucket2]],stock[Plant],"0788")</f>
        <v>0</v>
      </c>
      <c r="AI70" s="43" t="e">
        <f>((salesforecast[[#This Row],[WIP]]+salesforecast[[#This Row],[Stock LL]]))/salesforecast[[#This Row],[July Schedule]]*30</f>
        <v>#DIV/0!</v>
      </c>
      <c r="AJ70" s="43" t="e">
        <f>salesforecast[[#This Row],[Stock LL]]/salesforecast[[#This Row],[Schedule]]*30</f>
        <v>#DIV/0!</v>
      </c>
      <c r="AK70" s="43">
        <f>SUMIFS(stock[MT],stock[Bucket],salesforecast[[#This Row],[Bucket2]],stock[Plant],"0789",stock[LL or CTL],"LL")</f>
        <v>0</v>
      </c>
      <c r="AL70" s="193" t="e">
        <f>(salesforecast[[#This Row],[Sales]])/salesforecast[[#This Row],[Schedule]]</f>
        <v>#DIV/0!</v>
      </c>
      <c r="AM70" s="43">
        <f>SUMIFS(stock[MT],stock[Plant],salesforecast[[#This Row],[Plant]],stock[LL or CTL],"LL",stock[Bucket],salesforecast[[#This Row],[Bucket]])</f>
        <v>0</v>
      </c>
      <c r="AN70" s="43">
        <f>SUMIFS(scheduleapr[SCHEDULE IN MT],scheduleapr[CUSTOMER NAME],"*Rajsriya*",scheduleapr[Bucket],salesforecast[[#This Row],[Bucket]])</f>
        <v>0</v>
      </c>
      <c r="AO70" s="43">
        <f>SUMIFS(salesTVS[Quantity],salesTVS[CUSTOMER  NAME],"*RAJSRIYA*",salesTVS[buckets.Bucket],salesforecast[[#This Row],[Bucket]])/1000</f>
        <v>0</v>
      </c>
      <c r="AP70" s="43">
        <f>SUMIFS(stock[MT],stock[Plant],4318,stock[Bucket],salesforecast[[#This Row],[Bucket2]])</f>
        <v>0</v>
      </c>
      <c r="AQ70" s="43">
        <f>SUMIFS(stock[MT],stock[Plant],4731,stock[Bucket],salesforecast[[#This Row],[Bucket2]],stock[LL or CTL],"CTL")</f>
        <v>0</v>
      </c>
      <c r="AR70" s="43">
        <f>SUMIFS(stock[MT],stock[Plant],4731,stock[Bucket],salesforecast[[#This Row],[Bucket2]])</f>
        <v>1.83</v>
      </c>
      <c r="AS70" s="43">
        <f>SUMIFS(stock[MT],stock[Plant],8406,stock[Bucket],salesforecast[[#This Row],[Bucket2]])</f>
        <v>0</v>
      </c>
    </row>
    <row r="71" spans="1:45" x14ac:dyDescent="0.25">
      <c r="A71">
        <v>31.75</v>
      </c>
      <c r="B71">
        <v>31.75</v>
      </c>
      <c r="C71">
        <v>0</v>
      </c>
      <c r="D71">
        <v>2.5</v>
      </c>
      <c r="E71" t="s">
        <v>962</v>
      </c>
      <c r="F71" t="s">
        <v>1003</v>
      </c>
      <c r="G71" t="s">
        <v>239</v>
      </c>
      <c r="H71" t="str">
        <f>_xlfn.CONCAT(salesforecast[[#This Row],[OD]],"-",salesforecast[[#This Row],[ID]],"-",salesforecast[[#This Row],[TICKNESS]],"-",salesforecast[[#This Row],[GRADE]],"-",salesforecast[[#This Row],[FC/NFC]])</f>
        <v>31.75-0-2.5-ERW 1-FC</v>
      </c>
      <c r="I71" s="43">
        <f>SUMIFS(scheduleapr[SCHEDULE IN MT],scheduleapr[Bucket],salesforecast[[#This Row],[Bucket]])</f>
        <v>32.444246249999999</v>
      </c>
      <c r="J71">
        <v>1941840</v>
      </c>
      <c r="K71">
        <f>COUNTIF('helper sheet'!$A$1:$A$33,salesforecast[[#This Row],[LL Material Code]])</f>
        <v>0</v>
      </c>
      <c r="N71" t="s">
        <v>2067</v>
      </c>
      <c r="P71" s="47" t="s">
        <v>345</v>
      </c>
      <c r="Q71">
        <v>0</v>
      </c>
      <c r="R71">
        <v>26</v>
      </c>
      <c r="S71">
        <v>10</v>
      </c>
      <c r="T71" s="52">
        <f>ROUNDUP(MAX(salesforecast[[#This Row],[FY25 Average]],salesforecast[[#This Row],[July Schedule]]),0)</f>
        <v>33</v>
      </c>
      <c r="U71" s="52">
        <f>salesforecast[[#This Row],[Forecast]]-salesforecast[[#This Row],[July Schedule]]</f>
        <v>0.55575375000000093</v>
      </c>
      <c r="V71" t="str">
        <f>salesforecast[[#This Row],[Plant]]</f>
        <v>0789</v>
      </c>
      <c r="W71" s="66" t="str" cm="1">
        <f t="array" ref="W71">_xlfn.TEXTJOIN("|",TRUE,(_xlfn.UNIQUE(_xlfn._xlws.FILTER(scheduleapr[CUSTOMER NAME],scheduleapr[Bucket]=salesforecast[[#This Row],[Bucket]]))))</f>
        <v xml:space="preserve">Rajsriya Unit 5|Rajsriya Mysore </v>
      </c>
      <c r="X71" s="66" t="str" cm="1">
        <f t="array" ref="X71">_xlfn.TEXTJOIN("|",TRUE,(_xlfn.UNIQUE(_xlfn._xlws.SORT(_xlfn._xlws.FILTER(scheduleapr[LENGTH],scheduleapr[Bucket]=salesforecast[[#This Row],[Bucket]])))))</f>
        <v>1000</v>
      </c>
      <c r="Y71" s="66" t="str" cm="1">
        <f t="array" ref="Y71">_xlfn.TEXTJOIN("|",TRUE,_xlfn._xlws.FILTER(buckets[Material Codes],(buckets[Bucket]=salesforecast[[#This Row],[Bucket2]])*(buckets[LL or CTL]="CTL")))</f>
        <v>3509016</v>
      </c>
      <c r="Z71" t="str">
        <f>salesforecast[[#This Row],[Bucket]]</f>
        <v>31.75-0-2.5-ERW 1-FC</v>
      </c>
      <c r="AA71" s="43">
        <f>salesforecast[[#This Row],[July Schedule]]</f>
        <v>32.444246249999999</v>
      </c>
      <c r="AB71" s="43">
        <f>SUMIF(salesTVS[buckets.Bucket],salesforecast[[#This Row],[Bucket]],salesTVS[Quantity])/1000</f>
        <v>6.5400470000000004</v>
      </c>
      <c r="AC71" s="43">
        <f>SUMIFS(stock[MT],stock[Bucket],salesforecast[[#This Row],[Bucket]],stock[LL or CTL],"CTL")</f>
        <v>0.90248500000000009</v>
      </c>
      <c r="AD71" s="43">
        <f>SUMIF(stock[Bucket],salesforecast[[#This Row],[Bucket]],stock[MT])-salesforecast[[#This Row],[Stock CTL]]</f>
        <v>5.0396819999999991</v>
      </c>
      <c r="AE71" s="43" t="e">
        <v>#REF!</v>
      </c>
      <c r="AF71" s="43">
        <f>SUMIF(wip[Bucket],salesforecast[[#This Row],[Bucket]],wip[Stock(Net Wt)])/1000</f>
        <v>0</v>
      </c>
      <c r="AG71" s="43" t="e">
        <v>#REF!</v>
      </c>
      <c r="AH71" s="43">
        <f>SUMIFS(stock[MT],stock[Bucket],salesforecast[[#This Row],[Bucket2]],stock[Plant],"0788")</f>
        <v>0</v>
      </c>
      <c r="AI71" s="43">
        <f>((salesforecast[[#This Row],[WIP]]+salesforecast[[#This Row],[Stock LL]]))/salesforecast[[#This Row],[July Schedule]]*30</f>
        <v>4.6600083982533569</v>
      </c>
      <c r="AJ71" s="52">
        <f>salesforecast[[#This Row],[Stock LL]]/salesforecast[[#This Row],[Schedule]]*30</f>
        <v>4.6600083982533569</v>
      </c>
      <c r="AK71" s="43">
        <f>SUMIFS(stock[MT],stock[Bucket],salesforecast[[#This Row],[Bucket2]],stock[Plant],"0789",stock[LL or CTL],"LL")</f>
        <v>0</v>
      </c>
      <c r="AL71" s="193">
        <f>(salesforecast[[#This Row],[Sales]])/salesforecast[[#This Row],[Schedule]]</f>
        <v>0.20157802248218359</v>
      </c>
      <c r="AM71" s="43">
        <f>SUMIFS(stock[MT],stock[Plant],salesforecast[[#This Row],[Plant]],stock[LL or CTL],"LL",stock[Bucket],salesforecast[[#This Row],[Bucket]])</f>
        <v>0</v>
      </c>
      <c r="AN71" s="43">
        <f>SUMIFS(scheduleapr[SCHEDULE IN MT],scheduleapr[CUSTOMER NAME],"*Rajsriya*",scheduleapr[Bucket],salesforecast[[#This Row],[Bucket]])</f>
        <v>32.444246249999999</v>
      </c>
      <c r="AO71" s="43">
        <f>SUMIFS(salesTVS[Quantity],salesTVS[CUSTOMER  NAME],"*RAJSRIYA*",salesTVS[buckets.Bucket],salesforecast[[#This Row],[Bucket]])/1000</f>
        <v>3.143348</v>
      </c>
      <c r="AP71" s="43">
        <f>SUMIFS(stock[MT],stock[Plant],4318,stock[Bucket],salesforecast[[#This Row],[Bucket2]])</f>
        <v>0</v>
      </c>
      <c r="AQ71" s="43">
        <f>SUMIFS(stock[MT],stock[Plant],4731,stock[Bucket],salesforecast[[#This Row],[Bucket2]],stock[LL or CTL],"CTL")</f>
        <v>0.90159700000000009</v>
      </c>
      <c r="AR71" s="43">
        <f>SUMIFS(stock[MT],stock[Plant],4731,stock[Bucket],salesforecast[[#This Row],[Bucket2]])-salesforecast[[#This Row],[4731 Stock CTL]]</f>
        <v>0.60838099999999995</v>
      </c>
      <c r="AS71" s="43">
        <f>SUMIFS(stock[MT],stock[Plant],8406,stock[Bucket],salesforecast[[#This Row],[Bucket2]])</f>
        <v>4.4313009999999995</v>
      </c>
    </row>
    <row r="72" spans="1:45" ht="30" x14ac:dyDescent="0.25">
      <c r="A72">
        <v>31.75</v>
      </c>
      <c r="B72">
        <v>31.75</v>
      </c>
      <c r="C72">
        <v>25</v>
      </c>
      <c r="D72">
        <v>3.37</v>
      </c>
      <c r="E72" t="s">
        <v>357</v>
      </c>
      <c r="F72" t="s">
        <v>357</v>
      </c>
      <c r="G72" t="s">
        <v>239</v>
      </c>
      <c r="H72" t="str">
        <f>_xlfn.CONCAT(salesforecast[[#This Row],[OD]],"-",salesforecast[[#This Row],[ID]],"-",salesforecast[[#This Row],[TICKNESS]],"-",salesforecast[[#This Row],[GRADE]],"-",salesforecast[[#This Row],[FC/NFC]])</f>
        <v>31.75-25-3.37-CEW-CEW</v>
      </c>
      <c r="I72" s="43">
        <f>SUMIFS(scheduleapr[SCHEDULE IN MT],scheduleapr[Bucket],salesforecast[[#This Row],[Bucket]])</f>
        <v>5.8936128735000004</v>
      </c>
      <c r="J72">
        <v>2410960</v>
      </c>
      <c r="K72">
        <f>COUNTIF('helper sheet'!$A$1:$A$33,salesforecast[[#This Row],[LL Material Code]])</f>
        <v>0</v>
      </c>
      <c r="N72" t="s">
        <v>847</v>
      </c>
      <c r="P72" s="47" t="s">
        <v>362</v>
      </c>
      <c r="Q72">
        <v>0</v>
      </c>
      <c r="R72">
        <v>12</v>
      </c>
      <c r="S72">
        <v>5</v>
      </c>
      <c r="T72" s="52">
        <f>ROUNDUP(MAX(salesforecast[[#This Row],[FY25 Average]],salesforecast[[#This Row],[July Schedule]]),0)</f>
        <v>6</v>
      </c>
      <c r="U72" s="52">
        <f>salesforecast[[#This Row],[Forecast]]-salesforecast[[#This Row],[July Schedule]]</f>
        <v>0.1063871264999996</v>
      </c>
      <c r="V72" t="str">
        <f>salesforecast[[#This Row],[Plant]]</f>
        <v>0788</v>
      </c>
      <c r="W72" s="66" t="str" cm="1">
        <f t="array" ref="W72">_xlfn.TEXTJOIN("|",TRUE,(_xlfn.UNIQUE(_xlfn._xlws.FILTER(scheduleapr[CUSTOMER NAME],scheduleapr[Bucket]=salesforecast[[#This Row],[Bucket]]))))</f>
        <v xml:space="preserve">ELKAYEM AUTO|Sandhar Engg Mysore </v>
      </c>
      <c r="X72" s="66" t="str" cm="1">
        <f t="array" ref="X72">_xlfn.TEXTJOIN("|",TRUE,(_xlfn.UNIQUE(_xlfn._xlws.SORT(_xlfn._xlws.FILTER(scheduleapr[LENGTH],scheduleapr[Bucket]=salesforecast[[#This Row],[Bucket]])))))</f>
        <v>1000</v>
      </c>
      <c r="Y72" s="66" t="str" cm="1">
        <f t="array" ref="Y72">_xlfn.TEXTJOIN("|",TRUE,_xlfn._xlws.FILTER(buckets[Material Codes],(buckets[Bucket]=salesforecast[[#This Row],[Bucket2]])))</f>
        <v>2410960</v>
      </c>
      <c r="Z72" t="str">
        <f>salesforecast[[#This Row],[Bucket]]</f>
        <v>31.75-25-3.37-CEW-CEW</v>
      </c>
      <c r="AA72" s="43">
        <f>salesforecast[[#This Row],[July Schedule]]</f>
        <v>5.8936128735000004</v>
      </c>
      <c r="AB72" s="43">
        <f>SUMIF(salesTVS[buckets.Bucket],salesforecast[[#This Row],[Bucket]],salesTVS[Quantity])/1000</f>
        <v>8.5550730000000001</v>
      </c>
      <c r="AC72" s="43">
        <f>SUMIFS(stock[MT],stock[Bucket],salesforecast[[#This Row],[Bucket]],stock[LL or CTL],"CTL")</f>
        <v>0</v>
      </c>
      <c r="AD72" s="43">
        <f>SUMIF(stock[Bucket],salesforecast[[#This Row],[Bucket]],stock[MT])-salesforecast[[#This Row],[Stock CTL]]</f>
        <v>5.3088999999999997E-2</v>
      </c>
      <c r="AE72" s="43" t="e">
        <v>#REF!</v>
      </c>
      <c r="AF72" s="43">
        <f>SUMIF(wip[Bucket],salesforecast[[#This Row],[Bucket]],wip[Stock(Net Wt)])/1000</f>
        <v>0</v>
      </c>
      <c r="AG72" s="43" t="e">
        <v>#REF!</v>
      </c>
      <c r="AH72" s="43">
        <f>SUMIFS(stock[MT],stock[Bucket],salesforecast[[#This Row],[Bucket2]],stock[Plant],"0788")</f>
        <v>0</v>
      </c>
      <c r="AI72" s="43">
        <f>((salesforecast[[#This Row],[WIP]]+salesforecast[[#This Row],[Stock LL]]))/salesforecast[[#This Row],[July Schedule]]*30</f>
        <v>0.27023661617838357</v>
      </c>
      <c r="AJ72" s="52">
        <f>salesforecast[[#This Row],[Stock LL]]/salesforecast[[#This Row],[Schedule]]*30</f>
        <v>0.27023661617838357</v>
      </c>
      <c r="AK72" s="43">
        <f>SUMIFS(stock[MT],stock[Bucket],salesforecast[[#This Row],[Bucket2]],stock[Plant],"0789",stock[LL or CTL],"LL")</f>
        <v>0</v>
      </c>
      <c r="AL72" s="193">
        <f>(salesforecast[[#This Row],[Sales]])/salesforecast[[#This Row],[Schedule]]</f>
        <v>1.4515838049809771</v>
      </c>
      <c r="AM72" s="43">
        <f>SUMIFS(stock[MT],stock[Plant],salesforecast[[#This Row],[Plant]],stock[LL or CTL],"LL",stock[Bucket],salesforecast[[#This Row],[Bucket]])</f>
        <v>0</v>
      </c>
      <c r="AN72" s="43">
        <f>SUMIFS(scheduleapr[SCHEDULE IN MT],scheduleapr[CUSTOMER NAME],"*Rajsriya*",scheduleapr[Bucket],salesforecast[[#This Row],[Bucket]])</f>
        <v>0</v>
      </c>
      <c r="AO72" s="43">
        <f>SUMIFS(salesTVS[Quantity],salesTVS[CUSTOMER  NAME],"*RAJSRIYA*",salesTVS[buckets.Bucket],salesforecast[[#This Row],[Bucket]])/1000</f>
        <v>0</v>
      </c>
      <c r="AP72" s="43">
        <f>SUMIFS(stock[MT],stock[Plant],4318,stock[Bucket],salesforecast[[#This Row],[Bucket2]])</f>
        <v>0</v>
      </c>
      <c r="AQ72" s="43">
        <f>SUMIFS(stock[MT],stock[Plant],4731,stock[Bucket],salesforecast[[#This Row],[Bucket2]],stock[LL or CTL],"CTL")</f>
        <v>0</v>
      </c>
      <c r="AR72" s="43">
        <f>SUMIFS(stock[MT],stock[Plant],4731,stock[Bucket],salesforecast[[#This Row],[Bucket2]])-salesforecast[[#This Row],[4731 Stock CTL]]</f>
        <v>5.3088999999999997E-2</v>
      </c>
      <c r="AS72" s="43">
        <f>SUMIFS(stock[MT],stock[Plant],8406,stock[Bucket],salesforecast[[#This Row],[Bucket2]])</f>
        <v>0</v>
      </c>
    </row>
    <row r="73" spans="1:45" ht="30" x14ac:dyDescent="0.25">
      <c r="A73">
        <v>32</v>
      </c>
      <c r="B73">
        <v>32</v>
      </c>
      <c r="C73">
        <v>0</v>
      </c>
      <c r="D73">
        <v>4.5</v>
      </c>
      <c r="E73" t="s">
        <v>357</v>
      </c>
      <c r="F73" t="s">
        <v>357</v>
      </c>
      <c r="G73" t="s">
        <v>239</v>
      </c>
      <c r="H73" t="str">
        <f>_xlfn.CONCAT(salesforecast[[#This Row],[OD]],"-",salesforecast[[#This Row],[ID]],"-",salesforecast[[#This Row],[TICKNESS]],"-",salesforecast[[#This Row],[GRADE]],"-",salesforecast[[#This Row],[FC/NFC]])</f>
        <v>32-0-4.5-CEW-CEW</v>
      </c>
      <c r="I73" s="43">
        <f>SUMIFS(scheduleapr[SCHEDULE IN MT],scheduleapr[Bucket],salesforecast[[#This Row],[Bucket]])</f>
        <v>0</v>
      </c>
      <c r="J73">
        <v>2288959</v>
      </c>
      <c r="K73">
        <f>COUNTIF('helper sheet'!$A$1:$A$33,salesforecast[[#This Row],[LL Material Code]])</f>
        <v>1</v>
      </c>
      <c r="L73" t="s">
        <v>2441</v>
      </c>
      <c r="N73" t="s">
        <v>2473</v>
      </c>
      <c r="P73" s="47" t="s">
        <v>362</v>
      </c>
      <c r="Q73">
        <v>0</v>
      </c>
      <c r="R73">
        <v>4</v>
      </c>
      <c r="S73">
        <v>0</v>
      </c>
      <c r="T73" s="52">
        <f>ROUNDUP(MAX(salesforecast[[#This Row],[FY25 Average]],salesforecast[[#This Row],[July Schedule]]),0)</f>
        <v>0</v>
      </c>
      <c r="U73" s="52">
        <f>salesforecast[[#This Row],[Forecast]]-salesforecast[[#This Row],[July Schedule]]</f>
        <v>0</v>
      </c>
      <c r="V73" t="str">
        <f>salesforecast[[#This Row],[Plant]]</f>
        <v>0788</v>
      </c>
      <c r="W73" s="66" t="e" cm="1" vm="1">
        <f t="array" ref="W73">_xlfn.TEXTJOIN("|",TRUE,(_xlfn.UNIQUE(_xlfn._xlws.FILTER(scheduleapr[CUSTOMER NAME],scheduleapr[Bucket]=salesforecast[[#This Row],[Bucket]]))))</f>
        <v>#VALUE!</v>
      </c>
      <c r="X73" s="66" t="e" cm="1" vm="1">
        <f t="array" ref="X73">_xlfn.TEXTJOIN("|",TRUE,(_xlfn.UNIQUE(_xlfn._xlws.SORT(_xlfn._xlws.FILTER(scheduleapr[LENGTH],scheduleapr[Bucket]=salesforecast[[#This Row],[Bucket]])))))</f>
        <v>#VALUE!</v>
      </c>
      <c r="Y73" s="66" t="str" cm="1">
        <f t="array" ref="Y73">_xlfn.TEXTJOIN("|",TRUE,_xlfn._xlws.FILTER(buckets[Material Codes],(buckets[Bucket]=salesforecast[[#This Row],[Bucket2]])))</f>
        <v>3673945|3673942|3673944|1939872|3694074|3466052|3500639</v>
      </c>
      <c r="Z73" t="str">
        <f>salesforecast[[#This Row],[Bucket]]</f>
        <v>32-0-4.5-CEW-CEW</v>
      </c>
      <c r="AA73" s="43">
        <f>salesforecast[[#This Row],[July Schedule]]</f>
        <v>0</v>
      </c>
      <c r="AB73" s="43">
        <f>SUMIF(salesTVS[buckets.Bucket],salesforecast[[#This Row],[Bucket]],salesTVS[Quantity])/1000</f>
        <v>0</v>
      </c>
      <c r="AC73" s="43">
        <f>SUMIFS(stock[MT],stock[Bucket],salesforecast[[#This Row],[Bucket]],stock[LL or CTL],"CTL")</f>
        <v>0</v>
      </c>
      <c r="AD73" s="43">
        <f>SUMIF(stock[Bucket],salesforecast[[#This Row],[Bucket]],stock[MT])-salesforecast[[#This Row],[Stock CTL]]</f>
        <v>0</v>
      </c>
      <c r="AE73" s="43" t="e">
        <v>#REF!</v>
      </c>
      <c r="AF73" s="43">
        <f>SUMIF(wip[Bucket],salesforecast[[#This Row],[Bucket]],wip[Stock(Net Wt)])/1000</f>
        <v>0</v>
      </c>
      <c r="AG73" s="43" t="e">
        <v>#REF!</v>
      </c>
      <c r="AH73" s="43">
        <f>SUMIFS(stock[MT],stock[Bucket],salesforecast[[#This Row],[Bucket2]],stock[Plant],"0788")</f>
        <v>0</v>
      </c>
      <c r="AI73" s="43" t="e">
        <f>((salesforecast[[#This Row],[WIP]]+salesforecast[[#This Row],[Stock LL]]))/salesforecast[[#This Row],[July Schedule]]*30</f>
        <v>#DIV/0!</v>
      </c>
      <c r="AJ73" t="e">
        <f>salesforecast[[#This Row],[Stock LL]]/salesforecast[[#This Row],[Schedule]]*30</f>
        <v>#DIV/0!</v>
      </c>
      <c r="AK73" s="43">
        <f>SUMIFS(stock[MT],stock[Bucket],salesforecast[[#This Row],[Bucket2]],stock[Plant],"0789",stock[LL or CTL],"LL")</f>
        <v>0</v>
      </c>
      <c r="AL73" s="193" t="e">
        <f>(salesforecast[[#This Row],[Sales]])/salesforecast[[#This Row],[Schedule]]</f>
        <v>#DIV/0!</v>
      </c>
      <c r="AM73" s="43">
        <f>SUMIFS(stock[MT],stock[Plant],salesforecast[[#This Row],[Plant]],stock[LL or CTL],"LL",stock[Bucket],salesforecast[[#This Row],[Bucket]])</f>
        <v>0</v>
      </c>
      <c r="AN73" s="43">
        <f>SUMIFS(scheduleapr[SCHEDULE IN MT],scheduleapr[CUSTOMER NAME],"*Rajsriya*",scheduleapr[Bucket],salesforecast[[#This Row],[Bucket]])</f>
        <v>0</v>
      </c>
      <c r="AO73" s="43">
        <f>SUMIFS(salesTVS[Quantity],salesTVS[CUSTOMER  NAME],"*RAJSRIYA*",salesTVS[buckets.Bucket],salesforecast[[#This Row],[Bucket]])/1000</f>
        <v>0</v>
      </c>
      <c r="AP73" s="43">
        <f>SUMIFS(stock[MT],stock[Plant],4318,stock[Bucket],salesforecast[[#This Row],[Bucket2]])</f>
        <v>0</v>
      </c>
      <c r="AQ73" s="43">
        <f>SUMIFS(stock[MT],stock[Plant],4731,stock[Bucket],salesforecast[[#This Row],[Bucket2]],stock[LL or CTL],"CTL")</f>
        <v>0</v>
      </c>
      <c r="AR73" s="43">
        <f>SUMIFS(stock[MT],stock[Plant],4731,stock[Bucket],salesforecast[[#This Row],[Bucket2]])-salesforecast[[#This Row],[4731 Stock CTL]]</f>
        <v>0</v>
      </c>
      <c r="AS73" s="43">
        <f>SUMIFS(stock[MT],stock[Plant],8406,stock[Bucket],salesforecast[[#This Row],[Bucket2]])</f>
        <v>0</v>
      </c>
    </row>
    <row r="74" spans="1:45" x14ac:dyDescent="0.25">
      <c r="A74">
        <v>33.299999999999997</v>
      </c>
      <c r="B74">
        <v>33.299999999999997</v>
      </c>
      <c r="C74">
        <v>29.3</v>
      </c>
      <c r="D74">
        <v>2</v>
      </c>
      <c r="E74" t="s">
        <v>357</v>
      </c>
      <c r="F74" t="s">
        <v>357</v>
      </c>
      <c r="G74" t="s">
        <v>239</v>
      </c>
      <c r="H74" t="str">
        <f>_xlfn.CONCAT(salesforecast[[#This Row],[OD]],"-",salesforecast[[#This Row],[ID]],"-",salesforecast[[#This Row],[TICKNESS]],"-",salesforecast[[#This Row],[GRADE]],"-",salesforecast[[#This Row],[FC/NFC]])</f>
        <v>33.3-29.3-2-CEW-CEW</v>
      </c>
      <c r="I74" s="43">
        <f>SUMIFS(scheduleapr[SCHEDULE IN MT],scheduleapr[Bucket],salesforecast[[#This Row],[Bucket]])</f>
        <v>1.5430273999999999</v>
      </c>
      <c r="J74">
        <v>2412748</v>
      </c>
      <c r="K74">
        <f>COUNTIF('helper sheet'!$A$1:$A$33,salesforecast[[#This Row],[LL Material Code]])</f>
        <v>0</v>
      </c>
      <c r="N74" t="s">
        <v>1969</v>
      </c>
      <c r="P74" s="47" t="s">
        <v>362</v>
      </c>
      <c r="Q74">
        <v>0</v>
      </c>
      <c r="R74">
        <v>5</v>
      </c>
      <c r="S74">
        <v>1</v>
      </c>
      <c r="T74" s="52">
        <f>ROUNDUP(MAX(salesforecast[[#This Row],[FY25 Average]],salesforecast[[#This Row],[July Schedule]]),0)</f>
        <v>2</v>
      </c>
      <c r="U74" s="52">
        <f>salesforecast[[#This Row],[Forecast]]-salesforecast[[#This Row],[July Schedule]]</f>
        <v>0.45697260000000006</v>
      </c>
      <c r="V74" t="str">
        <f>salesforecast[[#This Row],[Plant]]</f>
        <v>0788</v>
      </c>
      <c r="W74" s="66" t="str" cm="1">
        <f t="array" ref="W74">_xlfn.TEXTJOIN("|",TRUE,(_xlfn.UNIQUE(_xlfn._xlws.FILTER(scheduleapr[CUSTOMER NAME],scheduleapr[Bucket]=salesforecast[[#This Row],[Bucket]]))))</f>
        <v>SANDHAR ENGINEERING PVT LTD.</v>
      </c>
      <c r="X74" s="66" t="str" cm="1">
        <f t="array" ref="X74">_xlfn.TEXTJOIN("|",TRUE,(_xlfn.UNIQUE(_xlfn._xlws.SORT(_xlfn._xlws.FILTER(scheduleapr[LENGTH],scheduleapr[Bucket]=salesforecast[[#This Row],[Bucket]])))))</f>
        <v>1000</v>
      </c>
      <c r="Y74" s="66" t="str" cm="1">
        <f t="array" ref="Y74">_xlfn.TEXTJOIN("|",TRUE,_xlfn._xlws.FILTER(buckets[Material Codes],(buckets[Bucket]=salesforecast[[#This Row],[Bucket2]])))</f>
        <v>2412748|2410993</v>
      </c>
      <c r="Z74" t="str">
        <f>salesforecast[[#This Row],[Bucket]]</f>
        <v>33.3-29.3-2-CEW-CEW</v>
      </c>
      <c r="AA74" s="43">
        <f>salesforecast[[#This Row],[July Schedule]]</f>
        <v>1.5430273999999999</v>
      </c>
      <c r="AB74" s="43">
        <f>SUMIF(salesTVS[buckets.Bucket],salesforecast[[#This Row],[Bucket]],salesTVS[Quantity])/1000</f>
        <v>0</v>
      </c>
      <c r="AC74" s="43">
        <f>SUMIFS(stock[MT],stock[Bucket],salesforecast[[#This Row],[Bucket]],stock[LL or CTL],"CTL")</f>
        <v>0</v>
      </c>
      <c r="AD74" s="43">
        <f>SUMIF(stock[Bucket],salesforecast[[#This Row],[Bucket]],stock[MT])-salesforecast[[#This Row],[Stock CTL]]</f>
        <v>0</v>
      </c>
      <c r="AE74" s="43" t="e">
        <v>#REF!</v>
      </c>
      <c r="AF74" s="43">
        <f>SUMIF(wip[Bucket],salesforecast[[#This Row],[Bucket]],wip[Stock(Net Wt)])/1000</f>
        <v>0</v>
      </c>
      <c r="AG74" s="43" t="e">
        <v>#REF!</v>
      </c>
      <c r="AH74" s="43">
        <f>SUMIFS(stock[MT],stock[Bucket],salesforecast[[#This Row],[Bucket2]],stock[Plant],"0788")</f>
        <v>0</v>
      </c>
      <c r="AI74" s="43">
        <f>((salesforecast[[#This Row],[WIP]]+salesforecast[[#This Row],[Stock LL]]))/salesforecast[[#This Row],[July Schedule]]*30</f>
        <v>0</v>
      </c>
      <c r="AJ74" s="52">
        <f>salesforecast[[#This Row],[Stock LL]]/salesforecast[[#This Row],[Schedule]]*30</f>
        <v>0</v>
      </c>
      <c r="AK74" s="43">
        <f>SUMIFS(stock[MT],stock[Bucket],salesforecast[[#This Row],[Bucket2]],stock[Plant],"0789",stock[LL or CTL],"LL")</f>
        <v>0</v>
      </c>
      <c r="AL74" s="193">
        <f>(salesforecast[[#This Row],[Sales]])/salesforecast[[#This Row],[Schedule]]</f>
        <v>0</v>
      </c>
      <c r="AM74" s="43">
        <f>SUMIFS(stock[MT],stock[Plant],salesforecast[[#This Row],[Plant]],stock[LL or CTL],"LL",stock[Bucket],salesforecast[[#This Row],[Bucket]])</f>
        <v>0</v>
      </c>
      <c r="AN74" s="43">
        <f>SUMIFS(scheduleapr[SCHEDULE IN MT],scheduleapr[CUSTOMER NAME],"*Rajsriya*",scheduleapr[Bucket],salesforecast[[#This Row],[Bucket]])</f>
        <v>0</v>
      </c>
      <c r="AO74" s="43">
        <f>SUMIFS(salesTVS[Quantity],salesTVS[CUSTOMER  NAME],"*RAJSRIYA*",salesTVS[buckets.Bucket],salesforecast[[#This Row],[Bucket]])/1000</f>
        <v>0</v>
      </c>
      <c r="AP74" s="43">
        <f>SUMIFS(stock[MT],stock[Plant],4318,stock[Bucket],salesforecast[[#This Row],[Bucket2]])</f>
        <v>0</v>
      </c>
      <c r="AQ74" s="43">
        <f>SUMIFS(stock[MT],stock[Plant],4731,stock[Bucket],salesforecast[[#This Row],[Bucket2]],stock[LL or CTL],"CTL")</f>
        <v>0</v>
      </c>
      <c r="AR74" s="43">
        <f>SUMIFS(stock[MT],stock[Plant],4731,stock[Bucket],salesforecast[[#This Row],[Bucket2]])-salesforecast[[#This Row],[4731 Stock CTL]]</f>
        <v>0</v>
      </c>
      <c r="AS74" s="43">
        <f>SUMIFS(stock[MT],stock[Plant],8406,stock[Bucket],salesforecast[[#This Row],[Bucket2]])</f>
        <v>0</v>
      </c>
    </row>
    <row r="75" spans="1:45" ht="30" x14ac:dyDescent="0.25">
      <c r="A75">
        <v>34.93</v>
      </c>
      <c r="B75">
        <v>34.93</v>
      </c>
      <c r="C75">
        <v>0</v>
      </c>
      <c r="D75">
        <v>1.2</v>
      </c>
      <c r="E75" t="s">
        <v>962</v>
      </c>
      <c r="F75" t="s">
        <v>1003</v>
      </c>
      <c r="G75" t="s">
        <v>1867</v>
      </c>
      <c r="H75" t="str">
        <f>_xlfn.CONCAT(salesforecast[[#This Row],[OD]],"-",salesforecast[[#This Row],[ID]],"-",salesforecast[[#This Row],[TICKNESS]],"-",salesforecast[[#This Row],[GRADE]],"-",salesforecast[[#This Row],[FC/NFC]])</f>
        <v>34.93-0-1.2-ERW 1-FC</v>
      </c>
      <c r="I75" s="43">
        <f>SUMIFS(scheduleapr[SCHEDULE IN MT],scheduleapr[Bucket],salesforecast[[#This Row],[Bucket]])</f>
        <v>0</v>
      </c>
      <c r="J75">
        <v>1940701</v>
      </c>
      <c r="K75">
        <f>COUNTIF('helper sheet'!$A$1:$A$33,salesforecast[[#This Row],[LL Material Code]])</f>
        <v>0</v>
      </c>
      <c r="N75" t="s">
        <v>1988</v>
      </c>
      <c r="P75" s="47" t="s">
        <v>345</v>
      </c>
      <c r="Q75">
        <v>0</v>
      </c>
      <c r="R75">
        <v>5</v>
      </c>
      <c r="S75">
        <v>1</v>
      </c>
      <c r="T75" s="52">
        <f>ROUNDUP(MAX(salesforecast[[#This Row],[FY25 Average]],salesforecast[[#This Row],[July Schedule]]),0)</f>
        <v>1</v>
      </c>
      <c r="U75" s="52">
        <f>salesforecast[[#This Row],[Forecast]]-salesforecast[[#This Row],[July Schedule]]</f>
        <v>1</v>
      </c>
      <c r="V75" t="str">
        <f>salesforecast[[#This Row],[Plant]]</f>
        <v>0789</v>
      </c>
      <c r="W75" s="66" t="str" cm="1">
        <f t="array" ref="W75">_xlfn.TEXTJOIN("|",TRUE,(_xlfn.UNIQUE(_xlfn._xlws.FILTER(scheduleapr[CUSTOMER NAME],scheduleapr[Bucket]=salesforecast[[#This Row],[Bucket]]))))</f>
        <v>KNITVEL NEEDLES P LTD|NMPL HUB</v>
      </c>
      <c r="X75" s="66" t="str" cm="1">
        <f t="array" ref="X75">_xlfn.TEXTJOIN("|",TRUE,(_xlfn.UNIQUE(_xlfn._xlws.SORT(_xlfn._xlws.FILTER(scheduleapr[LENGTH],scheduleapr[Bucket]=salesforecast[[#This Row],[Bucket]])))))</f>
        <v>390|1000</v>
      </c>
      <c r="Y75" s="66" t="str" cm="1">
        <f t="array" ref="Y75">_xlfn.TEXTJOIN("|",TRUE,_xlfn._xlws.FILTER(buckets[Material Codes],(buckets[Bucket]=salesforecast[[#This Row],[Bucket2]])*(buckets[LL or CTL]="CTL")))</f>
        <v>3138219|3781678|2397073|3649699</v>
      </c>
      <c r="Z75" t="str">
        <f>salesforecast[[#This Row],[Bucket]]</f>
        <v>34.93-0-1.2-ERW 1-FC</v>
      </c>
      <c r="AA75" s="43">
        <f>salesforecast[[#This Row],[July Schedule]]</f>
        <v>0</v>
      </c>
      <c r="AB75" s="43">
        <f>SUMIF(salesTVS[buckets.Bucket],salesforecast[[#This Row],[Bucket]],salesTVS[Quantity])/1000</f>
        <v>0</v>
      </c>
      <c r="AC75" s="43">
        <f>SUMIFS(stock[MT],stock[Bucket],salesforecast[[#This Row],[Bucket]],stock[LL or CTL],"CTL")</f>
        <v>0</v>
      </c>
      <c r="AD75" s="43">
        <f>SUMIF(stock[Bucket],salesforecast[[#This Row],[Bucket]],stock[MT])-salesforecast[[#This Row],[Stock CTL]]</f>
        <v>0</v>
      </c>
      <c r="AE75" s="43" t="e">
        <v>#REF!</v>
      </c>
      <c r="AF75" s="43">
        <f>SUMIF(wip[Bucket],salesforecast[[#This Row],[Bucket]],wip[Stock(Net Wt)])/1000</f>
        <v>0</v>
      </c>
      <c r="AG75" s="43" t="e">
        <v>#REF!</v>
      </c>
      <c r="AH75" s="43">
        <f>SUMIFS(stock[MT],stock[Bucket],salesforecast[[#This Row],[Bucket2]],stock[Plant],"0788")</f>
        <v>0</v>
      </c>
      <c r="AI75" s="43" t="e">
        <f>((salesforecast[[#This Row],[WIP]]+salesforecast[[#This Row],[Stock LL]]))/salesforecast[[#This Row],[July Schedule]]*30</f>
        <v>#DIV/0!</v>
      </c>
      <c r="AJ75" t="e">
        <f>salesforecast[[#This Row],[Stock LL]]/salesforecast[[#This Row],[Schedule]]*30</f>
        <v>#DIV/0!</v>
      </c>
      <c r="AK75" s="43">
        <f>SUMIFS(stock[MT],stock[Bucket],salesforecast[[#This Row],[Bucket2]],stock[Plant],"0789",stock[LL or CTL],"LL")</f>
        <v>0</v>
      </c>
      <c r="AL75" s="193" t="e">
        <f>(salesforecast[[#This Row],[Sales]])/salesforecast[[#This Row],[Schedule]]</f>
        <v>#DIV/0!</v>
      </c>
      <c r="AM75" s="43">
        <f>SUMIFS(stock[MT],stock[Plant],salesforecast[[#This Row],[Plant]],stock[LL or CTL],"LL",stock[Bucket],salesforecast[[#This Row],[Bucket]])</f>
        <v>0</v>
      </c>
      <c r="AN75" s="43">
        <f>SUMIFS(scheduleapr[SCHEDULE IN MT],scheduleapr[CUSTOMER NAME],"*Rajsriya*",scheduleapr[Bucket],salesforecast[[#This Row],[Bucket]])</f>
        <v>0</v>
      </c>
      <c r="AO75" s="43">
        <f>SUMIFS(salesTVS[Quantity],salesTVS[CUSTOMER  NAME],"*RAJSRIYA*",salesTVS[buckets.Bucket],salesforecast[[#This Row],[Bucket]])/1000</f>
        <v>0</v>
      </c>
      <c r="AP75" s="43">
        <f>SUMIFS(stock[MT],stock[Plant],4318,stock[Bucket],salesforecast[[#This Row],[Bucket2]])</f>
        <v>0</v>
      </c>
      <c r="AQ75" s="43">
        <f>SUMIFS(stock[MT],stock[Plant],4731,stock[Bucket],salesforecast[[#This Row],[Bucket2]],stock[LL or CTL],"CTL")</f>
        <v>0</v>
      </c>
      <c r="AR75" s="43">
        <f>SUMIFS(stock[MT],stock[Plant],4731,stock[Bucket],salesforecast[[#This Row],[Bucket2]])-salesforecast[[#This Row],[4731 Stock CTL]]</f>
        <v>0</v>
      </c>
      <c r="AS75" s="43">
        <f>SUMIFS(stock[MT],stock[Plant],8406,stock[Bucket],salesforecast[[#This Row],[Bucket2]])</f>
        <v>0</v>
      </c>
    </row>
    <row r="76" spans="1:45" ht="30" x14ac:dyDescent="0.25">
      <c r="A76">
        <v>34.93</v>
      </c>
      <c r="B76">
        <v>34.93</v>
      </c>
      <c r="C76">
        <v>0</v>
      </c>
      <c r="D76">
        <v>1.6</v>
      </c>
      <c r="E76" t="s">
        <v>962</v>
      </c>
      <c r="F76" t="s">
        <v>1003</v>
      </c>
      <c r="G76" t="s">
        <v>1867</v>
      </c>
      <c r="H76" t="str">
        <f>_xlfn.CONCAT(salesforecast[[#This Row],[OD]],"-",salesforecast[[#This Row],[ID]],"-",salesforecast[[#This Row],[TICKNESS]],"-",salesforecast[[#This Row],[GRADE]],"-",salesforecast[[#This Row],[FC/NFC]])</f>
        <v>34.93-0-1.6-ERW 1-FC</v>
      </c>
      <c r="I76" s="43">
        <f>SUMIFS(scheduleapr[SCHEDULE IN MT],scheduleapr[Bucket],salesforecast[[#This Row],[Bucket]])</f>
        <v>6.352627991001599</v>
      </c>
      <c r="J76">
        <v>2397065</v>
      </c>
      <c r="K76">
        <f>COUNTIF('helper sheet'!$A$1:$A$33,salesforecast[[#This Row],[LL Material Code]])</f>
        <v>0</v>
      </c>
      <c r="N76" t="s">
        <v>1625</v>
      </c>
      <c r="O76" t="s">
        <v>1881</v>
      </c>
      <c r="P76" s="47" t="s">
        <v>345</v>
      </c>
      <c r="Q76">
        <v>0</v>
      </c>
      <c r="R76">
        <v>13</v>
      </c>
      <c r="S76">
        <v>6</v>
      </c>
      <c r="T76" s="52">
        <f>ROUNDUP(MAX(salesforecast[[#This Row],[FY25 Average]],salesforecast[[#This Row],[July Schedule]]),0)</f>
        <v>7</v>
      </c>
      <c r="U76" s="52">
        <f>salesforecast[[#This Row],[Forecast]]-salesforecast[[#This Row],[July Schedule]]</f>
        <v>0.64737200899840097</v>
      </c>
      <c r="V76" t="str">
        <f>salesforecast[[#This Row],[Plant]]</f>
        <v>0789</v>
      </c>
      <c r="W76" s="66" t="str" cm="1">
        <f t="array" ref="W76">_xlfn.TEXTJOIN("|",TRUE,(_xlfn.UNIQUE(_xlfn._xlws.FILTER(scheduleapr[CUSTOMER NAME],scheduleapr[Bucket]=salesforecast[[#This Row],[Bucket]]))))</f>
        <v xml:space="preserve">ELKAYEM AUTO|ELKAYEM AUTO MYSORE </v>
      </c>
      <c r="X76" s="66" t="str" cm="1">
        <f t="array" ref="X76">_xlfn.TEXTJOIN("|",TRUE,(_xlfn.UNIQUE(_xlfn._xlws.SORT(_xlfn._xlws.FILTER(scheduleapr[LENGTH],scheduleapr[Bucket]=salesforecast[[#This Row],[Bucket]])))))</f>
        <v>1726</v>
      </c>
      <c r="Y76" s="66" t="str" cm="1">
        <f t="array" ref="Y76">_xlfn.TEXTJOIN("|",TRUE,_xlfn._xlws.FILTER(buckets[Material Codes],(buckets[Bucket]=salesforecast[[#This Row],[Bucket2]])*(buckets[LL or CTL]="CTL")))</f>
        <v>1155165|1940711|1940710</v>
      </c>
      <c r="Z76" t="str">
        <f>salesforecast[[#This Row],[Bucket]]</f>
        <v>34.93-0-1.6-ERW 1-FC</v>
      </c>
      <c r="AA76" s="43">
        <f>salesforecast[[#This Row],[July Schedule]]</f>
        <v>6.352627991001599</v>
      </c>
      <c r="AB76" s="43">
        <f>SUMIF(salesTVS[buckets.Bucket],salesforecast[[#This Row],[Bucket]],salesTVS[Quantity])/1000</f>
        <v>3.6108900000000004</v>
      </c>
      <c r="AC76" s="43">
        <f>SUMIFS(stock[MT],stock[Bucket],salesforecast[[#This Row],[Bucket]],stock[LL or CTL],"CTL")</f>
        <v>2.050608</v>
      </c>
      <c r="AD76" s="43">
        <f>SUMIF(stock[Bucket],salesforecast[[#This Row],[Bucket]],stock[MT])-salesforecast[[#This Row],[Stock CTL]]</f>
        <v>0</v>
      </c>
      <c r="AE76" s="43" t="e">
        <v>#REF!</v>
      </c>
      <c r="AF76" s="43">
        <f>SUMIF(wip[Bucket],salesforecast[[#This Row],[Bucket]],wip[Stock(Net Wt)])/1000</f>
        <v>0</v>
      </c>
      <c r="AG76" s="43" t="e">
        <v>#REF!</v>
      </c>
      <c r="AH76" s="43">
        <f>SUMIFS(stock[MT],stock[Bucket],salesforecast[[#This Row],[Bucket2]],stock[Plant],"0788")</f>
        <v>0</v>
      </c>
      <c r="AI76" s="43">
        <f>((salesforecast[[#This Row],[WIP]]+salesforecast[[#This Row],[Stock LL]]))/salesforecast[[#This Row],[July Schedule]]*30</f>
        <v>0</v>
      </c>
      <c r="AJ76" s="52">
        <f>salesforecast[[#This Row],[Stock LL]]/salesforecast[[#This Row],[Schedule]]*30</f>
        <v>0</v>
      </c>
      <c r="AK76" s="43">
        <f>SUMIFS(stock[MT],stock[Bucket],salesforecast[[#This Row],[Bucket2]],stock[Plant],"0789",stock[LL or CTL],"LL")</f>
        <v>0</v>
      </c>
      <c r="AL76" s="193">
        <f>(salesforecast[[#This Row],[Sales]])/salesforecast[[#This Row],[Schedule]]</f>
        <v>0.56840885458974955</v>
      </c>
      <c r="AM76" s="43">
        <f>SUMIFS(stock[MT],stock[Plant],salesforecast[[#This Row],[Plant]],stock[LL or CTL],"LL",stock[Bucket],salesforecast[[#This Row],[Bucket]])</f>
        <v>0</v>
      </c>
      <c r="AN76" s="43">
        <f>SUMIFS(scheduleapr[SCHEDULE IN MT],scheduleapr[CUSTOMER NAME],"*Rajsriya*",scheduleapr[Bucket],salesforecast[[#This Row],[Bucket]])</f>
        <v>0</v>
      </c>
      <c r="AO76" s="43">
        <f>SUMIFS(salesTVS[Quantity],salesTVS[CUSTOMER  NAME],"*RAJSRIYA*",salesTVS[buckets.Bucket],salesforecast[[#This Row],[Bucket]])/1000</f>
        <v>0</v>
      </c>
      <c r="AP76" s="43">
        <f>SUMIFS(stock[MT],stock[Plant],4318,stock[Bucket],salesforecast[[#This Row],[Bucket2]])</f>
        <v>0</v>
      </c>
      <c r="AQ76" s="43">
        <f>SUMIFS(stock[MT],stock[Plant],4731,stock[Bucket],salesforecast[[#This Row],[Bucket2]],stock[LL or CTL],"CTL")</f>
        <v>0</v>
      </c>
      <c r="AR76" s="43">
        <f>SUMIFS(stock[MT],stock[Plant],4731,stock[Bucket],salesforecast[[#This Row],[Bucket2]])-salesforecast[[#This Row],[4731 Stock CTL]]</f>
        <v>0</v>
      </c>
      <c r="AS76" s="43">
        <f>SUMIFS(stock[MT],stock[Plant],8406,stock[Bucket],salesforecast[[#This Row],[Bucket2]])</f>
        <v>0</v>
      </c>
    </row>
    <row r="77" spans="1:45" ht="30" x14ac:dyDescent="0.25">
      <c r="A77">
        <v>34.93</v>
      </c>
      <c r="B77">
        <v>34.93</v>
      </c>
      <c r="C77">
        <v>0</v>
      </c>
      <c r="D77">
        <v>2.6</v>
      </c>
      <c r="E77" t="s">
        <v>962</v>
      </c>
      <c r="F77" t="s">
        <v>1003</v>
      </c>
      <c r="G77" t="s">
        <v>239</v>
      </c>
      <c r="H77" t="str">
        <f>_xlfn.CONCAT(salesforecast[[#This Row],[OD]],"-",salesforecast[[#This Row],[ID]],"-",salesforecast[[#This Row],[TICKNESS]],"-",salesforecast[[#This Row],[GRADE]],"-",salesforecast[[#This Row],[FC/NFC]])</f>
        <v>34.93-0-2.6-ERW 1-FC</v>
      </c>
      <c r="I77" s="43">
        <f>SUMIFS(scheduleapr[SCHEDULE IN MT],scheduleapr[Bucket],salesforecast[[#This Row],[Bucket]])</f>
        <v>10.697455349645999</v>
      </c>
      <c r="J77">
        <v>1932361</v>
      </c>
      <c r="K77">
        <f>COUNTIF('helper sheet'!$A$1:$A$33,salesforecast[[#This Row],[LL Material Code]])</f>
        <v>1</v>
      </c>
      <c r="L77">
        <v>1940716</v>
      </c>
      <c r="N77" t="s">
        <v>2474</v>
      </c>
      <c r="P77" s="47" t="s">
        <v>345</v>
      </c>
      <c r="Q77">
        <v>6</v>
      </c>
      <c r="R77">
        <v>14</v>
      </c>
      <c r="S77">
        <v>9</v>
      </c>
      <c r="T77" s="52">
        <f>ROUNDUP(MAX(salesforecast[[#This Row],[FY25 Average]],salesforecast[[#This Row],[July Schedule]]),0)</f>
        <v>11</v>
      </c>
      <c r="U77" s="52">
        <f>salesforecast[[#This Row],[Forecast]]-salesforecast[[#This Row],[July Schedule]]</f>
        <v>0.30254465035400102</v>
      </c>
      <c r="V77" t="str">
        <f>salesforecast[[#This Row],[Plant]]</f>
        <v>0789</v>
      </c>
      <c r="W77" s="66" t="str" cm="1">
        <f t="array" ref="W77">_xlfn.TEXTJOIN("|",TRUE,(_xlfn.UNIQUE(_xlfn._xlws.FILTER(scheduleapr[CUSTOMER NAME],scheduleapr[Bucket]=salesforecast[[#This Row],[Bucket]]))))</f>
        <v xml:space="preserve">ELKAYEM AUTO MYSORE </v>
      </c>
      <c r="X77" s="66" t="str" cm="1">
        <f t="array" ref="X77">_xlfn.TEXTJOIN("|",TRUE,(_xlfn.UNIQUE(_xlfn._xlws.SORT(_xlfn._xlws.FILTER(scheduleapr[LENGTH],scheduleapr[Bucket]=salesforecast[[#This Row],[Bucket]])))))</f>
        <v>1721</v>
      </c>
      <c r="Y77" s="66" t="str" cm="1">
        <f t="array" ref="Y77">_xlfn.TEXTJOIN("|",TRUE,_xlfn._xlws.FILTER(buckets[Material Codes],(buckets[Bucket]=salesforecast[[#This Row],[Bucket2]])*(buckets[LL or CTL]="CTL")))</f>
        <v>1940715|1155164|3784465|1940718</v>
      </c>
      <c r="Z77" t="str">
        <f>salesforecast[[#This Row],[Bucket]]</f>
        <v>34.93-0-2.6-ERW 1-FC</v>
      </c>
      <c r="AA77" s="43">
        <f>salesforecast[[#This Row],[July Schedule]]</f>
        <v>10.697455349645999</v>
      </c>
      <c r="AB77" s="43">
        <f>SUMIF(salesTVS[buckets.Bucket],salesforecast[[#This Row],[Bucket]],salesTVS[Quantity])/1000</f>
        <v>10.323</v>
      </c>
      <c r="AC77" s="43">
        <f>SUMIFS(stock[MT],stock[Bucket],salesforecast[[#This Row],[Bucket]],stock[LL or CTL],"CTL")</f>
        <v>6.072712000000001</v>
      </c>
      <c r="AD77" s="43">
        <f>SUMIF(stock[Bucket],salesforecast[[#This Row],[Bucket]],stock[MT])-salesforecast[[#This Row],[Stock CTL]]</f>
        <v>0.75900000000000034</v>
      </c>
      <c r="AE77" s="43" t="e">
        <v>#REF!</v>
      </c>
      <c r="AF77" s="43">
        <f>SUMIF(wip[Bucket],salesforecast[[#This Row],[Bucket]],wip[Stock(Net Wt)])/1000</f>
        <v>0</v>
      </c>
      <c r="AG77" s="43" t="e">
        <v>#REF!</v>
      </c>
      <c r="AH77" s="43">
        <f>SUMIFS(stock[MT],stock[Bucket],salesforecast[[#This Row],[Bucket2]],stock[Plant],"0788")</f>
        <v>0</v>
      </c>
      <c r="AI77" s="43">
        <f>((salesforecast[[#This Row],[WIP]]+salesforecast[[#This Row],[Stock LL]]))/salesforecast[[#This Row],[July Schedule]]*30</f>
        <v>2.128543588709956</v>
      </c>
      <c r="AJ77" s="52">
        <f>salesforecast[[#This Row],[Stock LL]]/salesforecast[[#This Row],[Schedule]]*30</f>
        <v>2.128543588709956</v>
      </c>
      <c r="AK77" s="43">
        <f>SUMIFS(stock[MT],stock[Bucket],salesforecast[[#This Row],[Bucket2]],stock[Plant],"0789",stock[LL or CTL],"LL")</f>
        <v>0</v>
      </c>
      <c r="AL77" s="193">
        <f>(salesforecast[[#This Row],[Sales]])/salesforecast[[#This Row],[Schedule]]</f>
        <v>0.96499584832028396</v>
      </c>
      <c r="AM77" s="43">
        <f>SUMIFS(stock[MT],stock[Plant],salesforecast[[#This Row],[Plant]],stock[LL or CTL],"LL",stock[Bucket],salesforecast[[#This Row],[Bucket]])</f>
        <v>0</v>
      </c>
      <c r="AN77" s="43">
        <f>SUMIFS(scheduleapr[SCHEDULE IN MT],scheduleapr[CUSTOMER NAME],"*Rajsriya*",scheduleapr[Bucket],salesforecast[[#This Row],[Bucket]])</f>
        <v>0</v>
      </c>
      <c r="AO77" s="43">
        <f>SUMIFS(salesTVS[Quantity],salesTVS[CUSTOMER  NAME],"*RAJSRIYA*",salesTVS[buckets.Bucket],salesforecast[[#This Row],[Bucket]])/1000</f>
        <v>0</v>
      </c>
      <c r="AP77" s="43">
        <f>SUMIFS(stock[MT],stock[Plant],4318,stock[Bucket],salesforecast[[#This Row],[Bucket2]])</f>
        <v>0</v>
      </c>
      <c r="AQ77" s="43">
        <f>SUMIFS(stock[MT],stock[Plant],4731,stock[Bucket],salesforecast[[#This Row],[Bucket2]],stock[LL or CTL],"CTL")</f>
        <v>0</v>
      </c>
      <c r="AR77" s="43">
        <f>SUMIFS(stock[MT],stock[Plant],4731,stock[Bucket],salesforecast[[#This Row],[Bucket2]])-salesforecast[[#This Row],[4731 Stock CTL]]</f>
        <v>0.75900000000000001</v>
      </c>
      <c r="AS77" s="43">
        <f>SUMIFS(stock[MT],stock[Plant],8406,stock[Bucket],salesforecast[[#This Row],[Bucket2]])</f>
        <v>0</v>
      </c>
    </row>
    <row r="78" spans="1:45" x14ac:dyDescent="0.25">
      <c r="A78">
        <v>37.6</v>
      </c>
      <c r="B78">
        <v>37.6</v>
      </c>
      <c r="C78">
        <v>31.2</v>
      </c>
      <c r="D78">
        <v>3.2</v>
      </c>
      <c r="E78" t="s">
        <v>357</v>
      </c>
      <c r="F78" t="s">
        <v>357</v>
      </c>
      <c r="G78" t="s">
        <v>239</v>
      </c>
      <c r="H78" t="str">
        <f>_xlfn.CONCAT(salesforecast[[#This Row],[OD]],"-",salesforecast[[#This Row],[ID]],"-",salesforecast[[#This Row],[TICKNESS]],"-",salesforecast[[#This Row],[GRADE]],"-",salesforecast[[#This Row],[FC/NFC]])</f>
        <v>37.6-31.2-3.2-CEW-CEW</v>
      </c>
      <c r="I78" s="43">
        <f>SUMIFS(scheduleapr[SCHEDULE IN MT],scheduleapr[Bucket],salesforecast[[#This Row],[Bucket]])</f>
        <v>4.5224959801599995</v>
      </c>
      <c r="J78">
        <v>3499903</v>
      </c>
      <c r="K78">
        <f>COUNTIF('helper sheet'!$A$1:$A$33,salesforecast[[#This Row],[LL Material Code]])</f>
        <v>0</v>
      </c>
      <c r="N78" t="s">
        <v>2475</v>
      </c>
      <c r="P78" s="47" t="s">
        <v>362</v>
      </c>
      <c r="Q78">
        <v>2</v>
      </c>
      <c r="R78">
        <v>8</v>
      </c>
      <c r="S78">
        <v>4</v>
      </c>
      <c r="T78" s="52">
        <f>ROUNDUP(MAX(salesforecast[[#This Row],[FY25 Average]],salesforecast[[#This Row],[July Schedule]]),0)</f>
        <v>5</v>
      </c>
      <c r="U78" s="52">
        <f>salesforecast[[#This Row],[Forecast]]-salesforecast[[#This Row],[July Schedule]]</f>
        <v>0.47750401984000046</v>
      </c>
      <c r="V78" t="str">
        <f>salesforecast[[#This Row],[Plant]]</f>
        <v>0788</v>
      </c>
      <c r="W78" s="66" t="str" cm="1">
        <f t="array" ref="W78">_xlfn.TEXTJOIN("|",TRUE,(_xlfn.UNIQUE(_xlfn._xlws.FILTER(scheduleapr[CUSTOMER NAME],scheduleapr[Bucket]=salesforecast[[#This Row],[Bucket]]))))</f>
        <v xml:space="preserve">ELKAYEM AUTO MYSORE </v>
      </c>
      <c r="X78" s="66" t="str" cm="1">
        <f t="array" ref="X78">_xlfn.TEXTJOIN("|",TRUE,(_xlfn.UNIQUE(_xlfn._xlws.SORT(_xlfn._xlws.FILTER(scheduleapr[LENGTH],scheduleapr[Bucket]=salesforecast[[#This Row],[Bucket]])))))</f>
        <v>295</v>
      </c>
      <c r="Y78" s="66" t="str" cm="1">
        <f t="array" ref="Y78">_xlfn.TEXTJOIN("|",TRUE,_xlfn._xlws.FILTER(buckets[Material Codes],(buckets[Bucket]=salesforecast[[#This Row],[Bucket2]])))</f>
        <v>403039|3781607|3499903</v>
      </c>
      <c r="Z78" t="str">
        <f>salesforecast[[#This Row],[Bucket]]</f>
        <v>37.6-31.2-3.2-CEW-CEW</v>
      </c>
      <c r="AA78" s="43">
        <f>salesforecast[[#This Row],[July Schedule]]</f>
        <v>4.5224959801599995</v>
      </c>
      <c r="AB78" s="43">
        <f>SUMIF(salesTVS[buckets.Bucket],salesforecast[[#This Row],[Bucket]],salesTVS[Quantity])/1000</f>
        <v>0</v>
      </c>
      <c r="AC78" s="43">
        <f>SUMIFS(stock[MT],stock[Bucket],salesforecast[[#This Row],[Bucket]],stock[LL or CTL],"CTL")</f>
        <v>0</v>
      </c>
      <c r="AD78" s="43">
        <f>SUMIF(stock[Bucket],salesforecast[[#This Row],[Bucket]],stock[MT])-salesforecast[[#This Row],[Stock CTL]]</f>
        <v>0</v>
      </c>
      <c r="AE78" s="43" t="e">
        <v>#REF!</v>
      </c>
      <c r="AF78" s="43">
        <f>SUMIF(wip[Bucket],salesforecast[[#This Row],[Bucket]],wip[Stock(Net Wt)])/1000</f>
        <v>0</v>
      </c>
      <c r="AG78" s="43" t="e">
        <v>#REF!</v>
      </c>
      <c r="AH78" s="43">
        <f>SUMIFS(stock[MT],stock[Bucket],salesforecast[[#This Row],[Bucket2]],stock[Plant],"0788")</f>
        <v>0</v>
      </c>
      <c r="AI78" s="43">
        <f>((salesforecast[[#This Row],[WIP]]+salesforecast[[#This Row],[Stock LL]]))/salesforecast[[#This Row],[July Schedule]]*30</f>
        <v>0</v>
      </c>
      <c r="AJ78" s="52">
        <f>salesforecast[[#This Row],[Stock LL]]/salesforecast[[#This Row],[Schedule]]*30</f>
        <v>0</v>
      </c>
      <c r="AK78" s="43">
        <f>SUMIFS(stock[MT],stock[Bucket],salesforecast[[#This Row],[Bucket2]],stock[Plant],"0789",stock[LL or CTL],"LL")</f>
        <v>0</v>
      </c>
      <c r="AL78" s="193">
        <f>(salesforecast[[#This Row],[Sales]])/salesforecast[[#This Row],[Schedule]]</f>
        <v>0</v>
      </c>
      <c r="AM78" s="43">
        <f>SUMIFS(stock[MT],stock[Plant],salesforecast[[#This Row],[Plant]],stock[LL or CTL],"LL",stock[Bucket],salesforecast[[#This Row],[Bucket]])</f>
        <v>0</v>
      </c>
      <c r="AN78" s="43">
        <f>SUMIFS(scheduleapr[SCHEDULE IN MT],scheduleapr[CUSTOMER NAME],"*Rajsriya*",scheduleapr[Bucket],salesforecast[[#This Row],[Bucket]])</f>
        <v>0</v>
      </c>
      <c r="AO78" s="43">
        <f>SUMIFS(salesTVS[Quantity],salesTVS[CUSTOMER  NAME],"*RAJSRIYA*",salesTVS[buckets.Bucket],salesforecast[[#This Row],[Bucket]])/1000</f>
        <v>0</v>
      </c>
      <c r="AP78" s="43">
        <f>SUMIFS(stock[MT],stock[Plant],4318,stock[Bucket],salesforecast[[#This Row],[Bucket2]])</f>
        <v>0</v>
      </c>
      <c r="AQ78" s="43">
        <f>SUMIFS(stock[MT],stock[Plant],4731,stock[Bucket],salesforecast[[#This Row],[Bucket2]],stock[LL or CTL],"CTL")</f>
        <v>0</v>
      </c>
      <c r="AR78" s="43">
        <f>SUMIFS(stock[MT],stock[Plant],4731,stock[Bucket],salesforecast[[#This Row],[Bucket2]])-salesforecast[[#This Row],[4731 Stock CTL]]</f>
        <v>0</v>
      </c>
      <c r="AS78" s="43">
        <f>SUMIFS(stock[MT],stock[Plant],8406,stock[Bucket],salesforecast[[#This Row],[Bucket2]])</f>
        <v>0</v>
      </c>
    </row>
    <row r="79" spans="1:45" ht="30" x14ac:dyDescent="0.25">
      <c r="A79">
        <v>37.950000000000003</v>
      </c>
      <c r="B79">
        <v>37.950000000000003</v>
      </c>
      <c r="C79">
        <v>32</v>
      </c>
      <c r="D79">
        <v>2.95</v>
      </c>
      <c r="E79" t="s">
        <v>357</v>
      </c>
      <c r="F79" t="s">
        <v>357</v>
      </c>
      <c r="G79" t="s">
        <v>239</v>
      </c>
      <c r="H79" t="str">
        <f>_xlfn.CONCAT(salesforecast[[#This Row],[OD]],"-",salesforecast[[#This Row],[ID]],"-",salesforecast[[#This Row],[TICKNESS]],"-",salesforecast[[#This Row],[GRADE]],"-",salesforecast[[#This Row],[FC/NFC]])</f>
        <v>37.95-32-2.95-CEW-CEW</v>
      </c>
      <c r="I79" s="43">
        <f>SUMIFS(scheduleapr[SCHEDULE IN MT],scheduleapr[Bucket],salesforecast[[#This Row],[Bucket]])</f>
        <v>7.6350277500000017</v>
      </c>
      <c r="J79">
        <v>3502026</v>
      </c>
      <c r="K79">
        <f>COUNTIF('helper sheet'!$A$1:$A$33,salesforecast[[#This Row],[LL Material Code]])</f>
        <v>0</v>
      </c>
      <c r="N79" t="s">
        <v>2369</v>
      </c>
      <c r="P79" s="47" t="s">
        <v>362</v>
      </c>
      <c r="Q79">
        <v>0</v>
      </c>
      <c r="R79">
        <v>8</v>
      </c>
      <c r="S79">
        <v>3</v>
      </c>
      <c r="T79" s="52">
        <f>ROUNDUP(MAX(salesforecast[[#This Row],[FY25 Average]],salesforecast[[#This Row],[July Schedule]]),0)</f>
        <v>8</v>
      </c>
      <c r="U79" s="52">
        <f>salesforecast[[#This Row],[Forecast]]-salesforecast[[#This Row],[July Schedule]]</f>
        <v>0.36497224999999833</v>
      </c>
      <c r="V79" t="str">
        <f>salesforecast[[#This Row],[Plant]]</f>
        <v>0788</v>
      </c>
      <c r="W79" s="66" t="str" cm="1">
        <f t="array" ref="W79">_xlfn.TEXTJOIN("|",TRUE,(_xlfn.UNIQUE(_xlfn._xlws.FILTER(scheduleapr[CUSTOMER NAME],scheduleapr[Bucket]=salesforecast[[#This Row],[Bucket]]))))</f>
        <v>NMPL HUB|NMPL TVSM</v>
      </c>
      <c r="X79" s="66" t="str" cm="1">
        <f t="array" ref="X79">_xlfn.TEXTJOIN("|",TRUE,(_xlfn.UNIQUE(_xlfn._xlws.SORT(_xlfn._xlws.FILTER(scheduleapr[LENGTH],scheduleapr[Bucket]=salesforecast[[#This Row],[Bucket]])))))</f>
        <v>940|1000</v>
      </c>
      <c r="Y79" s="66" t="str" cm="1">
        <f t="array" ref="Y79">_xlfn.TEXTJOIN("|",TRUE,_xlfn._xlws.FILTER(buckets[Material Codes],(buckets[Bucket]=salesforecast[[#This Row],[Bucket2]])))</f>
        <v>3731917|238413|3136335|3557586|3502026</v>
      </c>
      <c r="Z79" t="str">
        <f>salesforecast[[#This Row],[Bucket]]</f>
        <v>37.95-32-2.95-CEW-CEW</v>
      </c>
      <c r="AA79" s="43">
        <f>salesforecast[[#This Row],[July Schedule]]</f>
        <v>7.6350277500000017</v>
      </c>
      <c r="AB79" s="43">
        <f>SUMIF(salesTVS[buckets.Bucket],salesforecast[[#This Row],[Bucket]],salesTVS[Quantity])/1000</f>
        <v>0</v>
      </c>
      <c r="AC79" s="43">
        <f>SUMIFS(stock[MT],stock[Bucket],salesforecast[[#This Row],[Bucket]],stock[LL or CTL],"CTL")</f>
        <v>0</v>
      </c>
      <c r="AD79" s="43">
        <f>SUMIF(stock[Bucket],salesforecast[[#This Row],[Bucket]],stock[MT])-salesforecast[[#This Row],[Stock CTL]]</f>
        <v>27.475126000000003</v>
      </c>
      <c r="AE79" s="43" t="e">
        <v>#REF!</v>
      </c>
      <c r="AF79" s="43">
        <f>SUMIF(wip[Bucket],salesforecast[[#This Row],[Bucket]],wip[Stock(Net Wt)])/1000</f>
        <v>0</v>
      </c>
      <c r="AG79" s="43" t="e">
        <v>#REF!</v>
      </c>
      <c r="AH79" s="43">
        <f>SUMIFS(stock[MT],stock[Bucket],salesforecast[[#This Row],[Bucket2]],stock[Plant],"0788")</f>
        <v>12.733000000000001</v>
      </c>
      <c r="AI79" s="43">
        <f>((salesforecast[[#This Row],[WIP]]+salesforecast[[#This Row],[Stock LL]]))/salesforecast[[#This Row],[July Schedule]]*30</f>
        <v>107.95688070681864</v>
      </c>
      <c r="AJ79" s="52">
        <f>salesforecast[[#This Row],[Stock LL]]/salesforecast[[#This Row],[Schedule]]*30</f>
        <v>107.95688070681864</v>
      </c>
      <c r="AK79" s="43">
        <f>SUMIFS(stock[MT],stock[Bucket],salesforecast[[#This Row],[Bucket2]],stock[Plant],"0789",stock[LL or CTL],"LL")</f>
        <v>0</v>
      </c>
      <c r="AL79" s="193">
        <f>(salesforecast[[#This Row],[Sales]])/salesforecast[[#This Row],[Schedule]]</f>
        <v>0</v>
      </c>
      <c r="AM79" s="43">
        <f>SUMIFS(stock[MT],stock[Plant],salesforecast[[#This Row],[Plant]],stock[LL or CTL],"LL",stock[Bucket],salesforecast[[#This Row],[Bucket]])</f>
        <v>12.733000000000001</v>
      </c>
      <c r="AN79" s="43">
        <f>SUMIFS(scheduleapr[SCHEDULE IN MT],scheduleapr[CUSTOMER NAME],"*Rajsriya*",scheduleapr[Bucket],salesforecast[[#This Row],[Bucket]])</f>
        <v>0</v>
      </c>
      <c r="AO79" s="43">
        <f>SUMIFS(salesTVS[Quantity],salesTVS[CUSTOMER  NAME],"*RAJSRIYA*",salesTVS[buckets.Bucket],salesforecast[[#This Row],[Bucket]])/1000</f>
        <v>0</v>
      </c>
      <c r="AP79" s="43">
        <f>SUMIFS(stock[MT],stock[Plant],4318,stock[Bucket],salesforecast[[#This Row],[Bucket2]])</f>
        <v>0</v>
      </c>
      <c r="AQ79" s="43">
        <f>SUMIFS(stock[MT],stock[Plant],4731,stock[Bucket],salesforecast[[#This Row],[Bucket2]],stock[LL or CTL],"CTL")</f>
        <v>0</v>
      </c>
      <c r="AR79" s="43">
        <f>SUMIFS(stock[MT],stock[Plant],4731,stock[Bucket],salesforecast[[#This Row],[Bucket2]])-salesforecast[[#This Row],[4731 Stock CTL]]</f>
        <v>14.742126000000001</v>
      </c>
      <c r="AS79" s="43">
        <f>SUMIFS(stock[MT],stock[Plant],8406,stock[Bucket],salesforecast[[#This Row],[Bucket2]])</f>
        <v>0</v>
      </c>
    </row>
    <row r="80" spans="1:45" ht="30" x14ac:dyDescent="0.25">
      <c r="A80" s="50">
        <v>38.1</v>
      </c>
      <c r="B80">
        <v>38.1</v>
      </c>
      <c r="C80">
        <v>0</v>
      </c>
      <c r="D80">
        <v>1.6</v>
      </c>
      <c r="E80" t="s">
        <v>985</v>
      </c>
      <c r="F80" t="s">
        <v>1003</v>
      </c>
      <c r="G80" t="s">
        <v>1867</v>
      </c>
      <c r="H80" t="str">
        <f>_xlfn.CONCAT(salesforecast[[#This Row],[OD]],"-",salesforecast[[#This Row],[ID]],"-",salesforecast[[#This Row],[TICKNESS]],"-",salesforecast[[#This Row],[GRADE]],"-",salesforecast[[#This Row],[FC/NFC]])</f>
        <v>38.1-0-1.6-ERW 2 MAHS-FC</v>
      </c>
      <c r="I80" s="43">
        <f>SUMIFS(scheduleapr[SCHEDULE IN MT],scheduleapr[Bucket],salesforecast[[#This Row],[Bucket]])</f>
        <v>10.076511199999999</v>
      </c>
      <c r="J80">
        <v>3514376</v>
      </c>
      <c r="K80">
        <f>COUNTIF('helper sheet'!$A$1:$A$33,salesforecast[[#This Row],[LL Material Code]])</f>
        <v>0</v>
      </c>
      <c r="N80" t="s">
        <v>1645</v>
      </c>
      <c r="O80" t="s">
        <v>1924</v>
      </c>
      <c r="P80" s="47" t="s">
        <v>345</v>
      </c>
      <c r="Q80">
        <v>0</v>
      </c>
      <c r="R80">
        <v>19</v>
      </c>
      <c r="S80">
        <v>9</v>
      </c>
      <c r="T80" s="52">
        <f>ROUNDUP(MAX(salesforecast[[#This Row],[FY25 Average]],salesforecast[[#This Row],[July Schedule]]),0)</f>
        <v>11</v>
      </c>
      <c r="U80" s="52">
        <f>salesforecast[[#This Row],[Forecast]]-salesforecast[[#This Row],[July Schedule]]</f>
        <v>0.92348880000000122</v>
      </c>
      <c r="V80" t="str">
        <f>salesforecast[[#This Row],[Plant]]</f>
        <v>0789</v>
      </c>
      <c r="W80" s="66" t="str" cm="1">
        <f t="array" ref="W80">_xlfn.TEXTJOIN("|",TRUE,(_xlfn.UNIQUE(_xlfn._xlws.FILTER(scheduleapr[CUSTOMER NAME],scheduleapr[Bucket]=salesforecast[[#This Row],[Bucket]]))))</f>
        <v>Metalman|RUCHA</v>
      </c>
      <c r="X80" s="66" t="str" cm="1">
        <f t="array" ref="X80">_xlfn.TEXTJOIN("|",TRUE,(_xlfn.UNIQUE(_xlfn._xlws.SORT(_xlfn._xlws.FILTER(scheduleapr[LENGTH],scheduleapr[Bucket]=salesforecast[[#This Row],[Bucket]])))))</f>
        <v>875|878|930|1000</v>
      </c>
      <c r="Y80" s="66" t="str" cm="1">
        <f t="array" ref="Y80">_xlfn.TEXTJOIN("|",TRUE,_xlfn._xlws.FILTER(buckets[Material Codes],(buckets[Bucket]=salesforecast[[#This Row],[Bucket2]])*(buckets[LL or CTL]="CTL")))</f>
        <v>2436343|3841884|1523477|3768904|3191747</v>
      </c>
      <c r="Z80" t="str">
        <f>salesforecast[[#This Row],[Bucket]]</f>
        <v>38.1-0-1.6-ERW 2 MAHS-FC</v>
      </c>
      <c r="AA80" s="43">
        <f>salesforecast[[#This Row],[July Schedule]]</f>
        <v>10.076511199999999</v>
      </c>
      <c r="AB80" s="43">
        <f>SUMIF(salesTVS[buckets.Bucket],salesforecast[[#This Row],[Bucket]],salesTVS[Quantity])/1000</f>
        <v>0</v>
      </c>
      <c r="AC80" s="43">
        <f>SUMIFS(stock[MT],stock[Bucket],salesforecast[[#This Row],[Bucket]],stock[LL or CTL],"CTL")</f>
        <v>0</v>
      </c>
      <c r="AD80" s="43">
        <f>SUMIF(stock[Bucket],salesforecast[[#This Row],[Bucket]],stock[MT])-salesforecast[[#This Row],[Stock CTL]]</f>
        <v>0.37121100000000001</v>
      </c>
      <c r="AE80" s="43" t="e">
        <v>#REF!</v>
      </c>
      <c r="AF80" s="43">
        <f>SUMIF(wip[Bucket],salesforecast[[#This Row],[Bucket]],wip[Stock(Net Wt)])/1000</f>
        <v>3.1419999999999999</v>
      </c>
      <c r="AG80" s="43" t="e">
        <v>#REF!</v>
      </c>
      <c r="AH80" s="43">
        <f>SUMIFS(stock[MT],stock[Bucket],salesforecast[[#This Row],[Bucket2]],stock[Plant],"0788")</f>
        <v>0</v>
      </c>
      <c r="AI80" s="43">
        <f>((salesforecast[[#This Row],[WIP]]+salesforecast[[#This Row],[Stock LL]]))/salesforecast[[#This Row],[July Schedule]]*30</f>
        <v>10.459605304661402</v>
      </c>
      <c r="AJ80" s="52">
        <f>salesforecast[[#This Row],[Stock LL]]/salesforecast[[#This Row],[Schedule]]*30</f>
        <v>1.1051771569509099</v>
      </c>
      <c r="AK80" s="43">
        <f>SUMIFS(stock[MT],stock[Bucket],salesforecast[[#This Row],[Bucket2]],stock[Plant],"0789",stock[LL or CTL],"LL")</f>
        <v>0.37121100000000001</v>
      </c>
      <c r="AL80" s="193">
        <f>(salesforecast[[#This Row],[Sales]])/salesforecast[[#This Row],[Schedule]]</f>
        <v>0</v>
      </c>
      <c r="AM80" s="43">
        <f>SUMIFS(stock[MT],stock[Plant],salesforecast[[#This Row],[Plant]],stock[LL or CTL],"LL",stock[Bucket],salesforecast[[#This Row],[Bucket]])</f>
        <v>0.37121100000000001</v>
      </c>
      <c r="AN80" s="43">
        <f>SUMIFS(scheduleapr[SCHEDULE IN MT],scheduleapr[CUSTOMER NAME],"*Rajsriya*",scheduleapr[Bucket],salesforecast[[#This Row],[Bucket]])</f>
        <v>0</v>
      </c>
      <c r="AO80" s="43">
        <f>SUMIFS(salesTVS[Quantity],salesTVS[CUSTOMER  NAME],"*RAJSRIYA*",salesTVS[buckets.Bucket],salesforecast[[#This Row],[Bucket]])/1000</f>
        <v>0</v>
      </c>
      <c r="AP80" s="43">
        <f>SUMIFS(stock[MT],stock[Plant],4318,stock[Bucket],salesforecast[[#This Row],[Bucket2]])</f>
        <v>0</v>
      </c>
      <c r="AQ80" s="43">
        <f>SUMIFS(stock[MT],stock[Plant],4731,stock[Bucket],salesforecast[[#This Row],[Bucket2]],stock[LL or CTL],"CTL")</f>
        <v>0</v>
      </c>
      <c r="AR80" s="43">
        <f>SUMIFS(stock[MT],stock[Plant],4731,stock[Bucket],salesforecast[[#This Row],[Bucket2]])-salesforecast[[#This Row],[4731 Stock CTL]]</f>
        <v>0</v>
      </c>
      <c r="AS80" s="43">
        <f>SUMIFS(stock[MT],stock[Plant],8406,stock[Bucket],salesforecast[[#This Row],[Bucket2]])</f>
        <v>0</v>
      </c>
    </row>
    <row r="81" spans="1:45" ht="45" x14ac:dyDescent="0.25">
      <c r="A81">
        <v>38.1</v>
      </c>
      <c r="B81">
        <v>38.1</v>
      </c>
      <c r="C81">
        <v>0</v>
      </c>
      <c r="D81">
        <v>1.6</v>
      </c>
      <c r="E81" t="s">
        <v>962</v>
      </c>
      <c r="F81" t="s">
        <v>1003</v>
      </c>
      <c r="G81" t="s">
        <v>1867</v>
      </c>
      <c r="H81" t="str">
        <f>_xlfn.CONCAT(salesforecast[[#This Row],[OD]],"-",salesforecast[[#This Row],[ID]],"-",salesforecast[[#This Row],[TICKNESS]],"-",salesforecast[[#This Row],[GRADE]],"-",salesforecast[[#This Row],[FC/NFC]])</f>
        <v>38.1-0-1.6-ERW 1-FC</v>
      </c>
      <c r="I81" s="43">
        <f>SUMIFS(scheduleapr[SCHEDULE IN MT],scheduleapr[Bucket],salesforecast[[#This Row],[Bucket]])</f>
        <v>11.852136423599998</v>
      </c>
      <c r="J81">
        <v>3540982</v>
      </c>
      <c r="K81">
        <f>COUNTIF('helper sheet'!$A$1:$A$33,salesforecast[[#This Row],[LL Material Code]])</f>
        <v>0</v>
      </c>
      <c r="N81" t="s">
        <v>2476</v>
      </c>
      <c r="O81" t="s">
        <v>1868</v>
      </c>
      <c r="P81" s="47" t="s">
        <v>345</v>
      </c>
      <c r="Q81">
        <v>3</v>
      </c>
      <c r="R81">
        <v>10</v>
      </c>
      <c r="S81">
        <v>7</v>
      </c>
      <c r="T81" s="52">
        <f>ROUNDUP(MAX(salesforecast[[#This Row],[FY25 Average]],salesforecast[[#This Row],[July Schedule]]),0)</f>
        <v>12</v>
      </c>
      <c r="U81" s="52">
        <f>salesforecast[[#This Row],[Forecast]]-salesforecast[[#This Row],[July Schedule]]</f>
        <v>0.14786357640000247</v>
      </c>
      <c r="V81" t="str">
        <f>salesforecast[[#This Row],[Plant]]</f>
        <v>0789</v>
      </c>
      <c r="W81" s="66" t="str" cm="1">
        <f t="array" ref="W81">_xlfn.TEXTJOIN("|",TRUE,(_xlfn.UNIQUE(_xlfn._xlws.FILTER(scheduleapr[CUSTOMER NAME],scheduleapr[Bucket]=salesforecast[[#This Row],[Bucket]]))))</f>
        <v>Metalman|NMPL TVSM|NMPL HUB</v>
      </c>
      <c r="X81" s="66" t="str" cm="1">
        <f t="array" ref="X81">_xlfn.TEXTJOIN("|",TRUE,(_xlfn.UNIQUE(_xlfn._xlws.SORT(_xlfn._xlws.FILTER(scheduleapr[LENGTH],scheduleapr[Bucket]=salesforecast[[#This Row],[Bucket]])))))</f>
        <v>488|812|815|821</v>
      </c>
      <c r="Y81" s="66" t="str" cm="1">
        <f t="array" ref="Y81">_xlfn.TEXTJOIN("|",TRUE,_xlfn._xlws.FILTER(buckets[Material Codes],(buckets[Bucket]=salesforecast[[#This Row],[Bucket2]])*(buckets[LL or CTL]="CTL")))</f>
        <v>293855|1940730|302897|1940731|3507790|1940732|1194658|3507336</v>
      </c>
      <c r="Z81" t="str">
        <f>salesforecast[[#This Row],[Bucket]]</f>
        <v>38.1-0-1.6-ERW 1-FC</v>
      </c>
      <c r="AA81" s="43">
        <f>salesforecast[[#This Row],[July Schedule]]</f>
        <v>11.852136423599998</v>
      </c>
      <c r="AB81" s="43">
        <f>SUMIF(salesTVS[buckets.Bucket],salesforecast[[#This Row],[Bucket]],salesTVS[Quantity])/1000</f>
        <v>0</v>
      </c>
      <c r="AC81" s="43">
        <f>SUMIFS(stock[MT],stock[Bucket],salesforecast[[#This Row],[Bucket]],stock[LL or CTL],"CTL")</f>
        <v>4.6360320000000002</v>
      </c>
      <c r="AD81" s="43">
        <f>SUMIF(stock[Bucket],salesforecast[[#This Row],[Bucket]],stock[MT])-salesforecast[[#This Row],[Stock CTL]]</f>
        <v>8.149357000000002</v>
      </c>
      <c r="AE81" s="43" t="e">
        <v>#REF!</v>
      </c>
      <c r="AF81" s="43">
        <f>SUMIF(wip[Bucket],salesforecast[[#This Row],[Bucket]],wip[Stock(Net Wt)])/1000</f>
        <v>0</v>
      </c>
      <c r="AG81" s="43" t="e">
        <v>#REF!</v>
      </c>
      <c r="AH81" s="43">
        <f>SUMIFS(stock[MT],stock[Bucket],salesforecast[[#This Row],[Bucket2]],stock[Plant],"0788")</f>
        <v>0</v>
      </c>
      <c r="AI81" s="43">
        <f>((salesforecast[[#This Row],[WIP]]+salesforecast[[#This Row],[Stock LL]]))/salesforecast[[#This Row],[July Schedule]]*30</f>
        <v>20.627564623133225</v>
      </c>
      <c r="AJ81" s="52">
        <f>salesforecast[[#This Row],[Stock LL]]/salesforecast[[#This Row],[Schedule]]*30</f>
        <v>20.627564623133225</v>
      </c>
      <c r="AK81" s="43">
        <f>SUMIFS(stock[MT],stock[Bucket],salesforecast[[#This Row],[Bucket2]],stock[Plant],"0789",stock[LL or CTL],"LL")</f>
        <v>0</v>
      </c>
      <c r="AL81" s="193">
        <f>(salesforecast[[#This Row],[Sales]])/salesforecast[[#This Row],[Schedule]]</f>
        <v>0</v>
      </c>
      <c r="AM81" s="43">
        <f>SUMIFS(stock[MT],stock[Plant],salesforecast[[#This Row],[Plant]],stock[LL or CTL],"LL",stock[Bucket],salesforecast[[#This Row],[Bucket]])</f>
        <v>0</v>
      </c>
      <c r="AN81" s="43">
        <f>SUMIFS(scheduleapr[SCHEDULE IN MT],scheduleapr[CUSTOMER NAME],"*Rajsriya*",scheduleapr[Bucket],salesforecast[[#This Row],[Bucket]])</f>
        <v>0</v>
      </c>
      <c r="AO81" s="43">
        <f>SUMIFS(salesTVS[Quantity],salesTVS[CUSTOMER  NAME],"*RAJSRIYA*",salesTVS[buckets.Bucket],salesforecast[[#This Row],[Bucket]])/1000</f>
        <v>0</v>
      </c>
      <c r="AP81" s="43">
        <f>SUMIFS(stock[MT],stock[Plant],4318,stock[Bucket],salesforecast[[#This Row],[Bucket2]])</f>
        <v>0</v>
      </c>
      <c r="AQ81" s="43">
        <f>SUMIFS(stock[MT],stock[Plant],4731,stock[Bucket],salesforecast[[#This Row],[Bucket2]],stock[LL or CTL],"CTL")</f>
        <v>0.77703199999999994</v>
      </c>
      <c r="AR81" s="43">
        <f>SUMIFS(stock[MT],stock[Plant],4731,stock[Bucket],salesforecast[[#This Row],[Bucket2]])-salesforecast[[#This Row],[4731 Stock CTL]]</f>
        <v>5.1801770000000005</v>
      </c>
      <c r="AS81" s="43">
        <f>SUMIFS(stock[MT],stock[Plant],8406,stock[Bucket],salesforecast[[#This Row],[Bucket2]])</f>
        <v>6.8281799999999997</v>
      </c>
    </row>
    <row r="82" spans="1:45" ht="75" x14ac:dyDescent="0.25">
      <c r="A82">
        <v>38.1</v>
      </c>
      <c r="B82">
        <v>38.1</v>
      </c>
      <c r="C82">
        <v>0</v>
      </c>
      <c r="D82">
        <v>2</v>
      </c>
      <c r="E82" t="s">
        <v>962</v>
      </c>
      <c r="F82" t="s">
        <v>1003</v>
      </c>
      <c r="G82" t="s">
        <v>239</v>
      </c>
      <c r="H82" t="str">
        <f>_xlfn.CONCAT(salesforecast[[#This Row],[OD]],"-",salesforecast[[#This Row],[ID]],"-",salesforecast[[#This Row],[TICKNESS]],"-",salesforecast[[#This Row],[GRADE]],"-",salesforecast[[#This Row],[FC/NFC]])</f>
        <v>38.1-0-2-ERW 1-FC</v>
      </c>
      <c r="I82" s="43">
        <f>SUMIFS(scheduleapr[SCHEDULE IN MT],scheduleapr[Bucket],salesforecast[[#This Row],[Bucket]])</f>
        <v>99.070826849566004</v>
      </c>
      <c r="J82" s="45">
        <v>3553658</v>
      </c>
      <c r="K82">
        <f>COUNTIF('helper sheet'!$A$1:$A$33,salesforecast[[#This Row],[LL Material Code]])</f>
        <v>0</v>
      </c>
      <c r="N82" t="s">
        <v>2477</v>
      </c>
      <c r="O82" t="s">
        <v>1868</v>
      </c>
      <c r="P82" s="47" t="s">
        <v>345</v>
      </c>
      <c r="Q82">
        <v>28</v>
      </c>
      <c r="R82">
        <v>76</v>
      </c>
      <c r="S82">
        <v>49</v>
      </c>
      <c r="T82" s="52">
        <f>ROUNDUP(MAX(salesforecast[[#This Row],[FY25 Average]],salesforecast[[#This Row],[July Schedule]]),0)</f>
        <v>100</v>
      </c>
      <c r="U82" s="52">
        <f>salesforecast[[#This Row],[Forecast]]-salesforecast[[#This Row],[July Schedule]]</f>
        <v>0.9291731504339964</v>
      </c>
      <c r="V82" t="str">
        <f>salesforecast[[#This Row],[Plant]]</f>
        <v>0789</v>
      </c>
      <c r="W82" s="66" t="str" cm="1">
        <f t="array" ref="W82">_xlfn.TEXTJOIN("|",TRUE,(_xlfn.UNIQUE(_xlfn._xlws.FILTER(scheduleapr[CUSTOMER NAME],scheduleapr[Bucket]=salesforecast[[#This Row],[Bucket]]))))</f>
        <v xml:space="preserve">NMPL HUB|NMPL TVSM|RUCHA|SANDHAR ENGINEERING PVT LTD.|Sandhar Engg Mysore </v>
      </c>
      <c r="X82" s="66" t="str" cm="1">
        <f t="array" ref="X82">_xlfn.TEXTJOIN("|",TRUE,(_xlfn.UNIQUE(_xlfn._xlws.SORT(_xlfn._xlws.FILTER(scheduleapr[LENGTH],scheduleapr[Bucket]=salesforecast[[#This Row],[Bucket]])))))</f>
        <v>278|406|410|425|432|488|494|812|1000</v>
      </c>
      <c r="Y82" s="66" t="str" cm="1">
        <f t="array" ref="Y82">_xlfn.TEXTJOIN("|",TRUE,_xlfn._xlws.FILTER(buckets[Material Codes],(buckets[Bucket]=salesforecast[[#This Row],[Bucket2]])*(buckets[LL or CTL]="CTL")))</f>
        <v>3768902|3509030|2422183|3508742|1940738|444029|1903849|1438332|3508985|1940739|437159|3774058|3516769|1940743|1940744|1308858|1940745|257093</v>
      </c>
      <c r="Z82" t="str">
        <f>salesforecast[[#This Row],[Bucket]]</f>
        <v>38.1-0-2-ERW 1-FC</v>
      </c>
      <c r="AA82" s="43">
        <f>salesforecast[[#This Row],[July Schedule]]</f>
        <v>99.070826849566004</v>
      </c>
      <c r="AB82" s="43">
        <f>SUMIF(salesTVS[buckets.Bucket],salesforecast[[#This Row],[Bucket]],salesTVS[Quantity])/1000</f>
        <v>68.227589000000009</v>
      </c>
      <c r="AC82" s="43">
        <f>SUMIFS(stock[MT],stock[Bucket],salesforecast[[#This Row],[Bucket]],stock[LL or CTL],"CTL")</f>
        <v>14.774404000000001</v>
      </c>
      <c r="AD82" s="43">
        <f>SUMIF(stock[Bucket],salesforecast[[#This Row],[Bucket]],stock[MT])-salesforecast[[#This Row],[Stock CTL]]</f>
        <v>85.281796000000014</v>
      </c>
      <c r="AE82" s="43" t="e">
        <v>#REF!</v>
      </c>
      <c r="AF82" s="43">
        <f>SUMIF(wip[Bucket],salesforecast[[#This Row],[Bucket]],wip[Stock(Net Wt)])/1000</f>
        <v>1.9950000000000001</v>
      </c>
      <c r="AG82" s="43" t="e">
        <v>#REF!</v>
      </c>
      <c r="AH82" s="43">
        <f>SUMIFS(stock[MT],stock[Bucket],salesforecast[[#This Row],[Bucket2]],stock[Plant],"0788")</f>
        <v>0</v>
      </c>
      <c r="AI82" s="43">
        <f>((salesforecast[[#This Row],[WIP]]+salesforecast[[#This Row],[Stock LL]]))/salesforecast[[#This Row],[July Schedule]]*30</f>
        <v>26.428606313902694</v>
      </c>
      <c r="AJ82" s="52">
        <f>salesforecast[[#This Row],[Stock LL]]/salesforecast[[#This Row],[Schedule]]*30</f>
        <v>25.824493055709347</v>
      </c>
      <c r="AK82" s="43">
        <f>SUMIFS(stock[MT],stock[Bucket],salesforecast[[#This Row],[Bucket2]],stock[Plant],"0789",stock[LL or CTL],"LL")</f>
        <v>5.4420000000000002</v>
      </c>
      <c r="AL82" s="193">
        <f>(salesforecast[[#This Row],[Sales]])/salesforecast[[#This Row],[Schedule]]</f>
        <v>0.6886748720044511</v>
      </c>
      <c r="AM82" s="43">
        <f>SUMIFS(stock[MT],stock[Plant],salesforecast[[#This Row],[Plant]],stock[LL or CTL],"LL",stock[Bucket],salesforecast[[#This Row],[Bucket]])</f>
        <v>5.4420000000000002</v>
      </c>
      <c r="AN82" s="43">
        <f>SUMIFS(scheduleapr[SCHEDULE IN MT],scheduleapr[CUSTOMER NAME],"*Rajsriya*",scheduleapr[Bucket],salesforecast[[#This Row],[Bucket]])</f>
        <v>0</v>
      </c>
      <c r="AO82" s="43">
        <f>SUMIFS(salesTVS[Quantity],salesTVS[CUSTOMER  NAME],"*RAJSRIYA*",salesTVS[buckets.Bucket],salesforecast[[#This Row],[Bucket]])/1000</f>
        <v>0</v>
      </c>
      <c r="AP82" s="43">
        <f>SUMIFS(stock[MT],stock[Plant],4318,stock[Bucket],salesforecast[[#This Row],[Bucket2]])</f>
        <v>0</v>
      </c>
      <c r="AQ82" s="43">
        <f>SUMIFS(stock[MT],stock[Plant],4731,stock[Bucket],salesforecast[[#This Row],[Bucket2]],stock[LL or CTL],"CTL")</f>
        <v>6.7912730000000012</v>
      </c>
      <c r="AR82" s="43">
        <f>SUMIFS(stock[MT],stock[Plant],4731,stock[Bucket],salesforecast[[#This Row],[Bucket2]])-salesforecast[[#This Row],[4731 Stock CTL]]</f>
        <v>30.650651000000007</v>
      </c>
      <c r="AS82" s="43">
        <f>SUMIFS(stock[MT],stock[Plant],8406,stock[Bucket],salesforecast[[#This Row],[Bucket2]])</f>
        <v>56.27259699999999</v>
      </c>
    </row>
    <row r="83" spans="1:45" ht="45" x14ac:dyDescent="0.25">
      <c r="A83">
        <v>38.1</v>
      </c>
      <c r="B83">
        <v>38.1</v>
      </c>
      <c r="C83">
        <v>0</v>
      </c>
      <c r="D83">
        <v>2.5</v>
      </c>
      <c r="E83" t="s">
        <v>985</v>
      </c>
      <c r="F83" t="s">
        <v>1003</v>
      </c>
      <c r="G83" t="s">
        <v>239</v>
      </c>
      <c r="H83" t="str">
        <f>_xlfn.CONCAT(salesforecast[[#This Row],[OD]],"-",salesforecast[[#This Row],[ID]],"-",salesforecast[[#This Row],[TICKNESS]],"-",salesforecast[[#This Row],[GRADE]],"-",salesforecast[[#This Row],[FC/NFC]])</f>
        <v>38.1-0-2.5-ERW 2 MAHS-FC</v>
      </c>
      <c r="I83" s="43">
        <f>SUMIFS(scheduleapr[SCHEDULE IN MT],scheduleapr[Bucket],salesforecast[[#This Row],[Bucket]])</f>
        <v>15.356327000000004</v>
      </c>
      <c r="J83">
        <v>3500240</v>
      </c>
      <c r="K83">
        <f>COUNTIF('helper sheet'!$A$1:$A$33,salesforecast[[#This Row],[LL Material Code]])</f>
        <v>0</v>
      </c>
      <c r="N83" t="s">
        <v>2358</v>
      </c>
      <c r="P83" s="47" t="s">
        <v>367</v>
      </c>
      <c r="Q83">
        <v>0</v>
      </c>
      <c r="R83">
        <v>20</v>
      </c>
      <c r="S83">
        <v>7</v>
      </c>
      <c r="T83" s="52">
        <f>ROUNDUP(MAX(salesforecast[[#This Row],[FY25 Average]],salesforecast[[#This Row],[July Schedule]]),0)</f>
        <v>16</v>
      </c>
      <c r="U83" s="52">
        <f>salesforecast[[#This Row],[Forecast]]-salesforecast[[#This Row],[July Schedule]]</f>
        <v>0.64367299999999616</v>
      </c>
      <c r="V83" t="str">
        <f>salesforecast[[#This Row],[Plant]]</f>
        <v>056</v>
      </c>
      <c r="W83" s="66" t="str" cm="1">
        <f t="array" ref="W83">_xlfn.TEXTJOIN("|",TRUE,(_xlfn.UNIQUE(_xlfn._xlws.FILTER(scheduleapr[CUSTOMER NAME],scheduleapr[Bucket]=salesforecast[[#This Row],[Bucket]]))))</f>
        <v>Metalman|RUCHA</v>
      </c>
      <c r="X83" s="66" t="str" cm="1">
        <f t="array" ref="X83">_xlfn.TEXTJOIN("|",TRUE,(_xlfn.UNIQUE(_xlfn._xlws.SORT(_xlfn._xlws.FILTER(scheduleapr[LENGTH],scheduleapr[Bucket]=salesforecast[[#This Row],[Bucket]])))))</f>
        <v>875|878|1000</v>
      </c>
      <c r="Y83" s="66" t="str" cm="1">
        <f t="array" ref="Y83">_xlfn.TEXTJOIN("|",TRUE,_xlfn._xlws.FILTER(buckets[Material Codes],(buckets[Bucket]=salesforecast[[#This Row],[Bucket2]])))</f>
        <v>3509424|1529742|3788034|111120313|3500240|3502007|4096367|3747392|1940779</v>
      </c>
      <c r="Z83" t="str">
        <f>salesforecast[[#This Row],[Bucket]]</f>
        <v>38.1-0-2.5-ERW 2 MAHS-FC</v>
      </c>
      <c r="AA83" s="43">
        <f>salesforecast[[#This Row],[July Schedule]]</f>
        <v>15.356327000000004</v>
      </c>
      <c r="AB83" s="43">
        <f>SUMIF(salesTVS[buckets.Bucket],salesforecast[[#This Row],[Bucket]],salesTVS[Quantity])/1000</f>
        <v>0</v>
      </c>
      <c r="AC83" s="43">
        <f>SUMIFS(stock[MT],stock[Bucket],salesforecast[[#This Row],[Bucket]],stock[LL or CTL],"CTL")</f>
        <v>0</v>
      </c>
      <c r="AD83" s="43">
        <f>SUMIF(stock[Bucket],salesforecast[[#This Row],[Bucket]],stock[MT])-salesforecast[[#This Row],[Stock CTL]]</f>
        <v>0.57999999999999996</v>
      </c>
      <c r="AE83" s="43" t="e">
        <v>#REF!</v>
      </c>
      <c r="AF83" s="43">
        <f>SUMIF(wip[Bucket],salesforecast[[#This Row],[Bucket]],wip[Stock(Net Wt)])/1000</f>
        <v>0</v>
      </c>
      <c r="AG83" s="43" t="e">
        <v>#REF!</v>
      </c>
      <c r="AH83" s="43">
        <f>SUMIFS(stock[MT],stock[Bucket],salesforecast[[#This Row],[Bucket2]],stock[Plant],"0788")</f>
        <v>0</v>
      </c>
      <c r="AI83" s="52">
        <f>((salesforecast[[#This Row],[WIP]]+salesforecast[[#This Row],[Stock LL]]))/salesforecast[[#This Row],[July Schedule]]*30</f>
        <v>1.1330834515310853</v>
      </c>
      <c r="AJ83" s="52">
        <f>salesforecast[[#This Row],[Stock LL]]/salesforecast[[#This Row],[Schedule]]*30</f>
        <v>1.1330834515310853</v>
      </c>
      <c r="AK83" s="43">
        <f>SUMIFS(stock[MT],stock[Bucket],salesforecast[[#This Row],[Bucket2]],stock[Plant],"0789",stock[LL or CTL],"LL")</f>
        <v>0</v>
      </c>
      <c r="AL83" s="193">
        <f>(salesforecast[[#This Row],[Sales]])/salesforecast[[#This Row],[Schedule]]</f>
        <v>0</v>
      </c>
      <c r="AM83" s="43">
        <f>SUMIFS(stock[MT],stock[Plant],salesforecast[[#This Row],[Plant]],stock[LL or CTL],"LL",stock[Bucket],salesforecast[[#This Row],[Bucket]])</f>
        <v>0</v>
      </c>
      <c r="AN83" s="43">
        <f>SUMIFS(scheduleapr[SCHEDULE IN MT],scheduleapr[CUSTOMER NAME],"*Rajsriya*",scheduleapr[Bucket],salesforecast[[#This Row],[Bucket]])</f>
        <v>0</v>
      </c>
      <c r="AO83" s="43">
        <f>SUMIFS(salesTVS[Quantity],salesTVS[CUSTOMER  NAME],"*RAJSRIYA*",salesTVS[buckets.Bucket],salesforecast[[#This Row],[Bucket]])/1000</f>
        <v>0</v>
      </c>
      <c r="AP83" s="43">
        <f>SUMIFS(stock[MT],stock[Plant],4318,stock[Bucket],salesforecast[[#This Row],[Bucket2]])</f>
        <v>0</v>
      </c>
      <c r="AQ83" s="43">
        <f>SUMIFS(stock[MT],stock[Plant],4731,stock[Bucket],salesforecast[[#This Row],[Bucket2]],stock[LL or CTL],"CTL")</f>
        <v>0</v>
      </c>
      <c r="AR83" s="43">
        <f>SUMIFS(stock[MT],stock[Plant],4731,stock[Bucket],salesforecast[[#This Row],[Bucket2]])-salesforecast[[#This Row],[4731 Stock CTL]]</f>
        <v>0.57999999999999996</v>
      </c>
      <c r="AS83" s="43">
        <f>SUMIFS(stock[MT],stock[Plant],8406,stock[Bucket],salesforecast[[#This Row],[Bucket2]])</f>
        <v>0</v>
      </c>
    </row>
    <row r="84" spans="1:45" x14ac:dyDescent="0.25">
      <c r="A84">
        <v>38.1</v>
      </c>
      <c r="B84">
        <v>38.1</v>
      </c>
      <c r="C84">
        <v>0</v>
      </c>
      <c r="D84">
        <v>3.66</v>
      </c>
      <c r="E84" t="s">
        <v>962</v>
      </c>
      <c r="F84" t="s">
        <v>1003</v>
      </c>
      <c r="G84" t="s">
        <v>239</v>
      </c>
      <c r="H84" t="str">
        <f>_xlfn.CONCAT(salesforecast[[#This Row],[OD]],"-",salesforecast[[#This Row],[ID]],"-",salesforecast[[#This Row],[TICKNESS]],"-",salesforecast[[#This Row],[GRADE]],"-",salesforecast[[#This Row],[FC/NFC]])</f>
        <v>38.1-0-3.66-ERW 1-FC</v>
      </c>
      <c r="I84" s="43">
        <f>SUMIFS(scheduleapr[SCHEDULE IN MT],scheduleapr[Bucket],salesforecast[[#This Row],[Bucket]])</f>
        <v>0</v>
      </c>
      <c r="J84" s="46">
        <v>3500718</v>
      </c>
      <c r="K84">
        <f>COUNTIF('helper sheet'!$A$1:$A$33,salesforecast[[#This Row],[LL Material Code]])</f>
        <v>0</v>
      </c>
      <c r="N84" t="s">
        <v>1657</v>
      </c>
      <c r="P84" s="47" t="s">
        <v>362</v>
      </c>
      <c r="Q84">
        <v>0</v>
      </c>
      <c r="R84">
        <v>4</v>
      </c>
      <c r="S84">
        <v>1</v>
      </c>
      <c r="T84" s="52">
        <f>ROUNDUP(MAX(salesforecast[[#This Row],[FY25 Average]],salesforecast[[#This Row],[July Schedule]]),0)</f>
        <v>1</v>
      </c>
      <c r="U84" s="52">
        <f>salesforecast[[#This Row],[Forecast]]-salesforecast[[#This Row],[July Schedule]]</f>
        <v>1</v>
      </c>
      <c r="V84" t="str">
        <f>salesforecast[[#This Row],[Plant]]</f>
        <v>0788</v>
      </c>
      <c r="W84" s="66" t="str" cm="1">
        <f t="array" ref="W84">_xlfn.TEXTJOIN("|",TRUE,(_xlfn.UNIQUE(_xlfn._xlws.FILTER(scheduleapr[CUSTOMER NAME],scheduleapr[Bucket]=salesforecast[[#This Row],[Bucket]]))))</f>
        <v>Marathwada</v>
      </c>
      <c r="X84" s="66" t="str" cm="1">
        <f t="array" ref="X84">_xlfn.TEXTJOIN("|",TRUE,(_xlfn.UNIQUE(_xlfn._xlws.SORT(_xlfn._xlws.FILTER(scheduleapr[LENGTH],scheduleapr[Bucket]=salesforecast[[#This Row],[Bucket]])))))</f>
        <v>201</v>
      </c>
      <c r="Y84" s="66" t="str" cm="1">
        <f t="array" ref="Y84">_xlfn.TEXTJOIN("|",TRUE,_xlfn._xlws.FILTER(buckets[Material Codes],(buckets[Bucket]=salesforecast[[#This Row],[Bucket2]])))</f>
        <v>3784540|3500718</v>
      </c>
      <c r="Z84" t="str">
        <f>salesforecast[[#This Row],[Bucket]]</f>
        <v>38.1-0-3.66-ERW 1-FC</v>
      </c>
      <c r="AA84" s="43">
        <f>salesforecast[[#This Row],[July Schedule]]</f>
        <v>0</v>
      </c>
      <c r="AB84" s="43">
        <f>SUMIF(salesTVS[buckets.Bucket],salesforecast[[#This Row],[Bucket]],salesTVS[Quantity])/1000</f>
        <v>0</v>
      </c>
      <c r="AC84" s="43">
        <f>SUMIFS(stock[MT],stock[Bucket],salesforecast[[#This Row],[Bucket]],stock[LL or CTL],"CTL")</f>
        <v>0</v>
      </c>
      <c r="AD84" s="43">
        <f>SUMIF(stock[Bucket],salesforecast[[#This Row],[Bucket]],stock[MT])-salesforecast[[#This Row],[Stock CTL]]</f>
        <v>0</v>
      </c>
      <c r="AE84" s="43" t="e">
        <v>#REF!</v>
      </c>
      <c r="AF84" s="43">
        <f>SUMIF(wip[Bucket],salesforecast[[#This Row],[Bucket]],wip[Stock(Net Wt)])/1000</f>
        <v>0</v>
      </c>
      <c r="AG84" s="43" t="e">
        <v>#REF!</v>
      </c>
      <c r="AH84" s="43">
        <f>SUMIFS(stock[MT],stock[Bucket],salesforecast[[#This Row],[Bucket2]],stock[Plant],"0788")</f>
        <v>0</v>
      </c>
      <c r="AI84" s="43" t="e">
        <f>((salesforecast[[#This Row],[WIP]]+salesforecast[[#This Row],[Stock LL]]))/salesforecast[[#This Row],[July Schedule]]*30</f>
        <v>#DIV/0!</v>
      </c>
      <c r="AJ84" s="52" t="e">
        <f>salesforecast[[#This Row],[Stock LL]]/salesforecast[[#This Row],[Schedule]]*30</f>
        <v>#DIV/0!</v>
      </c>
      <c r="AK84" s="43">
        <f>SUMIFS(stock[MT],stock[Bucket],salesforecast[[#This Row],[Bucket2]],stock[Plant],"0789",stock[LL or CTL],"LL")</f>
        <v>0</v>
      </c>
      <c r="AL84" s="193" t="e">
        <f>(salesforecast[[#This Row],[Sales]])/salesforecast[[#This Row],[Schedule]]</f>
        <v>#DIV/0!</v>
      </c>
      <c r="AM84" s="43">
        <f>SUMIFS(stock[MT],stock[Plant],salesforecast[[#This Row],[Plant]],stock[LL or CTL],"LL",stock[Bucket],salesforecast[[#This Row],[Bucket]])</f>
        <v>0</v>
      </c>
      <c r="AN84" s="43">
        <f>SUMIFS(scheduleapr[SCHEDULE IN MT],scheduleapr[CUSTOMER NAME],"*Rajsriya*",scheduleapr[Bucket],salesforecast[[#This Row],[Bucket]])</f>
        <v>0</v>
      </c>
      <c r="AO84" s="43">
        <f>SUMIFS(salesTVS[Quantity],salesTVS[CUSTOMER  NAME],"*RAJSRIYA*",salesTVS[buckets.Bucket],salesforecast[[#This Row],[Bucket]])/1000</f>
        <v>0</v>
      </c>
      <c r="AP84" s="43">
        <f>SUMIFS(stock[MT],stock[Plant],4318,stock[Bucket],salesforecast[[#This Row],[Bucket2]])</f>
        <v>0</v>
      </c>
      <c r="AQ84" s="43">
        <f>SUMIFS(stock[MT],stock[Plant],4731,stock[Bucket],salesforecast[[#This Row],[Bucket2]],stock[LL or CTL],"CTL")</f>
        <v>0</v>
      </c>
      <c r="AR84" s="43">
        <f>SUMIFS(stock[MT],stock[Plant],4731,stock[Bucket],salesforecast[[#This Row],[Bucket2]])-salesforecast[[#This Row],[4731 Stock CTL]]</f>
        <v>0</v>
      </c>
      <c r="AS84" s="43">
        <f>SUMIFS(stock[MT],stock[Plant],8406,stock[Bucket],salesforecast[[#This Row],[Bucket2]])</f>
        <v>0</v>
      </c>
    </row>
    <row r="85" spans="1:45" ht="30" x14ac:dyDescent="0.25">
      <c r="A85">
        <v>39</v>
      </c>
      <c r="B85">
        <v>39</v>
      </c>
      <c r="C85">
        <v>34</v>
      </c>
      <c r="D85">
        <v>2.5</v>
      </c>
      <c r="E85" t="s">
        <v>357</v>
      </c>
      <c r="F85" t="s">
        <v>357</v>
      </c>
      <c r="G85" t="s">
        <v>239</v>
      </c>
      <c r="H85" t="str">
        <f>_xlfn.CONCAT(salesforecast[[#This Row],[OD]],"-",salesforecast[[#This Row],[ID]],"-",salesforecast[[#This Row],[TICKNESS]],"-",salesforecast[[#This Row],[GRADE]],"-",salesforecast[[#This Row],[FC/NFC]])</f>
        <v>39-34-2.5-CEW-CEW</v>
      </c>
      <c r="I85" s="43">
        <f>SUMIFS(scheduleapr[SCHEDULE IN MT],scheduleapr[Bucket],salesforecast[[#This Row],[Bucket]])</f>
        <v>52.00199529999999</v>
      </c>
      <c r="J85">
        <v>3775631</v>
      </c>
      <c r="K85">
        <f>COUNTIF('helper sheet'!$A$1:$A$33,salesforecast[[#This Row],[LL Material Code]])</f>
        <v>0</v>
      </c>
      <c r="N85" t="s">
        <v>2385</v>
      </c>
      <c r="P85" s="47" t="s">
        <v>362</v>
      </c>
      <c r="Q85">
        <v>11</v>
      </c>
      <c r="R85">
        <v>42</v>
      </c>
      <c r="S85">
        <v>24</v>
      </c>
      <c r="T85" s="52">
        <f>ROUNDUP(MAX(salesforecast[[#This Row],[FY25 Average]],salesforecast[[#This Row],[July Schedule]]),0)</f>
        <v>53</v>
      </c>
      <c r="U85" s="52">
        <f>salesforecast[[#This Row],[Forecast]]-salesforecast[[#This Row],[July Schedule]]</f>
        <v>0.99800470000000985</v>
      </c>
      <c r="V85" t="str">
        <f>salesforecast[[#This Row],[Plant]]</f>
        <v>0788</v>
      </c>
      <c r="W85" s="66" t="str" cm="1">
        <f t="array" ref="W85">_xlfn.TEXTJOIN("|",TRUE,(_xlfn.UNIQUE(_xlfn._xlws.FILTER(scheduleapr[CUSTOMER NAME],scheduleapr[Bucket]=salesforecast[[#This Row],[Bucket]]))))</f>
        <v>Marathwada|Rajsriya Unit 1</v>
      </c>
      <c r="X85" s="66" t="str" cm="1">
        <f t="array" ref="X85">_xlfn.TEXTJOIN("|",TRUE,(_xlfn.UNIQUE(_xlfn._xlws.SORT(_xlfn._xlws.FILTER(scheduleapr[LENGTH],scheduleapr[Bucket]=salesforecast[[#This Row],[Bucket]])))))</f>
        <v>272</v>
      </c>
      <c r="Y85" s="66" t="str" cm="1">
        <f t="array" ref="Y85">_xlfn.TEXTJOIN("|",TRUE,_xlfn._xlws.FILTER(buckets[Material Codes],(buckets[Bucket]=salesforecast[[#This Row],[Bucket2]])))</f>
        <v>1938125|1130592|1930116|3775631|3644746</v>
      </c>
      <c r="Z85" t="str">
        <f>salesforecast[[#This Row],[Bucket]]</f>
        <v>39-34-2.5-CEW-CEW</v>
      </c>
      <c r="AA85" s="43">
        <f>salesforecast[[#This Row],[July Schedule]]</f>
        <v>52.00199529999999</v>
      </c>
      <c r="AB85" s="43">
        <f>SUMIF(salesTVS[buckets.Bucket],salesforecast[[#This Row],[Bucket]],salesTVS[Quantity])/1000</f>
        <v>18.929159999999996</v>
      </c>
      <c r="AC85" s="43">
        <f>SUMIFS(stock[MT],stock[Bucket],salesforecast[[#This Row],[Bucket]],stock[LL or CTL],"CTL")</f>
        <v>1.098452</v>
      </c>
      <c r="AD85" s="43">
        <f>SUMIF(stock[Bucket],salesforecast[[#This Row],[Bucket]],stock[MT])-salesforecast[[#This Row],[Stock CTL]]</f>
        <v>7.4211679999999998</v>
      </c>
      <c r="AE85" s="43" t="e">
        <v>#REF!</v>
      </c>
      <c r="AF85" s="43">
        <f>SUMIF(wip[Bucket],salesforecast[[#This Row],[Bucket]],wip[Stock(Net Wt)])/1000</f>
        <v>0</v>
      </c>
      <c r="AG85" s="43" t="e">
        <v>#REF!</v>
      </c>
      <c r="AH85" s="43">
        <f>SUMIFS(stock[MT],stock[Bucket],salesforecast[[#This Row],[Bucket2]],stock[Plant],"0788")</f>
        <v>1.079</v>
      </c>
      <c r="AI85" s="43">
        <f>((salesforecast[[#This Row],[WIP]]+salesforecast[[#This Row],[Stock LL]]))/salesforecast[[#This Row],[July Schedule]]*30</f>
        <v>4.2812787993156105</v>
      </c>
      <c r="AJ85" s="52">
        <f>salesforecast[[#This Row],[Stock LL]]/salesforecast[[#This Row],[Schedule]]*30</f>
        <v>4.2812787993156105</v>
      </c>
      <c r="AK85" s="43">
        <f>SUMIFS(stock[MT],stock[Bucket],salesforecast[[#This Row],[Bucket2]],stock[Plant],"0789",stock[LL or CTL],"LL")</f>
        <v>0</v>
      </c>
      <c r="AL85" s="193">
        <f>(salesforecast[[#This Row],[Sales]])/salesforecast[[#This Row],[Schedule]]</f>
        <v>0.36400834027228179</v>
      </c>
      <c r="AM85" s="43">
        <f>SUMIFS(stock[MT],stock[Plant],salesforecast[[#This Row],[Plant]],stock[LL or CTL],"LL",stock[Bucket],salesforecast[[#This Row],[Bucket]])</f>
        <v>1.079</v>
      </c>
      <c r="AN85" s="43">
        <f>SUMIFS(scheduleapr[SCHEDULE IN MT],scheduleapr[CUSTOMER NAME],"*Rajsriya*",scheduleapr[Bucket],salesforecast[[#This Row],[Bucket]])</f>
        <v>15.294704499999998</v>
      </c>
      <c r="AO85" s="43">
        <f>SUMIFS(salesTVS[Quantity],salesTVS[CUSTOMER  NAME],"*RAJSRIYA*",salesTVS[buckets.Bucket],salesforecast[[#This Row],[Bucket]])/1000</f>
        <v>7.5582000000000003</v>
      </c>
      <c r="AP85" s="43">
        <f>SUMIFS(stock[MT],stock[Plant],4318,stock[Bucket],salesforecast[[#This Row],[Bucket2]])</f>
        <v>0</v>
      </c>
      <c r="AQ85" s="43">
        <f>SUMIFS(stock[MT],stock[Plant],4731,stock[Bucket],salesforecast[[#This Row],[Bucket2]],stock[LL or CTL],"CTL")</f>
        <v>1.098452</v>
      </c>
      <c r="AR85" s="43">
        <f>SUMIFS(stock[MT],stock[Plant],4731,stock[Bucket],salesforecast[[#This Row],[Bucket2]])-salesforecast[[#This Row],[4731 Stock CTL]]</f>
        <v>6.342168</v>
      </c>
      <c r="AS85" s="43">
        <f>SUMIFS(stock[MT],stock[Plant],8406,stock[Bucket],salesforecast[[#This Row],[Bucket2]])</f>
        <v>0</v>
      </c>
    </row>
    <row r="86" spans="1:45" ht="150" x14ac:dyDescent="0.25">
      <c r="A86">
        <v>38.1</v>
      </c>
      <c r="B86">
        <v>40</v>
      </c>
      <c r="C86">
        <v>20</v>
      </c>
      <c r="D86">
        <v>1.2</v>
      </c>
      <c r="E86" t="s">
        <v>229</v>
      </c>
      <c r="F86" t="s">
        <v>963</v>
      </c>
      <c r="G86" t="s">
        <v>1867</v>
      </c>
      <c r="H86" t="str">
        <f>_xlfn.CONCAT(salesforecast[[#This Row],[OD]],"-",salesforecast[[#This Row],[ID]],"-",salesforecast[[#This Row],[TICKNESS]],"-",salesforecast[[#This Row],[GRADE]],"-",salesforecast[[#This Row],[FC/NFC]])</f>
        <v>40-20-1.2-CRFH-PE</v>
      </c>
      <c r="I86" s="43">
        <f>SUMIFS(scheduleapr[SCHEDULE IN MT],scheduleapr[Bucket],salesforecast[[#This Row],[Bucket]])</f>
        <v>227.66607435707999</v>
      </c>
      <c r="J86">
        <v>1940792</v>
      </c>
      <c r="K86">
        <f>COUNTIF('helper sheet'!$A$1:$A$33,salesforecast[[#This Row],[LL Material Code]])</f>
        <v>1</v>
      </c>
      <c r="L86">
        <v>1940807</v>
      </c>
      <c r="N86" t="s">
        <v>2478</v>
      </c>
      <c r="P86" s="47" t="s">
        <v>345</v>
      </c>
      <c r="Q86">
        <v>71</v>
      </c>
      <c r="R86">
        <v>229</v>
      </c>
      <c r="S86">
        <v>153</v>
      </c>
      <c r="T86" s="52">
        <v>75</v>
      </c>
      <c r="U86" s="52">
        <f>salesforecast[[#This Row],[Forecast]]-salesforecast[[#This Row],[July Schedule]]</f>
        <v>-152.66607435707999</v>
      </c>
      <c r="V86" t="str">
        <f>salesforecast[[#This Row],[Plant]]</f>
        <v>0789</v>
      </c>
      <c r="W86" s="66" t="str" cm="1">
        <f t="array" ref="W86">_xlfn.TEXTJOIN("|",TRUE,(_xlfn.UNIQUE(_xlfn._xlws.FILTER(scheduleapr[CUSTOMER NAME],scheduleapr[Bucket]=salesforecast[[#This Row],[Bucket]]))))</f>
        <v>Marathwada v7|Marathwada|SRI BALAJI GEARS V4|SRI BALAJI GEARS V7|Balaji Gears V3</v>
      </c>
      <c r="X86" s="66" t="str" cm="1">
        <f t="array" ref="X86">_xlfn.TEXTJOIN("|",TRUE,(_xlfn.UNIQUE(_xlfn._xlws.SORT(_xlfn._xlws.FILTER(scheduleapr[LENGTH],scheduleapr[Bucket]=salesforecast[[#This Row],[Bucket]])))))</f>
        <v>95|110|120|130|140|710|755|800|860|1000|1120|1246|1298|1310</v>
      </c>
      <c r="Y86" s="66" t="str" cm="1">
        <f t="array" ref="Y86">_xlfn.TEXTJOIN("|",TRUE,_xlfn._xlws.FILTER(buckets[Material Codes],(buckets[Bucket]=salesforecast[[#This Row],[Bucket2]])*(buckets[LL or CTL]="CTL")))</f>
        <v>3938688|3572046|3572047|3584174|3230467|3584171|3572048|3675690|3676011|3676012|3572049|3572050|4151472|3676013|3572051|3676014|3676015|3572052|3676016|3676017|3572053|3572054|3230465|3230470|3676018|3233559|3233558|1940794|3233557|1940795|1940796|3233556|3233555|3233554|3233553|1940801</v>
      </c>
      <c r="Z86" t="str">
        <f>salesforecast[[#This Row],[Bucket]]</f>
        <v>40-20-1.2-CRFH-PE</v>
      </c>
      <c r="AA86" s="43">
        <f>salesforecast[[#This Row],[July Schedule]]</f>
        <v>227.66607435707999</v>
      </c>
      <c r="AB86" s="43">
        <f>SUMIF(salesTVS[buckets.Bucket],salesforecast[[#This Row],[Bucket]],salesTVS[Quantity])/1000</f>
        <v>140.4007079999999</v>
      </c>
      <c r="AC86" s="43">
        <f>SUMIFS(stock[MT],stock[Bucket],salesforecast[[#This Row],[Bucket]],stock[LL or CTL],"CTL")</f>
        <v>17.362977999999995</v>
      </c>
      <c r="AD86" s="43">
        <f>SUMIF(stock[Bucket],salesforecast[[#This Row],[Bucket]],stock[MT])-salesforecast[[#This Row],[Stock CTL]]</f>
        <v>31.079671000000008</v>
      </c>
      <c r="AE86" s="43" t="e">
        <v>#REF!</v>
      </c>
      <c r="AF86" s="43">
        <f>SUMIF(wip[Bucket],salesforecast[[#This Row],[Bucket]],wip[Stock(Net Wt)])/1000</f>
        <v>129.15199999999999</v>
      </c>
      <c r="AG86" s="43" t="e">
        <v>#REF!</v>
      </c>
      <c r="AH86" s="43">
        <f>SUMIFS(stock[MT],stock[Bucket],salesforecast[[#This Row],[Bucket2]],stock[Plant],"0788")</f>
        <v>0</v>
      </c>
      <c r="AI86" s="43">
        <f>((salesforecast[[#This Row],[WIP]]+salesforecast[[#This Row],[Stock LL]]))/salesforecast[[#This Row],[July Schedule]]*30</f>
        <v>21.114037932856871</v>
      </c>
      <c r="AJ86" s="52">
        <f>salesforecast[[#This Row],[Stock LL]]/salesforecast[[#This Row],[Schedule]]*30</f>
        <v>4.0954285026130188</v>
      </c>
      <c r="AK86" s="43">
        <f>SUMIFS(stock[MT],stock[Bucket],salesforecast[[#This Row],[Bucket2]],stock[Plant],"0789",stock[LL or CTL],"LL")</f>
        <v>25.436480999999997</v>
      </c>
      <c r="AL86" s="193">
        <f>(salesforecast[[#This Row],[Sales]])/salesforecast[[#This Row],[Schedule]]</f>
        <v>0.61669578305193673</v>
      </c>
      <c r="AM86" s="43">
        <f>SUMIFS(stock[MT],stock[Plant],salesforecast[[#This Row],[Plant]],stock[LL or CTL],"LL",stock[Bucket],salesforecast[[#This Row],[Bucket]])</f>
        <v>25.436480999999997</v>
      </c>
      <c r="AN86" s="43">
        <f>SUMIFS(scheduleapr[SCHEDULE IN MT],scheduleapr[CUSTOMER NAME],"*Rajsriya*",scheduleapr[Bucket],salesforecast[[#This Row],[Bucket]])</f>
        <v>0</v>
      </c>
      <c r="AO86" s="43">
        <f>SUMIFS(salesTVS[Quantity],salesTVS[CUSTOMER  NAME],"*RAJSRIYA*",salesTVS[buckets.Bucket],salesforecast[[#This Row],[Bucket]])/1000</f>
        <v>0</v>
      </c>
      <c r="AP86" s="43">
        <f>SUMIFS(stock[MT],stock[Plant],4318,stock[Bucket],salesforecast[[#This Row],[Bucket2]])</f>
        <v>0</v>
      </c>
      <c r="AQ86" s="43">
        <f>SUMIFS(stock[MT],stock[Plant],4731,stock[Bucket],salesforecast[[#This Row],[Bucket2]],stock[LL or CTL],"CTL")</f>
        <v>0</v>
      </c>
      <c r="AR86" s="43">
        <f>SUMIFS(stock[MT],stock[Plant],4731,stock[Bucket],salesforecast[[#This Row],[Bucket2]])-salesforecast[[#This Row],[4731 Stock CTL]]</f>
        <v>5.6431899999999997</v>
      </c>
      <c r="AS86" s="43">
        <f>SUMIFS(stock[MT],stock[Plant],8406,stock[Bucket],salesforecast[[#This Row],[Bucket2]])</f>
        <v>0</v>
      </c>
    </row>
    <row r="87" spans="1:45" ht="45" x14ac:dyDescent="0.25">
      <c r="A87">
        <v>50.8</v>
      </c>
      <c r="B87">
        <v>40</v>
      </c>
      <c r="C87">
        <v>40</v>
      </c>
      <c r="D87">
        <v>1.2</v>
      </c>
      <c r="E87" t="s">
        <v>229</v>
      </c>
      <c r="F87" t="s">
        <v>963</v>
      </c>
      <c r="G87" t="s">
        <v>1867</v>
      </c>
      <c r="H87" t="str">
        <f>_xlfn.CONCAT(salesforecast[[#This Row],[OD]],"-",salesforecast[[#This Row],[ID]],"-",salesforecast[[#This Row],[TICKNESS]],"-",salesforecast[[#This Row],[GRADE]],"-",salesforecast[[#This Row],[FC/NFC]])</f>
        <v>40-40-1.2-CRFH-PE</v>
      </c>
      <c r="I87" s="43">
        <f>SUMIFS(scheduleapr[SCHEDULE IN MT],scheduleapr[Bucket],salesforecast[[#This Row],[Bucket]])</f>
        <v>8.1761955590399999</v>
      </c>
      <c r="J87">
        <v>3551503</v>
      </c>
      <c r="K87">
        <f>COUNTIF('helper sheet'!$A$1:$A$33,salesforecast[[#This Row],[LL Material Code]])</f>
        <v>0</v>
      </c>
      <c r="N87" t="s">
        <v>2479</v>
      </c>
      <c r="P87" s="47" t="s">
        <v>345</v>
      </c>
      <c r="Q87">
        <v>2</v>
      </c>
      <c r="R87">
        <v>9</v>
      </c>
      <c r="S87">
        <v>6</v>
      </c>
      <c r="T87" s="52">
        <f>ROUNDUP(MAX(salesforecast[[#This Row],[FY25 Average]],salesforecast[[#This Row],[July Schedule]]),0)</f>
        <v>9</v>
      </c>
      <c r="U87" s="52">
        <f>salesforecast[[#This Row],[Forecast]]-salesforecast[[#This Row],[July Schedule]]</f>
        <v>0.82380444096000005</v>
      </c>
      <c r="V87" t="str">
        <f>salesforecast[[#This Row],[Plant]]</f>
        <v>0789</v>
      </c>
      <c r="W87" s="66" t="str" cm="1">
        <f t="array" ref="W87">_xlfn.TEXTJOIN("|",TRUE,(_xlfn.UNIQUE(_xlfn._xlws.FILTER(scheduleapr[CUSTOMER NAME],scheduleapr[Bucket]=salesforecast[[#This Row],[Bucket]]))))</f>
        <v>Marathwada|SRI BALAJI GEARS V4|SRI BALAJI GEARS V7|Balaji Gears V3</v>
      </c>
      <c r="X87" s="66" t="str" cm="1">
        <f t="array" ref="X87">_xlfn.TEXTJOIN("|",TRUE,(_xlfn.UNIQUE(_xlfn._xlws.SORT(_xlfn._xlws.FILTER(scheduleapr[LENGTH],scheduleapr[Bucket]=salesforecast[[#This Row],[Bucket]])))))</f>
        <v>85|115|125|140|158|1000</v>
      </c>
      <c r="Y87" s="66" t="str" cm="1">
        <f t="array" ref="Y87">_xlfn.TEXTJOIN("|",TRUE,_xlfn._xlws.FILTER(buckets[Material Codes],(buckets[Bucket]=salesforecast[[#This Row],[Bucket2]])*(buckets[LL or CTL]="CTL")))</f>
        <v>3938685|4151471|1940848|1940849|1940850|3584172|3572055</v>
      </c>
      <c r="Z87" t="str">
        <f>salesforecast[[#This Row],[Bucket]]</f>
        <v>40-40-1.2-CRFH-PE</v>
      </c>
      <c r="AA87" s="43">
        <f>salesforecast[[#This Row],[July Schedule]]</f>
        <v>8.1761955590399999</v>
      </c>
      <c r="AB87" s="43">
        <f>SUMIF(salesTVS[buckets.Bucket],salesforecast[[#This Row],[Bucket]],salesTVS[Quantity])/1000</f>
        <v>13.346468</v>
      </c>
      <c r="AC87" s="43">
        <f>SUMIFS(stock[MT],stock[Bucket],salesforecast[[#This Row],[Bucket]],stock[LL or CTL],"CTL")</f>
        <v>1.228672</v>
      </c>
      <c r="AD87" s="43">
        <f>SUMIF(stock[Bucket],salesforecast[[#This Row],[Bucket]],stock[MT])-salesforecast[[#This Row],[Stock CTL]]</f>
        <v>1.4509489999999996</v>
      </c>
      <c r="AE87" s="43" t="e">
        <v>#REF!</v>
      </c>
      <c r="AF87" s="43">
        <f>SUMIF(wip[Bucket],salesforecast[[#This Row],[Bucket]],wip[Stock(Net Wt)])/1000</f>
        <v>10.451000000000001</v>
      </c>
      <c r="AG87" s="43" t="e">
        <v>#REF!</v>
      </c>
      <c r="AH87" s="43">
        <f>SUMIFS(stock[MT],stock[Bucket],salesforecast[[#This Row],[Bucket2]],stock[Plant],"0788")</f>
        <v>0</v>
      </c>
      <c r="AI87" s="43">
        <f>((salesforecast[[#This Row],[WIP]]+salesforecast[[#This Row],[Stock LL]]))/salesforecast[[#This Row],[July Schedule]]*30</f>
        <v>43.670490440412571</v>
      </c>
      <c r="AJ87" s="52">
        <f>salesforecast[[#This Row],[Stock LL]]/salesforecast[[#This Row],[Schedule]]*30</f>
        <v>5.3238049023757501</v>
      </c>
      <c r="AK87" s="43">
        <f>SUMIFS(stock[MT],stock[Bucket],salesforecast[[#This Row],[Bucket2]],stock[Plant],"0789",stock[LL or CTL],"LL")</f>
        <v>1.450949</v>
      </c>
      <c r="AL87" s="193">
        <f>(salesforecast[[#This Row],[Sales]])/salesforecast[[#This Row],[Schedule]]</f>
        <v>1.6323567487623867</v>
      </c>
      <c r="AM87" s="43">
        <f>SUMIFS(stock[MT],stock[Plant],salesforecast[[#This Row],[Plant]],stock[LL or CTL],"LL",stock[Bucket],salesforecast[[#This Row],[Bucket]])</f>
        <v>1.450949</v>
      </c>
      <c r="AN87" s="43">
        <f>SUMIFS(scheduleapr[SCHEDULE IN MT],scheduleapr[CUSTOMER NAME],"*Rajsriya*",scheduleapr[Bucket],salesforecast[[#This Row],[Bucket]])</f>
        <v>0</v>
      </c>
      <c r="AO87" s="43">
        <f>SUMIFS(salesTVS[Quantity],salesTVS[CUSTOMER  NAME],"*RAJSRIYA*",salesTVS[buckets.Bucket],salesforecast[[#This Row],[Bucket]])/1000</f>
        <v>0</v>
      </c>
      <c r="AP87" s="43">
        <f>SUMIFS(stock[MT],stock[Plant],4318,stock[Bucket],salesforecast[[#This Row],[Bucket2]])</f>
        <v>0</v>
      </c>
      <c r="AQ87" s="43">
        <f>SUMIFS(stock[MT],stock[Plant],4731,stock[Bucket],salesforecast[[#This Row],[Bucket2]],stock[LL or CTL],"CTL")</f>
        <v>0</v>
      </c>
      <c r="AR87" s="43">
        <f>SUMIFS(stock[MT],stock[Plant],4731,stock[Bucket],salesforecast[[#This Row],[Bucket2]])-salesforecast[[#This Row],[4731 Stock CTL]]</f>
        <v>0</v>
      </c>
      <c r="AS87" s="43">
        <f>SUMIFS(stock[MT],stock[Plant],8406,stock[Bucket],salesforecast[[#This Row],[Bucket2]])</f>
        <v>0</v>
      </c>
    </row>
    <row r="88" spans="1:45" s="74" customFormat="1" ht="30" x14ac:dyDescent="0.25">
      <c r="A88">
        <v>38.1</v>
      </c>
      <c r="B88">
        <v>40</v>
      </c>
      <c r="C88">
        <v>20</v>
      </c>
      <c r="D88">
        <v>1.6</v>
      </c>
      <c r="E88" t="s">
        <v>962</v>
      </c>
      <c r="F88" t="s">
        <v>1003</v>
      </c>
      <c r="G88" t="s">
        <v>239</v>
      </c>
      <c r="H88" t="str">
        <f>_xlfn.CONCAT(salesforecast[[#This Row],[OD]],"-",salesforecast[[#This Row],[ID]],"-",salesforecast[[#This Row],[TICKNESS]],"-",salesforecast[[#This Row],[GRADE]],"-",salesforecast[[#This Row],[FC/NFC]])</f>
        <v>40-20-1.6-ERW 1-FC</v>
      </c>
      <c r="I88" s="43">
        <f>SUMIFS(scheduleapr[SCHEDULE IN MT],scheduleapr[Bucket],salesforecast[[#This Row],[Bucket]])</f>
        <v>16.133933932799998</v>
      </c>
      <c r="J88">
        <v>3569246</v>
      </c>
      <c r="K88">
        <f>COUNTIF('helper sheet'!$A$1:$A$33,salesforecast[[#This Row],[LL Material Code]])</f>
        <v>0</v>
      </c>
      <c r="L88"/>
      <c r="M88"/>
      <c r="N88" t="s">
        <v>2480</v>
      </c>
      <c r="O88"/>
      <c r="P88" s="47" t="s">
        <v>345</v>
      </c>
      <c r="Q88">
        <v>1</v>
      </c>
      <c r="R88">
        <v>10</v>
      </c>
      <c r="S88">
        <v>6</v>
      </c>
      <c r="T88" s="52">
        <f>ROUNDUP(MAX(salesforecast[[#This Row],[FY25 Average]],salesforecast[[#This Row],[July Schedule]]),0)</f>
        <v>17</v>
      </c>
      <c r="U88" s="52">
        <f>salesforecast[[#This Row],[Forecast]]-salesforecast[[#This Row],[July Schedule]]</f>
        <v>0.86606606720000201</v>
      </c>
      <c r="V88" t="str">
        <f>salesforecast[[#This Row],[Plant]]</f>
        <v>0789</v>
      </c>
      <c r="W88" s="66" t="str" cm="1">
        <f t="array" ref="W88">_xlfn.TEXTJOIN("|",TRUE,(_xlfn.UNIQUE(_xlfn._xlws.FILTER(scheduleapr[CUSTOMER NAME],scheduleapr[Bucket]=salesforecast[[#This Row],[Bucket]]))))</f>
        <v>ELKAYEM AUTO|Marathwada</v>
      </c>
      <c r="X88" s="66" t="str" cm="1">
        <f t="array" ref="X88">_xlfn.TEXTJOIN("|",TRUE,(_xlfn.UNIQUE(_xlfn._xlws.SORT(_xlfn._xlws.FILTER(scheduleapr[LENGTH],scheduleapr[Bucket]=salesforecast[[#This Row],[Bucket]])))))</f>
        <v>356|480|1000</v>
      </c>
      <c r="Y88" s="66" t="str" cm="1">
        <f t="array" ref="Y88">_xlfn.TEXTJOIN("|",TRUE,_xlfn._xlws.FILTER(buckets[Material Codes],(buckets[Bucket]=salesforecast[[#This Row],[Bucket2]])*(buckets[LL or CTL]="CTL")))</f>
        <v>4100177|1940815|1940816|1940820</v>
      </c>
      <c r="Z88" t="str">
        <f>salesforecast[[#This Row],[Bucket]]</f>
        <v>40-20-1.6-ERW 1-FC</v>
      </c>
      <c r="AA88" s="43">
        <f>salesforecast[[#This Row],[July Schedule]]</f>
        <v>16.133933932799998</v>
      </c>
      <c r="AB88" s="43">
        <f>SUMIF(salesTVS[buckets.Bucket],salesforecast[[#This Row],[Bucket]],salesTVS[Quantity])/1000</f>
        <v>13.871107999999998</v>
      </c>
      <c r="AC88" s="43">
        <f>SUMIFS(stock[MT],stock[Bucket],salesforecast[[#This Row],[Bucket]],stock[LL or CTL],"CTL")</f>
        <v>5.578595</v>
      </c>
      <c r="AD88" s="43">
        <f>SUMIF(stock[Bucket],salesforecast[[#This Row],[Bucket]],stock[MT])-salesforecast[[#This Row],[Stock CTL]]</f>
        <v>0.27499499999999966</v>
      </c>
      <c r="AE88" s="43" t="e">
        <v>#REF!</v>
      </c>
      <c r="AF88" s="43">
        <f>SUMIF(wip[Bucket],salesforecast[[#This Row],[Bucket]],wip[Stock(Net Wt)])/1000</f>
        <v>1.27</v>
      </c>
      <c r="AG88" s="43" t="e">
        <v>#REF!</v>
      </c>
      <c r="AH88" s="43">
        <f>SUMIFS(stock[MT],stock[Bucket],salesforecast[[#This Row],[Bucket2]],stock[Plant],"0788")</f>
        <v>0</v>
      </c>
      <c r="AI88" s="43">
        <f>((salesforecast[[#This Row],[WIP]]+salesforecast[[#This Row],[Stock LL]]))/salesforecast[[#This Row],[July Schedule]]*30</f>
        <v>2.8728176397060596</v>
      </c>
      <c r="AJ88" s="52">
        <f>salesforecast[[#This Row],[Stock LL]]/salesforecast[[#This Row],[Schedule]]*30</f>
        <v>0.51133530324108944</v>
      </c>
      <c r="AK88" s="43">
        <f>SUMIFS(stock[MT],stock[Bucket],salesforecast[[#This Row],[Bucket2]],stock[Plant],"0789",stock[LL or CTL],"LL")</f>
        <v>0.27499499999999999</v>
      </c>
      <c r="AL88" s="193">
        <f>(salesforecast[[#This Row],[Sales]])/salesforecast[[#This Row],[Schedule]]</f>
        <v>0.85974741546451261</v>
      </c>
      <c r="AM88" s="43">
        <f>SUMIFS(stock[MT],stock[Plant],salesforecast[[#This Row],[Plant]],stock[LL or CTL],"LL",stock[Bucket],salesforecast[[#This Row],[Bucket]])</f>
        <v>0.27499499999999999</v>
      </c>
      <c r="AN88" s="43">
        <f>SUMIFS(scheduleapr[SCHEDULE IN MT],scheduleapr[CUSTOMER NAME],"*Rajsriya*",scheduleapr[Bucket],salesforecast[[#This Row],[Bucket]])</f>
        <v>0</v>
      </c>
      <c r="AO88" s="43">
        <f>SUMIFS(salesTVS[Quantity],salesTVS[CUSTOMER  NAME],"*RAJSRIYA*",salesTVS[buckets.Bucket],salesforecast[[#This Row],[Bucket]])/1000</f>
        <v>0</v>
      </c>
      <c r="AP88" s="43">
        <f>SUMIFS(stock[MT],stock[Plant],4318,stock[Bucket],salesforecast[[#This Row],[Bucket2]])</f>
        <v>0</v>
      </c>
      <c r="AQ88" s="43">
        <f>SUMIFS(stock[MT],stock[Plant],4731,stock[Bucket],salesforecast[[#This Row],[Bucket2]],stock[LL or CTL],"CTL")</f>
        <v>0</v>
      </c>
      <c r="AR88" s="43">
        <f>SUMIFS(stock[MT],stock[Plant],4731,stock[Bucket],salesforecast[[#This Row],[Bucket2]])-salesforecast[[#This Row],[4731 Stock CTL]]</f>
        <v>0</v>
      </c>
      <c r="AS88" s="43">
        <f>SUMIFS(stock[MT],stock[Plant],8406,stock[Bucket],salesforecast[[#This Row],[Bucket2]])</f>
        <v>0</v>
      </c>
    </row>
    <row r="89" spans="1:45" x14ac:dyDescent="0.25">
      <c r="A89" s="74">
        <v>41.28</v>
      </c>
      <c r="B89" s="74">
        <v>40</v>
      </c>
      <c r="C89" s="74">
        <v>25</v>
      </c>
      <c r="D89" s="74">
        <v>1.6</v>
      </c>
      <c r="E89" s="74" t="s">
        <v>229</v>
      </c>
      <c r="F89" s="74" t="s">
        <v>1003</v>
      </c>
      <c r="G89" s="74" t="s">
        <v>1867</v>
      </c>
      <c r="H89" s="74" t="str">
        <f>_xlfn.CONCAT(salesforecast[[#This Row],[OD]],"-",salesforecast[[#This Row],[ID]],"-",salesforecast[[#This Row],[TICKNESS]],"-",salesforecast[[#This Row],[GRADE]],"-",salesforecast[[#This Row],[FC/NFC]])</f>
        <v>40-25-1.6-CRFH-FC</v>
      </c>
      <c r="I89" s="43">
        <f>SUMIFS(scheduleapr[SCHEDULE IN MT],scheduleapr[Bucket],salesforecast[[#This Row],[Bucket]])</f>
        <v>0</v>
      </c>
      <c r="J89" s="74">
        <v>3786202</v>
      </c>
      <c r="K89" s="74">
        <f>COUNTIF('helper sheet'!$A$1:$A$33,salesforecast[[#This Row],[LL Material Code]])</f>
        <v>0</v>
      </c>
      <c r="L89" s="74"/>
      <c r="M89" s="74"/>
      <c r="N89" s="74" t="s">
        <v>435</v>
      </c>
      <c r="O89" t="s">
        <v>1874</v>
      </c>
      <c r="P89" s="76" t="s">
        <v>345</v>
      </c>
      <c r="Q89" s="74">
        <v>0</v>
      </c>
      <c r="R89" s="74">
        <v>0</v>
      </c>
      <c r="S89" s="74">
        <v>0</v>
      </c>
      <c r="T89" s="77">
        <f>ROUNDUP(MAX(salesforecast[[#This Row],[FY25 Average]],salesforecast[[#This Row],[July Schedule]]),0)</f>
        <v>0</v>
      </c>
      <c r="U89" s="77">
        <f>salesforecast[[#This Row],[Forecast]]-salesforecast[[#This Row],[July Schedule]]</f>
        <v>0</v>
      </c>
      <c r="V89" t="str">
        <f>salesforecast[[#This Row],[Plant]]</f>
        <v>0789</v>
      </c>
      <c r="W89" s="66" t="e" cm="1" vm="1">
        <f t="array" ref="W89">_xlfn.TEXTJOIN("|",TRUE,(_xlfn.UNIQUE(_xlfn._xlws.FILTER(scheduleapr[CUSTOMER NAME],scheduleapr[Bucket]=salesforecast[[#This Row],[Bucket]]))))</f>
        <v>#VALUE!</v>
      </c>
      <c r="X89" s="66" t="e" cm="1" vm="1">
        <f t="array" ref="X89">_xlfn.TEXTJOIN("|",TRUE,(_xlfn.UNIQUE(_xlfn._xlws.SORT(_xlfn._xlws.FILTER(scheduleapr[LENGTH],scheduleapr[Bucket]=salesforecast[[#This Row],[Bucket]])))))</f>
        <v>#VALUE!</v>
      </c>
      <c r="Y89" s="66" t="e" cm="1" vm="1">
        <f t="array" ref="Y89">_xlfn.TEXTJOIN("|",TRUE,_xlfn._xlws.FILTER(buckets[Material Codes],(buckets[Bucket]=salesforecast[[#This Row],[Bucket2]])*(buckets[LL or CTL]="CTL")))</f>
        <v>#VALUE!</v>
      </c>
      <c r="Z89" s="74" t="str">
        <f>salesforecast[[#This Row],[Bucket]]</f>
        <v>40-25-1.6-CRFH-FC</v>
      </c>
      <c r="AA89" s="43">
        <f>salesforecast[[#This Row],[July Schedule]]</f>
        <v>0</v>
      </c>
      <c r="AB89" s="75">
        <f>SUMIF(salesTVS[buckets.Bucket],salesforecast[[#This Row],[Bucket]],salesTVS[Quantity])/1000</f>
        <v>0</v>
      </c>
      <c r="AC89" s="75">
        <f>SUMIFS(stock[MT],stock[Bucket],salesforecast[[#This Row],[Bucket]],stock[LL or CTL],"CTL")</f>
        <v>0</v>
      </c>
      <c r="AD89" s="75">
        <f>SUMIF(stock[Bucket],salesforecast[[#This Row],[Bucket]],stock[MT])-salesforecast[[#This Row],[Stock CTL]]</f>
        <v>0</v>
      </c>
      <c r="AE89" s="43" t="e">
        <v>#REF!</v>
      </c>
      <c r="AF89" s="75">
        <f>SUMIF(wip[Bucket],salesforecast[[#This Row],[Bucket]],wip[Stock(Net Wt)])/1000</f>
        <v>0</v>
      </c>
      <c r="AG89" s="43" t="e">
        <v>#REF!</v>
      </c>
      <c r="AH89" s="43">
        <f>SUMIFS(stock[MT],stock[Bucket],salesforecast[[#This Row],[Bucket2]],stock[Plant],"0788")</f>
        <v>0</v>
      </c>
      <c r="AI89" s="75" t="e">
        <f>((salesforecast[[#This Row],[WIP]]+salesforecast[[#This Row],[Stock LL]]))/salesforecast[[#This Row],[July Schedule]]*30</f>
        <v>#DIV/0!</v>
      </c>
      <c r="AJ89" t="e">
        <f>salesforecast[[#This Row],[Stock LL]]/salesforecast[[#This Row],[Schedule]]*30</f>
        <v>#DIV/0!</v>
      </c>
      <c r="AK89" s="43">
        <f>SUMIFS(stock[MT],stock[Bucket],salesforecast[[#This Row],[Bucket2]],stock[Plant],"0789",stock[LL or CTL],"LL")</f>
        <v>0</v>
      </c>
      <c r="AL89" s="193" t="e">
        <f>(salesforecast[[#This Row],[Sales]])/salesforecast[[#This Row],[Schedule]]</f>
        <v>#DIV/0!</v>
      </c>
      <c r="AM89" s="75">
        <f>SUMIFS(stock[MT],stock[Plant],salesforecast[[#This Row],[Plant]],stock[LL or CTL],"LL",stock[Bucket],salesforecast[[#This Row],[Bucket]])</f>
        <v>0</v>
      </c>
      <c r="AN89" s="43">
        <f>SUMIFS(scheduleapr[SCHEDULE IN MT],scheduleapr[CUSTOMER NAME],"*Rajsriya*",scheduleapr[Bucket],salesforecast[[#This Row],[Bucket]])</f>
        <v>0</v>
      </c>
      <c r="AO89" s="75">
        <f>SUMIFS(salesTVS[Quantity],salesTVS[CUSTOMER  NAME],"*RAJSRIYA*",salesTVS[buckets.Bucket],salesforecast[[#This Row],[Bucket]])/1000</f>
        <v>0</v>
      </c>
      <c r="AP89" s="43">
        <f>SUMIFS(stock[MT],stock[Plant],4318,stock[Bucket],salesforecast[[#This Row],[Bucket2]])</f>
        <v>0</v>
      </c>
      <c r="AQ89" s="43">
        <f>SUMIFS(stock[MT],stock[Plant],4731,stock[Bucket],salesforecast[[#This Row],[Bucket2]],stock[LL or CTL],"CTL")</f>
        <v>0</v>
      </c>
      <c r="AR89" s="43">
        <f>SUMIFS(stock[MT],stock[Plant],4731,stock[Bucket],salesforecast[[#This Row],[Bucket2]])-salesforecast[[#This Row],[4731 Stock CTL]]</f>
        <v>0</v>
      </c>
      <c r="AS89" s="43">
        <f>SUMIFS(stock[MT],stock[Plant],8406,stock[Bucket],salesforecast[[#This Row],[Bucket2]])</f>
        <v>0</v>
      </c>
    </row>
    <row r="90" spans="1:45" x14ac:dyDescent="0.25">
      <c r="A90">
        <v>41.28</v>
      </c>
      <c r="B90">
        <v>40</v>
      </c>
      <c r="C90">
        <v>25</v>
      </c>
      <c r="D90">
        <v>1.6</v>
      </c>
      <c r="E90" t="s">
        <v>993</v>
      </c>
      <c r="F90" t="s">
        <v>1003</v>
      </c>
      <c r="G90" t="s">
        <v>1867</v>
      </c>
      <c r="H90" t="str">
        <f>_xlfn.CONCAT(salesforecast[[#This Row],[OD]],"-",salesforecast[[#This Row],[ID]],"-",salesforecast[[#This Row],[TICKNESS]],"-",salesforecast[[#This Row],[GRADE]],"-",salesforecast[[#This Row],[FC/NFC]])</f>
        <v>40-25-1.6-ERW 2-FC</v>
      </c>
      <c r="I90" s="43">
        <f>SUMIFS(scheduleapr[SCHEDULE IN MT],scheduleapr[Bucket],salesforecast[[#This Row],[Bucket]])</f>
        <v>0</v>
      </c>
      <c r="J90">
        <v>3870804</v>
      </c>
      <c r="K90">
        <f>COUNTIF('helper sheet'!$A$1:$A$33,salesforecast[[#This Row],[LL Material Code]])</f>
        <v>0</v>
      </c>
      <c r="N90" t="s">
        <v>2481</v>
      </c>
      <c r="O90" t="s">
        <v>2088</v>
      </c>
      <c r="P90" s="47" t="s">
        <v>345</v>
      </c>
      <c r="Q90">
        <v>0</v>
      </c>
      <c r="R90">
        <v>8</v>
      </c>
      <c r="S90">
        <v>1</v>
      </c>
      <c r="T90" s="52">
        <f>ROUNDUP(MAX(salesforecast[[#This Row],[FY25 Average]],salesforecast[[#This Row],[July Schedule]]),0)</f>
        <v>1</v>
      </c>
      <c r="U90" s="52">
        <f>salesforecast[[#This Row],[Forecast]]-salesforecast[[#This Row],[July Schedule]]</f>
        <v>1</v>
      </c>
      <c r="V90" t="str">
        <f>salesforecast[[#This Row],[Plant]]</f>
        <v>0789</v>
      </c>
      <c r="W90" s="66" t="e" cm="1" vm="1">
        <f t="array" ref="W90">_xlfn.TEXTJOIN("|",TRUE,(_xlfn.UNIQUE(_xlfn._xlws.FILTER(scheduleapr[CUSTOMER NAME],scheduleapr[Bucket]=salesforecast[[#This Row],[Bucket]]))))</f>
        <v>#VALUE!</v>
      </c>
      <c r="X90" s="66" t="e" cm="1" vm="1">
        <f t="array" ref="X90">_xlfn.TEXTJOIN("|",TRUE,(_xlfn.UNIQUE(_xlfn._xlws.SORT(_xlfn._xlws.FILTER(scheduleapr[LENGTH],scheduleapr[Bucket]=salesforecast[[#This Row],[Bucket]])))))</f>
        <v>#VALUE!</v>
      </c>
      <c r="Y90" s="66" t="e" cm="1" vm="1">
        <f t="array" ref="Y90">_xlfn.TEXTJOIN("|",TRUE,_xlfn._xlws.FILTER(buckets[Material Codes],(buckets[Bucket]=salesforecast[[#This Row],[Bucket2]])*(buckets[LL or CTL]="CTL")))</f>
        <v>#VALUE!</v>
      </c>
      <c r="Z90" t="str">
        <f>salesforecast[[#This Row],[Bucket]]</f>
        <v>40-25-1.6-ERW 2-FC</v>
      </c>
      <c r="AA90" s="43">
        <f>salesforecast[[#This Row],[July Schedule]]</f>
        <v>0</v>
      </c>
      <c r="AB90" s="43">
        <f>SUMIF(salesTVS[buckets.Bucket],salesforecast[[#This Row],[Bucket]],salesTVS[Quantity])/1000</f>
        <v>0</v>
      </c>
      <c r="AC90" s="43">
        <f>SUMIFS(stock[MT],stock[Bucket],salesforecast[[#This Row],[Bucket]],stock[LL or CTL],"CTL")</f>
        <v>0</v>
      </c>
      <c r="AD90" s="43">
        <f>SUMIF(stock[Bucket],salesforecast[[#This Row],[Bucket]],stock[MT])-salesforecast[[#This Row],[Stock CTL]]</f>
        <v>0</v>
      </c>
      <c r="AE90" s="43" t="e">
        <v>#REF!</v>
      </c>
      <c r="AF90" s="43">
        <f>SUMIF(wip[Bucket],salesforecast[[#This Row],[Bucket]],wip[Stock(Net Wt)])/1000</f>
        <v>0</v>
      </c>
      <c r="AG90" s="43" t="e">
        <v>#REF!</v>
      </c>
      <c r="AH90" s="43">
        <f>SUMIFS(stock[MT],stock[Bucket],salesforecast[[#This Row],[Bucket2]],stock[Plant],"0788")</f>
        <v>0</v>
      </c>
      <c r="AI90" s="43" t="e">
        <f>((salesforecast[[#This Row],[WIP]]+salesforecast[[#This Row],[Stock LL]]))/salesforecast[[#This Row],[July Schedule]]*30</f>
        <v>#DIV/0!</v>
      </c>
      <c r="AJ90" s="52" t="e">
        <f>salesforecast[[#This Row],[Stock LL]]/salesforecast[[#This Row],[Schedule]]*30</f>
        <v>#DIV/0!</v>
      </c>
      <c r="AK90" s="43">
        <f>SUMIFS(stock[MT],stock[Bucket],salesforecast[[#This Row],[Bucket2]],stock[Plant],"0789",stock[LL or CTL],"LL")</f>
        <v>0</v>
      </c>
      <c r="AL90" s="193" t="e">
        <f>(salesforecast[[#This Row],[Sales]])/salesforecast[[#This Row],[Schedule]]</f>
        <v>#DIV/0!</v>
      </c>
      <c r="AM90" s="43">
        <f>SUMIFS(stock[MT],stock[Plant],salesforecast[[#This Row],[Plant]],stock[LL or CTL],"LL",stock[Bucket],salesforecast[[#This Row],[Bucket]])</f>
        <v>0</v>
      </c>
      <c r="AN90" s="43">
        <f>SUMIFS(scheduleapr[SCHEDULE IN MT],scheduleapr[CUSTOMER NAME],"*Rajsriya*",scheduleapr[Bucket],salesforecast[[#This Row],[Bucket]])</f>
        <v>0</v>
      </c>
      <c r="AO90" s="43">
        <f>SUMIFS(salesTVS[Quantity],salesTVS[CUSTOMER  NAME],"*RAJSRIYA*",salesTVS[buckets.Bucket],salesforecast[[#This Row],[Bucket]])/1000</f>
        <v>0</v>
      </c>
      <c r="AP90" s="43">
        <f>SUMIFS(stock[MT],stock[Plant],4318,stock[Bucket],salesforecast[[#This Row],[Bucket2]])</f>
        <v>0</v>
      </c>
      <c r="AQ90" s="43">
        <f>SUMIFS(stock[MT],stock[Plant],4731,stock[Bucket],salesforecast[[#This Row],[Bucket2]],stock[LL or CTL],"CTL")</f>
        <v>0</v>
      </c>
      <c r="AR90" s="43">
        <f>SUMIFS(stock[MT],stock[Plant],4731,stock[Bucket],salesforecast[[#This Row],[Bucket2]])-salesforecast[[#This Row],[4731 Stock CTL]]</f>
        <v>0</v>
      </c>
      <c r="AS90" s="43">
        <f>SUMIFS(stock[MT],stock[Plant],8406,stock[Bucket],salesforecast[[#This Row],[Bucket2]])</f>
        <v>0</v>
      </c>
    </row>
    <row r="91" spans="1:45" ht="60" x14ac:dyDescent="0.25">
      <c r="A91">
        <v>41.28</v>
      </c>
      <c r="B91">
        <v>40</v>
      </c>
      <c r="C91">
        <v>25</v>
      </c>
      <c r="D91">
        <v>1.6</v>
      </c>
      <c r="E91" t="s">
        <v>962</v>
      </c>
      <c r="F91" t="s">
        <v>1003</v>
      </c>
      <c r="G91" t="s">
        <v>1867</v>
      </c>
      <c r="H91" t="str">
        <f>_xlfn.CONCAT(salesforecast[[#This Row],[OD]],"-",salesforecast[[#This Row],[ID]],"-",salesforecast[[#This Row],[TICKNESS]],"-",salesforecast[[#This Row],[GRADE]],"-",salesforecast[[#This Row],[FC/NFC]])</f>
        <v>40-25-1.6-ERW 1-FC</v>
      </c>
      <c r="I91" s="43">
        <f>SUMIFS(scheduleapr[SCHEDULE IN MT],scheduleapr[Bucket],salesforecast[[#This Row],[Bucket]])</f>
        <v>151.92154158658357</v>
      </c>
      <c r="J91">
        <v>1940826</v>
      </c>
      <c r="K91">
        <f>COUNTIF('helper sheet'!$A$1:$A$33,salesforecast[[#This Row],[LL Material Code]])</f>
        <v>0</v>
      </c>
      <c r="N91" t="s">
        <v>2482</v>
      </c>
      <c r="O91" t="s">
        <v>1891</v>
      </c>
      <c r="P91" s="47" t="s">
        <v>345</v>
      </c>
      <c r="Q91">
        <v>29</v>
      </c>
      <c r="R91">
        <v>102</v>
      </c>
      <c r="S91">
        <v>59</v>
      </c>
      <c r="T91" s="52">
        <f>ROUNDUP(MAX(salesforecast[[#This Row],[FY25 Average]],salesforecast[[#This Row],[July Schedule]]),0)</f>
        <v>152</v>
      </c>
      <c r="U91" s="52">
        <f>salesforecast[[#This Row],[Forecast]]-salesforecast[[#This Row],[July Schedule]]</f>
        <v>7.8458413416427675E-2</v>
      </c>
      <c r="V91" t="str">
        <f>salesforecast[[#This Row],[Plant]]</f>
        <v>0789</v>
      </c>
      <c r="W91" s="66" t="str" cm="1">
        <f t="array" ref="W91">_xlfn.TEXTJOIN("|",TRUE,(_xlfn.UNIQUE(_xlfn._xlws.FILTER(scheduleapr[CUSTOMER NAME],scheduleapr[Bucket]=salesforecast[[#This Row],[Bucket]]))))</f>
        <v xml:space="preserve">ELKAYEM AUTO|Marathwada|Metalman|RUCHA|SANDHAR ENGINEERING PVT LTD.|Sandhar Engg Mysore </v>
      </c>
      <c r="X91" s="66" t="str" cm="1">
        <f t="array" ref="X91">_xlfn.TEXTJOIN("|",TRUE,(_xlfn.UNIQUE(_xlfn._xlws.SORT(_xlfn._xlws.FILTER(scheduleapr[LENGTH],scheduleapr[Bucket]=salesforecast[[#This Row],[Bucket]])))))</f>
        <v>318|322|513|514|536|538|560|561|585|587</v>
      </c>
      <c r="Y91" s="66" t="str" cm="1">
        <f t="array" ref="Y91">_xlfn.TEXTJOIN("|",TRUE,_xlfn._xlws.FILTER(buckets[Material Codes],(buckets[Bucket]=salesforecast[[#This Row],[Bucket2]])*(buckets[LL or CTL]="CTL")))</f>
        <v>2440971|3768905|1940821|3438761|1940822|3786201|1940823|3801265|1940824|1940825|3786202|4229657</v>
      </c>
      <c r="Z91" t="str">
        <f>salesforecast[[#This Row],[Bucket]]</f>
        <v>40-25-1.6-ERW 1-FC</v>
      </c>
      <c r="AA91" s="43">
        <f>salesforecast[[#This Row],[July Schedule]]</f>
        <v>151.92154158658357</v>
      </c>
      <c r="AB91" s="43">
        <f>SUMIF(salesTVS[buckets.Bucket],salesforecast[[#This Row],[Bucket]],salesTVS[Quantity])/1000</f>
        <v>78.584186000000017</v>
      </c>
      <c r="AC91" s="43">
        <f>SUMIFS(stock[MT],stock[Bucket],salesforecast[[#This Row],[Bucket]],stock[LL or CTL],"CTL")</f>
        <v>0.822098</v>
      </c>
      <c r="AD91" s="43">
        <f>SUMIF(stock[Bucket],salesforecast[[#This Row],[Bucket]],stock[MT])-salesforecast[[#This Row],[Stock CTL]]</f>
        <v>0.61827399999999999</v>
      </c>
      <c r="AE91" s="43" t="e">
        <v>#REF!</v>
      </c>
      <c r="AF91" s="43">
        <f>SUMIF(wip[Bucket],salesforecast[[#This Row],[Bucket]],wip[Stock(Net Wt)])/1000</f>
        <v>0</v>
      </c>
      <c r="AG91" s="43" t="e">
        <v>#REF!</v>
      </c>
      <c r="AH91" s="43">
        <f>SUMIFS(stock[MT],stock[Bucket],salesforecast[[#This Row],[Bucket2]],stock[Plant],"0788")</f>
        <v>0</v>
      </c>
      <c r="AI91" s="43">
        <f>((salesforecast[[#This Row],[WIP]]+salesforecast[[#This Row],[Stock LL]]))/salesforecast[[#This Row],[July Schedule]]*30</f>
        <v>0.12209078321805301</v>
      </c>
      <c r="AJ91" s="52">
        <f>salesforecast[[#This Row],[Stock LL]]/salesforecast[[#This Row],[Schedule]]*30</f>
        <v>0.12209078321805301</v>
      </c>
      <c r="AK91" s="43">
        <f>SUMIFS(stock[MT],stock[Bucket],salesforecast[[#This Row],[Bucket2]],stock[Plant],"0789",stock[LL or CTL],"LL")</f>
        <v>0</v>
      </c>
      <c r="AL91" s="193">
        <f>(salesforecast[[#This Row],[Sales]])/salesforecast[[#This Row],[Schedule]]</f>
        <v>0.51726822397476191</v>
      </c>
      <c r="AM91" s="43">
        <f>SUMIFS(stock[MT],stock[Plant],salesforecast[[#This Row],[Plant]],stock[LL or CTL],"LL",stock[Bucket],salesforecast[[#This Row],[Bucket]])</f>
        <v>0</v>
      </c>
      <c r="AN91" s="43">
        <f>SUMIFS(scheduleapr[SCHEDULE IN MT],scheduleapr[CUSTOMER NAME],"*Rajsriya*",scheduleapr[Bucket],salesforecast[[#This Row],[Bucket]])</f>
        <v>0</v>
      </c>
      <c r="AO91" s="43">
        <f>SUMIFS(salesTVS[Quantity],salesTVS[CUSTOMER  NAME],"*RAJSRIYA*",salesTVS[buckets.Bucket],salesforecast[[#This Row],[Bucket]])/1000</f>
        <v>2.6143149999999999</v>
      </c>
      <c r="AP91" s="43">
        <f>SUMIFS(stock[MT],stock[Plant],4318,stock[Bucket],salesforecast[[#This Row],[Bucket2]])</f>
        <v>0</v>
      </c>
      <c r="AQ91" s="43">
        <f>SUMIFS(stock[MT],stock[Plant],4731,stock[Bucket],salesforecast[[#This Row],[Bucket2]],stock[LL or CTL],"CTL")</f>
        <v>0.13898500000000005</v>
      </c>
      <c r="AR91" s="43">
        <f>SUMIFS(stock[MT],stock[Plant],4731,stock[Bucket],salesforecast[[#This Row],[Bucket2]])-salesforecast[[#This Row],[4731 Stock CTL]]</f>
        <v>0.61827399999999999</v>
      </c>
      <c r="AS91" s="43">
        <f>SUMIFS(stock[MT],stock[Plant],8406,stock[Bucket],salesforecast[[#This Row],[Bucket2]])</f>
        <v>0</v>
      </c>
    </row>
    <row r="92" spans="1:45" ht="60" x14ac:dyDescent="0.25">
      <c r="A92">
        <v>44.45</v>
      </c>
      <c r="B92">
        <v>40</v>
      </c>
      <c r="C92">
        <v>30</v>
      </c>
      <c r="D92">
        <v>1.6</v>
      </c>
      <c r="E92" t="s">
        <v>962</v>
      </c>
      <c r="F92" t="s">
        <v>1003</v>
      </c>
      <c r="G92" t="s">
        <v>1867</v>
      </c>
      <c r="H92" t="str">
        <f>_xlfn.CONCAT(salesforecast[[#This Row],[OD]],"-",salesforecast[[#This Row],[ID]],"-",salesforecast[[#This Row],[TICKNESS]],"-",salesforecast[[#This Row],[GRADE]],"-",salesforecast[[#This Row],[FC/NFC]])</f>
        <v>40-30-1.6-ERW 1-FC</v>
      </c>
      <c r="I92" s="43">
        <f>SUMIFS(scheduleapr[SCHEDULE IN MT],scheduleapr[Bucket],salesforecast[[#This Row],[Bucket]])</f>
        <v>99.554096770400008</v>
      </c>
      <c r="J92" s="45">
        <v>3914656</v>
      </c>
      <c r="K92">
        <f>COUNTIF('helper sheet'!$A$1:$A$33,salesforecast[[#This Row],[LL Material Code]])</f>
        <v>0</v>
      </c>
      <c r="N92" t="s">
        <v>2483</v>
      </c>
      <c r="O92" t="e">
        <v>#N/A</v>
      </c>
      <c r="P92" s="47" t="s">
        <v>345</v>
      </c>
      <c r="Q92">
        <v>17</v>
      </c>
      <c r="R92">
        <v>97</v>
      </c>
      <c r="S92">
        <v>44</v>
      </c>
      <c r="T92" s="52">
        <f>ROUNDUP(MAX(salesforecast[[#This Row],[FY25 Average]],salesforecast[[#This Row],[July Schedule]]),0)</f>
        <v>100</v>
      </c>
      <c r="U92" s="52">
        <f>salesforecast[[#This Row],[Forecast]]-salesforecast[[#This Row],[July Schedule]]</f>
        <v>0.44590322959999185</v>
      </c>
      <c r="V92" t="str">
        <f>salesforecast[[#This Row],[Plant]]</f>
        <v>0789</v>
      </c>
      <c r="W92" s="66" t="str" cm="1">
        <f t="array" ref="W92">_xlfn.TEXTJOIN("|",TRUE,(_xlfn.UNIQUE(_xlfn._xlws.FILTER(scheduleapr[CUSTOMER NAME],scheduleapr[Bucket]=salesforecast[[#This Row],[Bucket]]))))</f>
        <v>ELKAYEM AUTO|Metalman|Rajsriya Unit 8|Rajsriya Mysore |TVS MOTOR COMPANY LIMITED</v>
      </c>
      <c r="X92" s="66" t="str" cm="1">
        <f t="array" ref="X92">_xlfn.TEXTJOIN("|",TRUE,(_xlfn.UNIQUE(_xlfn._xlws.SORT(_xlfn._xlws.FILTER(scheduleapr[LENGTH],scheduleapr[Bucket]=salesforecast[[#This Row],[Bucket]])))))</f>
        <v>400|835|860|880|1000</v>
      </c>
      <c r="Y92" s="66" t="str" cm="1">
        <f t="array" ref="Y92">_xlfn.TEXTJOIN("|",TRUE,_xlfn._xlws.FILTER(buckets[Material Codes],(buckets[Bucket]=salesforecast[[#This Row],[Bucket2]])*(buckets[LL or CTL]="CTL")))</f>
        <v>4174974|1940829|1941860|3712521|3616912|1940830|1940831</v>
      </c>
      <c r="Z92" t="str">
        <f>salesforecast[[#This Row],[Bucket]]</f>
        <v>40-30-1.6-ERW 1-FC</v>
      </c>
      <c r="AA92" s="43">
        <f>salesforecast[[#This Row],[July Schedule]]</f>
        <v>99.554096770400008</v>
      </c>
      <c r="AB92" s="43">
        <f>SUMIF(salesTVS[buckets.Bucket],salesforecast[[#This Row],[Bucket]],salesTVS[Quantity])/1000</f>
        <v>45.846097999999998</v>
      </c>
      <c r="AC92" s="43">
        <f>SUMIFS(stock[MT],stock[Bucket],salesforecast[[#This Row],[Bucket]],stock[LL or CTL],"CTL")</f>
        <v>1.0300119999999999</v>
      </c>
      <c r="AD92" s="43">
        <f>SUMIF(stock[Bucket],salesforecast[[#This Row],[Bucket]],stock[MT])-salesforecast[[#This Row],[Stock CTL]]</f>
        <v>0.95786299999999991</v>
      </c>
      <c r="AE92" s="43" t="e">
        <v>#REF!</v>
      </c>
      <c r="AF92" s="43">
        <f>SUMIF(wip[Bucket],salesforecast[[#This Row],[Bucket]],wip[Stock(Net Wt)])/1000</f>
        <v>0</v>
      </c>
      <c r="AG92" s="43" t="e">
        <v>#REF!</v>
      </c>
      <c r="AH92" s="43">
        <f>SUMIFS(stock[MT],stock[Bucket],salesforecast[[#This Row],[Bucket2]],stock[Plant],"0788")</f>
        <v>0</v>
      </c>
      <c r="AI92" s="43">
        <f>((salesforecast[[#This Row],[WIP]]+salesforecast[[#This Row],[Stock LL]]))/salesforecast[[#This Row],[July Schedule]]*30</f>
        <v>0.28864598175475503</v>
      </c>
      <c r="AJ92" s="52">
        <f>salesforecast[[#This Row],[Stock LL]]/salesforecast[[#This Row],[Schedule]]*30</f>
        <v>0.28864598175475503</v>
      </c>
      <c r="AK92" s="43">
        <f>SUMIFS(stock[MT],stock[Bucket],salesforecast[[#This Row],[Bucket2]],stock[Plant],"0789",stock[LL or CTL],"LL")</f>
        <v>0</v>
      </c>
      <c r="AL92" s="193">
        <f>(salesforecast[[#This Row],[Sales]])/salesforecast[[#This Row],[Schedule]]</f>
        <v>0.46051442871039355</v>
      </c>
      <c r="AM92" s="43">
        <f>SUMIFS(stock[MT],stock[Plant],salesforecast[[#This Row],[Plant]],stock[LL or CTL],"LL",stock[Bucket],salesforecast[[#This Row],[Bucket]])</f>
        <v>0</v>
      </c>
      <c r="AN92" s="43">
        <f>SUMIFS(scheduleapr[SCHEDULE IN MT],scheduleapr[CUSTOMER NAME],"*Rajsriya*",scheduleapr[Bucket],salesforecast[[#This Row],[Bucket]])</f>
        <v>75.337321915200008</v>
      </c>
      <c r="AO92" s="43">
        <f>SUMIFS(salesTVS[Quantity],salesTVS[CUSTOMER  NAME],"*RAJSRIYA*",salesTVS[buckets.Bucket],salesforecast[[#This Row],[Bucket]])/1000</f>
        <v>39.417937999999992</v>
      </c>
      <c r="AP92" s="43">
        <f>SUMIFS(stock[MT],stock[Plant],4318,stock[Bucket],salesforecast[[#This Row],[Bucket2]])</f>
        <v>0</v>
      </c>
      <c r="AQ92" s="43">
        <f>SUMIFS(stock[MT],stock[Plant],4731,stock[Bucket],salesforecast[[#This Row],[Bucket2]],stock[LL or CTL],"CTL")</f>
        <v>0.87925699999999996</v>
      </c>
      <c r="AR92" s="43">
        <f>SUMIFS(stock[MT],stock[Plant],4731,stock[Bucket],salesforecast[[#This Row],[Bucket2]])-salesforecast[[#This Row],[4731 Stock CTL]]</f>
        <v>0.95786300000000013</v>
      </c>
      <c r="AS92" s="43">
        <f>SUMIFS(stock[MT],stock[Plant],8406,stock[Bucket],salesforecast[[#This Row],[Bucket2]])</f>
        <v>0</v>
      </c>
    </row>
    <row r="93" spans="1:45" x14ac:dyDescent="0.25">
      <c r="A93">
        <v>41.28</v>
      </c>
      <c r="B93">
        <v>40</v>
      </c>
      <c r="C93">
        <v>25</v>
      </c>
      <c r="D93">
        <v>2</v>
      </c>
      <c r="E93" t="s">
        <v>962</v>
      </c>
      <c r="F93" t="s">
        <v>1003</v>
      </c>
      <c r="G93" t="s">
        <v>239</v>
      </c>
      <c r="H93" t="str">
        <f>_xlfn.CONCAT(salesforecast[[#This Row],[OD]],"-",salesforecast[[#This Row],[ID]],"-",salesforecast[[#This Row],[TICKNESS]],"-",salesforecast[[#This Row],[GRADE]],"-",salesforecast[[#This Row],[FC/NFC]])</f>
        <v>40-25-2-ERW 1-FC</v>
      </c>
      <c r="I93" s="43">
        <f>SUMIFS(scheduleapr[SCHEDULE IN MT],scheduleapr[Bucket],salesforecast[[#This Row],[Bucket]])</f>
        <v>0</v>
      </c>
      <c r="J93">
        <v>1931253</v>
      </c>
      <c r="K93">
        <f>COUNTIF('helper sheet'!$A$1:$A$33,salesforecast[[#This Row],[LL Material Code]])</f>
        <v>1</v>
      </c>
      <c r="L93">
        <v>1932559</v>
      </c>
      <c r="N93" t="s">
        <v>2484</v>
      </c>
      <c r="P93" s="47" t="s">
        <v>345</v>
      </c>
      <c r="Q93">
        <v>0</v>
      </c>
      <c r="R93">
        <v>7</v>
      </c>
      <c r="S93">
        <v>1</v>
      </c>
      <c r="T93" s="52">
        <f>ROUNDUP(MAX(salesforecast[[#This Row],[FY25 Average]],salesforecast[[#This Row],[July Schedule]]),0)</f>
        <v>1</v>
      </c>
      <c r="U93" s="52">
        <f>salesforecast[[#This Row],[Forecast]]-salesforecast[[#This Row],[July Schedule]]</f>
        <v>1</v>
      </c>
      <c r="V93" t="str">
        <f>salesforecast[[#This Row],[Plant]]</f>
        <v>0789</v>
      </c>
      <c r="W93" s="66" t="str" cm="1">
        <f t="array" ref="W93">_xlfn.TEXTJOIN("|",TRUE,(_xlfn.UNIQUE(_xlfn._xlws.FILTER(scheduleapr[CUSTOMER NAME],scheduleapr[Bucket]=salesforecast[[#This Row],[Bucket]]))))</f>
        <v>ELKAYEM AUTO</v>
      </c>
      <c r="X93" s="66" t="str" cm="1">
        <f t="array" ref="X93">_xlfn.TEXTJOIN("|",TRUE,(_xlfn.UNIQUE(_xlfn._xlws.SORT(_xlfn._xlws.FILTER(scheduleapr[LENGTH],scheduleapr[Bucket]=salesforecast[[#This Row],[Bucket]])))))</f>
        <v>1000</v>
      </c>
      <c r="Y93" s="66" t="e" cm="1" vm="1">
        <f t="array" ref="Y93">_xlfn.TEXTJOIN("|",TRUE,_xlfn._xlws.FILTER(buckets[Material Codes],(buckets[Bucket]=salesforecast[[#This Row],[Bucket2]])*(buckets[LL or CTL]="CTL")))</f>
        <v>#VALUE!</v>
      </c>
      <c r="Z93" t="str">
        <f>salesforecast[[#This Row],[Bucket]]</f>
        <v>40-25-2-ERW 1-FC</v>
      </c>
      <c r="AA93" s="43">
        <f>salesforecast[[#This Row],[July Schedule]]</f>
        <v>0</v>
      </c>
      <c r="AB93" s="43">
        <f>SUMIF(salesTVS[buckets.Bucket],salesforecast[[#This Row],[Bucket]],salesTVS[Quantity])/1000</f>
        <v>0</v>
      </c>
      <c r="AC93" s="43">
        <f>SUMIFS(stock[MT],stock[Bucket],salesforecast[[#This Row],[Bucket]],stock[LL or CTL],"CTL")</f>
        <v>0</v>
      </c>
      <c r="AD93" s="43">
        <f>SUMIF(stock[Bucket],salesforecast[[#This Row],[Bucket]],stock[MT])-salesforecast[[#This Row],[Stock CTL]]</f>
        <v>0</v>
      </c>
      <c r="AE93" s="43" t="e">
        <v>#REF!</v>
      </c>
      <c r="AF93" s="43">
        <f>SUMIF(wip[Bucket],salesforecast[[#This Row],[Bucket]],wip[Stock(Net Wt)])/1000</f>
        <v>0</v>
      </c>
      <c r="AG93" s="43" t="e">
        <v>#REF!</v>
      </c>
      <c r="AH93" s="43">
        <f>SUMIFS(stock[MT],stock[Bucket],salesforecast[[#This Row],[Bucket2]],stock[Plant],"0788")</f>
        <v>0</v>
      </c>
      <c r="AI93" s="43" t="e">
        <f>((salesforecast[[#This Row],[WIP]]+salesforecast[[#This Row],[Stock LL]]))/salesforecast[[#This Row],[July Schedule]]*30</f>
        <v>#DIV/0!</v>
      </c>
      <c r="AJ93" t="e">
        <f>salesforecast[[#This Row],[Stock LL]]/salesforecast[[#This Row],[Schedule]]*30</f>
        <v>#DIV/0!</v>
      </c>
      <c r="AK93" s="43">
        <f>SUMIFS(stock[MT],stock[Bucket],salesforecast[[#This Row],[Bucket2]],stock[Plant],"0789",stock[LL or CTL],"LL")</f>
        <v>0</v>
      </c>
      <c r="AL93" s="193" t="e">
        <f>(salesforecast[[#This Row],[Sales]])/salesforecast[[#This Row],[Schedule]]</f>
        <v>#DIV/0!</v>
      </c>
      <c r="AM93" s="43">
        <f>SUMIFS(stock[MT],stock[Plant],salesforecast[[#This Row],[Plant]],stock[LL or CTL],"LL",stock[Bucket],salesforecast[[#This Row],[Bucket]])</f>
        <v>0</v>
      </c>
      <c r="AN93" s="43">
        <f>SUMIFS(scheduleapr[SCHEDULE IN MT],scheduleapr[CUSTOMER NAME],"*Rajsriya*",scheduleapr[Bucket],salesforecast[[#This Row],[Bucket]])</f>
        <v>0</v>
      </c>
      <c r="AO93" s="43">
        <f>SUMIFS(salesTVS[Quantity],salesTVS[CUSTOMER  NAME],"*RAJSRIYA*",salesTVS[buckets.Bucket],salesforecast[[#This Row],[Bucket]])/1000</f>
        <v>0</v>
      </c>
      <c r="AP93" s="43">
        <f>SUMIFS(stock[MT],stock[Plant],4318,stock[Bucket],salesforecast[[#This Row],[Bucket2]])</f>
        <v>0</v>
      </c>
      <c r="AQ93" s="43">
        <f>SUMIFS(stock[MT],stock[Plant],4731,stock[Bucket],salesforecast[[#This Row],[Bucket2]],stock[LL or CTL],"CTL")</f>
        <v>0</v>
      </c>
      <c r="AR93" s="43">
        <f>SUMIFS(stock[MT],stock[Plant],4731,stock[Bucket],salesforecast[[#This Row],[Bucket2]])-salesforecast[[#This Row],[4731 Stock CTL]]</f>
        <v>0</v>
      </c>
      <c r="AS93" s="43">
        <f>SUMIFS(stock[MT],stock[Plant],8406,stock[Bucket],salesforecast[[#This Row],[Bucket2]])</f>
        <v>0</v>
      </c>
    </row>
    <row r="94" spans="1:45" ht="60" x14ac:dyDescent="0.25">
      <c r="A94">
        <v>44.45</v>
      </c>
      <c r="B94">
        <v>40</v>
      </c>
      <c r="C94">
        <v>30</v>
      </c>
      <c r="D94">
        <v>2</v>
      </c>
      <c r="E94" t="s">
        <v>962</v>
      </c>
      <c r="F94" t="s">
        <v>1003</v>
      </c>
      <c r="G94" t="s">
        <v>239</v>
      </c>
      <c r="H94" t="str">
        <f>_xlfn.CONCAT(salesforecast[[#This Row],[OD]],"-",salesforecast[[#This Row],[ID]],"-",salesforecast[[#This Row],[TICKNESS]],"-",salesforecast[[#This Row],[GRADE]],"-",salesforecast[[#This Row],[FC/NFC]])</f>
        <v>40-30-2-ERW 1-FC</v>
      </c>
      <c r="I94" s="43">
        <f>SUMIFS(scheduleapr[SCHEDULE IN MT],scheduleapr[Bucket],salesforecast[[#This Row],[Bucket]])</f>
        <v>45.739622910674996</v>
      </c>
      <c r="J94">
        <v>3484632</v>
      </c>
      <c r="K94">
        <f>COUNTIF('helper sheet'!$A$1:$A$33,salesforecast[[#This Row],[LL Material Code]])</f>
        <v>1</v>
      </c>
      <c r="L94">
        <v>1940840</v>
      </c>
      <c r="N94" t="s">
        <v>2485</v>
      </c>
      <c r="P94" s="47" t="s">
        <v>345</v>
      </c>
      <c r="Q94">
        <v>8</v>
      </c>
      <c r="R94">
        <v>56</v>
      </c>
      <c r="S94">
        <v>25</v>
      </c>
      <c r="T94" s="52">
        <f>ROUNDUP(MAX(salesforecast[[#This Row],[FY25 Average]],salesforecast[[#This Row],[July Schedule]]),0)</f>
        <v>46</v>
      </c>
      <c r="U94" s="52">
        <f>salesforecast[[#This Row],[Forecast]]-salesforecast[[#This Row],[July Schedule]]</f>
        <v>0.26037708932500436</v>
      </c>
      <c r="V94" t="str">
        <f>salesforecast[[#This Row],[Plant]]</f>
        <v>0789</v>
      </c>
      <c r="W94" s="66" t="str" cm="1">
        <f t="array" ref="W94">_xlfn.TEXTJOIN("|",TRUE,(_xlfn.UNIQUE(_xlfn._xlws.FILTER(scheduleapr[CUSTOMER NAME],scheduleapr[Bucket]=salesforecast[[#This Row],[Bucket]]))))</f>
        <v xml:space="preserve">ELKAYEM AUTO|ELKAYEM AUTO MYSORE |Marathwada|Metalman|Rajsriya Unit 8|Rajsriya Mysore </v>
      </c>
      <c r="X94" s="66" t="str" cm="1">
        <f t="array" ref="X94">_xlfn.TEXTJOIN("|",TRUE,(_xlfn.UNIQUE(_xlfn._xlws.SORT(_xlfn._xlws.FILTER(scheduleapr[LENGTH],scheduleapr[Bucket]=salesforecast[[#This Row],[Bucket]])))))</f>
        <v>149|162|870|880|1000</v>
      </c>
      <c r="Y94" s="66" t="str" cm="1">
        <f t="array" ref="Y94">_xlfn.TEXTJOIN("|",TRUE,_xlfn._xlws.FILTER(buckets[Material Codes],(buckets[Bucket]=salesforecast[[#This Row],[Bucket2]])*(buckets[LL or CTL]="CTL")))</f>
        <v>4098592|4098593|1940834|1940837|1940838</v>
      </c>
      <c r="Z94" t="str">
        <f>salesforecast[[#This Row],[Bucket]]</f>
        <v>40-30-2-ERW 1-FC</v>
      </c>
      <c r="AA94" s="43">
        <f>salesforecast[[#This Row],[July Schedule]]</f>
        <v>45.739622910674996</v>
      </c>
      <c r="AB94" s="43">
        <f>SUMIF(salesTVS[buckets.Bucket],salesforecast[[#This Row],[Bucket]],salesTVS[Quantity])/1000</f>
        <v>30.663663999999997</v>
      </c>
      <c r="AC94" s="43">
        <f>SUMIFS(stock[MT],stock[Bucket],salesforecast[[#This Row],[Bucket]],stock[LL or CTL],"CTL")</f>
        <v>18.702345999999999</v>
      </c>
      <c r="AD94" s="43">
        <f>SUMIF(stock[Bucket],salesforecast[[#This Row],[Bucket]],stock[MT])-salesforecast[[#This Row],[Stock CTL]]</f>
        <v>0</v>
      </c>
      <c r="AE94" s="43" t="e">
        <v>#REF!</v>
      </c>
      <c r="AF94" s="70">
        <f>SUMIF(wip[Bucket],salesforecast[[#This Row],[Bucket]],wip[Stock(Net Wt)])/1000</f>
        <v>26.635999999999999</v>
      </c>
      <c r="AG94" s="70" t="e">
        <v>#REF!</v>
      </c>
      <c r="AH94" s="43">
        <f>SUMIFS(stock[MT],stock[Bucket],salesforecast[[#This Row],[Bucket2]],stock[Plant],"0788")</f>
        <v>0</v>
      </c>
      <c r="AI94" s="43">
        <f>((salesforecast[[#This Row],[WIP]]+salesforecast[[#This Row],[Stock LL]]))/salesforecast[[#This Row],[July Schedule]]*30</f>
        <v>17.470192125556544</v>
      </c>
      <c r="AJ94" s="52">
        <f>salesforecast[[#This Row],[Stock LL]]/salesforecast[[#This Row],[Schedule]]*30</f>
        <v>0</v>
      </c>
      <c r="AK94" s="43">
        <f>SUMIFS(stock[MT],stock[Bucket],salesforecast[[#This Row],[Bucket2]],stock[Plant],"0789",stock[LL or CTL],"LL")</f>
        <v>0</v>
      </c>
      <c r="AL94" s="193">
        <f>(salesforecast[[#This Row],[Sales]])/salesforecast[[#This Row],[Schedule]]</f>
        <v>0.6703960821864039</v>
      </c>
      <c r="AM94" s="43">
        <f>SUMIFS(stock[MT],stock[Plant],salesforecast[[#This Row],[Plant]],stock[LL or CTL],"LL",stock[Bucket],salesforecast[[#This Row],[Bucket]])</f>
        <v>0</v>
      </c>
      <c r="AN94" s="43">
        <f>SUMIFS(scheduleapr[SCHEDULE IN MT],scheduleapr[CUSTOMER NAME],"*Rajsriya*",scheduleapr[Bucket],salesforecast[[#This Row],[Bucket]])</f>
        <v>21.847789044000002</v>
      </c>
      <c r="AO94" s="43">
        <f>SUMIFS(salesTVS[Quantity],salesTVS[CUSTOMER  NAME],"*RAJSRIYA*",salesTVS[buckets.Bucket],salesforecast[[#This Row],[Bucket]])/1000</f>
        <v>18.190848000000003</v>
      </c>
      <c r="AP94" s="43">
        <f>SUMIFS(stock[MT],stock[Plant],4318,stock[Bucket],salesforecast[[#This Row],[Bucket2]])</f>
        <v>0</v>
      </c>
      <c r="AQ94" s="43">
        <f>SUMIFS(stock[MT],stock[Plant],4731,stock[Bucket],salesforecast[[#This Row],[Bucket2]],stock[LL or CTL],"CTL")</f>
        <v>0</v>
      </c>
      <c r="AR94" s="43">
        <f>SUMIFS(stock[MT],stock[Plant],4731,stock[Bucket],salesforecast[[#This Row],[Bucket2]])-salesforecast[[#This Row],[4731 Stock CTL]]</f>
        <v>0</v>
      </c>
      <c r="AS94" s="43">
        <f>SUMIFS(stock[MT],stock[Plant],8406,stock[Bucket],salesforecast[[#This Row],[Bucket2]])</f>
        <v>0</v>
      </c>
    </row>
    <row r="95" spans="1:45" ht="30" x14ac:dyDescent="0.25">
      <c r="A95">
        <v>41.28</v>
      </c>
      <c r="B95">
        <v>41.28</v>
      </c>
      <c r="C95">
        <v>0</v>
      </c>
      <c r="D95">
        <v>2.6</v>
      </c>
      <c r="E95" t="s">
        <v>962</v>
      </c>
      <c r="F95" t="s">
        <v>1003</v>
      </c>
      <c r="G95" t="s">
        <v>239</v>
      </c>
      <c r="H95" t="str">
        <f>_xlfn.CONCAT(salesforecast[[#This Row],[OD]],"-",salesforecast[[#This Row],[ID]],"-",salesforecast[[#This Row],[TICKNESS]],"-",salesforecast[[#This Row],[GRADE]],"-",salesforecast[[#This Row],[FC/NFC]])</f>
        <v>41.28-0-2.6-ERW 1-FC</v>
      </c>
      <c r="I95" s="43">
        <f>SUMIFS(scheduleapr[SCHEDULE IN MT],scheduleapr[Bucket],salesforecast[[#This Row],[Bucket]])</f>
        <v>66.705480776677604</v>
      </c>
      <c r="J95">
        <v>3239889</v>
      </c>
      <c r="K95">
        <f>COUNTIF('helper sheet'!$A$1:$A$33,salesforecast[[#This Row],[LL Material Code]])</f>
        <v>0</v>
      </c>
      <c r="N95" t="s">
        <v>1688</v>
      </c>
      <c r="P95" s="47" t="s">
        <v>345</v>
      </c>
      <c r="Q95">
        <v>0</v>
      </c>
      <c r="R95">
        <v>26</v>
      </c>
      <c r="S95">
        <v>11</v>
      </c>
      <c r="T95" s="52">
        <f>ROUNDUP(MAX(salesforecast[[#This Row],[FY25 Average]],salesforecast[[#This Row],[July Schedule]]),0)</f>
        <v>67</v>
      </c>
      <c r="U95" s="52">
        <f>salesforecast[[#This Row],[Forecast]]-salesforecast[[#This Row],[July Schedule]]</f>
        <v>0.29451922332239633</v>
      </c>
      <c r="V95" t="str">
        <f>salesforecast[[#This Row],[Plant]]</f>
        <v>0789</v>
      </c>
      <c r="W95" s="66" t="str" cm="1">
        <f t="array" ref="W95">_xlfn.TEXTJOIN("|",TRUE,(_xlfn.UNIQUE(_xlfn._xlws.FILTER(scheduleapr[CUSTOMER NAME],scheduleapr[Bucket]=salesforecast[[#This Row],[Bucket]]))))</f>
        <v xml:space="preserve">Rajsriya Automotive|Rajsriya Mysore |Sandhar Engg Mysore </v>
      </c>
      <c r="X95" s="66" t="str" cm="1">
        <f t="array" ref="X95">_xlfn.TEXTJOIN("|",TRUE,(_xlfn.UNIQUE(_xlfn._xlws.SORT(_xlfn._xlws.FILTER(scheduleapr[LENGTH],scheduleapr[Bucket]=salesforecast[[#This Row],[Bucket]])))))</f>
        <v>848|850</v>
      </c>
      <c r="Y95" s="66" t="str" cm="1">
        <f t="array" ref="Y95">_xlfn.TEXTJOIN("|",TRUE,_xlfn._xlws.FILTER(buckets[Material Codes],(buckets[Bucket]=salesforecast[[#This Row],[Bucket2]])*(buckets[LL or CTL]="CTL")))</f>
        <v>3087646|3186831|3910648|3509829|3214495</v>
      </c>
      <c r="Z95" t="str">
        <f>salesforecast[[#This Row],[Bucket]]</f>
        <v>41.28-0-2.6-ERW 1-FC</v>
      </c>
      <c r="AA95" s="43">
        <f>salesforecast[[#This Row],[July Schedule]]</f>
        <v>66.705480776677604</v>
      </c>
      <c r="AB95" s="43">
        <f>SUMIF(salesTVS[buckets.Bucket],salesforecast[[#This Row],[Bucket]],salesTVS[Quantity])/1000</f>
        <v>19.268034000000004</v>
      </c>
      <c r="AC95" s="43">
        <f>SUMIFS(stock[MT],stock[Bucket],salesforecast[[#This Row],[Bucket]],stock[LL or CTL],"CTL")</f>
        <v>9.1056400000000011</v>
      </c>
      <c r="AD95" s="43">
        <f>SUMIF(stock[Bucket],salesforecast[[#This Row],[Bucket]],stock[MT])-salesforecast[[#This Row],[Stock CTL]]</f>
        <v>0</v>
      </c>
      <c r="AE95" s="43" t="e">
        <v>#REF!</v>
      </c>
      <c r="AF95" s="43">
        <f>SUMIF(wip[Bucket],salesforecast[[#This Row],[Bucket]],wip[Stock(Net Wt)])/1000</f>
        <v>0</v>
      </c>
      <c r="AG95" s="43" t="e">
        <v>#REF!</v>
      </c>
      <c r="AH95" s="43">
        <f>SUMIFS(stock[MT],stock[Bucket],salesforecast[[#This Row],[Bucket2]],stock[Plant],"0788")</f>
        <v>0</v>
      </c>
      <c r="AI95" s="43">
        <f>((salesforecast[[#This Row],[WIP]]+salesforecast[[#This Row],[Stock LL]]))/salesforecast[[#This Row],[July Schedule]]*30</f>
        <v>0</v>
      </c>
      <c r="AJ95" s="52">
        <f>salesforecast[[#This Row],[Stock LL]]/salesforecast[[#This Row],[Schedule]]*30</f>
        <v>0</v>
      </c>
      <c r="AK95" s="43">
        <f>SUMIFS(stock[MT],stock[Bucket],salesforecast[[#This Row],[Bucket2]],stock[Plant],"0789",stock[LL or CTL],"LL")</f>
        <v>0</v>
      </c>
      <c r="AL95" s="193">
        <f>(salesforecast[[#This Row],[Sales]])/salesforecast[[#This Row],[Schedule]]</f>
        <v>0.28885233680433547</v>
      </c>
      <c r="AM95" s="43">
        <f>SUMIFS(stock[MT],stock[Plant],salesforecast[[#This Row],[Plant]],stock[LL or CTL],"LL",stock[Bucket],salesforecast[[#This Row],[Bucket]])</f>
        <v>0</v>
      </c>
      <c r="AN95" s="43">
        <f>SUMIFS(scheduleapr[SCHEDULE IN MT],scheduleapr[CUSTOMER NAME],"*Rajsriya*",scheduleapr[Bucket],salesforecast[[#This Row],[Bucket]])</f>
        <v>0</v>
      </c>
      <c r="AO95" s="43">
        <f>SUMIFS(salesTVS[Quantity],salesTVS[CUSTOMER  NAME],"*RAJSRIYA*",salesTVS[buckets.Bucket],salesforecast[[#This Row],[Bucket]])/1000</f>
        <v>0</v>
      </c>
      <c r="AP95" s="43">
        <f>SUMIFS(stock[MT],stock[Plant],4318,stock[Bucket],salesforecast[[#This Row],[Bucket2]])</f>
        <v>0</v>
      </c>
      <c r="AQ95" s="43">
        <f>SUMIFS(stock[MT],stock[Plant],4731,stock[Bucket],salesforecast[[#This Row],[Bucket2]],stock[LL or CTL],"CTL")</f>
        <v>3.9637900000000004</v>
      </c>
      <c r="AR95" s="43">
        <f>SUMIFS(stock[MT],stock[Plant],4731,stock[Bucket],salesforecast[[#This Row],[Bucket2]])-salesforecast[[#This Row],[4731 Stock CTL]]</f>
        <v>0</v>
      </c>
      <c r="AS95" s="43">
        <f>SUMIFS(stock[MT],stock[Plant],8406,stock[Bucket],salesforecast[[#This Row],[Bucket2]])</f>
        <v>4.2558500000000006</v>
      </c>
    </row>
    <row r="96" spans="1:45" ht="30" x14ac:dyDescent="0.25">
      <c r="A96">
        <v>41.28</v>
      </c>
      <c r="B96">
        <v>41.28</v>
      </c>
      <c r="C96">
        <v>0</v>
      </c>
      <c r="D96">
        <v>3.2</v>
      </c>
      <c r="E96" t="s">
        <v>962</v>
      </c>
      <c r="F96" t="s">
        <v>1003</v>
      </c>
      <c r="G96" t="s">
        <v>239</v>
      </c>
      <c r="H96" t="str">
        <f>_xlfn.CONCAT(salesforecast[[#This Row],[OD]],"-",salesforecast[[#This Row],[ID]],"-",salesforecast[[#This Row],[TICKNESS]],"-",salesforecast[[#This Row],[GRADE]],"-",salesforecast[[#This Row],[FC/NFC]])</f>
        <v>41.28-0-3.2-ERW 1-FC</v>
      </c>
      <c r="I96" s="43">
        <f>SUMIFS(scheduleapr[SCHEDULE IN MT],scheduleapr[Bucket],salesforecast[[#This Row],[Bucket]])</f>
        <v>12.819486625792003</v>
      </c>
      <c r="J96">
        <v>3597050</v>
      </c>
      <c r="K96">
        <f>COUNTIF('helper sheet'!$A$1:$A$33,salesforecast[[#This Row],[LL Material Code]])</f>
        <v>0</v>
      </c>
      <c r="N96" t="s">
        <v>2486</v>
      </c>
      <c r="P96" s="47" t="s">
        <v>345</v>
      </c>
      <c r="Q96">
        <v>0</v>
      </c>
      <c r="R96">
        <v>5</v>
      </c>
      <c r="S96">
        <v>2</v>
      </c>
      <c r="T96" s="52">
        <f>ROUNDUP(MAX(salesforecast[[#This Row],[FY25 Average]],salesforecast[[#This Row],[July Schedule]]),0)</f>
        <v>13</v>
      </c>
      <c r="U96" s="52">
        <f>salesforecast[[#This Row],[Forecast]]-salesforecast[[#This Row],[July Schedule]]</f>
        <v>0.1805133742079974</v>
      </c>
      <c r="V96" t="str">
        <f>salesforecast[[#This Row],[Plant]]</f>
        <v>0789</v>
      </c>
      <c r="W96" s="66" t="str" cm="1">
        <f t="array" ref="W96">_xlfn.TEXTJOIN("|",TRUE,(_xlfn.UNIQUE(_xlfn._xlws.FILTER(scheduleapr[CUSTOMER NAME],scheduleapr[Bucket]=salesforecast[[#This Row],[Bucket]]))))</f>
        <v>Metalman|Rajsriya Unit 8</v>
      </c>
      <c r="X96" s="66" t="str" cm="1">
        <f t="array" ref="X96">_xlfn.TEXTJOIN("|",TRUE,(_xlfn.UNIQUE(_xlfn._xlws.SORT(_xlfn._xlws.FILTER(scheduleapr[LENGTH],scheduleapr[Bucket]=salesforecast[[#This Row],[Bucket]])))))</f>
        <v>230|246</v>
      </c>
      <c r="Y96" s="66" t="str" cm="1">
        <f t="array" ref="Y96">_xlfn.TEXTJOIN("|",TRUE,_xlfn._xlws.FILTER(buckets[Material Codes],(buckets[Bucket]=salesforecast[[#This Row],[Bucket2]])*(buckets[LL or CTL]="CTL")))</f>
        <v>2403433|280076|4010435|3605867|3768907</v>
      </c>
      <c r="Z96" t="str">
        <f>salesforecast[[#This Row],[Bucket]]</f>
        <v>41.28-0-3.2-ERW 1-FC</v>
      </c>
      <c r="AA96" s="43">
        <f>salesforecast[[#This Row],[July Schedule]]</f>
        <v>12.819486625792003</v>
      </c>
      <c r="AB96" s="43">
        <f>SUMIF(salesTVS[buckets.Bucket],salesforecast[[#This Row],[Bucket]],salesTVS[Quantity])/1000</f>
        <v>8.4808210000000006</v>
      </c>
      <c r="AC96" s="43">
        <f>SUMIFS(stock[MT],stock[Bucket],salesforecast[[#This Row],[Bucket]],stock[LL or CTL],"CTL")</f>
        <v>1.044524</v>
      </c>
      <c r="AD96" s="43">
        <f>SUMIF(stock[Bucket],salesforecast[[#This Row],[Bucket]],stock[MT])-salesforecast[[#This Row],[Stock CTL]]</f>
        <v>0</v>
      </c>
      <c r="AE96" s="43" t="e">
        <v>#REF!</v>
      </c>
      <c r="AF96" s="43">
        <f>SUMIF(wip[Bucket],salesforecast[[#This Row],[Bucket]],wip[Stock(Net Wt)])/1000</f>
        <v>7.141</v>
      </c>
      <c r="AG96" s="43" t="e">
        <v>#REF!</v>
      </c>
      <c r="AH96" s="43">
        <f>SUMIFS(stock[MT],stock[Bucket],salesforecast[[#This Row],[Bucket2]],stock[Plant],"0788")</f>
        <v>0</v>
      </c>
      <c r="AI96" s="43">
        <f>((salesforecast[[#This Row],[WIP]]+salesforecast[[#This Row],[Stock LL]]))/salesforecast[[#This Row],[July Schedule]]*30</f>
        <v>16.711277623940312</v>
      </c>
      <c r="AJ96" s="52">
        <f>salesforecast[[#This Row],[Stock LL]]/salesforecast[[#This Row],[Schedule]]*30</f>
        <v>0</v>
      </c>
      <c r="AK96" s="43">
        <f>SUMIFS(stock[MT],stock[Bucket],salesforecast[[#This Row],[Bucket2]],stock[Plant],"0789",stock[LL or CTL],"LL")</f>
        <v>0</v>
      </c>
      <c r="AL96" s="193">
        <f>(salesforecast[[#This Row],[Sales]])/salesforecast[[#This Row],[Schedule]]</f>
        <v>0.66155699113076194</v>
      </c>
      <c r="AM96" s="43">
        <f>SUMIFS(stock[MT],stock[Plant],salesforecast[[#This Row],[Plant]],stock[LL or CTL],"LL",stock[Bucket],salesforecast[[#This Row],[Bucket]])</f>
        <v>0</v>
      </c>
      <c r="AN96" s="43">
        <f>SUMIFS(scheduleapr[SCHEDULE IN MT],scheduleapr[CUSTOMER NAME],"*Rajsriya*",scheduleapr[Bucket],salesforecast[[#This Row],[Bucket]])</f>
        <v>6.9083456512000012</v>
      </c>
      <c r="AO96" s="43">
        <f>SUMIFS(salesTVS[Quantity],salesTVS[CUSTOMER  NAME],"*RAJSRIYA*",salesTVS[buckets.Bucket],salesforecast[[#This Row],[Bucket]])/1000</f>
        <v>7.7412880000000008</v>
      </c>
      <c r="AP96" s="43">
        <f>SUMIFS(stock[MT],stock[Plant],4318,stock[Bucket],salesforecast[[#This Row],[Bucket2]])</f>
        <v>0</v>
      </c>
      <c r="AQ96" s="43">
        <f>SUMIFS(stock[MT],stock[Plant],4731,stock[Bucket],salesforecast[[#This Row],[Bucket2]],stock[LL or CTL],"CTL")</f>
        <v>0.78138300000000005</v>
      </c>
      <c r="AR96" s="43">
        <f>SUMIFS(stock[MT],stock[Plant],4731,stock[Bucket],salesforecast[[#This Row],[Bucket2]])-salesforecast[[#This Row],[4731 Stock CTL]]</f>
        <v>0</v>
      </c>
      <c r="AS96" s="43">
        <f>SUMIFS(stock[MT],stock[Plant],8406,stock[Bucket],salesforecast[[#This Row],[Bucket2]])</f>
        <v>0</v>
      </c>
    </row>
    <row r="97" spans="1:45" ht="75" x14ac:dyDescent="0.25">
      <c r="A97">
        <v>42.7</v>
      </c>
      <c r="B97">
        <v>42.7</v>
      </c>
      <c r="C97">
        <v>0</v>
      </c>
      <c r="D97">
        <v>3.5</v>
      </c>
      <c r="E97" t="s">
        <v>962</v>
      </c>
      <c r="F97" t="s">
        <v>1003</v>
      </c>
      <c r="G97" t="s">
        <v>239</v>
      </c>
      <c r="H97" t="str">
        <f>_xlfn.CONCAT(salesforecast[[#This Row],[OD]],"-",salesforecast[[#This Row],[ID]],"-",salesforecast[[#This Row],[TICKNESS]],"-",salesforecast[[#This Row],[GRADE]],"-",salesforecast[[#This Row],[FC/NFC]])</f>
        <v>42.7-0-3.5-ERW 1-FC</v>
      </c>
      <c r="I97" s="43">
        <f>SUMIFS(scheduleapr[SCHEDULE IN MT],scheduleapr[Bucket],salesforecast[[#This Row],[Bucket]])</f>
        <v>74.671089024000011</v>
      </c>
      <c r="J97">
        <v>3500650</v>
      </c>
      <c r="K97">
        <f>COUNTIF('helper sheet'!$A$1:$A$33,salesforecast[[#This Row],[LL Material Code]])</f>
        <v>0</v>
      </c>
      <c r="N97" t="s">
        <v>2487</v>
      </c>
      <c r="P97" s="47" t="s">
        <v>362</v>
      </c>
      <c r="Q97">
        <v>17</v>
      </c>
      <c r="R97">
        <v>67</v>
      </c>
      <c r="S97">
        <v>34</v>
      </c>
      <c r="T97" s="52">
        <f>ROUNDUP(MAX(salesforecast[[#This Row],[FY25 Average]],salesforecast[[#This Row],[July Schedule]]),0)</f>
        <v>75</v>
      </c>
      <c r="U97" s="52">
        <f>salesforecast[[#This Row],[Forecast]]-salesforecast[[#This Row],[July Schedule]]</f>
        <v>0.32891097599998886</v>
      </c>
      <c r="V97" t="str">
        <f>salesforecast[[#This Row],[Plant]]</f>
        <v>0788</v>
      </c>
      <c r="W97" s="66" t="str" cm="1">
        <f t="array" ref="W97">_xlfn.TEXTJOIN("|",TRUE,(_xlfn.UNIQUE(_xlfn._xlws.FILTER(scheduleapr[CUSTOMER NAME],scheduleapr[Bucket]=salesforecast[[#This Row],[Bucket]]))))</f>
        <v>Metalman|NMPL HUB|NMPL TVSM|RUCHA|SANDHAR ENGINEERING PVT LTD.</v>
      </c>
      <c r="X97" s="66" t="str" cm="1">
        <f t="array" ref="X97">_xlfn.TEXTJOIN("|",TRUE,(_xlfn.UNIQUE(_xlfn._xlws.SORT(_xlfn._xlws.FILTER(scheduleapr[LENGTH],scheduleapr[Bucket]=salesforecast[[#This Row],[Bucket]])))))</f>
        <v>204.5|208|210|247</v>
      </c>
      <c r="Y97" s="66" t="str" cm="1">
        <f t="array" ref="Y97">_xlfn.TEXTJOIN("|",TRUE,_xlfn._xlws.FILTER(buckets[Material Codes],(buckets[Bucket]=salesforecast[[#This Row],[Bucket2]])))</f>
        <v>2426341|1496408|364978|4114991|3722021|2417649|2417648|1310731|3690546|3433148|3781687|3502013|3500650|2396465|3549718</v>
      </c>
      <c r="Z97" t="str">
        <f>salesforecast[[#This Row],[Bucket]]</f>
        <v>42.7-0-3.5-ERW 1-FC</v>
      </c>
      <c r="AA97" s="43">
        <f>salesforecast[[#This Row],[July Schedule]]</f>
        <v>74.671089024000011</v>
      </c>
      <c r="AB97" s="43">
        <f>SUMIF(salesTVS[buckets.Bucket],salesforecast[[#This Row],[Bucket]],salesTVS[Quantity])/1000</f>
        <v>37.262987000000003</v>
      </c>
      <c r="AC97" s="43">
        <f>SUMIFS(stock[MT],stock[Bucket],salesforecast[[#This Row],[Bucket]],stock[LL or CTL],"CTL")</f>
        <v>1.5386359999999999</v>
      </c>
      <c r="AD97" s="43">
        <f>SUMIF(stock[Bucket],salesforecast[[#This Row],[Bucket]],stock[MT])-salesforecast[[#This Row],[Stock CTL]]</f>
        <v>9.465421000000001</v>
      </c>
      <c r="AE97" s="43" t="e">
        <v>#REF!</v>
      </c>
      <c r="AF97" s="43">
        <f>SUMIF(wip[Bucket],salesforecast[[#This Row],[Bucket]],wip[Stock(Net Wt)])/1000</f>
        <v>0</v>
      </c>
      <c r="AG97" s="43" t="e">
        <v>#REF!</v>
      </c>
      <c r="AH97" s="43">
        <f>SUMIFS(stock[MT],stock[Bucket],salesforecast[[#This Row],[Bucket2]],stock[Plant],"0788")</f>
        <v>0</v>
      </c>
      <c r="AI97" s="52">
        <f>((salesforecast[[#This Row],[WIP]]+salesforecast[[#This Row],[Stock LL]]))/salesforecast[[#This Row],[July Schedule]]*30</f>
        <v>3.8028457025547286</v>
      </c>
      <c r="AJ97" s="52">
        <f>salesforecast[[#This Row],[Stock LL]]/salesforecast[[#This Row],[Schedule]]*30</f>
        <v>3.8028457025547286</v>
      </c>
      <c r="AK97" s="43">
        <f>SUMIFS(stock[MT],stock[Bucket],salesforecast[[#This Row],[Bucket2]],stock[Plant],"0789",stock[LL or CTL],"LL")</f>
        <v>0</v>
      </c>
      <c r="AL97" s="193">
        <f>(salesforecast[[#This Row],[Sales]])/salesforecast[[#This Row],[Schedule]]</f>
        <v>0.4990283051586849</v>
      </c>
      <c r="AM97" s="43">
        <f>SUMIFS(stock[MT],stock[Plant],salesforecast[[#This Row],[Plant]],stock[LL or CTL],"LL",stock[Bucket],salesforecast[[#This Row],[Bucket]])</f>
        <v>0</v>
      </c>
      <c r="AN97" s="43">
        <f>SUMIFS(scheduleapr[SCHEDULE IN MT],scheduleapr[CUSTOMER NAME],"*Rajsriya*",scheduleapr[Bucket],salesforecast[[#This Row],[Bucket]])</f>
        <v>0</v>
      </c>
      <c r="AO97" s="43">
        <f>SUMIFS(salesTVS[Quantity],salesTVS[CUSTOMER  NAME],"*RAJSRIYA*",salesTVS[buckets.Bucket],salesforecast[[#This Row],[Bucket]])/1000</f>
        <v>0</v>
      </c>
      <c r="AP97" s="43">
        <f>SUMIFS(stock[MT],stock[Plant],4318,stock[Bucket],salesforecast[[#This Row],[Bucket2]])</f>
        <v>0</v>
      </c>
      <c r="AQ97" s="43">
        <f>SUMIFS(stock[MT],stock[Plant],4731,stock[Bucket],salesforecast[[#This Row],[Bucket2]],stock[LL or CTL],"CTL")</f>
        <v>0.97752900000000009</v>
      </c>
      <c r="AR97" s="43">
        <f>SUMIFS(stock[MT],stock[Plant],4731,stock[Bucket],salesforecast[[#This Row],[Bucket2]])-salesforecast[[#This Row],[4731 Stock CTL]]</f>
        <v>4.8184210000000007</v>
      </c>
      <c r="AS97" s="43">
        <f>SUMIFS(stock[MT],stock[Plant],8406,stock[Bucket],salesforecast[[#This Row],[Bucket2]])</f>
        <v>5.208107</v>
      </c>
    </row>
    <row r="98" spans="1:45" ht="75" x14ac:dyDescent="0.25">
      <c r="A98">
        <v>42.7</v>
      </c>
      <c r="B98">
        <v>42.7</v>
      </c>
      <c r="C98">
        <v>0</v>
      </c>
      <c r="D98">
        <v>4</v>
      </c>
      <c r="E98" t="s">
        <v>962</v>
      </c>
      <c r="F98" t="s">
        <v>1003</v>
      </c>
      <c r="G98" t="s">
        <v>239</v>
      </c>
      <c r="H98" t="str">
        <f>_xlfn.CONCAT(salesforecast[[#This Row],[OD]],"-",salesforecast[[#This Row],[ID]],"-",salesforecast[[#This Row],[TICKNESS]],"-",salesforecast[[#This Row],[GRADE]],"-",salesforecast[[#This Row],[FC/NFC]])</f>
        <v>42.7-0-4-ERW 1-FC</v>
      </c>
      <c r="I98" s="43">
        <f>SUMIFS(scheduleapr[SCHEDULE IN MT],scheduleapr[Bucket],salesforecast[[#This Row],[Bucket]])</f>
        <v>74.694412647269999</v>
      </c>
      <c r="J98">
        <v>3500714</v>
      </c>
      <c r="K98">
        <f>COUNTIF('helper sheet'!$A$1:$A$33,salesforecast[[#This Row],[LL Material Code]])</f>
        <v>0</v>
      </c>
      <c r="N98" t="s">
        <v>1922</v>
      </c>
      <c r="P98" s="47" t="s">
        <v>362</v>
      </c>
      <c r="Q98">
        <v>13</v>
      </c>
      <c r="R98">
        <v>46</v>
      </c>
      <c r="S98">
        <v>28</v>
      </c>
      <c r="T98" s="52">
        <f>ROUNDUP(MAX(salesforecast[[#This Row],[FY25 Average]],salesforecast[[#This Row],[July Schedule]]),0)</f>
        <v>75</v>
      </c>
      <c r="U98" s="52">
        <f>salesforecast[[#This Row],[Forecast]]-salesforecast[[#This Row],[July Schedule]]</f>
        <v>0.30558735273000082</v>
      </c>
      <c r="V98" t="str">
        <f>salesforecast[[#This Row],[Plant]]</f>
        <v>0788</v>
      </c>
      <c r="W98" s="66" t="str" cm="1">
        <f t="array" ref="W98">_xlfn.TEXTJOIN("|",TRUE,(_xlfn.UNIQUE(_xlfn._xlws.FILTER(scheduleapr[CUSTOMER NAME],scheduleapr[Bucket]=salesforecast[[#This Row],[Bucket]]))))</f>
        <v xml:space="preserve">ELKAYEM AUTO|Metalman|Rajsriya Unit 8|Rajsriya Mysore |Sandhar Engg Mysore </v>
      </c>
      <c r="X98" s="66" t="str" cm="1">
        <f t="array" ref="X98">_xlfn.TEXTJOIN("|",TRUE,(_xlfn.UNIQUE(_xlfn._xlws.SORT(_xlfn._xlws.FILTER(scheduleapr[LENGTH],scheduleapr[Bucket]=salesforecast[[#This Row],[Bucket]])))))</f>
        <v>215|235|254|290</v>
      </c>
      <c r="Y98" s="66" t="str" cm="1">
        <f t="array" ref="Y98">_xlfn.TEXTJOIN("|",TRUE,_xlfn._xlws.FILTER(buckets[Material Codes],(buckets[Bucket]=salesforecast[[#This Row],[Bucket2]])))</f>
        <v>1511515|2422135|3784469|3901714|3187964|1310732|2428441|1399335|1938358|1311453|3439767|3781701|4071780|3500714|2426233|3501985</v>
      </c>
      <c r="Z98" t="str">
        <f>salesforecast[[#This Row],[Bucket]]</f>
        <v>42.7-0-4-ERW 1-FC</v>
      </c>
      <c r="AA98" s="43">
        <f>salesforecast[[#This Row],[July Schedule]]</f>
        <v>74.694412647269999</v>
      </c>
      <c r="AB98" s="43">
        <f>SUMIF(salesTVS[buckets.Bucket],salesforecast[[#This Row],[Bucket]],salesTVS[Quantity])/1000</f>
        <v>18.986001000000002</v>
      </c>
      <c r="AC98" s="43">
        <f>SUMIFS(stock[MT],stock[Bucket],salesforecast[[#This Row],[Bucket]],stock[LL or CTL],"CTL")</f>
        <v>3.9344999999999994</v>
      </c>
      <c r="AD98" s="43">
        <f>SUMIF(stock[Bucket],salesforecast[[#This Row],[Bucket]],stock[MT])-salesforecast[[#This Row],[Stock CTL]]</f>
        <v>215.60048700000004</v>
      </c>
      <c r="AE98" s="43" t="e">
        <v>#REF!</v>
      </c>
      <c r="AF98" s="43">
        <f>SUMIF(wip[Bucket],salesforecast[[#This Row],[Bucket]],wip[Stock(Net Wt)])/1000</f>
        <v>0</v>
      </c>
      <c r="AG98" s="43" t="e">
        <v>#REF!</v>
      </c>
      <c r="AH98" s="43">
        <f>SUMIFS(stock[MT],stock[Bucket],salesforecast[[#This Row],[Bucket2]],stock[Plant],"0788")</f>
        <v>188.24199999999999</v>
      </c>
      <c r="AI98" s="43">
        <f>((salesforecast[[#This Row],[WIP]]+salesforecast[[#This Row],[Stock LL]]))/salesforecast[[#This Row],[July Schedule]]*30</f>
        <v>86.593017881323419</v>
      </c>
      <c r="AJ98" s="52">
        <f>salesforecast[[#This Row],[Stock LL]]/salesforecast[[#This Row],[Schedule]]*30</f>
        <v>86.593017881323419</v>
      </c>
      <c r="AK98" s="43">
        <f>SUMIFS(stock[MT],stock[Bucket],salesforecast[[#This Row],[Bucket2]],stock[Plant],"0789",stock[LL or CTL],"LL")</f>
        <v>0</v>
      </c>
      <c r="AL98" s="193">
        <f>(salesforecast[[#This Row],[Sales]])/salesforecast[[#This Row],[Schedule]]</f>
        <v>0.25418234546749485</v>
      </c>
      <c r="AM98" s="43">
        <f>SUMIFS(stock[MT],stock[Plant],salesforecast[[#This Row],[Plant]],stock[LL or CTL],"LL",stock[Bucket],salesforecast[[#This Row],[Bucket]])</f>
        <v>188.24199999999999</v>
      </c>
      <c r="AN98" s="43">
        <f>SUMIFS(scheduleapr[SCHEDULE IN MT],scheduleapr[CUSTOMER NAME],"*Rajsriya*",scheduleapr[Bucket],salesforecast[[#This Row],[Bucket]])</f>
        <v>16.476042333599999</v>
      </c>
      <c r="AO98" s="43">
        <f>SUMIFS(salesTVS[Quantity],salesTVS[CUSTOMER  NAME],"*RAJSRIYA*",salesTVS[buckets.Bucket],salesforecast[[#This Row],[Bucket]])/1000</f>
        <v>2.5365500000000001</v>
      </c>
      <c r="AP98" s="43">
        <f>SUMIFS(stock[MT],stock[Plant],4318,stock[Bucket],salesforecast[[#This Row],[Bucket2]])</f>
        <v>0</v>
      </c>
      <c r="AQ98" s="43">
        <f>SUMIFS(stock[MT],stock[Plant],4731,stock[Bucket],salesforecast[[#This Row],[Bucket2]],stock[LL or CTL],"CTL")</f>
        <v>1.9417200000000001</v>
      </c>
      <c r="AR98" s="43">
        <f>SUMIFS(stock[MT],stock[Plant],4731,stock[Bucket],salesforecast[[#This Row],[Bucket2]])-salesforecast[[#This Row],[4731 Stock CTL]]</f>
        <v>0.28338300000000016</v>
      </c>
      <c r="AS98" s="43">
        <f>SUMIFS(stock[MT],stock[Plant],8406,stock[Bucket],salesforecast[[#This Row],[Bucket2]])</f>
        <v>29.067884000000003</v>
      </c>
    </row>
    <row r="99" spans="1:45" ht="30" x14ac:dyDescent="0.25">
      <c r="A99">
        <v>48.6</v>
      </c>
      <c r="B99">
        <v>48.6</v>
      </c>
      <c r="C99">
        <v>0</v>
      </c>
      <c r="D99">
        <v>1.2</v>
      </c>
      <c r="E99" t="s">
        <v>962</v>
      </c>
      <c r="F99" t="s">
        <v>1003</v>
      </c>
      <c r="G99" t="s">
        <v>1867</v>
      </c>
      <c r="H99" t="str">
        <f>_xlfn.CONCAT(salesforecast[[#This Row],[OD]],"-",salesforecast[[#This Row],[ID]],"-",salesforecast[[#This Row],[TICKNESS]],"-",salesforecast[[#This Row],[GRADE]],"-",salesforecast[[#This Row],[FC/NFC]])</f>
        <v>48.6-0-1.2-ERW 1-FC</v>
      </c>
      <c r="I99" s="43">
        <f>SUMIFS(scheduleapr[SCHEDULE IN MT],scheduleapr[Bucket],salesforecast[[#This Row],[Bucket]])</f>
        <v>12.719262608640001</v>
      </c>
      <c r="J99">
        <v>3575647</v>
      </c>
      <c r="K99">
        <f>COUNTIF('helper sheet'!$A$1:$A$33,salesforecast[[#This Row],[LL Material Code]])</f>
        <v>0</v>
      </c>
      <c r="N99" t="s">
        <v>2382</v>
      </c>
      <c r="P99" s="47" t="s">
        <v>345</v>
      </c>
      <c r="Q99">
        <v>4</v>
      </c>
      <c r="R99">
        <v>15</v>
      </c>
      <c r="S99">
        <v>8</v>
      </c>
      <c r="T99" s="52">
        <f>ROUNDUP(MAX(salesforecast[[#This Row],[FY25 Average]],salesforecast[[#This Row],[July Schedule]]),0)</f>
        <v>13</v>
      </c>
      <c r="U99" s="52">
        <f>salesforecast[[#This Row],[Forecast]]-salesforecast[[#This Row],[July Schedule]]</f>
        <v>0.28073739135999887</v>
      </c>
      <c r="V99" t="str">
        <f>salesforecast[[#This Row],[Plant]]</f>
        <v>0789</v>
      </c>
      <c r="W99" s="66" t="str" cm="1">
        <f t="array" ref="W99">_xlfn.TEXTJOIN("|",TRUE,(_xlfn.UNIQUE(_xlfn._xlws.FILTER(scheduleapr[CUSTOMER NAME],scheduleapr[Bucket]=salesforecast[[#This Row],[Bucket]]))))</f>
        <v>Metalman|SANDHAR ENGINEERING PVT LTD.</v>
      </c>
      <c r="X99" s="66" t="str" cm="1">
        <f t="array" ref="X99">_xlfn.TEXTJOIN("|",TRUE,(_xlfn.UNIQUE(_xlfn._xlws.SORT(_xlfn._xlws.FILTER(scheduleapr[LENGTH],scheduleapr[Bucket]=salesforecast[[#This Row],[Bucket]])))))</f>
        <v>336</v>
      </c>
      <c r="Y99" s="66" t="str" cm="1">
        <f t="array" ref="Y99">_xlfn.TEXTJOIN("|",TRUE,_xlfn._xlws.FILTER(buckets[Material Codes],(buckets[Bucket]=salesforecast[[#This Row],[Bucket2]])*(buckets[LL or CTL]="CTL")))</f>
        <v>2325421</v>
      </c>
      <c r="Z99" t="str">
        <f>salesforecast[[#This Row],[Bucket]]</f>
        <v>48.6-0-1.2-ERW 1-FC</v>
      </c>
      <c r="AA99" s="43">
        <f>salesforecast[[#This Row],[July Schedule]]</f>
        <v>12.719262608640001</v>
      </c>
      <c r="AB99" s="43">
        <f>SUMIF(salesTVS[buckets.Bucket],salesforecast[[#This Row],[Bucket]],salesTVS[Quantity])/1000</f>
        <v>3.4068960000000001</v>
      </c>
      <c r="AC99" s="43">
        <f>SUMIFS(stock[MT],stock[Bucket],salesforecast[[#This Row],[Bucket]],stock[LL or CTL],"CTL")</f>
        <v>4.3962729999999999</v>
      </c>
      <c r="AD99" s="43">
        <f>SUMIF(stock[Bucket],salesforecast[[#This Row],[Bucket]],stock[MT])-salesforecast[[#This Row],[Stock CTL]]</f>
        <v>3.9467830000000008</v>
      </c>
      <c r="AE99" s="43" t="e">
        <v>#REF!</v>
      </c>
      <c r="AF99" s="43">
        <f>SUMIF(wip[Bucket],salesforecast[[#This Row],[Bucket]],wip[Stock(Net Wt)])/1000</f>
        <v>17.024000000000001</v>
      </c>
      <c r="AG99" s="43" t="e">
        <v>#REF!</v>
      </c>
      <c r="AH99" s="43">
        <f>SUMIFS(stock[MT],stock[Bucket],salesforecast[[#This Row],[Bucket2]],stock[Plant],"0788")</f>
        <v>0</v>
      </c>
      <c r="AI99" s="43">
        <f>((salesforecast[[#This Row],[WIP]]+salesforecast[[#This Row],[Stock LL]]))/salesforecast[[#This Row],[July Schedule]]*30</f>
        <v>49.462261245604445</v>
      </c>
      <c r="AJ99" s="52">
        <f>salesforecast[[#This Row],[Stock LL]]/salesforecast[[#This Row],[Schedule]]*30</f>
        <v>9.3089901233401964</v>
      </c>
      <c r="AK99" s="43">
        <f>SUMIFS(stock[MT],stock[Bucket],salesforecast[[#This Row],[Bucket2]],stock[Plant],"0789",stock[LL or CTL],"LL")</f>
        <v>0</v>
      </c>
      <c r="AL99" s="193">
        <f>(salesforecast[[#This Row],[Sales]])/salesforecast[[#This Row],[Schedule]]</f>
        <v>0.26785326357565314</v>
      </c>
      <c r="AM99" s="43">
        <f>SUMIFS(stock[MT],stock[Plant],salesforecast[[#This Row],[Plant]],stock[LL or CTL],"LL",stock[Bucket],salesforecast[[#This Row],[Bucket]])</f>
        <v>0</v>
      </c>
      <c r="AN99" s="43">
        <f>SUMIFS(scheduleapr[SCHEDULE IN MT],scheduleapr[CUSTOMER NAME],"*Rajsriya*",scheduleapr[Bucket],salesforecast[[#This Row],[Bucket]])</f>
        <v>0</v>
      </c>
      <c r="AO99" s="43">
        <f>SUMIFS(salesTVS[Quantity],salesTVS[CUSTOMER  NAME],"*RAJSRIYA*",salesTVS[buckets.Bucket],salesforecast[[#This Row],[Bucket]])/1000</f>
        <v>0</v>
      </c>
      <c r="AP99" s="43">
        <f>SUMIFS(stock[MT],stock[Plant],4318,stock[Bucket],salesforecast[[#This Row],[Bucket2]])</f>
        <v>0</v>
      </c>
      <c r="AQ99" s="43">
        <f>SUMIFS(stock[MT],stock[Plant],4731,stock[Bucket],salesforecast[[#This Row],[Bucket2]],stock[LL or CTL],"CTL")</f>
        <v>1.616201</v>
      </c>
      <c r="AR99" s="43">
        <f>SUMIFS(stock[MT],stock[Plant],4731,stock[Bucket],salesforecast[[#This Row],[Bucket2]])-salesforecast[[#This Row],[4731 Stock CTL]]</f>
        <v>3.9467829999999999</v>
      </c>
      <c r="AS99" s="43">
        <f>SUMIFS(stock[MT],stock[Plant],8406,stock[Bucket],salesforecast[[#This Row],[Bucket2]])</f>
        <v>0</v>
      </c>
    </row>
    <row r="100" spans="1:45" ht="60" x14ac:dyDescent="0.25">
      <c r="A100">
        <v>48.6</v>
      </c>
      <c r="B100">
        <v>48.6</v>
      </c>
      <c r="C100">
        <v>0</v>
      </c>
      <c r="D100">
        <v>3.5</v>
      </c>
      <c r="E100" t="s">
        <v>962</v>
      </c>
      <c r="F100" t="s">
        <v>1003</v>
      </c>
      <c r="G100" t="s">
        <v>239</v>
      </c>
      <c r="H100" t="str">
        <f>_xlfn.CONCAT(salesforecast[[#This Row],[OD]],"-",salesforecast[[#This Row],[ID]],"-",salesforecast[[#This Row],[TICKNESS]],"-",salesforecast[[#This Row],[GRADE]],"-",salesforecast[[#This Row],[FC/NFC]])</f>
        <v>48.6-0-3.5-ERW 1-FC</v>
      </c>
      <c r="I100" s="43">
        <f>SUMIFS(scheduleapr[SCHEDULE IN MT],scheduleapr[Bucket],salesforecast[[#This Row],[Bucket]])</f>
        <v>15.252111028</v>
      </c>
      <c r="J100" s="91">
        <v>3909479</v>
      </c>
      <c r="K100">
        <f>COUNTIF('helper sheet'!$A$1:$A$33,salesforecast[[#This Row],[LL Material Code]])</f>
        <v>0</v>
      </c>
      <c r="N100" t="s">
        <v>2177</v>
      </c>
      <c r="P100" s="47" t="s">
        <v>345</v>
      </c>
      <c r="Q100">
        <v>5</v>
      </c>
      <c r="R100">
        <v>43</v>
      </c>
      <c r="S100">
        <v>19</v>
      </c>
      <c r="T100" s="52">
        <f>ROUNDUP(MAX(salesforecast[[#This Row],[FY25 Average]],salesforecast[[#This Row],[July Schedule]]),0)</f>
        <v>19</v>
      </c>
      <c r="U100" s="52">
        <f>salesforecast[[#This Row],[Forecast]]-salesforecast[[#This Row],[July Schedule]]</f>
        <v>3.7478889720000002</v>
      </c>
      <c r="V100" t="str">
        <f>salesforecast[[#This Row],[Plant]]</f>
        <v>0789</v>
      </c>
      <c r="W100" s="66" t="str" cm="1">
        <f t="array" ref="W100">_xlfn.TEXTJOIN("|",TRUE,(_xlfn.UNIQUE(_xlfn._xlws.FILTER(scheduleapr[CUSTOMER NAME],scheduleapr[Bucket]=salesforecast[[#This Row],[Bucket]]))))</f>
        <v xml:space="preserve">NMPL HUB|Sandhar Engg Mysore </v>
      </c>
      <c r="X100" s="66" t="str" cm="1">
        <f t="array" ref="X100">_xlfn.TEXTJOIN("|",TRUE,(_xlfn.UNIQUE(_xlfn._xlws.SORT(_xlfn._xlws.FILTER(scheduleapr[LENGTH],scheduleapr[Bucket]=salesforecast[[#This Row],[Bucket]])))))</f>
        <v>196|202.5</v>
      </c>
      <c r="Y100" s="66" t="str" cm="1">
        <f t="array" ref="Y100">_xlfn.TEXTJOIN("|",TRUE,_xlfn._xlws.FILTER(buckets[Material Codes],(buckets[Bucket]=salesforecast[[#This Row],[Bucket2]])*(buckets[LL or CTL]="CTL")))</f>
        <v>3238860|3770753|3239049|282519|3531650|1568170|281785|3677062|3781677|3781594|3718726|3548921</v>
      </c>
      <c r="Z100" t="str">
        <f>salesforecast[[#This Row],[Bucket]]</f>
        <v>48.6-0-3.5-ERW 1-FC</v>
      </c>
      <c r="AA100" s="43">
        <f>salesforecast[[#This Row],[July Schedule]]</f>
        <v>15.252111028</v>
      </c>
      <c r="AB100" s="43">
        <f>SUMIF(salesTVS[buckets.Bucket],salesforecast[[#This Row],[Bucket]],salesTVS[Quantity])/1000</f>
        <v>4.4863749999999998</v>
      </c>
      <c r="AC100" s="43">
        <f>SUMIFS(stock[MT],stock[Bucket],salesforecast[[#This Row],[Bucket]],stock[LL or CTL],"CTL")</f>
        <v>4.9598779999999998</v>
      </c>
      <c r="AD100" s="43">
        <f>SUMIF(stock[Bucket],salesforecast[[#This Row],[Bucket]],stock[MT])-salesforecast[[#This Row],[Stock CTL]]</f>
        <v>8.7743119999999983</v>
      </c>
      <c r="AE100" s="43" t="e">
        <v>#REF!</v>
      </c>
      <c r="AF100" s="43">
        <f>SUMIF(wip[Bucket],salesforecast[[#This Row],[Bucket]],wip[Stock(Net Wt)])/1000</f>
        <v>0</v>
      </c>
      <c r="AG100" s="43" t="e">
        <v>#REF!</v>
      </c>
      <c r="AH100" s="43">
        <f>SUMIFS(stock[MT],stock[Bucket],salesforecast[[#This Row],[Bucket2]],stock[Plant],"0788")</f>
        <v>0</v>
      </c>
      <c r="AI100" s="43">
        <f>((salesforecast[[#This Row],[WIP]]+salesforecast[[#This Row],[Stock LL]]))/salesforecast[[#This Row],[July Schedule]]*30</f>
        <v>17.258552571297209</v>
      </c>
      <c r="AJ100" s="52">
        <f>salesforecast[[#This Row],[Stock LL]]/salesforecast[[#This Row],[Schedule]]*30</f>
        <v>17.258552571297209</v>
      </c>
      <c r="AK100" s="43">
        <f>SUMIFS(stock[MT],stock[Bucket],salesforecast[[#This Row],[Bucket2]],stock[Plant],"0789",stock[LL or CTL],"LL")</f>
        <v>2.7450000000000001</v>
      </c>
      <c r="AL100" s="193">
        <f>(salesforecast[[#This Row],[Sales]])/salesforecast[[#This Row],[Schedule]]</f>
        <v>0.29414780627834802</v>
      </c>
      <c r="AM100" s="43">
        <f>SUMIFS(stock[MT],stock[Plant],salesforecast[[#This Row],[Plant]],stock[LL or CTL],"LL",stock[Bucket],salesforecast[[#This Row],[Bucket]])</f>
        <v>2.7450000000000001</v>
      </c>
      <c r="AN100" s="43">
        <f>SUMIFS(scheduleapr[SCHEDULE IN MT],scheduleapr[CUSTOMER NAME],"*Rajsriya*",scheduleapr[Bucket],salesforecast[[#This Row],[Bucket]])</f>
        <v>0</v>
      </c>
      <c r="AO100" s="43">
        <f>SUMIFS(salesTVS[Quantity],salesTVS[CUSTOMER  NAME],"*RAJSRIYA*",salesTVS[buckets.Bucket],salesforecast[[#This Row],[Bucket]])/1000</f>
        <v>0</v>
      </c>
      <c r="AP100" s="43">
        <f>SUMIFS(stock[MT],stock[Plant],4318,stock[Bucket],salesforecast[[#This Row],[Bucket2]])</f>
        <v>0</v>
      </c>
      <c r="AQ100" s="43">
        <f>SUMIFS(stock[MT],stock[Plant],4731,stock[Bucket],salesforecast[[#This Row],[Bucket2]],stock[LL or CTL],"CTL")</f>
        <v>4.9333980000000004</v>
      </c>
      <c r="AR100" s="43">
        <f>SUMIFS(stock[MT],stock[Plant],4731,stock[Bucket],salesforecast[[#This Row],[Bucket2]])-salesforecast[[#This Row],[4731 Stock CTL]]</f>
        <v>6.0293119999999973</v>
      </c>
      <c r="AS100" s="43">
        <f>SUMIFS(stock[MT],stock[Plant],8406,stock[Bucket],salesforecast[[#This Row],[Bucket2]])</f>
        <v>0</v>
      </c>
    </row>
    <row r="101" spans="1:45" ht="30" x14ac:dyDescent="0.25">
      <c r="A101">
        <v>50</v>
      </c>
      <c r="B101">
        <v>50</v>
      </c>
      <c r="C101">
        <v>50</v>
      </c>
      <c r="D101">
        <v>1.6</v>
      </c>
      <c r="E101" t="s">
        <v>993</v>
      </c>
      <c r="F101" t="s">
        <v>963</v>
      </c>
      <c r="G101" t="s">
        <v>1867</v>
      </c>
      <c r="H101" t="str">
        <f>_xlfn.CONCAT(salesforecast[[#This Row],[OD]],"-",salesforecast[[#This Row],[ID]],"-",salesforecast[[#This Row],[TICKNESS]],"-",salesforecast[[#This Row],[GRADE]],"-",salesforecast[[#This Row],[FC/NFC]])</f>
        <v>50-50-1.6-ERW 2-PE</v>
      </c>
      <c r="I101" s="43">
        <f>SUMIFS(scheduleapr[SCHEDULE IN MT],scheduleapr[Bucket],salesforecast[[#This Row],[Bucket]])</f>
        <v>16.748594411472002</v>
      </c>
      <c r="J101" s="28">
        <v>3500268</v>
      </c>
      <c r="K101">
        <f>COUNTIF('helper sheet'!$A$1:$A$33,salesforecast[[#This Row],[LL Material Code]])</f>
        <v>0</v>
      </c>
      <c r="N101" t="s">
        <v>2360</v>
      </c>
      <c r="O101" t="s">
        <v>1914</v>
      </c>
      <c r="P101" s="47" t="s">
        <v>367</v>
      </c>
      <c r="Q101">
        <v>0</v>
      </c>
      <c r="R101">
        <v>7</v>
      </c>
      <c r="S101">
        <v>3</v>
      </c>
      <c r="T101" s="52">
        <f>ROUNDUP(MAX(salesforecast[[#This Row],[FY25 Average]],salesforecast[[#This Row],[July Schedule]]),0)</f>
        <v>17</v>
      </c>
      <c r="U101" s="52">
        <f>salesforecast[[#This Row],[Forecast]]-salesforecast[[#This Row],[July Schedule]]</f>
        <v>0.25140558852799799</v>
      </c>
      <c r="V101" t="str">
        <f>salesforecast[[#This Row],[Plant]]</f>
        <v>056</v>
      </c>
      <c r="W101" s="66" t="str" cm="1">
        <f t="array" ref="W101">_xlfn.TEXTJOIN("|",TRUE,(_xlfn.UNIQUE(_xlfn._xlws.FILTER(scheduleapr[CUSTOMER NAME],scheduleapr[Bucket]=salesforecast[[#This Row],[Bucket]]))))</f>
        <v>Laxmi|NMPL TVSM</v>
      </c>
      <c r="X101" s="66" t="str" cm="1">
        <f t="array" ref="X101">_xlfn.TEXTJOIN("|",TRUE,(_xlfn.UNIQUE(_xlfn._xlws.SORT(_xlfn._xlws.FILTER(scheduleapr[LENGTH],scheduleapr[Bucket]=salesforecast[[#This Row],[Bucket]])))))</f>
        <v>847</v>
      </c>
      <c r="Y101" s="66" t="str" cm="1">
        <f t="array" ref="Y101">_xlfn.TEXTJOIN("|",TRUE,_xlfn._xlws.FILTER(buckets[Material Codes],(buckets[Bucket]=salesforecast[[#This Row],[Bucket2]])))</f>
        <v>3191790|1938127|468843|3781664|3500268|3502322</v>
      </c>
      <c r="Z101" t="str">
        <f>salesforecast[[#This Row],[Bucket]]</f>
        <v>50-50-1.6-ERW 2-PE</v>
      </c>
      <c r="AA101" s="43">
        <f>salesforecast[[#This Row],[July Schedule]]</f>
        <v>16.748594411472002</v>
      </c>
      <c r="AB101" s="43">
        <f>SUMIF(salesTVS[buckets.Bucket],salesforecast[[#This Row],[Bucket]],salesTVS[Quantity])/1000</f>
        <v>4.1121940000000006</v>
      </c>
      <c r="AC101" s="43">
        <f>SUMIFS(stock[MT],stock[Bucket],salesforecast[[#This Row],[Bucket]],stock[LL or CTL],"CTL")</f>
        <v>3.2915710000000002</v>
      </c>
      <c r="AD101" s="43">
        <f>SUMIF(stock[Bucket],salesforecast[[#This Row],[Bucket]],stock[MT])-salesforecast[[#This Row],[Stock CTL]]</f>
        <v>14.201103000000007</v>
      </c>
      <c r="AE101" s="43" t="e">
        <v>#REF!</v>
      </c>
      <c r="AF101" s="43">
        <f>SUMIF(wip[Bucket],salesforecast[[#This Row],[Bucket]],wip[Stock(Net Wt)])/1000</f>
        <v>0</v>
      </c>
      <c r="AG101" s="43" t="e">
        <v>#REF!</v>
      </c>
      <c r="AH101" s="43">
        <f>SUMIFS(stock[MT],stock[Bucket],salesforecast[[#This Row],[Bucket2]],stock[Plant],"0788")</f>
        <v>0</v>
      </c>
      <c r="AI101" s="52">
        <f>((salesforecast[[#This Row],[WIP]]+salesforecast[[#This Row],[Stock LL]]))/salesforecast[[#This Row],[July Schedule]]*30</f>
        <v>25.436945903244723</v>
      </c>
      <c r="AJ101" s="52">
        <f>salesforecast[[#This Row],[Stock LL]]/salesforecast[[#This Row],[Schedule]]*30</f>
        <v>25.436945903244723</v>
      </c>
      <c r="AK101" s="43">
        <f>SUMIFS(stock[MT],stock[Bucket],salesforecast[[#This Row],[Bucket2]],stock[Plant],"0789",stock[LL or CTL],"LL")</f>
        <v>0</v>
      </c>
      <c r="AL101" s="193">
        <f>(salesforecast[[#This Row],[Sales]])/salesforecast[[#This Row],[Schedule]]</f>
        <v>0.24552472279007129</v>
      </c>
      <c r="AM101" s="43">
        <f>SUMIFS(stock[MT],stock[Plant],salesforecast[[#This Row],[Plant]],stock[LL or CTL],"LL",stock[Bucket],salesforecast[[#This Row],[Bucket]])</f>
        <v>0</v>
      </c>
      <c r="AN101" s="43">
        <f>SUMIFS(scheduleapr[SCHEDULE IN MT],scheduleapr[CUSTOMER NAME],"*Rajsriya*",scheduleapr[Bucket],salesforecast[[#This Row],[Bucket]])</f>
        <v>0</v>
      </c>
      <c r="AO101" s="43">
        <f>SUMIFS(salesTVS[Quantity],salesTVS[CUSTOMER  NAME],"*RAJSRIYA*",salesTVS[buckets.Bucket],salesforecast[[#This Row],[Bucket]])/1000</f>
        <v>0</v>
      </c>
      <c r="AP101" s="43">
        <f>SUMIFS(stock[MT],stock[Plant],4318,stock[Bucket],salesforecast[[#This Row],[Bucket2]])</f>
        <v>0</v>
      </c>
      <c r="AQ101" s="43">
        <f>SUMIFS(stock[MT],stock[Plant],4731,stock[Bucket],salesforecast[[#This Row],[Bucket2]],stock[LL or CTL],"CTL")</f>
        <v>3.2915710000000002</v>
      </c>
      <c r="AR101" s="43">
        <f>SUMIFS(stock[MT],stock[Plant],4731,stock[Bucket],salesforecast[[#This Row],[Bucket2]])-salesforecast[[#This Row],[4731 Stock CTL]]</f>
        <v>1.3500029999999992</v>
      </c>
      <c r="AS101" s="43">
        <f>SUMIFS(stock[MT],stock[Plant],8406,stock[Bucket],salesforecast[[#This Row],[Bucket2]])</f>
        <v>12.851100000000002</v>
      </c>
    </row>
    <row r="102" spans="1:45" x14ac:dyDescent="0.25">
      <c r="A102">
        <v>50.8</v>
      </c>
      <c r="B102">
        <v>50</v>
      </c>
      <c r="C102">
        <v>30</v>
      </c>
      <c r="D102">
        <v>1.6</v>
      </c>
      <c r="E102" t="s">
        <v>993</v>
      </c>
      <c r="F102" t="s">
        <v>1003</v>
      </c>
      <c r="G102" t="s">
        <v>1867</v>
      </c>
      <c r="H102" t="str">
        <f>_xlfn.CONCAT(salesforecast[[#This Row],[OD]],"-",salesforecast[[#This Row],[ID]],"-",salesforecast[[#This Row],[TICKNESS]],"-",salesforecast[[#This Row],[GRADE]],"-",salesforecast[[#This Row],[FC/NFC]])</f>
        <v>50-30-1.6-ERW 2-FC</v>
      </c>
      <c r="I102" s="43">
        <f>SUMIFS(scheduleapr[SCHEDULE IN MT],scheduleapr[Bucket],salesforecast[[#This Row],[Bucket]])</f>
        <v>0</v>
      </c>
      <c r="J102">
        <v>3571607</v>
      </c>
      <c r="K102">
        <f>COUNTIF('helper sheet'!$A$1:$A$33,salesforecast[[#This Row],[LL Material Code]])</f>
        <v>0</v>
      </c>
      <c r="N102" t="s">
        <v>2488</v>
      </c>
      <c r="O102" t="s">
        <v>2088</v>
      </c>
      <c r="P102" s="47" t="s">
        <v>345</v>
      </c>
      <c r="Q102">
        <v>0</v>
      </c>
      <c r="R102">
        <v>16</v>
      </c>
      <c r="S102">
        <v>2</v>
      </c>
      <c r="T102" s="52">
        <f>ROUNDUP(MAX(salesforecast[[#This Row],[FY25 Average]],salesforecast[[#This Row],[July Schedule]]),0)</f>
        <v>2</v>
      </c>
      <c r="U102" s="52">
        <f>salesforecast[[#This Row],[Forecast]]-salesforecast[[#This Row],[July Schedule]]</f>
        <v>2</v>
      </c>
      <c r="V102" t="str">
        <f>salesforecast[[#This Row],[Plant]]</f>
        <v>0789</v>
      </c>
      <c r="W102" s="66" t="e" cm="1" vm="1">
        <f t="array" ref="W102">_xlfn.TEXTJOIN("|",TRUE,(_xlfn.UNIQUE(_xlfn._xlws.FILTER(scheduleapr[CUSTOMER NAME],scheduleapr[Bucket]=salesforecast[[#This Row],[Bucket]]))))</f>
        <v>#VALUE!</v>
      </c>
      <c r="X102" s="66" t="e" cm="1" vm="1">
        <f t="array" ref="X102">_xlfn.TEXTJOIN("|",TRUE,(_xlfn.UNIQUE(_xlfn._xlws.SORT(_xlfn._xlws.FILTER(scheduleapr[LENGTH],scheduleapr[Bucket]=salesforecast[[#This Row],[Bucket]])))))</f>
        <v>#VALUE!</v>
      </c>
      <c r="Y102" s="66" t="str" cm="1">
        <f t="array" ref="Y102">_xlfn.TEXTJOIN("|",TRUE,_xlfn._xlws.FILTER(buckets[Material Codes],(buckets[Bucket]=salesforecast[[#This Row],[Bucket2]])*(buckets[LL or CTL]="CTL")))</f>
        <v>3780004|3780005|3775638</v>
      </c>
      <c r="Z102" t="str">
        <f>salesforecast[[#This Row],[Bucket]]</f>
        <v>50-30-1.6-ERW 2-FC</v>
      </c>
      <c r="AA102" s="43">
        <f>salesforecast[[#This Row],[July Schedule]]</f>
        <v>0</v>
      </c>
      <c r="AB102" s="43">
        <f>SUMIF(salesTVS[buckets.Bucket],salesforecast[[#This Row],[Bucket]],salesTVS[Quantity])/1000</f>
        <v>0</v>
      </c>
      <c r="AC102" s="43">
        <f>SUMIFS(stock[MT],stock[Bucket],salesforecast[[#This Row],[Bucket]],stock[LL or CTL],"CTL")</f>
        <v>7.5760999999999995E-2</v>
      </c>
      <c r="AD102" s="43">
        <f>SUMIF(stock[Bucket],salesforecast[[#This Row],[Bucket]],stock[MT])-salesforecast[[#This Row],[Stock CTL]]</f>
        <v>0</v>
      </c>
      <c r="AE102" s="43" t="e">
        <v>#REF!</v>
      </c>
      <c r="AF102" s="43">
        <f>SUMIF(wip[Bucket],salesforecast[[#This Row],[Bucket]],wip[Stock(Net Wt)])/1000</f>
        <v>11.55</v>
      </c>
      <c r="AG102" s="43" t="e">
        <v>#REF!</v>
      </c>
      <c r="AH102" s="43">
        <f>SUMIFS(stock[MT],stock[Bucket],salesforecast[[#This Row],[Bucket2]],stock[Plant],"0788")</f>
        <v>0</v>
      </c>
      <c r="AI102" s="43" t="e">
        <f>((salesforecast[[#This Row],[WIP]]+salesforecast[[#This Row],[Stock LL]]))/salesforecast[[#This Row],[July Schedule]]*30</f>
        <v>#DIV/0!</v>
      </c>
      <c r="AJ102" s="52" t="e">
        <f>salesforecast[[#This Row],[Stock LL]]/salesforecast[[#This Row],[Schedule]]*30</f>
        <v>#DIV/0!</v>
      </c>
      <c r="AK102" s="43">
        <f>SUMIFS(stock[MT],stock[Bucket],salesforecast[[#This Row],[Bucket2]],stock[Plant],"0789",stock[LL or CTL],"LL")</f>
        <v>0</v>
      </c>
      <c r="AL102" s="193" t="e">
        <f>(salesforecast[[#This Row],[Sales]])/salesforecast[[#This Row],[Schedule]]</f>
        <v>#DIV/0!</v>
      </c>
      <c r="AM102" s="43">
        <f>SUMIFS(stock[MT],stock[Plant],salesforecast[[#This Row],[Plant]],stock[LL or CTL],"LL",stock[Bucket],salesforecast[[#This Row],[Bucket]])</f>
        <v>0</v>
      </c>
      <c r="AN102" s="43">
        <f>SUMIFS(scheduleapr[SCHEDULE IN MT],scheduleapr[CUSTOMER NAME],"*Rajsriya*",scheduleapr[Bucket],salesforecast[[#This Row],[Bucket]])</f>
        <v>0</v>
      </c>
      <c r="AO102" s="43">
        <f>SUMIFS(salesTVS[Quantity],salesTVS[CUSTOMER  NAME],"*RAJSRIYA*",salesTVS[buckets.Bucket],salesforecast[[#This Row],[Bucket]])/1000</f>
        <v>0</v>
      </c>
      <c r="AP102" s="43">
        <f>SUMIFS(stock[MT],stock[Plant],4318,stock[Bucket],salesforecast[[#This Row],[Bucket2]])</f>
        <v>0</v>
      </c>
      <c r="AQ102" s="43">
        <f>SUMIFS(stock[MT],stock[Plant],4731,stock[Bucket],salesforecast[[#This Row],[Bucket2]],stock[LL or CTL],"CTL")</f>
        <v>0</v>
      </c>
      <c r="AR102" s="43">
        <f>SUMIFS(stock[MT],stock[Plant],4731,stock[Bucket],salesforecast[[#This Row],[Bucket2]])-salesforecast[[#This Row],[4731 Stock CTL]]</f>
        <v>0</v>
      </c>
      <c r="AS102" s="43">
        <f>SUMIFS(stock[MT],stock[Plant],8406,stock[Bucket],salesforecast[[#This Row],[Bucket2]])</f>
        <v>0</v>
      </c>
    </row>
    <row r="103" spans="1:45" ht="45" x14ac:dyDescent="0.25">
      <c r="A103">
        <v>50.8</v>
      </c>
      <c r="B103">
        <v>50</v>
      </c>
      <c r="C103">
        <v>30</v>
      </c>
      <c r="D103">
        <v>1.6</v>
      </c>
      <c r="E103" t="s">
        <v>962</v>
      </c>
      <c r="F103" t="s">
        <v>1003</v>
      </c>
      <c r="G103" t="s">
        <v>239</v>
      </c>
      <c r="H103" t="str">
        <f>_xlfn.CONCAT(salesforecast[[#This Row],[OD]],"-",salesforecast[[#This Row],[ID]],"-",salesforecast[[#This Row],[TICKNESS]],"-",salesforecast[[#This Row],[GRADE]],"-",salesforecast[[#This Row],[FC/NFC]])</f>
        <v>50-30-1.6-ERW 1-FC</v>
      </c>
      <c r="I103" s="43">
        <f>SUMIFS(scheduleapr[SCHEDULE IN MT],scheduleapr[Bucket],salesforecast[[#This Row],[Bucket]])</f>
        <v>103.53994425087743</v>
      </c>
      <c r="J103">
        <v>3569429</v>
      </c>
      <c r="K103">
        <f>COUNTIF('helper sheet'!$A$1:$A$33,salesforecast[[#This Row],[LL Material Code]])</f>
        <v>0</v>
      </c>
      <c r="N103" t="s">
        <v>2489</v>
      </c>
      <c r="P103" s="47" t="s">
        <v>345</v>
      </c>
      <c r="Q103">
        <v>44</v>
      </c>
      <c r="R103">
        <v>136</v>
      </c>
      <c r="S103">
        <v>77</v>
      </c>
      <c r="T103" s="52">
        <v>65</v>
      </c>
      <c r="U103" s="52">
        <f>salesforecast[[#This Row],[Forecast]]-salesforecast[[#This Row],[July Schedule]]</f>
        <v>-38.539944250877426</v>
      </c>
      <c r="V103" t="str">
        <f>salesforecast[[#This Row],[Plant]]</f>
        <v>0789</v>
      </c>
      <c r="W103" s="66" t="str" cm="1">
        <f t="array" ref="W103">_xlfn.TEXTJOIN("|",TRUE,(_xlfn.UNIQUE(_xlfn._xlws.FILTER(scheduleapr[CUSTOMER NAME],scheduleapr[Bucket]=salesforecast[[#This Row],[Bucket]]))))</f>
        <v xml:space="preserve">Balaji press product|ELKAYEM AUTO|ELKAYEM AUTO MYSORE |Sandhar Engg Mysore </v>
      </c>
      <c r="X103" s="66" t="str" cm="1">
        <f t="array" ref="X103">_xlfn.TEXTJOIN("|",TRUE,(_xlfn.UNIQUE(_xlfn._xlws.SORT(_xlfn._xlws.FILTER(scheduleapr[LENGTH],scheduleapr[Bucket]=salesforecast[[#This Row],[Bucket]])))))</f>
        <v>604|607|636|638|1100</v>
      </c>
      <c r="Y103" s="66" t="str" cm="1">
        <f t="array" ref="Y103">_xlfn.TEXTJOIN("|",TRUE,_xlfn._xlws.FILTER(buckets[Material Codes],(buckets[Bucket]=salesforecast[[#This Row],[Bucket2]])*(buckets[LL or CTL]="CTL")))</f>
        <v>2427158|3775637|1940879|2430128</v>
      </c>
      <c r="Z103" t="str">
        <f>salesforecast[[#This Row],[Bucket]]</f>
        <v>50-30-1.6-ERW 1-FC</v>
      </c>
      <c r="AA103" s="43">
        <f>salesforecast[[#This Row],[July Schedule]]</f>
        <v>103.53994425087743</v>
      </c>
      <c r="AB103" s="43">
        <f>SUMIF(salesTVS[buckets.Bucket],salesforecast[[#This Row],[Bucket]],salesTVS[Quantity])/1000</f>
        <v>48.844667999999992</v>
      </c>
      <c r="AC103" s="43">
        <f>SUMIFS(stock[MT],stock[Bucket],salesforecast[[#This Row],[Bucket]],stock[LL or CTL],"CTL")</f>
        <v>6.7228570000000003</v>
      </c>
      <c r="AD103" s="43">
        <f>SUMIF(stock[Bucket],salesforecast[[#This Row],[Bucket]],stock[MT])-salesforecast[[#This Row],[Stock CTL]]</f>
        <v>0</v>
      </c>
      <c r="AE103" s="43" t="e">
        <v>#REF!</v>
      </c>
      <c r="AF103" s="43">
        <f>SUMIF(wip[Bucket],salesforecast[[#This Row],[Bucket]],wip[Stock(Net Wt)])/1000</f>
        <v>24.911000000000001</v>
      </c>
      <c r="AG103" s="43" t="e">
        <v>#REF!</v>
      </c>
      <c r="AH103" s="43">
        <f>SUMIFS(stock[MT],stock[Bucket],salesforecast[[#This Row],[Bucket2]],stock[Plant],"0788")</f>
        <v>0</v>
      </c>
      <c r="AI103" s="43">
        <f>((salesforecast[[#This Row],[WIP]]+salesforecast[[#This Row],[Stock LL]]))/salesforecast[[#This Row],[July Schedule]]*30</f>
        <v>7.2177941122821005</v>
      </c>
      <c r="AJ103" s="52">
        <f>salesforecast[[#This Row],[Stock LL]]/salesforecast[[#This Row],[Schedule]]*30</f>
        <v>0</v>
      </c>
      <c r="AK103" s="43">
        <f>SUMIFS(stock[MT],stock[Bucket],salesforecast[[#This Row],[Bucket2]],stock[Plant],"0789",stock[LL or CTL],"LL")</f>
        <v>0</v>
      </c>
      <c r="AL103" s="193">
        <f>(salesforecast[[#This Row],[Sales]])/salesforecast[[#This Row],[Schedule]]</f>
        <v>0.47174709580342533</v>
      </c>
      <c r="AM103" s="43">
        <f>SUMIFS(stock[MT],stock[Plant],salesforecast[[#This Row],[Plant]],stock[LL or CTL],"LL",stock[Bucket],salesforecast[[#This Row],[Bucket]])</f>
        <v>0</v>
      </c>
      <c r="AN103" s="43">
        <f>SUMIFS(scheduleapr[SCHEDULE IN MT],scheduleapr[CUSTOMER NAME],"*Rajsriya*",scheduleapr[Bucket],salesforecast[[#This Row],[Bucket]])</f>
        <v>0</v>
      </c>
      <c r="AO103" s="43">
        <f>SUMIFS(salesTVS[Quantity],salesTVS[CUSTOMER  NAME],"*RAJSRIYA*",salesTVS[buckets.Bucket],salesforecast[[#This Row],[Bucket]])/1000</f>
        <v>0</v>
      </c>
      <c r="AP103" s="43">
        <f>SUMIFS(stock[MT],stock[Plant],4318,stock[Bucket],salesforecast[[#This Row],[Bucket2]])</f>
        <v>0</v>
      </c>
      <c r="AQ103" s="43">
        <f>SUMIFS(stock[MT],stock[Plant],4731,stock[Bucket],salesforecast[[#This Row],[Bucket2]],stock[LL or CTL],"CTL")</f>
        <v>0</v>
      </c>
      <c r="AR103" s="43">
        <f>SUMIFS(stock[MT],stock[Plant],4731,stock[Bucket],salesforecast[[#This Row],[Bucket2]])-salesforecast[[#This Row],[4731 Stock CTL]]</f>
        <v>0</v>
      </c>
      <c r="AS103" s="43">
        <f>SUMIFS(stock[MT],stock[Plant],8406,stock[Bucket],salesforecast[[#This Row],[Bucket2]])</f>
        <v>0</v>
      </c>
    </row>
    <row r="104" spans="1:45" x14ac:dyDescent="0.25">
      <c r="A104">
        <v>50.8</v>
      </c>
      <c r="B104">
        <v>50</v>
      </c>
      <c r="C104">
        <v>30</v>
      </c>
      <c r="D104">
        <v>2</v>
      </c>
      <c r="E104" t="s">
        <v>962</v>
      </c>
      <c r="F104" t="s">
        <v>1003</v>
      </c>
      <c r="G104" t="s">
        <v>239</v>
      </c>
      <c r="H104" t="str">
        <f>_xlfn.CONCAT(salesforecast[[#This Row],[OD]],"-",salesforecast[[#This Row],[ID]],"-",salesforecast[[#This Row],[TICKNESS]],"-",salesforecast[[#This Row],[GRADE]],"-",salesforecast[[#This Row],[FC/NFC]])</f>
        <v>50-30-2-ERW 1-FC</v>
      </c>
      <c r="I104" s="43">
        <f>SUMIFS(scheduleapr[SCHEDULE IN MT],scheduleapr[Bucket],salesforecast[[#This Row],[Bucket]])</f>
        <v>21.411107359999995</v>
      </c>
      <c r="J104">
        <v>3569430</v>
      </c>
      <c r="K104">
        <f>COUNTIF('helper sheet'!$A$1:$A$33,salesforecast[[#This Row],[LL Material Code]])</f>
        <v>0</v>
      </c>
      <c r="N104" t="s">
        <v>2490</v>
      </c>
      <c r="P104" s="47" t="s">
        <v>345</v>
      </c>
      <c r="Q104">
        <v>0</v>
      </c>
      <c r="R104">
        <v>24</v>
      </c>
      <c r="S104">
        <v>7</v>
      </c>
      <c r="T104" s="52">
        <f>ROUNDUP(MAX(salesforecast[[#This Row],[FY25 Average]],salesforecast[[#This Row],[July Schedule]]),0)</f>
        <v>22</v>
      </c>
      <c r="U104" s="52">
        <f>salesforecast[[#This Row],[Forecast]]-salesforecast[[#This Row],[July Schedule]]</f>
        <v>0.58889264000000452</v>
      </c>
      <c r="V104" t="str">
        <f>salesforecast[[#This Row],[Plant]]</f>
        <v>0789</v>
      </c>
      <c r="W104" s="66" t="str" cm="1">
        <f t="array" ref="W104">_xlfn.TEXTJOIN("|",TRUE,(_xlfn.UNIQUE(_xlfn._xlws.FILTER(scheduleapr[CUSTOMER NAME],scheduleapr[Bucket]=salesforecast[[#This Row],[Bucket]]))))</f>
        <v>NMPL TVSM</v>
      </c>
      <c r="X104" s="66" t="str" cm="1">
        <f t="array" ref="X104">_xlfn.TEXTJOIN("|",TRUE,(_xlfn.UNIQUE(_xlfn._xlws.SORT(_xlfn._xlws.FILTER(scheduleapr[LENGTH],scheduleapr[Bucket]=salesforecast[[#This Row],[Bucket]])))))</f>
        <v>140|730</v>
      </c>
      <c r="Y104" s="66" t="str" cm="1">
        <f t="array" ref="Y104">_xlfn.TEXTJOIN("|",TRUE,_xlfn._xlws.FILTER(buckets[Material Codes],(buckets[Bucket]=salesforecast[[#This Row],[Bucket2]])*(buckets[LL or CTL]="CTL")))</f>
        <v>2325414|3219709|1940881</v>
      </c>
      <c r="Z104" t="str">
        <f>salesforecast[[#This Row],[Bucket]]</f>
        <v>50-30-2-ERW 1-FC</v>
      </c>
      <c r="AA104" s="43">
        <f>salesforecast[[#This Row],[July Schedule]]</f>
        <v>21.411107359999995</v>
      </c>
      <c r="AB104" s="43">
        <f>SUMIF(salesTVS[buckets.Bucket],salesforecast[[#This Row],[Bucket]],salesTVS[Quantity])/1000</f>
        <v>40.550028000000005</v>
      </c>
      <c r="AC104" s="43">
        <f>SUMIFS(stock[MT],stock[Bucket],salesforecast[[#This Row],[Bucket]],stock[LL or CTL],"CTL")</f>
        <v>1.9920889999999998</v>
      </c>
      <c r="AD104" s="43">
        <f>SUMIF(stock[Bucket],salesforecast[[#This Row],[Bucket]],stock[MT])-salesforecast[[#This Row],[Stock CTL]]</f>
        <v>0</v>
      </c>
      <c r="AE104" s="43" t="e">
        <v>#REF!</v>
      </c>
      <c r="AF104" s="43">
        <f>SUMIF(wip[Bucket],salesforecast[[#This Row],[Bucket]],wip[Stock(Net Wt)])/1000</f>
        <v>0</v>
      </c>
      <c r="AG104" s="43" t="e">
        <v>#REF!</v>
      </c>
      <c r="AH104" s="43">
        <f>SUMIFS(stock[MT],stock[Bucket],salesforecast[[#This Row],[Bucket2]],stock[Plant],"0788")</f>
        <v>0</v>
      </c>
      <c r="AI104" s="43">
        <f>((salesforecast[[#This Row],[WIP]]+salesforecast[[#This Row],[Stock LL]]))/salesforecast[[#This Row],[July Schedule]]*30</f>
        <v>0</v>
      </c>
      <c r="AJ104" s="52">
        <f>salesforecast[[#This Row],[Stock LL]]/salesforecast[[#This Row],[Schedule]]*30</f>
        <v>0</v>
      </c>
      <c r="AK104" s="43">
        <f>SUMIFS(stock[MT],stock[Bucket],salesforecast[[#This Row],[Bucket2]],stock[Plant],"0789",stock[LL or CTL],"LL")</f>
        <v>0</v>
      </c>
      <c r="AL104" s="193">
        <f>(salesforecast[[#This Row],[Sales]])/salesforecast[[#This Row],[Schedule]]</f>
        <v>1.8938781314858633</v>
      </c>
      <c r="AM104" s="43">
        <f>SUMIFS(stock[MT],stock[Plant],salesforecast[[#This Row],[Plant]],stock[LL or CTL],"LL",stock[Bucket],salesforecast[[#This Row],[Bucket]])</f>
        <v>0</v>
      </c>
      <c r="AN104" s="43">
        <f>SUMIFS(scheduleapr[SCHEDULE IN MT],scheduleapr[CUSTOMER NAME],"*Rajsriya*",scheduleapr[Bucket],salesforecast[[#This Row],[Bucket]])</f>
        <v>0</v>
      </c>
      <c r="AO104" s="43">
        <f>SUMIFS(salesTVS[Quantity],salesTVS[CUSTOMER  NAME],"*RAJSRIYA*",salesTVS[buckets.Bucket],salesforecast[[#This Row],[Bucket]])/1000</f>
        <v>0</v>
      </c>
      <c r="AP104" s="43">
        <f>SUMIFS(stock[MT],stock[Plant],4318,stock[Bucket],salesforecast[[#This Row],[Bucket2]])</f>
        <v>0</v>
      </c>
      <c r="AQ104" s="43">
        <f>SUMIFS(stock[MT],stock[Plant],4731,stock[Bucket],salesforecast[[#This Row],[Bucket2]],stock[LL or CTL],"CTL")</f>
        <v>0.672481</v>
      </c>
      <c r="AR104" s="43">
        <f>SUMIFS(stock[MT],stock[Plant],4731,stock[Bucket],salesforecast[[#This Row],[Bucket2]])-salesforecast[[#This Row],[4731 Stock CTL]]</f>
        <v>0</v>
      </c>
      <c r="AS104" s="43">
        <f>SUMIFS(stock[MT],stock[Plant],8406,stock[Bucket],salesforecast[[#This Row],[Bucket2]])</f>
        <v>0</v>
      </c>
    </row>
    <row r="105" spans="1:45" x14ac:dyDescent="0.25">
      <c r="A105">
        <v>50.8</v>
      </c>
      <c r="B105">
        <v>50.8</v>
      </c>
      <c r="C105">
        <v>0</v>
      </c>
      <c r="D105">
        <v>1.4</v>
      </c>
      <c r="E105" t="s">
        <v>993</v>
      </c>
      <c r="F105" t="s">
        <v>1003</v>
      </c>
      <c r="G105" t="s">
        <v>239</v>
      </c>
      <c r="H105" t="str">
        <f>_xlfn.CONCAT(salesforecast[[#This Row],[OD]],"-",salesforecast[[#This Row],[ID]],"-",salesforecast[[#This Row],[TICKNESS]],"-",salesforecast[[#This Row],[GRADE]],"-",salesforecast[[#This Row],[FC/NFC]])</f>
        <v>50.8-0-1.4-ERW 2-FC</v>
      </c>
      <c r="I105" s="43">
        <f>SUMIFS(scheduleapr[SCHEDULE IN MT],scheduleapr[Bucket],salesforecast[[#This Row],[Bucket]])</f>
        <v>0</v>
      </c>
      <c r="J105">
        <v>2248503</v>
      </c>
      <c r="K105">
        <f>COUNTIF('helper sheet'!$A$1:$A$33,salesforecast[[#This Row],[LL Material Code]])</f>
        <v>0</v>
      </c>
      <c r="N105" t="s">
        <v>2491</v>
      </c>
      <c r="P105" s="47" t="s">
        <v>345</v>
      </c>
      <c r="Q105">
        <v>2</v>
      </c>
      <c r="R105">
        <v>17</v>
      </c>
      <c r="S105">
        <v>9</v>
      </c>
      <c r="T105" s="52">
        <f>ROUNDUP(MAX(salesforecast[[#This Row],[FY25 Average]],salesforecast[[#This Row],[July Schedule]]),0)</f>
        <v>9</v>
      </c>
      <c r="U105" s="52">
        <f>salesforecast[[#This Row],[Forecast]]-salesforecast[[#This Row],[July Schedule]]</f>
        <v>9</v>
      </c>
      <c r="V105" t="str">
        <f>salesforecast[[#This Row],[Plant]]</f>
        <v>0789</v>
      </c>
      <c r="W105" s="66" t="e" cm="1" vm="1">
        <f t="array" ref="W105">_xlfn.TEXTJOIN("|",TRUE,(_xlfn.UNIQUE(_xlfn._xlws.FILTER(scheduleapr[CUSTOMER NAME],scheduleapr[Bucket]=salesforecast[[#This Row],[Bucket]]))))</f>
        <v>#VALUE!</v>
      </c>
      <c r="X105" s="66" t="e" cm="1" vm="1">
        <f t="array" ref="X105">_xlfn.TEXTJOIN("|",TRUE,(_xlfn.UNIQUE(_xlfn._xlws.SORT(_xlfn._xlws.FILTER(scheduleapr[LENGTH],scheduleapr[Bucket]=salesforecast[[#This Row],[Bucket]])))))</f>
        <v>#VALUE!</v>
      </c>
      <c r="Y105" s="66" t="str" cm="1">
        <f t="array" ref="Y105">_xlfn.TEXTJOIN("|",TRUE,_xlfn._xlws.FILTER(buckets[Material Codes],(buckets[Bucket]=salesforecast[[#This Row],[Bucket2]])*(buckets[LL or CTL]="CTL")))</f>
        <v>3531648|1932730</v>
      </c>
      <c r="Z105" t="str">
        <f>salesforecast[[#This Row],[Bucket]]</f>
        <v>50.8-0-1.4-ERW 2-FC</v>
      </c>
      <c r="AA105" s="43">
        <f>salesforecast[[#This Row],[July Schedule]]</f>
        <v>0</v>
      </c>
      <c r="AB105" s="43">
        <f>SUMIF(salesTVS[buckets.Bucket],salesforecast[[#This Row],[Bucket]],salesTVS[Quantity])/1000</f>
        <v>0</v>
      </c>
      <c r="AC105" s="43">
        <f>SUMIFS(stock[MT],stock[Bucket],salesforecast[[#This Row],[Bucket]],stock[LL or CTL],"CTL")</f>
        <v>1.9419999999999999</v>
      </c>
      <c r="AD105" s="43">
        <f>SUMIF(stock[Bucket],salesforecast[[#This Row],[Bucket]],stock[MT])-salesforecast[[#This Row],[Stock CTL]]</f>
        <v>0</v>
      </c>
      <c r="AE105" s="43" t="e">
        <v>#REF!</v>
      </c>
      <c r="AF105" s="43">
        <f>SUMIF(wip[Bucket],salesforecast[[#This Row],[Bucket]],wip[Stock(Net Wt)])/1000</f>
        <v>0</v>
      </c>
      <c r="AG105" s="43" t="e">
        <v>#REF!</v>
      </c>
      <c r="AH105" s="43">
        <f>SUMIFS(stock[MT],stock[Bucket],salesforecast[[#This Row],[Bucket2]],stock[Plant],"0788")</f>
        <v>0</v>
      </c>
      <c r="AI105" s="43" t="e">
        <f>((salesforecast[[#This Row],[WIP]]+salesforecast[[#This Row],[Stock LL]]))/salesforecast[[#This Row],[July Schedule]]*30</f>
        <v>#DIV/0!</v>
      </c>
      <c r="AJ105" t="e">
        <f>salesforecast[[#This Row],[Stock LL]]/salesforecast[[#This Row],[Schedule]]*30</f>
        <v>#DIV/0!</v>
      </c>
      <c r="AK105" s="43">
        <f>SUMIFS(stock[MT],stock[Bucket],salesforecast[[#This Row],[Bucket2]],stock[Plant],"0789",stock[LL or CTL],"LL")</f>
        <v>0</v>
      </c>
      <c r="AL105" s="193" t="e">
        <f>(salesforecast[[#This Row],[Sales]])/salesforecast[[#This Row],[Schedule]]</f>
        <v>#DIV/0!</v>
      </c>
      <c r="AM105" s="43">
        <f>SUMIFS(stock[MT],stock[Plant],salesforecast[[#This Row],[Plant]],stock[LL or CTL],"LL",stock[Bucket],salesforecast[[#This Row],[Bucket]])</f>
        <v>0</v>
      </c>
      <c r="AN105" s="43">
        <f>SUMIFS(scheduleapr[SCHEDULE IN MT],scheduleapr[CUSTOMER NAME],"*Rajsriya*",scheduleapr[Bucket],salesforecast[[#This Row],[Bucket]])</f>
        <v>0</v>
      </c>
      <c r="AO105" s="43">
        <f>SUMIFS(salesTVS[Quantity],salesTVS[CUSTOMER  NAME],"*RAJSRIYA*",salesTVS[buckets.Bucket],salesforecast[[#This Row],[Bucket]])/1000</f>
        <v>0</v>
      </c>
      <c r="AP105" s="43">
        <f>SUMIFS(stock[MT],stock[Plant],4318,stock[Bucket],salesforecast[[#This Row],[Bucket2]])</f>
        <v>0</v>
      </c>
      <c r="AQ105" s="43">
        <f>SUMIFS(stock[MT],stock[Plant],4731,stock[Bucket],salesforecast[[#This Row],[Bucket2]],stock[LL or CTL],"CTL")</f>
        <v>0</v>
      </c>
      <c r="AR105" s="43">
        <f>SUMIFS(stock[MT],stock[Plant],4731,stock[Bucket],salesforecast[[#This Row],[Bucket2]])-salesforecast[[#This Row],[4731 Stock CTL]]</f>
        <v>0</v>
      </c>
      <c r="AS105" s="43">
        <f>SUMIFS(stock[MT],stock[Plant],8406,stock[Bucket],salesforecast[[#This Row],[Bucket2]])</f>
        <v>0</v>
      </c>
    </row>
    <row r="106" spans="1:45" x14ac:dyDescent="0.25">
      <c r="A106">
        <v>50.8</v>
      </c>
      <c r="B106">
        <v>50.8</v>
      </c>
      <c r="C106">
        <v>0</v>
      </c>
      <c r="D106">
        <v>1.6</v>
      </c>
      <c r="E106" t="s">
        <v>962</v>
      </c>
      <c r="F106" t="s">
        <v>1003</v>
      </c>
      <c r="G106" t="s">
        <v>239</v>
      </c>
      <c r="H106" t="str">
        <f>_xlfn.CONCAT(salesforecast[[#This Row],[OD]],"-",salesforecast[[#This Row],[ID]],"-",salesforecast[[#This Row],[TICKNESS]],"-",salesforecast[[#This Row],[GRADE]],"-",salesforecast[[#This Row],[FC/NFC]])</f>
        <v>50.8-0-1.6-ERW 1-FC</v>
      </c>
      <c r="I106" s="43">
        <f>SUMIFS(scheduleapr[SCHEDULE IN MT],scheduleapr[Bucket],salesforecast[[#This Row],[Bucket]])</f>
        <v>11.205632592000002</v>
      </c>
      <c r="J106">
        <v>3569247</v>
      </c>
      <c r="K106">
        <f>COUNTIF('helper sheet'!$A$1:$A$33,salesforecast[[#This Row],[LL Material Code]])</f>
        <v>0</v>
      </c>
      <c r="N106" t="s">
        <v>2492</v>
      </c>
      <c r="P106" s="47" t="s">
        <v>345</v>
      </c>
      <c r="Q106">
        <v>0</v>
      </c>
      <c r="R106">
        <v>19</v>
      </c>
      <c r="S106">
        <v>5</v>
      </c>
      <c r="T106" s="52">
        <f>ROUNDUP(MAX(salesforecast[[#This Row],[FY25 Average]],salesforecast[[#This Row],[July Schedule]]),0)</f>
        <v>12</v>
      </c>
      <c r="U106" s="52">
        <f>salesforecast[[#This Row],[Forecast]]-salesforecast[[#This Row],[July Schedule]]</f>
        <v>0.79436740799999761</v>
      </c>
      <c r="V106" t="str">
        <f>salesforecast[[#This Row],[Plant]]</f>
        <v>0789</v>
      </c>
      <c r="W106" s="66" t="str" cm="1">
        <f t="array" ref="W106">_xlfn.TEXTJOIN("|",TRUE,(_xlfn.UNIQUE(_xlfn._xlws.FILTER(scheduleapr[CUSTOMER NAME],scheduleapr[Bucket]=salesforecast[[#This Row],[Bucket]]))))</f>
        <v xml:space="preserve">NMPL HUB|Sandhar Engg Mysore </v>
      </c>
      <c r="X106" s="66" t="str" cm="1">
        <f t="array" ref="X106">_xlfn.TEXTJOIN("|",TRUE,(_xlfn.UNIQUE(_xlfn._xlws.SORT(_xlfn._xlws.FILTER(scheduleapr[LENGTH],scheduleapr[Bucket]=salesforecast[[#This Row],[Bucket]])))))</f>
        <v>385|753</v>
      </c>
      <c r="Y106" s="66" t="str" cm="1">
        <f t="array" ref="Y106">_xlfn.TEXTJOIN("|",TRUE,_xlfn._xlws.FILTER(buckets[Material Codes],(buckets[Bucket]=salesforecast[[#This Row],[Bucket2]])*(buckets[LL or CTL]="CTL")))</f>
        <v>3508740|2353927|1399336</v>
      </c>
      <c r="Z106" t="str">
        <f>salesforecast[[#This Row],[Bucket]]</f>
        <v>50.8-0-1.6-ERW 1-FC</v>
      </c>
      <c r="AA106" s="43">
        <f>salesforecast[[#This Row],[July Schedule]]</f>
        <v>11.205632592000002</v>
      </c>
      <c r="AB106" s="43">
        <f>SUMIF(salesTVS[buckets.Bucket],salesforecast[[#This Row],[Bucket]],salesTVS[Quantity])/1000</f>
        <v>0</v>
      </c>
      <c r="AC106" s="43">
        <f>SUMIFS(stock[MT],stock[Bucket],salesforecast[[#This Row],[Bucket]],stock[LL or CTL],"CTL")</f>
        <v>3.5970400000000002</v>
      </c>
      <c r="AD106" s="43">
        <f>SUMIF(stock[Bucket],salesforecast[[#This Row],[Bucket]],stock[MT])-salesforecast[[#This Row],[Stock CTL]]</f>
        <v>0</v>
      </c>
      <c r="AE106" s="43" t="e">
        <v>#REF!</v>
      </c>
      <c r="AF106" s="43">
        <f>SUMIF(wip[Bucket],salesforecast[[#This Row],[Bucket]],wip[Stock(Net Wt)])/1000</f>
        <v>1.456</v>
      </c>
      <c r="AG106" s="43" t="e">
        <v>#REF!</v>
      </c>
      <c r="AH106" s="43">
        <f>SUMIFS(stock[MT],stock[Bucket],salesforecast[[#This Row],[Bucket2]],stock[Plant],"0788")</f>
        <v>0</v>
      </c>
      <c r="AI106" s="43">
        <f>((salesforecast[[#This Row],[WIP]]+salesforecast[[#This Row],[Stock LL]]))/salesforecast[[#This Row],[July Schedule]]*30</f>
        <v>3.8980396368862129</v>
      </c>
      <c r="AJ106" s="52">
        <f>salesforecast[[#This Row],[Stock LL]]/salesforecast[[#This Row],[Schedule]]*30</f>
        <v>0</v>
      </c>
      <c r="AK106" s="43">
        <f>SUMIFS(stock[MT],stock[Bucket],salesforecast[[#This Row],[Bucket2]],stock[Plant],"0789",stock[LL or CTL],"LL")</f>
        <v>0</v>
      </c>
      <c r="AL106" s="193">
        <f>(salesforecast[[#This Row],[Sales]])/salesforecast[[#This Row],[Schedule]]</f>
        <v>0</v>
      </c>
      <c r="AM106" s="43">
        <f>SUMIFS(stock[MT],stock[Plant],salesforecast[[#This Row],[Plant]],stock[LL or CTL],"LL",stock[Bucket],salesforecast[[#This Row],[Bucket]])</f>
        <v>0</v>
      </c>
      <c r="AN106" s="43">
        <f>SUMIFS(scheduleapr[SCHEDULE IN MT],scheduleapr[CUSTOMER NAME],"*Rajsriya*",scheduleapr[Bucket],salesforecast[[#This Row],[Bucket]])</f>
        <v>0</v>
      </c>
      <c r="AO106" s="43">
        <f>SUMIFS(salesTVS[Quantity],salesTVS[CUSTOMER  NAME],"*RAJSRIYA*",salesTVS[buckets.Bucket],salesforecast[[#This Row],[Bucket]])/1000</f>
        <v>0</v>
      </c>
      <c r="AP106" s="43">
        <f>SUMIFS(stock[MT],stock[Plant],4318,stock[Bucket],salesforecast[[#This Row],[Bucket2]])</f>
        <v>0</v>
      </c>
      <c r="AQ106" s="43">
        <f>SUMIFS(stock[MT],stock[Plant],4731,stock[Bucket],salesforecast[[#This Row],[Bucket2]],stock[LL or CTL],"CTL")</f>
        <v>0</v>
      </c>
      <c r="AR106" s="43">
        <f>SUMIFS(stock[MT],stock[Plant],4731,stock[Bucket],salesforecast[[#This Row],[Bucket2]])-salesforecast[[#This Row],[4731 Stock CTL]]</f>
        <v>0</v>
      </c>
      <c r="AS106" s="43">
        <f>SUMIFS(stock[MT],stock[Plant],8406,stock[Bucket],salesforecast[[#This Row],[Bucket2]])</f>
        <v>0</v>
      </c>
    </row>
    <row r="107" spans="1:45" ht="30" x14ac:dyDescent="0.25">
      <c r="A107">
        <v>54</v>
      </c>
      <c r="B107">
        <v>54</v>
      </c>
      <c r="C107">
        <v>0</v>
      </c>
      <c r="D107">
        <v>3</v>
      </c>
      <c r="E107" t="s">
        <v>993</v>
      </c>
      <c r="F107" t="s">
        <v>1003</v>
      </c>
      <c r="G107" t="s">
        <v>239</v>
      </c>
      <c r="H107" t="str">
        <f>_xlfn.CONCAT(salesforecast[[#This Row],[OD]],"-",salesforecast[[#This Row],[ID]],"-",salesforecast[[#This Row],[TICKNESS]],"-",salesforecast[[#This Row],[GRADE]],"-",salesforecast[[#This Row],[FC/NFC]])</f>
        <v>54-0-3-ERW 2-FC</v>
      </c>
      <c r="I107" s="43">
        <f>SUMIFS(scheduleapr[SCHEDULE IN MT],scheduleapr[Bucket],salesforecast[[#This Row],[Bucket]])</f>
        <v>38.693507220000001</v>
      </c>
      <c r="J107">
        <v>3777563</v>
      </c>
      <c r="K107">
        <f>COUNTIF('helper sheet'!$A$1:$A$33,salesforecast[[#This Row],[LL Material Code]])</f>
        <v>0</v>
      </c>
      <c r="N107" t="s">
        <v>2391</v>
      </c>
      <c r="P107" s="47" t="s">
        <v>362</v>
      </c>
      <c r="Q107">
        <v>0</v>
      </c>
      <c r="R107">
        <v>13</v>
      </c>
      <c r="S107">
        <v>7</v>
      </c>
      <c r="T107" s="52">
        <f>ROUNDUP(MAX(salesforecast[[#This Row],[FY25 Average]],salesforecast[[#This Row],[July Schedule]]),0)</f>
        <v>39</v>
      </c>
      <c r="U107" s="52">
        <f>salesforecast[[#This Row],[Forecast]]-salesforecast[[#This Row],[July Schedule]]</f>
        <v>0.30649277999999924</v>
      </c>
      <c r="V107" t="str">
        <f>salesforecast[[#This Row],[Plant]]</f>
        <v>0788</v>
      </c>
      <c r="W107" s="66" t="str" cm="1">
        <f t="array" ref="W107">_xlfn.TEXTJOIN("|",TRUE,(_xlfn.UNIQUE(_xlfn._xlws.FILTER(scheduleapr[CUSTOMER NAME],scheduleapr[Bucket]=salesforecast[[#This Row],[Bucket]]))))</f>
        <v>Laxmi|NMPL TVSM</v>
      </c>
      <c r="X107" s="66" t="str" cm="1">
        <f t="array" ref="X107">_xlfn.TEXTJOIN("|",TRUE,(_xlfn.UNIQUE(_xlfn._xlws.SORT(_xlfn._xlws.FILTER(scheduleapr[LENGTH],scheduleapr[Bucket]=salesforecast[[#This Row],[Bucket]])))))</f>
        <v>1140|5750</v>
      </c>
      <c r="Y107" s="66" t="str" cm="1">
        <f t="array" ref="Y107">_xlfn.TEXTJOIN("|",TRUE,_xlfn._xlws.FILTER(buckets[Material Codes],(buckets[Bucket]=salesforecast[[#This Row],[Bucket2]])))</f>
        <v>2396464|3711330|1474091|277172|2397139|3777563</v>
      </c>
      <c r="Z107" t="str">
        <f>salesforecast[[#This Row],[Bucket]]</f>
        <v>54-0-3-ERW 2-FC</v>
      </c>
      <c r="AA107" s="43">
        <f>salesforecast[[#This Row],[July Schedule]]</f>
        <v>38.693507220000001</v>
      </c>
      <c r="AB107" s="43">
        <f>SUMIF(salesTVS[buckets.Bucket],salesforecast[[#This Row],[Bucket]],salesTVS[Quantity])/1000</f>
        <v>41.545660000000005</v>
      </c>
      <c r="AC107" s="43">
        <f>SUMIFS(stock[MT],stock[Bucket],salesforecast[[#This Row],[Bucket]],stock[LL or CTL],"CTL")</f>
        <v>5.13476</v>
      </c>
      <c r="AD107" s="43">
        <f>SUMIF(stock[Bucket],salesforecast[[#This Row],[Bucket]],stock[MT])-salesforecast[[#This Row],[Stock CTL]]</f>
        <v>39.157000000000004</v>
      </c>
      <c r="AE107" s="43" t="e">
        <v>#REF!</v>
      </c>
      <c r="AF107" s="43">
        <f>SUMIF(wip[Bucket],salesforecast[[#This Row],[Bucket]],wip[Stock(Net Wt)])/1000</f>
        <v>0</v>
      </c>
      <c r="AG107" s="43" t="e">
        <v>#REF!</v>
      </c>
      <c r="AH107" s="43">
        <f>SUMIFS(stock[MT],stock[Bucket],salesforecast[[#This Row],[Bucket2]],stock[Plant],"0788")</f>
        <v>13.561</v>
      </c>
      <c r="AI107" s="43">
        <f>((salesforecast[[#This Row],[WIP]]+salesforecast[[#This Row],[Stock LL]]))/salesforecast[[#This Row],[July Schedule]]*30</f>
        <v>30.359357018761354</v>
      </c>
      <c r="AJ107" s="52">
        <f>salesforecast[[#This Row],[Stock LL]]/salesforecast[[#This Row],[Schedule]]*30</f>
        <v>30.359357018761354</v>
      </c>
      <c r="AK107" s="43">
        <f>SUMIFS(stock[MT],stock[Bucket],salesforecast[[#This Row],[Bucket2]],stock[Plant],"0789",stock[LL or CTL],"LL")</f>
        <v>0</v>
      </c>
      <c r="AL107" s="193">
        <f>(salesforecast[[#This Row],[Sales]])/salesforecast[[#This Row],[Schedule]]</f>
        <v>1.0737114049595839</v>
      </c>
      <c r="AM107" s="43">
        <f>SUMIFS(stock[MT],stock[Plant],salesforecast[[#This Row],[Plant]],stock[LL or CTL],"LL",stock[Bucket],salesforecast[[#This Row],[Bucket]])</f>
        <v>13.561</v>
      </c>
      <c r="AN107" s="43">
        <f>SUMIFS(scheduleapr[SCHEDULE IN MT],scheduleapr[CUSTOMER NAME],"*Rajsriya*",scheduleapr[Bucket],salesforecast[[#This Row],[Bucket]])</f>
        <v>0</v>
      </c>
      <c r="AO107" s="43">
        <f>SUMIFS(salesTVS[Quantity],salesTVS[CUSTOMER  NAME],"*RAJSRIYA*",salesTVS[buckets.Bucket],salesforecast[[#This Row],[Bucket]])/1000</f>
        <v>0</v>
      </c>
      <c r="AP107" s="43">
        <f>SUMIFS(stock[MT],stock[Plant],4318,stock[Bucket],salesforecast[[#This Row],[Bucket2]])</f>
        <v>0</v>
      </c>
      <c r="AQ107" s="43">
        <f>SUMIFS(stock[MT],stock[Plant],4731,stock[Bucket],salesforecast[[#This Row],[Bucket2]],stock[LL or CTL],"CTL")</f>
        <v>0.17042000000000002</v>
      </c>
      <c r="AR107" s="43">
        <f>SUMIFS(stock[MT],stock[Plant],4731,stock[Bucket],salesforecast[[#This Row],[Bucket2]])-salesforecast[[#This Row],[4731 Stock CTL]]</f>
        <v>6.8230000000000004</v>
      </c>
      <c r="AS107" s="43">
        <f>SUMIFS(stock[MT],stock[Plant],8406,stock[Bucket],salesforecast[[#This Row],[Bucket2]])</f>
        <v>23.737340000000003</v>
      </c>
    </row>
    <row r="108" spans="1:45" ht="30" x14ac:dyDescent="0.25">
      <c r="A108">
        <v>57.15</v>
      </c>
      <c r="B108">
        <v>57.15</v>
      </c>
      <c r="C108">
        <v>0</v>
      </c>
      <c r="D108">
        <v>2</v>
      </c>
      <c r="E108" t="s">
        <v>962</v>
      </c>
      <c r="F108" t="s">
        <v>1003</v>
      </c>
      <c r="G108" t="s">
        <v>239</v>
      </c>
      <c r="H108" t="str">
        <f>_xlfn.CONCAT(salesforecast[[#This Row],[OD]],"-",salesforecast[[#This Row],[ID]],"-",salesforecast[[#This Row],[TICKNESS]],"-",salesforecast[[#This Row],[GRADE]],"-",salesforecast[[#This Row],[FC/NFC]])</f>
        <v>57.15-0-2-ERW 1-FC</v>
      </c>
      <c r="I108" s="43">
        <f>SUMIFS(scheduleapr[SCHEDULE IN MT],scheduleapr[Bucket],salesforecast[[#This Row],[Bucket]])</f>
        <v>30.539972595865002</v>
      </c>
      <c r="J108">
        <v>3614251</v>
      </c>
      <c r="K108">
        <f>COUNTIF('helper sheet'!$A$1:$A$33,salesforecast[[#This Row],[LL Material Code]])</f>
        <v>1</v>
      </c>
      <c r="L108">
        <v>3727461</v>
      </c>
      <c r="N108" t="s">
        <v>2372</v>
      </c>
      <c r="P108" s="47" t="s">
        <v>345</v>
      </c>
      <c r="Q108">
        <v>6</v>
      </c>
      <c r="R108">
        <v>19</v>
      </c>
      <c r="S108">
        <v>10</v>
      </c>
      <c r="T108" s="52">
        <f>ROUNDUP(MAX(salesforecast[[#This Row],[FY25 Average]],salesforecast[[#This Row],[July Schedule]]),0)</f>
        <v>31</v>
      </c>
      <c r="U108" s="52">
        <f>salesforecast[[#This Row],[Forecast]]-salesforecast[[#This Row],[July Schedule]]</f>
        <v>0.46002740413499765</v>
      </c>
      <c r="V108" t="str">
        <f>salesforecast[[#This Row],[Plant]]</f>
        <v>0789</v>
      </c>
      <c r="W108" s="66" t="str" cm="1">
        <f t="array" ref="W108">_xlfn.TEXTJOIN("|",TRUE,(_xlfn.UNIQUE(_xlfn._xlws.FILTER(scheduleapr[CUSTOMER NAME],scheduleapr[Bucket]=salesforecast[[#This Row],[Bucket]]))))</f>
        <v>ELKAYEM AUTO MYSORE |Rajsriya Unit 8</v>
      </c>
      <c r="X108" s="66" t="str" cm="1">
        <f t="array" ref="X108">_xlfn.TEXTJOIN("|",TRUE,(_xlfn.UNIQUE(_xlfn._xlws.SORT(_xlfn._xlws.FILTER(scheduleapr[LENGTH],scheduleapr[Bucket]=salesforecast[[#This Row],[Bucket]])))))</f>
        <v>409|713</v>
      </c>
      <c r="Y108" s="66" t="str" cm="1">
        <f t="array" ref="Y108">_xlfn.TEXTJOIN("|",TRUE,_xlfn._xlws.FILTER(buckets[Material Codes],(buckets[Bucket]=salesforecast[[#This Row],[Bucket2]])*(buckets[LL or CTL]="CTL")))</f>
        <v>2427938|4020857|3727461|3616160|460176|1940908|3783938</v>
      </c>
      <c r="Z108" t="str">
        <f>salesforecast[[#This Row],[Bucket]]</f>
        <v>57.15-0-2-ERW 1-FC</v>
      </c>
      <c r="AA108" s="43">
        <f>salesforecast[[#This Row],[July Schedule]]</f>
        <v>30.539972595865002</v>
      </c>
      <c r="AB108" s="43">
        <f>SUMIF(salesTVS[buckets.Bucket],salesforecast[[#This Row],[Bucket]],salesTVS[Quantity])/1000</f>
        <v>11.995132</v>
      </c>
      <c r="AC108" s="43">
        <f>SUMIFS(stock[MT],stock[Bucket],salesforecast[[#This Row],[Bucket]],stock[LL or CTL],"CTL")</f>
        <v>1.2734259999999999</v>
      </c>
      <c r="AD108" s="43">
        <f>SUMIF(stock[Bucket],salesforecast[[#This Row],[Bucket]],stock[MT])-salesforecast[[#This Row],[Stock CTL]]</f>
        <v>2.4550979999999996</v>
      </c>
      <c r="AE108" s="43" t="e">
        <v>#REF!</v>
      </c>
      <c r="AF108" s="43">
        <f>SUMIF(wip[Bucket],salesforecast[[#This Row],[Bucket]],wip[Stock(Net Wt)])/1000</f>
        <v>0</v>
      </c>
      <c r="AG108" s="43" t="e">
        <v>#REF!</v>
      </c>
      <c r="AH108" s="43">
        <f>SUMIFS(stock[MT],stock[Bucket],salesforecast[[#This Row],[Bucket2]],stock[Plant],"0788")</f>
        <v>0</v>
      </c>
      <c r="AI108" s="43">
        <f>((salesforecast[[#This Row],[WIP]]+salesforecast[[#This Row],[Stock LL]]))/salesforecast[[#This Row],[July Schedule]]*30</f>
        <v>2.4116897868458573</v>
      </c>
      <c r="AJ108" s="52">
        <f>salesforecast[[#This Row],[Stock LL]]/salesforecast[[#This Row],[Schedule]]*30</f>
        <v>2.4116897868458573</v>
      </c>
      <c r="AK108" s="43">
        <f>SUMIFS(stock[MT],stock[Bucket],salesforecast[[#This Row],[Bucket2]],stock[Plant],"0789",stock[LL or CTL],"LL")</f>
        <v>0</v>
      </c>
      <c r="AL108" s="193">
        <f>(salesforecast[[#This Row],[Sales]])/salesforecast[[#This Row],[Schedule]]</f>
        <v>0.39276826337506587</v>
      </c>
      <c r="AM108" s="43">
        <f>SUMIFS(stock[MT],stock[Plant],salesforecast[[#This Row],[Plant]],stock[LL or CTL],"LL",stock[Bucket],salesforecast[[#This Row],[Bucket]])</f>
        <v>0</v>
      </c>
      <c r="AN108" s="43">
        <f>SUMIFS(scheduleapr[SCHEDULE IN MT],scheduleapr[CUSTOMER NAME],"*Rajsriya*",scheduleapr[Bucket],salesforecast[[#This Row],[Bucket]])</f>
        <v>16.679744134500002</v>
      </c>
      <c r="AO108" s="43">
        <f>SUMIFS(salesTVS[Quantity],salesTVS[CUSTOMER  NAME],"*RAJSRIYA*",salesTVS[buckets.Bucket],salesforecast[[#This Row],[Bucket]])/1000</f>
        <v>5.7227250000000005</v>
      </c>
      <c r="AP108" s="43">
        <f>SUMIFS(stock[MT],stock[Plant],4318,stock[Bucket],salesforecast[[#This Row],[Bucket2]])</f>
        <v>0</v>
      </c>
      <c r="AQ108" s="43">
        <f>SUMIFS(stock[MT],stock[Plant],4731,stock[Bucket],salesforecast[[#This Row],[Bucket2]],stock[LL or CTL],"CTL")</f>
        <v>0</v>
      </c>
      <c r="AR108" s="43">
        <f>SUMIFS(stock[MT],stock[Plant],4731,stock[Bucket],salesforecast[[#This Row],[Bucket2]])-salesforecast[[#This Row],[4731 Stock CTL]]</f>
        <v>2.455098</v>
      </c>
      <c r="AS108" s="43">
        <f>SUMIFS(stock[MT],stock[Plant],8406,stock[Bucket],salesforecast[[#This Row],[Bucket2]])</f>
        <v>0.125917</v>
      </c>
    </row>
    <row r="109" spans="1:45" ht="30" x14ac:dyDescent="0.25">
      <c r="A109">
        <v>57.15</v>
      </c>
      <c r="B109">
        <v>57.15</v>
      </c>
      <c r="C109">
        <v>0</v>
      </c>
      <c r="D109">
        <v>2.2999999999999998</v>
      </c>
      <c r="E109" t="s">
        <v>993</v>
      </c>
      <c r="F109" t="s">
        <v>1003</v>
      </c>
      <c r="G109" t="s">
        <v>239</v>
      </c>
      <c r="H109" t="str">
        <f>_xlfn.CONCAT(salesforecast[[#This Row],[OD]],"-",salesforecast[[#This Row],[ID]],"-",salesforecast[[#This Row],[TICKNESS]],"-",salesforecast[[#This Row],[GRADE]],"-",salesforecast[[#This Row],[FC/NFC]])</f>
        <v>57.15-0-2.3-ERW 2-FC</v>
      </c>
      <c r="I109" s="43">
        <f>SUMIFS(scheduleapr[SCHEDULE IN MT],scheduleapr[Bucket],salesforecast[[#This Row],[Bucket]])</f>
        <v>50.935159466099996</v>
      </c>
      <c r="J109">
        <v>3682118</v>
      </c>
      <c r="K109">
        <f>COUNTIF('helper sheet'!$A$1:$A$33,salesforecast[[#This Row],[LL Material Code]])</f>
        <v>0</v>
      </c>
      <c r="N109" t="s">
        <v>2387</v>
      </c>
      <c r="P109" s="47" t="s">
        <v>367</v>
      </c>
      <c r="Q109">
        <v>20</v>
      </c>
      <c r="R109">
        <v>199</v>
      </c>
      <c r="S109">
        <v>64</v>
      </c>
      <c r="T109" s="52">
        <v>60</v>
      </c>
      <c r="U109" s="52">
        <f>salesforecast[[#This Row],[Forecast]]-salesforecast[[#This Row],[July Schedule]]</f>
        <v>9.0648405339000035</v>
      </c>
      <c r="V109" t="str">
        <f>salesforecast[[#This Row],[Plant]]</f>
        <v>056</v>
      </c>
      <c r="W109" s="66" t="str" cm="1">
        <f t="array" ref="W109">_xlfn.TEXTJOIN("|",TRUE,(_xlfn.UNIQUE(_xlfn._xlws.FILTER(scheduleapr[CUSTOMER NAME],scheduleapr[Bucket]=salesforecast[[#This Row],[Bucket]]))))</f>
        <v>NMPL HUB</v>
      </c>
      <c r="X109" s="66" t="str" cm="1">
        <f t="array" ref="X109">_xlfn.TEXTJOIN("|",TRUE,(_xlfn.UNIQUE(_xlfn._xlws.SORT(_xlfn._xlws.FILTER(scheduleapr[LENGTH],scheduleapr[Bucket]=salesforecast[[#This Row],[Bucket]])))))</f>
        <v>1365</v>
      </c>
      <c r="Y109" s="66" t="str" cm="1">
        <f t="array" ref="Y109">_xlfn.TEXTJOIN("|",TRUE,_xlfn._xlws.FILTER(buckets[Material Codes],(buckets[Bucket]=salesforecast[[#This Row],[Bucket2]])))</f>
        <v>3182342|3157631|3781680|3682118</v>
      </c>
      <c r="Z109" t="str">
        <f>salesforecast[[#This Row],[Bucket]]</f>
        <v>57.15-0-2.3-ERW 2-FC</v>
      </c>
      <c r="AA109" s="43">
        <f>salesforecast[[#This Row],[July Schedule]]</f>
        <v>50.935159466099996</v>
      </c>
      <c r="AB109" s="43">
        <f>SUMIF(salesTVS[buckets.Bucket],salesforecast[[#This Row],[Bucket]],salesTVS[Quantity])/1000</f>
        <v>48.703773999999996</v>
      </c>
      <c r="AC109" s="43">
        <f>SUMIFS(stock[MT],stock[Bucket],salesforecast[[#This Row],[Bucket]],stock[LL or CTL],"CTL")</f>
        <v>2.1322909999999999</v>
      </c>
      <c r="AD109" s="43">
        <f>SUMIF(stock[Bucket],salesforecast[[#This Row],[Bucket]],stock[MT])-salesforecast[[#This Row],[Stock CTL]]</f>
        <v>19.938757000000003</v>
      </c>
      <c r="AE109" s="43" t="e">
        <v>#REF!</v>
      </c>
      <c r="AF109" s="43">
        <f>SUMIF(wip[Bucket],salesforecast[[#This Row],[Bucket]],wip[Stock(Net Wt)])/1000</f>
        <v>0</v>
      </c>
      <c r="AG109" s="43" t="e">
        <v>#REF!</v>
      </c>
      <c r="AH109" s="43">
        <f>SUMIFS(stock[MT],stock[Bucket],salesforecast[[#This Row],[Bucket2]],stock[Plant],"0788")</f>
        <v>0</v>
      </c>
      <c r="AI109" s="52">
        <f>((salesforecast[[#This Row],[WIP]]+salesforecast[[#This Row],[Stock LL]]))/salesforecast[[#This Row],[July Schedule]]*30</f>
        <v>11.743611216101296</v>
      </c>
      <c r="AJ109" s="52">
        <f>salesforecast[[#This Row],[Stock LL]]/salesforecast[[#This Row],[Schedule]]*30</f>
        <v>11.743611216101296</v>
      </c>
      <c r="AK109" s="43">
        <f>SUMIFS(stock[MT],stock[Bucket],salesforecast[[#This Row],[Bucket2]],stock[Plant],"0789",stock[LL or CTL],"LL")</f>
        <v>0</v>
      </c>
      <c r="AL109" s="193">
        <f>(salesforecast[[#This Row],[Sales]])/salesforecast[[#This Row],[Schedule]]</f>
        <v>0.95619164660542377</v>
      </c>
      <c r="AM109" s="43">
        <f>SUMIFS(stock[MT],stock[Plant],salesforecast[[#This Row],[Plant]],stock[LL or CTL],"LL",stock[Bucket],salesforecast[[#This Row],[Bucket]])</f>
        <v>0</v>
      </c>
      <c r="AN109" s="43">
        <f>SUMIFS(scheduleapr[SCHEDULE IN MT],scheduleapr[CUSTOMER NAME],"*Rajsriya*",scheduleapr[Bucket],salesforecast[[#This Row],[Bucket]])</f>
        <v>0</v>
      </c>
      <c r="AO109" s="43">
        <f>SUMIFS(salesTVS[Quantity],salesTVS[CUSTOMER  NAME],"*RAJSRIYA*",salesTVS[buckets.Bucket],salesforecast[[#This Row],[Bucket]])/1000</f>
        <v>0</v>
      </c>
      <c r="AP109" s="43">
        <f>SUMIFS(stock[MT],stock[Plant],4318,stock[Bucket],salesforecast[[#This Row],[Bucket2]])</f>
        <v>0</v>
      </c>
      <c r="AQ109" s="43">
        <f>SUMIFS(stock[MT],stock[Plant],4731,stock[Bucket],salesforecast[[#This Row],[Bucket2]],stock[LL or CTL],"CTL")</f>
        <v>0</v>
      </c>
      <c r="AR109" s="43">
        <f>SUMIFS(stock[MT],stock[Plant],4731,stock[Bucket],salesforecast[[#This Row],[Bucket2]])-salesforecast[[#This Row],[4731 Stock CTL]]</f>
        <v>7.7157000000000003E-2</v>
      </c>
      <c r="AS109" s="43">
        <f>SUMIFS(stock[MT],stock[Plant],8406,stock[Bucket],salesforecast[[#This Row],[Bucket2]])</f>
        <v>21.993891000000001</v>
      </c>
    </row>
    <row r="110" spans="1:45" ht="60" x14ac:dyDescent="0.25">
      <c r="A110">
        <v>57.15</v>
      </c>
      <c r="B110">
        <v>57.15</v>
      </c>
      <c r="C110">
        <v>0</v>
      </c>
      <c r="D110">
        <v>2.5</v>
      </c>
      <c r="E110" t="s">
        <v>962</v>
      </c>
      <c r="F110" t="s">
        <v>1003</v>
      </c>
      <c r="G110" t="s">
        <v>239</v>
      </c>
      <c r="H110" t="str">
        <f>_xlfn.CONCAT(salesforecast[[#This Row],[OD]],"-",salesforecast[[#This Row],[ID]],"-",salesforecast[[#This Row],[TICKNESS]],"-",salesforecast[[#This Row],[GRADE]],"-",salesforecast[[#This Row],[FC/NFC]])</f>
        <v>57.15-0-2.5-ERW 1-FC</v>
      </c>
      <c r="I110" s="43">
        <f>SUMIFS(scheduleapr[SCHEDULE IN MT],scheduleapr[Bucket],salesforecast[[#This Row],[Bucket]])</f>
        <v>12.999204752499999</v>
      </c>
      <c r="J110">
        <v>3501047</v>
      </c>
      <c r="K110">
        <f>COUNTIF('helper sheet'!$A$1:$A$33,salesforecast[[#This Row],[LL Material Code]])</f>
        <v>0</v>
      </c>
      <c r="N110" t="s">
        <v>2371</v>
      </c>
      <c r="P110" s="47" t="s">
        <v>345</v>
      </c>
      <c r="Q110">
        <v>11</v>
      </c>
      <c r="R110">
        <v>51</v>
      </c>
      <c r="S110">
        <v>31</v>
      </c>
      <c r="T110" s="52">
        <f>ROUNDUP(MAX(salesforecast[[#This Row],[FY25 Average]],salesforecast[[#This Row],[July Schedule]]),0)</f>
        <v>31</v>
      </c>
      <c r="U110" s="52">
        <f>salesforecast[[#This Row],[Forecast]]-salesforecast[[#This Row],[July Schedule]]</f>
        <v>18.000795247500001</v>
      </c>
      <c r="V110" t="str">
        <f>salesforecast[[#This Row],[Plant]]</f>
        <v>0789</v>
      </c>
      <c r="W110" s="66" t="str" cm="1">
        <f t="array" ref="W110">_xlfn.TEXTJOIN("|",TRUE,(_xlfn.UNIQUE(_xlfn._xlws.FILTER(scheduleapr[CUSTOMER NAME],scheduleapr[Bucket]=salesforecast[[#This Row],[Bucket]]))))</f>
        <v>Metalman|Rajsriya Unit 8|Rajsriya Mysore |RUCHA</v>
      </c>
      <c r="X110" s="66" t="str" cm="1">
        <f t="array" ref="X110">_xlfn.TEXTJOIN("|",TRUE,(_xlfn.UNIQUE(_xlfn._xlws.SORT(_xlfn._xlws.FILTER(scheduleapr[LENGTH],scheduleapr[Bucket]=salesforecast[[#This Row],[Bucket]])))))</f>
        <v>326|346|375|376|526|772</v>
      </c>
      <c r="Y110" s="66" t="str" cm="1">
        <f t="array" ref="Y110">_xlfn.TEXTJOIN("|",TRUE,_xlfn._xlws.FILTER(buckets[Material Codes],(buckets[Bucket]=salesforecast[[#This Row],[Bucket2]])*(buckets[LL or CTL]="CTL")))</f>
        <v>3732177|3768906|2440972|4020859|2320566|2440970|3731697|1174860|1940911|3784472|3542858|3542857|1940913</v>
      </c>
      <c r="Z110" t="str">
        <f>salesforecast[[#This Row],[Bucket]]</f>
        <v>57.15-0-2.5-ERW 1-FC</v>
      </c>
      <c r="AA110" s="43">
        <f>salesforecast[[#This Row],[July Schedule]]</f>
        <v>12.999204752499999</v>
      </c>
      <c r="AB110" s="43">
        <f>SUMIF(salesTVS[buckets.Bucket],salesforecast[[#This Row],[Bucket]],salesTVS[Quantity])/1000</f>
        <v>4.5005589999999991</v>
      </c>
      <c r="AC110" s="43">
        <f>SUMIFS(stock[MT],stock[Bucket],salesforecast[[#This Row],[Bucket]],stock[LL or CTL],"CTL")</f>
        <v>1.5624000000000001E-2</v>
      </c>
      <c r="AD110" s="43">
        <f>SUMIF(stock[Bucket],salesforecast[[#This Row],[Bucket]],stock[MT])-salesforecast[[#This Row],[Stock CTL]]</f>
        <v>18.554921999999998</v>
      </c>
      <c r="AE110" s="43" t="e">
        <v>#REF!</v>
      </c>
      <c r="AF110" s="43">
        <f>SUMIF(wip[Bucket],salesforecast[[#This Row],[Bucket]],wip[Stock(Net Wt)])/1000</f>
        <v>0</v>
      </c>
      <c r="AG110" s="43" t="e">
        <v>#REF!</v>
      </c>
      <c r="AH110" s="43">
        <f>SUMIFS(stock[MT],stock[Bucket],salesforecast[[#This Row],[Bucket2]],stock[Plant],"0788")</f>
        <v>0</v>
      </c>
      <c r="AI110" s="43">
        <f>((salesforecast[[#This Row],[WIP]]+salesforecast[[#This Row],[Stock LL]]))/salesforecast[[#This Row],[July Schedule]]*30</f>
        <v>42.821670294326715</v>
      </c>
      <c r="AJ110" s="52">
        <f>salesforecast[[#This Row],[Stock LL]]/salesforecast[[#This Row],[Schedule]]*30</f>
        <v>42.821670294326715</v>
      </c>
      <c r="AK110" s="43">
        <f>SUMIFS(stock[MT],stock[Bucket],salesforecast[[#This Row],[Bucket2]],stock[Plant],"0789",stock[LL or CTL],"LL")</f>
        <v>12.728</v>
      </c>
      <c r="AL110" s="193">
        <f>(salesforecast[[#This Row],[Sales]])/salesforecast[[#This Row],[Schedule]]</f>
        <v>0.34621802530916013</v>
      </c>
      <c r="AM110" s="43">
        <f>SUMIFS(stock[MT],stock[Plant],salesforecast[[#This Row],[Plant]],stock[LL or CTL],"LL",stock[Bucket],salesforecast[[#This Row],[Bucket]])</f>
        <v>12.728</v>
      </c>
      <c r="AN110" s="43">
        <f>SUMIFS(scheduleapr[SCHEDULE IN MT],scheduleapr[CUSTOMER NAME],"*Rajsriya*",scheduleapr[Bucket],salesforecast[[#This Row],[Bucket]])</f>
        <v>12.999204752499999</v>
      </c>
      <c r="AO110" s="43">
        <f>SUMIFS(salesTVS[Quantity],salesTVS[CUSTOMER  NAME],"*RAJSRIYA*",salesTVS[buckets.Bucket],salesforecast[[#This Row],[Bucket]])/1000</f>
        <v>4.5005589999999991</v>
      </c>
      <c r="AP110" s="43">
        <f>SUMIFS(stock[MT],stock[Plant],4318,stock[Bucket],salesforecast[[#This Row],[Bucket2]])</f>
        <v>0</v>
      </c>
      <c r="AQ110" s="43">
        <f>SUMIFS(stock[MT],stock[Plant],4731,stock[Bucket],salesforecast[[#This Row],[Bucket2]],stock[LL or CTL],"CTL")</f>
        <v>0</v>
      </c>
      <c r="AR110" s="43">
        <f>SUMIFS(stock[MT],stock[Plant],4731,stock[Bucket],salesforecast[[#This Row],[Bucket2]])-salesforecast[[#This Row],[4731 Stock CTL]]</f>
        <v>0.80610400000000004</v>
      </c>
      <c r="AS110" s="43">
        <f>SUMIFS(stock[MT],stock[Plant],8406,stock[Bucket],salesforecast[[#This Row],[Bucket2]])</f>
        <v>5.0208180000000002</v>
      </c>
    </row>
    <row r="111" spans="1:45" ht="30" x14ac:dyDescent="0.25">
      <c r="A111" s="43">
        <f>2*(salesforecast[[#This Row],[OD]]+salesforecast[[#This Row],[ID]])/PI()</f>
        <v>56.659159740714742</v>
      </c>
      <c r="B111">
        <v>59</v>
      </c>
      <c r="C111">
        <v>30</v>
      </c>
      <c r="D111">
        <v>1.6</v>
      </c>
      <c r="E111" t="s">
        <v>962</v>
      </c>
      <c r="F111" t="s">
        <v>1003</v>
      </c>
      <c r="G111" t="s">
        <v>239</v>
      </c>
      <c r="H111" t="s">
        <v>568</v>
      </c>
      <c r="I111" s="43">
        <f>SUMIFS(scheduleapr[SCHEDULE IN MT],scheduleapr[Bucket],salesforecast[[#This Row],[Bucket]])</f>
        <v>16.277801272160001</v>
      </c>
      <c r="J111">
        <v>3164112</v>
      </c>
      <c r="K111">
        <f>COUNTIF('helper sheet'!$A$1:$A$33,salesforecast[[#This Row],[LL Material Code]])</f>
        <v>0</v>
      </c>
      <c r="N111" t="s">
        <v>569</v>
      </c>
      <c r="P111" s="47" t="s">
        <v>345</v>
      </c>
      <c r="Q111">
        <v>0</v>
      </c>
      <c r="R111">
        <v>22</v>
      </c>
      <c r="S111">
        <v>7</v>
      </c>
      <c r="T111" s="52">
        <f>ROUNDUP(MAX(salesforecast[[#This Row],[FY25 Average]],salesforecast[[#This Row],[July Schedule]]),0)</f>
        <v>17</v>
      </c>
      <c r="U111" s="52">
        <f>salesforecast[[#This Row],[Forecast]]-salesforecast[[#This Row],[July Schedule]]</f>
        <v>0.72219872783999861</v>
      </c>
      <c r="V111" t="str">
        <f>salesforecast[[#This Row],[Plant]]</f>
        <v>0789</v>
      </c>
      <c r="W111" s="66" t="str" cm="1">
        <f t="array" ref="W111">_xlfn.TEXTJOIN("|",TRUE,(_xlfn.UNIQUE(_xlfn._xlws.FILTER(scheduleapr[CUSTOMER NAME],scheduleapr[Bucket]=salesforecast[[#This Row],[Bucket]]))))</f>
        <v>ELKAYEM AUTO|ELKAYEM AUTO MYSORE |Laxmi</v>
      </c>
      <c r="X111" s="66" t="str" cm="1">
        <f t="array" ref="X111">_xlfn.TEXTJOIN("|",TRUE,(_xlfn.UNIQUE(_xlfn._xlws.SORT(_xlfn._xlws.FILTER(scheduleapr[LENGTH],scheduleapr[Bucket]=salesforecast[[#This Row],[Bucket]])))))</f>
        <v>641|645</v>
      </c>
      <c r="Y111" s="66" t="str" cm="1">
        <f t="array" ref="Y111">_xlfn.TEXTJOIN("|",TRUE,_xlfn._xlws.FILTER(buckets[Material Codes],(buckets[Bucket]=salesforecast[[#This Row],[Bucket2]])*(buckets[LL or CTL]="CTL")))</f>
        <v>3781647|2420716|3164112|3781649|2256692</v>
      </c>
      <c r="Z111" t="str">
        <f>salesforecast[[#This Row],[Bucket]]</f>
        <v>59-30-1.6-ERW 1-FIN CUT</v>
      </c>
      <c r="AA111" s="43">
        <f>salesforecast[[#This Row],[July Schedule]]</f>
        <v>16.277801272160001</v>
      </c>
      <c r="AB111" s="43">
        <f>SUMIF(salesTVS[buckets.Bucket],salesforecast[[#This Row],[Bucket]],salesTVS[Quantity])/1000</f>
        <v>3.9508000000000001</v>
      </c>
      <c r="AC111" s="43">
        <f>SUMIFS(stock[MT],stock[Bucket],salesforecast[[#This Row],[Bucket]],stock[LL or CTL],"CTL")</f>
        <v>17.977765000000002</v>
      </c>
      <c r="AD111" s="43">
        <f>SUMIF(stock[Bucket],salesforecast[[#This Row],[Bucket]],stock[MT])-salesforecast[[#This Row],[Stock CTL]]</f>
        <v>0</v>
      </c>
      <c r="AE111" s="43" t="e">
        <v>#REF!</v>
      </c>
      <c r="AF111" s="43">
        <f>SUMIF(wip[Bucket],salesforecast[[#This Row],[Bucket]],wip[Stock(Net Wt)])/1000</f>
        <v>0.95099999999999996</v>
      </c>
      <c r="AG111" s="43" t="e">
        <v>#REF!</v>
      </c>
      <c r="AH111" s="43">
        <f>SUMIFS(stock[MT],stock[Bucket],salesforecast[[#This Row],[Bucket2]],stock[Plant],"0788")</f>
        <v>0</v>
      </c>
      <c r="AI111" s="43">
        <f>((salesforecast[[#This Row],[WIP]]+salesforecast[[#This Row],[Stock LL]]))/salesforecast[[#This Row],[July Schedule]]*30</f>
        <v>1.7526937159992848</v>
      </c>
      <c r="AJ111" s="52">
        <f>salesforecast[[#This Row],[Stock LL]]/salesforecast[[#This Row],[Schedule]]*30</f>
        <v>0</v>
      </c>
      <c r="AK111" s="43">
        <f>SUMIFS(stock[MT],stock[Bucket],salesforecast[[#This Row],[Bucket2]],stock[Plant],"0789",stock[LL or CTL],"LL")</f>
        <v>0</v>
      </c>
      <c r="AL111" s="193">
        <f>(salesforecast[[#This Row],[Sales]])/salesforecast[[#This Row],[Schedule]]</f>
        <v>0.24271091248405099</v>
      </c>
      <c r="AM111" s="43">
        <f>SUMIFS(stock[MT],stock[Plant],salesforecast[[#This Row],[Plant]],stock[LL or CTL],"LL",stock[Bucket],salesforecast[[#This Row],[Bucket]])</f>
        <v>0</v>
      </c>
      <c r="AN111" s="43">
        <f>SUMIFS(scheduleapr[SCHEDULE IN MT],scheduleapr[CUSTOMER NAME],"*Rajsriya*",scheduleapr[Bucket],salesforecast[[#This Row],[Bucket]])</f>
        <v>0</v>
      </c>
      <c r="AO111" s="43">
        <f>SUMIFS(salesTVS[Quantity],salesTVS[CUSTOMER  NAME],"*RAJSRIYA*",salesTVS[buckets.Bucket],salesforecast[[#This Row],[Bucket]])/1000</f>
        <v>0</v>
      </c>
      <c r="AP111" s="43">
        <f>SUMIFS(stock[MT],stock[Plant],4318,stock[Bucket],salesforecast[[#This Row],[Bucket2]])</f>
        <v>0</v>
      </c>
      <c r="AQ111" s="43">
        <f>SUMIFS(stock[MT],stock[Plant],4731,stock[Bucket],salesforecast[[#This Row],[Bucket2]],stock[LL or CTL],"CTL")</f>
        <v>0</v>
      </c>
      <c r="AR111" s="43">
        <f>SUMIFS(stock[MT],stock[Plant],4731,stock[Bucket],salesforecast[[#This Row],[Bucket2]])-salesforecast[[#This Row],[4731 Stock CTL]]</f>
        <v>0</v>
      </c>
      <c r="AS111" s="43">
        <f>SUMIFS(stock[MT],stock[Plant],8406,stock[Bucket],salesforecast[[#This Row],[Bucket2]])</f>
        <v>0</v>
      </c>
    </row>
    <row r="112" spans="1:45" ht="30" x14ac:dyDescent="0.25">
      <c r="A112">
        <v>60.3</v>
      </c>
      <c r="B112">
        <v>60.3</v>
      </c>
      <c r="C112">
        <v>0</v>
      </c>
      <c r="D112">
        <v>2</v>
      </c>
      <c r="E112" t="s">
        <v>962</v>
      </c>
      <c r="F112" t="s">
        <v>1003</v>
      </c>
      <c r="G112" t="s">
        <v>239</v>
      </c>
      <c r="H112" t="str">
        <f>_xlfn.CONCAT(salesforecast[[#This Row],[OD]],"-",salesforecast[[#This Row],[ID]],"-",salesforecast[[#This Row],[TICKNESS]],"-",salesforecast[[#This Row],[GRADE]],"-",salesforecast[[#This Row],[FC/NFC]])</f>
        <v>60.3-0-2-ERW 1-FC</v>
      </c>
      <c r="I112" s="43">
        <f>SUMIFS(scheduleapr[SCHEDULE IN MT],scheduleapr[Bucket],salesforecast[[#This Row],[Bucket]])</f>
        <v>7.5444426749999991</v>
      </c>
      <c r="J112">
        <v>3702875</v>
      </c>
      <c r="K112">
        <f>COUNTIF('helper sheet'!$A$1:$A$33,salesforecast[[#This Row],[LL Material Code]])</f>
        <v>0</v>
      </c>
      <c r="N112" t="s">
        <v>2007</v>
      </c>
      <c r="P112" s="47" t="s">
        <v>362</v>
      </c>
      <c r="Q112">
        <v>0</v>
      </c>
      <c r="R112">
        <v>5</v>
      </c>
      <c r="S112">
        <v>2</v>
      </c>
      <c r="T112" s="52">
        <f>ROUNDUP(MAX(salesforecast[[#This Row],[FY25 Average]],salesforecast[[#This Row],[July Schedule]]),0)</f>
        <v>8</v>
      </c>
      <c r="U112" s="52">
        <f>salesforecast[[#This Row],[Forecast]]-salesforecast[[#This Row],[July Schedule]]</f>
        <v>0.4555573250000009</v>
      </c>
      <c r="V112" t="str">
        <f>salesforecast[[#This Row],[Plant]]</f>
        <v>0788</v>
      </c>
      <c r="W112" s="66" t="str" cm="1">
        <f t="array" ref="W112">_xlfn.TEXTJOIN("|",TRUE,(_xlfn.UNIQUE(_xlfn._xlws.FILTER(scheduleapr[CUSTOMER NAME],scheduleapr[Bucket]=salesforecast[[#This Row],[Bucket]]))))</f>
        <v>Metalman|Rajsriya Unit 8</v>
      </c>
      <c r="X112" s="66" t="str" cm="1">
        <f t="array" ref="X112">_xlfn.TEXTJOIN("|",TRUE,(_xlfn.UNIQUE(_xlfn._xlws.SORT(_xlfn._xlws.FILTER(scheduleapr[LENGTH],scheduleapr[Bucket]=salesforecast[[#This Row],[Bucket]])))))</f>
        <v>491|525</v>
      </c>
      <c r="Y112" s="66" t="str" cm="1">
        <f t="array" ref="Y112">_xlfn.TEXTJOIN("|",TRUE,_xlfn._xlws.FILTER(buckets[Material Codes],(buckets[Bucket]=salesforecast[[#This Row],[Bucket2]])))</f>
        <v>4200975|3662752|3768903|3905049|3702875|3594528</v>
      </c>
      <c r="Z112" t="str">
        <f>salesforecast[[#This Row],[Bucket]]</f>
        <v>60.3-0-2-ERW 1-FC</v>
      </c>
      <c r="AA112" s="43">
        <f>salesforecast[[#This Row],[July Schedule]]</f>
        <v>7.5444426749999991</v>
      </c>
      <c r="AB112" s="43">
        <f>SUMIF(salesTVS[buckets.Bucket],salesforecast[[#This Row],[Bucket]],salesTVS[Quantity])/1000</f>
        <v>0</v>
      </c>
      <c r="AC112" s="43">
        <f>SUMIFS(stock[MT],stock[Bucket],salesforecast[[#This Row],[Bucket]],stock[LL or CTL],"CTL")</f>
        <v>0</v>
      </c>
      <c r="AD112" s="43">
        <f>SUMIF(stock[Bucket],salesforecast[[#This Row],[Bucket]],stock[MT])-salesforecast[[#This Row],[Stock CTL]]</f>
        <v>28.386056999999997</v>
      </c>
      <c r="AE112" s="43" t="e">
        <v>#REF!</v>
      </c>
      <c r="AF112" s="43">
        <f>SUMIF(wip[Bucket],salesforecast[[#This Row],[Bucket]],wip[Stock(Net Wt)])/1000</f>
        <v>0</v>
      </c>
      <c r="AG112" s="43" t="e">
        <v>#REF!</v>
      </c>
      <c r="AH112" s="43">
        <f>SUMIFS(stock[MT],stock[Bucket],salesforecast[[#This Row],[Bucket2]],stock[Plant],"0788")</f>
        <v>12.331999999999999</v>
      </c>
      <c r="AI112" s="43">
        <f>((salesforecast[[#This Row],[WIP]]+salesforecast[[#This Row],[Stock LL]]))/salesforecast[[#This Row],[July Schedule]]*30</f>
        <v>112.87536358674765</v>
      </c>
      <c r="AJ112" s="52">
        <f>salesforecast[[#This Row],[Stock LL]]/salesforecast[[#This Row],[Schedule]]*30</f>
        <v>112.87536358674765</v>
      </c>
      <c r="AK112" s="43">
        <f>SUMIFS(stock[MT],stock[Bucket],salesforecast[[#This Row],[Bucket2]],stock[Plant],"0789",stock[LL or CTL],"LL")</f>
        <v>0</v>
      </c>
      <c r="AL112" s="193">
        <f>(salesforecast[[#This Row],[Sales]])/salesforecast[[#This Row],[Schedule]]</f>
        <v>0</v>
      </c>
      <c r="AM112" s="43">
        <f>SUMIFS(stock[MT],stock[Plant],salesforecast[[#This Row],[Plant]],stock[LL or CTL],"LL",stock[Bucket],salesforecast[[#This Row],[Bucket]])</f>
        <v>12.331999999999999</v>
      </c>
      <c r="AN112" s="43">
        <f>SUMIFS(scheduleapr[SCHEDULE IN MT],scheduleapr[CUSTOMER NAME],"*Rajsriya*",scheduleapr[Bucket],salesforecast[[#This Row],[Bucket]])</f>
        <v>0</v>
      </c>
      <c r="AO112" s="43">
        <f>SUMIFS(salesTVS[Quantity],salesTVS[CUSTOMER  NAME],"*RAJSRIYA*",salesTVS[buckets.Bucket],salesforecast[[#This Row],[Bucket]])/1000</f>
        <v>0</v>
      </c>
      <c r="AP112" s="43">
        <f>SUMIFS(stock[MT],stock[Plant],4318,stock[Bucket],salesforecast[[#This Row],[Bucket2]])</f>
        <v>0</v>
      </c>
      <c r="AQ112" s="43">
        <f>SUMIFS(stock[MT],stock[Plant],4731,stock[Bucket],salesforecast[[#This Row],[Bucket2]],stock[LL or CTL],"CTL")</f>
        <v>0</v>
      </c>
      <c r="AR112" s="43">
        <f>SUMIFS(stock[MT],stock[Plant],4731,stock[Bucket],salesforecast[[#This Row],[Bucket2]])-salesforecast[[#This Row],[4731 Stock CTL]]</f>
        <v>8.9056999999999997E-2</v>
      </c>
      <c r="AS112" s="43">
        <f>SUMIFS(stock[MT],stock[Plant],8406,stock[Bucket],salesforecast[[#This Row],[Bucket2]])</f>
        <v>15.964999999999998</v>
      </c>
    </row>
    <row r="113" spans="1:45" ht="60" x14ac:dyDescent="0.25">
      <c r="A113">
        <v>63.5</v>
      </c>
      <c r="B113">
        <v>63.5</v>
      </c>
      <c r="C113">
        <v>0</v>
      </c>
      <c r="D113">
        <v>4</v>
      </c>
      <c r="E113" t="s">
        <v>962</v>
      </c>
      <c r="F113" t="s">
        <v>1003</v>
      </c>
      <c r="G113" t="s">
        <v>239</v>
      </c>
      <c r="H113" t="str">
        <f>_xlfn.CONCAT(salesforecast[[#This Row],[OD]],"-",salesforecast[[#This Row],[ID]],"-",salesforecast[[#This Row],[TICKNESS]],"-",salesforecast[[#This Row],[GRADE]],"-",salesforecast[[#This Row],[FC/NFC]])</f>
        <v>63.5-0-4-ERW 1-FC</v>
      </c>
      <c r="I113" s="43">
        <f>SUMIFS(scheduleapr[SCHEDULE IN MT],scheduleapr[Bucket],salesforecast[[#This Row],[Bucket]])</f>
        <v>38.193600850999999</v>
      </c>
      <c r="J113">
        <v>3500816</v>
      </c>
      <c r="K113">
        <f>COUNTIF('helper sheet'!$A$1:$A$33,salesforecast[[#This Row],[LL Material Code]])</f>
        <v>0</v>
      </c>
      <c r="N113" t="s">
        <v>2365</v>
      </c>
      <c r="P113" s="47" t="s">
        <v>362</v>
      </c>
      <c r="Q113">
        <v>6</v>
      </c>
      <c r="R113">
        <v>14</v>
      </c>
      <c r="S113">
        <v>10</v>
      </c>
      <c r="T113" s="52">
        <f>ROUNDUP(MAX(salesforecast[[#This Row],[FY25 Average]],salesforecast[[#This Row],[July Schedule]]),0)</f>
        <v>39</v>
      </c>
      <c r="U113" s="52">
        <f>salesforecast[[#This Row],[Forecast]]-salesforecast[[#This Row],[July Schedule]]</f>
        <v>0.80639914900000065</v>
      </c>
      <c r="V113" t="str">
        <f>salesforecast[[#This Row],[Plant]]</f>
        <v>0788</v>
      </c>
      <c r="W113" s="66" t="str" cm="1">
        <f t="array" ref="W113">_xlfn.TEXTJOIN("|",TRUE,(_xlfn.UNIQUE(_xlfn._xlws.FILTER(scheduleapr[CUSTOMER NAME],scheduleapr[Bucket]=salesforecast[[#This Row],[Bucket]]))))</f>
        <v>Laxmi|NMPL TVSM</v>
      </c>
      <c r="X113" s="66" t="str" cm="1">
        <f t="array" ref="X113">_xlfn.TEXTJOIN("|",TRUE,(_xlfn.UNIQUE(_xlfn._xlws.SORT(_xlfn._xlws.FILTER(scheduleapr[LENGTH],scheduleapr[Bucket]=salesforecast[[#This Row],[Bucket]])))))</f>
        <v>234|236|263|5060</v>
      </c>
      <c r="Y113" s="66" t="str" cm="1">
        <f t="array" ref="Y113">_xlfn.TEXTJOIN("|",TRUE,_xlfn._xlws.FILTER(buckets[Material Codes],(buckets[Bucket]=salesforecast[[#This Row],[Bucket2]])))</f>
        <v>3746291|1470103|2429059|3784473|4196298|3775122|2429289|3500816|3899138|3899139|3899140|3899137</v>
      </c>
      <c r="Z113" t="str">
        <f>salesforecast[[#This Row],[Bucket]]</f>
        <v>63.5-0-4-ERW 1-FC</v>
      </c>
      <c r="AA113" s="43">
        <f>salesforecast[[#This Row],[July Schedule]]</f>
        <v>38.193600850999999</v>
      </c>
      <c r="AB113" s="43">
        <f>SUMIF(salesTVS[buckets.Bucket],salesforecast[[#This Row],[Bucket]],salesTVS[Quantity])/1000</f>
        <v>22.535115000000008</v>
      </c>
      <c r="AC113" s="43">
        <f>SUMIFS(stock[MT],stock[Bucket],salesforecast[[#This Row],[Bucket]],stock[LL or CTL],"CTL")</f>
        <v>6.3467739999999999</v>
      </c>
      <c r="AD113" s="43">
        <f>SUMIF(stock[Bucket],salesforecast[[#This Row],[Bucket]],stock[MT])-salesforecast[[#This Row],[Stock CTL]]</f>
        <v>70.552486000000002</v>
      </c>
      <c r="AE113" s="43" t="e">
        <v>#REF!</v>
      </c>
      <c r="AF113" s="43">
        <f>SUMIF(wip[Bucket],salesforecast[[#This Row],[Bucket]],wip[Stock(Net Wt)])/1000</f>
        <v>0</v>
      </c>
      <c r="AG113" s="43" t="e">
        <v>#REF!</v>
      </c>
      <c r="AH113" s="43">
        <f>SUMIFS(stock[MT],stock[Bucket],salesforecast[[#This Row],[Bucket2]],stock[Plant],"0788")</f>
        <v>46.645000000000017</v>
      </c>
      <c r="AI113" s="43">
        <f>((salesforecast[[#This Row],[WIP]]+salesforecast[[#This Row],[Stock LL]]))/salesforecast[[#This Row],[July Schedule]]*30</f>
        <v>55.416994806463322</v>
      </c>
      <c r="AJ113" s="52">
        <f>salesforecast[[#This Row],[Stock LL]]/salesforecast[[#This Row],[Schedule]]*30</f>
        <v>55.416994806463322</v>
      </c>
      <c r="AK113" s="43">
        <f>SUMIFS(stock[MT],stock[Bucket],salesforecast[[#This Row],[Bucket2]],stock[Plant],"0789",stock[LL or CTL],"LL")</f>
        <v>0</v>
      </c>
      <c r="AL113" s="193">
        <f>(salesforecast[[#This Row],[Sales]])/salesforecast[[#This Row],[Schedule]]</f>
        <v>0.59002331536933328</v>
      </c>
      <c r="AM113" s="43">
        <f>SUMIFS(stock[MT],stock[Plant],salesforecast[[#This Row],[Plant]],stock[LL or CTL],"LL",stock[Bucket],salesforecast[[#This Row],[Bucket]])</f>
        <v>46.645000000000017</v>
      </c>
      <c r="AN113" s="43">
        <f>SUMIFS(scheduleapr[SCHEDULE IN MT],scheduleapr[CUSTOMER NAME],"*Rajsriya*",scheduleapr[Bucket],salesforecast[[#This Row],[Bucket]])</f>
        <v>0</v>
      </c>
      <c r="AO113" s="43">
        <f>SUMIFS(salesTVS[Quantity],salesTVS[CUSTOMER  NAME],"*RAJSRIYA*",salesTVS[buckets.Bucket],salesforecast[[#This Row],[Bucket]])/1000</f>
        <v>0</v>
      </c>
      <c r="AP113" s="43">
        <f>SUMIFS(stock[MT],stock[Plant],4318,stock[Bucket],salesforecast[[#This Row],[Bucket2]])</f>
        <v>0</v>
      </c>
      <c r="AQ113" s="43">
        <f>SUMIFS(stock[MT],stock[Plant],4731,stock[Bucket],salesforecast[[#This Row],[Bucket2]],stock[LL or CTL],"CTL")</f>
        <v>4.890174</v>
      </c>
      <c r="AR113" s="43">
        <f>SUMIFS(stock[MT],stock[Plant],4731,stock[Bucket],salesforecast[[#This Row],[Bucket2]])-salesforecast[[#This Row],[4731 Stock CTL]]</f>
        <v>20.650486000000001</v>
      </c>
      <c r="AS113" s="43">
        <f>SUMIFS(stock[MT],stock[Plant],8406,stock[Bucket],salesforecast[[#This Row],[Bucket2]])</f>
        <v>4.7135999999999996</v>
      </c>
    </row>
    <row r="114" spans="1:45" ht="30" x14ac:dyDescent="0.25">
      <c r="A114">
        <v>70</v>
      </c>
      <c r="B114">
        <v>70</v>
      </c>
      <c r="C114">
        <v>0</v>
      </c>
      <c r="D114">
        <v>3.2</v>
      </c>
      <c r="E114" t="s">
        <v>993</v>
      </c>
      <c r="F114" t="s">
        <v>1003</v>
      </c>
      <c r="G114" t="s">
        <v>239</v>
      </c>
      <c r="H114" t="str">
        <f>_xlfn.CONCAT(salesforecast[[#This Row],[OD]],"-",salesforecast[[#This Row],[ID]],"-",salesforecast[[#This Row],[TICKNESS]],"-",salesforecast[[#This Row],[GRADE]],"-",salesforecast[[#This Row],[FC/NFC]])</f>
        <v>70-0-3.2-ERW 2-FC</v>
      </c>
      <c r="I114" s="43">
        <f>SUMIFS(scheduleapr[SCHEDULE IN MT],scheduleapr[Bucket],salesforecast[[#This Row],[Bucket]])</f>
        <v>23.583910794239998</v>
      </c>
      <c r="J114">
        <v>3499608</v>
      </c>
      <c r="K114">
        <f>COUNTIF('helper sheet'!$A$1:$A$33,salesforecast[[#This Row],[LL Material Code]])</f>
        <v>0</v>
      </c>
      <c r="N114" t="s">
        <v>2493</v>
      </c>
      <c r="P114" s="47" t="s">
        <v>362</v>
      </c>
      <c r="Q114">
        <v>0</v>
      </c>
      <c r="R114">
        <v>14</v>
      </c>
      <c r="S114">
        <v>6</v>
      </c>
      <c r="T114" s="52">
        <f>ROUNDUP(MAX(salesforecast[[#This Row],[FY25 Average]],salesforecast[[#This Row],[July Schedule]]),0)</f>
        <v>24</v>
      </c>
      <c r="U114" s="52">
        <f>salesforecast[[#This Row],[Forecast]]-salesforecast[[#This Row],[July Schedule]]</f>
        <v>0.4160892057600023</v>
      </c>
      <c r="V114" t="str">
        <f>salesforecast[[#This Row],[Plant]]</f>
        <v>0788</v>
      </c>
      <c r="W114" s="66" t="str" cm="1">
        <f t="array" ref="W114">_xlfn.TEXTJOIN("|",TRUE,(_xlfn.UNIQUE(_xlfn._xlws.FILTER(scheduleapr[CUSTOMER NAME],scheduleapr[Bucket]=salesforecast[[#This Row],[Bucket]]))))</f>
        <v>Laxmi|NMPL TVSM</v>
      </c>
      <c r="X114" s="66" t="str" cm="1">
        <f t="array" ref="X114">_xlfn.TEXTJOIN("|",TRUE,(_xlfn.UNIQUE(_xlfn._xlws.SORT(_xlfn._xlws.FILTER(scheduleapr[LENGTH],scheduleapr[Bucket]=salesforecast[[#This Row],[Bucket]])))))</f>
        <v>490|512|6455</v>
      </c>
      <c r="Y114" s="66" t="str" cm="1">
        <f t="array" ref="Y114">_xlfn.TEXTJOIN("|",TRUE,_xlfn._xlws.FILTER(buckets[Material Codes],(buckets[Bucket]=salesforecast[[#This Row],[Bucket2]])))</f>
        <v>424601|3781610|3801263|1931860|3499608|3536019|3702863</v>
      </c>
      <c r="Z114" t="str">
        <f>salesforecast[[#This Row],[Bucket]]</f>
        <v>70-0-3.2-ERW 2-FC</v>
      </c>
      <c r="AA114" s="43">
        <f>salesforecast[[#This Row],[July Schedule]]</f>
        <v>23.583910794239998</v>
      </c>
      <c r="AB114" s="43">
        <f>SUMIF(salesTVS[buckets.Bucket],salesforecast[[#This Row],[Bucket]],salesTVS[Quantity])/1000</f>
        <v>12.234237</v>
      </c>
      <c r="AC114" s="43">
        <f>SUMIFS(stock[MT],stock[Bucket],salesforecast[[#This Row],[Bucket]],stock[LL or CTL],"CTL")</f>
        <v>1.880619</v>
      </c>
      <c r="AD114" s="43">
        <f>SUMIF(stock[Bucket],salesforecast[[#This Row],[Bucket]],stock[MT])-salesforecast[[#This Row],[Stock CTL]]</f>
        <v>37.067985999999991</v>
      </c>
      <c r="AE114" s="43" t="e">
        <v>#REF!</v>
      </c>
      <c r="AF114" s="43">
        <f>SUMIF(wip[Bucket],salesforecast[[#This Row],[Bucket]],wip[Stock(Net Wt)])/1000</f>
        <v>0</v>
      </c>
      <c r="AG114" s="43" t="e">
        <v>#REF!</v>
      </c>
      <c r="AH114" s="43">
        <f>SUMIFS(stock[MT],stock[Bucket],salesforecast[[#This Row],[Bucket2]],stock[Plant],"0788")</f>
        <v>26.272999999999996</v>
      </c>
      <c r="AI114" s="43">
        <f>((salesforecast[[#This Row],[WIP]]+salesforecast[[#This Row],[Stock LL]]))/salesforecast[[#This Row],[July Schedule]]*30</f>
        <v>47.152467192659074</v>
      </c>
      <c r="AJ114" s="52">
        <f>salesforecast[[#This Row],[Stock LL]]/salesforecast[[#This Row],[Schedule]]*30</f>
        <v>47.152467192659074</v>
      </c>
      <c r="AK114" s="43">
        <f>SUMIFS(stock[MT],stock[Bucket],salesforecast[[#This Row],[Bucket2]],stock[Plant],"0789",stock[LL or CTL],"LL")</f>
        <v>0</v>
      </c>
      <c r="AL114" s="193">
        <f>(salesforecast[[#This Row],[Sales]])/salesforecast[[#This Row],[Schedule]]</f>
        <v>0.51875353102963828</v>
      </c>
      <c r="AM114" s="43">
        <f>SUMIFS(stock[MT],stock[Plant],salesforecast[[#This Row],[Plant]],stock[LL or CTL],"LL",stock[Bucket],salesforecast[[#This Row],[Bucket]])</f>
        <v>26.272999999999996</v>
      </c>
      <c r="AN114" s="43">
        <f>SUMIFS(scheduleapr[SCHEDULE IN MT],scheduleapr[CUSTOMER NAME],"*Rajsriya*",scheduleapr[Bucket],salesforecast[[#This Row],[Bucket]])</f>
        <v>0</v>
      </c>
      <c r="AO114" s="43">
        <f>SUMIFS(salesTVS[Quantity],salesTVS[CUSTOMER  NAME],"*RAJSRIYA*",salesTVS[buckets.Bucket],salesforecast[[#This Row],[Bucket]])/1000</f>
        <v>0</v>
      </c>
      <c r="AP114" s="43">
        <f>SUMIFS(stock[MT],stock[Plant],4318,stock[Bucket],salesforecast[[#This Row],[Bucket2]])</f>
        <v>0</v>
      </c>
      <c r="AQ114" s="43">
        <f>SUMIFS(stock[MT],stock[Plant],4731,stock[Bucket],salesforecast[[#This Row],[Bucket2]],stock[LL or CTL],"CTL")</f>
        <v>0.57467500000000005</v>
      </c>
      <c r="AR114" s="43">
        <f>SUMIFS(stock[MT],stock[Plant],4731,stock[Bucket],salesforecast[[#This Row],[Bucket2]])-salesforecast[[#This Row],[4731 Stock CTL]]</f>
        <v>3.577916000000001</v>
      </c>
      <c r="AS114" s="43">
        <f>SUMIFS(stock[MT],stock[Plant],8406,stock[Bucket],salesforecast[[#This Row],[Bucket2]])</f>
        <v>8.5230139999999999</v>
      </c>
    </row>
  </sheetData>
  <phoneticPr fontId="13" type="noConversion"/>
  <conditionalFormatting sqref="AI2:AI114">
    <cfRule type="iconSet" priority="1">
      <iconSet>
        <cfvo type="percent" val="0"/>
        <cfvo type="num" val="30"/>
        <cfvo type="num" val="45"/>
      </iconSet>
    </cfRule>
  </conditionalFormatting>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tabColor rgb="FF7030A0"/>
  </sheetPr>
  <dimension ref="A1:AT1752"/>
  <sheetViews>
    <sheetView tabSelected="1" topLeftCell="U1521" zoomScale="90" zoomScaleNormal="90" workbookViewId="0">
      <selection activeCell="AC1539" sqref="AC1539"/>
    </sheetView>
  </sheetViews>
  <sheetFormatPr defaultRowHeight="15" x14ac:dyDescent="0.25"/>
  <cols>
    <col min="21" max="21" width="16.5703125" customWidth="1"/>
    <col min="22" max="22" width="37.85546875" bestFit="1" customWidth="1"/>
    <col min="24" max="24" width="11.7109375" customWidth="1"/>
    <col min="28" max="28" width="11.7109375" customWidth="1"/>
    <col min="29" max="29" width="37.5703125" bestFit="1" customWidth="1"/>
    <col min="31" max="31" width="36.5703125" bestFit="1" customWidth="1"/>
    <col min="33" max="33" width="20.28515625" bestFit="1" customWidth="1"/>
    <col min="36" max="36" width="16.5703125" customWidth="1"/>
    <col min="39" max="39" width="11.7109375" customWidth="1"/>
    <col min="43" max="43" width="11.7109375" customWidth="1"/>
    <col min="44" max="44" width="19.85546875" bestFit="1" customWidth="1"/>
    <col min="45" max="45" width="10.5703125" customWidth="1"/>
    <col min="46" max="46" width="12.5703125" customWidth="1"/>
  </cols>
  <sheetData>
    <row r="1" spans="1:46" ht="99" customHeight="1" x14ac:dyDescent="0.25"/>
    <row r="2" spans="1:46" ht="45" x14ac:dyDescent="0.25">
      <c r="A2" s="53" t="s">
        <v>2167</v>
      </c>
      <c r="B2" s="53" t="s">
        <v>204</v>
      </c>
      <c r="C2" s="54" t="s">
        <v>2494</v>
      </c>
      <c r="D2" s="53" t="s">
        <v>2495</v>
      </c>
      <c r="E2" s="53" t="s">
        <v>392</v>
      </c>
      <c r="F2" s="54" t="s">
        <v>2168</v>
      </c>
      <c r="G2" s="55" t="s">
        <v>2496</v>
      </c>
      <c r="H2" s="55" t="s">
        <v>2497</v>
      </c>
      <c r="I2" s="54" t="s">
        <v>1801</v>
      </c>
      <c r="J2" s="54" t="s">
        <v>2498</v>
      </c>
      <c r="K2" s="54" t="s">
        <v>2499</v>
      </c>
      <c r="L2" s="54" t="s">
        <v>2500</v>
      </c>
      <c r="M2" s="54" t="s">
        <v>2501</v>
      </c>
      <c r="N2" s="54" t="s">
        <v>2502</v>
      </c>
      <c r="O2" s="54" t="s">
        <v>2503</v>
      </c>
      <c r="P2" s="54" t="s">
        <v>2504</v>
      </c>
      <c r="Q2" s="54" t="s">
        <v>2505</v>
      </c>
      <c r="U2" t="s">
        <v>274</v>
      </c>
      <c r="V2" t="s">
        <v>316</v>
      </c>
      <c r="W2" t="s">
        <v>317</v>
      </c>
      <c r="X2" t="s">
        <v>2506</v>
      </c>
      <c r="Y2" t="s">
        <v>2170</v>
      </c>
      <c r="Z2" t="s">
        <v>199</v>
      </c>
      <c r="AA2" t="s">
        <v>2507</v>
      </c>
      <c r="AB2" t="s">
        <v>1894</v>
      </c>
      <c r="AC2" t="s">
        <v>261</v>
      </c>
      <c r="AD2" t="s">
        <v>1832</v>
      </c>
      <c r="AE2" t="s">
        <v>1850</v>
      </c>
      <c r="AF2" t="s">
        <v>2508</v>
      </c>
      <c r="AI2" s="66" t="s">
        <v>2509</v>
      </c>
      <c r="AJ2" s="65" t="s">
        <v>274</v>
      </c>
      <c r="AK2" s="65" t="s">
        <v>316</v>
      </c>
      <c r="AL2" s="65" t="s">
        <v>317</v>
      </c>
      <c r="AM2" s="65" t="s">
        <v>2506</v>
      </c>
      <c r="AN2" s="65" t="s">
        <v>2170</v>
      </c>
      <c r="AO2" s="65" t="s">
        <v>199</v>
      </c>
      <c r="AP2" s="65" t="s">
        <v>2507</v>
      </c>
      <c r="AQ2" s="65" t="s">
        <v>1894</v>
      </c>
      <c r="AR2" s="65" t="s">
        <v>261</v>
      </c>
      <c r="AS2" s="65" t="s">
        <v>1832</v>
      </c>
      <c r="AT2" s="65" t="s">
        <v>1850</v>
      </c>
    </row>
    <row r="3" spans="1:46" x14ac:dyDescent="0.25">
      <c r="A3" s="56">
        <v>1903849</v>
      </c>
      <c r="B3" s="56" t="s">
        <v>865</v>
      </c>
      <c r="C3" s="56" t="s">
        <v>2510</v>
      </c>
      <c r="D3" s="57">
        <v>1682.625</v>
      </c>
      <c r="E3" s="57">
        <v>1293.9390000000001</v>
      </c>
      <c r="F3" s="57">
        <v>1.2939390000000002</v>
      </c>
      <c r="G3" s="56" t="s">
        <v>392</v>
      </c>
      <c r="H3" s="56" t="s">
        <v>2511</v>
      </c>
      <c r="I3" s="56" t="s">
        <v>345</v>
      </c>
      <c r="J3" s="56" t="s">
        <v>2512</v>
      </c>
      <c r="K3" s="57">
        <v>726.44200000000001</v>
      </c>
      <c r="L3" s="56" t="s">
        <v>2513</v>
      </c>
      <c r="M3" s="56" t="s">
        <v>2514</v>
      </c>
      <c r="N3" s="56" t="s">
        <v>52</v>
      </c>
      <c r="O3" s="58">
        <v>16</v>
      </c>
      <c r="P3" s="59" t="s">
        <v>2515</v>
      </c>
      <c r="Q3" s="56" t="s">
        <v>2516</v>
      </c>
      <c r="U3" s="52">
        <v>2426342</v>
      </c>
      <c r="V3">
        <v>11</v>
      </c>
      <c r="W3">
        <v>0</v>
      </c>
      <c r="X3">
        <v>1.5</v>
      </c>
      <c r="Y3">
        <v>0.26300000000000001</v>
      </c>
      <c r="Z3" t="s">
        <v>1874</v>
      </c>
      <c r="AA3" t="s">
        <v>1003</v>
      </c>
      <c r="AB3" t="s">
        <v>2517</v>
      </c>
      <c r="AC3" t="s">
        <v>2518</v>
      </c>
      <c r="AD3" t="s">
        <v>2171</v>
      </c>
      <c r="AE3" t="s">
        <v>2519</v>
      </c>
      <c r="AF3">
        <v>9.2378289749999995E-2</v>
      </c>
      <c r="AH3" t="str" cm="1">
        <f t="array" ref="AH3:AH16">_xlfn.UNIQUE(buckets[Annealed])</f>
        <v>AD</v>
      </c>
      <c r="AJ3">
        <v>3911993</v>
      </c>
      <c r="AK3">
        <v>34.93</v>
      </c>
      <c r="AL3">
        <v>0</v>
      </c>
      <c r="AM3">
        <v>2.2999999999999998</v>
      </c>
      <c r="AN3">
        <v>1.5009999999999999</v>
      </c>
      <c r="AO3" t="s">
        <v>2088</v>
      </c>
      <c r="AP3" t="s">
        <v>1003</v>
      </c>
      <c r="AQ3" t="s">
        <v>2520</v>
      </c>
      <c r="AR3" t="str">
        <f>_xlfn.CONCAT(Table8[[#This Row],[OD]],"-",Table8[[#This Row],[ID]],"-",Table8[[#This Row],[Thickness]],"-","ERW 2","-","FC","-ALF")</f>
        <v>34.93-0-2.3-ERW 2-FC-ALF</v>
      </c>
      <c r="AS3" t="str" cm="1">
        <f t="array" ref="AS3">_xlfn.IFS(buckets[[#This Row],[Length]]=0,"LL",buckets[[#This Row],[Length]]&lt;=3,"CTL",buckets[[#This Row],[Length]]&gt;3,"LL")</f>
        <v>CTL</v>
      </c>
      <c r="AT3" t="str">
        <f>_xlfn.CONCAT(Table8[[#This Row],[Bucket]],"-",Table8[[#This Row],[LL or CTL]])</f>
        <v>34.93-0-2.3-ERW 2-FC-ALF-CTL</v>
      </c>
    </row>
    <row r="4" spans="1:46" x14ac:dyDescent="0.25">
      <c r="A4" s="56">
        <v>1931050</v>
      </c>
      <c r="B4" s="56" t="s">
        <v>2521</v>
      </c>
      <c r="C4" s="56" t="s">
        <v>2522</v>
      </c>
      <c r="D4" s="57">
        <v>86.573999999999998</v>
      </c>
      <c r="E4" s="58">
        <v>423</v>
      </c>
      <c r="F4" s="57">
        <v>0.42299999999999999</v>
      </c>
      <c r="G4" s="56" t="s">
        <v>392</v>
      </c>
      <c r="H4" s="56" t="s">
        <v>2511</v>
      </c>
      <c r="I4" s="56" t="s">
        <v>345</v>
      </c>
      <c r="J4" s="56" t="s">
        <v>2523</v>
      </c>
      <c r="K4" s="57">
        <v>519.46500000000003</v>
      </c>
      <c r="L4" s="56" t="s">
        <v>1914</v>
      </c>
      <c r="M4" s="56" t="s">
        <v>1123</v>
      </c>
      <c r="N4" s="56" t="s">
        <v>72</v>
      </c>
      <c r="O4" s="58">
        <v>332</v>
      </c>
      <c r="P4" s="59" t="s">
        <v>2524</v>
      </c>
      <c r="Q4" s="56" t="s">
        <v>11</v>
      </c>
      <c r="U4" s="52">
        <v>1939303</v>
      </c>
      <c r="V4">
        <v>11</v>
      </c>
      <c r="W4">
        <v>0</v>
      </c>
      <c r="X4">
        <v>1.5</v>
      </c>
      <c r="Y4">
        <v>0.33</v>
      </c>
      <c r="Z4" t="s">
        <v>1874</v>
      </c>
      <c r="AA4" t="s">
        <v>1003</v>
      </c>
      <c r="AB4" t="s">
        <v>2517</v>
      </c>
      <c r="AC4" t="s">
        <v>2518</v>
      </c>
      <c r="AD4" t="s">
        <v>2171</v>
      </c>
      <c r="AE4" t="s">
        <v>2525</v>
      </c>
      <c r="AF4">
        <v>0.1159119225</v>
      </c>
      <c r="AH4" t="str">
        <v>AW</v>
      </c>
      <c r="AJ4">
        <v>3910451</v>
      </c>
      <c r="AK4">
        <v>34.93</v>
      </c>
      <c r="AL4">
        <v>0</v>
      </c>
      <c r="AM4">
        <v>2.2999999999999998</v>
      </c>
      <c r="AN4">
        <v>0.29799999999999999</v>
      </c>
      <c r="AO4" t="s">
        <v>2088</v>
      </c>
      <c r="AP4" t="s">
        <v>1003</v>
      </c>
      <c r="AQ4" t="s">
        <v>2520</v>
      </c>
      <c r="AR4" t="str">
        <f>_xlfn.CONCAT(Table8[[#This Row],[OD]],"-",Table8[[#This Row],[ID]],"-",Table8[[#This Row],[Thickness]],"-","ERW 2","-","FC","-ALF")</f>
        <v>34.93-0-2.3-ERW 2-FC-ALF</v>
      </c>
      <c r="AS4" t="str" cm="1">
        <f t="array" ref="AS4">_xlfn.IFS(buckets[[#This Row],[Length]]=0,"LL",buckets[[#This Row],[Length]]&lt;=3,"CTL",buckets[[#This Row],[Length]]&gt;3,"LL")</f>
        <v>CTL</v>
      </c>
      <c r="AT4" t="str">
        <f>_xlfn.CONCAT(Table8[[#This Row],[Bucket]],"-",Table8[[#This Row],[LL or CTL]])</f>
        <v>34.93-0-2.3-ERW 2-FC-ALF-CTL</v>
      </c>
    </row>
    <row r="5" spans="1:46" x14ac:dyDescent="0.25">
      <c r="A5" s="56">
        <v>1931050</v>
      </c>
      <c r="B5" s="56" t="s">
        <v>2521</v>
      </c>
      <c r="C5" s="56" t="s">
        <v>2526</v>
      </c>
      <c r="D5" s="57">
        <v>38.067999999999998</v>
      </c>
      <c r="E5" s="58">
        <v>186</v>
      </c>
      <c r="F5" s="57">
        <v>0.186</v>
      </c>
      <c r="G5" s="56" t="s">
        <v>392</v>
      </c>
      <c r="H5" s="56" t="s">
        <v>2511</v>
      </c>
      <c r="I5" s="56" t="s">
        <v>345</v>
      </c>
      <c r="J5" s="56" t="s">
        <v>2527</v>
      </c>
      <c r="K5" s="57">
        <v>228.417</v>
      </c>
      <c r="L5" s="56" t="s">
        <v>1914</v>
      </c>
      <c r="M5" s="56" t="s">
        <v>1123</v>
      </c>
      <c r="N5" s="56" t="s">
        <v>72</v>
      </c>
      <c r="O5" s="58">
        <v>300</v>
      </c>
      <c r="P5" s="59" t="s">
        <v>2524</v>
      </c>
      <c r="Q5" s="56" t="s">
        <v>11</v>
      </c>
      <c r="U5" s="590">
        <v>2442390</v>
      </c>
      <c r="V5">
        <v>11</v>
      </c>
      <c r="W5">
        <v>0</v>
      </c>
      <c r="X5">
        <v>1.5</v>
      </c>
      <c r="Y5">
        <v>6</v>
      </c>
      <c r="Z5" t="s">
        <v>1874</v>
      </c>
      <c r="AA5" t="s">
        <v>1003</v>
      </c>
      <c r="AB5" t="s">
        <v>2517</v>
      </c>
      <c r="AC5" t="s">
        <v>2518</v>
      </c>
      <c r="AD5" t="s">
        <v>1838</v>
      </c>
      <c r="AE5" t="s">
        <v>2528</v>
      </c>
      <c r="AF5">
        <v>0.35124824999999998</v>
      </c>
      <c r="AH5" t="str">
        <v>AN</v>
      </c>
      <c r="AJ5">
        <v>3911992</v>
      </c>
      <c r="AK5">
        <v>34.93</v>
      </c>
      <c r="AL5">
        <v>0</v>
      </c>
      <c r="AM5">
        <v>2.2999999999999998</v>
      </c>
      <c r="AN5">
        <v>0.33400000000000002</v>
      </c>
      <c r="AO5" t="s">
        <v>2088</v>
      </c>
      <c r="AP5" t="s">
        <v>1003</v>
      </c>
      <c r="AQ5" t="s">
        <v>2520</v>
      </c>
      <c r="AR5" t="str">
        <f>_xlfn.CONCAT(Table8[[#This Row],[OD]],"-",Table8[[#This Row],[ID]],"-",Table8[[#This Row],[Thickness]],"-","ERW 2","-","FC","-ALF")</f>
        <v>34.93-0-2.3-ERW 2-FC-ALF</v>
      </c>
      <c r="AS5" t="str" cm="1">
        <f t="array" ref="AS5">_xlfn.IFS(buckets[[#This Row],[Length]]=0,"LL",buckets[[#This Row],[Length]]&lt;=3,"CTL",buckets[[#This Row],[Length]]&gt;3,"LL")</f>
        <v>LL</v>
      </c>
      <c r="AT5" t="str">
        <f>_xlfn.CONCAT(Table8[[#This Row],[Bucket]],"-",Table8[[#This Row],[LL or CTL]])</f>
        <v>34.93-0-2.3-ERW 2-FC-ALF-LL</v>
      </c>
    </row>
    <row r="6" spans="1:46" x14ac:dyDescent="0.25">
      <c r="A6" s="56">
        <v>1931154</v>
      </c>
      <c r="B6" s="56" t="s">
        <v>2529</v>
      </c>
      <c r="C6" s="56" t="s">
        <v>2530</v>
      </c>
      <c r="D6" s="57">
        <v>235.83099999999999</v>
      </c>
      <c r="E6" s="58">
        <v>620</v>
      </c>
      <c r="F6" s="57">
        <v>0.62</v>
      </c>
      <c r="G6" s="56" t="s">
        <v>392</v>
      </c>
      <c r="H6" s="56" t="s">
        <v>2511</v>
      </c>
      <c r="I6" s="56" t="s">
        <v>345</v>
      </c>
      <c r="J6" s="56" t="s">
        <v>2531</v>
      </c>
      <c r="K6" s="57">
        <v>1415.202</v>
      </c>
      <c r="L6" s="56" t="s">
        <v>1914</v>
      </c>
      <c r="M6" s="56" t="s">
        <v>1123</v>
      </c>
      <c r="N6" s="56" t="s">
        <v>61</v>
      </c>
      <c r="O6" s="58">
        <v>40</v>
      </c>
      <c r="P6" s="59" t="s">
        <v>2532</v>
      </c>
      <c r="Q6" s="56" t="s">
        <v>11</v>
      </c>
      <c r="U6" s="52">
        <v>1939963</v>
      </c>
      <c r="V6">
        <v>12.7</v>
      </c>
      <c r="W6">
        <v>0</v>
      </c>
      <c r="X6">
        <v>1.2</v>
      </c>
      <c r="Y6">
        <v>0.27800000000000002</v>
      </c>
      <c r="Z6" t="s">
        <v>1881</v>
      </c>
      <c r="AA6" t="s">
        <v>963</v>
      </c>
      <c r="AB6" t="s">
        <v>2520</v>
      </c>
      <c r="AC6" t="s">
        <v>398</v>
      </c>
      <c r="AD6" t="s">
        <v>2171</v>
      </c>
      <c r="AE6" t="s">
        <v>400</v>
      </c>
      <c r="AF6">
        <v>9.4563423600000002E-2</v>
      </c>
      <c r="AH6" t="str">
        <v>PE</v>
      </c>
      <c r="AJ6">
        <v>3531649</v>
      </c>
      <c r="AK6">
        <v>42.7</v>
      </c>
      <c r="AL6">
        <v>0</v>
      </c>
      <c r="AM6">
        <v>1.6</v>
      </c>
      <c r="AN6">
        <v>0.41699999999999998</v>
      </c>
      <c r="AO6" t="s">
        <v>2088</v>
      </c>
      <c r="AP6" t="s">
        <v>1003</v>
      </c>
      <c r="AQ6" t="s">
        <v>2520</v>
      </c>
      <c r="AR6" t="str">
        <f>_xlfn.CONCAT(Table8[[#This Row],[OD]],"-",Table8[[#This Row],[ID]],"-",Table8[[#This Row],[Thickness]],"-","ERW 2","-","FC","-HMSIL")</f>
        <v>42.7-0-1.6-ERW 2-FC-HMSIL</v>
      </c>
      <c r="AS6" t="str" cm="1">
        <f t="array" ref="AS6">_xlfn.IFS(buckets[[#This Row],[Length]]=0,"LL",buckets[[#This Row],[Length]]&lt;=3,"CTL",buckets[[#This Row],[Length]]&gt;3,"LL")</f>
        <v>CTL</v>
      </c>
      <c r="AT6" t="str">
        <f>_xlfn.CONCAT(Table8[[#This Row],[Bucket]],"-",Table8[[#This Row],[LL or CTL]])</f>
        <v>42.7-0-1.6-ERW 2-FC-HMSIL-CTL</v>
      </c>
    </row>
    <row r="7" spans="1:46" x14ac:dyDescent="0.25">
      <c r="A7" s="56">
        <v>1931848</v>
      </c>
      <c r="B7" s="56" t="s">
        <v>2533</v>
      </c>
      <c r="C7" s="56" t="s">
        <v>2534</v>
      </c>
      <c r="D7" s="57">
        <v>69.218999999999994</v>
      </c>
      <c r="E7" s="57">
        <v>253.34</v>
      </c>
      <c r="F7" s="57">
        <v>0.25334000000000001</v>
      </c>
      <c r="G7" s="56" t="s">
        <v>392</v>
      </c>
      <c r="H7" s="56" t="s">
        <v>2511</v>
      </c>
      <c r="I7" s="56" t="s">
        <v>345</v>
      </c>
      <c r="J7" s="56" t="s">
        <v>2535</v>
      </c>
      <c r="K7" s="57">
        <v>415.31099999999998</v>
      </c>
      <c r="L7" s="56" t="s">
        <v>2536</v>
      </c>
      <c r="M7" s="56" t="s">
        <v>2537</v>
      </c>
      <c r="N7" s="56" t="s">
        <v>37</v>
      </c>
      <c r="O7" s="58">
        <v>139</v>
      </c>
      <c r="P7" s="59" t="s">
        <v>2524</v>
      </c>
      <c r="Q7" s="56" t="s">
        <v>11</v>
      </c>
      <c r="U7" s="52">
        <v>1939966</v>
      </c>
      <c r="V7">
        <v>12.7</v>
      </c>
      <c r="W7">
        <v>0</v>
      </c>
      <c r="X7">
        <v>1.2</v>
      </c>
      <c r="Y7">
        <v>0.40799999999999997</v>
      </c>
      <c r="Z7" t="s">
        <v>1881</v>
      </c>
      <c r="AA7" t="s">
        <v>963</v>
      </c>
      <c r="AB7" t="s">
        <v>2520</v>
      </c>
      <c r="AC7" t="s">
        <v>398</v>
      </c>
      <c r="AD7" t="s">
        <v>2171</v>
      </c>
      <c r="AE7" t="s">
        <v>403</v>
      </c>
      <c r="AF7">
        <v>0.13878372959999999</v>
      </c>
      <c r="AH7" t="str">
        <v>AP</v>
      </c>
    </row>
    <row r="8" spans="1:46" x14ac:dyDescent="0.25">
      <c r="A8" s="56">
        <v>1932559</v>
      </c>
      <c r="B8" s="56" t="s">
        <v>1893</v>
      </c>
      <c r="C8" s="56" t="s">
        <v>2538</v>
      </c>
      <c r="D8" s="57">
        <v>220.15799999999999</v>
      </c>
      <c r="E8" s="58">
        <v>2560</v>
      </c>
      <c r="F8" s="57">
        <v>2.56</v>
      </c>
      <c r="G8" s="56" t="s">
        <v>392</v>
      </c>
      <c r="H8" s="56" t="s">
        <v>2511</v>
      </c>
      <c r="I8" s="56" t="s">
        <v>345</v>
      </c>
      <c r="J8" s="56" t="s">
        <v>2539</v>
      </c>
      <c r="K8" s="57">
        <v>1320.8810000000001</v>
      </c>
      <c r="L8" s="56" t="s">
        <v>1914</v>
      </c>
      <c r="M8" s="56" t="s">
        <v>1123</v>
      </c>
      <c r="N8" s="56" t="s">
        <v>17</v>
      </c>
      <c r="O8" s="58">
        <v>111</v>
      </c>
      <c r="P8" s="59" t="s">
        <v>2524</v>
      </c>
      <c r="Q8" s="56" t="s">
        <v>192</v>
      </c>
      <c r="U8" s="52">
        <v>2386074</v>
      </c>
      <c r="V8">
        <v>12.7</v>
      </c>
      <c r="W8">
        <v>0</v>
      </c>
      <c r="X8">
        <v>1.2</v>
      </c>
      <c r="Y8">
        <v>0.6</v>
      </c>
      <c r="Z8" t="s">
        <v>1881</v>
      </c>
      <c r="AA8" t="s">
        <v>963</v>
      </c>
      <c r="AB8" t="s">
        <v>2520</v>
      </c>
      <c r="AC8" t="s">
        <v>398</v>
      </c>
      <c r="AD8" t="s">
        <v>2171</v>
      </c>
      <c r="AE8" t="s">
        <v>2540</v>
      </c>
      <c r="AF8">
        <v>0.20409371999999998</v>
      </c>
      <c r="AH8" t="str">
        <v>HR</v>
      </c>
    </row>
    <row r="9" spans="1:46" x14ac:dyDescent="0.25">
      <c r="A9" s="56">
        <v>1932559</v>
      </c>
      <c r="B9" s="56" t="s">
        <v>1893</v>
      </c>
      <c r="C9" s="56" t="s">
        <v>2541</v>
      </c>
      <c r="D9" s="57">
        <v>226.69399999999999</v>
      </c>
      <c r="E9" s="58">
        <v>2636</v>
      </c>
      <c r="F9" s="57">
        <v>2.6360000000000001</v>
      </c>
      <c r="G9" s="56" t="s">
        <v>392</v>
      </c>
      <c r="H9" s="56" t="s">
        <v>2511</v>
      </c>
      <c r="I9" s="56" t="s">
        <v>345</v>
      </c>
      <c r="J9" s="56" t="s">
        <v>2542</v>
      </c>
      <c r="K9" s="57">
        <v>1360.095</v>
      </c>
      <c r="L9" s="56" t="s">
        <v>1914</v>
      </c>
      <c r="M9" s="56" t="s">
        <v>1123</v>
      </c>
      <c r="N9" s="56" t="s">
        <v>17</v>
      </c>
      <c r="O9" s="58">
        <v>111</v>
      </c>
      <c r="P9" s="59" t="s">
        <v>2524</v>
      </c>
      <c r="Q9" s="56" t="s">
        <v>192</v>
      </c>
      <c r="U9" s="52">
        <v>1939974</v>
      </c>
      <c r="V9">
        <v>12.7</v>
      </c>
      <c r="W9">
        <v>0</v>
      </c>
      <c r="X9">
        <v>1.2</v>
      </c>
      <c r="Y9">
        <v>0.77200000000000002</v>
      </c>
      <c r="Z9" t="s">
        <v>1881</v>
      </c>
      <c r="AA9" t="s">
        <v>963</v>
      </c>
      <c r="AB9" t="s">
        <v>2520</v>
      </c>
      <c r="AC9" t="s">
        <v>398</v>
      </c>
      <c r="AD9" t="s">
        <v>2171</v>
      </c>
      <c r="AE9" t="s">
        <v>2174</v>
      </c>
      <c r="AF9">
        <v>0.2626005864</v>
      </c>
      <c r="AH9" t="str">
        <v>FC</v>
      </c>
    </row>
    <row r="10" spans="1:46" x14ac:dyDescent="0.25">
      <c r="A10" s="56">
        <v>1932559</v>
      </c>
      <c r="B10" s="56" t="s">
        <v>1893</v>
      </c>
      <c r="C10" s="56" t="s">
        <v>2543</v>
      </c>
      <c r="D10" s="57">
        <v>223.85599999999999</v>
      </c>
      <c r="E10" s="58">
        <v>2603</v>
      </c>
      <c r="F10" s="57">
        <v>2.6030000000000002</v>
      </c>
      <c r="G10" s="56" t="s">
        <v>392</v>
      </c>
      <c r="H10" s="56" t="s">
        <v>2511</v>
      </c>
      <c r="I10" s="56" t="s">
        <v>345</v>
      </c>
      <c r="J10" s="56" t="s">
        <v>2544</v>
      </c>
      <c r="K10" s="57">
        <v>1343.068</v>
      </c>
      <c r="L10" s="56" t="s">
        <v>1914</v>
      </c>
      <c r="M10" s="56" t="s">
        <v>1123</v>
      </c>
      <c r="N10" s="56" t="s">
        <v>17</v>
      </c>
      <c r="O10" s="58">
        <v>111</v>
      </c>
      <c r="P10" s="59" t="s">
        <v>2524</v>
      </c>
      <c r="Q10" s="56" t="s">
        <v>192</v>
      </c>
      <c r="U10" s="52">
        <v>2403436</v>
      </c>
      <c r="V10">
        <v>12.7</v>
      </c>
      <c r="W10">
        <v>0</v>
      </c>
      <c r="X10">
        <v>1.2</v>
      </c>
      <c r="Y10">
        <v>0.98</v>
      </c>
      <c r="Z10" t="s">
        <v>1881</v>
      </c>
      <c r="AA10" t="s">
        <v>963</v>
      </c>
      <c r="AB10" t="s">
        <v>2520</v>
      </c>
      <c r="AC10" t="s">
        <v>398</v>
      </c>
      <c r="AD10" t="s">
        <v>2171</v>
      </c>
      <c r="AE10" t="s">
        <v>2545</v>
      </c>
      <c r="AF10">
        <v>0.33335307599999997</v>
      </c>
      <c r="AH10" t="str">
        <v>FH</v>
      </c>
    </row>
    <row r="11" spans="1:46" x14ac:dyDescent="0.25">
      <c r="A11" s="56">
        <v>1938251</v>
      </c>
      <c r="B11" s="56" t="s">
        <v>1511</v>
      </c>
      <c r="C11" s="56" t="s">
        <v>2546</v>
      </c>
      <c r="D11" s="57">
        <v>910</v>
      </c>
      <c r="E11" s="57">
        <v>292.11</v>
      </c>
      <c r="F11" s="57">
        <v>0.29211000000000004</v>
      </c>
      <c r="G11" s="56" t="s">
        <v>392</v>
      </c>
      <c r="H11" s="56" t="s">
        <v>2511</v>
      </c>
      <c r="I11" s="56" t="s">
        <v>345</v>
      </c>
      <c r="J11" s="56" t="s">
        <v>1914</v>
      </c>
      <c r="K11" s="57">
        <v>358.72500000000002</v>
      </c>
      <c r="L11" s="56" t="s">
        <v>2547</v>
      </c>
      <c r="M11" s="56" t="s">
        <v>2548</v>
      </c>
      <c r="N11" s="56" t="s">
        <v>151</v>
      </c>
      <c r="O11" s="58">
        <v>12</v>
      </c>
      <c r="P11" s="59" t="s">
        <v>2515</v>
      </c>
      <c r="Q11" s="56" t="s">
        <v>11</v>
      </c>
      <c r="U11" s="538">
        <v>110102138</v>
      </c>
      <c r="V11">
        <v>12.7</v>
      </c>
      <c r="W11">
        <v>0</v>
      </c>
      <c r="X11">
        <v>1.2</v>
      </c>
      <c r="Y11">
        <v>5.4</v>
      </c>
      <c r="Z11" t="s">
        <v>1881</v>
      </c>
      <c r="AA11" t="s">
        <v>963</v>
      </c>
      <c r="AB11" t="s">
        <v>2520</v>
      </c>
      <c r="AC11" t="s">
        <v>398</v>
      </c>
      <c r="AD11" t="s">
        <v>1838</v>
      </c>
      <c r="AE11" t="s">
        <v>2173</v>
      </c>
      <c r="AF11">
        <v>0.34015619999999996</v>
      </c>
      <c r="AH11" t="str">
        <v>NR</v>
      </c>
    </row>
    <row r="12" spans="1:46" x14ac:dyDescent="0.25">
      <c r="A12" s="56">
        <v>1938251</v>
      </c>
      <c r="B12" s="56" t="s">
        <v>1511</v>
      </c>
      <c r="C12" s="56" t="s">
        <v>2549</v>
      </c>
      <c r="D12" s="57">
        <v>850.46699999999998</v>
      </c>
      <c r="E12" s="58">
        <v>273</v>
      </c>
      <c r="F12" s="57">
        <v>0.27300000000000002</v>
      </c>
      <c r="G12" s="56" t="s">
        <v>392</v>
      </c>
      <c r="H12" s="56" t="s">
        <v>2511</v>
      </c>
      <c r="I12" s="56" t="s">
        <v>345</v>
      </c>
      <c r="J12" s="56" t="s">
        <v>2550</v>
      </c>
      <c r="K12" s="57">
        <v>335.25700000000001</v>
      </c>
      <c r="L12" s="56" t="s">
        <v>2547</v>
      </c>
      <c r="M12" s="56" t="s">
        <v>2548</v>
      </c>
      <c r="N12" s="56" t="s">
        <v>151</v>
      </c>
      <c r="O12" s="58">
        <v>22</v>
      </c>
      <c r="P12" s="59" t="s">
        <v>2515</v>
      </c>
      <c r="Q12" s="56" t="s">
        <v>11</v>
      </c>
      <c r="U12" s="538">
        <v>111114026</v>
      </c>
      <c r="V12">
        <v>12.7</v>
      </c>
      <c r="W12">
        <v>0</v>
      </c>
      <c r="X12">
        <v>1.2</v>
      </c>
      <c r="Y12">
        <v>5.5</v>
      </c>
      <c r="Z12" t="s">
        <v>1881</v>
      </c>
      <c r="AA12" t="s">
        <v>963</v>
      </c>
      <c r="AB12" t="s">
        <v>2520</v>
      </c>
      <c r="AC12" t="s">
        <v>398</v>
      </c>
      <c r="AD12" t="s">
        <v>1838</v>
      </c>
      <c r="AE12" t="s">
        <v>2173</v>
      </c>
      <c r="AF12">
        <v>0.34015619999999996</v>
      </c>
      <c r="AH12" t="str">
        <v>AS</v>
      </c>
    </row>
    <row r="13" spans="1:46" x14ac:dyDescent="0.25">
      <c r="A13" s="56">
        <v>1938251</v>
      </c>
      <c r="B13" s="56" t="s">
        <v>1511</v>
      </c>
      <c r="C13" s="56" t="s">
        <v>2551</v>
      </c>
      <c r="D13" s="57">
        <v>1697.819</v>
      </c>
      <c r="E13" s="58">
        <v>545</v>
      </c>
      <c r="F13" s="57">
        <v>0.54500000000000004</v>
      </c>
      <c r="G13" s="56" t="s">
        <v>392</v>
      </c>
      <c r="H13" s="56" t="s">
        <v>2511</v>
      </c>
      <c r="I13" s="56" t="s">
        <v>345</v>
      </c>
      <c r="J13" s="56" t="s">
        <v>2552</v>
      </c>
      <c r="K13" s="57">
        <v>669.28700000000003</v>
      </c>
      <c r="L13" s="56" t="s">
        <v>2547</v>
      </c>
      <c r="M13" s="56" t="s">
        <v>2548</v>
      </c>
      <c r="N13" s="56" t="s">
        <v>151</v>
      </c>
      <c r="O13" s="58">
        <v>23</v>
      </c>
      <c r="P13" s="59" t="s">
        <v>2515</v>
      </c>
      <c r="Q13" s="56" t="s">
        <v>11</v>
      </c>
      <c r="U13" s="52">
        <v>1939985</v>
      </c>
      <c r="V13">
        <v>12.7</v>
      </c>
      <c r="W13">
        <v>0</v>
      </c>
      <c r="X13">
        <v>1.2</v>
      </c>
      <c r="Y13">
        <v>6</v>
      </c>
      <c r="Z13" t="s">
        <v>1881</v>
      </c>
      <c r="AA13" t="s">
        <v>963</v>
      </c>
      <c r="AB13" t="s">
        <v>2520</v>
      </c>
      <c r="AC13" t="s">
        <v>398</v>
      </c>
      <c r="AD13" t="s">
        <v>1838</v>
      </c>
      <c r="AE13" t="s">
        <v>2173</v>
      </c>
      <c r="AF13">
        <v>0.34015619999999996</v>
      </c>
      <c r="AH13" t="str">
        <v>AH</v>
      </c>
    </row>
    <row r="14" spans="1:46" x14ac:dyDescent="0.25">
      <c r="A14" s="56">
        <v>1938251</v>
      </c>
      <c r="B14" s="56" t="s">
        <v>1511</v>
      </c>
      <c r="C14" s="56" t="s">
        <v>2553</v>
      </c>
      <c r="D14" s="57">
        <v>3295.5729999999999</v>
      </c>
      <c r="E14" s="57">
        <v>1057.8789999999999</v>
      </c>
      <c r="F14" s="57">
        <v>1.057879</v>
      </c>
      <c r="G14" s="56" t="s">
        <v>392</v>
      </c>
      <c r="H14" s="56" t="s">
        <v>2511</v>
      </c>
      <c r="I14" s="56" t="s">
        <v>345</v>
      </c>
      <c r="J14" s="56" t="s">
        <v>2554</v>
      </c>
      <c r="K14" s="57">
        <v>1299.127</v>
      </c>
      <c r="L14" s="56" t="s">
        <v>2547</v>
      </c>
      <c r="M14" s="56" t="s">
        <v>2548</v>
      </c>
      <c r="N14" s="56" t="s">
        <v>151</v>
      </c>
      <c r="O14" s="58">
        <v>55</v>
      </c>
      <c r="P14" s="59" t="s">
        <v>2532</v>
      </c>
      <c r="Q14" s="56" t="s">
        <v>11</v>
      </c>
      <c r="U14" s="52">
        <v>1900037</v>
      </c>
      <c r="V14">
        <v>12.7</v>
      </c>
      <c r="W14">
        <v>0</v>
      </c>
      <c r="X14">
        <v>1.2</v>
      </c>
      <c r="Y14">
        <v>6</v>
      </c>
      <c r="Z14" t="s">
        <v>1952</v>
      </c>
      <c r="AA14" t="s">
        <v>963</v>
      </c>
      <c r="AB14" t="s">
        <v>2520</v>
      </c>
      <c r="AC14" t="s">
        <v>398</v>
      </c>
      <c r="AD14" t="s">
        <v>1838</v>
      </c>
      <c r="AE14" t="s">
        <v>2173</v>
      </c>
      <c r="AF14">
        <v>0.34015619999999996</v>
      </c>
      <c r="AH14" t="str">
        <v>DT</v>
      </c>
    </row>
    <row r="15" spans="1:46" x14ac:dyDescent="0.25">
      <c r="A15" s="56">
        <v>1938251</v>
      </c>
      <c r="B15" s="56" t="s">
        <v>1511</v>
      </c>
      <c r="C15" s="56" t="s">
        <v>2555</v>
      </c>
      <c r="D15" s="57">
        <v>1096.5730000000001</v>
      </c>
      <c r="E15" s="58">
        <v>352</v>
      </c>
      <c r="F15" s="57">
        <v>0.35199999999999998</v>
      </c>
      <c r="G15" s="56" t="s">
        <v>392</v>
      </c>
      <c r="H15" s="56" t="s">
        <v>2511</v>
      </c>
      <c r="I15" s="56" t="s">
        <v>345</v>
      </c>
      <c r="J15" s="56" t="s">
        <v>2554</v>
      </c>
      <c r="K15" s="57">
        <v>432.27300000000002</v>
      </c>
      <c r="L15" s="56" t="s">
        <v>2547</v>
      </c>
      <c r="M15" s="56" t="s">
        <v>2548</v>
      </c>
      <c r="N15" s="56" t="s">
        <v>151</v>
      </c>
      <c r="O15" s="58">
        <v>55</v>
      </c>
      <c r="P15" s="59" t="s">
        <v>2532</v>
      </c>
      <c r="Q15" s="56" t="s">
        <v>11</v>
      </c>
      <c r="U15" s="52">
        <v>1939986</v>
      </c>
      <c r="V15">
        <v>12.7</v>
      </c>
      <c r="W15">
        <v>0</v>
      </c>
      <c r="X15">
        <v>1.2</v>
      </c>
      <c r="Y15">
        <v>6</v>
      </c>
      <c r="Z15" t="s">
        <v>1881</v>
      </c>
      <c r="AA15" t="s">
        <v>963</v>
      </c>
      <c r="AB15" t="s">
        <v>2520</v>
      </c>
      <c r="AC15" t="s">
        <v>398</v>
      </c>
      <c r="AD15" t="s">
        <v>1838</v>
      </c>
      <c r="AE15" t="s">
        <v>2173</v>
      </c>
      <c r="AF15">
        <v>0.34015619999999996</v>
      </c>
      <c r="AH15" t="str">
        <v>UP</v>
      </c>
    </row>
    <row r="16" spans="1:46" x14ac:dyDescent="0.25">
      <c r="A16" s="56">
        <v>1939966</v>
      </c>
      <c r="B16" s="56" t="s">
        <v>402</v>
      </c>
      <c r="C16" s="56" t="s">
        <v>2556</v>
      </c>
      <c r="D16" s="57">
        <v>4914.1440000000002</v>
      </c>
      <c r="E16" s="57">
        <v>683.06600000000003</v>
      </c>
      <c r="F16" s="57">
        <v>0.68306600000000006</v>
      </c>
      <c r="G16" s="56" t="s">
        <v>392</v>
      </c>
      <c r="H16" s="56" t="s">
        <v>2511</v>
      </c>
      <c r="I16" s="56" t="s">
        <v>345</v>
      </c>
      <c r="J16" s="56" t="s">
        <v>2557</v>
      </c>
      <c r="K16" s="57">
        <v>2006.6569999999999</v>
      </c>
      <c r="L16" s="56" t="s">
        <v>2558</v>
      </c>
      <c r="M16" s="56" t="s">
        <v>2537</v>
      </c>
      <c r="N16" s="56" t="s">
        <v>17</v>
      </c>
      <c r="O16" s="58">
        <v>37</v>
      </c>
      <c r="P16" s="59" t="s">
        <v>2532</v>
      </c>
      <c r="Q16" s="56" t="s">
        <v>192</v>
      </c>
      <c r="U16">
        <v>3701585</v>
      </c>
      <c r="V16">
        <v>12.7</v>
      </c>
      <c r="W16">
        <v>0</v>
      </c>
      <c r="X16">
        <v>1.2</v>
      </c>
      <c r="Y16">
        <v>6</v>
      </c>
      <c r="Z16" t="s">
        <v>1881</v>
      </c>
      <c r="AA16" t="s">
        <v>963</v>
      </c>
      <c r="AB16" t="s">
        <v>2520</v>
      </c>
      <c r="AC16" t="s">
        <v>398</v>
      </c>
      <c r="AD16" t="s">
        <v>1838</v>
      </c>
      <c r="AE16" t="s">
        <v>2173</v>
      </c>
      <c r="AF16">
        <v>0.34015619999999996</v>
      </c>
      <c r="AH16" t="str">
        <v>BH</v>
      </c>
    </row>
    <row r="17" spans="1:32" x14ac:dyDescent="0.25">
      <c r="A17" s="56">
        <v>1939967</v>
      </c>
      <c r="B17" s="56" t="s">
        <v>2559</v>
      </c>
      <c r="C17" s="56" t="s">
        <v>2560</v>
      </c>
      <c r="D17" s="57">
        <v>2604.9</v>
      </c>
      <c r="E17" s="57">
        <v>364.68599999999998</v>
      </c>
      <c r="F17" s="57">
        <v>0.36468599999999995</v>
      </c>
      <c r="G17" s="56" t="s">
        <v>392</v>
      </c>
      <c r="H17" s="56" t="s">
        <v>2511</v>
      </c>
      <c r="I17" s="56" t="s">
        <v>345</v>
      </c>
      <c r="J17" s="56" t="s">
        <v>1914</v>
      </c>
      <c r="K17" s="57">
        <v>1071.345</v>
      </c>
      <c r="L17" s="56" t="s">
        <v>1914</v>
      </c>
      <c r="M17" s="56" t="s">
        <v>1123</v>
      </c>
      <c r="N17" s="56" t="s">
        <v>76</v>
      </c>
      <c r="O17" s="58">
        <v>262</v>
      </c>
      <c r="P17" s="59" t="s">
        <v>2524</v>
      </c>
      <c r="Q17" s="56" t="s">
        <v>2561</v>
      </c>
      <c r="U17" s="538">
        <v>110102145</v>
      </c>
      <c r="V17">
        <v>12.7</v>
      </c>
      <c r="W17">
        <v>0</v>
      </c>
      <c r="X17">
        <v>1.2</v>
      </c>
      <c r="Y17">
        <v>6</v>
      </c>
      <c r="Z17" t="s">
        <v>1881</v>
      </c>
      <c r="AA17" t="s">
        <v>963</v>
      </c>
      <c r="AB17" t="s">
        <v>2520</v>
      </c>
      <c r="AC17" t="s">
        <v>398</v>
      </c>
      <c r="AD17" t="s">
        <v>1838</v>
      </c>
      <c r="AE17" t="s">
        <v>2173</v>
      </c>
      <c r="AF17">
        <v>0.34015619999999996</v>
      </c>
    </row>
    <row r="18" spans="1:32" x14ac:dyDescent="0.25">
      <c r="A18" s="56">
        <v>1939970</v>
      </c>
      <c r="B18" s="56" t="s">
        <v>2562</v>
      </c>
      <c r="C18" s="56" t="s">
        <v>2563</v>
      </c>
      <c r="D18" s="57">
        <v>848.44</v>
      </c>
      <c r="E18" s="57">
        <v>162.05199999999999</v>
      </c>
      <c r="F18" s="57">
        <v>0.162052</v>
      </c>
      <c r="G18" s="56" t="s">
        <v>392</v>
      </c>
      <c r="H18" s="56" t="s">
        <v>2511</v>
      </c>
      <c r="I18" s="56" t="s">
        <v>345</v>
      </c>
      <c r="J18" s="56" t="s">
        <v>1914</v>
      </c>
      <c r="K18" s="57">
        <v>476.06299999999999</v>
      </c>
      <c r="L18" s="56" t="s">
        <v>1914</v>
      </c>
      <c r="M18" s="56" t="s">
        <v>1123</v>
      </c>
      <c r="N18" s="56" t="s">
        <v>76</v>
      </c>
      <c r="O18" s="58">
        <v>262</v>
      </c>
      <c r="P18" s="59" t="s">
        <v>2524</v>
      </c>
      <c r="Q18" s="56" t="s">
        <v>2561</v>
      </c>
      <c r="U18" s="52">
        <v>3552188</v>
      </c>
      <c r="V18">
        <v>12.7</v>
      </c>
      <c r="W18">
        <v>0</v>
      </c>
      <c r="X18">
        <v>1.4</v>
      </c>
      <c r="Y18">
        <v>5.67</v>
      </c>
      <c r="Z18" t="s">
        <v>1881</v>
      </c>
      <c r="AA18" t="s">
        <v>963</v>
      </c>
      <c r="AB18" t="s">
        <v>2520</v>
      </c>
      <c r="AC18" t="s">
        <v>2564</v>
      </c>
      <c r="AD18" t="s">
        <v>1838</v>
      </c>
      <c r="AE18" t="s">
        <v>2565</v>
      </c>
      <c r="AF18">
        <v>0.38994717999999995</v>
      </c>
    </row>
    <row r="19" spans="1:32" x14ac:dyDescent="0.25">
      <c r="A19" s="56">
        <v>1939985</v>
      </c>
      <c r="B19" s="56" t="s">
        <v>1137</v>
      </c>
      <c r="C19" s="56" t="s">
        <v>2566</v>
      </c>
      <c r="D19" s="57">
        <v>762.11500000000001</v>
      </c>
      <c r="E19" s="58">
        <v>1557</v>
      </c>
      <c r="F19" s="57">
        <v>1.5569999999999999</v>
      </c>
      <c r="G19" s="56" t="s">
        <v>392</v>
      </c>
      <c r="H19" s="56" t="s">
        <v>2511</v>
      </c>
      <c r="I19" s="56" t="s">
        <v>345</v>
      </c>
      <c r="J19" s="56" t="s">
        <v>2567</v>
      </c>
      <c r="K19" s="57">
        <v>4574.0309999999999</v>
      </c>
      <c r="L19" s="56" t="s">
        <v>2568</v>
      </c>
      <c r="M19" s="56" t="s">
        <v>2537</v>
      </c>
      <c r="N19" s="56" t="s">
        <v>37</v>
      </c>
      <c r="O19" s="58">
        <v>10</v>
      </c>
      <c r="P19" s="59" t="s">
        <v>2515</v>
      </c>
      <c r="Q19" s="56" t="s">
        <v>11</v>
      </c>
      <c r="U19" s="52">
        <v>1931117</v>
      </c>
      <c r="V19">
        <v>12.7</v>
      </c>
      <c r="W19">
        <v>0</v>
      </c>
      <c r="X19">
        <v>1.4</v>
      </c>
      <c r="Y19">
        <v>6</v>
      </c>
      <c r="Z19" t="s">
        <v>1883</v>
      </c>
      <c r="AA19" t="s">
        <v>963</v>
      </c>
      <c r="AB19" t="s">
        <v>2520</v>
      </c>
      <c r="AC19" t="s">
        <v>2564</v>
      </c>
      <c r="AD19" t="s">
        <v>1838</v>
      </c>
      <c r="AE19" t="s">
        <v>2565</v>
      </c>
      <c r="AF19">
        <v>0.38994717999999995</v>
      </c>
    </row>
    <row r="20" spans="1:32" x14ac:dyDescent="0.25">
      <c r="A20" s="56">
        <v>1939986</v>
      </c>
      <c r="B20" s="56" t="s">
        <v>1135</v>
      </c>
      <c r="C20" s="56" t="s">
        <v>2569</v>
      </c>
      <c r="D20" s="57">
        <v>1125.7950000000001</v>
      </c>
      <c r="E20" s="58">
        <v>2300</v>
      </c>
      <c r="F20" s="57">
        <v>2.2999999999999998</v>
      </c>
      <c r="G20" s="56" t="s">
        <v>392</v>
      </c>
      <c r="H20" s="56" t="s">
        <v>2511</v>
      </c>
      <c r="I20" s="56" t="s">
        <v>345</v>
      </c>
      <c r="J20" s="56" t="s">
        <v>2570</v>
      </c>
      <c r="K20" s="57">
        <v>6756.7569999999996</v>
      </c>
      <c r="L20" s="56" t="s">
        <v>2571</v>
      </c>
      <c r="M20" s="56" t="s">
        <v>2164</v>
      </c>
      <c r="N20" s="56" t="s">
        <v>61</v>
      </c>
      <c r="O20" s="58">
        <v>10</v>
      </c>
      <c r="P20" s="59" t="s">
        <v>2515</v>
      </c>
      <c r="Q20" s="56" t="s">
        <v>11</v>
      </c>
      <c r="U20" s="52">
        <v>2288968</v>
      </c>
      <c r="V20">
        <v>12.7</v>
      </c>
      <c r="W20">
        <v>0</v>
      </c>
      <c r="X20">
        <v>1.42</v>
      </c>
      <c r="Y20">
        <v>6.0350000000000001</v>
      </c>
      <c r="Z20" t="s">
        <v>1874</v>
      </c>
      <c r="AA20" t="s">
        <v>1003</v>
      </c>
      <c r="AB20" t="s">
        <v>2572</v>
      </c>
      <c r="AC20" t="s">
        <v>2573</v>
      </c>
      <c r="AD20" t="s">
        <v>1838</v>
      </c>
      <c r="AE20" t="s">
        <v>2574</v>
      </c>
      <c r="AF20">
        <v>0.39481782239999996</v>
      </c>
    </row>
    <row r="21" spans="1:32" x14ac:dyDescent="0.25">
      <c r="A21" s="56">
        <v>1939986</v>
      </c>
      <c r="B21" s="56" t="s">
        <v>1135</v>
      </c>
      <c r="C21" s="56" t="s">
        <v>2575</v>
      </c>
      <c r="D21" s="57">
        <v>40.869</v>
      </c>
      <c r="E21" s="57">
        <v>83.495999999999995</v>
      </c>
      <c r="F21" s="57">
        <v>8.3496000000000001E-2</v>
      </c>
      <c r="G21" s="56" t="s">
        <v>392</v>
      </c>
      <c r="H21" s="56" t="s">
        <v>2511</v>
      </c>
      <c r="I21" s="56" t="s">
        <v>345</v>
      </c>
      <c r="J21" s="56" t="s">
        <v>2576</v>
      </c>
      <c r="K21" s="57">
        <v>245.28800000000001</v>
      </c>
      <c r="L21" s="56" t="s">
        <v>2577</v>
      </c>
      <c r="M21" s="56" t="s">
        <v>2578</v>
      </c>
      <c r="N21" s="56" t="s">
        <v>61</v>
      </c>
      <c r="O21" s="58">
        <v>89</v>
      </c>
      <c r="P21" s="59" t="s">
        <v>2579</v>
      </c>
      <c r="Q21" s="56" t="s">
        <v>11</v>
      </c>
      <c r="U21" s="52">
        <v>1939991</v>
      </c>
      <c r="V21">
        <v>12.7</v>
      </c>
      <c r="W21">
        <v>0</v>
      </c>
      <c r="X21">
        <v>1.6</v>
      </c>
      <c r="Y21">
        <v>0.14499999999999999</v>
      </c>
      <c r="Z21" t="s">
        <v>1881</v>
      </c>
      <c r="AA21" t="s">
        <v>963</v>
      </c>
      <c r="AB21" t="s">
        <v>2520</v>
      </c>
      <c r="AC21" t="s">
        <v>416</v>
      </c>
      <c r="AD21" t="s">
        <v>2171</v>
      </c>
      <c r="AE21" t="s">
        <v>2580</v>
      </c>
      <c r="AF21">
        <v>6.3476104800000002E-2</v>
      </c>
    </row>
    <row r="22" spans="1:32" x14ac:dyDescent="0.25">
      <c r="A22" s="56">
        <v>1939991</v>
      </c>
      <c r="B22" s="56" t="s">
        <v>1147</v>
      </c>
      <c r="C22" s="56" t="s">
        <v>2581</v>
      </c>
      <c r="D22" s="57">
        <v>4859.375</v>
      </c>
      <c r="E22" s="58">
        <v>311</v>
      </c>
      <c r="F22" s="57">
        <v>0.311</v>
      </c>
      <c r="G22" s="56" t="s">
        <v>392</v>
      </c>
      <c r="H22" s="56" t="s">
        <v>2511</v>
      </c>
      <c r="I22" s="56" t="s">
        <v>345</v>
      </c>
      <c r="J22" s="56" t="s">
        <v>2582</v>
      </c>
      <c r="K22" s="57">
        <v>709.88400000000001</v>
      </c>
      <c r="L22" s="56" t="s">
        <v>2583</v>
      </c>
      <c r="M22" s="56" t="s">
        <v>2584</v>
      </c>
      <c r="N22" s="56" t="s">
        <v>151</v>
      </c>
      <c r="O22" s="58">
        <v>6</v>
      </c>
      <c r="P22" s="59" t="s">
        <v>2515</v>
      </c>
      <c r="Q22" s="56" t="s">
        <v>11</v>
      </c>
      <c r="U22" s="52">
        <v>1939992</v>
      </c>
      <c r="V22">
        <v>12.7</v>
      </c>
      <c r="W22">
        <v>0</v>
      </c>
      <c r="X22">
        <v>1.6</v>
      </c>
      <c r="Y22">
        <v>0.187</v>
      </c>
      <c r="Z22" t="s">
        <v>1881</v>
      </c>
      <c r="AA22" t="s">
        <v>963</v>
      </c>
      <c r="AB22" t="s">
        <v>2520</v>
      </c>
      <c r="AC22" t="s">
        <v>416</v>
      </c>
      <c r="AD22" t="s">
        <v>2171</v>
      </c>
      <c r="AE22" t="s">
        <v>2585</v>
      </c>
      <c r="AF22">
        <v>8.186228688000001E-2</v>
      </c>
    </row>
    <row r="23" spans="1:32" x14ac:dyDescent="0.25">
      <c r="A23" s="56">
        <v>1939994</v>
      </c>
      <c r="B23" s="56" t="s">
        <v>431</v>
      </c>
      <c r="C23" s="56" t="s">
        <v>2586</v>
      </c>
      <c r="D23" s="57">
        <v>4016.26</v>
      </c>
      <c r="E23" s="58">
        <v>494</v>
      </c>
      <c r="F23" s="57">
        <v>0.49399999999999999</v>
      </c>
      <c r="G23" s="56" t="s">
        <v>392</v>
      </c>
      <c r="H23" s="56" t="s">
        <v>2511</v>
      </c>
      <c r="I23" s="56" t="s">
        <v>345</v>
      </c>
      <c r="J23" s="56" t="s">
        <v>2587</v>
      </c>
      <c r="K23" s="57">
        <v>1127.596</v>
      </c>
      <c r="L23" s="56" t="s">
        <v>2588</v>
      </c>
      <c r="M23" s="56" t="s">
        <v>2589</v>
      </c>
      <c r="N23" s="56" t="s">
        <v>61</v>
      </c>
      <c r="O23" s="58">
        <v>7</v>
      </c>
      <c r="P23" s="59" t="s">
        <v>2515</v>
      </c>
      <c r="Q23" s="56" t="s">
        <v>11</v>
      </c>
      <c r="U23" s="52">
        <v>3432081</v>
      </c>
      <c r="V23">
        <v>12.7</v>
      </c>
      <c r="W23">
        <v>0</v>
      </c>
      <c r="X23">
        <v>1.6</v>
      </c>
      <c r="Y23">
        <v>0.189</v>
      </c>
      <c r="Z23" t="s">
        <v>1868</v>
      </c>
      <c r="AA23" t="s">
        <v>963</v>
      </c>
      <c r="AB23" t="s">
        <v>2520</v>
      </c>
      <c r="AC23" t="s">
        <v>416</v>
      </c>
      <c r="AD23" t="s">
        <v>2171</v>
      </c>
      <c r="AE23" t="s">
        <v>418</v>
      </c>
      <c r="AF23">
        <v>8.2737819360000006E-2</v>
      </c>
    </row>
    <row r="24" spans="1:32" x14ac:dyDescent="0.25">
      <c r="A24" s="56">
        <v>1939996</v>
      </c>
      <c r="B24" s="56" t="s">
        <v>433</v>
      </c>
      <c r="C24" s="56" t="s">
        <v>2590</v>
      </c>
      <c r="D24" s="57">
        <v>4410.8530000000001</v>
      </c>
      <c r="E24" s="58">
        <v>569</v>
      </c>
      <c r="F24" s="57">
        <v>0.56899999999999995</v>
      </c>
      <c r="G24" s="56" t="s">
        <v>392</v>
      </c>
      <c r="H24" s="56" t="s">
        <v>2511</v>
      </c>
      <c r="I24" s="56" t="s">
        <v>345</v>
      </c>
      <c r="J24" s="56" t="s">
        <v>2591</v>
      </c>
      <c r="K24" s="57">
        <v>1298.79</v>
      </c>
      <c r="L24" s="56" t="s">
        <v>2592</v>
      </c>
      <c r="M24" s="56" t="s">
        <v>2589</v>
      </c>
      <c r="N24" s="56" t="s">
        <v>44</v>
      </c>
      <c r="O24" s="58">
        <v>17</v>
      </c>
      <c r="P24" s="59" t="s">
        <v>2515</v>
      </c>
      <c r="Q24" s="56" t="s">
        <v>11</v>
      </c>
      <c r="U24" s="52">
        <v>1939993</v>
      </c>
      <c r="V24">
        <v>12.7</v>
      </c>
      <c r="W24">
        <v>0</v>
      </c>
      <c r="X24">
        <v>1.6</v>
      </c>
      <c r="Y24">
        <v>0.25</v>
      </c>
      <c r="Z24" t="s">
        <v>1881</v>
      </c>
      <c r="AA24" t="s">
        <v>963</v>
      </c>
      <c r="AB24" t="s">
        <v>2520</v>
      </c>
      <c r="AC24" t="s">
        <v>416</v>
      </c>
      <c r="AD24" t="s">
        <v>2171</v>
      </c>
      <c r="AE24" t="s">
        <v>421</v>
      </c>
      <c r="AF24">
        <v>0.10944156000000001</v>
      </c>
    </row>
    <row r="25" spans="1:32" x14ac:dyDescent="0.25">
      <c r="A25" s="56">
        <v>1940003</v>
      </c>
      <c r="B25" s="56" t="s">
        <v>2009</v>
      </c>
      <c r="C25" s="56" t="s">
        <v>2593</v>
      </c>
      <c r="D25" s="57">
        <v>592.58100000000002</v>
      </c>
      <c r="E25" s="57">
        <v>101.92400000000001</v>
      </c>
      <c r="F25" s="57">
        <v>0.101924</v>
      </c>
      <c r="G25" s="56" t="s">
        <v>392</v>
      </c>
      <c r="H25" s="56" t="s">
        <v>2511</v>
      </c>
      <c r="I25" s="56" t="s">
        <v>345</v>
      </c>
      <c r="J25" s="56" t="s">
        <v>1914</v>
      </c>
      <c r="K25" s="57">
        <v>232.65</v>
      </c>
      <c r="L25" s="56" t="s">
        <v>1914</v>
      </c>
      <c r="M25" s="56" t="s">
        <v>1123</v>
      </c>
      <c r="N25" s="56" t="s">
        <v>78</v>
      </c>
      <c r="O25" s="58">
        <v>262</v>
      </c>
      <c r="P25" s="59" t="s">
        <v>2524</v>
      </c>
      <c r="Q25" s="56" t="s">
        <v>11</v>
      </c>
      <c r="U25">
        <v>3727213</v>
      </c>
      <c r="V25">
        <v>12.7</v>
      </c>
      <c r="W25">
        <v>0</v>
      </c>
      <c r="X25">
        <v>1.6</v>
      </c>
      <c r="Y25">
        <v>0.252</v>
      </c>
      <c r="Z25" t="s">
        <v>1881</v>
      </c>
      <c r="AA25" t="s">
        <v>963</v>
      </c>
      <c r="AB25" t="s">
        <v>2520</v>
      </c>
      <c r="AC25" t="s">
        <v>416</v>
      </c>
      <c r="AD25" t="s">
        <v>2171</v>
      </c>
      <c r="AE25" t="s">
        <v>2182</v>
      </c>
      <c r="AF25">
        <v>0.11031709248</v>
      </c>
    </row>
    <row r="26" spans="1:32" x14ac:dyDescent="0.25">
      <c r="A26" s="56">
        <v>1940014</v>
      </c>
      <c r="B26" s="56" t="s">
        <v>448</v>
      </c>
      <c r="C26" s="56" t="s">
        <v>2594</v>
      </c>
      <c r="D26" s="57">
        <v>572.46100000000001</v>
      </c>
      <c r="E26" s="58">
        <v>1505</v>
      </c>
      <c r="F26" s="57">
        <v>1.5049999999999999</v>
      </c>
      <c r="G26" s="56" t="s">
        <v>392</v>
      </c>
      <c r="H26" s="56" t="s">
        <v>2511</v>
      </c>
      <c r="I26" s="56" t="s">
        <v>345</v>
      </c>
      <c r="J26" s="56" t="s">
        <v>2595</v>
      </c>
      <c r="K26" s="57">
        <v>3435.2890000000002</v>
      </c>
      <c r="L26" s="56" t="s">
        <v>2596</v>
      </c>
      <c r="M26" s="56" t="s">
        <v>2165</v>
      </c>
      <c r="N26" s="56" t="s">
        <v>61</v>
      </c>
      <c r="O26" s="58">
        <v>10</v>
      </c>
      <c r="P26" s="59" t="s">
        <v>2515</v>
      </c>
      <c r="Q26" s="56" t="s">
        <v>11</v>
      </c>
      <c r="U26" s="52">
        <v>3223304</v>
      </c>
      <c r="V26">
        <v>12.7</v>
      </c>
      <c r="W26">
        <v>0</v>
      </c>
      <c r="X26">
        <v>1.6</v>
      </c>
      <c r="Y26">
        <v>0.255</v>
      </c>
      <c r="Z26" t="s">
        <v>1868</v>
      </c>
      <c r="AA26" t="s">
        <v>963</v>
      </c>
      <c r="AB26" t="s">
        <v>2520</v>
      </c>
      <c r="AC26" t="s">
        <v>416</v>
      </c>
      <c r="AD26" t="s">
        <v>2171</v>
      </c>
      <c r="AE26" t="s">
        <v>2183</v>
      </c>
      <c r="AF26">
        <v>0.11163039120000001</v>
      </c>
    </row>
    <row r="27" spans="1:32" x14ac:dyDescent="0.25">
      <c r="A27" s="56">
        <v>1940019</v>
      </c>
      <c r="B27" s="56" t="s">
        <v>1973</v>
      </c>
      <c r="C27" s="56" t="s">
        <v>2597</v>
      </c>
      <c r="D27" s="57">
        <v>2954</v>
      </c>
      <c r="E27" s="57">
        <v>150.654</v>
      </c>
      <c r="F27" s="57">
        <v>0.15065400000000001</v>
      </c>
      <c r="G27" s="56" t="s">
        <v>392</v>
      </c>
      <c r="H27" s="56" t="s">
        <v>2511</v>
      </c>
      <c r="I27" s="56" t="s">
        <v>345</v>
      </c>
      <c r="J27" s="56" t="s">
        <v>1914</v>
      </c>
      <c r="K27" s="57">
        <v>410.39</v>
      </c>
      <c r="L27" s="56" t="s">
        <v>2598</v>
      </c>
      <c r="M27" s="56" t="s">
        <v>2537</v>
      </c>
      <c r="N27" s="56" t="s">
        <v>151</v>
      </c>
      <c r="O27" s="58">
        <v>230</v>
      </c>
      <c r="P27" s="59" t="s">
        <v>2524</v>
      </c>
      <c r="Q27" s="56" t="s">
        <v>11</v>
      </c>
      <c r="U27" s="52">
        <v>3676336</v>
      </c>
      <c r="V27">
        <v>12.7</v>
      </c>
      <c r="W27">
        <v>0</v>
      </c>
      <c r="X27">
        <v>1.6</v>
      </c>
      <c r="Y27">
        <v>0.25700000000000001</v>
      </c>
      <c r="Z27" t="s">
        <v>1881</v>
      </c>
      <c r="AA27" t="s">
        <v>963</v>
      </c>
      <c r="AB27" t="s">
        <v>2520</v>
      </c>
      <c r="AC27" t="s">
        <v>416</v>
      </c>
      <c r="AD27" t="s">
        <v>2171</v>
      </c>
      <c r="AE27" t="s">
        <v>2184</v>
      </c>
      <c r="AF27">
        <v>0.11250592368000001</v>
      </c>
    </row>
    <row r="28" spans="1:32" x14ac:dyDescent="0.25">
      <c r="A28" s="56">
        <v>1940019</v>
      </c>
      <c r="B28" s="56" t="s">
        <v>1973</v>
      </c>
      <c r="C28" s="56" t="s">
        <v>2599</v>
      </c>
      <c r="D28" s="57">
        <v>3300</v>
      </c>
      <c r="E28" s="57">
        <v>168.3</v>
      </c>
      <c r="F28" s="57">
        <v>0.16830000000000001</v>
      </c>
      <c r="G28" s="56" t="s">
        <v>392</v>
      </c>
      <c r="H28" s="56" t="s">
        <v>2511</v>
      </c>
      <c r="I28" s="56" t="s">
        <v>345</v>
      </c>
      <c r="J28" s="56" t="s">
        <v>1914</v>
      </c>
      <c r="K28" s="57">
        <v>458.45800000000003</v>
      </c>
      <c r="L28" s="56" t="s">
        <v>2598</v>
      </c>
      <c r="M28" s="56" t="s">
        <v>2537</v>
      </c>
      <c r="N28" s="56" t="s">
        <v>151</v>
      </c>
      <c r="O28" s="58">
        <v>584</v>
      </c>
      <c r="P28" s="59" t="s">
        <v>2524</v>
      </c>
      <c r="Q28" s="56" t="s">
        <v>11</v>
      </c>
      <c r="U28" s="52">
        <v>1932848</v>
      </c>
      <c r="V28">
        <v>12.7</v>
      </c>
      <c r="W28">
        <v>0</v>
      </c>
      <c r="X28">
        <v>1.6</v>
      </c>
      <c r="Y28">
        <v>0.26</v>
      </c>
      <c r="Z28" t="s">
        <v>1883</v>
      </c>
      <c r="AA28" t="s">
        <v>963</v>
      </c>
      <c r="AB28" t="s">
        <v>2520</v>
      </c>
      <c r="AC28" t="s">
        <v>416</v>
      </c>
      <c r="AD28" t="s">
        <v>2171</v>
      </c>
      <c r="AE28" t="s">
        <v>427</v>
      </c>
      <c r="AF28">
        <v>0.11381922240000002</v>
      </c>
    </row>
    <row r="29" spans="1:32" x14ac:dyDescent="0.25">
      <c r="A29" s="56">
        <v>1940019</v>
      </c>
      <c r="B29" s="56" t="s">
        <v>1973</v>
      </c>
      <c r="C29" s="56" t="s">
        <v>2600</v>
      </c>
      <c r="D29" s="57">
        <v>1013</v>
      </c>
      <c r="E29" s="57">
        <v>51.662999999999997</v>
      </c>
      <c r="F29" s="57">
        <v>5.1662999999999994E-2</v>
      </c>
      <c r="G29" s="56" t="s">
        <v>392</v>
      </c>
      <c r="H29" s="56" t="s">
        <v>2511</v>
      </c>
      <c r="I29" s="56" t="s">
        <v>345</v>
      </c>
      <c r="J29" s="56" t="s">
        <v>1914</v>
      </c>
      <c r="K29" s="57">
        <v>140.733</v>
      </c>
      <c r="L29" s="56" t="s">
        <v>2598</v>
      </c>
      <c r="M29" s="56" t="s">
        <v>2537</v>
      </c>
      <c r="N29" s="56" t="s">
        <v>151</v>
      </c>
      <c r="O29" s="58">
        <v>580</v>
      </c>
      <c r="P29" s="59" t="s">
        <v>2524</v>
      </c>
      <c r="Q29" s="56" t="s">
        <v>11</v>
      </c>
      <c r="U29" s="52">
        <v>1939994</v>
      </c>
      <c r="V29">
        <v>12.7</v>
      </c>
      <c r="W29">
        <v>0</v>
      </c>
      <c r="X29">
        <v>1.6</v>
      </c>
      <c r="Y29">
        <v>0.28000000000000003</v>
      </c>
      <c r="Z29" t="s">
        <v>1881</v>
      </c>
      <c r="AA29" t="s">
        <v>963</v>
      </c>
      <c r="AB29" t="s">
        <v>2520</v>
      </c>
      <c r="AC29" t="s">
        <v>416</v>
      </c>
      <c r="AD29" t="s">
        <v>2171</v>
      </c>
      <c r="AE29" t="s">
        <v>432</v>
      </c>
      <c r="AF29">
        <v>0.12257454720000002</v>
      </c>
    </row>
    <row r="30" spans="1:32" x14ac:dyDescent="0.25">
      <c r="A30" s="56">
        <v>1940027</v>
      </c>
      <c r="B30" s="56" t="s">
        <v>2601</v>
      </c>
      <c r="C30" s="56" t="s">
        <v>2602</v>
      </c>
      <c r="D30" s="57">
        <v>74.384</v>
      </c>
      <c r="E30" s="58">
        <v>169</v>
      </c>
      <c r="F30" s="57">
        <v>0.16900000000000001</v>
      </c>
      <c r="G30" s="56" t="s">
        <v>392</v>
      </c>
      <c r="H30" s="56" t="s">
        <v>2511</v>
      </c>
      <c r="I30" s="56" t="s">
        <v>345</v>
      </c>
      <c r="J30" s="56" t="s">
        <v>2603</v>
      </c>
      <c r="K30" s="57">
        <v>460.36500000000001</v>
      </c>
      <c r="L30" s="56" t="s">
        <v>2604</v>
      </c>
      <c r="M30" s="56" t="s">
        <v>2605</v>
      </c>
      <c r="N30" s="56" t="s">
        <v>37</v>
      </c>
      <c r="O30" s="58">
        <v>336</v>
      </c>
      <c r="P30" s="59" t="s">
        <v>2524</v>
      </c>
      <c r="Q30" s="56" t="s">
        <v>11</v>
      </c>
      <c r="U30" s="52">
        <v>2440974</v>
      </c>
      <c r="V30">
        <v>12.7</v>
      </c>
      <c r="W30">
        <v>0</v>
      </c>
      <c r="X30">
        <v>1.6</v>
      </c>
      <c r="Y30">
        <v>0.28000000000000003</v>
      </c>
      <c r="Z30" t="s">
        <v>1868</v>
      </c>
      <c r="AA30" t="s">
        <v>963</v>
      </c>
      <c r="AB30" t="s">
        <v>2520</v>
      </c>
      <c r="AC30" t="s">
        <v>416</v>
      </c>
      <c r="AD30" t="s">
        <v>2171</v>
      </c>
      <c r="AE30" t="s">
        <v>432</v>
      </c>
      <c r="AF30">
        <v>0.12257454720000002</v>
      </c>
    </row>
    <row r="31" spans="1:32" x14ac:dyDescent="0.25">
      <c r="A31" s="56">
        <v>1940034</v>
      </c>
      <c r="B31" s="56" t="s">
        <v>464</v>
      </c>
      <c r="C31" s="56" t="s">
        <v>2606</v>
      </c>
      <c r="D31" s="57">
        <v>922.87199999999996</v>
      </c>
      <c r="E31" s="57">
        <v>216.875</v>
      </c>
      <c r="F31" s="57">
        <v>0.21687500000000001</v>
      </c>
      <c r="G31" s="56" t="s">
        <v>392</v>
      </c>
      <c r="H31" s="56" t="s">
        <v>2511</v>
      </c>
      <c r="I31" s="56" t="s">
        <v>345</v>
      </c>
      <c r="J31" s="56" t="s">
        <v>2607</v>
      </c>
      <c r="K31" s="57">
        <v>499.02199999999999</v>
      </c>
      <c r="L31" s="56" t="s">
        <v>2608</v>
      </c>
      <c r="M31" s="56" t="s">
        <v>2609</v>
      </c>
      <c r="N31" s="56" t="s">
        <v>9</v>
      </c>
      <c r="O31" s="58">
        <v>122</v>
      </c>
      <c r="P31" s="59" t="s">
        <v>2524</v>
      </c>
      <c r="Q31" s="56" t="s">
        <v>2516</v>
      </c>
      <c r="U31" s="52">
        <v>1939996</v>
      </c>
      <c r="V31">
        <v>12.7</v>
      </c>
      <c r="W31">
        <v>0</v>
      </c>
      <c r="X31">
        <v>1.6</v>
      </c>
      <c r="Y31">
        <v>0.29499999999999998</v>
      </c>
      <c r="Z31" t="s">
        <v>1881</v>
      </c>
      <c r="AA31" t="s">
        <v>963</v>
      </c>
      <c r="AB31" t="s">
        <v>2520</v>
      </c>
      <c r="AC31" t="s">
        <v>416</v>
      </c>
      <c r="AD31" t="s">
        <v>2171</v>
      </c>
      <c r="AE31" t="s">
        <v>434</v>
      </c>
      <c r="AF31">
        <v>0.1291410408</v>
      </c>
    </row>
    <row r="32" spans="1:32" x14ac:dyDescent="0.25">
      <c r="A32" s="56">
        <v>1940034</v>
      </c>
      <c r="B32" s="56" t="s">
        <v>464</v>
      </c>
      <c r="C32" s="56" t="s">
        <v>2610</v>
      </c>
      <c r="D32" s="57">
        <v>1272.3399999999999</v>
      </c>
      <c r="E32" s="58">
        <v>299</v>
      </c>
      <c r="F32" s="57">
        <v>0.29899999999999999</v>
      </c>
      <c r="G32" s="56" t="s">
        <v>392</v>
      </c>
      <c r="H32" s="56" t="s">
        <v>2511</v>
      </c>
      <c r="I32" s="56" t="s">
        <v>345</v>
      </c>
      <c r="J32" s="56" t="s">
        <v>2611</v>
      </c>
      <c r="K32" s="57">
        <v>687.98900000000003</v>
      </c>
      <c r="L32" s="56" t="s">
        <v>2608</v>
      </c>
      <c r="M32" s="56" t="s">
        <v>2609</v>
      </c>
      <c r="N32" s="56" t="s">
        <v>9</v>
      </c>
      <c r="O32" s="58">
        <v>84</v>
      </c>
      <c r="P32" s="59" t="s">
        <v>2579</v>
      </c>
      <c r="Q32" s="56" t="s">
        <v>2516</v>
      </c>
      <c r="U32" s="52">
        <v>3676337</v>
      </c>
      <c r="V32">
        <v>12.7</v>
      </c>
      <c r="W32">
        <v>0</v>
      </c>
      <c r="X32">
        <v>1.6</v>
      </c>
      <c r="Y32">
        <v>0.32</v>
      </c>
      <c r="Z32" t="s">
        <v>1881</v>
      </c>
      <c r="AA32" t="s">
        <v>963</v>
      </c>
      <c r="AB32" t="s">
        <v>2520</v>
      </c>
      <c r="AC32" t="s">
        <v>416</v>
      </c>
      <c r="AD32" t="s">
        <v>2171</v>
      </c>
      <c r="AE32" t="s">
        <v>2185</v>
      </c>
      <c r="AF32">
        <v>0.14008519680000001</v>
      </c>
    </row>
    <row r="33" spans="1:32" x14ac:dyDescent="0.25">
      <c r="A33" s="56">
        <v>1940034</v>
      </c>
      <c r="B33" s="56" t="s">
        <v>464</v>
      </c>
      <c r="C33" s="56" t="s">
        <v>2612</v>
      </c>
      <c r="D33" s="57">
        <v>1697.8720000000001</v>
      </c>
      <c r="E33" s="58">
        <v>399</v>
      </c>
      <c r="F33" s="57">
        <v>0.39900000000000002</v>
      </c>
      <c r="G33" s="56" t="s">
        <v>392</v>
      </c>
      <c r="H33" s="56" t="s">
        <v>2511</v>
      </c>
      <c r="I33" s="56" t="s">
        <v>345</v>
      </c>
      <c r="J33" s="56" t="s">
        <v>2552</v>
      </c>
      <c r="K33" s="57">
        <v>918.08600000000001</v>
      </c>
      <c r="L33" s="56" t="s">
        <v>2608</v>
      </c>
      <c r="M33" s="56" t="s">
        <v>2609</v>
      </c>
      <c r="N33" s="56" t="s">
        <v>9</v>
      </c>
      <c r="O33" s="58">
        <v>84</v>
      </c>
      <c r="P33" s="59" t="s">
        <v>2579</v>
      </c>
      <c r="Q33" s="56" t="s">
        <v>2516</v>
      </c>
      <c r="U33" s="52">
        <v>1940003</v>
      </c>
      <c r="V33">
        <v>12.7</v>
      </c>
      <c r="W33">
        <v>0</v>
      </c>
      <c r="X33">
        <v>1.6</v>
      </c>
      <c r="Y33">
        <v>0.39300000000000002</v>
      </c>
      <c r="Z33" t="s">
        <v>1881</v>
      </c>
      <c r="AA33" t="s">
        <v>963</v>
      </c>
      <c r="AB33" t="s">
        <v>2520</v>
      </c>
      <c r="AC33" t="s">
        <v>416</v>
      </c>
      <c r="AD33" t="s">
        <v>2171</v>
      </c>
      <c r="AE33" t="s">
        <v>2613</v>
      </c>
      <c r="AF33">
        <v>0.17204213232000001</v>
      </c>
    </row>
    <row r="34" spans="1:32" x14ac:dyDescent="0.25">
      <c r="A34" s="56">
        <v>1940034</v>
      </c>
      <c r="B34" s="56" t="s">
        <v>464</v>
      </c>
      <c r="C34" s="56" t="s">
        <v>2614</v>
      </c>
      <c r="D34" s="57">
        <v>800</v>
      </c>
      <c r="E34" s="58">
        <v>188</v>
      </c>
      <c r="F34" s="57">
        <v>0.188</v>
      </c>
      <c r="G34" s="56" t="s">
        <v>392</v>
      </c>
      <c r="H34" s="56" t="s">
        <v>2511</v>
      </c>
      <c r="I34" s="56" t="s">
        <v>345</v>
      </c>
      <c r="J34" s="56" t="s">
        <v>2615</v>
      </c>
      <c r="K34" s="57">
        <v>432.58199999999999</v>
      </c>
      <c r="L34" s="56" t="s">
        <v>2608</v>
      </c>
      <c r="M34" s="56" t="s">
        <v>2609</v>
      </c>
      <c r="N34" s="56" t="s">
        <v>9</v>
      </c>
      <c r="O34" s="58">
        <v>84</v>
      </c>
      <c r="P34" s="59" t="s">
        <v>2579</v>
      </c>
      <c r="Q34" s="56" t="s">
        <v>2516</v>
      </c>
      <c r="U34">
        <v>4151968</v>
      </c>
      <c r="V34">
        <v>12.7</v>
      </c>
      <c r="W34">
        <v>0</v>
      </c>
      <c r="X34">
        <v>1.6</v>
      </c>
      <c r="Y34">
        <v>0.90700000000000003</v>
      </c>
      <c r="Z34" t="s">
        <v>1891</v>
      </c>
      <c r="AA34" t="s">
        <v>963</v>
      </c>
      <c r="AB34" t="s">
        <v>2520</v>
      </c>
      <c r="AC34" t="s">
        <v>416</v>
      </c>
      <c r="AD34" t="s">
        <v>2171</v>
      </c>
      <c r="AE34" t="s">
        <v>5583</v>
      </c>
      <c r="AF34">
        <v>0.39705397968000006</v>
      </c>
    </row>
    <row r="35" spans="1:32" x14ac:dyDescent="0.25">
      <c r="A35" s="56">
        <v>1940034</v>
      </c>
      <c r="B35" s="56" t="s">
        <v>464</v>
      </c>
      <c r="C35" s="56" t="s">
        <v>2616</v>
      </c>
      <c r="D35" s="57">
        <v>497.87200000000001</v>
      </c>
      <c r="E35" s="58">
        <v>117</v>
      </c>
      <c r="F35" s="57">
        <v>0.11700000000000001</v>
      </c>
      <c r="G35" s="56" t="s">
        <v>392</v>
      </c>
      <c r="H35" s="56" t="s">
        <v>2511</v>
      </c>
      <c r="I35" s="56" t="s">
        <v>345</v>
      </c>
      <c r="J35" s="56" t="s">
        <v>2617</v>
      </c>
      <c r="K35" s="57">
        <v>269.21300000000002</v>
      </c>
      <c r="L35" s="56" t="s">
        <v>2608</v>
      </c>
      <c r="M35" s="56" t="s">
        <v>2609</v>
      </c>
      <c r="N35" s="56" t="s">
        <v>9</v>
      </c>
      <c r="O35" s="58">
        <v>84</v>
      </c>
      <c r="P35" s="59" t="s">
        <v>2579</v>
      </c>
      <c r="Q35" s="56" t="s">
        <v>2516</v>
      </c>
      <c r="U35" s="52">
        <v>3172238</v>
      </c>
      <c r="V35">
        <v>12.7</v>
      </c>
      <c r="W35">
        <v>0</v>
      </c>
      <c r="X35">
        <v>1.6</v>
      </c>
      <c r="Y35">
        <v>0.95</v>
      </c>
      <c r="Z35" t="s">
        <v>1868</v>
      </c>
      <c r="AA35" t="s">
        <v>963</v>
      </c>
      <c r="AB35" t="s">
        <v>2520</v>
      </c>
      <c r="AC35" t="s">
        <v>416</v>
      </c>
      <c r="AD35" t="s">
        <v>2171</v>
      </c>
      <c r="AE35" t="s">
        <v>439</v>
      </c>
      <c r="AF35">
        <v>0.41587792800000001</v>
      </c>
    </row>
    <row r="36" spans="1:32" x14ac:dyDescent="0.25">
      <c r="A36" s="56">
        <v>1940034</v>
      </c>
      <c r="B36" s="56" t="s">
        <v>464</v>
      </c>
      <c r="C36" s="56" t="s">
        <v>2618</v>
      </c>
      <c r="D36" s="57">
        <v>1744.681</v>
      </c>
      <c r="E36" s="58">
        <v>410</v>
      </c>
      <c r="F36" s="57">
        <v>0.41</v>
      </c>
      <c r="G36" s="56" t="s">
        <v>392</v>
      </c>
      <c r="H36" s="56" t="s">
        <v>2511</v>
      </c>
      <c r="I36" s="56" t="s">
        <v>345</v>
      </c>
      <c r="J36" s="56" t="s">
        <v>2619</v>
      </c>
      <c r="K36" s="57">
        <v>943.39599999999996</v>
      </c>
      <c r="L36" s="56" t="s">
        <v>2608</v>
      </c>
      <c r="M36" s="56" t="s">
        <v>2609</v>
      </c>
      <c r="N36" s="56" t="s">
        <v>9</v>
      </c>
      <c r="O36" s="58">
        <v>13</v>
      </c>
      <c r="P36" s="59" t="s">
        <v>2515</v>
      </c>
      <c r="Q36" s="56" t="s">
        <v>2516</v>
      </c>
      <c r="U36" s="52">
        <v>3620427</v>
      </c>
      <c r="V36">
        <v>12.7</v>
      </c>
      <c r="W36">
        <v>0</v>
      </c>
      <c r="X36">
        <v>1.6</v>
      </c>
      <c r="Y36">
        <v>0.95</v>
      </c>
      <c r="Z36" t="s">
        <v>1881</v>
      </c>
      <c r="AA36" t="s">
        <v>963</v>
      </c>
      <c r="AB36" t="s">
        <v>2520</v>
      </c>
      <c r="AC36" t="s">
        <v>416</v>
      </c>
      <c r="AD36" t="s">
        <v>2171</v>
      </c>
      <c r="AE36" t="s">
        <v>439</v>
      </c>
      <c r="AF36">
        <v>0.41587792800000001</v>
      </c>
    </row>
    <row r="37" spans="1:32" x14ac:dyDescent="0.25">
      <c r="A37" s="56">
        <v>1940034</v>
      </c>
      <c r="B37" s="56" t="s">
        <v>464</v>
      </c>
      <c r="C37" s="56" t="s">
        <v>2620</v>
      </c>
      <c r="D37" s="57">
        <v>548.93600000000004</v>
      </c>
      <c r="E37" s="58">
        <v>129</v>
      </c>
      <c r="F37" s="57">
        <v>0.129</v>
      </c>
      <c r="G37" s="56" t="s">
        <v>392</v>
      </c>
      <c r="H37" s="56" t="s">
        <v>2511</v>
      </c>
      <c r="I37" s="56" t="s">
        <v>345</v>
      </c>
      <c r="J37" s="56" t="s">
        <v>2621</v>
      </c>
      <c r="K37" s="57">
        <v>296.82499999999999</v>
      </c>
      <c r="L37" s="56" t="s">
        <v>2608</v>
      </c>
      <c r="M37" s="56" t="s">
        <v>2609</v>
      </c>
      <c r="N37" s="56" t="s">
        <v>9</v>
      </c>
      <c r="O37" s="58">
        <v>60</v>
      </c>
      <c r="P37" s="59" t="s">
        <v>2532</v>
      </c>
      <c r="Q37" s="56" t="s">
        <v>2516</v>
      </c>
      <c r="U37" s="538">
        <v>111114029</v>
      </c>
      <c r="V37">
        <v>12.7</v>
      </c>
      <c r="W37">
        <v>0</v>
      </c>
      <c r="X37">
        <v>1.6</v>
      </c>
      <c r="Y37">
        <v>4.9800000000000004</v>
      </c>
      <c r="Z37" t="s">
        <v>1881</v>
      </c>
      <c r="AA37" t="s">
        <v>963</v>
      </c>
      <c r="AB37" t="s">
        <v>2520</v>
      </c>
      <c r="AC37" t="s">
        <v>416</v>
      </c>
      <c r="AD37" t="s">
        <v>1838</v>
      </c>
      <c r="AE37" t="s">
        <v>449</v>
      </c>
      <c r="AF37">
        <v>0.43776624000000003</v>
      </c>
    </row>
    <row r="38" spans="1:32" x14ac:dyDescent="0.25">
      <c r="A38" s="56">
        <v>1940038</v>
      </c>
      <c r="B38" s="56" t="s">
        <v>1185</v>
      </c>
      <c r="C38" s="56" t="s">
        <v>2622</v>
      </c>
      <c r="D38" s="57">
        <v>665.54100000000005</v>
      </c>
      <c r="E38" s="58">
        <v>197</v>
      </c>
      <c r="F38" s="57">
        <v>0.19700000000000001</v>
      </c>
      <c r="G38" s="56" t="s">
        <v>392</v>
      </c>
      <c r="H38" s="56" t="s">
        <v>2511</v>
      </c>
      <c r="I38" s="56" t="s">
        <v>345</v>
      </c>
      <c r="J38" s="56" t="s">
        <v>2623</v>
      </c>
      <c r="K38" s="57">
        <v>453.29</v>
      </c>
      <c r="L38" s="56" t="s">
        <v>2624</v>
      </c>
      <c r="M38" s="56" t="s">
        <v>2625</v>
      </c>
      <c r="N38" s="56" t="s">
        <v>9</v>
      </c>
      <c r="O38" s="58">
        <v>13</v>
      </c>
      <c r="P38" s="59" t="s">
        <v>2515</v>
      </c>
      <c r="Q38" s="56" t="s">
        <v>2516</v>
      </c>
      <c r="U38" s="538">
        <v>111116473</v>
      </c>
      <c r="V38">
        <v>12.7</v>
      </c>
      <c r="W38">
        <v>0</v>
      </c>
      <c r="X38">
        <v>1.6</v>
      </c>
      <c r="Y38">
        <v>5.15</v>
      </c>
      <c r="Z38" t="s">
        <v>1881</v>
      </c>
      <c r="AA38" t="s">
        <v>963</v>
      </c>
      <c r="AB38" t="s">
        <v>2520</v>
      </c>
      <c r="AC38" t="s">
        <v>416</v>
      </c>
      <c r="AD38" t="s">
        <v>1838</v>
      </c>
      <c r="AE38" t="s">
        <v>449</v>
      </c>
      <c r="AF38">
        <v>0.43776624000000003</v>
      </c>
    </row>
    <row r="39" spans="1:32" x14ac:dyDescent="0.25">
      <c r="A39" s="56">
        <v>1940038</v>
      </c>
      <c r="B39" s="56" t="s">
        <v>1185</v>
      </c>
      <c r="C39" s="56" t="s">
        <v>2626</v>
      </c>
      <c r="D39" s="57">
        <v>771.97299999999996</v>
      </c>
      <c r="E39" s="57">
        <v>228.50399999999999</v>
      </c>
      <c r="F39" s="57">
        <v>0.22850399999999998</v>
      </c>
      <c r="G39" s="56" t="s">
        <v>392</v>
      </c>
      <c r="H39" s="56" t="s">
        <v>2511</v>
      </c>
      <c r="I39" s="56" t="s">
        <v>345</v>
      </c>
      <c r="J39" s="56" t="s">
        <v>2627</v>
      </c>
      <c r="K39" s="57">
        <v>525.78</v>
      </c>
      <c r="L39" s="56" t="s">
        <v>2628</v>
      </c>
      <c r="M39" s="56" t="s">
        <v>2625</v>
      </c>
      <c r="N39" s="56" t="s">
        <v>9</v>
      </c>
      <c r="O39" s="58">
        <v>121</v>
      </c>
      <c r="P39" s="59" t="s">
        <v>2524</v>
      </c>
      <c r="Q39" s="56" t="s">
        <v>2516</v>
      </c>
      <c r="U39" s="538">
        <v>111106833</v>
      </c>
      <c r="V39">
        <v>12.7</v>
      </c>
      <c r="W39">
        <v>0</v>
      </c>
      <c r="X39">
        <v>1.6</v>
      </c>
      <c r="Y39">
        <v>5.78</v>
      </c>
      <c r="Z39" t="s">
        <v>1881</v>
      </c>
      <c r="AA39" t="s">
        <v>963</v>
      </c>
      <c r="AB39" t="s">
        <v>2520</v>
      </c>
      <c r="AC39" t="s">
        <v>416</v>
      </c>
      <c r="AD39" t="s">
        <v>1838</v>
      </c>
      <c r="AE39" t="s">
        <v>449</v>
      </c>
      <c r="AF39">
        <v>0.43776624000000003</v>
      </c>
    </row>
    <row r="40" spans="1:32" x14ac:dyDescent="0.25">
      <c r="A40" s="56">
        <v>1940038</v>
      </c>
      <c r="B40" s="56" t="s">
        <v>1185</v>
      </c>
      <c r="C40" s="56" t="s">
        <v>2629</v>
      </c>
      <c r="D40" s="57">
        <v>1246.297</v>
      </c>
      <c r="E40" s="57">
        <v>368.904</v>
      </c>
      <c r="F40" s="57">
        <v>0.36890400000000001</v>
      </c>
      <c r="G40" s="56" t="s">
        <v>392</v>
      </c>
      <c r="H40" s="56" t="s">
        <v>2511</v>
      </c>
      <c r="I40" s="56" t="s">
        <v>345</v>
      </c>
      <c r="J40" s="56" t="s">
        <v>2611</v>
      </c>
      <c r="K40" s="57">
        <v>848.83600000000001</v>
      </c>
      <c r="L40" s="56" t="s">
        <v>2628</v>
      </c>
      <c r="M40" s="56" t="s">
        <v>2625</v>
      </c>
      <c r="N40" s="56" t="s">
        <v>9</v>
      </c>
      <c r="O40" s="58">
        <v>84</v>
      </c>
      <c r="P40" s="59" t="s">
        <v>2579</v>
      </c>
      <c r="Q40" s="56" t="s">
        <v>2516</v>
      </c>
      <c r="U40" s="52">
        <v>3586621</v>
      </c>
      <c r="V40">
        <v>12.7</v>
      </c>
      <c r="W40">
        <v>0</v>
      </c>
      <c r="X40">
        <v>1.6</v>
      </c>
      <c r="Y40">
        <v>5.78</v>
      </c>
      <c r="Z40" t="s">
        <v>1881</v>
      </c>
      <c r="AA40" t="s">
        <v>963</v>
      </c>
      <c r="AB40" t="s">
        <v>2520</v>
      </c>
      <c r="AC40" t="s">
        <v>416</v>
      </c>
      <c r="AD40" t="s">
        <v>1838</v>
      </c>
      <c r="AF40">
        <v>0.43776624000000003</v>
      </c>
    </row>
    <row r="41" spans="1:32" x14ac:dyDescent="0.25">
      <c r="A41" s="56">
        <v>1940038</v>
      </c>
      <c r="B41" s="56" t="s">
        <v>1185</v>
      </c>
      <c r="C41" s="56" t="s">
        <v>2630</v>
      </c>
      <c r="D41" s="57">
        <v>206.08099999999999</v>
      </c>
      <c r="E41" s="58">
        <v>61</v>
      </c>
      <c r="F41" s="57">
        <v>6.0999999999999999E-2</v>
      </c>
      <c r="G41" s="56" t="s">
        <v>392</v>
      </c>
      <c r="H41" s="56" t="s">
        <v>2511</v>
      </c>
      <c r="I41" s="56" t="s">
        <v>345</v>
      </c>
      <c r="J41" s="56" t="s">
        <v>2631</v>
      </c>
      <c r="K41" s="57">
        <v>140.35900000000001</v>
      </c>
      <c r="L41" s="56" t="s">
        <v>2628</v>
      </c>
      <c r="M41" s="56" t="s">
        <v>2625</v>
      </c>
      <c r="N41" s="56" t="s">
        <v>9</v>
      </c>
      <c r="O41" s="58">
        <v>84</v>
      </c>
      <c r="P41" s="59" t="s">
        <v>2579</v>
      </c>
      <c r="Q41" s="56" t="s">
        <v>2516</v>
      </c>
      <c r="U41">
        <v>2404903</v>
      </c>
      <c r="V41">
        <v>12.7</v>
      </c>
      <c r="W41">
        <v>0</v>
      </c>
      <c r="X41">
        <v>1.6</v>
      </c>
      <c r="Y41">
        <v>5.8</v>
      </c>
      <c r="Z41" t="s">
        <v>1952</v>
      </c>
      <c r="AA41" t="s">
        <v>963</v>
      </c>
      <c r="AB41" t="s">
        <v>2520</v>
      </c>
      <c r="AC41" t="s">
        <v>416</v>
      </c>
      <c r="AD41" t="s">
        <v>1838</v>
      </c>
      <c r="AE41" t="s">
        <v>449</v>
      </c>
      <c r="AF41">
        <v>0.43776624000000003</v>
      </c>
    </row>
    <row r="42" spans="1:32" x14ac:dyDescent="0.25">
      <c r="A42" s="56">
        <v>1940038</v>
      </c>
      <c r="B42" s="56" t="s">
        <v>1185</v>
      </c>
      <c r="C42" s="56" t="s">
        <v>2632</v>
      </c>
      <c r="D42" s="57">
        <v>1000</v>
      </c>
      <c r="E42" s="58">
        <v>296</v>
      </c>
      <c r="F42" s="57">
        <v>0.29599999999999999</v>
      </c>
      <c r="G42" s="56" t="s">
        <v>392</v>
      </c>
      <c r="H42" s="56" t="s">
        <v>2511</v>
      </c>
      <c r="I42" s="56" t="s">
        <v>345</v>
      </c>
      <c r="J42" s="56" t="s">
        <v>2633</v>
      </c>
      <c r="K42" s="57">
        <v>681.08600000000001</v>
      </c>
      <c r="L42" s="56" t="s">
        <v>2628</v>
      </c>
      <c r="M42" s="56" t="s">
        <v>2625</v>
      </c>
      <c r="N42" s="56" t="s">
        <v>9</v>
      </c>
      <c r="O42" s="58">
        <v>83</v>
      </c>
      <c r="P42" s="59" t="s">
        <v>2579</v>
      </c>
      <c r="Q42" s="56" t="s">
        <v>2516</v>
      </c>
      <c r="U42" s="538">
        <v>111001733</v>
      </c>
      <c r="V42">
        <v>12.7</v>
      </c>
      <c r="W42">
        <v>0</v>
      </c>
      <c r="X42">
        <v>1.6</v>
      </c>
      <c r="Y42">
        <v>5.88</v>
      </c>
      <c r="Z42" t="s">
        <v>1881</v>
      </c>
      <c r="AA42" t="s">
        <v>963</v>
      </c>
      <c r="AB42" t="s">
        <v>2520</v>
      </c>
      <c r="AC42" t="s">
        <v>416</v>
      </c>
      <c r="AD42" t="s">
        <v>1838</v>
      </c>
      <c r="AE42" t="s">
        <v>449</v>
      </c>
      <c r="AF42">
        <v>0.43776624000000003</v>
      </c>
    </row>
    <row r="43" spans="1:32" x14ac:dyDescent="0.25">
      <c r="A43" s="56">
        <v>1940045</v>
      </c>
      <c r="B43" s="56" t="s">
        <v>1190</v>
      </c>
      <c r="C43" s="56" t="s">
        <v>2634</v>
      </c>
      <c r="D43" s="57">
        <v>150.102</v>
      </c>
      <c r="E43" s="57">
        <v>73.7</v>
      </c>
      <c r="F43" s="57">
        <v>7.3700000000000002E-2</v>
      </c>
      <c r="G43" s="56" t="s">
        <v>392</v>
      </c>
      <c r="H43" s="56" t="s">
        <v>2511</v>
      </c>
      <c r="I43" s="56" t="s">
        <v>345</v>
      </c>
      <c r="J43" s="56" t="s">
        <v>2635</v>
      </c>
      <c r="K43" s="57">
        <v>169.58099999999999</v>
      </c>
      <c r="L43" s="56" t="s">
        <v>2636</v>
      </c>
      <c r="M43" s="56" t="s">
        <v>2589</v>
      </c>
      <c r="N43" s="56" t="s">
        <v>9</v>
      </c>
      <c r="O43" s="58">
        <v>121</v>
      </c>
      <c r="P43" s="59" t="s">
        <v>2524</v>
      </c>
      <c r="Q43" s="56" t="s">
        <v>2516</v>
      </c>
      <c r="U43" s="52">
        <v>1940014</v>
      </c>
      <c r="V43">
        <v>12.7</v>
      </c>
      <c r="W43">
        <v>0</v>
      </c>
      <c r="X43">
        <v>1.6</v>
      </c>
      <c r="Y43">
        <v>6</v>
      </c>
      <c r="Z43" t="s">
        <v>1881</v>
      </c>
      <c r="AA43" t="s">
        <v>963</v>
      </c>
      <c r="AB43" t="s">
        <v>2520</v>
      </c>
      <c r="AC43" t="s">
        <v>416</v>
      </c>
      <c r="AD43" t="s">
        <v>1838</v>
      </c>
      <c r="AE43" t="s">
        <v>449</v>
      </c>
      <c r="AF43">
        <v>0.43776624000000003</v>
      </c>
    </row>
    <row r="44" spans="1:32" x14ac:dyDescent="0.25">
      <c r="A44" s="56">
        <v>1940045</v>
      </c>
      <c r="B44" s="56" t="s">
        <v>1190</v>
      </c>
      <c r="C44" s="56" t="s">
        <v>2637</v>
      </c>
      <c r="D44" s="57">
        <v>1150.713</v>
      </c>
      <c r="E44" s="58">
        <v>565</v>
      </c>
      <c r="F44" s="57">
        <v>0.56499999999999995</v>
      </c>
      <c r="G44" s="56" t="s">
        <v>392</v>
      </c>
      <c r="H44" s="56" t="s">
        <v>2511</v>
      </c>
      <c r="I44" s="56" t="s">
        <v>345</v>
      </c>
      <c r="J44" s="56" t="s">
        <v>2638</v>
      </c>
      <c r="K44" s="57">
        <v>1300.046</v>
      </c>
      <c r="L44" s="56" t="s">
        <v>2636</v>
      </c>
      <c r="M44" s="56" t="s">
        <v>2589</v>
      </c>
      <c r="N44" s="56" t="s">
        <v>9</v>
      </c>
      <c r="O44" s="58">
        <v>84</v>
      </c>
      <c r="P44" s="59" t="s">
        <v>2579</v>
      </c>
      <c r="Q44" s="56" t="s">
        <v>2516</v>
      </c>
      <c r="U44" s="52">
        <v>1931154</v>
      </c>
      <c r="V44">
        <v>12.7</v>
      </c>
      <c r="W44">
        <v>0</v>
      </c>
      <c r="X44">
        <v>1.6</v>
      </c>
      <c r="Y44">
        <v>6</v>
      </c>
      <c r="Z44" t="s">
        <v>1883</v>
      </c>
      <c r="AA44" t="s">
        <v>963</v>
      </c>
      <c r="AB44" t="s">
        <v>2520</v>
      </c>
      <c r="AC44" t="s">
        <v>416</v>
      </c>
      <c r="AD44" t="s">
        <v>1838</v>
      </c>
      <c r="AE44" t="s">
        <v>449</v>
      </c>
      <c r="AF44">
        <v>0.43776624000000003</v>
      </c>
    </row>
    <row r="45" spans="1:32" x14ac:dyDescent="0.25">
      <c r="A45" s="56">
        <v>1940045</v>
      </c>
      <c r="B45" s="56" t="s">
        <v>1190</v>
      </c>
      <c r="C45" s="56" t="s">
        <v>2639</v>
      </c>
      <c r="D45" s="57">
        <v>1568.2280000000001</v>
      </c>
      <c r="E45" s="58">
        <v>770</v>
      </c>
      <c r="F45" s="57">
        <v>0.77</v>
      </c>
      <c r="G45" s="56" t="s">
        <v>392</v>
      </c>
      <c r="H45" s="56" t="s">
        <v>2511</v>
      </c>
      <c r="I45" s="56" t="s">
        <v>345</v>
      </c>
      <c r="J45" s="56" t="s">
        <v>2640</v>
      </c>
      <c r="K45" s="57">
        <v>1771.7439999999999</v>
      </c>
      <c r="L45" s="56" t="s">
        <v>2636</v>
      </c>
      <c r="M45" s="56" t="s">
        <v>2589</v>
      </c>
      <c r="N45" s="56" t="s">
        <v>9</v>
      </c>
      <c r="O45" s="58">
        <v>83</v>
      </c>
      <c r="P45" s="59" t="s">
        <v>2579</v>
      </c>
      <c r="Q45" s="56" t="s">
        <v>2516</v>
      </c>
      <c r="U45" s="52">
        <v>1931049</v>
      </c>
      <c r="V45">
        <v>12.7</v>
      </c>
      <c r="W45">
        <v>0</v>
      </c>
      <c r="X45">
        <v>1.6</v>
      </c>
      <c r="Y45">
        <v>6.08</v>
      </c>
      <c r="Z45" t="s">
        <v>1883</v>
      </c>
      <c r="AA45" t="s">
        <v>963</v>
      </c>
      <c r="AB45" t="s">
        <v>2520</v>
      </c>
      <c r="AC45" t="s">
        <v>416</v>
      </c>
      <c r="AD45" t="s">
        <v>1838</v>
      </c>
      <c r="AE45" t="s">
        <v>449</v>
      </c>
      <c r="AF45">
        <v>0.43776624000000003</v>
      </c>
    </row>
    <row r="46" spans="1:32" x14ac:dyDescent="0.25">
      <c r="A46" s="56">
        <v>1940045</v>
      </c>
      <c r="B46" s="56" t="s">
        <v>1190</v>
      </c>
      <c r="C46" s="56" t="s">
        <v>2641</v>
      </c>
      <c r="D46" s="57">
        <v>619.14499999999998</v>
      </c>
      <c r="E46" s="58">
        <v>304</v>
      </c>
      <c r="F46" s="57">
        <v>0.30399999999999999</v>
      </c>
      <c r="G46" s="56" t="s">
        <v>392</v>
      </c>
      <c r="H46" s="56" t="s">
        <v>2511</v>
      </c>
      <c r="I46" s="56" t="s">
        <v>345</v>
      </c>
      <c r="J46" s="56" t="s">
        <v>2642</v>
      </c>
      <c r="K46" s="57">
        <v>699.49400000000003</v>
      </c>
      <c r="L46" s="56" t="s">
        <v>2636</v>
      </c>
      <c r="M46" s="56" t="s">
        <v>2589</v>
      </c>
      <c r="N46" s="56" t="s">
        <v>9</v>
      </c>
      <c r="O46" s="58">
        <v>13</v>
      </c>
      <c r="P46" s="59" t="s">
        <v>2515</v>
      </c>
      <c r="Q46" s="56" t="s">
        <v>2516</v>
      </c>
      <c r="U46" s="538">
        <v>111116471</v>
      </c>
      <c r="V46">
        <v>12.7</v>
      </c>
      <c r="W46">
        <v>0</v>
      </c>
      <c r="X46">
        <v>1.6</v>
      </c>
      <c r="Y46">
        <v>6.1</v>
      </c>
      <c r="Z46" t="s">
        <v>1881</v>
      </c>
      <c r="AA46" t="s">
        <v>963</v>
      </c>
      <c r="AB46" t="s">
        <v>2520</v>
      </c>
      <c r="AC46" t="s">
        <v>416</v>
      </c>
      <c r="AD46" t="s">
        <v>1838</v>
      </c>
      <c r="AE46" t="s">
        <v>449</v>
      </c>
      <c r="AF46">
        <v>0.43776624000000003</v>
      </c>
    </row>
    <row r="47" spans="1:32" x14ac:dyDescent="0.25">
      <c r="A47" s="56">
        <v>1940046</v>
      </c>
      <c r="B47" s="56" t="s">
        <v>466</v>
      </c>
      <c r="C47" s="56" t="s">
        <v>2643</v>
      </c>
      <c r="D47" s="57">
        <v>1902.46</v>
      </c>
      <c r="E47" s="57">
        <v>1082.5</v>
      </c>
      <c r="F47" s="57">
        <v>1.0825</v>
      </c>
      <c r="G47" s="56" t="s">
        <v>392</v>
      </c>
      <c r="H47" s="56" t="s">
        <v>2511</v>
      </c>
      <c r="I47" s="56" t="s">
        <v>345</v>
      </c>
      <c r="J47" s="56" t="s">
        <v>2591</v>
      </c>
      <c r="K47" s="57">
        <v>2490.7959999999998</v>
      </c>
      <c r="L47" s="56" t="s">
        <v>2644</v>
      </c>
      <c r="M47" s="56" t="s">
        <v>2548</v>
      </c>
      <c r="N47" s="56" t="s">
        <v>9</v>
      </c>
      <c r="O47" s="58">
        <v>115</v>
      </c>
      <c r="P47" s="59" t="s">
        <v>2524</v>
      </c>
      <c r="Q47" s="56" t="s">
        <v>2516</v>
      </c>
      <c r="U47" s="538">
        <v>111106834</v>
      </c>
      <c r="V47">
        <v>12.7</v>
      </c>
      <c r="W47">
        <v>0</v>
      </c>
      <c r="X47">
        <v>1.6</v>
      </c>
      <c r="Y47">
        <v>6.4</v>
      </c>
      <c r="Z47" t="s">
        <v>1881</v>
      </c>
      <c r="AA47" t="s">
        <v>963</v>
      </c>
      <c r="AB47" t="s">
        <v>2520</v>
      </c>
      <c r="AC47" t="s">
        <v>416</v>
      </c>
      <c r="AD47" t="s">
        <v>1838</v>
      </c>
      <c r="AE47" t="s">
        <v>449</v>
      </c>
      <c r="AF47">
        <v>0.43776624000000003</v>
      </c>
    </row>
    <row r="48" spans="1:32" x14ac:dyDescent="0.25">
      <c r="A48" s="56">
        <v>1940046</v>
      </c>
      <c r="B48" s="56" t="s">
        <v>466</v>
      </c>
      <c r="C48" s="56" t="s">
        <v>2645</v>
      </c>
      <c r="D48" s="57">
        <v>304.72399999999999</v>
      </c>
      <c r="E48" s="57">
        <v>173.38800000000001</v>
      </c>
      <c r="F48" s="57">
        <v>0.17338800000000001</v>
      </c>
      <c r="G48" s="56" t="s">
        <v>392</v>
      </c>
      <c r="H48" s="56" t="s">
        <v>2511</v>
      </c>
      <c r="I48" s="56" t="s">
        <v>345</v>
      </c>
      <c r="J48" s="56" t="s">
        <v>2646</v>
      </c>
      <c r="K48" s="57">
        <v>398.96</v>
      </c>
      <c r="L48" s="56" t="s">
        <v>2644</v>
      </c>
      <c r="M48" s="56" t="s">
        <v>2548</v>
      </c>
      <c r="N48" s="56" t="s">
        <v>9</v>
      </c>
      <c r="O48" s="58">
        <v>126</v>
      </c>
      <c r="P48" s="59" t="s">
        <v>2524</v>
      </c>
      <c r="Q48" s="56" t="s">
        <v>2516</v>
      </c>
      <c r="U48" s="52">
        <v>3188791</v>
      </c>
      <c r="V48">
        <v>12.7</v>
      </c>
      <c r="W48">
        <v>0</v>
      </c>
      <c r="X48">
        <v>2</v>
      </c>
      <c r="Y48">
        <v>6</v>
      </c>
      <c r="Z48" t="s">
        <v>1874</v>
      </c>
      <c r="AA48" t="s">
        <v>1003</v>
      </c>
      <c r="AB48" t="s">
        <v>2517</v>
      </c>
      <c r="AC48" t="s">
        <v>2647</v>
      </c>
      <c r="AD48" t="s">
        <v>1838</v>
      </c>
      <c r="AE48" t="s">
        <v>2648</v>
      </c>
      <c r="AF48">
        <v>0.52748859999999997</v>
      </c>
    </row>
    <row r="49" spans="1:32" x14ac:dyDescent="0.25">
      <c r="A49" s="56">
        <v>1940046</v>
      </c>
      <c r="B49" s="56" t="s">
        <v>466</v>
      </c>
      <c r="C49" s="56" t="s">
        <v>2649</v>
      </c>
      <c r="D49" s="57">
        <v>340.94900000000001</v>
      </c>
      <c r="E49" s="58">
        <v>194</v>
      </c>
      <c r="F49" s="57">
        <v>0.19400000000000001</v>
      </c>
      <c r="G49" s="56" t="s">
        <v>392</v>
      </c>
      <c r="H49" s="56" t="s">
        <v>2511</v>
      </c>
      <c r="I49" s="56" t="s">
        <v>345</v>
      </c>
      <c r="J49" s="56" t="s">
        <v>2650</v>
      </c>
      <c r="K49" s="57">
        <v>446.387</v>
      </c>
      <c r="L49" s="56" t="s">
        <v>2644</v>
      </c>
      <c r="M49" s="56" t="s">
        <v>2548</v>
      </c>
      <c r="N49" s="56" t="s">
        <v>9</v>
      </c>
      <c r="O49" s="58">
        <v>13</v>
      </c>
      <c r="P49" s="59" t="s">
        <v>2515</v>
      </c>
      <c r="Q49" s="56" t="s">
        <v>2516</v>
      </c>
      <c r="U49" s="52">
        <v>2410389</v>
      </c>
      <c r="V49">
        <v>14</v>
      </c>
      <c r="W49">
        <v>0</v>
      </c>
      <c r="X49">
        <v>1.6</v>
      </c>
      <c r="Y49">
        <v>6</v>
      </c>
      <c r="Z49" t="s">
        <v>1874</v>
      </c>
      <c r="AA49" t="s">
        <v>1003</v>
      </c>
      <c r="AB49" t="s">
        <v>2572</v>
      </c>
      <c r="AC49" t="s">
        <v>965</v>
      </c>
      <c r="AD49" t="s">
        <v>1838</v>
      </c>
      <c r="AE49" t="s">
        <v>2651</v>
      </c>
      <c r="AF49">
        <v>0.48903616000000011</v>
      </c>
    </row>
    <row r="50" spans="1:32" x14ac:dyDescent="0.25">
      <c r="A50" s="56">
        <v>1940054</v>
      </c>
      <c r="B50" s="56" t="s">
        <v>2206</v>
      </c>
      <c r="C50" s="56" t="s">
        <v>2652</v>
      </c>
      <c r="D50" s="57">
        <v>186.70599999999999</v>
      </c>
      <c r="E50" s="57">
        <v>486.928</v>
      </c>
      <c r="F50" s="57">
        <v>0.48692799999999997</v>
      </c>
      <c r="G50" s="56" t="s">
        <v>392</v>
      </c>
      <c r="H50" s="56" t="s">
        <v>2511</v>
      </c>
      <c r="I50" s="56" t="s">
        <v>345</v>
      </c>
      <c r="J50" s="56" t="s">
        <v>2653</v>
      </c>
      <c r="K50" s="57">
        <v>1120.405</v>
      </c>
      <c r="L50" s="56" t="s">
        <v>1914</v>
      </c>
      <c r="M50" s="56" t="s">
        <v>1123</v>
      </c>
      <c r="N50" s="56" t="s">
        <v>37</v>
      </c>
      <c r="O50" s="58">
        <v>58</v>
      </c>
      <c r="P50" s="59" t="s">
        <v>2532</v>
      </c>
      <c r="Q50" s="56" t="s">
        <v>11</v>
      </c>
      <c r="U50" s="52">
        <v>2363145</v>
      </c>
      <c r="V50">
        <v>14</v>
      </c>
      <c r="W50">
        <v>0</v>
      </c>
      <c r="X50">
        <v>2.4500000000000002</v>
      </c>
      <c r="Y50">
        <v>5</v>
      </c>
      <c r="Z50" t="s">
        <v>1881</v>
      </c>
      <c r="AA50" t="s">
        <v>1003</v>
      </c>
      <c r="AB50" t="s">
        <v>2572</v>
      </c>
      <c r="AC50" t="s">
        <v>966</v>
      </c>
      <c r="AD50" t="s">
        <v>1838</v>
      </c>
      <c r="AE50" t="s">
        <v>2654</v>
      </c>
      <c r="AF50">
        <v>0.69750507750000013</v>
      </c>
    </row>
    <row r="51" spans="1:32" x14ac:dyDescent="0.25">
      <c r="A51" s="56">
        <v>1940054</v>
      </c>
      <c r="B51" s="56" t="s">
        <v>2206</v>
      </c>
      <c r="C51" s="56" t="s">
        <v>2655</v>
      </c>
      <c r="D51" s="57">
        <v>444.01799999999997</v>
      </c>
      <c r="E51" s="58">
        <v>1158</v>
      </c>
      <c r="F51" s="57">
        <v>1.1579999999999999</v>
      </c>
      <c r="G51" s="56" t="s">
        <v>392</v>
      </c>
      <c r="H51" s="56" t="s">
        <v>2511</v>
      </c>
      <c r="I51" s="56" t="s">
        <v>345</v>
      </c>
      <c r="J51" s="56" t="s">
        <v>2656</v>
      </c>
      <c r="K51" s="57">
        <v>2664.5189999999998</v>
      </c>
      <c r="L51" s="56" t="s">
        <v>1914</v>
      </c>
      <c r="M51" s="56" t="s">
        <v>1123</v>
      </c>
      <c r="N51" s="56" t="s">
        <v>37</v>
      </c>
      <c r="O51" s="58">
        <v>58</v>
      </c>
      <c r="P51" s="59" t="s">
        <v>2532</v>
      </c>
      <c r="Q51" s="56" t="s">
        <v>11</v>
      </c>
      <c r="U51" s="52">
        <v>3402383</v>
      </c>
      <c r="V51">
        <v>14</v>
      </c>
      <c r="W51">
        <v>0</v>
      </c>
      <c r="X51">
        <v>2.4500000000000002</v>
      </c>
      <c r="Y51">
        <v>6</v>
      </c>
      <c r="Z51" t="s">
        <v>1874</v>
      </c>
      <c r="AA51" t="s">
        <v>1003</v>
      </c>
      <c r="AB51" t="s">
        <v>2572</v>
      </c>
      <c r="AC51" t="s">
        <v>966</v>
      </c>
      <c r="AD51" t="s">
        <v>1838</v>
      </c>
      <c r="AE51" t="s">
        <v>2654</v>
      </c>
      <c r="AF51">
        <v>0.69750507750000013</v>
      </c>
    </row>
    <row r="52" spans="1:32" x14ac:dyDescent="0.25">
      <c r="A52" s="56">
        <v>1940054</v>
      </c>
      <c r="B52" s="56" t="s">
        <v>2206</v>
      </c>
      <c r="C52" s="56" t="s">
        <v>2657</v>
      </c>
      <c r="D52" s="57">
        <v>429.83100000000002</v>
      </c>
      <c r="E52" s="58">
        <v>1121</v>
      </c>
      <c r="F52" s="57">
        <v>1.121</v>
      </c>
      <c r="G52" s="56" t="s">
        <v>392</v>
      </c>
      <c r="H52" s="56" t="s">
        <v>2511</v>
      </c>
      <c r="I52" s="56" t="s">
        <v>345</v>
      </c>
      <c r="J52" s="56" t="s">
        <v>2658</v>
      </c>
      <c r="K52" s="57">
        <v>2579.3829999999998</v>
      </c>
      <c r="L52" s="56" t="s">
        <v>1914</v>
      </c>
      <c r="M52" s="56" t="s">
        <v>1123</v>
      </c>
      <c r="N52" s="56" t="s">
        <v>37</v>
      </c>
      <c r="O52" s="58">
        <v>58</v>
      </c>
      <c r="P52" s="59" t="s">
        <v>2532</v>
      </c>
      <c r="Q52" s="56" t="s">
        <v>11</v>
      </c>
      <c r="U52" s="52">
        <v>3487710</v>
      </c>
      <c r="V52">
        <v>14</v>
      </c>
      <c r="W52">
        <v>10.1</v>
      </c>
      <c r="X52">
        <v>1.95</v>
      </c>
      <c r="Y52">
        <v>0.50800000000000001</v>
      </c>
      <c r="Z52" t="s">
        <v>1874</v>
      </c>
      <c r="AA52" t="s">
        <v>1003</v>
      </c>
      <c r="AB52" t="s">
        <v>2517</v>
      </c>
      <c r="AC52" t="s">
        <v>970</v>
      </c>
      <c r="AD52" t="s">
        <v>2171</v>
      </c>
      <c r="AE52" t="s">
        <v>2659</v>
      </c>
      <c r="AF52">
        <v>0.29422845777000006</v>
      </c>
    </row>
    <row r="53" spans="1:32" x14ac:dyDescent="0.25">
      <c r="A53" s="56">
        <v>1940054</v>
      </c>
      <c r="B53" s="56" t="s">
        <v>2206</v>
      </c>
      <c r="C53" s="56" t="s">
        <v>2660</v>
      </c>
      <c r="D53" s="57">
        <v>442.86799999999999</v>
      </c>
      <c r="E53" s="58">
        <v>1155</v>
      </c>
      <c r="F53" s="57">
        <v>1.155</v>
      </c>
      <c r="G53" s="56" t="s">
        <v>392</v>
      </c>
      <c r="H53" s="56" t="s">
        <v>2511</v>
      </c>
      <c r="I53" s="56" t="s">
        <v>345</v>
      </c>
      <c r="J53" s="56" t="s">
        <v>2661</v>
      </c>
      <c r="K53" s="57">
        <v>2657.616</v>
      </c>
      <c r="L53" s="56" t="s">
        <v>2662</v>
      </c>
      <c r="M53" s="56" t="s">
        <v>2537</v>
      </c>
      <c r="N53" s="56" t="s">
        <v>37</v>
      </c>
      <c r="O53" s="58">
        <v>10</v>
      </c>
      <c r="P53" s="59" t="s">
        <v>2515</v>
      </c>
      <c r="Q53" s="56" t="s">
        <v>11</v>
      </c>
      <c r="U53" s="52">
        <v>2410963</v>
      </c>
      <c r="V53">
        <v>14</v>
      </c>
      <c r="W53">
        <v>10.1</v>
      </c>
      <c r="X53">
        <v>1.95</v>
      </c>
      <c r="Y53">
        <v>6</v>
      </c>
      <c r="Z53" t="s">
        <v>1874</v>
      </c>
      <c r="AA53" t="s">
        <v>1003</v>
      </c>
      <c r="AB53" t="s">
        <v>2517</v>
      </c>
      <c r="AC53" t="s">
        <v>970</v>
      </c>
      <c r="AD53" t="s">
        <v>1838</v>
      </c>
      <c r="AE53" t="s">
        <v>2663</v>
      </c>
      <c r="AF53">
        <v>0.57918987750000006</v>
      </c>
    </row>
    <row r="54" spans="1:32" x14ac:dyDescent="0.25">
      <c r="A54" s="56">
        <v>1940078</v>
      </c>
      <c r="B54" s="56" t="s">
        <v>518</v>
      </c>
      <c r="C54" s="56" t="s">
        <v>2664</v>
      </c>
      <c r="D54" s="57">
        <v>61.74</v>
      </c>
      <c r="E54" s="57">
        <v>208.80500000000001</v>
      </c>
      <c r="F54" s="57">
        <v>0.20880500000000002</v>
      </c>
      <c r="G54" s="56" t="s">
        <v>392</v>
      </c>
      <c r="H54" s="56" t="s">
        <v>2511</v>
      </c>
      <c r="I54" s="56" t="s">
        <v>345</v>
      </c>
      <c r="J54" s="56" t="s">
        <v>2665</v>
      </c>
      <c r="K54" s="57">
        <v>370.41899999999998</v>
      </c>
      <c r="L54" s="56" t="s">
        <v>2666</v>
      </c>
      <c r="M54" s="56" t="s">
        <v>2667</v>
      </c>
      <c r="N54" s="56" t="s">
        <v>61</v>
      </c>
      <c r="O54" s="58">
        <v>7</v>
      </c>
      <c r="P54" s="59" t="s">
        <v>2515</v>
      </c>
      <c r="Q54" s="56" t="s">
        <v>11</v>
      </c>
      <c r="U54" s="52">
        <v>2410988</v>
      </c>
      <c r="V54">
        <v>15</v>
      </c>
      <c r="W54">
        <v>10.4</v>
      </c>
      <c r="X54">
        <v>2.2999999999999998</v>
      </c>
      <c r="Y54">
        <v>6</v>
      </c>
      <c r="Z54" t="s">
        <v>2088</v>
      </c>
      <c r="AA54" t="s">
        <v>1003</v>
      </c>
      <c r="AB54" t="s">
        <v>2517</v>
      </c>
      <c r="AC54" t="s">
        <v>2668</v>
      </c>
      <c r="AD54" t="s">
        <v>1838</v>
      </c>
      <c r="AE54" t="s">
        <v>2669</v>
      </c>
      <c r="AF54">
        <v>0.7199972899999999</v>
      </c>
    </row>
    <row r="55" spans="1:32" x14ac:dyDescent="0.25">
      <c r="A55" s="56">
        <v>1940090</v>
      </c>
      <c r="B55" s="56" t="s">
        <v>538</v>
      </c>
      <c r="C55" s="56" t="s">
        <v>2670</v>
      </c>
      <c r="D55" s="57">
        <v>326.63299999999998</v>
      </c>
      <c r="E55" s="58">
        <v>65</v>
      </c>
      <c r="F55" s="57">
        <v>6.5000000000000002E-2</v>
      </c>
      <c r="G55" s="56" t="s">
        <v>392</v>
      </c>
      <c r="H55" s="56" t="s">
        <v>2511</v>
      </c>
      <c r="I55" s="56" t="s">
        <v>345</v>
      </c>
      <c r="J55" s="56" t="s">
        <v>2671</v>
      </c>
      <c r="K55" s="57">
        <v>94.918000000000006</v>
      </c>
      <c r="L55" s="56" t="s">
        <v>2672</v>
      </c>
      <c r="M55" s="56" t="s">
        <v>2537</v>
      </c>
      <c r="N55" s="56" t="s">
        <v>37</v>
      </c>
      <c r="O55" s="58">
        <v>84</v>
      </c>
      <c r="P55" s="59" t="s">
        <v>2579</v>
      </c>
      <c r="Q55" s="56" t="s">
        <v>11</v>
      </c>
      <c r="U55" s="52">
        <v>1940019</v>
      </c>
      <c r="V55">
        <v>15.88</v>
      </c>
      <c r="W55">
        <v>0</v>
      </c>
      <c r="X55">
        <v>1</v>
      </c>
      <c r="Y55">
        <v>0.14000000000000001</v>
      </c>
      <c r="Z55" t="s">
        <v>1881</v>
      </c>
      <c r="AA55" t="s">
        <v>963</v>
      </c>
      <c r="AB55" t="s">
        <v>2520</v>
      </c>
      <c r="AC55" t="s">
        <v>423</v>
      </c>
      <c r="AD55" t="s">
        <v>2171</v>
      </c>
      <c r="AE55" t="s">
        <v>2673</v>
      </c>
      <c r="AF55">
        <v>5.1348796800000006E-2</v>
      </c>
    </row>
    <row r="56" spans="1:32" x14ac:dyDescent="0.25">
      <c r="A56" s="56">
        <v>1940090</v>
      </c>
      <c r="B56" s="56" t="s">
        <v>538</v>
      </c>
      <c r="C56" s="56" t="s">
        <v>2674</v>
      </c>
      <c r="D56" s="57">
        <v>604.51300000000003</v>
      </c>
      <c r="E56" s="57">
        <v>120.298</v>
      </c>
      <c r="F56" s="57">
        <v>0.120298</v>
      </c>
      <c r="G56" s="56" t="s">
        <v>392</v>
      </c>
      <c r="H56" s="56" t="s">
        <v>2511</v>
      </c>
      <c r="I56" s="56" t="s">
        <v>345</v>
      </c>
      <c r="J56" s="56" t="s">
        <v>2675</v>
      </c>
      <c r="K56" s="57">
        <v>175.66900000000001</v>
      </c>
      <c r="L56" s="56" t="s">
        <v>2672</v>
      </c>
      <c r="M56" s="56" t="s">
        <v>2537</v>
      </c>
      <c r="N56" s="56" t="s">
        <v>37</v>
      </c>
      <c r="O56" s="58">
        <v>23</v>
      </c>
      <c r="P56" s="59" t="s">
        <v>2515</v>
      </c>
      <c r="Q56" s="56" t="s">
        <v>11</v>
      </c>
      <c r="U56" s="52">
        <v>2244449</v>
      </c>
      <c r="V56">
        <v>15.88</v>
      </c>
      <c r="W56">
        <v>0</v>
      </c>
      <c r="X56">
        <v>1</v>
      </c>
      <c r="Y56">
        <v>0.28999999999999998</v>
      </c>
      <c r="Z56" t="s">
        <v>1881</v>
      </c>
      <c r="AA56" t="s">
        <v>963</v>
      </c>
      <c r="AB56" t="s">
        <v>2520</v>
      </c>
      <c r="AC56" t="s">
        <v>423</v>
      </c>
      <c r="AD56" t="s">
        <v>2171</v>
      </c>
      <c r="AE56" t="s">
        <v>2676</v>
      </c>
      <c r="AF56">
        <v>0.1063653648</v>
      </c>
    </row>
    <row r="57" spans="1:32" x14ac:dyDescent="0.25">
      <c r="A57" s="56">
        <v>1940124</v>
      </c>
      <c r="B57" s="56" t="s">
        <v>2439</v>
      </c>
      <c r="C57" s="56" t="s">
        <v>2677</v>
      </c>
      <c r="D57" s="57">
        <v>25.132000000000001</v>
      </c>
      <c r="E57" s="58">
        <v>105</v>
      </c>
      <c r="F57" s="57">
        <v>0.105</v>
      </c>
      <c r="G57" s="56" t="s">
        <v>392</v>
      </c>
      <c r="H57" s="56" t="s">
        <v>2511</v>
      </c>
      <c r="I57" s="56" t="s">
        <v>345</v>
      </c>
      <c r="J57" s="56" t="s">
        <v>2678</v>
      </c>
      <c r="K57" s="57">
        <v>153.32900000000001</v>
      </c>
      <c r="L57" s="56" t="s">
        <v>1914</v>
      </c>
      <c r="M57" s="56" t="s">
        <v>1123</v>
      </c>
      <c r="N57" s="56" t="s">
        <v>61</v>
      </c>
      <c r="O57" s="58">
        <v>52</v>
      </c>
      <c r="P57" s="59" t="s">
        <v>2532</v>
      </c>
      <c r="Q57" s="56" t="s">
        <v>11</v>
      </c>
      <c r="U57" s="52">
        <v>1941845</v>
      </c>
      <c r="V57">
        <v>15.88</v>
      </c>
      <c r="W57">
        <v>0</v>
      </c>
      <c r="X57">
        <v>1</v>
      </c>
      <c r="Y57">
        <v>1.234</v>
      </c>
      <c r="Z57" t="s">
        <v>1881</v>
      </c>
      <c r="AA57" t="s">
        <v>1003</v>
      </c>
      <c r="AB57" t="s">
        <v>2520</v>
      </c>
      <c r="AC57" t="s">
        <v>423</v>
      </c>
      <c r="AD57" t="s">
        <v>2171</v>
      </c>
      <c r="AE57" t="s">
        <v>2189</v>
      </c>
      <c r="AF57">
        <v>0.45260296608</v>
      </c>
    </row>
    <row r="58" spans="1:32" x14ac:dyDescent="0.25">
      <c r="A58" s="56">
        <v>1940124</v>
      </c>
      <c r="B58" s="56" t="s">
        <v>2439</v>
      </c>
      <c r="C58" s="56" t="s">
        <v>2679</v>
      </c>
      <c r="D58" s="57">
        <v>359.02300000000002</v>
      </c>
      <c r="E58" s="58">
        <v>1500</v>
      </c>
      <c r="F58" s="57">
        <v>1.5</v>
      </c>
      <c r="G58" s="56" t="s">
        <v>392</v>
      </c>
      <c r="H58" s="56" t="s">
        <v>2511</v>
      </c>
      <c r="I58" s="56" t="s">
        <v>345</v>
      </c>
      <c r="J58" s="56" t="s">
        <v>2680</v>
      </c>
      <c r="K58" s="57">
        <v>2190.4209999999998</v>
      </c>
      <c r="L58" s="56" t="s">
        <v>1914</v>
      </c>
      <c r="M58" s="56" t="s">
        <v>1123</v>
      </c>
      <c r="N58" s="56" t="s">
        <v>61</v>
      </c>
      <c r="O58" s="58">
        <v>52</v>
      </c>
      <c r="P58" s="59" t="s">
        <v>2532</v>
      </c>
      <c r="Q58" s="56" t="s">
        <v>11</v>
      </c>
      <c r="U58" s="52">
        <v>1941846</v>
      </c>
      <c r="V58">
        <v>15.88</v>
      </c>
      <c r="W58">
        <v>0</v>
      </c>
      <c r="X58">
        <v>1</v>
      </c>
      <c r="Y58">
        <v>1.603</v>
      </c>
      <c r="Z58" t="s">
        <v>1881</v>
      </c>
      <c r="AA58" t="s">
        <v>1003</v>
      </c>
      <c r="AB58" t="s">
        <v>2520</v>
      </c>
      <c r="AC58" t="s">
        <v>423</v>
      </c>
      <c r="AD58" t="s">
        <v>2171</v>
      </c>
      <c r="AE58" t="s">
        <v>441</v>
      </c>
      <c r="AF58">
        <v>0.58794372336</v>
      </c>
    </row>
    <row r="59" spans="1:32" x14ac:dyDescent="0.25">
      <c r="A59" s="56">
        <v>1940146</v>
      </c>
      <c r="B59" s="56" t="s">
        <v>451</v>
      </c>
      <c r="C59" s="56" t="s">
        <v>2681</v>
      </c>
      <c r="D59" s="57">
        <v>593.85400000000004</v>
      </c>
      <c r="E59" s="58">
        <v>1971</v>
      </c>
      <c r="F59" s="57">
        <v>1.9710000000000001</v>
      </c>
      <c r="G59" s="56" t="s">
        <v>392</v>
      </c>
      <c r="H59" s="56" t="s">
        <v>2511</v>
      </c>
      <c r="I59" s="56" t="s">
        <v>345</v>
      </c>
      <c r="J59" s="56" t="s">
        <v>2682</v>
      </c>
      <c r="K59" s="57">
        <v>3563.5509999999999</v>
      </c>
      <c r="L59" s="56" t="s">
        <v>2683</v>
      </c>
      <c r="M59" s="56" t="s">
        <v>2537</v>
      </c>
      <c r="N59" s="56" t="s">
        <v>60</v>
      </c>
      <c r="O59" s="58">
        <v>80</v>
      </c>
      <c r="P59" s="59" t="s">
        <v>2579</v>
      </c>
      <c r="Q59" s="56" t="s">
        <v>192</v>
      </c>
      <c r="U59">
        <v>3672607</v>
      </c>
      <c r="V59">
        <v>15.88</v>
      </c>
      <c r="W59">
        <v>0</v>
      </c>
      <c r="X59">
        <v>1</v>
      </c>
      <c r="Y59">
        <v>1.7150000000000001</v>
      </c>
      <c r="Z59" t="s">
        <v>1881</v>
      </c>
      <c r="AA59" t="s">
        <v>963</v>
      </c>
      <c r="AB59" t="s">
        <v>2520</v>
      </c>
      <c r="AC59" t="s">
        <v>423</v>
      </c>
      <c r="AD59" t="s">
        <v>2171</v>
      </c>
      <c r="AE59" t="s">
        <v>461</v>
      </c>
      <c r="AF59">
        <v>0.62902276080000008</v>
      </c>
    </row>
    <row r="60" spans="1:32" x14ac:dyDescent="0.25">
      <c r="A60" s="56">
        <v>1940146</v>
      </c>
      <c r="B60" s="56" t="s">
        <v>451</v>
      </c>
      <c r="C60" s="56" t="s">
        <v>2684</v>
      </c>
      <c r="D60" s="57">
        <v>592.64800000000002</v>
      </c>
      <c r="E60" s="58">
        <v>1967</v>
      </c>
      <c r="F60" s="57">
        <v>1.9670000000000001</v>
      </c>
      <c r="G60" s="56" t="s">
        <v>392</v>
      </c>
      <c r="H60" s="56" t="s">
        <v>2511</v>
      </c>
      <c r="I60" s="56" t="s">
        <v>345</v>
      </c>
      <c r="J60" s="56" t="s">
        <v>2685</v>
      </c>
      <c r="K60" s="57">
        <v>3556.319</v>
      </c>
      <c r="L60" s="56" t="s">
        <v>2683</v>
      </c>
      <c r="M60" s="56" t="s">
        <v>2537</v>
      </c>
      <c r="N60" s="56" t="s">
        <v>60</v>
      </c>
      <c r="O60" s="58">
        <v>80</v>
      </c>
      <c r="P60" s="59" t="s">
        <v>2579</v>
      </c>
      <c r="Q60" s="56" t="s">
        <v>192</v>
      </c>
      <c r="U60">
        <v>3672606</v>
      </c>
      <c r="V60">
        <v>15.88</v>
      </c>
      <c r="W60">
        <v>0</v>
      </c>
      <c r="X60">
        <v>1</v>
      </c>
      <c r="Y60">
        <v>1.7450000000000001</v>
      </c>
      <c r="Z60" t="s">
        <v>1881</v>
      </c>
      <c r="AA60" t="s">
        <v>963</v>
      </c>
      <c r="AB60" t="s">
        <v>2520</v>
      </c>
      <c r="AC60" t="s">
        <v>423</v>
      </c>
      <c r="AD60" t="s">
        <v>2171</v>
      </c>
      <c r="AE60" t="s">
        <v>425</v>
      </c>
      <c r="AF60">
        <v>0.64002607440000003</v>
      </c>
    </row>
    <row r="61" spans="1:32" x14ac:dyDescent="0.25">
      <c r="A61" s="56">
        <v>1940146</v>
      </c>
      <c r="B61" s="56" t="s">
        <v>451</v>
      </c>
      <c r="C61" s="56" t="s">
        <v>2686</v>
      </c>
      <c r="D61" s="57">
        <v>800.54200000000003</v>
      </c>
      <c r="E61" s="58">
        <v>2657</v>
      </c>
      <c r="F61" s="57">
        <v>2.657</v>
      </c>
      <c r="G61" s="56" t="s">
        <v>392</v>
      </c>
      <c r="H61" s="56" t="s">
        <v>2511</v>
      </c>
      <c r="I61" s="56" t="s">
        <v>345</v>
      </c>
      <c r="J61" s="56" t="s">
        <v>2687</v>
      </c>
      <c r="K61" s="57">
        <v>4803.8329999999996</v>
      </c>
      <c r="L61" s="56" t="s">
        <v>2683</v>
      </c>
      <c r="M61" s="56" t="s">
        <v>2537</v>
      </c>
      <c r="N61" s="56" t="s">
        <v>60</v>
      </c>
      <c r="O61" s="58">
        <v>44</v>
      </c>
      <c r="P61" s="59" t="s">
        <v>2532</v>
      </c>
      <c r="Q61" s="56" t="s">
        <v>192</v>
      </c>
      <c r="U61" s="52">
        <v>1941847</v>
      </c>
      <c r="V61">
        <v>15.88</v>
      </c>
      <c r="W61">
        <v>0</v>
      </c>
      <c r="X61">
        <v>1</v>
      </c>
      <c r="Y61">
        <v>2.1850000000000001</v>
      </c>
      <c r="Z61" t="s">
        <v>1881</v>
      </c>
      <c r="AA61" t="s">
        <v>1003</v>
      </c>
      <c r="AB61" t="s">
        <v>2520</v>
      </c>
      <c r="AC61" t="s">
        <v>423</v>
      </c>
      <c r="AD61" t="s">
        <v>2171</v>
      </c>
      <c r="AE61" t="s">
        <v>443</v>
      </c>
      <c r="AF61">
        <v>0.80140800720000005</v>
      </c>
    </row>
    <row r="62" spans="1:32" x14ac:dyDescent="0.25">
      <c r="A62" s="56">
        <v>1940146</v>
      </c>
      <c r="B62" s="56" t="s">
        <v>451</v>
      </c>
      <c r="C62" s="56" t="s">
        <v>2688</v>
      </c>
      <c r="D62" s="57">
        <v>724.91700000000003</v>
      </c>
      <c r="E62" s="58">
        <v>2406</v>
      </c>
      <c r="F62" s="57">
        <v>2.4060000000000001</v>
      </c>
      <c r="G62" s="56" t="s">
        <v>392</v>
      </c>
      <c r="H62" s="56" t="s">
        <v>2511</v>
      </c>
      <c r="I62" s="56" t="s">
        <v>345</v>
      </c>
      <c r="J62" s="56" t="s">
        <v>2689</v>
      </c>
      <c r="K62" s="57">
        <v>4350.027</v>
      </c>
      <c r="L62" s="56" t="s">
        <v>2690</v>
      </c>
      <c r="M62" s="56" t="s">
        <v>2537</v>
      </c>
      <c r="N62" s="56" t="s">
        <v>60</v>
      </c>
      <c r="O62" s="58">
        <v>44</v>
      </c>
      <c r="P62" s="59" t="s">
        <v>2532</v>
      </c>
      <c r="Q62" s="56" t="s">
        <v>192</v>
      </c>
      <c r="U62">
        <v>3672608</v>
      </c>
      <c r="V62">
        <v>15.88</v>
      </c>
      <c r="W62">
        <v>0</v>
      </c>
      <c r="X62">
        <v>1</v>
      </c>
      <c r="Y62">
        <v>2.34</v>
      </c>
      <c r="Z62" t="s">
        <v>1881</v>
      </c>
      <c r="AA62" t="s">
        <v>963</v>
      </c>
      <c r="AB62" t="s">
        <v>2520</v>
      </c>
      <c r="AC62" t="s">
        <v>423</v>
      </c>
      <c r="AD62" t="s">
        <v>2171</v>
      </c>
      <c r="AE62" t="s">
        <v>2194</v>
      </c>
      <c r="AF62">
        <v>0.85825846080000001</v>
      </c>
    </row>
    <row r="63" spans="1:32" x14ac:dyDescent="0.25">
      <c r="A63" s="56">
        <v>1940146</v>
      </c>
      <c r="B63" s="56" t="s">
        <v>451</v>
      </c>
      <c r="C63" s="56" t="s">
        <v>2691</v>
      </c>
      <c r="D63" s="57">
        <v>479.06</v>
      </c>
      <c r="E63" s="58">
        <v>1590</v>
      </c>
      <c r="F63" s="57">
        <v>1.59</v>
      </c>
      <c r="G63" s="56" t="s">
        <v>392</v>
      </c>
      <c r="H63" s="56" t="s">
        <v>2511</v>
      </c>
      <c r="I63" s="56" t="s">
        <v>345</v>
      </c>
      <c r="J63" s="56" t="s">
        <v>2692</v>
      </c>
      <c r="K63" s="57">
        <v>2874.7060000000001</v>
      </c>
      <c r="L63" s="56" t="s">
        <v>2690</v>
      </c>
      <c r="M63" s="56" t="s">
        <v>2537</v>
      </c>
      <c r="N63" s="56" t="s">
        <v>60</v>
      </c>
      <c r="O63" s="58">
        <v>44</v>
      </c>
      <c r="P63" s="59" t="s">
        <v>2532</v>
      </c>
      <c r="Q63" s="56" t="s">
        <v>192</v>
      </c>
      <c r="U63" s="48">
        <v>1941848</v>
      </c>
      <c r="V63">
        <v>15.88</v>
      </c>
      <c r="W63">
        <v>0</v>
      </c>
      <c r="X63">
        <v>1</v>
      </c>
      <c r="Y63">
        <v>2.4900000000000002</v>
      </c>
      <c r="Z63" t="s">
        <v>1881</v>
      </c>
      <c r="AA63" t="s">
        <v>1003</v>
      </c>
      <c r="AB63" t="s">
        <v>2520</v>
      </c>
      <c r="AC63" t="s">
        <v>423</v>
      </c>
      <c r="AD63" t="s">
        <v>2171</v>
      </c>
      <c r="AE63" t="s">
        <v>2188</v>
      </c>
      <c r="AF63">
        <v>0.91327502880000011</v>
      </c>
    </row>
    <row r="64" spans="1:32" x14ac:dyDescent="0.25">
      <c r="A64" s="56">
        <v>1940146</v>
      </c>
      <c r="B64" s="56" t="s">
        <v>451</v>
      </c>
      <c r="C64" s="56" t="s">
        <v>2693</v>
      </c>
      <c r="D64" s="57">
        <v>313.81700000000001</v>
      </c>
      <c r="E64" s="57">
        <v>1041.56</v>
      </c>
      <c r="F64" s="57">
        <v>1.04156</v>
      </c>
      <c r="G64" s="56" t="s">
        <v>392</v>
      </c>
      <c r="H64" s="56" t="s">
        <v>2511</v>
      </c>
      <c r="I64" s="56" t="s">
        <v>345</v>
      </c>
      <c r="J64" s="56" t="s">
        <v>2694</v>
      </c>
      <c r="K64" s="57">
        <v>1883.1310000000001</v>
      </c>
      <c r="L64" s="56" t="s">
        <v>2695</v>
      </c>
      <c r="M64" s="56" t="s">
        <v>2537</v>
      </c>
      <c r="N64" s="56" t="s">
        <v>30</v>
      </c>
      <c r="O64" s="58">
        <v>44</v>
      </c>
      <c r="P64" s="59" t="s">
        <v>2532</v>
      </c>
      <c r="Q64" s="56" t="s">
        <v>11</v>
      </c>
      <c r="U64" s="52">
        <v>3541434</v>
      </c>
      <c r="V64">
        <v>15.88</v>
      </c>
      <c r="W64">
        <v>0</v>
      </c>
      <c r="X64">
        <v>1</v>
      </c>
      <c r="Y64">
        <v>2.9049999999999998</v>
      </c>
      <c r="Z64" t="s">
        <v>1881</v>
      </c>
      <c r="AA64" t="s">
        <v>963</v>
      </c>
      <c r="AB64" t="s">
        <v>2520</v>
      </c>
      <c r="AC64" t="s">
        <v>423</v>
      </c>
      <c r="AD64" t="s">
        <v>2171</v>
      </c>
      <c r="AE64" t="s">
        <v>2196</v>
      </c>
      <c r="AF64">
        <v>1.0654875336</v>
      </c>
    </row>
    <row r="65" spans="1:32" x14ac:dyDescent="0.25">
      <c r="A65" s="56">
        <v>1940146</v>
      </c>
      <c r="B65" s="56" t="s">
        <v>451</v>
      </c>
      <c r="C65" s="56" t="s">
        <v>2696</v>
      </c>
      <c r="D65" s="57">
        <v>473.03399999999999</v>
      </c>
      <c r="E65" s="58">
        <v>1570</v>
      </c>
      <c r="F65" s="57">
        <v>1.57</v>
      </c>
      <c r="G65" s="56" t="s">
        <v>392</v>
      </c>
      <c r="H65" s="56" t="s">
        <v>2511</v>
      </c>
      <c r="I65" s="56" t="s">
        <v>345</v>
      </c>
      <c r="J65" s="56" t="s">
        <v>2697</v>
      </c>
      <c r="K65" s="57">
        <v>2838.5459999999998</v>
      </c>
      <c r="L65" s="56" t="s">
        <v>2695</v>
      </c>
      <c r="M65" s="56" t="s">
        <v>2537</v>
      </c>
      <c r="N65" s="56" t="s">
        <v>30</v>
      </c>
      <c r="O65" s="58">
        <v>10</v>
      </c>
      <c r="P65" s="59" t="s">
        <v>2515</v>
      </c>
      <c r="Q65" s="56" t="s">
        <v>11</v>
      </c>
      <c r="U65" s="538">
        <v>111120707</v>
      </c>
      <c r="V65">
        <v>15.88</v>
      </c>
      <c r="W65">
        <v>0</v>
      </c>
      <c r="X65">
        <v>1</v>
      </c>
      <c r="Y65">
        <v>4.4400000000000004</v>
      </c>
      <c r="Z65" t="s">
        <v>1881</v>
      </c>
      <c r="AA65" t="s">
        <v>963</v>
      </c>
      <c r="AB65" t="s">
        <v>2520</v>
      </c>
      <c r="AC65" t="s">
        <v>423</v>
      </c>
      <c r="AD65" t="s">
        <v>1838</v>
      </c>
      <c r="AE65" t="s">
        <v>2193</v>
      </c>
      <c r="AF65">
        <v>0.36677712000000001</v>
      </c>
    </row>
    <row r="66" spans="1:32" x14ac:dyDescent="0.25">
      <c r="A66" s="56">
        <v>1940151</v>
      </c>
      <c r="B66" s="56" t="s">
        <v>2698</v>
      </c>
      <c r="C66" s="56" t="s">
        <v>2699</v>
      </c>
      <c r="D66" s="57">
        <v>5176.2120000000004</v>
      </c>
      <c r="E66" s="57">
        <v>512.44500000000005</v>
      </c>
      <c r="F66" s="57">
        <v>0.51244500000000004</v>
      </c>
      <c r="G66" s="56" t="s">
        <v>392</v>
      </c>
      <c r="H66" s="56" t="s">
        <v>2511</v>
      </c>
      <c r="I66" s="56" t="s">
        <v>345</v>
      </c>
      <c r="J66" s="56" t="s">
        <v>1914</v>
      </c>
      <c r="K66" s="57">
        <v>779.029</v>
      </c>
      <c r="L66" s="56" t="s">
        <v>1914</v>
      </c>
      <c r="M66" s="56" t="s">
        <v>1123</v>
      </c>
      <c r="N66" s="56" t="s">
        <v>60</v>
      </c>
      <c r="O66" s="58">
        <v>230</v>
      </c>
      <c r="P66" s="59" t="s">
        <v>2524</v>
      </c>
      <c r="Q66" s="56" t="s">
        <v>192</v>
      </c>
      <c r="U66" s="538">
        <v>110102177</v>
      </c>
      <c r="V66">
        <v>15.88</v>
      </c>
      <c r="W66">
        <v>0</v>
      </c>
      <c r="X66">
        <v>1</v>
      </c>
      <c r="Y66">
        <v>4.83</v>
      </c>
      <c r="Z66" t="s">
        <v>1881</v>
      </c>
      <c r="AA66" t="s">
        <v>963</v>
      </c>
      <c r="AB66" t="s">
        <v>2520</v>
      </c>
      <c r="AC66" t="s">
        <v>423</v>
      </c>
      <c r="AD66" t="s">
        <v>1838</v>
      </c>
      <c r="AE66" t="s">
        <v>2193</v>
      </c>
      <c r="AF66">
        <v>0.36677712000000001</v>
      </c>
    </row>
    <row r="67" spans="1:32" x14ac:dyDescent="0.25">
      <c r="A67" s="56">
        <v>1940151</v>
      </c>
      <c r="B67" s="56" t="s">
        <v>2698</v>
      </c>
      <c r="C67" s="56" t="s">
        <v>2700</v>
      </c>
      <c r="D67" s="57">
        <v>4790.4650000000001</v>
      </c>
      <c r="E67" s="57">
        <v>474.25599999999997</v>
      </c>
      <c r="F67" s="57">
        <v>0.47425599999999996</v>
      </c>
      <c r="G67" s="56" t="s">
        <v>392</v>
      </c>
      <c r="H67" s="56" t="s">
        <v>2511</v>
      </c>
      <c r="I67" s="56" t="s">
        <v>345</v>
      </c>
      <c r="J67" s="56" t="s">
        <v>1914</v>
      </c>
      <c r="K67" s="57">
        <v>720.97299999999996</v>
      </c>
      <c r="L67" s="56" t="s">
        <v>1914</v>
      </c>
      <c r="M67" s="56" t="s">
        <v>1123</v>
      </c>
      <c r="N67" s="56" t="s">
        <v>60</v>
      </c>
      <c r="O67" s="58">
        <v>262</v>
      </c>
      <c r="P67" s="59" t="s">
        <v>2524</v>
      </c>
      <c r="Q67" s="56" t="s">
        <v>192</v>
      </c>
      <c r="U67" s="511">
        <v>1940023</v>
      </c>
      <c r="V67">
        <v>15.88</v>
      </c>
      <c r="W67">
        <v>0</v>
      </c>
      <c r="X67">
        <v>1</v>
      </c>
      <c r="Y67">
        <v>5.01</v>
      </c>
      <c r="Z67" t="s">
        <v>1881</v>
      </c>
      <c r="AA67" t="s">
        <v>963</v>
      </c>
      <c r="AB67" t="s">
        <v>2520</v>
      </c>
      <c r="AC67" t="s">
        <v>423</v>
      </c>
      <c r="AD67" t="s">
        <v>1838</v>
      </c>
      <c r="AE67" t="s">
        <v>2193</v>
      </c>
      <c r="AF67">
        <v>0.36677712000000001</v>
      </c>
    </row>
    <row r="68" spans="1:32" x14ac:dyDescent="0.25">
      <c r="A68" s="56">
        <v>1940220</v>
      </c>
      <c r="B68" s="56" t="s">
        <v>2701</v>
      </c>
      <c r="C68" s="56" t="s">
        <v>2702</v>
      </c>
      <c r="D68" s="57">
        <v>3399.4920000000002</v>
      </c>
      <c r="E68" s="57">
        <v>421.53699999999998</v>
      </c>
      <c r="F68" s="57">
        <v>0.421537</v>
      </c>
      <c r="G68" s="56" t="s">
        <v>392</v>
      </c>
      <c r="H68" s="56" t="s">
        <v>2511</v>
      </c>
      <c r="I68" s="56" t="s">
        <v>345</v>
      </c>
      <c r="J68" s="56" t="s">
        <v>1914</v>
      </c>
      <c r="K68" s="57">
        <v>611.98800000000006</v>
      </c>
      <c r="L68" s="56" t="s">
        <v>1914</v>
      </c>
      <c r="M68" s="56" t="s">
        <v>1123</v>
      </c>
      <c r="N68" s="56" t="s">
        <v>76</v>
      </c>
      <c r="O68" s="58">
        <v>230</v>
      </c>
      <c r="P68" s="59" t="s">
        <v>2524</v>
      </c>
      <c r="Q68" s="56" t="s">
        <v>2561</v>
      </c>
      <c r="U68" s="538">
        <v>111120705</v>
      </c>
      <c r="V68">
        <v>15.88</v>
      </c>
      <c r="W68">
        <v>0</v>
      </c>
      <c r="X68">
        <v>1</v>
      </c>
      <c r="Y68">
        <v>5.01</v>
      </c>
      <c r="Z68" t="s">
        <v>1881</v>
      </c>
      <c r="AA68" t="s">
        <v>963</v>
      </c>
      <c r="AB68" t="s">
        <v>2520</v>
      </c>
      <c r="AC68" t="s">
        <v>423</v>
      </c>
      <c r="AD68" t="s">
        <v>1838</v>
      </c>
      <c r="AE68" t="s">
        <v>2193</v>
      </c>
      <c r="AF68">
        <v>0.36677712000000001</v>
      </c>
    </row>
    <row r="69" spans="1:32" x14ac:dyDescent="0.25">
      <c r="A69" s="56">
        <v>1940220</v>
      </c>
      <c r="B69" s="56" t="s">
        <v>2701</v>
      </c>
      <c r="C69" s="56" t="s">
        <v>2703</v>
      </c>
      <c r="D69" s="57">
        <v>3599.4679999999998</v>
      </c>
      <c r="E69" s="57">
        <v>446.334</v>
      </c>
      <c r="F69" s="57">
        <v>0.44633400000000001</v>
      </c>
      <c r="G69" s="56" t="s">
        <v>392</v>
      </c>
      <c r="H69" s="56" t="s">
        <v>2511</v>
      </c>
      <c r="I69" s="56" t="s">
        <v>345</v>
      </c>
      <c r="J69" s="56" t="s">
        <v>1914</v>
      </c>
      <c r="K69" s="57">
        <v>647.98800000000006</v>
      </c>
      <c r="L69" s="56" t="s">
        <v>1914</v>
      </c>
      <c r="M69" s="56" t="s">
        <v>1123</v>
      </c>
      <c r="N69" s="56" t="s">
        <v>76</v>
      </c>
      <c r="O69" s="58">
        <v>262</v>
      </c>
      <c r="P69" s="59" t="s">
        <v>2524</v>
      </c>
      <c r="Q69" s="56" t="s">
        <v>2561</v>
      </c>
      <c r="U69" s="538">
        <v>111116479</v>
      </c>
      <c r="V69">
        <v>15.88</v>
      </c>
      <c r="W69">
        <v>0</v>
      </c>
      <c r="X69">
        <v>1</v>
      </c>
      <c r="Y69">
        <v>5.05</v>
      </c>
      <c r="Z69" t="s">
        <v>1881</v>
      </c>
      <c r="AA69" t="s">
        <v>963</v>
      </c>
      <c r="AB69" t="s">
        <v>2520</v>
      </c>
      <c r="AC69" t="s">
        <v>423</v>
      </c>
      <c r="AD69" t="s">
        <v>1838</v>
      </c>
      <c r="AE69" t="s">
        <v>2193</v>
      </c>
      <c r="AF69">
        <v>0.36677712000000001</v>
      </c>
    </row>
    <row r="70" spans="1:32" x14ac:dyDescent="0.25">
      <c r="A70" s="56">
        <v>1940236</v>
      </c>
      <c r="B70" s="56" t="s">
        <v>2704</v>
      </c>
      <c r="C70" s="56" t="s">
        <v>2705</v>
      </c>
      <c r="D70" s="57">
        <v>1797.502</v>
      </c>
      <c r="E70" s="57">
        <v>483.52800000000002</v>
      </c>
      <c r="F70" s="57">
        <v>0.48352800000000001</v>
      </c>
      <c r="G70" s="56" t="s">
        <v>392</v>
      </c>
      <c r="H70" s="56" t="s">
        <v>2511</v>
      </c>
      <c r="I70" s="56" t="s">
        <v>345</v>
      </c>
      <c r="J70" s="56" t="s">
        <v>1914</v>
      </c>
      <c r="K70" s="57">
        <v>701.98599999999999</v>
      </c>
      <c r="L70" s="56" t="s">
        <v>1914</v>
      </c>
      <c r="M70" s="56" t="s">
        <v>1123</v>
      </c>
      <c r="N70" s="56" t="s">
        <v>76</v>
      </c>
      <c r="O70" s="58">
        <v>262</v>
      </c>
      <c r="P70" s="59" t="s">
        <v>2524</v>
      </c>
      <c r="Q70" s="56" t="s">
        <v>2561</v>
      </c>
      <c r="U70" s="538">
        <v>111106835</v>
      </c>
      <c r="V70">
        <v>15.88</v>
      </c>
      <c r="W70">
        <v>0</v>
      </c>
      <c r="X70">
        <v>1</v>
      </c>
      <c r="Y70">
        <v>5.45</v>
      </c>
      <c r="Z70" t="s">
        <v>1881</v>
      </c>
      <c r="AA70" t="s">
        <v>963</v>
      </c>
      <c r="AB70" t="s">
        <v>2520</v>
      </c>
      <c r="AC70" t="s">
        <v>423</v>
      </c>
      <c r="AD70" t="s">
        <v>1838</v>
      </c>
      <c r="AE70" t="s">
        <v>2193</v>
      </c>
      <c r="AF70">
        <v>0.36677712000000001</v>
      </c>
    </row>
    <row r="71" spans="1:32" x14ac:dyDescent="0.25">
      <c r="A71" s="56">
        <v>1940241</v>
      </c>
      <c r="B71" s="56" t="s">
        <v>2706</v>
      </c>
      <c r="C71" s="56" t="s">
        <v>2707</v>
      </c>
      <c r="D71" s="57">
        <v>599.24300000000005</v>
      </c>
      <c r="E71" s="57">
        <v>179.773</v>
      </c>
      <c r="F71" s="57">
        <v>0.17977299999999999</v>
      </c>
      <c r="G71" s="56" t="s">
        <v>392</v>
      </c>
      <c r="H71" s="56" t="s">
        <v>2511</v>
      </c>
      <c r="I71" s="56" t="s">
        <v>345</v>
      </c>
      <c r="J71" s="56" t="s">
        <v>1914</v>
      </c>
      <c r="K71" s="57">
        <v>260.99400000000003</v>
      </c>
      <c r="L71" s="56" t="s">
        <v>1914</v>
      </c>
      <c r="M71" s="56" t="s">
        <v>1123</v>
      </c>
      <c r="N71" s="56" t="s">
        <v>76</v>
      </c>
      <c r="O71" s="58">
        <v>262</v>
      </c>
      <c r="P71" s="59" t="s">
        <v>2524</v>
      </c>
      <c r="Q71" s="56" t="s">
        <v>2561</v>
      </c>
      <c r="U71" s="538">
        <v>111116480</v>
      </c>
      <c r="V71">
        <v>15.88</v>
      </c>
      <c r="W71">
        <v>0</v>
      </c>
      <c r="X71">
        <v>1</v>
      </c>
      <c r="Y71">
        <v>5.87</v>
      </c>
      <c r="Z71" t="s">
        <v>1881</v>
      </c>
      <c r="AA71" t="s">
        <v>963</v>
      </c>
      <c r="AB71" t="s">
        <v>2520</v>
      </c>
      <c r="AC71" t="s">
        <v>423</v>
      </c>
      <c r="AD71" t="s">
        <v>1838</v>
      </c>
      <c r="AE71" t="s">
        <v>2193</v>
      </c>
      <c r="AF71">
        <v>0.36677712000000001</v>
      </c>
    </row>
    <row r="72" spans="1:32" x14ac:dyDescent="0.25">
      <c r="A72" s="56">
        <v>1940247</v>
      </c>
      <c r="B72" s="56" t="s">
        <v>1349</v>
      </c>
      <c r="C72" s="56" t="s">
        <v>2708</v>
      </c>
      <c r="D72" s="57">
        <v>2226.7800000000002</v>
      </c>
      <c r="E72" s="57">
        <v>912.98</v>
      </c>
      <c r="F72" s="57">
        <v>0.91298000000000001</v>
      </c>
      <c r="G72" s="56" t="s">
        <v>392</v>
      </c>
      <c r="H72" s="56" t="s">
        <v>2511</v>
      </c>
      <c r="I72" s="56" t="s">
        <v>345</v>
      </c>
      <c r="J72" s="56" t="s">
        <v>2709</v>
      </c>
      <c r="K72" s="57">
        <v>1325.4649999999999</v>
      </c>
      <c r="L72" s="56" t="s">
        <v>2710</v>
      </c>
      <c r="M72" s="56" t="s">
        <v>2609</v>
      </c>
      <c r="N72" s="56" t="s">
        <v>52</v>
      </c>
      <c r="O72" s="58">
        <v>13</v>
      </c>
      <c r="P72" s="59" t="s">
        <v>2515</v>
      </c>
      <c r="Q72" s="56" t="s">
        <v>2516</v>
      </c>
      <c r="U72" s="52">
        <v>1931385</v>
      </c>
      <c r="V72">
        <v>15.88</v>
      </c>
      <c r="W72">
        <v>0</v>
      </c>
      <c r="X72">
        <v>1</v>
      </c>
      <c r="Y72">
        <v>6</v>
      </c>
      <c r="Z72" t="s">
        <v>1883</v>
      </c>
      <c r="AA72" t="s">
        <v>963</v>
      </c>
      <c r="AB72" t="s">
        <v>2520</v>
      </c>
      <c r="AC72" t="s">
        <v>423</v>
      </c>
      <c r="AD72" t="s">
        <v>1838</v>
      </c>
      <c r="AE72" t="s">
        <v>2193</v>
      </c>
      <c r="AF72">
        <v>0.36677712000000001</v>
      </c>
    </row>
    <row r="73" spans="1:32" x14ac:dyDescent="0.25">
      <c r="A73" s="56">
        <v>1940262</v>
      </c>
      <c r="B73" s="56" t="s">
        <v>1357</v>
      </c>
      <c r="C73" s="56" t="s">
        <v>2711</v>
      </c>
      <c r="D73" s="57">
        <v>3942.529</v>
      </c>
      <c r="E73" s="58">
        <v>343</v>
      </c>
      <c r="F73" s="57">
        <v>0.34300000000000003</v>
      </c>
      <c r="G73" s="56" t="s">
        <v>392</v>
      </c>
      <c r="H73" s="56" t="s">
        <v>2511</v>
      </c>
      <c r="I73" s="56" t="s">
        <v>345</v>
      </c>
      <c r="J73" s="56" t="s">
        <v>2712</v>
      </c>
      <c r="K73" s="57">
        <v>407.75099999999998</v>
      </c>
      <c r="L73" s="56" t="s">
        <v>2713</v>
      </c>
      <c r="M73" s="56" t="s">
        <v>2537</v>
      </c>
      <c r="N73" s="56" t="s">
        <v>61</v>
      </c>
      <c r="O73" s="58">
        <v>5</v>
      </c>
      <c r="P73" s="59" t="s">
        <v>2515</v>
      </c>
      <c r="Q73" s="56" t="s">
        <v>11</v>
      </c>
      <c r="U73" s="52">
        <v>1940026</v>
      </c>
      <c r="V73">
        <v>15.88</v>
      </c>
      <c r="W73">
        <v>0</v>
      </c>
      <c r="X73">
        <v>1</v>
      </c>
      <c r="Y73">
        <v>6</v>
      </c>
      <c r="Z73" t="s">
        <v>1881</v>
      </c>
      <c r="AA73" t="s">
        <v>963</v>
      </c>
      <c r="AB73" t="s">
        <v>2520</v>
      </c>
      <c r="AC73" t="s">
        <v>423</v>
      </c>
      <c r="AD73" t="s">
        <v>1838</v>
      </c>
      <c r="AE73" t="s">
        <v>2193</v>
      </c>
      <c r="AF73">
        <v>0.36677712000000001</v>
      </c>
    </row>
    <row r="74" spans="1:32" x14ac:dyDescent="0.25">
      <c r="A74" s="56">
        <v>1940262</v>
      </c>
      <c r="B74" s="56" t="s">
        <v>1357</v>
      </c>
      <c r="C74" s="56" t="s">
        <v>2714</v>
      </c>
      <c r="D74" s="57">
        <v>2607.8389999999999</v>
      </c>
      <c r="E74" s="57">
        <v>226.88200000000001</v>
      </c>
      <c r="F74" s="57">
        <v>0.226882</v>
      </c>
      <c r="G74" s="56" t="s">
        <v>392</v>
      </c>
      <c r="H74" s="56" t="s">
        <v>2511</v>
      </c>
      <c r="I74" s="56" t="s">
        <v>345</v>
      </c>
      <c r="J74" s="56" t="s">
        <v>2715</v>
      </c>
      <c r="K74" s="57">
        <v>269.71199999999999</v>
      </c>
      <c r="L74" s="56" t="s">
        <v>2716</v>
      </c>
      <c r="M74" s="56" t="s">
        <v>2625</v>
      </c>
      <c r="N74" s="56" t="s">
        <v>61</v>
      </c>
      <c r="O74" s="58">
        <v>14</v>
      </c>
      <c r="P74" s="59" t="s">
        <v>2515</v>
      </c>
      <c r="Q74" s="56" t="s">
        <v>11</v>
      </c>
      <c r="U74">
        <v>3701633</v>
      </c>
      <c r="V74">
        <v>15.88</v>
      </c>
      <c r="W74">
        <v>0</v>
      </c>
      <c r="X74">
        <v>1</v>
      </c>
      <c r="Y74">
        <v>6</v>
      </c>
      <c r="Z74" t="s">
        <v>1881</v>
      </c>
      <c r="AA74" t="s">
        <v>963</v>
      </c>
      <c r="AB74" t="s">
        <v>2520</v>
      </c>
      <c r="AC74" t="s">
        <v>423</v>
      </c>
      <c r="AD74" t="s">
        <v>1838</v>
      </c>
      <c r="AE74" t="s">
        <v>2193</v>
      </c>
      <c r="AF74">
        <v>0.36677712000000001</v>
      </c>
    </row>
    <row r="75" spans="1:32" x14ac:dyDescent="0.25">
      <c r="A75" s="56">
        <v>1940273</v>
      </c>
      <c r="B75" s="56" t="s">
        <v>2717</v>
      </c>
      <c r="C75" s="56" t="s">
        <v>2718</v>
      </c>
      <c r="D75" s="57">
        <v>801.06700000000001</v>
      </c>
      <c r="E75" s="57">
        <v>214.68600000000001</v>
      </c>
      <c r="F75" s="57">
        <v>0.21468600000000002</v>
      </c>
      <c r="G75" s="56" t="s">
        <v>392</v>
      </c>
      <c r="H75" s="56" t="s">
        <v>2511</v>
      </c>
      <c r="I75" s="56" t="s">
        <v>345</v>
      </c>
      <c r="J75" s="56" t="s">
        <v>1914</v>
      </c>
      <c r="K75" s="57">
        <v>255.214</v>
      </c>
      <c r="L75" s="56" t="s">
        <v>1914</v>
      </c>
      <c r="M75" s="56" t="s">
        <v>1123</v>
      </c>
      <c r="N75" s="56" t="s">
        <v>76</v>
      </c>
      <c r="O75" s="58">
        <v>262</v>
      </c>
      <c r="P75" s="59" t="s">
        <v>2524</v>
      </c>
      <c r="Q75" s="56" t="s">
        <v>2561</v>
      </c>
      <c r="U75" s="52">
        <v>1940027</v>
      </c>
      <c r="V75">
        <v>15.88</v>
      </c>
      <c r="W75">
        <v>0</v>
      </c>
      <c r="X75">
        <v>1</v>
      </c>
      <c r="Y75">
        <v>6.19</v>
      </c>
      <c r="Z75" t="s">
        <v>1881</v>
      </c>
      <c r="AA75" t="s">
        <v>963</v>
      </c>
      <c r="AB75" t="s">
        <v>2520</v>
      </c>
      <c r="AC75" t="s">
        <v>423</v>
      </c>
      <c r="AD75" t="s">
        <v>1838</v>
      </c>
      <c r="AE75" t="s">
        <v>2193</v>
      </c>
      <c r="AF75">
        <v>0.36677712000000001</v>
      </c>
    </row>
    <row r="76" spans="1:32" x14ac:dyDescent="0.25">
      <c r="A76" s="56">
        <v>1940292</v>
      </c>
      <c r="B76" s="56" t="s">
        <v>2719</v>
      </c>
      <c r="C76" s="56" t="s">
        <v>2720</v>
      </c>
      <c r="D76" s="57">
        <v>92.846999999999994</v>
      </c>
      <c r="E76" s="58">
        <v>453</v>
      </c>
      <c r="F76" s="57">
        <v>0.45300000000000001</v>
      </c>
      <c r="G76" s="56" t="s">
        <v>392</v>
      </c>
      <c r="H76" s="56" t="s">
        <v>2511</v>
      </c>
      <c r="I76" s="56" t="s">
        <v>345</v>
      </c>
      <c r="J76" s="56" t="s">
        <v>2721</v>
      </c>
      <c r="K76" s="57">
        <v>538.51599999999996</v>
      </c>
      <c r="L76" s="56" t="s">
        <v>1914</v>
      </c>
      <c r="M76" s="56" t="s">
        <v>1123</v>
      </c>
      <c r="N76" s="56" t="s">
        <v>61</v>
      </c>
      <c r="O76" s="58">
        <v>40</v>
      </c>
      <c r="P76" s="59" t="s">
        <v>2532</v>
      </c>
      <c r="Q76" s="56" t="s">
        <v>11</v>
      </c>
      <c r="U76" s="538">
        <v>111106836</v>
      </c>
      <c r="V76">
        <v>15.88</v>
      </c>
      <c r="W76">
        <v>0</v>
      </c>
      <c r="X76">
        <v>1</v>
      </c>
      <c r="Y76">
        <v>6.5</v>
      </c>
      <c r="Z76" t="s">
        <v>1881</v>
      </c>
      <c r="AA76" t="s">
        <v>963</v>
      </c>
      <c r="AB76" t="s">
        <v>2520</v>
      </c>
      <c r="AC76" t="s">
        <v>423</v>
      </c>
      <c r="AD76" t="s">
        <v>1838</v>
      </c>
      <c r="AE76" t="s">
        <v>2193</v>
      </c>
      <c r="AF76">
        <v>0.36677712000000001</v>
      </c>
    </row>
    <row r="77" spans="1:32" x14ac:dyDescent="0.25">
      <c r="A77" s="56">
        <v>1940292</v>
      </c>
      <c r="B77" s="56" t="s">
        <v>2719</v>
      </c>
      <c r="C77" s="56" t="s">
        <v>2722</v>
      </c>
      <c r="D77" s="57">
        <v>41.606999999999999</v>
      </c>
      <c r="E77" s="58">
        <v>203</v>
      </c>
      <c r="F77" s="57">
        <v>0.20300000000000001</v>
      </c>
      <c r="G77" s="56" t="s">
        <v>392</v>
      </c>
      <c r="H77" s="56" t="s">
        <v>2511</v>
      </c>
      <c r="I77" s="56" t="s">
        <v>345</v>
      </c>
      <c r="J77" s="56" t="s">
        <v>2723</v>
      </c>
      <c r="K77" s="57">
        <v>241.322</v>
      </c>
      <c r="L77" s="56" t="s">
        <v>1914</v>
      </c>
      <c r="M77" s="56" t="s">
        <v>1123</v>
      </c>
      <c r="N77" s="56" t="s">
        <v>61</v>
      </c>
      <c r="O77" s="58">
        <v>40</v>
      </c>
      <c r="P77" s="59" t="s">
        <v>2532</v>
      </c>
      <c r="Q77" s="56" t="s">
        <v>11</v>
      </c>
      <c r="U77" s="52">
        <v>1940034</v>
      </c>
      <c r="V77">
        <v>15.88</v>
      </c>
      <c r="W77">
        <v>0</v>
      </c>
      <c r="X77">
        <v>1.2</v>
      </c>
      <c r="Y77">
        <v>0.54</v>
      </c>
      <c r="Z77" t="s">
        <v>1881</v>
      </c>
      <c r="AA77" t="s">
        <v>963</v>
      </c>
      <c r="AB77" t="s">
        <v>2520</v>
      </c>
      <c r="AC77" t="s">
        <v>463</v>
      </c>
      <c r="AD77" t="s">
        <v>2171</v>
      </c>
      <c r="AE77" t="s">
        <v>465</v>
      </c>
      <c r="AF77">
        <v>0.23447706336000002</v>
      </c>
    </row>
    <row r="78" spans="1:32" x14ac:dyDescent="0.25">
      <c r="A78" s="56">
        <v>1940299</v>
      </c>
      <c r="B78" s="56" t="s">
        <v>2724</v>
      </c>
      <c r="C78" s="56" t="s">
        <v>2725</v>
      </c>
      <c r="D78" s="57">
        <v>49.271000000000001</v>
      </c>
      <c r="E78" s="58">
        <v>257</v>
      </c>
      <c r="F78" s="57">
        <v>0.25700000000000001</v>
      </c>
      <c r="G78" s="56" t="s">
        <v>392</v>
      </c>
      <c r="H78" s="56" t="s">
        <v>2511</v>
      </c>
      <c r="I78" s="56" t="s">
        <v>345</v>
      </c>
      <c r="J78" s="56" t="s">
        <v>2726</v>
      </c>
      <c r="K78" s="57">
        <v>305.51600000000002</v>
      </c>
      <c r="L78" s="56" t="s">
        <v>1914</v>
      </c>
      <c r="M78" s="56" t="s">
        <v>1123</v>
      </c>
      <c r="N78" s="56" t="s">
        <v>61</v>
      </c>
      <c r="O78" s="58">
        <v>40</v>
      </c>
      <c r="P78" s="59" t="s">
        <v>2532</v>
      </c>
      <c r="Q78" s="56" t="s">
        <v>11</v>
      </c>
      <c r="U78" s="52">
        <v>1940038</v>
      </c>
      <c r="V78">
        <v>15.88</v>
      </c>
      <c r="W78">
        <v>0</v>
      </c>
      <c r="X78">
        <v>1.2</v>
      </c>
      <c r="Y78">
        <v>0.68</v>
      </c>
      <c r="Z78" t="s">
        <v>1881</v>
      </c>
      <c r="AA78" t="s">
        <v>963</v>
      </c>
      <c r="AB78" t="s">
        <v>2520</v>
      </c>
      <c r="AC78" t="s">
        <v>463</v>
      </c>
      <c r="AD78" t="s">
        <v>2171</v>
      </c>
      <c r="AE78" t="s">
        <v>2727</v>
      </c>
      <c r="AF78">
        <v>0.29526741312000004</v>
      </c>
    </row>
    <row r="79" spans="1:32" x14ac:dyDescent="0.25">
      <c r="A79" s="56">
        <v>1940306</v>
      </c>
      <c r="B79" s="56" t="s">
        <v>454</v>
      </c>
      <c r="C79" s="56" t="s">
        <v>2728</v>
      </c>
      <c r="D79" s="57">
        <v>6209.8209999999999</v>
      </c>
      <c r="E79" s="58">
        <v>1391</v>
      </c>
      <c r="F79" s="57">
        <v>1.391</v>
      </c>
      <c r="G79" s="56" t="s">
        <v>392</v>
      </c>
      <c r="H79" s="56" t="s">
        <v>2511</v>
      </c>
      <c r="I79" s="56" t="s">
        <v>345</v>
      </c>
      <c r="J79" s="56" t="s">
        <v>2729</v>
      </c>
      <c r="K79" s="57">
        <v>1463.5940000000001</v>
      </c>
      <c r="L79" s="56" t="s">
        <v>2730</v>
      </c>
      <c r="M79" s="56" t="s">
        <v>2731</v>
      </c>
      <c r="N79" s="56" t="s">
        <v>61</v>
      </c>
      <c r="O79" s="58">
        <v>26</v>
      </c>
      <c r="P79" s="59" t="s">
        <v>2515</v>
      </c>
      <c r="Q79" s="56" t="s">
        <v>11</v>
      </c>
      <c r="U79" s="52">
        <v>4241099</v>
      </c>
      <c r="V79">
        <v>15.88</v>
      </c>
      <c r="W79">
        <v>0</v>
      </c>
      <c r="X79">
        <v>1.2</v>
      </c>
      <c r="Y79">
        <v>0.73</v>
      </c>
      <c r="Z79" t="s">
        <v>1891</v>
      </c>
      <c r="AA79" t="s">
        <v>963</v>
      </c>
      <c r="AB79" t="s">
        <v>2520</v>
      </c>
      <c r="AC79" t="s">
        <v>463</v>
      </c>
      <c r="AD79" t="s">
        <v>2171</v>
      </c>
      <c r="AF79">
        <v>0.31697825231999999</v>
      </c>
    </row>
    <row r="80" spans="1:32" x14ac:dyDescent="0.25">
      <c r="A80" s="56">
        <v>1940309</v>
      </c>
      <c r="B80" s="56" t="s">
        <v>703</v>
      </c>
      <c r="C80" s="56" t="s">
        <v>2732</v>
      </c>
      <c r="D80" s="57">
        <v>2511.2539999999999</v>
      </c>
      <c r="E80" s="57">
        <v>632.83600000000001</v>
      </c>
      <c r="F80" s="57">
        <v>0.63283600000000007</v>
      </c>
      <c r="G80" s="56" t="s">
        <v>392</v>
      </c>
      <c r="H80" s="56" t="s">
        <v>2511</v>
      </c>
      <c r="I80" s="56" t="s">
        <v>345</v>
      </c>
      <c r="J80" s="56" t="s">
        <v>2733</v>
      </c>
      <c r="K80" s="57">
        <v>665.86300000000006</v>
      </c>
      <c r="L80" s="56" t="s">
        <v>2734</v>
      </c>
      <c r="M80" s="56" t="s">
        <v>2584</v>
      </c>
      <c r="N80" s="56" t="s">
        <v>61</v>
      </c>
      <c r="O80" s="58">
        <v>19</v>
      </c>
      <c r="P80" s="59" t="s">
        <v>2515</v>
      </c>
      <c r="Q80" s="56" t="s">
        <v>11</v>
      </c>
      <c r="U80" s="52">
        <v>3715199</v>
      </c>
      <c r="V80">
        <v>15.88</v>
      </c>
      <c r="W80">
        <v>0</v>
      </c>
      <c r="X80">
        <v>1.2</v>
      </c>
      <c r="Y80">
        <v>0.755</v>
      </c>
      <c r="Z80" t="s">
        <v>1881</v>
      </c>
      <c r="AA80" t="s">
        <v>963</v>
      </c>
      <c r="AB80" t="s">
        <v>2520</v>
      </c>
      <c r="AC80" t="s">
        <v>463</v>
      </c>
      <c r="AD80" t="s">
        <v>2171</v>
      </c>
      <c r="AE80" t="s">
        <v>2204</v>
      </c>
      <c r="AF80">
        <v>0.32783367192000001</v>
      </c>
    </row>
    <row r="81" spans="1:32" x14ac:dyDescent="0.25">
      <c r="A81" s="56">
        <v>1940309</v>
      </c>
      <c r="B81" s="56" t="s">
        <v>703</v>
      </c>
      <c r="C81" s="56" t="s">
        <v>2735</v>
      </c>
      <c r="D81" s="57">
        <v>2349.2060000000001</v>
      </c>
      <c r="E81" s="58">
        <v>592</v>
      </c>
      <c r="F81" s="57">
        <v>0.59199999999999997</v>
      </c>
      <c r="G81" s="56" t="s">
        <v>392</v>
      </c>
      <c r="H81" s="56" t="s">
        <v>2511</v>
      </c>
      <c r="I81" s="56" t="s">
        <v>345</v>
      </c>
      <c r="J81" s="56" t="s">
        <v>2736</v>
      </c>
      <c r="K81" s="57">
        <v>622.89599999999996</v>
      </c>
      <c r="L81" s="56" t="s">
        <v>2734</v>
      </c>
      <c r="M81" s="56" t="s">
        <v>2584</v>
      </c>
      <c r="N81" s="56" t="s">
        <v>61</v>
      </c>
      <c r="O81" s="58">
        <v>18</v>
      </c>
      <c r="P81" s="59" t="s">
        <v>2515</v>
      </c>
      <c r="Q81" s="56" t="s">
        <v>11</v>
      </c>
      <c r="U81" s="52">
        <v>2409610</v>
      </c>
      <c r="V81">
        <v>15.88</v>
      </c>
      <c r="W81">
        <v>0</v>
      </c>
      <c r="X81">
        <v>1.2</v>
      </c>
      <c r="Y81">
        <v>0.755</v>
      </c>
      <c r="Z81" t="s">
        <v>1881</v>
      </c>
      <c r="AA81" t="s">
        <v>963</v>
      </c>
      <c r="AB81" t="s">
        <v>2520</v>
      </c>
      <c r="AC81" t="s">
        <v>463</v>
      </c>
      <c r="AD81" t="s">
        <v>2171</v>
      </c>
      <c r="AE81" t="s">
        <v>2204</v>
      </c>
      <c r="AF81">
        <v>0.32783367192000001</v>
      </c>
    </row>
    <row r="82" spans="1:32" x14ac:dyDescent="0.25">
      <c r="A82" s="56">
        <v>1940312</v>
      </c>
      <c r="B82" s="56" t="s">
        <v>410</v>
      </c>
      <c r="C82" s="56" t="s">
        <v>2737</v>
      </c>
      <c r="D82" s="57">
        <v>982.14300000000003</v>
      </c>
      <c r="E82" s="58">
        <v>275</v>
      </c>
      <c r="F82" s="57">
        <v>0.27500000000000002</v>
      </c>
      <c r="G82" s="56" t="s">
        <v>392</v>
      </c>
      <c r="H82" s="56" t="s">
        <v>2511</v>
      </c>
      <c r="I82" s="56" t="s">
        <v>345</v>
      </c>
      <c r="J82" s="56" t="s">
        <v>2738</v>
      </c>
      <c r="K82" s="57">
        <v>289.35199999999998</v>
      </c>
      <c r="L82" s="56" t="s">
        <v>2739</v>
      </c>
      <c r="M82" s="56" t="s">
        <v>2740</v>
      </c>
      <c r="N82" s="56" t="s">
        <v>61</v>
      </c>
      <c r="O82" s="58">
        <v>16</v>
      </c>
      <c r="P82" s="59" t="s">
        <v>2515</v>
      </c>
      <c r="Q82" s="56" t="s">
        <v>11</v>
      </c>
      <c r="U82" s="52">
        <v>1940043</v>
      </c>
      <c r="V82">
        <v>15.88</v>
      </c>
      <c r="W82">
        <v>0</v>
      </c>
      <c r="X82">
        <v>1.2</v>
      </c>
      <c r="Y82">
        <v>0.88800000000000001</v>
      </c>
      <c r="Z82" t="s">
        <v>1881</v>
      </c>
      <c r="AA82" t="s">
        <v>963</v>
      </c>
      <c r="AB82" t="s">
        <v>2520</v>
      </c>
      <c r="AC82" t="s">
        <v>463</v>
      </c>
      <c r="AD82" t="s">
        <v>2171</v>
      </c>
      <c r="AE82" t="s">
        <v>487</v>
      </c>
      <c r="AF82">
        <v>0.38558450419200002</v>
      </c>
    </row>
    <row r="83" spans="1:32" x14ac:dyDescent="0.25">
      <c r="A83" s="56">
        <v>1940312</v>
      </c>
      <c r="B83" s="56" t="s">
        <v>410</v>
      </c>
      <c r="C83" s="56" t="s">
        <v>2741</v>
      </c>
      <c r="D83" s="57">
        <v>653.57100000000003</v>
      </c>
      <c r="E83" s="58">
        <v>183</v>
      </c>
      <c r="F83" s="57">
        <v>0.183</v>
      </c>
      <c r="G83" s="56" t="s">
        <v>392</v>
      </c>
      <c r="H83" s="56" t="s">
        <v>2511</v>
      </c>
      <c r="I83" s="56" t="s">
        <v>345</v>
      </c>
      <c r="J83" s="56" t="s">
        <v>2742</v>
      </c>
      <c r="K83" s="57">
        <v>192.55099999999999</v>
      </c>
      <c r="L83" s="56" t="s">
        <v>2739</v>
      </c>
      <c r="M83" s="56" t="s">
        <v>2740</v>
      </c>
      <c r="N83" s="56" t="s">
        <v>61</v>
      </c>
      <c r="O83" s="58">
        <v>16</v>
      </c>
      <c r="P83" s="59" t="s">
        <v>2515</v>
      </c>
      <c r="Q83" s="56" t="s">
        <v>11</v>
      </c>
      <c r="U83" s="52">
        <v>1940045</v>
      </c>
      <c r="V83">
        <v>15.88</v>
      </c>
      <c r="W83">
        <v>0</v>
      </c>
      <c r="X83">
        <v>1.2</v>
      </c>
      <c r="Y83">
        <v>1.1299999999999999</v>
      </c>
      <c r="Z83" t="s">
        <v>1881</v>
      </c>
      <c r="AA83" t="s">
        <v>963</v>
      </c>
      <c r="AB83" t="s">
        <v>2520</v>
      </c>
      <c r="AC83" t="s">
        <v>463</v>
      </c>
      <c r="AD83" t="s">
        <v>2171</v>
      </c>
      <c r="AE83" t="s">
        <v>2205</v>
      </c>
      <c r="AF83">
        <v>0.49066496591999997</v>
      </c>
    </row>
    <row r="84" spans="1:32" x14ac:dyDescent="0.25">
      <c r="A84" s="56">
        <v>1940312</v>
      </c>
      <c r="B84" s="56" t="s">
        <v>410</v>
      </c>
      <c r="C84" s="56" t="s">
        <v>2741</v>
      </c>
      <c r="D84" s="57">
        <v>2000</v>
      </c>
      <c r="E84" s="58">
        <v>560</v>
      </c>
      <c r="F84" s="57">
        <v>0.56000000000000005</v>
      </c>
      <c r="G84" s="56" t="s">
        <v>392</v>
      </c>
      <c r="H84" s="56" t="s">
        <v>2511</v>
      </c>
      <c r="I84" s="56" t="s">
        <v>345</v>
      </c>
      <c r="J84" s="56" t="s">
        <v>2742</v>
      </c>
      <c r="K84" s="57">
        <v>589.226</v>
      </c>
      <c r="L84" s="56" t="s">
        <v>2743</v>
      </c>
      <c r="M84" s="56" t="s">
        <v>2744</v>
      </c>
      <c r="N84" s="56" t="s">
        <v>49</v>
      </c>
      <c r="O84" s="58">
        <v>16</v>
      </c>
      <c r="P84" s="59" t="s">
        <v>2515</v>
      </c>
      <c r="Q84" s="56" t="s">
        <v>11</v>
      </c>
      <c r="U84" s="52">
        <v>1940046</v>
      </c>
      <c r="V84">
        <v>15.88</v>
      </c>
      <c r="W84">
        <v>0</v>
      </c>
      <c r="X84">
        <v>1.2</v>
      </c>
      <c r="Y84">
        <v>1.31</v>
      </c>
      <c r="Z84" t="s">
        <v>1881</v>
      </c>
      <c r="AA84" t="s">
        <v>963</v>
      </c>
      <c r="AB84" t="s">
        <v>2520</v>
      </c>
      <c r="AC84" t="s">
        <v>463</v>
      </c>
      <c r="AD84" t="s">
        <v>2171</v>
      </c>
      <c r="AE84" t="s">
        <v>467</v>
      </c>
      <c r="AF84">
        <v>0.56882398704000003</v>
      </c>
    </row>
    <row r="85" spans="1:32" x14ac:dyDescent="0.25">
      <c r="A85" s="56">
        <v>1940313</v>
      </c>
      <c r="B85" s="56" t="s">
        <v>707</v>
      </c>
      <c r="C85" s="56" t="s">
        <v>2745</v>
      </c>
      <c r="D85" s="57">
        <v>277</v>
      </c>
      <c r="E85" s="57">
        <v>79.775999999999996</v>
      </c>
      <c r="F85" s="57">
        <v>7.9776E-2</v>
      </c>
      <c r="G85" s="56" t="s">
        <v>392</v>
      </c>
      <c r="H85" s="56" t="s">
        <v>2511</v>
      </c>
      <c r="I85" s="56" t="s">
        <v>345</v>
      </c>
      <c r="J85" s="56" t="s">
        <v>2746</v>
      </c>
      <c r="K85" s="57">
        <v>83.938999999999993</v>
      </c>
      <c r="L85" s="56" t="s">
        <v>2747</v>
      </c>
      <c r="M85" s="56" t="s">
        <v>2609</v>
      </c>
      <c r="N85" s="56" t="s">
        <v>17</v>
      </c>
      <c r="O85" s="58">
        <v>179</v>
      </c>
      <c r="P85" s="59" t="s">
        <v>2524</v>
      </c>
      <c r="Q85" s="56" t="s">
        <v>192</v>
      </c>
      <c r="U85" s="538">
        <v>111114034</v>
      </c>
      <c r="V85">
        <v>15.88</v>
      </c>
      <c r="W85">
        <v>0</v>
      </c>
      <c r="X85">
        <v>1.2</v>
      </c>
      <c r="Y85">
        <v>4.63</v>
      </c>
      <c r="Z85" t="s">
        <v>1881</v>
      </c>
      <c r="AA85" t="s">
        <v>963</v>
      </c>
      <c r="AB85" t="s">
        <v>2520</v>
      </c>
      <c r="AC85" t="s">
        <v>463</v>
      </c>
      <c r="AD85" t="s">
        <v>1838</v>
      </c>
      <c r="AE85" t="s">
        <v>2207</v>
      </c>
      <c r="AF85">
        <v>0.43421678400000002</v>
      </c>
    </row>
    <row r="86" spans="1:32" x14ac:dyDescent="0.25">
      <c r="A86" s="56">
        <v>1940318</v>
      </c>
      <c r="B86" s="56" t="s">
        <v>710</v>
      </c>
      <c r="C86" s="56" t="s">
        <v>2748</v>
      </c>
      <c r="D86" s="57">
        <v>312.834</v>
      </c>
      <c r="E86" s="58">
        <v>117</v>
      </c>
      <c r="F86" s="57">
        <v>0.11700000000000001</v>
      </c>
      <c r="G86" s="56" t="s">
        <v>392</v>
      </c>
      <c r="H86" s="56" t="s">
        <v>2511</v>
      </c>
      <c r="I86" s="56" t="s">
        <v>345</v>
      </c>
      <c r="J86" s="56" t="s">
        <v>2749</v>
      </c>
      <c r="K86" s="57">
        <v>123.10599999999999</v>
      </c>
      <c r="L86" s="56" t="s">
        <v>2750</v>
      </c>
      <c r="M86" s="56" t="s">
        <v>2731</v>
      </c>
      <c r="N86" s="56" t="s">
        <v>151</v>
      </c>
      <c r="O86" s="58">
        <v>6</v>
      </c>
      <c r="P86" s="59" t="s">
        <v>2515</v>
      </c>
      <c r="Q86" s="56" t="s">
        <v>11</v>
      </c>
      <c r="U86" s="538">
        <v>110102205</v>
      </c>
      <c r="V86">
        <v>15.88</v>
      </c>
      <c r="W86">
        <v>0</v>
      </c>
      <c r="X86">
        <v>1.2</v>
      </c>
      <c r="Y86">
        <v>5.32</v>
      </c>
      <c r="Z86" t="s">
        <v>1881</v>
      </c>
      <c r="AA86" t="s">
        <v>963</v>
      </c>
      <c r="AB86" t="s">
        <v>2520</v>
      </c>
      <c r="AC86" t="s">
        <v>463</v>
      </c>
      <c r="AD86" t="s">
        <v>1838</v>
      </c>
      <c r="AE86" t="s">
        <v>2207</v>
      </c>
      <c r="AF86">
        <v>0.43421678400000002</v>
      </c>
    </row>
    <row r="87" spans="1:32" x14ac:dyDescent="0.25">
      <c r="A87" s="56">
        <v>1940322</v>
      </c>
      <c r="B87" s="56" t="s">
        <v>2751</v>
      </c>
      <c r="C87" s="56" t="s">
        <v>2752</v>
      </c>
      <c r="D87" s="57">
        <v>1201.7739999999999</v>
      </c>
      <c r="E87" s="58">
        <v>542</v>
      </c>
      <c r="F87" s="57">
        <v>0.54200000000000004</v>
      </c>
      <c r="G87" s="56" t="s">
        <v>392</v>
      </c>
      <c r="H87" s="56" t="s">
        <v>2511</v>
      </c>
      <c r="I87" s="56" t="s">
        <v>345</v>
      </c>
      <c r="J87" s="56" t="s">
        <v>1914</v>
      </c>
      <c r="K87" s="57">
        <v>570.28599999999994</v>
      </c>
      <c r="L87" s="56" t="s">
        <v>1914</v>
      </c>
      <c r="M87" s="56" t="s">
        <v>1123</v>
      </c>
      <c r="N87" s="56" t="s">
        <v>76</v>
      </c>
      <c r="O87" s="58">
        <v>262</v>
      </c>
      <c r="P87" s="59" t="s">
        <v>2524</v>
      </c>
      <c r="Q87" s="56" t="s">
        <v>2561</v>
      </c>
      <c r="U87" s="538">
        <v>111106837</v>
      </c>
      <c r="V87">
        <v>15.88</v>
      </c>
      <c r="W87">
        <v>0</v>
      </c>
      <c r="X87">
        <v>1.2</v>
      </c>
      <c r="Y87">
        <v>5.42</v>
      </c>
      <c r="Z87" t="s">
        <v>1881</v>
      </c>
      <c r="AA87" t="s">
        <v>963</v>
      </c>
      <c r="AB87" t="s">
        <v>2520</v>
      </c>
      <c r="AC87" t="s">
        <v>463</v>
      </c>
      <c r="AD87" t="s">
        <v>1838</v>
      </c>
      <c r="AE87" t="s">
        <v>2207</v>
      </c>
      <c r="AF87">
        <v>0.43421678400000002</v>
      </c>
    </row>
    <row r="88" spans="1:32" x14ac:dyDescent="0.25">
      <c r="A88" s="56">
        <v>1940325</v>
      </c>
      <c r="B88" s="56" t="s">
        <v>715</v>
      </c>
      <c r="C88" s="56" t="s">
        <v>2753</v>
      </c>
      <c r="D88" s="57">
        <v>630.524</v>
      </c>
      <c r="E88" s="57">
        <v>341.74400000000003</v>
      </c>
      <c r="F88" s="57">
        <v>0.34174400000000005</v>
      </c>
      <c r="G88" s="56" t="s">
        <v>392</v>
      </c>
      <c r="H88" s="56" t="s">
        <v>2511</v>
      </c>
      <c r="I88" s="56" t="s">
        <v>345</v>
      </c>
      <c r="J88" s="56" t="s">
        <v>2754</v>
      </c>
      <c r="K88" s="57">
        <v>359.57900000000001</v>
      </c>
      <c r="L88" s="56" t="s">
        <v>2755</v>
      </c>
      <c r="M88" s="56" t="s">
        <v>2756</v>
      </c>
      <c r="N88" s="56" t="s">
        <v>61</v>
      </c>
      <c r="O88" s="58">
        <v>28</v>
      </c>
      <c r="P88" s="59" t="s">
        <v>2515</v>
      </c>
      <c r="Q88" s="56" t="s">
        <v>11</v>
      </c>
      <c r="U88" s="52">
        <v>2288948</v>
      </c>
      <c r="V88">
        <v>15.88</v>
      </c>
      <c r="W88">
        <v>0</v>
      </c>
      <c r="X88">
        <v>1.2</v>
      </c>
      <c r="Y88">
        <v>5.4560000000000004</v>
      </c>
      <c r="Z88" t="s">
        <v>2088</v>
      </c>
      <c r="AA88" t="s">
        <v>963</v>
      </c>
      <c r="AB88" t="s">
        <v>2520</v>
      </c>
      <c r="AC88" t="s">
        <v>463</v>
      </c>
      <c r="AD88" t="s">
        <v>1838</v>
      </c>
      <c r="AE88" t="s">
        <v>2207</v>
      </c>
      <c r="AF88">
        <v>0.43421678400000002</v>
      </c>
    </row>
    <row r="89" spans="1:32" x14ac:dyDescent="0.25">
      <c r="A89" s="56">
        <v>1940329</v>
      </c>
      <c r="B89" s="56" t="s">
        <v>1419</v>
      </c>
      <c r="C89" s="56" t="s">
        <v>2757</v>
      </c>
      <c r="D89" s="57">
        <v>148.27600000000001</v>
      </c>
      <c r="E89" s="58">
        <v>86</v>
      </c>
      <c r="F89" s="57">
        <v>8.5999999999999993E-2</v>
      </c>
      <c r="G89" s="56" t="s">
        <v>392</v>
      </c>
      <c r="H89" s="56" t="s">
        <v>2511</v>
      </c>
      <c r="I89" s="56" t="s">
        <v>345</v>
      </c>
      <c r="J89" s="56" t="s">
        <v>2758</v>
      </c>
      <c r="K89" s="57">
        <v>90.488</v>
      </c>
      <c r="L89" s="56" t="s">
        <v>2759</v>
      </c>
      <c r="M89" s="56" t="s">
        <v>2760</v>
      </c>
      <c r="N89" s="56" t="s">
        <v>61</v>
      </c>
      <c r="O89" s="58">
        <v>28</v>
      </c>
      <c r="P89" s="59" t="s">
        <v>2515</v>
      </c>
      <c r="Q89" s="56" t="s">
        <v>11</v>
      </c>
      <c r="U89" s="538">
        <v>111116475</v>
      </c>
      <c r="V89">
        <v>15.88</v>
      </c>
      <c r="W89">
        <v>0</v>
      </c>
      <c r="X89">
        <v>1.2</v>
      </c>
      <c r="Y89">
        <v>5.52</v>
      </c>
      <c r="Z89" t="s">
        <v>1881</v>
      </c>
      <c r="AA89" t="s">
        <v>963</v>
      </c>
      <c r="AB89" t="s">
        <v>2520</v>
      </c>
      <c r="AC89" t="s">
        <v>463</v>
      </c>
      <c r="AD89" t="s">
        <v>1838</v>
      </c>
      <c r="AE89" t="s">
        <v>2207</v>
      </c>
      <c r="AF89">
        <v>0.43421678400000002</v>
      </c>
    </row>
    <row r="90" spans="1:32" x14ac:dyDescent="0.25">
      <c r="A90" s="56">
        <v>1940329</v>
      </c>
      <c r="B90" s="56" t="s">
        <v>1419</v>
      </c>
      <c r="C90" s="56" t="s">
        <v>2761</v>
      </c>
      <c r="D90" s="57">
        <v>812.06899999999996</v>
      </c>
      <c r="E90" s="58">
        <v>471</v>
      </c>
      <c r="F90" s="57">
        <v>0.47099999999999997</v>
      </c>
      <c r="G90" s="56" t="s">
        <v>392</v>
      </c>
      <c r="H90" s="56" t="s">
        <v>2511</v>
      </c>
      <c r="I90" s="56" t="s">
        <v>345</v>
      </c>
      <c r="J90" s="56" t="s">
        <v>2537</v>
      </c>
      <c r="K90" s="57">
        <v>495.58100000000002</v>
      </c>
      <c r="L90" s="56" t="s">
        <v>2759</v>
      </c>
      <c r="M90" s="56" t="s">
        <v>2760</v>
      </c>
      <c r="N90" s="56" t="s">
        <v>61</v>
      </c>
      <c r="O90" s="58">
        <v>27</v>
      </c>
      <c r="P90" s="59" t="s">
        <v>2515</v>
      </c>
      <c r="Q90" s="56" t="s">
        <v>11</v>
      </c>
      <c r="U90" s="538">
        <v>111120664</v>
      </c>
      <c r="V90">
        <v>15.88</v>
      </c>
      <c r="W90">
        <v>0</v>
      </c>
      <c r="X90">
        <v>1.2</v>
      </c>
      <c r="Y90">
        <v>5.73</v>
      </c>
      <c r="Z90" t="s">
        <v>1881</v>
      </c>
      <c r="AA90" t="s">
        <v>963</v>
      </c>
      <c r="AB90" t="s">
        <v>2520</v>
      </c>
      <c r="AC90" t="s">
        <v>463</v>
      </c>
      <c r="AD90" t="s">
        <v>1838</v>
      </c>
      <c r="AE90" t="s">
        <v>2207</v>
      </c>
      <c r="AF90">
        <v>0.43421678400000002</v>
      </c>
    </row>
    <row r="91" spans="1:32" x14ac:dyDescent="0.25">
      <c r="A91" s="56">
        <v>1940333</v>
      </c>
      <c r="B91" s="56" t="s">
        <v>2298</v>
      </c>
      <c r="C91" s="56" t="s">
        <v>2762</v>
      </c>
      <c r="D91" s="57">
        <v>98.387</v>
      </c>
      <c r="E91" s="58">
        <v>561</v>
      </c>
      <c r="F91" s="57">
        <v>0.56100000000000005</v>
      </c>
      <c r="G91" s="56" t="s">
        <v>392</v>
      </c>
      <c r="H91" s="56" t="s">
        <v>2511</v>
      </c>
      <c r="I91" s="56" t="s">
        <v>345</v>
      </c>
      <c r="J91" s="56" t="s">
        <v>2763</v>
      </c>
      <c r="K91" s="57">
        <v>590.27800000000002</v>
      </c>
      <c r="L91" s="56" t="s">
        <v>1914</v>
      </c>
      <c r="M91" s="56" t="s">
        <v>1123</v>
      </c>
      <c r="N91" s="56" t="s">
        <v>72</v>
      </c>
      <c r="O91" s="58">
        <v>3</v>
      </c>
      <c r="P91" s="59" t="s">
        <v>2515</v>
      </c>
      <c r="Q91" s="56" t="s">
        <v>11</v>
      </c>
      <c r="U91" s="52">
        <v>1940054</v>
      </c>
      <c r="V91">
        <v>15.88</v>
      </c>
      <c r="W91">
        <v>0</v>
      </c>
      <c r="X91">
        <v>1.2</v>
      </c>
      <c r="Y91">
        <v>6</v>
      </c>
      <c r="Z91" t="s">
        <v>1881</v>
      </c>
      <c r="AA91" t="s">
        <v>963</v>
      </c>
      <c r="AB91" t="s">
        <v>2520</v>
      </c>
      <c r="AC91" t="s">
        <v>463</v>
      </c>
      <c r="AD91" t="s">
        <v>1838</v>
      </c>
      <c r="AE91" t="s">
        <v>2207</v>
      </c>
      <c r="AF91">
        <v>0.43421678400000002</v>
      </c>
    </row>
    <row r="92" spans="1:32" x14ac:dyDescent="0.25">
      <c r="A92" s="56">
        <v>1940335</v>
      </c>
      <c r="B92" s="56" t="s">
        <v>2764</v>
      </c>
      <c r="C92" s="56" t="s">
        <v>2765</v>
      </c>
      <c r="D92" s="57">
        <v>92.522000000000006</v>
      </c>
      <c r="E92" s="58">
        <v>532</v>
      </c>
      <c r="F92" s="57">
        <v>0.53200000000000003</v>
      </c>
      <c r="G92" s="56" t="s">
        <v>392</v>
      </c>
      <c r="H92" s="56" t="s">
        <v>2511</v>
      </c>
      <c r="I92" s="56" t="s">
        <v>345</v>
      </c>
      <c r="J92" s="56" t="s">
        <v>2766</v>
      </c>
      <c r="K92" s="57">
        <v>559.76400000000001</v>
      </c>
      <c r="L92" s="56" t="s">
        <v>2767</v>
      </c>
      <c r="M92" s="56" t="s">
        <v>2768</v>
      </c>
      <c r="N92" s="56" t="s">
        <v>37</v>
      </c>
      <c r="O92" s="58">
        <v>175</v>
      </c>
      <c r="P92" s="59" t="s">
        <v>2524</v>
      </c>
      <c r="Q92" s="56" t="s">
        <v>11</v>
      </c>
      <c r="U92" s="52">
        <v>1931425</v>
      </c>
      <c r="V92">
        <v>15.88</v>
      </c>
      <c r="W92">
        <v>0</v>
      </c>
      <c r="X92">
        <v>1.2</v>
      </c>
      <c r="Y92">
        <v>6</v>
      </c>
      <c r="Z92" t="s">
        <v>1883</v>
      </c>
      <c r="AA92" t="s">
        <v>963</v>
      </c>
      <c r="AB92" t="s">
        <v>2520</v>
      </c>
      <c r="AC92" t="s">
        <v>463</v>
      </c>
      <c r="AD92" t="s">
        <v>1838</v>
      </c>
      <c r="AE92" t="s">
        <v>2207</v>
      </c>
      <c r="AF92">
        <v>0.43421678400000002</v>
      </c>
    </row>
    <row r="93" spans="1:32" x14ac:dyDescent="0.25">
      <c r="A93" s="56">
        <v>1940363</v>
      </c>
      <c r="B93" s="56" t="s">
        <v>1500</v>
      </c>
      <c r="C93" s="56" t="s">
        <v>2769</v>
      </c>
      <c r="D93" s="57">
        <v>100.134</v>
      </c>
      <c r="E93" s="57">
        <v>72.397000000000006</v>
      </c>
      <c r="F93" s="57">
        <v>7.2397000000000003E-2</v>
      </c>
      <c r="G93" s="56" t="s">
        <v>392</v>
      </c>
      <c r="H93" s="56" t="s">
        <v>2511</v>
      </c>
      <c r="I93" s="56" t="s">
        <v>345</v>
      </c>
      <c r="J93" s="56" t="s">
        <v>2770</v>
      </c>
      <c r="K93" s="57">
        <v>116.282</v>
      </c>
      <c r="L93" s="56" t="s">
        <v>2771</v>
      </c>
      <c r="M93" s="56" t="s">
        <v>2756</v>
      </c>
      <c r="N93" s="56" t="s">
        <v>17</v>
      </c>
      <c r="O93" s="58">
        <v>36</v>
      </c>
      <c r="P93" s="59" t="s">
        <v>2532</v>
      </c>
      <c r="Q93" s="56" t="s">
        <v>192</v>
      </c>
      <c r="U93" s="52">
        <v>1940055</v>
      </c>
      <c r="V93">
        <v>15.88</v>
      </c>
      <c r="W93">
        <v>0</v>
      </c>
      <c r="X93">
        <v>1.2</v>
      </c>
      <c r="Y93">
        <v>6</v>
      </c>
      <c r="Z93" t="s">
        <v>1881</v>
      </c>
      <c r="AA93" t="s">
        <v>963</v>
      </c>
      <c r="AB93" t="s">
        <v>2520</v>
      </c>
      <c r="AC93" t="s">
        <v>463</v>
      </c>
      <c r="AD93" t="s">
        <v>1838</v>
      </c>
      <c r="AE93" t="s">
        <v>2207</v>
      </c>
      <c r="AF93">
        <v>0.43421678400000002</v>
      </c>
    </row>
    <row r="94" spans="1:32" x14ac:dyDescent="0.25">
      <c r="A94" s="56">
        <v>1940364</v>
      </c>
      <c r="B94" s="56" t="s">
        <v>2772</v>
      </c>
      <c r="C94" s="56" t="s">
        <v>2773</v>
      </c>
      <c r="D94" s="57">
        <v>425.577</v>
      </c>
      <c r="E94" s="57">
        <v>333.65199999999999</v>
      </c>
      <c r="F94" s="57">
        <v>0.333652</v>
      </c>
      <c r="G94" s="56" t="s">
        <v>392</v>
      </c>
      <c r="H94" s="56" t="s">
        <v>2511</v>
      </c>
      <c r="I94" s="56" t="s">
        <v>345</v>
      </c>
      <c r="J94" s="56" t="s">
        <v>1914</v>
      </c>
      <c r="K94" s="57">
        <v>535.90099999999995</v>
      </c>
      <c r="L94" s="56" t="s">
        <v>1914</v>
      </c>
      <c r="M94" s="56" t="s">
        <v>1123</v>
      </c>
      <c r="N94" s="56" t="s">
        <v>76</v>
      </c>
      <c r="O94" s="58">
        <v>262</v>
      </c>
      <c r="P94" s="59" t="s">
        <v>2524</v>
      </c>
      <c r="Q94" s="56" t="s">
        <v>2561</v>
      </c>
      <c r="U94" s="538">
        <v>110102196</v>
      </c>
      <c r="V94">
        <v>15.88</v>
      </c>
      <c r="W94">
        <v>0</v>
      </c>
      <c r="X94">
        <v>1.2</v>
      </c>
      <c r="Y94">
        <v>6.0350000000000001</v>
      </c>
      <c r="Z94" t="s">
        <v>1881</v>
      </c>
      <c r="AA94" t="s">
        <v>963</v>
      </c>
      <c r="AB94" t="s">
        <v>2520</v>
      </c>
      <c r="AC94" t="s">
        <v>463</v>
      </c>
      <c r="AD94" t="s">
        <v>1838</v>
      </c>
      <c r="AE94" t="s">
        <v>2207</v>
      </c>
      <c r="AF94">
        <v>0.43421678400000002</v>
      </c>
    </row>
    <row r="95" spans="1:32" x14ac:dyDescent="0.25">
      <c r="A95" s="56">
        <v>1940369</v>
      </c>
      <c r="B95" s="56" t="s">
        <v>2175</v>
      </c>
      <c r="C95" s="56" t="s">
        <v>2774</v>
      </c>
      <c r="D95" s="57">
        <v>22.757999999999999</v>
      </c>
      <c r="E95" s="58">
        <v>85</v>
      </c>
      <c r="F95" s="57">
        <v>8.5000000000000006E-2</v>
      </c>
      <c r="G95" s="56" t="s">
        <v>392</v>
      </c>
      <c r="H95" s="56" t="s">
        <v>2511</v>
      </c>
      <c r="I95" s="56" t="s">
        <v>345</v>
      </c>
      <c r="J95" s="56" t="s">
        <v>2775</v>
      </c>
      <c r="K95" s="57">
        <v>136.524</v>
      </c>
      <c r="L95" s="56" t="s">
        <v>1914</v>
      </c>
      <c r="M95" s="56" t="s">
        <v>1123</v>
      </c>
      <c r="N95" s="56" t="s">
        <v>37</v>
      </c>
      <c r="O95" s="58">
        <v>231</v>
      </c>
      <c r="P95" s="59" t="s">
        <v>2524</v>
      </c>
      <c r="Q95" s="56" t="s">
        <v>11</v>
      </c>
      <c r="U95" s="510">
        <v>3935312</v>
      </c>
      <c r="V95">
        <v>15.88</v>
      </c>
      <c r="W95">
        <v>0</v>
      </c>
      <c r="X95">
        <v>1.22</v>
      </c>
      <c r="Y95">
        <v>0.1</v>
      </c>
      <c r="Z95" t="s">
        <v>1952</v>
      </c>
      <c r="AA95" t="s">
        <v>963</v>
      </c>
      <c r="AB95" t="s">
        <v>2520</v>
      </c>
      <c r="AC95" t="s">
        <v>463</v>
      </c>
      <c r="AD95" t="s">
        <v>2171</v>
      </c>
      <c r="AE95" t="s">
        <v>2209</v>
      </c>
      <c r="AF95">
        <v>4.4085229480000009E-2</v>
      </c>
    </row>
    <row r="96" spans="1:32" x14ac:dyDescent="0.25">
      <c r="A96" s="56">
        <v>1940390</v>
      </c>
      <c r="B96" s="56" t="s">
        <v>1507</v>
      </c>
      <c r="C96" s="56" t="s">
        <v>2776</v>
      </c>
      <c r="D96" s="57">
        <v>2004.348</v>
      </c>
      <c r="E96" s="58">
        <v>461</v>
      </c>
      <c r="F96" s="57">
        <v>0.46100000000000002</v>
      </c>
      <c r="G96" s="56" t="s">
        <v>392</v>
      </c>
      <c r="H96" s="56" t="s">
        <v>2511</v>
      </c>
      <c r="I96" s="56" t="s">
        <v>345</v>
      </c>
      <c r="J96" s="56" t="s">
        <v>2777</v>
      </c>
      <c r="K96" s="57">
        <v>566.13</v>
      </c>
      <c r="L96" s="56" t="s">
        <v>2778</v>
      </c>
      <c r="M96" s="56" t="s">
        <v>2158</v>
      </c>
      <c r="N96" s="56" t="s">
        <v>61</v>
      </c>
      <c r="O96" s="58">
        <v>7</v>
      </c>
      <c r="P96" s="59" t="s">
        <v>2515</v>
      </c>
      <c r="Q96" s="56" t="s">
        <v>11</v>
      </c>
      <c r="U96">
        <v>4104140</v>
      </c>
      <c r="V96">
        <v>15.88</v>
      </c>
      <c r="W96">
        <v>0</v>
      </c>
      <c r="X96">
        <v>1.22</v>
      </c>
      <c r="Y96">
        <v>0.15</v>
      </c>
      <c r="Z96" t="s">
        <v>1952</v>
      </c>
      <c r="AA96" t="s">
        <v>2520</v>
      </c>
      <c r="AB96" t="s">
        <v>963</v>
      </c>
      <c r="AC96" t="s">
        <v>463</v>
      </c>
      <c r="AD96" t="s">
        <v>2171</v>
      </c>
      <c r="AE96" t="s">
        <v>503</v>
      </c>
      <c r="AF96">
        <v>6.6127844220000009E-2</v>
      </c>
    </row>
    <row r="97" spans="1:32" x14ac:dyDescent="0.25">
      <c r="A97" s="56">
        <v>1940390</v>
      </c>
      <c r="B97" s="56" t="s">
        <v>1507</v>
      </c>
      <c r="C97" s="56" t="s">
        <v>2779</v>
      </c>
      <c r="D97" s="57">
        <v>2356.5219999999999</v>
      </c>
      <c r="E97" s="58">
        <v>542</v>
      </c>
      <c r="F97" s="57">
        <v>0.54200000000000004</v>
      </c>
      <c r="G97" s="56" t="s">
        <v>392</v>
      </c>
      <c r="H97" s="56" t="s">
        <v>2511</v>
      </c>
      <c r="I97" s="56" t="s">
        <v>345</v>
      </c>
      <c r="J97" s="56" t="s">
        <v>2736</v>
      </c>
      <c r="K97" s="57">
        <v>665.60199999999998</v>
      </c>
      <c r="L97" s="56" t="s">
        <v>2778</v>
      </c>
      <c r="M97" s="56" t="s">
        <v>2158</v>
      </c>
      <c r="N97" s="56" t="s">
        <v>61</v>
      </c>
      <c r="O97" s="58">
        <v>2</v>
      </c>
      <c r="P97" s="59" t="s">
        <v>2515</v>
      </c>
      <c r="Q97" s="56" t="s">
        <v>11</v>
      </c>
      <c r="U97" s="52">
        <v>1931276</v>
      </c>
      <c r="V97">
        <v>15.88</v>
      </c>
      <c r="W97">
        <v>0</v>
      </c>
      <c r="X97">
        <v>1.22</v>
      </c>
      <c r="Y97">
        <v>5.53</v>
      </c>
      <c r="Z97" t="s">
        <v>1883</v>
      </c>
      <c r="AA97" t="s">
        <v>963</v>
      </c>
      <c r="AB97" t="s">
        <v>2520</v>
      </c>
      <c r="AC97" t="s">
        <v>463</v>
      </c>
      <c r="AD97" t="s">
        <v>1838</v>
      </c>
      <c r="AE97" t="s">
        <v>2207</v>
      </c>
      <c r="AF97">
        <v>0.44085229480000004</v>
      </c>
    </row>
    <row r="98" spans="1:32" x14ac:dyDescent="0.25">
      <c r="A98" s="56">
        <v>1940393</v>
      </c>
      <c r="B98" s="56" t="s">
        <v>2780</v>
      </c>
      <c r="C98" s="56" t="s">
        <v>2781</v>
      </c>
      <c r="D98" s="57">
        <v>898.46400000000006</v>
      </c>
      <c r="E98" s="57">
        <v>214.733</v>
      </c>
      <c r="F98" s="57">
        <v>0.21473300000000001</v>
      </c>
      <c r="G98" s="56" t="s">
        <v>392</v>
      </c>
      <c r="H98" s="56" t="s">
        <v>2511</v>
      </c>
      <c r="I98" s="56" t="s">
        <v>345</v>
      </c>
      <c r="J98" s="56" t="s">
        <v>1914</v>
      </c>
      <c r="K98" s="57">
        <v>263.70299999999997</v>
      </c>
      <c r="L98" s="56" t="s">
        <v>1914</v>
      </c>
      <c r="M98" s="56" t="s">
        <v>1123</v>
      </c>
      <c r="N98" s="56" t="s">
        <v>76</v>
      </c>
      <c r="O98" s="58">
        <v>229</v>
      </c>
      <c r="P98" s="59" t="s">
        <v>2524</v>
      </c>
      <c r="Q98" s="56" t="s">
        <v>2561</v>
      </c>
      <c r="U98" s="28">
        <v>3701579</v>
      </c>
      <c r="V98">
        <v>15.88</v>
      </c>
      <c r="W98">
        <v>0</v>
      </c>
      <c r="X98">
        <v>1.22</v>
      </c>
      <c r="Y98">
        <v>6</v>
      </c>
      <c r="Z98" t="s">
        <v>1881</v>
      </c>
      <c r="AA98" t="s">
        <v>963</v>
      </c>
      <c r="AB98" t="s">
        <v>2520</v>
      </c>
      <c r="AC98" t="s">
        <v>463</v>
      </c>
      <c r="AD98" t="s">
        <v>1838</v>
      </c>
      <c r="AE98" t="s">
        <v>2207</v>
      </c>
      <c r="AF98">
        <v>0.44085229480000004</v>
      </c>
    </row>
    <row r="99" spans="1:32" x14ac:dyDescent="0.25">
      <c r="A99" s="56">
        <v>1940393</v>
      </c>
      <c r="B99" s="56" t="s">
        <v>2780</v>
      </c>
      <c r="C99" s="56" t="s">
        <v>2782</v>
      </c>
      <c r="D99" s="57">
        <v>499.14600000000002</v>
      </c>
      <c r="E99" s="57">
        <v>119.29600000000001</v>
      </c>
      <c r="F99" s="57">
        <v>0.11929600000000001</v>
      </c>
      <c r="G99" s="56" t="s">
        <v>392</v>
      </c>
      <c r="H99" s="56" t="s">
        <v>2511</v>
      </c>
      <c r="I99" s="56" t="s">
        <v>345</v>
      </c>
      <c r="J99" s="56" t="s">
        <v>1914</v>
      </c>
      <c r="K99" s="57">
        <v>146.501</v>
      </c>
      <c r="L99" s="56" t="s">
        <v>1914</v>
      </c>
      <c r="M99" s="56" t="s">
        <v>1123</v>
      </c>
      <c r="N99" s="56" t="s">
        <v>76</v>
      </c>
      <c r="O99" s="58">
        <v>262</v>
      </c>
      <c r="P99" s="59" t="s">
        <v>2524</v>
      </c>
      <c r="Q99" s="56" t="s">
        <v>2561</v>
      </c>
      <c r="U99">
        <v>4096696</v>
      </c>
      <c r="V99">
        <v>15.88</v>
      </c>
      <c r="W99">
        <v>0</v>
      </c>
      <c r="X99">
        <v>1.6</v>
      </c>
      <c r="Y99">
        <v>0.15</v>
      </c>
      <c r="Z99" t="s">
        <v>1891</v>
      </c>
      <c r="AA99" t="s">
        <v>2520</v>
      </c>
      <c r="AB99" t="s">
        <v>963</v>
      </c>
      <c r="AC99" t="s">
        <v>506</v>
      </c>
      <c r="AD99" t="s">
        <v>2171</v>
      </c>
      <c r="AE99" t="s">
        <v>2212</v>
      </c>
      <c r="AF99">
        <v>8.4477052800000008E-2</v>
      </c>
    </row>
    <row r="100" spans="1:32" x14ac:dyDescent="0.25">
      <c r="A100" s="56">
        <v>1940403</v>
      </c>
      <c r="B100" s="56" t="s">
        <v>2783</v>
      </c>
      <c r="C100" s="56" t="s">
        <v>2784</v>
      </c>
      <c r="D100" s="57">
        <v>249.99799999999999</v>
      </c>
      <c r="E100" s="57">
        <v>115.999</v>
      </c>
      <c r="F100" s="57">
        <v>0.11599899999999999</v>
      </c>
      <c r="G100" s="56" t="s">
        <v>392</v>
      </c>
      <c r="H100" s="56" t="s">
        <v>2511</v>
      </c>
      <c r="I100" s="56" t="s">
        <v>345</v>
      </c>
      <c r="J100" s="56" t="s">
        <v>1914</v>
      </c>
      <c r="K100" s="57">
        <v>142.452</v>
      </c>
      <c r="L100" s="56" t="s">
        <v>2785</v>
      </c>
      <c r="M100" s="56" t="s">
        <v>2537</v>
      </c>
      <c r="N100" s="56" t="s">
        <v>151</v>
      </c>
      <c r="O100" s="58">
        <v>230</v>
      </c>
      <c r="P100" s="59" t="s">
        <v>2524</v>
      </c>
      <c r="Q100" s="56" t="s">
        <v>11</v>
      </c>
      <c r="U100">
        <v>4096695</v>
      </c>
      <c r="V100">
        <v>15.88</v>
      </c>
      <c r="W100">
        <v>0</v>
      </c>
      <c r="X100">
        <v>1.6</v>
      </c>
      <c r="Y100">
        <v>0.154</v>
      </c>
      <c r="Z100" t="s">
        <v>1891</v>
      </c>
      <c r="AA100" t="s">
        <v>2520</v>
      </c>
      <c r="AB100" t="s">
        <v>963</v>
      </c>
      <c r="AC100" t="s">
        <v>506</v>
      </c>
      <c r="AD100" t="s">
        <v>2171</v>
      </c>
      <c r="AE100" t="s">
        <v>2214</v>
      </c>
      <c r="AF100">
        <v>8.6729774208000002E-2</v>
      </c>
    </row>
    <row r="101" spans="1:32" x14ac:dyDescent="0.25">
      <c r="A101" s="56">
        <v>1940404</v>
      </c>
      <c r="B101" s="56" t="s">
        <v>2786</v>
      </c>
      <c r="C101" s="56" t="s">
        <v>2787</v>
      </c>
      <c r="D101" s="57">
        <v>499.58499999999998</v>
      </c>
      <c r="E101" s="57">
        <v>266.279</v>
      </c>
      <c r="F101" s="57">
        <v>0.26627899999999999</v>
      </c>
      <c r="G101" s="56" t="s">
        <v>392</v>
      </c>
      <c r="H101" s="56" t="s">
        <v>2511</v>
      </c>
      <c r="I101" s="56" t="s">
        <v>345</v>
      </c>
      <c r="J101" s="56" t="s">
        <v>1914</v>
      </c>
      <c r="K101" s="57">
        <v>327.00400000000002</v>
      </c>
      <c r="L101" s="56" t="s">
        <v>1914</v>
      </c>
      <c r="M101" s="56" t="s">
        <v>1123</v>
      </c>
      <c r="N101" s="56" t="s">
        <v>76</v>
      </c>
      <c r="O101" s="58">
        <v>262</v>
      </c>
      <c r="P101" s="59" t="s">
        <v>2524</v>
      </c>
      <c r="Q101" s="56" t="s">
        <v>2561</v>
      </c>
      <c r="U101" s="52">
        <v>3620428</v>
      </c>
      <c r="V101">
        <v>15.88</v>
      </c>
      <c r="W101">
        <v>0</v>
      </c>
      <c r="X101">
        <v>1.6</v>
      </c>
      <c r="Y101">
        <v>0.435</v>
      </c>
      <c r="Z101" t="s">
        <v>1881</v>
      </c>
      <c r="AA101" t="s">
        <v>963</v>
      </c>
      <c r="AB101" t="s">
        <v>2520</v>
      </c>
      <c r="AC101" t="s">
        <v>506</v>
      </c>
      <c r="AD101" t="s">
        <v>2171</v>
      </c>
      <c r="AE101" t="s">
        <v>508</v>
      </c>
      <c r="AF101">
        <v>0.24498345312000003</v>
      </c>
    </row>
    <row r="102" spans="1:32" x14ac:dyDescent="0.25">
      <c r="A102" s="56">
        <v>1940407</v>
      </c>
      <c r="B102" s="56" t="s">
        <v>1514</v>
      </c>
      <c r="C102" s="56" t="s">
        <v>2788</v>
      </c>
      <c r="D102" s="57">
        <v>762.85199999999998</v>
      </c>
      <c r="E102" s="58">
        <v>460</v>
      </c>
      <c r="F102" s="57">
        <v>0.46</v>
      </c>
      <c r="G102" s="56" t="s">
        <v>392</v>
      </c>
      <c r="H102" s="56" t="s">
        <v>2511</v>
      </c>
      <c r="I102" s="56" t="s">
        <v>345</v>
      </c>
      <c r="J102" s="56" t="s">
        <v>2789</v>
      </c>
      <c r="K102" s="57">
        <v>564.90200000000004</v>
      </c>
      <c r="L102" s="56" t="s">
        <v>2790</v>
      </c>
      <c r="M102" s="56" t="s">
        <v>2548</v>
      </c>
      <c r="N102" s="56" t="s">
        <v>39</v>
      </c>
      <c r="O102" s="58">
        <v>2</v>
      </c>
      <c r="P102" s="59" t="s">
        <v>2515</v>
      </c>
      <c r="Q102" s="56" t="s">
        <v>2516</v>
      </c>
      <c r="U102" s="52">
        <v>3217233</v>
      </c>
      <c r="V102">
        <v>15.88</v>
      </c>
      <c r="W102">
        <v>0</v>
      </c>
      <c r="X102">
        <v>1.6</v>
      </c>
      <c r="Y102">
        <v>0.435</v>
      </c>
      <c r="Z102" t="s">
        <v>1868</v>
      </c>
      <c r="AA102" t="s">
        <v>963</v>
      </c>
      <c r="AB102" t="s">
        <v>2520</v>
      </c>
      <c r="AC102" t="s">
        <v>506</v>
      </c>
      <c r="AD102" t="s">
        <v>2171</v>
      </c>
      <c r="AE102" t="s">
        <v>508</v>
      </c>
      <c r="AF102">
        <v>0.24498345312000003</v>
      </c>
    </row>
    <row r="103" spans="1:32" x14ac:dyDescent="0.25">
      <c r="A103" s="56">
        <v>1940407</v>
      </c>
      <c r="B103" s="56" t="s">
        <v>1514</v>
      </c>
      <c r="C103" s="56" t="s">
        <v>2791</v>
      </c>
      <c r="D103" s="57">
        <v>1225.8440000000001</v>
      </c>
      <c r="E103" s="57">
        <v>739.18399999999997</v>
      </c>
      <c r="F103" s="57">
        <v>0.73918399999999995</v>
      </c>
      <c r="G103" s="56" t="s">
        <v>392</v>
      </c>
      <c r="H103" s="56" t="s">
        <v>2511</v>
      </c>
      <c r="I103" s="56" t="s">
        <v>345</v>
      </c>
      <c r="J103" s="56" t="s">
        <v>2792</v>
      </c>
      <c r="K103" s="57">
        <v>907.75400000000002</v>
      </c>
      <c r="L103" s="56" t="s">
        <v>2793</v>
      </c>
      <c r="M103" s="56" t="s">
        <v>2548</v>
      </c>
      <c r="N103" s="56" t="s">
        <v>39</v>
      </c>
      <c r="O103" s="58">
        <v>3</v>
      </c>
      <c r="P103" s="59" t="s">
        <v>2515</v>
      </c>
      <c r="Q103" s="56" t="s">
        <v>2516</v>
      </c>
      <c r="U103" s="52">
        <v>2387804</v>
      </c>
      <c r="V103">
        <v>15.88</v>
      </c>
      <c r="W103">
        <v>0</v>
      </c>
      <c r="X103">
        <v>1.6</v>
      </c>
      <c r="Y103">
        <v>0.442</v>
      </c>
      <c r="Z103" t="s">
        <v>1868</v>
      </c>
      <c r="AA103" t="s">
        <v>963</v>
      </c>
      <c r="AB103" t="s">
        <v>2520</v>
      </c>
      <c r="AC103" t="s">
        <v>506</v>
      </c>
      <c r="AD103" t="s">
        <v>2171</v>
      </c>
      <c r="AE103" t="s">
        <v>2794</v>
      </c>
      <c r="AF103">
        <v>0.24892571558400003</v>
      </c>
    </row>
    <row r="104" spans="1:32" x14ac:dyDescent="0.25">
      <c r="A104" s="56">
        <v>1940408</v>
      </c>
      <c r="B104" s="56" t="s">
        <v>1982</v>
      </c>
      <c r="C104" s="56" t="s">
        <v>2795</v>
      </c>
      <c r="D104" s="57">
        <v>975.721</v>
      </c>
      <c r="E104" s="58">
        <v>643</v>
      </c>
      <c r="F104" s="57">
        <v>0.64300000000000002</v>
      </c>
      <c r="G104" s="56" t="s">
        <v>392</v>
      </c>
      <c r="H104" s="56" t="s">
        <v>2511</v>
      </c>
      <c r="I104" s="56" t="s">
        <v>345</v>
      </c>
      <c r="J104" s="56" t="s">
        <v>2671</v>
      </c>
      <c r="K104" s="57">
        <v>789.63499999999999</v>
      </c>
      <c r="L104" s="56" t="s">
        <v>2796</v>
      </c>
      <c r="M104" s="56" t="s">
        <v>2589</v>
      </c>
      <c r="N104" s="56" t="s">
        <v>151</v>
      </c>
      <c r="O104" s="58">
        <v>9</v>
      </c>
      <c r="P104" s="59" t="s">
        <v>2515</v>
      </c>
      <c r="Q104" s="56" t="s">
        <v>11</v>
      </c>
      <c r="U104" s="538">
        <v>111106839</v>
      </c>
      <c r="V104">
        <v>15.88</v>
      </c>
      <c r="W104">
        <v>0</v>
      </c>
      <c r="X104">
        <v>1.6</v>
      </c>
      <c r="Y104">
        <v>5.76</v>
      </c>
      <c r="Z104" t="s">
        <v>1881</v>
      </c>
      <c r="AA104" t="s">
        <v>963</v>
      </c>
      <c r="AB104" t="s">
        <v>2520</v>
      </c>
      <c r="AC104" t="s">
        <v>506</v>
      </c>
      <c r="AD104" t="s">
        <v>1838</v>
      </c>
      <c r="AE104" t="s">
        <v>514</v>
      </c>
      <c r="AF104">
        <v>0.56318035200000005</v>
      </c>
    </row>
    <row r="105" spans="1:32" x14ac:dyDescent="0.25">
      <c r="A105" s="56">
        <v>1940408</v>
      </c>
      <c r="B105" s="56" t="s">
        <v>1982</v>
      </c>
      <c r="C105" s="56" t="s">
        <v>2797</v>
      </c>
      <c r="D105" s="57">
        <v>2649.4690000000001</v>
      </c>
      <c r="E105" s="58">
        <v>1746</v>
      </c>
      <c r="F105" s="57">
        <v>1.746</v>
      </c>
      <c r="G105" s="56" t="s">
        <v>392</v>
      </c>
      <c r="H105" s="56" t="s">
        <v>2511</v>
      </c>
      <c r="I105" s="56" t="s">
        <v>345</v>
      </c>
      <c r="J105" s="56" t="s">
        <v>2742</v>
      </c>
      <c r="K105" s="57">
        <v>2144.1729999999998</v>
      </c>
      <c r="L105" s="56" t="s">
        <v>2796</v>
      </c>
      <c r="M105" s="56" t="s">
        <v>2589</v>
      </c>
      <c r="N105" s="56" t="s">
        <v>151</v>
      </c>
      <c r="O105" s="58">
        <v>9</v>
      </c>
      <c r="P105" s="59" t="s">
        <v>2515</v>
      </c>
      <c r="Q105" s="56" t="s">
        <v>11</v>
      </c>
      <c r="U105" s="52">
        <v>3478135</v>
      </c>
      <c r="V105">
        <v>15.88</v>
      </c>
      <c r="W105">
        <v>0</v>
      </c>
      <c r="X105">
        <v>1.6</v>
      </c>
      <c r="Y105">
        <v>5.9249999999999998</v>
      </c>
      <c r="Z105" t="s">
        <v>1868</v>
      </c>
      <c r="AA105" t="s">
        <v>963</v>
      </c>
      <c r="AB105" t="s">
        <v>2520</v>
      </c>
      <c r="AC105" t="s">
        <v>506</v>
      </c>
      <c r="AD105" t="s">
        <v>1838</v>
      </c>
      <c r="AE105" t="s">
        <v>514</v>
      </c>
      <c r="AF105">
        <v>0.56318035200000005</v>
      </c>
    </row>
    <row r="106" spans="1:32" x14ac:dyDescent="0.25">
      <c r="A106" s="56">
        <v>1940416</v>
      </c>
      <c r="B106" s="56" t="s">
        <v>696</v>
      </c>
      <c r="C106" s="56" t="s">
        <v>2798</v>
      </c>
      <c r="D106" s="57">
        <v>1746.1020000000001</v>
      </c>
      <c r="E106" s="57">
        <v>1328.7840000000001</v>
      </c>
      <c r="F106" s="57">
        <v>1.3287840000000002</v>
      </c>
      <c r="G106" s="56" t="s">
        <v>392</v>
      </c>
      <c r="H106" s="56" t="s">
        <v>2511</v>
      </c>
      <c r="I106" s="56" t="s">
        <v>345</v>
      </c>
      <c r="J106" s="56" t="s">
        <v>2799</v>
      </c>
      <c r="K106" s="57">
        <v>1631.8109999999999</v>
      </c>
      <c r="L106" s="56" t="s">
        <v>2800</v>
      </c>
      <c r="M106" s="56" t="s">
        <v>2537</v>
      </c>
      <c r="N106" s="56" t="s">
        <v>54</v>
      </c>
      <c r="O106" s="58">
        <v>14</v>
      </c>
      <c r="P106" s="59" t="s">
        <v>2515</v>
      </c>
      <c r="Q106" s="56" t="s">
        <v>2516</v>
      </c>
      <c r="U106" s="52">
        <v>1900224</v>
      </c>
      <c r="V106">
        <v>15.88</v>
      </c>
      <c r="W106">
        <v>0</v>
      </c>
      <c r="X106">
        <v>1.6</v>
      </c>
      <c r="Y106">
        <v>6</v>
      </c>
      <c r="Z106" t="s">
        <v>1868</v>
      </c>
      <c r="AA106" t="s">
        <v>963</v>
      </c>
      <c r="AB106" t="s">
        <v>2801</v>
      </c>
      <c r="AC106" t="s">
        <v>506</v>
      </c>
      <c r="AD106" t="s">
        <v>1838</v>
      </c>
      <c r="AE106" t="s">
        <v>514</v>
      </c>
      <c r="AF106">
        <v>0.56318035200000005</v>
      </c>
    </row>
    <row r="107" spans="1:32" x14ac:dyDescent="0.25">
      <c r="A107" s="56">
        <v>1940418</v>
      </c>
      <c r="B107" s="56" t="s">
        <v>2142</v>
      </c>
      <c r="C107" s="56" t="s">
        <v>2802</v>
      </c>
      <c r="D107" s="57">
        <v>311</v>
      </c>
      <c r="E107" s="57">
        <v>244.75700000000001</v>
      </c>
      <c r="F107" s="57">
        <v>0.244757</v>
      </c>
      <c r="G107" s="56" t="s">
        <v>392</v>
      </c>
      <c r="H107" s="56" t="s">
        <v>2511</v>
      </c>
      <c r="I107" s="56" t="s">
        <v>345</v>
      </c>
      <c r="J107" s="56" t="s">
        <v>2803</v>
      </c>
      <c r="K107" s="57">
        <v>300.57299999999998</v>
      </c>
      <c r="L107" s="56" t="s">
        <v>2804</v>
      </c>
      <c r="M107" s="56" t="s">
        <v>2161</v>
      </c>
      <c r="N107" s="56" t="s">
        <v>61</v>
      </c>
      <c r="O107" s="58">
        <v>129</v>
      </c>
      <c r="P107" s="59" t="s">
        <v>2524</v>
      </c>
      <c r="Q107" s="56" t="s">
        <v>11</v>
      </c>
      <c r="U107" s="52">
        <v>1940078</v>
      </c>
      <c r="V107">
        <v>15.88</v>
      </c>
      <c r="W107">
        <v>0</v>
      </c>
      <c r="X107">
        <v>1.6</v>
      </c>
      <c r="Y107">
        <v>6</v>
      </c>
      <c r="Z107" t="s">
        <v>1891</v>
      </c>
      <c r="AA107" t="s">
        <v>963</v>
      </c>
      <c r="AB107" t="s">
        <v>2520</v>
      </c>
      <c r="AC107" t="s">
        <v>506</v>
      </c>
      <c r="AD107" t="s">
        <v>1838</v>
      </c>
      <c r="AE107" t="s">
        <v>514</v>
      </c>
      <c r="AF107">
        <v>0.56318035200000005</v>
      </c>
    </row>
    <row r="108" spans="1:32" x14ac:dyDescent="0.25">
      <c r="A108" s="56">
        <v>1940420</v>
      </c>
      <c r="B108" s="56" t="s">
        <v>1519</v>
      </c>
      <c r="C108" s="56" t="s">
        <v>2805</v>
      </c>
      <c r="D108" s="57">
        <v>201.672</v>
      </c>
      <c r="E108" s="58">
        <v>193</v>
      </c>
      <c r="F108" s="57">
        <v>0.193</v>
      </c>
      <c r="G108" s="56" t="s">
        <v>392</v>
      </c>
      <c r="H108" s="56" t="s">
        <v>2511</v>
      </c>
      <c r="I108" s="56" t="s">
        <v>345</v>
      </c>
      <c r="J108" s="56" t="s">
        <v>2806</v>
      </c>
      <c r="K108" s="57">
        <v>237.01300000000001</v>
      </c>
      <c r="L108" s="56" t="s">
        <v>2807</v>
      </c>
      <c r="M108" s="56" t="s">
        <v>2605</v>
      </c>
      <c r="N108" s="56" t="s">
        <v>44</v>
      </c>
      <c r="O108" s="58">
        <v>31</v>
      </c>
      <c r="P108" s="59" t="s">
        <v>2532</v>
      </c>
      <c r="Q108" s="56" t="s">
        <v>11</v>
      </c>
      <c r="U108" s="52">
        <v>1940075</v>
      </c>
      <c r="V108">
        <v>15.88</v>
      </c>
      <c r="W108">
        <v>0</v>
      </c>
      <c r="X108">
        <v>1.6</v>
      </c>
      <c r="Y108">
        <v>6</v>
      </c>
      <c r="Z108" t="s">
        <v>1881</v>
      </c>
      <c r="AA108" t="s">
        <v>963</v>
      </c>
      <c r="AB108" t="s">
        <v>2520</v>
      </c>
      <c r="AC108" t="s">
        <v>506</v>
      </c>
      <c r="AD108" t="s">
        <v>1838</v>
      </c>
      <c r="AE108" t="s">
        <v>514</v>
      </c>
      <c r="AF108">
        <v>0.56318035200000005</v>
      </c>
    </row>
    <row r="109" spans="1:32" x14ac:dyDescent="0.25">
      <c r="A109" s="56">
        <v>1940420</v>
      </c>
      <c r="B109" s="56" t="s">
        <v>1519</v>
      </c>
      <c r="C109" s="56" t="s">
        <v>2808</v>
      </c>
      <c r="D109" s="57">
        <v>1256.6869999999999</v>
      </c>
      <c r="E109" s="57">
        <v>1202.6489999999999</v>
      </c>
      <c r="F109" s="57">
        <v>1.2026489999999999</v>
      </c>
      <c r="G109" s="56" t="s">
        <v>392</v>
      </c>
      <c r="H109" s="56" t="s">
        <v>2511</v>
      </c>
      <c r="I109" s="56" t="s">
        <v>345</v>
      </c>
      <c r="J109" s="56" t="s">
        <v>2754</v>
      </c>
      <c r="K109" s="57">
        <v>1476.9110000000001</v>
      </c>
      <c r="L109" s="56" t="s">
        <v>2809</v>
      </c>
      <c r="M109" s="56" t="s">
        <v>2810</v>
      </c>
      <c r="N109" s="56" t="s">
        <v>45</v>
      </c>
      <c r="O109" s="58">
        <v>31</v>
      </c>
      <c r="P109" s="59" t="s">
        <v>2532</v>
      </c>
      <c r="Q109" s="56" t="s">
        <v>11</v>
      </c>
      <c r="U109" s="52">
        <v>1940077</v>
      </c>
      <c r="V109">
        <v>15.88</v>
      </c>
      <c r="W109">
        <v>0</v>
      </c>
      <c r="X109">
        <v>1.6</v>
      </c>
      <c r="Y109">
        <v>6</v>
      </c>
      <c r="Z109" t="s">
        <v>1891</v>
      </c>
      <c r="AA109" t="s">
        <v>963</v>
      </c>
      <c r="AB109" t="s">
        <v>2520</v>
      </c>
      <c r="AC109" t="s">
        <v>506</v>
      </c>
      <c r="AD109" t="s">
        <v>1838</v>
      </c>
      <c r="AE109" t="s">
        <v>514</v>
      </c>
      <c r="AF109">
        <v>0.56318035200000005</v>
      </c>
    </row>
    <row r="110" spans="1:32" x14ac:dyDescent="0.25">
      <c r="A110" s="56">
        <v>1940420</v>
      </c>
      <c r="B110" s="56" t="s">
        <v>1519</v>
      </c>
      <c r="C110" s="56" t="s">
        <v>2811</v>
      </c>
      <c r="D110" s="57">
        <v>1149.425</v>
      </c>
      <c r="E110" s="58">
        <v>1100</v>
      </c>
      <c r="F110" s="57">
        <v>1.1000000000000001</v>
      </c>
      <c r="G110" s="56" t="s">
        <v>392</v>
      </c>
      <c r="H110" s="56" t="s">
        <v>2511</v>
      </c>
      <c r="I110" s="56" t="s">
        <v>345</v>
      </c>
      <c r="J110" s="56" t="s">
        <v>2638</v>
      </c>
      <c r="K110" s="57">
        <v>1350.8530000000001</v>
      </c>
      <c r="L110" s="56" t="s">
        <v>2812</v>
      </c>
      <c r="M110" s="56" t="s">
        <v>2158</v>
      </c>
      <c r="N110" s="56" t="s">
        <v>44</v>
      </c>
      <c r="O110" s="58">
        <v>31</v>
      </c>
      <c r="P110" s="59" t="s">
        <v>2532</v>
      </c>
      <c r="Q110" s="56" t="s">
        <v>11</v>
      </c>
      <c r="U110" s="538">
        <v>110102230</v>
      </c>
      <c r="V110">
        <v>15.88</v>
      </c>
      <c r="W110">
        <v>0</v>
      </c>
      <c r="X110">
        <v>1.6</v>
      </c>
      <c r="Y110">
        <v>6</v>
      </c>
      <c r="Z110" t="s">
        <v>1881</v>
      </c>
      <c r="AA110" t="s">
        <v>963</v>
      </c>
      <c r="AB110" t="s">
        <v>2520</v>
      </c>
      <c r="AC110" t="s">
        <v>506</v>
      </c>
      <c r="AD110" t="s">
        <v>1838</v>
      </c>
      <c r="AE110" t="s">
        <v>514</v>
      </c>
      <c r="AF110">
        <v>0.56318035200000005</v>
      </c>
    </row>
    <row r="111" spans="1:32" x14ac:dyDescent="0.25">
      <c r="A111" s="56">
        <v>1940420</v>
      </c>
      <c r="B111" s="56" t="s">
        <v>1519</v>
      </c>
      <c r="C111" s="56" t="s">
        <v>2813</v>
      </c>
      <c r="D111" s="57">
        <v>1149.425</v>
      </c>
      <c r="E111" s="58">
        <v>1100</v>
      </c>
      <c r="F111" s="57">
        <v>1.1000000000000001</v>
      </c>
      <c r="G111" s="56" t="s">
        <v>392</v>
      </c>
      <c r="H111" s="56" t="s">
        <v>2511</v>
      </c>
      <c r="I111" s="56" t="s">
        <v>345</v>
      </c>
      <c r="J111" s="56" t="s">
        <v>2638</v>
      </c>
      <c r="K111" s="57">
        <v>1350.8530000000001</v>
      </c>
      <c r="L111" s="56" t="s">
        <v>2812</v>
      </c>
      <c r="M111" s="56" t="s">
        <v>2158</v>
      </c>
      <c r="N111" s="56" t="s">
        <v>44</v>
      </c>
      <c r="O111" s="58">
        <v>31</v>
      </c>
      <c r="P111" s="59" t="s">
        <v>2532</v>
      </c>
      <c r="Q111" s="56" t="s">
        <v>11</v>
      </c>
      <c r="U111" s="538">
        <v>110102232</v>
      </c>
      <c r="V111">
        <v>15.88</v>
      </c>
      <c r="W111">
        <v>0</v>
      </c>
      <c r="X111">
        <v>1.6</v>
      </c>
      <c r="Y111">
        <v>6</v>
      </c>
      <c r="Z111" t="s">
        <v>1891</v>
      </c>
      <c r="AA111" t="s">
        <v>963</v>
      </c>
      <c r="AB111" t="s">
        <v>2520</v>
      </c>
      <c r="AC111" t="s">
        <v>506</v>
      </c>
      <c r="AD111" t="s">
        <v>1838</v>
      </c>
      <c r="AE111" t="s">
        <v>514</v>
      </c>
      <c r="AF111">
        <v>0.56318035200000005</v>
      </c>
    </row>
    <row r="112" spans="1:32" x14ac:dyDescent="0.25">
      <c r="A112" s="56">
        <v>1940420</v>
      </c>
      <c r="B112" s="56" t="s">
        <v>1519</v>
      </c>
      <c r="C112" s="56" t="s">
        <v>2814</v>
      </c>
      <c r="D112" s="57">
        <v>1533.96</v>
      </c>
      <c r="E112" s="58">
        <v>1468</v>
      </c>
      <c r="F112" s="57">
        <v>1.468</v>
      </c>
      <c r="G112" s="56" t="s">
        <v>392</v>
      </c>
      <c r="H112" s="56" t="s">
        <v>2511</v>
      </c>
      <c r="I112" s="56" t="s">
        <v>345</v>
      </c>
      <c r="J112" s="56" t="s">
        <v>2815</v>
      </c>
      <c r="K112" s="57">
        <v>1802.7750000000001</v>
      </c>
      <c r="L112" s="56" t="s">
        <v>2812</v>
      </c>
      <c r="M112" s="56" t="s">
        <v>2158</v>
      </c>
      <c r="N112" s="56" t="s">
        <v>44</v>
      </c>
      <c r="O112" s="58">
        <v>32</v>
      </c>
      <c r="P112" s="59" t="s">
        <v>2532</v>
      </c>
      <c r="Q112" s="56" t="s">
        <v>11</v>
      </c>
      <c r="U112" s="52">
        <v>2420205</v>
      </c>
      <c r="V112">
        <v>15.88</v>
      </c>
      <c r="W112">
        <v>0</v>
      </c>
      <c r="X112">
        <v>2</v>
      </c>
      <c r="Y112">
        <v>0.155</v>
      </c>
      <c r="Z112" t="s">
        <v>1952</v>
      </c>
      <c r="AA112" t="s">
        <v>963</v>
      </c>
      <c r="AB112" t="s">
        <v>2520</v>
      </c>
      <c r="AC112" t="s">
        <v>537</v>
      </c>
      <c r="AD112" t="s">
        <v>2171</v>
      </c>
      <c r="AE112" t="s">
        <v>2220</v>
      </c>
      <c r="AF112">
        <v>0.10605971720000001</v>
      </c>
    </row>
    <row r="113" spans="1:32" x14ac:dyDescent="0.25">
      <c r="A113" s="56">
        <v>1940430</v>
      </c>
      <c r="B113" s="56" t="s">
        <v>762</v>
      </c>
      <c r="C113" s="56" t="s">
        <v>2816</v>
      </c>
      <c r="D113" s="57">
        <v>781.81799999999998</v>
      </c>
      <c r="E113" s="58">
        <v>172</v>
      </c>
      <c r="F113" s="57">
        <v>0.17199999999999999</v>
      </c>
      <c r="G113" s="56" t="s">
        <v>392</v>
      </c>
      <c r="H113" s="56" t="s">
        <v>2511</v>
      </c>
      <c r="I113" s="56" t="s">
        <v>345</v>
      </c>
      <c r="J113" s="56" t="s">
        <v>2817</v>
      </c>
      <c r="K113" s="57">
        <v>172.327</v>
      </c>
      <c r="L113" s="56" t="s">
        <v>2818</v>
      </c>
      <c r="M113" s="56" t="s">
        <v>2164</v>
      </c>
      <c r="N113" s="56" t="s">
        <v>61</v>
      </c>
      <c r="O113" s="58">
        <v>28</v>
      </c>
      <c r="P113" s="59" t="s">
        <v>2515</v>
      </c>
      <c r="Q113" s="56" t="s">
        <v>11</v>
      </c>
      <c r="U113" s="52">
        <v>3706751</v>
      </c>
      <c r="V113">
        <v>15.88</v>
      </c>
      <c r="W113">
        <v>0</v>
      </c>
      <c r="X113">
        <v>2</v>
      </c>
      <c r="Y113">
        <v>0.16</v>
      </c>
      <c r="Z113" t="s">
        <v>1952</v>
      </c>
      <c r="AA113" t="s">
        <v>963</v>
      </c>
      <c r="AB113" t="s">
        <v>2520</v>
      </c>
      <c r="AC113" t="s">
        <v>537</v>
      </c>
      <c r="AD113" t="s">
        <v>2171</v>
      </c>
      <c r="AE113" t="s">
        <v>2221</v>
      </c>
      <c r="AF113">
        <v>0.10948099840000002</v>
      </c>
    </row>
    <row r="114" spans="1:32" x14ac:dyDescent="0.25">
      <c r="A114" s="56">
        <v>1940433</v>
      </c>
      <c r="B114" s="56" t="s">
        <v>2819</v>
      </c>
      <c r="C114" s="56" t="s">
        <v>2820</v>
      </c>
      <c r="D114" s="57">
        <v>1048.056</v>
      </c>
      <c r="E114" s="57">
        <v>282.97500000000002</v>
      </c>
      <c r="F114" s="57">
        <v>0.28297500000000003</v>
      </c>
      <c r="G114" s="56" t="s">
        <v>392</v>
      </c>
      <c r="H114" s="56" t="s">
        <v>2511</v>
      </c>
      <c r="I114" s="56" t="s">
        <v>345</v>
      </c>
      <c r="J114" s="56" t="s">
        <v>1914</v>
      </c>
      <c r="K114" s="57">
        <v>283.51400000000001</v>
      </c>
      <c r="L114" s="56" t="s">
        <v>1914</v>
      </c>
      <c r="M114" s="56" t="s">
        <v>1123</v>
      </c>
      <c r="N114" s="56" t="s">
        <v>76</v>
      </c>
      <c r="O114" s="58">
        <v>262</v>
      </c>
      <c r="P114" s="59" t="s">
        <v>2524</v>
      </c>
      <c r="Q114" s="56" t="s">
        <v>2561</v>
      </c>
      <c r="U114" s="52">
        <v>468311</v>
      </c>
      <c r="V114">
        <v>15.88</v>
      </c>
      <c r="W114">
        <v>0</v>
      </c>
      <c r="X114">
        <v>2</v>
      </c>
      <c r="Y114">
        <v>0.29099999999999998</v>
      </c>
      <c r="Z114" t="s">
        <v>2821</v>
      </c>
      <c r="AA114" t="s">
        <v>963</v>
      </c>
      <c r="AB114" t="s">
        <v>2520</v>
      </c>
      <c r="AC114" t="s">
        <v>537</v>
      </c>
      <c r="AD114" t="s">
        <v>2171</v>
      </c>
      <c r="AE114" t="s">
        <v>539</v>
      </c>
      <c r="AF114">
        <v>0.19911856584000001</v>
      </c>
    </row>
    <row r="115" spans="1:32" x14ac:dyDescent="0.25">
      <c r="A115" s="56">
        <v>1940437</v>
      </c>
      <c r="B115" s="56" t="s">
        <v>637</v>
      </c>
      <c r="C115" s="56" t="s">
        <v>2822</v>
      </c>
      <c r="D115" s="57">
        <v>1126.453</v>
      </c>
      <c r="E115" s="57">
        <v>442.69600000000003</v>
      </c>
      <c r="F115" s="57">
        <v>0.44269600000000003</v>
      </c>
      <c r="G115" s="56" t="s">
        <v>392</v>
      </c>
      <c r="H115" s="56" t="s">
        <v>2511</v>
      </c>
      <c r="I115" s="56" t="s">
        <v>345</v>
      </c>
      <c r="J115" s="56" t="s">
        <v>2823</v>
      </c>
      <c r="K115" s="57">
        <v>443.53899999999999</v>
      </c>
      <c r="L115" s="56" t="s">
        <v>2824</v>
      </c>
      <c r="M115" s="56" t="s">
        <v>2537</v>
      </c>
      <c r="N115" s="56" t="s">
        <v>151</v>
      </c>
      <c r="O115" s="58">
        <v>60</v>
      </c>
      <c r="P115" s="59" t="s">
        <v>2532</v>
      </c>
      <c r="Q115" s="56" t="s">
        <v>11</v>
      </c>
      <c r="U115" s="52">
        <v>1940090</v>
      </c>
      <c r="V115">
        <v>15.88</v>
      </c>
      <c r="W115">
        <v>0</v>
      </c>
      <c r="X115">
        <v>2</v>
      </c>
      <c r="Y115">
        <v>0.29099999999999998</v>
      </c>
      <c r="Z115" t="s">
        <v>1891</v>
      </c>
      <c r="AA115" t="s">
        <v>963</v>
      </c>
      <c r="AB115" t="s">
        <v>2520</v>
      </c>
      <c r="AC115" t="s">
        <v>537</v>
      </c>
      <c r="AD115" t="s">
        <v>2171</v>
      </c>
      <c r="AE115" t="s">
        <v>539</v>
      </c>
      <c r="AF115">
        <v>0.19911856584000001</v>
      </c>
    </row>
    <row r="116" spans="1:32" x14ac:dyDescent="0.25">
      <c r="A116" s="56">
        <v>1940437</v>
      </c>
      <c r="B116" s="56" t="s">
        <v>637</v>
      </c>
      <c r="C116" s="56" t="s">
        <v>2825</v>
      </c>
      <c r="D116" s="57">
        <v>849.87300000000005</v>
      </c>
      <c r="E116" s="58">
        <v>334</v>
      </c>
      <c r="F116" s="57">
        <v>0.33400000000000002</v>
      </c>
      <c r="G116" s="56" t="s">
        <v>392</v>
      </c>
      <c r="H116" s="56" t="s">
        <v>2511</v>
      </c>
      <c r="I116" s="56" t="s">
        <v>345</v>
      </c>
      <c r="J116" s="56" t="s">
        <v>2550</v>
      </c>
      <c r="K116" s="57">
        <v>334.63600000000002</v>
      </c>
      <c r="L116" s="56" t="s">
        <v>2824</v>
      </c>
      <c r="M116" s="56" t="s">
        <v>2537</v>
      </c>
      <c r="N116" s="56" t="s">
        <v>151</v>
      </c>
      <c r="O116" s="58">
        <v>59</v>
      </c>
      <c r="P116" s="59" t="s">
        <v>2532</v>
      </c>
      <c r="Q116" s="56" t="s">
        <v>11</v>
      </c>
      <c r="U116" s="52">
        <v>3506797</v>
      </c>
      <c r="V116">
        <v>15.88</v>
      </c>
      <c r="W116">
        <v>0</v>
      </c>
      <c r="X116">
        <v>2</v>
      </c>
      <c r="Y116">
        <v>0.29099999999999998</v>
      </c>
      <c r="Z116" t="s">
        <v>1914</v>
      </c>
      <c r="AA116" t="s">
        <v>963</v>
      </c>
      <c r="AB116" t="s">
        <v>2520</v>
      </c>
      <c r="AC116" t="s">
        <v>537</v>
      </c>
      <c r="AD116" t="s">
        <v>2171</v>
      </c>
      <c r="AE116" t="s">
        <v>539</v>
      </c>
      <c r="AF116">
        <v>0.19911856584000001</v>
      </c>
    </row>
    <row r="117" spans="1:32" x14ac:dyDescent="0.25">
      <c r="A117" s="56">
        <v>1940445</v>
      </c>
      <c r="B117" s="56" t="s">
        <v>2061</v>
      </c>
      <c r="C117" s="56" t="s">
        <v>2826</v>
      </c>
      <c r="D117" s="57">
        <v>640</v>
      </c>
      <c r="E117" s="57">
        <v>322.56</v>
      </c>
      <c r="F117" s="57">
        <v>0.32256000000000001</v>
      </c>
      <c r="G117" s="56" t="s">
        <v>392</v>
      </c>
      <c r="H117" s="56" t="s">
        <v>2511</v>
      </c>
      <c r="I117" s="56" t="s">
        <v>345</v>
      </c>
      <c r="J117" s="56" t="s">
        <v>1914</v>
      </c>
      <c r="K117" s="57">
        <v>323.17399999999998</v>
      </c>
      <c r="L117" s="56" t="s">
        <v>2827</v>
      </c>
      <c r="M117" s="56" t="s">
        <v>2810</v>
      </c>
      <c r="N117" s="56" t="s">
        <v>46</v>
      </c>
      <c r="O117" s="58">
        <v>94</v>
      </c>
      <c r="P117" s="59" t="s">
        <v>2524</v>
      </c>
      <c r="Q117" s="56" t="s">
        <v>11</v>
      </c>
      <c r="U117" s="52">
        <v>2243845</v>
      </c>
      <c r="V117">
        <v>15.88</v>
      </c>
      <c r="W117">
        <v>0</v>
      </c>
      <c r="X117">
        <v>2</v>
      </c>
      <c r="Y117">
        <v>0.442</v>
      </c>
      <c r="Z117" t="s">
        <v>1891</v>
      </c>
      <c r="AA117" t="s">
        <v>963</v>
      </c>
      <c r="AB117" t="s">
        <v>239</v>
      </c>
      <c r="AC117" t="s">
        <v>537</v>
      </c>
      <c r="AD117" t="s">
        <v>2171</v>
      </c>
      <c r="AE117" t="s">
        <v>2828</v>
      </c>
      <c r="AF117">
        <v>0.30244125808000005</v>
      </c>
    </row>
    <row r="118" spans="1:32" x14ac:dyDescent="0.25">
      <c r="A118" s="56">
        <v>1940466</v>
      </c>
      <c r="B118" s="56" t="s">
        <v>764</v>
      </c>
      <c r="C118" s="56" t="s">
        <v>2829</v>
      </c>
      <c r="D118" s="57">
        <v>190.31700000000001</v>
      </c>
      <c r="E118" s="57">
        <v>153.77600000000001</v>
      </c>
      <c r="F118" s="57">
        <v>0.15377600000000002</v>
      </c>
      <c r="G118" s="56" t="s">
        <v>392</v>
      </c>
      <c r="H118" s="56" t="s">
        <v>2511</v>
      </c>
      <c r="I118" s="56" t="s">
        <v>345</v>
      </c>
      <c r="J118" s="56" t="s">
        <v>2830</v>
      </c>
      <c r="K118" s="57">
        <v>154.06899999999999</v>
      </c>
      <c r="L118" s="56" t="s">
        <v>2831</v>
      </c>
      <c r="M118" s="56" t="s">
        <v>2605</v>
      </c>
      <c r="N118" s="56" t="s">
        <v>151</v>
      </c>
      <c r="O118" s="58">
        <v>59</v>
      </c>
      <c r="P118" s="59" t="s">
        <v>2532</v>
      </c>
      <c r="Q118" s="56" t="s">
        <v>11</v>
      </c>
      <c r="U118" s="52">
        <v>1941353</v>
      </c>
      <c r="V118">
        <v>15.88</v>
      </c>
      <c r="W118">
        <v>0</v>
      </c>
      <c r="X118">
        <v>2</v>
      </c>
      <c r="Y118">
        <v>0.51500000000000001</v>
      </c>
      <c r="Z118" t="s">
        <v>1883</v>
      </c>
      <c r="AA118" t="s">
        <v>963</v>
      </c>
      <c r="AB118" t="s">
        <v>2520</v>
      </c>
      <c r="AC118" t="s">
        <v>537</v>
      </c>
      <c r="AD118" t="s">
        <v>2171</v>
      </c>
      <c r="AE118" t="s">
        <v>2832</v>
      </c>
      <c r="AF118">
        <v>0.35239196360000002</v>
      </c>
    </row>
    <row r="119" spans="1:32" x14ac:dyDescent="0.25">
      <c r="A119" s="56">
        <v>1940466</v>
      </c>
      <c r="B119" s="56" t="s">
        <v>764</v>
      </c>
      <c r="C119" s="56" t="s">
        <v>2833</v>
      </c>
      <c r="D119" s="57">
        <v>398.51499999999999</v>
      </c>
      <c r="E119" s="58">
        <v>322</v>
      </c>
      <c r="F119" s="57">
        <v>0.32200000000000001</v>
      </c>
      <c r="G119" s="56" t="s">
        <v>392</v>
      </c>
      <c r="H119" s="56" t="s">
        <v>2511</v>
      </c>
      <c r="I119" s="56" t="s">
        <v>345</v>
      </c>
      <c r="J119" s="56" t="s">
        <v>2799</v>
      </c>
      <c r="K119" s="57">
        <v>322.613</v>
      </c>
      <c r="L119" s="56" t="s">
        <v>2831</v>
      </c>
      <c r="M119" s="56" t="s">
        <v>2605</v>
      </c>
      <c r="N119" s="56" t="s">
        <v>151</v>
      </c>
      <c r="O119" s="58">
        <v>30</v>
      </c>
      <c r="P119" s="59" t="s">
        <v>2515</v>
      </c>
      <c r="Q119" s="56" t="s">
        <v>11</v>
      </c>
      <c r="U119" s="52">
        <v>2384087</v>
      </c>
      <c r="V119">
        <v>15.88</v>
      </c>
      <c r="W119">
        <v>0</v>
      </c>
      <c r="X119">
        <v>2</v>
      </c>
      <c r="Y119">
        <v>5.9</v>
      </c>
      <c r="Z119" t="s">
        <v>1868</v>
      </c>
      <c r="AA119" t="s">
        <v>963</v>
      </c>
      <c r="AB119" t="s">
        <v>2520</v>
      </c>
      <c r="AC119" t="s">
        <v>537</v>
      </c>
      <c r="AD119" t="s">
        <v>1838</v>
      </c>
      <c r="AE119" t="s">
        <v>541</v>
      </c>
      <c r="AF119">
        <v>0.68425624000000007</v>
      </c>
    </row>
    <row r="120" spans="1:32" x14ac:dyDescent="0.25">
      <c r="A120" s="56">
        <v>1940470</v>
      </c>
      <c r="B120" s="56" t="s">
        <v>2062</v>
      </c>
      <c r="C120" s="56" t="s">
        <v>2834</v>
      </c>
      <c r="D120" s="57">
        <v>1818.61</v>
      </c>
      <c r="E120" s="58">
        <v>1544</v>
      </c>
      <c r="F120" s="57">
        <v>1.544</v>
      </c>
      <c r="G120" s="56" t="s">
        <v>392</v>
      </c>
      <c r="H120" s="56" t="s">
        <v>2511</v>
      </c>
      <c r="I120" s="56" t="s">
        <v>345</v>
      </c>
      <c r="J120" s="56" t="s">
        <v>2835</v>
      </c>
      <c r="K120" s="57">
        <v>1546.9390000000001</v>
      </c>
      <c r="L120" s="56" t="s">
        <v>2836</v>
      </c>
      <c r="M120" s="56" t="s">
        <v>2161</v>
      </c>
      <c r="N120" s="56" t="s">
        <v>44</v>
      </c>
      <c r="O120" s="58">
        <v>86</v>
      </c>
      <c r="P120" s="59" t="s">
        <v>2579</v>
      </c>
      <c r="Q120" s="56" t="s">
        <v>11</v>
      </c>
      <c r="U120" s="538">
        <v>111120691</v>
      </c>
      <c r="V120">
        <v>15.88</v>
      </c>
      <c r="W120">
        <v>0</v>
      </c>
      <c r="X120">
        <v>2</v>
      </c>
      <c r="Y120">
        <v>5.95</v>
      </c>
      <c r="Z120" t="s">
        <v>1891</v>
      </c>
      <c r="AA120" t="s">
        <v>963</v>
      </c>
      <c r="AB120" t="s">
        <v>2520</v>
      </c>
      <c r="AC120" t="s">
        <v>537</v>
      </c>
      <c r="AD120" t="s">
        <v>1838</v>
      </c>
      <c r="AE120" t="s">
        <v>541</v>
      </c>
      <c r="AF120">
        <v>0.68425624000000007</v>
      </c>
    </row>
    <row r="121" spans="1:32" x14ac:dyDescent="0.25">
      <c r="A121" s="56">
        <v>1940470</v>
      </c>
      <c r="B121" s="56" t="s">
        <v>2062</v>
      </c>
      <c r="C121" s="56" t="s">
        <v>2837</v>
      </c>
      <c r="D121" s="57">
        <v>2001.1780000000001</v>
      </c>
      <c r="E121" s="58">
        <v>1699</v>
      </c>
      <c r="F121" s="57">
        <v>1.6990000000000001</v>
      </c>
      <c r="G121" s="56" t="s">
        <v>392</v>
      </c>
      <c r="H121" s="56" t="s">
        <v>2511</v>
      </c>
      <c r="I121" s="56" t="s">
        <v>345</v>
      </c>
      <c r="J121" s="56" t="s">
        <v>2777</v>
      </c>
      <c r="K121" s="57">
        <v>1702.2339999999999</v>
      </c>
      <c r="L121" s="56" t="s">
        <v>2836</v>
      </c>
      <c r="M121" s="56" t="s">
        <v>2161</v>
      </c>
      <c r="N121" s="56" t="s">
        <v>44</v>
      </c>
      <c r="O121" s="58">
        <v>86</v>
      </c>
      <c r="P121" s="59" t="s">
        <v>2579</v>
      </c>
      <c r="Q121" s="56" t="s">
        <v>11</v>
      </c>
      <c r="U121" s="52">
        <v>1940120</v>
      </c>
      <c r="V121">
        <v>15.88</v>
      </c>
      <c r="W121">
        <v>0</v>
      </c>
      <c r="X121">
        <v>2</v>
      </c>
      <c r="Y121">
        <v>6</v>
      </c>
      <c r="Z121" t="s">
        <v>1891</v>
      </c>
      <c r="AA121" t="s">
        <v>963</v>
      </c>
      <c r="AB121" t="s">
        <v>2520</v>
      </c>
      <c r="AC121" t="s">
        <v>537</v>
      </c>
      <c r="AD121" t="s">
        <v>1838</v>
      </c>
      <c r="AE121" t="s">
        <v>541</v>
      </c>
      <c r="AF121">
        <v>0.68425624000000007</v>
      </c>
    </row>
    <row r="122" spans="1:32" x14ac:dyDescent="0.25">
      <c r="A122" s="56">
        <v>1940470</v>
      </c>
      <c r="B122" s="56" t="s">
        <v>2062</v>
      </c>
      <c r="C122" s="56" t="s">
        <v>2838</v>
      </c>
      <c r="D122" s="57">
        <v>670.2</v>
      </c>
      <c r="E122" s="58">
        <v>569</v>
      </c>
      <c r="F122" s="57">
        <v>0.56899999999999995</v>
      </c>
      <c r="G122" s="56" t="s">
        <v>392</v>
      </c>
      <c r="H122" s="56" t="s">
        <v>2511</v>
      </c>
      <c r="I122" s="56" t="s">
        <v>345</v>
      </c>
      <c r="J122" s="56" t="s">
        <v>2839</v>
      </c>
      <c r="K122" s="57">
        <v>570.08299999999997</v>
      </c>
      <c r="L122" s="56" t="s">
        <v>2840</v>
      </c>
      <c r="M122" s="56" t="s">
        <v>2760</v>
      </c>
      <c r="N122" s="56" t="s">
        <v>44</v>
      </c>
      <c r="O122" s="58">
        <v>47</v>
      </c>
      <c r="P122" s="59" t="s">
        <v>2532</v>
      </c>
      <c r="Q122" s="56" t="s">
        <v>11</v>
      </c>
      <c r="U122" s="52">
        <v>1940124</v>
      </c>
      <c r="V122">
        <v>15.88</v>
      </c>
      <c r="W122">
        <v>0</v>
      </c>
      <c r="X122">
        <v>2</v>
      </c>
      <c r="Y122">
        <v>6.1</v>
      </c>
      <c r="Z122" t="s">
        <v>1891</v>
      </c>
      <c r="AA122" t="s">
        <v>963</v>
      </c>
      <c r="AB122" t="s">
        <v>2520</v>
      </c>
      <c r="AC122" t="s">
        <v>537</v>
      </c>
      <c r="AD122" t="s">
        <v>1838</v>
      </c>
      <c r="AE122" t="s">
        <v>541</v>
      </c>
      <c r="AF122">
        <v>0.68425624000000007</v>
      </c>
    </row>
    <row r="123" spans="1:32" x14ac:dyDescent="0.25">
      <c r="A123" s="56">
        <v>1940470</v>
      </c>
      <c r="B123" s="56" t="s">
        <v>2062</v>
      </c>
      <c r="C123" s="56" t="s">
        <v>2841</v>
      </c>
      <c r="D123" s="57">
        <v>1755.0060000000001</v>
      </c>
      <c r="E123" s="58">
        <v>1490</v>
      </c>
      <c r="F123" s="57">
        <v>1.49</v>
      </c>
      <c r="G123" s="56" t="s">
        <v>392</v>
      </c>
      <c r="H123" s="56" t="s">
        <v>2511</v>
      </c>
      <c r="I123" s="56" t="s">
        <v>345</v>
      </c>
      <c r="J123" s="56" t="s">
        <v>2537</v>
      </c>
      <c r="K123" s="57">
        <v>1492.836</v>
      </c>
      <c r="L123" s="56" t="s">
        <v>2840</v>
      </c>
      <c r="M123" s="56" t="s">
        <v>2760</v>
      </c>
      <c r="N123" s="56" t="s">
        <v>44</v>
      </c>
      <c r="O123" s="58">
        <v>46</v>
      </c>
      <c r="P123" s="59" t="s">
        <v>2532</v>
      </c>
      <c r="Q123" s="56" t="s">
        <v>11</v>
      </c>
      <c r="U123">
        <v>3586630</v>
      </c>
      <c r="V123">
        <v>15.88</v>
      </c>
      <c r="W123">
        <v>0</v>
      </c>
      <c r="X123">
        <v>2</v>
      </c>
      <c r="Y123">
        <v>6.1</v>
      </c>
      <c r="Z123" t="s">
        <v>1881</v>
      </c>
      <c r="AA123" t="s">
        <v>963</v>
      </c>
      <c r="AB123" t="s">
        <v>2520</v>
      </c>
      <c r="AC123" t="s">
        <v>537</v>
      </c>
      <c r="AD123" t="s">
        <v>1838</v>
      </c>
      <c r="AE123" t="s">
        <v>541</v>
      </c>
      <c r="AF123">
        <v>0.68425624000000007</v>
      </c>
    </row>
    <row r="124" spans="1:32" x14ac:dyDescent="0.25">
      <c r="A124" s="56">
        <v>1940472</v>
      </c>
      <c r="B124" s="56" t="s">
        <v>2063</v>
      </c>
      <c r="C124" s="56" t="s">
        <v>2842</v>
      </c>
      <c r="D124" s="57">
        <v>1875.5809999999999</v>
      </c>
      <c r="E124" s="58">
        <v>1613</v>
      </c>
      <c r="F124" s="57">
        <v>1.613</v>
      </c>
      <c r="G124" s="56" t="s">
        <v>392</v>
      </c>
      <c r="H124" s="56" t="s">
        <v>2511</v>
      </c>
      <c r="I124" s="56" t="s">
        <v>345</v>
      </c>
      <c r="J124" s="56" t="s">
        <v>2843</v>
      </c>
      <c r="K124" s="57">
        <v>1616.0709999999999</v>
      </c>
      <c r="L124" s="56" t="s">
        <v>2844</v>
      </c>
      <c r="M124" s="56" t="s">
        <v>2584</v>
      </c>
      <c r="N124" s="56" t="s">
        <v>44</v>
      </c>
      <c r="O124" s="58">
        <v>86</v>
      </c>
      <c r="P124" s="59" t="s">
        <v>2579</v>
      </c>
      <c r="Q124" s="56" t="s">
        <v>11</v>
      </c>
      <c r="U124" s="538">
        <v>110102276</v>
      </c>
      <c r="V124">
        <v>15.88</v>
      </c>
      <c r="W124">
        <v>0</v>
      </c>
      <c r="X124">
        <v>2</v>
      </c>
      <c r="Y124">
        <v>6.1</v>
      </c>
      <c r="Z124" t="s">
        <v>1891</v>
      </c>
      <c r="AA124" t="s">
        <v>963</v>
      </c>
      <c r="AB124" t="s">
        <v>2520</v>
      </c>
      <c r="AC124" t="s">
        <v>537</v>
      </c>
      <c r="AD124" t="s">
        <v>1838</v>
      </c>
      <c r="AE124" t="s">
        <v>541</v>
      </c>
      <c r="AF124">
        <v>0.68425624000000007</v>
      </c>
    </row>
    <row r="125" spans="1:32" x14ac:dyDescent="0.25">
      <c r="A125" s="56">
        <v>1940472</v>
      </c>
      <c r="B125" s="56" t="s">
        <v>2063</v>
      </c>
      <c r="C125" s="56" t="s">
        <v>2845</v>
      </c>
      <c r="D125" s="57">
        <v>1225.5809999999999</v>
      </c>
      <c r="E125" s="58">
        <v>1054</v>
      </c>
      <c r="F125" s="57">
        <v>1.054</v>
      </c>
      <c r="G125" s="56" t="s">
        <v>392</v>
      </c>
      <c r="H125" s="56" t="s">
        <v>2511</v>
      </c>
      <c r="I125" s="56" t="s">
        <v>345</v>
      </c>
      <c r="J125" s="56" t="s">
        <v>2846</v>
      </c>
      <c r="K125" s="57">
        <v>1056.0060000000001</v>
      </c>
      <c r="L125" s="56" t="s">
        <v>2847</v>
      </c>
      <c r="M125" s="56" t="s">
        <v>2158</v>
      </c>
      <c r="N125" s="56" t="s">
        <v>44</v>
      </c>
      <c r="O125" s="58">
        <v>84</v>
      </c>
      <c r="P125" s="59" t="s">
        <v>2579</v>
      </c>
      <c r="Q125" s="56" t="s">
        <v>11</v>
      </c>
      <c r="U125" s="52">
        <v>3188792</v>
      </c>
      <c r="V125">
        <v>16</v>
      </c>
      <c r="W125">
        <v>10.4</v>
      </c>
      <c r="X125">
        <v>2.8</v>
      </c>
      <c r="Y125">
        <v>6</v>
      </c>
      <c r="Z125" t="s">
        <v>1874</v>
      </c>
      <c r="AA125" t="s">
        <v>1003</v>
      </c>
      <c r="AB125" t="s">
        <v>2517</v>
      </c>
      <c r="AC125" t="s">
        <v>546</v>
      </c>
      <c r="AD125" t="s">
        <v>1838</v>
      </c>
      <c r="AE125" t="s">
        <v>548</v>
      </c>
      <c r="AF125">
        <v>0.9110270399999999</v>
      </c>
    </row>
    <row r="126" spans="1:32" x14ac:dyDescent="0.25">
      <c r="A126" s="56">
        <v>1940481</v>
      </c>
      <c r="B126" s="56" t="s">
        <v>2848</v>
      </c>
      <c r="C126" s="56" t="s">
        <v>2849</v>
      </c>
      <c r="D126" s="57">
        <v>375.04700000000003</v>
      </c>
      <c r="E126" s="57">
        <v>378.79700000000003</v>
      </c>
      <c r="F126" s="57">
        <v>0.37879700000000005</v>
      </c>
      <c r="G126" s="56" t="s">
        <v>392</v>
      </c>
      <c r="H126" s="56" t="s">
        <v>2511</v>
      </c>
      <c r="I126" s="56" t="s">
        <v>345</v>
      </c>
      <c r="J126" s="56" t="s">
        <v>1914</v>
      </c>
      <c r="K126" s="57">
        <v>379.51799999999997</v>
      </c>
      <c r="L126" s="56" t="s">
        <v>1914</v>
      </c>
      <c r="M126" s="56" t="s">
        <v>1123</v>
      </c>
      <c r="N126" s="56" t="s">
        <v>72</v>
      </c>
      <c r="O126" s="58">
        <v>262</v>
      </c>
      <c r="P126" s="59" t="s">
        <v>2524</v>
      </c>
      <c r="Q126" s="56" t="s">
        <v>11</v>
      </c>
      <c r="U126" s="52">
        <v>2410995</v>
      </c>
      <c r="V126">
        <v>16.100000000000001</v>
      </c>
      <c r="W126">
        <v>10.199999999999999</v>
      </c>
      <c r="X126">
        <v>2.95</v>
      </c>
      <c r="Y126">
        <v>6</v>
      </c>
      <c r="Z126" t="s">
        <v>1874</v>
      </c>
      <c r="AA126" t="s">
        <v>1003</v>
      </c>
      <c r="AB126" t="s">
        <v>2517</v>
      </c>
      <c r="AC126" t="s">
        <v>973</v>
      </c>
      <c r="AD126" t="s">
        <v>1838</v>
      </c>
      <c r="AE126" t="s">
        <v>2850</v>
      </c>
      <c r="AF126">
        <v>0.95619633250000036</v>
      </c>
    </row>
    <row r="127" spans="1:32" x14ac:dyDescent="0.25">
      <c r="A127" s="56">
        <v>1940493</v>
      </c>
      <c r="B127" s="56" t="s">
        <v>1885</v>
      </c>
      <c r="C127" s="56" t="s">
        <v>2851</v>
      </c>
      <c r="D127" s="57">
        <v>127.182</v>
      </c>
      <c r="E127" s="57">
        <v>761.69500000000005</v>
      </c>
      <c r="F127" s="57">
        <v>0.76169500000000001</v>
      </c>
      <c r="G127" s="56" t="s">
        <v>392</v>
      </c>
      <c r="H127" s="56" t="s">
        <v>2511</v>
      </c>
      <c r="I127" s="56" t="s">
        <v>345</v>
      </c>
      <c r="J127" s="56" t="s">
        <v>1914</v>
      </c>
      <c r="K127" s="57">
        <v>763.14499999999998</v>
      </c>
      <c r="L127" s="56" t="s">
        <v>2852</v>
      </c>
      <c r="M127" s="56" t="s">
        <v>2605</v>
      </c>
      <c r="N127" s="56" t="s">
        <v>37</v>
      </c>
      <c r="O127" s="58">
        <v>262</v>
      </c>
      <c r="P127" s="59" t="s">
        <v>2524</v>
      </c>
      <c r="Q127" s="56" t="s">
        <v>11</v>
      </c>
      <c r="U127" s="52">
        <v>2410996</v>
      </c>
      <c r="V127">
        <v>16.100000000000001</v>
      </c>
      <c r="W127">
        <v>10.7</v>
      </c>
      <c r="X127">
        <v>2.7</v>
      </c>
      <c r="Y127">
        <v>6</v>
      </c>
      <c r="Z127" t="s">
        <v>1874</v>
      </c>
      <c r="AA127" t="s">
        <v>1003</v>
      </c>
      <c r="AB127" t="s">
        <v>2517</v>
      </c>
      <c r="AC127" t="s">
        <v>972</v>
      </c>
      <c r="AD127" t="s">
        <v>1838</v>
      </c>
      <c r="AE127" t="s">
        <v>2224</v>
      </c>
      <c r="AF127">
        <v>0.89180082000000016</v>
      </c>
    </row>
    <row r="128" spans="1:32" x14ac:dyDescent="0.25">
      <c r="A128" s="56">
        <v>1940494</v>
      </c>
      <c r="B128" s="56" t="s">
        <v>1885</v>
      </c>
      <c r="C128" s="56" t="s">
        <v>2853</v>
      </c>
      <c r="D128" s="57">
        <v>434.12900000000002</v>
      </c>
      <c r="E128" s="58">
        <v>2600</v>
      </c>
      <c r="F128" s="57">
        <v>2.6</v>
      </c>
      <c r="G128" s="56" t="s">
        <v>392</v>
      </c>
      <c r="H128" s="56" t="s">
        <v>2511</v>
      </c>
      <c r="I128" s="56" t="s">
        <v>345</v>
      </c>
      <c r="J128" s="56" t="s">
        <v>2854</v>
      </c>
      <c r="K128" s="57">
        <v>2604.9490000000001</v>
      </c>
      <c r="L128" s="56" t="s">
        <v>1914</v>
      </c>
      <c r="M128" s="56" t="s">
        <v>1123</v>
      </c>
      <c r="N128" s="56" t="s">
        <v>76</v>
      </c>
      <c r="O128" s="58">
        <v>3</v>
      </c>
      <c r="P128" s="59" t="s">
        <v>2515</v>
      </c>
      <c r="Q128" s="56" t="s">
        <v>2561</v>
      </c>
      <c r="U128" s="52">
        <v>1938195</v>
      </c>
      <c r="V128">
        <v>17.3</v>
      </c>
      <c r="W128">
        <v>0</v>
      </c>
      <c r="X128">
        <v>1.2</v>
      </c>
      <c r="Y128">
        <v>0.15</v>
      </c>
      <c r="Z128" t="s">
        <v>1883</v>
      </c>
      <c r="AA128" t="s">
        <v>963</v>
      </c>
      <c r="AB128" t="s">
        <v>2520</v>
      </c>
      <c r="AC128" t="s">
        <v>557</v>
      </c>
      <c r="AD128" t="s">
        <v>2171</v>
      </c>
      <c r="AE128" t="s">
        <v>559</v>
      </c>
      <c r="AF128">
        <v>7.1432802000000004E-2</v>
      </c>
    </row>
    <row r="129" spans="1:32" x14ac:dyDescent="0.25">
      <c r="A129" s="56">
        <v>1940494</v>
      </c>
      <c r="B129" s="56" t="s">
        <v>1885</v>
      </c>
      <c r="C129" s="56" t="s">
        <v>2855</v>
      </c>
      <c r="D129" s="57">
        <v>432.46</v>
      </c>
      <c r="E129" s="58">
        <v>2590</v>
      </c>
      <c r="F129" s="57">
        <v>2.59</v>
      </c>
      <c r="G129" s="56" t="s">
        <v>392</v>
      </c>
      <c r="H129" s="56" t="s">
        <v>2511</v>
      </c>
      <c r="I129" s="56" t="s">
        <v>345</v>
      </c>
      <c r="J129" s="56" t="s">
        <v>2856</v>
      </c>
      <c r="K129" s="57">
        <v>2594.9299999999998</v>
      </c>
      <c r="L129" s="56" t="s">
        <v>1914</v>
      </c>
      <c r="M129" s="56" t="s">
        <v>1123</v>
      </c>
      <c r="N129" s="56" t="s">
        <v>76</v>
      </c>
      <c r="O129" s="58">
        <v>3</v>
      </c>
      <c r="P129" s="59" t="s">
        <v>2515</v>
      </c>
      <c r="Q129" s="56" t="s">
        <v>2561</v>
      </c>
      <c r="U129" s="52">
        <v>1225244</v>
      </c>
      <c r="V129">
        <v>17.3</v>
      </c>
      <c r="W129">
        <v>0</v>
      </c>
      <c r="X129">
        <v>1.2</v>
      </c>
      <c r="Y129">
        <v>0.15</v>
      </c>
      <c r="Z129" t="s">
        <v>1914</v>
      </c>
      <c r="AA129" t="s">
        <v>963</v>
      </c>
      <c r="AB129" t="s">
        <v>2520</v>
      </c>
      <c r="AC129" t="s">
        <v>557</v>
      </c>
      <c r="AD129" t="s">
        <v>2171</v>
      </c>
      <c r="AE129" t="s">
        <v>559</v>
      </c>
      <c r="AF129">
        <v>7.1432802000000004E-2</v>
      </c>
    </row>
    <row r="130" spans="1:32" x14ac:dyDescent="0.25">
      <c r="A130" s="56">
        <v>1940494</v>
      </c>
      <c r="B130" s="56" t="s">
        <v>1885</v>
      </c>
      <c r="C130" s="56" t="s">
        <v>2857</v>
      </c>
      <c r="D130" s="57">
        <v>59.759</v>
      </c>
      <c r="E130" s="57">
        <v>357.89699999999999</v>
      </c>
      <c r="F130" s="57">
        <v>0.35789699999999997</v>
      </c>
      <c r="G130" s="56" t="s">
        <v>392</v>
      </c>
      <c r="H130" s="56" t="s">
        <v>2511</v>
      </c>
      <c r="I130" s="56" t="s">
        <v>345</v>
      </c>
      <c r="J130" s="56" t="s">
        <v>1914</v>
      </c>
      <c r="K130" s="57">
        <v>358.57799999999997</v>
      </c>
      <c r="L130" s="56" t="s">
        <v>1914</v>
      </c>
      <c r="M130" s="56" t="s">
        <v>1123</v>
      </c>
      <c r="N130" s="56" t="s">
        <v>76</v>
      </c>
      <c r="O130" s="58">
        <v>293</v>
      </c>
      <c r="P130" s="59" t="s">
        <v>2524</v>
      </c>
      <c r="Q130" s="56" t="s">
        <v>2561</v>
      </c>
      <c r="U130" s="52">
        <v>1931824</v>
      </c>
      <c r="V130">
        <v>17.3</v>
      </c>
      <c r="W130">
        <v>0</v>
      </c>
      <c r="X130">
        <v>1.2</v>
      </c>
      <c r="Y130">
        <v>6</v>
      </c>
      <c r="Z130" t="s">
        <v>1883</v>
      </c>
      <c r="AA130" t="s">
        <v>963</v>
      </c>
      <c r="AB130" t="s">
        <v>2520</v>
      </c>
      <c r="AC130" t="s">
        <v>557</v>
      </c>
      <c r="AD130" t="s">
        <v>1838</v>
      </c>
      <c r="AE130" t="s">
        <v>2225</v>
      </c>
      <c r="AF130">
        <v>0.47621868000000001</v>
      </c>
    </row>
    <row r="131" spans="1:32" x14ac:dyDescent="0.25">
      <c r="A131" s="56">
        <v>1940497</v>
      </c>
      <c r="B131" s="56" t="s">
        <v>2858</v>
      </c>
      <c r="C131" s="56" t="s">
        <v>2859</v>
      </c>
      <c r="D131" s="57">
        <v>2200.4580000000001</v>
      </c>
      <c r="E131" s="57">
        <v>609.52700000000004</v>
      </c>
      <c r="F131" s="57">
        <v>0.60952700000000004</v>
      </c>
      <c r="G131" s="56" t="s">
        <v>392</v>
      </c>
      <c r="H131" s="56" t="s">
        <v>2511</v>
      </c>
      <c r="I131" s="56" t="s">
        <v>345</v>
      </c>
      <c r="J131" s="56" t="s">
        <v>1914</v>
      </c>
      <c r="K131" s="57">
        <v>539.02300000000002</v>
      </c>
      <c r="L131" s="56" t="s">
        <v>1914</v>
      </c>
      <c r="M131" s="56" t="s">
        <v>1123</v>
      </c>
      <c r="N131" s="56" t="s">
        <v>76</v>
      </c>
      <c r="O131" s="58">
        <v>262</v>
      </c>
      <c r="P131" s="59" t="s">
        <v>2524</v>
      </c>
      <c r="Q131" s="56" t="s">
        <v>2561</v>
      </c>
      <c r="U131" s="52">
        <v>3702201</v>
      </c>
      <c r="V131">
        <v>17.3</v>
      </c>
      <c r="W131">
        <v>0</v>
      </c>
      <c r="X131">
        <v>1.2</v>
      </c>
      <c r="Y131">
        <v>6</v>
      </c>
      <c r="Z131" t="s">
        <v>1881</v>
      </c>
      <c r="AA131" t="s">
        <v>963</v>
      </c>
      <c r="AB131" t="s">
        <v>2520</v>
      </c>
      <c r="AC131" t="s">
        <v>557</v>
      </c>
      <c r="AD131" t="s">
        <v>1838</v>
      </c>
      <c r="AE131" t="s">
        <v>2225</v>
      </c>
      <c r="AF131">
        <v>0.47621868000000001</v>
      </c>
    </row>
    <row r="132" spans="1:32" x14ac:dyDescent="0.25">
      <c r="A132" s="56">
        <v>1940498</v>
      </c>
      <c r="B132" s="56" t="s">
        <v>1535</v>
      </c>
      <c r="C132" s="56" t="s">
        <v>2860</v>
      </c>
      <c r="D132" s="57">
        <v>4597.4840000000004</v>
      </c>
      <c r="E132" s="58">
        <v>1462</v>
      </c>
      <c r="F132" s="57">
        <v>1.462</v>
      </c>
      <c r="G132" s="56" t="s">
        <v>392</v>
      </c>
      <c r="H132" s="56" t="s">
        <v>2511</v>
      </c>
      <c r="I132" s="56" t="s">
        <v>345</v>
      </c>
      <c r="J132" s="56" t="s">
        <v>2861</v>
      </c>
      <c r="K132" s="57">
        <v>1292.8900000000001</v>
      </c>
      <c r="L132" s="56" t="s">
        <v>2862</v>
      </c>
      <c r="M132" s="56" t="s">
        <v>2165</v>
      </c>
      <c r="N132" s="56" t="s">
        <v>61</v>
      </c>
      <c r="O132" s="58">
        <v>2</v>
      </c>
      <c r="P132" s="59" t="s">
        <v>2515</v>
      </c>
      <c r="Q132" s="56" t="s">
        <v>11</v>
      </c>
      <c r="U132" s="52">
        <v>1938118</v>
      </c>
      <c r="V132">
        <v>17.3</v>
      </c>
      <c r="W132">
        <v>0</v>
      </c>
      <c r="X132">
        <v>1.6</v>
      </c>
      <c r="Y132">
        <v>0.35499999999999998</v>
      </c>
      <c r="Z132" t="s">
        <v>1883</v>
      </c>
      <c r="AA132" t="s">
        <v>963</v>
      </c>
      <c r="AB132" t="s">
        <v>2520</v>
      </c>
      <c r="AC132" t="s">
        <v>978</v>
      </c>
      <c r="AD132" t="s">
        <v>2171</v>
      </c>
      <c r="AE132" t="s">
        <v>2226</v>
      </c>
      <c r="AF132">
        <v>0.21980992240000002</v>
      </c>
    </row>
    <row r="133" spans="1:32" x14ac:dyDescent="0.25">
      <c r="A133" s="56">
        <v>1940498</v>
      </c>
      <c r="B133" s="56" t="s">
        <v>1535</v>
      </c>
      <c r="C133" s="56" t="s">
        <v>2863</v>
      </c>
      <c r="D133" s="57">
        <v>5547.17</v>
      </c>
      <c r="E133" s="58">
        <v>1764</v>
      </c>
      <c r="F133" s="57">
        <v>1.764</v>
      </c>
      <c r="G133" s="56" t="s">
        <v>392</v>
      </c>
      <c r="H133" s="56" t="s">
        <v>2511</v>
      </c>
      <c r="I133" s="56" t="s">
        <v>345</v>
      </c>
      <c r="J133" s="56" t="s">
        <v>2864</v>
      </c>
      <c r="K133" s="57">
        <v>1559.9580000000001</v>
      </c>
      <c r="L133" s="56" t="s">
        <v>2862</v>
      </c>
      <c r="M133" s="56" t="s">
        <v>2165</v>
      </c>
      <c r="N133" s="56" t="s">
        <v>61</v>
      </c>
      <c r="O133" s="58">
        <v>2</v>
      </c>
      <c r="P133" s="59" t="s">
        <v>2515</v>
      </c>
      <c r="Q133" s="56" t="s">
        <v>11</v>
      </c>
      <c r="U133" s="52">
        <v>1938382</v>
      </c>
      <c r="V133">
        <v>17.3</v>
      </c>
      <c r="W133">
        <v>0</v>
      </c>
      <c r="X133">
        <v>1.6</v>
      </c>
      <c r="Y133">
        <v>0.38700000000000001</v>
      </c>
      <c r="Z133" t="s">
        <v>1883</v>
      </c>
      <c r="AA133" t="s">
        <v>963</v>
      </c>
      <c r="AB133" t="s">
        <v>2520</v>
      </c>
      <c r="AC133" t="s">
        <v>978</v>
      </c>
      <c r="AD133" t="s">
        <v>2171</v>
      </c>
      <c r="AE133" t="s">
        <v>2865</v>
      </c>
      <c r="AF133">
        <v>0.23962377456000006</v>
      </c>
    </row>
    <row r="134" spans="1:32" x14ac:dyDescent="0.25">
      <c r="A134" s="56">
        <v>1940504</v>
      </c>
      <c r="B134" s="56" t="s">
        <v>2036</v>
      </c>
      <c r="C134" s="56" t="s">
        <v>2866</v>
      </c>
      <c r="D134" s="57">
        <v>450.23399999999998</v>
      </c>
      <c r="E134" s="57">
        <v>253.93199999999999</v>
      </c>
      <c r="F134" s="57">
        <v>0.25393199999999999</v>
      </c>
      <c r="G134" s="56" t="s">
        <v>392</v>
      </c>
      <c r="H134" s="56" t="s">
        <v>2511</v>
      </c>
      <c r="I134" s="56" t="s">
        <v>345</v>
      </c>
      <c r="J134" s="56" t="s">
        <v>1914</v>
      </c>
      <c r="K134" s="57">
        <v>224.56</v>
      </c>
      <c r="L134" s="56" t="s">
        <v>1914</v>
      </c>
      <c r="M134" s="56" t="s">
        <v>1123</v>
      </c>
      <c r="N134" s="56" t="s">
        <v>45</v>
      </c>
      <c r="O134" s="58">
        <v>262</v>
      </c>
      <c r="P134" s="59" t="s">
        <v>2524</v>
      </c>
      <c r="Q134" s="56" t="s">
        <v>11</v>
      </c>
      <c r="U134" s="52">
        <v>1938119</v>
      </c>
      <c r="V134">
        <v>17.3</v>
      </c>
      <c r="W134">
        <v>0</v>
      </c>
      <c r="X134">
        <v>1.6</v>
      </c>
      <c r="Y134">
        <v>0.4</v>
      </c>
      <c r="Z134" t="s">
        <v>1883</v>
      </c>
      <c r="AA134" t="s">
        <v>963</v>
      </c>
      <c r="AB134" t="s">
        <v>2520</v>
      </c>
      <c r="AC134" t="s">
        <v>978</v>
      </c>
      <c r="AD134" t="s">
        <v>2171</v>
      </c>
      <c r="AE134" t="s">
        <v>2227</v>
      </c>
      <c r="AF134">
        <v>0.24767315200000006</v>
      </c>
    </row>
    <row r="135" spans="1:32" x14ac:dyDescent="0.25">
      <c r="A135" s="56">
        <v>1940510</v>
      </c>
      <c r="B135" s="56" t="s">
        <v>1536</v>
      </c>
      <c r="C135" s="56" t="s">
        <v>2867</v>
      </c>
      <c r="D135" s="57">
        <v>219.89699999999999</v>
      </c>
      <c r="E135" s="58">
        <v>1492</v>
      </c>
      <c r="F135" s="57">
        <v>1.492</v>
      </c>
      <c r="G135" s="56" t="s">
        <v>392</v>
      </c>
      <c r="H135" s="56" t="s">
        <v>2511</v>
      </c>
      <c r="I135" s="56" t="s">
        <v>345</v>
      </c>
      <c r="J135" s="56" t="s">
        <v>2868</v>
      </c>
      <c r="K135" s="57">
        <v>1319.42</v>
      </c>
      <c r="L135" s="56" t="s">
        <v>1914</v>
      </c>
      <c r="M135" s="56" t="s">
        <v>1123</v>
      </c>
      <c r="N135" s="56" t="s">
        <v>46</v>
      </c>
      <c r="O135" s="58">
        <v>3</v>
      </c>
      <c r="P135" s="59" t="s">
        <v>2515</v>
      </c>
      <c r="Q135" s="56" t="s">
        <v>11</v>
      </c>
      <c r="U135" s="52">
        <v>1938163</v>
      </c>
      <c r="V135">
        <v>17.3</v>
      </c>
      <c r="W135">
        <v>0</v>
      </c>
      <c r="X135">
        <v>1.6</v>
      </c>
      <c r="Y135">
        <v>0.64</v>
      </c>
      <c r="Z135" t="s">
        <v>1883</v>
      </c>
      <c r="AA135" t="s">
        <v>963</v>
      </c>
      <c r="AB135" t="s">
        <v>2520</v>
      </c>
      <c r="AC135" t="s">
        <v>978</v>
      </c>
      <c r="AD135" t="s">
        <v>2171</v>
      </c>
      <c r="AE135" t="s">
        <v>2869</v>
      </c>
      <c r="AF135">
        <v>0.39627704320000007</v>
      </c>
    </row>
    <row r="136" spans="1:32" x14ac:dyDescent="0.25">
      <c r="A136" s="56">
        <v>1940510</v>
      </c>
      <c r="B136" s="56" t="s">
        <v>1536</v>
      </c>
      <c r="C136" s="56" t="s">
        <v>2870</v>
      </c>
      <c r="D136" s="57">
        <v>46.643000000000001</v>
      </c>
      <c r="E136" s="57">
        <v>316.471</v>
      </c>
      <c r="F136" s="57">
        <v>0.316471</v>
      </c>
      <c r="G136" s="56" t="s">
        <v>392</v>
      </c>
      <c r="H136" s="56" t="s">
        <v>2511</v>
      </c>
      <c r="I136" s="56" t="s">
        <v>345</v>
      </c>
      <c r="J136" s="56" t="s">
        <v>2871</v>
      </c>
      <c r="K136" s="57">
        <v>279.86500000000001</v>
      </c>
      <c r="L136" s="56" t="s">
        <v>1914</v>
      </c>
      <c r="M136" s="56" t="s">
        <v>1123</v>
      </c>
      <c r="N136" s="56" t="s">
        <v>46</v>
      </c>
      <c r="O136" s="58">
        <v>3</v>
      </c>
      <c r="P136" s="59" t="s">
        <v>2515</v>
      </c>
      <c r="Q136" s="56" t="s">
        <v>11</v>
      </c>
      <c r="U136" s="52">
        <v>1931823</v>
      </c>
      <c r="V136">
        <v>17.3</v>
      </c>
      <c r="W136">
        <v>0</v>
      </c>
      <c r="X136">
        <v>1.6</v>
      </c>
      <c r="Y136">
        <v>6</v>
      </c>
      <c r="Z136" t="s">
        <v>1883</v>
      </c>
      <c r="AA136" t="s">
        <v>963</v>
      </c>
      <c r="AB136" t="s">
        <v>2520</v>
      </c>
      <c r="AC136" t="s">
        <v>978</v>
      </c>
      <c r="AD136" t="s">
        <v>1838</v>
      </c>
      <c r="AE136" t="s">
        <v>2228</v>
      </c>
      <c r="AF136">
        <v>0.6191828800000001</v>
      </c>
    </row>
    <row r="137" spans="1:32" x14ac:dyDescent="0.25">
      <c r="A137" s="56">
        <v>1940538</v>
      </c>
      <c r="B137" s="56" t="s">
        <v>1553</v>
      </c>
      <c r="C137" s="56" t="s">
        <v>2872</v>
      </c>
      <c r="D137" s="57">
        <v>491.24</v>
      </c>
      <c r="E137" s="57">
        <v>297.2</v>
      </c>
      <c r="F137" s="57">
        <v>0.29719999999999996</v>
      </c>
      <c r="G137" s="56" t="s">
        <v>392</v>
      </c>
      <c r="H137" s="56" t="s">
        <v>2511</v>
      </c>
      <c r="I137" s="56" t="s">
        <v>345</v>
      </c>
      <c r="J137" s="56" t="s">
        <v>2627</v>
      </c>
      <c r="K137" s="57">
        <v>414.85199999999998</v>
      </c>
      <c r="L137" s="56" t="s">
        <v>2873</v>
      </c>
      <c r="M137" s="56" t="s">
        <v>2537</v>
      </c>
      <c r="N137" s="56" t="s">
        <v>151</v>
      </c>
      <c r="O137" s="58">
        <v>96</v>
      </c>
      <c r="P137" s="59" t="s">
        <v>2524</v>
      </c>
      <c r="Q137" s="56" t="s">
        <v>11</v>
      </c>
      <c r="U137" s="52">
        <v>3702200</v>
      </c>
      <c r="V137">
        <v>17.3</v>
      </c>
      <c r="W137">
        <v>0</v>
      </c>
      <c r="X137">
        <v>1.6</v>
      </c>
      <c r="Y137">
        <v>6</v>
      </c>
      <c r="Z137" t="s">
        <v>1881</v>
      </c>
      <c r="AA137" t="s">
        <v>963</v>
      </c>
      <c r="AB137" t="s">
        <v>2520</v>
      </c>
      <c r="AC137" t="s">
        <v>978</v>
      </c>
      <c r="AD137" t="s">
        <v>1838</v>
      </c>
      <c r="AE137" t="s">
        <v>2228</v>
      </c>
      <c r="AF137">
        <v>0.6191828800000001</v>
      </c>
    </row>
    <row r="138" spans="1:32" x14ac:dyDescent="0.25">
      <c r="A138" s="56">
        <v>1940538</v>
      </c>
      <c r="B138" s="56" t="s">
        <v>1553</v>
      </c>
      <c r="C138" s="56" t="s">
        <v>2874</v>
      </c>
      <c r="D138" s="57">
        <v>280.99200000000002</v>
      </c>
      <c r="E138" s="58">
        <v>170</v>
      </c>
      <c r="F138" s="57">
        <v>0.17</v>
      </c>
      <c r="G138" s="56" t="s">
        <v>392</v>
      </c>
      <c r="H138" s="56" t="s">
        <v>2511</v>
      </c>
      <c r="I138" s="56" t="s">
        <v>345</v>
      </c>
      <c r="J138" s="56" t="s">
        <v>2875</v>
      </c>
      <c r="K138" s="57">
        <v>237.298</v>
      </c>
      <c r="L138" s="56" t="s">
        <v>2876</v>
      </c>
      <c r="M138" s="56" t="s">
        <v>2877</v>
      </c>
      <c r="N138" s="56" t="s">
        <v>151</v>
      </c>
      <c r="O138" s="58">
        <v>94</v>
      </c>
      <c r="P138" s="59" t="s">
        <v>2524</v>
      </c>
      <c r="Q138" s="56" t="s">
        <v>11</v>
      </c>
      <c r="U138" s="52">
        <v>2410642</v>
      </c>
      <c r="V138">
        <v>18</v>
      </c>
      <c r="W138">
        <v>10.8</v>
      </c>
      <c r="X138">
        <v>3.6</v>
      </c>
      <c r="Y138">
        <v>6</v>
      </c>
      <c r="Z138" t="s">
        <v>1874</v>
      </c>
      <c r="AA138" t="s">
        <v>1003</v>
      </c>
      <c r="AB138" t="s">
        <v>2517</v>
      </c>
      <c r="AC138" t="s">
        <v>2878</v>
      </c>
      <c r="AD138" t="s">
        <v>1838</v>
      </c>
      <c r="AE138" t="s">
        <v>2879</v>
      </c>
      <c r="AF138">
        <v>1.2778041600000001</v>
      </c>
    </row>
    <row r="139" spans="1:32" x14ac:dyDescent="0.25">
      <c r="A139" s="56">
        <v>1940538</v>
      </c>
      <c r="B139" s="56" t="s">
        <v>1553</v>
      </c>
      <c r="C139" s="56" t="s">
        <v>2880</v>
      </c>
      <c r="D139" s="57">
        <v>175.20699999999999</v>
      </c>
      <c r="E139" s="58">
        <v>106</v>
      </c>
      <c r="F139" s="57">
        <v>0.106</v>
      </c>
      <c r="G139" s="56" t="s">
        <v>392</v>
      </c>
      <c r="H139" s="56" t="s">
        <v>2511</v>
      </c>
      <c r="I139" s="56" t="s">
        <v>345</v>
      </c>
      <c r="J139" s="56" t="s">
        <v>2881</v>
      </c>
      <c r="K139" s="57">
        <v>147.96199999999999</v>
      </c>
      <c r="L139" s="56" t="s">
        <v>2876</v>
      </c>
      <c r="M139" s="56" t="s">
        <v>2877</v>
      </c>
      <c r="N139" s="56" t="s">
        <v>151</v>
      </c>
      <c r="O139" s="58">
        <v>90</v>
      </c>
      <c r="P139" s="59" t="s">
        <v>2579</v>
      </c>
      <c r="Q139" s="56" t="s">
        <v>11</v>
      </c>
      <c r="U139" s="52">
        <v>1938116</v>
      </c>
      <c r="V139">
        <v>18.2</v>
      </c>
      <c r="W139">
        <v>0</v>
      </c>
      <c r="X139">
        <v>1</v>
      </c>
      <c r="Y139">
        <v>0.11</v>
      </c>
      <c r="Z139" t="s">
        <v>1883</v>
      </c>
      <c r="AA139" t="s">
        <v>963</v>
      </c>
      <c r="AB139" t="s">
        <v>2520</v>
      </c>
      <c r="AC139" t="s">
        <v>980</v>
      </c>
      <c r="AD139" t="s">
        <v>2171</v>
      </c>
      <c r="AE139" t="s">
        <v>2229</v>
      </c>
      <c r="AF139">
        <v>4.6635907999999997E-2</v>
      </c>
    </row>
    <row r="140" spans="1:32" x14ac:dyDescent="0.25">
      <c r="A140" s="56">
        <v>1940538</v>
      </c>
      <c r="B140" s="56" t="s">
        <v>1553</v>
      </c>
      <c r="C140" s="56" t="s">
        <v>2882</v>
      </c>
      <c r="D140" s="57">
        <v>2363.636</v>
      </c>
      <c r="E140" s="58">
        <v>1430</v>
      </c>
      <c r="F140" s="57">
        <v>1.43</v>
      </c>
      <c r="G140" s="56" t="s">
        <v>392</v>
      </c>
      <c r="H140" s="56" t="s">
        <v>2511</v>
      </c>
      <c r="I140" s="56" t="s">
        <v>345</v>
      </c>
      <c r="J140" s="56" t="s">
        <v>2883</v>
      </c>
      <c r="K140" s="57">
        <v>1996.0920000000001</v>
      </c>
      <c r="L140" s="56" t="s">
        <v>2884</v>
      </c>
      <c r="M140" s="56" t="s">
        <v>2768</v>
      </c>
      <c r="N140" s="56" t="s">
        <v>151</v>
      </c>
      <c r="O140" s="58">
        <v>95</v>
      </c>
      <c r="P140" s="59" t="s">
        <v>2524</v>
      </c>
      <c r="Q140" s="56" t="s">
        <v>11</v>
      </c>
      <c r="U140" s="52">
        <v>1938117</v>
      </c>
      <c r="V140">
        <v>18.2</v>
      </c>
      <c r="W140">
        <v>0</v>
      </c>
      <c r="X140">
        <v>1</v>
      </c>
      <c r="Y140">
        <v>0.14499999999999999</v>
      </c>
      <c r="Z140" t="s">
        <v>1883</v>
      </c>
      <c r="AA140" t="s">
        <v>963</v>
      </c>
      <c r="AB140" t="s">
        <v>2520</v>
      </c>
      <c r="AC140" t="s">
        <v>980</v>
      </c>
      <c r="AD140" t="s">
        <v>2171</v>
      </c>
      <c r="AE140" t="s">
        <v>2232</v>
      </c>
      <c r="AF140">
        <v>6.1474605999999994E-2</v>
      </c>
    </row>
    <row r="141" spans="1:32" x14ac:dyDescent="0.25">
      <c r="A141" s="56">
        <v>1940538</v>
      </c>
      <c r="B141" s="56" t="s">
        <v>1553</v>
      </c>
      <c r="C141" s="56" t="s">
        <v>2885</v>
      </c>
      <c r="D141" s="57">
        <v>1971.9010000000001</v>
      </c>
      <c r="E141" s="58">
        <v>1193</v>
      </c>
      <c r="F141" s="57">
        <v>1.1930000000000001</v>
      </c>
      <c r="G141" s="56" t="s">
        <v>392</v>
      </c>
      <c r="H141" s="56" t="s">
        <v>2511</v>
      </c>
      <c r="I141" s="56" t="s">
        <v>345</v>
      </c>
      <c r="J141" s="56" t="s">
        <v>1914</v>
      </c>
      <c r="K141" s="57">
        <v>1665.271</v>
      </c>
      <c r="L141" s="56" t="s">
        <v>2884</v>
      </c>
      <c r="M141" s="56" t="s">
        <v>2768</v>
      </c>
      <c r="N141" s="56" t="s">
        <v>151</v>
      </c>
      <c r="O141" s="58">
        <v>94</v>
      </c>
      <c r="P141" s="59" t="s">
        <v>2524</v>
      </c>
      <c r="Q141" s="56" t="s">
        <v>11</v>
      </c>
      <c r="U141" s="52">
        <v>2288945</v>
      </c>
      <c r="V141">
        <v>18.2</v>
      </c>
      <c r="W141">
        <v>0</v>
      </c>
      <c r="X141">
        <v>1</v>
      </c>
      <c r="Y141">
        <v>6.1449999999999996</v>
      </c>
      <c r="Z141" t="s">
        <v>1881</v>
      </c>
      <c r="AA141" t="s">
        <v>963</v>
      </c>
      <c r="AB141" t="s">
        <v>2520</v>
      </c>
      <c r="AC141" t="s">
        <v>980</v>
      </c>
      <c r="AD141" t="s">
        <v>1838</v>
      </c>
      <c r="AE141" t="s">
        <v>2233</v>
      </c>
      <c r="AF141">
        <v>0.42396279999999997</v>
      </c>
    </row>
    <row r="142" spans="1:32" x14ac:dyDescent="0.25">
      <c r="A142" s="56">
        <v>1940584</v>
      </c>
      <c r="B142" s="56" t="s">
        <v>779</v>
      </c>
      <c r="C142" s="56" t="s">
        <v>2886</v>
      </c>
      <c r="D142" s="57">
        <v>267</v>
      </c>
      <c r="E142" s="57">
        <v>86.507999999999996</v>
      </c>
      <c r="F142" s="57">
        <v>8.6508000000000002E-2</v>
      </c>
      <c r="G142" s="56" t="s">
        <v>392</v>
      </c>
      <c r="H142" s="56" t="s">
        <v>2511</v>
      </c>
      <c r="I142" s="56" t="s">
        <v>345</v>
      </c>
      <c r="J142" s="56" t="s">
        <v>2887</v>
      </c>
      <c r="K142" s="57">
        <v>74.924999999999997</v>
      </c>
      <c r="L142" s="56" t="s">
        <v>2888</v>
      </c>
      <c r="M142" s="56" t="s">
        <v>2166</v>
      </c>
      <c r="N142" s="56" t="s">
        <v>61</v>
      </c>
      <c r="O142" s="58">
        <v>6</v>
      </c>
      <c r="P142" s="59" t="s">
        <v>2515</v>
      </c>
      <c r="Q142" s="56" t="s">
        <v>11</v>
      </c>
      <c r="U142">
        <v>3702439</v>
      </c>
      <c r="V142">
        <v>18.2</v>
      </c>
      <c r="W142">
        <v>0</v>
      </c>
      <c r="X142">
        <v>1</v>
      </c>
      <c r="Y142">
        <v>6.1449999999999996</v>
      </c>
      <c r="Z142" t="s">
        <v>1881</v>
      </c>
      <c r="AA142" t="s">
        <v>963</v>
      </c>
      <c r="AB142" t="s">
        <v>2520</v>
      </c>
      <c r="AC142" t="s">
        <v>981</v>
      </c>
      <c r="AD142" t="s">
        <v>1838</v>
      </c>
      <c r="AE142" t="s">
        <v>2892</v>
      </c>
      <c r="AF142" t="e">
        <f>IF([4]!buckets[[#This Row],[LL or CTL]]="LL",(3.14*([4]!buckets[[#This Row],[OD]]-[4]!buckets[[#This Row],[Thickness]])*[4]!buckets[[#This Row],[Thickness]]*1000*7.85)/1000000,(3.14*([4]!buckets[[#This Row],[OD]]-[4]!buckets[[#This Row],[Thickness]])*[4]!buckets[[#This Row],[Thickness]]*[4]!buckets[[#This Row],[Length]]*1000*7.85)/1000000)</f>
        <v>#REF!</v>
      </c>
    </row>
    <row r="143" spans="1:32" x14ac:dyDescent="0.25">
      <c r="A143" s="56">
        <v>1940588</v>
      </c>
      <c r="B143" s="56" t="s">
        <v>797</v>
      </c>
      <c r="C143" s="56" t="s">
        <v>2889</v>
      </c>
      <c r="D143" s="57">
        <v>2042.366</v>
      </c>
      <c r="E143" s="57">
        <v>837.37</v>
      </c>
      <c r="F143" s="57">
        <v>0.83737000000000006</v>
      </c>
      <c r="G143" s="56" t="s">
        <v>392</v>
      </c>
      <c r="H143" s="56" t="s">
        <v>2511</v>
      </c>
      <c r="I143" s="56" t="s">
        <v>345</v>
      </c>
      <c r="J143" s="56" t="s">
        <v>2890</v>
      </c>
      <c r="K143" s="57">
        <v>725.24699999999996</v>
      </c>
      <c r="L143" s="56" t="s">
        <v>2891</v>
      </c>
      <c r="M143" s="56" t="s">
        <v>2605</v>
      </c>
      <c r="N143" s="56" t="s">
        <v>52</v>
      </c>
      <c r="O143" s="58">
        <v>14</v>
      </c>
      <c r="P143" s="59" t="s">
        <v>2515</v>
      </c>
      <c r="Q143" s="56" t="s">
        <v>2516</v>
      </c>
      <c r="U143" s="52">
        <v>2410998</v>
      </c>
      <c r="V143">
        <v>18.2</v>
      </c>
      <c r="W143">
        <v>0</v>
      </c>
      <c r="X143">
        <v>2.95</v>
      </c>
      <c r="Y143">
        <v>6</v>
      </c>
      <c r="Z143" t="s">
        <v>1874</v>
      </c>
      <c r="AA143" t="s">
        <v>1003</v>
      </c>
      <c r="AB143" t="s">
        <v>2517</v>
      </c>
      <c r="AC143" t="s">
        <v>981</v>
      </c>
      <c r="AD143" t="s">
        <v>1838</v>
      </c>
      <c r="AE143" t="s">
        <v>2892</v>
      </c>
      <c r="AF143">
        <v>1.1088968875</v>
      </c>
    </row>
    <row r="144" spans="1:32" x14ac:dyDescent="0.25">
      <c r="A144" s="56">
        <v>1940626</v>
      </c>
      <c r="B144" s="56" t="s">
        <v>583</v>
      </c>
      <c r="C144" s="56" t="s">
        <v>2893</v>
      </c>
      <c r="D144" s="57">
        <v>398.51799999999997</v>
      </c>
      <c r="E144" s="57">
        <v>248.27699999999999</v>
      </c>
      <c r="F144" s="57">
        <v>0.248277</v>
      </c>
      <c r="G144" s="56" t="s">
        <v>392</v>
      </c>
      <c r="H144" s="56" t="s">
        <v>2511</v>
      </c>
      <c r="I144" s="56" t="s">
        <v>345</v>
      </c>
      <c r="J144" s="56" t="s">
        <v>1914</v>
      </c>
      <c r="K144" s="57">
        <v>189.30799999999999</v>
      </c>
      <c r="L144" s="56" t="s">
        <v>2894</v>
      </c>
      <c r="M144" s="56" t="s">
        <v>2895</v>
      </c>
      <c r="N144" s="56" t="s">
        <v>17</v>
      </c>
      <c r="O144" s="58">
        <v>2</v>
      </c>
      <c r="P144" s="59" t="s">
        <v>2515</v>
      </c>
      <c r="Q144" s="56" t="s">
        <v>192</v>
      </c>
      <c r="U144" s="28">
        <v>4032064</v>
      </c>
      <c r="V144">
        <v>18.2</v>
      </c>
      <c r="W144">
        <v>12.1</v>
      </c>
      <c r="X144">
        <v>2.95</v>
      </c>
      <c r="Y144">
        <v>4.5</v>
      </c>
      <c r="Z144" t="s">
        <v>1874</v>
      </c>
      <c r="AA144" t="s">
        <v>2517</v>
      </c>
      <c r="AB144" t="s">
        <v>1003</v>
      </c>
      <c r="AC144" t="s">
        <v>981</v>
      </c>
      <c r="AD144" t="s">
        <v>1838</v>
      </c>
      <c r="AE144" t="s">
        <v>2892</v>
      </c>
      <c r="AF144">
        <v>1.1088968875</v>
      </c>
    </row>
    <row r="145" spans="1:32" x14ac:dyDescent="0.25">
      <c r="A145" s="56">
        <v>1940627</v>
      </c>
      <c r="B145" s="56" t="s">
        <v>1587</v>
      </c>
      <c r="C145" s="56" t="s">
        <v>2896</v>
      </c>
      <c r="D145" s="57">
        <v>18.3</v>
      </c>
      <c r="E145" s="58">
        <v>220</v>
      </c>
      <c r="F145" s="57">
        <v>0.22</v>
      </c>
      <c r="G145" s="56" t="s">
        <v>392</v>
      </c>
      <c r="H145" s="56" t="s">
        <v>2511</v>
      </c>
      <c r="I145" s="56" t="s">
        <v>345</v>
      </c>
      <c r="J145" s="56" t="s">
        <v>2584</v>
      </c>
      <c r="K145" s="57">
        <v>109.80200000000001</v>
      </c>
      <c r="L145" s="56" t="s">
        <v>2897</v>
      </c>
      <c r="M145" s="56" t="s">
        <v>2537</v>
      </c>
      <c r="N145" s="56" t="s">
        <v>39</v>
      </c>
      <c r="O145" s="58">
        <v>6</v>
      </c>
      <c r="P145" s="59" t="s">
        <v>2515</v>
      </c>
      <c r="Q145" s="56" t="s">
        <v>2516</v>
      </c>
      <c r="U145" s="52">
        <v>3842023</v>
      </c>
      <c r="V145">
        <v>19</v>
      </c>
      <c r="W145">
        <v>12.5</v>
      </c>
      <c r="X145">
        <v>3.25</v>
      </c>
      <c r="Y145">
        <v>0.18</v>
      </c>
      <c r="Z145" t="s">
        <v>1874</v>
      </c>
      <c r="AA145" t="s">
        <v>1003</v>
      </c>
      <c r="AB145" t="s">
        <v>2517</v>
      </c>
      <c r="AC145" t="s">
        <v>590</v>
      </c>
      <c r="AD145" t="s">
        <v>2171</v>
      </c>
      <c r="AE145" t="s">
        <v>2237</v>
      </c>
      <c r="AF145">
        <v>0.22710972374999999</v>
      </c>
    </row>
    <row r="146" spans="1:32" x14ac:dyDescent="0.25">
      <c r="A146" s="56">
        <v>1940653</v>
      </c>
      <c r="B146" s="56" t="s">
        <v>1601</v>
      </c>
      <c r="C146" s="56" t="s">
        <v>2898</v>
      </c>
      <c r="D146" s="57">
        <v>1029.5050000000001</v>
      </c>
      <c r="E146" s="57">
        <v>623.88</v>
      </c>
      <c r="F146" s="57">
        <v>0.62387999999999999</v>
      </c>
      <c r="G146" s="56" t="s">
        <v>392</v>
      </c>
      <c r="H146" s="56" t="s">
        <v>2511</v>
      </c>
      <c r="I146" s="56" t="s">
        <v>345</v>
      </c>
      <c r="J146" s="56" t="s">
        <v>2899</v>
      </c>
      <c r="K146" s="57">
        <v>689.82799999999997</v>
      </c>
      <c r="L146" s="56" t="s">
        <v>2900</v>
      </c>
      <c r="M146" s="56" t="s">
        <v>2548</v>
      </c>
      <c r="N146" s="56" t="s">
        <v>151</v>
      </c>
      <c r="O146" s="58">
        <v>3</v>
      </c>
      <c r="P146" s="59" t="s">
        <v>2515</v>
      </c>
      <c r="Q146" s="56" t="s">
        <v>11</v>
      </c>
      <c r="U146" s="52">
        <v>3545493</v>
      </c>
      <c r="V146">
        <v>19</v>
      </c>
      <c r="W146">
        <v>12.5</v>
      </c>
      <c r="X146">
        <v>3.25</v>
      </c>
      <c r="Y146">
        <v>0.18</v>
      </c>
      <c r="Z146" t="s">
        <v>1874</v>
      </c>
      <c r="AA146" t="s">
        <v>1003</v>
      </c>
      <c r="AB146" t="s">
        <v>2517</v>
      </c>
      <c r="AC146" t="s">
        <v>590</v>
      </c>
      <c r="AD146" t="s">
        <v>2171</v>
      </c>
      <c r="AE146" t="s">
        <v>2237</v>
      </c>
      <c r="AF146">
        <v>0.22710972374999999</v>
      </c>
    </row>
    <row r="147" spans="1:32" x14ac:dyDescent="0.25">
      <c r="A147" s="56">
        <v>1940716</v>
      </c>
      <c r="B147" s="56" t="s">
        <v>2901</v>
      </c>
      <c r="C147" s="56" t="s">
        <v>2902</v>
      </c>
      <c r="D147" s="57">
        <v>8.3330000000000002</v>
      </c>
      <c r="E147" s="58">
        <v>100</v>
      </c>
      <c r="F147" s="57">
        <v>0.1</v>
      </c>
      <c r="G147" s="56" t="s">
        <v>392</v>
      </c>
      <c r="H147" s="56" t="s">
        <v>2511</v>
      </c>
      <c r="I147" s="56" t="s">
        <v>345</v>
      </c>
      <c r="J147" s="56" t="s">
        <v>2903</v>
      </c>
      <c r="K147" s="57">
        <v>49.997999999999998</v>
      </c>
      <c r="L147" s="56" t="s">
        <v>2904</v>
      </c>
      <c r="M147" s="56" t="s">
        <v>2605</v>
      </c>
      <c r="N147" s="56" t="s">
        <v>37</v>
      </c>
      <c r="O147" s="58">
        <v>6</v>
      </c>
      <c r="P147" s="59" t="s">
        <v>2515</v>
      </c>
      <c r="Q147" s="56" t="s">
        <v>11</v>
      </c>
      <c r="U147" s="52">
        <v>3842024</v>
      </c>
      <c r="V147">
        <v>19</v>
      </c>
      <c r="W147">
        <v>12.5</v>
      </c>
      <c r="X147">
        <v>3.25</v>
      </c>
      <c r="Y147">
        <v>0.19500000000000001</v>
      </c>
      <c r="Z147" t="s">
        <v>1874</v>
      </c>
      <c r="AA147" t="s">
        <v>1003</v>
      </c>
      <c r="AB147" t="s">
        <v>2517</v>
      </c>
      <c r="AC147" t="s">
        <v>590</v>
      </c>
      <c r="AD147" t="s">
        <v>2171</v>
      </c>
      <c r="AE147" t="s">
        <v>2239</v>
      </c>
      <c r="AF147">
        <v>0.24603553406250001</v>
      </c>
    </row>
    <row r="148" spans="1:32" x14ac:dyDescent="0.25">
      <c r="A148" s="56">
        <v>1940730</v>
      </c>
      <c r="B148" s="56" t="s">
        <v>1640</v>
      </c>
      <c r="C148" s="56" t="s">
        <v>2905</v>
      </c>
      <c r="D148" s="57">
        <v>619.24199999999996</v>
      </c>
      <c r="E148" s="57">
        <v>435.327</v>
      </c>
      <c r="F148" s="57">
        <v>0.43532700000000002</v>
      </c>
      <c r="G148" s="56" t="s">
        <v>392</v>
      </c>
      <c r="H148" s="56" t="s">
        <v>2511</v>
      </c>
      <c r="I148" s="56" t="s">
        <v>345</v>
      </c>
      <c r="J148" s="56" t="s">
        <v>2906</v>
      </c>
      <c r="K148" s="57">
        <v>302.16399999999999</v>
      </c>
      <c r="L148" s="56" t="s">
        <v>2907</v>
      </c>
      <c r="M148" s="56" t="s">
        <v>2609</v>
      </c>
      <c r="N148" s="56" t="s">
        <v>151</v>
      </c>
      <c r="O148" s="58">
        <v>79</v>
      </c>
      <c r="P148" s="59" t="s">
        <v>2579</v>
      </c>
      <c r="Q148" s="56" t="s">
        <v>11</v>
      </c>
      <c r="U148" s="52">
        <v>3545492</v>
      </c>
      <c r="V148">
        <v>19</v>
      </c>
      <c r="W148">
        <v>12.5</v>
      </c>
      <c r="X148">
        <v>3.25</v>
      </c>
      <c r="Y148">
        <v>0.19500000000000001</v>
      </c>
      <c r="Z148" t="s">
        <v>1874</v>
      </c>
      <c r="AA148" t="s">
        <v>1003</v>
      </c>
      <c r="AB148" t="s">
        <v>2517</v>
      </c>
      <c r="AC148" t="s">
        <v>590</v>
      </c>
      <c r="AD148" t="s">
        <v>2171</v>
      </c>
      <c r="AE148" t="s">
        <v>2239</v>
      </c>
      <c r="AF148">
        <v>0.24603553406250001</v>
      </c>
    </row>
    <row r="149" spans="1:32" x14ac:dyDescent="0.25">
      <c r="A149" s="56">
        <v>1940732</v>
      </c>
      <c r="B149" s="56" t="s">
        <v>1954</v>
      </c>
      <c r="C149" s="56" t="s">
        <v>2908</v>
      </c>
      <c r="D149" s="57">
        <v>68.019000000000005</v>
      </c>
      <c r="E149" s="57">
        <v>80.466999999999999</v>
      </c>
      <c r="F149" s="57">
        <v>8.0466999999999997E-2</v>
      </c>
      <c r="G149" s="56" t="s">
        <v>392</v>
      </c>
      <c r="H149" s="56" t="s">
        <v>2511</v>
      </c>
      <c r="I149" s="56" t="s">
        <v>345</v>
      </c>
      <c r="J149" s="56" t="s">
        <v>2909</v>
      </c>
      <c r="K149" s="57">
        <v>55.853000000000002</v>
      </c>
      <c r="L149" s="56" t="s">
        <v>2910</v>
      </c>
      <c r="M149" s="56" t="s">
        <v>2609</v>
      </c>
      <c r="N149" s="56" t="s">
        <v>39</v>
      </c>
      <c r="O149" s="58">
        <v>24</v>
      </c>
      <c r="P149" s="59" t="s">
        <v>2515</v>
      </c>
      <c r="Q149" s="56" t="s">
        <v>2516</v>
      </c>
      <c r="U149" s="52">
        <v>1939459</v>
      </c>
      <c r="V149">
        <v>19</v>
      </c>
      <c r="W149">
        <v>12.5</v>
      </c>
      <c r="X149">
        <v>3.25</v>
      </c>
      <c r="Y149">
        <v>0.215</v>
      </c>
      <c r="Z149" t="s">
        <v>1874</v>
      </c>
      <c r="AA149" t="s">
        <v>1003</v>
      </c>
      <c r="AB149" t="s">
        <v>2517</v>
      </c>
      <c r="AC149" t="s">
        <v>590</v>
      </c>
      <c r="AD149" t="s">
        <v>2171</v>
      </c>
      <c r="AE149" t="s">
        <v>2911</v>
      </c>
      <c r="AF149">
        <v>0.27126994781249997</v>
      </c>
    </row>
    <row r="150" spans="1:32" x14ac:dyDescent="0.25">
      <c r="A150" s="56">
        <v>1940739</v>
      </c>
      <c r="B150" s="56" t="s">
        <v>1649</v>
      </c>
      <c r="C150" s="56" t="s">
        <v>2912</v>
      </c>
      <c r="D150" s="57">
        <v>144.75399999999999</v>
      </c>
      <c r="E150" s="57">
        <v>125.791</v>
      </c>
      <c r="F150" s="57">
        <v>0.12579099999999999</v>
      </c>
      <c r="G150" s="56" t="s">
        <v>392</v>
      </c>
      <c r="H150" s="56" t="s">
        <v>2511</v>
      </c>
      <c r="I150" s="56" t="s">
        <v>345</v>
      </c>
      <c r="J150" s="56" t="s">
        <v>2913</v>
      </c>
      <c r="K150" s="57">
        <v>70.620999999999995</v>
      </c>
      <c r="L150" s="56" t="s">
        <v>2914</v>
      </c>
      <c r="M150" s="56" t="s">
        <v>2589</v>
      </c>
      <c r="N150" s="56" t="s">
        <v>151</v>
      </c>
      <c r="O150" s="58">
        <v>121</v>
      </c>
      <c r="P150" s="59" t="s">
        <v>2524</v>
      </c>
      <c r="Q150" s="56" t="s">
        <v>11</v>
      </c>
      <c r="U150" s="52">
        <v>3545491</v>
      </c>
      <c r="V150">
        <v>19</v>
      </c>
      <c r="W150">
        <v>12.5</v>
      </c>
      <c r="X150">
        <v>3.25</v>
      </c>
      <c r="Y150">
        <v>0.31900000000000001</v>
      </c>
      <c r="Z150" t="s">
        <v>1874</v>
      </c>
      <c r="AA150" t="s">
        <v>1003</v>
      </c>
      <c r="AB150" t="s">
        <v>2517</v>
      </c>
      <c r="AC150" t="s">
        <v>590</v>
      </c>
      <c r="AD150" t="s">
        <v>2171</v>
      </c>
      <c r="AE150" t="s">
        <v>2915</v>
      </c>
      <c r="AF150">
        <v>0.40248889931249998</v>
      </c>
    </row>
    <row r="151" spans="1:32" x14ac:dyDescent="0.25">
      <c r="A151" s="56">
        <v>1940743</v>
      </c>
      <c r="B151" s="56" t="s">
        <v>867</v>
      </c>
      <c r="C151" s="56" t="s">
        <v>2916</v>
      </c>
      <c r="D151" s="57">
        <v>403.87299999999999</v>
      </c>
      <c r="E151" s="58">
        <v>584</v>
      </c>
      <c r="F151" s="57">
        <v>0.58399999999999996</v>
      </c>
      <c r="G151" s="56" t="s">
        <v>392</v>
      </c>
      <c r="H151" s="56" t="s">
        <v>2511</v>
      </c>
      <c r="I151" s="56" t="s">
        <v>345</v>
      </c>
      <c r="J151" s="56" t="s">
        <v>2917</v>
      </c>
      <c r="K151" s="57">
        <v>327.86900000000003</v>
      </c>
      <c r="L151" s="56" t="s">
        <v>2918</v>
      </c>
      <c r="M151" s="56" t="s">
        <v>2919</v>
      </c>
      <c r="N151" s="56" t="s">
        <v>52</v>
      </c>
      <c r="O151" s="58">
        <v>2</v>
      </c>
      <c r="P151" s="59" t="s">
        <v>2515</v>
      </c>
      <c r="Q151" s="56" t="s">
        <v>2516</v>
      </c>
      <c r="U151" s="52">
        <v>1938191</v>
      </c>
      <c r="V151">
        <v>19</v>
      </c>
      <c r="W151">
        <v>12.5</v>
      </c>
      <c r="X151">
        <v>3.25</v>
      </c>
      <c r="Y151">
        <v>0.58799999999999997</v>
      </c>
      <c r="Z151" t="s">
        <v>1874</v>
      </c>
      <c r="AA151" t="s">
        <v>1003</v>
      </c>
      <c r="AB151" t="s">
        <v>2517</v>
      </c>
      <c r="AC151" t="s">
        <v>590</v>
      </c>
      <c r="AD151" t="s">
        <v>2171</v>
      </c>
      <c r="AE151" t="s">
        <v>592</v>
      </c>
      <c r="AF151">
        <v>0.74189176424999992</v>
      </c>
    </row>
    <row r="152" spans="1:32" x14ac:dyDescent="0.25">
      <c r="A152" s="56">
        <v>1940743</v>
      </c>
      <c r="B152" s="56" t="s">
        <v>867</v>
      </c>
      <c r="C152" s="56" t="s">
        <v>2920</v>
      </c>
      <c r="D152" s="57">
        <v>439.834</v>
      </c>
      <c r="E152" s="58">
        <v>636</v>
      </c>
      <c r="F152" s="57">
        <v>0.63600000000000001</v>
      </c>
      <c r="G152" s="56" t="s">
        <v>392</v>
      </c>
      <c r="H152" s="56" t="s">
        <v>2511</v>
      </c>
      <c r="I152" s="56" t="s">
        <v>345</v>
      </c>
      <c r="J152" s="56" t="s">
        <v>2921</v>
      </c>
      <c r="K152" s="57">
        <v>357.06299999999999</v>
      </c>
      <c r="L152" s="56" t="s">
        <v>2922</v>
      </c>
      <c r="M152" s="56" t="s">
        <v>2605</v>
      </c>
      <c r="N152" s="56" t="s">
        <v>151</v>
      </c>
      <c r="O152" s="58">
        <v>3</v>
      </c>
      <c r="P152" s="59" t="s">
        <v>2515</v>
      </c>
      <c r="Q152" s="56" t="s">
        <v>11</v>
      </c>
      <c r="U152" s="52">
        <v>2419066</v>
      </c>
      <c r="V152">
        <v>19</v>
      </c>
      <c r="W152">
        <v>12.5</v>
      </c>
      <c r="X152">
        <v>3.25</v>
      </c>
      <c r="Y152">
        <v>4.8</v>
      </c>
      <c r="Z152" t="s">
        <v>1874</v>
      </c>
      <c r="AA152" t="s">
        <v>1003</v>
      </c>
      <c r="AB152" t="s">
        <v>2517</v>
      </c>
      <c r="AC152" t="s">
        <v>590</v>
      </c>
      <c r="AD152" t="s">
        <v>1838</v>
      </c>
      <c r="AE152" t="s">
        <v>596</v>
      </c>
      <c r="AF152">
        <v>1.2617206875</v>
      </c>
    </row>
    <row r="153" spans="1:32" x14ac:dyDescent="0.25">
      <c r="A153" s="56">
        <v>1940794</v>
      </c>
      <c r="B153" s="56" t="s">
        <v>2923</v>
      </c>
      <c r="C153" s="56" t="s">
        <v>2924</v>
      </c>
      <c r="D153" s="57">
        <v>266.92599999999999</v>
      </c>
      <c r="E153" s="57">
        <v>96.894000000000005</v>
      </c>
      <c r="F153" s="57">
        <v>9.6894000000000008E-2</v>
      </c>
      <c r="G153" s="56" t="s">
        <v>392</v>
      </c>
      <c r="H153" s="56" t="s">
        <v>2511</v>
      </c>
      <c r="I153" s="56" t="s">
        <v>345</v>
      </c>
      <c r="J153" s="56" t="s">
        <v>1914</v>
      </c>
      <c r="K153" s="57">
        <v>87.989000000000004</v>
      </c>
      <c r="L153" s="56" t="s">
        <v>1914</v>
      </c>
      <c r="M153" s="56" t="s">
        <v>1123</v>
      </c>
      <c r="N153" s="56" t="s">
        <v>60</v>
      </c>
      <c r="O153" s="58">
        <v>542</v>
      </c>
      <c r="P153" s="59" t="s">
        <v>2524</v>
      </c>
      <c r="Q153" s="56" t="s">
        <v>192</v>
      </c>
      <c r="U153" s="52">
        <v>3775569</v>
      </c>
      <c r="V153">
        <v>19</v>
      </c>
      <c r="W153">
        <v>12.5</v>
      </c>
      <c r="X153">
        <v>3.25</v>
      </c>
      <c r="Y153">
        <v>6.2</v>
      </c>
      <c r="Z153" t="s">
        <v>1874</v>
      </c>
      <c r="AA153" t="s">
        <v>1003</v>
      </c>
      <c r="AB153" t="s">
        <v>2517</v>
      </c>
      <c r="AC153" t="s">
        <v>590</v>
      </c>
      <c r="AD153" t="s">
        <v>1838</v>
      </c>
      <c r="AE153" t="s">
        <v>596</v>
      </c>
      <c r="AF153">
        <v>1.2617206875</v>
      </c>
    </row>
    <row r="154" spans="1:32" x14ac:dyDescent="0.25">
      <c r="A154" s="56">
        <v>1940795</v>
      </c>
      <c r="B154" s="56" t="s">
        <v>2925</v>
      </c>
      <c r="C154" s="56" t="s">
        <v>2926</v>
      </c>
      <c r="D154" s="57">
        <v>736.64</v>
      </c>
      <c r="E154" s="57">
        <v>671.07899999999995</v>
      </c>
      <c r="F154" s="57">
        <v>0.67107899999999998</v>
      </c>
      <c r="G154" s="56" t="s">
        <v>392</v>
      </c>
      <c r="H154" s="56" t="s">
        <v>2511</v>
      </c>
      <c r="I154" s="56" t="s">
        <v>345</v>
      </c>
      <c r="J154" s="56" t="s">
        <v>1914</v>
      </c>
      <c r="K154" s="57">
        <v>609.40700000000004</v>
      </c>
      <c r="L154" s="56" t="s">
        <v>1914</v>
      </c>
      <c r="M154" s="56" t="s">
        <v>1123</v>
      </c>
      <c r="N154" s="56" t="s">
        <v>60</v>
      </c>
      <c r="O154" s="58">
        <v>542</v>
      </c>
      <c r="P154" s="59" t="s">
        <v>2524</v>
      </c>
      <c r="Q154" s="56" t="s">
        <v>192</v>
      </c>
      <c r="U154">
        <v>3931834</v>
      </c>
      <c r="V154">
        <v>19</v>
      </c>
      <c r="W154">
        <v>19</v>
      </c>
      <c r="X154">
        <v>1</v>
      </c>
      <c r="Y154">
        <v>0.1</v>
      </c>
      <c r="Z154" t="s">
        <v>229</v>
      </c>
      <c r="AA154" t="s">
        <v>963</v>
      </c>
      <c r="AB154" t="s">
        <v>2520</v>
      </c>
      <c r="AC154" t="s">
        <v>450</v>
      </c>
      <c r="AD154" t="s">
        <v>2171</v>
      </c>
      <c r="AE154" t="s">
        <v>501</v>
      </c>
      <c r="AF154">
        <v>5.7164854922536347E-2</v>
      </c>
    </row>
    <row r="155" spans="1:32" x14ac:dyDescent="0.25">
      <c r="A155" s="56">
        <v>1940796</v>
      </c>
      <c r="B155" s="56" t="s">
        <v>2927</v>
      </c>
      <c r="C155" s="56" t="s">
        <v>2928</v>
      </c>
      <c r="D155" s="57">
        <v>300.00400000000002</v>
      </c>
      <c r="E155" s="57">
        <v>280.80399999999997</v>
      </c>
      <c r="F155" s="57">
        <v>0.280804</v>
      </c>
      <c r="G155" s="56" t="s">
        <v>392</v>
      </c>
      <c r="H155" s="56" t="s">
        <v>2511</v>
      </c>
      <c r="I155" s="56" t="s">
        <v>345</v>
      </c>
      <c r="J155" s="56" t="s">
        <v>1914</v>
      </c>
      <c r="K155" s="57">
        <v>254.99799999999999</v>
      </c>
      <c r="L155" s="56" t="s">
        <v>1914</v>
      </c>
      <c r="M155" s="56" t="s">
        <v>1123</v>
      </c>
      <c r="N155" s="56" t="s">
        <v>60</v>
      </c>
      <c r="O155" s="58">
        <v>262</v>
      </c>
      <c r="P155" s="59" t="s">
        <v>2524</v>
      </c>
      <c r="Q155" s="56" t="s">
        <v>192</v>
      </c>
      <c r="U155">
        <v>3931835</v>
      </c>
      <c r="V155">
        <v>19</v>
      </c>
      <c r="W155">
        <v>19</v>
      </c>
      <c r="X155">
        <v>1</v>
      </c>
      <c r="Y155">
        <v>0.11</v>
      </c>
      <c r="Z155" t="s">
        <v>229</v>
      </c>
      <c r="AA155" t="s">
        <v>963</v>
      </c>
      <c r="AB155" t="s">
        <v>2520</v>
      </c>
      <c r="AC155" t="s">
        <v>450</v>
      </c>
      <c r="AD155" t="s">
        <v>2171</v>
      </c>
      <c r="AE155" t="s">
        <v>528</v>
      </c>
      <c r="AF155">
        <v>6.2881340414789974E-2</v>
      </c>
    </row>
    <row r="156" spans="1:32" x14ac:dyDescent="0.25">
      <c r="A156" s="56">
        <v>1940801</v>
      </c>
      <c r="B156" s="56" t="s">
        <v>478</v>
      </c>
      <c r="C156" s="56" t="s">
        <v>2929</v>
      </c>
      <c r="D156" s="57">
        <v>249.13399999999999</v>
      </c>
      <c r="E156" s="57">
        <v>359.5</v>
      </c>
      <c r="F156" s="57">
        <v>0.35949999999999999</v>
      </c>
      <c r="G156" s="56" t="s">
        <v>392</v>
      </c>
      <c r="H156" s="56" t="s">
        <v>2511</v>
      </c>
      <c r="I156" s="56" t="s">
        <v>345</v>
      </c>
      <c r="J156" s="56" t="s">
        <v>2930</v>
      </c>
      <c r="K156" s="57">
        <v>326.46199999999999</v>
      </c>
      <c r="L156" s="56" t="s">
        <v>2931</v>
      </c>
      <c r="M156" s="56" t="s">
        <v>2537</v>
      </c>
      <c r="N156" s="56" t="s">
        <v>30</v>
      </c>
      <c r="O156" s="58">
        <v>13</v>
      </c>
      <c r="P156" s="59" t="s">
        <v>2515</v>
      </c>
      <c r="Q156" s="56" t="s">
        <v>11</v>
      </c>
      <c r="U156">
        <v>4151428</v>
      </c>
      <c r="V156">
        <v>19</v>
      </c>
      <c r="W156">
        <v>19</v>
      </c>
      <c r="X156">
        <v>1</v>
      </c>
      <c r="Y156">
        <v>0.115</v>
      </c>
      <c r="Z156" t="s">
        <v>229</v>
      </c>
      <c r="AA156" t="s">
        <v>963</v>
      </c>
      <c r="AB156" t="s">
        <v>2520</v>
      </c>
      <c r="AC156" t="s">
        <v>450</v>
      </c>
      <c r="AD156" t="s">
        <v>2171</v>
      </c>
      <c r="AE156" t="s">
        <v>505</v>
      </c>
      <c r="AF156">
        <v>6.5739583160916798E-2</v>
      </c>
    </row>
    <row r="157" spans="1:32" x14ac:dyDescent="0.25">
      <c r="A157" s="56">
        <v>1940801</v>
      </c>
      <c r="B157" s="56" t="s">
        <v>478</v>
      </c>
      <c r="C157" s="56" t="s">
        <v>2932</v>
      </c>
      <c r="D157" s="57">
        <v>869.71600000000001</v>
      </c>
      <c r="E157" s="58">
        <v>1255</v>
      </c>
      <c r="F157" s="57">
        <v>1.2549999999999999</v>
      </c>
      <c r="G157" s="56" t="s">
        <v>392</v>
      </c>
      <c r="H157" s="56" t="s">
        <v>2511</v>
      </c>
      <c r="I157" s="56" t="s">
        <v>345</v>
      </c>
      <c r="J157" s="56" t="s">
        <v>1914</v>
      </c>
      <c r="K157" s="57">
        <v>1139.6659999999999</v>
      </c>
      <c r="L157" s="56" t="s">
        <v>2933</v>
      </c>
      <c r="M157" s="56" t="s">
        <v>2537</v>
      </c>
      <c r="N157" s="56" t="s">
        <v>30</v>
      </c>
      <c r="O157" s="58">
        <v>7</v>
      </c>
      <c r="P157" s="59" t="s">
        <v>2515</v>
      </c>
      <c r="Q157" s="56" t="s">
        <v>11</v>
      </c>
      <c r="U157" s="507">
        <v>3938687</v>
      </c>
      <c r="V157">
        <v>19</v>
      </c>
      <c r="W157">
        <v>19</v>
      </c>
      <c r="X157">
        <v>1</v>
      </c>
      <c r="Y157">
        <v>0.129</v>
      </c>
      <c r="Z157" t="s">
        <v>229</v>
      </c>
      <c r="AA157" t="s">
        <v>963</v>
      </c>
      <c r="AB157" t="s">
        <v>2520</v>
      </c>
      <c r="AC157" t="s">
        <v>450</v>
      </c>
      <c r="AD157" t="s">
        <v>2171</v>
      </c>
      <c r="AE157" t="s">
        <v>555</v>
      </c>
      <c r="AF157">
        <v>7.3742662850071888E-2</v>
      </c>
    </row>
    <row r="158" spans="1:32" x14ac:dyDescent="0.25">
      <c r="A158" s="56">
        <v>1940801</v>
      </c>
      <c r="B158" s="56" t="s">
        <v>478</v>
      </c>
      <c r="C158" s="56" t="s">
        <v>2934</v>
      </c>
      <c r="D158" s="57">
        <v>879.41800000000001</v>
      </c>
      <c r="E158" s="58">
        <v>1269</v>
      </c>
      <c r="F158" s="57">
        <v>1.2689999999999999</v>
      </c>
      <c r="G158" s="56" t="s">
        <v>392</v>
      </c>
      <c r="H158" s="56" t="s">
        <v>2511</v>
      </c>
      <c r="I158" s="56" t="s">
        <v>345</v>
      </c>
      <c r="J158" s="56" t="s">
        <v>1914</v>
      </c>
      <c r="K158" s="57">
        <v>1152.3789999999999</v>
      </c>
      <c r="L158" s="56" t="s">
        <v>2933</v>
      </c>
      <c r="M158" s="56" t="s">
        <v>2537</v>
      </c>
      <c r="N158" s="56" t="s">
        <v>30</v>
      </c>
      <c r="O158" s="58">
        <v>7</v>
      </c>
      <c r="P158" s="59" t="s">
        <v>2515</v>
      </c>
      <c r="Q158" s="56" t="s">
        <v>11</v>
      </c>
      <c r="U158" s="52">
        <v>3230486</v>
      </c>
      <c r="V158">
        <v>19</v>
      </c>
      <c r="W158">
        <v>19</v>
      </c>
      <c r="X158">
        <v>1</v>
      </c>
      <c r="Y158">
        <v>0.15</v>
      </c>
      <c r="Z158" t="s">
        <v>229</v>
      </c>
      <c r="AA158" t="s">
        <v>963</v>
      </c>
      <c r="AB158" t="s">
        <v>2520</v>
      </c>
      <c r="AC158" t="s">
        <v>450</v>
      </c>
      <c r="AD158" t="s">
        <v>2171</v>
      </c>
      <c r="AE158" t="s">
        <v>603</v>
      </c>
      <c r="AF158">
        <v>8.574728238380451E-2</v>
      </c>
    </row>
    <row r="159" spans="1:32" x14ac:dyDescent="0.25">
      <c r="A159" s="56">
        <v>1940807</v>
      </c>
      <c r="B159" s="56" t="s">
        <v>1674</v>
      </c>
      <c r="C159" s="56" t="s">
        <v>2935</v>
      </c>
      <c r="D159" s="57">
        <v>373.846</v>
      </c>
      <c r="E159" s="58">
        <v>2470</v>
      </c>
      <c r="F159" s="57">
        <v>2.4700000000000002</v>
      </c>
      <c r="G159" s="56" t="s">
        <v>392</v>
      </c>
      <c r="H159" s="56" t="s">
        <v>2511</v>
      </c>
      <c r="I159" s="56" t="s">
        <v>345</v>
      </c>
      <c r="J159" s="56" t="s">
        <v>2936</v>
      </c>
      <c r="K159" s="57">
        <v>2243.0079999999998</v>
      </c>
      <c r="L159" s="56" t="s">
        <v>2937</v>
      </c>
      <c r="M159" s="56" t="s">
        <v>2589</v>
      </c>
      <c r="N159" s="56" t="s">
        <v>30</v>
      </c>
      <c r="O159" s="58">
        <v>109</v>
      </c>
      <c r="P159" s="59" t="s">
        <v>2524</v>
      </c>
      <c r="Q159" s="56" t="s">
        <v>11</v>
      </c>
      <c r="U159" s="52">
        <v>3571862</v>
      </c>
      <c r="V159">
        <v>19</v>
      </c>
      <c r="W159">
        <v>19</v>
      </c>
      <c r="X159">
        <v>1</v>
      </c>
      <c r="Y159">
        <v>0.16400000000000001</v>
      </c>
      <c r="Z159" t="s">
        <v>229</v>
      </c>
      <c r="AA159" t="s">
        <v>963</v>
      </c>
      <c r="AB159" t="s">
        <v>2520</v>
      </c>
      <c r="AC159" t="s">
        <v>450</v>
      </c>
      <c r="AD159" t="s">
        <v>2171</v>
      </c>
      <c r="AE159" t="s">
        <v>2938</v>
      </c>
      <c r="AF159">
        <v>9.3750362072959614E-2</v>
      </c>
    </row>
    <row r="160" spans="1:32" x14ac:dyDescent="0.25">
      <c r="A160" s="56">
        <v>1940807</v>
      </c>
      <c r="B160" s="56" t="s">
        <v>1674</v>
      </c>
      <c r="C160" s="56" t="s">
        <v>2939</v>
      </c>
      <c r="D160" s="57">
        <v>390.34399999999999</v>
      </c>
      <c r="E160" s="58">
        <v>2579</v>
      </c>
      <c r="F160" s="57">
        <v>2.5790000000000002</v>
      </c>
      <c r="G160" s="56" t="s">
        <v>392</v>
      </c>
      <c r="H160" s="56" t="s">
        <v>2511</v>
      </c>
      <c r="I160" s="56" t="s">
        <v>345</v>
      </c>
      <c r="J160" s="56" t="s">
        <v>1914</v>
      </c>
      <c r="K160" s="57">
        <v>2341.991</v>
      </c>
      <c r="L160" s="56" t="s">
        <v>2937</v>
      </c>
      <c r="M160" s="56" t="s">
        <v>2589</v>
      </c>
      <c r="N160" s="56" t="s">
        <v>30</v>
      </c>
      <c r="O160" s="58">
        <v>109</v>
      </c>
      <c r="P160" s="59" t="s">
        <v>2524</v>
      </c>
      <c r="Q160" s="56" t="s">
        <v>11</v>
      </c>
      <c r="U160" s="52">
        <v>3584173</v>
      </c>
      <c r="V160">
        <v>19</v>
      </c>
      <c r="W160">
        <v>19</v>
      </c>
      <c r="X160">
        <v>1</v>
      </c>
      <c r="Y160">
        <v>0.2</v>
      </c>
      <c r="Z160" t="s">
        <v>229</v>
      </c>
      <c r="AA160" t="s">
        <v>963</v>
      </c>
      <c r="AB160" t="s">
        <v>2520</v>
      </c>
      <c r="AC160" t="s">
        <v>450</v>
      </c>
      <c r="AD160" t="s">
        <v>2171</v>
      </c>
      <c r="AE160" t="s">
        <v>2940</v>
      </c>
      <c r="AF160">
        <v>0.11432970984507269</v>
      </c>
    </row>
    <row r="161" spans="1:32" x14ac:dyDescent="0.25">
      <c r="A161" s="56">
        <v>1940807</v>
      </c>
      <c r="B161" s="56" t="s">
        <v>1674</v>
      </c>
      <c r="C161" s="56" t="s">
        <v>2941</v>
      </c>
      <c r="D161" s="57">
        <v>76.05</v>
      </c>
      <c r="E161" s="57">
        <v>502.46100000000001</v>
      </c>
      <c r="F161" s="57">
        <v>0.50246100000000005</v>
      </c>
      <c r="G161" s="56" t="s">
        <v>392</v>
      </c>
      <c r="H161" s="56" t="s">
        <v>2511</v>
      </c>
      <c r="I161" s="56" t="s">
        <v>345</v>
      </c>
      <c r="J161" s="56" t="s">
        <v>2942</v>
      </c>
      <c r="K161" s="57">
        <v>456.28500000000003</v>
      </c>
      <c r="L161" s="56" t="s">
        <v>2943</v>
      </c>
      <c r="M161" s="56" t="s">
        <v>2589</v>
      </c>
      <c r="N161" s="56" t="s">
        <v>30</v>
      </c>
      <c r="O161" s="58">
        <v>139</v>
      </c>
      <c r="P161" s="59" t="s">
        <v>2524</v>
      </c>
      <c r="Q161" s="56" t="s">
        <v>11</v>
      </c>
      <c r="U161" s="52">
        <v>3571863</v>
      </c>
      <c r="V161">
        <v>19</v>
      </c>
      <c r="W161">
        <v>19</v>
      </c>
      <c r="X161">
        <v>1</v>
      </c>
      <c r="Y161">
        <v>0.22</v>
      </c>
      <c r="Z161" t="s">
        <v>229</v>
      </c>
      <c r="AA161" t="s">
        <v>963</v>
      </c>
      <c r="AB161" t="s">
        <v>2520</v>
      </c>
      <c r="AC161" t="s">
        <v>450</v>
      </c>
      <c r="AD161" t="s">
        <v>2171</v>
      </c>
      <c r="AE161" t="s">
        <v>2944</v>
      </c>
      <c r="AF161">
        <v>0.12576268082957995</v>
      </c>
    </row>
    <row r="162" spans="1:32" x14ac:dyDescent="0.25">
      <c r="A162" s="56">
        <v>1940807</v>
      </c>
      <c r="B162" s="56" t="s">
        <v>1674</v>
      </c>
      <c r="C162" s="56" t="s">
        <v>2945</v>
      </c>
      <c r="D162" s="57">
        <v>31.033999999999999</v>
      </c>
      <c r="E162" s="57">
        <v>205.04</v>
      </c>
      <c r="F162" s="57">
        <v>0.20504</v>
      </c>
      <c r="G162" s="56" t="s">
        <v>392</v>
      </c>
      <c r="H162" s="56" t="s">
        <v>2511</v>
      </c>
      <c r="I162" s="56" t="s">
        <v>345</v>
      </c>
      <c r="J162" s="56" t="s">
        <v>2946</v>
      </c>
      <c r="K162" s="57">
        <v>186.197</v>
      </c>
      <c r="L162" s="56" t="s">
        <v>2943</v>
      </c>
      <c r="M162" s="56" t="s">
        <v>2589</v>
      </c>
      <c r="N162" s="56" t="s">
        <v>30</v>
      </c>
      <c r="O162" s="58">
        <v>139</v>
      </c>
      <c r="P162" s="59" t="s">
        <v>2524</v>
      </c>
      <c r="Q162" s="56" t="s">
        <v>11</v>
      </c>
      <c r="U162" s="52">
        <v>3571864</v>
      </c>
      <c r="V162">
        <v>19</v>
      </c>
      <c r="W162">
        <v>19</v>
      </c>
      <c r="X162">
        <v>1</v>
      </c>
      <c r="Y162">
        <v>0.28999999999999998</v>
      </c>
      <c r="Z162" t="s">
        <v>229</v>
      </c>
      <c r="AA162" t="s">
        <v>963</v>
      </c>
      <c r="AB162" t="s">
        <v>2520</v>
      </c>
      <c r="AC162" t="s">
        <v>450</v>
      </c>
      <c r="AD162" t="s">
        <v>2171</v>
      </c>
      <c r="AE162" t="s">
        <v>2245</v>
      </c>
      <c r="AF162">
        <v>0.1657780792753554</v>
      </c>
    </row>
    <row r="163" spans="1:32" x14ac:dyDescent="0.25">
      <c r="A163" s="56">
        <v>1940807</v>
      </c>
      <c r="B163" s="56" t="s">
        <v>1674</v>
      </c>
      <c r="C163" s="56" t="s">
        <v>2947</v>
      </c>
      <c r="D163" s="57">
        <v>388.98099999999999</v>
      </c>
      <c r="E163" s="58">
        <v>2570</v>
      </c>
      <c r="F163" s="57">
        <v>2.57</v>
      </c>
      <c r="G163" s="56" t="s">
        <v>392</v>
      </c>
      <c r="H163" s="56" t="s">
        <v>2511</v>
      </c>
      <c r="I163" s="56" t="s">
        <v>345</v>
      </c>
      <c r="J163" s="56" t="s">
        <v>2948</v>
      </c>
      <c r="K163" s="57">
        <v>2333.8180000000002</v>
      </c>
      <c r="L163" s="56" t="s">
        <v>2943</v>
      </c>
      <c r="M163" s="56" t="s">
        <v>2589</v>
      </c>
      <c r="N163" s="56" t="s">
        <v>30</v>
      </c>
      <c r="O163" s="58">
        <v>80</v>
      </c>
      <c r="P163" s="59" t="s">
        <v>2579</v>
      </c>
      <c r="Q163" s="56" t="s">
        <v>11</v>
      </c>
      <c r="U163">
        <v>3571865</v>
      </c>
      <c r="V163">
        <v>19</v>
      </c>
      <c r="W163">
        <v>19</v>
      </c>
      <c r="X163">
        <v>1</v>
      </c>
      <c r="Y163">
        <v>0.3</v>
      </c>
      <c r="Z163" t="s">
        <v>229</v>
      </c>
      <c r="AA163" t="s">
        <v>963</v>
      </c>
      <c r="AB163" t="s">
        <v>2520</v>
      </c>
      <c r="AC163" t="s">
        <v>450</v>
      </c>
      <c r="AD163" t="s">
        <v>2171</v>
      </c>
      <c r="AE163" t="s">
        <v>2949</v>
      </c>
      <c r="AF163">
        <v>0.17149456476760902</v>
      </c>
    </row>
    <row r="164" spans="1:32" x14ac:dyDescent="0.25">
      <c r="A164" s="56">
        <v>1940807</v>
      </c>
      <c r="B164" s="56" t="s">
        <v>1674</v>
      </c>
      <c r="C164" s="56" t="s">
        <v>2950</v>
      </c>
      <c r="D164" s="57">
        <v>388.98099999999999</v>
      </c>
      <c r="E164" s="58">
        <v>2570</v>
      </c>
      <c r="F164" s="57">
        <v>2.57</v>
      </c>
      <c r="G164" s="56" t="s">
        <v>392</v>
      </c>
      <c r="H164" s="56" t="s">
        <v>2511</v>
      </c>
      <c r="I164" s="56" t="s">
        <v>345</v>
      </c>
      <c r="J164" s="56" t="s">
        <v>2948</v>
      </c>
      <c r="K164" s="57">
        <v>2333.8180000000002</v>
      </c>
      <c r="L164" s="56" t="s">
        <v>2943</v>
      </c>
      <c r="M164" s="56" t="s">
        <v>2589</v>
      </c>
      <c r="N164" s="56" t="s">
        <v>30</v>
      </c>
      <c r="O164" s="58">
        <v>80</v>
      </c>
      <c r="P164" s="59" t="s">
        <v>2579</v>
      </c>
      <c r="Q164" s="56" t="s">
        <v>11</v>
      </c>
      <c r="U164" s="52">
        <v>3571866</v>
      </c>
      <c r="V164">
        <v>19</v>
      </c>
      <c r="W164">
        <v>19</v>
      </c>
      <c r="X164">
        <v>1</v>
      </c>
      <c r="Y164">
        <v>0.32</v>
      </c>
      <c r="Z164" t="s">
        <v>229</v>
      </c>
      <c r="AA164" t="s">
        <v>963</v>
      </c>
      <c r="AB164" t="s">
        <v>2520</v>
      </c>
      <c r="AC164" t="s">
        <v>450</v>
      </c>
      <c r="AD164" t="s">
        <v>2171</v>
      </c>
      <c r="AE164" t="s">
        <v>2951</v>
      </c>
      <c r="AF164">
        <v>0.18292753575211632</v>
      </c>
    </row>
    <row r="165" spans="1:32" x14ac:dyDescent="0.25">
      <c r="A165" s="56">
        <v>1940807</v>
      </c>
      <c r="B165" s="56" t="s">
        <v>1674</v>
      </c>
      <c r="C165" s="56" t="s">
        <v>2952</v>
      </c>
      <c r="D165" s="57">
        <v>387.46800000000002</v>
      </c>
      <c r="E165" s="58">
        <v>2560</v>
      </c>
      <c r="F165" s="57">
        <v>2.56</v>
      </c>
      <c r="G165" s="56" t="s">
        <v>392</v>
      </c>
      <c r="H165" s="56" t="s">
        <v>2511</v>
      </c>
      <c r="I165" s="56" t="s">
        <v>345</v>
      </c>
      <c r="J165" s="56" t="s">
        <v>2953</v>
      </c>
      <c r="K165" s="57">
        <v>2324.7370000000001</v>
      </c>
      <c r="L165" s="56" t="s">
        <v>2943</v>
      </c>
      <c r="M165" s="56" t="s">
        <v>2589</v>
      </c>
      <c r="N165" s="56" t="s">
        <v>30</v>
      </c>
      <c r="O165" s="58">
        <v>80</v>
      </c>
      <c r="P165" s="59" t="s">
        <v>2579</v>
      </c>
      <c r="Q165" s="56" t="s">
        <v>11</v>
      </c>
      <c r="U165" s="52">
        <v>3838020</v>
      </c>
      <c r="V165">
        <v>19</v>
      </c>
      <c r="W165">
        <v>19</v>
      </c>
      <c r="X165">
        <v>1</v>
      </c>
      <c r="Y165">
        <v>0.33</v>
      </c>
      <c r="Z165" t="s">
        <v>229</v>
      </c>
      <c r="AA165" t="s">
        <v>963</v>
      </c>
      <c r="AB165" t="s">
        <v>2520</v>
      </c>
      <c r="AC165" t="s">
        <v>450</v>
      </c>
      <c r="AD165" t="s">
        <v>2171</v>
      </c>
      <c r="AE165" t="s">
        <v>2954</v>
      </c>
      <c r="AF165">
        <v>0.18864402124436994</v>
      </c>
    </row>
    <row r="166" spans="1:32" x14ac:dyDescent="0.25">
      <c r="A166" s="56">
        <v>1940807</v>
      </c>
      <c r="B166" s="56" t="s">
        <v>1674</v>
      </c>
      <c r="C166" s="56" t="s">
        <v>2955</v>
      </c>
      <c r="D166" s="57">
        <v>388.98099999999999</v>
      </c>
      <c r="E166" s="58">
        <v>2570</v>
      </c>
      <c r="F166" s="57">
        <v>2.57</v>
      </c>
      <c r="G166" s="56" t="s">
        <v>392</v>
      </c>
      <c r="H166" s="56" t="s">
        <v>2511</v>
      </c>
      <c r="I166" s="56" t="s">
        <v>345</v>
      </c>
      <c r="J166" s="56" t="s">
        <v>2953</v>
      </c>
      <c r="K166" s="57">
        <v>2333.8180000000002</v>
      </c>
      <c r="L166" s="56" t="s">
        <v>2956</v>
      </c>
      <c r="M166" s="56" t="s">
        <v>2548</v>
      </c>
      <c r="N166" s="56" t="s">
        <v>60</v>
      </c>
      <c r="O166" s="58">
        <v>45</v>
      </c>
      <c r="P166" s="59" t="s">
        <v>2532</v>
      </c>
      <c r="Q166" s="56" t="s">
        <v>192</v>
      </c>
      <c r="U166" s="52">
        <v>3230490</v>
      </c>
      <c r="V166">
        <v>19</v>
      </c>
      <c r="W166">
        <v>19</v>
      </c>
      <c r="X166">
        <v>1</v>
      </c>
      <c r="Y166">
        <v>0.35499999999999998</v>
      </c>
      <c r="Z166" t="s">
        <v>229</v>
      </c>
      <c r="AA166" t="s">
        <v>963</v>
      </c>
      <c r="AB166" t="s">
        <v>2520</v>
      </c>
      <c r="AC166" t="s">
        <v>450</v>
      </c>
      <c r="AD166" t="s">
        <v>2171</v>
      </c>
      <c r="AE166" t="s">
        <v>516</v>
      </c>
      <c r="AF166">
        <v>0.20293523497500401</v>
      </c>
    </row>
    <row r="167" spans="1:32" x14ac:dyDescent="0.25">
      <c r="A167" s="56">
        <v>1940807</v>
      </c>
      <c r="B167" s="56" t="s">
        <v>1674</v>
      </c>
      <c r="C167" s="56" t="s">
        <v>2957</v>
      </c>
      <c r="D167" s="57">
        <v>388.98099999999999</v>
      </c>
      <c r="E167" s="58">
        <v>2570</v>
      </c>
      <c r="F167" s="57">
        <v>2.57</v>
      </c>
      <c r="G167" s="56" t="s">
        <v>392</v>
      </c>
      <c r="H167" s="56" t="s">
        <v>2511</v>
      </c>
      <c r="I167" s="56" t="s">
        <v>345</v>
      </c>
      <c r="J167" s="56" t="s">
        <v>2953</v>
      </c>
      <c r="K167" s="57">
        <v>2333.8180000000002</v>
      </c>
      <c r="L167" s="56" t="s">
        <v>2956</v>
      </c>
      <c r="M167" s="56" t="s">
        <v>2548</v>
      </c>
      <c r="N167" s="56" t="s">
        <v>60</v>
      </c>
      <c r="O167" s="58">
        <v>80</v>
      </c>
      <c r="P167" s="59" t="s">
        <v>2579</v>
      </c>
      <c r="Q167" s="56" t="s">
        <v>192</v>
      </c>
      <c r="U167" s="52">
        <v>3571867</v>
      </c>
      <c r="V167">
        <v>19</v>
      </c>
      <c r="W167">
        <v>19</v>
      </c>
      <c r="X167">
        <v>1</v>
      </c>
      <c r="Y167">
        <v>0.377</v>
      </c>
      <c r="Z167" t="s">
        <v>229</v>
      </c>
      <c r="AA167" t="s">
        <v>963</v>
      </c>
      <c r="AB167" t="s">
        <v>2520</v>
      </c>
      <c r="AC167" t="s">
        <v>450</v>
      </c>
      <c r="AD167" t="s">
        <v>2171</v>
      </c>
      <c r="AE167" t="s">
        <v>2958</v>
      </c>
      <c r="AF167">
        <v>0.21551150305796202</v>
      </c>
    </row>
    <row r="168" spans="1:32" x14ac:dyDescent="0.25">
      <c r="A168" s="56">
        <v>1940807</v>
      </c>
      <c r="B168" s="56" t="s">
        <v>1674</v>
      </c>
      <c r="C168" s="56" t="s">
        <v>2959</v>
      </c>
      <c r="D168" s="57">
        <v>390.495</v>
      </c>
      <c r="E168" s="58">
        <v>2580</v>
      </c>
      <c r="F168" s="57">
        <v>2.58</v>
      </c>
      <c r="G168" s="56" t="s">
        <v>392</v>
      </c>
      <c r="H168" s="56" t="s">
        <v>2511</v>
      </c>
      <c r="I168" s="56" t="s">
        <v>345</v>
      </c>
      <c r="J168" s="56" t="s">
        <v>2960</v>
      </c>
      <c r="K168" s="57">
        <v>2342.8989999999999</v>
      </c>
      <c r="L168" s="56" t="s">
        <v>2961</v>
      </c>
      <c r="M168" s="56" t="s">
        <v>2609</v>
      </c>
      <c r="N168" s="56" t="s">
        <v>60</v>
      </c>
      <c r="O168" s="58">
        <v>49</v>
      </c>
      <c r="P168" s="59" t="s">
        <v>2532</v>
      </c>
      <c r="Q168" s="56" t="s">
        <v>192</v>
      </c>
      <c r="U168" s="52">
        <v>3571868</v>
      </c>
      <c r="V168">
        <v>19</v>
      </c>
      <c r="W168">
        <v>19</v>
      </c>
      <c r="X168">
        <v>1</v>
      </c>
      <c r="Y168">
        <v>0.39200000000000002</v>
      </c>
      <c r="Z168" t="s">
        <v>229</v>
      </c>
      <c r="AA168" t="s">
        <v>963</v>
      </c>
      <c r="AB168" t="s">
        <v>2520</v>
      </c>
      <c r="AC168" t="s">
        <v>450</v>
      </c>
      <c r="AD168" t="s">
        <v>2171</v>
      </c>
      <c r="AE168" t="s">
        <v>2962</v>
      </c>
      <c r="AF168">
        <v>0.22408623129634248</v>
      </c>
    </row>
    <row r="169" spans="1:32" x14ac:dyDescent="0.25">
      <c r="A169" s="56">
        <v>1940807</v>
      </c>
      <c r="B169" s="56" t="s">
        <v>1674</v>
      </c>
      <c r="C169" s="56" t="s">
        <v>2963</v>
      </c>
      <c r="D169" s="57">
        <v>128.83699999999999</v>
      </c>
      <c r="E169" s="57">
        <v>851.22400000000005</v>
      </c>
      <c r="F169" s="57">
        <v>0.85122400000000009</v>
      </c>
      <c r="G169" s="56" t="s">
        <v>392</v>
      </c>
      <c r="H169" s="56" t="s">
        <v>2511</v>
      </c>
      <c r="I169" s="56" t="s">
        <v>345</v>
      </c>
      <c r="J169" s="56" t="s">
        <v>2964</v>
      </c>
      <c r="K169" s="57">
        <v>772.99699999999996</v>
      </c>
      <c r="L169" s="56" t="s">
        <v>2965</v>
      </c>
      <c r="M169" s="56" t="s">
        <v>2589</v>
      </c>
      <c r="N169" s="56" t="s">
        <v>30</v>
      </c>
      <c r="O169" s="58">
        <v>49</v>
      </c>
      <c r="P169" s="59" t="s">
        <v>2532</v>
      </c>
      <c r="Q169" s="56" t="s">
        <v>11</v>
      </c>
      <c r="U169" s="52">
        <v>3230487</v>
      </c>
      <c r="V169">
        <v>19</v>
      </c>
      <c r="W169">
        <v>19</v>
      </c>
      <c r="X169">
        <v>1</v>
      </c>
      <c r="Y169">
        <v>0.4</v>
      </c>
      <c r="Z169" t="s">
        <v>229</v>
      </c>
      <c r="AA169" t="s">
        <v>963</v>
      </c>
      <c r="AB169" t="s">
        <v>2520</v>
      </c>
      <c r="AC169" t="s">
        <v>450</v>
      </c>
      <c r="AD169" t="s">
        <v>2171</v>
      </c>
      <c r="AE169" t="s">
        <v>499</v>
      </c>
      <c r="AF169">
        <v>0.22865941969014539</v>
      </c>
    </row>
    <row r="170" spans="1:32" x14ac:dyDescent="0.25">
      <c r="A170" s="56">
        <v>1940816</v>
      </c>
      <c r="B170" s="56" t="s">
        <v>2966</v>
      </c>
      <c r="C170" s="56" t="s">
        <v>2967</v>
      </c>
      <c r="D170" s="57">
        <v>448.964</v>
      </c>
      <c r="E170" s="57">
        <v>352.43700000000001</v>
      </c>
      <c r="F170" s="57">
        <v>0.352437</v>
      </c>
      <c r="G170" s="56" t="s">
        <v>392</v>
      </c>
      <c r="H170" s="56" t="s">
        <v>2511</v>
      </c>
      <c r="I170" s="56" t="s">
        <v>345</v>
      </c>
      <c r="J170" s="56" t="s">
        <v>1914</v>
      </c>
      <c r="K170" s="57">
        <v>244.62899999999999</v>
      </c>
      <c r="L170" s="56" t="s">
        <v>1914</v>
      </c>
      <c r="M170" s="56" t="s">
        <v>1123</v>
      </c>
      <c r="N170" s="56" t="s">
        <v>151</v>
      </c>
      <c r="O170" s="58">
        <v>488</v>
      </c>
      <c r="P170" s="59" t="s">
        <v>2524</v>
      </c>
      <c r="Q170" s="56" t="s">
        <v>11</v>
      </c>
      <c r="U170" s="52">
        <v>3234371</v>
      </c>
      <c r="V170">
        <v>19</v>
      </c>
      <c r="W170">
        <v>19</v>
      </c>
      <c r="X170">
        <v>1</v>
      </c>
      <c r="Y170">
        <v>0.46200000000000002</v>
      </c>
      <c r="Z170" t="s">
        <v>229</v>
      </c>
      <c r="AA170" t="s">
        <v>963</v>
      </c>
      <c r="AB170" t="s">
        <v>2520</v>
      </c>
      <c r="AC170" t="s">
        <v>450</v>
      </c>
      <c r="AD170" t="s">
        <v>2171</v>
      </c>
      <c r="AE170" t="s">
        <v>2968</v>
      </c>
      <c r="AF170">
        <v>0.26410162974211793</v>
      </c>
    </row>
    <row r="171" spans="1:32" x14ac:dyDescent="0.25">
      <c r="A171" s="56">
        <v>1940816</v>
      </c>
      <c r="B171" s="56" t="s">
        <v>2966</v>
      </c>
      <c r="C171" s="56" t="s">
        <v>2969</v>
      </c>
      <c r="D171" s="57">
        <v>716.625</v>
      </c>
      <c r="E171" s="57">
        <v>562.55100000000004</v>
      </c>
      <c r="F171" s="57">
        <v>0.56255100000000002</v>
      </c>
      <c r="G171" s="56" t="s">
        <v>392</v>
      </c>
      <c r="H171" s="56" t="s">
        <v>2511</v>
      </c>
      <c r="I171" s="56" t="s">
        <v>345</v>
      </c>
      <c r="J171" s="56" t="s">
        <v>1914</v>
      </c>
      <c r="K171" s="57">
        <v>390.471</v>
      </c>
      <c r="L171" s="56" t="s">
        <v>2970</v>
      </c>
      <c r="M171" s="56" t="s">
        <v>2605</v>
      </c>
      <c r="N171" s="56" t="s">
        <v>151</v>
      </c>
      <c r="O171" s="58">
        <v>230</v>
      </c>
      <c r="P171" s="59" t="s">
        <v>2524</v>
      </c>
      <c r="Q171" s="56" t="s">
        <v>11</v>
      </c>
      <c r="U171">
        <v>3952059</v>
      </c>
      <c r="V171">
        <v>19</v>
      </c>
      <c r="W171">
        <v>19</v>
      </c>
      <c r="X171">
        <v>1</v>
      </c>
      <c r="Y171">
        <v>0.46300000000000002</v>
      </c>
      <c r="Z171" t="s">
        <v>229</v>
      </c>
      <c r="AA171" t="s">
        <v>963</v>
      </c>
      <c r="AB171" t="s">
        <v>2520</v>
      </c>
      <c r="AC171" t="s">
        <v>450</v>
      </c>
      <c r="AD171" t="s">
        <v>2171</v>
      </c>
      <c r="AE171" t="s">
        <v>2971</v>
      </c>
      <c r="AF171">
        <v>0.26467327829134329</v>
      </c>
    </row>
    <row r="172" spans="1:32" x14ac:dyDescent="0.25">
      <c r="A172" s="56">
        <v>1940820</v>
      </c>
      <c r="B172" s="56" t="s">
        <v>2972</v>
      </c>
      <c r="C172" s="56" t="s">
        <v>2973</v>
      </c>
      <c r="D172" s="57">
        <v>893.75800000000004</v>
      </c>
      <c r="E172" s="57">
        <v>782.03800000000001</v>
      </c>
      <c r="F172" s="57">
        <v>0.78203800000000001</v>
      </c>
      <c r="G172" s="56" t="s">
        <v>392</v>
      </c>
      <c r="H172" s="56" t="s">
        <v>2511</v>
      </c>
      <c r="I172" s="56" t="s">
        <v>345</v>
      </c>
      <c r="J172" s="56" t="s">
        <v>1914</v>
      </c>
      <c r="K172" s="57">
        <v>542.81799999999998</v>
      </c>
      <c r="L172" s="56" t="s">
        <v>1914</v>
      </c>
      <c r="M172" s="56" t="s">
        <v>1123</v>
      </c>
      <c r="N172" s="56" t="s">
        <v>60</v>
      </c>
      <c r="O172" s="58">
        <v>262</v>
      </c>
      <c r="P172" s="59" t="s">
        <v>2524</v>
      </c>
      <c r="Q172" s="56" t="s">
        <v>192</v>
      </c>
      <c r="U172" s="52">
        <v>3230488</v>
      </c>
      <c r="V172">
        <v>19</v>
      </c>
      <c r="W172">
        <v>19</v>
      </c>
      <c r="X172">
        <v>1</v>
      </c>
      <c r="Y172">
        <v>0.47</v>
      </c>
      <c r="Z172" t="s">
        <v>229</v>
      </c>
      <c r="AA172" t="s">
        <v>963</v>
      </c>
      <c r="AB172" t="s">
        <v>2520</v>
      </c>
      <c r="AC172" t="s">
        <v>450</v>
      </c>
      <c r="AD172" t="s">
        <v>2171</v>
      </c>
      <c r="AE172" t="s">
        <v>497</v>
      </c>
      <c r="AF172">
        <v>0.26867481813592081</v>
      </c>
    </row>
    <row r="173" spans="1:32" x14ac:dyDescent="0.25">
      <c r="A173" s="56">
        <v>1940821</v>
      </c>
      <c r="B173" s="56" t="s">
        <v>571</v>
      </c>
      <c r="C173" s="56" t="s">
        <v>2974</v>
      </c>
      <c r="D173" s="57">
        <v>358</v>
      </c>
      <c r="E173" s="57">
        <v>287.47399999999999</v>
      </c>
      <c r="F173" s="57">
        <v>0.28747400000000001</v>
      </c>
      <c r="G173" s="56" t="s">
        <v>392</v>
      </c>
      <c r="H173" s="56" t="s">
        <v>2511</v>
      </c>
      <c r="I173" s="56" t="s">
        <v>345</v>
      </c>
      <c r="J173" s="56" t="s">
        <v>2975</v>
      </c>
      <c r="K173" s="57">
        <v>183.54900000000001</v>
      </c>
      <c r="L173" s="56" t="s">
        <v>2976</v>
      </c>
      <c r="M173" s="56" t="s">
        <v>2537</v>
      </c>
      <c r="N173" s="56" t="s">
        <v>17</v>
      </c>
      <c r="O173" s="58">
        <v>98</v>
      </c>
      <c r="P173" s="59" t="s">
        <v>2524</v>
      </c>
      <c r="Q173" s="56" t="s">
        <v>192</v>
      </c>
      <c r="U173" s="52">
        <v>3571869</v>
      </c>
      <c r="V173">
        <v>19</v>
      </c>
      <c r="W173">
        <v>19</v>
      </c>
      <c r="X173">
        <v>1</v>
      </c>
      <c r="Y173">
        <v>0.48599999999999999</v>
      </c>
      <c r="Z173" t="s">
        <v>229</v>
      </c>
      <c r="AA173" t="s">
        <v>963</v>
      </c>
      <c r="AB173" t="s">
        <v>2520</v>
      </c>
      <c r="AC173" t="s">
        <v>450</v>
      </c>
      <c r="AD173" t="s">
        <v>2171</v>
      </c>
      <c r="AE173" t="s">
        <v>2248</v>
      </c>
      <c r="AF173">
        <v>0.27782119492352664</v>
      </c>
    </row>
    <row r="174" spans="1:32" x14ac:dyDescent="0.25">
      <c r="A174" s="56">
        <v>1940821</v>
      </c>
      <c r="B174" s="56" t="s">
        <v>571</v>
      </c>
      <c r="C174" s="56" t="s">
        <v>2977</v>
      </c>
      <c r="D174" s="57">
        <v>640</v>
      </c>
      <c r="E174" s="57">
        <v>513.91999999999996</v>
      </c>
      <c r="F174" s="57">
        <v>0.51391999999999993</v>
      </c>
      <c r="G174" s="56" t="s">
        <v>392</v>
      </c>
      <c r="H174" s="56" t="s">
        <v>2511</v>
      </c>
      <c r="I174" s="56" t="s">
        <v>345</v>
      </c>
      <c r="J174" s="56" t="s">
        <v>2978</v>
      </c>
      <c r="K174" s="57">
        <v>328.13200000000001</v>
      </c>
      <c r="L174" s="56" t="s">
        <v>2979</v>
      </c>
      <c r="M174" s="56" t="s">
        <v>2605</v>
      </c>
      <c r="N174" s="56" t="s">
        <v>17</v>
      </c>
      <c r="O174" s="58">
        <v>100</v>
      </c>
      <c r="P174" s="59" t="s">
        <v>2524</v>
      </c>
      <c r="Q174" s="56" t="s">
        <v>192</v>
      </c>
      <c r="U174" s="52">
        <v>3571870</v>
      </c>
      <c r="V174">
        <v>19</v>
      </c>
      <c r="W174">
        <v>19</v>
      </c>
      <c r="X174">
        <v>1</v>
      </c>
      <c r="Y174">
        <v>0.54</v>
      </c>
      <c r="Z174" t="s">
        <v>229</v>
      </c>
      <c r="AA174" t="s">
        <v>963</v>
      </c>
      <c r="AB174" t="s">
        <v>2520</v>
      </c>
      <c r="AC174" t="s">
        <v>450</v>
      </c>
      <c r="AD174" t="s">
        <v>2171</v>
      </c>
      <c r="AE174" t="s">
        <v>526</v>
      </c>
      <c r="AF174">
        <v>0.30869021658169626</v>
      </c>
    </row>
    <row r="175" spans="1:32" x14ac:dyDescent="0.25">
      <c r="A175" s="56">
        <v>1940821</v>
      </c>
      <c r="B175" s="56" t="s">
        <v>571</v>
      </c>
      <c r="C175" s="56" t="s">
        <v>2980</v>
      </c>
      <c r="D175" s="57">
        <v>201.74299999999999</v>
      </c>
      <c r="E175" s="58">
        <v>162</v>
      </c>
      <c r="F175" s="57">
        <v>0.16200000000000001</v>
      </c>
      <c r="G175" s="56" t="s">
        <v>392</v>
      </c>
      <c r="H175" s="56" t="s">
        <v>2511</v>
      </c>
      <c r="I175" s="56" t="s">
        <v>345</v>
      </c>
      <c r="J175" s="56" t="s">
        <v>2981</v>
      </c>
      <c r="K175" s="57">
        <v>103.435</v>
      </c>
      <c r="L175" s="56" t="s">
        <v>2982</v>
      </c>
      <c r="M175" s="56" t="s">
        <v>2895</v>
      </c>
      <c r="N175" s="56" t="s">
        <v>52</v>
      </c>
      <c r="O175" s="58">
        <v>84</v>
      </c>
      <c r="P175" s="59" t="s">
        <v>2579</v>
      </c>
      <c r="Q175" s="56" t="s">
        <v>2516</v>
      </c>
      <c r="U175" s="52">
        <v>3230491</v>
      </c>
      <c r="V175">
        <v>19</v>
      </c>
      <c r="W175">
        <v>19</v>
      </c>
      <c r="X175">
        <v>1</v>
      </c>
      <c r="Y175">
        <v>0.68200000000000005</v>
      </c>
      <c r="Z175" t="s">
        <v>229</v>
      </c>
      <c r="AA175" t="s">
        <v>963</v>
      </c>
      <c r="AB175" t="s">
        <v>2520</v>
      </c>
      <c r="AC175" t="s">
        <v>450</v>
      </c>
      <c r="AD175" t="s">
        <v>2171</v>
      </c>
      <c r="AE175" t="s">
        <v>2983</v>
      </c>
      <c r="AF175">
        <v>0.3898643105716979</v>
      </c>
    </row>
    <row r="176" spans="1:32" x14ac:dyDescent="0.25">
      <c r="A176" s="56">
        <v>1940821</v>
      </c>
      <c r="B176" s="56" t="s">
        <v>571</v>
      </c>
      <c r="C176" s="56" t="s">
        <v>2984</v>
      </c>
      <c r="D176" s="57">
        <v>644.84699999999998</v>
      </c>
      <c r="E176" s="57">
        <v>517.81200000000001</v>
      </c>
      <c r="F176" s="57">
        <v>0.51781200000000005</v>
      </c>
      <c r="G176" s="56" t="s">
        <v>392</v>
      </c>
      <c r="H176" s="56" t="s">
        <v>2511</v>
      </c>
      <c r="I176" s="56" t="s">
        <v>345</v>
      </c>
      <c r="J176" s="56" t="s">
        <v>2985</v>
      </c>
      <c r="K176" s="57">
        <v>330.61700000000002</v>
      </c>
      <c r="L176" s="56" t="s">
        <v>2986</v>
      </c>
      <c r="M176" s="56" t="s">
        <v>2731</v>
      </c>
      <c r="N176" s="56" t="s">
        <v>17</v>
      </c>
      <c r="O176" s="58">
        <v>70</v>
      </c>
      <c r="P176" s="59" t="s">
        <v>2579</v>
      </c>
      <c r="Q176" s="56" t="s">
        <v>192</v>
      </c>
      <c r="U176" s="52">
        <v>3572031</v>
      </c>
      <c r="V176">
        <v>19</v>
      </c>
      <c r="W176">
        <v>19</v>
      </c>
      <c r="X176">
        <v>1</v>
      </c>
      <c r="Y176">
        <v>0.71</v>
      </c>
      <c r="Z176" t="s">
        <v>229</v>
      </c>
      <c r="AA176" t="s">
        <v>963</v>
      </c>
      <c r="AB176" t="s">
        <v>2520</v>
      </c>
      <c r="AC176" t="s">
        <v>450</v>
      </c>
      <c r="AD176" t="s">
        <v>2171</v>
      </c>
      <c r="AE176" t="s">
        <v>2252</v>
      </c>
      <c r="AF176">
        <v>0.40587046995000803</v>
      </c>
    </row>
    <row r="177" spans="1:32" x14ac:dyDescent="0.25">
      <c r="A177" s="56">
        <v>1940822</v>
      </c>
      <c r="B177" s="56" t="s">
        <v>574</v>
      </c>
      <c r="C177" s="56" t="s">
        <v>2987</v>
      </c>
      <c r="D177" s="57">
        <v>1689.2860000000001</v>
      </c>
      <c r="E177" s="58">
        <v>1419</v>
      </c>
      <c r="F177" s="57">
        <v>1.419</v>
      </c>
      <c r="G177" s="56" t="s">
        <v>392</v>
      </c>
      <c r="H177" s="56" t="s">
        <v>2511</v>
      </c>
      <c r="I177" s="56" t="s">
        <v>345</v>
      </c>
      <c r="J177" s="56" t="s">
        <v>2988</v>
      </c>
      <c r="K177" s="57">
        <v>906.01499999999999</v>
      </c>
      <c r="L177" s="56" t="s">
        <v>2989</v>
      </c>
      <c r="M177" s="56" t="s">
        <v>2990</v>
      </c>
      <c r="N177" s="56" t="s">
        <v>17</v>
      </c>
      <c r="O177" s="58">
        <v>5</v>
      </c>
      <c r="P177" s="59" t="s">
        <v>2515</v>
      </c>
      <c r="Q177" s="56" t="s">
        <v>192</v>
      </c>
      <c r="U177" s="52">
        <v>3572032</v>
      </c>
      <c r="V177">
        <v>19</v>
      </c>
      <c r="W177">
        <v>19</v>
      </c>
      <c r="X177">
        <v>1</v>
      </c>
      <c r="Y177">
        <v>0.75</v>
      </c>
      <c r="Z177" t="s">
        <v>229</v>
      </c>
      <c r="AA177" t="s">
        <v>963</v>
      </c>
      <c r="AB177" t="s">
        <v>2520</v>
      </c>
      <c r="AC177" t="s">
        <v>450</v>
      </c>
      <c r="AD177" t="s">
        <v>2171</v>
      </c>
      <c r="AE177" t="s">
        <v>2253</v>
      </c>
      <c r="AF177">
        <v>0.42873641191902256</v>
      </c>
    </row>
    <row r="178" spans="1:32" x14ac:dyDescent="0.25">
      <c r="A178" s="56">
        <v>1940822</v>
      </c>
      <c r="B178" s="56" t="s">
        <v>574</v>
      </c>
      <c r="C178" s="56" t="s">
        <v>2991</v>
      </c>
      <c r="D178" s="57">
        <v>354.66699999999997</v>
      </c>
      <c r="E178" s="57">
        <v>297.92</v>
      </c>
      <c r="F178" s="57">
        <v>0.29792000000000002</v>
      </c>
      <c r="G178" s="56" t="s">
        <v>392</v>
      </c>
      <c r="H178" s="56" t="s">
        <v>2511</v>
      </c>
      <c r="I178" s="56" t="s">
        <v>345</v>
      </c>
      <c r="J178" s="56" t="s">
        <v>2992</v>
      </c>
      <c r="K178" s="57">
        <v>190.21799999999999</v>
      </c>
      <c r="L178" s="56" t="s">
        <v>2989</v>
      </c>
      <c r="M178" s="56" t="s">
        <v>2990</v>
      </c>
      <c r="N178" s="56" t="s">
        <v>17</v>
      </c>
      <c r="O178" s="58">
        <v>5</v>
      </c>
      <c r="P178" s="59" t="s">
        <v>2515</v>
      </c>
      <c r="Q178" s="56" t="s">
        <v>192</v>
      </c>
      <c r="U178">
        <v>4151426</v>
      </c>
      <c r="V178">
        <v>19</v>
      </c>
      <c r="W178">
        <v>19</v>
      </c>
      <c r="X178">
        <v>1</v>
      </c>
      <c r="Y178">
        <v>0.755</v>
      </c>
      <c r="Z178" t="s">
        <v>229</v>
      </c>
      <c r="AA178" t="s">
        <v>963</v>
      </c>
      <c r="AB178" t="s">
        <v>2520</v>
      </c>
      <c r="AC178" t="s">
        <v>450</v>
      </c>
      <c r="AD178" t="s">
        <v>2171</v>
      </c>
      <c r="AE178" t="s">
        <v>512</v>
      </c>
      <c r="AF178">
        <v>0.4315946546651494</v>
      </c>
    </row>
    <row r="179" spans="1:32" x14ac:dyDescent="0.25">
      <c r="A179" s="56">
        <v>1940822</v>
      </c>
      <c r="B179" s="56" t="s">
        <v>574</v>
      </c>
      <c r="C179" s="56" t="s">
        <v>2993</v>
      </c>
      <c r="D179" s="57">
        <v>2878.5709999999999</v>
      </c>
      <c r="E179" s="58">
        <v>2418</v>
      </c>
      <c r="F179" s="57">
        <v>2.4180000000000001</v>
      </c>
      <c r="G179" s="56" t="s">
        <v>392</v>
      </c>
      <c r="H179" s="56" t="s">
        <v>2511</v>
      </c>
      <c r="I179" s="56" t="s">
        <v>345</v>
      </c>
      <c r="J179" s="56" t="s">
        <v>2994</v>
      </c>
      <c r="K179" s="57">
        <v>1543.864</v>
      </c>
      <c r="L179" s="56" t="s">
        <v>2989</v>
      </c>
      <c r="M179" s="56" t="s">
        <v>2990</v>
      </c>
      <c r="N179" s="56" t="s">
        <v>17</v>
      </c>
      <c r="O179" s="58">
        <v>2</v>
      </c>
      <c r="P179" s="59" t="s">
        <v>2515</v>
      </c>
      <c r="Q179" s="56" t="s">
        <v>192</v>
      </c>
      <c r="U179" s="52">
        <v>3572033</v>
      </c>
      <c r="V179">
        <v>19</v>
      </c>
      <c r="W179">
        <v>19</v>
      </c>
      <c r="X179">
        <v>1</v>
      </c>
      <c r="Y179">
        <v>0.79</v>
      </c>
      <c r="Z179" t="s">
        <v>229</v>
      </c>
      <c r="AA179" t="s">
        <v>963</v>
      </c>
      <c r="AB179" t="s">
        <v>2520</v>
      </c>
      <c r="AC179" t="s">
        <v>450</v>
      </c>
      <c r="AD179" t="s">
        <v>2171</v>
      </c>
      <c r="AE179" t="s">
        <v>2255</v>
      </c>
      <c r="AF179">
        <v>0.45160235388803716</v>
      </c>
    </row>
    <row r="180" spans="1:32" x14ac:dyDescent="0.25">
      <c r="A180" s="56">
        <v>1940822</v>
      </c>
      <c r="B180" s="56" t="s">
        <v>574</v>
      </c>
      <c r="C180" s="56" t="s">
        <v>2995</v>
      </c>
      <c r="D180" s="57">
        <v>320.238</v>
      </c>
      <c r="E180" s="58">
        <v>269</v>
      </c>
      <c r="F180" s="57">
        <v>0.26900000000000002</v>
      </c>
      <c r="G180" s="56" t="s">
        <v>392</v>
      </c>
      <c r="H180" s="56" t="s">
        <v>2511</v>
      </c>
      <c r="I180" s="56" t="s">
        <v>345</v>
      </c>
      <c r="J180" s="56" t="s">
        <v>2996</v>
      </c>
      <c r="K180" s="57">
        <v>171.75299999999999</v>
      </c>
      <c r="L180" s="56" t="s">
        <v>2989</v>
      </c>
      <c r="M180" s="56" t="s">
        <v>2990</v>
      </c>
      <c r="N180" s="56" t="s">
        <v>17</v>
      </c>
      <c r="O180" s="58">
        <v>3</v>
      </c>
      <c r="P180" s="59" t="s">
        <v>2515</v>
      </c>
      <c r="Q180" s="56" t="s">
        <v>192</v>
      </c>
      <c r="U180">
        <v>4151429</v>
      </c>
      <c r="V180">
        <v>19</v>
      </c>
      <c r="W180">
        <v>19</v>
      </c>
      <c r="X180">
        <v>1</v>
      </c>
      <c r="Y180">
        <v>0.79500000000000004</v>
      </c>
      <c r="Z180" t="s">
        <v>229</v>
      </c>
      <c r="AA180" t="s">
        <v>963</v>
      </c>
      <c r="AB180" t="s">
        <v>2520</v>
      </c>
      <c r="AC180" t="s">
        <v>450</v>
      </c>
      <c r="AD180" t="s">
        <v>2171</v>
      </c>
      <c r="AE180" t="s">
        <v>495</v>
      </c>
      <c r="AF180">
        <v>0.45446059663416399</v>
      </c>
    </row>
    <row r="181" spans="1:32" x14ac:dyDescent="0.25">
      <c r="A181" s="56">
        <v>1940822</v>
      </c>
      <c r="B181" s="56" t="s">
        <v>574</v>
      </c>
      <c r="C181" s="56" t="s">
        <v>2997</v>
      </c>
      <c r="D181" s="57">
        <v>2638.0949999999998</v>
      </c>
      <c r="E181" s="58">
        <v>2216</v>
      </c>
      <c r="F181" s="57">
        <v>2.2160000000000002</v>
      </c>
      <c r="G181" s="56" t="s">
        <v>392</v>
      </c>
      <c r="H181" s="56" t="s">
        <v>2511</v>
      </c>
      <c r="I181" s="56" t="s">
        <v>345</v>
      </c>
      <c r="J181" s="56" t="s">
        <v>2998</v>
      </c>
      <c r="K181" s="57">
        <v>1414.89</v>
      </c>
      <c r="L181" s="56" t="s">
        <v>2989</v>
      </c>
      <c r="M181" s="56" t="s">
        <v>2990</v>
      </c>
      <c r="N181" s="56" t="s">
        <v>17</v>
      </c>
      <c r="O181" s="58">
        <v>2</v>
      </c>
      <c r="P181" s="59" t="s">
        <v>2515</v>
      </c>
      <c r="Q181" s="56" t="s">
        <v>192</v>
      </c>
      <c r="U181">
        <v>3931836</v>
      </c>
      <c r="V181">
        <v>19</v>
      </c>
      <c r="W181">
        <v>19</v>
      </c>
      <c r="X181">
        <v>1</v>
      </c>
      <c r="Y181">
        <v>0.8</v>
      </c>
      <c r="Z181" t="s">
        <v>229</v>
      </c>
      <c r="AA181" t="s">
        <v>963</v>
      </c>
      <c r="AB181" t="s">
        <v>2520</v>
      </c>
      <c r="AC181" t="s">
        <v>450</v>
      </c>
      <c r="AD181" t="s">
        <v>2171</v>
      </c>
      <c r="AE181" t="s">
        <v>613</v>
      </c>
      <c r="AF181">
        <v>0.45731883938029078</v>
      </c>
    </row>
    <row r="182" spans="1:32" x14ac:dyDescent="0.25">
      <c r="A182" s="56">
        <v>1940823</v>
      </c>
      <c r="B182" s="56" t="s">
        <v>576</v>
      </c>
      <c r="C182" s="56" t="s">
        <v>2999</v>
      </c>
      <c r="D182" s="57">
        <v>578.90899999999999</v>
      </c>
      <c r="E182" s="57">
        <v>507.70299999999997</v>
      </c>
      <c r="F182" s="57">
        <v>0.50770300000000002</v>
      </c>
      <c r="G182" s="56" t="s">
        <v>392</v>
      </c>
      <c r="H182" s="56" t="s">
        <v>2511</v>
      </c>
      <c r="I182" s="56" t="s">
        <v>345</v>
      </c>
      <c r="J182" s="56" t="s">
        <v>2537</v>
      </c>
      <c r="K182" s="57">
        <v>324.16199999999998</v>
      </c>
      <c r="L182" s="56" t="s">
        <v>3000</v>
      </c>
      <c r="M182" s="56" t="s">
        <v>2584</v>
      </c>
      <c r="N182" s="56" t="s">
        <v>17</v>
      </c>
      <c r="O182" s="58">
        <v>3</v>
      </c>
      <c r="P182" s="59" t="s">
        <v>2515</v>
      </c>
      <c r="Q182" s="56" t="s">
        <v>192</v>
      </c>
      <c r="U182">
        <v>4151425</v>
      </c>
      <c r="V182">
        <v>19</v>
      </c>
      <c r="W182">
        <v>19</v>
      </c>
      <c r="X182">
        <v>1</v>
      </c>
      <c r="Y182">
        <v>0.83499999999999996</v>
      </c>
      <c r="Z182" t="s">
        <v>229</v>
      </c>
      <c r="AA182" t="s">
        <v>963</v>
      </c>
      <c r="AB182" t="s">
        <v>2520</v>
      </c>
      <c r="AC182" t="s">
        <v>450</v>
      </c>
      <c r="AD182" t="s">
        <v>2171</v>
      </c>
      <c r="AE182" t="s">
        <v>524</v>
      </c>
      <c r="AF182">
        <v>0.47732653860317847</v>
      </c>
    </row>
    <row r="183" spans="1:32" x14ac:dyDescent="0.25">
      <c r="A183" s="56">
        <v>1940825</v>
      </c>
      <c r="B183" s="56" t="s">
        <v>788</v>
      </c>
      <c r="C183" s="56" t="s">
        <v>3001</v>
      </c>
      <c r="D183" s="57">
        <v>2830.7860000000001</v>
      </c>
      <c r="E183" s="58">
        <v>2593</v>
      </c>
      <c r="F183" s="57">
        <v>2.593</v>
      </c>
      <c r="G183" s="56" t="s">
        <v>392</v>
      </c>
      <c r="H183" s="56" t="s">
        <v>2511</v>
      </c>
      <c r="I183" s="56" t="s">
        <v>345</v>
      </c>
      <c r="J183" s="56" t="s">
        <v>3002</v>
      </c>
      <c r="K183" s="57">
        <v>1655.6</v>
      </c>
      <c r="L183" s="56" t="s">
        <v>3003</v>
      </c>
      <c r="M183" s="56" t="s">
        <v>2740</v>
      </c>
      <c r="N183" s="56" t="s">
        <v>17</v>
      </c>
      <c r="O183" s="58">
        <v>2</v>
      </c>
      <c r="P183" s="59" t="s">
        <v>2515</v>
      </c>
      <c r="Q183" s="56" t="s">
        <v>192</v>
      </c>
      <c r="U183" s="52">
        <v>3230485</v>
      </c>
      <c r="V183">
        <v>19</v>
      </c>
      <c r="W183">
        <v>19</v>
      </c>
      <c r="X183">
        <v>1</v>
      </c>
      <c r="Y183">
        <v>0.84</v>
      </c>
      <c r="Z183" t="s">
        <v>229</v>
      </c>
      <c r="AA183" t="s">
        <v>963</v>
      </c>
      <c r="AB183" t="s">
        <v>2520</v>
      </c>
      <c r="AC183" t="s">
        <v>450</v>
      </c>
      <c r="AD183" t="s">
        <v>2171</v>
      </c>
      <c r="AE183" t="s">
        <v>617</v>
      </c>
      <c r="AF183">
        <v>0.48018478134930531</v>
      </c>
    </row>
    <row r="184" spans="1:32" x14ac:dyDescent="0.25">
      <c r="A184" s="56">
        <v>1940825</v>
      </c>
      <c r="B184" s="56" t="s">
        <v>788</v>
      </c>
      <c r="C184" s="56" t="s">
        <v>3004</v>
      </c>
      <c r="D184" s="57">
        <v>2681.223</v>
      </c>
      <c r="E184" s="58">
        <v>2456</v>
      </c>
      <c r="F184" s="57">
        <v>2.456</v>
      </c>
      <c r="G184" s="56" t="s">
        <v>392</v>
      </c>
      <c r="H184" s="56" t="s">
        <v>2511</v>
      </c>
      <c r="I184" s="56" t="s">
        <v>345</v>
      </c>
      <c r="J184" s="56" t="s">
        <v>3005</v>
      </c>
      <c r="K184" s="57">
        <v>1568.127</v>
      </c>
      <c r="L184" s="56" t="s">
        <v>3003</v>
      </c>
      <c r="M184" s="56" t="s">
        <v>2740</v>
      </c>
      <c r="N184" s="56" t="s">
        <v>17</v>
      </c>
      <c r="O184" s="58">
        <v>0</v>
      </c>
      <c r="P184" s="59" t="s">
        <v>2515</v>
      </c>
      <c r="Q184" s="56" t="s">
        <v>192</v>
      </c>
      <c r="U184" s="52">
        <v>3233560</v>
      </c>
      <c r="V184">
        <v>19</v>
      </c>
      <c r="W184">
        <v>19</v>
      </c>
      <c r="X184">
        <v>1</v>
      </c>
      <c r="Y184">
        <v>0.875</v>
      </c>
      <c r="Z184" t="s">
        <v>229</v>
      </c>
      <c r="AA184" t="s">
        <v>963</v>
      </c>
      <c r="AB184" t="s">
        <v>2520</v>
      </c>
      <c r="AC184" t="s">
        <v>450</v>
      </c>
      <c r="AD184" t="s">
        <v>2171</v>
      </c>
      <c r="AE184" t="s">
        <v>619</v>
      </c>
      <c r="AF184">
        <v>0.50019248057219301</v>
      </c>
    </row>
    <row r="185" spans="1:32" x14ac:dyDescent="0.25">
      <c r="A185" s="56">
        <v>1940825</v>
      </c>
      <c r="B185" s="56" t="s">
        <v>788</v>
      </c>
      <c r="C185" s="56" t="s">
        <v>3006</v>
      </c>
      <c r="D185" s="57">
        <v>2700.873</v>
      </c>
      <c r="E185" s="58">
        <v>2474</v>
      </c>
      <c r="F185" s="57">
        <v>2.4740000000000002</v>
      </c>
      <c r="G185" s="56" t="s">
        <v>392</v>
      </c>
      <c r="H185" s="56" t="s">
        <v>2511</v>
      </c>
      <c r="I185" s="56" t="s">
        <v>345</v>
      </c>
      <c r="J185" s="56" t="s">
        <v>3007</v>
      </c>
      <c r="K185" s="57">
        <v>1579.6189999999999</v>
      </c>
      <c r="L185" s="56" t="s">
        <v>3003</v>
      </c>
      <c r="M185" s="56" t="s">
        <v>2740</v>
      </c>
      <c r="N185" s="56" t="s">
        <v>17</v>
      </c>
      <c r="O185" s="58">
        <v>0</v>
      </c>
      <c r="P185" s="59" t="s">
        <v>2515</v>
      </c>
      <c r="Q185" s="56" t="s">
        <v>192</v>
      </c>
      <c r="U185" s="52">
        <v>3230492</v>
      </c>
      <c r="V185">
        <v>19</v>
      </c>
      <c r="W185">
        <v>19</v>
      </c>
      <c r="X185">
        <v>1</v>
      </c>
      <c r="Y185">
        <v>0.88</v>
      </c>
      <c r="Z185" t="s">
        <v>229</v>
      </c>
      <c r="AA185" t="s">
        <v>963</v>
      </c>
      <c r="AB185" t="s">
        <v>2520</v>
      </c>
      <c r="AC185" t="s">
        <v>450</v>
      </c>
      <c r="AD185" t="s">
        <v>2171</v>
      </c>
      <c r="AE185" t="s">
        <v>615</v>
      </c>
      <c r="AF185">
        <v>0.50305072331831979</v>
      </c>
    </row>
    <row r="186" spans="1:32" x14ac:dyDescent="0.25">
      <c r="A186" s="56">
        <v>1940825</v>
      </c>
      <c r="B186" s="56" t="s">
        <v>788</v>
      </c>
      <c r="C186" s="56" t="s">
        <v>3008</v>
      </c>
      <c r="D186" s="57">
        <v>2650.6550000000002</v>
      </c>
      <c r="E186" s="58">
        <v>2428</v>
      </c>
      <c r="F186" s="57">
        <v>2.4279999999999999</v>
      </c>
      <c r="G186" s="56" t="s">
        <v>392</v>
      </c>
      <c r="H186" s="56" t="s">
        <v>2511</v>
      </c>
      <c r="I186" s="56" t="s">
        <v>345</v>
      </c>
      <c r="J186" s="56" t="s">
        <v>2742</v>
      </c>
      <c r="K186" s="57">
        <v>1550.249</v>
      </c>
      <c r="L186" s="56" t="s">
        <v>3003</v>
      </c>
      <c r="M186" s="56" t="s">
        <v>2740</v>
      </c>
      <c r="N186" s="56" t="s">
        <v>17</v>
      </c>
      <c r="O186" s="58">
        <v>0</v>
      </c>
      <c r="P186" s="59" t="s">
        <v>2515</v>
      </c>
      <c r="Q186" s="56" t="s">
        <v>192</v>
      </c>
      <c r="U186" s="52">
        <v>3572034</v>
      </c>
      <c r="V186">
        <v>19</v>
      </c>
      <c r="W186">
        <v>19</v>
      </c>
      <c r="X186">
        <v>1</v>
      </c>
      <c r="Y186">
        <v>0.88800000000000001</v>
      </c>
      <c r="Z186" t="s">
        <v>229</v>
      </c>
      <c r="AA186" t="s">
        <v>963</v>
      </c>
      <c r="AB186" t="s">
        <v>2520</v>
      </c>
      <c r="AC186" t="s">
        <v>450</v>
      </c>
      <c r="AD186" t="s">
        <v>2171</v>
      </c>
      <c r="AE186" t="s">
        <v>3009</v>
      </c>
      <c r="AF186">
        <v>0.50762391171212273</v>
      </c>
    </row>
    <row r="187" spans="1:32" x14ac:dyDescent="0.25">
      <c r="A187" s="56">
        <v>1940825</v>
      </c>
      <c r="B187" s="56" t="s">
        <v>788</v>
      </c>
      <c r="C187" s="56" t="s">
        <v>3010</v>
      </c>
      <c r="D187" s="57">
        <v>1280.568</v>
      </c>
      <c r="E187" s="58">
        <v>1173</v>
      </c>
      <c r="F187" s="57">
        <v>1.173</v>
      </c>
      <c r="G187" s="56" t="s">
        <v>392</v>
      </c>
      <c r="H187" s="56" t="s">
        <v>2511</v>
      </c>
      <c r="I187" s="56" t="s">
        <v>345</v>
      </c>
      <c r="J187" s="56" t="s">
        <v>3011</v>
      </c>
      <c r="K187" s="57">
        <v>748.94600000000003</v>
      </c>
      <c r="L187" s="56" t="s">
        <v>3003</v>
      </c>
      <c r="M187" s="56" t="s">
        <v>2740</v>
      </c>
      <c r="N187" s="56" t="s">
        <v>17</v>
      </c>
      <c r="O187" s="58">
        <v>0</v>
      </c>
      <c r="P187" s="59" t="s">
        <v>2515</v>
      </c>
      <c r="Q187" s="56" t="s">
        <v>192</v>
      </c>
      <c r="U187" s="52">
        <v>3572035</v>
      </c>
      <c r="V187">
        <v>19</v>
      </c>
      <c r="W187">
        <v>19</v>
      </c>
      <c r="X187">
        <v>1</v>
      </c>
      <c r="Y187">
        <v>0.89</v>
      </c>
      <c r="Z187" t="s">
        <v>229</v>
      </c>
      <c r="AA187" t="s">
        <v>963</v>
      </c>
      <c r="AB187" t="s">
        <v>2520</v>
      </c>
      <c r="AC187" t="s">
        <v>450</v>
      </c>
      <c r="AD187" t="s">
        <v>2171</v>
      </c>
      <c r="AE187" t="s">
        <v>2256</v>
      </c>
      <c r="AF187">
        <v>0.50876720881057347</v>
      </c>
    </row>
    <row r="188" spans="1:32" x14ac:dyDescent="0.25">
      <c r="A188" s="56">
        <v>1940825</v>
      </c>
      <c r="B188" s="56" t="s">
        <v>788</v>
      </c>
      <c r="C188" s="56" t="s">
        <v>3012</v>
      </c>
      <c r="D188" s="57">
        <v>2480.3490000000002</v>
      </c>
      <c r="E188" s="58">
        <v>2272</v>
      </c>
      <c r="F188" s="57">
        <v>2.2719999999999998</v>
      </c>
      <c r="G188" s="56" t="s">
        <v>392</v>
      </c>
      <c r="H188" s="56" t="s">
        <v>2511</v>
      </c>
      <c r="I188" s="56" t="s">
        <v>345</v>
      </c>
      <c r="J188" s="56" t="s">
        <v>3013</v>
      </c>
      <c r="K188" s="57">
        <v>1450.645</v>
      </c>
      <c r="L188" s="56" t="s">
        <v>3003</v>
      </c>
      <c r="M188" s="56" t="s">
        <v>2740</v>
      </c>
      <c r="N188" s="56" t="s">
        <v>17</v>
      </c>
      <c r="O188" s="58">
        <v>0</v>
      </c>
      <c r="P188" s="59" t="s">
        <v>2515</v>
      </c>
      <c r="Q188" s="56" t="s">
        <v>192</v>
      </c>
      <c r="U188">
        <v>4075254</v>
      </c>
      <c r="V188">
        <v>19</v>
      </c>
      <c r="W188">
        <v>19</v>
      </c>
      <c r="X188">
        <v>1</v>
      </c>
      <c r="Y188">
        <v>0.92500000000000004</v>
      </c>
      <c r="Z188" t="s">
        <v>229</v>
      </c>
      <c r="AA188" t="s">
        <v>2520</v>
      </c>
      <c r="AB188" t="s">
        <v>963</v>
      </c>
      <c r="AC188" t="s">
        <v>450</v>
      </c>
      <c r="AD188" t="s">
        <v>2171</v>
      </c>
      <c r="AE188" t="s">
        <v>3014</v>
      </c>
      <c r="AF188">
        <v>0.52877490803346128</v>
      </c>
    </row>
    <row r="189" spans="1:32" x14ac:dyDescent="0.25">
      <c r="A189" s="56">
        <v>1940825</v>
      </c>
      <c r="B189" s="56" t="s">
        <v>788</v>
      </c>
      <c r="C189" s="56" t="s">
        <v>3015</v>
      </c>
      <c r="D189" s="57">
        <v>2450.873</v>
      </c>
      <c r="E189" s="58">
        <v>2245</v>
      </c>
      <c r="F189" s="57">
        <v>2.2450000000000001</v>
      </c>
      <c r="G189" s="56" t="s">
        <v>392</v>
      </c>
      <c r="H189" s="56" t="s">
        <v>2511</v>
      </c>
      <c r="I189" s="56" t="s">
        <v>345</v>
      </c>
      <c r="J189" s="56" t="s">
        <v>3016</v>
      </c>
      <c r="K189" s="57">
        <v>1433.4059999999999</v>
      </c>
      <c r="L189" s="56" t="s">
        <v>3003</v>
      </c>
      <c r="M189" s="56" t="s">
        <v>2740</v>
      </c>
      <c r="N189" s="56" t="s">
        <v>17</v>
      </c>
      <c r="O189" s="58">
        <v>2</v>
      </c>
      <c r="P189" s="59" t="s">
        <v>2515</v>
      </c>
      <c r="Q189" s="56" t="s">
        <v>192</v>
      </c>
      <c r="U189" s="52">
        <v>3572036</v>
      </c>
      <c r="V189">
        <v>19</v>
      </c>
      <c r="W189">
        <v>19</v>
      </c>
      <c r="X189">
        <v>1</v>
      </c>
      <c r="Y189">
        <v>0.96</v>
      </c>
      <c r="Z189" t="s">
        <v>229</v>
      </c>
      <c r="AA189" t="s">
        <v>963</v>
      </c>
      <c r="AB189" t="s">
        <v>2520</v>
      </c>
      <c r="AC189" t="s">
        <v>450</v>
      </c>
      <c r="AD189" t="s">
        <v>2171</v>
      </c>
      <c r="AE189" t="s">
        <v>3017</v>
      </c>
      <c r="AF189">
        <v>0.54878260725634886</v>
      </c>
    </row>
    <row r="190" spans="1:32" x14ac:dyDescent="0.25">
      <c r="A190" s="56">
        <v>1940829</v>
      </c>
      <c r="B190" s="56" t="s">
        <v>1956</v>
      </c>
      <c r="C190" s="56" t="s">
        <v>3018</v>
      </c>
      <c r="D190" s="57">
        <v>951.97699999999998</v>
      </c>
      <c r="E190" s="57">
        <v>505.5</v>
      </c>
      <c r="F190" s="57">
        <v>0.50549999999999995</v>
      </c>
      <c r="G190" s="56" t="s">
        <v>392</v>
      </c>
      <c r="H190" s="56" t="s">
        <v>2511</v>
      </c>
      <c r="I190" s="56" t="s">
        <v>345</v>
      </c>
      <c r="J190" s="56" t="s">
        <v>2537</v>
      </c>
      <c r="K190" s="57">
        <v>298.86500000000001</v>
      </c>
      <c r="L190" s="56" t="s">
        <v>3019</v>
      </c>
      <c r="M190" s="56" t="s">
        <v>2810</v>
      </c>
      <c r="N190" s="56" t="s">
        <v>39</v>
      </c>
      <c r="O190" s="58">
        <v>194</v>
      </c>
      <c r="P190" s="59" t="s">
        <v>2524</v>
      </c>
      <c r="Q190" s="56" t="s">
        <v>2516</v>
      </c>
      <c r="U190" s="507">
        <v>3938684</v>
      </c>
      <c r="V190">
        <v>19</v>
      </c>
      <c r="W190">
        <v>19</v>
      </c>
      <c r="X190">
        <v>1</v>
      </c>
      <c r="Y190">
        <v>0.96199999999999997</v>
      </c>
      <c r="Z190" t="s">
        <v>229</v>
      </c>
      <c r="AA190" t="s">
        <v>963</v>
      </c>
      <c r="AB190" t="s">
        <v>2520</v>
      </c>
      <c r="AC190" t="s">
        <v>450</v>
      </c>
      <c r="AD190" t="s">
        <v>2171</v>
      </c>
      <c r="AE190" t="s">
        <v>2257</v>
      </c>
      <c r="AF190">
        <v>0.5499259043547996</v>
      </c>
    </row>
    <row r="191" spans="1:32" x14ac:dyDescent="0.25">
      <c r="A191" s="56">
        <v>1940830</v>
      </c>
      <c r="B191" s="56" t="s">
        <v>587</v>
      </c>
      <c r="C191" s="56" t="s">
        <v>3020</v>
      </c>
      <c r="D191" s="57">
        <v>1929.21</v>
      </c>
      <c r="E191" s="58">
        <v>2807</v>
      </c>
      <c r="F191" s="57">
        <v>2.8069999999999999</v>
      </c>
      <c r="G191" s="56" t="s">
        <v>392</v>
      </c>
      <c r="H191" s="56" t="s">
        <v>2511</v>
      </c>
      <c r="I191" s="56" t="s">
        <v>345</v>
      </c>
      <c r="J191" s="56" t="s">
        <v>3021</v>
      </c>
      <c r="K191" s="57">
        <v>1659.5719999999999</v>
      </c>
      <c r="L191" s="56" t="s">
        <v>3022</v>
      </c>
      <c r="M191" s="56" t="s">
        <v>2589</v>
      </c>
      <c r="N191" s="56" t="s">
        <v>48</v>
      </c>
      <c r="O191" s="58">
        <v>6</v>
      </c>
      <c r="P191" s="59" t="s">
        <v>2515</v>
      </c>
      <c r="Q191" s="56" t="s">
        <v>11</v>
      </c>
      <c r="U191">
        <v>4151427</v>
      </c>
      <c r="V191">
        <v>19</v>
      </c>
      <c r="W191">
        <v>19</v>
      </c>
      <c r="X191">
        <v>1</v>
      </c>
      <c r="Y191">
        <v>0.96299999999999997</v>
      </c>
      <c r="Z191" t="s">
        <v>229</v>
      </c>
      <c r="AA191" t="s">
        <v>963</v>
      </c>
      <c r="AB191" t="s">
        <v>2520</v>
      </c>
      <c r="AC191" t="s">
        <v>450</v>
      </c>
      <c r="AD191" t="s">
        <v>2171</v>
      </c>
      <c r="AE191" t="s">
        <v>510</v>
      </c>
      <c r="AF191">
        <v>0.55049755290402502</v>
      </c>
    </row>
    <row r="192" spans="1:32" x14ac:dyDescent="0.25">
      <c r="A192" s="56">
        <v>1940830</v>
      </c>
      <c r="B192" s="56" t="s">
        <v>587</v>
      </c>
      <c r="C192" s="56" t="s">
        <v>3023</v>
      </c>
      <c r="D192" s="57">
        <v>949.82799999999997</v>
      </c>
      <c r="E192" s="58">
        <v>1382</v>
      </c>
      <c r="F192" s="57">
        <v>1.3819999999999999</v>
      </c>
      <c r="G192" s="56" t="s">
        <v>392</v>
      </c>
      <c r="H192" s="56" t="s">
        <v>2511</v>
      </c>
      <c r="I192" s="56" t="s">
        <v>345</v>
      </c>
      <c r="J192" s="56" t="s">
        <v>3024</v>
      </c>
      <c r="K192" s="57">
        <v>817.07500000000005</v>
      </c>
      <c r="L192" s="56" t="s">
        <v>3022</v>
      </c>
      <c r="M192" s="56" t="s">
        <v>2589</v>
      </c>
      <c r="N192" s="56" t="s">
        <v>48</v>
      </c>
      <c r="O192" s="58">
        <v>5</v>
      </c>
      <c r="P192" s="59" t="s">
        <v>2515</v>
      </c>
      <c r="Q192" s="56" t="s">
        <v>11</v>
      </c>
      <c r="U192">
        <v>4100796</v>
      </c>
      <c r="V192">
        <v>19</v>
      </c>
      <c r="W192">
        <v>19</v>
      </c>
      <c r="X192">
        <v>1</v>
      </c>
      <c r="Y192">
        <v>1.0069999999999999</v>
      </c>
      <c r="Z192" t="s">
        <v>229</v>
      </c>
      <c r="AA192" t="s">
        <v>2520</v>
      </c>
      <c r="AB192" t="s">
        <v>963</v>
      </c>
      <c r="AC192" t="s">
        <v>450</v>
      </c>
      <c r="AD192" t="s">
        <v>2171</v>
      </c>
      <c r="AE192" t="s">
        <v>553</v>
      </c>
      <c r="AF192">
        <v>0.57565008906994097</v>
      </c>
    </row>
    <row r="193" spans="1:32" x14ac:dyDescent="0.25">
      <c r="A193" s="56">
        <v>1940830</v>
      </c>
      <c r="B193" s="56" t="s">
        <v>587</v>
      </c>
      <c r="C193" s="56" t="s">
        <v>3025</v>
      </c>
      <c r="D193" s="57">
        <v>639.86300000000006</v>
      </c>
      <c r="E193" s="58">
        <v>931</v>
      </c>
      <c r="F193" s="57">
        <v>0.93100000000000005</v>
      </c>
      <c r="G193" s="56" t="s">
        <v>392</v>
      </c>
      <c r="H193" s="56" t="s">
        <v>2511</v>
      </c>
      <c r="I193" s="56" t="s">
        <v>345</v>
      </c>
      <c r="J193" s="56" t="s">
        <v>2978</v>
      </c>
      <c r="K193" s="57">
        <v>550.43200000000002</v>
      </c>
      <c r="L193" s="56" t="s">
        <v>3022</v>
      </c>
      <c r="M193" s="56" t="s">
        <v>2589</v>
      </c>
      <c r="N193" s="56" t="s">
        <v>48</v>
      </c>
      <c r="O193" s="58">
        <v>5</v>
      </c>
      <c r="P193" s="59" t="s">
        <v>2515</v>
      </c>
      <c r="Q193" s="56" t="s">
        <v>11</v>
      </c>
      <c r="U193" s="52">
        <v>3572037</v>
      </c>
      <c r="V193">
        <v>19</v>
      </c>
      <c r="W193">
        <v>19</v>
      </c>
      <c r="X193">
        <v>1</v>
      </c>
      <c r="Y193">
        <v>1.1000000000000001</v>
      </c>
      <c r="Z193" t="s">
        <v>229</v>
      </c>
      <c r="AA193" t="s">
        <v>963</v>
      </c>
      <c r="AB193" t="s">
        <v>2520</v>
      </c>
      <c r="AC193" t="s">
        <v>450</v>
      </c>
      <c r="AD193" t="s">
        <v>2171</v>
      </c>
      <c r="AE193" t="s">
        <v>3026</v>
      </c>
      <c r="AF193">
        <v>0.62881340414789988</v>
      </c>
    </row>
    <row r="194" spans="1:32" x14ac:dyDescent="0.25">
      <c r="A194" s="56">
        <v>1940834</v>
      </c>
      <c r="B194" s="56" t="s">
        <v>3027</v>
      </c>
      <c r="C194" s="56" t="s">
        <v>3028</v>
      </c>
      <c r="D194" s="57">
        <v>1056.299</v>
      </c>
      <c r="E194" s="57">
        <v>561.95100000000002</v>
      </c>
      <c r="F194" s="57">
        <v>0.56195099999999998</v>
      </c>
      <c r="G194" s="56" t="s">
        <v>392</v>
      </c>
      <c r="H194" s="56" t="s">
        <v>2511</v>
      </c>
      <c r="I194" s="56" t="s">
        <v>345</v>
      </c>
      <c r="J194" s="56" t="s">
        <v>1914</v>
      </c>
      <c r="K194" s="57">
        <v>268.298</v>
      </c>
      <c r="L194" s="56" t="s">
        <v>1914</v>
      </c>
      <c r="M194" s="56" t="s">
        <v>1123</v>
      </c>
      <c r="N194" s="56" t="s">
        <v>84</v>
      </c>
      <c r="O194" s="58">
        <v>262</v>
      </c>
      <c r="P194" s="59" t="s">
        <v>2524</v>
      </c>
      <c r="Q194" s="56" t="s">
        <v>192</v>
      </c>
      <c r="U194">
        <v>3931837</v>
      </c>
      <c r="V194">
        <v>19</v>
      </c>
      <c r="W194">
        <v>19</v>
      </c>
      <c r="X194">
        <v>1</v>
      </c>
      <c r="Y194">
        <v>1.1499999999999999</v>
      </c>
      <c r="Z194" t="s">
        <v>229</v>
      </c>
      <c r="AA194" t="s">
        <v>963</v>
      </c>
      <c r="AB194" t="s">
        <v>2520</v>
      </c>
      <c r="AC194" t="s">
        <v>450</v>
      </c>
      <c r="AD194" t="s">
        <v>2171</v>
      </c>
      <c r="AE194" t="s">
        <v>2259</v>
      </c>
      <c r="AF194">
        <v>0.65739583160916792</v>
      </c>
    </row>
    <row r="195" spans="1:32" x14ac:dyDescent="0.25">
      <c r="A195" s="56">
        <v>1940848</v>
      </c>
      <c r="B195" s="56" t="s">
        <v>3029</v>
      </c>
      <c r="C195" s="56" t="s">
        <v>3030</v>
      </c>
      <c r="D195" s="57">
        <v>313.26100000000002</v>
      </c>
      <c r="E195" s="57">
        <v>55.134</v>
      </c>
      <c r="F195" s="57">
        <v>5.5134000000000002E-2</v>
      </c>
      <c r="G195" s="56" t="s">
        <v>392</v>
      </c>
      <c r="H195" s="56" t="s">
        <v>2511</v>
      </c>
      <c r="I195" s="56" t="s">
        <v>345</v>
      </c>
      <c r="J195" s="56" t="s">
        <v>2633</v>
      </c>
      <c r="K195" s="57">
        <v>37.546999999999997</v>
      </c>
      <c r="L195" s="56" t="s">
        <v>3031</v>
      </c>
      <c r="M195" s="56" t="s">
        <v>2514</v>
      </c>
      <c r="N195" s="56" t="s">
        <v>60</v>
      </c>
      <c r="O195" s="58">
        <v>412</v>
      </c>
      <c r="P195" s="59" t="s">
        <v>2524</v>
      </c>
      <c r="Q195" s="56" t="s">
        <v>192</v>
      </c>
      <c r="U195" s="52">
        <v>3572038</v>
      </c>
      <c r="V195">
        <v>19</v>
      </c>
      <c r="W195">
        <v>19</v>
      </c>
      <c r="X195">
        <v>1</v>
      </c>
      <c r="Y195">
        <v>1.246</v>
      </c>
      <c r="Z195" t="s">
        <v>229</v>
      </c>
      <c r="AA195" t="s">
        <v>963</v>
      </c>
      <c r="AB195" t="s">
        <v>2520</v>
      </c>
      <c r="AC195" t="s">
        <v>450</v>
      </c>
      <c r="AD195" t="s">
        <v>2171</v>
      </c>
      <c r="AE195" t="s">
        <v>522</v>
      </c>
      <c r="AF195">
        <v>0.71227409233480288</v>
      </c>
    </row>
    <row r="196" spans="1:32" x14ac:dyDescent="0.25">
      <c r="A196" s="56">
        <v>1940849</v>
      </c>
      <c r="B196" s="56" t="s">
        <v>690</v>
      </c>
      <c r="C196" s="56" t="s">
        <v>3032</v>
      </c>
      <c r="D196" s="57">
        <v>2071.13</v>
      </c>
      <c r="E196" s="57">
        <v>381.08800000000002</v>
      </c>
      <c r="F196" s="57">
        <v>0.38108800000000004</v>
      </c>
      <c r="G196" s="56" t="s">
        <v>392</v>
      </c>
      <c r="H196" s="56" t="s">
        <v>2511</v>
      </c>
      <c r="I196" s="56" t="s">
        <v>345</v>
      </c>
      <c r="J196" s="56" t="s">
        <v>3033</v>
      </c>
      <c r="K196" s="57">
        <v>259.52600000000001</v>
      </c>
      <c r="L196" s="56" t="s">
        <v>3034</v>
      </c>
      <c r="M196" s="56" t="s">
        <v>2162</v>
      </c>
      <c r="N196" s="56" t="s">
        <v>60</v>
      </c>
      <c r="O196" s="58">
        <v>25</v>
      </c>
      <c r="P196" s="59" t="s">
        <v>2515</v>
      </c>
      <c r="Q196" s="56" t="s">
        <v>192</v>
      </c>
      <c r="U196" s="52">
        <v>3230494</v>
      </c>
      <c r="V196">
        <v>19</v>
      </c>
      <c r="W196">
        <v>19</v>
      </c>
      <c r="X196">
        <v>1</v>
      </c>
      <c r="Y196">
        <v>1.3</v>
      </c>
      <c r="Z196" t="s">
        <v>229</v>
      </c>
      <c r="AA196" t="s">
        <v>963</v>
      </c>
      <c r="AB196" t="s">
        <v>2520</v>
      </c>
      <c r="AC196" t="s">
        <v>450</v>
      </c>
      <c r="AD196" t="s">
        <v>2171</v>
      </c>
      <c r="AE196" t="s">
        <v>3035</v>
      </c>
      <c r="AF196">
        <v>0.7431431139929725</v>
      </c>
    </row>
    <row r="197" spans="1:32" x14ac:dyDescent="0.25">
      <c r="A197" s="56">
        <v>1940850</v>
      </c>
      <c r="B197" s="56" t="s">
        <v>688</v>
      </c>
      <c r="C197" s="56" t="s">
        <v>3036</v>
      </c>
      <c r="D197" s="57">
        <v>1173.2909999999999</v>
      </c>
      <c r="E197" s="57">
        <v>241.69800000000001</v>
      </c>
      <c r="F197" s="57">
        <v>0.241698</v>
      </c>
      <c r="G197" s="56" t="s">
        <v>392</v>
      </c>
      <c r="H197" s="56" t="s">
        <v>2511</v>
      </c>
      <c r="I197" s="56" t="s">
        <v>345</v>
      </c>
      <c r="J197" s="56" t="s">
        <v>3037</v>
      </c>
      <c r="K197" s="57">
        <v>164.6</v>
      </c>
      <c r="L197" s="56" t="s">
        <v>3038</v>
      </c>
      <c r="M197" s="56" t="s">
        <v>2160</v>
      </c>
      <c r="N197" s="56" t="s">
        <v>60</v>
      </c>
      <c r="O197" s="58">
        <v>44</v>
      </c>
      <c r="P197" s="59" t="s">
        <v>2532</v>
      </c>
      <c r="Q197" s="56" t="s">
        <v>192</v>
      </c>
      <c r="U197" s="52">
        <v>3572039</v>
      </c>
      <c r="V197">
        <v>19</v>
      </c>
      <c r="W197">
        <v>19</v>
      </c>
      <c r="X197">
        <v>1</v>
      </c>
      <c r="Y197">
        <v>1.304</v>
      </c>
      <c r="Z197" t="s">
        <v>229</v>
      </c>
      <c r="AA197" t="s">
        <v>963</v>
      </c>
      <c r="AB197" t="s">
        <v>2520</v>
      </c>
      <c r="AC197" t="s">
        <v>450</v>
      </c>
      <c r="AD197" t="s">
        <v>2171</v>
      </c>
      <c r="AE197" t="s">
        <v>520</v>
      </c>
      <c r="AF197">
        <v>0.74542970818987397</v>
      </c>
    </row>
    <row r="198" spans="1:32" x14ac:dyDescent="0.25">
      <c r="A198" s="56">
        <v>1940852</v>
      </c>
      <c r="B198" s="56" t="s">
        <v>446</v>
      </c>
      <c r="C198" s="56" t="s">
        <v>3039</v>
      </c>
      <c r="D198" s="57">
        <v>167.99100000000001</v>
      </c>
      <c r="E198" s="58">
        <v>1480</v>
      </c>
      <c r="F198" s="57">
        <v>1.48</v>
      </c>
      <c r="G198" s="56" t="s">
        <v>392</v>
      </c>
      <c r="H198" s="56" t="s">
        <v>2511</v>
      </c>
      <c r="I198" s="56" t="s">
        <v>345</v>
      </c>
      <c r="J198" s="56" t="s">
        <v>3040</v>
      </c>
      <c r="K198" s="57">
        <v>1007.9</v>
      </c>
      <c r="L198" s="56" t="s">
        <v>3041</v>
      </c>
      <c r="M198" s="56" t="s">
        <v>2548</v>
      </c>
      <c r="N198" s="56" t="s">
        <v>60</v>
      </c>
      <c r="O198" s="58">
        <v>6</v>
      </c>
      <c r="P198" s="59" t="s">
        <v>2515</v>
      </c>
      <c r="Q198" s="56" t="s">
        <v>192</v>
      </c>
      <c r="U198" s="52">
        <v>3572040</v>
      </c>
      <c r="V198">
        <v>19</v>
      </c>
      <c r="W198">
        <v>19</v>
      </c>
      <c r="X198">
        <v>1</v>
      </c>
      <c r="Y198">
        <v>1.31</v>
      </c>
      <c r="Z198" t="s">
        <v>229</v>
      </c>
      <c r="AA198" t="s">
        <v>963</v>
      </c>
      <c r="AB198" t="s">
        <v>2520</v>
      </c>
      <c r="AC198" t="s">
        <v>450</v>
      </c>
      <c r="AD198" t="s">
        <v>2171</v>
      </c>
      <c r="AE198" t="s">
        <v>3042</v>
      </c>
      <c r="AF198">
        <v>0.74885959948522618</v>
      </c>
    </row>
    <row r="199" spans="1:32" x14ac:dyDescent="0.25">
      <c r="A199" s="56">
        <v>1940852</v>
      </c>
      <c r="B199" s="56" t="s">
        <v>446</v>
      </c>
      <c r="C199" s="56" t="s">
        <v>3043</v>
      </c>
      <c r="D199" s="57">
        <v>117.505</v>
      </c>
      <c r="E199" s="57">
        <v>1035.2180000000001</v>
      </c>
      <c r="F199" s="57">
        <v>1.035218</v>
      </c>
      <c r="G199" s="56" t="s">
        <v>392</v>
      </c>
      <c r="H199" s="56" t="s">
        <v>2511</v>
      </c>
      <c r="I199" s="56" t="s">
        <v>345</v>
      </c>
      <c r="J199" s="56" t="s">
        <v>2871</v>
      </c>
      <c r="K199" s="57">
        <v>704.99699999999996</v>
      </c>
      <c r="L199" s="56" t="s">
        <v>3044</v>
      </c>
      <c r="M199" s="56" t="s">
        <v>2605</v>
      </c>
      <c r="N199" s="56" t="s">
        <v>30</v>
      </c>
      <c r="O199" s="58">
        <v>49</v>
      </c>
      <c r="P199" s="59" t="s">
        <v>2532</v>
      </c>
      <c r="Q199" s="56" t="s">
        <v>11</v>
      </c>
      <c r="U199" s="52">
        <v>3576132</v>
      </c>
      <c r="V199">
        <v>19</v>
      </c>
      <c r="W199">
        <v>19</v>
      </c>
      <c r="X199">
        <v>1</v>
      </c>
      <c r="Y199">
        <v>5.27</v>
      </c>
      <c r="Z199" t="s">
        <v>229</v>
      </c>
      <c r="AA199" t="s">
        <v>963</v>
      </c>
      <c r="AB199" t="s">
        <v>2520</v>
      </c>
      <c r="AC199" t="s">
        <v>450</v>
      </c>
      <c r="AD199" t="s">
        <v>1838</v>
      </c>
      <c r="AE199" t="s">
        <v>452</v>
      </c>
      <c r="AF199">
        <v>0.57164854922536346</v>
      </c>
    </row>
    <row r="200" spans="1:32" x14ac:dyDescent="0.25">
      <c r="A200" s="56">
        <v>1940852</v>
      </c>
      <c r="B200" s="56" t="s">
        <v>446</v>
      </c>
      <c r="C200" s="56" t="s">
        <v>3045</v>
      </c>
      <c r="D200" s="57">
        <v>182.74700000000001</v>
      </c>
      <c r="E200" s="58">
        <v>1610</v>
      </c>
      <c r="F200" s="57">
        <v>1.61</v>
      </c>
      <c r="G200" s="56" t="s">
        <v>392</v>
      </c>
      <c r="H200" s="56" t="s">
        <v>2511</v>
      </c>
      <c r="I200" s="56" t="s">
        <v>345</v>
      </c>
      <c r="J200" s="56" t="s">
        <v>3046</v>
      </c>
      <c r="K200" s="57">
        <v>1096.431</v>
      </c>
      <c r="L200" s="56" t="s">
        <v>3044</v>
      </c>
      <c r="M200" s="56" t="s">
        <v>2605</v>
      </c>
      <c r="N200" s="56" t="s">
        <v>30</v>
      </c>
      <c r="O200" s="58">
        <v>49</v>
      </c>
      <c r="P200" s="59" t="s">
        <v>2532</v>
      </c>
      <c r="Q200" s="56" t="s">
        <v>11</v>
      </c>
      <c r="U200" s="538">
        <v>111102401</v>
      </c>
      <c r="V200">
        <v>19</v>
      </c>
      <c r="W200">
        <v>19</v>
      </c>
      <c r="X200">
        <v>1</v>
      </c>
      <c r="Y200">
        <v>5.27</v>
      </c>
      <c r="Z200" t="s">
        <v>229</v>
      </c>
      <c r="AA200" t="s">
        <v>963</v>
      </c>
      <c r="AB200" t="s">
        <v>2520</v>
      </c>
      <c r="AC200" t="s">
        <v>450</v>
      </c>
      <c r="AD200" t="s">
        <v>1838</v>
      </c>
      <c r="AE200" t="s">
        <v>452</v>
      </c>
      <c r="AF200">
        <v>0.57164854922536346</v>
      </c>
    </row>
    <row r="201" spans="1:32" x14ac:dyDescent="0.25">
      <c r="A201" s="56">
        <v>1940879</v>
      </c>
      <c r="B201" s="56" t="s">
        <v>676</v>
      </c>
      <c r="C201" s="56" t="s">
        <v>3047</v>
      </c>
      <c r="D201" s="57">
        <v>350.40499999999997</v>
      </c>
      <c r="E201" s="57">
        <v>432.75</v>
      </c>
      <c r="F201" s="57">
        <v>0.43275000000000002</v>
      </c>
      <c r="G201" s="56" t="s">
        <v>392</v>
      </c>
      <c r="H201" s="56" t="s">
        <v>2511</v>
      </c>
      <c r="I201" s="56" t="s">
        <v>345</v>
      </c>
      <c r="J201" s="56" t="s">
        <v>3048</v>
      </c>
      <c r="K201" s="57">
        <v>222.83699999999999</v>
      </c>
      <c r="L201" s="56" t="s">
        <v>3049</v>
      </c>
      <c r="M201" s="56" t="s">
        <v>2744</v>
      </c>
      <c r="N201" s="56" t="s">
        <v>19</v>
      </c>
      <c r="O201" s="58">
        <v>25</v>
      </c>
      <c r="P201" s="59" t="s">
        <v>2515</v>
      </c>
      <c r="Q201" s="56" t="s">
        <v>192</v>
      </c>
      <c r="U201" s="538">
        <v>111116358</v>
      </c>
      <c r="V201">
        <v>19</v>
      </c>
      <c r="W201">
        <v>19</v>
      </c>
      <c r="X201">
        <v>1</v>
      </c>
      <c r="Y201">
        <v>5.32</v>
      </c>
      <c r="Z201" t="s">
        <v>229</v>
      </c>
      <c r="AA201" t="s">
        <v>963</v>
      </c>
      <c r="AB201" t="s">
        <v>2520</v>
      </c>
      <c r="AC201" t="s">
        <v>450</v>
      </c>
      <c r="AD201" t="s">
        <v>1838</v>
      </c>
      <c r="AE201" t="s">
        <v>452</v>
      </c>
      <c r="AF201">
        <v>0.57164854922536346</v>
      </c>
    </row>
    <row r="202" spans="1:32" x14ac:dyDescent="0.25">
      <c r="A202" s="56">
        <v>1940879</v>
      </c>
      <c r="B202" s="56" t="s">
        <v>676</v>
      </c>
      <c r="C202" s="56" t="s">
        <v>3050</v>
      </c>
      <c r="D202" s="57">
        <v>200</v>
      </c>
      <c r="E202" s="58">
        <v>247</v>
      </c>
      <c r="F202" s="57">
        <v>0.247</v>
      </c>
      <c r="G202" s="56" t="s">
        <v>392</v>
      </c>
      <c r="H202" s="56" t="s">
        <v>2511</v>
      </c>
      <c r="I202" s="56" t="s">
        <v>345</v>
      </c>
      <c r="J202" s="56" t="s">
        <v>3051</v>
      </c>
      <c r="K202" s="57">
        <v>127.188</v>
      </c>
      <c r="L202" s="56" t="s">
        <v>3049</v>
      </c>
      <c r="M202" s="56" t="s">
        <v>2744</v>
      </c>
      <c r="N202" s="56" t="s">
        <v>19</v>
      </c>
      <c r="O202" s="58">
        <v>26</v>
      </c>
      <c r="P202" s="59" t="s">
        <v>2515</v>
      </c>
      <c r="Q202" s="56" t="s">
        <v>192</v>
      </c>
      <c r="U202" s="538">
        <v>111102395</v>
      </c>
      <c r="V202">
        <v>19</v>
      </c>
      <c r="W202">
        <v>19</v>
      </c>
      <c r="X202">
        <v>1</v>
      </c>
      <c r="Y202">
        <v>5.74</v>
      </c>
      <c r="Z202" t="s">
        <v>229</v>
      </c>
      <c r="AA202" t="s">
        <v>963</v>
      </c>
      <c r="AB202" t="s">
        <v>2520</v>
      </c>
      <c r="AC202" t="s">
        <v>450</v>
      </c>
      <c r="AD202" t="s">
        <v>1838</v>
      </c>
      <c r="AE202" t="s">
        <v>452</v>
      </c>
      <c r="AF202">
        <v>0.57164854922536346</v>
      </c>
    </row>
    <row r="203" spans="1:32" x14ac:dyDescent="0.25">
      <c r="A203" s="56">
        <v>1940879</v>
      </c>
      <c r="B203" s="56" t="s">
        <v>676</v>
      </c>
      <c r="C203" s="56" t="s">
        <v>3052</v>
      </c>
      <c r="D203" s="57">
        <v>639.67600000000004</v>
      </c>
      <c r="E203" s="58">
        <v>790</v>
      </c>
      <c r="F203" s="57">
        <v>0.79</v>
      </c>
      <c r="G203" s="56" t="s">
        <v>392</v>
      </c>
      <c r="H203" s="56" t="s">
        <v>2511</v>
      </c>
      <c r="I203" s="56" t="s">
        <v>345</v>
      </c>
      <c r="J203" s="56" t="s">
        <v>2978</v>
      </c>
      <c r="K203" s="57">
        <v>406.79700000000003</v>
      </c>
      <c r="L203" s="56" t="s">
        <v>3049</v>
      </c>
      <c r="M203" s="56" t="s">
        <v>2744</v>
      </c>
      <c r="N203" s="56" t="s">
        <v>19</v>
      </c>
      <c r="O203" s="58">
        <v>25</v>
      </c>
      <c r="P203" s="59" t="s">
        <v>2515</v>
      </c>
      <c r="Q203" s="56" t="s">
        <v>192</v>
      </c>
      <c r="U203" s="538">
        <v>111117592</v>
      </c>
      <c r="V203">
        <v>19</v>
      </c>
      <c r="W203">
        <v>19</v>
      </c>
      <c r="X203">
        <v>1</v>
      </c>
      <c r="Y203">
        <v>5.77</v>
      </c>
      <c r="Z203" t="s">
        <v>229</v>
      </c>
      <c r="AA203" t="s">
        <v>963</v>
      </c>
      <c r="AB203" t="s">
        <v>2520</v>
      </c>
      <c r="AC203" t="s">
        <v>450</v>
      </c>
      <c r="AD203" t="s">
        <v>1838</v>
      </c>
      <c r="AE203" t="s">
        <v>452</v>
      </c>
      <c r="AF203">
        <v>0.57164854922536346</v>
      </c>
    </row>
    <row r="204" spans="1:32" x14ac:dyDescent="0.25">
      <c r="A204" s="56">
        <v>1940879</v>
      </c>
      <c r="B204" s="56" t="s">
        <v>676</v>
      </c>
      <c r="C204" s="56" t="s">
        <v>3053</v>
      </c>
      <c r="D204" s="57">
        <v>179.81800000000001</v>
      </c>
      <c r="E204" s="57">
        <v>222.07499999999999</v>
      </c>
      <c r="F204" s="57">
        <v>0.22207499999999999</v>
      </c>
      <c r="G204" s="56" t="s">
        <v>392</v>
      </c>
      <c r="H204" s="56" t="s">
        <v>2511</v>
      </c>
      <c r="I204" s="56" t="s">
        <v>345</v>
      </c>
      <c r="J204" s="56" t="s">
        <v>1914</v>
      </c>
      <c r="K204" s="57">
        <v>114.354</v>
      </c>
      <c r="L204" s="56" t="s">
        <v>3049</v>
      </c>
      <c r="M204" s="56" t="s">
        <v>2744</v>
      </c>
      <c r="N204" s="56" t="s">
        <v>19</v>
      </c>
      <c r="O204" s="58">
        <v>230</v>
      </c>
      <c r="P204" s="59" t="s">
        <v>2524</v>
      </c>
      <c r="Q204" s="56" t="s">
        <v>192</v>
      </c>
      <c r="U204" s="538">
        <v>111117608</v>
      </c>
      <c r="V204">
        <v>19</v>
      </c>
      <c r="W204">
        <v>19</v>
      </c>
      <c r="X204">
        <v>1</v>
      </c>
      <c r="Y204">
        <v>5.84</v>
      </c>
      <c r="Z204" t="s">
        <v>229</v>
      </c>
      <c r="AA204" t="s">
        <v>963</v>
      </c>
      <c r="AB204" t="s">
        <v>2520</v>
      </c>
      <c r="AC204" t="s">
        <v>450</v>
      </c>
      <c r="AD204" t="s">
        <v>1838</v>
      </c>
      <c r="AE204" t="s">
        <v>452</v>
      </c>
      <c r="AF204">
        <v>0.57164854922536346</v>
      </c>
    </row>
    <row r="205" spans="1:32" x14ac:dyDescent="0.25">
      <c r="A205" s="56">
        <v>1940911</v>
      </c>
      <c r="B205" s="56" t="s">
        <v>2050</v>
      </c>
      <c r="C205" s="56" t="s">
        <v>3054</v>
      </c>
      <c r="D205" s="57">
        <v>360.108</v>
      </c>
      <c r="E205" s="58">
        <v>937</v>
      </c>
      <c r="F205" s="57">
        <v>0.93700000000000006</v>
      </c>
      <c r="G205" s="56" t="s">
        <v>392</v>
      </c>
      <c r="H205" s="56" t="s">
        <v>2511</v>
      </c>
      <c r="I205" s="56" t="s">
        <v>345</v>
      </c>
      <c r="J205" s="56" t="s">
        <v>3055</v>
      </c>
      <c r="K205" s="57">
        <v>278</v>
      </c>
      <c r="L205" s="56" t="s">
        <v>3056</v>
      </c>
      <c r="M205" s="56" t="s">
        <v>3057</v>
      </c>
      <c r="N205" s="56" t="s">
        <v>44</v>
      </c>
      <c r="O205" s="58">
        <v>23</v>
      </c>
      <c r="P205" s="59" t="s">
        <v>2515</v>
      </c>
      <c r="Q205" s="56" t="s">
        <v>11</v>
      </c>
      <c r="U205" s="52">
        <v>1940146</v>
      </c>
      <c r="V205">
        <v>19</v>
      </c>
      <c r="W205">
        <v>19</v>
      </c>
      <c r="X205">
        <v>1</v>
      </c>
      <c r="Y205">
        <v>6</v>
      </c>
      <c r="Z205" t="s">
        <v>229</v>
      </c>
      <c r="AA205" t="s">
        <v>963</v>
      </c>
      <c r="AB205" t="s">
        <v>2520</v>
      </c>
      <c r="AC205" t="s">
        <v>450</v>
      </c>
      <c r="AD205" t="s">
        <v>1838</v>
      </c>
      <c r="AE205" t="s">
        <v>452</v>
      </c>
      <c r="AF205">
        <v>0.57164854922536346</v>
      </c>
    </row>
    <row r="206" spans="1:32" x14ac:dyDescent="0.25">
      <c r="A206" s="56">
        <v>1941353</v>
      </c>
      <c r="B206" s="56" t="s">
        <v>3058</v>
      </c>
      <c r="C206" s="56" t="s">
        <v>3059</v>
      </c>
      <c r="D206" s="57">
        <v>849.25800000000004</v>
      </c>
      <c r="E206" s="57">
        <v>299.78800000000001</v>
      </c>
      <c r="F206" s="57">
        <v>0.299788</v>
      </c>
      <c r="G206" s="56" t="s">
        <v>392</v>
      </c>
      <c r="H206" s="56" t="s">
        <v>2511</v>
      </c>
      <c r="I206" s="56" t="s">
        <v>345</v>
      </c>
      <c r="J206" s="56" t="s">
        <v>1914</v>
      </c>
      <c r="K206" s="57">
        <v>437.77499999999998</v>
      </c>
      <c r="L206" s="56" t="s">
        <v>1914</v>
      </c>
      <c r="M206" s="56" t="s">
        <v>1123</v>
      </c>
      <c r="N206" s="56" t="s">
        <v>76</v>
      </c>
      <c r="O206" s="58">
        <v>262</v>
      </c>
      <c r="P206" s="59" t="s">
        <v>2524</v>
      </c>
      <c r="Q206" s="56" t="s">
        <v>2561</v>
      </c>
      <c r="U206" s="538">
        <v>110102297</v>
      </c>
      <c r="V206">
        <v>19</v>
      </c>
      <c r="W206">
        <v>19</v>
      </c>
      <c r="X206">
        <v>1</v>
      </c>
      <c r="Y206">
        <v>6</v>
      </c>
      <c r="Z206" t="s">
        <v>229</v>
      </c>
      <c r="AA206" t="s">
        <v>963</v>
      </c>
      <c r="AB206" t="s">
        <v>2520</v>
      </c>
      <c r="AC206" t="s">
        <v>450</v>
      </c>
      <c r="AD206" t="s">
        <v>1838</v>
      </c>
      <c r="AE206" t="s">
        <v>452</v>
      </c>
      <c r="AF206">
        <v>0.57164854922536346</v>
      </c>
    </row>
    <row r="207" spans="1:32" x14ac:dyDescent="0.25">
      <c r="A207" s="56">
        <v>1941847</v>
      </c>
      <c r="B207" s="56" t="s">
        <v>442</v>
      </c>
      <c r="C207" s="56" t="s">
        <v>3060</v>
      </c>
      <c r="D207" s="57">
        <v>1124.6880000000001</v>
      </c>
      <c r="E207" s="58">
        <v>902</v>
      </c>
      <c r="F207" s="57">
        <v>0.90200000000000002</v>
      </c>
      <c r="G207" s="56" t="s">
        <v>392</v>
      </c>
      <c r="H207" s="56" t="s">
        <v>2511</v>
      </c>
      <c r="I207" s="56" t="s">
        <v>345</v>
      </c>
      <c r="J207" s="56" t="s">
        <v>3061</v>
      </c>
      <c r="K207" s="57">
        <v>2457.096</v>
      </c>
      <c r="L207" s="56" t="s">
        <v>3062</v>
      </c>
      <c r="M207" s="56" t="s">
        <v>2990</v>
      </c>
      <c r="N207" s="56" t="s">
        <v>151</v>
      </c>
      <c r="O207" s="58">
        <v>59</v>
      </c>
      <c r="P207" s="59" t="s">
        <v>2532</v>
      </c>
      <c r="Q207" s="56" t="s">
        <v>11</v>
      </c>
      <c r="U207" s="52">
        <v>1901306</v>
      </c>
      <c r="V207">
        <v>19</v>
      </c>
      <c r="W207">
        <v>19</v>
      </c>
      <c r="X207">
        <v>1</v>
      </c>
      <c r="Y207">
        <v>6</v>
      </c>
      <c r="Z207" t="s">
        <v>229</v>
      </c>
      <c r="AA207" t="s">
        <v>963</v>
      </c>
      <c r="AB207" t="s">
        <v>3063</v>
      </c>
      <c r="AC207" t="s">
        <v>450</v>
      </c>
      <c r="AD207" t="s">
        <v>1838</v>
      </c>
      <c r="AF207">
        <v>0.57164854922536346</v>
      </c>
    </row>
    <row r="208" spans="1:32" x14ac:dyDescent="0.25">
      <c r="A208" s="56">
        <v>1941847</v>
      </c>
      <c r="B208" s="56" t="s">
        <v>442</v>
      </c>
      <c r="C208" s="56" t="s">
        <v>3064</v>
      </c>
      <c r="D208" s="57">
        <v>1026.1849999999999</v>
      </c>
      <c r="E208" s="58">
        <v>823</v>
      </c>
      <c r="F208" s="57">
        <v>0.82299999999999995</v>
      </c>
      <c r="G208" s="56" t="s">
        <v>392</v>
      </c>
      <c r="H208" s="56" t="s">
        <v>2511</v>
      </c>
      <c r="I208" s="56" t="s">
        <v>345</v>
      </c>
      <c r="J208" s="56" t="s">
        <v>3065</v>
      </c>
      <c r="K208" s="57">
        <v>2241.8960000000002</v>
      </c>
      <c r="L208" s="56" t="s">
        <v>3066</v>
      </c>
      <c r="M208" s="56" t="s">
        <v>2514</v>
      </c>
      <c r="N208" s="56" t="s">
        <v>151</v>
      </c>
      <c r="O208" s="58">
        <v>13</v>
      </c>
      <c r="P208" s="59" t="s">
        <v>2515</v>
      </c>
      <c r="Q208" s="56" t="s">
        <v>11</v>
      </c>
      <c r="U208" s="52">
        <v>3597679</v>
      </c>
      <c r="V208">
        <v>19</v>
      </c>
      <c r="W208">
        <v>19</v>
      </c>
      <c r="X208">
        <v>1</v>
      </c>
      <c r="Y208">
        <v>6.14</v>
      </c>
      <c r="Z208" t="s">
        <v>229</v>
      </c>
      <c r="AA208" t="s">
        <v>963</v>
      </c>
      <c r="AB208" t="s">
        <v>2520</v>
      </c>
      <c r="AC208" t="s">
        <v>450</v>
      </c>
      <c r="AD208" t="s">
        <v>1838</v>
      </c>
      <c r="AE208" t="s">
        <v>452</v>
      </c>
      <c r="AF208">
        <v>0.57164854922536346</v>
      </c>
    </row>
    <row r="209" spans="1:32" x14ac:dyDescent="0.25">
      <c r="A209" s="56">
        <v>1941860</v>
      </c>
      <c r="B209" s="56" t="s">
        <v>1678</v>
      </c>
      <c r="C209" s="56" t="s">
        <v>3067</v>
      </c>
      <c r="D209" s="57">
        <v>493.08</v>
      </c>
      <c r="E209" s="57">
        <v>333.815</v>
      </c>
      <c r="F209" s="57">
        <v>0.33381499999999997</v>
      </c>
      <c r="G209" s="56" t="s">
        <v>392</v>
      </c>
      <c r="H209" s="56" t="s">
        <v>2511</v>
      </c>
      <c r="I209" s="56" t="s">
        <v>345</v>
      </c>
      <c r="J209" s="56" t="s">
        <v>3068</v>
      </c>
      <c r="K209" s="57">
        <v>197.36</v>
      </c>
      <c r="L209" s="56" t="s">
        <v>3069</v>
      </c>
      <c r="M209" s="56" t="s">
        <v>2537</v>
      </c>
      <c r="N209" s="56" t="s">
        <v>150</v>
      </c>
      <c r="O209" s="58">
        <v>6</v>
      </c>
      <c r="P209" s="59" t="s">
        <v>2515</v>
      </c>
      <c r="Q209" s="56" t="s">
        <v>11</v>
      </c>
      <c r="U209" s="52">
        <v>3695242</v>
      </c>
      <c r="V209">
        <v>19</v>
      </c>
      <c r="W209">
        <v>19</v>
      </c>
      <c r="X209">
        <v>1</v>
      </c>
      <c r="Y209">
        <v>6.14</v>
      </c>
      <c r="Z209" t="s">
        <v>229</v>
      </c>
      <c r="AA209" t="s">
        <v>963</v>
      </c>
      <c r="AB209" t="s">
        <v>2520</v>
      </c>
      <c r="AC209" t="s">
        <v>450</v>
      </c>
      <c r="AD209" t="s">
        <v>1838</v>
      </c>
      <c r="AE209" t="s">
        <v>452</v>
      </c>
      <c r="AF209">
        <v>0.57164854922536346</v>
      </c>
    </row>
    <row r="210" spans="1:32" x14ac:dyDescent="0.25">
      <c r="A210" s="56">
        <v>2243845</v>
      </c>
      <c r="B210" s="56" t="s">
        <v>1207</v>
      </c>
      <c r="C210" s="56" t="s">
        <v>3070</v>
      </c>
      <c r="D210" s="57">
        <v>2249.9670000000001</v>
      </c>
      <c r="E210" s="57">
        <v>679.49</v>
      </c>
      <c r="F210" s="57">
        <v>0.67949000000000004</v>
      </c>
      <c r="G210" s="56" t="s">
        <v>392</v>
      </c>
      <c r="H210" s="56" t="s">
        <v>2511</v>
      </c>
      <c r="I210" s="56" t="s">
        <v>345</v>
      </c>
      <c r="J210" s="56" t="s">
        <v>2512</v>
      </c>
      <c r="K210" s="57">
        <v>992.24599999999998</v>
      </c>
      <c r="L210" s="56" t="s">
        <v>3071</v>
      </c>
      <c r="M210" s="56" t="s">
        <v>2919</v>
      </c>
      <c r="N210" s="56" t="s">
        <v>45</v>
      </c>
      <c r="O210" s="58">
        <v>98</v>
      </c>
      <c r="P210" s="59" t="s">
        <v>2524</v>
      </c>
      <c r="Q210" s="56" t="s">
        <v>11</v>
      </c>
      <c r="U210" s="538">
        <v>111117591</v>
      </c>
      <c r="V210">
        <v>19</v>
      </c>
      <c r="W210">
        <v>19</v>
      </c>
      <c r="X210">
        <v>1</v>
      </c>
      <c r="Y210">
        <v>6.14</v>
      </c>
      <c r="Z210" t="s">
        <v>229</v>
      </c>
      <c r="AA210" t="s">
        <v>963</v>
      </c>
      <c r="AB210" t="s">
        <v>2520</v>
      </c>
      <c r="AC210" t="s">
        <v>450</v>
      </c>
      <c r="AD210" t="s">
        <v>1838</v>
      </c>
      <c r="AE210" t="s">
        <v>452</v>
      </c>
      <c r="AF210">
        <v>0.57164854922536346</v>
      </c>
    </row>
    <row r="211" spans="1:32" x14ac:dyDescent="0.25">
      <c r="A211" s="56">
        <v>2243845</v>
      </c>
      <c r="B211" s="56" t="s">
        <v>1207</v>
      </c>
      <c r="C211" s="56" t="s">
        <v>3072</v>
      </c>
      <c r="D211" s="57">
        <v>1143.0260000000001</v>
      </c>
      <c r="E211" s="57">
        <v>345.19400000000002</v>
      </c>
      <c r="F211" s="57">
        <v>0.345194</v>
      </c>
      <c r="G211" s="56" t="s">
        <v>392</v>
      </c>
      <c r="H211" s="56" t="s">
        <v>2511</v>
      </c>
      <c r="I211" s="56" t="s">
        <v>345</v>
      </c>
      <c r="J211" s="56" t="s">
        <v>3073</v>
      </c>
      <c r="K211" s="57">
        <v>504.08</v>
      </c>
      <c r="L211" s="56" t="s">
        <v>3071</v>
      </c>
      <c r="M211" s="56" t="s">
        <v>2919</v>
      </c>
      <c r="N211" s="56" t="s">
        <v>45</v>
      </c>
      <c r="O211" s="58">
        <v>108</v>
      </c>
      <c r="P211" s="59" t="s">
        <v>2524</v>
      </c>
      <c r="Q211" s="56" t="s">
        <v>11</v>
      </c>
      <c r="U211" s="538">
        <v>111102399</v>
      </c>
      <c r="V211">
        <v>19</v>
      </c>
      <c r="W211">
        <v>19</v>
      </c>
      <c r="X211">
        <v>1</v>
      </c>
      <c r="Y211">
        <v>6.2450000000000001</v>
      </c>
      <c r="Z211" t="s">
        <v>229</v>
      </c>
      <c r="AA211" t="s">
        <v>963</v>
      </c>
      <c r="AB211" t="s">
        <v>2520</v>
      </c>
      <c r="AC211" t="s">
        <v>450</v>
      </c>
      <c r="AD211" t="s">
        <v>1838</v>
      </c>
      <c r="AE211" t="s">
        <v>452</v>
      </c>
      <c r="AF211">
        <v>0.57164854922536346</v>
      </c>
    </row>
    <row r="212" spans="1:32" x14ac:dyDescent="0.25">
      <c r="A212" s="56">
        <v>2243845</v>
      </c>
      <c r="B212" s="56" t="s">
        <v>1207</v>
      </c>
      <c r="C212" s="56" t="s">
        <v>3074</v>
      </c>
      <c r="D212" s="57">
        <v>1900</v>
      </c>
      <c r="E212" s="57">
        <v>573.79999999999995</v>
      </c>
      <c r="F212" s="57">
        <v>0.57379999999999998</v>
      </c>
      <c r="G212" s="56" t="s">
        <v>392</v>
      </c>
      <c r="H212" s="56" t="s">
        <v>2511</v>
      </c>
      <c r="I212" s="56" t="s">
        <v>345</v>
      </c>
      <c r="J212" s="56" t="s">
        <v>1914</v>
      </c>
      <c r="K212" s="57">
        <v>837.90899999999999</v>
      </c>
      <c r="L212" s="56" t="s">
        <v>3071</v>
      </c>
      <c r="M212" s="56" t="s">
        <v>2919</v>
      </c>
      <c r="N212" s="56" t="s">
        <v>45</v>
      </c>
      <c r="O212" s="58">
        <v>94</v>
      </c>
      <c r="P212" s="59" t="s">
        <v>2524</v>
      </c>
      <c r="Q212" s="56" t="s">
        <v>11</v>
      </c>
      <c r="U212" s="52">
        <v>3576133</v>
      </c>
      <c r="V212">
        <v>19</v>
      </c>
      <c r="W212">
        <v>19</v>
      </c>
      <c r="X212">
        <v>1</v>
      </c>
      <c r="Y212">
        <v>6.25</v>
      </c>
      <c r="Z212" t="s">
        <v>229</v>
      </c>
      <c r="AA212" t="s">
        <v>963</v>
      </c>
      <c r="AB212" t="s">
        <v>2520</v>
      </c>
      <c r="AC212" t="s">
        <v>450</v>
      </c>
      <c r="AD212" t="s">
        <v>1838</v>
      </c>
      <c r="AE212" t="s">
        <v>452</v>
      </c>
      <c r="AF212">
        <v>0.57164854922536346</v>
      </c>
    </row>
    <row r="213" spans="1:32" x14ac:dyDescent="0.25">
      <c r="A213" s="56">
        <v>2244449</v>
      </c>
      <c r="B213" s="56" t="s">
        <v>3075</v>
      </c>
      <c r="C213" s="56" t="s">
        <v>3076</v>
      </c>
      <c r="D213" s="57">
        <v>1004.302</v>
      </c>
      <c r="E213" s="57">
        <v>106.456</v>
      </c>
      <c r="F213" s="57">
        <v>0.10645600000000001</v>
      </c>
      <c r="G213" s="56" t="s">
        <v>392</v>
      </c>
      <c r="H213" s="56" t="s">
        <v>2511</v>
      </c>
      <c r="I213" s="56" t="s">
        <v>345</v>
      </c>
      <c r="J213" s="56" t="s">
        <v>1914</v>
      </c>
      <c r="K213" s="57">
        <v>290.07100000000003</v>
      </c>
      <c r="L213" s="56" t="s">
        <v>1914</v>
      </c>
      <c r="M213" s="56" t="s">
        <v>1123</v>
      </c>
      <c r="N213" s="56" t="s">
        <v>76</v>
      </c>
      <c r="O213" s="58">
        <v>262</v>
      </c>
      <c r="P213" s="59" t="s">
        <v>2524</v>
      </c>
      <c r="Q213" s="56" t="s">
        <v>2561</v>
      </c>
      <c r="U213" s="52">
        <v>3695241</v>
      </c>
      <c r="V213">
        <v>19</v>
      </c>
      <c r="W213">
        <v>19</v>
      </c>
      <c r="X213">
        <v>1</v>
      </c>
      <c r="Y213">
        <v>6.25</v>
      </c>
      <c r="Z213" t="s">
        <v>229</v>
      </c>
      <c r="AA213" t="s">
        <v>963</v>
      </c>
      <c r="AB213" t="s">
        <v>2520</v>
      </c>
      <c r="AC213" t="s">
        <v>450</v>
      </c>
      <c r="AD213" t="s">
        <v>1838</v>
      </c>
      <c r="AE213" t="s">
        <v>452</v>
      </c>
      <c r="AF213">
        <v>0.57164854922536346</v>
      </c>
    </row>
    <row r="214" spans="1:32" x14ac:dyDescent="0.25">
      <c r="A214" s="56">
        <v>2256593</v>
      </c>
      <c r="B214" s="56" t="s">
        <v>1598</v>
      </c>
      <c r="C214" s="56" t="s">
        <v>3077</v>
      </c>
      <c r="D214" s="57">
        <v>547</v>
      </c>
      <c r="E214" s="57">
        <v>103.93</v>
      </c>
      <c r="F214" s="57">
        <v>0.10393000000000001</v>
      </c>
      <c r="G214" s="56" t="s">
        <v>392</v>
      </c>
      <c r="H214" s="56" t="s">
        <v>2511</v>
      </c>
      <c r="I214" s="56" t="s">
        <v>345</v>
      </c>
      <c r="J214" s="56" t="s">
        <v>3078</v>
      </c>
      <c r="K214" s="57">
        <v>114.916</v>
      </c>
      <c r="L214" s="56" t="s">
        <v>3079</v>
      </c>
      <c r="M214" s="56" t="s">
        <v>2589</v>
      </c>
      <c r="N214" s="56" t="s">
        <v>52</v>
      </c>
      <c r="O214" s="58">
        <v>4</v>
      </c>
      <c r="P214" s="59" t="s">
        <v>2515</v>
      </c>
      <c r="Q214" s="56" t="s">
        <v>2516</v>
      </c>
      <c r="U214" s="538">
        <v>111116486</v>
      </c>
      <c r="V214">
        <v>19</v>
      </c>
      <c r="W214">
        <v>19</v>
      </c>
      <c r="X214">
        <v>1</v>
      </c>
      <c r="Y214">
        <v>6.3</v>
      </c>
      <c r="Z214" t="s">
        <v>229</v>
      </c>
      <c r="AA214" t="s">
        <v>963</v>
      </c>
      <c r="AB214" t="s">
        <v>2520</v>
      </c>
      <c r="AC214" t="s">
        <v>450</v>
      </c>
      <c r="AD214" t="s">
        <v>1838</v>
      </c>
      <c r="AE214" t="s">
        <v>452</v>
      </c>
      <c r="AF214">
        <v>0.57164854922536346</v>
      </c>
    </row>
    <row r="215" spans="1:32" x14ac:dyDescent="0.25">
      <c r="A215" s="56">
        <v>2320560</v>
      </c>
      <c r="B215" s="56" t="s">
        <v>2141</v>
      </c>
      <c r="C215" s="56" t="s">
        <v>3080</v>
      </c>
      <c r="D215" s="57">
        <v>5000</v>
      </c>
      <c r="E215" s="58">
        <v>860</v>
      </c>
      <c r="F215" s="57">
        <v>0.86</v>
      </c>
      <c r="G215" s="56" t="s">
        <v>392</v>
      </c>
      <c r="H215" s="56" t="s">
        <v>2511</v>
      </c>
      <c r="I215" s="56" t="s">
        <v>345</v>
      </c>
      <c r="J215" s="56" t="s">
        <v>1914</v>
      </c>
      <c r="K215" s="57">
        <v>1055.992</v>
      </c>
      <c r="L215" s="56" t="s">
        <v>3081</v>
      </c>
      <c r="M215" s="56" t="s">
        <v>2548</v>
      </c>
      <c r="N215" s="56" t="s">
        <v>86</v>
      </c>
      <c r="O215" s="58">
        <v>508</v>
      </c>
      <c r="P215" s="59" t="s">
        <v>2524</v>
      </c>
      <c r="Q215" s="56" t="s">
        <v>11</v>
      </c>
      <c r="U215" s="538">
        <v>111116485</v>
      </c>
      <c r="V215">
        <v>19</v>
      </c>
      <c r="W215">
        <v>19</v>
      </c>
      <c r="X215">
        <v>1</v>
      </c>
      <c r="Y215">
        <v>6.4</v>
      </c>
      <c r="Z215" t="s">
        <v>229</v>
      </c>
      <c r="AA215" t="s">
        <v>963</v>
      </c>
      <c r="AB215" t="s">
        <v>2520</v>
      </c>
      <c r="AC215" t="s">
        <v>450</v>
      </c>
      <c r="AD215" t="s">
        <v>1838</v>
      </c>
      <c r="AE215" t="s">
        <v>452</v>
      </c>
      <c r="AF215">
        <v>0.57164854922536346</v>
      </c>
    </row>
    <row r="216" spans="1:32" x14ac:dyDescent="0.25">
      <c r="A216" s="56">
        <v>2320560</v>
      </c>
      <c r="B216" s="56" t="s">
        <v>2141</v>
      </c>
      <c r="C216" s="56" t="s">
        <v>3082</v>
      </c>
      <c r="D216" s="57">
        <v>3381.9940000000001</v>
      </c>
      <c r="E216" s="57">
        <v>581.70299999999997</v>
      </c>
      <c r="F216" s="57">
        <v>0.58170299999999997</v>
      </c>
      <c r="G216" s="56" t="s">
        <v>392</v>
      </c>
      <c r="H216" s="56" t="s">
        <v>2511</v>
      </c>
      <c r="I216" s="56" t="s">
        <v>345</v>
      </c>
      <c r="J216" s="56" t="s">
        <v>1914</v>
      </c>
      <c r="K216" s="57">
        <v>714.27200000000005</v>
      </c>
      <c r="L216" s="56" t="s">
        <v>3083</v>
      </c>
      <c r="M216" s="56" t="s">
        <v>2589</v>
      </c>
      <c r="N216" s="56" t="s">
        <v>61</v>
      </c>
      <c r="O216" s="58">
        <v>230</v>
      </c>
      <c r="P216" s="59" t="s">
        <v>2524</v>
      </c>
      <c r="Q216" s="56" t="s">
        <v>11</v>
      </c>
      <c r="U216" s="52">
        <v>3605740</v>
      </c>
      <c r="V216">
        <v>19</v>
      </c>
      <c r="W216">
        <v>19</v>
      </c>
      <c r="X216">
        <v>1.01</v>
      </c>
      <c r="Y216">
        <v>0.67500000000000004</v>
      </c>
      <c r="Z216" t="s">
        <v>229</v>
      </c>
      <c r="AA216" t="s">
        <v>963</v>
      </c>
      <c r="AB216" t="s">
        <v>2520</v>
      </c>
      <c r="AC216" t="s">
        <v>450</v>
      </c>
      <c r="AD216" t="s">
        <v>2171</v>
      </c>
      <c r="AE216" t="s">
        <v>2261</v>
      </c>
      <c r="AF216">
        <v>0.38955335387689155</v>
      </c>
    </row>
    <row r="217" spans="1:32" x14ac:dyDescent="0.25">
      <c r="A217" s="56">
        <v>2320560</v>
      </c>
      <c r="B217" s="56" t="s">
        <v>2141</v>
      </c>
      <c r="C217" s="56" t="s">
        <v>3084</v>
      </c>
      <c r="D217" s="57">
        <v>3300</v>
      </c>
      <c r="E217" s="57">
        <v>567.6</v>
      </c>
      <c r="F217" s="57">
        <v>0.56759999999999999</v>
      </c>
      <c r="G217" s="56" t="s">
        <v>392</v>
      </c>
      <c r="H217" s="56" t="s">
        <v>2511</v>
      </c>
      <c r="I217" s="56" t="s">
        <v>345</v>
      </c>
      <c r="J217" s="56" t="s">
        <v>1914</v>
      </c>
      <c r="K217" s="57">
        <v>696.95500000000004</v>
      </c>
      <c r="L217" s="56" t="s">
        <v>3083</v>
      </c>
      <c r="M217" s="56" t="s">
        <v>2589</v>
      </c>
      <c r="N217" s="56" t="s">
        <v>61</v>
      </c>
      <c r="O217" s="58">
        <v>427</v>
      </c>
      <c r="P217" s="59" t="s">
        <v>2524</v>
      </c>
      <c r="Q217" s="56" t="s">
        <v>11</v>
      </c>
      <c r="U217" s="52">
        <v>3605739</v>
      </c>
      <c r="V217">
        <v>19</v>
      </c>
      <c r="W217">
        <v>19</v>
      </c>
      <c r="X217">
        <v>1.01</v>
      </c>
      <c r="Y217">
        <v>0.871</v>
      </c>
      <c r="Z217" t="s">
        <v>229</v>
      </c>
      <c r="AA217" t="s">
        <v>963</v>
      </c>
      <c r="AB217" t="s">
        <v>2520</v>
      </c>
      <c r="AC217" t="s">
        <v>450</v>
      </c>
      <c r="AD217" t="s">
        <v>2171</v>
      </c>
      <c r="AE217" t="s">
        <v>621</v>
      </c>
      <c r="AF217">
        <v>0.50266810552114438</v>
      </c>
    </row>
    <row r="218" spans="1:32" x14ac:dyDescent="0.25">
      <c r="A218" s="56">
        <v>2320566</v>
      </c>
      <c r="B218" s="56" t="s">
        <v>3085</v>
      </c>
      <c r="C218" s="56" t="s">
        <v>3086</v>
      </c>
      <c r="D218" s="57">
        <v>1744.2280000000001</v>
      </c>
      <c r="E218" s="57">
        <v>2229.123</v>
      </c>
      <c r="F218" s="57">
        <v>2.229123</v>
      </c>
      <c r="G218" s="56" t="s">
        <v>392</v>
      </c>
      <c r="H218" s="56" t="s">
        <v>2511</v>
      </c>
      <c r="I218" s="56" t="s">
        <v>345</v>
      </c>
      <c r="J218" s="56" t="s">
        <v>1914</v>
      </c>
      <c r="K218" s="57">
        <v>661.34299999999996</v>
      </c>
      <c r="L218" s="56" t="s">
        <v>3087</v>
      </c>
      <c r="M218" s="56" t="s">
        <v>2810</v>
      </c>
      <c r="N218" s="56" t="s">
        <v>39</v>
      </c>
      <c r="O218" s="58">
        <v>574</v>
      </c>
      <c r="P218" s="59" t="s">
        <v>2524</v>
      </c>
      <c r="Q218" s="56" t="s">
        <v>2516</v>
      </c>
      <c r="U218" s="538">
        <v>111116487</v>
      </c>
      <c r="V218">
        <v>19</v>
      </c>
      <c r="W218">
        <v>19</v>
      </c>
      <c r="X218">
        <v>1.01</v>
      </c>
      <c r="Y218">
        <v>5.5</v>
      </c>
      <c r="Z218" t="s">
        <v>229</v>
      </c>
      <c r="AA218" t="s">
        <v>963</v>
      </c>
      <c r="AB218" t="s">
        <v>2520</v>
      </c>
      <c r="AC218" t="s">
        <v>450</v>
      </c>
      <c r="AD218" t="s">
        <v>1838</v>
      </c>
      <c r="AE218" t="s">
        <v>452</v>
      </c>
      <c r="AF218">
        <v>0.57711607981761703</v>
      </c>
    </row>
    <row r="219" spans="1:32" x14ac:dyDescent="0.25">
      <c r="A219" s="56">
        <v>2325421</v>
      </c>
      <c r="B219" s="56" t="s">
        <v>795</v>
      </c>
      <c r="C219" s="56" t="s">
        <v>3088</v>
      </c>
      <c r="D219" s="57">
        <v>2497.8809999999999</v>
      </c>
      <c r="E219" s="58">
        <v>1179</v>
      </c>
      <c r="F219" s="57">
        <v>1.179</v>
      </c>
      <c r="G219" s="56" t="s">
        <v>392</v>
      </c>
      <c r="H219" s="56" t="s">
        <v>2511</v>
      </c>
      <c r="I219" s="56" t="s">
        <v>345</v>
      </c>
      <c r="J219" s="56" t="s">
        <v>3089</v>
      </c>
      <c r="K219" s="57">
        <v>840.16200000000003</v>
      </c>
      <c r="L219" s="56" t="s">
        <v>3090</v>
      </c>
      <c r="M219" s="56" t="s">
        <v>3091</v>
      </c>
      <c r="N219" s="56" t="s">
        <v>52</v>
      </c>
      <c r="O219" s="58">
        <v>2</v>
      </c>
      <c r="P219" s="59" t="s">
        <v>2515</v>
      </c>
      <c r="Q219" s="56" t="s">
        <v>2516</v>
      </c>
      <c r="U219" s="52">
        <v>3234372</v>
      </c>
      <c r="V219">
        <v>19</v>
      </c>
      <c r="W219">
        <v>19</v>
      </c>
      <c r="X219">
        <v>1.2</v>
      </c>
      <c r="Y219">
        <v>0.129</v>
      </c>
      <c r="Z219" t="s">
        <v>229</v>
      </c>
      <c r="AA219" t="s">
        <v>963</v>
      </c>
      <c r="AB219" t="s">
        <v>2520</v>
      </c>
      <c r="AC219" t="s">
        <v>626</v>
      </c>
      <c r="AD219" t="s">
        <v>2171</v>
      </c>
      <c r="AE219" t="s">
        <v>3092</v>
      </c>
      <c r="AF219">
        <v>8.7728062380086264E-2</v>
      </c>
    </row>
    <row r="220" spans="1:32" x14ac:dyDescent="0.25">
      <c r="A220" s="56">
        <v>2325421</v>
      </c>
      <c r="B220" s="56" t="s">
        <v>795</v>
      </c>
      <c r="C220" s="56" t="s">
        <v>3093</v>
      </c>
      <c r="D220" s="57">
        <v>1858.0509999999999</v>
      </c>
      <c r="E220" s="58">
        <v>877</v>
      </c>
      <c r="F220" s="57">
        <v>0.877</v>
      </c>
      <c r="G220" s="56" t="s">
        <v>392</v>
      </c>
      <c r="H220" s="56" t="s">
        <v>2511</v>
      </c>
      <c r="I220" s="56" t="s">
        <v>345</v>
      </c>
      <c r="J220" s="56" t="s">
        <v>3094</v>
      </c>
      <c r="K220" s="57">
        <v>624.95500000000004</v>
      </c>
      <c r="L220" s="56" t="s">
        <v>3095</v>
      </c>
      <c r="M220" s="56" t="s">
        <v>2537</v>
      </c>
      <c r="N220" s="56" t="s">
        <v>39</v>
      </c>
      <c r="O220" s="58">
        <v>3</v>
      </c>
      <c r="P220" s="59" t="s">
        <v>2515</v>
      </c>
      <c r="Q220" s="56" t="s">
        <v>2516</v>
      </c>
      <c r="U220" s="52">
        <v>1940151</v>
      </c>
      <c r="V220">
        <v>19</v>
      </c>
      <c r="W220">
        <v>19</v>
      </c>
      <c r="X220">
        <v>1.2</v>
      </c>
      <c r="Y220">
        <v>0.15</v>
      </c>
      <c r="Z220" t="s">
        <v>229</v>
      </c>
      <c r="AA220" t="s">
        <v>963</v>
      </c>
      <c r="AB220" t="s">
        <v>2520</v>
      </c>
      <c r="AC220" t="s">
        <v>626</v>
      </c>
      <c r="AD220" t="s">
        <v>2171</v>
      </c>
      <c r="AE220" t="s">
        <v>3096</v>
      </c>
      <c r="AF220">
        <v>0.10200937486056542</v>
      </c>
    </row>
    <row r="221" spans="1:32" x14ac:dyDescent="0.25">
      <c r="A221" s="56">
        <v>2331952</v>
      </c>
      <c r="B221" s="56" t="s">
        <v>2326</v>
      </c>
      <c r="C221" s="56" t="s">
        <v>3097</v>
      </c>
      <c r="D221" s="57">
        <v>2318.2020000000002</v>
      </c>
      <c r="E221" s="57">
        <v>1147.51</v>
      </c>
      <c r="F221" s="57">
        <v>1.14751</v>
      </c>
      <c r="G221" s="56" t="s">
        <v>392</v>
      </c>
      <c r="H221" s="56" t="s">
        <v>2511</v>
      </c>
      <c r="I221" s="56" t="s">
        <v>345</v>
      </c>
      <c r="J221" s="56" t="s">
        <v>3098</v>
      </c>
      <c r="K221" s="57">
        <v>1415.63</v>
      </c>
      <c r="L221" s="56" t="s">
        <v>3099</v>
      </c>
      <c r="M221" s="56" t="s">
        <v>2877</v>
      </c>
      <c r="N221" s="56" t="s">
        <v>151</v>
      </c>
      <c r="O221" s="58">
        <v>74</v>
      </c>
      <c r="P221" s="59" t="s">
        <v>2579</v>
      </c>
      <c r="Q221" s="56" t="s">
        <v>11</v>
      </c>
      <c r="U221" s="52">
        <v>3676019</v>
      </c>
      <c r="V221">
        <v>19</v>
      </c>
      <c r="W221">
        <v>19</v>
      </c>
      <c r="X221">
        <v>1.2</v>
      </c>
      <c r="Y221">
        <v>0.22</v>
      </c>
      <c r="Z221" t="s">
        <v>3100</v>
      </c>
      <c r="AA221" t="s">
        <v>963</v>
      </c>
      <c r="AB221" t="s">
        <v>2520</v>
      </c>
      <c r="AC221" t="s">
        <v>3101</v>
      </c>
      <c r="AD221" t="s">
        <v>2171</v>
      </c>
      <c r="AE221" t="s">
        <v>3102</v>
      </c>
      <c r="AF221">
        <v>0.14961374979549596</v>
      </c>
    </row>
    <row r="222" spans="1:32" x14ac:dyDescent="0.25">
      <c r="A222" s="56">
        <v>2331953</v>
      </c>
      <c r="B222" s="56" t="s">
        <v>2283</v>
      </c>
      <c r="C222" s="56" t="s">
        <v>3103</v>
      </c>
      <c r="D222" s="57">
        <v>1346.7929999999999</v>
      </c>
      <c r="E222" s="58">
        <v>567</v>
      </c>
      <c r="F222" s="57">
        <v>0.56699999999999995</v>
      </c>
      <c r="G222" s="56" t="s">
        <v>392</v>
      </c>
      <c r="H222" s="56" t="s">
        <v>2511</v>
      </c>
      <c r="I222" s="56" t="s">
        <v>345</v>
      </c>
      <c r="J222" s="56" t="s">
        <v>3104</v>
      </c>
      <c r="K222" s="57">
        <v>823.17100000000005</v>
      </c>
      <c r="L222" s="56" t="s">
        <v>3105</v>
      </c>
      <c r="M222" s="56" t="s">
        <v>2895</v>
      </c>
      <c r="N222" s="56" t="s">
        <v>151</v>
      </c>
      <c r="O222" s="58">
        <v>92</v>
      </c>
      <c r="P222" s="59" t="s">
        <v>2524</v>
      </c>
      <c r="Q222" s="56" t="s">
        <v>11</v>
      </c>
      <c r="U222" s="52">
        <v>3676020</v>
      </c>
      <c r="V222">
        <v>19</v>
      </c>
      <c r="W222">
        <v>19</v>
      </c>
      <c r="X222">
        <v>1.2</v>
      </c>
      <c r="Y222">
        <v>0.253</v>
      </c>
      <c r="Z222" t="s">
        <v>3100</v>
      </c>
      <c r="AA222" t="s">
        <v>963</v>
      </c>
      <c r="AB222" t="s">
        <v>2520</v>
      </c>
      <c r="AC222" t="s">
        <v>3101</v>
      </c>
      <c r="AD222" t="s">
        <v>2171</v>
      </c>
      <c r="AE222" t="s">
        <v>3106</v>
      </c>
      <c r="AF222">
        <v>0.17205581226482033</v>
      </c>
    </row>
    <row r="223" spans="1:32" x14ac:dyDescent="0.25">
      <c r="A223" s="56">
        <v>2349249</v>
      </c>
      <c r="B223" s="56" t="s">
        <v>760</v>
      </c>
      <c r="C223" s="56" t="s">
        <v>3107</v>
      </c>
      <c r="D223" s="57">
        <v>339.08300000000003</v>
      </c>
      <c r="E223" s="57">
        <v>369.6</v>
      </c>
      <c r="F223" s="57">
        <v>0.36960000000000004</v>
      </c>
      <c r="G223" s="56" t="s">
        <v>392</v>
      </c>
      <c r="H223" s="56" t="s">
        <v>2511</v>
      </c>
      <c r="I223" s="56" t="s">
        <v>345</v>
      </c>
      <c r="J223" s="56" t="s">
        <v>2611</v>
      </c>
      <c r="K223" s="57">
        <v>453.83100000000002</v>
      </c>
      <c r="L223" s="56" t="s">
        <v>3108</v>
      </c>
      <c r="M223" s="56" t="s">
        <v>2163</v>
      </c>
      <c r="N223" s="56" t="s">
        <v>61</v>
      </c>
      <c r="O223" s="58">
        <v>88</v>
      </c>
      <c r="P223" s="59" t="s">
        <v>2579</v>
      </c>
      <c r="Q223" s="56" t="s">
        <v>11</v>
      </c>
      <c r="U223" s="52">
        <v>1940152</v>
      </c>
      <c r="V223">
        <v>19</v>
      </c>
      <c r="W223">
        <v>19</v>
      </c>
      <c r="X223">
        <v>1.2</v>
      </c>
      <c r="Y223">
        <v>0.26100000000000001</v>
      </c>
      <c r="Z223" t="s">
        <v>229</v>
      </c>
      <c r="AA223" t="s">
        <v>963</v>
      </c>
      <c r="AB223" t="s">
        <v>2520</v>
      </c>
      <c r="AC223" t="s">
        <v>626</v>
      </c>
      <c r="AD223" t="s">
        <v>2171</v>
      </c>
      <c r="AE223" t="s">
        <v>3109</v>
      </c>
      <c r="AF223">
        <v>0.17749631225738385</v>
      </c>
    </row>
    <row r="224" spans="1:32" x14ac:dyDescent="0.25">
      <c r="A224" s="56">
        <v>2349249</v>
      </c>
      <c r="B224" s="56" t="s">
        <v>760</v>
      </c>
      <c r="C224" s="56" t="s">
        <v>3110</v>
      </c>
      <c r="D224" s="57">
        <v>2099.0830000000001</v>
      </c>
      <c r="E224" s="58">
        <v>2288</v>
      </c>
      <c r="F224" s="57">
        <v>2.2879999999999998</v>
      </c>
      <c r="G224" s="56" t="s">
        <v>392</v>
      </c>
      <c r="H224" s="56" t="s">
        <v>2511</v>
      </c>
      <c r="I224" s="56" t="s">
        <v>345</v>
      </c>
      <c r="J224" s="56" t="s">
        <v>3111</v>
      </c>
      <c r="K224" s="57">
        <v>2809.43</v>
      </c>
      <c r="L224" s="56" t="s">
        <v>3108</v>
      </c>
      <c r="M224" s="56" t="s">
        <v>2163</v>
      </c>
      <c r="N224" s="56" t="s">
        <v>61</v>
      </c>
      <c r="O224" s="58">
        <v>23</v>
      </c>
      <c r="P224" s="59" t="s">
        <v>2515</v>
      </c>
      <c r="Q224" s="56" t="s">
        <v>11</v>
      </c>
      <c r="U224" s="52">
        <v>3676021</v>
      </c>
      <c r="V224">
        <v>19</v>
      </c>
      <c r="W224">
        <v>19</v>
      </c>
      <c r="X224">
        <v>1.2</v>
      </c>
      <c r="Y224">
        <v>0.29599999999999999</v>
      </c>
      <c r="Z224" t="s">
        <v>3100</v>
      </c>
      <c r="AA224" t="s">
        <v>963</v>
      </c>
      <c r="AB224" t="s">
        <v>2520</v>
      </c>
      <c r="AC224" t="s">
        <v>3101</v>
      </c>
      <c r="AD224" t="s">
        <v>2171</v>
      </c>
      <c r="AE224" t="s">
        <v>3112</v>
      </c>
      <c r="AF224">
        <v>0.20129849972484909</v>
      </c>
    </row>
    <row r="225" spans="1:32" x14ac:dyDescent="0.25">
      <c r="A225" s="56">
        <v>2349249</v>
      </c>
      <c r="B225" s="56" t="s">
        <v>760</v>
      </c>
      <c r="C225" s="56" t="s">
        <v>3113</v>
      </c>
      <c r="D225" s="57">
        <v>2149.5410000000002</v>
      </c>
      <c r="E225" s="58">
        <v>2343</v>
      </c>
      <c r="F225" s="57">
        <v>2.343</v>
      </c>
      <c r="G225" s="56" t="s">
        <v>392</v>
      </c>
      <c r="H225" s="56" t="s">
        <v>2511</v>
      </c>
      <c r="I225" s="56" t="s">
        <v>345</v>
      </c>
      <c r="J225" s="56" t="s">
        <v>3114</v>
      </c>
      <c r="K225" s="57">
        <v>2876.9650000000001</v>
      </c>
      <c r="L225" s="56" t="s">
        <v>3108</v>
      </c>
      <c r="M225" s="56" t="s">
        <v>2163</v>
      </c>
      <c r="N225" s="56" t="s">
        <v>61</v>
      </c>
      <c r="O225" s="58">
        <v>30</v>
      </c>
      <c r="P225" s="59" t="s">
        <v>2515</v>
      </c>
      <c r="Q225" s="56" t="s">
        <v>11</v>
      </c>
      <c r="U225" s="52">
        <v>3676022</v>
      </c>
      <c r="V225">
        <v>19</v>
      </c>
      <c r="W225">
        <v>19</v>
      </c>
      <c r="X225">
        <v>1.2</v>
      </c>
      <c r="Y225">
        <v>0.3</v>
      </c>
      <c r="Z225" t="s">
        <v>3100</v>
      </c>
      <c r="AA225" t="s">
        <v>963</v>
      </c>
      <c r="AB225" t="s">
        <v>2520</v>
      </c>
      <c r="AC225" t="s">
        <v>3101</v>
      </c>
      <c r="AD225" t="s">
        <v>2171</v>
      </c>
      <c r="AE225" t="s">
        <v>3115</v>
      </c>
      <c r="AF225">
        <v>0.20401874972113085</v>
      </c>
    </row>
    <row r="226" spans="1:32" x14ac:dyDescent="0.25">
      <c r="A226" s="56">
        <v>2356405</v>
      </c>
      <c r="B226" s="56" t="s">
        <v>3116</v>
      </c>
      <c r="C226" s="56" t="s">
        <v>3117</v>
      </c>
      <c r="D226" s="57">
        <v>15.257</v>
      </c>
      <c r="E226" s="57">
        <v>295.68700000000001</v>
      </c>
      <c r="F226" s="57">
        <v>0.29568700000000003</v>
      </c>
      <c r="G226" s="56" t="s">
        <v>392</v>
      </c>
      <c r="H226" s="56" t="s">
        <v>2511</v>
      </c>
      <c r="I226" s="56" t="s">
        <v>345</v>
      </c>
      <c r="J226" s="56" t="s">
        <v>3118</v>
      </c>
      <c r="K226" s="57">
        <v>87.724999999999994</v>
      </c>
      <c r="L226" s="56" t="s">
        <v>3119</v>
      </c>
      <c r="M226" s="56" t="s">
        <v>2537</v>
      </c>
      <c r="N226" s="56" t="s">
        <v>37</v>
      </c>
      <c r="O226" s="58">
        <v>16</v>
      </c>
      <c r="P226" s="59" t="s">
        <v>2515</v>
      </c>
      <c r="Q226" s="56" t="s">
        <v>11</v>
      </c>
      <c r="U226" s="52">
        <v>3676023</v>
      </c>
      <c r="V226">
        <v>19</v>
      </c>
      <c r="W226">
        <v>19</v>
      </c>
      <c r="X226">
        <v>1.2</v>
      </c>
      <c r="Y226">
        <v>0.30499999999999999</v>
      </c>
      <c r="Z226" t="s">
        <v>3100</v>
      </c>
      <c r="AA226" t="s">
        <v>963</v>
      </c>
      <c r="AB226" t="s">
        <v>2520</v>
      </c>
      <c r="AC226" t="s">
        <v>3101</v>
      </c>
      <c r="AD226" t="s">
        <v>2171</v>
      </c>
      <c r="AE226" t="s">
        <v>3120</v>
      </c>
      <c r="AF226">
        <v>0.20741906221648301</v>
      </c>
    </row>
    <row r="227" spans="1:32" x14ac:dyDescent="0.25">
      <c r="A227" s="56">
        <v>2356405</v>
      </c>
      <c r="B227" s="56" t="s">
        <v>3116</v>
      </c>
      <c r="C227" s="56" t="s">
        <v>3121</v>
      </c>
      <c r="D227" s="57">
        <v>44.887999999999998</v>
      </c>
      <c r="E227" s="57">
        <v>869.97299999999996</v>
      </c>
      <c r="F227" s="57">
        <v>0.869973</v>
      </c>
      <c r="G227" s="56" t="s">
        <v>392</v>
      </c>
      <c r="H227" s="56" t="s">
        <v>2511</v>
      </c>
      <c r="I227" s="56" t="s">
        <v>345</v>
      </c>
      <c r="J227" s="56" t="s">
        <v>3122</v>
      </c>
      <c r="K227" s="57">
        <v>258.10599999999999</v>
      </c>
      <c r="L227" s="56" t="s">
        <v>3119</v>
      </c>
      <c r="M227" s="56" t="s">
        <v>2537</v>
      </c>
      <c r="N227" s="56" t="s">
        <v>37</v>
      </c>
      <c r="O227" s="58">
        <v>18</v>
      </c>
      <c r="P227" s="59" t="s">
        <v>2515</v>
      </c>
      <c r="Q227" s="56" t="s">
        <v>11</v>
      </c>
      <c r="U227" s="52">
        <v>3676024</v>
      </c>
      <c r="V227">
        <v>19</v>
      </c>
      <c r="W227">
        <v>19</v>
      </c>
      <c r="X227">
        <v>1.2</v>
      </c>
      <c r="Y227">
        <v>0.31900000000000001</v>
      </c>
      <c r="Z227" t="s">
        <v>3100</v>
      </c>
      <c r="AA227" t="s">
        <v>963</v>
      </c>
      <c r="AB227" t="s">
        <v>2520</v>
      </c>
      <c r="AC227" t="s">
        <v>3101</v>
      </c>
      <c r="AD227" t="s">
        <v>2171</v>
      </c>
      <c r="AE227" t="s">
        <v>3123</v>
      </c>
      <c r="AF227">
        <v>0.21693993720346913</v>
      </c>
    </row>
    <row r="228" spans="1:32" x14ac:dyDescent="0.25">
      <c r="A228" s="56">
        <v>2356445</v>
      </c>
      <c r="B228" s="56" t="s">
        <v>3124</v>
      </c>
      <c r="C228" s="56" t="s">
        <v>3125</v>
      </c>
      <c r="D228" s="57">
        <v>7.7160000000000002</v>
      </c>
      <c r="E228" s="58">
        <v>177</v>
      </c>
      <c r="F228" s="57">
        <v>0.17699999999999999</v>
      </c>
      <c r="G228" s="56" t="s">
        <v>392</v>
      </c>
      <c r="H228" s="56" t="s">
        <v>2511</v>
      </c>
      <c r="I228" s="56" t="s">
        <v>345</v>
      </c>
      <c r="J228" s="56" t="s">
        <v>3126</v>
      </c>
      <c r="K228" s="57">
        <v>46.686</v>
      </c>
      <c r="L228" s="56" t="s">
        <v>1914</v>
      </c>
      <c r="M228" s="56" t="s">
        <v>1123</v>
      </c>
      <c r="N228" s="56" t="s">
        <v>37</v>
      </c>
      <c r="O228" s="58">
        <v>241</v>
      </c>
      <c r="P228" s="59" t="s">
        <v>2524</v>
      </c>
      <c r="Q228" s="56" t="s">
        <v>11</v>
      </c>
      <c r="U228" s="52">
        <v>3676025</v>
      </c>
      <c r="V228">
        <v>19</v>
      </c>
      <c r="W228">
        <v>19</v>
      </c>
      <c r="X228">
        <v>1.2</v>
      </c>
      <c r="Y228">
        <v>0.39200000000000002</v>
      </c>
      <c r="Z228" t="s">
        <v>3100</v>
      </c>
      <c r="AA228" t="s">
        <v>963</v>
      </c>
      <c r="AB228" t="s">
        <v>2520</v>
      </c>
      <c r="AC228" t="s">
        <v>3101</v>
      </c>
      <c r="AD228" t="s">
        <v>2171</v>
      </c>
      <c r="AE228" t="s">
        <v>3127</v>
      </c>
      <c r="AF228">
        <v>0.26658449963561098</v>
      </c>
    </row>
    <row r="229" spans="1:32" x14ac:dyDescent="0.25">
      <c r="A229" s="56">
        <v>2385290</v>
      </c>
      <c r="B229" s="56" t="s">
        <v>3128</v>
      </c>
      <c r="C229" s="56" t="s">
        <v>3129</v>
      </c>
      <c r="D229" s="57">
        <v>122.258</v>
      </c>
      <c r="E229" s="58">
        <v>847</v>
      </c>
      <c r="F229" s="57">
        <v>0.84699999999999998</v>
      </c>
      <c r="G229" s="56" t="s">
        <v>392</v>
      </c>
      <c r="H229" s="56" t="s">
        <v>2511</v>
      </c>
      <c r="I229" s="56" t="s">
        <v>345</v>
      </c>
      <c r="J229" s="56" t="s">
        <v>3130</v>
      </c>
      <c r="K229" s="57">
        <v>733.58699999999999</v>
      </c>
      <c r="L229" s="56" t="s">
        <v>1914</v>
      </c>
      <c r="M229" s="56" t="s">
        <v>1123</v>
      </c>
      <c r="N229" s="56" t="s">
        <v>25</v>
      </c>
      <c r="O229" s="58">
        <v>100</v>
      </c>
      <c r="P229" s="59" t="s">
        <v>2524</v>
      </c>
      <c r="Q229" s="56" t="s">
        <v>192</v>
      </c>
      <c r="U229" s="52">
        <v>3676026</v>
      </c>
      <c r="V229">
        <v>19</v>
      </c>
      <c r="W229">
        <v>19</v>
      </c>
      <c r="X229">
        <v>1.2</v>
      </c>
      <c r="Y229">
        <v>0.41499999999999998</v>
      </c>
      <c r="Z229" t="s">
        <v>3100</v>
      </c>
      <c r="AA229" t="s">
        <v>963</v>
      </c>
      <c r="AB229" t="s">
        <v>2520</v>
      </c>
      <c r="AC229" t="s">
        <v>3101</v>
      </c>
      <c r="AD229" t="s">
        <v>2171</v>
      </c>
      <c r="AE229" t="s">
        <v>3131</v>
      </c>
      <c r="AF229">
        <v>0.282225937114231</v>
      </c>
    </row>
    <row r="230" spans="1:32" x14ac:dyDescent="0.25">
      <c r="A230" s="56">
        <v>2386074</v>
      </c>
      <c r="B230" s="56" t="s">
        <v>2096</v>
      </c>
      <c r="C230" s="56" t="s">
        <v>3132</v>
      </c>
      <c r="D230" s="57">
        <v>1989.2829999999999</v>
      </c>
      <c r="E230" s="57">
        <v>407.803</v>
      </c>
      <c r="F230" s="57">
        <v>0.40780299999999997</v>
      </c>
      <c r="G230" s="56" t="s">
        <v>392</v>
      </c>
      <c r="H230" s="56" t="s">
        <v>2511</v>
      </c>
      <c r="I230" s="56" t="s">
        <v>345</v>
      </c>
      <c r="J230" s="56" t="s">
        <v>1914</v>
      </c>
      <c r="K230" s="57">
        <v>1197.6590000000001</v>
      </c>
      <c r="L230" s="56" t="s">
        <v>3133</v>
      </c>
      <c r="M230" s="56" t="s">
        <v>2548</v>
      </c>
      <c r="N230" s="56" t="s">
        <v>54</v>
      </c>
      <c r="O230" s="58">
        <v>262</v>
      </c>
      <c r="P230" s="59" t="s">
        <v>2524</v>
      </c>
      <c r="Q230" s="56" t="s">
        <v>2516</v>
      </c>
      <c r="U230" s="52">
        <v>3676027</v>
      </c>
      <c r="V230">
        <v>19</v>
      </c>
      <c r="W230">
        <v>19</v>
      </c>
      <c r="X230">
        <v>1.2</v>
      </c>
      <c r="Y230">
        <v>0.46</v>
      </c>
      <c r="Z230" t="s">
        <v>3100</v>
      </c>
      <c r="AA230" t="s">
        <v>963</v>
      </c>
      <c r="AB230" t="s">
        <v>2520</v>
      </c>
      <c r="AC230" t="s">
        <v>3101</v>
      </c>
      <c r="AD230" t="s">
        <v>2171</v>
      </c>
      <c r="AE230" t="s">
        <v>3134</v>
      </c>
      <c r="AF230">
        <v>0.31282874957240064</v>
      </c>
    </row>
    <row r="231" spans="1:32" x14ac:dyDescent="0.25">
      <c r="A231" s="56">
        <v>2402914</v>
      </c>
      <c r="B231" s="56" t="s">
        <v>3135</v>
      </c>
      <c r="C231" s="56" t="s">
        <v>3136</v>
      </c>
      <c r="D231" s="57">
        <v>84.004000000000005</v>
      </c>
      <c r="E231" s="58">
        <v>522</v>
      </c>
      <c r="F231" s="57">
        <v>0.52200000000000002</v>
      </c>
      <c r="G231" s="56" t="s">
        <v>392</v>
      </c>
      <c r="H231" s="56" t="s">
        <v>2511</v>
      </c>
      <c r="I231" s="56" t="s">
        <v>345</v>
      </c>
      <c r="J231" s="56" t="s">
        <v>3137</v>
      </c>
      <c r="K231" s="57">
        <v>522.94100000000003</v>
      </c>
      <c r="L231" s="56" t="s">
        <v>1914</v>
      </c>
      <c r="M231" s="56" t="s">
        <v>1123</v>
      </c>
      <c r="N231" s="56" t="s">
        <v>37</v>
      </c>
      <c r="O231" s="58">
        <v>116</v>
      </c>
      <c r="P231" s="59" t="s">
        <v>2524</v>
      </c>
      <c r="Q231" s="56" t="s">
        <v>11</v>
      </c>
      <c r="U231" s="52">
        <v>3676028</v>
      </c>
      <c r="V231">
        <v>19</v>
      </c>
      <c r="W231">
        <v>19</v>
      </c>
      <c r="X231">
        <v>1.2</v>
      </c>
      <c r="Y231">
        <v>0.503</v>
      </c>
      <c r="Z231" t="s">
        <v>3100</v>
      </c>
      <c r="AA231" t="s">
        <v>963</v>
      </c>
      <c r="AB231" t="s">
        <v>2520</v>
      </c>
      <c r="AC231" t="s">
        <v>3101</v>
      </c>
      <c r="AD231" t="s">
        <v>2171</v>
      </c>
      <c r="AE231" t="s">
        <v>3138</v>
      </c>
      <c r="AF231">
        <v>0.34207143703242937</v>
      </c>
    </row>
    <row r="232" spans="1:32" x14ac:dyDescent="0.25">
      <c r="A232" s="56">
        <v>2403383</v>
      </c>
      <c r="B232" s="56" t="s">
        <v>2018</v>
      </c>
      <c r="C232" s="56" t="s">
        <v>3139</v>
      </c>
      <c r="D232" s="57">
        <v>676.5</v>
      </c>
      <c r="E232" s="57">
        <v>270.60000000000002</v>
      </c>
      <c r="F232" s="57">
        <v>0.27060000000000001</v>
      </c>
      <c r="G232" s="56" t="s">
        <v>392</v>
      </c>
      <c r="H232" s="56" t="s">
        <v>2511</v>
      </c>
      <c r="I232" s="56" t="s">
        <v>345</v>
      </c>
      <c r="J232" s="56" t="s">
        <v>3140</v>
      </c>
      <c r="K232" s="57">
        <v>321.64499999999998</v>
      </c>
      <c r="L232" s="56" t="s">
        <v>3141</v>
      </c>
      <c r="M232" s="56" t="s">
        <v>2605</v>
      </c>
      <c r="N232" s="56" t="s">
        <v>45</v>
      </c>
      <c r="O232" s="58">
        <v>69</v>
      </c>
      <c r="P232" s="59" t="s">
        <v>2579</v>
      </c>
      <c r="Q232" s="56" t="s">
        <v>11</v>
      </c>
      <c r="U232" s="52">
        <v>3676029</v>
      </c>
      <c r="V232">
        <v>19</v>
      </c>
      <c r="W232">
        <v>19</v>
      </c>
      <c r="X232">
        <v>1.2</v>
      </c>
      <c r="Y232">
        <v>0.50700000000000001</v>
      </c>
      <c r="Z232" t="s">
        <v>3100</v>
      </c>
      <c r="AA232" t="s">
        <v>963</v>
      </c>
      <c r="AB232" t="s">
        <v>2520</v>
      </c>
      <c r="AC232" t="s">
        <v>3101</v>
      </c>
      <c r="AD232" t="s">
        <v>2171</v>
      </c>
      <c r="AE232" t="s">
        <v>3142</v>
      </c>
      <c r="AF232">
        <v>0.3447916870287111</v>
      </c>
    </row>
    <row r="233" spans="1:32" x14ac:dyDescent="0.25">
      <c r="A233" s="56">
        <v>2403383</v>
      </c>
      <c r="B233" s="56" t="s">
        <v>2018</v>
      </c>
      <c r="C233" s="56" t="s">
        <v>3143</v>
      </c>
      <c r="D233" s="57">
        <v>235</v>
      </c>
      <c r="E233" s="58">
        <v>94</v>
      </c>
      <c r="F233" s="57">
        <v>9.4E-2</v>
      </c>
      <c r="G233" s="56" t="s">
        <v>392</v>
      </c>
      <c r="H233" s="56" t="s">
        <v>2511</v>
      </c>
      <c r="I233" s="56" t="s">
        <v>345</v>
      </c>
      <c r="J233" s="56" t="s">
        <v>2544</v>
      </c>
      <c r="K233" s="57">
        <v>111.732</v>
      </c>
      <c r="L233" s="56" t="s">
        <v>3144</v>
      </c>
      <c r="M233" s="56" t="s">
        <v>2625</v>
      </c>
      <c r="N233" s="56" t="s">
        <v>44</v>
      </c>
      <c r="O233" s="58">
        <v>26</v>
      </c>
      <c r="P233" s="59" t="s">
        <v>2515</v>
      </c>
      <c r="Q233" s="56" t="s">
        <v>11</v>
      </c>
      <c r="U233" s="52">
        <v>3676030</v>
      </c>
      <c r="V233">
        <v>19</v>
      </c>
      <c r="W233">
        <v>19</v>
      </c>
      <c r="X233">
        <v>1.2</v>
      </c>
      <c r="Y233">
        <v>0.54500000000000004</v>
      </c>
      <c r="Z233" t="s">
        <v>3100</v>
      </c>
      <c r="AA233" t="s">
        <v>963</v>
      </c>
      <c r="AB233" t="s">
        <v>2520</v>
      </c>
      <c r="AC233" t="s">
        <v>3101</v>
      </c>
      <c r="AD233" t="s">
        <v>2171</v>
      </c>
      <c r="AE233" t="s">
        <v>3145</v>
      </c>
      <c r="AF233">
        <v>0.37063406199338772</v>
      </c>
    </row>
    <row r="234" spans="1:32" x14ac:dyDescent="0.25">
      <c r="A234" s="56">
        <v>2403386</v>
      </c>
      <c r="B234" s="56" t="s">
        <v>2016</v>
      </c>
      <c r="C234" s="56" t="s">
        <v>3146</v>
      </c>
      <c r="D234" s="57">
        <v>707.17200000000003</v>
      </c>
      <c r="E234" s="57">
        <v>213.566</v>
      </c>
      <c r="F234" s="57">
        <v>0.21356600000000001</v>
      </c>
      <c r="G234" s="56" t="s">
        <v>392</v>
      </c>
      <c r="H234" s="56" t="s">
        <v>2511</v>
      </c>
      <c r="I234" s="56" t="s">
        <v>345</v>
      </c>
      <c r="J234" s="56" t="s">
        <v>3147</v>
      </c>
      <c r="K234" s="57">
        <v>253.852</v>
      </c>
      <c r="L234" s="56" t="s">
        <v>3148</v>
      </c>
      <c r="M234" s="56" t="s">
        <v>2895</v>
      </c>
      <c r="N234" s="56" t="s">
        <v>46</v>
      </c>
      <c r="O234" s="58">
        <v>136</v>
      </c>
      <c r="P234" s="59" t="s">
        <v>2524</v>
      </c>
      <c r="Q234" s="56" t="s">
        <v>11</v>
      </c>
      <c r="U234" s="52">
        <v>3676031</v>
      </c>
      <c r="V234">
        <v>19</v>
      </c>
      <c r="W234">
        <v>19</v>
      </c>
      <c r="X234">
        <v>1.2</v>
      </c>
      <c r="Y234">
        <v>0.59</v>
      </c>
      <c r="Z234" t="s">
        <v>3100</v>
      </c>
      <c r="AA234" t="s">
        <v>963</v>
      </c>
      <c r="AB234" t="s">
        <v>2520</v>
      </c>
      <c r="AC234" t="s">
        <v>3101</v>
      </c>
      <c r="AD234" t="s">
        <v>2171</v>
      </c>
      <c r="AE234" t="s">
        <v>3149</v>
      </c>
      <c r="AF234">
        <v>0.40123687445155731</v>
      </c>
    </row>
    <row r="235" spans="1:32" x14ac:dyDescent="0.25">
      <c r="A235" s="56">
        <v>2403386</v>
      </c>
      <c r="B235" s="56" t="s">
        <v>2016</v>
      </c>
      <c r="C235" s="56" t="s">
        <v>3150</v>
      </c>
      <c r="D235" s="57">
        <v>1178.7349999999999</v>
      </c>
      <c r="E235" s="57">
        <v>355.97800000000001</v>
      </c>
      <c r="F235" s="57">
        <v>0.35597800000000002</v>
      </c>
      <c r="G235" s="56" t="s">
        <v>392</v>
      </c>
      <c r="H235" s="56" t="s">
        <v>2511</v>
      </c>
      <c r="I235" s="56" t="s">
        <v>345</v>
      </c>
      <c r="J235" s="56" t="s">
        <v>2646</v>
      </c>
      <c r="K235" s="57">
        <v>423.12799999999999</v>
      </c>
      <c r="L235" s="56" t="s">
        <v>3148</v>
      </c>
      <c r="M235" s="56" t="s">
        <v>2895</v>
      </c>
      <c r="N235" s="56" t="s">
        <v>46</v>
      </c>
      <c r="O235" s="58">
        <v>86</v>
      </c>
      <c r="P235" s="59" t="s">
        <v>2579</v>
      </c>
      <c r="Q235" s="56" t="s">
        <v>11</v>
      </c>
      <c r="U235" s="52">
        <v>3676032</v>
      </c>
      <c r="V235">
        <v>19</v>
      </c>
      <c r="W235">
        <v>19</v>
      </c>
      <c r="X235">
        <v>1.2</v>
      </c>
      <c r="Y235">
        <v>0.6</v>
      </c>
      <c r="Z235" t="s">
        <v>3100</v>
      </c>
      <c r="AA235" t="s">
        <v>963</v>
      </c>
      <c r="AB235" t="s">
        <v>2520</v>
      </c>
      <c r="AC235" t="s">
        <v>3101</v>
      </c>
      <c r="AD235" t="s">
        <v>2171</v>
      </c>
      <c r="AE235" t="s">
        <v>3151</v>
      </c>
      <c r="AF235">
        <v>0.4080374994422617</v>
      </c>
    </row>
    <row r="236" spans="1:32" x14ac:dyDescent="0.25">
      <c r="A236" s="56">
        <v>2403386</v>
      </c>
      <c r="B236" s="56" t="s">
        <v>2016</v>
      </c>
      <c r="C236" s="56" t="s">
        <v>3152</v>
      </c>
      <c r="D236" s="57">
        <v>2493.377</v>
      </c>
      <c r="E236" s="58">
        <v>753</v>
      </c>
      <c r="F236" s="57">
        <v>0.753</v>
      </c>
      <c r="G236" s="56" t="s">
        <v>392</v>
      </c>
      <c r="H236" s="56" t="s">
        <v>2511</v>
      </c>
      <c r="I236" s="56" t="s">
        <v>345</v>
      </c>
      <c r="J236" s="56" t="s">
        <v>3089</v>
      </c>
      <c r="K236" s="57">
        <v>895.04300000000001</v>
      </c>
      <c r="L236" s="56" t="s">
        <v>3148</v>
      </c>
      <c r="M236" s="56" t="s">
        <v>2895</v>
      </c>
      <c r="N236" s="56" t="s">
        <v>46</v>
      </c>
      <c r="O236" s="58">
        <v>86</v>
      </c>
      <c r="P236" s="59" t="s">
        <v>2579</v>
      </c>
      <c r="Q236" s="56" t="s">
        <v>11</v>
      </c>
      <c r="U236" s="52">
        <v>3676033</v>
      </c>
      <c r="V236">
        <v>19</v>
      </c>
      <c r="W236">
        <v>19</v>
      </c>
      <c r="X236">
        <v>1.2</v>
      </c>
      <c r="Y236">
        <v>0.85799999999999998</v>
      </c>
      <c r="Z236" t="s">
        <v>3100</v>
      </c>
      <c r="AA236" t="s">
        <v>963</v>
      </c>
      <c r="AB236" t="s">
        <v>2520</v>
      </c>
      <c r="AC236" t="s">
        <v>3101</v>
      </c>
      <c r="AD236" t="s">
        <v>2171</v>
      </c>
      <c r="AE236" t="s">
        <v>3153</v>
      </c>
      <c r="AF236">
        <v>0.58349362420243422</v>
      </c>
    </row>
    <row r="237" spans="1:32" x14ac:dyDescent="0.25">
      <c r="A237" s="56">
        <v>2403386</v>
      </c>
      <c r="B237" s="56" t="s">
        <v>2016</v>
      </c>
      <c r="C237" s="56" t="s">
        <v>3154</v>
      </c>
      <c r="D237" s="57">
        <v>1496.6890000000001</v>
      </c>
      <c r="E237" s="58">
        <v>452</v>
      </c>
      <c r="F237" s="57">
        <v>0.45200000000000001</v>
      </c>
      <c r="G237" s="56" t="s">
        <v>392</v>
      </c>
      <c r="H237" s="56" t="s">
        <v>2511</v>
      </c>
      <c r="I237" s="56" t="s">
        <v>345</v>
      </c>
      <c r="J237" s="56" t="s">
        <v>1914</v>
      </c>
      <c r="K237" s="57">
        <v>537.26400000000001</v>
      </c>
      <c r="L237" s="56" t="s">
        <v>3148</v>
      </c>
      <c r="M237" s="56" t="s">
        <v>2895</v>
      </c>
      <c r="N237" s="56" t="s">
        <v>46</v>
      </c>
      <c r="O237" s="58">
        <v>44</v>
      </c>
      <c r="P237" s="59" t="s">
        <v>2532</v>
      </c>
      <c r="Q237" s="56" t="s">
        <v>11</v>
      </c>
      <c r="U237" s="52">
        <v>3676034</v>
      </c>
      <c r="V237">
        <v>19</v>
      </c>
      <c r="W237">
        <v>19</v>
      </c>
      <c r="X237">
        <v>1.2</v>
      </c>
      <c r="Y237">
        <v>1.0580000000000001</v>
      </c>
      <c r="Z237" t="s">
        <v>3100</v>
      </c>
      <c r="AA237" t="s">
        <v>963</v>
      </c>
      <c r="AB237" t="s">
        <v>2520</v>
      </c>
      <c r="AC237" t="s">
        <v>3101</v>
      </c>
      <c r="AD237" t="s">
        <v>2171</v>
      </c>
      <c r="AE237" t="s">
        <v>3155</v>
      </c>
      <c r="AF237">
        <v>0.71950612401652148</v>
      </c>
    </row>
    <row r="238" spans="1:32" x14ac:dyDescent="0.25">
      <c r="A238" s="56">
        <v>2403386</v>
      </c>
      <c r="B238" s="56" t="s">
        <v>2016</v>
      </c>
      <c r="C238" s="56" t="s">
        <v>3156</v>
      </c>
      <c r="D238" s="57">
        <v>2741.7220000000002</v>
      </c>
      <c r="E238" s="58">
        <v>828</v>
      </c>
      <c r="F238" s="57">
        <v>0.82799999999999996</v>
      </c>
      <c r="G238" s="56" t="s">
        <v>392</v>
      </c>
      <c r="H238" s="56" t="s">
        <v>2511</v>
      </c>
      <c r="I238" s="56" t="s">
        <v>345</v>
      </c>
      <c r="J238" s="56" t="s">
        <v>2512</v>
      </c>
      <c r="K238" s="57">
        <v>984.19100000000003</v>
      </c>
      <c r="L238" s="56" t="s">
        <v>3157</v>
      </c>
      <c r="M238" s="56" t="s">
        <v>2895</v>
      </c>
      <c r="N238" s="56" t="s">
        <v>44</v>
      </c>
      <c r="O238" s="58">
        <v>26</v>
      </c>
      <c r="P238" s="59" t="s">
        <v>2515</v>
      </c>
      <c r="Q238" s="56" t="s">
        <v>11</v>
      </c>
      <c r="U238" s="52">
        <v>3676035</v>
      </c>
      <c r="V238">
        <v>19</v>
      </c>
      <c r="W238">
        <v>19</v>
      </c>
      <c r="X238">
        <v>1.2</v>
      </c>
      <c r="Y238">
        <v>1.52</v>
      </c>
      <c r="Z238" t="s">
        <v>3100</v>
      </c>
      <c r="AA238" t="s">
        <v>963</v>
      </c>
      <c r="AB238" t="s">
        <v>2520</v>
      </c>
      <c r="AC238" t="s">
        <v>3101</v>
      </c>
      <c r="AD238" t="s">
        <v>2171</v>
      </c>
      <c r="AE238" t="s">
        <v>3158</v>
      </c>
      <c r="AF238">
        <v>1.0336949985870629</v>
      </c>
    </row>
    <row r="239" spans="1:32" x14ac:dyDescent="0.25">
      <c r="A239" s="56">
        <v>2403386</v>
      </c>
      <c r="B239" s="56" t="s">
        <v>2016</v>
      </c>
      <c r="C239" s="56" t="s">
        <v>3159</v>
      </c>
      <c r="D239" s="57">
        <v>798.01300000000003</v>
      </c>
      <c r="E239" s="58">
        <v>241</v>
      </c>
      <c r="F239" s="57">
        <v>0.24099999999999999</v>
      </c>
      <c r="G239" s="56" t="s">
        <v>392</v>
      </c>
      <c r="H239" s="56" t="s">
        <v>2511</v>
      </c>
      <c r="I239" s="56" t="s">
        <v>345</v>
      </c>
      <c r="J239" s="56" t="s">
        <v>2615</v>
      </c>
      <c r="K239" s="57">
        <v>286.46100000000001</v>
      </c>
      <c r="L239" s="56" t="s">
        <v>3157</v>
      </c>
      <c r="M239" s="56" t="s">
        <v>2895</v>
      </c>
      <c r="N239" s="56" t="s">
        <v>44</v>
      </c>
      <c r="O239" s="58">
        <v>26</v>
      </c>
      <c r="P239" s="59" t="s">
        <v>2515</v>
      </c>
      <c r="Q239" s="56" t="s">
        <v>11</v>
      </c>
      <c r="U239" s="52">
        <v>3676036</v>
      </c>
      <c r="V239">
        <v>19</v>
      </c>
      <c r="W239">
        <v>19</v>
      </c>
      <c r="X239">
        <v>1.2</v>
      </c>
      <c r="Y239">
        <v>1.73</v>
      </c>
      <c r="Z239" t="s">
        <v>3100</v>
      </c>
      <c r="AA239" t="s">
        <v>963</v>
      </c>
      <c r="AB239" t="s">
        <v>2520</v>
      </c>
      <c r="AC239" t="s">
        <v>3101</v>
      </c>
      <c r="AD239" t="s">
        <v>2171</v>
      </c>
      <c r="AE239" t="s">
        <v>3160</v>
      </c>
      <c r="AF239">
        <v>1.1765081233918546</v>
      </c>
    </row>
    <row r="240" spans="1:32" x14ac:dyDescent="0.25">
      <c r="A240" s="56">
        <v>2409618</v>
      </c>
      <c r="B240" s="56" t="s">
        <v>469</v>
      </c>
      <c r="C240" s="56" t="s">
        <v>3161</v>
      </c>
      <c r="D240" s="57">
        <v>29</v>
      </c>
      <c r="E240" s="57">
        <v>70.585999999999999</v>
      </c>
      <c r="F240" s="57">
        <v>7.0585999999999996E-2</v>
      </c>
      <c r="G240" s="56" t="s">
        <v>392</v>
      </c>
      <c r="H240" s="56" t="s">
        <v>2511</v>
      </c>
      <c r="I240" s="56" t="s">
        <v>345</v>
      </c>
      <c r="J240" s="56" t="s">
        <v>1914</v>
      </c>
      <c r="K240" s="57">
        <v>75.131</v>
      </c>
      <c r="L240" s="56" t="s">
        <v>3162</v>
      </c>
      <c r="M240" s="56" t="s">
        <v>2514</v>
      </c>
      <c r="N240" s="56" t="s">
        <v>9</v>
      </c>
      <c r="O240" s="58">
        <v>6</v>
      </c>
      <c r="P240" s="59" t="s">
        <v>2515</v>
      </c>
      <c r="Q240" s="56" t="s">
        <v>2516</v>
      </c>
      <c r="U240" s="52">
        <v>3576136</v>
      </c>
      <c r="V240">
        <v>19</v>
      </c>
      <c r="W240">
        <v>19</v>
      </c>
      <c r="X240">
        <v>1.2</v>
      </c>
      <c r="Y240">
        <v>5.66</v>
      </c>
      <c r="Z240" t="s">
        <v>229</v>
      </c>
      <c r="AA240" t="s">
        <v>963</v>
      </c>
      <c r="AB240" t="s">
        <v>2520</v>
      </c>
      <c r="AC240" t="s">
        <v>626</v>
      </c>
      <c r="AD240" t="s">
        <v>1838</v>
      </c>
      <c r="AE240" t="s">
        <v>3163</v>
      </c>
      <c r="AF240">
        <v>0.68006249907043614</v>
      </c>
    </row>
    <row r="241" spans="1:32" x14ac:dyDescent="0.25">
      <c r="A241" s="56">
        <v>2413708</v>
      </c>
      <c r="B241" s="56" t="s">
        <v>634</v>
      </c>
      <c r="C241" s="56" t="s">
        <v>3164</v>
      </c>
      <c r="D241" s="57">
        <v>290.666</v>
      </c>
      <c r="E241" s="57">
        <v>236.602</v>
      </c>
      <c r="F241" s="57">
        <v>0.23660200000000001</v>
      </c>
      <c r="G241" s="56" t="s">
        <v>392</v>
      </c>
      <c r="H241" s="56" t="s">
        <v>2511</v>
      </c>
      <c r="I241" s="56" t="s">
        <v>345</v>
      </c>
      <c r="J241" s="56" t="s">
        <v>3165</v>
      </c>
      <c r="K241" s="57">
        <v>237.029</v>
      </c>
      <c r="L241" s="56" t="s">
        <v>3166</v>
      </c>
      <c r="M241" s="56" t="s">
        <v>2990</v>
      </c>
      <c r="N241" s="56" t="s">
        <v>151</v>
      </c>
      <c r="O241" s="58">
        <v>16</v>
      </c>
      <c r="P241" s="59" t="s">
        <v>2515</v>
      </c>
      <c r="Q241" s="56" t="s">
        <v>11</v>
      </c>
      <c r="U241" s="52">
        <v>3432217</v>
      </c>
      <c r="V241">
        <v>19</v>
      </c>
      <c r="W241">
        <v>19</v>
      </c>
      <c r="X241">
        <v>1.21</v>
      </c>
      <c r="Y241">
        <v>0.33</v>
      </c>
      <c r="Z241" t="s">
        <v>229</v>
      </c>
      <c r="AA241" t="s">
        <v>963</v>
      </c>
      <c r="AB241" t="s">
        <v>2520</v>
      </c>
      <c r="AC241" t="s">
        <v>626</v>
      </c>
      <c r="AD241" t="s">
        <v>2171</v>
      </c>
      <c r="AE241" t="s">
        <v>3167</v>
      </c>
      <c r="AF241">
        <v>0.22619237310868764</v>
      </c>
    </row>
    <row r="242" spans="1:32" x14ac:dyDescent="0.25">
      <c r="A242" s="56">
        <v>2418687</v>
      </c>
      <c r="B242" s="56" t="s">
        <v>1515</v>
      </c>
      <c r="C242" s="56" t="s">
        <v>3168</v>
      </c>
      <c r="D242" s="57">
        <v>1422.5940000000001</v>
      </c>
      <c r="E242" s="58">
        <v>1020</v>
      </c>
      <c r="F242" s="57">
        <v>1.02</v>
      </c>
      <c r="G242" s="56" t="s">
        <v>392</v>
      </c>
      <c r="H242" s="56" t="s">
        <v>2511</v>
      </c>
      <c r="I242" s="56" t="s">
        <v>345</v>
      </c>
      <c r="J242" s="56" t="s">
        <v>3169</v>
      </c>
      <c r="K242" s="57">
        <v>1252.4559999999999</v>
      </c>
      <c r="L242" s="56" t="s">
        <v>3170</v>
      </c>
      <c r="M242" s="56" t="s">
        <v>2589</v>
      </c>
      <c r="N242" s="56" t="s">
        <v>39</v>
      </c>
      <c r="O242" s="58">
        <v>2</v>
      </c>
      <c r="P242" s="59" t="s">
        <v>2515</v>
      </c>
      <c r="Q242" s="56" t="s">
        <v>2516</v>
      </c>
      <c r="U242" s="52">
        <v>2426140</v>
      </c>
      <c r="V242">
        <v>19.05</v>
      </c>
      <c r="W242">
        <v>0</v>
      </c>
      <c r="X242">
        <v>1</v>
      </c>
      <c r="Y242">
        <v>1.1000000000000001</v>
      </c>
      <c r="Z242" t="s">
        <v>1881</v>
      </c>
      <c r="AA242" t="s">
        <v>963</v>
      </c>
      <c r="AB242" t="s">
        <v>2520</v>
      </c>
      <c r="AC242" t="s">
        <v>648</v>
      </c>
      <c r="AD242" t="s">
        <v>2171</v>
      </c>
      <c r="AE242" t="s">
        <v>3171</v>
      </c>
      <c r="AF242">
        <v>0.48940589500000004</v>
      </c>
    </row>
    <row r="243" spans="1:32" x14ac:dyDescent="0.25">
      <c r="A243" s="56">
        <v>2418687</v>
      </c>
      <c r="B243" s="56" t="s">
        <v>1515</v>
      </c>
      <c r="C243" s="56" t="s">
        <v>3172</v>
      </c>
      <c r="D243" s="57">
        <v>1198.047</v>
      </c>
      <c r="E243" s="58">
        <v>859</v>
      </c>
      <c r="F243" s="57">
        <v>0.85899999999999999</v>
      </c>
      <c r="G243" s="56" t="s">
        <v>392</v>
      </c>
      <c r="H243" s="56" t="s">
        <v>2511</v>
      </c>
      <c r="I243" s="56" t="s">
        <v>345</v>
      </c>
      <c r="J243" s="56" t="s">
        <v>2981</v>
      </c>
      <c r="K243" s="57">
        <v>1054.7639999999999</v>
      </c>
      <c r="L243" s="56" t="s">
        <v>3173</v>
      </c>
      <c r="M243" s="56" t="s">
        <v>2589</v>
      </c>
      <c r="N243" s="56" t="s">
        <v>39</v>
      </c>
      <c r="O243" s="58">
        <v>3</v>
      </c>
      <c r="P243" s="59" t="s">
        <v>2515</v>
      </c>
      <c r="Q243" s="56" t="s">
        <v>2516</v>
      </c>
      <c r="U243" s="52">
        <v>3635694</v>
      </c>
      <c r="V243">
        <v>19.05</v>
      </c>
      <c r="W243">
        <v>0</v>
      </c>
      <c r="X243">
        <v>1</v>
      </c>
      <c r="Y243">
        <v>1.2</v>
      </c>
      <c r="Z243" t="s">
        <v>1881</v>
      </c>
      <c r="AA243" t="s">
        <v>963</v>
      </c>
      <c r="AB243" t="s">
        <v>2520</v>
      </c>
      <c r="AC243" t="s">
        <v>648</v>
      </c>
      <c r="AD243" t="s">
        <v>2171</v>
      </c>
      <c r="AE243" t="s">
        <v>650</v>
      </c>
      <c r="AF243">
        <v>0.53389734</v>
      </c>
    </row>
    <row r="244" spans="1:32" x14ac:dyDescent="0.25">
      <c r="A244" s="56">
        <v>2420106</v>
      </c>
      <c r="B244" s="56" t="s">
        <v>775</v>
      </c>
      <c r="C244" s="56" t="s">
        <v>3174</v>
      </c>
      <c r="D244" s="57">
        <v>145.215</v>
      </c>
      <c r="E244" s="57">
        <v>192.119</v>
      </c>
      <c r="F244" s="57">
        <v>0.19211900000000001</v>
      </c>
      <c r="G244" s="56" t="s">
        <v>392</v>
      </c>
      <c r="H244" s="56" t="s">
        <v>2511</v>
      </c>
      <c r="I244" s="56" t="s">
        <v>345</v>
      </c>
      <c r="J244" s="56" t="s">
        <v>1914</v>
      </c>
      <c r="K244" s="57">
        <v>192.465</v>
      </c>
      <c r="L244" s="56" t="s">
        <v>3175</v>
      </c>
      <c r="M244" s="56" t="s">
        <v>2548</v>
      </c>
      <c r="N244" s="56" t="s">
        <v>78</v>
      </c>
      <c r="O244" s="58">
        <v>230</v>
      </c>
      <c r="P244" s="59" t="s">
        <v>2524</v>
      </c>
      <c r="Q244" s="56" t="s">
        <v>11</v>
      </c>
      <c r="U244">
        <v>3672609</v>
      </c>
      <c r="V244">
        <v>19.05</v>
      </c>
      <c r="W244">
        <v>0</v>
      </c>
      <c r="X244">
        <v>1</v>
      </c>
      <c r="Y244">
        <v>1.2</v>
      </c>
      <c r="Z244" t="s">
        <v>1881</v>
      </c>
      <c r="AA244" t="s">
        <v>963</v>
      </c>
      <c r="AB244" t="s">
        <v>2520</v>
      </c>
      <c r="AC244" t="s">
        <v>648</v>
      </c>
      <c r="AD244" t="s">
        <v>2171</v>
      </c>
      <c r="AE244" t="s">
        <v>650</v>
      </c>
      <c r="AF244">
        <v>0.53389734</v>
      </c>
    </row>
    <row r="245" spans="1:32" x14ac:dyDescent="0.25">
      <c r="A245" s="56">
        <v>2420106</v>
      </c>
      <c r="B245" s="56" t="s">
        <v>775</v>
      </c>
      <c r="C245" s="56" t="s">
        <v>3176</v>
      </c>
      <c r="D245" s="57">
        <v>1624.3389999999999</v>
      </c>
      <c r="E245" s="58">
        <v>2149</v>
      </c>
      <c r="F245" s="57">
        <v>2.149</v>
      </c>
      <c r="G245" s="56" t="s">
        <v>392</v>
      </c>
      <c r="H245" s="56" t="s">
        <v>2511</v>
      </c>
      <c r="I245" s="56" t="s">
        <v>345</v>
      </c>
      <c r="J245" s="56" t="s">
        <v>3177</v>
      </c>
      <c r="K245" s="57">
        <v>2152.875</v>
      </c>
      <c r="L245" s="56" t="s">
        <v>3178</v>
      </c>
      <c r="M245" s="56" t="s">
        <v>2163</v>
      </c>
      <c r="N245" s="56" t="s">
        <v>44</v>
      </c>
      <c r="O245" s="58">
        <v>34</v>
      </c>
      <c r="P245" s="59" t="s">
        <v>2532</v>
      </c>
      <c r="Q245" s="56" t="s">
        <v>11</v>
      </c>
      <c r="U245" s="52">
        <v>3573227</v>
      </c>
      <c r="V245">
        <v>19.05</v>
      </c>
      <c r="W245">
        <v>0</v>
      </c>
      <c r="X245">
        <v>1</v>
      </c>
      <c r="Y245">
        <v>5.5750000000000002</v>
      </c>
      <c r="Z245" t="s">
        <v>1881</v>
      </c>
      <c r="AA245" t="s">
        <v>963</v>
      </c>
      <c r="AB245" t="s">
        <v>2520</v>
      </c>
      <c r="AC245" t="s">
        <v>648</v>
      </c>
      <c r="AD245" t="s">
        <v>1838</v>
      </c>
      <c r="AE245" t="s">
        <v>3179</v>
      </c>
      <c r="AF245">
        <v>0.44491445000000002</v>
      </c>
    </row>
    <row r="246" spans="1:32" x14ac:dyDescent="0.25">
      <c r="A246" s="56">
        <v>2420107</v>
      </c>
      <c r="B246" s="56" t="s">
        <v>3180</v>
      </c>
      <c r="C246" s="56" t="s">
        <v>3181</v>
      </c>
      <c r="D246" s="57">
        <v>1926.3209999999999</v>
      </c>
      <c r="E246" s="57">
        <v>1230.9190000000001</v>
      </c>
      <c r="F246" s="57">
        <v>1.2309190000000001</v>
      </c>
      <c r="G246" s="56" t="s">
        <v>392</v>
      </c>
      <c r="H246" s="56" t="s">
        <v>2511</v>
      </c>
      <c r="I246" s="56" t="s">
        <v>345</v>
      </c>
      <c r="J246" s="56" t="s">
        <v>1914</v>
      </c>
      <c r="K246" s="57">
        <v>1233.1389999999999</v>
      </c>
      <c r="L246" s="56" t="s">
        <v>3182</v>
      </c>
      <c r="M246" s="56" t="s">
        <v>2605</v>
      </c>
      <c r="N246" s="56" t="s">
        <v>78</v>
      </c>
      <c r="O246" s="58">
        <v>594</v>
      </c>
      <c r="P246" s="59" t="s">
        <v>2524</v>
      </c>
      <c r="Q246" s="56" t="s">
        <v>11</v>
      </c>
      <c r="U246" s="538">
        <v>111002371</v>
      </c>
      <c r="V246">
        <v>19.05</v>
      </c>
      <c r="W246">
        <v>0</v>
      </c>
      <c r="X246">
        <v>1</v>
      </c>
      <c r="Y246">
        <v>5.5750000000000002</v>
      </c>
      <c r="Z246" t="s">
        <v>1881</v>
      </c>
      <c r="AA246" t="s">
        <v>963</v>
      </c>
      <c r="AB246" t="s">
        <v>2520</v>
      </c>
      <c r="AC246" t="s">
        <v>648</v>
      </c>
      <c r="AD246" t="s">
        <v>1838</v>
      </c>
      <c r="AE246" t="s">
        <v>3179</v>
      </c>
      <c r="AF246">
        <v>0.44491445000000002</v>
      </c>
    </row>
    <row r="247" spans="1:32" x14ac:dyDescent="0.25">
      <c r="A247" s="56">
        <v>2423535</v>
      </c>
      <c r="B247" s="56" t="s">
        <v>2097</v>
      </c>
      <c r="C247" s="56" t="s">
        <v>3183</v>
      </c>
      <c r="D247" s="57">
        <v>117.121</v>
      </c>
      <c r="E247" s="57">
        <v>96.858999999999995</v>
      </c>
      <c r="F247" s="57">
        <v>9.6859000000000001E-2</v>
      </c>
      <c r="G247" s="56" t="s">
        <v>392</v>
      </c>
      <c r="H247" s="56" t="s">
        <v>2511</v>
      </c>
      <c r="I247" s="56" t="s">
        <v>345</v>
      </c>
      <c r="J247" s="56" t="s">
        <v>2552</v>
      </c>
      <c r="K247" s="57">
        <v>155.572</v>
      </c>
      <c r="L247" s="56" t="s">
        <v>3184</v>
      </c>
      <c r="M247" s="56" t="s">
        <v>2605</v>
      </c>
      <c r="N247" s="56" t="s">
        <v>54</v>
      </c>
      <c r="O247" s="58">
        <v>30</v>
      </c>
      <c r="P247" s="59" t="s">
        <v>2515</v>
      </c>
      <c r="Q247" s="56" t="s">
        <v>2516</v>
      </c>
      <c r="U247" s="52">
        <v>1940181</v>
      </c>
      <c r="V247">
        <v>19.05</v>
      </c>
      <c r="W247">
        <v>0</v>
      </c>
      <c r="X247">
        <v>1</v>
      </c>
      <c r="Y247">
        <v>6</v>
      </c>
      <c r="Z247" t="s">
        <v>1881</v>
      </c>
      <c r="AA247" t="s">
        <v>963</v>
      </c>
      <c r="AB247" t="s">
        <v>2520</v>
      </c>
      <c r="AC247" t="s">
        <v>648</v>
      </c>
      <c r="AD247" t="s">
        <v>1838</v>
      </c>
      <c r="AE247" t="s">
        <v>3179</v>
      </c>
      <c r="AF247">
        <v>0.44491445000000002</v>
      </c>
    </row>
    <row r="248" spans="1:32" x14ac:dyDescent="0.25">
      <c r="A248" s="56">
        <v>2427158</v>
      </c>
      <c r="B248" s="56" t="s">
        <v>671</v>
      </c>
      <c r="C248" s="56" t="s">
        <v>3185</v>
      </c>
      <c r="D248" s="57">
        <v>1479.4010000000001</v>
      </c>
      <c r="E248" s="57">
        <v>1735.337</v>
      </c>
      <c r="F248" s="57">
        <v>1.7353369999999999</v>
      </c>
      <c r="G248" s="56" t="s">
        <v>392</v>
      </c>
      <c r="H248" s="56" t="s">
        <v>2511</v>
      </c>
      <c r="I248" s="56" t="s">
        <v>345</v>
      </c>
      <c r="J248" s="56" t="s">
        <v>2906</v>
      </c>
      <c r="K248" s="57">
        <v>893.53599999999994</v>
      </c>
      <c r="L248" s="56" t="s">
        <v>3186</v>
      </c>
      <c r="M248" s="56" t="s">
        <v>2760</v>
      </c>
      <c r="N248" s="56" t="s">
        <v>17</v>
      </c>
      <c r="O248" s="58">
        <v>23</v>
      </c>
      <c r="P248" s="59" t="s">
        <v>2515</v>
      </c>
      <c r="Q248" s="56" t="s">
        <v>192</v>
      </c>
      <c r="U248" s="52">
        <v>3518158</v>
      </c>
      <c r="V248">
        <v>19.05</v>
      </c>
      <c r="W248">
        <v>0</v>
      </c>
      <c r="X248">
        <v>1.02</v>
      </c>
      <c r="Y248">
        <v>1.095</v>
      </c>
      <c r="Z248" t="s">
        <v>1881</v>
      </c>
      <c r="AA248" t="s">
        <v>963</v>
      </c>
      <c r="AB248" t="s">
        <v>2520</v>
      </c>
      <c r="AC248" t="s">
        <v>648</v>
      </c>
      <c r="AD248" t="s">
        <v>2171</v>
      </c>
      <c r="AE248" t="s">
        <v>2264</v>
      </c>
      <c r="AF248">
        <v>0.49637433984300011</v>
      </c>
    </row>
    <row r="249" spans="1:32" x14ac:dyDescent="0.25">
      <c r="A249" s="56">
        <v>2427712</v>
      </c>
      <c r="B249" s="56" t="s">
        <v>700</v>
      </c>
      <c r="C249" s="56" t="s">
        <v>3187</v>
      </c>
      <c r="D249" s="57">
        <v>1140.152</v>
      </c>
      <c r="E249" s="57">
        <v>277.05700000000002</v>
      </c>
      <c r="F249" s="57">
        <v>0.277057</v>
      </c>
      <c r="G249" s="56" t="s">
        <v>392</v>
      </c>
      <c r="H249" s="56" t="s">
        <v>2511</v>
      </c>
      <c r="I249" s="56" t="s">
        <v>345</v>
      </c>
      <c r="J249" s="56" t="s">
        <v>3188</v>
      </c>
      <c r="K249" s="57">
        <v>291.48599999999999</v>
      </c>
      <c r="L249" s="56" t="s">
        <v>3189</v>
      </c>
      <c r="M249" s="56" t="s">
        <v>2744</v>
      </c>
      <c r="N249" s="56" t="s">
        <v>17</v>
      </c>
      <c r="O249" s="58">
        <v>27</v>
      </c>
      <c r="P249" s="59" t="s">
        <v>2515</v>
      </c>
      <c r="Q249" s="56" t="s">
        <v>192</v>
      </c>
      <c r="U249" s="538">
        <v>111116350</v>
      </c>
      <c r="V249">
        <v>19.05</v>
      </c>
      <c r="W249">
        <v>0</v>
      </c>
      <c r="X249">
        <v>1.02</v>
      </c>
      <c r="Y249">
        <v>6.08</v>
      </c>
      <c r="Z249" t="s">
        <v>1881</v>
      </c>
      <c r="AA249" t="s">
        <v>963</v>
      </c>
      <c r="AB249" t="s">
        <v>2520</v>
      </c>
      <c r="AC249" t="s">
        <v>648</v>
      </c>
      <c r="AD249" t="s">
        <v>1838</v>
      </c>
      <c r="AE249" t="s">
        <v>3179</v>
      </c>
      <c r="AF249">
        <v>0.4533098994000001</v>
      </c>
    </row>
    <row r="250" spans="1:32" x14ac:dyDescent="0.25">
      <c r="A250" s="56">
        <v>2428449</v>
      </c>
      <c r="B250" s="56" t="s">
        <v>3190</v>
      </c>
      <c r="C250" s="56" t="s">
        <v>3191</v>
      </c>
      <c r="D250" s="57">
        <v>252.83799999999999</v>
      </c>
      <c r="E250" s="58">
        <v>1225</v>
      </c>
      <c r="F250" s="57">
        <v>1.2250000000000001</v>
      </c>
      <c r="G250" s="56" t="s">
        <v>392</v>
      </c>
      <c r="H250" s="56" t="s">
        <v>2511</v>
      </c>
      <c r="I250" s="56" t="s">
        <v>345</v>
      </c>
      <c r="J250" s="56" t="s">
        <v>3192</v>
      </c>
      <c r="K250" s="57">
        <v>1504.36</v>
      </c>
      <c r="L250" s="56" t="s">
        <v>1914</v>
      </c>
      <c r="M250" s="56" t="s">
        <v>1123</v>
      </c>
      <c r="N250" s="56" t="s">
        <v>37</v>
      </c>
      <c r="O250" s="58">
        <v>47</v>
      </c>
      <c r="P250" s="59" t="s">
        <v>2532</v>
      </c>
      <c r="Q250" s="56" t="s">
        <v>11</v>
      </c>
      <c r="U250" s="52">
        <v>3929628</v>
      </c>
      <c r="V250">
        <v>19.05</v>
      </c>
      <c r="W250">
        <v>0</v>
      </c>
      <c r="X250">
        <v>1.02</v>
      </c>
      <c r="Y250">
        <v>6.08</v>
      </c>
      <c r="Z250" t="s">
        <v>1881</v>
      </c>
      <c r="AA250" t="s">
        <v>963</v>
      </c>
      <c r="AB250" t="s">
        <v>2520</v>
      </c>
      <c r="AC250" t="s">
        <v>648</v>
      </c>
      <c r="AD250" t="s">
        <v>1838</v>
      </c>
      <c r="AF250">
        <v>0.4533098994000001</v>
      </c>
    </row>
    <row r="251" spans="1:32" x14ac:dyDescent="0.25">
      <c r="A251" s="56">
        <v>2428449</v>
      </c>
      <c r="B251" s="56" t="s">
        <v>3190</v>
      </c>
      <c r="C251" s="56" t="s">
        <v>3193</v>
      </c>
      <c r="D251" s="57">
        <v>87.513000000000005</v>
      </c>
      <c r="E251" s="58">
        <v>424</v>
      </c>
      <c r="F251" s="57">
        <v>0.42399999999999999</v>
      </c>
      <c r="G251" s="56" t="s">
        <v>392</v>
      </c>
      <c r="H251" s="56" t="s">
        <v>2511</v>
      </c>
      <c r="I251" s="56" t="s">
        <v>345</v>
      </c>
      <c r="J251" s="56" t="s">
        <v>3194</v>
      </c>
      <c r="K251" s="57">
        <v>520.69299999999998</v>
      </c>
      <c r="L251" s="56" t="s">
        <v>1914</v>
      </c>
      <c r="M251" s="56" t="s">
        <v>1123</v>
      </c>
      <c r="N251" s="56" t="s">
        <v>37</v>
      </c>
      <c r="O251" s="58">
        <v>47</v>
      </c>
      <c r="P251" s="59" t="s">
        <v>2532</v>
      </c>
      <c r="Q251" s="56" t="s">
        <v>11</v>
      </c>
      <c r="U251" s="52">
        <v>3409366</v>
      </c>
      <c r="V251">
        <v>19.05</v>
      </c>
      <c r="W251">
        <v>0</v>
      </c>
      <c r="X251">
        <v>1.2</v>
      </c>
      <c r="Y251">
        <v>0.109</v>
      </c>
      <c r="Z251" t="s">
        <v>1881</v>
      </c>
      <c r="AA251" t="s">
        <v>963</v>
      </c>
      <c r="AB251" t="s">
        <v>2520</v>
      </c>
      <c r="AC251" t="s">
        <v>471</v>
      </c>
      <c r="AD251" t="s">
        <v>2171</v>
      </c>
      <c r="AE251" t="s">
        <v>2266</v>
      </c>
      <c r="AF251">
        <v>5.7549992220000006E-2</v>
      </c>
    </row>
    <row r="252" spans="1:32" x14ac:dyDescent="0.25">
      <c r="A252" s="56">
        <v>2430125</v>
      </c>
      <c r="B252" s="56" t="s">
        <v>3195</v>
      </c>
      <c r="C252" s="56" t="s">
        <v>3196</v>
      </c>
      <c r="D252" s="57">
        <v>13.324</v>
      </c>
      <c r="E252" s="58">
        <v>120</v>
      </c>
      <c r="F252" s="57">
        <v>0.12</v>
      </c>
      <c r="G252" s="56" t="s">
        <v>392</v>
      </c>
      <c r="H252" s="56" t="s">
        <v>2511</v>
      </c>
      <c r="I252" s="56" t="s">
        <v>345</v>
      </c>
      <c r="J252" s="56" t="s">
        <v>3197</v>
      </c>
      <c r="K252" s="57">
        <v>76.614000000000004</v>
      </c>
      <c r="L252" s="56" t="s">
        <v>1914</v>
      </c>
      <c r="M252" s="56" t="s">
        <v>1123</v>
      </c>
      <c r="N252" s="56" t="s">
        <v>37</v>
      </c>
      <c r="O252" s="58">
        <v>154</v>
      </c>
      <c r="P252" s="59" t="s">
        <v>2524</v>
      </c>
      <c r="Q252" s="56" t="s">
        <v>11</v>
      </c>
      <c r="U252" s="507">
        <v>3929691</v>
      </c>
      <c r="V252">
        <v>19.05</v>
      </c>
      <c r="W252">
        <v>0</v>
      </c>
      <c r="X252">
        <v>1.2</v>
      </c>
      <c r="Y252">
        <v>0.2</v>
      </c>
      <c r="Z252" t="s">
        <v>229</v>
      </c>
      <c r="AA252" t="s">
        <v>963</v>
      </c>
      <c r="AB252" t="s">
        <v>2520</v>
      </c>
      <c r="AC252" t="s">
        <v>532</v>
      </c>
      <c r="AD252" t="s">
        <v>2171</v>
      </c>
      <c r="AE252" t="s">
        <v>536</v>
      </c>
      <c r="AF252">
        <v>0.10559631600000002</v>
      </c>
    </row>
    <row r="253" spans="1:32" x14ac:dyDescent="0.25">
      <c r="A253" s="56">
        <v>2430125</v>
      </c>
      <c r="B253" s="56" t="s">
        <v>3195</v>
      </c>
      <c r="C253" s="56" t="s">
        <v>3198</v>
      </c>
      <c r="D253" s="57">
        <v>32.645000000000003</v>
      </c>
      <c r="E253" s="58">
        <v>294</v>
      </c>
      <c r="F253" s="57">
        <v>0.29399999999999998</v>
      </c>
      <c r="G253" s="56" t="s">
        <v>392</v>
      </c>
      <c r="H253" s="56" t="s">
        <v>2511</v>
      </c>
      <c r="I253" s="56" t="s">
        <v>345</v>
      </c>
      <c r="J253" s="56" t="s">
        <v>3199</v>
      </c>
      <c r="K253" s="57">
        <v>187.70400000000001</v>
      </c>
      <c r="L253" s="56" t="s">
        <v>1914</v>
      </c>
      <c r="M253" s="56" t="s">
        <v>1123</v>
      </c>
      <c r="N253" s="56" t="s">
        <v>37</v>
      </c>
      <c r="O253" s="58">
        <v>44</v>
      </c>
      <c r="P253" s="59" t="s">
        <v>2532</v>
      </c>
      <c r="Q253" s="56" t="s">
        <v>11</v>
      </c>
      <c r="U253" s="507">
        <v>3938681</v>
      </c>
      <c r="V253">
        <v>19.05</v>
      </c>
      <c r="W253">
        <v>0</v>
      </c>
      <c r="X253">
        <v>1.2</v>
      </c>
      <c r="Y253">
        <v>0.22</v>
      </c>
      <c r="Z253" t="s">
        <v>229</v>
      </c>
      <c r="AA253" t="s">
        <v>963</v>
      </c>
      <c r="AB253" t="s">
        <v>2520</v>
      </c>
      <c r="AC253" t="s">
        <v>532</v>
      </c>
      <c r="AD253" t="s">
        <v>2171</v>
      </c>
      <c r="AE253" t="s">
        <v>2268</v>
      </c>
      <c r="AF253">
        <v>0.11615594760000002</v>
      </c>
    </row>
    <row r="254" spans="1:32" x14ac:dyDescent="0.25">
      <c r="A254" s="56">
        <v>2430128</v>
      </c>
      <c r="B254" s="56" t="s">
        <v>475</v>
      </c>
      <c r="C254" s="56" t="s">
        <v>3200</v>
      </c>
      <c r="D254" s="57">
        <v>182.96700000000001</v>
      </c>
      <c r="E254" s="58">
        <v>391</v>
      </c>
      <c r="F254" s="57">
        <v>0.39100000000000001</v>
      </c>
      <c r="G254" s="56" t="s">
        <v>392</v>
      </c>
      <c r="H254" s="56" t="s">
        <v>2511</v>
      </c>
      <c r="I254" s="56" t="s">
        <v>345</v>
      </c>
      <c r="J254" s="56" t="s">
        <v>3201</v>
      </c>
      <c r="K254" s="57">
        <v>201.328</v>
      </c>
      <c r="L254" s="56" t="s">
        <v>3202</v>
      </c>
      <c r="M254" s="56" t="s">
        <v>2919</v>
      </c>
      <c r="N254" s="56" t="s">
        <v>9</v>
      </c>
      <c r="O254" s="58">
        <v>14</v>
      </c>
      <c r="P254" s="59" t="s">
        <v>2515</v>
      </c>
      <c r="Q254" s="56" t="s">
        <v>2516</v>
      </c>
      <c r="U254" s="507">
        <v>3938682</v>
      </c>
      <c r="V254">
        <v>19.05</v>
      </c>
      <c r="W254">
        <v>0</v>
      </c>
      <c r="X254">
        <v>1.2</v>
      </c>
      <c r="Y254">
        <v>0.32</v>
      </c>
      <c r="Z254" t="s">
        <v>229</v>
      </c>
      <c r="AA254" t="s">
        <v>963</v>
      </c>
      <c r="AB254" t="s">
        <v>2520</v>
      </c>
      <c r="AC254" t="s">
        <v>532</v>
      </c>
      <c r="AD254" t="s">
        <v>2171</v>
      </c>
      <c r="AE254" t="s">
        <v>2269</v>
      </c>
      <c r="AF254">
        <v>0.16895410560000002</v>
      </c>
    </row>
    <row r="255" spans="1:32" x14ac:dyDescent="0.25">
      <c r="A255" s="56">
        <v>2430128</v>
      </c>
      <c r="B255" s="56" t="s">
        <v>475</v>
      </c>
      <c r="C255" s="56" t="s">
        <v>3203</v>
      </c>
      <c r="D255" s="57">
        <v>739.822</v>
      </c>
      <c r="E255" s="58">
        <v>1581</v>
      </c>
      <c r="F255" s="57">
        <v>1.581</v>
      </c>
      <c r="G255" s="56" t="s">
        <v>392</v>
      </c>
      <c r="H255" s="56" t="s">
        <v>2511</v>
      </c>
      <c r="I255" s="56" t="s">
        <v>345</v>
      </c>
      <c r="J255" s="56" t="s">
        <v>3204</v>
      </c>
      <c r="K255" s="57">
        <v>814.06700000000001</v>
      </c>
      <c r="L255" s="56" t="s">
        <v>3205</v>
      </c>
      <c r="M255" s="56" t="s">
        <v>2919</v>
      </c>
      <c r="N255" s="56" t="s">
        <v>9</v>
      </c>
      <c r="O255" s="58">
        <v>14</v>
      </c>
      <c r="P255" s="59" t="s">
        <v>2515</v>
      </c>
      <c r="Q255" s="56" t="s">
        <v>2516</v>
      </c>
      <c r="U255" s="52">
        <v>3239890</v>
      </c>
      <c r="V255">
        <v>19.05</v>
      </c>
      <c r="W255">
        <v>0</v>
      </c>
      <c r="X255">
        <v>1.2</v>
      </c>
      <c r="Y255">
        <v>0.33</v>
      </c>
      <c r="Z255" t="s">
        <v>1881</v>
      </c>
      <c r="AA255" t="s">
        <v>963</v>
      </c>
      <c r="AB255" t="s">
        <v>2520</v>
      </c>
      <c r="AC255" t="s">
        <v>471</v>
      </c>
      <c r="AD255" t="s">
        <v>2171</v>
      </c>
      <c r="AE255" t="s">
        <v>2265</v>
      </c>
      <c r="AF255">
        <v>0.17423392140000002</v>
      </c>
    </row>
    <row r="256" spans="1:32" x14ac:dyDescent="0.25">
      <c r="A256" s="56">
        <v>2440970</v>
      </c>
      <c r="B256" s="56" t="s">
        <v>3206</v>
      </c>
      <c r="C256" s="56" t="s">
        <v>3207</v>
      </c>
      <c r="D256" s="57">
        <v>299.95100000000002</v>
      </c>
      <c r="E256" s="57">
        <v>517.71500000000003</v>
      </c>
      <c r="F256" s="57">
        <v>0.51771500000000004</v>
      </c>
      <c r="G256" s="56" t="s">
        <v>392</v>
      </c>
      <c r="H256" s="56" t="s">
        <v>2511</v>
      </c>
      <c r="I256" s="56" t="s">
        <v>345</v>
      </c>
      <c r="J256" s="56" t="s">
        <v>1914</v>
      </c>
      <c r="K256" s="57">
        <v>153.59700000000001</v>
      </c>
      <c r="L256" s="56" t="s">
        <v>1914</v>
      </c>
      <c r="M256" s="56" t="s">
        <v>1123</v>
      </c>
      <c r="N256" s="56" t="s">
        <v>76</v>
      </c>
      <c r="O256" s="58">
        <v>262</v>
      </c>
      <c r="P256" s="59" t="s">
        <v>2524</v>
      </c>
      <c r="Q256" s="56" t="s">
        <v>2561</v>
      </c>
      <c r="U256" s="52">
        <v>1936576</v>
      </c>
      <c r="V256">
        <v>19.05</v>
      </c>
      <c r="W256">
        <v>0</v>
      </c>
      <c r="X256">
        <v>1.2</v>
      </c>
      <c r="Y256">
        <v>0.33</v>
      </c>
      <c r="Z256" t="s">
        <v>1883</v>
      </c>
      <c r="AA256" t="s">
        <v>963</v>
      </c>
      <c r="AB256" t="s">
        <v>2520</v>
      </c>
      <c r="AC256" t="s">
        <v>471</v>
      </c>
      <c r="AD256" t="s">
        <v>2171</v>
      </c>
      <c r="AE256" t="s">
        <v>2265</v>
      </c>
      <c r="AF256">
        <v>0.17423392140000002</v>
      </c>
    </row>
    <row r="257" spans="1:32" ht="15.75" x14ac:dyDescent="0.25">
      <c r="A257" s="56">
        <v>2440971</v>
      </c>
      <c r="B257" s="56" t="s">
        <v>1676</v>
      </c>
      <c r="C257" s="56" t="s">
        <v>3208</v>
      </c>
      <c r="D257" s="57">
        <v>2474.9499999999998</v>
      </c>
      <c r="E257" s="58">
        <v>1235</v>
      </c>
      <c r="F257" s="57">
        <v>1.2350000000000001</v>
      </c>
      <c r="G257" s="56" t="s">
        <v>392</v>
      </c>
      <c r="H257" s="56" t="s">
        <v>2511</v>
      </c>
      <c r="I257" s="56" t="s">
        <v>345</v>
      </c>
      <c r="J257" s="56" t="s">
        <v>3013</v>
      </c>
      <c r="K257" s="57">
        <v>788.48199999999997</v>
      </c>
      <c r="L257" s="56" t="s">
        <v>3209</v>
      </c>
      <c r="M257" s="56" t="s">
        <v>2605</v>
      </c>
      <c r="N257" s="56" t="s">
        <v>37</v>
      </c>
      <c r="O257" s="58">
        <v>2</v>
      </c>
      <c r="P257" s="59" t="s">
        <v>2515</v>
      </c>
      <c r="Q257" s="56" t="s">
        <v>11</v>
      </c>
      <c r="U257" s="509">
        <v>3935313</v>
      </c>
      <c r="V257">
        <v>19.05</v>
      </c>
      <c r="W257">
        <v>0</v>
      </c>
      <c r="X257">
        <v>1.2</v>
      </c>
      <c r="Y257">
        <v>0.33</v>
      </c>
      <c r="Z257" t="s">
        <v>229</v>
      </c>
      <c r="AA257" t="s">
        <v>963</v>
      </c>
      <c r="AB257" t="s">
        <v>2520</v>
      </c>
      <c r="AC257" t="s">
        <v>532</v>
      </c>
      <c r="AD257" t="s">
        <v>2171</v>
      </c>
      <c r="AE257" t="s">
        <v>561</v>
      </c>
      <c r="AF257">
        <v>0.17423392140000002</v>
      </c>
    </row>
    <row r="258" spans="1:32" x14ac:dyDescent="0.25">
      <c r="A258" s="56">
        <v>2440972</v>
      </c>
      <c r="B258" s="56" t="s">
        <v>1747</v>
      </c>
      <c r="C258" s="56" t="s">
        <v>3210</v>
      </c>
      <c r="D258" s="57">
        <v>1650.316</v>
      </c>
      <c r="E258" s="58">
        <v>2086</v>
      </c>
      <c r="F258" s="57">
        <v>2.0859999999999999</v>
      </c>
      <c r="G258" s="56" t="s">
        <v>392</v>
      </c>
      <c r="H258" s="56" t="s">
        <v>2511</v>
      </c>
      <c r="I258" s="56" t="s">
        <v>345</v>
      </c>
      <c r="J258" s="56" t="s">
        <v>3211</v>
      </c>
      <c r="K258" s="57">
        <v>618.88099999999997</v>
      </c>
      <c r="L258" s="56" t="s">
        <v>3212</v>
      </c>
      <c r="M258" s="56" t="s">
        <v>2903</v>
      </c>
      <c r="N258" s="56" t="s">
        <v>39</v>
      </c>
      <c r="O258" s="58">
        <v>2</v>
      </c>
      <c r="P258" s="59" t="s">
        <v>2515</v>
      </c>
      <c r="Q258" s="56" t="s">
        <v>2516</v>
      </c>
      <c r="U258" s="507">
        <v>3938683</v>
      </c>
      <c r="V258">
        <v>19.05</v>
      </c>
      <c r="W258">
        <v>0</v>
      </c>
      <c r="X258">
        <v>1.2</v>
      </c>
      <c r="Y258">
        <v>0.377</v>
      </c>
      <c r="Z258" t="s">
        <v>229</v>
      </c>
      <c r="AA258" t="s">
        <v>963</v>
      </c>
      <c r="AB258" t="s">
        <v>2520</v>
      </c>
      <c r="AC258" t="s">
        <v>532</v>
      </c>
      <c r="AD258" t="s">
        <v>2171</v>
      </c>
      <c r="AE258" t="s">
        <v>2270</v>
      </c>
      <c r="AF258">
        <v>0.19904905566000003</v>
      </c>
    </row>
    <row r="259" spans="1:32" x14ac:dyDescent="0.25">
      <c r="A259" s="56">
        <v>2440972</v>
      </c>
      <c r="B259" s="56" t="s">
        <v>1747</v>
      </c>
      <c r="C259" s="56" t="s">
        <v>3213</v>
      </c>
      <c r="D259" s="57">
        <v>549.84199999999998</v>
      </c>
      <c r="E259" s="58">
        <v>695</v>
      </c>
      <c r="F259" s="57">
        <v>0.69499999999999995</v>
      </c>
      <c r="G259" s="56" t="s">
        <v>392</v>
      </c>
      <c r="H259" s="56" t="s">
        <v>2511</v>
      </c>
      <c r="I259" s="56" t="s">
        <v>345</v>
      </c>
      <c r="J259" s="56" t="s">
        <v>2621</v>
      </c>
      <c r="K259" s="57">
        <v>206.19499999999999</v>
      </c>
      <c r="L259" s="56" t="s">
        <v>3212</v>
      </c>
      <c r="M259" s="56" t="s">
        <v>2903</v>
      </c>
      <c r="N259" s="56" t="s">
        <v>39</v>
      </c>
      <c r="O259" s="58">
        <v>2</v>
      </c>
      <c r="P259" s="59" t="s">
        <v>2515</v>
      </c>
      <c r="Q259" s="56" t="s">
        <v>2516</v>
      </c>
      <c r="U259" s="52">
        <v>3675612</v>
      </c>
      <c r="V259">
        <v>19.05</v>
      </c>
      <c r="W259">
        <v>0</v>
      </c>
      <c r="X259">
        <v>1.2</v>
      </c>
      <c r="Y259">
        <v>0.39200000000000002</v>
      </c>
      <c r="Z259" t="s">
        <v>3100</v>
      </c>
      <c r="AA259" t="s">
        <v>963</v>
      </c>
      <c r="AB259" t="s">
        <v>2520</v>
      </c>
      <c r="AC259" t="s">
        <v>3101</v>
      </c>
      <c r="AD259" t="s">
        <v>2171</v>
      </c>
      <c r="AE259" t="s">
        <v>3127</v>
      </c>
      <c r="AF259">
        <v>0.20696877936000002</v>
      </c>
    </row>
    <row r="260" spans="1:32" x14ac:dyDescent="0.25">
      <c r="A260" s="56">
        <v>3171772</v>
      </c>
      <c r="B260" s="56" t="s">
        <v>2040</v>
      </c>
      <c r="C260" s="56" t="s">
        <v>3214</v>
      </c>
      <c r="D260" s="57">
        <v>40.914000000000001</v>
      </c>
      <c r="E260" s="57">
        <v>222.04</v>
      </c>
      <c r="F260" s="57">
        <v>0.22203999999999999</v>
      </c>
      <c r="G260" s="56" t="s">
        <v>392</v>
      </c>
      <c r="H260" s="56" t="s">
        <v>2511</v>
      </c>
      <c r="I260" s="56" t="s">
        <v>345</v>
      </c>
      <c r="J260" s="56" t="s">
        <v>3215</v>
      </c>
      <c r="K260" s="57">
        <v>245.48400000000001</v>
      </c>
      <c r="L260" s="56" t="s">
        <v>1914</v>
      </c>
      <c r="M260" s="56" t="s">
        <v>1123</v>
      </c>
      <c r="N260" s="56" t="s">
        <v>78</v>
      </c>
      <c r="O260" s="58">
        <v>49</v>
      </c>
      <c r="P260" s="59" t="s">
        <v>2532</v>
      </c>
      <c r="Q260" s="56" t="s">
        <v>11</v>
      </c>
      <c r="U260">
        <v>3929662</v>
      </c>
      <c r="V260">
        <v>19.05</v>
      </c>
      <c r="W260">
        <v>0</v>
      </c>
      <c r="X260">
        <v>1.2</v>
      </c>
      <c r="Y260">
        <v>0.40300000000000002</v>
      </c>
      <c r="Z260" t="s">
        <v>1881</v>
      </c>
      <c r="AA260" t="s">
        <v>963</v>
      </c>
      <c r="AB260" t="s">
        <v>2520</v>
      </c>
      <c r="AC260" t="s">
        <v>471</v>
      </c>
      <c r="AD260" t="s">
        <v>2171</v>
      </c>
      <c r="AE260" t="s">
        <v>3216</v>
      </c>
      <c r="AF260">
        <v>0.21277657674000003</v>
      </c>
    </row>
    <row r="261" spans="1:32" x14ac:dyDescent="0.25">
      <c r="A261" s="56">
        <v>3171772</v>
      </c>
      <c r="B261" s="56" t="s">
        <v>2040</v>
      </c>
      <c r="C261" s="56" t="s">
        <v>3217</v>
      </c>
      <c r="D261" s="57">
        <v>350.101</v>
      </c>
      <c r="E261" s="58">
        <v>1900</v>
      </c>
      <c r="F261" s="57">
        <v>1.9</v>
      </c>
      <c r="G261" s="56" t="s">
        <v>392</v>
      </c>
      <c r="H261" s="56" t="s">
        <v>2511</v>
      </c>
      <c r="I261" s="56" t="s">
        <v>345</v>
      </c>
      <c r="J261" s="56" t="s">
        <v>3218</v>
      </c>
      <c r="K261" s="57">
        <v>2100.6080000000002</v>
      </c>
      <c r="L261" s="56" t="s">
        <v>3219</v>
      </c>
      <c r="M261" s="56" t="s">
        <v>2548</v>
      </c>
      <c r="N261" s="56" t="s">
        <v>37</v>
      </c>
      <c r="O261" s="58">
        <v>10</v>
      </c>
      <c r="P261" s="59" t="s">
        <v>2515</v>
      </c>
      <c r="Q261" s="56" t="s">
        <v>11</v>
      </c>
      <c r="U261" s="52">
        <v>2409616</v>
      </c>
      <c r="V261">
        <v>19.05</v>
      </c>
      <c r="W261">
        <v>0</v>
      </c>
      <c r="X261">
        <v>1.2</v>
      </c>
      <c r="Y261">
        <v>0.51300000000000001</v>
      </c>
      <c r="Z261" t="s">
        <v>1881</v>
      </c>
      <c r="AA261" t="s">
        <v>963</v>
      </c>
      <c r="AB261" t="s">
        <v>2520</v>
      </c>
      <c r="AC261" t="s">
        <v>471</v>
      </c>
      <c r="AD261" t="s">
        <v>2171</v>
      </c>
      <c r="AE261" t="s">
        <v>2271</v>
      </c>
      <c r="AF261">
        <v>0.27085455054000002</v>
      </c>
    </row>
    <row r="262" spans="1:32" x14ac:dyDescent="0.25">
      <c r="A262" s="56">
        <v>3191747</v>
      </c>
      <c r="B262" s="56" t="s">
        <v>1959</v>
      </c>
      <c r="C262" s="56" t="s">
        <v>3220</v>
      </c>
      <c r="D262" s="57">
        <v>318.851</v>
      </c>
      <c r="E262" s="57">
        <v>427.26</v>
      </c>
      <c r="F262" s="57">
        <v>0.42725999999999997</v>
      </c>
      <c r="G262" s="56" t="s">
        <v>392</v>
      </c>
      <c r="H262" s="56" t="s">
        <v>2511</v>
      </c>
      <c r="I262" s="56" t="s">
        <v>345</v>
      </c>
      <c r="J262" s="56" t="s">
        <v>3221</v>
      </c>
      <c r="K262" s="57">
        <v>296.54399999999998</v>
      </c>
      <c r="L262" s="56" t="s">
        <v>3222</v>
      </c>
      <c r="M262" s="56" t="s">
        <v>2609</v>
      </c>
      <c r="N262" s="56" t="s">
        <v>39</v>
      </c>
      <c r="O262" s="58">
        <v>185</v>
      </c>
      <c r="P262" s="59" t="s">
        <v>2524</v>
      </c>
      <c r="Q262" s="56" t="s">
        <v>2516</v>
      </c>
      <c r="U262" s="52">
        <v>3506438</v>
      </c>
      <c r="V262">
        <v>19.05</v>
      </c>
      <c r="W262">
        <v>0</v>
      </c>
      <c r="X262">
        <v>1.2</v>
      </c>
      <c r="Y262">
        <v>0.63100000000000001</v>
      </c>
      <c r="Z262" t="s">
        <v>1914</v>
      </c>
      <c r="AA262" t="s">
        <v>963</v>
      </c>
      <c r="AB262" t="s">
        <v>2520</v>
      </c>
      <c r="AC262" t="s">
        <v>471</v>
      </c>
      <c r="AD262" t="s">
        <v>2171</v>
      </c>
      <c r="AE262" t="s">
        <v>2272</v>
      </c>
      <c r="AF262">
        <v>0.33315637698000006</v>
      </c>
    </row>
    <row r="263" spans="1:32" x14ac:dyDescent="0.25">
      <c r="A263" s="56">
        <v>3216121</v>
      </c>
      <c r="B263" s="56" t="s">
        <v>3223</v>
      </c>
      <c r="C263" s="56" t="s">
        <v>3224</v>
      </c>
      <c r="D263" s="57">
        <v>922.33299999999997</v>
      </c>
      <c r="E263" s="57">
        <v>243.49600000000001</v>
      </c>
      <c r="F263" s="57">
        <v>0.24349600000000002</v>
      </c>
      <c r="G263" s="56" t="s">
        <v>392</v>
      </c>
      <c r="H263" s="56" t="s">
        <v>2511</v>
      </c>
      <c r="I263" s="56" t="s">
        <v>345</v>
      </c>
      <c r="J263" s="56" t="s">
        <v>1914</v>
      </c>
      <c r="K263" s="57">
        <v>210.892</v>
      </c>
      <c r="L263" s="56" t="s">
        <v>1914</v>
      </c>
      <c r="M263" s="56" t="s">
        <v>1123</v>
      </c>
      <c r="N263" s="56" t="s">
        <v>76</v>
      </c>
      <c r="O263" s="58">
        <v>262</v>
      </c>
      <c r="P263" s="59" t="s">
        <v>2524</v>
      </c>
      <c r="Q263" s="56" t="s">
        <v>2561</v>
      </c>
      <c r="U263" s="52">
        <v>1940188</v>
      </c>
      <c r="V263">
        <v>19.05</v>
      </c>
      <c r="W263">
        <v>0</v>
      </c>
      <c r="X263">
        <v>1.2</v>
      </c>
      <c r="Y263">
        <v>0.63100000000000001</v>
      </c>
      <c r="Z263" t="s">
        <v>1881</v>
      </c>
      <c r="AA263" t="s">
        <v>963</v>
      </c>
      <c r="AB263" t="s">
        <v>2520</v>
      </c>
      <c r="AC263" t="s">
        <v>471</v>
      </c>
      <c r="AD263" t="s">
        <v>2171</v>
      </c>
      <c r="AE263" t="s">
        <v>2272</v>
      </c>
      <c r="AF263">
        <v>0.33315637698000006</v>
      </c>
    </row>
    <row r="264" spans="1:32" x14ac:dyDescent="0.25">
      <c r="A264" s="56">
        <v>3219710</v>
      </c>
      <c r="B264" s="56" t="s">
        <v>1434</v>
      </c>
      <c r="C264" s="56" t="s">
        <v>3225</v>
      </c>
      <c r="D264" s="57">
        <v>399.78699999999998</v>
      </c>
      <c r="E264" s="58">
        <v>1875</v>
      </c>
      <c r="F264" s="57">
        <v>1.875</v>
      </c>
      <c r="G264" s="56" t="s">
        <v>392</v>
      </c>
      <c r="H264" s="56" t="s">
        <v>2511</v>
      </c>
      <c r="I264" s="56" t="s">
        <v>345</v>
      </c>
      <c r="J264" s="56" t="s">
        <v>3226</v>
      </c>
      <c r="K264" s="57">
        <v>2398.9250000000002</v>
      </c>
      <c r="L264" s="56" t="s">
        <v>3227</v>
      </c>
      <c r="M264" s="56" t="s">
        <v>2537</v>
      </c>
      <c r="N264" s="56" t="s">
        <v>37</v>
      </c>
      <c r="O264" s="58">
        <v>10</v>
      </c>
      <c r="P264" s="59" t="s">
        <v>2515</v>
      </c>
      <c r="Q264" s="56" t="s">
        <v>11</v>
      </c>
      <c r="U264" s="52">
        <v>3675616</v>
      </c>
      <c r="V264">
        <v>19.05</v>
      </c>
      <c r="W264">
        <v>0</v>
      </c>
      <c r="X264">
        <v>1.2</v>
      </c>
      <c r="Y264">
        <v>0.63300000000000001</v>
      </c>
      <c r="Z264" t="s">
        <v>3100</v>
      </c>
      <c r="AA264" t="s">
        <v>963</v>
      </c>
      <c r="AB264" t="s">
        <v>2520</v>
      </c>
      <c r="AC264" t="s">
        <v>3101</v>
      </c>
      <c r="AD264" t="s">
        <v>2171</v>
      </c>
      <c r="AE264" t="s">
        <v>3228</v>
      </c>
      <c r="AF264">
        <v>0.33421234014000006</v>
      </c>
    </row>
    <row r="265" spans="1:32" x14ac:dyDescent="0.25">
      <c r="A265" s="56">
        <v>3219710</v>
      </c>
      <c r="B265" s="56" t="s">
        <v>1434</v>
      </c>
      <c r="C265" s="56" t="s">
        <v>3229</v>
      </c>
      <c r="D265" s="57">
        <v>474.84</v>
      </c>
      <c r="E265" s="58">
        <v>2227</v>
      </c>
      <c r="F265" s="57">
        <v>2.2269999999999999</v>
      </c>
      <c r="G265" s="56" t="s">
        <v>392</v>
      </c>
      <c r="H265" s="56" t="s">
        <v>2511</v>
      </c>
      <c r="I265" s="56" t="s">
        <v>345</v>
      </c>
      <c r="J265" s="56" t="s">
        <v>3230</v>
      </c>
      <c r="K265" s="57">
        <v>2849.2840000000001</v>
      </c>
      <c r="L265" s="56" t="s">
        <v>3227</v>
      </c>
      <c r="M265" s="56" t="s">
        <v>2537</v>
      </c>
      <c r="N265" s="56" t="s">
        <v>37</v>
      </c>
      <c r="O265" s="58">
        <v>49</v>
      </c>
      <c r="P265" s="59" t="s">
        <v>2532</v>
      </c>
      <c r="Q265" s="56" t="s">
        <v>11</v>
      </c>
      <c r="U265" s="52">
        <v>1937022</v>
      </c>
      <c r="V265">
        <v>19.05</v>
      </c>
      <c r="W265">
        <v>0</v>
      </c>
      <c r="X265">
        <v>1.2</v>
      </c>
      <c r="Y265">
        <v>0.65</v>
      </c>
      <c r="Z265" t="s">
        <v>1883</v>
      </c>
      <c r="AA265" t="s">
        <v>963</v>
      </c>
      <c r="AB265" t="s">
        <v>2520</v>
      </c>
      <c r="AC265" t="s">
        <v>471</v>
      </c>
      <c r="AD265" t="s">
        <v>2171</v>
      </c>
      <c r="AE265" t="s">
        <v>2273</v>
      </c>
      <c r="AF265">
        <v>0.34318802700000006</v>
      </c>
    </row>
    <row r="266" spans="1:32" x14ac:dyDescent="0.25">
      <c r="A266" s="56">
        <v>3230465</v>
      </c>
      <c r="B266" s="56" t="s">
        <v>1670</v>
      </c>
      <c r="C266" s="56" t="s">
        <v>3231</v>
      </c>
      <c r="D266" s="57">
        <v>508.85599999999999</v>
      </c>
      <c r="E266" s="57">
        <v>622.84</v>
      </c>
      <c r="F266" s="57">
        <v>0.62284000000000006</v>
      </c>
      <c r="G266" s="56" t="s">
        <v>392</v>
      </c>
      <c r="H266" s="56" t="s">
        <v>2511</v>
      </c>
      <c r="I266" s="56" t="s">
        <v>345</v>
      </c>
      <c r="J266" s="56" t="s">
        <v>3111</v>
      </c>
      <c r="K266" s="57">
        <v>570.15700000000004</v>
      </c>
      <c r="L266" s="56" t="s">
        <v>3232</v>
      </c>
      <c r="M266" s="56" t="s">
        <v>2877</v>
      </c>
      <c r="N266" s="56" t="s">
        <v>60</v>
      </c>
      <c r="O266" s="58">
        <v>44</v>
      </c>
      <c r="P266" s="59" t="s">
        <v>2532</v>
      </c>
      <c r="Q266" s="56" t="s">
        <v>192</v>
      </c>
      <c r="U266" s="52">
        <v>3781600</v>
      </c>
      <c r="V266">
        <v>19.05</v>
      </c>
      <c r="W266">
        <v>0</v>
      </c>
      <c r="X266">
        <v>1.2</v>
      </c>
      <c r="Y266">
        <v>0.68</v>
      </c>
      <c r="Z266" t="s">
        <v>2821</v>
      </c>
      <c r="AA266" t="s">
        <v>963</v>
      </c>
      <c r="AB266" t="s">
        <v>2520</v>
      </c>
      <c r="AC266" t="s">
        <v>471</v>
      </c>
      <c r="AD266" t="s">
        <v>2171</v>
      </c>
      <c r="AE266" t="s">
        <v>2274</v>
      </c>
      <c r="AF266">
        <v>0.35902747440000005</v>
      </c>
    </row>
    <row r="267" spans="1:32" x14ac:dyDescent="0.25">
      <c r="A267" s="56">
        <v>3230470</v>
      </c>
      <c r="B267" s="56" t="s">
        <v>1671</v>
      </c>
      <c r="C267" s="56" t="s">
        <v>3233</v>
      </c>
      <c r="D267" s="57">
        <v>1113.0309999999999</v>
      </c>
      <c r="E267" s="57">
        <v>1515.9480000000001</v>
      </c>
      <c r="F267" s="57">
        <v>1.5159480000000001</v>
      </c>
      <c r="G267" s="56" t="s">
        <v>392</v>
      </c>
      <c r="H267" s="56" t="s">
        <v>2511</v>
      </c>
      <c r="I267" s="56" t="s">
        <v>345</v>
      </c>
      <c r="J267" s="56" t="s">
        <v>3094</v>
      </c>
      <c r="K267" s="57">
        <v>1387.722</v>
      </c>
      <c r="L267" s="56" t="s">
        <v>3234</v>
      </c>
      <c r="M267" s="56" t="s">
        <v>2744</v>
      </c>
      <c r="N267" s="56" t="s">
        <v>60</v>
      </c>
      <c r="O267" s="58">
        <v>89</v>
      </c>
      <c r="P267" s="59" t="s">
        <v>2579</v>
      </c>
      <c r="Q267" s="56" t="s">
        <v>192</v>
      </c>
      <c r="U267" s="52">
        <v>1940189</v>
      </c>
      <c r="V267">
        <v>19.05</v>
      </c>
      <c r="W267">
        <v>0</v>
      </c>
      <c r="X267">
        <v>1.2</v>
      </c>
      <c r="Y267">
        <v>0.68</v>
      </c>
      <c r="Z267" t="s">
        <v>1881</v>
      </c>
      <c r="AA267" t="s">
        <v>963</v>
      </c>
      <c r="AB267" t="s">
        <v>2520</v>
      </c>
      <c r="AC267" t="s">
        <v>471</v>
      </c>
      <c r="AD267" t="s">
        <v>2171</v>
      </c>
      <c r="AE267" t="s">
        <v>2274</v>
      </c>
      <c r="AF267">
        <v>0.35902747440000005</v>
      </c>
    </row>
    <row r="268" spans="1:32" x14ac:dyDescent="0.25">
      <c r="A268" s="56">
        <v>3230470</v>
      </c>
      <c r="B268" s="56" t="s">
        <v>1671</v>
      </c>
      <c r="C268" s="56" t="s">
        <v>3235</v>
      </c>
      <c r="D268" s="57">
        <v>898.678</v>
      </c>
      <c r="E268" s="58">
        <v>1224</v>
      </c>
      <c r="F268" s="57">
        <v>1.224</v>
      </c>
      <c r="G268" s="56" t="s">
        <v>392</v>
      </c>
      <c r="H268" s="56" t="s">
        <v>2511</v>
      </c>
      <c r="I268" s="56" t="s">
        <v>345</v>
      </c>
      <c r="J268" s="56" t="s">
        <v>2754</v>
      </c>
      <c r="K268" s="57">
        <v>1120.4690000000001</v>
      </c>
      <c r="L268" s="56" t="s">
        <v>3234</v>
      </c>
      <c r="M268" s="56" t="s">
        <v>2744</v>
      </c>
      <c r="N268" s="56" t="s">
        <v>60</v>
      </c>
      <c r="O268" s="58">
        <v>79</v>
      </c>
      <c r="P268" s="59" t="s">
        <v>2579</v>
      </c>
      <c r="Q268" s="56" t="s">
        <v>192</v>
      </c>
      <c r="U268" s="52">
        <v>296369</v>
      </c>
      <c r="V268">
        <v>19.05</v>
      </c>
      <c r="W268">
        <v>0</v>
      </c>
      <c r="X268">
        <v>1.2</v>
      </c>
      <c r="Y268">
        <v>0.68</v>
      </c>
      <c r="Z268" t="s">
        <v>2821</v>
      </c>
      <c r="AA268" t="s">
        <v>963</v>
      </c>
      <c r="AB268" t="s">
        <v>2520</v>
      </c>
      <c r="AC268" t="s">
        <v>471</v>
      </c>
      <c r="AD268" t="s">
        <v>2171</v>
      </c>
      <c r="AE268" t="s">
        <v>2274</v>
      </c>
      <c r="AF268">
        <v>0.35902747440000005</v>
      </c>
    </row>
    <row r="269" spans="1:32" x14ac:dyDescent="0.25">
      <c r="A269" s="56">
        <v>3230470</v>
      </c>
      <c r="B269" s="56" t="s">
        <v>1671</v>
      </c>
      <c r="C269" s="56" t="s">
        <v>3236</v>
      </c>
      <c r="D269" s="57">
        <v>899.41300000000001</v>
      </c>
      <c r="E269" s="58">
        <v>1225</v>
      </c>
      <c r="F269" s="57">
        <v>1.2250000000000001</v>
      </c>
      <c r="G269" s="56" t="s">
        <v>392</v>
      </c>
      <c r="H269" s="56" t="s">
        <v>2511</v>
      </c>
      <c r="I269" s="56" t="s">
        <v>345</v>
      </c>
      <c r="J269" s="56" t="s">
        <v>3048</v>
      </c>
      <c r="K269" s="57">
        <v>1121.384</v>
      </c>
      <c r="L269" s="56" t="s">
        <v>3234</v>
      </c>
      <c r="M269" s="56" t="s">
        <v>2744</v>
      </c>
      <c r="N269" s="56" t="s">
        <v>60</v>
      </c>
      <c r="O269" s="58">
        <v>27</v>
      </c>
      <c r="P269" s="59" t="s">
        <v>2515</v>
      </c>
      <c r="Q269" s="56" t="s">
        <v>192</v>
      </c>
      <c r="U269" s="507">
        <v>3929540</v>
      </c>
      <c r="V269">
        <v>19.05</v>
      </c>
      <c r="W269">
        <v>0</v>
      </c>
      <c r="X269">
        <v>1.2</v>
      </c>
      <c r="Y269">
        <v>0.68200000000000005</v>
      </c>
      <c r="Z269" t="s">
        <v>229</v>
      </c>
      <c r="AA269" t="s">
        <v>963</v>
      </c>
      <c r="AB269" t="s">
        <v>2520</v>
      </c>
      <c r="AC269" t="s">
        <v>626</v>
      </c>
      <c r="AD269" t="s">
        <v>2171</v>
      </c>
      <c r="AE269" t="s">
        <v>628</v>
      </c>
      <c r="AF269">
        <v>0.36008343756000005</v>
      </c>
    </row>
    <row r="270" spans="1:32" x14ac:dyDescent="0.25">
      <c r="A270" s="56">
        <v>3230483</v>
      </c>
      <c r="B270" s="56" t="s">
        <v>1543</v>
      </c>
      <c r="C270" s="56" t="s">
        <v>3237</v>
      </c>
      <c r="D270" s="57">
        <v>1785.3140000000001</v>
      </c>
      <c r="E270" s="57">
        <v>533.80899999999997</v>
      </c>
      <c r="F270" s="57">
        <v>0.53380899999999998</v>
      </c>
      <c r="G270" s="56" t="s">
        <v>392</v>
      </c>
      <c r="H270" s="56" t="s">
        <v>2511</v>
      </c>
      <c r="I270" s="56" t="s">
        <v>345</v>
      </c>
      <c r="J270" s="56" t="s">
        <v>3238</v>
      </c>
      <c r="K270" s="57">
        <v>590.16999999999996</v>
      </c>
      <c r="L270" s="56" t="s">
        <v>3239</v>
      </c>
      <c r="M270" s="56" t="s">
        <v>2584</v>
      </c>
      <c r="N270" s="56" t="s">
        <v>30</v>
      </c>
      <c r="O270" s="58">
        <v>35</v>
      </c>
      <c r="P270" s="59" t="s">
        <v>2532</v>
      </c>
      <c r="Q270" s="56" t="s">
        <v>11</v>
      </c>
      <c r="U270" s="52">
        <v>3675617</v>
      </c>
      <c r="V270">
        <v>19.05</v>
      </c>
      <c r="W270">
        <v>0</v>
      </c>
      <c r="X270">
        <v>1.2</v>
      </c>
      <c r="Y270">
        <v>0.7</v>
      </c>
      <c r="Z270" t="s">
        <v>3100</v>
      </c>
      <c r="AA270" t="s">
        <v>963</v>
      </c>
      <c r="AB270" t="s">
        <v>2520</v>
      </c>
      <c r="AC270" t="s">
        <v>3101</v>
      </c>
      <c r="AD270" t="s">
        <v>2171</v>
      </c>
      <c r="AE270" t="s">
        <v>3240</v>
      </c>
      <c r="AF270">
        <v>0.369587106</v>
      </c>
    </row>
    <row r="271" spans="1:32" x14ac:dyDescent="0.25">
      <c r="A271" s="56">
        <v>3230485</v>
      </c>
      <c r="B271" s="56" t="s">
        <v>616</v>
      </c>
      <c r="C271" s="56" t="s">
        <v>3241</v>
      </c>
      <c r="D271" s="57">
        <v>1997.8489999999999</v>
      </c>
      <c r="E271" s="58">
        <v>929</v>
      </c>
      <c r="F271" s="57">
        <v>0.92900000000000005</v>
      </c>
      <c r="G271" s="56" t="s">
        <v>392</v>
      </c>
      <c r="H271" s="56" t="s">
        <v>2511</v>
      </c>
      <c r="I271" s="56" t="s">
        <v>345</v>
      </c>
      <c r="J271" s="56" t="s">
        <v>2777</v>
      </c>
      <c r="K271" s="57">
        <v>1679.32</v>
      </c>
      <c r="L271" s="56" t="s">
        <v>3242</v>
      </c>
      <c r="M271" s="56" t="s">
        <v>2895</v>
      </c>
      <c r="N271" s="56" t="s">
        <v>60</v>
      </c>
      <c r="O271" s="58">
        <v>7</v>
      </c>
      <c r="P271" s="59" t="s">
        <v>2515</v>
      </c>
      <c r="Q271" s="56" t="s">
        <v>192</v>
      </c>
      <c r="U271" s="52">
        <v>3675618</v>
      </c>
      <c r="V271">
        <v>19.05</v>
      </c>
      <c r="W271">
        <v>0</v>
      </c>
      <c r="X271">
        <v>1.2</v>
      </c>
      <c r="Y271">
        <v>0.78700000000000003</v>
      </c>
      <c r="Z271" t="s">
        <v>3100</v>
      </c>
      <c r="AA271" t="s">
        <v>963</v>
      </c>
      <c r="AB271" t="s">
        <v>2520</v>
      </c>
      <c r="AC271" t="s">
        <v>3101</v>
      </c>
      <c r="AD271" t="s">
        <v>2171</v>
      </c>
      <c r="AE271" t="s">
        <v>3243</v>
      </c>
      <c r="AF271">
        <v>0.41552150346000005</v>
      </c>
    </row>
    <row r="272" spans="1:32" x14ac:dyDescent="0.25">
      <c r="A272" s="56">
        <v>3230486</v>
      </c>
      <c r="B272" s="56" t="s">
        <v>602</v>
      </c>
      <c r="C272" s="56" t="s">
        <v>3244</v>
      </c>
      <c r="D272" s="57">
        <v>4413</v>
      </c>
      <c r="E272" s="57">
        <v>366.279</v>
      </c>
      <c r="F272" s="57">
        <v>0.36627900000000002</v>
      </c>
      <c r="G272" s="56" t="s">
        <v>392</v>
      </c>
      <c r="H272" s="56" t="s">
        <v>2511</v>
      </c>
      <c r="I272" s="56" t="s">
        <v>345</v>
      </c>
      <c r="J272" s="56" t="s">
        <v>3245</v>
      </c>
      <c r="K272" s="57">
        <v>662.11</v>
      </c>
      <c r="L272" s="56" t="s">
        <v>3246</v>
      </c>
      <c r="M272" s="56" t="s">
        <v>2756</v>
      </c>
      <c r="N272" s="56" t="s">
        <v>60</v>
      </c>
      <c r="O272" s="58">
        <v>32</v>
      </c>
      <c r="P272" s="59" t="s">
        <v>2532</v>
      </c>
      <c r="Q272" s="56" t="s">
        <v>192</v>
      </c>
      <c r="U272" s="52">
        <v>3675619</v>
      </c>
      <c r="V272">
        <v>19.05</v>
      </c>
      <c r="W272">
        <v>0</v>
      </c>
      <c r="X272">
        <v>1.2</v>
      </c>
      <c r="Y272">
        <v>0.8</v>
      </c>
      <c r="Z272" t="s">
        <v>3100</v>
      </c>
      <c r="AA272" t="s">
        <v>963</v>
      </c>
      <c r="AB272" t="s">
        <v>2520</v>
      </c>
      <c r="AC272" t="s">
        <v>3101</v>
      </c>
      <c r="AD272" t="s">
        <v>2171</v>
      </c>
      <c r="AE272" t="s">
        <v>3247</v>
      </c>
      <c r="AF272">
        <v>0.42238526400000009</v>
      </c>
    </row>
    <row r="273" spans="1:32" x14ac:dyDescent="0.25">
      <c r="A273" s="56">
        <v>3230487</v>
      </c>
      <c r="B273" s="56" t="s">
        <v>498</v>
      </c>
      <c r="C273" s="56" t="s">
        <v>3248</v>
      </c>
      <c r="D273" s="57">
        <v>3977.4769999999999</v>
      </c>
      <c r="E273" s="58">
        <v>883</v>
      </c>
      <c r="F273" s="57">
        <v>0.88300000000000001</v>
      </c>
      <c r="G273" s="56" t="s">
        <v>392</v>
      </c>
      <c r="H273" s="56" t="s">
        <v>2511</v>
      </c>
      <c r="I273" s="56" t="s">
        <v>345</v>
      </c>
      <c r="J273" s="56" t="s">
        <v>3249</v>
      </c>
      <c r="K273" s="57">
        <v>1596.1679999999999</v>
      </c>
      <c r="L273" s="56" t="s">
        <v>3250</v>
      </c>
      <c r="M273" s="56" t="s">
        <v>2625</v>
      </c>
      <c r="N273" s="56" t="s">
        <v>30</v>
      </c>
      <c r="O273" s="58">
        <v>13</v>
      </c>
      <c r="P273" s="59" t="s">
        <v>2515</v>
      </c>
      <c r="Q273" s="56" t="s">
        <v>11</v>
      </c>
      <c r="U273" s="52">
        <v>3675620</v>
      </c>
      <c r="V273">
        <v>19.05</v>
      </c>
      <c r="W273">
        <v>0</v>
      </c>
      <c r="X273">
        <v>1.2</v>
      </c>
      <c r="Y273">
        <v>0.93</v>
      </c>
      <c r="Z273" t="s">
        <v>3100</v>
      </c>
      <c r="AA273" t="s">
        <v>963</v>
      </c>
      <c r="AB273" t="s">
        <v>2520</v>
      </c>
      <c r="AC273" t="s">
        <v>3101</v>
      </c>
      <c r="AD273" t="s">
        <v>2171</v>
      </c>
      <c r="AE273" t="s">
        <v>3251</v>
      </c>
      <c r="AF273">
        <v>0.49102286940000006</v>
      </c>
    </row>
    <row r="274" spans="1:32" x14ac:dyDescent="0.25">
      <c r="A274" s="56">
        <v>3230488</v>
      </c>
      <c r="B274" s="56" t="s">
        <v>496</v>
      </c>
      <c r="C274" s="56" t="s">
        <v>3252</v>
      </c>
      <c r="D274" s="57">
        <v>2657</v>
      </c>
      <c r="E274" s="57">
        <v>690.82</v>
      </c>
      <c r="F274" s="57">
        <v>0.6908200000000001</v>
      </c>
      <c r="G274" s="56" t="s">
        <v>392</v>
      </c>
      <c r="H274" s="56" t="s">
        <v>2511</v>
      </c>
      <c r="I274" s="56" t="s">
        <v>345</v>
      </c>
      <c r="J274" s="56" t="s">
        <v>1914</v>
      </c>
      <c r="K274" s="57">
        <v>1248.771</v>
      </c>
      <c r="L274" s="56" t="s">
        <v>3253</v>
      </c>
      <c r="M274" s="56" t="s">
        <v>2919</v>
      </c>
      <c r="N274" s="56" t="s">
        <v>30</v>
      </c>
      <c r="O274" s="58">
        <v>25</v>
      </c>
      <c r="P274" s="59" t="s">
        <v>2515</v>
      </c>
      <c r="Q274" s="56" t="s">
        <v>11</v>
      </c>
      <c r="U274" s="52">
        <v>3675641</v>
      </c>
      <c r="V274">
        <v>19.05</v>
      </c>
      <c r="W274">
        <v>0</v>
      </c>
      <c r="X274">
        <v>1.2</v>
      </c>
      <c r="Y274">
        <v>1.0049999999999999</v>
      </c>
      <c r="Z274" t="s">
        <v>3100</v>
      </c>
      <c r="AA274" t="s">
        <v>963</v>
      </c>
      <c r="AB274" t="s">
        <v>2520</v>
      </c>
      <c r="AC274" t="s">
        <v>3101</v>
      </c>
      <c r="AD274" t="s">
        <v>2171</v>
      </c>
      <c r="AE274" t="s">
        <v>3254</v>
      </c>
      <c r="AF274">
        <v>0.53062148789999997</v>
      </c>
    </row>
    <row r="275" spans="1:32" x14ac:dyDescent="0.25">
      <c r="A275" s="56">
        <v>3230490</v>
      </c>
      <c r="B275" s="56" t="s">
        <v>515</v>
      </c>
      <c r="C275" s="56" t="s">
        <v>3255</v>
      </c>
      <c r="D275" s="57">
        <v>2839.817</v>
      </c>
      <c r="E275" s="57">
        <v>559.44399999999996</v>
      </c>
      <c r="F275" s="57">
        <v>0.55944399999999994</v>
      </c>
      <c r="G275" s="56" t="s">
        <v>392</v>
      </c>
      <c r="H275" s="56" t="s">
        <v>2511</v>
      </c>
      <c r="I275" s="56" t="s">
        <v>345</v>
      </c>
      <c r="J275" s="56" t="s">
        <v>3256</v>
      </c>
      <c r="K275" s="57">
        <v>1011.287</v>
      </c>
      <c r="L275" s="56" t="s">
        <v>3257</v>
      </c>
      <c r="M275" s="56" t="s">
        <v>2768</v>
      </c>
      <c r="N275" s="56" t="s">
        <v>30</v>
      </c>
      <c r="O275" s="58">
        <v>19</v>
      </c>
      <c r="P275" s="59" t="s">
        <v>2515</v>
      </c>
      <c r="Q275" s="56" t="s">
        <v>11</v>
      </c>
      <c r="U275" s="52">
        <v>3675642</v>
      </c>
      <c r="V275">
        <v>19.05</v>
      </c>
      <c r="W275">
        <v>0</v>
      </c>
      <c r="X275">
        <v>1.2</v>
      </c>
      <c r="Y275">
        <v>1.0109999999999999</v>
      </c>
      <c r="Z275" t="s">
        <v>3100</v>
      </c>
      <c r="AA275" t="s">
        <v>963</v>
      </c>
      <c r="AB275" t="s">
        <v>2520</v>
      </c>
      <c r="AC275" t="s">
        <v>3101</v>
      </c>
      <c r="AD275" t="s">
        <v>2171</v>
      </c>
      <c r="AE275" t="s">
        <v>3258</v>
      </c>
      <c r="AF275">
        <v>0.53378937737999999</v>
      </c>
    </row>
    <row r="276" spans="1:32" x14ac:dyDescent="0.25">
      <c r="A276" s="56">
        <v>3230491</v>
      </c>
      <c r="B276" s="56" t="s">
        <v>1270</v>
      </c>
      <c r="C276" s="56" t="s">
        <v>3259</v>
      </c>
      <c r="D276" s="57">
        <v>2739.0050000000001</v>
      </c>
      <c r="E276" s="57">
        <v>1035.3440000000001</v>
      </c>
      <c r="F276" s="57">
        <v>1.035344</v>
      </c>
      <c r="G276" s="56" t="s">
        <v>392</v>
      </c>
      <c r="H276" s="56" t="s">
        <v>2511</v>
      </c>
      <c r="I276" s="56" t="s">
        <v>345</v>
      </c>
      <c r="J276" s="56" t="s">
        <v>1914</v>
      </c>
      <c r="K276" s="57">
        <v>1871.5550000000001</v>
      </c>
      <c r="L276" s="56" t="s">
        <v>3260</v>
      </c>
      <c r="M276" s="56" t="s">
        <v>2625</v>
      </c>
      <c r="N276" s="56" t="s">
        <v>60</v>
      </c>
      <c r="O276" s="58">
        <v>25</v>
      </c>
      <c r="P276" s="59" t="s">
        <v>2515</v>
      </c>
      <c r="Q276" s="56" t="s">
        <v>192</v>
      </c>
      <c r="U276" s="52">
        <v>3675643</v>
      </c>
      <c r="V276">
        <v>19.05</v>
      </c>
      <c r="W276">
        <v>0</v>
      </c>
      <c r="X276">
        <v>1.2</v>
      </c>
      <c r="Y276">
        <v>1.04</v>
      </c>
      <c r="Z276" t="s">
        <v>3100</v>
      </c>
      <c r="AA276" t="s">
        <v>963</v>
      </c>
      <c r="AB276" t="s">
        <v>2520</v>
      </c>
      <c r="AC276" t="s">
        <v>3101</v>
      </c>
      <c r="AD276" t="s">
        <v>2171</v>
      </c>
      <c r="AE276" t="s">
        <v>3261</v>
      </c>
      <c r="AF276">
        <v>0.54910084320000008</v>
      </c>
    </row>
    <row r="277" spans="1:32" x14ac:dyDescent="0.25">
      <c r="A277" s="56">
        <v>3230492</v>
      </c>
      <c r="B277" s="56" t="s">
        <v>614</v>
      </c>
      <c r="C277" s="56" t="s">
        <v>3262</v>
      </c>
      <c r="D277" s="57">
        <v>1191.7149999999999</v>
      </c>
      <c r="E277" s="57">
        <v>580.36500000000001</v>
      </c>
      <c r="F277" s="57">
        <v>0.58036500000000002</v>
      </c>
      <c r="G277" s="56" t="s">
        <v>392</v>
      </c>
      <c r="H277" s="56" t="s">
        <v>2511</v>
      </c>
      <c r="I277" s="56" t="s">
        <v>345</v>
      </c>
      <c r="J277" s="56" t="s">
        <v>1914</v>
      </c>
      <c r="K277" s="57">
        <v>1049.105</v>
      </c>
      <c r="L277" s="56" t="s">
        <v>3263</v>
      </c>
      <c r="M277" s="56" t="s">
        <v>3091</v>
      </c>
      <c r="N277" s="56" t="s">
        <v>30</v>
      </c>
      <c r="O277" s="58">
        <v>25</v>
      </c>
      <c r="P277" s="59" t="s">
        <v>2515</v>
      </c>
      <c r="Q277" s="56" t="s">
        <v>11</v>
      </c>
      <c r="U277" s="52">
        <v>3675644</v>
      </c>
      <c r="V277">
        <v>19.05</v>
      </c>
      <c r="W277">
        <v>0</v>
      </c>
      <c r="X277">
        <v>1.2</v>
      </c>
      <c r="Y277">
        <v>1.05</v>
      </c>
      <c r="Z277" t="s">
        <v>3100</v>
      </c>
      <c r="AA277" t="s">
        <v>963</v>
      </c>
      <c r="AB277" t="s">
        <v>2520</v>
      </c>
      <c r="AC277" t="s">
        <v>3101</v>
      </c>
      <c r="AD277" t="s">
        <v>2171</v>
      </c>
      <c r="AE277" t="s">
        <v>3264</v>
      </c>
      <c r="AF277">
        <v>0.55438065900000011</v>
      </c>
    </row>
    <row r="278" spans="1:32" x14ac:dyDescent="0.25">
      <c r="A278" s="56">
        <v>3230494</v>
      </c>
      <c r="B278" s="56" t="s">
        <v>1290</v>
      </c>
      <c r="C278" s="56" t="s">
        <v>3265</v>
      </c>
      <c r="D278" s="57">
        <v>598.61099999999999</v>
      </c>
      <c r="E278" s="58">
        <v>431</v>
      </c>
      <c r="F278" s="57">
        <v>0.43099999999999999</v>
      </c>
      <c r="G278" s="56" t="s">
        <v>392</v>
      </c>
      <c r="H278" s="56" t="s">
        <v>2511</v>
      </c>
      <c r="I278" s="56" t="s">
        <v>345</v>
      </c>
      <c r="J278" s="56" t="s">
        <v>3266</v>
      </c>
      <c r="K278" s="57">
        <v>779.10299999999995</v>
      </c>
      <c r="L278" s="56" t="s">
        <v>3267</v>
      </c>
      <c r="M278" s="56" t="s">
        <v>2877</v>
      </c>
      <c r="N278" s="56" t="s">
        <v>30</v>
      </c>
      <c r="O278" s="58">
        <v>7</v>
      </c>
      <c r="P278" s="59" t="s">
        <v>2515</v>
      </c>
      <c r="Q278" s="56" t="s">
        <v>11</v>
      </c>
      <c r="U278" s="52">
        <v>3229740</v>
      </c>
      <c r="V278">
        <v>19.05</v>
      </c>
      <c r="W278">
        <v>0</v>
      </c>
      <c r="X278">
        <v>1.2</v>
      </c>
      <c r="Y278">
        <v>1.075</v>
      </c>
      <c r="Z278" t="s">
        <v>1881</v>
      </c>
      <c r="AA278" t="s">
        <v>963</v>
      </c>
      <c r="AB278" t="s">
        <v>2520</v>
      </c>
      <c r="AC278" t="s">
        <v>471</v>
      </c>
      <c r="AD278" t="s">
        <v>2171</v>
      </c>
      <c r="AE278" t="s">
        <v>473</v>
      </c>
      <c r="AF278">
        <v>0.56758019850000008</v>
      </c>
    </row>
    <row r="279" spans="1:32" x14ac:dyDescent="0.25">
      <c r="A279" s="56">
        <v>3230494</v>
      </c>
      <c r="B279" s="56" t="s">
        <v>1290</v>
      </c>
      <c r="C279" s="56" t="s">
        <v>3268</v>
      </c>
      <c r="D279" s="57">
        <v>494.22199999999998</v>
      </c>
      <c r="E279" s="57">
        <v>355.84</v>
      </c>
      <c r="F279" s="57">
        <v>0.35583999999999999</v>
      </c>
      <c r="G279" s="56" t="s">
        <v>392</v>
      </c>
      <c r="H279" s="56" t="s">
        <v>2511</v>
      </c>
      <c r="I279" s="56" t="s">
        <v>345</v>
      </c>
      <c r="J279" s="56" t="s">
        <v>1914</v>
      </c>
      <c r="K279" s="57">
        <v>643.23900000000003</v>
      </c>
      <c r="L279" s="56" t="s">
        <v>3269</v>
      </c>
      <c r="M279" s="56" t="s">
        <v>2877</v>
      </c>
      <c r="N279" s="56" t="s">
        <v>30</v>
      </c>
      <c r="O279" s="58">
        <v>25</v>
      </c>
      <c r="P279" s="59" t="s">
        <v>2515</v>
      </c>
      <c r="Q279" s="56" t="s">
        <v>11</v>
      </c>
      <c r="U279" s="52">
        <v>3675645</v>
      </c>
      <c r="V279">
        <v>19.05</v>
      </c>
      <c r="W279">
        <v>0</v>
      </c>
      <c r="X279">
        <v>1.2</v>
      </c>
      <c r="Y279">
        <v>1.083</v>
      </c>
      <c r="Z279" t="s">
        <v>3100</v>
      </c>
      <c r="AA279" t="s">
        <v>963</v>
      </c>
      <c r="AB279" t="s">
        <v>2520</v>
      </c>
      <c r="AC279" t="s">
        <v>3101</v>
      </c>
      <c r="AD279" t="s">
        <v>2171</v>
      </c>
      <c r="AE279" t="s">
        <v>3270</v>
      </c>
      <c r="AF279">
        <v>0.57180405113999999</v>
      </c>
    </row>
    <row r="280" spans="1:32" x14ac:dyDescent="0.25">
      <c r="A280" s="56">
        <v>3230495</v>
      </c>
      <c r="B280" s="56" t="s">
        <v>629</v>
      </c>
      <c r="C280" s="56" t="s">
        <v>3271</v>
      </c>
      <c r="D280" s="57">
        <v>404.09500000000003</v>
      </c>
      <c r="E280" s="57">
        <v>97.387</v>
      </c>
      <c r="F280" s="57">
        <v>9.7387000000000001E-2</v>
      </c>
      <c r="G280" s="56" t="s">
        <v>392</v>
      </c>
      <c r="H280" s="56" t="s">
        <v>2511</v>
      </c>
      <c r="I280" s="56" t="s">
        <v>345</v>
      </c>
      <c r="J280" s="56" t="s">
        <v>3272</v>
      </c>
      <c r="K280" s="57">
        <v>89.15</v>
      </c>
      <c r="L280" s="56" t="s">
        <v>3273</v>
      </c>
      <c r="M280" s="56" t="s">
        <v>2740</v>
      </c>
      <c r="N280" s="56" t="s">
        <v>30</v>
      </c>
      <c r="O280" s="58">
        <v>35</v>
      </c>
      <c r="P280" s="59" t="s">
        <v>2532</v>
      </c>
      <c r="Q280" s="56" t="s">
        <v>11</v>
      </c>
      <c r="U280" s="52">
        <v>3675646</v>
      </c>
      <c r="V280">
        <v>19.05</v>
      </c>
      <c r="W280">
        <v>0</v>
      </c>
      <c r="X280">
        <v>1.2</v>
      </c>
      <c r="Y280">
        <v>1.1000000000000001</v>
      </c>
      <c r="Z280" t="s">
        <v>3100</v>
      </c>
      <c r="AA280" t="s">
        <v>963</v>
      </c>
      <c r="AB280" t="s">
        <v>2520</v>
      </c>
      <c r="AC280" t="s">
        <v>3101</v>
      </c>
      <c r="AD280" t="s">
        <v>2171</v>
      </c>
      <c r="AE280" t="s">
        <v>3274</v>
      </c>
      <c r="AF280">
        <v>0.58077973800000016</v>
      </c>
    </row>
    <row r="281" spans="1:32" x14ac:dyDescent="0.25">
      <c r="A281" s="56">
        <v>3230495</v>
      </c>
      <c r="B281" s="56" t="s">
        <v>629</v>
      </c>
      <c r="C281" s="56" t="s">
        <v>3275</v>
      </c>
      <c r="D281" s="57">
        <v>4286.3069999999998</v>
      </c>
      <c r="E281" s="58">
        <v>1033</v>
      </c>
      <c r="F281" s="57">
        <v>1.0329999999999999</v>
      </c>
      <c r="G281" s="56" t="s">
        <v>392</v>
      </c>
      <c r="H281" s="56" t="s">
        <v>2511</v>
      </c>
      <c r="I281" s="56" t="s">
        <v>345</v>
      </c>
      <c r="J281" s="56" t="s">
        <v>3276</v>
      </c>
      <c r="K281" s="57">
        <v>945.62400000000002</v>
      </c>
      <c r="L281" s="56" t="s">
        <v>3277</v>
      </c>
      <c r="M281" s="56" t="s">
        <v>2584</v>
      </c>
      <c r="N281" s="56" t="s">
        <v>30</v>
      </c>
      <c r="O281" s="58">
        <v>7</v>
      </c>
      <c r="P281" s="59" t="s">
        <v>2515</v>
      </c>
      <c r="Q281" s="56" t="s">
        <v>11</v>
      </c>
      <c r="U281" s="52">
        <v>3675647</v>
      </c>
      <c r="V281">
        <v>19.05</v>
      </c>
      <c r="W281">
        <v>0</v>
      </c>
      <c r="X281">
        <v>1.2</v>
      </c>
      <c r="Y281">
        <v>1.1200000000000001</v>
      </c>
      <c r="Z281" t="s">
        <v>3100</v>
      </c>
      <c r="AA281" t="s">
        <v>963</v>
      </c>
      <c r="AB281" t="s">
        <v>2520</v>
      </c>
      <c r="AC281" t="s">
        <v>3101</v>
      </c>
      <c r="AD281" t="s">
        <v>2171</v>
      </c>
      <c r="AE281" t="s">
        <v>3278</v>
      </c>
      <c r="AF281">
        <v>0.59133936960000011</v>
      </c>
    </row>
    <row r="282" spans="1:32" x14ac:dyDescent="0.25">
      <c r="A282" s="56">
        <v>3233553</v>
      </c>
      <c r="B282" s="56" t="s">
        <v>1673</v>
      </c>
      <c r="C282" s="56" t="s">
        <v>3279</v>
      </c>
      <c r="D282" s="57">
        <v>1272.951</v>
      </c>
      <c r="E282" s="57">
        <v>1820.32</v>
      </c>
      <c r="F282" s="57">
        <v>1.8203199999999999</v>
      </c>
      <c r="G282" s="56" t="s">
        <v>392</v>
      </c>
      <c r="H282" s="56" t="s">
        <v>2511</v>
      </c>
      <c r="I282" s="56" t="s">
        <v>345</v>
      </c>
      <c r="J282" s="56" t="s">
        <v>2930</v>
      </c>
      <c r="K282" s="57">
        <v>1653.0329999999999</v>
      </c>
      <c r="L282" s="56" t="s">
        <v>3280</v>
      </c>
      <c r="M282" s="56" t="s">
        <v>2605</v>
      </c>
      <c r="N282" s="56" t="s">
        <v>30</v>
      </c>
      <c r="O282" s="58">
        <v>13</v>
      </c>
      <c r="P282" s="59" t="s">
        <v>2515</v>
      </c>
      <c r="Q282" s="56" t="s">
        <v>11</v>
      </c>
      <c r="U282" s="52">
        <v>3229739</v>
      </c>
      <c r="V282">
        <v>19.05</v>
      </c>
      <c r="W282">
        <v>0</v>
      </c>
      <c r="X282">
        <v>1.2</v>
      </c>
      <c r="Y282">
        <v>1.1299999999999999</v>
      </c>
      <c r="Z282" t="s">
        <v>1881</v>
      </c>
      <c r="AA282" t="s">
        <v>963</v>
      </c>
      <c r="AB282" t="s">
        <v>2520</v>
      </c>
      <c r="AC282" t="s">
        <v>471</v>
      </c>
      <c r="AD282" t="s">
        <v>2171</v>
      </c>
      <c r="AE282" t="s">
        <v>2275</v>
      </c>
      <c r="AF282">
        <v>0.59661918540000003</v>
      </c>
    </row>
    <row r="283" spans="1:32" x14ac:dyDescent="0.25">
      <c r="A283" s="56">
        <v>3233554</v>
      </c>
      <c r="B283" s="56" t="s">
        <v>480</v>
      </c>
      <c r="C283" s="56" t="s">
        <v>3281</v>
      </c>
      <c r="D283" s="57">
        <v>98</v>
      </c>
      <c r="E283" s="57">
        <v>134.554</v>
      </c>
      <c r="F283" s="57">
        <v>0.13455400000000001</v>
      </c>
      <c r="G283" s="56" t="s">
        <v>392</v>
      </c>
      <c r="H283" s="56" t="s">
        <v>2511</v>
      </c>
      <c r="I283" s="56" t="s">
        <v>345</v>
      </c>
      <c r="J283" s="56" t="s">
        <v>1914</v>
      </c>
      <c r="K283" s="57">
        <v>122.18899999999999</v>
      </c>
      <c r="L283" s="56" t="s">
        <v>3282</v>
      </c>
      <c r="M283" s="56" t="s">
        <v>2589</v>
      </c>
      <c r="N283" s="56" t="s">
        <v>30</v>
      </c>
      <c r="O283" s="58">
        <v>13</v>
      </c>
      <c r="P283" s="59" t="s">
        <v>2515</v>
      </c>
      <c r="Q283" s="56" t="s">
        <v>11</v>
      </c>
      <c r="U283" s="52">
        <v>3509884</v>
      </c>
      <c r="V283">
        <v>19.05</v>
      </c>
      <c r="W283">
        <v>0</v>
      </c>
      <c r="X283">
        <v>1.2</v>
      </c>
      <c r="Y283">
        <v>1.1299999999999999</v>
      </c>
      <c r="Z283" t="s">
        <v>1914</v>
      </c>
      <c r="AA283" t="s">
        <v>963</v>
      </c>
      <c r="AB283" t="s">
        <v>2520</v>
      </c>
      <c r="AC283" t="s">
        <v>471</v>
      </c>
      <c r="AD283" t="s">
        <v>2171</v>
      </c>
      <c r="AE283" t="s">
        <v>2275</v>
      </c>
      <c r="AF283">
        <v>0.59661918540000003</v>
      </c>
    </row>
    <row r="284" spans="1:32" x14ac:dyDescent="0.25">
      <c r="A284" s="56">
        <v>3233554</v>
      </c>
      <c r="B284" s="56" t="s">
        <v>480</v>
      </c>
      <c r="C284" s="56" t="s">
        <v>3283</v>
      </c>
      <c r="D284" s="57">
        <v>909.68700000000001</v>
      </c>
      <c r="E284" s="58">
        <v>1249</v>
      </c>
      <c r="F284" s="57">
        <v>1.2490000000000001</v>
      </c>
      <c r="G284" s="56" t="s">
        <v>392</v>
      </c>
      <c r="H284" s="56" t="s">
        <v>2511</v>
      </c>
      <c r="I284" s="56" t="s">
        <v>345</v>
      </c>
      <c r="J284" s="56" t="s">
        <v>3284</v>
      </c>
      <c r="K284" s="57">
        <v>1134.2170000000001</v>
      </c>
      <c r="L284" s="56" t="s">
        <v>3285</v>
      </c>
      <c r="M284" s="56" t="s">
        <v>2589</v>
      </c>
      <c r="N284" s="56" t="s">
        <v>30</v>
      </c>
      <c r="O284" s="58">
        <v>7</v>
      </c>
      <c r="P284" s="59" t="s">
        <v>2515</v>
      </c>
      <c r="Q284" s="56" t="s">
        <v>11</v>
      </c>
      <c r="U284" s="52">
        <v>4110464</v>
      </c>
      <c r="V284">
        <v>19.05</v>
      </c>
      <c r="W284">
        <v>0</v>
      </c>
      <c r="X284">
        <v>1.2</v>
      </c>
      <c r="Y284">
        <v>1.145</v>
      </c>
      <c r="Z284" t="s">
        <v>1891</v>
      </c>
      <c r="AA284" t="s">
        <v>963</v>
      </c>
      <c r="AB284" t="s">
        <v>2520</v>
      </c>
      <c r="AC284" t="s">
        <v>471</v>
      </c>
      <c r="AD284" t="s">
        <v>2171</v>
      </c>
      <c r="AF284">
        <v>0.60453890910000008</v>
      </c>
    </row>
    <row r="285" spans="1:32" x14ac:dyDescent="0.25">
      <c r="A285" s="56">
        <v>3233555</v>
      </c>
      <c r="B285" s="56" t="s">
        <v>482</v>
      </c>
      <c r="C285" s="56" t="s">
        <v>3286</v>
      </c>
      <c r="D285" s="57">
        <v>48.622</v>
      </c>
      <c r="E285" s="58">
        <v>60</v>
      </c>
      <c r="F285" s="57">
        <v>0.06</v>
      </c>
      <c r="G285" s="56" t="s">
        <v>392</v>
      </c>
      <c r="H285" s="56" t="s">
        <v>2511</v>
      </c>
      <c r="I285" s="56" t="s">
        <v>345</v>
      </c>
      <c r="J285" s="56" t="s">
        <v>3287</v>
      </c>
      <c r="K285" s="57">
        <v>54.485999999999997</v>
      </c>
      <c r="L285" s="56" t="s">
        <v>3288</v>
      </c>
      <c r="M285" s="56" t="s">
        <v>2548</v>
      </c>
      <c r="N285" s="56" t="s">
        <v>30</v>
      </c>
      <c r="O285" s="58">
        <v>13</v>
      </c>
      <c r="P285" s="59" t="s">
        <v>2515</v>
      </c>
      <c r="Q285" s="56" t="s">
        <v>11</v>
      </c>
      <c r="U285" s="52">
        <v>2409617</v>
      </c>
      <c r="V285">
        <v>19.05</v>
      </c>
      <c r="W285">
        <v>0</v>
      </c>
      <c r="X285">
        <v>1.2</v>
      </c>
      <c r="Y285">
        <v>1.2</v>
      </c>
      <c r="Z285" t="s">
        <v>1881</v>
      </c>
      <c r="AA285" t="s">
        <v>963</v>
      </c>
      <c r="AB285" t="s">
        <v>2520</v>
      </c>
      <c r="AC285" t="s">
        <v>471</v>
      </c>
      <c r="AD285" t="s">
        <v>2171</v>
      </c>
      <c r="AE285" t="s">
        <v>3289</v>
      </c>
      <c r="AF285">
        <v>0.63357789600000003</v>
      </c>
    </row>
    <row r="286" spans="1:32" x14ac:dyDescent="0.25">
      <c r="A286" s="56">
        <v>3233555</v>
      </c>
      <c r="B286" s="56" t="s">
        <v>482</v>
      </c>
      <c r="C286" s="56" t="s">
        <v>3290</v>
      </c>
      <c r="D286" s="57">
        <v>157.49799999999999</v>
      </c>
      <c r="E286" s="57">
        <v>194.352</v>
      </c>
      <c r="F286" s="57">
        <v>0.194352</v>
      </c>
      <c r="G286" s="56" t="s">
        <v>392</v>
      </c>
      <c r="H286" s="56" t="s">
        <v>2511</v>
      </c>
      <c r="I286" s="56" t="s">
        <v>345</v>
      </c>
      <c r="J286" s="56" t="s">
        <v>3291</v>
      </c>
      <c r="K286" s="57">
        <v>176.49100000000001</v>
      </c>
      <c r="L286" s="56" t="s">
        <v>3288</v>
      </c>
      <c r="M286" s="56" t="s">
        <v>2548</v>
      </c>
      <c r="N286" s="56" t="s">
        <v>30</v>
      </c>
      <c r="O286" s="58">
        <v>19</v>
      </c>
      <c r="P286" s="59" t="s">
        <v>2515</v>
      </c>
      <c r="Q286" s="56" t="s">
        <v>11</v>
      </c>
      <c r="U286" s="507">
        <v>3929692</v>
      </c>
      <c r="V286">
        <v>19.05</v>
      </c>
      <c r="W286">
        <v>0</v>
      </c>
      <c r="X286">
        <v>1.2</v>
      </c>
      <c r="Y286">
        <v>1.23</v>
      </c>
      <c r="Z286" t="s">
        <v>229</v>
      </c>
      <c r="AA286" t="s">
        <v>963</v>
      </c>
      <c r="AB286" t="s">
        <v>2520</v>
      </c>
      <c r="AC286" t="s">
        <v>532</v>
      </c>
      <c r="AD286" t="s">
        <v>2171</v>
      </c>
      <c r="AE286" t="s">
        <v>534</v>
      </c>
      <c r="AF286">
        <v>0.64941734340000001</v>
      </c>
    </row>
    <row r="287" spans="1:32" x14ac:dyDescent="0.25">
      <c r="A287" s="56">
        <v>3233555</v>
      </c>
      <c r="B287" s="56" t="s">
        <v>482</v>
      </c>
      <c r="C287" s="56" t="s">
        <v>3292</v>
      </c>
      <c r="D287" s="57">
        <v>2078.6060000000002</v>
      </c>
      <c r="E287" s="58">
        <v>2565</v>
      </c>
      <c r="F287" s="57">
        <v>2.5649999999999999</v>
      </c>
      <c r="G287" s="56" t="s">
        <v>392</v>
      </c>
      <c r="H287" s="56" t="s">
        <v>2511</v>
      </c>
      <c r="I287" s="56" t="s">
        <v>345</v>
      </c>
      <c r="J287" s="56" t="s">
        <v>3293</v>
      </c>
      <c r="K287" s="57">
        <v>2329.277</v>
      </c>
      <c r="L287" s="56" t="s">
        <v>3294</v>
      </c>
      <c r="M287" s="56" t="s">
        <v>2548</v>
      </c>
      <c r="N287" s="56" t="s">
        <v>30</v>
      </c>
      <c r="O287" s="58">
        <v>7</v>
      </c>
      <c r="P287" s="59" t="s">
        <v>2515</v>
      </c>
      <c r="Q287" s="56" t="s">
        <v>11</v>
      </c>
      <c r="U287" s="52">
        <v>3675648</v>
      </c>
      <c r="V287">
        <v>19.05</v>
      </c>
      <c r="W287">
        <v>0</v>
      </c>
      <c r="X287">
        <v>1.2</v>
      </c>
      <c r="Y287">
        <v>1.2350000000000001</v>
      </c>
      <c r="Z287" t="s">
        <v>3100</v>
      </c>
      <c r="AA287" t="s">
        <v>963</v>
      </c>
      <c r="AB287" t="s">
        <v>2520</v>
      </c>
      <c r="AC287" t="s">
        <v>3101</v>
      </c>
      <c r="AD287" t="s">
        <v>2171</v>
      </c>
      <c r="AE287" t="s">
        <v>3295</v>
      </c>
      <c r="AF287">
        <v>0.65205725130000014</v>
      </c>
    </row>
    <row r="288" spans="1:32" x14ac:dyDescent="0.25">
      <c r="A288" s="56">
        <v>3233556</v>
      </c>
      <c r="B288" s="56" t="s">
        <v>1672</v>
      </c>
      <c r="C288" s="56" t="s">
        <v>3296</v>
      </c>
      <c r="D288" s="57">
        <v>148.649</v>
      </c>
      <c r="E288" s="58">
        <v>154</v>
      </c>
      <c r="F288" s="57">
        <v>0.154</v>
      </c>
      <c r="G288" s="56" t="s">
        <v>392</v>
      </c>
      <c r="H288" s="56" t="s">
        <v>2511</v>
      </c>
      <c r="I288" s="56" t="s">
        <v>345</v>
      </c>
      <c r="J288" s="56" t="s">
        <v>3114</v>
      </c>
      <c r="K288" s="57">
        <v>139.84700000000001</v>
      </c>
      <c r="L288" s="56" t="s">
        <v>3297</v>
      </c>
      <c r="M288" s="56" t="s">
        <v>2609</v>
      </c>
      <c r="N288" s="56" t="s">
        <v>30</v>
      </c>
      <c r="O288" s="58">
        <v>13</v>
      </c>
      <c r="P288" s="59" t="s">
        <v>2515</v>
      </c>
      <c r="Q288" s="56" t="s">
        <v>11</v>
      </c>
      <c r="U288" s="52">
        <v>3409367</v>
      </c>
      <c r="V288">
        <v>19.05</v>
      </c>
      <c r="W288">
        <v>0</v>
      </c>
      <c r="X288">
        <v>1.2</v>
      </c>
      <c r="Y288">
        <v>1.2749999999999999</v>
      </c>
      <c r="Z288" t="s">
        <v>1881</v>
      </c>
      <c r="AA288" t="s">
        <v>963</v>
      </c>
      <c r="AB288" t="s">
        <v>2520</v>
      </c>
      <c r="AC288" t="s">
        <v>471</v>
      </c>
      <c r="AD288" t="s">
        <v>2171</v>
      </c>
      <c r="AE288" t="s">
        <v>668</v>
      </c>
      <c r="AF288">
        <v>0.67317651450000004</v>
      </c>
    </row>
    <row r="289" spans="1:32" x14ac:dyDescent="0.25">
      <c r="A289" s="56">
        <v>3233556</v>
      </c>
      <c r="B289" s="56" t="s">
        <v>1672</v>
      </c>
      <c r="C289" s="56" t="s">
        <v>3298</v>
      </c>
      <c r="D289" s="57">
        <v>2447.8760000000002</v>
      </c>
      <c r="E289" s="58">
        <v>2536</v>
      </c>
      <c r="F289" s="57">
        <v>2.536</v>
      </c>
      <c r="G289" s="56" t="s">
        <v>392</v>
      </c>
      <c r="H289" s="56" t="s">
        <v>2511</v>
      </c>
      <c r="I289" s="56" t="s">
        <v>345</v>
      </c>
      <c r="J289" s="56" t="s">
        <v>3016</v>
      </c>
      <c r="K289" s="57">
        <v>2302.942</v>
      </c>
      <c r="L289" s="56" t="s">
        <v>3299</v>
      </c>
      <c r="M289" s="56" t="s">
        <v>2609</v>
      </c>
      <c r="N289" s="56" t="s">
        <v>30</v>
      </c>
      <c r="O289" s="58">
        <v>7</v>
      </c>
      <c r="P289" s="59" t="s">
        <v>2515</v>
      </c>
      <c r="Q289" s="56" t="s">
        <v>11</v>
      </c>
      <c r="U289" s="52">
        <v>3675649</v>
      </c>
      <c r="V289">
        <v>19.05</v>
      </c>
      <c r="W289">
        <v>0</v>
      </c>
      <c r="X289">
        <v>1.2</v>
      </c>
      <c r="Y289">
        <v>1.2829999999999999</v>
      </c>
      <c r="Z289" t="s">
        <v>3100</v>
      </c>
      <c r="AA289" t="s">
        <v>963</v>
      </c>
      <c r="AB289" t="s">
        <v>2520</v>
      </c>
      <c r="AC289" t="s">
        <v>3101</v>
      </c>
      <c r="AD289" t="s">
        <v>2171</v>
      </c>
      <c r="AE289" t="s">
        <v>3300</v>
      </c>
      <c r="AF289">
        <v>0.67740036714000007</v>
      </c>
    </row>
    <row r="290" spans="1:32" x14ac:dyDescent="0.25">
      <c r="A290" s="56">
        <v>3233557</v>
      </c>
      <c r="B290" s="56" t="s">
        <v>610</v>
      </c>
      <c r="C290" s="56" t="s">
        <v>3301</v>
      </c>
      <c r="D290" s="57">
        <v>380.13600000000002</v>
      </c>
      <c r="E290" s="57">
        <v>334.9</v>
      </c>
      <c r="F290" s="57">
        <v>0.33489999999999998</v>
      </c>
      <c r="G290" s="56" t="s">
        <v>392</v>
      </c>
      <c r="H290" s="56" t="s">
        <v>2511</v>
      </c>
      <c r="I290" s="56" t="s">
        <v>345</v>
      </c>
      <c r="J290" s="56" t="s">
        <v>3302</v>
      </c>
      <c r="K290" s="57">
        <v>304.12299999999999</v>
      </c>
      <c r="L290" s="56" t="s">
        <v>3303</v>
      </c>
      <c r="M290" s="56" t="s">
        <v>2744</v>
      </c>
      <c r="N290" s="56" t="s">
        <v>30</v>
      </c>
      <c r="O290" s="58">
        <v>19</v>
      </c>
      <c r="P290" s="59" t="s">
        <v>2515</v>
      </c>
      <c r="Q290" s="56" t="s">
        <v>11</v>
      </c>
      <c r="U290" s="52">
        <v>3675650</v>
      </c>
      <c r="V290">
        <v>19.05</v>
      </c>
      <c r="W290">
        <v>0</v>
      </c>
      <c r="X290">
        <v>1.2</v>
      </c>
      <c r="Y290">
        <v>1.29</v>
      </c>
      <c r="Z290" t="s">
        <v>3100</v>
      </c>
      <c r="AA290" t="s">
        <v>963</v>
      </c>
      <c r="AB290" t="s">
        <v>2520</v>
      </c>
      <c r="AC290" t="s">
        <v>3101</v>
      </c>
      <c r="AD290" t="s">
        <v>2171</v>
      </c>
      <c r="AE290" t="s">
        <v>3304</v>
      </c>
      <c r="AF290">
        <v>0.68109623820000009</v>
      </c>
    </row>
    <row r="291" spans="1:32" x14ac:dyDescent="0.25">
      <c r="A291" s="56">
        <v>3233557</v>
      </c>
      <c r="B291" s="56" t="s">
        <v>610</v>
      </c>
      <c r="C291" s="56" t="s">
        <v>3305</v>
      </c>
      <c r="D291" s="57">
        <v>2900.114</v>
      </c>
      <c r="E291" s="58">
        <v>2555</v>
      </c>
      <c r="F291" s="57">
        <v>2.5550000000000002</v>
      </c>
      <c r="G291" s="56" t="s">
        <v>392</v>
      </c>
      <c r="H291" s="56" t="s">
        <v>2511</v>
      </c>
      <c r="I291" s="56" t="s">
        <v>345</v>
      </c>
      <c r="J291" s="56" t="s">
        <v>3306</v>
      </c>
      <c r="K291" s="57">
        <v>2320.1959999999999</v>
      </c>
      <c r="L291" s="56" t="s">
        <v>3307</v>
      </c>
      <c r="M291" s="56" t="s">
        <v>2744</v>
      </c>
      <c r="N291" s="56" t="s">
        <v>30</v>
      </c>
      <c r="O291" s="58">
        <v>7</v>
      </c>
      <c r="P291" s="59" t="s">
        <v>2515</v>
      </c>
      <c r="Q291" s="56" t="s">
        <v>11</v>
      </c>
      <c r="U291" s="538">
        <v>111116351</v>
      </c>
      <c r="V291">
        <v>19.05</v>
      </c>
      <c r="W291">
        <v>0</v>
      </c>
      <c r="X291">
        <v>1.2</v>
      </c>
      <c r="Y291">
        <v>5.45</v>
      </c>
      <c r="Z291" t="s">
        <v>1881</v>
      </c>
      <c r="AA291" t="s">
        <v>963</v>
      </c>
      <c r="AB291" t="s">
        <v>2520</v>
      </c>
      <c r="AC291" t="s">
        <v>471</v>
      </c>
      <c r="AD291" t="s">
        <v>1838</v>
      </c>
      <c r="AE291" t="s">
        <v>3308</v>
      </c>
      <c r="AF291">
        <v>0.52798158000000006</v>
      </c>
    </row>
    <row r="292" spans="1:32" x14ac:dyDescent="0.25">
      <c r="A292" s="56">
        <v>3233558</v>
      </c>
      <c r="B292" s="56" t="s">
        <v>3309</v>
      </c>
      <c r="C292" s="56" t="s">
        <v>3310</v>
      </c>
      <c r="D292" s="57">
        <v>522.92499999999995</v>
      </c>
      <c r="E292" s="57">
        <v>97.263999999999996</v>
      </c>
      <c r="F292" s="57">
        <v>9.7263999999999989E-2</v>
      </c>
      <c r="G292" s="56" t="s">
        <v>392</v>
      </c>
      <c r="H292" s="56" t="s">
        <v>2511</v>
      </c>
      <c r="I292" s="56" t="s">
        <v>345</v>
      </c>
      <c r="J292" s="56" t="s">
        <v>1914</v>
      </c>
      <c r="K292" s="57">
        <v>88.325000000000003</v>
      </c>
      <c r="L292" s="56" t="s">
        <v>3311</v>
      </c>
      <c r="M292" s="56" t="s">
        <v>2760</v>
      </c>
      <c r="N292" s="56" t="s">
        <v>60</v>
      </c>
      <c r="O292" s="58">
        <v>563</v>
      </c>
      <c r="P292" s="59" t="s">
        <v>2524</v>
      </c>
      <c r="Q292" s="56" t="s">
        <v>192</v>
      </c>
      <c r="U292" s="538">
        <v>111002144</v>
      </c>
      <c r="V292">
        <v>19.05</v>
      </c>
      <c r="W292">
        <v>0</v>
      </c>
      <c r="X292">
        <v>1.2</v>
      </c>
      <c r="Y292">
        <v>5.74</v>
      </c>
      <c r="Z292" t="s">
        <v>1881</v>
      </c>
      <c r="AA292" t="s">
        <v>963</v>
      </c>
      <c r="AB292" t="s">
        <v>2520</v>
      </c>
      <c r="AC292" t="s">
        <v>471</v>
      </c>
      <c r="AD292" t="s">
        <v>1838</v>
      </c>
      <c r="AE292" t="s">
        <v>3308</v>
      </c>
      <c r="AF292">
        <v>0.52798158000000006</v>
      </c>
    </row>
    <row r="293" spans="1:32" x14ac:dyDescent="0.25">
      <c r="A293" s="56">
        <v>3233559</v>
      </c>
      <c r="B293" s="56" t="s">
        <v>490</v>
      </c>
      <c r="C293" s="56" t="s">
        <v>3312</v>
      </c>
      <c r="D293" s="57">
        <v>6645.85</v>
      </c>
      <c r="E293" s="57">
        <v>883.89800000000002</v>
      </c>
      <c r="F293" s="57">
        <v>0.88389800000000007</v>
      </c>
      <c r="G293" s="56" t="s">
        <v>392</v>
      </c>
      <c r="H293" s="56" t="s">
        <v>2511</v>
      </c>
      <c r="I293" s="56" t="s">
        <v>345</v>
      </c>
      <c r="J293" s="56" t="s">
        <v>3245</v>
      </c>
      <c r="K293" s="57">
        <v>802.66800000000001</v>
      </c>
      <c r="L293" s="56" t="s">
        <v>3313</v>
      </c>
      <c r="M293" s="56" t="s">
        <v>2810</v>
      </c>
      <c r="N293" s="56" t="s">
        <v>60</v>
      </c>
      <c r="O293" s="58">
        <v>44</v>
      </c>
      <c r="P293" s="59" t="s">
        <v>2532</v>
      </c>
      <c r="Q293" s="56" t="s">
        <v>192</v>
      </c>
      <c r="U293" s="538">
        <v>111121736</v>
      </c>
      <c r="V293">
        <v>19.05</v>
      </c>
      <c r="W293">
        <v>0</v>
      </c>
      <c r="X293">
        <v>1.2</v>
      </c>
      <c r="Y293">
        <v>5.74</v>
      </c>
      <c r="Z293" t="s">
        <v>229</v>
      </c>
      <c r="AA293" t="s">
        <v>963</v>
      </c>
      <c r="AB293" t="s">
        <v>2520</v>
      </c>
      <c r="AC293" t="s">
        <v>532</v>
      </c>
      <c r="AD293" t="s">
        <v>1838</v>
      </c>
      <c r="AE293" t="s">
        <v>3314</v>
      </c>
      <c r="AF293">
        <v>0.52798158000000006</v>
      </c>
    </row>
    <row r="294" spans="1:32" x14ac:dyDescent="0.25">
      <c r="A294" s="56">
        <v>3233559</v>
      </c>
      <c r="B294" s="56" t="s">
        <v>490</v>
      </c>
      <c r="C294" s="56" t="s">
        <v>3315</v>
      </c>
      <c r="D294" s="57">
        <v>1984.962</v>
      </c>
      <c r="E294" s="58">
        <v>264</v>
      </c>
      <c r="F294" s="57">
        <v>0.26400000000000001</v>
      </c>
      <c r="G294" s="56" t="s">
        <v>392</v>
      </c>
      <c r="H294" s="56" t="s">
        <v>2511</v>
      </c>
      <c r="I294" s="56" t="s">
        <v>345</v>
      </c>
      <c r="J294" s="56" t="s">
        <v>2777</v>
      </c>
      <c r="K294" s="57">
        <v>239.738</v>
      </c>
      <c r="L294" s="56" t="s">
        <v>3313</v>
      </c>
      <c r="M294" s="56" t="s">
        <v>2810</v>
      </c>
      <c r="N294" s="56" t="s">
        <v>60</v>
      </c>
      <c r="O294" s="58">
        <v>32</v>
      </c>
      <c r="P294" s="59" t="s">
        <v>2532</v>
      </c>
      <c r="Q294" s="56" t="s">
        <v>192</v>
      </c>
      <c r="U294" s="538">
        <v>111120702</v>
      </c>
      <c r="V294">
        <v>19.05</v>
      </c>
      <c r="W294">
        <v>0</v>
      </c>
      <c r="X294">
        <v>1.2</v>
      </c>
      <c r="Y294">
        <v>5.77</v>
      </c>
      <c r="Z294" t="s">
        <v>1881</v>
      </c>
      <c r="AA294" t="s">
        <v>963</v>
      </c>
      <c r="AB294" t="s">
        <v>2520</v>
      </c>
      <c r="AC294" t="s">
        <v>471</v>
      </c>
      <c r="AD294" t="s">
        <v>1838</v>
      </c>
      <c r="AE294" t="s">
        <v>3308</v>
      </c>
      <c r="AF294">
        <v>0.52798158000000006</v>
      </c>
    </row>
    <row r="295" spans="1:32" x14ac:dyDescent="0.25">
      <c r="A295" s="56">
        <v>3234371</v>
      </c>
      <c r="B295" s="56" t="s">
        <v>1264</v>
      </c>
      <c r="C295" s="56" t="s">
        <v>3316</v>
      </c>
      <c r="D295" s="57">
        <v>1257.8130000000001</v>
      </c>
      <c r="E295" s="58">
        <v>322</v>
      </c>
      <c r="F295" s="57">
        <v>0.32200000000000001</v>
      </c>
      <c r="G295" s="56" t="s">
        <v>392</v>
      </c>
      <c r="H295" s="56" t="s">
        <v>2511</v>
      </c>
      <c r="I295" s="56" t="s">
        <v>345</v>
      </c>
      <c r="J295" s="56" t="s">
        <v>3317</v>
      </c>
      <c r="K295" s="57">
        <v>582.06799999999998</v>
      </c>
      <c r="L295" s="56" t="s">
        <v>3318</v>
      </c>
      <c r="M295" s="56" t="s">
        <v>2731</v>
      </c>
      <c r="N295" s="56" t="s">
        <v>60</v>
      </c>
      <c r="O295" s="58">
        <v>7</v>
      </c>
      <c r="P295" s="59" t="s">
        <v>2515</v>
      </c>
      <c r="Q295" s="56" t="s">
        <v>192</v>
      </c>
      <c r="U295" s="52">
        <v>3573229</v>
      </c>
      <c r="V295">
        <v>19.05</v>
      </c>
      <c r="W295">
        <v>0</v>
      </c>
      <c r="X295">
        <v>1.2</v>
      </c>
      <c r="Y295">
        <v>5.774</v>
      </c>
      <c r="Z295" t="s">
        <v>1881</v>
      </c>
      <c r="AA295" t="s">
        <v>963</v>
      </c>
      <c r="AB295" t="s">
        <v>2520</v>
      </c>
      <c r="AC295" t="s">
        <v>471</v>
      </c>
      <c r="AD295" t="s">
        <v>1838</v>
      </c>
      <c r="AE295" t="s">
        <v>3308</v>
      </c>
      <c r="AF295">
        <v>0.52798158000000006</v>
      </c>
    </row>
    <row r="296" spans="1:32" x14ac:dyDescent="0.25">
      <c r="A296" s="56">
        <v>3234371</v>
      </c>
      <c r="B296" s="56" t="s">
        <v>1264</v>
      </c>
      <c r="C296" s="56" t="s">
        <v>3319</v>
      </c>
      <c r="D296" s="57">
        <v>792.96900000000005</v>
      </c>
      <c r="E296" s="58">
        <v>203</v>
      </c>
      <c r="F296" s="57">
        <v>0.20300000000000001</v>
      </c>
      <c r="G296" s="56" t="s">
        <v>392</v>
      </c>
      <c r="H296" s="56" t="s">
        <v>2511</v>
      </c>
      <c r="I296" s="56" t="s">
        <v>345</v>
      </c>
      <c r="J296" s="56" t="s">
        <v>3320</v>
      </c>
      <c r="K296" s="57">
        <v>366.95600000000002</v>
      </c>
      <c r="L296" s="56" t="s">
        <v>3321</v>
      </c>
      <c r="M296" s="56" t="s">
        <v>2895</v>
      </c>
      <c r="N296" s="56" t="s">
        <v>30</v>
      </c>
      <c r="O296" s="58">
        <v>19</v>
      </c>
      <c r="P296" s="59" t="s">
        <v>2515</v>
      </c>
      <c r="Q296" s="56" t="s">
        <v>11</v>
      </c>
      <c r="U296" s="538">
        <v>111103611</v>
      </c>
      <c r="V296">
        <v>19.05</v>
      </c>
      <c r="W296">
        <v>0</v>
      </c>
      <c r="X296">
        <v>1.2</v>
      </c>
      <c r="Y296">
        <v>5.85</v>
      </c>
      <c r="Z296" t="s">
        <v>229</v>
      </c>
      <c r="AA296" t="s">
        <v>963</v>
      </c>
      <c r="AB296" t="s">
        <v>2520</v>
      </c>
      <c r="AC296" t="s">
        <v>532</v>
      </c>
      <c r="AD296" t="s">
        <v>1838</v>
      </c>
      <c r="AE296" t="s">
        <v>3314</v>
      </c>
      <c r="AF296">
        <v>0.52798158000000006</v>
      </c>
    </row>
    <row r="297" spans="1:32" x14ac:dyDescent="0.25">
      <c r="A297" s="56">
        <v>3234372</v>
      </c>
      <c r="B297" s="56" t="s">
        <v>1301</v>
      </c>
      <c r="C297" s="56" t="s">
        <v>3322</v>
      </c>
      <c r="D297" s="57">
        <v>5928</v>
      </c>
      <c r="E297" s="57">
        <v>503.88</v>
      </c>
      <c r="F297" s="57">
        <v>0.50387999999999999</v>
      </c>
      <c r="G297" s="56" t="s">
        <v>392</v>
      </c>
      <c r="H297" s="56" t="s">
        <v>2511</v>
      </c>
      <c r="I297" s="56" t="s">
        <v>345</v>
      </c>
      <c r="J297" s="56" t="s">
        <v>1914</v>
      </c>
      <c r="K297" s="57">
        <v>765.89099999999996</v>
      </c>
      <c r="L297" s="56" t="s">
        <v>3323</v>
      </c>
      <c r="M297" s="56" t="s">
        <v>2159</v>
      </c>
      <c r="N297" s="56" t="s">
        <v>60</v>
      </c>
      <c r="O297" s="58">
        <v>69</v>
      </c>
      <c r="P297" s="59" t="s">
        <v>2579</v>
      </c>
      <c r="Q297" s="56" t="s">
        <v>192</v>
      </c>
      <c r="U297" s="538">
        <v>111103613</v>
      </c>
      <c r="V297">
        <v>19.05</v>
      </c>
      <c r="W297">
        <v>0</v>
      </c>
      <c r="X297">
        <v>1.2</v>
      </c>
      <c r="Y297">
        <v>5.89</v>
      </c>
      <c r="Z297" t="s">
        <v>229</v>
      </c>
      <c r="AA297" t="s">
        <v>963</v>
      </c>
      <c r="AB297" t="s">
        <v>2520</v>
      </c>
      <c r="AC297" t="s">
        <v>532</v>
      </c>
      <c r="AD297" t="s">
        <v>1838</v>
      </c>
      <c r="AE297" t="s">
        <v>3314</v>
      </c>
      <c r="AF297">
        <v>0.52798158000000006</v>
      </c>
    </row>
    <row r="298" spans="1:32" x14ac:dyDescent="0.25">
      <c r="A298" s="56">
        <v>3409366</v>
      </c>
      <c r="B298" s="56" t="s">
        <v>1313</v>
      </c>
      <c r="C298" s="56" t="s">
        <v>3324</v>
      </c>
      <c r="D298" s="57">
        <v>3172.4140000000002</v>
      </c>
      <c r="E298" s="58">
        <v>184</v>
      </c>
      <c r="F298" s="57">
        <v>0.184</v>
      </c>
      <c r="G298" s="56" t="s">
        <v>392</v>
      </c>
      <c r="H298" s="56" t="s">
        <v>2511</v>
      </c>
      <c r="I298" s="56" t="s">
        <v>345</v>
      </c>
      <c r="J298" s="56" t="s">
        <v>2981</v>
      </c>
      <c r="K298" s="57">
        <v>348.15499999999997</v>
      </c>
      <c r="L298" s="56" t="s">
        <v>3325</v>
      </c>
      <c r="M298" s="56" t="s">
        <v>2589</v>
      </c>
      <c r="N298" s="56" t="s">
        <v>9</v>
      </c>
      <c r="O298" s="58">
        <v>4</v>
      </c>
      <c r="P298" s="59" t="s">
        <v>2515</v>
      </c>
      <c r="Q298" s="56" t="s">
        <v>2516</v>
      </c>
      <c r="U298" s="538">
        <v>111120703</v>
      </c>
      <c r="V298">
        <v>19.05</v>
      </c>
      <c r="W298">
        <v>0</v>
      </c>
      <c r="X298">
        <v>1.2</v>
      </c>
      <c r="Y298">
        <v>5.95</v>
      </c>
      <c r="Z298" t="s">
        <v>1881</v>
      </c>
      <c r="AA298" t="s">
        <v>963</v>
      </c>
      <c r="AB298" t="s">
        <v>2520</v>
      </c>
      <c r="AC298" t="s">
        <v>471</v>
      </c>
      <c r="AD298" t="s">
        <v>1838</v>
      </c>
      <c r="AE298" t="s">
        <v>3308</v>
      </c>
      <c r="AF298">
        <v>0.52798158000000006</v>
      </c>
    </row>
    <row r="299" spans="1:32" x14ac:dyDescent="0.25">
      <c r="A299" s="56">
        <v>3409367</v>
      </c>
      <c r="B299" s="56" t="s">
        <v>667</v>
      </c>
      <c r="C299" s="56" t="s">
        <v>3326</v>
      </c>
      <c r="D299" s="57">
        <v>85.813000000000002</v>
      </c>
      <c r="E299" s="57">
        <v>57.838000000000001</v>
      </c>
      <c r="F299" s="57">
        <v>5.7838000000000001E-2</v>
      </c>
      <c r="G299" s="56" t="s">
        <v>392</v>
      </c>
      <c r="H299" s="56" t="s">
        <v>2511</v>
      </c>
      <c r="I299" s="56" t="s">
        <v>345</v>
      </c>
      <c r="J299" s="56" t="s">
        <v>2552</v>
      </c>
      <c r="K299" s="57">
        <v>109.438</v>
      </c>
      <c r="L299" s="56" t="s">
        <v>3327</v>
      </c>
      <c r="M299" s="56" t="s">
        <v>2744</v>
      </c>
      <c r="N299" s="56" t="s">
        <v>9</v>
      </c>
      <c r="O299" s="58">
        <v>55</v>
      </c>
      <c r="P299" s="59" t="s">
        <v>2532</v>
      </c>
      <c r="Q299" s="56" t="s">
        <v>2516</v>
      </c>
      <c r="U299" s="52">
        <v>1940191</v>
      </c>
      <c r="V299">
        <v>19.05</v>
      </c>
      <c r="W299">
        <v>0</v>
      </c>
      <c r="X299">
        <v>1.2</v>
      </c>
      <c r="Y299">
        <v>6</v>
      </c>
      <c r="Z299" t="s">
        <v>1881</v>
      </c>
      <c r="AA299" t="s">
        <v>963</v>
      </c>
      <c r="AB299" t="s">
        <v>2520</v>
      </c>
      <c r="AC299" t="s">
        <v>471</v>
      </c>
      <c r="AD299" t="s">
        <v>1838</v>
      </c>
      <c r="AE299" t="s">
        <v>3308</v>
      </c>
      <c r="AF299">
        <v>0.52798158000000006</v>
      </c>
    </row>
    <row r="300" spans="1:32" x14ac:dyDescent="0.25">
      <c r="A300" s="56">
        <v>3441727</v>
      </c>
      <c r="B300" s="56" t="s">
        <v>1681</v>
      </c>
      <c r="C300" s="56" t="s">
        <v>3328</v>
      </c>
      <c r="D300" s="57">
        <v>129.5</v>
      </c>
      <c r="E300" s="57">
        <v>1314.298</v>
      </c>
      <c r="F300" s="57">
        <v>1.314298</v>
      </c>
      <c r="G300" s="56" t="s">
        <v>392</v>
      </c>
      <c r="H300" s="56" t="s">
        <v>2511</v>
      </c>
      <c r="I300" s="56" t="s">
        <v>345</v>
      </c>
      <c r="J300" s="56" t="s">
        <v>3329</v>
      </c>
      <c r="K300" s="57">
        <v>777.04700000000003</v>
      </c>
      <c r="L300" s="56" t="s">
        <v>1914</v>
      </c>
      <c r="M300" s="56" t="s">
        <v>1123</v>
      </c>
      <c r="N300" s="56" t="s">
        <v>17</v>
      </c>
      <c r="O300" s="58">
        <v>49</v>
      </c>
      <c r="P300" s="59" t="s">
        <v>2532</v>
      </c>
      <c r="Q300" s="56" t="s">
        <v>192</v>
      </c>
      <c r="U300" s="28">
        <v>3702088</v>
      </c>
      <c r="V300">
        <v>19.05</v>
      </c>
      <c r="W300">
        <v>0</v>
      </c>
      <c r="X300">
        <v>1.2</v>
      </c>
      <c r="Y300">
        <v>6</v>
      </c>
      <c r="Z300" t="s">
        <v>1881</v>
      </c>
      <c r="AA300" t="s">
        <v>963</v>
      </c>
      <c r="AB300" t="s">
        <v>2520</v>
      </c>
      <c r="AC300" t="s">
        <v>471</v>
      </c>
      <c r="AD300" t="s">
        <v>1838</v>
      </c>
      <c r="AE300" t="s">
        <v>3308</v>
      </c>
      <c r="AF300">
        <v>0.52798158000000006</v>
      </c>
    </row>
    <row r="301" spans="1:32" x14ac:dyDescent="0.25">
      <c r="A301" s="56">
        <v>3441727</v>
      </c>
      <c r="B301" s="56" t="s">
        <v>1681</v>
      </c>
      <c r="C301" s="56" t="s">
        <v>3330</v>
      </c>
      <c r="D301" s="57">
        <v>268.99200000000002</v>
      </c>
      <c r="E301" s="58">
        <v>2730</v>
      </c>
      <c r="F301" s="57">
        <v>2.73</v>
      </c>
      <c r="G301" s="56" t="s">
        <v>392</v>
      </c>
      <c r="H301" s="56" t="s">
        <v>2511</v>
      </c>
      <c r="I301" s="56" t="s">
        <v>345</v>
      </c>
      <c r="J301" s="56" t="s">
        <v>3331</v>
      </c>
      <c r="K301" s="57">
        <v>1614.048</v>
      </c>
      <c r="L301" s="56" t="s">
        <v>3332</v>
      </c>
      <c r="M301" s="56" t="s">
        <v>2744</v>
      </c>
      <c r="N301" s="56" t="s">
        <v>37</v>
      </c>
      <c r="O301" s="58">
        <v>24</v>
      </c>
      <c r="P301" s="59" t="s">
        <v>2515</v>
      </c>
      <c r="Q301" s="56" t="s">
        <v>11</v>
      </c>
      <c r="U301" s="538">
        <v>111002146</v>
      </c>
      <c r="V301">
        <v>19.05</v>
      </c>
      <c r="W301">
        <v>0</v>
      </c>
      <c r="X301">
        <v>1.2</v>
      </c>
      <c r="Y301">
        <v>6.0750000000000002</v>
      </c>
      <c r="Z301" t="s">
        <v>1881</v>
      </c>
      <c r="AA301" t="s">
        <v>963</v>
      </c>
      <c r="AB301" t="s">
        <v>2520</v>
      </c>
      <c r="AC301" t="s">
        <v>471</v>
      </c>
      <c r="AD301" t="s">
        <v>1838</v>
      </c>
      <c r="AE301" t="s">
        <v>3308</v>
      </c>
      <c r="AF301">
        <v>0.52798158000000006</v>
      </c>
    </row>
    <row r="302" spans="1:32" x14ac:dyDescent="0.25">
      <c r="A302" s="56">
        <v>3500352</v>
      </c>
      <c r="B302" s="56" t="s">
        <v>1611</v>
      </c>
      <c r="C302" s="56" t="s">
        <v>3333</v>
      </c>
      <c r="D302" s="57">
        <v>13.1</v>
      </c>
      <c r="E302" s="57">
        <v>136.53700000000001</v>
      </c>
      <c r="F302" s="57">
        <v>0.13653700000000002</v>
      </c>
      <c r="G302" s="56" t="s">
        <v>392</v>
      </c>
      <c r="H302" s="56" t="s">
        <v>2511</v>
      </c>
      <c r="I302" s="56" t="s">
        <v>345</v>
      </c>
      <c r="J302" s="56" t="s">
        <v>2868</v>
      </c>
      <c r="K302" s="57">
        <v>78.596000000000004</v>
      </c>
      <c r="L302" s="56" t="s">
        <v>3334</v>
      </c>
      <c r="M302" s="56" t="s">
        <v>2609</v>
      </c>
      <c r="N302" s="56" t="s">
        <v>45</v>
      </c>
      <c r="O302" s="58">
        <v>41</v>
      </c>
      <c r="P302" s="59" t="s">
        <v>2532</v>
      </c>
      <c r="Q302" s="56" t="s">
        <v>11</v>
      </c>
      <c r="U302" s="538">
        <v>111002143</v>
      </c>
      <c r="V302">
        <v>19.05</v>
      </c>
      <c r="W302">
        <v>0</v>
      </c>
      <c r="X302">
        <v>1.2</v>
      </c>
      <c r="Y302">
        <v>6.16</v>
      </c>
      <c r="Z302" t="s">
        <v>1881</v>
      </c>
      <c r="AA302" t="s">
        <v>963</v>
      </c>
      <c r="AB302" t="s">
        <v>2520</v>
      </c>
      <c r="AC302" t="s">
        <v>471</v>
      </c>
      <c r="AD302" t="s">
        <v>1838</v>
      </c>
      <c r="AE302" t="s">
        <v>3308</v>
      </c>
      <c r="AF302">
        <v>0.52798158000000006</v>
      </c>
    </row>
    <row r="303" spans="1:32" x14ac:dyDescent="0.25">
      <c r="A303" s="56">
        <v>3500352</v>
      </c>
      <c r="B303" s="56" t="s">
        <v>1611</v>
      </c>
      <c r="C303" s="56" t="s">
        <v>3335</v>
      </c>
      <c r="D303" s="57">
        <v>15.362</v>
      </c>
      <c r="E303" s="57">
        <v>160.12</v>
      </c>
      <c r="F303" s="57">
        <v>0.16012000000000001</v>
      </c>
      <c r="G303" s="56" t="s">
        <v>392</v>
      </c>
      <c r="H303" s="56" t="s">
        <v>2511</v>
      </c>
      <c r="I303" s="56" t="s">
        <v>345</v>
      </c>
      <c r="J303" s="56" t="s">
        <v>3336</v>
      </c>
      <c r="K303" s="57">
        <v>92.171000000000006</v>
      </c>
      <c r="L303" s="56" t="s">
        <v>3337</v>
      </c>
      <c r="M303" s="56" t="s">
        <v>2903</v>
      </c>
      <c r="N303" s="56" t="s">
        <v>46</v>
      </c>
      <c r="O303" s="58">
        <v>41</v>
      </c>
      <c r="P303" s="59" t="s">
        <v>2532</v>
      </c>
      <c r="Q303" s="56" t="s">
        <v>11</v>
      </c>
      <c r="U303" s="538">
        <v>110102339</v>
      </c>
      <c r="V303">
        <v>19.05</v>
      </c>
      <c r="W303">
        <v>0</v>
      </c>
      <c r="X303">
        <v>1.2</v>
      </c>
      <c r="Y303">
        <v>6.2149999999999999</v>
      </c>
      <c r="Z303" t="s">
        <v>1881</v>
      </c>
      <c r="AA303" t="s">
        <v>963</v>
      </c>
      <c r="AB303" t="s">
        <v>2520</v>
      </c>
      <c r="AC303" t="s">
        <v>471</v>
      </c>
      <c r="AD303" t="s">
        <v>1838</v>
      </c>
      <c r="AE303" t="s">
        <v>3308</v>
      </c>
      <c r="AF303">
        <v>0.52798158000000006</v>
      </c>
    </row>
    <row r="304" spans="1:32" x14ac:dyDescent="0.25">
      <c r="A304" s="56">
        <v>3502422</v>
      </c>
      <c r="B304" s="56" t="s">
        <v>2374</v>
      </c>
      <c r="C304" s="56" t="s">
        <v>3338</v>
      </c>
      <c r="D304" s="57">
        <v>110.012</v>
      </c>
      <c r="E304" s="58">
        <v>2591</v>
      </c>
      <c r="F304" s="57">
        <v>2.5910000000000002</v>
      </c>
      <c r="G304" s="56" t="s">
        <v>392</v>
      </c>
      <c r="H304" s="56" t="s">
        <v>2511</v>
      </c>
      <c r="I304" s="56" t="s">
        <v>345</v>
      </c>
      <c r="J304" s="56" t="s">
        <v>3339</v>
      </c>
      <c r="K304" s="57">
        <v>665.58799999999997</v>
      </c>
      <c r="L304" s="56" t="s">
        <v>1914</v>
      </c>
      <c r="M304" s="56" t="s">
        <v>1123</v>
      </c>
      <c r="N304" s="56" t="s">
        <v>39</v>
      </c>
      <c r="O304" s="58">
        <v>49</v>
      </c>
      <c r="P304" s="59" t="s">
        <v>2532</v>
      </c>
      <c r="Q304" s="56" t="s">
        <v>2516</v>
      </c>
      <c r="U304" s="52">
        <v>4189326</v>
      </c>
      <c r="V304">
        <v>19.05</v>
      </c>
      <c r="W304">
        <v>0</v>
      </c>
      <c r="X304">
        <v>1.2</v>
      </c>
      <c r="Y304">
        <v>6.2149999999999999</v>
      </c>
      <c r="Z304" t="s">
        <v>1881</v>
      </c>
      <c r="AA304" t="s">
        <v>963</v>
      </c>
      <c r="AB304" t="s">
        <v>2520</v>
      </c>
      <c r="AC304" t="s">
        <v>471</v>
      </c>
      <c r="AD304" t="s">
        <v>1838</v>
      </c>
      <c r="AF304">
        <v>0.52798158000000006</v>
      </c>
    </row>
    <row r="305" spans="1:32" x14ac:dyDescent="0.25">
      <c r="A305" s="56">
        <v>3502422</v>
      </c>
      <c r="B305" s="56" t="s">
        <v>2374</v>
      </c>
      <c r="C305" s="56" t="s">
        <v>3340</v>
      </c>
      <c r="D305" s="57">
        <v>37.406999999999996</v>
      </c>
      <c r="E305" s="58">
        <v>881</v>
      </c>
      <c r="F305" s="57">
        <v>0.88100000000000001</v>
      </c>
      <c r="G305" s="56" t="s">
        <v>392</v>
      </c>
      <c r="H305" s="56" t="s">
        <v>2511</v>
      </c>
      <c r="I305" s="56" t="s">
        <v>345</v>
      </c>
      <c r="J305" s="56" t="s">
        <v>3341</v>
      </c>
      <c r="K305" s="57">
        <v>226.315</v>
      </c>
      <c r="L305" s="56" t="s">
        <v>1914</v>
      </c>
      <c r="M305" s="56" t="s">
        <v>1123</v>
      </c>
      <c r="N305" s="56" t="s">
        <v>39</v>
      </c>
      <c r="O305" s="58">
        <v>61</v>
      </c>
      <c r="P305" s="59" t="s">
        <v>2579</v>
      </c>
      <c r="Q305" s="56" t="s">
        <v>2516</v>
      </c>
      <c r="U305" s="538">
        <v>111121701</v>
      </c>
      <c r="V305">
        <v>19.05</v>
      </c>
      <c r="W305">
        <v>0</v>
      </c>
      <c r="X305">
        <v>1.2</v>
      </c>
      <c r="Y305">
        <v>6.2249999999999996</v>
      </c>
      <c r="Z305" t="s">
        <v>229</v>
      </c>
      <c r="AA305" t="s">
        <v>963</v>
      </c>
      <c r="AB305" t="s">
        <v>2520</v>
      </c>
      <c r="AC305" t="s">
        <v>626</v>
      </c>
      <c r="AD305" t="s">
        <v>1838</v>
      </c>
      <c r="AE305" t="s">
        <v>3163</v>
      </c>
      <c r="AF305">
        <v>0.52798158000000006</v>
      </c>
    </row>
    <row r="306" spans="1:32" x14ac:dyDescent="0.25">
      <c r="A306" s="56">
        <v>3502422</v>
      </c>
      <c r="B306" s="56" t="s">
        <v>2374</v>
      </c>
      <c r="C306" s="56" t="s">
        <v>3342</v>
      </c>
      <c r="D306" s="57">
        <v>10.827</v>
      </c>
      <c r="E306" s="58">
        <v>255</v>
      </c>
      <c r="F306" s="57">
        <v>0.255</v>
      </c>
      <c r="G306" s="56" t="s">
        <v>392</v>
      </c>
      <c r="H306" s="56" t="s">
        <v>2511</v>
      </c>
      <c r="I306" s="56" t="s">
        <v>345</v>
      </c>
      <c r="J306" s="56" t="s">
        <v>1914</v>
      </c>
      <c r="K306" s="57">
        <v>65.506</v>
      </c>
      <c r="L306" s="56" t="s">
        <v>1914</v>
      </c>
      <c r="M306" s="56" t="s">
        <v>1123</v>
      </c>
      <c r="N306" s="56" t="s">
        <v>39</v>
      </c>
      <c r="O306" s="58">
        <v>49</v>
      </c>
      <c r="P306" s="59" t="s">
        <v>2532</v>
      </c>
      <c r="Q306" s="56" t="s">
        <v>2516</v>
      </c>
      <c r="U306" s="538">
        <v>111116483</v>
      </c>
      <c r="V306">
        <v>19.05</v>
      </c>
      <c r="W306">
        <v>0</v>
      </c>
      <c r="X306">
        <v>1.2</v>
      </c>
      <c r="Y306">
        <v>6.45</v>
      </c>
      <c r="Z306" t="s">
        <v>1881</v>
      </c>
      <c r="AA306" t="s">
        <v>963</v>
      </c>
      <c r="AB306" t="s">
        <v>2520</v>
      </c>
      <c r="AC306" t="s">
        <v>471</v>
      </c>
      <c r="AD306" t="s">
        <v>1838</v>
      </c>
      <c r="AE306" t="s">
        <v>3308</v>
      </c>
      <c r="AF306">
        <v>0.52798158000000006</v>
      </c>
    </row>
    <row r="307" spans="1:32" x14ac:dyDescent="0.25">
      <c r="A307" s="56">
        <v>3502422</v>
      </c>
      <c r="B307" s="56" t="s">
        <v>2374</v>
      </c>
      <c r="C307" s="56" t="s">
        <v>3343</v>
      </c>
      <c r="D307" s="57">
        <v>112.687</v>
      </c>
      <c r="E307" s="58">
        <v>2654</v>
      </c>
      <c r="F307" s="57">
        <v>2.6539999999999999</v>
      </c>
      <c r="G307" s="56" t="s">
        <v>392</v>
      </c>
      <c r="H307" s="56" t="s">
        <v>2511</v>
      </c>
      <c r="I307" s="56" t="s">
        <v>345</v>
      </c>
      <c r="J307" s="56" t="s">
        <v>1914</v>
      </c>
      <c r="K307" s="57">
        <v>681.77099999999996</v>
      </c>
      <c r="L307" s="56" t="s">
        <v>1914</v>
      </c>
      <c r="M307" s="56" t="s">
        <v>1123</v>
      </c>
      <c r="N307" s="56" t="s">
        <v>39</v>
      </c>
      <c r="O307" s="58">
        <v>49</v>
      </c>
      <c r="P307" s="59" t="s">
        <v>2532</v>
      </c>
      <c r="Q307" s="56" t="s">
        <v>2516</v>
      </c>
      <c r="U307" s="52">
        <v>2405724</v>
      </c>
      <c r="V307">
        <v>19.05</v>
      </c>
      <c r="W307">
        <v>0</v>
      </c>
      <c r="X307">
        <v>1.4</v>
      </c>
      <c r="Y307">
        <v>0.222</v>
      </c>
      <c r="Z307" t="s">
        <v>1924</v>
      </c>
      <c r="AA307" t="s">
        <v>963</v>
      </c>
      <c r="AB307" t="s">
        <v>2520</v>
      </c>
      <c r="AC307" t="s">
        <v>3344</v>
      </c>
      <c r="AD307" t="s">
        <v>2171</v>
      </c>
      <c r="AE307" t="s">
        <v>3345</v>
      </c>
      <c r="AF307">
        <v>0.13521504738000001</v>
      </c>
    </row>
    <row r="308" spans="1:32" x14ac:dyDescent="0.25">
      <c r="A308" s="56">
        <v>3502422</v>
      </c>
      <c r="B308" s="56" t="s">
        <v>2374</v>
      </c>
      <c r="C308" s="56" t="s">
        <v>3346</v>
      </c>
      <c r="D308" s="57">
        <v>109.63</v>
      </c>
      <c r="E308" s="58">
        <v>2582</v>
      </c>
      <c r="F308" s="57">
        <v>2.5819999999999999</v>
      </c>
      <c r="G308" s="56" t="s">
        <v>392</v>
      </c>
      <c r="H308" s="56" t="s">
        <v>2511</v>
      </c>
      <c r="I308" s="56" t="s">
        <v>345</v>
      </c>
      <c r="J308" s="56" t="s">
        <v>1914</v>
      </c>
      <c r="K308" s="57">
        <v>663.27599999999995</v>
      </c>
      <c r="L308" s="56" t="s">
        <v>1914</v>
      </c>
      <c r="M308" s="56" t="s">
        <v>1123</v>
      </c>
      <c r="N308" s="56" t="s">
        <v>39</v>
      </c>
      <c r="O308" s="58">
        <v>49</v>
      </c>
      <c r="P308" s="59" t="s">
        <v>2532</v>
      </c>
      <c r="Q308" s="56" t="s">
        <v>2516</v>
      </c>
      <c r="U308" s="52">
        <v>2404748</v>
      </c>
      <c r="V308">
        <v>19.05</v>
      </c>
      <c r="W308">
        <v>0</v>
      </c>
      <c r="X308">
        <v>1.4</v>
      </c>
      <c r="Y308">
        <v>0.31</v>
      </c>
      <c r="Z308" t="s">
        <v>1924</v>
      </c>
      <c r="AA308" t="s">
        <v>963</v>
      </c>
      <c r="AB308" t="s">
        <v>2520</v>
      </c>
      <c r="AC308" t="s">
        <v>3344</v>
      </c>
      <c r="AD308" t="s">
        <v>2171</v>
      </c>
      <c r="AE308" t="s">
        <v>3347</v>
      </c>
      <c r="AF308">
        <v>0.18881380490000002</v>
      </c>
    </row>
    <row r="309" spans="1:32" x14ac:dyDescent="0.25">
      <c r="A309" s="56">
        <v>3502422</v>
      </c>
      <c r="B309" s="56" t="s">
        <v>2374</v>
      </c>
      <c r="C309" s="56" t="s">
        <v>3348</v>
      </c>
      <c r="D309" s="57">
        <v>104.02500000000001</v>
      </c>
      <c r="E309" s="58">
        <v>2450</v>
      </c>
      <c r="F309" s="57">
        <v>2.4500000000000002</v>
      </c>
      <c r="G309" s="56" t="s">
        <v>392</v>
      </c>
      <c r="H309" s="56" t="s">
        <v>2511</v>
      </c>
      <c r="I309" s="56" t="s">
        <v>345</v>
      </c>
      <c r="J309" s="56" t="s">
        <v>3349</v>
      </c>
      <c r="K309" s="57">
        <v>629.36699999999996</v>
      </c>
      <c r="L309" s="56" t="s">
        <v>3350</v>
      </c>
      <c r="M309" s="56" t="s">
        <v>2514</v>
      </c>
      <c r="N309" s="56" t="s">
        <v>151</v>
      </c>
      <c r="O309" s="58">
        <v>6</v>
      </c>
      <c r="P309" s="59" t="s">
        <v>2515</v>
      </c>
      <c r="Q309" s="56" t="s">
        <v>11</v>
      </c>
      <c r="U309" s="52">
        <v>3498996</v>
      </c>
      <c r="V309">
        <v>19.05</v>
      </c>
      <c r="W309">
        <v>0</v>
      </c>
      <c r="X309">
        <v>1.4</v>
      </c>
      <c r="Y309">
        <v>6</v>
      </c>
      <c r="Z309" t="s">
        <v>1914</v>
      </c>
      <c r="AA309" t="s">
        <v>963</v>
      </c>
      <c r="AB309" t="s">
        <v>2520</v>
      </c>
      <c r="AC309" t="s">
        <v>3344</v>
      </c>
      <c r="AD309" t="s">
        <v>1838</v>
      </c>
      <c r="AE309" t="s">
        <v>3351</v>
      </c>
      <c r="AF309">
        <v>0.60907679000000003</v>
      </c>
    </row>
    <row r="310" spans="1:32" x14ac:dyDescent="0.25">
      <c r="A310" s="56">
        <v>3506173</v>
      </c>
      <c r="B310" s="56" t="s">
        <v>3352</v>
      </c>
      <c r="C310" s="56" t="s">
        <v>3353</v>
      </c>
      <c r="D310" s="57">
        <v>357.964</v>
      </c>
      <c r="E310" s="57">
        <v>243.45099999999999</v>
      </c>
      <c r="F310" s="57">
        <v>0.243451</v>
      </c>
      <c r="G310" s="56" t="s">
        <v>392</v>
      </c>
      <c r="H310" s="56" t="s">
        <v>2511</v>
      </c>
      <c r="I310" s="56" t="s">
        <v>345</v>
      </c>
      <c r="J310" s="56" t="s">
        <v>1914</v>
      </c>
      <c r="K310" s="57">
        <v>255.94399999999999</v>
      </c>
      <c r="L310" s="56" t="s">
        <v>3354</v>
      </c>
      <c r="M310" s="56" t="s">
        <v>2548</v>
      </c>
      <c r="N310" s="56" t="s">
        <v>19</v>
      </c>
      <c r="O310" s="58">
        <v>462</v>
      </c>
      <c r="P310" s="59" t="s">
        <v>2524</v>
      </c>
      <c r="Q310" s="56" t="s">
        <v>192</v>
      </c>
      <c r="U310" s="52">
        <v>1931848</v>
      </c>
      <c r="V310">
        <v>19.05</v>
      </c>
      <c r="W310">
        <v>0</v>
      </c>
      <c r="X310">
        <v>1.4</v>
      </c>
      <c r="Y310">
        <v>6</v>
      </c>
      <c r="Z310" t="s">
        <v>1883</v>
      </c>
      <c r="AA310" t="s">
        <v>963</v>
      </c>
      <c r="AB310" t="s">
        <v>2520</v>
      </c>
      <c r="AC310" t="s">
        <v>3344</v>
      </c>
      <c r="AD310" t="s">
        <v>1838</v>
      </c>
      <c r="AE310" t="s">
        <v>3351</v>
      </c>
      <c r="AF310">
        <v>0.60907679000000003</v>
      </c>
    </row>
    <row r="311" spans="1:32" x14ac:dyDescent="0.25">
      <c r="A311" s="56">
        <v>3507336</v>
      </c>
      <c r="B311" s="56" t="s">
        <v>3355</v>
      </c>
      <c r="C311" s="56" t="s">
        <v>3356</v>
      </c>
      <c r="D311" s="57">
        <v>411.99900000000002</v>
      </c>
      <c r="E311" s="58">
        <v>548</v>
      </c>
      <c r="F311" s="57">
        <v>0.54800000000000004</v>
      </c>
      <c r="G311" s="56" t="s">
        <v>392</v>
      </c>
      <c r="H311" s="56" t="s">
        <v>2511</v>
      </c>
      <c r="I311" s="56" t="s">
        <v>345</v>
      </c>
      <c r="J311" s="56" t="s">
        <v>2953</v>
      </c>
      <c r="K311" s="57">
        <v>399.65</v>
      </c>
      <c r="L311" s="56" t="s">
        <v>3357</v>
      </c>
      <c r="M311" s="56" t="s">
        <v>2756</v>
      </c>
      <c r="N311" s="56" t="s">
        <v>151</v>
      </c>
      <c r="O311" s="58">
        <v>79</v>
      </c>
      <c r="P311" s="59" t="s">
        <v>2579</v>
      </c>
      <c r="Q311" s="56" t="s">
        <v>11</v>
      </c>
      <c r="U311" s="52">
        <v>2288879</v>
      </c>
      <c r="V311">
        <v>19.05</v>
      </c>
      <c r="W311">
        <v>0</v>
      </c>
      <c r="X311">
        <v>1.42</v>
      </c>
      <c r="Y311">
        <v>6</v>
      </c>
      <c r="Z311" t="s">
        <v>1924</v>
      </c>
      <c r="AA311" t="s">
        <v>963</v>
      </c>
      <c r="AB311" t="s">
        <v>2520</v>
      </c>
      <c r="AC311" t="s">
        <v>3344</v>
      </c>
      <c r="AD311" t="s">
        <v>1838</v>
      </c>
      <c r="AE311" t="s">
        <v>3351</v>
      </c>
      <c r="AF311">
        <v>0.61707785540000004</v>
      </c>
    </row>
    <row r="312" spans="1:32" x14ac:dyDescent="0.25">
      <c r="A312" s="56">
        <v>3508742</v>
      </c>
      <c r="B312" s="56" t="s">
        <v>861</v>
      </c>
      <c r="C312" s="56" t="s">
        <v>3358</v>
      </c>
      <c r="D312" s="57">
        <v>991.11400000000003</v>
      </c>
      <c r="E312" s="57">
        <v>706.44399999999996</v>
      </c>
      <c r="F312" s="57">
        <v>0.70644399999999996</v>
      </c>
      <c r="G312" s="56" t="s">
        <v>392</v>
      </c>
      <c r="H312" s="56" t="s">
        <v>2511</v>
      </c>
      <c r="I312" s="56" t="s">
        <v>345</v>
      </c>
      <c r="J312" s="56" t="s">
        <v>3359</v>
      </c>
      <c r="K312" s="57">
        <v>406.35300000000001</v>
      </c>
      <c r="L312" s="56" t="s">
        <v>3360</v>
      </c>
      <c r="M312" s="56" t="s">
        <v>2537</v>
      </c>
      <c r="N312" s="56" t="s">
        <v>53</v>
      </c>
      <c r="O312" s="58">
        <v>48</v>
      </c>
      <c r="P312" s="59" t="s">
        <v>2532</v>
      </c>
      <c r="Q312" s="56" t="s">
        <v>2516</v>
      </c>
      <c r="U312" s="52">
        <v>1940213</v>
      </c>
      <c r="V312">
        <v>19.05</v>
      </c>
      <c r="W312">
        <v>0</v>
      </c>
      <c r="X312">
        <v>1.5</v>
      </c>
      <c r="Y312">
        <v>6</v>
      </c>
      <c r="Z312" t="s">
        <v>1881</v>
      </c>
      <c r="AA312" t="s">
        <v>963</v>
      </c>
      <c r="AB312" t="s">
        <v>2520</v>
      </c>
      <c r="AC312" t="s">
        <v>3361</v>
      </c>
      <c r="AD312" t="s">
        <v>1838</v>
      </c>
      <c r="AE312" t="s">
        <v>3362</v>
      </c>
      <c r="AF312">
        <v>0.64888492500000006</v>
      </c>
    </row>
    <row r="313" spans="1:32" x14ac:dyDescent="0.25">
      <c r="A313" s="56">
        <v>3508742</v>
      </c>
      <c r="B313" s="56" t="s">
        <v>861</v>
      </c>
      <c r="C313" s="56" t="s">
        <v>3363</v>
      </c>
      <c r="D313" s="57">
        <v>644.50900000000001</v>
      </c>
      <c r="E313" s="57">
        <v>459.392</v>
      </c>
      <c r="F313" s="57">
        <v>0.45939200000000002</v>
      </c>
      <c r="G313" s="56" t="s">
        <v>392</v>
      </c>
      <c r="H313" s="56" t="s">
        <v>2511</v>
      </c>
      <c r="I313" s="56" t="s">
        <v>345</v>
      </c>
      <c r="J313" s="56" t="s">
        <v>3364</v>
      </c>
      <c r="K313" s="57">
        <v>264.24599999999998</v>
      </c>
      <c r="L313" s="56" t="s">
        <v>3360</v>
      </c>
      <c r="M313" s="56" t="s">
        <v>2537</v>
      </c>
      <c r="N313" s="56" t="s">
        <v>53</v>
      </c>
      <c r="O313" s="58">
        <v>51</v>
      </c>
      <c r="P313" s="59" t="s">
        <v>2532</v>
      </c>
      <c r="Q313" s="56" t="s">
        <v>2516</v>
      </c>
      <c r="U313" s="52">
        <v>1940220</v>
      </c>
      <c r="V313">
        <v>19.05</v>
      </c>
      <c r="W313">
        <v>0</v>
      </c>
      <c r="X313">
        <v>1.6</v>
      </c>
      <c r="Y313">
        <v>0.18</v>
      </c>
      <c r="Z313" t="s">
        <v>1881</v>
      </c>
      <c r="AA313" t="s">
        <v>963</v>
      </c>
      <c r="AB313" t="s">
        <v>2520</v>
      </c>
      <c r="AC313" t="s">
        <v>983</v>
      </c>
      <c r="AD313" t="s">
        <v>2171</v>
      </c>
      <c r="AE313" t="s">
        <v>3365</v>
      </c>
      <c r="AF313">
        <v>0.12387601440000001</v>
      </c>
    </row>
    <row r="314" spans="1:32" x14ac:dyDescent="0.25">
      <c r="A314" s="56">
        <v>3508742</v>
      </c>
      <c r="B314" s="56" t="s">
        <v>861</v>
      </c>
      <c r="C314" s="56" t="s">
        <v>3366</v>
      </c>
      <c r="D314" s="57">
        <v>512.08100000000002</v>
      </c>
      <c r="E314" s="58">
        <v>365</v>
      </c>
      <c r="F314" s="57">
        <v>0.36499999999999999</v>
      </c>
      <c r="G314" s="56" t="s">
        <v>392</v>
      </c>
      <c r="H314" s="56" t="s">
        <v>2511</v>
      </c>
      <c r="I314" s="56" t="s">
        <v>345</v>
      </c>
      <c r="J314" s="56" t="s">
        <v>2617</v>
      </c>
      <c r="K314" s="57">
        <v>209.95099999999999</v>
      </c>
      <c r="L314" s="56" t="s">
        <v>3360</v>
      </c>
      <c r="M314" s="56" t="s">
        <v>2537</v>
      </c>
      <c r="N314" s="56" t="s">
        <v>53</v>
      </c>
      <c r="O314" s="58">
        <v>50</v>
      </c>
      <c r="P314" s="59" t="s">
        <v>2532</v>
      </c>
      <c r="Q314" s="56" t="s">
        <v>2516</v>
      </c>
      <c r="U314" s="52">
        <v>3510169</v>
      </c>
      <c r="V314">
        <v>19.05</v>
      </c>
      <c r="W314">
        <v>0</v>
      </c>
      <c r="X314">
        <v>1.6</v>
      </c>
      <c r="Y314">
        <v>0.23799999999999999</v>
      </c>
      <c r="Z314" t="s">
        <v>1914</v>
      </c>
      <c r="AA314" t="s">
        <v>1003</v>
      </c>
      <c r="AB314" t="s">
        <v>2520</v>
      </c>
      <c r="AC314" t="s">
        <v>3367</v>
      </c>
      <c r="AD314" t="s">
        <v>2171</v>
      </c>
      <c r="AE314" t="s">
        <v>3368</v>
      </c>
      <c r="AF314">
        <v>0.16379161904000003</v>
      </c>
    </row>
    <row r="315" spans="1:32" x14ac:dyDescent="0.25">
      <c r="A315" s="56">
        <v>3508742</v>
      </c>
      <c r="B315" s="56" t="s">
        <v>861</v>
      </c>
      <c r="C315" s="56" t="s">
        <v>3369</v>
      </c>
      <c r="D315" s="57">
        <v>1035.386</v>
      </c>
      <c r="E315" s="58">
        <v>738</v>
      </c>
      <c r="F315" s="57">
        <v>0.73799999999999999</v>
      </c>
      <c r="G315" s="56" t="s">
        <v>392</v>
      </c>
      <c r="H315" s="56" t="s">
        <v>2511</v>
      </c>
      <c r="I315" s="56" t="s">
        <v>345</v>
      </c>
      <c r="J315" s="56" t="s">
        <v>3370</v>
      </c>
      <c r="K315" s="57">
        <v>424.50400000000002</v>
      </c>
      <c r="L315" s="56" t="s">
        <v>3360</v>
      </c>
      <c r="M315" s="56" t="s">
        <v>2537</v>
      </c>
      <c r="N315" s="56" t="s">
        <v>53</v>
      </c>
      <c r="O315" s="58">
        <v>47</v>
      </c>
      <c r="P315" s="59" t="s">
        <v>2532</v>
      </c>
      <c r="Q315" s="56" t="s">
        <v>2516</v>
      </c>
      <c r="U315" s="52">
        <v>3209979</v>
      </c>
      <c r="V315">
        <v>19.05</v>
      </c>
      <c r="W315">
        <v>0</v>
      </c>
      <c r="X315">
        <v>1.6</v>
      </c>
      <c r="Y315">
        <v>0.23799999999999999</v>
      </c>
      <c r="Z315" t="s">
        <v>1914</v>
      </c>
      <c r="AA315" t="s">
        <v>963</v>
      </c>
      <c r="AB315" t="s">
        <v>2520</v>
      </c>
      <c r="AC315" t="s">
        <v>983</v>
      </c>
      <c r="AD315" t="s">
        <v>2171</v>
      </c>
      <c r="AE315" t="s">
        <v>3371</v>
      </c>
      <c r="AF315">
        <v>0.16379161904000003</v>
      </c>
    </row>
    <row r="316" spans="1:32" x14ac:dyDescent="0.25">
      <c r="A316" s="56">
        <v>3508742</v>
      </c>
      <c r="B316" s="56" t="s">
        <v>861</v>
      </c>
      <c r="C316" s="56" t="s">
        <v>3372</v>
      </c>
      <c r="D316" s="57">
        <v>2049.7269999999999</v>
      </c>
      <c r="E316" s="58">
        <v>1461</v>
      </c>
      <c r="F316" s="57">
        <v>1.4610000000000001</v>
      </c>
      <c r="G316" s="56" t="s">
        <v>392</v>
      </c>
      <c r="H316" s="56" t="s">
        <v>2511</v>
      </c>
      <c r="I316" s="56" t="s">
        <v>345</v>
      </c>
      <c r="J316" s="56" t="s">
        <v>2777</v>
      </c>
      <c r="K316" s="57">
        <v>840.38</v>
      </c>
      <c r="L316" s="56" t="s">
        <v>3360</v>
      </c>
      <c r="M316" s="56" t="s">
        <v>2537</v>
      </c>
      <c r="N316" s="56" t="s">
        <v>53</v>
      </c>
      <c r="O316" s="58">
        <v>34</v>
      </c>
      <c r="P316" s="59" t="s">
        <v>2532</v>
      </c>
      <c r="Q316" s="56" t="s">
        <v>2516</v>
      </c>
      <c r="U316" s="52">
        <v>3838038</v>
      </c>
      <c r="V316">
        <v>19.05</v>
      </c>
      <c r="W316">
        <v>0</v>
      </c>
      <c r="X316">
        <v>1.6</v>
      </c>
      <c r="Y316">
        <v>0.25800000000000001</v>
      </c>
      <c r="Z316" t="s">
        <v>1952</v>
      </c>
      <c r="AA316" t="s">
        <v>963</v>
      </c>
      <c r="AB316" t="s">
        <v>2520</v>
      </c>
      <c r="AC316" t="s">
        <v>983</v>
      </c>
      <c r="AD316" t="s">
        <v>2171</v>
      </c>
      <c r="AE316" t="s">
        <v>3373</v>
      </c>
      <c r="AF316">
        <v>0.17755562064000002</v>
      </c>
    </row>
    <row r="317" spans="1:32" x14ac:dyDescent="0.25">
      <c r="A317" s="56">
        <v>3508992</v>
      </c>
      <c r="B317" s="56" t="s">
        <v>3374</v>
      </c>
      <c r="C317" s="56" t="s">
        <v>3375</v>
      </c>
      <c r="D317" s="57">
        <v>592.31299999999999</v>
      </c>
      <c r="E317" s="57">
        <v>148.91399999999999</v>
      </c>
      <c r="F317" s="57">
        <v>0.14891399999999999</v>
      </c>
      <c r="G317" s="56" t="s">
        <v>392</v>
      </c>
      <c r="H317" s="56" t="s">
        <v>2511</v>
      </c>
      <c r="I317" s="56" t="s">
        <v>345</v>
      </c>
      <c r="J317" s="56" t="s">
        <v>1914</v>
      </c>
      <c r="K317" s="57">
        <v>162.88999999999999</v>
      </c>
      <c r="L317" s="56" t="s">
        <v>3376</v>
      </c>
      <c r="M317" s="56" t="s">
        <v>2810</v>
      </c>
      <c r="N317" s="56" t="s">
        <v>61</v>
      </c>
      <c r="O317" s="58">
        <v>230</v>
      </c>
      <c r="P317" s="59" t="s">
        <v>2524</v>
      </c>
      <c r="Q317" s="56" t="s">
        <v>11</v>
      </c>
      <c r="U317" s="52">
        <v>3850310</v>
      </c>
      <c r="V317">
        <v>19.05</v>
      </c>
      <c r="W317">
        <v>0</v>
      </c>
      <c r="X317">
        <v>1.6</v>
      </c>
      <c r="Y317">
        <v>0.26800000000000002</v>
      </c>
      <c r="Z317" t="s">
        <v>1881</v>
      </c>
      <c r="AA317" t="s">
        <v>963</v>
      </c>
      <c r="AB317" t="s">
        <v>2520</v>
      </c>
      <c r="AC317" t="s">
        <v>983</v>
      </c>
      <c r="AD317" t="s">
        <v>2171</v>
      </c>
      <c r="AE317" t="s">
        <v>3377</v>
      </c>
      <c r="AF317">
        <v>0.18443762144000003</v>
      </c>
    </row>
    <row r="318" spans="1:32" x14ac:dyDescent="0.25">
      <c r="A318" s="56">
        <v>3508992</v>
      </c>
      <c r="B318" s="56" t="s">
        <v>3374</v>
      </c>
      <c r="C318" s="56" t="s">
        <v>3378</v>
      </c>
      <c r="D318" s="57">
        <v>1433.0550000000001</v>
      </c>
      <c r="E318" s="57">
        <v>360.286</v>
      </c>
      <c r="F318" s="57">
        <v>0.360286</v>
      </c>
      <c r="G318" s="56" t="s">
        <v>392</v>
      </c>
      <c r="H318" s="56" t="s">
        <v>2511</v>
      </c>
      <c r="I318" s="56" t="s">
        <v>345</v>
      </c>
      <c r="J318" s="56" t="s">
        <v>1914</v>
      </c>
      <c r="K318" s="57">
        <v>394.1</v>
      </c>
      <c r="L318" s="56" t="s">
        <v>3376</v>
      </c>
      <c r="M318" s="56" t="s">
        <v>2810</v>
      </c>
      <c r="N318" s="56" t="s">
        <v>61</v>
      </c>
      <c r="O318" s="58">
        <v>441</v>
      </c>
      <c r="P318" s="59" t="s">
        <v>2524</v>
      </c>
      <c r="Q318" s="56" t="s">
        <v>11</v>
      </c>
      <c r="U318" s="52">
        <v>3484653</v>
      </c>
      <c r="V318">
        <v>19.05</v>
      </c>
      <c r="W318">
        <v>0</v>
      </c>
      <c r="X318">
        <v>1.6</v>
      </c>
      <c r="Y318">
        <v>0.26800000000000002</v>
      </c>
      <c r="Z318" t="s">
        <v>1881</v>
      </c>
      <c r="AA318" t="s">
        <v>963</v>
      </c>
      <c r="AB318" t="s">
        <v>2520</v>
      </c>
      <c r="AC318" t="s">
        <v>983</v>
      </c>
      <c r="AD318" t="s">
        <v>2171</v>
      </c>
      <c r="AE318" t="s">
        <v>3377</v>
      </c>
      <c r="AF318">
        <v>0.18443762144000003</v>
      </c>
    </row>
    <row r="319" spans="1:32" x14ac:dyDescent="0.25">
      <c r="A319" s="56">
        <v>3509030</v>
      </c>
      <c r="B319" s="56" t="s">
        <v>1991</v>
      </c>
      <c r="C319" s="56" t="s">
        <v>3379</v>
      </c>
      <c r="D319" s="57">
        <v>850</v>
      </c>
      <c r="E319" s="57">
        <v>585.35699999999997</v>
      </c>
      <c r="F319" s="57">
        <v>0.58535700000000002</v>
      </c>
      <c r="G319" s="56" t="s">
        <v>392</v>
      </c>
      <c r="H319" s="56" t="s">
        <v>2511</v>
      </c>
      <c r="I319" s="56" t="s">
        <v>345</v>
      </c>
      <c r="J319" s="56" t="s">
        <v>1914</v>
      </c>
      <c r="K319" s="57">
        <v>345.09899999999999</v>
      </c>
      <c r="L319" s="56" t="s">
        <v>3380</v>
      </c>
      <c r="M319" s="56" t="s">
        <v>2810</v>
      </c>
      <c r="N319" s="56" t="s">
        <v>151</v>
      </c>
      <c r="O319" s="58">
        <v>16</v>
      </c>
      <c r="P319" s="59" t="s">
        <v>2515</v>
      </c>
      <c r="Q319" s="56" t="s">
        <v>11</v>
      </c>
      <c r="U319" s="52">
        <v>3217232</v>
      </c>
      <c r="V319">
        <v>19.05</v>
      </c>
      <c r="W319">
        <v>0</v>
      </c>
      <c r="X319">
        <v>1.6</v>
      </c>
      <c r="Y319">
        <v>0.27500000000000002</v>
      </c>
      <c r="Z319" t="s">
        <v>1868</v>
      </c>
      <c r="AA319" t="s">
        <v>963</v>
      </c>
      <c r="AB319" t="s">
        <v>2520</v>
      </c>
      <c r="AC319" t="s">
        <v>983</v>
      </c>
      <c r="AD319" t="s">
        <v>2171</v>
      </c>
      <c r="AE319" t="s">
        <v>3381</v>
      </c>
      <c r="AF319">
        <v>0.18925502200000005</v>
      </c>
    </row>
    <row r="320" spans="1:32" x14ac:dyDescent="0.25">
      <c r="A320" s="56">
        <v>3509633</v>
      </c>
      <c r="B320" s="56" t="s">
        <v>3382</v>
      </c>
      <c r="C320" s="56" t="s">
        <v>3383</v>
      </c>
      <c r="D320" s="57">
        <v>858.04899999999998</v>
      </c>
      <c r="E320" s="57">
        <v>311.67200000000003</v>
      </c>
      <c r="F320" s="57">
        <v>0.311672</v>
      </c>
      <c r="G320" s="56" t="s">
        <v>392</v>
      </c>
      <c r="H320" s="56" t="s">
        <v>2511</v>
      </c>
      <c r="I320" s="56" t="s">
        <v>345</v>
      </c>
      <c r="J320" s="56" t="s">
        <v>1914</v>
      </c>
      <c r="K320" s="57">
        <v>387.84500000000003</v>
      </c>
      <c r="L320" s="56" t="s">
        <v>1914</v>
      </c>
      <c r="M320" s="56" t="s">
        <v>1123</v>
      </c>
      <c r="N320" s="56" t="s">
        <v>76</v>
      </c>
      <c r="O320" s="58">
        <v>230</v>
      </c>
      <c r="P320" s="59" t="s">
        <v>2524</v>
      </c>
      <c r="Q320" s="56" t="s">
        <v>2561</v>
      </c>
      <c r="U320" s="52">
        <v>1529261</v>
      </c>
      <c r="V320">
        <v>19.05</v>
      </c>
      <c r="W320">
        <v>0</v>
      </c>
      <c r="X320">
        <v>1.6</v>
      </c>
      <c r="Y320">
        <v>0.28899999999999998</v>
      </c>
      <c r="Z320" t="s">
        <v>1914</v>
      </c>
      <c r="AA320" t="s">
        <v>963</v>
      </c>
      <c r="AB320" t="s">
        <v>2520</v>
      </c>
      <c r="AC320" t="s">
        <v>983</v>
      </c>
      <c r="AD320" t="s">
        <v>2171</v>
      </c>
      <c r="AE320" t="s">
        <v>3384</v>
      </c>
      <c r="AF320">
        <v>0.19888982312</v>
      </c>
    </row>
    <row r="321" spans="1:32" x14ac:dyDescent="0.25">
      <c r="A321" s="56">
        <v>3509633</v>
      </c>
      <c r="B321" s="56" t="s">
        <v>3382</v>
      </c>
      <c r="C321" s="56" t="s">
        <v>3385</v>
      </c>
      <c r="D321" s="57">
        <v>4201.8670000000002</v>
      </c>
      <c r="E321" s="57">
        <v>1526.258</v>
      </c>
      <c r="F321" s="57">
        <v>1.5262580000000001</v>
      </c>
      <c r="G321" s="56" t="s">
        <v>392</v>
      </c>
      <c r="H321" s="56" t="s">
        <v>2511</v>
      </c>
      <c r="I321" s="56" t="s">
        <v>345</v>
      </c>
      <c r="J321" s="56" t="s">
        <v>1914</v>
      </c>
      <c r="K321" s="57">
        <v>1899.2760000000001</v>
      </c>
      <c r="L321" s="56" t="s">
        <v>1914</v>
      </c>
      <c r="M321" s="56" t="s">
        <v>1123</v>
      </c>
      <c r="N321" s="56" t="s">
        <v>76</v>
      </c>
      <c r="O321" s="58">
        <v>262</v>
      </c>
      <c r="P321" s="59" t="s">
        <v>2524</v>
      </c>
      <c r="Q321" s="56" t="s">
        <v>2561</v>
      </c>
      <c r="U321" s="52">
        <v>1529260</v>
      </c>
      <c r="V321">
        <v>19.05</v>
      </c>
      <c r="W321">
        <v>0</v>
      </c>
      <c r="X321">
        <v>1.6</v>
      </c>
      <c r="Y321">
        <v>0.29899999999999999</v>
      </c>
      <c r="Z321" t="s">
        <v>1914</v>
      </c>
      <c r="AA321" t="s">
        <v>963</v>
      </c>
      <c r="AB321" t="s">
        <v>2520</v>
      </c>
      <c r="AC321" t="s">
        <v>983</v>
      </c>
      <c r="AD321" t="s">
        <v>2171</v>
      </c>
      <c r="AE321" t="s">
        <v>3386</v>
      </c>
      <c r="AF321">
        <v>0.20577182392000001</v>
      </c>
    </row>
    <row r="322" spans="1:32" x14ac:dyDescent="0.25">
      <c r="A322" s="56">
        <v>3509640</v>
      </c>
      <c r="B322" s="56" t="s">
        <v>3387</v>
      </c>
      <c r="C322" s="56" t="s">
        <v>3388</v>
      </c>
      <c r="D322" s="57">
        <v>4801.5020000000004</v>
      </c>
      <c r="E322" s="58">
        <v>2259</v>
      </c>
      <c r="F322" s="57">
        <v>2.2589999999999999</v>
      </c>
      <c r="G322" s="56" t="s">
        <v>392</v>
      </c>
      <c r="H322" s="56" t="s">
        <v>2511</v>
      </c>
      <c r="I322" s="56" t="s">
        <v>345</v>
      </c>
      <c r="J322" s="56" t="s">
        <v>3389</v>
      </c>
      <c r="K322" s="57">
        <v>2040.65</v>
      </c>
      <c r="L322" s="56" t="s">
        <v>3390</v>
      </c>
      <c r="M322" s="56" t="s">
        <v>2165</v>
      </c>
      <c r="N322" s="56" t="s">
        <v>44</v>
      </c>
      <c r="O322" s="58">
        <v>33</v>
      </c>
      <c r="P322" s="59" t="s">
        <v>2532</v>
      </c>
      <c r="Q322" s="56" t="s">
        <v>11</v>
      </c>
      <c r="U322" s="52">
        <v>1174861</v>
      </c>
      <c r="V322">
        <v>19.05</v>
      </c>
      <c r="W322">
        <v>0</v>
      </c>
      <c r="X322">
        <v>1.6</v>
      </c>
      <c r="Y322">
        <v>0.3</v>
      </c>
      <c r="Z322" t="s">
        <v>1914</v>
      </c>
      <c r="AA322" t="s">
        <v>963</v>
      </c>
      <c r="AB322" t="s">
        <v>2520</v>
      </c>
      <c r="AC322" t="s">
        <v>983</v>
      </c>
      <c r="AD322" t="s">
        <v>2171</v>
      </c>
      <c r="AE322" t="s">
        <v>3391</v>
      </c>
      <c r="AF322">
        <v>0.20646002400000002</v>
      </c>
    </row>
    <row r="323" spans="1:32" x14ac:dyDescent="0.25">
      <c r="A323" s="56">
        <v>3509640</v>
      </c>
      <c r="B323" s="56" t="s">
        <v>3387</v>
      </c>
      <c r="C323" s="56" t="s">
        <v>3392</v>
      </c>
      <c r="D323" s="57">
        <v>510.12</v>
      </c>
      <c r="E323" s="58">
        <v>240</v>
      </c>
      <c r="F323" s="57">
        <v>0.24</v>
      </c>
      <c r="G323" s="56" t="s">
        <v>392</v>
      </c>
      <c r="H323" s="56" t="s">
        <v>2511</v>
      </c>
      <c r="I323" s="56" t="s">
        <v>345</v>
      </c>
      <c r="J323" s="56" t="s">
        <v>2617</v>
      </c>
      <c r="K323" s="57">
        <v>216.80199999999999</v>
      </c>
      <c r="L323" s="56" t="s">
        <v>3390</v>
      </c>
      <c r="M323" s="56" t="s">
        <v>2165</v>
      </c>
      <c r="N323" s="56" t="s">
        <v>44</v>
      </c>
      <c r="O323" s="58">
        <v>32</v>
      </c>
      <c r="P323" s="59" t="s">
        <v>2532</v>
      </c>
      <c r="Q323" s="56" t="s">
        <v>11</v>
      </c>
      <c r="U323">
        <v>3784367</v>
      </c>
      <c r="V323">
        <v>19.05</v>
      </c>
      <c r="W323">
        <v>0</v>
      </c>
      <c r="X323">
        <v>1.6</v>
      </c>
      <c r="Y323">
        <v>0.3</v>
      </c>
      <c r="Z323" t="s">
        <v>1952</v>
      </c>
      <c r="AA323" t="s">
        <v>963</v>
      </c>
      <c r="AB323" t="s">
        <v>2520</v>
      </c>
      <c r="AC323" s="45" t="s">
        <v>983</v>
      </c>
      <c r="AD323" t="s">
        <v>2171</v>
      </c>
      <c r="AE323" t="s">
        <v>3391</v>
      </c>
      <c r="AF323">
        <v>0.20646002400000002</v>
      </c>
    </row>
    <row r="324" spans="1:32" x14ac:dyDescent="0.25">
      <c r="A324" s="56">
        <v>3509640</v>
      </c>
      <c r="B324" s="56" t="s">
        <v>3387</v>
      </c>
      <c r="C324" s="56" t="s">
        <v>3393</v>
      </c>
      <c r="D324" s="57">
        <v>4240.37</v>
      </c>
      <c r="E324" s="58">
        <v>1995</v>
      </c>
      <c r="F324" s="57">
        <v>1.9950000000000001</v>
      </c>
      <c r="G324" s="56" t="s">
        <v>392</v>
      </c>
      <c r="H324" s="56" t="s">
        <v>2511</v>
      </c>
      <c r="I324" s="56" t="s">
        <v>345</v>
      </c>
      <c r="J324" s="56" t="s">
        <v>3394</v>
      </c>
      <c r="K324" s="57">
        <v>1802.1679999999999</v>
      </c>
      <c r="L324" s="56" t="s">
        <v>3395</v>
      </c>
      <c r="M324" s="56" t="s">
        <v>2160</v>
      </c>
      <c r="N324" s="56" t="s">
        <v>44</v>
      </c>
      <c r="O324" s="58">
        <v>31</v>
      </c>
      <c r="P324" s="59" t="s">
        <v>2532</v>
      </c>
      <c r="Q324" s="56" t="s">
        <v>11</v>
      </c>
      <c r="U324" s="52">
        <v>464578</v>
      </c>
      <c r="V324">
        <v>19.05</v>
      </c>
      <c r="W324">
        <v>0</v>
      </c>
      <c r="X324">
        <v>1.6</v>
      </c>
      <c r="Y324">
        <v>0.31</v>
      </c>
      <c r="Z324" t="s">
        <v>2821</v>
      </c>
      <c r="AA324" t="s">
        <v>963</v>
      </c>
      <c r="AB324" t="s">
        <v>2520</v>
      </c>
      <c r="AC324" t="s">
        <v>983</v>
      </c>
      <c r="AD324" t="s">
        <v>2171</v>
      </c>
      <c r="AE324" t="s">
        <v>3396</v>
      </c>
      <c r="AF324">
        <v>0.21334202480000003</v>
      </c>
    </row>
    <row r="325" spans="1:32" x14ac:dyDescent="0.25">
      <c r="A325" s="56">
        <v>3509640</v>
      </c>
      <c r="B325" s="56" t="s">
        <v>3387</v>
      </c>
      <c r="C325" s="56" t="s">
        <v>3397</v>
      </c>
      <c r="D325" s="57">
        <v>2554.85</v>
      </c>
      <c r="E325" s="58">
        <v>1202</v>
      </c>
      <c r="F325" s="57">
        <v>1.202</v>
      </c>
      <c r="G325" s="56" t="s">
        <v>392</v>
      </c>
      <c r="H325" s="56" t="s">
        <v>2511</v>
      </c>
      <c r="I325" s="56" t="s">
        <v>345</v>
      </c>
      <c r="J325" s="56" t="s">
        <v>3089</v>
      </c>
      <c r="K325" s="57">
        <v>1085.818</v>
      </c>
      <c r="L325" s="56" t="s">
        <v>3398</v>
      </c>
      <c r="M325" s="56" t="s">
        <v>2164</v>
      </c>
      <c r="N325" s="56" t="s">
        <v>44</v>
      </c>
      <c r="O325" s="58">
        <v>32</v>
      </c>
      <c r="P325" s="59" t="s">
        <v>2532</v>
      </c>
      <c r="Q325" s="56" t="s">
        <v>11</v>
      </c>
      <c r="U325" s="52">
        <v>3187716</v>
      </c>
      <c r="V325">
        <v>19.05</v>
      </c>
      <c r="W325">
        <v>0</v>
      </c>
      <c r="X325">
        <v>1.6</v>
      </c>
      <c r="Y325">
        <v>0.311</v>
      </c>
      <c r="Z325" t="s">
        <v>1914</v>
      </c>
      <c r="AA325" t="s">
        <v>963</v>
      </c>
      <c r="AB325" t="s">
        <v>2520</v>
      </c>
      <c r="AC325" t="s">
        <v>983</v>
      </c>
      <c r="AD325" t="s">
        <v>2171</v>
      </c>
      <c r="AE325" t="s">
        <v>3399</v>
      </c>
      <c r="AF325">
        <v>0.21403022488000004</v>
      </c>
    </row>
    <row r="326" spans="1:32" x14ac:dyDescent="0.25">
      <c r="A326" s="56">
        <v>3514376</v>
      </c>
      <c r="B326" s="56" t="s">
        <v>1645</v>
      </c>
      <c r="C326" s="56" t="s">
        <v>3400</v>
      </c>
      <c r="D326" s="57">
        <v>64.225999999999999</v>
      </c>
      <c r="E326" s="58">
        <v>521</v>
      </c>
      <c r="F326" s="57">
        <v>0.52100000000000002</v>
      </c>
      <c r="G326" s="56" t="s">
        <v>392</v>
      </c>
      <c r="H326" s="56" t="s">
        <v>2511</v>
      </c>
      <c r="I326" s="56" t="s">
        <v>345</v>
      </c>
      <c r="J326" s="56" t="s">
        <v>2542</v>
      </c>
      <c r="K326" s="57">
        <v>361.60500000000002</v>
      </c>
      <c r="L326" s="56" t="s">
        <v>1914</v>
      </c>
      <c r="M326" s="56" t="s">
        <v>1123</v>
      </c>
      <c r="N326" s="56" t="s">
        <v>37</v>
      </c>
      <c r="O326" s="58">
        <v>195</v>
      </c>
      <c r="P326" s="59" t="s">
        <v>2524</v>
      </c>
      <c r="Q326" s="56" t="s">
        <v>11</v>
      </c>
      <c r="U326" s="52">
        <v>3063589</v>
      </c>
      <c r="V326">
        <v>19.05</v>
      </c>
      <c r="W326">
        <v>0</v>
      </c>
      <c r="X326">
        <v>1.6</v>
      </c>
      <c r="Y326">
        <v>0.33</v>
      </c>
      <c r="Z326" t="s">
        <v>1914</v>
      </c>
      <c r="AA326" t="s">
        <v>963</v>
      </c>
      <c r="AB326" t="s">
        <v>2520</v>
      </c>
      <c r="AC326" t="s">
        <v>983</v>
      </c>
      <c r="AD326" t="s">
        <v>2171</v>
      </c>
      <c r="AE326" t="s">
        <v>3401</v>
      </c>
      <c r="AF326">
        <v>0.22710602640000005</v>
      </c>
    </row>
    <row r="327" spans="1:32" x14ac:dyDescent="0.25">
      <c r="A327" s="56">
        <v>3514376</v>
      </c>
      <c r="B327" s="56" t="s">
        <v>1645</v>
      </c>
      <c r="C327" s="56" t="s">
        <v>3402</v>
      </c>
      <c r="D327" s="57">
        <v>159.14699999999999</v>
      </c>
      <c r="E327" s="58">
        <v>1291</v>
      </c>
      <c r="F327" s="57">
        <v>1.2909999999999999</v>
      </c>
      <c r="G327" s="56" t="s">
        <v>392</v>
      </c>
      <c r="H327" s="56" t="s">
        <v>2511</v>
      </c>
      <c r="I327" s="56" t="s">
        <v>345</v>
      </c>
      <c r="J327" s="56" t="s">
        <v>2542</v>
      </c>
      <c r="K327" s="57">
        <v>896.03</v>
      </c>
      <c r="L327" s="56" t="s">
        <v>1914</v>
      </c>
      <c r="M327" s="56" t="s">
        <v>1123</v>
      </c>
      <c r="N327" s="56" t="s">
        <v>37</v>
      </c>
      <c r="O327" s="58">
        <v>195</v>
      </c>
      <c r="P327" s="59" t="s">
        <v>2524</v>
      </c>
      <c r="Q327" s="56" t="s">
        <v>11</v>
      </c>
      <c r="U327" s="52">
        <v>3453631</v>
      </c>
      <c r="V327">
        <v>19.05</v>
      </c>
      <c r="W327">
        <v>0</v>
      </c>
      <c r="X327">
        <v>1.6</v>
      </c>
      <c r="Y327">
        <v>0.35</v>
      </c>
      <c r="Z327" t="s">
        <v>1914</v>
      </c>
      <c r="AA327" t="s">
        <v>1003</v>
      </c>
      <c r="AB327" t="s">
        <v>2520</v>
      </c>
      <c r="AC327" t="s">
        <v>3367</v>
      </c>
      <c r="AD327" t="s">
        <v>2171</v>
      </c>
      <c r="AE327" t="s">
        <v>3403</v>
      </c>
      <c r="AF327">
        <v>0.24087002800000001</v>
      </c>
    </row>
    <row r="328" spans="1:32" x14ac:dyDescent="0.25">
      <c r="A328" s="56">
        <v>3514376</v>
      </c>
      <c r="B328" s="56" t="s">
        <v>1645</v>
      </c>
      <c r="C328" s="56" t="s">
        <v>3404</v>
      </c>
      <c r="D328" s="57">
        <v>214.99</v>
      </c>
      <c r="E328" s="58">
        <v>1744</v>
      </c>
      <c r="F328" s="57">
        <v>1.744</v>
      </c>
      <c r="G328" s="56" t="s">
        <v>392</v>
      </c>
      <c r="H328" s="56" t="s">
        <v>2511</v>
      </c>
      <c r="I328" s="56" t="s">
        <v>345</v>
      </c>
      <c r="J328" s="56" t="s">
        <v>3405</v>
      </c>
      <c r="K328" s="57">
        <v>1210.4390000000001</v>
      </c>
      <c r="L328" s="56" t="s">
        <v>1914</v>
      </c>
      <c r="M328" s="56" t="s">
        <v>1123</v>
      </c>
      <c r="N328" s="56" t="s">
        <v>37</v>
      </c>
      <c r="O328" s="58">
        <v>195</v>
      </c>
      <c r="P328" s="59" t="s">
        <v>2524</v>
      </c>
      <c r="Q328" s="56" t="s">
        <v>11</v>
      </c>
      <c r="U328" s="52">
        <v>2384088</v>
      </c>
      <c r="V328">
        <v>19.05</v>
      </c>
      <c r="W328">
        <v>0</v>
      </c>
      <c r="X328">
        <v>1.6</v>
      </c>
      <c r="Y328">
        <v>0.35499999999999998</v>
      </c>
      <c r="Z328" t="s">
        <v>1868</v>
      </c>
      <c r="AA328" t="s">
        <v>963</v>
      </c>
      <c r="AB328" t="s">
        <v>2520</v>
      </c>
      <c r="AC328" t="s">
        <v>983</v>
      </c>
      <c r="AD328" t="s">
        <v>2171</v>
      </c>
      <c r="AE328" t="s">
        <v>3406</v>
      </c>
      <c r="AF328">
        <v>0.24431102840000002</v>
      </c>
    </row>
    <row r="329" spans="1:32" x14ac:dyDescent="0.25">
      <c r="A329" s="56">
        <v>3515489</v>
      </c>
      <c r="B329" s="56" t="s">
        <v>1750</v>
      </c>
      <c r="C329" s="56" t="s">
        <v>3407</v>
      </c>
      <c r="D329" s="57">
        <v>50.487000000000002</v>
      </c>
      <c r="E329" s="58">
        <v>1021</v>
      </c>
      <c r="F329" s="57">
        <v>1.0209999999999999</v>
      </c>
      <c r="G329" s="56" t="s">
        <v>392</v>
      </c>
      <c r="H329" s="56" t="s">
        <v>2511</v>
      </c>
      <c r="I329" s="56" t="s">
        <v>345</v>
      </c>
      <c r="J329" s="56" t="s">
        <v>3408</v>
      </c>
      <c r="K329" s="57">
        <v>302.92200000000003</v>
      </c>
      <c r="L329" s="56" t="s">
        <v>3409</v>
      </c>
      <c r="M329" s="56" t="s">
        <v>2548</v>
      </c>
      <c r="N329" s="56" t="s">
        <v>37</v>
      </c>
      <c r="O329" s="58">
        <v>24</v>
      </c>
      <c r="P329" s="59" t="s">
        <v>2515</v>
      </c>
      <c r="Q329" s="56" t="s">
        <v>11</v>
      </c>
      <c r="U329" s="52">
        <v>1531612</v>
      </c>
      <c r="V329">
        <v>19.05</v>
      </c>
      <c r="W329">
        <v>0</v>
      </c>
      <c r="X329">
        <v>1.6</v>
      </c>
      <c r="Y329">
        <v>0.38</v>
      </c>
      <c r="Z329" t="s">
        <v>1914</v>
      </c>
      <c r="AA329" t="s">
        <v>963</v>
      </c>
      <c r="AB329" t="s">
        <v>2520</v>
      </c>
      <c r="AC329" t="s">
        <v>983</v>
      </c>
      <c r="AD329" t="s">
        <v>2171</v>
      </c>
      <c r="AE329" t="s">
        <v>3410</v>
      </c>
      <c r="AF329">
        <v>0.26151603040000004</v>
      </c>
    </row>
    <row r="330" spans="1:32" x14ac:dyDescent="0.25">
      <c r="A330" s="56">
        <v>3515521</v>
      </c>
      <c r="B330" s="56" t="s">
        <v>3411</v>
      </c>
      <c r="C330" s="56" t="s">
        <v>3412</v>
      </c>
      <c r="D330" s="57">
        <v>5.9859999999999998</v>
      </c>
      <c r="E330" s="57">
        <v>60.031999999999996</v>
      </c>
      <c r="F330" s="57">
        <v>6.0031999999999995E-2</v>
      </c>
      <c r="G330" s="56" t="s">
        <v>392</v>
      </c>
      <c r="H330" s="56" t="s">
        <v>2511</v>
      </c>
      <c r="I330" s="56" t="s">
        <v>345</v>
      </c>
      <c r="J330" s="56" t="s">
        <v>3413</v>
      </c>
      <c r="K330" s="57">
        <v>33.703000000000003</v>
      </c>
      <c r="L330" s="56" t="s">
        <v>3414</v>
      </c>
      <c r="M330" s="56" t="s">
        <v>3091</v>
      </c>
      <c r="N330" s="56" t="s">
        <v>37</v>
      </c>
      <c r="O330" s="58">
        <v>195</v>
      </c>
      <c r="P330" s="59" t="s">
        <v>2524</v>
      </c>
      <c r="Q330" s="56" t="s">
        <v>11</v>
      </c>
      <c r="U330" s="52">
        <v>1940236</v>
      </c>
      <c r="V330">
        <v>19.05</v>
      </c>
      <c r="W330">
        <v>0</v>
      </c>
      <c r="X330">
        <v>1.6</v>
      </c>
      <c r="Y330">
        <v>0.39</v>
      </c>
      <c r="Z330" t="s">
        <v>1881</v>
      </c>
      <c r="AA330" t="s">
        <v>963</v>
      </c>
      <c r="AB330" t="s">
        <v>2520</v>
      </c>
      <c r="AC330" t="s">
        <v>983</v>
      </c>
      <c r="AD330" t="s">
        <v>2171</v>
      </c>
      <c r="AE330" t="s">
        <v>3415</v>
      </c>
      <c r="AF330">
        <v>0.26839803120000005</v>
      </c>
    </row>
    <row r="331" spans="1:32" x14ac:dyDescent="0.25">
      <c r="A331" s="56">
        <v>3517682</v>
      </c>
      <c r="B331" s="56" t="s">
        <v>3416</v>
      </c>
      <c r="C331" s="56" t="s">
        <v>3417</v>
      </c>
      <c r="D331" s="57">
        <v>218.77</v>
      </c>
      <c r="E331" s="58">
        <v>1028</v>
      </c>
      <c r="F331" s="57">
        <v>1.028</v>
      </c>
      <c r="G331" s="56" t="s">
        <v>392</v>
      </c>
      <c r="H331" s="56" t="s">
        <v>2511</v>
      </c>
      <c r="I331" s="56" t="s">
        <v>345</v>
      </c>
      <c r="J331" s="56" t="s">
        <v>3418</v>
      </c>
      <c r="K331" s="57">
        <v>1262.279</v>
      </c>
      <c r="L331" s="56" t="s">
        <v>1914</v>
      </c>
      <c r="M331" s="56" t="s">
        <v>1123</v>
      </c>
      <c r="N331" s="56" t="s">
        <v>37</v>
      </c>
      <c r="O331" s="58">
        <v>47</v>
      </c>
      <c r="P331" s="59" t="s">
        <v>2532</v>
      </c>
      <c r="Q331" s="56" t="s">
        <v>11</v>
      </c>
      <c r="U331" s="52">
        <v>3122347</v>
      </c>
      <c r="V331">
        <v>19.05</v>
      </c>
      <c r="W331">
        <v>0</v>
      </c>
      <c r="X331">
        <v>1.6</v>
      </c>
      <c r="Y331">
        <v>0.39400000000000002</v>
      </c>
      <c r="Z331" t="s">
        <v>1924</v>
      </c>
      <c r="AA331" t="s">
        <v>963</v>
      </c>
      <c r="AB331" t="s">
        <v>2520</v>
      </c>
      <c r="AC331" t="s">
        <v>986</v>
      </c>
      <c r="AD331" t="s">
        <v>2171</v>
      </c>
      <c r="AE331" t="s">
        <v>2282</v>
      </c>
      <c r="AF331">
        <v>0.27115083152000008</v>
      </c>
    </row>
    <row r="332" spans="1:32" x14ac:dyDescent="0.25">
      <c r="A332" s="56">
        <v>3517682</v>
      </c>
      <c r="B332" s="56" t="s">
        <v>3416</v>
      </c>
      <c r="C332" s="56" t="s">
        <v>3419</v>
      </c>
      <c r="D332" s="57">
        <v>339.86</v>
      </c>
      <c r="E332" s="58">
        <v>1597</v>
      </c>
      <c r="F332" s="57">
        <v>1.597</v>
      </c>
      <c r="G332" s="56" t="s">
        <v>392</v>
      </c>
      <c r="H332" s="56" t="s">
        <v>2511</v>
      </c>
      <c r="I332" s="56" t="s">
        <v>345</v>
      </c>
      <c r="J332" s="56" t="s">
        <v>3420</v>
      </c>
      <c r="K332" s="57">
        <v>1960.953</v>
      </c>
      <c r="L332" s="56" t="s">
        <v>1914</v>
      </c>
      <c r="M332" s="56" t="s">
        <v>1123</v>
      </c>
      <c r="N332" s="56" t="s">
        <v>37</v>
      </c>
      <c r="O332" s="58">
        <v>47</v>
      </c>
      <c r="P332" s="59" t="s">
        <v>2532</v>
      </c>
      <c r="Q332" s="56" t="s">
        <v>11</v>
      </c>
      <c r="U332" s="52">
        <v>1940241</v>
      </c>
      <c r="V332">
        <v>19.05</v>
      </c>
      <c r="W332">
        <v>0</v>
      </c>
      <c r="X332">
        <v>1.6</v>
      </c>
      <c r="Y332">
        <v>0.435</v>
      </c>
      <c r="Z332" t="s">
        <v>1881</v>
      </c>
      <c r="AA332" t="s">
        <v>963</v>
      </c>
      <c r="AB332" t="s">
        <v>2520</v>
      </c>
      <c r="AC332" t="s">
        <v>983</v>
      </c>
      <c r="AD332" t="s">
        <v>2171</v>
      </c>
      <c r="AE332" t="s">
        <v>3421</v>
      </c>
      <c r="AF332">
        <v>0.29936703480000004</v>
      </c>
    </row>
    <row r="333" spans="1:32" x14ac:dyDescent="0.25">
      <c r="A333" s="56">
        <v>3517682</v>
      </c>
      <c r="B333" s="56" t="s">
        <v>3416</v>
      </c>
      <c r="C333" s="56" t="s">
        <v>3422</v>
      </c>
      <c r="D333" s="57">
        <v>45.116</v>
      </c>
      <c r="E333" s="58">
        <v>212</v>
      </c>
      <c r="F333" s="57">
        <v>0.21199999999999999</v>
      </c>
      <c r="G333" s="56" t="s">
        <v>392</v>
      </c>
      <c r="H333" s="56" t="s">
        <v>2511</v>
      </c>
      <c r="I333" s="56" t="s">
        <v>345</v>
      </c>
      <c r="J333" s="56" t="s">
        <v>3423</v>
      </c>
      <c r="K333" s="57">
        <v>260.31400000000002</v>
      </c>
      <c r="L333" s="56" t="s">
        <v>1914</v>
      </c>
      <c r="M333" s="56" t="s">
        <v>1123</v>
      </c>
      <c r="N333" s="56" t="s">
        <v>37</v>
      </c>
      <c r="O333" s="58">
        <v>47</v>
      </c>
      <c r="P333" s="59" t="s">
        <v>2532</v>
      </c>
      <c r="Q333" s="56" t="s">
        <v>11</v>
      </c>
      <c r="U333" s="52">
        <v>3510171</v>
      </c>
      <c r="V333">
        <v>19.05</v>
      </c>
      <c r="W333">
        <v>0</v>
      </c>
      <c r="X333">
        <v>1.6</v>
      </c>
      <c r="Y333">
        <v>0.46899999999999997</v>
      </c>
      <c r="Z333" t="s">
        <v>1914</v>
      </c>
      <c r="AA333" t="s">
        <v>1003</v>
      </c>
      <c r="AB333" t="s">
        <v>2520</v>
      </c>
      <c r="AC333" t="s">
        <v>3367</v>
      </c>
      <c r="AD333" t="s">
        <v>2171</v>
      </c>
      <c r="AE333" t="s">
        <v>3424</v>
      </c>
      <c r="AF333">
        <v>0.32276583752000004</v>
      </c>
    </row>
    <row r="334" spans="1:32" x14ac:dyDescent="0.25">
      <c r="A334" s="56">
        <v>3517684</v>
      </c>
      <c r="B334" s="56" t="s">
        <v>3425</v>
      </c>
      <c r="C334" s="56" t="s">
        <v>3426</v>
      </c>
      <c r="D334" s="57">
        <v>176.196</v>
      </c>
      <c r="E334" s="58">
        <v>1775</v>
      </c>
      <c r="F334" s="57">
        <v>1.7749999999999999</v>
      </c>
      <c r="G334" s="56" t="s">
        <v>392</v>
      </c>
      <c r="H334" s="56" t="s">
        <v>2511</v>
      </c>
      <c r="I334" s="56" t="s">
        <v>345</v>
      </c>
      <c r="J334" s="56" t="s">
        <v>3413</v>
      </c>
      <c r="K334" s="57">
        <v>1092.442</v>
      </c>
      <c r="L334" s="56" t="s">
        <v>3427</v>
      </c>
      <c r="M334" s="56" t="s">
        <v>2537</v>
      </c>
      <c r="N334" s="56" t="s">
        <v>37</v>
      </c>
      <c r="O334" s="58">
        <v>49</v>
      </c>
      <c r="P334" s="59" t="s">
        <v>2532</v>
      </c>
      <c r="Q334" s="56" t="s">
        <v>11</v>
      </c>
      <c r="U334" s="52">
        <v>3210052</v>
      </c>
      <c r="V334">
        <v>19.05</v>
      </c>
      <c r="W334">
        <v>0</v>
      </c>
      <c r="X334">
        <v>1.6</v>
      </c>
      <c r="Y334">
        <v>0.46899999999999997</v>
      </c>
      <c r="Z334" t="s">
        <v>1914</v>
      </c>
      <c r="AA334" t="s">
        <v>963</v>
      </c>
      <c r="AB334" t="s">
        <v>2520</v>
      </c>
      <c r="AC334" t="s">
        <v>983</v>
      </c>
      <c r="AD334" t="s">
        <v>2171</v>
      </c>
      <c r="AE334" t="s">
        <v>3428</v>
      </c>
      <c r="AF334">
        <v>0.32276583752000004</v>
      </c>
    </row>
    <row r="335" spans="1:32" x14ac:dyDescent="0.25">
      <c r="A335" s="56">
        <v>3517684</v>
      </c>
      <c r="B335" s="56" t="s">
        <v>3425</v>
      </c>
      <c r="C335" s="56" t="s">
        <v>3429</v>
      </c>
      <c r="D335" s="57">
        <v>193.56800000000001</v>
      </c>
      <c r="E335" s="58">
        <v>1950</v>
      </c>
      <c r="F335" s="57">
        <v>1.95</v>
      </c>
      <c r="G335" s="56" t="s">
        <v>392</v>
      </c>
      <c r="H335" s="56" t="s">
        <v>2511</v>
      </c>
      <c r="I335" s="56" t="s">
        <v>345</v>
      </c>
      <c r="J335" s="56" t="s">
        <v>3430</v>
      </c>
      <c r="K335" s="57">
        <v>1200.1479999999999</v>
      </c>
      <c r="L335" s="56" t="s">
        <v>3427</v>
      </c>
      <c r="M335" s="56" t="s">
        <v>2537</v>
      </c>
      <c r="N335" s="56" t="s">
        <v>37</v>
      </c>
      <c r="O335" s="58">
        <v>49</v>
      </c>
      <c r="P335" s="59" t="s">
        <v>2532</v>
      </c>
      <c r="Q335" s="56" t="s">
        <v>11</v>
      </c>
      <c r="U335" s="52">
        <v>3213875</v>
      </c>
      <c r="V335">
        <v>19.05</v>
      </c>
      <c r="W335">
        <v>0</v>
      </c>
      <c r="X335">
        <v>1.6</v>
      </c>
      <c r="Y335">
        <v>0.48499999999999999</v>
      </c>
      <c r="Z335" t="s">
        <v>1924</v>
      </c>
      <c r="AA335" t="s">
        <v>963</v>
      </c>
      <c r="AB335" t="s">
        <v>2520</v>
      </c>
      <c r="AC335" t="s">
        <v>986</v>
      </c>
      <c r="AD335" t="s">
        <v>2171</v>
      </c>
      <c r="AE335" t="s">
        <v>3431</v>
      </c>
      <c r="AF335">
        <v>0.33377703880000004</v>
      </c>
    </row>
    <row r="336" spans="1:32" x14ac:dyDescent="0.25">
      <c r="A336" s="56">
        <v>3517684</v>
      </c>
      <c r="B336" s="56" t="s">
        <v>3425</v>
      </c>
      <c r="C336" s="56" t="s">
        <v>3432</v>
      </c>
      <c r="D336" s="57">
        <v>193.071</v>
      </c>
      <c r="E336" s="58">
        <v>1945</v>
      </c>
      <c r="F336" s="57">
        <v>1.9450000000000001</v>
      </c>
      <c r="G336" s="56" t="s">
        <v>392</v>
      </c>
      <c r="H336" s="56" t="s">
        <v>2511</v>
      </c>
      <c r="I336" s="56" t="s">
        <v>345</v>
      </c>
      <c r="J336" s="56" t="s">
        <v>3430</v>
      </c>
      <c r="K336" s="57">
        <v>1197.07</v>
      </c>
      <c r="L336" s="56" t="s">
        <v>3427</v>
      </c>
      <c r="M336" s="56" t="s">
        <v>2537</v>
      </c>
      <c r="N336" s="56" t="s">
        <v>37</v>
      </c>
      <c r="O336" s="58">
        <v>49</v>
      </c>
      <c r="P336" s="59" t="s">
        <v>2532</v>
      </c>
      <c r="Q336" s="56" t="s">
        <v>11</v>
      </c>
      <c r="U336" s="52">
        <v>1940247</v>
      </c>
      <c r="V336">
        <v>19.05</v>
      </c>
      <c r="W336">
        <v>0</v>
      </c>
      <c r="X336">
        <v>1.6</v>
      </c>
      <c r="Y336">
        <v>0.59499999999999997</v>
      </c>
      <c r="Z336" t="s">
        <v>1891</v>
      </c>
      <c r="AA336" t="s">
        <v>963</v>
      </c>
      <c r="AB336" t="s">
        <v>2520</v>
      </c>
      <c r="AC336" t="s">
        <v>983</v>
      </c>
      <c r="AD336" t="s">
        <v>2171</v>
      </c>
      <c r="AE336" t="s">
        <v>2200</v>
      </c>
      <c r="AF336">
        <v>0.40947904760000003</v>
      </c>
    </row>
    <row r="337" spans="1:32" x14ac:dyDescent="0.25">
      <c r="A337" s="56">
        <v>3517684</v>
      </c>
      <c r="B337" s="56" t="s">
        <v>3425</v>
      </c>
      <c r="C337" s="56" t="s">
        <v>3433</v>
      </c>
      <c r="D337" s="57">
        <v>149.99</v>
      </c>
      <c r="E337" s="58">
        <v>1511</v>
      </c>
      <c r="F337" s="57">
        <v>1.5109999999999999</v>
      </c>
      <c r="G337" s="56" t="s">
        <v>392</v>
      </c>
      <c r="H337" s="56" t="s">
        <v>2511</v>
      </c>
      <c r="I337" s="56" t="s">
        <v>345</v>
      </c>
      <c r="J337" s="56" t="s">
        <v>3434</v>
      </c>
      <c r="K337" s="57">
        <v>929.96100000000001</v>
      </c>
      <c r="L337" s="56" t="s">
        <v>3427</v>
      </c>
      <c r="M337" s="56" t="s">
        <v>2537</v>
      </c>
      <c r="N337" s="56" t="s">
        <v>37</v>
      </c>
      <c r="O337" s="58">
        <v>6</v>
      </c>
      <c r="P337" s="59" t="s">
        <v>2515</v>
      </c>
      <c r="Q337" s="56" t="s">
        <v>11</v>
      </c>
      <c r="U337" s="52">
        <v>236341</v>
      </c>
      <c r="V337">
        <v>19.05</v>
      </c>
      <c r="W337">
        <v>0</v>
      </c>
      <c r="X337">
        <v>1.6</v>
      </c>
      <c r="Y337">
        <v>0.61</v>
      </c>
      <c r="Z337" t="s">
        <v>2821</v>
      </c>
      <c r="AA337" t="s">
        <v>963</v>
      </c>
      <c r="AB337" t="s">
        <v>2520</v>
      </c>
      <c r="AC337" t="s">
        <v>983</v>
      </c>
      <c r="AD337" t="s">
        <v>2171</v>
      </c>
      <c r="AE337" t="s">
        <v>2284</v>
      </c>
      <c r="AF337">
        <v>0.41980204880000005</v>
      </c>
    </row>
    <row r="338" spans="1:32" x14ac:dyDescent="0.25">
      <c r="A338" s="56">
        <v>3517684</v>
      </c>
      <c r="B338" s="56" t="s">
        <v>3425</v>
      </c>
      <c r="C338" s="56" t="s">
        <v>3435</v>
      </c>
      <c r="D338" s="57">
        <v>190.09299999999999</v>
      </c>
      <c r="E338" s="58">
        <v>1915</v>
      </c>
      <c r="F338" s="57">
        <v>1.915</v>
      </c>
      <c r="G338" s="56" t="s">
        <v>392</v>
      </c>
      <c r="H338" s="56" t="s">
        <v>2511</v>
      </c>
      <c r="I338" s="56" t="s">
        <v>345</v>
      </c>
      <c r="J338" s="56" t="s">
        <v>3436</v>
      </c>
      <c r="K338" s="57">
        <v>1178.607</v>
      </c>
      <c r="L338" s="56" t="s">
        <v>3427</v>
      </c>
      <c r="M338" s="56" t="s">
        <v>2537</v>
      </c>
      <c r="N338" s="56" t="s">
        <v>37</v>
      </c>
      <c r="O338" s="58">
        <v>49</v>
      </c>
      <c r="P338" s="59" t="s">
        <v>2532</v>
      </c>
      <c r="Q338" s="56" t="s">
        <v>11</v>
      </c>
      <c r="U338" s="52">
        <v>2331953</v>
      </c>
      <c r="V338">
        <v>19.05</v>
      </c>
      <c r="W338">
        <v>0</v>
      </c>
      <c r="X338">
        <v>1.6</v>
      </c>
      <c r="Y338">
        <v>0.61</v>
      </c>
      <c r="Z338" t="s">
        <v>1881</v>
      </c>
      <c r="AA338" t="s">
        <v>963</v>
      </c>
      <c r="AB338" t="s">
        <v>2520</v>
      </c>
      <c r="AC338" t="s">
        <v>983</v>
      </c>
      <c r="AD338" t="s">
        <v>2171</v>
      </c>
      <c r="AE338" t="s">
        <v>2284</v>
      </c>
      <c r="AF338">
        <v>0.41980204880000005</v>
      </c>
    </row>
    <row r="339" spans="1:32" x14ac:dyDescent="0.25">
      <c r="A339" s="56">
        <v>3517684</v>
      </c>
      <c r="B339" s="56" t="s">
        <v>3425</v>
      </c>
      <c r="C339" s="56" t="s">
        <v>3437</v>
      </c>
      <c r="D339" s="57">
        <v>191.08600000000001</v>
      </c>
      <c r="E339" s="58">
        <v>1925</v>
      </c>
      <c r="F339" s="57">
        <v>1.925</v>
      </c>
      <c r="G339" s="56" t="s">
        <v>392</v>
      </c>
      <c r="H339" s="56" t="s">
        <v>2511</v>
      </c>
      <c r="I339" s="56" t="s">
        <v>345</v>
      </c>
      <c r="J339" s="56" t="s">
        <v>2964</v>
      </c>
      <c r="K339" s="57">
        <v>1184.761</v>
      </c>
      <c r="L339" s="56" t="s">
        <v>3427</v>
      </c>
      <c r="M339" s="56" t="s">
        <v>2537</v>
      </c>
      <c r="N339" s="56" t="s">
        <v>37</v>
      </c>
      <c r="O339" s="58">
        <v>49</v>
      </c>
      <c r="P339" s="59" t="s">
        <v>2532</v>
      </c>
      <c r="Q339" s="56" t="s">
        <v>11</v>
      </c>
      <c r="U339" s="52">
        <v>2425969</v>
      </c>
      <c r="V339">
        <v>19.05</v>
      </c>
      <c r="W339">
        <v>0</v>
      </c>
      <c r="X339">
        <v>1.6</v>
      </c>
      <c r="Y339">
        <v>0.77500000000000002</v>
      </c>
      <c r="Z339" t="s">
        <v>1924</v>
      </c>
      <c r="AA339" t="s">
        <v>1003</v>
      </c>
      <c r="AB339" t="s">
        <v>2520</v>
      </c>
      <c r="AC339" t="s">
        <v>986</v>
      </c>
      <c r="AD339" t="s">
        <v>2171</v>
      </c>
      <c r="AE339" t="s">
        <v>2285</v>
      </c>
      <c r="AF339">
        <v>0.53335506200000005</v>
      </c>
    </row>
    <row r="340" spans="1:32" x14ac:dyDescent="0.25">
      <c r="A340" s="56">
        <v>3517684</v>
      </c>
      <c r="B340" s="56" t="s">
        <v>3425</v>
      </c>
      <c r="C340" s="56" t="s">
        <v>3438</v>
      </c>
      <c r="D340" s="57">
        <v>197.53800000000001</v>
      </c>
      <c r="E340" s="58">
        <v>1990</v>
      </c>
      <c r="F340" s="57">
        <v>1.99</v>
      </c>
      <c r="G340" s="56" t="s">
        <v>392</v>
      </c>
      <c r="H340" s="56" t="s">
        <v>2511</v>
      </c>
      <c r="I340" s="56" t="s">
        <v>345</v>
      </c>
      <c r="J340" s="56" t="s">
        <v>3430</v>
      </c>
      <c r="K340" s="57">
        <v>1224.7660000000001</v>
      </c>
      <c r="L340" s="56" t="s">
        <v>3427</v>
      </c>
      <c r="M340" s="56" t="s">
        <v>2537</v>
      </c>
      <c r="N340" s="56" t="s">
        <v>37</v>
      </c>
      <c r="O340" s="58">
        <v>49</v>
      </c>
      <c r="P340" s="59" t="s">
        <v>2532</v>
      </c>
      <c r="Q340" s="56" t="s">
        <v>11</v>
      </c>
      <c r="U340" s="52">
        <v>1908799</v>
      </c>
      <c r="V340">
        <v>19.05</v>
      </c>
      <c r="W340">
        <v>0</v>
      </c>
      <c r="X340">
        <v>1.6</v>
      </c>
      <c r="Y340">
        <v>0.77500000000000002</v>
      </c>
      <c r="Z340" t="s">
        <v>1952</v>
      </c>
      <c r="AA340" t="s">
        <v>963</v>
      </c>
      <c r="AB340" t="s">
        <v>2520</v>
      </c>
      <c r="AC340" t="s">
        <v>983</v>
      </c>
      <c r="AD340" t="s">
        <v>2171</v>
      </c>
      <c r="AE340" t="s">
        <v>3439</v>
      </c>
      <c r="AF340">
        <v>0.53335506200000005</v>
      </c>
    </row>
    <row r="341" spans="1:32" x14ac:dyDescent="0.25">
      <c r="A341" s="56">
        <v>3517684</v>
      </c>
      <c r="B341" s="56" t="s">
        <v>3425</v>
      </c>
      <c r="C341" s="56" t="s">
        <v>3440</v>
      </c>
      <c r="D341" s="57">
        <v>193.071</v>
      </c>
      <c r="E341" s="58">
        <v>1945</v>
      </c>
      <c r="F341" s="57">
        <v>1.9450000000000001</v>
      </c>
      <c r="G341" s="56" t="s">
        <v>392</v>
      </c>
      <c r="H341" s="56" t="s">
        <v>2511</v>
      </c>
      <c r="I341" s="56" t="s">
        <v>345</v>
      </c>
      <c r="J341" s="56" t="s">
        <v>3441</v>
      </c>
      <c r="K341" s="57">
        <v>1197.07</v>
      </c>
      <c r="L341" s="56" t="s">
        <v>3427</v>
      </c>
      <c r="M341" s="56" t="s">
        <v>2537</v>
      </c>
      <c r="N341" s="56" t="s">
        <v>37</v>
      </c>
      <c r="O341" s="58">
        <v>49</v>
      </c>
      <c r="P341" s="59" t="s">
        <v>2532</v>
      </c>
      <c r="Q341" s="56" t="s">
        <v>11</v>
      </c>
      <c r="U341">
        <v>3841883</v>
      </c>
      <c r="V341">
        <v>19.05</v>
      </c>
      <c r="W341">
        <v>0</v>
      </c>
      <c r="X341">
        <v>1.6</v>
      </c>
      <c r="Y341">
        <v>0.77500000000000002</v>
      </c>
      <c r="Z341" t="s">
        <v>1924</v>
      </c>
      <c r="AA341" t="s">
        <v>963</v>
      </c>
      <c r="AB341" t="s">
        <v>2520</v>
      </c>
      <c r="AC341" t="s">
        <v>986</v>
      </c>
      <c r="AD341" t="s">
        <v>2171</v>
      </c>
      <c r="AE341" t="s">
        <v>2285</v>
      </c>
      <c r="AF341">
        <v>0.53335506200000005</v>
      </c>
    </row>
    <row r="342" spans="1:32" x14ac:dyDescent="0.25">
      <c r="A342" s="56">
        <v>3517684</v>
      </c>
      <c r="B342" s="56" t="s">
        <v>3425</v>
      </c>
      <c r="C342" s="56" t="s">
        <v>3442</v>
      </c>
      <c r="D342" s="57">
        <v>198.035</v>
      </c>
      <c r="E342" s="58">
        <v>1995</v>
      </c>
      <c r="F342" s="57">
        <v>1.9950000000000001</v>
      </c>
      <c r="G342" s="56" t="s">
        <v>392</v>
      </c>
      <c r="H342" s="56" t="s">
        <v>2511</v>
      </c>
      <c r="I342" s="56" t="s">
        <v>345</v>
      </c>
      <c r="J342" s="56" t="s">
        <v>3443</v>
      </c>
      <c r="K342" s="57">
        <v>1227.8430000000001</v>
      </c>
      <c r="L342" s="56" t="s">
        <v>3427</v>
      </c>
      <c r="M342" s="56" t="s">
        <v>2537</v>
      </c>
      <c r="N342" s="56" t="s">
        <v>37</v>
      </c>
      <c r="O342" s="58">
        <v>49</v>
      </c>
      <c r="P342" s="59" t="s">
        <v>2532</v>
      </c>
      <c r="Q342" s="56" t="s">
        <v>11</v>
      </c>
      <c r="U342">
        <v>4109613</v>
      </c>
      <c r="V342">
        <v>19.05</v>
      </c>
      <c r="W342">
        <v>0</v>
      </c>
      <c r="X342">
        <v>1.6</v>
      </c>
      <c r="Y342">
        <v>0.77500000000000002</v>
      </c>
      <c r="Z342" t="s">
        <v>1924</v>
      </c>
      <c r="AA342" t="s">
        <v>963</v>
      </c>
      <c r="AB342" t="s">
        <v>2520</v>
      </c>
      <c r="AC342" t="s">
        <v>471</v>
      </c>
      <c r="AD342" t="s">
        <v>2171</v>
      </c>
      <c r="AE342" t="s">
        <v>3444</v>
      </c>
      <c r="AF342">
        <v>0.53335506200000005</v>
      </c>
    </row>
    <row r="343" spans="1:32" x14ac:dyDescent="0.25">
      <c r="A343" s="56">
        <v>3517684</v>
      </c>
      <c r="B343" s="56" t="s">
        <v>3425</v>
      </c>
      <c r="C343" s="56" t="s">
        <v>3445</v>
      </c>
      <c r="D343" s="57">
        <v>192.57499999999999</v>
      </c>
      <c r="E343" s="58">
        <v>1940</v>
      </c>
      <c r="F343" s="57">
        <v>1.94</v>
      </c>
      <c r="G343" s="56" t="s">
        <v>392</v>
      </c>
      <c r="H343" s="56" t="s">
        <v>2511</v>
      </c>
      <c r="I343" s="56" t="s">
        <v>345</v>
      </c>
      <c r="J343" s="56" t="s">
        <v>3436</v>
      </c>
      <c r="K343" s="57">
        <v>1193.9929999999999</v>
      </c>
      <c r="L343" s="56" t="s">
        <v>3427</v>
      </c>
      <c r="M343" s="56" t="s">
        <v>2537</v>
      </c>
      <c r="N343" s="56" t="s">
        <v>37</v>
      </c>
      <c r="O343" s="58">
        <v>49</v>
      </c>
      <c r="P343" s="59" t="s">
        <v>2532</v>
      </c>
      <c r="Q343" s="56" t="s">
        <v>11</v>
      </c>
      <c r="U343" s="52">
        <v>2418569</v>
      </c>
      <c r="V343">
        <v>19.05</v>
      </c>
      <c r="W343">
        <v>0</v>
      </c>
      <c r="X343">
        <v>1.6</v>
      </c>
      <c r="Y343">
        <v>1.405</v>
      </c>
      <c r="Z343" t="s">
        <v>1881</v>
      </c>
      <c r="AA343" t="s">
        <v>963</v>
      </c>
      <c r="AB343" t="s">
        <v>2520</v>
      </c>
      <c r="AC343" t="s">
        <v>983</v>
      </c>
      <c r="AD343" t="s">
        <v>2171</v>
      </c>
      <c r="AE343" t="s">
        <v>3446</v>
      </c>
      <c r="AF343">
        <v>0.96692111240000012</v>
      </c>
    </row>
    <row r="344" spans="1:32" x14ac:dyDescent="0.25">
      <c r="A344" s="56">
        <v>3518158</v>
      </c>
      <c r="B344" s="56" t="s">
        <v>1311</v>
      </c>
      <c r="C344" s="56" t="s">
        <v>3447</v>
      </c>
      <c r="D344" s="57">
        <v>1735.211</v>
      </c>
      <c r="E344" s="57">
        <v>862.4</v>
      </c>
      <c r="F344" s="57">
        <v>0.86239999999999994</v>
      </c>
      <c r="G344" s="56" t="s">
        <v>392</v>
      </c>
      <c r="H344" s="56" t="s">
        <v>2511</v>
      </c>
      <c r="I344" s="56" t="s">
        <v>345</v>
      </c>
      <c r="J344" s="56" t="s">
        <v>3448</v>
      </c>
      <c r="K344" s="57">
        <v>1900.816</v>
      </c>
      <c r="L344" s="56" t="s">
        <v>3449</v>
      </c>
      <c r="M344" s="56" t="s">
        <v>2810</v>
      </c>
      <c r="N344" s="56" t="s">
        <v>151</v>
      </c>
      <c r="O344" s="58">
        <v>44</v>
      </c>
      <c r="P344" s="59" t="s">
        <v>2532</v>
      </c>
      <c r="Q344" s="56" t="s">
        <v>11</v>
      </c>
      <c r="U344" s="52">
        <v>235953</v>
      </c>
      <c r="V344">
        <v>19.05</v>
      </c>
      <c r="W344">
        <v>0</v>
      </c>
      <c r="X344">
        <v>1.6</v>
      </c>
      <c r="Y344">
        <v>5.4749999999999996</v>
      </c>
      <c r="Z344" t="s">
        <v>3450</v>
      </c>
      <c r="AA344" t="s">
        <v>963</v>
      </c>
      <c r="AB344" t="s">
        <v>2520</v>
      </c>
      <c r="AC344" t="s">
        <v>983</v>
      </c>
      <c r="AD344" t="s">
        <v>1838</v>
      </c>
      <c r="AE344" t="s">
        <v>3451</v>
      </c>
      <c r="AF344">
        <v>0.6882000800000001</v>
      </c>
    </row>
    <row r="345" spans="1:32" x14ac:dyDescent="0.25">
      <c r="A345" s="56">
        <v>3518158</v>
      </c>
      <c r="B345" s="56" t="s">
        <v>1311</v>
      </c>
      <c r="C345" s="56" t="s">
        <v>3452</v>
      </c>
      <c r="D345" s="57">
        <v>283.702</v>
      </c>
      <c r="E345" s="58">
        <v>141</v>
      </c>
      <c r="F345" s="57">
        <v>0.14099999999999999</v>
      </c>
      <c r="G345" s="56" t="s">
        <v>392</v>
      </c>
      <c r="H345" s="56" t="s">
        <v>2511</v>
      </c>
      <c r="I345" s="56" t="s">
        <v>345</v>
      </c>
      <c r="J345" s="56" t="s">
        <v>3453</v>
      </c>
      <c r="K345" s="57">
        <v>310.77800000000002</v>
      </c>
      <c r="L345" s="56" t="s">
        <v>3449</v>
      </c>
      <c r="M345" s="56" t="s">
        <v>2810</v>
      </c>
      <c r="N345" s="56" t="s">
        <v>151</v>
      </c>
      <c r="O345" s="58">
        <v>42</v>
      </c>
      <c r="P345" s="59" t="s">
        <v>2532</v>
      </c>
      <c r="Q345" s="56" t="s">
        <v>11</v>
      </c>
      <c r="U345" s="52">
        <v>3498997</v>
      </c>
      <c r="V345">
        <v>19.05</v>
      </c>
      <c r="W345">
        <v>0</v>
      </c>
      <c r="X345">
        <v>1.6</v>
      </c>
      <c r="Y345">
        <v>6</v>
      </c>
      <c r="Z345" t="s">
        <v>1914</v>
      </c>
      <c r="AA345" t="s">
        <v>963</v>
      </c>
      <c r="AB345" t="s">
        <v>2520</v>
      </c>
      <c r="AC345" t="s">
        <v>983</v>
      </c>
      <c r="AD345" t="s">
        <v>1838</v>
      </c>
      <c r="AE345" t="s">
        <v>3451</v>
      </c>
      <c r="AF345">
        <v>0.6882000800000001</v>
      </c>
    </row>
    <row r="346" spans="1:32" x14ac:dyDescent="0.25">
      <c r="A346" s="56">
        <v>3531648</v>
      </c>
      <c r="B346" s="56" t="s">
        <v>1737</v>
      </c>
      <c r="C346" s="56" t="s">
        <v>3454</v>
      </c>
      <c r="D346" s="57">
        <v>950.04</v>
      </c>
      <c r="E346" s="58">
        <v>1198</v>
      </c>
      <c r="F346" s="57">
        <v>1.198</v>
      </c>
      <c r="G346" s="56" t="s">
        <v>392</v>
      </c>
      <c r="H346" s="56" t="s">
        <v>2511</v>
      </c>
      <c r="I346" s="56" t="s">
        <v>345</v>
      </c>
      <c r="J346" s="56" t="s">
        <v>3024</v>
      </c>
      <c r="K346" s="57">
        <v>702.14499999999998</v>
      </c>
      <c r="L346" s="56" t="s">
        <v>3455</v>
      </c>
      <c r="M346" s="56" t="s">
        <v>2548</v>
      </c>
      <c r="N346" s="56" t="s">
        <v>39</v>
      </c>
      <c r="O346" s="58">
        <v>14</v>
      </c>
      <c r="P346" s="59" t="s">
        <v>2515</v>
      </c>
      <c r="Q346" s="56" t="s">
        <v>2516</v>
      </c>
      <c r="U346" s="52">
        <v>1940256</v>
      </c>
      <c r="V346">
        <v>19.05</v>
      </c>
      <c r="W346">
        <v>0</v>
      </c>
      <c r="X346">
        <v>1.6</v>
      </c>
      <c r="Y346">
        <v>6</v>
      </c>
      <c r="Z346" t="s">
        <v>1891</v>
      </c>
      <c r="AA346" t="s">
        <v>963</v>
      </c>
      <c r="AB346" t="s">
        <v>2520</v>
      </c>
      <c r="AC346" t="s">
        <v>983</v>
      </c>
      <c r="AD346" t="s">
        <v>1838</v>
      </c>
      <c r="AE346" t="s">
        <v>3451</v>
      </c>
      <c r="AF346">
        <v>0.6882000800000001</v>
      </c>
    </row>
    <row r="347" spans="1:32" x14ac:dyDescent="0.25">
      <c r="A347" s="56">
        <v>3531648</v>
      </c>
      <c r="B347" s="56" t="s">
        <v>1737</v>
      </c>
      <c r="C347" s="56" t="s">
        <v>3456</v>
      </c>
      <c r="D347" s="57">
        <v>930.21400000000006</v>
      </c>
      <c r="E347" s="58">
        <v>1173</v>
      </c>
      <c r="F347" s="57">
        <v>1.173</v>
      </c>
      <c r="G347" s="56" t="s">
        <v>392</v>
      </c>
      <c r="H347" s="56" t="s">
        <v>2511</v>
      </c>
      <c r="I347" s="56" t="s">
        <v>345</v>
      </c>
      <c r="J347" s="56" t="s">
        <v>3291</v>
      </c>
      <c r="K347" s="57">
        <v>687.49300000000005</v>
      </c>
      <c r="L347" s="56" t="s">
        <v>3457</v>
      </c>
      <c r="M347" s="56" t="s">
        <v>2537</v>
      </c>
      <c r="N347" s="56" t="s">
        <v>39</v>
      </c>
      <c r="O347" s="58">
        <v>14</v>
      </c>
      <c r="P347" s="59" t="s">
        <v>2515</v>
      </c>
      <c r="Q347" s="56" t="s">
        <v>2516</v>
      </c>
      <c r="U347" s="508">
        <v>3410965</v>
      </c>
      <c r="V347">
        <v>19.05</v>
      </c>
      <c r="W347">
        <v>0</v>
      </c>
      <c r="X347">
        <v>1.6</v>
      </c>
      <c r="Y347">
        <v>6</v>
      </c>
      <c r="Z347" t="s">
        <v>1924</v>
      </c>
      <c r="AA347" t="s">
        <v>963</v>
      </c>
      <c r="AB347" t="s">
        <v>2520</v>
      </c>
      <c r="AC347" t="s">
        <v>986</v>
      </c>
      <c r="AD347" t="s">
        <v>1838</v>
      </c>
      <c r="AE347" t="s">
        <v>3458</v>
      </c>
      <c r="AF347">
        <v>0.6882000800000001</v>
      </c>
    </row>
    <row r="348" spans="1:32" x14ac:dyDescent="0.25">
      <c r="A348" s="56">
        <v>3531648</v>
      </c>
      <c r="B348" s="56" t="s">
        <v>1737</v>
      </c>
      <c r="C348" s="56" t="s">
        <v>3459</v>
      </c>
      <c r="D348" s="57">
        <v>800.15899999999999</v>
      </c>
      <c r="E348" s="58">
        <v>1009</v>
      </c>
      <c r="F348" s="57">
        <v>1.0089999999999999</v>
      </c>
      <c r="G348" s="56" t="s">
        <v>392</v>
      </c>
      <c r="H348" s="56" t="s">
        <v>2511</v>
      </c>
      <c r="I348" s="56" t="s">
        <v>345</v>
      </c>
      <c r="J348" s="56" t="s">
        <v>2615</v>
      </c>
      <c r="K348" s="57">
        <v>591.37300000000005</v>
      </c>
      <c r="L348" s="56" t="s">
        <v>3457</v>
      </c>
      <c r="M348" s="56" t="s">
        <v>2537</v>
      </c>
      <c r="N348" s="56" t="s">
        <v>39</v>
      </c>
      <c r="O348" s="58">
        <v>14</v>
      </c>
      <c r="P348" s="59" t="s">
        <v>2515</v>
      </c>
      <c r="Q348" s="56" t="s">
        <v>2516</v>
      </c>
      <c r="U348" s="52">
        <v>3502496</v>
      </c>
      <c r="V348">
        <v>19.05</v>
      </c>
      <c r="W348">
        <v>0</v>
      </c>
      <c r="X348">
        <v>1.6</v>
      </c>
      <c r="Y348">
        <v>6.0010000000000003</v>
      </c>
      <c r="Z348" t="s">
        <v>1914</v>
      </c>
      <c r="AA348" t="s">
        <v>1003</v>
      </c>
      <c r="AB348" t="s">
        <v>2520</v>
      </c>
      <c r="AC348" t="s">
        <v>3367</v>
      </c>
      <c r="AD348" t="s">
        <v>1838</v>
      </c>
      <c r="AE348" t="s">
        <v>3460</v>
      </c>
      <c r="AF348">
        <v>0.6882000800000001</v>
      </c>
    </row>
    <row r="349" spans="1:32" x14ac:dyDescent="0.25">
      <c r="A349" s="56">
        <v>3531648</v>
      </c>
      <c r="B349" s="56" t="s">
        <v>1737</v>
      </c>
      <c r="C349" s="56" t="s">
        <v>3461</v>
      </c>
      <c r="D349" s="57">
        <v>900.07899999999995</v>
      </c>
      <c r="E349" s="58">
        <v>1135</v>
      </c>
      <c r="F349" s="57">
        <v>1.135</v>
      </c>
      <c r="G349" s="56" t="s">
        <v>392</v>
      </c>
      <c r="H349" s="56" t="s">
        <v>2511</v>
      </c>
      <c r="I349" s="56" t="s">
        <v>345</v>
      </c>
      <c r="J349" s="56" t="s">
        <v>3048</v>
      </c>
      <c r="K349" s="57">
        <v>665.221</v>
      </c>
      <c r="L349" s="56" t="s">
        <v>3457</v>
      </c>
      <c r="M349" s="56" t="s">
        <v>2537</v>
      </c>
      <c r="N349" s="56" t="s">
        <v>39</v>
      </c>
      <c r="O349" s="58">
        <v>14</v>
      </c>
      <c r="P349" s="59" t="s">
        <v>2515</v>
      </c>
      <c r="Q349" s="56" t="s">
        <v>2516</v>
      </c>
      <c r="U349" s="52">
        <v>111120700</v>
      </c>
      <c r="V349">
        <v>19.05</v>
      </c>
      <c r="W349">
        <v>0</v>
      </c>
      <c r="X349">
        <v>1.6</v>
      </c>
      <c r="Y349">
        <v>6.0010000000000003</v>
      </c>
      <c r="Z349" t="s">
        <v>1914</v>
      </c>
      <c r="AA349" t="s">
        <v>963</v>
      </c>
      <c r="AB349" t="s">
        <v>2520</v>
      </c>
      <c r="AC349" t="s">
        <v>983</v>
      </c>
      <c r="AD349" t="s">
        <v>1838</v>
      </c>
      <c r="AE349" t="s">
        <v>3451</v>
      </c>
      <c r="AF349">
        <v>0.6882000800000001</v>
      </c>
    </row>
    <row r="350" spans="1:32" x14ac:dyDescent="0.25">
      <c r="A350" s="56">
        <v>3531649</v>
      </c>
      <c r="B350" s="56" t="s">
        <v>1691</v>
      </c>
      <c r="C350" s="56" t="s">
        <v>3462</v>
      </c>
      <c r="D350" s="57">
        <v>148.44900000000001</v>
      </c>
      <c r="E350" s="57">
        <v>100.5</v>
      </c>
      <c r="F350" s="57">
        <v>0.10050000000000001</v>
      </c>
      <c r="G350" s="56" t="s">
        <v>392</v>
      </c>
      <c r="H350" s="56" t="s">
        <v>2511</v>
      </c>
      <c r="I350" s="56" t="s">
        <v>345</v>
      </c>
      <c r="J350" s="56" t="s">
        <v>3211</v>
      </c>
      <c r="K350" s="57">
        <v>61.948999999999998</v>
      </c>
      <c r="L350" s="56" t="s">
        <v>3463</v>
      </c>
      <c r="M350" s="56" t="s">
        <v>2605</v>
      </c>
      <c r="N350" s="56" t="s">
        <v>39</v>
      </c>
      <c r="O350" s="58">
        <v>37</v>
      </c>
      <c r="P350" s="59" t="s">
        <v>2532</v>
      </c>
      <c r="Q350" s="56" t="s">
        <v>2516</v>
      </c>
      <c r="U350" s="538">
        <v>111001724</v>
      </c>
      <c r="V350">
        <v>19.05</v>
      </c>
      <c r="W350">
        <v>0</v>
      </c>
      <c r="X350">
        <v>1.6</v>
      </c>
      <c r="Y350">
        <v>6.19</v>
      </c>
      <c r="Z350" t="s">
        <v>1891</v>
      </c>
      <c r="AA350" t="s">
        <v>963</v>
      </c>
      <c r="AB350" t="s">
        <v>2520</v>
      </c>
      <c r="AC350" t="s">
        <v>983</v>
      </c>
      <c r="AD350" t="s">
        <v>1838</v>
      </c>
      <c r="AE350" t="s">
        <v>3451</v>
      </c>
      <c r="AF350">
        <v>0.6882000800000001</v>
      </c>
    </row>
    <row r="351" spans="1:32" x14ac:dyDescent="0.25">
      <c r="A351" s="56">
        <v>3531649</v>
      </c>
      <c r="B351" s="56" t="s">
        <v>1691</v>
      </c>
      <c r="C351" s="56" t="s">
        <v>3464</v>
      </c>
      <c r="D351" s="57">
        <v>998.52300000000002</v>
      </c>
      <c r="E351" s="58">
        <v>676</v>
      </c>
      <c r="F351" s="57">
        <v>0.67600000000000005</v>
      </c>
      <c r="G351" s="56" t="s">
        <v>392</v>
      </c>
      <c r="H351" s="56" t="s">
        <v>2511</v>
      </c>
      <c r="I351" s="56" t="s">
        <v>345</v>
      </c>
      <c r="J351" s="56" t="s">
        <v>2633</v>
      </c>
      <c r="K351" s="57">
        <v>416.69200000000001</v>
      </c>
      <c r="L351" s="56" t="s">
        <v>3463</v>
      </c>
      <c r="M351" s="56" t="s">
        <v>2605</v>
      </c>
      <c r="N351" s="56" t="s">
        <v>39</v>
      </c>
      <c r="O351" s="58">
        <v>37</v>
      </c>
      <c r="P351" s="59" t="s">
        <v>2532</v>
      </c>
      <c r="Q351" s="56" t="s">
        <v>2516</v>
      </c>
      <c r="U351" s="52">
        <v>3586633</v>
      </c>
      <c r="V351">
        <v>19.05</v>
      </c>
      <c r="W351">
        <v>0</v>
      </c>
      <c r="X351">
        <v>1.6</v>
      </c>
      <c r="Y351">
        <v>6.2</v>
      </c>
      <c r="Z351" t="s">
        <v>1868</v>
      </c>
      <c r="AA351" t="s">
        <v>963</v>
      </c>
      <c r="AB351" t="s">
        <v>2520</v>
      </c>
      <c r="AC351" t="s">
        <v>983</v>
      </c>
      <c r="AD351" t="s">
        <v>1838</v>
      </c>
      <c r="AF351">
        <v>0.6882000800000001</v>
      </c>
    </row>
    <row r="352" spans="1:32" x14ac:dyDescent="0.25">
      <c r="A352" s="56">
        <v>3533164</v>
      </c>
      <c r="B352" s="56" t="s">
        <v>1652</v>
      </c>
      <c r="C352" s="56" t="s">
        <v>3465</v>
      </c>
      <c r="D352" s="57">
        <v>208.637</v>
      </c>
      <c r="E352" s="58">
        <v>2174</v>
      </c>
      <c r="F352" s="57">
        <v>2.1739999999999999</v>
      </c>
      <c r="G352" s="56" t="s">
        <v>392</v>
      </c>
      <c r="H352" s="56" t="s">
        <v>2511</v>
      </c>
      <c r="I352" s="56" t="s">
        <v>345</v>
      </c>
      <c r="J352" s="56" t="s">
        <v>3466</v>
      </c>
      <c r="K352" s="57">
        <v>1220.5250000000001</v>
      </c>
      <c r="L352" s="56" t="s">
        <v>1914</v>
      </c>
      <c r="M352" s="56" t="s">
        <v>1123</v>
      </c>
      <c r="N352" s="56" t="s">
        <v>37</v>
      </c>
      <c r="O352" s="58">
        <v>1</v>
      </c>
      <c r="P352" s="59" t="s">
        <v>2515</v>
      </c>
      <c r="Q352" s="56" t="s">
        <v>11</v>
      </c>
      <c r="U352" s="52">
        <v>3929603</v>
      </c>
      <c r="V352">
        <v>19.05</v>
      </c>
      <c r="W352">
        <v>0</v>
      </c>
      <c r="X352">
        <v>1.6</v>
      </c>
      <c r="Y352">
        <v>6.41</v>
      </c>
      <c r="Z352" t="s">
        <v>1924</v>
      </c>
      <c r="AA352" t="s">
        <v>963</v>
      </c>
      <c r="AB352" t="s">
        <v>2520</v>
      </c>
      <c r="AC352" t="s">
        <v>986</v>
      </c>
      <c r="AD352" t="s">
        <v>1838</v>
      </c>
      <c r="AE352" t="s">
        <v>3458</v>
      </c>
      <c r="AF352">
        <v>0.6882000800000001</v>
      </c>
    </row>
    <row r="353" spans="1:32" x14ac:dyDescent="0.25">
      <c r="A353" s="56">
        <v>3533164</v>
      </c>
      <c r="B353" s="56" t="s">
        <v>1652</v>
      </c>
      <c r="C353" s="56" t="s">
        <v>3467</v>
      </c>
      <c r="D353" s="57">
        <v>206.71799999999999</v>
      </c>
      <c r="E353" s="58">
        <v>2154</v>
      </c>
      <c r="F353" s="57">
        <v>2.1539999999999999</v>
      </c>
      <c r="G353" s="56" t="s">
        <v>392</v>
      </c>
      <c r="H353" s="56" t="s">
        <v>2511</v>
      </c>
      <c r="I353" s="56" t="s">
        <v>345</v>
      </c>
      <c r="J353" s="56" t="s">
        <v>3468</v>
      </c>
      <c r="K353" s="57">
        <v>1209.297</v>
      </c>
      <c r="L353" s="56" t="s">
        <v>1914</v>
      </c>
      <c r="M353" s="56" t="s">
        <v>1123</v>
      </c>
      <c r="N353" s="56" t="s">
        <v>37</v>
      </c>
      <c r="O353" s="58">
        <v>1</v>
      </c>
      <c r="P353" s="59" t="s">
        <v>2515</v>
      </c>
      <c r="Q353" s="56" t="s">
        <v>11</v>
      </c>
      <c r="U353" s="52">
        <v>319456</v>
      </c>
      <c r="V353">
        <v>19.05</v>
      </c>
      <c r="W353">
        <v>0</v>
      </c>
      <c r="X353">
        <v>1.63</v>
      </c>
      <c r="Y353">
        <v>0.33600000000000002</v>
      </c>
      <c r="Z353" t="s">
        <v>2821</v>
      </c>
      <c r="AA353" t="s">
        <v>963</v>
      </c>
      <c r="AB353" t="s">
        <v>2520</v>
      </c>
      <c r="AC353" t="s">
        <v>983</v>
      </c>
      <c r="AD353" t="s">
        <v>2171</v>
      </c>
      <c r="AE353" t="s">
        <v>3469</v>
      </c>
      <c r="AF353">
        <v>0.23516589445440003</v>
      </c>
    </row>
    <row r="354" spans="1:32" x14ac:dyDescent="0.25">
      <c r="A354" s="56">
        <v>3533164</v>
      </c>
      <c r="B354" s="56" t="s">
        <v>1652</v>
      </c>
      <c r="C354" s="56" t="s">
        <v>3470</v>
      </c>
      <c r="D354" s="57">
        <v>201.91900000000001</v>
      </c>
      <c r="E354" s="58">
        <v>2104</v>
      </c>
      <c r="F354" s="57">
        <v>2.1040000000000001</v>
      </c>
      <c r="G354" s="56" t="s">
        <v>392</v>
      </c>
      <c r="H354" s="56" t="s">
        <v>2511</v>
      </c>
      <c r="I354" s="56" t="s">
        <v>345</v>
      </c>
      <c r="J354" s="56" t="s">
        <v>3471</v>
      </c>
      <c r="K354" s="57">
        <v>1181.2260000000001</v>
      </c>
      <c r="L354" s="56" t="s">
        <v>1914</v>
      </c>
      <c r="M354" s="56" t="s">
        <v>1123</v>
      </c>
      <c r="N354" s="56" t="s">
        <v>37</v>
      </c>
      <c r="O354" s="58">
        <v>1</v>
      </c>
      <c r="P354" s="59" t="s">
        <v>2515</v>
      </c>
      <c r="Q354" s="56" t="s">
        <v>11</v>
      </c>
      <c r="U354" s="52">
        <v>3781674</v>
      </c>
      <c r="V354">
        <v>19.05</v>
      </c>
      <c r="W354">
        <v>0</v>
      </c>
      <c r="X354">
        <v>2</v>
      </c>
      <c r="Y354">
        <v>0.104</v>
      </c>
      <c r="Z354" t="s">
        <v>2821</v>
      </c>
      <c r="AA354" t="s">
        <v>963</v>
      </c>
      <c r="AB354" t="s">
        <v>2520</v>
      </c>
      <c r="AC354" t="s">
        <v>604</v>
      </c>
      <c r="AD354" t="s">
        <v>2171</v>
      </c>
      <c r="AE354" t="s">
        <v>2172</v>
      </c>
      <c r="AF354">
        <v>8.74152136E-2</v>
      </c>
    </row>
    <row r="355" spans="1:32" x14ac:dyDescent="0.25">
      <c r="A355" s="56">
        <v>3533164</v>
      </c>
      <c r="B355" s="56" t="s">
        <v>1652</v>
      </c>
      <c r="C355" s="56" t="s">
        <v>3472</v>
      </c>
      <c r="D355" s="57">
        <v>218.33</v>
      </c>
      <c r="E355" s="58">
        <v>2275</v>
      </c>
      <c r="F355" s="57">
        <v>2.2749999999999999</v>
      </c>
      <c r="G355" s="56" t="s">
        <v>392</v>
      </c>
      <c r="H355" s="56" t="s">
        <v>2511</v>
      </c>
      <c r="I355" s="56" t="s">
        <v>345</v>
      </c>
      <c r="J355" s="56" t="s">
        <v>3473</v>
      </c>
      <c r="K355" s="57">
        <v>1277.229</v>
      </c>
      <c r="L355" s="56" t="s">
        <v>1914</v>
      </c>
      <c r="M355" s="56" t="s">
        <v>1123</v>
      </c>
      <c r="N355" s="56" t="s">
        <v>37</v>
      </c>
      <c r="O355" s="58">
        <v>1</v>
      </c>
      <c r="P355" s="59" t="s">
        <v>2515</v>
      </c>
      <c r="Q355" s="56" t="s">
        <v>11</v>
      </c>
      <c r="U355" s="52">
        <v>1940262</v>
      </c>
      <c r="V355">
        <v>19.05</v>
      </c>
      <c r="W355">
        <v>0</v>
      </c>
      <c r="X355">
        <v>2</v>
      </c>
      <c r="Y355">
        <v>0.104</v>
      </c>
      <c r="Z355" t="s">
        <v>1891</v>
      </c>
      <c r="AA355" t="s">
        <v>963</v>
      </c>
      <c r="AB355" t="s">
        <v>2520</v>
      </c>
      <c r="AC355" t="s">
        <v>604</v>
      </c>
      <c r="AD355" t="s">
        <v>2171</v>
      </c>
      <c r="AE355" t="s">
        <v>2172</v>
      </c>
      <c r="AF355">
        <v>8.74152136E-2</v>
      </c>
    </row>
    <row r="356" spans="1:32" x14ac:dyDescent="0.25">
      <c r="A356" s="56">
        <v>3533164</v>
      </c>
      <c r="B356" s="56" t="s">
        <v>1652</v>
      </c>
      <c r="C356" s="56" t="s">
        <v>3474</v>
      </c>
      <c r="D356" s="57">
        <v>219.29</v>
      </c>
      <c r="E356" s="58">
        <v>2285</v>
      </c>
      <c r="F356" s="57">
        <v>2.2850000000000001</v>
      </c>
      <c r="G356" s="56" t="s">
        <v>392</v>
      </c>
      <c r="H356" s="56" t="s">
        <v>2511</v>
      </c>
      <c r="I356" s="56" t="s">
        <v>345</v>
      </c>
      <c r="J356" s="56" t="s">
        <v>3475</v>
      </c>
      <c r="K356" s="57">
        <v>1282.8430000000001</v>
      </c>
      <c r="L356" s="56" t="s">
        <v>1914</v>
      </c>
      <c r="M356" s="56" t="s">
        <v>1123</v>
      </c>
      <c r="N356" s="56" t="s">
        <v>37</v>
      </c>
      <c r="O356" s="58">
        <v>1</v>
      </c>
      <c r="P356" s="59" t="s">
        <v>2515</v>
      </c>
      <c r="Q356" s="56" t="s">
        <v>11</v>
      </c>
      <c r="U356" s="52">
        <v>511882</v>
      </c>
      <c r="V356">
        <v>19.05</v>
      </c>
      <c r="W356">
        <v>0</v>
      </c>
      <c r="X356">
        <v>2</v>
      </c>
      <c r="Y356">
        <v>0.104</v>
      </c>
      <c r="Z356" t="s">
        <v>1914</v>
      </c>
      <c r="AA356" t="s">
        <v>963</v>
      </c>
      <c r="AB356" t="s">
        <v>2520</v>
      </c>
      <c r="AC356" t="s">
        <v>604</v>
      </c>
      <c r="AD356" t="s">
        <v>2171</v>
      </c>
      <c r="AE356" t="s">
        <v>2172</v>
      </c>
      <c r="AF356">
        <v>8.74152136E-2</v>
      </c>
    </row>
    <row r="357" spans="1:32" x14ac:dyDescent="0.25">
      <c r="A357" s="56">
        <v>3533164</v>
      </c>
      <c r="B357" s="56" t="s">
        <v>1652</v>
      </c>
      <c r="C357" s="56" t="s">
        <v>3476</v>
      </c>
      <c r="D357" s="57">
        <v>10.618</v>
      </c>
      <c r="E357" s="57">
        <v>110.63800000000001</v>
      </c>
      <c r="F357" s="57">
        <v>0.110638</v>
      </c>
      <c r="G357" s="56" t="s">
        <v>392</v>
      </c>
      <c r="H357" s="56" t="s">
        <v>2511</v>
      </c>
      <c r="I357" s="56" t="s">
        <v>345</v>
      </c>
      <c r="J357" s="56" t="s">
        <v>3405</v>
      </c>
      <c r="K357" s="57">
        <v>62.113999999999997</v>
      </c>
      <c r="L357" s="56" t="s">
        <v>3477</v>
      </c>
      <c r="M357" s="56" t="s">
        <v>2810</v>
      </c>
      <c r="N357" s="56" t="s">
        <v>37</v>
      </c>
      <c r="O357" s="58">
        <v>293</v>
      </c>
      <c r="P357" s="59" t="s">
        <v>2524</v>
      </c>
      <c r="Q357" s="56" t="s">
        <v>11</v>
      </c>
      <c r="U357" s="52">
        <v>1940266</v>
      </c>
      <c r="V357">
        <v>19.05</v>
      </c>
      <c r="W357">
        <v>0</v>
      </c>
      <c r="X357">
        <v>2</v>
      </c>
      <c r="Y357">
        <v>0.21299999999999999</v>
      </c>
      <c r="Z357" t="s">
        <v>1881</v>
      </c>
      <c r="AA357" t="s">
        <v>963</v>
      </c>
      <c r="AB357" t="s">
        <v>2520</v>
      </c>
      <c r="AC357" t="s">
        <v>604</v>
      </c>
      <c r="AD357" t="s">
        <v>2171</v>
      </c>
      <c r="AE357" t="s">
        <v>2281</v>
      </c>
      <c r="AF357">
        <v>0.17903308170000001</v>
      </c>
    </row>
    <row r="358" spans="1:32" x14ac:dyDescent="0.25">
      <c r="A358" s="56">
        <v>3535743</v>
      </c>
      <c r="B358" s="56" t="s">
        <v>2023</v>
      </c>
      <c r="C358" s="56" t="s">
        <v>3478</v>
      </c>
      <c r="D358" s="57">
        <v>1973.4290000000001</v>
      </c>
      <c r="E358" s="57">
        <v>1126.828</v>
      </c>
      <c r="F358" s="57">
        <v>1.1268279999999999</v>
      </c>
      <c r="G358" s="56" t="s">
        <v>392</v>
      </c>
      <c r="H358" s="56" t="s">
        <v>2511</v>
      </c>
      <c r="I358" s="56" t="s">
        <v>345</v>
      </c>
      <c r="J358" s="56" t="s">
        <v>3479</v>
      </c>
      <c r="K358" s="57">
        <v>1185.511</v>
      </c>
      <c r="L358" s="56" t="s">
        <v>3480</v>
      </c>
      <c r="M358" s="56" t="s">
        <v>2537</v>
      </c>
      <c r="N358" s="56" t="s">
        <v>78</v>
      </c>
      <c r="O358" s="58">
        <v>403</v>
      </c>
      <c r="P358" s="59" t="s">
        <v>2524</v>
      </c>
      <c r="Q358" s="56" t="s">
        <v>11</v>
      </c>
      <c r="U358" s="52">
        <v>521117</v>
      </c>
      <c r="V358">
        <v>19.05</v>
      </c>
      <c r="W358">
        <v>0</v>
      </c>
      <c r="X358">
        <v>2</v>
      </c>
      <c r="Y358">
        <v>0.215</v>
      </c>
      <c r="Z358" t="s">
        <v>1914</v>
      </c>
      <c r="AA358" t="s">
        <v>963</v>
      </c>
      <c r="AB358" t="s">
        <v>2520</v>
      </c>
      <c r="AC358" t="s">
        <v>604</v>
      </c>
      <c r="AD358" t="s">
        <v>2171</v>
      </c>
      <c r="AE358" t="s">
        <v>3481</v>
      </c>
      <c r="AF358">
        <v>0.18071414350000001</v>
      </c>
    </row>
    <row r="359" spans="1:32" x14ac:dyDescent="0.25">
      <c r="A359" s="56">
        <v>3535743</v>
      </c>
      <c r="B359" s="56" t="s">
        <v>2023</v>
      </c>
      <c r="C359" s="56" t="s">
        <v>3482</v>
      </c>
      <c r="D359" s="57">
        <v>444.834</v>
      </c>
      <c r="E359" s="58">
        <v>254</v>
      </c>
      <c r="F359" s="57">
        <v>0.254</v>
      </c>
      <c r="G359" s="56" t="s">
        <v>392</v>
      </c>
      <c r="H359" s="56" t="s">
        <v>2511</v>
      </c>
      <c r="I359" s="56" t="s">
        <v>345</v>
      </c>
      <c r="J359" s="56" t="s">
        <v>3483</v>
      </c>
      <c r="K359" s="57">
        <v>267.22800000000001</v>
      </c>
      <c r="L359" s="56" t="s">
        <v>3484</v>
      </c>
      <c r="M359" s="56" t="s">
        <v>2919</v>
      </c>
      <c r="N359" s="56" t="s">
        <v>44</v>
      </c>
      <c r="O359" s="58">
        <v>130</v>
      </c>
      <c r="P359" s="59" t="s">
        <v>2524</v>
      </c>
      <c r="Q359" s="56" t="s">
        <v>11</v>
      </c>
      <c r="U359" s="52">
        <v>3122348</v>
      </c>
      <c r="V359">
        <v>19.05</v>
      </c>
      <c r="W359">
        <v>0</v>
      </c>
      <c r="X359">
        <v>2</v>
      </c>
      <c r="Y359">
        <v>0.23849999999999999</v>
      </c>
      <c r="Z359" t="s">
        <v>1868</v>
      </c>
      <c r="AA359" t="s">
        <v>963</v>
      </c>
      <c r="AB359" t="s">
        <v>2520</v>
      </c>
      <c r="AC359" t="s">
        <v>604</v>
      </c>
      <c r="AD359" t="s">
        <v>2171</v>
      </c>
      <c r="AE359" t="s">
        <v>2289</v>
      </c>
      <c r="AF359">
        <v>0.20046661965000001</v>
      </c>
    </row>
    <row r="360" spans="1:32" x14ac:dyDescent="0.25">
      <c r="A360" s="56">
        <v>3535743</v>
      </c>
      <c r="B360" s="56" t="s">
        <v>2023</v>
      </c>
      <c r="C360" s="56" t="s">
        <v>3485</v>
      </c>
      <c r="D360" s="57">
        <v>2796.848</v>
      </c>
      <c r="E360" s="58">
        <v>1597</v>
      </c>
      <c r="F360" s="57">
        <v>1.597</v>
      </c>
      <c r="G360" s="56" t="s">
        <v>392</v>
      </c>
      <c r="H360" s="56" t="s">
        <v>2511</v>
      </c>
      <c r="I360" s="56" t="s">
        <v>345</v>
      </c>
      <c r="J360" s="56" t="s">
        <v>3320</v>
      </c>
      <c r="K360" s="57">
        <v>1680.1679999999999</v>
      </c>
      <c r="L360" s="56" t="s">
        <v>3486</v>
      </c>
      <c r="M360" s="56" t="s">
        <v>2162</v>
      </c>
      <c r="N360" s="56" t="s">
        <v>44</v>
      </c>
      <c r="O360" s="58">
        <v>135</v>
      </c>
      <c r="P360" s="59" t="s">
        <v>2524</v>
      </c>
      <c r="Q360" s="56" t="s">
        <v>11</v>
      </c>
      <c r="U360" s="52">
        <v>1940269</v>
      </c>
      <c r="V360">
        <v>19.05</v>
      </c>
      <c r="W360">
        <v>0</v>
      </c>
      <c r="X360">
        <v>2</v>
      </c>
      <c r="Y360">
        <v>0.24</v>
      </c>
      <c r="Z360" t="s">
        <v>1881</v>
      </c>
      <c r="AA360" t="s">
        <v>963</v>
      </c>
      <c r="AB360" t="s">
        <v>2520</v>
      </c>
      <c r="AC360" t="s">
        <v>604</v>
      </c>
      <c r="AD360" t="s">
        <v>2171</v>
      </c>
      <c r="AE360" t="s">
        <v>2287</v>
      </c>
      <c r="AF360">
        <v>0.20172741600000002</v>
      </c>
    </row>
    <row r="361" spans="1:32" x14ac:dyDescent="0.25">
      <c r="A361" s="56">
        <v>3541434</v>
      </c>
      <c r="B361" s="56" t="s">
        <v>1176</v>
      </c>
      <c r="C361" s="56" t="s">
        <v>3487</v>
      </c>
      <c r="D361" s="57">
        <v>78.938999999999993</v>
      </c>
      <c r="E361" s="57">
        <v>84.227999999999994</v>
      </c>
      <c r="F361" s="57">
        <v>8.4227999999999997E-2</v>
      </c>
      <c r="G361" s="56" t="s">
        <v>392</v>
      </c>
      <c r="H361" s="56" t="s">
        <v>2511</v>
      </c>
      <c r="I361" s="56" t="s">
        <v>345</v>
      </c>
      <c r="J361" s="56" t="s">
        <v>3430</v>
      </c>
      <c r="K361" s="57">
        <v>229.44200000000001</v>
      </c>
      <c r="L361" s="56" t="s">
        <v>3488</v>
      </c>
      <c r="M361" s="56" t="s">
        <v>2589</v>
      </c>
      <c r="N361" s="56" t="s">
        <v>151</v>
      </c>
      <c r="O361" s="58">
        <v>138</v>
      </c>
      <c r="P361" s="59" t="s">
        <v>2524</v>
      </c>
      <c r="Q361" s="56" t="s">
        <v>11</v>
      </c>
      <c r="U361" s="52">
        <v>1180079</v>
      </c>
      <c r="V361">
        <v>19.05</v>
      </c>
      <c r="W361">
        <v>0</v>
      </c>
      <c r="X361">
        <v>2</v>
      </c>
      <c r="Y361">
        <v>0.24</v>
      </c>
      <c r="Z361" t="s">
        <v>1914</v>
      </c>
      <c r="AA361" t="s">
        <v>963</v>
      </c>
      <c r="AB361" t="s">
        <v>2520</v>
      </c>
      <c r="AC361" t="s">
        <v>604</v>
      </c>
      <c r="AD361" t="s">
        <v>2171</v>
      </c>
      <c r="AE361" t="s">
        <v>2287</v>
      </c>
      <c r="AF361">
        <v>0.20172741600000002</v>
      </c>
    </row>
    <row r="362" spans="1:32" x14ac:dyDescent="0.25">
      <c r="A362" s="56">
        <v>3541434</v>
      </c>
      <c r="B362" s="56" t="s">
        <v>1176</v>
      </c>
      <c r="C362" s="56" t="s">
        <v>3489</v>
      </c>
      <c r="D362" s="57">
        <v>699.15700000000004</v>
      </c>
      <c r="E362" s="58">
        <v>746</v>
      </c>
      <c r="F362" s="57">
        <v>0.746</v>
      </c>
      <c r="G362" s="56" t="s">
        <v>392</v>
      </c>
      <c r="H362" s="56" t="s">
        <v>2511</v>
      </c>
      <c r="I362" s="56" t="s">
        <v>345</v>
      </c>
      <c r="J362" s="56" t="s">
        <v>3272</v>
      </c>
      <c r="K362" s="57">
        <v>2032.144</v>
      </c>
      <c r="L362" s="56" t="s">
        <v>3488</v>
      </c>
      <c r="M362" s="56" t="s">
        <v>2589</v>
      </c>
      <c r="N362" s="56" t="s">
        <v>151</v>
      </c>
      <c r="O362" s="58">
        <v>58</v>
      </c>
      <c r="P362" s="59" t="s">
        <v>2532</v>
      </c>
      <c r="Q362" s="56" t="s">
        <v>11</v>
      </c>
      <c r="U362" s="52">
        <v>3507270</v>
      </c>
      <c r="V362">
        <v>19.05</v>
      </c>
      <c r="W362">
        <v>0</v>
      </c>
      <c r="X362">
        <v>2</v>
      </c>
      <c r="Y362">
        <v>0.24</v>
      </c>
      <c r="Z362" t="s">
        <v>1914</v>
      </c>
      <c r="AA362" t="s">
        <v>963</v>
      </c>
      <c r="AB362" t="s">
        <v>2520</v>
      </c>
      <c r="AC362" t="s">
        <v>604</v>
      </c>
      <c r="AD362" t="s">
        <v>2171</v>
      </c>
      <c r="AE362" t="s">
        <v>2287</v>
      </c>
      <c r="AF362">
        <v>0.20172741600000002</v>
      </c>
    </row>
    <row r="363" spans="1:32" x14ac:dyDescent="0.25">
      <c r="A363" s="56">
        <v>3541434</v>
      </c>
      <c r="B363" s="56" t="s">
        <v>1176</v>
      </c>
      <c r="C363" s="56" t="s">
        <v>3490</v>
      </c>
      <c r="D363" s="57">
        <v>118.578</v>
      </c>
      <c r="E363" s="57">
        <v>126.523</v>
      </c>
      <c r="F363" s="57">
        <v>0.126523</v>
      </c>
      <c r="G363" s="56" t="s">
        <v>392</v>
      </c>
      <c r="H363" s="56" t="s">
        <v>2511</v>
      </c>
      <c r="I363" s="56" t="s">
        <v>345</v>
      </c>
      <c r="J363" s="56" t="s">
        <v>3104</v>
      </c>
      <c r="K363" s="57">
        <v>344.65499999999997</v>
      </c>
      <c r="L363" s="56" t="s">
        <v>3488</v>
      </c>
      <c r="M363" s="56" t="s">
        <v>2589</v>
      </c>
      <c r="N363" s="56" t="s">
        <v>151</v>
      </c>
      <c r="O363" s="58">
        <v>59</v>
      </c>
      <c r="P363" s="59" t="s">
        <v>2532</v>
      </c>
      <c r="Q363" s="56" t="s">
        <v>11</v>
      </c>
      <c r="U363" s="52">
        <v>3507090</v>
      </c>
      <c r="V363">
        <v>19.05</v>
      </c>
      <c r="W363">
        <v>0</v>
      </c>
      <c r="X363">
        <v>2</v>
      </c>
      <c r="Y363">
        <v>0.245</v>
      </c>
      <c r="Z363" t="s">
        <v>1914</v>
      </c>
      <c r="AA363" t="s">
        <v>963</v>
      </c>
      <c r="AB363" t="s">
        <v>2520</v>
      </c>
      <c r="AC363" t="s">
        <v>604</v>
      </c>
      <c r="AD363" t="s">
        <v>2171</v>
      </c>
      <c r="AE363" t="s">
        <v>6611</v>
      </c>
      <c r="AF363">
        <v>0.20593007050000001</v>
      </c>
    </row>
    <row r="364" spans="1:32" x14ac:dyDescent="0.25">
      <c r="A364" s="56">
        <v>3556680</v>
      </c>
      <c r="B364" s="56" t="s">
        <v>600</v>
      </c>
      <c r="C364" s="56" t="s">
        <v>3491</v>
      </c>
      <c r="D364" s="57">
        <v>659.14400000000001</v>
      </c>
      <c r="E364" s="58">
        <v>331</v>
      </c>
      <c r="F364" s="57">
        <v>0.33100000000000002</v>
      </c>
      <c r="G364" s="56" t="s">
        <v>392</v>
      </c>
      <c r="H364" s="56" t="s">
        <v>2511</v>
      </c>
      <c r="I364" s="56" t="s">
        <v>345</v>
      </c>
      <c r="J364" s="56" t="s">
        <v>3492</v>
      </c>
      <c r="K364" s="57">
        <v>421.84699999999998</v>
      </c>
      <c r="L364" s="56" t="s">
        <v>3493</v>
      </c>
      <c r="M364" s="56" t="s">
        <v>2760</v>
      </c>
      <c r="N364" s="56" t="s">
        <v>44</v>
      </c>
      <c r="O364" s="58">
        <v>5</v>
      </c>
      <c r="P364" s="59" t="s">
        <v>2515</v>
      </c>
      <c r="Q364" s="56" t="s">
        <v>11</v>
      </c>
      <c r="U364" s="52">
        <v>3507089</v>
      </c>
      <c r="V364">
        <v>19.05</v>
      </c>
      <c r="W364">
        <v>0</v>
      </c>
      <c r="X364">
        <v>2</v>
      </c>
      <c r="Y364">
        <v>0.25800000000000001</v>
      </c>
      <c r="Z364" t="s">
        <v>1914</v>
      </c>
      <c r="AA364" t="s">
        <v>963</v>
      </c>
      <c r="AB364" t="s">
        <v>2520</v>
      </c>
      <c r="AC364" t="s">
        <v>604</v>
      </c>
      <c r="AD364" t="s">
        <v>2171</v>
      </c>
      <c r="AE364" t="s">
        <v>3494</v>
      </c>
      <c r="AF364">
        <v>0.21685697220000003</v>
      </c>
    </row>
    <row r="365" spans="1:32" x14ac:dyDescent="0.25">
      <c r="A365" s="56">
        <v>3557791</v>
      </c>
      <c r="B365" s="56" t="s">
        <v>2453</v>
      </c>
      <c r="C365" s="56" t="s">
        <v>3495</v>
      </c>
      <c r="D365" s="57">
        <v>345.08499999999998</v>
      </c>
      <c r="E365" s="58">
        <v>1850</v>
      </c>
      <c r="F365" s="57">
        <v>1.85</v>
      </c>
      <c r="G365" s="56" t="s">
        <v>392</v>
      </c>
      <c r="H365" s="56" t="s">
        <v>2511</v>
      </c>
      <c r="I365" s="56" t="s">
        <v>345</v>
      </c>
      <c r="J365" s="56" t="s">
        <v>3496</v>
      </c>
      <c r="K365" s="57">
        <v>1853.336</v>
      </c>
      <c r="L365" s="56" t="s">
        <v>3497</v>
      </c>
      <c r="M365" s="56" t="s">
        <v>2537</v>
      </c>
      <c r="N365" s="56" t="s">
        <v>37</v>
      </c>
      <c r="O365" s="58">
        <v>10</v>
      </c>
      <c r="P365" s="59" t="s">
        <v>2515</v>
      </c>
      <c r="Q365" s="56" t="s">
        <v>11</v>
      </c>
      <c r="U365" s="52">
        <v>521115</v>
      </c>
      <c r="V365">
        <v>19.05</v>
      </c>
      <c r="W365">
        <v>0</v>
      </c>
      <c r="X365">
        <v>2</v>
      </c>
      <c r="Y365">
        <v>0.25800000000000001</v>
      </c>
      <c r="Z365" t="s">
        <v>1914</v>
      </c>
      <c r="AA365" t="s">
        <v>963</v>
      </c>
      <c r="AB365" t="s">
        <v>2520</v>
      </c>
      <c r="AC365" t="s">
        <v>604</v>
      </c>
      <c r="AD365" t="s">
        <v>2171</v>
      </c>
      <c r="AE365" t="s">
        <v>3494</v>
      </c>
      <c r="AF365">
        <v>0.21685697220000003</v>
      </c>
    </row>
    <row r="366" spans="1:32" x14ac:dyDescent="0.25">
      <c r="A366" s="56">
        <v>3569429</v>
      </c>
      <c r="B366" s="56" t="s">
        <v>2489</v>
      </c>
      <c r="C366" s="56" t="s">
        <v>3498</v>
      </c>
      <c r="D366" s="57">
        <v>196.26599999999999</v>
      </c>
      <c r="E366" s="58">
        <v>2218</v>
      </c>
      <c r="F366" s="57">
        <v>2.218</v>
      </c>
      <c r="G366" s="56" t="s">
        <v>392</v>
      </c>
      <c r="H366" s="56" t="s">
        <v>2511</v>
      </c>
      <c r="I366" s="56" t="s">
        <v>345</v>
      </c>
      <c r="J366" s="56" t="s">
        <v>2537</v>
      </c>
      <c r="K366" s="57">
        <v>1142.0630000000001</v>
      </c>
      <c r="L366" s="56" t="s">
        <v>1914</v>
      </c>
      <c r="M366" s="56" t="s">
        <v>1123</v>
      </c>
      <c r="N366" s="56" t="s">
        <v>17</v>
      </c>
      <c r="O366" s="58">
        <v>38</v>
      </c>
      <c r="P366" s="59" t="s">
        <v>2532</v>
      </c>
      <c r="Q366" s="56" t="s">
        <v>192</v>
      </c>
      <c r="U366" s="52">
        <v>1940272</v>
      </c>
      <c r="V366">
        <v>19.05</v>
      </c>
      <c r="W366">
        <v>0</v>
      </c>
      <c r="X366">
        <v>2</v>
      </c>
      <c r="Y366">
        <v>0.25900000000000001</v>
      </c>
      <c r="Z366" t="s">
        <v>1881</v>
      </c>
      <c r="AA366" t="s">
        <v>963</v>
      </c>
      <c r="AB366" t="s">
        <v>2520</v>
      </c>
      <c r="AC366" t="s">
        <v>604</v>
      </c>
      <c r="AD366" t="s">
        <v>2171</v>
      </c>
      <c r="AE366" t="s">
        <v>2291</v>
      </c>
      <c r="AF366">
        <v>0.21769750310000002</v>
      </c>
    </row>
    <row r="367" spans="1:32" x14ac:dyDescent="0.25">
      <c r="A367" s="56">
        <v>3571864</v>
      </c>
      <c r="B367" s="56" t="s">
        <v>1252</v>
      </c>
      <c r="C367" s="56" t="s">
        <v>3499</v>
      </c>
      <c r="D367" s="57">
        <v>3383.578</v>
      </c>
      <c r="E367" s="57">
        <v>544.75599999999997</v>
      </c>
      <c r="F367" s="57">
        <v>0.54475600000000002</v>
      </c>
      <c r="G367" s="56" t="s">
        <v>392</v>
      </c>
      <c r="H367" s="56" t="s">
        <v>2511</v>
      </c>
      <c r="I367" s="56" t="s">
        <v>345</v>
      </c>
      <c r="J367" s="56" t="s">
        <v>3033</v>
      </c>
      <c r="K367" s="57">
        <v>984.73599999999999</v>
      </c>
      <c r="L367" s="56" t="s">
        <v>3500</v>
      </c>
      <c r="M367" s="56" t="s">
        <v>2164</v>
      </c>
      <c r="N367" s="56" t="s">
        <v>60</v>
      </c>
      <c r="O367" s="58">
        <v>44</v>
      </c>
      <c r="P367" s="59" t="s">
        <v>2532</v>
      </c>
      <c r="Q367" s="56" t="s">
        <v>192</v>
      </c>
      <c r="U367" s="52">
        <v>3509248</v>
      </c>
      <c r="V367">
        <v>19.05</v>
      </c>
      <c r="W367">
        <v>0</v>
      </c>
      <c r="X367">
        <v>2</v>
      </c>
      <c r="Y367">
        <v>0.26</v>
      </c>
      <c r="Z367" t="s">
        <v>1914</v>
      </c>
      <c r="AA367" t="s">
        <v>963</v>
      </c>
      <c r="AB367" t="s">
        <v>2520</v>
      </c>
      <c r="AC367" t="s">
        <v>604</v>
      </c>
      <c r="AD367" t="s">
        <v>2171</v>
      </c>
      <c r="AF367">
        <v>0.21853803400000002</v>
      </c>
    </row>
    <row r="368" spans="1:32" x14ac:dyDescent="0.25">
      <c r="A368" s="56">
        <v>3571866</v>
      </c>
      <c r="B368" s="56" t="s">
        <v>1254</v>
      </c>
      <c r="C368" s="56" t="s">
        <v>3501</v>
      </c>
      <c r="D368" s="57">
        <v>2505.87</v>
      </c>
      <c r="E368" s="57">
        <v>443.53899999999999</v>
      </c>
      <c r="F368" s="57">
        <v>0.44353899999999996</v>
      </c>
      <c r="G368" s="56" t="s">
        <v>392</v>
      </c>
      <c r="H368" s="56" t="s">
        <v>2511</v>
      </c>
      <c r="I368" s="56" t="s">
        <v>345</v>
      </c>
      <c r="J368" s="56" t="s">
        <v>3502</v>
      </c>
      <c r="K368" s="57">
        <v>801.77</v>
      </c>
      <c r="L368" s="56" t="s">
        <v>3503</v>
      </c>
      <c r="M368" s="56" t="s">
        <v>2163</v>
      </c>
      <c r="N368" s="56" t="s">
        <v>60</v>
      </c>
      <c r="O368" s="58">
        <v>80</v>
      </c>
      <c r="P368" s="59" t="s">
        <v>2579</v>
      </c>
      <c r="Q368" s="56" t="s">
        <v>192</v>
      </c>
      <c r="U368" s="52">
        <v>2422190</v>
      </c>
      <c r="V368">
        <v>19.05</v>
      </c>
      <c r="W368">
        <v>0</v>
      </c>
      <c r="X368">
        <v>2</v>
      </c>
      <c r="Y368">
        <v>0.26500000000000001</v>
      </c>
      <c r="Z368" t="s">
        <v>1881</v>
      </c>
      <c r="AA368" t="s">
        <v>963</v>
      </c>
      <c r="AB368" t="s">
        <v>2520</v>
      </c>
      <c r="AC368" t="s">
        <v>604</v>
      </c>
      <c r="AD368" t="s">
        <v>2171</v>
      </c>
      <c r="AE368" t="s">
        <v>2246</v>
      </c>
      <c r="AF368">
        <v>0.22274068850000003</v>
      </c>
    </row>
    <row r="369" spans="1:32" x14ac:dyDescent="0.25">
      <c r="A369" s="56">
        <v>3571867</v>
      </c>
      <c r="B369" s="56" t="s">
        <v>1259</v>
      </c>
      <c r="C369" s="56" t="s">
        <v>3504</v>
      </c>
      <c r="D369" s="57">
        <v>2291.866</v>
      </c>
      <c r="E369" s="58">
        <v>479</v>
      </c>
      <c r="F369" s="57">
        <v>0.47899999999999998</v>
      </c>
      <c r="G369" s="56" t="s">
        <v>392</v>
      </c>
      <c r="H369" s="56" t="s">
        <v>2511</v>
      </c>
      <c r="I369" s="56" t="s">
        <v>345</v>
      </c>
      <c r="J369" s="56" t="s">
        <v>3238</v>
      </c>
      <c r="K369" s="57">
        <v>865.87099999999998</v>
      </c>
      <c r="L369" s="56" t="s">
        <v>3505</v>
      </c>
      <c r="M369" s="56" t="s">
        <v>2162</v>
      </c>
      <c r="N369" s="56" t="s">
        <v>60</v>
      </c>
      <c r="O369" s="58">
        <v>44</v>
      </c>
      <c r="P369" s="59" t="s">
        <v>2532</v>
      </c>
      <c r="Q369" s="56" t="s">
        <v>192</v>
      </c>
      <c r="U369" s="52">
        <v>3677042</v>
      </c>
      <c r="V369">
        <v>19.05</v>
      </c>
      <c r="W369">
        <v>0</v>
      </c>
      <c r="X369">
        <v>2</v>
      </c>
      <c r="Y369">
        <v>0.27100000000000002</v>
      </c>
      <c r="Z369" t="s">
        <v>1891</v>
      </c>
      <c r="AA369" t="s">
        <v>963</v>
      </c>
      <c r="AB369" t="s">
        <v>2520</v>
      </c>
      <c r="AC369" t="s">
        <v>604</v>
      </c>
      <c r="AD369" t="s">
        <v>2171</v>
      </c>
      <c r="AE369" t="s">
        <v>6612</v>
      </c>
      <c r="AF369">
        <v>0.22778387390000004</v>
      </c>
    </row>
    <row r="370" spans="1:32" x14ac:dyDescent="0.25">
      <c r="A370" s="56">
        <v>3571868</v>
      </c>
      <c r="B370" s="56" t="s">
        <v>1261</v>
      </c>
      <c r="C370" s="56" t="s">
        <v>3506</v>
      </c>
      <c r="D370" s="57">
        <v>1497.6959999999999</v>
      </c>
      <c r="E370" s="58">
        <v>325</v>
      </c>
      <c r="F370" s="57">
        <v>0.32500000000000001</v>
      </c>
      <c r="G370" s="56" t="s">
        <v>392</v>
      </c>
      <c r="H370" s="56" t="s">
        <v>2511</v>
      </c>
      <c r="I370" s="56" t="s">
        <v>345</v>
      </c>
      <c r="J370" s="56" t="s">
        <v>3089</v>
      </c>
      <c r="K370" s="57">
        <v>587.49099999999999</v>
      </c>
      <c r="L370" s="56" t="s">
        <v>3507</v>
      </c>
      <c r="M370" s="56" t="s">
        <v>2161</v>
      </c>
      <c r="N370" s="56" t="s">
        <v>60</v>
      </c>
      <c r="O370" s="58">
        <v>44</v>
      </c>
      <c r="P370" s="59" t="s">
        <v>2532</v>
      </c>
      <c r="Q370" s="56" t="s">
        <v>192</v>
      </c>
      <c r="U370" s="52">
        <v>1940273</v>
      </c>
      <c r="V370">
        <v>19.05</v>
      </c>
      <c r="W370">
        <v>0</v>
      </c>
      <c r="X370">
        <v>2</v>
      </c>
      <c r="Y370">
        <v>0.31900000000000001</v>
      </c>
      <c r="Z370" t="s">
        <v>1881</v>
      </c>
      <c r="AA370" t="s">
        <v>963</v>
      </c>
      <c r="AB370" t="s">
        <v>2520</v>
      </c>
      <c r="AC370" t="s">
        <v>604</v>
      </c>
      <c r="AD370" t="s">
        <v>2171</v>
      </c>
      <c r="AE370" t="s">
        <v>3508</v>
      </c>
      <c r="AF370">
        <v>0.26812935710000002</v>
      </c>
    </row>
    <row r="371" spans="1:32" x14ac:dyDescent="0.25">
      <c r="A371" s="56">
        <v>3571869</v>
      </c>
      <c r="B371" s="56" t="s">
        <v>1267</v>
      </c>
      <c r="C371" s="56" t="s">
        <v>3509</v>
      </c>
      <c r="D371" s="57">
        <v>3524.4870000000001</v>
      </c>
      <c r="E371" s="57">
        <v>948.08699999999999</v>
      </c>
      <c r="F371" s="57">
        <v>0.94808700000000001</v>
      </c>
      <c r="G371" s="56" t="s">
        <v>392</v>
      </c>
      <c r="H371" s="56" t="s">
        <v>2511</v>
      </c>
      <c r="I371" s="56" t="s">
        <v>345</v>
      </c>
      <c r="J371" s="56" t="s">
        <v>1914</v>
      </c>
      <c r="K371" s="57">
        <v>1713.8230000000001</v>
      </c>
      <c r="L371" s="56" t="s">
        <v>3510</v>
      </c>
      <c r="M371" s="56" t="s">
        <v>2160</v>
      </c>
      <c r="N371" s="56" t="s">
        <v>60</v>
      </c>
      <c r="O371" s="58">
        <v>167</v>
      </c>
      <c r="P371" s="59" t="s">
        <v>2524</v>
      </c>
      <c r="Q371" s="56" t="s">
        <v>192</v>
      </c>
      <c r="U371" s="52">
        <v>2403386</v>
      </c>
      <c r="V371">
        <v>19.05</v>
      </c>
      <c r="W371">
        <v>0</v>
      </c>
      <c r="X371">
        <v>2</v>
      </c>
      <c r="Y371">
        <v>0.35799999999999998</v>
      </c>
      <c r="Z371" t="s">
        <v>1868</v>
      </c>
      <c r="AA371" t="s">
        <v>963</v>
      </c>
      <c r="AB371" t="s">
        <v>2520</v>
      </c>
      <c r="AC371" t="s">
        <v>604</v>
      </c>
      <c r="AD371" t="s">
        <v>2171</v>
      </c>
      <c r="AE371" t="s">
        <v>2241</v>
      </c>
      <c r="AF371">
        <v>0.30091006219999999</v>
      </c>
    </row>
    <row r="372" spans="1:32" x14ac:dyDescent="0.25">
      <c r="A372" s="56">
        <v>3571870</v>
      </c>
      <c r="B372" s="56" t="s">
        <v>525</v>
      </c>
      <c r="C372" s="56" t="s">
        <v>3511</v>
      </c>
      <c r="D372" s="57">
        <v>2347.328</v>
      </c>
      <c r="E372" s="57">
        <v>701.851</v>
      </c>
      <c r="F372" s="57">
        <v>0.701851</v>
      </c>
      <c r="G372" s="56" t="s">
        <v>392</v>
      </c>
      <c r="H372" s="56" t="s">
        <v>2511</v>
      </c>
      <c r="I372" s="56" t="s">
        <v>345</v>
      </c>
      <c r="J372" s="56" t="s">
        <v>3089</v>
      </c>
      <c r="K372" s="57">
        <v>1268.711</v>
      </c>
      <c r="L372" s="56" t="s">
        <v>3512</v>
      </c>
      <c r="M372" s="56" t="s">
        <v>2159</v>
      </c>
      <c r="N372" s="56" t="s">
        <v>60</v>
      </c>
      <c r="O372" s="58">
        <v>44</v>
      </c>
      <c r="P372" s="59" t="s">
        <v>2532</v>
      </c>
      <c r="Q372" s="56" t="s">
        <v>192</v>
      </c>
      <c r="U372" s="52">
        <v>1432171</v>
      </c>
      <c r="V372">
        <v>19.05</v>
      </c>
      <c r="W372">
        <v>0</v>
      </c>
      <c r="X372">
        <v>2</v>
      </c>
      <c r="Y372">
        <v>0.35799999999999998</v>
      </c>
      <c r="Z372" t="s">
        <v>1914</v>
      </c>
      <c r="AA372" t="s">
        <v>963</v>
      </c>
      <c r="AB372" t="s">
        <v>2520</v>
      </c>
      <c r="AC372" t="s">
        <v>604</v>
      </c>
      <c r="AD372" t="s">
        <v>2171</v>
      </c>
      <c r="AE372" t="s">
        <v>2241</v>
      </c>
      <c r="AF372">
        <v>0.30091006219999999</v>
      </c>
    </row>
    <row r="373" spans="1:32" x14ac:dyDescent="0.25">
      <c r="A373" s="56">
        <v>3572031</v>
      </c>
      <c r="B373" s="56" t="s">
        <v>1272</v>
      </c>
      <c r="C373" s="56" t="s">
        <v>3513</v>
      </c>
      <c r="D373" s="57">
        <v>1009.455</v>
      </c>
      <c r="E373" s="57">
        <v>396.71600000000001</v>
      </c>
      <c r="F373" s="57">
        <v>0.39671600000000001</v>
      </c>
      <c r="G373" s="56" t="s">
        <v>392</v>
      </c>
      <c r="H373" s="56" t="s">
        <v>2511</v>
      </c>
      <c r="I373" s="56" t="s">
        <v>345</v>
      </c>
      <c r="J373" s="56" t="s">
        <v>2777</v>
      </c>
      <c r="K373" s="57">
        <v>717.12900000000002</v>
      </c>
      <c r="L373" s="56" t="s">
        <v>3514</v>
      </c>
      <c r="M373" s="56" t="s">
        <v>2158</v>
      </c>
      <c r="N373" s="56" t="s">
        <v>60</v>
      </c>
      <c r="O373" s="58">
        <v>44</v>
      </c>
      <c r="P373" s="59" t="s">
        <v>2532</v>
      </c>
      <c r="Q373" s="56" t="s">
        <v>192</v>
      </c>
      <c r="U373">
        <v>3620714</v>
      </c>
      <c r="V373">
        <v>19.05</v>
      </c>
      <c r="W373">
        <v>0</v>
      </c>
      <c r="X373">
        <v>2</v>
      </c>
      <c r="Y373">
        <v>0.35799999999999998</v>
      </c>
      <c r="Z373" t="s">
        <v>1881</v>
      </c>
      <c r="AA373" t="s">
        <v>963</v>
      </c>
      <c r="AB373" t="s">
        <v>2520</v>
      </c>
      <c r="AC373" t="s">
        <v>604</v>
      </c>
      <c r="AD373" t="s">
        <v>2171</v>
      </c>
      <c r="AE373" t="s">
        <v>2241</v>
      </c>
      <c r="AF373">
        <v>0.30091006219999999</v>
      </c>
    </row>
    <row r="374" spans="1:32" x14ac:dyDescent="0.25">
      <c r="A374" s="56">
        <v>3572032</v>
      </c>
      <c r="B374" s="56" t="s">
        <v>1274</v>
      </c>
      <c r="C374" s="56" t="s">
        <v>3515</v>
      </c>
      <c r="D374" s="57">
        <v>1186</v>
      </c>
      <c r="E374" s="57">
        <v>492.19</v>
      </c>
      <c r="F374" s="57">
        <v>0.49219000000000002</v>
      </c>
      <c r="G374" s="56" t="s">
        <v>392</v>
      </c>
      <c r="H374" s="56" t="s">
        <v>2511</v>
      </c>
      <c r="I374" s="56" t="s">
        <v>345</v>
      </c>
      <c r="J374" s="56" t="s">
        <v>3516</v>
      </c>
      <c r="K374" s="57">
        <v>889.71400000000006</v>
      </c>
      <c r="L374" s="56" t="s">
        <v>3517</v>
      </c>
      <c r="M374" s="56" t="s">
        <v>2760</v>
      </c>
      <c r="N374" s="56" t="s">
        <v>60</v>
      </c>
      <c r="O374" s="58">
        <v>44</v>
      </c>
      <c r="P374" s="59" t="s">
        <v>2532</v>
      </c>
      <c r="Q374" s="56" t="s">
        <v>192</v>
      </c>
      <c r="U374">
        <v>4159768</v>
      </c>
      <c r="V374">
        <v>19.05</v>
      </c>
      <c r="W374">
        <v>0</v>
      </c>
      <c r="X374">
        <v>2</v>
      </c>
      <c r="Y374">
        <v>0.39400000000000002</v>
      </c>
      <c r="Z374" t="s">
        <v>1891</v>
      </c>
      <c r="AA374" t="s">
        <v>963</v>
      </c>
      <c r="AB374" t="s">
        <v>2520</v>
      </c>
      <c r="AC374" t="s">
        <v>604</v>
      </c>
      <c r="AD374" t="s">
        <v>2171</v>
      </c>
      <c r="AE374" t="s">
        <v>6613</v>
      </c>
      <c r="AF374">
        <v>0.33116917460000006</v>
      </c>
    </row>
    <row r="375" spans="1:32" x14ac:dyDescent="0.25">
      <c r="A375" s="56">
        <v>3572033</v>
      </c>
      <c r="B375" s="56" t="s">
        <v>1276</v>
      </c>
      <c r="C375" s="56" t="s">
        <v>3518</v>
      </c>
      <c r="D375" s="57">
        <v>572.45799999999997</v>
      </c>
      <c r="E375" s="57">
        <v>250.16399999999999</v>
      </c>
      <c r="F375" s="57">
        <v>0.250164</v>
      </c>
      <c r="G375" s="56" t="s">
        <v>392</v>
      </c>
      <c r="H375" s="56" t="s">
        <v>2511</v>
      </c>
      <c r="I375" s="56" t="s">
        <v>345</v>
      </c>
      <c r="J375" s="56" t="s">
        <v>2799</v>
      </c>
      <c r="K375" s="57">
        <v>452.21300000000002</v>
      </c>
      <c r="L375" s="56" t="s">
        <v>3519</v>
      </c>
      <c r="M375" s="56" t="s">
        <v>2157</v>
      </c>
      <c r="N375" s="56" t="s">
        <v>60</v>
      </c>
      <c r="O375" s="58">
        <v>80</v>
      </c>
      <c r="P375" s="59" t="s">
        <v>2579</v>
      </c>
      <c r="Q375" s="56" t="s">
        <v>192</v>
      </c>
      <c r="U375" s="52">
        <v>1432169</v>
      </c>
      <c r="V375">
        <v>19.05</v>
      </c>
      <c r="W375">
        <v>0</v>
      </c>
      <c r="X375">
        <v>2</v>
      </c>
      <c r="Y375">
        <v>0.43</v>
      </c>
      <c r="Z375" t="s">
        <v>1914</v>
      </c>
      <c r="AA375" t="s">
        <v>963</v>
      </c>
      <c r="AB375" t="s">
        <v>2520</v>
      </c>
      <c r="AC375" t="s">
        <v>604</v>
      </c>
      <c r="AD375" t="s">
        <v>2171</v>
      </c>
      <c r="AE375" t="s">
        <v>3520</v>
      </c>
      <c r="AF375">
        <v>0.36142828700000001</v>
      </c>
    </row>
    <row r="376" spans="1:32" x14ac:dyDescent="0.25">
      <c r="A376" s="56">
        <v>3572034</v>
      </c>
      <c r="B376" s="56" t="s">
        <v>1281</v>
      </c>
      <c r="C376" s="56" t="s">
        <v>3521</v>
      </c>
      <c r="D376" s="57">
        <v>1035.9670000000001</v>
      </c>
      <c r="E376" s="57">
        <v>509.69600000000003</v>
      </c>
      <c r="F376" s="57">
        <v>0.50969600000000004</v>
      </c>
      <c r="G376" s="56" t="s">
        <v>392</v>
      </c>
      <c r="H376" s="56" t="s">
        <v>2511</v>
      </c>
      <c r="I376" s="56" t="s">
        <v>345</v>
      </c>
      <c r="J376" s="56" t="s">
        <v>2675</v>
      </c>
      <c r="K376" s="57">
        <v>921.35900000000004</v>
      </c>
      <c r="L376" s="56" t="s">
        <v>3522</v>
      </c>
      <c r="M376" s="56" t="s">
        <v>2756</v>
      </c>
      <c r="N376" s="56" t="s">
        <v>60</v>
      </c>
      <c r="O376" s="58">
        <v>44</v>
      </c>
      <c r="P376" s="59" t="s">
        <v>2532</v>
      </c>
      <c r="Q376" s="56" t="s">
        <v>192</v>
      </c>
      <c r="U376" s="52">
        <v>3508947</v>
      </c>
      <c r="V376">
        <v>19.05</v>
      </c>
      <c r="W376">
        <v>0</v>
      </c>
      <c r="X376">
        <v>2</v>
      </c>
      <c r="Y376">
        <v>0.43</v>
      </c>
      <c r="Z376" t="s">
        <v>1914</v>
      </c>
      <c r="AA376" t="s">
        <v>963</v>
      </c>
      <c r="AB376" t="s">
        <v>2520</v>
      </c>
      <c r="AC376" t="s">
        <v>604</v>
      </c>
      <c r="AD376" t="s">
        <v>2171</v>
      </c>
      <c r="AE376" t="s">
        <v>3520</v>
      </c>
      <c r="AF376">
        <v>0.36142828700000001</v>
      </c>
    </row>
    <row r="377" spans="1:32" x14ac:dyDescent="0.25">
      <c r="A377" s="56">
        <v>3572035</v>
      </c>
      <c r="B377" s="56" t="s">
        <v>1283</v>
      </c>
      <c r="C377" s="56" t="s">
        <v>3523</v>
      </c>
      <c r="D377" s="57">
        <v>778.66700000000003</v>
      </c>
      <c r="E377" s="57">
        <v>383.88299999999998</v>
      </c>
      <c r="F377" s="57">
        <v>0.38388299999999997</v>
      </c>
      <c r="G377" s="56" t="s">
        <v>392</v>
      </c>
      <c r="H377" s="56" t="s">
        <v>2511</v>
      </c>
      <c r="I377" s="56" t="s">
        <v>345</v>
      </c>
      <c r="J377" s="56" t="s">
        <v>2899</v>
      </c>
      <c r="K377" s="57">
        <v>693.93200000000002</v>
      </c>
      <c r="L377" s="56" t="s">
        <v>3524</v>
      </c>
      <c r="M377" s="56" t="s">
        <v>2740</v>
      </c>
      <c r="N377" s="56" t="s">
        <v>60</v>
      </c>
      <c r="O377" s="58">
        <v>80</v>
      </c>
      <c r="P377" s="59" t="s">
        <v>2579</v>
      </c>
      <c r="Q377" s="56" t="s">
        <v>192</v>
      </c>
      <c r="U377" s="52">
        <v>1432170</v>
      </c>
      <c r="V377">
        <v>19.05</v>
      </c>
      <c r="W377">
        <v>0</v>
      </c>
      <c r="X377">
        <v>2</v>
      </c>
      <c r="Y377">
        <v>0.44900000000000001</v>
      </c>
      <c r="Z377" t="s">
        <v>1914</v>
      </c>
      <c r="AA377" t="s">
        <v>963</v>
      </c>
      <c r="AB377" t="s">
        <v>2520</v>
      </c>
      <c r="AC377" t="s">
        <v>604</v>
      </c>
      <c r="AD377" t="s">
        <v>2171</v>
      </c>
      <c r="AE377" t="s">
        <v>3525</v>
      </c>
      <c r="AF377">
        <v>0.37739837410000004</v>
      </c>
    </row>
    <row r="378" spans="1:32" x14ac:dyDescent="0.25">
      <c r="A378" s="56">
        <v>3572036</v>
      </c>
      <c r="B378" s="56" t="s">
        <v>1285</v>
      </c>
      <c r="C378" s="56" t="s">
        <v>3526</v>
      </c>
      <c r="D378" s="57">
        <v>1101.058</v>
      </c>
      <c r="E378" s="57">
        <v>584.66200000000003</v>
      </c>
      <c r="F378" s="57">
        <v>0.58466200000000002</v>
      </c>
      <c r="G378" s="56" t="s">
        <v>392</v>
      </c>
      <c r="H378" s="56" t="s">
        <v>2511</v>
      </c>
      <c r="I378" s="56" t="s">
        <v>345</v>
      </c>
      <c r="J378" s="56" t="s">
        <v>2675</v>
      </c>
      <c r="K378" s="57">
        <v>1056.873</v>
      </c>
      <c r="L378" s="56" t="s">
        <v>3527</v>
      </c>
      <c r="M378" s="56" t="s">
        <v>2584</v>
      </c>
      <c r="N378" s="56" t="s">
        <v>60</v>
      </c>
      <c r="O378" s="58">
        <v>44</v>
      </c>
      <c r="P378" s="59" t="s">
        <v>2532</v>
      </c>
      <c r="Q378" s="56" t="s">
        <v>192</v>
      </c>
      <c r="U378" s="52">
        <v>2403384</v>
      </c>
      <c r="V378">
        <v>19.05</v>
      </c>
      <c r="W378">
        <v>0</v>
      </c>
      <c r="X378">
        <v>2</v>
      </c>
      <c r="Y378">
        <v>0.44900000000000001</v>
      </c>
      <c r="Z378" t="s">
        <v>1868</v>
      </c>
      <c r="AA378" t="s">
        <v>963</v>
      </c>
      <c r="AB378" t="s">
        <v>2520</v>
      </c>
      <c r="AC378" t="s">
        <v>604</v>
      </c>
      <c r="AD378" t="s">
        <v>2171</v>
      </c>
      <c r="AE378" t="s">
        <v>3525</v>
      </c>
      <c r="AF378">
        <v>0.37739837410000004</v>
      </c>
    </row>
    <row r="379" spans="1:32" x14ac:dyDescent="0.25">
      <c r="A379" s="56">
        <v>3572037</v>
      </c>
      <c r="B379" s="56" t="s">
        <v>1287</v>
      </c>
      <c r="C379" s="56" t="s">
        <v>3528</v>
      </c>
      <c r="D379" s="57">
        <v>444.43700000000001</v>
      </c>
      <c r="E379" s="57">
        <v>270.66199999999998</v>
      </c>
      <c r="F379" s="57">
        <v>0.27066199999999996</v>
      </c>
      <c r="G379" s="56" t="s">
        <v>392</v>
      </c>
      <c r="H379" s="56" t="s">
        <v>2511</v>
      </c>
      <c r="I379" s="56" t="s">
        <v>345</v>
      </c>
      <c r="J379" s="56" t="s">
        <v>1914</v>
      </c>
      <c r="K379" s="57">
        <v>489.26600000000002</v>
      </c>
      <c r="L379" s="56" t="s">
        <v>3529</v>
      </c>
      <c r="M379" s="56" t="s">
        <v>2990</v>
      </c>
      <c r="N379" s="56" t="s">
        <v>60</v>
      </c>
      <c r="O379" s="58">
        <v>198</v>
      </c>
      <c r="P379" s="59" t="s">
        <v>2524</v>
      </c>
      <c r="Q379" s="56" t="s">
        <v>192</v>
      </c>
      <c r="U379" s="52">
        <v>3509633</v>
      </c>
      <c r="V379">
        <v>19.05</v>
      </c>
      <c r="W379">
        <v>0</v>
      </c>
      <c r="X379">
        <v>2</v>
      </c>
      <c r="Y379">
        <v>0.45200000000000001</v>
      </c>
      <c r="Z379" t="s">
        <v>1914</v>
      </c>
      <c r="AA379" t="s">
        <v>963</v>
      </c>
      <c r="AB379" t="s">
        <v>2520</v>
      </c>
      <c r="AC379" t="s">
        <v>604</v>
      </c>
      <c r="AD379" t="s">
        <v>2171</v>
      </c>
      <c r="AE379" t="s">
        <v>3530</v>
      </c>
      <c r="AF379">
        <v>0.37991996680000006</v>
      </c>
    </row>
    <row r="380" spans="1:32" x14ac:dyDescent="0.25">
      <c r="A380" s="56">
        <v>3572038</v>
      </c>
      <c r="B380" s="56" t="s">
        <v>521</v>
      </c>
      <c r="C380" s="56" t="s">
        <v>3531</v>
      </c>
      <c r="D380" s="57">
        <v>1098.5509999999999</v>
      </c>
      <c r="E380" s="58">
        <v>758</v>
      </c>
      <c r="F380" s="57">
        <v>0.75800000000000001</v>
      </c>
      <c r="G380" s="56" t="s">
        <v>392</v>
      </c>
      <c r="H380" s="56" t="s">
        <v>2511</v>
      </c>
      <c r="I380" s="56" t="s">
        <v>345</v>
      </c>
      <c r="J380" s="56" t="s">
        <v>2671</v>
      </c>
      <c r="K380" s="57">
        <v>1370.21</v>
      </c>
      <c r="L380" s="56" t="s">
        <v>3532</v>
      </c>
      <c r="M380" s="56" t="s">
        <v>2731</v>
      </c>
      <c r="N380" s="56" t="s">
        <v>60</v>
      </c>
      <c r="O380" s="58">
        <v>44</v>
      </c>
      <c r="P380" s="59" t="s">
        <v>2532</v>
      </c>
      <c r="Q380" s="56" t="s">
        <v>192</v>
      </c>
      <c r="U380" s="52">
        <v>1637759</v>
      </c>
      <c r="V380">
        <v>19.05</v>
      </c>
      <c r="W380">
        <v>0</v>
      </c>
      <c r="X380">
        <v>2</v>
      </c>
      <c r="Y380">
        <v>0.45200000000000001</v>
      </c>
      <c r="Z380" t="s">
        <v>1914</v>
      </c>
      <c r="AA380" t="s">
        <v>963</v>
      </c>
      <c r="AB380" t="s">
        <v>2520</v>
      </c>
      <c r="AC380" t="s">
        <v>604</v>
      </c>
      <c r="AD380" t="s">
        <v>2171</v>
      </c>
      <c r="AE380" t="s">
        <v>3530</v>
      </c>
      <c r="AF380">
        <v>0.37991996680000006</v>
      </c>
    </row>
    <row r="381" spans="1:32" x14ac:dyDescent="0.25">
      <c r="A381" s="56">
        <v>3572039</v>
      </c>
      <c r="B381" s="56" t="s">
        <v>519</v>
      </c>
      <c r="C381" s="56" t="s">
        <v>3533</v>
      </c>
      <c r="D381" s="57">
        <v>657.61500000000001</v>
      </c>
      <c r="E381" s="57">
        <v>474.798</v>
      </c>
      <c r="F381" s="57">
        <v>0.474798</v>
      </c>
      <c r="G381" s="56" t="s">
        <v>392</v>
      </c>
      <c r="H381" s="56" t="s">
        <v>2511</v>
      </c>
      <c r="I381" s="56" t="s">
        <v>345</v>
      </c>
      <c r="J381" s="56" t="s">
        <v>2633</v>
      </c>
      <c r="K381" s="57">
        <v>858.27499999999998</v>
      </c>
      <c r="L381" s="56" t="s">
        <v>3534</v>
      </c>
      <c r="M381" s="56" t="s">
        <v>2768</v>
      </c>
      <c r="N381" s="56" t="s">
        <v>60</v>
      </c>
      <c r="O381" s="58">
        <v>44</v>
      </c>
      <c r="P381" s="59" t="s">
        <v>2532</v>
      </c>
      <c r="Q381" s="56" t="s">
        <v>192</v>
      </c>
      <c r="U381" s="52">
        <v>2403383</v>
      </c>
      <c r="V381">
        <v>19.05</v>
      </c>
      <c r="W381">
        <v>0</v>
      </c>
      <c r="X381">
        <v>2</v>
      </c>
      <c r="Y381">
        <v>0.47499999999999998</v>
      </c>
      <c r="Z381" t="s">
        <v>1868</v>
      </c>
      <c r="AA381" t="s">
        <v>963</v>
      </c>
      <c r="AB381" t="s">
        <v>2520</v>
      </c>
      <c r="AC381" t="s">
        <v>604</v>
      </c>
      <c r="AD381" t="s">
        <v>2171</v>
      </c>
      <c r="AE381" t="s">
        <v>2217</v>
      </c>
      <c r="AF381">
        <v>0.39925217750000003</v>
      </c>
    </row>
    <row r="382" spans="1:32" x14ac:dyDescent="0.25">
      <c r="A382" s="56">
        <v>3572040</v>
      </c>
      <c r="B382" s="56" t="s">
        <v>1293</v>
      </c>
      <c r="C382" s="56" t="s">
        <v>3535</v>
      </c>
      <c r="D382" s="57">
        <v>1699.31</v>
      </c>
      <c r="E382" s="58">
        <v>1232</v>
      </c>
      <c r="F382" s="57">
        <v>1.232</v>
      </c>
      <c r="G382" s="56" t="s">
        <v>392</v>
      </c>
      <c r="H382" s="56" t="s">
        <v>2511</v>
      </c>
      <c r="I382" s="56" t="s">
        <v>345</v>
      </c>
      <c r="J382" s="56" t="s">
        <v>2552</v>
      </c>
      <c r="K382" s="57">
        <v>2227.0430000000001</v>
      </c>
      <c r="L382" s="56" t="s">
        <v>3536</v>
      </c>
      <c r="M382" s="56" t="s">
        <v>2625</v>
      </c>
      <c r="N382" s="56" t="s">
        <v>60</v>
      </c>
      <c r="O382" s="58">
        <v>25</v>
      </c>
      <c r="P382" s="59" t="s">
        <v>2515</v>
      </c>
      <c r="Q382" s="56" t="s">
        <v>192</v>
      </c>
      <c r="U382" s="52">
        <v>1432172</v>
      </c>
      <c r="V382">
        <v>19.05</v>
      </c>
      <c r="W382">
        <v>0</v>
      </c>
      <c r="X382">
        <v>2</v>
      </c>
      <c r="Y382">
        <v>0.47499999999999998</v>
      </c>
      <c r="Z382" t="s">
        <v>1914</v>
      </c>
      <c r="AA382" t="s">
        <v>963</v>
      </c>
      <c r="AB382" t="s">
        <v>2520</v>
      </c>
      <c r="AC382" t="s">
        <v>604</v>
      </c>
      <c r="AD382" t="s">
        <v>2171</v>
      </c>
      <c r="AE382" t="s">
        <v>2217</v>
      </c>
      <c r="AF382">
        <v>0.39925217750000003</v>
      </c>
    </row>
    <row r="383" spans="1:32" x14ac:dyDescent="0.25">
      <c r="A383" s="56">
        <v>3572040</v>
      </c>
      <c r="B383" s="56" t="s">
        <v>1293</v>
      </c>
      <c r="C383" s="56" t="s">
        <v>3537</v>
      </c>
      <c r="D383" s="57">
        <v>511</v>
      </c>
      <c r="E383" s="57">
        <v>370.47500000000002</v>
      </c>
      <c r="F383" s="57">
        <v>0.370475</v>
      </c>
      <c r="G383" s="56" t="s">
        <v>392</v>
      </c>
      <c r="H383" s="56" t="s">
        <v>2511</v>
      </c>
      <c r="I383" s="56" t="s">
        <v>345</v>
      </c>
      <c r="J383" s="56" t="s">
        <v>2633</v>
      </c>
      <c r="K383" s="57">
        <v>669.69500000000005</v>
      </c>
      <c r="L383" s="56" t="s">
        <v>3538</v>
      </c>
      <c r="M383" s="56" t="s">
        <v>2625</v>
      </c>
      <c r="N383" s="56" t="s">
        <v>60</v>
      </c>
      <c r="O383" s="58">
        <v>44</v>
      </c>
      <c r="P383" s="59" t="s">
        <v>2532</v>
      </c>
      <c r="Q383" s="56" t="s">
        <v>192</v>
      </c>
      <c r="U383">
        <v>3508950</v>
      </c>
      <c r="V383">
        <v>19.05</v>
      </c>
      <c r="W383">
        <v>0</v>
      </c>
      <c r="X383">
        <v>2</v>
      </c>
      <c r="Y383">
        <v>0.47499999999999998</v>
      </c>
      <c r="Z383" t="s">
        <v>1914</v>
      </c>
      <c r="AA383" t="s">
        <v>963</v>
      </c>
      <c r="AB383" t="s">
        <v>2520</v>
      </c>
      <c r="AC383" t="s">
        <v>604</v>
      </c>
      <c r="AD383" t="s">
        <v>2171</v>
      </c>
      <c r="AE383" t="s">
        <v>2217</v>
      </c>
      <c r="AF383">
        <v>0.39925217750000003</v>
      </c>
    </row>
    <row r="384" spans="1:32" x14ac:dyDescent="0.25">
      <c r="A384" s="56">
        <v>3572043</v>
      </c>
      <c r="B384" s="56" t="s">
        <v>1544</v>
      </c>
      <c r="C384" s="56" t="s">
        <v>3539</v>
      </c>
      <c r="D384" s="57">
        <v>1585.623</v>
      </c>
      <c r="E384" s="57">
        <v>921.24699999999996</v>
      </c>
      <c r="F384" s="57">
        <v>0.92124699999999993</v>
      </c>
      <c r="G384" s="56" t="s">
        <v>392</v>
      </c>
      <c r="H384" s="56" t="s">
        <v>2511</v>
      </c>
      <c r="I384" s="56" t="s">
        <v>345</v>
      </c>
      <c r="J384" s="56" t="s">
        <v>3516</v>
      </c>
      <c r="K384" s="57">
        <v>1018.515</v>
      </c>
      <c r="L384" s="56" t="s">
        <v>3540</v>
      </c>
      <c r="M384" s="56" t="s">
        <v>3541</v>
      </c>
      <c r="N384" s="56" t="s">
        <v>60</v>
      </c>
      <c r="O384" s="58">
        <v>44</v>
      </c>
      <c r="P384" s="59" t="s">
        <v>2532</v>
      </c>
      <c r="Q384" s="56" t="s">
        <v>192</v>
      </c>
      <c r="U384" s="52">
        <v>3236719</v>
      </c>
      <c r="V384">
        <v>19.05</v>
      </c>
      <c r="W384">
        <v>0</v>
      </c>
      <c r="X384">
        <v>2</v>
      </c>
      <c r="Y384">
        <v>0.54800000000000004</v>
      </c>
      <c r="Z384" t="s">
        <v>2088</v>
      </c>
      <c r="AA384" t="s">
        <v>963</v>
      </c>
      <c r="AB384" t="s">
        <v>2520</v>
      </c>
      <c r="AC384" t="s">
        <v>3542</v>
      </c>
      <c r="AD384" t="s">
        <v>2171</v>
      </c>
      <c r="AE384" t="s">
        <v>3543</v>
      </c>
      <c r="AF384">
        <v>0.46061093320000007</v>
      </c>
    </row>
    <row r="385" spans="1:32" x14ac:dyDescent="0.25">
      <c r="A385" s="56">
        <v>3572044</v>
      </c>
      <c r="B385" s="56" t="s">
        <v>1546</v>
      </c>
      <c r="C385" s="56" t="s">
        <v>3544</v>
      </c>
      <c r="D385" s="57">
        <v>404.459</v>
      </c>
      <c r="E385" s="58">
        <v>2195</v>
      </c>
      <c r="F385" s="57">
        <v>2.1949999999999998</v>
      </c>
      <c r="G385" s="56" t="s">
        <v>392</v>
      </c>
      <c r="H385" s="56" t="s">
        <v>2511</v>
      </c>
      <c r="I385" s="56" t="s">
        <v>345</v>
      </c>
      <c r="J385" s="56" t="s">
        <v>2917</v>
      </c>
      <c r="K385" s="57">
        <v>2426.7550000000001</v>
      </c>
      <c r="L385" s="56" t="s">
        <v>3545</v>
      </c>
      <c r="M385" s="56" t="s">
        <v>2589</v>
      </c>
      <c r="N385" s="56" t="s">
        <v>60</v>
      </c>
      <c r="O385" s="58">
        <v>44</v>
      </c>
      <c r="P385" s="59" t="s">
        <v>2532</v>
      </c>
      <c r="Q385" s="56" t="s">
        <v>192</v>
      </c>
      <c r="U385" s="52">
        <v>1249097</v>
      </c>
      <c r="V385">
        <v>19.05</v>
      </c>
      <c r="W385">
        <v>0</v>
      </c>
      <c r="X385">
        <v>2</v>
      </c>
      <c r="Y385">
        <v>0.77500000000000002</v>
      </c>
      <c r="Z385" t="s">
        <v>1914</v>
      </c>
      <c r="AA385" t="s">
        <v>963</v>
      </c>
      <c r="AB385" t="s">
        <v>2520</v>
      </c>
      <c r="AC385" t="s">
        <v>604</v>
      </c>
      <c r="AD385" t="s">
        <v>2171</v>
      </c>
      <c r="AE385" t="s">
        <v>685</v>
      </c>
      <c r="AF385">
        <v>0.65141144750000013</v>
      </c>
    </row>
    <row r="386" spans="1:32" x14ac:dyDescent="0.25">
      <c r="A386" s="56">
        <v>3572046</v>
      </c>
      <c r="B386" s="56" t="s">
        <v>1662</v>
      </c>
      <c r="C386" s="56" t="s">
        <v>3546</v>
      </c>
      <c r="D386" s="57">
        <v>1792.3040000000001</v>
      </c>
      <c r="E386" s="57">
        <v>206.11500000000001</v>
      </c>
      <c r="F386" s="57">
        <v>0.20611500000000002</v>
      </c>
      <c r="G386" s="56" t="s">
        <v>392</v>
      </c>
      <c r="H386" s="56" t="s">
        <v>2511</v>
      </c>
      <c r="I386" s="56" t="s">
        <v>345</v>
      </c>
      <c r="J386" s="56" t="s">
        <v>2777</v>
      </c>
      <c r="K386" s="57">
        <v>188.68100000000001</v>
      </c>
      <c r="L386" s="56" t="s">
        <v>3547</v>
      </c>
      <c r="M386" s="56" t="s">
        <v>2895</v>
      </c>
      <c r="N386" s="56" t="s">
        <v>60</v>
      </c>
      <c r="O386" s="58">
        <v>44</v>
      </c>
      <c r="P386" s="59" t="s">
        <v>2532</v>
      </c>
      <c r="Q386" s="56" t="s">
        <v>192</v>
      </c>
      <c r="U386" s="52">
        <v>3507464</v>
      </c>
      <c r="V386">
        <v>19.05</v>
      </c>
      <c r="W386">
        <v>0</v>
      </c>
      <c r="X386">
        <v>2</v>
      </c>
      <c r="Y386">
        <v>0.77500000000000002</v>
      </c>
      <c r="Z386" t="s">
        <v>1914</v>
      </c>
      <c r="AA386" t="s">
        <v>963</v>
      </c>
      <c r="AB386" t="s">
        <v>2520</v>
      </c>
      <c r="AC386" t="s">
        <v>604</v>
      </c>
      <c r="AD386" t="s">
        <v>2171</v>
      </c>
      <c r="AE386" t="s">
        <v>685</v>
      </c>
      <c r="AF386">
        <v>0.65141144750000013</v>
      </c>
    </row>
    <row r="387" spans="1:32" x14ac:dyDescent="0.25">
      <c r="A387" s="56">
        <v>3572047</v>
      </c>
      <c r="B387" s="56" t="s">
        <v>492</v>
      </c>
      <c r="C387" s="56" t="s">
        <v>3548</v>
      </c>
      <c r="D387" s="57">
        <v>5950.4129999999996</v>
      </c>
      <c r="E387" s="58">
        <v>720</v>
      </c>
      <c r="F387" s="57">
        <v>0.72</v>
      </c>
      <c r="G387" s="56" t="s">
        <v>392</v>
      </c>
      <c r="H387" s="56" t="s">
        <v>2511</v>
      </c>
      <c r="I387" s="56" t="s">
        <v>345</v>
      </c>
      <c r="J387" s="56" t="s">
        <v>3249</v>
      </c>
      <c r="K387" s="57">
        <v>659.09900000000005</v>
      </c>
      <c r="L387" s="56" t="s">
        <v>3549</v>
      </c>
      <c r="M387" s="56" t="s">
        <v>2919</v>
      </c>
      <c r="N387" s="56" t="s">
        <v>60</v>
      </c>
      <c r="O387" s="58">
        <v>44</v>
      </c>
      <c r="P387" s="59" t="s">
        <v>2532</v>
      </c>
      <c r="Q387" s="56" t="s">
        <v>192</v>
      </c>
      <c r="U387" s="52">
        <v>1940284</v>
      </c>
      <c r="V387">
        <v>19.05</v>
      </c>
      <c r="W387">
        <v>0</v>
      </c>
      <c r="X387">
        <v>2</v>
      </c>
      <c r="Y387">
        <v>0.78500000000000003</v>
      </c>
      <c r="Z387" t="s">
        <v>1881</v>
      </c>
      <c r="AA387" t="s">
        <v>963</v>
      </c>
      <c r="AB387" t="s">
        <v>2520</v>
      </c>
      <c r="AC387" t="s">
        <v>604</v>
      </c>
      <c r="AD387" t="s">
        <v>2171</v>
      </c>
      <c r="AE387" t="s">
        <v>3550</v>
      </c>
      <c r="AF387">
        <v>0.65981675650000005</v>
      </c>
    </row>
    <row r="388" spans="1:32" x14ac:dyDescent="0.25">
      <c r="A388" s="56">
        <v>3572048</v>
      </c>
      <c r="B388" s="56" t="s">
        <v>1664</v>
      </c>
      <c r="C388" s="56" t="s">
        <v>3551</v>
      </c>
      <c r="D388" s="57">
        <v>3820</v>
      </c>
      <c r="E388" s="57">
        <v>584.46</v>
      </c>
      <c r="F388" s="57">
        <v>0.58446000000000009</v>
      </c>
      <c r="G388" s="56" t="s">
        <v>392</v>
      </c>
      <c r="H388" s="56" t="s">
        <v>2511</v>
      </c>
      <c r="I388" s="56" t="s">
        <v>345</v>
      </c>
      <c r="J388" s="56" t="s">
        <v>3249</v>
      </c>
      <c r="K388" s="57">
        <v>535.024</v>
      </c>
      <c r="L388" s="56" t="s">
        <v>3552</v>
      </c>
      <c r="M388" s="56" t="s">
        <v>2903</v>
      </c>
      <c r="N388" s="56" t="s">
        <v>60</v>
      </c>
      <c r="O388" s="58">
        <v>89</v>
      </c>
      <c r="P388" s="59" t="s">
        <v>2579</v>
      </c>
      <c r="Q388" s="56" t="s">
        <v>192</v>
      </c>
      <c r="U388" s="52">
        <v>1188598</v>
      </c>
      <c r="V388">
        <v>19.05</v>
      </c>
      <c r="W388">
        <v>0</v>
      </c>
      <c r="X388">
        <v>2</v>
      </c>
      <c r="Y388">
        <v>0.78500000000000003</v>
      </c>
      <c r="Z388" t="s">
        <v>1914</v>
      </c>
      <c r="AA388" t="s">
        <v>963</v>
      </c>
      <c r="AB388" t="s">
        <v>2520</v>
      </c>
      <c r="AC388" t="s">
        <v>604</v>
      </c>
      <c r="AD388" t="s">
        <v>2171</v>
      </c>
      <c r="AE388" t="s">
        <v>3550</v>
      </c>
      <c r="AF388">
        <v>0.65981675650000005</v>
      </c>
    </row>
    <row r="389" spans="1:32" x14ac:dyDescent="0.25">
      <c r="A389" s="56">
        <v>3572048</v>
      </c>
      <c r="B389" s="56" t="s">
        <v>1664</v>
      </c>
      <c r="C389" s="56" t="s">
        <v>3553</v>
      </c>
      <c r="D389" s="57">
        <v>1496.732</v>
      </c>
      <c r="E389" s="58">
        <v>229</v>
      </c>
      <c r="F389" s="57">
        <v>0.22900000000000001</v>
      </c>
      <c r="G389" s="56" t="s">
        <v>392</v>
      </c>
      <c r="H389" s="56" t="s">
        <v>2511</v>
      </c>
      <c r="I389" s="56" t="s">
        <v>345</v>
      </c>
      <c r="J389" s="56" t="s">
        <v>2675</v>
      </c>
      <c r="K389" s="57">
        <v>209.63</v>
      </c>
      <c r="L389" s="56" t="s">
        <v>3552</v>
      </c>
      <c r="M389" s="56" t="s">
        <v>2903</v>
      </c>
      <c r="N389" s="56" t="s">
        <v>60</v>
      </c>
      <c r="O389" s="58">
        <v>63</v>
      </c>
      <c r="P389" s="59" t="s">
        <v>2579</v>
      </c>
      <c r="Q389" s="56" t="s">
        <v>192</v>
      </c>
      <c r="U389" s="52">
        <v>3784368</v>
      </c>
      <c r="V389">
        <v>19.05</v>
      </c>
      <c r="W389">
        <v>0</v>
      </c>
      <c r="X389">
        <v>2</v>
      </c>
      <c r="Y389">
        <v>0.78500000000000003</v>
      </c>
      <c r="Z389" t="s">
        <v>1952</v>
      </c>
      <c r="AA389" t="s">
        <v>963</v>
      </c>
      <c r="AB389" t="s">
        <v>2520</v>
      </c>
      <c r="AC389" t="s">
        <v>604</v>
      </c>
      <c r="AD389" t="s">
        <v>2171</v>
      </c>
      <c r="AE389" t="s">
        <v>3550</v>
      </c>
      <c r="AF389">
        <v>0.65981675650000005</v>
      </c>
    </row>
    <row r="390" spans="1:32" x14ac:dyDescent="0.25">
      <c r="A390" s="56">
        <v>3572048</v>
      </c>
      <c r="B390" s="56" t="s">
        <v>1664</v>
      </c>
      <c r="C390" s="56" t="s">
        <v>3554</v>
      </c>
      <c r="D390" s="57">
        <v>2000</v>
      </c>
      <c r="E390" s="58">
        <v>306</v>
      </c>
      <c r="F390" s="57">
        <v>0.30599999999999999</v>
      </c>
      <c r="G390" s="56" t="s">
        <v>392</v>
      </c>
      <c r="H390" s="56" t="s">
        <v>2511</v>
      </c>
      <c r="I390" s="56" t="s">
        <v>345</v>
      </c>
      <c r="J390" s="56" t="s">
        <v>2777</v>
      </c>
      <c r="K390" s="57">
        <v>280.11700000000002</v>
      </c>
      <c r="L390" s="56" t="s">
        <v>3552</v>
      </c>
      <c r="M390" s="56" t="s">
        <v>2903</v>
      </c>
      <c r="N390" s="56" t="s">
        <v>60</v>
      </c>
      <c r="O390" s="58">
        <v>58</v>
      </c>
      <c r="P390" s="59" t="s">
        <v>2532</v>
      </c>
      <c r="Q390" s="56" t="s">
        <v>192</v>
      </c>
      <c r="U390" s="52">
        <v>1284065</v>
      </c>
      <c r="V390">
        <v>19.05</v>
      </c>
      <c r="W390">
        <v>0</v>
      </c>
      <c r="X390">
        <v>2</v>
      </c>
      <c r="Y390">
        <v>0.81499999999999995</v>
      </c>
      <c r="Z390" t="s">
        <v>1914</v>
      </c>
      <c r="AA390" t="s">
        <v>963</v>
      </c>
      <c r="AB390" t="s">
        <v>2520</v>
      </c>
      <c r="AC390" t="s">
        <v>604</v>
      </c>
      <c r="AD390" t="s">
        <v>2171</v>
      </c>
      <c r="AE390" t="s">
        <v>606</v>
      </c>
      <c r="AF390">
        <v>0.68503268350000002</v>
      </c>
    </row>
    <row r="391" spans="1:32" x14ac:dyDescent="0.25">
      <c r="A391" s="56">
        <v>3572048</v>
      </c>
      <c r="B391" s="56" t="s">
        <v>1664</v>
      </c>
      <c r="C391" s="56" t="s">
        <v>3555</v>
      </c>
      <c r="D391" s="57">
        <v>600</v>
      </c>
      <c r="E391" s="57">
        <v>91.8</v>
      </c>
      <c r="F391" s="57">
        <v>9.1799999999999993E-2</v>
      </c>
      <c r="G391" s="56" t="s">
        <v>392</v>
      </c>
      <c r="H391" s="56" t="s">
        <v>2511</v>
      </c>
      <c r="I391" s="56" t="s">
        <v>345</v>
      </c>
      <c r="J391" s="56" t="s">
        <v>1914</v>
      </c>
      <c r="K391" s="57">
        <v>84.034999999999997</v>
      </c>
      <c r="L391" s="56" t="s">
        <v>3552</v>
      </c>
      <c r="M391" s="56" t="s">
        <v>2903</v>
      </c>
      <c r="N391" s="56" t="s">
        <v>60</v>
      </c>
      <c r="O391" s="58">
        <v>69</v>
      </c>
      <c r="P391" s="59" t="s">
        <v>2579</v>
      </c>
      <c r="Q391" s="56" t="s">
        <v>192</v>
      </c>
      <c r="U391" s="52">
        <v>1940287</v>
      </c>
      <c r="V391">
        <v>19.05</v>
      </c>
      <c r="W391">
        <v>0</v>
      </c>
      <c r="X391">
        <v>2</v>
      </c>
      <c r="Y391">
        <v>0.81499999999999995</v>
      </c>
      <c r="Z391" t="s">
        <v>1891</v>
      </c>
      <c r="AA391" t="s">
        <v>963</v>
      </c>
      <c r="AB391" t="s">
        <v>2520</v>
      </c>
      <c r="AC391" t="s">
        <v>604</v>
      </c>
      <c r="AD391" t="s">
        <v>2171</v>
      </c>
      <c r="AE391" t="s">
        <v>606</v>
      </c>
      <c r="AF391">
        <v>0.68503268350000002</v>
      </c>
    </row>
    <row r="392" spans="1:32" x14ac:dyDescent="0.25">
      <c r="A392" s="56">
        <v>3572049</v>
      </c>
      <c r="B392" s="56" t="s">
        <v>1665</v>
      </c>
      <c r="C392" s="56" t="s">
        <v>3556</v>
      </c>
      <c r="D392" s="57">
        <v>1321.4680000000001</v>
      </c>
      <c r="E392" s="57">
        <v>939.56399999999996</v>
      </c>
      <c r="F392" s="57">
        <v>0.93956399999999995</v>
      </c>
      <c r="G392" s="56" t="s">
        <v>392</v>
      </c>
      <c r="H392" s="56" t="s">
        <v>2511</v>
      </c>
      <c r="I392" s="56" t="s">
        <v>345</v>
      </c>
      <c r="J392" s="56" t="s">
        <v>3516</v>
      </c>
      <c r="K392" s="57">
        <v>860.09199999999998</v>
      </c>
      <c r="L392" s="56" t="s">
        <v>3557</v>
      </c>
      <c r="M392" s="56" t="s">
        <v>2609</v>
      </c>
      <c r="N392" s="56" t="s">
        <v>60</v>
      </c>
      <c r="O392" s="58">
        <v>44</v>
      </c>
      <c r="P392" s="59" t="s">
        <v>2532</v>
      </c>
      <c r="Q392" s="56" t="s">
        <v>192</v>
      </c>
      <c r="U392" s="52">
        <v>3509196</v>
      </c>
      <c r="V392">
        <v>19.05</v>
      </c>
      <c r="W392">
        <v>0</v>
      </c>
      <c r="X392">
        <v>2</v>
      </c>
      <c r="Y392">
        <v>0.82</v>
      </c>
      <c r="Z392" t="s">
        <v>1914</v>
      </c>
      <c r="AA392" t="s">
        <v>963</v>
      </c>
      <c r="AB392" t="s">
        <v>2520</v>
      </c>
      <c r="AC392" t="s">
        <v>604</v>
      </c>
      <c r="AD392" t="s">
        <v>2171</v>
      </c>
      <c r="AE392" t="s">
        <v>3558</v>
      </c>
      <c r="AF392">
        <v>0.68923533800000003</v>
      </c>
    </row>
    <row r="393" spans="1:32" x14ac:dyDescent="0.25">
      <c r="A393" s="56">
        <v>3572050</v>
      </c>
      <c r="B393" s="56" t="s">
        <v>1666</v>
      </c>
      <c r="C393" s="56" t="s">
        <v>3559</v>
      </c>
      <c r="D393" s="57">
        <v>325.71100000000001</v>
      </c>
      <c r="E393" s="57">
        <v>252.75200000000001</v>
      </c>
      <c r="F393" s="57">
        <v>0.25275200000000003</v>
      </c>
      <c r="G393" s="56" t="s">
        <v>392</v>
      </c>
      <c r="H393" s="56" t="s">
        <v>2511</v>
      </c>
      <c r="I393" s="56" t="s">
        <v>345</v>
      </c>
      <c r="J393" s="56" t="s">
        <v>3560</v>
      </c>
      <c r="K393" s="57">
        <v>231.37299999999999</v>
      </c>
      <c r="L393" s="56" t="s">
        <v>3561</v>
      </c>
      <c r="M393" s="56" t="s">
        <v>2810</v>
      </c>
      <c r="N393" s="56" t="s">
        <v>60</v>
      </c>
      <c r="O393" s="58">
        <v>80</v>
      </c>
      <c r="P393" s="59" t="s">
        <v>2579</v>
      </c>
      <c r="Q393" s="56" t="s">
        <v>192</v>
      </c>
      <c r="U393" s="52">
        <v>3732182</v>
      </c>
      <c r="V393">
        <v>19.05</v>
      </c>
      <c r="W393">
        <v>0</v>
      </c>
      <c r="X393">
        <v>2</v>
      </c>
      <c r="Y393">
        <v>0.82</v>
      </c>
      <c r="Z393" t="s">
        <v>1952</v>
      </c>
      <c r="AA393" t="s">
        <v>963</v>
      </c>
      <c r="AB393" t="s">
        <v>2520</v>
      </c>
      <c r="AC393" t="s">
        <v>604</v>
      </c>
      <c r="AD393" t="s">
        <v>2171</v>
      </c>
      <c r="AE393" t="s">
        <v>3558</v>
      </c>
      <c r="AF393">
        <v>0.68923533800000003</v>
      </c>
    </row>
    <row r="394" spans="1:32" x14ac:dyDescent="0.25">
      <c r="A394" s="56">
        <v>3572051</v>
      </c>
      <c r="B394" s="56" t="s">
        <v>484</v>
      </c>
      <c r="C394" s="56" t="s">
        <v>3562</v>
      </c>
      <c r="D394" s="57">
        <v>56.722999999999999</v>
      </c>
      <c r="E394" s="57">
        <v>53.32</v>
      </c>
      <c r="F394" s="57">
        <v>5.3319999999999999E-2</v>
      </c>
      <c r="G394" s="56" t="s">
        <v>392</v>
      </c>
      <c r="H394" s="56" t="s">
        <v>2511</v>
      </c>
      <c r="I394" s="56" t="s">
        <v>345</v>
      </c>
      <c r="J394" s="56" t="s">
        <v>3563</v>
      </c>
      <c r="K394" s="57">
        <v>48.81</v>
      </c>
      <c r="L394" s="56" t="s">
        <v>3564</v>
      </c>
      <c r="M394" s="56" t="s">
        <v>3091</v>
      </c>
      <c r="N394" s="56" t="s">
        <v>60</v>
      </c>
      <c r="O394" s="58">
        <v>89</v>
      </c>
      <c r="P394" s="59" t="s">
        <v>2579</v>
      </c>
      <c r="Q394" s="56" t="s">
        <v>192</v>
      </c>
      <c r="U394" s="52">
        <v>1479701</v>
      </c>
      <c r="V394">
        <v>19.05</v>
      </c>
      <c r="W394">
        <v>0</v>
      </c>
      <c r="X394">
        <v>2</v>
      </c>
      <c r="Y394">
        <v>0.82</v>
      </c>
      <c r="Z394" t="s">
        <v>1914</v>
      </c>
      <c r="AA394" t="s">
        <v>963</v>
      </c>
      <c r="AB394" t="s">
        <v>2520</v>
      </c>
      <c r="AC394" t="s">
        <v>604</v>
      </c>
      <c r="AD394" t="s">
        <v>2171</v>
      </c>
      <c r="AE394" t="s">
        <v>3558</v>
      </c>
      <c r="AF394">
        <v>0.68923533800000003</v>
      </c>
    </row>
    <row r="395" spans="1:32" x14ac:dyDescent="0.25">
      <c r="A395" s="56">
        <v>3572052</v>
      </c>
      <c r="B395" s="56" t="s">
        <v>1667</v>
      </c>
      <c r="C395" s="56" t="s">
        <v>3565</v>
      </c>
      <c r="D395" s="57">
        <v>695.07500000000005</v>
      </c>
      <c r="E395" s="57">
        <v>676.30799999999999</v>
      </c>
      <c r="F395" s="57">
        <v>0.67630800000000002</v>
      </c>
      <c r="G395" s="56" t="s">
        <v>392</v>
      </c>
      <c r="H395" s="56" t="s">
        <v>2511</v>
      </c>
      <c r="I395" s="56" t="s">
        <v>345</v>
      </c>
      <c r="J395" s="56" t="s">
        <v>2611</v>
      </c>
      <c r="K395" s="57">
        <v>619.10299999999995</v>
      </c>
      <c r="L395" s="56" t="s">
        <v>3566</v>
      </c>
      <c r="M395" s="56" t="s">
        <v>2589</v>
      </c>
      <c r="N395" s="56" t="s">
        <v>60</v>
      </c>
      <c r="O395" s="58">
        <v>44</v>
      </c>
      <c r="P395" s="59" t="s">
        <v>2532</v>
      </c>
      <c r="Q395" s="56" t="s">
        <v>192</v>
      </c>
      <c r="U395" s="52">
        <v>1399341</v>
      </c>
      <c r="V395">
        <v>19.05</v>
      </c>
      <c r="W395">
        <v>0</v>
      </c>
      <c r="X395">
        <v>2</v>
      </c>
      <c r="Y395">
        <v>0.83</v>
      </c>
      <c r="Z395" t="s">
        <v>1914</v>
      </c>
      <c r="AA395" t="s">
        <v>963</v>
      </c>
      <c r="AB395" t="s">
        <v>2520</v>
      </c>
      <c r="AC395" t="s">
        <v>604</v>
      </c>
      <c r="AD395" t="s">
        <v>2171</v>
      </c>
      <c r="AE395" t="s">
        <v>3567</v>
      </c>
      <c r="AF395">
        <v>0.69764064700000006</v>
      </c>
    </row>
    <row r="396" spans="1:32" x14ac:dyDescent="0.25">
      <c r="A396" s="56">
        <v>3572053</v>
      </c>
      <c r="B396" s="56" t="s">
        <v>1668</v>
      </c>
      <c r="C396" s="56" t="s">
        <v>3568</v>
      </c>
      <c r="D396" s="57">
        <v>1077</v>
      </c>
      <c r="E396" s="57">
        <v>1094.232</v>
      </c>
      <c r="F396" s="57">
        <v>1.0942319999999999</v>
      </c>
      <c r="G396" s="56" t="s">
        <v>392</v>
      </c>
      <c r="H396" s="56" t="s">
        <v>2511</v>
      </c>
      <c r="I396" s="56" t="s">
        <v>345</v>
      </c>
      <c r="J396" s="56" t="s">
        <v>3569</v>
      </c>
      <c r="K396" s="57">
        <v>1001.677</v>
      </c>
      <c r="L396" s="56" t="s">
        <v>3570</v>
      </c>
      <c r="M396" s="56" t="s">
        <v>2548</v>
      </c>
      <c r="N396" s="56" t="s">
        <v>60</v>
      </c>
      <c r="O396" s="58">
        <v>44</v>
      </c>
      <c r="P396" s="59" t="s">
        <v>2532</v>
      </c>
      <c r="Q396" s="56" t="s">
        <v>192</v>
      </c>
      <c r="U396">
        <v>3508741</v>
      </c>
      <c r="V396">
        <v>19.05</v>
      </c>
      <c r="W396">
        <v>0</v>
      </c>
      <c r="X396">
        <v>2</v>
      </c>
      <c r="Y396">
        <v>0.83</v>
      </c>
      <c r="Z396" t="s">
        <v>1914</v>
      </c>
      <c r="AA396" t="s">
        <v>963</v>
      </c>
      <c r="AB396" t="s">
        <v>2520</v>
      </c>
      <c r="AC396" t="s">
        <v>604</v>
      </c>
      <c r="AD396" t="s">
        <v>2171</v>
      </c>
      <c r="AE396" t="s">
        <v>3567</v>
      </c>
      <c r="AF396">
        <v>0.69764064700000006</v>
      </c>
    </row>
    <row r="397" spans="1:32" x14ac:dyDescent="0.25">
      <c r="A397" s="56">
        <v>3572054</v>
      </c>
      <c r="B397" s="56" t="s">
        <v>1669</v>
      </c>
      <c r="C397" s="56" t="s">
        <v>3571</v>
      </c>
      <c r="D397" s="57">
        <v>1100.173</v>
      </c>
      <c r="E397" s="58">
        <v>1274</v>
      </c>
      <c r="F397" s="57">
        <v>1.274</v>
      </c>
      <c r="G397" s="56" t="s">
        <v>392</v>
      </c>
      <c r="H397" s="56" t="s">
        <v>2511</v>
      </c>
      <c r="I397" s="56" t="s">
        <v>345</v>
      </c>
      <c r="J397" s="56" t="s">
        <v>2671</v>
      </c>
      <c r="K397" s="57">
        <v>1166.239</v>
      </c>
      <c r="L397" s="56" t="s">
        <v>3572</v>
      </c>
      <c r="M397" s="56" t="s">
        <v>2605</v>
      </c>
      <c r="N397" s="56" t="s">
        <v>60</v>
      </c>
      <c r="O397" s="58">
        <v>44</v>
      </c>
      <c r="P397" s="59" t="s">
        <v>2532</v>
      </c>
      <c r="Q397" s="56" t="s">
        <v>192</v>
      </c>
      <c r="U397" s="52">
        <v>451367</v>
      </c>
      <c r="V397">
        <v>19.05</v>
      </c>
      <c r="W397">
        <v>0</v>
      </c>
      <c r="X397">
        <v>2</v>
      </c>
      <c r="Y397">
        <v>0.92500000000000004</v>
      </c>
      <c r="Z397" t="s">
        <v>2821</v>
      </c>
      <c r="AA397" t="s">
        <v>963</v>
      </c>
      <c r="AB397" t="s">
        <v>2520</v>
      </c>
      <c r="AC397" t="s">
        <v>604</v>
      </c>
      <c r="AD397" t="s">
        <v>2171</v>
      </c>
      <c r="AE397" t="s">
        <v>3573</v>
      </c>
      <c r="AF397">
        <v>0.7774910825000001</v>
      </c>
    </row>
    <row r="398" spans="1:32" x14ac:dyDescent="0.25">
      <c r="A398" s="56">
        <v>3572054</v>
      </c>
      <c r="B398" s="56" t="s">
        <v>1669</v>
      </c>
      <c r="C398" s="56" t="s">
        <v>3574</v>
      </c>
      <c r="D398" s="57">
        <v>92</v>
      </c>
      <c r="E398" s="57">
        <v>106.536</v>
      </c>
      <c r="F398" s="57">
        <v>0.10653600000000001</v>
      </c>
      <c r="G398" s="56" t="s">
        <v>392</v>
      </c>
      <c r="H398" s="56" t="s">
        <v>2511</v>
      </c>
      <c r="I398" s="56" t="s">
        <v>345</v>
      </c>
      <c r="J398" s="56" t="s">
        <v>2633</v>
      </c>
      <c r="K398" s="57">
        <v>97.525000000000006</v>
      </c>
      <c r="L398" s="56" t="s">
        <v>3572</v>
      </c>
      <c r="M398" s="56" t="s">
        <v>2605</v>
      </c>
      <c r="N398" s="56" t="s">
        <v>60</v>
      </c>
      <c r="O398" s="58">
        <v>55</v>
      </c>
      <c r="P398" s="59" t="s">
        <v>2532</v>
      </c>
      <c r="Q398" s="56" t="s">
        <v>192</v>
      </c>
      <c r="U398" s="52">
        <v>440216</v>
      </c>
      <c r="V398">
        <v>19.05</v>
      </c>
      <c r="W398">
        <v>0</v>
      </c>
      <c r="X398">
        <v>2</v>
      </c>
      <c r="Y398">
        <v>1</v>
      </c>
      <c r="Z398" t="s">
        <v>2821</v>
      </c>
      <c r="AA398" t="s">
        <v>963</v>
      </c>
      <c r="AB398" t="s">
        <v>2520</v>
      </c>
      <c r="AC398" t="s">
        <v>604</v>
      </c>
      <c r="AD398" t="s">
        <v>2171</v>
      </c>
      <c r="AE398" t="s">
        <v>3575</v>
      </c>
      <c r="AF398">
        <v>0.84053090000000008</v>
      </c>
    </row>
    <row r="399" spans="1:32" x14ac:dyDescent="0.25">
      <c r="A399" s="56">
        <v>3572055</v>
      </c>
      <c r="B399" s="56" t="s">
        <v>542</v>
      </c>
      <c r="C399" s="56" t="s">
        <v>3576</v>
      </c>
      <c r="D399" s="57">
        <v>3476.395</v>
      </c>
      <c r="E399" s="58">
        <v>810</v>
      </c>
      <c r="F399" s="57">
        <v>0.81</v>
      </c>
      <c r="G399" s="56" t="s">
        <v>392</v>
      </c>
      <c r="H399" s="56" t="s">
        <v>2511</v>
      </c>
      <c r="I399" s="56" t="s">
        <v>345</v>
      </c>
      <c r="J399" s="56" t="s">
        <v>3577</v>
      </c>
      <c r="K399" s="57">
        <v>551.62099999999998</v>
      </c>
      <c r="L399" s="56" t="s">
        <v>3578</v>
      </c>
      <c r="M399" s="56" t="s">
        <v>3057</v>
      </c>
      <c r="N399" s="56" t="s">
        <v>60</v>
      </c>
      <c r="O399" s="58">
        <v>44</v>
      </c>
      <c r="P399" s="59" t="s">
        <v>2532</v>
      </c>
      <c r="Q399" s="56" t="s">
        <v>192</v>
      </c>
      <c r="U399" s="52">
        <v>3682071</v>
      </c>
      <c r="V399">
        <v>19.05</v>
      </c>
      <c r="W399">
        <v>0</v>
      </c>
      <c r="X399">
        <v>2</v>
      </c>
      <c r="Y399">
        <v>5.0010000000000003</v>
      </c>
      <c r="Z399" t="s">
        <v>1914</v>
      </c>
      <c r="AA399" t="s">
        <v>963</v>
      </c>
      <c r="AB399" t="s">
        <v>2520</v>
      </c>
      <c r="AC399" t="s">
        <v>604</v>
      </c>
      <c r="AD399" t="s">
        <v>1838</v>
      </c>
      <c r="AE399" t="s">
        <v>3575</v>
      </c>
      <c r="AF399">
        <v>0.84053090000000008</v>
      </c>
    </row>
    <row r="400" spans="1:32" x14ac:dyDescent="0.25">
      <c r="A400" s="56">
        <v>3573306</v>
      </c>
      <c r="B400" s="56" t="s">
        <v>3579</v>
      </c>
      <c r="C400" s="56" t="s">
        <v>3580</v>
      </c>
      <c r="D400" s="57">
        <v>97.754999999999995</v>
      </c>
      <c r="E400" s="58">
        <v>505</v>
      </c>
      <c r="F400" s="57">
        <v>0.505</v>
      </c>
      <c r="G400" s="56" t="s">
        <v>392</v>
      </c>
      <c r="H400" s="56" t="s">
        <v>2511</v>
      </c>
      <c r="I400" s="56" t="s">
        <v>345</v>
      </c>
      <c r="J400" s="56" t="s">
        <v>3581</v>
      </c>
      <c r="K400" s="57">
        <v>600.26199999999994</v>
      </c>
      <c r="L400" s="56" t="s">
        <v>1914</v>
      </c>
      <c r="M400" s="56" t="s">
        <v>1123</v>
      </c>
      <c r="N400" s="56" t="s">
        <v>61</v>
      </c>
      <c r="O400" s="58">
        <v>40</v>
      </c>
      <c r="P400" s="59" t="s">
        <v>2532</v>
      </c>
      <c r="Q400" s="56" t="s">
        <v>11</v>
      </c>
      <c r="U400" s="538">
        <v>110102428</v>
      </c>
      <c r="V400">
        <v>19.05</v>
      </c>
      <c r="W400">
        <v>0</v>
      </c>
      <c r="X400">
        <v>2</v>
      </c>
      <c r="Y400">
        <v>5.58</v>
      </c>
      <c r="Z400" t="s">
        <v>1881</v>
      </c>
      <c r="AA400" t="s">
        <v>963</v>
      </c>
      <c r="AB400" t="s">
        <v>2520</v>
      </c>
      <c r="AC400" t="s">
        <v>604</v>
      </c>
      <c r="AD400" t="s">
        <v>1838</v>
      </c>
      <c r="AE400" t="s">
        <v>3575</v>
      </c>
      <c r="AF400">
        <v>0.84053090000000008</v>
      </c>
    </row>
    <row r="401" spans="1:32" x14ac:dyDescent="0.25">
      <c r="A401" s="56">
        <v>3575897</v>
      </c>
      <c r="B401" s="56" t="s">
        <v>2451</v>
      </c>
      <c r="C401" s="56" t="s">
        <v>3582</v>
      </c>
      <c r="D401" s="57">
        <v>25.541</v>
      </c>
      <c r="E401" s="58">
        <v>125</v>
      </c>
      <c r="F401" s="57">
        <v>0.125</v>
      </c>
      <c r="G401" s="56" t="s">
        <v>392</v>
      </c>
      <c r="H401" s="56" t="s">
        <v>2511</v>
      </c>
      <c r="I401" s="56" t="s">
        <v>345</v>
      </c>
      <c r="J401" s="56" t="s">
        <v>3199</v>
      </c>
      <c r="K401" s="57">
        <v>153.48699999999999</v>
      </c>
      <c r="L401" s="56" t="s">
        <v>1914</v>
      </c>
      <c r="M401" s="56" t="s">
        <v>1123</v>
      </c>
      <c r="N401" s="56" t="s">
        <v>37</v>
      </c>
      <c r="O401" s="58">
        <v>52</v>
      </c>
      <c r="P401" s="59" t="s">
        <v>2532</v>
      </c>
      <c r="Q401" s="56" t="s">
        <v>11</v>
      </c>
      <c r="U401" s="52">
        <v>1940292</v>
      </c>
      <c r="V401">
        <v>19.05</v>
      </c>
      <c r="W401">
        <v>0</v>
      </c>
      <c r="X401">
        <v>2</v>
      </c>
      <c r="Y401">
        <v>5.8</v>
      </c>
      <c r="Z401" t="s">
        <v>1891</v>
      </c>
      <c r="AA401" t="s">
        <v>963</v>
      </c>
      <c r="AB401" t="s">
        <v>2520</v>
      </c>
      <c r="AC401" t="s">
        <v>604</v>
      </c>
      <c r="AD401" t="s">
        <v>1838</v>
      </c>
      <c r="AE401" t="s">
        <v>3575</v>
      </c>
      <c r="AF401">
        <v>0.84053090000000008</v>
      </c>
    </row>
    <row r="402" spans="1:32" x14ac:dyDescent="0.25">
      <c r="A402" s="56">
        <v>3575897</v>
      </c>
      <c r="B402" s="56" t="s">
        <v>2451</v>
      </c>
      <c r="C402" s="56" t="s">
        <v>3583</v>
      </c>
      <c r="D402" s="57">
        <v>43.930999999999997</v>
      </c>
      <c r="E402" s="58">
        <v>215</v>
      </c>
      <c r="F402" s="57">
        <v>0.215</v>
      </c>
      <c r="G402" s="56" t="s">
        <v>392</v>
      </c>
      <c r="H402" s="56" t="s">
        <v>2511</v>
      </c>
      <c r="I402" s="56" t="s">
        <v>345</v>
      </c>
      <c r="J402" s="56" t="s">
        <v>3584</v>
      </c>
      <c r="K402" s="57">
        <v>263.99799999999999</v>
      </c>
      <c r="L402" s="56" t="s">
        <v>1914</v>
      </c>
      <c r="M402" s="56" t="s">
        <v>1123</v>
      </c>
      <c r="N402" s="56" t="s">
        <v>37</v>
      </c>
      <c r="O402" s="58">
        <v>52</v>
      </c>
      <c r="P402" s="59" t="s">
        <v>2532</v>
      </c>
      <c r="Q402" s="56" t="s">
        <v>11</v>
      </c>
      <c r="U402" s="538">
        <v>110102436</v>
      </c>
      <c r="V402">
        <v>19.05</v>
      </c>
      <c r="W402">
        <v>0</v>
      </c>
      <c r="X402">
        <v>2</v>
      </c>
      <c r="Y402">
        <v>5.8</v>
      </c>
      <c r="Z402" t="s">
        <v>1891</v>
      </c>
      <c r="AA402" t="s">
        <v>963</v>
      </c>
      <c r="AB402" t="s">
        <v>2520</v>
      </c>
      <c r="AC402" t="s">
        <v>604</v>
      </c>
      <c r="AD402" t="s">
        <v>1838</v>
      </c>
      <c r="AE402" t="s">
        <v>3575</v>
      </c>
      <c r="AF402">
        <v>0.84053090000000008</v>
      </c>
    </row>
    <row r="403" spans="1:32" x14ac:dyDescent="0.25">
      <c r="A403" s="56">
        <v>3576136</v>
      </c>
      <c r="B403" s="56" t="s">
        <v>3585</v>
      </c>
      <c r="C403" s="56" t="s">
        <v>3586</v>
      </c>
      <c r="D403" s="57">
        <v>23.603999999999999</v>
      </c>
      <c r="E403" s="57">
        <v>87.902000000000001</v>
      </c>
      <c r="F403" s="57">
        <v>8.7902000000000008E-2</v>
      </c>
      <c r="G403" s="56" t="s">
        <v>392</v>
      </c>
      <c r="H403" s="56" t="s">
        <v>2511</v>
      </c>
      <c r="I403" s="56" t="s">
        <v>345</v>
      </c>
      <c r="J403" s="56" t="s">
        <v>1914</v>
      </c>
      <c r="K403" s="57">
        <v>133.61000000000001</v>
      </c>
      <c r="L403" s="56" t="s">
        <v>3587</v>
      </c>
      <c r="M403" s="56" t="s">
        <v>2609</v>
      </c>
      <c r="N403" s="56" t="s">
        <v>60</v>
      </c>
      <c r="O403" s="58">
        <v>319</v>
      </c>
      <c r="P403" s="59" t="s">
        <v>2524</v>
      </c>
      <c r="Q403" s="56" t="s">
        <v>192</v>
      </c>
      <c r="U403">
        <v>4067800</v>
      </c>
      <c r="V403">
        <v>19.05</v>
      </c>
      <c r="W403">
        <v>0</v>
      </c>
      <c r="X403">
        <v>2</v>
      </c>
      <c r="Y403">
        <v>5.8019999999999996</v>
      </c>
      <c r="Z403" t="s">
        <v>1881</v>
      </c>
      <c r="AA403" t="s">
        <v>963</v>
      </c>
      <c r="AB403" t="s">
        <v>2520</v>
      </c>
      <c r="AC403" t="s">
        <v>604</v>
      </c>
      <c r="AD403" t="s">
        <v>1838</v>
      </c>
      <c r="AE403" t="s">
        <v>3575</v>
      </c>
      <c r="AF403">
        <v>0.84053090000000008</v>
      </c>
    </row>
    <row r="404" spans="1:32" x14ac:dyDescent="0.25">
      <c r="A404" s="56">
        <v>3576136</v>
      </c>
      <c r="B404" s="56" t="s">
        <v>3585</v>
      </c>
      <c r="C404" s="56" t="s">
        <v>3588</v>
      </c>
      <c r="D404" s="57">
        <v>408.16300000000001</v>
      </c>
      <c r="E404" s="58">
        <v>1520</v>
      </c>
      <c r="F404" s="57">
        <v>1.52</v>
      </c>
      <c r="G404" s="56" t="s">
        <v>392</v>
      </c>
      <c r="H404" s="56" t="s">
        <v>2511</v>
      </c>
      <c r="I404" s="56" t="s">
        <v>345</v>
      </c>
      <c r="J404" s="56" t="s">
        <v>3589</v>
      </c>
      <c r="K404" s="57">
        <v>2310.3820000000001</v>
      </c>
      <c r="L404" s="56" t="s">
        <v>3590</v>
      </c>
      <c r="M404" s="56" t="s">
        <v>2605</v>
      </c>
      <c r="N404" s="56" t="s">
        <v>60</v>
      </c>
      <c r="O404" s="58">
        <v>10</v>
      </c>
      <c r="P404" s="59" t="s">
        <v>2515</v>
      </c>
      <c r="Q404" s="56" t="s">
        <v>192</v>
      </c>
      <c r="U404" s="52">
        <v>3673888</v>
      </c>
      <c r="V404">
        <v>19.05</v>
      </c>
      <c r="W404">
        <v>0</v>
      </c>
      <c r="X404">
        <v>2</v>
      </c>
      <c r="Y404">
        <v>5.8410000000000002</v>
      </c>
      <c r="Z404" t="s">
        <v>1914</v>
      </c>
      <c r="AA404" t="s">
        <v>963</v>
      </c>
      <c r="AB404" t="s">
        <v>2520</v>
      </c>
      <c r="AC404" t="s">
        <v>604</v>
      </c>
      <c r="AD404" t="s">
        <v>1838</v>
      </c>
      <c r="AE404" t="s">
        <v>3575</v>
      </c>
      <c r="AF404">
        <v>0.84053090000000008</v>
      </c>
    </row>
    <row r="405" spans="1:32" x14ac:dyDescent="0.25">
      <c r="A405" s="56">
        <v>3576136</v>
      </c>
      <c r="B405" s="56" t="s">
        <v>3585</v>
      </c>
      <c r="C405" s="56" t="s">
        <v>3591</v>
      </c>
      <c r="D405" s="57">
        <v>426.96</v>
      </c>
      <c r="E405" s="58">
        <v>1590</v>
      </c>
      <c r="F405" s="57">
        <v>1.59</v>
      </c>
      <c r="G405" s="56" t="s">
        <v>392</v>
      </c>
      <c r="H405" s="56" t="s">
        <v>2511</v>
      </c>
      <c r="I405" s="56" t="s">
        <v>345</v>
      </c>
      <c r="J405" s="56" t="s">
        <v>3592</v>
      </c>
      <c r="K405" s="57">
        <v>2416.7809999999999</v>
      </c>
      <c r="L405" s="56" t="s">
        <v>3590</v>
      </c>
      <c r="M405" s="56" t="s">
        <v>2605</v>
      </c>
      <c r="N405" s="56" t="s">
        <v>60</v>
      </c>
      <c r="O405" s="58">
        <v>10</v>
      </c>
      <c r="P405" s="59" t="s">
        <v>2515</v>
      </c>
      <c r="Q405" s="56" t="s">
        <v>192</v>
      </c>
      <c r="U405" s="538">
        <v>111120704</v>
      </c>
      <c r="V405">
        <v>19.05</v>
      </c>
      <c r="W405">
        <v>0</v>
      </c>
      <c r="X405">
        <v>2</v>
      </c>
      <c r="Y405">
        <v>5.89</v>
      </c>
      <c r="Z405" t="s">
        <v>1881</v>
      </c>
      <c r="AA405" t="s">
        <v>963</v>
      </c>
      <c r="AB405" t="s">
        <v>2520</v>
      </c>
      <c r="AC405" t="s">
        <v>604</v>
      </c>
      <c r="AD405" t="s">
        <v>1838</v>
      </c>
      <c r="AE405" t="s">
        <v>3575</v>
      </c>
      <c r="AF405">
        <v>0.84053090000000008</v>
      </c>
    </row>
    <row r="406" spans="1:32" x14ac:dyDescent="0.25">
      <c r="A406" s="56">
        <v>3577684</v>
      </c>
      <c r="B406" s="56" t="s">
        <v>3593</v>
      </c>
      <c r="C406" s="56" t="s">
        <v>3594</v>
      </c>
      <c r="D406" s="57">
        <v>221.958</v>
      </c>
      <c r="E406" s="57">
        <v>1454.934</v>
      </c>
      <c r="F406" s="57">
        <v>1.4549339999999999</v>
      </c>
      <c r="G406" s="56" t="s">
        <v>392</v>
      </c>
      <c r="H406" s="56" t="s">
        <v>2511</v>
      </c>
      <c r="I406" s="56" t="s">
        <v>345</v>
      </c>
      <c r="J406" s="56" t="s">
        <v>1914</v>
      </c>
      <c r="K406" s="57">
        <v>1331.8689999999999</v>
      </c>
      <c r="L406" s="56" t="s">
        <v>1914</v>
      </c>
      <c r="M406" s="56" t="s">
        <v>1123</v>
      </c>
      <c r="N406" s="56" t="s">
        <v>96</v>
      </c>
      <c r="O406" s="58">
        <v>474</v>
      </c>
      <c r="P406" s="59" t="s">
        <v>2524</v>
      </c>
      <c r="Q406" s="56" t="s">
        <v>11</v>
      </c>
      <c r="U406" s="538">
        <v>111002199</v>
      </c>
      <c r="V406">
        <v>19.05</v>
      </c>
      <c r="W406">
        <v>0</v>
      </c>
      <c r="X406">
        <v>2</v>
      </c>
      <c r="Y406">
        <v>5.9550000000000001</v>
      </c>
      <c r="Z406" t="s">
        <v>1881</v>
      </c>
      <c r="AA406" t="s">
        <v>963</v>
      </c>
      <c r="AB406" t="s">
        <v>2520</v>
      </c>
      <c r="AC406" t="s">
        <v>604</v>
      </c>
      <c r="AD406" t="s">
        <v>1838</v>
      </c>
      <c r="AE406" t="s">
        <v>3575</v>
      </c>
      <c r="AF406">
        <v>0.84053090000000008</v>
      </c>
    </row>
    <row r="407" spans="1:32" x14ac:dyDescent="0.25">
      <c r="A407" s="56">
        <v>3584171</v>
      </c>
      <c r="B407" s="56" t="s">
        <v>686</v>
      </c>
      <c r="C407" s="56" t="s">
        <v>3595</v>
      </c>
      <c r="D407" s="57">
        <v>4714.0420000000004</v>
      </c>
      <c r="E407" s="57">
        <v>674.10799999999995</v>
      </c>
      <c r="F407" s="57">
        <v>0.67410799999999993</v>
      </c>
      <c r="G407" s="56" t="s">
        <v>392</v>
      </c>
      <c r="H407" s="56" t="s">
        <v>2511</v>
      </c>
      <c r="I407" s="56" t="s">
        <v>345</v>
      </c>
      <c r="J407" s="56" t="s">
        <v>1914</v>
      </c>
      <c r="K407" s="57">
        <v>617.08900000000006</v>
      </c>
      <c r="L407" s="56" t="s">
        <v>3596</v>
      </c>
      <c r="M407" s="56" t="s">
        <v>2877</v>
      </c>
      <c r="N407" s="56" t="s">
        <v>60</v>
      </c>
      <c r="O407" s="58">
        <v>25</v>
      </c>
      <c r="P407" s="59" t="s">
        <v>2515</v>
      </c>
      <c r="Q407" s="56" t="s">
        <v>192</v>
      </c>
      <c r="U407" s="52">
        <v>1940293</v>
      </c>
      <c r="V407">
        <v>19.05</v>
      </c>
      <c r="W407">
        <v>0</v>
      </c>
      <c r="X407">
        <v>2</v>
      </c>
      <c r="Y407">
        <v>6</v>
      </c>
      <c r="Z407" t="s">
        <v>1881</v>
      </c>
      <c r="AA407" t="s">
        <v>963</v>
      </c>
      <c r="AB407" t="s">
        <v>2520</v>
      </c>
      <c r="AC407" t="s">
        <v>604</v>
      </c>
      <c r="AD407" t="s">
        <v>1838</v>
      </c>
      <c r="AE407" t="s">
        <v>3575</v>
      </c>
      <c r="AF407">
        <v>0.84053090000000008</v>
      </c>
    </row>
    <row r="408" spans="1:32" x14ac:dyDescent="0.25">
      <c r="A408" s="56">
        <v>3584172</v>
      </c>
      <c r="B408" s="56" t="s">
        <v>3597</v>
      </c>
      <c r="C408" s="56" t="s">
        <v>3598</v>
      </c>
      <c r="D408" s="57">
        <v>293.86</v>
      </c>
      <c r="E408" s="58">
        <v>67</v>
      </c>
      <c r="F408" s="57">
        <v>6.7000000000000004E-2</v>
      </c>
      <c r="G408" s="56" t="s">
        <v>392</v>
      </c>
      <c r="H408" s="56" t="s">
        <v>2511</v>
      </c>
      <c r="I408" s="56" t="s">
        <v>345</v>
      </c>
      <c r="J408" s="56" t="s">
        <v>3320</v>
      </c>
      <c r="K408" s="57">
        <v>45.628</v>
      </c>
      <c r="L408" s="56" t="s">
        <v>3599</v>
      </c>
      <c r="M408" s="56" t="s">
        <v>2161</v>
      </c>
      <c r="N408" s="56" t="s">
        <v>60</v>
      </c>
      <c r="O408" s="58">
        <v>170</v>
      </c>
      <c r="P408" s="59" t="s">
        <v>2524</v>
      </c>
      <c r="Q408" s="56" t="s">
        <v>192</v>
      </c>
      <c r="U408" s="52">
        <v>235292</v>
      </c>
      <c r="V408">
        <v>19.05</v>
      </c>
      <c r="W408">
        <v>0</v>
      </c>
      <c r="X408">
        <v>2</v>
      </c>
      <c r="Y408">
        <v>6</v>
      </c>
      <c r="Z408" t="s">
        <v>2821</v>
      </c>
      <c r="AA408" t="s">
        <v>963</v>
      </c>
      <c r="AB408" t="s">
        <v>2520</v>
      </c>
      <c r="AC408" t="s">
        <v>604</v>
      </c>
      <c r="AD408" t="s">
        <v>1838</v>
      </c>
      <c r="AE408" t="s">
        <v>3575</v>
      </c>
      <c r="AF408">
        <v>0.84053090000000008</v>
      </c>
    </row>
    <row r="409" spans="1:32" x14ac:dyDescent="0.25">
      <c r="A409" s="56">
        <v>3584172</v>
      </c>
      <c r="B409" s="56" t="s">
        <v>3597</v>
      </c>
      <c r="C409" s="56" t="s">
        <v>3600</v>
      </c>
      <c r="D409" s="57">
        <v>1530.702</v>
      </c>
      <c r="E409" s="58">
        <v>349</v>
      </c>
      <c r="F409" s="57">
        <v>0.34899999999999998</v>
      </c>
      <c r="G409" s="56" t="s">
        <v>392</v>
      </c>
      <c r="H409" s="56" t="s">
        <v>2511</v>
      </c>
      <c r="I409" s="56" t="s">
        <v>345</v>
      </c>
      <c r="J409" s="56" t="s">
        <v>3601</v>
      </c>
      <c r="K409" s="57">
        <v>237.67400000000001</v>
      </c>
      <c r="L409" s="56" t="s">
        <v>3599</v>
      </c>
      <c r="M409" s="56" t="s">
        <v>2161</v>
      </c>
      <c r="N409" s="56" t="s">
        <v>60</v>
      </c>
      <c r="O409" s="58">
        <v>137</v>
      </c>
      <c r="P409" s="59" t="s">
        <v>2524</v>
      </c>
      <c r="Q409" s="56" t="s">
        <v>192</v>
      </c>
      <c r="U409" s="52">
        <v>3499307</v>
      </c>
      <c r="V409">
        <v>19.05</v>
      </c>
      <c r="W409">
        <v>0</v>
      </c>
      <c r="X409">
        <v>2</v>
      </c>
      <c r="Y409">
        <v>6</v>
      </c>
      <c r="Z409" t="s">
        <v>1914</v>
      </c>
      <c r="AA409" t="s">
        <v>963</v>
      </c>
      <c r="AB409" t="s">
        <v>2520</v>
      </c>
      <c r="AC409" t="s">
        <v>604</v>
      </c>
      <c r="AD409" t="s">
        <v>1838</v>
      </c>
      <c r="AE409" t="s">
        <v>3575</v>
      </c>
      <c r="AF409">
        <v>0.84053090000000008</v>
      </c>
    </row>
    <row r="410" spans="1:32" x14ac:dyDescent="0.25">
      <c r="A410" s="56">
        <v>3584172</v>
      </c>
      <c r="B410" s="56" t="s">
        <v>3597</v>
      </c>
      <c r="C410" s="56" t="s">
        <v>3602</v>
      </c>
      <c r="D410" s="57">
        <v>1000</v>
      </c>
      <c r="E410" s="58">
        <v>228</v>
      </c>
      <c r="F410" s="57">
        <v>0.22800000000000001</v>
      </c>
      <c r="G410" s="56" t="s">
        <v>392</v>
      </c>
      <c r="H410" s="56" t="s">
        <v>2511</v>
      </c>
      <c r="I410" s="56" t="s">
        <v>345</v>
      </c>
      <c r="J410" s="56" t="s">
        <v>1914</v>
      </c>
      <c r="K410" s="57">
        <v>155.27099999999999</v>
      </c>
      <c r="L410" s="56" t="s">
        <v>3599</v>
      </c>
      <c r="M410" s="56" t="s">
        <v>2161</v>
      </c>
      <c r="N410" s="56" t="s">
        <v>60</v>
      </c>
      <c r="O410" s="58">
        <v>75</v>
      </c>
      <c r="P410" s="59" t="s">
        <v>2579</v>
      </c>
      <c r="Q410" s="56" t="s">
        <v>192</v>
      </c>
      <c r="U410" s="52">
        <v>1932568</v>
      </c>
      <c r="V410">
        <v>19.05</v>
      </c>
      <c r="W410">
        <v>0</v>
      </c>
      <c r="X410">
        <v>2</v>
      </c>
      <c r="Y410">
        <v>6</v>
      </c>
      <c r="Z410" t="s">
        <v>1883</v>
      </c>
      <c r="AA410" t="s">
        <v>963</v>
      </c>
      <c r="AB410" t="s">
        <v>2520</v>
      </c>
      <c r="AC410" t="s">
        <v>604</v>
      </c>
      <c r="AD410" t="s">
        <v>1838</v>
      </c>
      <c r="AE410" t="s">
        <v>3575</v>
      </c>
      <c r="AF410">
        <v>0.84053090000000008</v>
      </c>
    </row>
    <row r="411" spans="1:32" x14ac:dyDescent="0.25">
      <c r="A411" s="56">
        <v>3584174</v>
      </c>
      <c r="B411" s="56" t="s">
        <v>1663</v>
      </c>
      <c r="C411" s="56" t="s">
        <v>3603</v>
      </c>
      <c r="D411" s="57">
        <v>904.548</v>
      </c>
      <c r="E411" s="57">
        <v>112.164</v>
      </c>
      <c r="F411" s="57">
        <v>0.112164</v>
      </c>
      <c r="G411" s="56" t="s">
        <v>392</v>
      </c>
      <c r="H411" s="56" t="s">
        <v>2511</v>
      </c>
      <c r="I411" s="56" t="s">
        <v>345</v>
      </c>
      <c r="J411" s="56" t="s">
        <v>3604</v>
      </c>
      <c r="K411" s="57">
        <v>102.67700000000001</v>
      </c>
      <c r="L411" s="56" t="s">
        <v>3605</v>
      </c>
      <c r="M411" s="56" t="s">
        <v>3091</v>
      </c>
      <c r="N411" s="56" t="s">
        <v>60</v>
      </c>
      <c r="O411" s="58">
        <v>25</v>
      </c>
      <c r="P411" s="59" t="s">
        <v>2515</v>
      </c>
      <c r="Q411" s="56" t="s">
        <v>192</v>
      </c>
      <c r="U411" s="508">
        <v>3618119</v>
      </c>
      <c r="V411">
        <v>19.05</v>
      </c>
      <c r="W411">
        <v>0</v>
      </c>
      <c r="X411">
        <v>2</v>
      </c>
      <c r="Y411">
        <v>6</v>
      </c>
      <c r="Z411" t="s">
        <v>1868</v>
      </c>
      <c r="AA411" t="s">
        <v>963</v>
      </c>
      <c r="AB411" t="s">
        <v>2520</v>
      </c>
      <c r="AC411" t="s">
        <v>604</v>
      </c>
      <c r="AD411" t="s">
        <v>1838</v>
      </c>
      <c r="AE411" t="s">
        <v>3575</v>
      </c>
      <c r="AF411">
        <v>0.84053090000000008</v>
      </c>
    </row>
    <row r="412" spans="1:32" x14ac:dyDescent="0.25">
      <c r="A412" s="56">
        <v>3586640</v>
      </c>
      <c r="B412" s="56" t="s">
        <v>2197</v>
      </c>
      <c r="C412" s="56" t="s">
        <v>3606</v>
      </c>
      <c r="D412" s="57">
        <v>14.983000000000001</v>
      </c>
      <c r="E412" s="58">
        <v>86</v>
      </c>
      <c r="F412" s="57">
        <v>8.5999999999999993E-2</v>
      </c>
      <c r="G412" s="56" t="s">
        <v>392</v>
      </c>
      <c r="H412" s="56" t="s">
        <v>2511</v>
      </c>
      <c r="I412" s="56" t="s">
        <v>345</v>
      </c>
      <c r="J412" s="56" t="s">
        <v>3607</v>
      </c>
      <c r="K412" s="57">
        <v>86.155000000000001</v>
      </c>
      <c r="L412" s="56" t="s">
        <v>1914</v>
      </c>
      <c r="M412" s="56" t="s">
        <v>1123</v>
      </c>
      <c r="N412" s="60" t="s">
        <v>151</v>
      </c>
      <c r="O412" s="58">
        <v>3</v>
      </c>
      <c r="P412" s="59" t="s">
        <v>2515</v>
      </c>
      <c r="Q412" s="56" t="s">
        <v>11</v>
      </c>
      <c r="U412" s="52">
        <v>3573306</v>
      </c>
      <c r="V412">
        <v>19.05</v>
      </c>
      <c r="W412">
        <v>0</v>
      </c>
      <c r="X412">
        <v>2</v>
      </c>
      <c r="Y412">
        <v>6.14</v>
      </c>
      <c r="Z412" t="s">
        <v>1881</v>
      </c>
      <c r="AA412" t="s">
        <v>963</v>
      </c>
      <c r="AB412" t="s">
        <v>2520</v>
      </c>
      <c r="AC412" t="s">
        <v>604</v>
      </c>
      <c r="AD412" t="s">
        <v>1838</v>
      </c>
      <c r="AE412" t="s">
        <v>3575</v>
      </c>
      <c r="AF412">
        <v>0.84053090000000008</v>
      </c>
    </row>
    <row r="413" spans="1:32" x14ac:dyDescent="0.25">
      <c r="A413" s="56">
        <v>3586640</v>
      </c>
      <c r="B413" s="56" t="s">
        <v>2197</v>
      </c>
      <c r="C413" s="56" t="s">
        <v>3608</v>
      </c>
      <c r="D413" s="57">
        <v>105.923</v>
      </c>
      <c r="E413" s="58">
        <v>608</v>
      </c>
      <c r="F413" s="57">
        <v>0.60799999999999998</v>
      </c>
      <c r="G413" s="56" t="s">
        <v>392</v>
      </c>
      <c r="H413" s="56" t="s">
        <v>2511</v>
      </c>
      <c r="I413" s="56" t="s">
        <v>345</v>
      </c>
      <c r="J413" s="56" t="s">
        <v>3609</v>
      </c>
      <c r="K413" s="57">
        <v>609.096</v>
      </c>
      <c r="L413" s="56" t="s">
        <v>1914</v>
      </c>
      <c r="M413" s="56" t="s">
        <v>1123</v>
      </c>
      <c r="N413" s="60" t="s">
        <v>151</v>
      </c>
      <c r="O413" s="58">
        <v>3</v>
      </c>
      <c r="P413" s="59" t="s">
        <v>2515</v>
      </c>
      <c r="Q413" s="56" t="s">
        <v>11</v>
      </c>
      <c r="U413" s="538">
        <v>110102404</v>
      </c>
      <c r="V413">
        <v>19.05</v>
      </c>
      <c r="W413">
        <v>0</v>
      </c>
      <c r="X413">
        <v>2</v>
      </c>
      <c r="Y413">
        <v>6.14</v>
      </c>
      <c r="Z413" t="s">
        <v>1881</v>
      </c>
      <c r="AA413" t="s">
        <v>963</v>
      </c>
      <c r="AB413" t="s">
        <v>2520</v>
      </c>
      <c r="AC413" t="s">
        <v>604</v>
      </c>
      <c r="AD413" t="s">
        <v>1838</v>
      </c>
      <c r="AE413" t="s">
        <v>3575</v>
      </c>
      <c r="AF413">
        <v>0.84053090000000008</v>
      </c>
    </row>
    <row r="414" spans="1:32" x14ac:dyDescent="0.25">
      <c r="A414" s="56">
        <v>3586641</v>
      </c>
      <c r="B414" s="56" t="s">
        <v>3610</v>
      </c>
      <c r="C414" s="56" t="s">
        <v>3611</v>
      </c>
      <c r="D414" s="57">
        <v>365.803</v>
      </c>
      <c r="E414" s="58">
        <v>2118</v>
      </c>
      <c r="F414" s="57">
        <v>2.1179999999999999</v>
      </c>
      <c r="G414" s="56" t="s">
        <v>392</v>
      </c>
      <c r="H414" s="56" t="s">
        <v>2511</v>
      </c>
      <c r="I414" s="56" t="s">
        <v>345</v>
      </c>
      <c r="J414" s="56" t="s">
        <v>3612</v>
      </c>
      <c r="K414" s="57">
        <v>2121.819</v>
      </c>
      <c r="L414" s="56" t="s">
        <v>1914</v>
      </c>
      <c r="M414" s="56" t="s">
        <v>1123</v>
      </c>
      <c r="N414" s="56" t="s">
        <v>76</v>
      </c>
      <c r="O414" s="58">
        <v>17</v>
      </c>
      <c r="P414" s="59" t="s">
        <v>2515</v>
      </c>
      <c r="Q414" s="56" t="s">
        <v>2561</v>
      </c>
      <c r="U414" s="52">
        <v>1940299</v>
      </c>
      <c r="V414">
        <v>19.05</v>
      </c>
      <c r="W414">
        <v>0</v>
      </c>
      <c r="X414">
        <v>2</v>
      </c>
      <c r="Y414">
        <v>6.2</v>
      </c>
      <c r="Z414" t="s">
        <v>1891</v>
      </c>
      <c r="AA414" t="s">
        <v>963</v>
      </c>
      <c r="AB414" t="s">
        <v>2520</v>
      </c>
      <c r="AC414" t="s">
        <v>604</v>
      </c>
      <c r="AD414" t="s">
        <v>1838</v>
      </c>
      <c r="AE414" t="s">
        <v>3575</v>
      </c>
      <c r="AF414">
        <v>0.84053090000000008</v>
      </c>
    </row>
    <row r="415" spans="1:32" x14ac:dyDescent="0.25">
      <c r="A415" s="56">
        <v>3586641</v>
      </c>
      <c r="B415" s="56" t="s">
        <v>3610</v>
      </c>
      <c r="C415" s="56" t="s">
        <v>3613</v>
      </c>
      <c r="D415" s="57">
        <v>30.052</v>
      </c>
      <c r="E415" s="58">
        <v>174</v>
      </c>
      <c r="F415" s="57">
        <v>0.17399999999999999</v>
      </c>
      <c r="G415" s="56" t="s">
        <v>392</v>
      </c>
      <c r="H415" s="56" t="s">
        <v>2511</v>
      </c>
      <c r="I415" s="56" t="s">
        <v>345</v>
      </c>
      <c r="J415" s="56" t="s">
        <v>2165</v>
      </c>
      <c r="K415" s="57">
        <v>174.31399999999999</v>
      </c>
      <c r="L415" s="56" t="s">
        <v>1914</v>
      </c>
      <c r="M415" s="56" t="s">
        <v>1123</v>
      </c>
      <c r="N415" s="56" t="s">
        <v>76</v>
      </c>
      <c r="O415" s="58">
        <v>17</v>
      </c>
      <c r="P415" s="59" t="s">
        <v>2515</v>
      </c>
      <c r="Q415" s="56" t="s">
        <v>2561</v>
      </c>
      <c r="U415" s="538">
        <v>110102443</v>
      </c>
      <c r="V415">
        <v>19.05</v>
      </c>
      <c r="W415">
        <v>0</v>
      </c>
      <c r="X415">
        <v>2</v>
      </c>
      <c r="Y415">
        <v>6.2</v>
      </c>
      <c r="Z415" t="s">
        <v>1891</v>
      </c>
      <c r="AA415" t="s">
        <v>963</v>
      </c>
      <c r="AB415" t="s">
        <v>2520</v>
      </c>
      <c r="AC415" t="s">
        <v>604</v>
      </c>
      <c r="AD415" t="s">
        <v>1838</v>
      </c>
      <c r="AE415" t="s">
        <v>3575</v>
      </c>
      <c r="AF415">
        <v>0.84053090000000008</v>
      </c>
    </row>
    <row r="416" spans="1:32" x14ac:dyDescent="0.25">
      <c r="A416" s="56">
        <v>3586644</v>
      </c>
      <c r="B416" s="56" t="s">
        <v>3614</v>
      </c>
      <c r="C416" s="56" t="s">
        <v>3615</v>
      </c>
      <c r="D416" s="57">
        <v>51.314999999999998</v>
      </c>
      <c r="E416" s="58">
        <v>324</v>
      </c>
      <c r="F416" s="57">
        <v>0.32400000000000001</v>
      </c>
      <c r="G416" s="56" t="s">
        <v>392</v>
      </c>
      <c r="H416" s="56" t="s">
        <v>2511</v>
      </c>
      <c r="I416" s="56" t="s">
        <v>345</v>
      </c>
      <c r="J416" s="56" t="s">
        <v>3616</v>
      </c>
      <c r="K416" s="57">
        <v>324.584</v>
      </c>
      <c r="L416" s="56" t="s">
        <v>1914</v>
      </c>
      <c r="M416" s="56" t="s">
        <v>1123</v>
      </c>
      <c r="N416" s="56" t="s">
        <v>37</v>
      </c>
      <c r="O416" s="58">
        <v>275</v>
      </c>
      <c r="P416" s="59" t="s">
        <v>2524</v>
      </c>
      <c r="Q416" s="56" t="s">
        <v>11</v>
      </c>
      <c r="U416" s="538">
        <v>110102444</v>
      </c>
      <c r="V416">
        <v>19.05</v>
      </c>
      <c r="W416">
        <v>0</v>
      </c>
      <c r="X416">
        <v>2</v>
      </c>
      <c r="Y416">
        <v>6.3</v>
      </c>
      <c r="Z416" t="s">
        <v>1891</v>
      </c>
      <c r="AA416" t="s">
        <v>963</v>
      </c>
      <c r="AB416" t="s">
        <v>2520</v>
      </c>
      <c r="AC416" t="s">
        <v>604</v>
      </c>
      <c r="AD416" t="s">
        <v>1838</v>
      </c>
      <c r="AE416" t="s">
        <v>3575</v>
      </c>
      <c r="AF416">
        <v>0.84053090000000008</v>
      </c>
    </row>
    <row r="417" spans="1:32" x14ac:dyDescent="0.25">
      <c r="A417" s="56">
        <v>3586644</v>
      </c>
      <c r="B417" s="56" t="s">
        <v>3614</v>
      </c>
      <c r="C417" s="56" t="s">
        <v>3617</v>
      </c>
      <c r="D417" s="57">
        <v>40.545000000000002</v>
      </c>
      <c r="E417" s="58">
        <v>256</v>
      </c>
      <c r="F417" s="57">
        <v>0.25600000000000001</v>
      </c>
      <c r="G417" s="56" t="s">
        <v>392</v>
      </c>
      <c r="H417" s="56" t="s">
        <v>2511</v>
      </c>
      <c r="I417" s="56" t="s">
        <v>345</v>
      </c>
      <c r="J417" s="56" t="s">
        <v>3618</v>
      </c>
      <c r="K417" s="57">
        <v>256.46199999999999</v>
      </c>
      <c r="L417" s="56" t="s">
        <v>1914</v>
      </c>
      <c r="M417" s="56" t="s">
        <v>1123</v>
      </c>
      <c r="N417" s="56" t="s">
        <v>37</v>
      </c>
      <c r="O417" s="58">
        <v>275</v>
      </c>
      <c r="P417" s="59" t="s">
        <v>2524</v>
      </c>
      <c r="Q417" s="56" t="s">
        <v>11</v>
      </c>
      <c r="U417" s="52">
        <v>1937438</v>
      </c>
      <c r="V417">
        <v>19.05</v>
      </c>
      <c r="W417">
        <v>0</v>
      </c>
      <c r="X417">
        <v>2.0299999999999998</v>
      </c>
      <c r="Y417">
        <v>0.83</v>
      </c>
      <c r="Z417" t="s">
        <v>1883</v>
      </c>
      <c r="AA417" t="s">
        <v>963</v>
      </c>
      <c r="AB417" t="s">
        <v>2520</v>
      </c>
      <c r="AC417" t="s">
        <v>604</v>
      </c>
      <c r="AD417" t="s">
        <v>2171</v>
      </c>
      <c r="AE417" t="s">
        <v>3567</v>
      </c>
      <c r="AF417">
        <v>0.70685932370199989</v>
      </c>
    </row>
    <row r="418" spans="1:32" x14ac:dyDescent="0.25">
      <c r="A418" s="56">
        <v>3586645</v>
      </c>
      <c r="B418" s="56" t="s">
        <v>1582</v>
      </c>
      <c r="C418" s="56" t="s">
        <v>3619</v>
      </c>
      <c r="D418" s="57">
        <v>21.361000000000001</v>
      </c>
      <c r="E418" s="58">
        <v>178</v>
      </c>
      <c r="F418" s="57">
        <v>0.17799999999999999</v>
      </c>
      <c r="G418" s="56" t="s">
        <v>392</v>
      </c>
      <c r="H418" s="56" t="s">
        <v>2511</v>
      </c>
      <c r="I418" s="56" t="s">
        <v>345</v>
      </c>
      <c r="J418" s="56" t="s">
        <v>2760</v>
      </c>
      <c r="K418" s="57">
        <v>126.027</v>
      </c>
      <c r="L418" s="56" t="s">
        <v>3620</v>
      </c>
      <c r="M418" s="56" t="s">
        <v>2537</v>
      </c>
      <c r="N418" s="56" t="s">
        <v>37</v>
      </c>
      <c r="O418" s="58">
        <v>60</v>
      </c>
      <c r="P418" s="59" t="s">
        <v>2532</v>
      </c>
      <c r="Q418" s="56" t="s">
        <v>11</v>
      </c>
      <c r="U418" s="52">
        <v>1333189</v>
      </c>
      <c r="V418">
        <v>19.05</v>
      </c>
      <c r="W418">
        <v>0</v>
      </c>
      <c r="X418">
        <v>2.2999999999999998</v>
      </c>
      <c r="Y418">
        <v>0.19500000000000001</v>
      </c>
      <c r="Z418" t="s">
        <v>1914</v>
      </c>
      <c r="AA418" t="s">
        <v>963</v>
      </c>
      <c r="AB418" t="s">
        <v>2520</v>
      </c>
      <c r="AC418" t="s">
        <v>407</v>
      </c>
      <c r="AD418" t="s">
        <v>2171</v>
      </c>
      <c r="AE418" t="s">
        <v>3621</v>
      </c>
      <c r="AF418">
        <v>0.185172531375</v>
      </c>
    </row>
    <row r="419" spans="1:32" x14ac:dyDescent="0.25">
      <c r="A419" s="56">
        <v>3586645</v>
      </c>
      <c r="B419" s="56" t="s">
        <v>1582</v>
      </c>
      <c r="C419" s="56" t="s">
        <v>3622</v>
      </c>
      <c r="D419" s="57">
        <v>7.2</v>
      </c>
      <c r="E419" s="58">
        <v>60</v>
      </c>
      <c r="F419" s="57">
        <v>0.06</v>
      </c>
      <c r="G419" s="56" t="s">
        <v>392</v>
      </c>
      <c r="H419" s="56" t="s">
        <v>2511</v>
      </c>
      <c r="I419" s="56" t="s">
        <v>345</v>
      </c>
      <c r="J419" s="56" t="s">
        <v>2903</v>
      </c>
      <c r="K419" s="57">
        <v>42.481000000000002</v>
      </c>
      <c r="L419" s="56" t="s">
        <v>3620</v>
      </c>
      <c r="M419" s="56" t="s">
        <v>2537</v>
      </c>
      <c r="N419" s="56" t="s">
        <v>37</v>
      </c>
      <c r="O419" s="58">
        <v>59</v>
      </c>
      <c r="P419" s="59" t="s">
        <v>2532</v>
      </c>
      <c r="Q419" s="56" t="s">
        <v>11</v>
      </c>
      <c r="U419" s="52">
        <v>1940302</v>
      </c>
      <c r="V419">
        <v>19.05</v>
      </c>
      <c r="W419">
        <v>0</v>
      </c>
      <c r="X419">
        <v>2.2999999999999998</v>
      </c>
      <c r="Y419">
        <v>0.19500000000000001</v>
      </c>
      <c r="Z419" t="s">
        <v>1891</v>
      </c>
      <c r="AA419" t="s">
        <v>963</v>
      </c>
      <c r="AB419" t="s">
        <v>2520</v>
      </c>
      <c r="AC419" t="s">
        <v>407</v>
      </c>
      <c r="AD419" t="s">
        <v>2171</v>
      </c>
      <c r="AE419" t="s">
        <v>3621</v>
      </c>
      <c r="AF419">
        <v>0.185172531375</v>
      </c>
    </row>
    <row r="420" spans="1:32" x14ac:dyDescent="0.25">
      <c r="A420" s="56">
        <v>3586645</v>
      </c>
      <c r="B420" s="56" t="s">
        <v>1582</v>
      </c>
      <c r="C420" s="56" t="s">
        <v>3623</v>
      </c>
      <c r="D420" s="57">
        <v>12</v>
      </c>
      <c r="E420" s="58">
        <v>100</v>
      </c>
      <c r="F420" s="57">
        <v>0.1</v>
      </c>
      <c r="G420" s="56" t="s">
        <v>392</v>
      </c>
      <c r="H420" s="56" t="s">
        <v>2511</v>
      </c>
      <c r="I420" s="56" t="s">
        <v>345</v>
      </c>
      <c r="J420" s="56" t="s">
        <v>2903</v>
      </c>
      <c r="K420" s="57">
        <v>70.801000000000002</v>
      </c>
      <c r="L420" s="56" t="s">
        <v>3620</v>
      </c>
      <c r="M420" s="56" t="s">
        <v>2537</v>
      </c>
      <c r="N420" s="56" t="s">
        <v>37</v>
      </c>
      <c r="O420" s="58">
        <v>59</v>
      </c>
      <c r="P420" s="59" t="s">
        <v>2532</v>
      </c>
      <c r="Q420" s="56" t="s">
        <v>11</v>
      </c>
      <c r="U420" s="52">
        <v>1259405</v>
      </c>
      <c r="V420">
        <v>19.05</v>
      </c>
      <c r="W420">
        <v>0</v>
      </c>
      <c r="X420">
        <v>2.2999999999999998</v>
      </c>
      <c r="Y420">
        <v>0.21</v>
      </c>
      <c r="Z420" t="s">
        <v>1914</v>
      </c>
      <c r="AA420" t="s">
        <v>963</v>
      </c>
      <c r="AB420" t="s">
        <v>2520</v>
      </c>
      <c r="AC420" t="s">
        <v>407</v>
      </c>
      <c r="AD420" t="s">
        <v>2171</v>
      </c>
      <c r="AE420" t="s">
        <v>2302</v>
      </c>
      <c r="AF420">
        <v>0.19941657224999998</v>
      </c>
    </row>
    <row r="421" spans="1:32" x14ac:dyDescent="0.25">
      <c r="A421" s="56">
        <v>3586645</v>
      </c>
      <c r="B421" s="56" t="s">
        <v>1582</v>
      </c>
      <c r="C421" s="56" t="s">
        <v>3624</v>
      </c>
      <c r="D421" s="57">
        <v>39.962000000000003</v>
      </c>
      <c r="E421" s="58">
        <v>333</v>
      </c>
      <c r="F421" s="57">
        <v>0.33300000000000002</v>
      </c>
      <c r="G421" s="56" t="s">
        <v>392</v>
      </c>
      <c r="H421" s="56" t="s">
        <v>2511</v>
      </c>
      <c r="I421" s="56" t="s">
        <v>345</v>
      </c>
      <c r="J421" s="56" t="s">
        <v>3625</v>
      </c>
      <c r="K421" s="57">
        <v>235.76900000000001</v>
      </c>
      <c r="L421" s="56" t="s">
        <v>3620</v>
      </c>
      <c r="M421" s="56" t="s">
        <v>2537</v>
      </c>
      <c r="N421" s="56" t="s">
        <v>37</v>
      </c>
      <c r="O421" s="58">
        <v>6</v>
      </c>
      <c r="P421" s="59" t="s">
        <v>2515</v>
      </c>
      <c r="Q421" s="56" t="s">
        <v>11</v>
      </c>
      <c r="U421">
        <v>3507523</v>
      </c>
      <c r="V421">
        <v>19.05</v>
      </c>
      <c r="W421">
        <v>0</v>
      </c>
      <c r="X421">
        <v>2.2999999999999998</v>
      </c>
      <c r="Y421">
        <v>0.21</v>
      </c>
      <c r="Z421" t="s">
        <v>1914</v>
      </c>
      <c r="AA421" t="s">
        <v>963</v>
      </c>
      <c r="AB421" t="s">
        <v>2520</v>
      </c>
      <c r="AC421" t="s">
        <v>407</v>
      </c>
      <c r="AD421" t="s">
        <v>2171</v>
      </c>
      <c r="AE421" t="s">
        <v>2302</v>
      </c>
      <c r="AF421">
        <v>0.19941657224999998</v>
      </c>
    </row>
    <row r="422" spans="1:32" x14ac:dyDescent="0.25">
      <c r="A422" s="56">
        <v>3605739</v>
      </c>
      <c r="B422" s="56" t="s">
        <v>620</v>
      </c>
      <c r="C422" s="56" t="s">
        <v>3626</v>
      </c>
      <c r="D422" s="57">
        <v>1503.08</v>
      </c>
      <c r="E422" s="58">
        <v>732</v>
      </c>
      <c r="F422" s="57">
        <v>0.73199999999999998</v>
      </c>
      <c r="G422" s="56" t="s">
        <v>392</v>
      </c>
      <c r="H422" s="56" t="s">
        <v>2511</v>
      </c>
      <c r="I422" s="56" t="s">
        <v>345</v>
      </c>
      <c r="J422" s="56" t="s">
        <v>3627</v>
      </c>
      <c r="K422" s="57">
        <v>1310.8879999999999</v>
      </c>
      <c r="L422" s="56" t="s">
        <v>3628</v>
      </c>
      <c r="M422" s="56" t="s">
        <v>2810</v>
      </c>
      <c r="N422" s="56" t="s">
        <v>30</v>
      </c>
      <c r="O422" s="58">
        <v>7</v>
      </c>
      <c r="P422" s="59" t="s">
        <v>2515</v>
      </c>
      <c r="Q422" s="56" t="s">
        <v>11</v>
      </c>
      <c r="U422" s="52">
        <v>3781673</v>
      </c>
      <c r="V422">
        <v>19.05</v>
      </c>
      <c r="W422">
        <v>0</v>
      </c>
      <c r="X422">
        <v>2.2999999999999998</v>
      </c>
      <c r="Y422">
        <v>0.23599999999999999</v>
      </c>
      <c r="Z422" t="s">
        <v>2821</v>
      </c>
      <c r="AA422" t="s">
        <v>963</v>
      </c>
      <c r="AB422" t="s">
        <v>2520</v>
      </c>
      <c r="AC422" t="s">
        <v>407</v>
      </c>
      <c r="AD422" t="s">
        <v>2171</v>
      </c>
      <c r="AE422" t="s">
        <v>455</v>
      </c>
      <c r="AF422">
        <v>0.22410624309999999</v>
      </c>
    </row>
    <row r="423" spans="1:32" x14ac:dyDescent="0.25">
      <c r="A423" s="56">
        <v>3605739</v>
      </c>
      <c r="B423" s="56" t="s">
        <v>620</v>
      </c>
      <c r="C423" s="56" t="s">
        <v>3629</v>
      </c>
      <c r="D423" s="57">
        <v>534.15200000000004</v>
      </c>
      <c r="E423" s="57">
        <v>260.13200000000001</v>
      </c>
      <c r="F423" s="57">
        <v>0.26013200000000003</v>
      </c>
      <c r="G423" s="56" t="s">
        <v>392</v>
      </c>
      <c r="H423" s="56" t="s">
        <v>2511</v>
      </c>
      <c r="I423" s="56" t="s">
        <v>345</v>
      </c>
      <c r="J423" s="56" t="s">
        <v>3272</v>
      </c>
      <c r="K423" s="57">
        <v>465.85199999999998</v>
      </c>
      <c r="L423" s="56" t="s">
        <v>3630</v>
      </c>
      <c r="M423" s="56" t="s">
        <v>2810</v>
      </c>
      <c r="N423" s="56" t="s">
        <v>30</v>
      </c>
      <c r="O423" s="58">
        <v>13</v>
      </c>
      <c r="P423" s="59" t="s">
        <v>2515</v>
      </c>
      <c r="Q423" s="56" t="s">
        <v>11</v>
      </c>
      <c r="U423" s="52">
        <v>1940306</v>
      </c>
      <c r="V423">
        <v>19.05</v>
      </c>
      <c r="W423">
        <v>0</v>
      </c>
      <c r="X423">
        <v>2.2999999999999998</v>
      </c>
      <c r="Y423">
        <v>0.23599999999999999</v>
      </c>
      <c r="Z423" t="s">
        <v>1891</v>
      </c>
      <c r="AA423" t="s">
        <v>963</v>
      </c>
      <c r="AB423" t="s">
        <v>2520</v>
      </c>
      <c r="AC423" t="s">
        <v>407</v>
      </c>
      <c r="AD423" t="s">
        <v>2171</v>
      </c>
      <c r="AE423" t="s">
        <v>455</v>
      </c>
      <c r="AF423">
        <v>0.22410624309999999</v>
      </c>
    </row>
    <row r="424" spans="1:32" x14ac:dyDescent="0.25">
      <c r="A424" s="56">
        <v>3605740</v>
      </c>
      <c r="B424" s="56" t="s">
        <v>1296</v>
      </c>
      <c r="C424" s="56" t="s">
        <v>3631</v>
      </c>
      <c r="D424" s="57">
        <v>1479.9390000000001</v>
      </c>
      <c r="E424" s="57">
        <v>557.93700000000001</v>
      </c>
      <c r="F424" s="57">
        <v>0.55793700000000002</v>
      </c>
      <c r="G424" s="56" t="s">
        <v>392</v>
      </c>
      <c r="H424" s="56" t="s">
        <v>2511</v>
      </c>
      <c r="I424" s="56" t="s">
        <v>345</v>
      </c>
      <c r="J424" s="56" t="s">
        <v>3256</v>
      </c>
      <c r="K424" s="57">
        <v>999.17100000000005</v>
      </c>
      <c r="L424" s="56" t="s">
        <v>3632</v>
      </c>
      <c r="M424" s="56" t="s">
        <v>2514</v>
      </c>
      <c r="N424" s="56" t="s">
        <v>30</v>
      </c>
      <c r="O424" s="58">
        <v>60</v>
      </c>
      <c r="P424" s="59" t="s">
        <v>2532</v>
      </c>
      <c r="Q424" s="56" t="s">
        <v>11</v>
      </c>
      <c r="U424" s="52">
        <v>511879</v>
      </c>
      <c r="V424">
        <v>19.05</v>
      </c>
      <c r="W424">
        <v>0</v>
      </c>
      <c r="X424">
        <v>2.2999999999999998</v>
      </c>
      <c r="Y424">
        <v>0.23599999999999999</v>
      </c>
      <c r="Z424" t="s">
        <v>1914</v>
      </c>
      <c r="AA424" t="s">
        <v>963</v>
      </c>
      <c r="AB424" t="s">
        <v>2520</v>
      </c>
      <c r="AC424" t="s">
        <v>407</v>
      </c>
      <c r="AD424" t="s">
        <v>2171</v>
      </c>
      <c r="AE424" t="s">
        <v>455</v>
      </c>
      <c r="AF424">
        <v>0.22410624309999999</v>
      </c>
    </row>
    <row r="425" spans="1:32" x14ac:dyDescent="0.25">
      <c r="A425" s="56">
        <v>3605740</v>
      </c>
      <c r="B425" s="56" t="s">
        <v>1296</v>
      </c>
      <c r="C425" s="56" t="s">
        <v>3633</v>
      </c>
      <c r="D425" s="57">
        <v>1000</v>
      </c>
      <c r="E425" s="58">
        <v>377</v>
      </c>
      <c r="F425" s="57">
        <v>0.377</v>
      </c>
      <c r="G425" s="56" t="s">
        <v>392</v>
      </c>
      <c r="H425" s="56" t="s">
        <v>2511</v>
      </c>
      <c r="I425" s="56" t="s">
        <v>345</v>
      </c>
      <c r="J425" s="56" t="s">
        <v>1914</v>
      </c>
      <c r="K425" s="57">
        <v>675.14300000000003</v>
      </c>
      <c r="L425" s="56" t="s">
        <v>3632</v>
      </c>
      <c r="M425" s="56" t="s">
        <v>2514</v>
      </c>
      <c r="N425" s="56" t="s">
        <v>30</v>
      </c>
      <c r="O425" s="58">
        <v>35</v>
      </c>
      <c r="P425" s="59" t="s">
        <v>2532</v>
      </c>
      <c r="Q425" s="56" t="s">
        <v>11</v>
      </c>
      <c r="U425" s="52">
        <v>437147</v>
      </c>
      <c r="V425">
        <v>19.05</v>
      </c>
      <c r="W425">
        <v>0</v>
      </c>
      <c r="X425">
        <v>2.2999999999999998</v>
      </c>
      <c r="Y425">
        <v>0.252</v>
      </c>
      <c r="Z425" t="s">
        <v>2821</v>
      </c>
      <c r="AA425" t="s">
        <v>963</v>
      </c>
      <c r="AB425" t="s">
        <v>2520</v>
      </c>
      <c r="AC425" t="s">
        <v>407</v>
      </c>
      <c r="AD425" t="s">
        <v>2171</v>
      </c>
      <c r="AE425" t="s">
        <v>409</v>
      </c>
      <c r="AF425">
        <v>0.23929988669999999</v>
      </c>
    </row>
    <row r="426" spans="1:32" x14ac:dyDescent="0.25">
      <c r="A426" s="56">
        <v>3616912</v>
      </c>
      <c r="B426" s="56" t="s">
        <v>2046</v>
      </c>
      <c r="C426" s="56" t="s">
        <v>3634</v>
      </c>
      <c r="D426" s="57">
        <v>92.242999999999995</v>
      </c>
      <c r="E426" s="57">
        <v>133.01400000000001</v>
      </c>
      <c r="F426" s="57">
        <v>0.13301400000000002</v>
      </c>
      <c r="G426" s="56" t="s">
        <v>392</v>
      </c>
      <c r="H426" s="56" t="s">
        <v>2511</v>
      </c>
      <c r="I426" s="56" t="s">
        <v>345</v>
      </c>
      <c r="J426" s="56" t="s">
        <v>1914</v>
      </c>
      <c r="K426" s="57">
        <v>78.641000000000005</v>
      </c>
      <c r="L426" s="56" t="s">
        <v>1914</v>
      </c>
      <c r="M426" s="56" t="s">
        <v>1123</v>
      </c>
      <c r="N426" s="56" t="s">
        <v>48</v>
      </c>
      <c r="O426" s="58">
        <v>262</v>
      </c>
      <c r="P426" s="59" t="s">
        <v>2524</v>
      </c>
      <c r="Q426" s="56" t="s">
        <v>11</v>
      </c>
      <c r="U426" s="52">
        <v>1940307</v>
      </c>
      <c r="V426">
        <v>19.05</v>
      </c>
      <c r="W426">
        <v>0</v>
      </c>
      <c r="X426">
        <v>2.2999999999999998</v>
      </c>
      <c r="Y426">
        <v>0.252</v>
      </c>
      <c r="Z426" t="s">
        <v>1891</v>
      </c>
      <c r="AA426" t="s">
        <v>963</v>
      </c>
      <c r="AB426" t="s">
        <v>2520</v>
      </c>
      <c r="AC426" t="s">
        <v>407</v>
      </c>
      <c r="AD426" t="s">
        <v>2171</v>
      </c>
      <c r="AE426" t="s">
        <v>409</v>
      </c>
      <c r="AF426">
        <v>0.23929988669999999</v>
      </c>
    </row>
    <row r="427" spans="1:32" x14ac:dyDescent="0.25">
      <c r="A427" s="56">
        <v>3673011</v>
      </c>
      <c r="B427" s="56" t="s">
        <v>651</v>
      </c>
      <c r="C427" s="56" t="s">
        <v>3635</v>
      </c>
      <c r="D427" s="57">
        <v>1488.701</v>
      </c>
      <c r="E427" s="58">
        <v>1581</v>
      </c>
      <c r="F427" s="57">
        <v>1.581</v>
      </c>
      <c r="G427" s="56" t="s">
        <v>392</v>
      </c>
      <c r="H427" s="56" t="s">
        <v>2511</v>
      </c>
      <c r="I427" s="56" t="s">
        <v>345</v>
      </c>
      <c r="J427" s="56" t="s">
        <v>3636</v>
      </c>
      <c r="K427" s="57">
        <v>1941.306</v>
      </c>
      <c r="L427" s="56" t="s">
        <v>3637</v>
      </c>
      <c r="M427" s="56" t="s">
        <v>2159</v>
      </c>
      <c r="N427" s="56" t="s">
        <v>61</v>
      </c>
      <c r="O427" s="58">
        <v>5</v>
      </c>
      <c r="P427" s="59" t="s">
        <v>2515</v>
      </c>
      <c r="Q427" s="56" t="s">
        <v>11</v>
      </c>
      <c r="U427">
        <v>3783914</v>
      </c>
      <c r="V427">
        <v>19.05</v>
      </c>
      <c r="W427">
        <v>0</v>
      </c>
      <c r="X427">
        <v>2.2999999999999998</v>
      </c>
      <c r="Y427">
        <v>0.252</v>
      </c>
      <c r="Z427" t="s">
        <v>1952</v>
      </c>
      <c r="AA427" t="s">
        <v>963</v>
      </c>
      <c r="AB427" t="s">
        <v>2520</v>
      </c>
      <c r="AC427" t="s">
        <v>407</v>
      </c>
      <c r="AD427" t="s">
        <v>2171</v>
      </c>
      <c r="AE427" t="s">
        <v>409</v>
      </c>
      <c r="AF427">
        <v>0.23929988669999999</v>
      </c>
    </row>
    <row r="428" spans="1:32" x14ac:dyDescent="0.25">
      <c r="A428" s="56">
        <v>3677047</v>
      </c>
      <c r="B428" s="56" t="s">
        <v>1568</v>
      </c>
      <c r="C428" s="56" t="s">
        <v>3638</v>
      </c>
      <c r="D428" s="57">
        <v>5598.0479999999998</v>
      </c>
      <c r="E428" s="58">
        <v>2090</v>
      </c>
      <c r="F428" s="57">
        <v>2.09</v>
      </c>
      <c r="G428" s="56" t="s">
        <v>392</v>
      </c>
      <c r="H428" s="56" t="s">
        <v>2511</v>
      </c>
      <c r="I428" s="56" t="s">
        <v>345</v>
      </c>
      <c r="J428" s="56" t="s">
        <v>3639</v>
      </c>
      <c r="K428" s="57">
        <v>2306.4189999999999</v>
      </c>
      <c r="L428" s="56" t="s">
        <v>3640</v>
      </c>
      <c r="M428" s="56" t="s">
        <v>2514</v>
      </c>
      <c r="N428" s="56" t="s">
        <v>151</v>
      </c>
      <c r="O428" s="58">
        <v>202</v>
      </c>
      <c r="P428" s="59" t="s">
        <v>2524</v>
      </c>
      <c r="Q428" s="56" t="s">
        <v>11</v>
      </c>
      <c r="U428" s="52">
        <v>2427712</v>
      </c>
      <c r="V428">
        <v>19.05</v>
      </c>
      <c r="W428">
        <v>0</v>
      </c>
      <c r="X428">
        <v>2.2999999999999998</v>
      </c>
      <c r="Y428">
        <v>0.255</v>
      </c>
      <c r="Z428" t="s">
        <v>1868</v>
      </c>
      <c r="AA428" t="s">
        <v>963</v>
      </c>
      <c r="AB428" t="s">
        <v>2520</v>
      </c>
      <c r="AC428" t="s">
        <v>407</v>
      </c>
      <c r="AD428" t="s">
        <v>2171</v>
      </c>
      <c r="AE428" t="s">
        <v>701</v>
      </c>
      <c r="AF428">
        <v>0.24214869487499999</v>
      </c>
    </row>
    <row r="429" spans="1:32" x14ac:dyDescent="0.25">
      <c r="A429" s="56">
        <v>3677047</v>
      </c>
      <c r="B429" s="56" t="s">
        <v>1568</v>
      </c>
      <c r="C429" s="56" t="s">
        <v>3641</v>
      </c>
      <c r="D429" s="57">
        <v>3990.953</v>
      </c>
      <c r="E429" s="58">
        <v>1490</v>
      </c>
      <c r="F429" s="57">
        <v>1.49</v>
      </c>
      <c r="G429" s="56" t="s">
        <v>392</v>
      </c>
      <c r="H429" s="56" t="s">
        <v>2511</v>
      </c>
      <c r="I429" s="56" t="s">
        <v>345</v>
      </c>
      <c r="J429" s="56" t="s">
        <v>3479</v>
      </c>
      <c r="K429" s="57">
        <v>1644.289</v>
      </c>
      <c r="L429" s="56" t="s">
        <v>3640</v>
      </c>
      <c r="M429" s="56" t="s">
        <v>2514</v>
      </c>
      <c r="N429" s="56" t="s">
        <v>151</v>
      </c>
      <c r="O429" s="58">
        <v>202</v>
      </c>
      <c r="P429" s="59" t="s">
        <v>2524</v>
      </c>
      <c r="Q429" s="56" t="s">
        <v>11</v>
      </c>
      <c r="U429" s="52">
        <v>1442308</v>
      </c>
      <c r="V429">
        <v>19.05</v>
      </c>
      <c r="W429">
        <v>0</v>
      </c>
      <c r="X429">
        <v>2.2999999999999998</v>
      </c>
      <c r="Y429">
        <v>0.255</v>
      </c>
      <c r="Z429" t="s">
        <v>1914</v>
      </c>
      <c r="AA429" t="s">
        <v>963</v>
      </c>
      <c r="AB429" t="s">
        <v>2520</v>
      </c>
      <c r="AC429" t="s">
        <v>407</v>
      </c>
      <c r="AD429" t="s">
        <v>2171</v>
      </c>
      <c r="AE429" t="s">
        <v>701</v>
      </c>
      <c r="AF429">
        <v>0.24214869487499999</v>
      </c>
    </row>
    <row r="430" spans="1:32" x14ac:dyDescent="0.25">
      <c r="A430" s="56">
        <v>3677047</v>
      </c>
      <c r="B430" s="56" t="s">
        <v>1568</v>
      </c>
      <c r="C430" s="56" t="s">
        <v>3642</v>
      </c>
      <c r="D430" s="57">
        <v>5758.7569999999996</v>
      </c>
      <c r="E430" s="58">
        <v>2150</v>
      </c>
      <c r="F430" s="57">
        <v>2.15</v>
      </c>
      <c r="G430" s="56" t="s">
        <v>392</v>
      </c>
      <c r="H430" s="56" t="s">
        <v>2511</v>
      </c>
      <c r="I430" s="56" t="s">
        <v>345</v>
      </c>
      <c r="J430" s="56" t="s">
        <v>3643</v>
      </c>
      <c r="K430" s="57">
        <v>2372.6320000000001</v>
      </c>
      <c r="L430" s="56" t="s">
        <v>3644</v>
      </c>
      <c r="M430" s="56" t="s">
        <v>2895</v>
      </c>
      <c r="N430" s="56" t="s">
        <v>151</v>
      </c>
      <c r="O430" s="58">
        <v>182</v>
      </c>
      <c r="P430" s="59" t="s">
        <v>2524</v>
      </c>
      <c r="Q430" s="56" t="s">
        <v>11</v>
      </c>
      <c r="U430" s="52">
        <v>3508993</v>
      </c>
      <c r="V430">
        <v>19.05</v>
      </c>
      <c r="W430">
        <v>0</v>
      </c>
      <c r="X430">
        <v>2.2999999999999998</v>
      </c>
      <c r="Y430">
        <v>0.255</v>
      </c>
      <c r="Z430" t="s">
        <v>1914</v>
      </c>
      <c r="AA430" t="s">
        <v>963</v>
      </c>
      <c r="AB430" t="s">
        <v>2520</v>
      </c>
      <c r="AC430" t="s">
        <v>407</v>
      </c>
      <c r="AD430" t="s">
        <v>2171</v>
      </c>
      <c r="AE430" t="s">
        <v>701</v>
      </c>
      <c r="AF430">
        <v>0.24214869487499999</v>
      </c>
    </row>
    <row r="431" spans="1:32" x14ac:dyDescent="0.25">
      <c r="A431" s="56">
        <v>3677047</v>
      </c>
      <c r="B431" s="56" t="s">
        <v>1568</v>
      </c>
      <c r="C431" s="56" t="s">
        <v>3645</v>
      </c>
      <c r="D431" s="57">
        <v>5956.9660000000003</v>
      </c>
      <c r="E431" s="58">
        <v>2224</v>
      </c>
      <c r="F431" s="57">
        <v>2.2240000000000002</v>
      </c>
      <c r="G431" s="56" t="s">
        <v>392</v>
      </c>
      <c r="H431" s="56" t="s">
        <v>2511</v>
      </c>
      <c r="I431" s="56" t="s">
        <v>345</v>
      </c>
      <c r="J431" s="56" t="s">
        <v>3646</v>
      </c>
      <c r="K431" s="57">
        <v>2454.2950000000001</v>
      </c>
      <c r="L431" s="56" t="s">
        <v>3647</v>
      </c>
      <c r="M431" s="56" t="s">
        <v>2903</v>
      </c>
      <c r="N431" s="56" t="s">
        <v>151</v>
      </c>
      <c r="O431" s="58">
        <v>142</v>
      </c>
      <c r="P431" s="59" t="s">
        <v>2524</v>
      </c>
      <c r="Q431" s="56" t="s">
        <v>11</v>
      </c>
      <c r="U431" s="52">
        <v>1300148</v>
      </c>
      <c r="V431">
        <v>19.05</v>
      </c>
      <c r="W431">
        <v>0</v>
      </c>
      <c r="X431">
        <v>2.2999999999999998</v>
      </c>
      <c r="Y431">
        <v>0.26500000000000001</v>
      </c>
      <c r="Z431" t="s">
        <v>1914</v>
      </c>
      <c r="AA431" t="s">
        <v>963</v>
      </c>
      <c r="AB431" t="s">
        <v>2520</v>
      </c>
      <c r="AC431" t="s">
        <v>407</v>
      </c>
      <c r="AD431" t="s">
        <v>2171</v>
      </c>
      <c r="AE431" t="s">
        <v>704</v>
      </c>
      <c r="AF431">
        <v>0.251644722125</v>
      </c>
    </row>
    <row r="432" spans="1:32" x14ac:dyDescent="0.25">
      <c r="A432" s="56">
        <v>3677064</v>
      </c>
      <c r="B432" s="56" t="s">
        <v>3648</v>
      </c>
      <c r="C432" s="56" t="s">
        <v>3649</v>
      </c>
      <c r="D432" s="57">
        <v>28.716999999999999</v>
      </c>
      <c r="E432" s="57">
        <v>58.298000000000002</v>
      </c>
      <c r="F432" s="57">
        <v>5.8298000000000003E-2</v>
      </c>
      <c r="G432" s="56" t="s">
        <v>392</v>
      </c>
      <c r="H432" s="56" t="s">
        <v>2511</v>
      </c>
      <c r="I432" s="56" t="s">
        <v>345</v>
      </c>
      <c r="J432" s="56" t="s">
        <v>3650</v>
      </c>
      <c r="K432" s="57">
        <v>36.758000000000003</v>
      </c>
      <c r="L432" s="56" t="s">
        <v>3651</v>
      </c>
      <c r="M432" s="56" t="s">
        <v>2605</v>
      </c>
      <c r="N432" s="56" t="s">
        <v>25</v>
      </c>
      <c r="O432" s="58">
        <v>245</v>
      </c>
      <c r="P432" s="59" t="s">
        <v>2524</v>
      </c>
      <c r="Q432" s="56" t="s">
        <v>192</v>
      </c>
      <c r="U432" s="52">
        <v>1940309</v>
      </c>
      <c r="V432">
        <v>19.05</v>
      </c>
      <c r="W432">
        <v>0</v>
      </c>
      <c r="X432">
        <v>2.2999999999999998</v>
      </c>
      <c r="Y432">
        <v>0.26500000000000001</v>
      </c>
      <c r="Z432" t="s">
        <v>1891</v>
      </c>
      <c r="AA432" t="s">
        <v>963</v>
      </c>
      <c r="AB432" t="s">
        <v>2520</v>
      </c>
      <c r="AC432" t="s">
        <v>407</v>
      </c>
      <c r="AD432" t="s">
        <v>2171</v>
      </c>
      <c r="AE432" t="s">
        <v>704</v>
      </c>
      <c r="AF432">
        <v>0.251644722125</v>
      </c>
    </row>
    <row r="433" spans="1:32" x14ac:dyDescent="0.25">
      <c r="A433" s="56">
        <v>3677064</v>
      </c>
      <c r="B433" s="56" t="s">
        <v>3648</v>
      </c>
      <c r="C433" s="56" t="s">
        <v>3652</v>
      </c>
      <c r="D433" s="57">
        <v>108.00700000000001</v>
      </c>
      <c r="E433" s="57">
        <v>219.26400000000001</v>
      </c>
      <c r="F433" s="57">
        <v>0.21926400000000001</v>
      </c>
      <c r="G433" s="56" t="s">
        <v>392</v>
      </c>
      <c r="H433" s="56" t="s">
        <v>2511</v>
      </c>
      <c r="I433" s="56" t="s">
        <v>345</v>
      </c>
      <c r="J433" s="56" t="s">
        <v>3653</v>
      </c>
      <c r="K433" s="57">
        <v>138.25</v>
      </c>
      <c r="L433" s="56" t="s">
        <v>3654</v>
      </c>
      <c r="M433" s="56" t="s">
        <v>2537</v>
      </c>
      <c r="N433" s="56" t="s">
        <v>25</v>
      </c>
      <c r="O433" s="58">
        <v>209</v>
      </c>
      <c r="P433" s="59" t="s">
        <v>2524</v>
      </c>
      <c r="Q433" s="56" t="s">
        <v>192</v>
      </c>
      <c r="U433">
        <v>3507718</v>
      </c>
      <c r="V433">
        <v>19.05</v>
      </c>
      <c r="W433">
        <v>0</v>
      </c>
      <c r="X433">
        <v>2.2999999999999998</v>
      </c>
      <c r="Y433">
        <v>0.26500000000000001</v>
      </c>
      <c r="Z433" t="s">
        <v>1914</v>
      </c>
      <c r="AA433" t="s">
        <v>963</v>
      </c>
      <c r="AB433" t="s">
        <v>2520</v>
      </c>
      <c r="AC433" t="s">
        <v>407</v>
      </c>
      <c r="AD433" t="s">
        <v>2171</v>
      </c>
      <c r="AE433" t="s">
        <v>704</v>
      </c>
      <c r="AF433">
        <v>0.251644722125</v>
      </c>
    </row>
    <row r="434" spans="1:32" x14ac:dyDescent="0.25">
      <c r="A434" s="56">
        <v>3706751</v>
      </c>
      <c r="B434" s="56" t="s">
        <v>2133</v>
      </c>
      <c r="C434" s="56" t="s">
        <v>3655</v>
      </c>
      <c r="D434" s="57">
        <v>1609.2570000000001</v>
      </c>
      <c r="E434" s="57">
        <v>168.66800000000001</v>
      </c>
      <c r="F434" s="57">
        <v>0.16866800000000001</v>
      </c>
      <c r="G434" s="56" t="s">
        <v>392</v>
      </c>
      <c r="H434" s="56" t="s">
        <v>2511</v>
      </c>
      <c r="I434" s="56" t="s">
        <v>345</v>
      </c>
      <c r="J434" s="56" t="s">
        <v>3656</v>
      </c>
      <c r="K434" s="57">
        <v>257.48700000000002</v>
      </c>
      <c r="L434" s="56" t="s">
        <v>3657</v>
      </c>
      <c r="M434" s="56" t="s">
        <v>2903</v>
      </c>
      <c r="N434" s="56" t="s">
        <v>61</v>
      </c>
      <c r="O434" s="58">
        <v>18</v>
      </c>
      <c r="P434" s="59" t="s">
        <v>2515</v>
      </c>
      <c r="Q434" s="56" t="s">
        <v>11</v>
      </c>
      <c r="U434" s="52">
        <v>3508992</v>
      </c>
      <c r="V434">
        <v>19.05</v>
      </c>
      <c r="W434">
        <v>0</v>
      </c>
      <c r="X434">
        <v>2.2999999999999998</v>
      </c>
      <c r="Y434">
        <v>0.27500000000000002</v>
      </c>
      <c r="Z434" t="s">
        <v>1914</v>
      </c>
      <c r="AA434" t="s">
        <v>963</v>
      </c>
      <c r="AB434" t="s">
        <v>2520</v>
      </c>
      <c r="AC434" t="s">
        <v>407</v>
      </c>
      <c r="AD434" t="s">
        <v>2171</v>
      </c>
      <c r="AE434" t="s">
        <v>3658</v>
      </c>
      <c r="AF434">
        <v>0.26114074937500004</v>
      </c>
    </row>
    <row r="435" spans="1:32" x14ac:dyDescent="0.25">
      <c r="A435" s="56">
        <v>3712521</v>
      </c>
      <c r="B435" s="56" t="s">
        <v>631</v>
      </c>
      <c r="C435" s="56" t="s">
        <v>3659</v>
      </c>
      <c r="D435" s="57">
        <v>50</v>
      </c>
      <c r="E435" s="57">
        <v>70.614999999999995</v>
      </c>
      <c r="F435" s="57">
        <v>7.0614999999999997E-2</v>
      </c>
      <c r="G435" s="56" t="s">
        <v>392</v>
      </c>
      <c r="H435" s="56" t="s">
        <v>2511</v>
      </c>
      <c r="I435" s="56" t="s">
        <v>345</v>
      </c>
      <c r="J435" s="56" t="s">
        <v>1914</v>
      </c>
      <c r="K435" s="57">
        <v>41.749000000000002</v>
      </c>
      <c r="L435" s="56" t="s">
        <v>3022</v>
      </c>
      <c r="M435" s="56" t="s">
        <v>2589</v>
      </c>
      <c r="N435" s="56" t="s">
        <v>48</v>
      </c>
      <c r="O435" s="58">
        <v>2</v>
      </c>
      <c r="P435" s="59" t="s">
        <v>2515</v>
      </c>
      <c r="Q435" s="56" t="s">
        <v>11</v>
      </c>
      <c r="U435" s="52">
        <v>437156</v>
      </c>
      <c r="V435">
        <v>19.05</v>
      </c>
      <c r="W435">
        <v>0</v>
      </c>
      <c r="X435">
        <v>2.2999999999999998</v>
      </c>
      <c r="Y435">
        <v>0.27900000000000003</v>
      </c>
      <c r="Z435" t="s">
        <v>2821</v>
      </c>
      <c r="AA435" t="s">
        <v>963</v>
      </c>
      <c r="AB435" t="s">
        <v>2520</v>
      </c>
      <c r="AC435" t="s">
        <v>407</v>
      </c>
      <c r="AD435" t="s">
        <v>2171</v>
      </c>
      <c r="AE435" t="s">
        <v>3660</v>
      </c>
      <c r="AF435">
        <v>0.26493916027500003</v>
      </c>
    </row>
    <row r="436" spans="1:32" x14ac:dyDescent="0.25">
      <c r="A436" s="56">
        <v>3712521</v>
      </c>
      <c r="B436" s="56" t="s">
        <v>631</v>
      </c>
      <c r="C436" s="56" t="s">
        <v>3661</v>
      </c>
      <c r="D436" s="57">
        <v>112.837</v>
      </c>
      <c r="E436" s="57">
        <v>159.35900000000001</v>
      </c>
      <c r="F436" s="57">
        <v>0.159359</v>
      </c>
      <c r="G436" s="56" t="s">
        <v>392</v>
      </c>
      <c r="H436" s="56" t="s">
        <v>2511</v>
      </c>
      <c r="I436" s="56" t="s">
        <v>345</v>
      </c>
      <c r="J436" s="56" t="s">
        <v>3662</v>
      </c>
      <c r="K436" s="57">
        <v>94.216999999999999</v>
      </c>
      <c r="L436" s="56" t="s">
        <v>3022</v>
      </c>
      <c r="M436" s="56" t="s">
        <v>2589</v>
      </c>
      <c r="N436" s="56" t="s">
        <v>48</v>
      </c>
      <c r="O436" s="58">
        <v>38</v>
      </c>
      <c r="P436" s="59" t="s">
        <v>2532</v>
      </c>
      <c r="Q436" s="56" t="s">
        <v>11</v>
      </c>
      <c r="U436" s="52">
        <v>477004</v>
      </c>
      <c r="V436">
        <v>19.05</v>
      </c>
      <c r="W436">
        <v>0</v>
      </c>
      <c r="X436">
        <v>2.2999999999999998</v>
      </c>
      <c r="Y436">
        <v>0.28100000000000003</v>
      </c>
      <c r="Z436" t="s">
        <v>1914</v>
      </c>
      <c r="AA436" t="s">
        <v>963</v>
      </c>
      <c r="AB436" t="s">
        <v>2520</v>
      </c>
      <c r="AC436" t="s">
        <v>407</v>
      </c>
      <c r="AD436" t="s">
        <v>2171</v>
      </c>
      <c r="AE436" t="s">
        <v>3663</v>
      </c>
      <c r="AF436">
        <v>0.26683836572500003</v>
      </c>
    </row>
    <row r="437" spans="1:32" x14ac:dyDescent="0.25">
      <c r="A437" s="56">
        <v>3712521</v>
      </c>
      <c r="B437" s="56" t="s">
        <v>631</v>
      </c>
      <c r="C437" s="56" t="s">
        <v>3664</v>
      </c>
      <c r="D437" s="57">
        <v>240.03399999999999</v>
      </c>
      <c r="E437" s="58">
        <v>339</v>
      </c>
      <c r="F437" s="57">
        <v>0.33900000000000002</v>
      </c>
      <c r="G437" s="56" t="s">
        <v>392</v>
      </c>
      <c r="H437" s="56" t="s">
        <v>2511</v>
      </c>
      <c r="I437" s="56" t="s">
        <v>345</v>
      </c>
      <c r="J437" s="56" t="s">
        <v>3665</v>
      </c>
      <c r="K437" s="57">
        <v>200.42599999999999</v>
      </c>
      <c r="L437" s="56" t="s">
        <v>3022</v>
      </c>
      <c r="M437" s="56" t="s">
        <v>2589</v>
      </c>
      <c r="N437" s="56" t="s">
        <v>48</v>
      </c>
      <c r="O437" s="58">
        <v>37</v>
      </c>
      <c r="P437" s="59" t="s">
        <v>2532</v>
      </c>
      <c r="Q437" s="56" t="s">
        <v>11</v>
      </c>
      <c r="U437" s="52">
        <v>1940310</v>
      </c>
      <c r="V437">
        <v>19.05</v>
      </c>
      <c r="W437">
        <v>0</v>
      </c>
      <c r="X437">
        <v>2.2999999999999998</v>
      </c>
      <c r="Y437">
        <v>0.28100000000000003</v>
      </c>
      <c r="Z437" t="s">
        <v>1891</v>
      </c>
      <c r="AA437" t="s">
        <v>963</v>
      </c>
      <c r="AB437" t="s">
        <v>2520</v>
      </c>
      <c r="AC437" t="s">
        <v>407</v>
      </c>
      <c r="AD437" t="s">
        <v>2171</v>
      </c>
      <c r="AE437" t="s">
        <v>3663</v>
      </c>
      <c r="AF437">
        <v>0.26683836572500003</v>
      </c>
    </row>
    <row r="438" spans="1:32" x14ac:dyDescent="0.25">
      <c r="A438" s="56">
        <v>3712521</v>
      </c>
      <c r="B438" s="56" t="s">
        <v>631</v>
      </c>
      <c r="C438" s="56" t="s">
        <v>3666</v>
      </c>
      <c r="D438" s="57">
        <v>890.03800000000001</v>
      </c>
      <c r="E438" s="58">
        <v>1257</v>
      </c>
      <c r="F438" s="57">
        <v>1.2569999999999999</v>
      </c>
      <c r="G438" s="56" t="s">
        <v>392</v>
      </c>
      <c r="H438" s="56" t="s">
        <v>2511</v>
      </c>
      <c r="I438" s="56" t="s">
        <v>345</v>
      </c>
      <c r="J438" s="56" t="s">
        <v>1914</v>
      </c>
      <c r="K438" s="57">
        <v>743.17100000000005</v>
      </c>
      <c r="L438" s="56" t="s">
        <v>3022</v>
      </c>
      <c r="M438" s="56" t="s">
        <v>2589</v>
      </c>
      <c r="N438" s="56" t="s">
        <v>48</v>
      </c>
      <c r="O438" s="58">
        <v>7</v>
      </c>
      <c r="P438" s="59" t="s">
        <v>2515</v>
      </c>
      <c r="Q438" s="56" t="s">
        <v>11</v>
      </c>
      <c r="U438">
        <v>3781667</v>
      </c>
      <c r="V438">
        <v>19.05</v>
      </c>
      <c r="W438">
        <v>0</v>
      </c>
      <c r="X438">
        <v>2.2999999999999998</v>
      </c>
      <c r="Y438">
        <v>0.28100000000000003</v>
      </c>
      <c r="Z438" t="s">
        <v>2821</v>
      </c>
      <c r="AA438" t="s">
        <v>963</v>
      </c>
      <c r="AB438" t="s">
        <v>2520</v>
      </c>
      <c r="AC438" t="s">
        <v>407</v>
      </c>
      <c r="AD438" t="s">
        <v>2171</v>
      </c>
      <c r="AE438" t="s">
        <v>3663</v>
      </c>
      <c r="AF438">
        <v>0.26683836572500003</v>
      </c>
    </row>
    <row r="439" spans="1:32" x14ac:dyDescent="0.25">
      <c r="A439" s="56">
        <v>3712521</v>
      </c>
      <c r="B439" s="56" t="s">
        <v>631</v>
      </c>
      <c r="C439" s="56" t="s">
        <v>3667</v>
      </c>
      <c r="D439" s="57">
        <v>720.10199999999998</v>
      </c>
      <c r="E439" s="58">
        <v>1017</v>
      </c>
      <c r="F439" s="57">
        <v>1.0169999999999999</v>
      </c>
      <c r="G439" s="56" t="s">
        <v>392</v>
      </c>
      <c r="H439" s="56" t="s">
        <v>2511</v>
      </c>
      <c r="I439" s="56" t="s">
        <v>345</v>
      </c>
      <c r="J439" s="56" t="s">
        <v>3668</v>
      </c>
      <c r="K439" s="57">
        <v>601.27700000000004</v>
      </c>
      <c r="L439" s="56" t="s">
        <v>3022</v>
      </c>
      <c r="M439" s="56" t="s">
        <v>2589</v>
      </c>
      <c r="N439" s="56" t="s">
        <v>48</v>
      </c>
      <c r="O439" s="58">
        <v>6</v>
      </c>
      <c r="P439" s="59" t="s">
        <v>2515</v>
      </c>
      <c r="Q439" s="56" t="s">
        <v>11</v>
      </c>
      <c r="U439" s="52">
        <v>2427711</v>
      </c>
      <c r="V439">
        <v>19.05</v>
      </c>
      <c r="W439">
        <v>0</v>
      </c>
      <c r="X439">
        <v>2.2999999999999998</v>
      </c>
      <c r="Y439">
        <v>0.28499999999999998</v>
      </c>
      <c r="Z439" t="s">
        <v>1868</v>
      </c>
      <c r="AA439" t="s">
        <v>963</v>
      </c>
      <c r="AB439" t="s">
        <v>2520</v>
      </c>
      <c r="AC439" t="s">
        <v>407</v>
      </c>
      <c r="AD439" t="s">
        <v>2171</v>
      </c>
      <c r="AE439" t="s">
        <v>706</v>
      </c>
      <c r="AF439">
        <v>0.27063677662499996</v>
      </c>
    </row>
    <row r="440" spans="1:32" x14ac:dyDescent="0.25">
      <c r="A440" s="56">
        <v>3712521</v>
      </c>
      <c r="B440" s="56" t="s">
        <v>631</v>
      </c>
      <c r="C440" s="56" t="s">
        <v>3659</v>
      </c>
      <c r="D440" s="57">
        <v>900.22299999999996</v>
      </c>
      <c r="E440" s="57">
        <v>1271.385</v>
      </c>
      <c r="F440" s="57">
        <v>1.271385</v>
      </c>
      <c r="G440" s="56" t="s">
        <v>392</v>
      </c>
      <c r="H440" s="56" t="s">
        <v>2511</v>
      </c>
      <c r="I440" s="56" t="s">
        <v>345</v>
      </c>
      <c r="J440" s="56" t="s">
        <v>1914</v>
      </c>
      <c r="K440" s="57">
        <v>751.67600000000004</v>
      </c>
      <c r="L440" s="56" t="s">
        <v>3669</v>
      </c>
      <c r="M440" s="56" t="s">
        <v>2877</v>
      </c>
      <c r="N440" s="56" t="s">
        <v>39</v>
      </c>
      <c r="O440" s="58">
        <v>2</v>
      </c>
      <c r="P440" s="59" t="s">
        <v>2515</v>
      </c>
      <c r="Q440" s="56" t="s">
        <v>2516</v>
      </c>
      <c r="U440" s="52">
        <v>3781637</v>
      </c>
      <c r="V440">
        <v>19.05</v>
      </c>
      <c r="W440">
        <v>0</v>
      </c>
      <c r="X440">
        <v>2.2999999999999998</v>
      </c>
      <c r="Y440">
        <v>0.29499999999999998</v>
      </c>
      <c r="Z440" t="s">
        <v>2821</v>
      </c>
      <c r="AA440" t="s">
        <v>963</v>
      </c>
      <c r="AB440" t="s">
        <v>2520</v>
      </c>
      <c r="AC440" t="s">
        <v>407</v>
      </c>
      <c r="AD440" t="s">
        <v>2171</v>
      </c>
      <c r="AE440" t="s">
        <v>411</v>
      </c>
      <c r="AF440">
        <v>0.280132803875</v>
      </c>
    </row>
    <row r="441" spans="1:32" x14ac:dyDescent="0.25">
      <c r="A441" s="56">
        <v>3715133</v>
      </c>
      <c r="B441" s="56" t="s">
        <v>2084</v>
      </c>
      <c r="C441" s="56" t="s">
        <v>3670</v>
      </c>
      <c r="D441" s="57">
        <v>156.548</v>
      </c>
      <c r="E441" s="57">
        <v>122.59099999999999</v>
      </c>
      <c r="F441" s="57">
        <v>0.12259099999999999</v>
      </c>
      <c r="G441" s="56" t="s">
        <v>392</v>
      </c>
      <c r="H441" s="56" t="s">
        <v>2511</v>
      </c>
      <c r="I441" s="56" t="s">
        <v>345</v>
      </c>
      <c r="J441" s="56" t="s">
        <v>1914</v>
      </c>
      <c r="K441" s="57">
        <v>103.009</v>
      </c>
      <c r="L441" s="56" t="s">
        <v>3671</v>
      </c>
      <c r="M441" s="56" t="s">
        <v>2537</v>
      </c>
      <c r="N441" s="56" t="s">
        <v>52</v>
      </c>
      <c r="O441" s="58">
        <v>191</v>
      </c>
      <c r="P441" s="59" t="s">
        <v>2524</v>
      </c>
      <c r="Q441" s="56" t="s">
        <v>2516</v>
      </c>
      <c r="U441" s="52">
        <v>1940312</v>
      </c>
      <c r="V441">
        <v>19.05</v>
      </c>
      <c r="W441">
        <v>0</v>
      </c>
      <c r="X441">
        <v>2.2999999999999998</v>
      </c>
      <c r="Y441">
        <v>0.29499999999999998</v>
      </c>
      <c r="Z441" t="s">
        <v>1891</v>
      </c>
      <c r="AA441" t="s">
        <v>963</v>
      </c>
      <c r="AB441" t="s">
        <v>2520</v>
      </c>
      <c r="AC441" t="s">
        <v>407</v>
      </c>
      <c r="AD441" t="s">
        <v>2171</v>
      </c>
      <c r="AE441" t="s">
        <v>411</v>
      </c>
      <c r="AF441">
        <v>0.280132803875</v>
      </c>
    </row>
    <row r="442" spans="1:32" x14ac:dyDescent="0.25">
      <c r="A442" s="56">
        <v>3731697</v>
      </c>
      <c r="B442" s="56" t="s">
        <v>1748</v>
      </c>
      <c r="C442" s="56" t="s">
        <v>3672</v>
      </c>
      <c r="D442" s="57">
        <v>895.14400000000001</v>
      </c>
      <c r="E442" s="58">
        <v>1587</v>
      </c>
      <c r="F442" s="57">
        <v>1.587</v>
      </c>
      <c r="G442" s="56" t="s">
        <v>392</v>
      </c>
      <c r="H442" s="56" t="s">
        <v>2511</v>
      </c>
      <c r="I442" s="56" t="s">
        <v>345</v>
      </c>
      <c r="J442" s="56" t="s">
        <v>3673</v>
      </c>
      <c r="K442" s="57">
        <v>470.83600000000001</v>
      </c>
      <c r="L442" s="56" t="s">
        <v>3674</v>
      </c>
      <c r="M442" s="56" t="s">
        <v>2548</v>
      </c>
      <c r="N442" s="56" t="s">
        <v>49</v>
      </c>
      <c r="O442" s="58">
        <v>2</v>
      </c>
      <c r="P442" s="59" t="s">
        <v>2515</v>
      </c>
      <c r="Q442" s="56" t="s">
        <v>11</v>
      </c>
      <c r="U442" s="52">
        <v>437154</v>
      </c>
      <c r="V442">
        <v>19.05</v>
      </c>
      <c r="W442">
        <v>0</v>
      </c>
      <c r="X442">
        <v>2.2999999999999998</v>
      </c>
      <c r="Y442">
        <v>0.29499999999999998</v>
      </c>
      <c r="Z442" t="s">
        <v>2821</v>
      </c>
      <c r="AA442" t="s">
        <v>963</v>
      </c>
      <c r="AB442" t="s">
        <v>2520</v>
      </c>
      <c r="AC442" t="s">
        <v>407</v>
      </c>
      <c r="AD442" t="s">
        <v>2171</v>
      </c>
      <c r="AE442" t="s">
        <v>411</v>
      </c>
      <c r="AF442">
        <v>0.280132803875</v>
      </c>
    </row>
    <row r="443" spans="1:32" x14ac:dyDescent="0.25">
      <c r="A443" s="56">
        <v>3731697</v>
      </c>
      <c r="B443" s="56" t="s">
        <v>1748</v>
      </c>
      <c r="C443" s="56" t="s">
        <v>3675</v>
      </c>
      <c r="D443" s="57">
        <v>895.14400000000001</v>
      </c>
      <c r="E443" s="58">
        <v>1587</v>
      </c>
      <c r="F443" s="57">
        <v>1.587</v>
      </c>
      <c r="G443" s="56" t="s">
        <v>392</v>
      </c>
      <c r="H443" s="56" t="s">
        <v>2511</v>
      </c>
      <c r="I443" s="56" t="s">
        <v>345</v>
      </c>
      <c r="J443" s="56" t="s">
        <v>3673</v>
      </c>
      <c r="K443" s="57">
        <v>470.83600000000001</v>
      </c>
      <c r="L443" s="56" t="s">
        <v>3674</v>
      </c>
      <c r="M443" s="56" t="s">
        <v>2548</v>
      </c>
      <c r="N443" s="56" t="s">
        <v>49</v>
      </c>
      <c r="O443" s="58">
        <v>2</v>
      </c>
      <c r="P443" s="59" t="s">
        <v>2515</v>
      </c>
      <c r="Q443" s="56" t="s">
        <v>11</v>
      </c>
      <c r="U443">
        <v>3783916</v>
      </c>
      <c r="V443">
        <v>19.05</v>
      </c>
      <c r="W443">
        <v>0</v>
      </c>
      <c r="X443">
        <v>2.2999999999999998</v>
      </c>
      <c r="Y443">
        <v>0.29499999999999998</v>
      </c>
      <c r="Z443" t="s">
        <v>1952</v>
      </c>
      <c r="AA443" t="s">
        <v>963</v>
      </c>
      <c r="AB443" t="s">
        <v>2520</v>
      </c>
      <c r="AC443" t="s">
        <v>407</v>
      </c>
      <c r="AD443" t="s">
        <v>2171</v>
      </c>
      <c r="AE443" t="s">
        <v>411</v>
      </c>
      <c r="AF443">
        <v>0.280132803875</v>
      </c>
    </row>
    <row r="444" spans="1:32" x14ac:dyDescent="0.25">
      <c r="A444" s="56">
        <v>3732177</v>
      </c>
      <c r="B444" s="56" t="s">
        <v>1746</v>
      </c>
      <c r="C444" s="56" t="s">
        <v>3676</v>
      </c>
      <c r="D444" s="57">
        <v>1389.6980000000001</v>
      </c>
      <c r="E444" s="58">
        <v>1527</v>
      </c>
      <c r="F444" s="57">
        <v>1.5269999999999999</v>
      </c>
      <c r="G444" s="56" t="s">
        <v>392</v>
      </c>
      <c r="H444" s="56" t="s">
        <v>2511</v>
      </c>
      <c r="I444" s="56" t="s">
        <v>345</v>
      </c>
      <c r="J444" s="56" t="s">
        <v>3677</v>
      </c>
      <c r="K444" s="57">
        <v>453.03500000000003</v>
      </c>
      <c r="L444" s="56" t="s">
        <v>3678</v>
      </c>
      <c r="M444" s="56" t="s">
        <v>2605</v>
      </c>
      <c r="N444" s="56" t="s">
        <v>49</v>
      </c>
      <c r="O444" s="58">
        <v>3</v>
      </c>
      <c r="P444" s="59" t="s">
        <v>2515</v>
      </c>
      <c r="Q444" s="56" t="s">
        <v>11</v>
      </c>
      <c r="U444" s="52">
        <v>1940313</v>
      </c>
      <c r="V444">
        <v>19.05</v>
      </c>
      <c r="W444">
        <v>0</v>
      </c>
      <c r="X444">
        <v>2.2999999999999998</v>
      </c>
      <c r="Y444">
        <v>0.30299999999999999</v>
      </c>
      <c r="Z444" t="s">
        <v>1891</v>
      </c>
      <c r="AA444" t="s">
        <v>963</v>
      </c>
      <c r="AB444" t="s">
        <v>2520</v>
      </c>
      <c r="AC444" t="s">
        <v>407</v>
      </c>
      <c r="AD444" t="s">
        <v>2171</v>
      </c>
      <c r="AE444" t="s">
        <v>708</v>
      </c>
      <c r="AF444">
        <v>0.28772962567499999</v>
      </c>
    </row>
    <row r="445" spans="1:32" x14ac:dyDescent="0.25">
      <c r="A445" s="56">
        <v>3732177</v>
      </c>
      <c r="B445" s="56" t="s">
        <v>1746</v>
      </c>
      <c r="C445" s="56" t="s">
        <v>3679</v>
      </c>
      <c r="D445" s="57">
        <v>702.58500000000004</v>
      </c>
      <c r="E445" s="58">
        <v>772</v>
      </c>
      <c r="F445" s="57">
        <v>0.77200000000000002</v>
      </c>
      <c r="G445" s="56" t="s">
        <v>392</v>
      </c>
      <c r="H445" s="56" t="s">
        <v>2511</v>
      </c>
      <c r="I445" s="56" t="s">
        <v>345</v>
      </c>
      <c r="J445" s="56" t="s">
        <v>3680</v>
      </c>
      <c r="K445" s="57">
        <v>229.03899999999999</v>
      </c>
      <c r="L445" s="56" t="s">
        <v>3678</v>
      </c>
      <c r="M445" s="56" t="s">
        <v>2605</v>
      </c>
      <c r="N445" s="56" t="s">
        <v>49</v>
      </c>
      <c r="O445" s="58">
        <v>2</v>
      </c>
      <c r="P445" s="59" t="s">
        <v>2515</v>
      </c>
      <c r="Q445" s="56" t="s">
        <v>11</v>
      </c>
      <c r="U445" s="52">
        <v>508988</v>
      </c>
      <c r="V445">
        <v>19.05</v>
      </c>
      <c r="W445">
        <v>0</v>
      </c>
      <c r="X445">
        <v>2.2999999999999998</v>
      </c>
      <c r="Y445">
        <v>0.30299999999999999</v>
      </c>
      <c r="Z445" t="s">
        <v>1914</v>
      </c>
      <c r="AA445" t="s">
        <v>963</v>
      </c>
      <c r="AB445" t="s">
        <v>2520</v>
      </c>
      <c r="AC445" t="s">
        <v>407</v>
      </c>
      <c r="AD445" t="s">
        <v>2171</v>
      </c>
      <c r="AE445" t="s">
        <v>708</v>
      </c>
      <c r="AF445">
        <v>0.28772962567499999</v>
      </c>
    </row>
    <row r="446" spans="1:32" x14ac:dyDescent="0.25">
      <c r="A446" s="56">
        <v>3738265</v>
      </c>
      <c r="B446" s="56" t="s">
        <v>3681</v>
      </c>
      <c r="C446" s="56" t="s">
        <v>3682</v>
      </c>
      <c r="D446" s="57">
        <v>95.882000000000005</v>
      </c>
      <c r="E446" s="58">
        <v>601</v>
      </c>
      <c r="F446" s="57">
        <v>0.60099999999999998</v>
      </c>
      <c r="G446" s="56" t="s">
        <v>392</v>
      </c>
      <c r="H446" s="56" t="s">
        <v>2511</v>
      </c>
      <c r="I446" s="56" t="s">
        <v>345</v>
      </c>
      <c r="J446" s="56" t="s">
        <v>3683</v>
      </c>
      <c r="K446" s="57">
        <v>602.14400000000001</v>
      </c>
      <c r="L446" s="56" t="s">
        <v>3684</v>
      </c>
      <c r="M446" s="56" t="s">
        <v>2990</v>
      </c>
      <c r="N446" s="56" t="s">
        <v>37</v>
      </c>
      <c r="O446" s="58">
        <v>275</v>
      </c>
      <c r="P446" s="59" t="s">
        <v>2524</v>
      </c>
      <c r="Q446" s="56" t="s">
        <v>11</v>
      </c>
      <c r="U446">
        <v>3781671</v>
      </c>
      <c r="V446">
        <v>19.05</v>
      </c>
      <c r="W446">
        <v>0</v>
      </c>
      <c r="X446">
        <v>2.2999999999999998</v>
      </c>
      <c r="Y446">
        <v>0.30299999999999999</v>
      </c>
      <c r="Z446" t="s">
        <v>2821</v>
      </c>
      <c r="AA446" t="s">
        <v>963</v>
      </c>
      <c r="AB446" t="s">
        <v>2520</v>
      </c>
      <c r="AC446" t="s">
        <v>407</v>
      </c>
      <c r="AD446" t="s">
        <v>2171</v>
      </c>
      <c r="AE446" t="s">
        <v>708</v>
      </c>
      <c r="AF446">
        <v>0.28772962567499999</v>
      </c>
    </row>
    <row r="447" spans="1:32" x14ac:dyDescent="0.25">
      <c r="A447" s="56">
        <v>3747393</v>
      </c>
      <c r="B447" s="56" t="s">
        <v>608</v>
      </c>
      <c r="C447" s="56" t="s">
        <v>3685</v>
      </c>
      <c r="D447" s="57">
        <v>1187.442</v>
      </c>
      <c r="E447" s="58">
        <v>967</v>
      </c>
      <c r="F447" s="57">
        <v>0.96699999999999997</v>
      </c>
      <c r="G447" s="56" t="s">
        <v>392</v>
      </c>
      <c r="H447" s="56" t="s">
        <v>2511</v>
      </c>
      <c r="I447" s="56" t="s">
        <v>345</v>
      </c>
      <c r="J447" s="56" t="s">
        <v>3686</v>
      </c>
      <c r="K447" s="57">
        <v>1553.164</v>
      </c>
      <c r="L447" s="56" t="s">
        <v>3687</v>
      </c>
      <c r="M447" s="56" t="s">
        <v>2162</v>
      </c>
      <c r="N447" s="56" t="s">
        <v>61</v>
      </c>
      <c r="O447" s="58">
        <v>5</v>
      </c>
      <c r="P447" s="59" t="s">
        <v>2515</v>
      </c>
      <c r="Q447" s="56" t="s">
        <v>11</v>
      </c>
      <c r="U447" s="52">
        <v>1940318</v>
      </c>
      <c r="V447">
        <v>19.05</v>
      </c>
      <c r="W447">
        <v>0</v>
      </c>
      <c r="X447">
        <v>2.2999999999999998</v>
      </c>
      <c r="Y447">
        <v>0.39400000000000002</v>
      </c>
      <c r="Z447" t="s">
        <v>1891</v>
      </c>
      <c r="AA447" t="s">
        <v>963</v>
      </c>
      <c r="AB447" t="s">
        <v>2520</v>
      </c>
      <c r="AC447" t="s">
        <v>407</v>
      </c>
      <c r="AD447" t="s">
        <v>2171</v>
      </c>
      <c r="AE447" t="s">
        <v>711</v>
      </c>
      <c r="AF447">
        <v>0.37414347365</v>
      </c>
    </row>
    <row r="448" spans="1:32" x14ac:dyDescent="0.25">
      <c r="A448" s="56">
        <v>3752128</v>
      </c>
      <c r="B448" s="56" t="s">
        <v>2331</v>
      </c>
      <c r="C448" s="56" t="s">
        <v>3688</v>
      </c>
      <c r="D448" s="57">
        <v>91.037999999999997</v>
      </c>
      <c r="E448" s="58">
        <v>527</v>
      </c>
      <c r="F448" s="57">
        <v>0.52700000000000002</v>
      </c>
      <c r="G448" s="56" t="s">
        <v>392</v>
      </c>
      <c r="H448" s="56" t="s">
        <v>2511</v>
      </c>
      <c r="I448" s="56" t="s">
        <v>345</v>
      </c>
      <c r="J448" s="56" t="s">
        <v>3689</v>
      </c>
      <c r="K448" s="57">
        <v>582.64200000000005</v>
      </c>
      <c r="L448" s="56" t="s">
        <v>3690</v>
      </c>
      <c r="M448" s="56" t="s">
        <v>2548</v>
      </c>
      <c r="N448" s="56" t="s">
        <v>60</v>
      </c>
      <c r="O448" s="58">
        <v>214</v>
      </c>
      <c r="P448" s="59" t="s">
        <v>2524</v>
      </c>
      <c r="Q448" s="56" t="s">
        <v>192</v>
      </c>
      <c r="U448" s="52">
        <v>437148</v>
      </c>
      <c r="V448">
        <v>19.05</v>
      </c>
      <c r="W448">
        <v>0</v>
      </c>
      <c r="X448">
        <v>2.2999999999999998</v>
      </c>
      <c r="Y448">
        <v>0.39400000000000002</v>
      </c>
      <c r="Z448" t="s">
        <v>2821</v>
      </c>
      <c r="AA448" t="s">
        <v>963</v>
      </c>
      <c r="AB448" t="s">
        <v>2520</v>
      </c>
      <c r="AC448" t="s">
        <v>407</v>
      </c>
      <c r="AD448" t="s">
        <v>2171</v>
      </c>
      <c r="AE448" t="s">
        <v>711</v>
      </c>
      <c r="AF448">
        <v>0.37414347365</v>
      </c>
    </row>
    <row r="449" spans="1:32" x14ac:dyDescent="0.25">
      <c r="A449" s="56">
        <v>3768905</v>
      </c>
      <c r="B449" s="56" t="s">
        <v>1677</v>
      </c>
      <c r="C449" s="56" t="s">
        <v>3691</v>
      </c>
      <c r="D449" s="57">
        <v>499.64800000000002</v>
      </c>
      <c r="E449" s="58">
        <v>252</v>
      </c>
      <c r="F449" s="57">
        <v>0.252</v>
      </c>
      <c r="G449" s="56" t="s">
        <v>392</v>
      </c>
      <c r="H449" s="56" t="s">
        <v>2511</v>
      </c>
      <c r="I449" s="56" t="s">
        <v>345</v>
      </c>
      <c r="J449" s="56" t="s">
        <v>2617</v>
      </c>
      <c r="K449" s="57">
        <v>160.88900000000001</v>
      </c>
      <c r="L449" s="56" t="s">
        <v>3692</v>
      </c>
      <c r="M449" s="56" t="s">
        <v>2919</v>
      </c>
      <c r="N449" s="56" t="s">
        <v>39</v>
      </c>
      <c r="O449" s="58">
        <v>5</v>
      </c>
      <c r="P449" s="59" t="s">
        <v>2515</v>
      </c>
      <c r="Q449" s="56" t="s">
        <v>2516</v>
      </c>
      <c r="U449" s="52">
        <v>2320564</v>
      </c>
      <c r="V449">
        <v>19.05</v>
      </c>
      <c r="W449">
        <v>0</v>
      </c>
      <c r="X449">
        <v>2.2999999999999998</v>
      </c>
      <c r="Y449">
        <v>0.4</v>
      </c>
      <c r="Z449" t="s">
        <v>1868</v>
      </c>
      <c r="AA449" t="s">
        <v>963</v>
      </c>
      <c r="AB449" t="s">
        <v>2520</v>
      </c>
      <c r="AC449" t="s">
        <v>407</v>
      </c>
      <c r="AD449" t="s">
        <v>2171</v>
      </c>
      <c r="AE449" t="s">
        <v>3693</v>
      </c>
      <c r="AF449">
        <v>0.37984108999999999</v>
      </c>
    </row>
    <row r="450" spans="1:32" x14ac:dyDescent="0.25">
      <c r="A450" s="56">
        <v>3768907</v>
      </c>
      <c r="B450" s="56" t="s">
        <v>655</v>
      </c>
      <c r="C450" s="56" t="s">
        <v>3694</v>
      </c>
      <c r="D450" s="57">
        <v>1621.2929999999999</v>
      </c>
      <c r="E450" s="58">
        <v>1199</v>
      </c>
      <c r="F450" s="57">
        <v>1.1990000000000001</v>
      </c>
      <c r="G450" s="56" t="s">
        <v>392</v>
      </c>
      <c r="H450" s="56" t="s">
        <v>2511</v>
      </c>
      <c r="I450" s="56" t="s">
        <v>345</v>
      </c>
      <c r="J450" s="56" t="s">
        <v>3695</v>
      </c>
      <c r="K450" s="57">
        <v>398.84199999999998</v>
      </c>
      <c r="L450" s="56" t="s">
        <v>3696</v>
      </c>
      <c r="M450" s="56" t="s">
        <v>3091</v>
      </c>
      <c r="N450" s="56" t="s">
        <v>39</v>
      </c>
      <c r="O450" s="58">
        <v>4</v>
      </c>
      <c r="P450" s="59" t="s">
        <v>2515</v>
      </c>
      <c r="Q450" s="56" t="s">
        <v>2516</v>
      </c>
      <c r="U450" s="52">
        <v>1940319</v>
      </c>
      <c r="V450">
        <v>19.05</v>
      </c>
      <c r="W450">
        <v>0</v>
      </c>
      <c r="X450">
        <v>2.2999999999999998</v>
      </c>
      <c r="Y450">
        <v>0.43</v>
      </c>
      <c r="Z450" t="s">
        <v>1891</v>
      </c>
      <c r="AA450" t="s">
        <v>963</v>
      </c>
      <c r="AB450" t="s">
        <v>2520</v>
      </c>
      <c r="AC450" t="s">
        <v>407</v>
      </c>
      <c r="AD450" t="s">
        <v>2171</v>
      </c>
      <c r="AF450">
        <v>0.40832917175</v>
      </c>
    </row>
    <row r="451" spans="1:32" x14ac:dyDescent="0.25">
      <c r="A451" s="56">
        <v>3770753</v>
      </c>
      <c r="B451" s="56" t="s">
        <v>3697</v>
      </c>
      <c r="C451" s="56" t="s">
        <v>3698</v>
      </c>
      <c r="D451" s="57">
        <v>59.877000000000002</v>
      </c>
      <c r="E451" s="58">
        <v>689</v>
      </c>
      <c r="F451" s="57">
        <v>0.68899999999999995</v>
      </c>
      <c r="G451" s="56" t="s">
        <v>392</v>
      </c>
      <c r="H451" s="56" t="s">
        <v>2511</v>
      </c>
      <c r="I451" s="56" t="s">
        <v>345</v>
      </c>
      <c r="J451" s="56" t="s">
        <v>3581</v>
      </c>
      <c r="K451" s="57">
        <v>181.732</v>
      </c>
      <c r="L451" s="56" t="s">
        <v>1914</v>
      </c>
      <c r="M451" s="56" t="s">
        <v>1123</v>
      </c>
      <c r="N451" s="56" t="s">
        <v>39</v>
      </c>
      <c r="O451" s="58">
        <v>227</v>
      </c>
      <c r="P451" s="59" t="s">
        <v>2524</v>
      </c>
      <c r="Q451" s="56" t="s">
        <v>2516</v>
      </c>
      <c r="U451" s="52">
        <v>508992</v>
      </c>
      <c r="V451">
        <v>19.05</v>
      </c>
      <c r="W451">
        <v>0</v>
      </c>
      <c r="X451">
        <v>2.2999999999999998</v>
      </c>
      <c r="Y451">
        <v>0.45900000000000002</v>
      </c>
      <c r="Z451" t="s">
        <v>1914</v>
      </c>
      <c r="AA451" t="s">
        <v>963</v>
      </c>
      <c r="AB451" t="s">
        <v>2520</v>
      </c>
      <c r="AC451" t="s">
        <v>407</v>
      </c>
      <c r="AD451" t="s">
        <v>2171</v>
      </c>
      <c r="AE451" t="s">
        <v>3699</v>
      </c>
      <c r="AF451">
        <v>0.435867650775</v>
      </c>
    </row>
    <row r="452" spans="1:32" x14ac:dyDescent="0.25">
      <c r="A452" s="56">
        <v>3780005</v>
      </c>
      <c r="B452" s="56" t="s">
        <v>1731</v>
      </c>
      <c r="C452" s="56" t="s">
        <v>3700</v>
      </c>
      <c r="D452" s="57">
        <v>124.532</v>
      </c>
      <c r="E452" s="57">
        <v>149.16499999999999</v>
      </c>
      <c r="F452" s="57">
        <v>0.14916499999999999</v>
      </c>
      <c r="G452" s="56" t="s">
        <v>392</v>
      </c>
      <c r="H452" s="56" t="s">
        <v>2511</v>
      </c>
      <c r="I452" s="56" t="s">
        <v>345</v>
      </c>
      <c r="J452" s="56" t="s">
        <v>3701</v>
      </c>
      <c r="K452" s="57">
        <v>79.448999999999998</v>
      </c>
      <c r="L452" s="56" t="s">
        <v>3702</v>
      </c>
      <c r="M452" s="56" t="s">
        <v>2605</v>
      </c>
      <c r="N452" s="56" t="s">
        <v>53</v>
      </c>
      <c r="O452" s="58">
        <v>176</v>
      </c>
      <c r="P452" s="59" t="s">
        <v>2524</v>
      </c>
      <c r="Q452" s="56" t="s">
        <v>2516</v>
      </c>
      <c r="U452" s="52">
        <v>1940322</v>
      </c>
      <c r="V452">
        <v>19.05</v>
      </c>
      <c r="W452">
        <v>0</v>
      </c>
      <c r="X452">
        <v>2.2999999999999998</v>
      </c>
      <c r="Y452">
        <v>0.47499999999999998</v>
      </c>
      <c r="Z452" t="s">
        <v>1891</v>
      </c>
      <c r="AA452" t="s">
        <v>963</v>
      </c>
      <c r="AB452" t="s">
        <v>2520</v>
      </c>
      <c r="AC452" t="s">
        <v>407</v>
      </c>
      <c r="AD452" t="s">
        <v>2171</v>
      </c>
      <c r="AE452" t="s">
        <v>3703</v>
      </c>
      <c r="AF452">
        <v>0.45106129437499998</v>
      </c>
    </row>
    <row r="453" spans="1:32" x14ac:dyDescent="0.25">
      <c r="A453" s="56">
        <v>3786201</v>
      </c>
      <c r="B453" s="56" t="s">
        <v>429</v>
      </c>
      <c r="C453" s="56" t="s">
        <v>3704</v>
      </c>
      <c r="D453" s="57">
        <v>420.11700000000002</v>
      </c>
      <c r="E453" s="58">
        <v>354</v>
      </c>
      <c r="F453" s="57">
        <v>0.35399999999999998</v>
      </c>
      <c r="G453" s="56" t="s">
        <v>392</v>
      </c>
      <c r="H453" s="56" t="s">
        <v>2511</v>
      </c>
      <c r="I453" s="56" t="s">
        <v>345</v>
      </c>
      <c r="J453" s="56" t="s">
        <v>3705</v>
      </c>
      <c r="K453" s="57">
        <v>226.02500000000001</v>
      </c>
      <c r="L453" s="56" t="s">
        <v>3706</v>
      </c>
      <c r="M453" s="56" t="s">
        <v>2605</v>
      </c>
      <c r="N453" s="56" t="s">
        <v>30</v>
      </c>
      <c r="O453" s="58">
        <v>13</v>
      </c>
      <c r="P453" s="59" t="s">
        <v>2515</v>
      </c>
      <c r="Q453" s="56" t="s">
        <v>11</v>
      </c>
      <c r="U453" s="52">
        <v>513789</v>
      </c>
      <c r="V453">
        <v>19.05</v>
      </c>
      <c r="W453">
        <v>0</v>
      </c>
      <c r="X453">
        <v>2.2999999999999998</v>
      </c>
      <c r="Y453">
        <v>0.55000000000000004</v>
      </c>
      <c r="Z453" t="s">
        <v>1914</v>
      </c>
      <c r="AA453" t="s">
        <v>963</v>
      </c>
      <c r="AB453" t="s">
        <v>2520</v>
      </c>
      <c r="AC453" t="s">
        <v>407</v>
      </c>
      <c r="AD453" t="s">
        <v>2171</v>
      </c>
      <c r="AE453" t="s">
        <v>3707</v>
      </c>
      <c r="AF453">
        <v>0.52228149875000007</v>
      </c>
    </row>
    <row r="454" spans="1:32" x14ac:dyDescent="0.25">
      <c r="A454" s="56">
        <v>3786202</v>
      </c>
      <c r="B454" s="56" t="s">
        <v>435</v>
      </c>
      <c r="C454" s="56" t="s">
        <v>3708</v>
      </c>
      <c r="D454" s="57">
        <v>660.245</v>
      </c>
      <c r="E454" s="58">
        <v>607</v>
      </c>
      <c r="F454" s="57">
        <v>0.60699999999999998</v>
      </c>
      <c r="G454" s="56" t="s">
        <v>392</v>
      </c>
      <c r="H454" s="56" t="s">
        <v>2511</v>
      </c>
      <c r="I454" s="56" t="s">
        <v>345</v>
      </c>
      <c r="J454" s="56" t="s">
        <v>2665</v>
      </c>
      <c r="K454" s="57">
        <v>387.56200000000001</v>
      </c>
      <c r="L454" s="56" t="s">
        <v>3709</v>
      </c>
      <c r="M454" s="56" t="s">
        <v>2605</v>
      </c>
      <c r="N454" s="56" t="s">
        <v>30</v>
      </c>
      <c r="O454" s="58">
        <v>2</v>
      </c>
      <c r="P454" s="59" t="s">
        <v>2515</v>
      </c>
      <c r="Q454" s="56" t="s">
        <v>11</v>
      </c>
      <c r="U454" s="52">
        <v>2332783</v>
      </c>
      <c r="V454">
        <v>19.05</v>
      </c>
      <c r="W454">
        <v>0</v>
      </c>
      <c r="X454">
        <v>2.2999999999999998</v>
      </c>
      <c r="Y454">
        <v>0.55000000000000004</v>
      </c>
      <c r="Z454" t="s">
        <v>1868</v>
      </c>
      <c r="AA454" t="s">
        <v>963</v>
      </c>
      <c r="AB454" t="s">
        <v>2520</v>
      </c>
      <c r="AC454" t="s">
        <v>407</v>
      </c>
      <c r="AD454" t="s">
        <v>2171</v>
      </c>
      <c r="AF454">
        <v>0.52228149875000007</v>
      </c>
    </row>
    <row r="455" spans="1:32" x14ac:dyDescent="0.25">
      <c r="A455" s="56">
        <v>3819143</v>
      </c>
      <c r="B455" s="56" t="s">
        <v>839</v>
      </c>
      <c r="C455" s="56" t="s">
        <v>3710</v>
      </c>
      <c r="D455" s="57">
        <v>1976.2619999999999</v>
      </c>
      <c r="E455" s="57">
        <v>1215.3789999999999</v>
      </c>
      <c r="F455" s="57">
        <v>1.215379</v>
      </c>
      <c r="G455" s="56" t="s">
        <v>392</v>
      </c>
      <c r="H455" s="56" t="s">
        <v>2511</v>
      </c>
      <c r="I455" s="56" t="s">
        <v>345</v>
      </c>
      <c r="J455" s="56" t="s">
        <v>3711</v>
      </c>
      <c r="K455" s="57">
        <v>1343.8510000000001</v>
      </c>
      <c r="L455" s="56" t="s">
        <v>3712</v>
      </c>
      <c r="M455" s="56" t="s">
        <v>2731</v>
      </c>
      <c r="N455" s="56" t="s">
        <v>52</v>
      </c>
      <c r="O455" s="58">
        <v>26</v>
      </c>
      <c r="P455" s="59" t="s">
        <v>2515</v>
      </c>
      <c r="Q455" s="56" t="s">
        <v>2516</v>
      </c>
      <c r="U455" s="52">
        <v>1940324</v>
      </c>
      <c r="V455">
        <v>19.05</v>
      </c>
      <c r="W455">
        <v>0</v>
      </c>
      <c r="X455">
        <v>2.2999999999999998</v>
      </c>
      <c r="Y455">
        <v>0.55400000000000005</v>
      </c>
      <c r="Z455" t="s">
        <v>1891</v>
      </c>
      <c r="AA455" t="s">
        <v>963</v>
      </c>
      <c r="AB455" t="s">
        <v>2520</v>
      </c>
      <c r="AC455" t="s">
        <v>407</v>
      </c>
      <c r="AD455" t="s">
        <v>2171</v>
      </c>
      <c r="AE455" t="s">
        <v>3713</v>
      </c>
      <c r="AF455">
        <v>0.52607990965000007</v>
      </c>
    </row>
    <row r="456" spans="1:32" x14ac:dyDescent="0.25">
      <c r="A456" s="56">
        <v>3838020</v>
      </c>
      <c r="B456" s="56" t="s">
        <v>1256</v>
      </c>
      <c r="C456" s="56" t="s">
        <v>3714</v>
      </c>
      <c r="D456" s="57">
        <v>3998.7829999999999</v>
      </c>
      <c r="E456" s="58">
        <v>730</v>
      </c>
      <c r="F456" s="57">
        <v>0.73</v>
      </c>
      <c r="G456" s="56" t="s">
        <v>392</v>
      </c>
      <c r="H456" s="56" t="s">
        <v>2511</v>
      </c>
      <c r="I456" s="56" t="s">
        <v>345</v>
      </c>
      <c r="J456" s="56" t="s">
        <v>3033</v>
      </c>
      <c r="K456" s="57">
        <v>1319.595</v>
      </c>
      <c r="L456" s="56" t="s">
        <v>3715</v>
      </c>
      <c r="M456" s="56" t="s">
        <v>2760</v>
      </c>
      <c r="N456" s="56" t="s">
        <v>60</v>
      </c>
      <c r="O456" s="58">
        <v>13</v>
      </c>
      <c r="P456" s="59" t="s">
        <v>2515</v>
      </c>
      <c r="Q456" s="56" t="s">
        <v>192</v>
      </c>
      <c r="U456" s="52">
        <v>437150</v>
      </c>
      <c r="V456">
        <v>19.05</v>
      </c>
      <c r="W456">
        <v>0</v>
      </c>
      <c r="X456">
        <v>2.2999999999999998</v>
      </c>
      <c r="Y456">
        <v>0.55500000000000005</v>
      </c>
      <c r="Z456" t="s">
        <v>2821</v>
      </c>
      <c r="AA456" t="s">
        <v>963</v>
      </c>
      <c r="AB456" t="s">
        <v>2520</v>
      </c>
      <c r="AC456" t="s">
        <v>407</v>
      </c>
      <c r="AD456" t="s">
        <v>2171</v>
      </c>
      <c r="AE456" t="s">
        <v>3716</v>
      </c>
      <c r="AF456">
        <v>0.52702951237500006</v>
      </c>
    </row>
    <row r="457" spans="1:32" x14ac:dyDescent="0.25">
      <c r="A457" s="56">
        <v>3838038</v>
      </c>
      <c r="B457" s="56" t="s">
        <v>1335</v>
      </c>
      <c r="C457" s="56" t="s">
        <v>3717</v>
      </c>
      <c r="D457" s="57">
        <v>850.2</v>
      </c>
      <c r="E457" s="57">
        <v>145.86600000000001</v>
      </c>
      <c r="F457" s="57">
        <v>0.14586600000000002</v>
      </c>
      <c r="G457" s="56" t="s">
        <v>392</v>
      </c>
      <c r="H457" s="56" t="s">
        <v>2511</v>
      </c>
      <c r="I457" s="56" t="s">
        <v>345</v>
      </c>
      <c r="J457" s="56" t="s">
        <v>3718</v>
      </c>
      <c r="K457" s="57">
        <v>219.34399999999999</v>
      </c>
      <c r="L457" s="56" t="s">
        <v>3719</v>
      </c>
      <c r="M457" s="56" t="s">
        <v>2514</v>
      </c>
      <c r="N457" s="56" t="s">
        <v>61</v>
      </c>
      <c r="O457" s="58">
        <v>87</v>
      </c>
      <c r="P457" s="59" t="s">
        <v>2579</v>
      </c>
      <c r="Q457" s="56" t="s">
        <v>11</v>
      </c>
      <c r="U457" s="52">
        <v>511878</v>
      </c>
      <c r="V457">
        <v>19.05</v>
      </c>
      <c r="W457">
        <v>0</v>
      </c>
      <c r="X457">
        <v>2.2999999999999998</v>
      </c>
      <c r="Y457">
        <v>0.56999999999999995</v>
      </c>
      <c r="Z457" t="s">
        <v>1914</v>
      </c>
      <c r="AA457" t="s">
        <v>963</v>
      </c>
      <c r="AB457" t="s">
        <v>2520</v>
      </c>
      <c r="AC457" t="s">
        <v>407</v>
      </c>
      <c r="AD457" t="s">
        <v>2171</v>
      </c>
      <c r="AE457" t="s">
        <v>716</v>
      </c>
      <c r="AF457">
        <v>0.54127355324999993</v>
      </c>
    </row>
    <row r="458" spans="1:32" x14ac:dyDescent="0.25">
      <c r="A458" s="56">
        <v>3838038</v>
      </c>
      <c r="B458" s="56" t="s">
        <v>1335</v>
      </c>
      <c r="C458" s="56" t="s">
        <v>3720</v>
      </c>
      <c r="D458" s="57">
        <v>452.01100000000002</v>
      </c>
      <c r="E458" s="57">
        <v>77.55</v>
      </c>
      <c r="F458" s="57">
        <v>7.7549999999999994E-2</v>
      </c>
      <c r="G458" s="56" t="s">
        <v>392</v>
      </c>
      <c r="H458" s="56" t="s">
        <v>2511</v>
      </c>
      <c r="I458" s="56" t="s">
        <v>345</v>
      </c>
      <c r="J458" s="56" t="s">
        <v>3721</v>
      </c>
      <c r="K458" s="57">
        <v>116.61499999999999</v>
      </c>
      <c r="L458" s="56" t="s">
        <v>3719</v>
      </c>
      <c r="M458" s="56" t="s">
        <v>2514</v>
      </c>
      <c r="N458" s="56" t="s">
        <v>61</v>
      </c>
      <c r="O458" s="58">
        <v>79</v>
      </c>
      <c r="P458" s="59" t="s">
        <v>2579</v>
      </c>
      <c r="Q458" s="56" t="s">
        <v>11</v>
      </c>
      <c r="U458" s="52">
        <v>1940325</v>
      </c>
      <c r="V458">
        <v>19.05</v>
      </c>
      <c r="W458">
        <v>0</v>
      </c>
      <c r="X458">
        <v>2.2999999999999998</v>
      </c>
      <c r="Y458">
        <v>0.56999999999999995</v>
      </c>
      <c r="Z458" t="s">
        <v>1891</v>
      </c>
      <c r="AA458" t="s">
        <v>963</v>
      </c>
      <c r="AB458" t="s">
        <v>2520</v>
      </c>
      <c r="AC458" t="s">
        <v>407</v>
      </c>
      <c r="AD458" t="s">
        <v>2171</v>
      </c>
      <c r="AE458" t="s">
        <v>716</v>
      </c>
      <c r="AF458">
        <v>0.54127355324999993</v>
      </c>
    </row>
    <row r="459" spans="1:32" x14ac:dyDescent="0.25">
      <c r="A459" s="56">
        <v>3838038</v>
      </c>
      <c r="B459" s="56" t="s">
        <v>1335</v>
      </c>
      <c r="C459" s="56" t="s">
        <v>3722</v>
      </c>
      <c r="D459" s="57">
        <v>2483</v>
      </c>
      <c r="E459" s="58">
        <v>426</v>
      </c>
      <c r="F459" s="57">
        <v>0.42599999999999999</v>
      </c>
      <c r="G459" s="56" t="s">
        <v>392</v>
      </c>
      <c r="H459" s="56" t="s">
        <v>2511</v>
      </c>
      <c r="I459" s="56" t="s">
        <v>345</v>
      </c>
      <c r="J459" s="56" t="s">
        <v>3078</v>
      </c>
      <c r="K459" s="57">
        <v>640.59100000000001</v>
      </c>
      <c r="L459" s="56" t="s">
        <v>3719</v>
      </c>
      <c r="M459" s="56" t="s">
        <v>2514</v>
      </c>
      <c r="N459" s="56" t="s">
        <v>61</v>
      </c>
      <c r="O459" s="58">
        <v>78</v>
      </c>
      <c r="P459" s="59" t="s">
        <v>2579</v>
      </c>
      <c r="Q459" s="56" t="s">
        <v>11</v>
      </c>
      <c r="U459" s="52">
        <v>3507077</v>
      </c>
      <c r="V459">
        <v>19.05</v>
      </c>
      <c r="W459">
        <v>0</v>
      </c>
      <c r="X459">
        <v>2.2999999999999998</v>
      </c>
      <c r="Y459">
        <v>0.56999999999999995</v>
      </c>
      <c r="Z459" t="s">
        <v>1914</v>
      </c>
      <c r="AA459" t="s">
        <v>963</v>
      </c>
      <c r="AB459" t="s">
        <v>2520</v>
      </c>
      <c r="AC459" t="s">
        <v>407</v>
      </c>
      <c r="AD459" t="s">
        <v>2171</v>
      </c>
      <c r="AE459" t="s">
        <v>716</v>
      </c>
      <c r="AF459">
        <v>0.54127355324999993</v>
      </c>
    </row>
    <row r="460" spans="1:32" x14ac:dyDescent="0.25">
      <c r="A460" s="56">
        <v>3838038</v>
      </c>
      <c r="B460" s="56" t="s">
        <v>1335</v>
      </c>
      <c r="C460" s="56" t="s">
        <v>3723</v>
      </c>
      <c r="D460" s="57">
        <v>10357.49</v>
      </c>
      <c r="E460" s="58">
        <v>1777</v>
      </c>
      <c r="F460" s="57">
        <v>1.7769999999999999</v>
      </c>
      <c r="G460" s="56" t="s">
        <v>392</v>
      </c>
      <c r="H460" s="56" t="s">
        <v>2511</v>
      </c>
      <c r="I460" s="56" t="s">
        <v>345</v>
      </c>
      <c r="J460" s="56" t="s">
        <v>3724</v>
      </c>
      <c r="K460" s="57">
        <v>2672.136</v>
      </c>
      <c r="L460" s="56" t="s">
        <v>3719</v>
      </c>
      <c r="M460" s="56" t="s">
        <v>2514</v>
      </c>
      <c r="N460" s="56" t="s">
        <v>61</v>
      </c>
      <c r="O460" s="58">
        <v>17</v>
      </c>
      <c r="P460" s="59" t="s">
        <v>2515</v>
      </c>
      <c r="Q460" s="56" t="s">
        <v>11</v>
      </c>
      <c r="U460">
        <v>3781672</v>
      </c>
      <c r="V460">
        <v>19.05</v>
      </c>
      <c r="W460">
        <v>0</v>
      </c>
      <c r="X460">
        <v>2.2999999999999998</v>
      </c>
      <c r="Y460">
        <v>0.56999999999999995</v>
      </c>
      <c r="Z460" t="s">
        <v>2821</v>
      </c>
      <c r="AA460" t="s">
        <v>963</v>
      </c>
      <c r="AB460" t="s">
        <v>2520</v>
      </c>
      <c r="AC460" t="s">
        <v>407</v>
      </c>
      <c r="AD460" t="s">
        <v>2171</v>
      </c>
      <c r="AE460" t="s">
        <v>716</v>
      </c>
      <c r="AF460">
        <v>0.54127355324999993</v>
      </c>
    </row>
    <row r="461" spans="1:32" x14ac:dyDescent="0.25">
      <c r="A461" s="56">
        <v>3841884</v>
      </c>
      <c r="B461" s="56" t="s">
        <v>1643</v>
      </c>
      <c r="C461" s="56" t="s">
        <v>3725</v>
      </c>
      <c r="D461" s="57">
        <v>230</v>
      </c>
      <c r="E461" s="57">
        <v>289.846</v>
      </c>
      <c r="F461" s="57">
        <v>0.28984599999999999</v>
      </c>
      <c r="G461" s="56" t="s">
        <v>392</v>
      </c>
      <c r="H461" s="56" t="s">
        <v>2511</v>
      </c>
      <c r="I461" s="56" t="s">
        <v>345</v>
      </c>
      <c r="J461" s="56" t="s">
        <v>1914</v>
      </c>
      <c r="K461" s="57">
        <v>201.25399999999999</v>
      </c>
      <c r="L461" s="56" t="s">
        <v>3726</v>
      </c>
      <c r="M461" s="56" t="s">
        <v>2877</v>
      </c>
      <c r="N461" s="56" t="s">
        <v>37</v>
      </c>
      <c r="O461" s="58">
        <v>14</v>
      </c>
      <c r="P461" s="59" t="s">
        <v>2515</v>
      </c>
      <c r="Q461" s="56" t="s">
        <v>11</v>
      </c>
      <c r="U461" s="52">
        <v>437144</v>
      </c>
      <c r="V461">
        <v>19.05</v>
      </c>
      <c r="W461">
        <v>0</v>
      </c>
      <c r="X461">
        <v>2.2999999999999998</v>
      </c>
      <c r="Y461">
        <v>0.58499999999999996</v>
      </c>
      <c r="Z461" t="s">
        <v>2821</v>
      </c>
      <c r="AA461" t="s">
        <v>963</v>
      </c>
      <c r="AB461" t="s">
        <v>2520</v>
      </c>
      <c r="AC461" t="s">
        <v>407</v>
      </c>
      <c r="AD461" t="s">
        <v>2171</v>
      </c>
      <c r="AE461" t="s">
        <v>720</v>
      </c>
      <c r="AF461">
        <v>0.5555175941249999</v>
      </c>
    </row>
    <row r="462" spans="1:32" x14ac:dyDescent="0.25">
      <c r="A462" s="56">
        <v>3841884</v>
      </c>
      <c r="B462" s="56" t="s">
        <v>1643</v>
      </c>
      <c r="C462" s="56" t="s">
        <v>3727</v>
      </c>
      <c r="D462" s="57">
        <v>1820.346</v>
      </c>
      <c r="E462" s="58">
        <v>2294</v>
      </c>
      <c r="F462" s="57">
        <v>2.294</v>
      </c>
      <c r="G462" s="56" t="s">
        <v>392</v>
      </c>
      <c r="H462" s="56" t="s">
        <v>2511</v>
      </c>
      <c r="I462" s="56" t="s">
        <v>345</v>
      </c>
      <c r="J462" s="56" t="s">
        <v>3728</v>
      </c>
      <c r="K462" s="57">
        <v>1592.8340000000001</v>
      </c>
      <c r="L462" s="56" t="s">
        <v>3726</v>
      </c>
      <c r="M462" s="56" t="s">
        <v>2877</v>
      </c>
      <c r="N462" s="56" t="s">
        <v>37</v>
      </c>
      <c r="O462" s="58">
        <v>2</v>
      </c>
      <c r="P462" s="59" t="s">
        <v>2515</v>
      </c>
      <c r="Q462" s="56" t="s">
        <v>11</v>
      </c>
      <c r="U462" s="52">
        <v>1940327</v>
      </c>
      <c r="V462">
        <v>19.05</v>
      </c>
      <c r="W462">
        <v>0</v>
      </c>
      <c r="X462">
        <v>2.2999999999999998</v>
      </c>
      <c r="Y462">
        <v>0.58499999999999996</v>
      </c>
      <c r="Z462" t="s">
        <v>1891</v>
      </c>
      <c r="AA462" t="s">
        <v>963</v>
      </c>
      <c r="AB462" t="s">
        <v>2520</v>
      </c>
      <c r="AC462" t="s">
        <v>407</v>
      </c>
      <c r="AD462" t="s">
        <v>2171</v>
      </c>
      <c r="AE462" t="s">
        <v>720</v>
      </c>
      <c r="AF462">
        <v>0.5555175941249999</v>
      </c>
    </row>
    <row r="463" spans="1:32" x14ac:dyDescent="0.25">
      <c r="A463" s="56">
        <v>3850310</v>
      </c>
      <c r="B463" s="56" t="s">
        <v>1339</v>
      </c>
      <c r="C463" s="56" t="s">
        <v>3729</v>
      </c>
      <c r="D463" s="57">
        <v>1251.999</v>
      </c>
      <c r="E463" s="57">
        <v>223.13399999999999</v>
      </c>
      <c r="F463" s="57">
        <v>0.223134</v>
      </c>
      <c r="G463" s="56" t="s">
        <v>392</v>
      </c>
      <c r="H463" s="56" t="s">
        <v>2511</v>
      </c>
      <c r="I463" s="56" t="s">
        <v>345</v>
      </c>
      <c r="J463" s="56" t="s">
        <v>3730</v>
      </c>
      <c r="K463" s="57">
        <v>335.53399999999999</v>
      </c>
      <c r="L463" s="56" t="s">
        <v>3731</v>
      </c>
      <c r="M463" s="56" t="s">
        <v>2919</v>
      </c>
      <c r="N463" s="56" t="s">
        <v>61</v>
      </c>
      <c r="O463" s="58">
        <v>88</v>
      </c>
      <c r="P463" s="59" t="s">
        <v>2579</v>
      </c>
      <c r="Q463" s="56" t="s">
        <v>11</v>
      </c>
      <c r="U463" s="52">
        <v>3535743</v>
      </c>
      <c r="V463">
        <v>19.05</v>
      </c>
      <c r="W463">
        <v>0</v>
      </c>
      <c r="X463">
        <v>2.2999999999999998</v>
      </c>
      <c r="Y463">
        <v>0.6</v>
      </c>
      <c r="Z463" t="s">
        <v>1868</v>
      </c>
      <c r="AA463" t="s">
        <v>963</v>
      </c>
      <c r="AB463" t="s">
        <v>2520</v>
      </c>
      <c r="AC463" t="s">
        <v>407</v>
      </c>
      <c r="AD463" t="s">
        <v>2171</v>
      </c>
      <c r="AE463" t="s">
        <v>3732</v>
      </c>
      <c r="AF463">
        <v>0.56976163499999999</v>
      </c>
    </row>
    <row r="464" spans="1:32" x14ac:dyDescent="0.25">
      <c r="A464" s="56">
        <v>3850310</v>
      </c>
      <c r="B464" s="56" t="s">
        <v>1339</v>
      </c>
      <c r="C464" s="56" t="s">
        <v>3733</v>
      </c>
      <c r="D464" s="57">
        <v>440.06900000000002</v>
      </c>
      <c r="E464" s="57">
        <v>78.430000000000007</v>
      </c>
      <c r="F464" s="57">
        <v>7.8430000000000014E-2</v>
      </c>
      <c r="G464" s="56" t="s">
        <v>392</v>
      </c>
      <c r="H464" s="56" t="s">
        <v>2511</v>
      </c>
      <c r="I464" s="56" t="s">
        <v>345</v>
      </c>
      <c r="J464" s="56" t="s">
        <v>2777</v>
      </c>
      <c r="K464" s="57">
        <v>117.938</v>
      </c>
      <c r="L464" s="56" t="s">
        <v>3731</v>
      </c>
      <c r="M464" s="56" t="s">
        <v>2919</v>
      </c>
      <c r="N464" s="56" t="s">
        <v>61</v>
      </c>
      <c r="O464" s="58">
        <v>78</v>
      </c>
      <c r="P464" s="59" t="s">
        <v>2579</v>
      </c>
      <c r="Q464" s="56" t="s">
        <v>11</v>
      </c>
      <c r="U464" s="52">
        <v>1940328</v>
      </c>
      <c r="V464">
        <v>19.05</v>
      </c>
      <c r="W464">
        <v>0</v>
      </c>
      <c r="X464">
        <v>2.2999999999999998</v>
      </c>
      <c r="Y464">
        <v>0.6</v>
      </c>
      <c r="Z464" t="s">
        <v>1891</v>
      </c>
      <c r="AA464" t="s">
        <v>963</v>
      </c>
      <c r="AB464" t="s">
        <v>2520</v>
      </c>
      <c r="AC464" t="s">
        <v>407</v>
      </c>
      <c r="AD464" t="s">
        <v>2171</v>
      </c>
      <c r="AF464">
        <v>0.56976163499999999</v>
      </c>
    </row>
    <row r="465" spans="1:32" x14ac:dyDescent="0.25">
      <c r="A465" s="56">
        <v>3850310</v>
      </c>
      <c r="B465" s="56" t="s">
        <v>1339</v>
      </c>
      <c r="C465" s="56" t="s">
        <v>3734</v>
      </c>
      <c r="D465" s="57">
        <v>10514.963</v>
      </c>
      <c r="E465" s="58">
        <v>1874</v>
      </c>
      <c r="F465" s="57">
        <v>1.8740000000000001</v>
      </c>
      <c r="G465" s="56" t="s">
        <v>392</v>
      </c>
      <c r="H465" s="56" t="s">
        <v>2511</v>
      </c>
      <c r="I465" s="56" t="s">
        <v>345</v>
      </c>
      <c r="J465" s="56" t="s">
        <v>3735</v>
      </c>
      <c r="K465" s="57">
        <v>2817.998</v>
      </c>
      <c r="L465" s="56" t="s">
        <v>3731</v>
      </c>
      <c r="M465" s="56" t="s">
        <v>2919</v>
      </c>
      <c r="N465" s="56" t="s">
        <v>61</v>
      </c>
      <c r="O465" s="58">
        <v>17</v>
      </c>
      <c r="P465" s="59" t="s">
        <v>2515</v>
      </c>
      <c r="Q465" s="56" t="s">
        <v>11</v>
      </c>
      <c r="U465" s="52">
        <v>3508521</v>
      </c>
      <c r="V465">
        <v>19.05</v>
      </c>
      <c r="W465">
        <v>0</v>
      </c>
      <c r="X465">
        <v>2.2999999999999998</v>
      </c>
      <c r="Y465">
        <v>0.61</v>
      </c>
      <c r="Z465" t="s">
        <v>1914</v>
      </c>
      <c r="AA465" t="s">
        <v>963</v>
      </c>
      <c r="AB465" t="s">
        <v>2520</v>
      </c>
      <c r="AC465" t="s">
        <v>407</v>
      </c>
      <c r="AD465" t="s">
        <v>2171</v>
      </c>
      <c r="AE465" t="s">
        <v>722</v>
      </c>
      <c r="AF465">
        <v>0.57925766224999997</v>
      </c>
    </row>
    <row r="466" spans="1:32" x14ac:dyDescent="0.25">
      <c r="A466" s="56">
        <v>3850310</v>
      </c>
      <c r="B466" s="56" t="s">
        <v>1339</v>
      </c>
      <c r="C466" s="56" t="s">
        <v>3736</v>
      </c>
      <c r="D466" s="57">
        <v>1189.5260000000001</v>
      </c>
      <c r="E466" s="58">
        <v>212</v>
      </c>
      <c r="F466" s="57">
        <v>0.21199999999999999</v>
      </c>
      <c r="G466" s="56" t="s">
        <v>392</v>
      </c>
      <c r="H466" s="56" t="s">
        <v>2511</v>
      </c>
      <c r="I466" s="56" t="s">
        <v>345</v>
      </c>
      <c r="J466" s="56" t="s">
        <v>1914</v>
      </c>
      <c r="K466" s="57">
        <v>318.79199999999997</v>
      </c>
      <c r="L466" s="56" t="s">
        <v>3731</v>
      </c>
      <c r="M466" s="56" t="s">
        <v>2919</v>
      </c>
      <c r="N466" s="56" t="s">
        <v>61</v>
      </c>
      <c r="O466" s="58">
        <v>16</v>
      </c>
      <c r="P466" s="59" t="s">
        <v>2515</v>
      </c>
      <c r="Q466" s="56" t="s">
        <v>11</v>
      </c>
      <c r="U466" s="52">
        <v>1940329</v>
      </c>
      <c r="V466">
        <v>19.05</v>
      </c>
      <c r="W466">
        <v>0</v>
      </c>
      <c r="X466">
        <v>2.2999999999999998</v>
      </c>
      <c r="Y466">
        <v>0.61</v>
      </c>
      <c r="Z466" t="s">
        <v>1891</v>
      </c>
      <c r="AA466" t="s">
        <v>963</v>
      </c>
      <c r="AB466" t="s">
        <v>2520</v>
      </c>
      <c r="AC466" t="s">
        <v>407</v>
      </c>
      <c r="AD466" t="s">
        <v>2171</v>
      </c>
      <c r="AE466" t="s">
        <v>722</v>
      </c>
      <c r="AF466">
        <v>0.57925766224999997</v>
      </c>
    </row>
    <row r="467" spans="1:32" x14ac:dyDescent="0.25">
      <c r="A467" s="56">
        <v>3893101</v>
      </c>
      <c r="B467" s="56" t="s">
        <v>3737</v>
      </c>
      <c r="C467" s="56" t="s">
        <v>3738</v>
      </c>
      <c r="D467" s="57">
        <v>5.2060000000000004</v>
      </c>
      <c r="E467" s="57">
        <v>114.015</v>
      </c>
      <c r="F467" s="57">
        <v>0.11401500000000001</v>
      </c>
      <c r="G467" s="56" t="s">
        <v>392</v>
      </c>
      <c r="H467" s="56" t="s">
        <v>2511</v>
      </c>
      <c r="I467" s="56" t="s">
        <v>345</v>
      </c>
      <c r="J467" s="56" t="s">
        <v>3739</v>
      </c>
      <c r="K467" s="57">
        <v>33.838000000000001</v>
      </c>
      <c r="L467" s="56" t="s">
        <v>3740</v>
      </c>
      <c r="M467" s="56" t="s">
        <v>2605</v>
      </c>
      <c r="N467" s="56" t="s">
        <v>37</v>
      </c>
      <c r="O467" s="58">
        <v>59</v>
      </c>
      <c r="P467" s="59" t="s">
        <v>2532</v>
      </c>
      <c r="Q467" s="56" t="s">
        <v>11</v>
      </c>
      <c r="U467" s="52">
        <v>1372704</v>
      </c>
      <c r="V467">
        <v>19.05</v>
      </c>
      <c r="W467">
        <v>0</v>
      </c>
      <c r="X467">
        <v>2.2999999999999998</v>
      </c>
      <c r="Y467">
        <v>0.61</v>
      </c>
      <c r="Z467" t="s">
        <v>1914</v>
      </c>
      <c r="AA467" t="s">
        <v>963</v>
      </c>
      <c r="AB467" t="s">
        <v>2520</v>
      </c>
      <c r="AC467" t="s">
        <v>407</v>
      </c>
      <c r="AD467" t="s">
        <v>2171</v>
      </c>
      <c r="AE467" t="s">
        <v>722</v>
      </c>
      <c r="AF467">
        <v>0.57925766224999997</v>
      </c>
    </row>
    <row r="468" spans="1:32" x14ac:dyDescent="0.25">
      <c r="A468" s="56">
        <v>3893101</v>
      </c>
      <c r="B468" s="56" t="s">
        <v>3737</v>
      </c>
      <c r="C468" s="56" t="s">
        <v>3741</v>
      </c>
      <c r="D468" s="57">
        <v>14.246</v>
      </c>
      <c r="E468" s="58">
        <v>312</v>
      </c>
      <c r="F468" s="57">
        <v>0.312</v>
      </c>
      <c r="G468" s="56" t="s">
        <v>392</v>
      </c>
      <c r="H468" s="56" t="s">
        <v>2511</v>
      </c>
      <c r="I468" s="56" t="s">
        <v>345</v>
      </c>
      <c r="J468" s="56" t="s">
        <v>2768</v>
      </c>
      <c r="K468" s="57">
        <v>92.597999999999999</v>
      </c>
      <c r="L468" s="56" t="s">
        <v>3740</v>
      </c>
      <c r="M468" s="56" t="s">
        <v>2605</v>
      </c>
      <c r="N468" s="56" t="s">
        <v>37</v>
      </c>
      <c r="O468" s="58">
        <v>28</v>
      </c>
      <c r="P468" s="59" t="s">
        <v>2515</v>
      </c>
      <c r="Q468" s="56" t="s">
        <v>11</v>
      </c>
      <c r="U468">
        <v>3984123</v>
      </c>
      <c r="V468">
        <v>19.05</v>
      </c>
      <c r="W468">
        <v>0</v>
      </c>
      <c r="X468">
        <v>2.2999999999999998</v>
      </c>
      <c r="Y468">
        <v>0.73899999999999999</v>
      </c>
      <c r="Z468" t="s">
        <v>1891</v>
      </c>
      <c r="AA468" t="s">
        <v>3742</v>
      </c>
      <c r="AB468" t="s">
        <v>2520</v>
      </c>
      <c r="AC468" t="s">
        <v>407</v>
      </c>
      <c r="AD468" t="s">
        <v>2171</v>
      </c>
      <c r="AE468" t="s">
        <v>3743</v>
      </c>
      <c r="AF468">
        <v>0.70175641377499998</v>
      </c>
    </row>
    <row r="469" spans="1:32" x14ac:dyDescent="0.25">
      <c r="A469" s="56">
        <v>3909479</v>
      </c>
      <c r="B469" s="56" t="s">
        <v>2177</v>
      </c>
      <c r="C469" s="56" t="s">
        <v>3744</v>
      </c>
      <c r="D469" s="57">
        <v>71.814999999999998</v>
      </c>
      <c r="E469" s="58">
        <v>1300</v>
      </c>
      <c r="F469" s="57">
        <v>1.3</v>
      </c>
      <c r="G469" s="56" t="s">
        <v>392</v>
      </c>
      <c r="H469" s="56" t="s">
        <v>2511</v>
      </c>
      <c r="I469" s="56" t="s">
        <v>345</v>
      </c>
      <c r="J469" s="56" t="s">
        <v>3745</v>
      </c>
      <c r="K469" s="57">
        <v>333.95</v>
      </c>
      <c r="L469" s="56" t="s">
        <v>1914</v>
      </c>
      <c r="M469" s="56" t="s">
        <v>1123</v>
      </c>
      <c r="N469" s="56" t="s">
        <v>39</v>
      </c>
      <c r="O469" s="58">
        <v>6</v>
      </c>
      <c r="P469" s="59" t="s">
        <v>2515</v>
      </c>
      <c r="Q469" s="56" t="s">
        <v>2516</v>
      </c>
      <c r="U469" s="589">
        <v>3984124</v>
      </c>
      <c r="V469">
        <v>19.05</v>
      </c>
      <c r="W469">
        <v>0</v>
      </c>
      <c r="X469">
        <v>2.2999999999999998</v>
      </c>
      <c r="Y469">
        <v>0.88700000000000001</v>
      </c>
      <c r="Z469" t="s">
        <v>1891</v>
      </c>
      <c r="AA469" t="s">
        <v>3742</v>
      </c>
      <c r="AB469" t="s">
        <v>2520</v>
      </c>
      <c r="AC469" t="s">
        <v>407</v>
      </c>
      <c r="AD469" t="s">
        <v>2171</v>
      </c>
      <c r="AE469" t="s">
        <v>3746</v>
      </c>
      <c r="AF469">
        <v>0.84229761707499995</v>
      </c>
    </row>
    <row r="470" spans="1:32" x14ac:dyDescent="0.25">
      <c r="A470" s="56">
        <v>3909479</v>
      </c>
      <c r="B470" s="56" t="s">
        <v>2177</v>
      </c>
      <c r="C470" s="56" t="s">
        <v>3747</v>
      </c>
      <c r="D470" s="57">
        <v>20.384</v>
      </c>
      <c r="E470" s="58">
        <v>369</v>
      </c>
      <c r="F470" s="57">
        <v>0.36899999999999999</v>
      </c>
      <c r="G470" s="56" t="s">
        <v>392</v>
      </c>
      <c r="H470" s="56" t="s">
        <v>2511</v>
      </c>
      <c r="I470" s="56" t="s">
        <v>345</v>
      </c>
      <c r="J470" s="56" t="s">
        <v>3748</v>
      </c>
      <c r="K470" s="57">
        <v>94.79</v>
      </c>
      <c r="L470" s="56" t="s">
        <v>1914</v>
      </c>
      <c r="M470" s="56" t="s">
        <v>1123</v>
      </c>
      <c r="N470" s="56" t="s">
        <v>39</v>
      </c>
      <c r="O470" s="58">
        <v>18</v>
      </c>
      <c r="P470" s="59" t="s">
        <v>2515</v>
      </c>
      <c r="Q470" s="56" t="s">
        <v>2516</v>
      </c>
      <c r="U470" s="538">
        <v>111002664</v>
      </c>
      <c r="V470">
        <v>19.05</v>
      </c>
      <c r="W470">
        <v>0</v>
      </c>
      <c r="X470">
        <v>2.2999999999999998</v>
      </c>
      <c r="Y470">
        <v>5.58</v>
      </c>
      <c r="Z470" t="s">
        <v>1868</v>
      </c>
      <c r="AA470" t="s">
        <v>963</v>
      </c>
      <c r="AB470" t="s">
        <v>2520</v>
      </c>
      <c r="AC470" t="s">
        <v>407</v>
      </c>
      <c r="AD470" t="s">
        <v>1838</v>
      </c>
      <c r="AE470" t="s">
        <v>2299</v>
      </c>
      <c r="AF470">
        <v>0.94960272499999998</v>
      </c>
    </row>
    <row r="471" spans="1:32" x14ac:dyDescent="0.25">
      <c r="A471" s="56">
        <v>3910648</v>
      </c>
      <c r="B471" s="56" t="s">
        <v>887</v>
      </c>
      <c r="C471" s="56" t="s">
        <v>3749</v>
      </c>
      <c r="D471" s="57">
        <v>410</v>
      </c>
      <c r="E471" s="57">
        <v>833.24300000000005</v>
      </c>
      <c r="F471" s="57">
        <v>0.83324300000000007</v>
      </c>
      <c r="G471" s="56" t="s">
        <v>392</v>
      </c>
      <c r="H471" s="56" t="s">
        <v>2511</v>
      </c>
      <c r="I471" s="56" t="s">
        <v>345</v>
      </c>
      <c r="J471" s="56" t="s">
        <v>1914</v>
      </c>
      <c r="K471" s="57">
        <v>348.50599999999997</v>
      </c>
      <c r="L471" s="56" t="s">
        <v>3750</v>
      </c>
      <c r="M471" s="56" t="s">
        <v>3091</v>
      </c>
      <c r="N471" s="56" t="s">
        <v>53</v>
      </c>
      <c r="O471" s="58">
        <v>6</v>
      </c>
      <c r="P471" s="59" t="s">
        <v>2515</v>
      </c>
      <c r="Q471" s="56" t="s">
        <v>2516</v>
      </c>
      <c r="U471" s="538">
        <v>111106948</v>
      </c>
      <c r="V471">
        <v>19.05</v>
      </c>
      <c r="W471">
        <v>0</v>
      </c>
      <c r="X471">
        <v>2.2999999999999998</v>
      </c>
      <c r="Y471">
        <v>5.63</v>
      </c>
      <c r="Z471" t="s">
        <v>1868</v>
      </c>
      <c r="AA471" t="s">
        <v>963</v>
      </c>
      <c r="AB471" t="s">
        <v>2520</v>
      </c>
      <c r="AC471" t="s">
        <v>407</v>
      </c>
      <c r="AD471" t="s">
        <v>1838</v>
      </c>
      <c r="AE471" t="s">
        <v>2299</v>
      </c>
      <c r="AF471">
        <v>0.94960272499999998</v>
      </c>
    </row>
    <row r="472" spans="1:32" x14ac:dyDescent="0.25">
      <c r="A472" s="56">
        <v>3911992</v>
      </c>
      <c r="B472" s="56" t="s">
        <v>1629</v>
      </c>
      <c r="C472" s="56" t="s">
        <v>3751</v>
      </c>
      <c r="D472" s="57">
        <v>341.48200000000003</v>
      </c>
      <c r="E472" s="57">
        <v>211.09299999999999</v>
      </c>
      <c r="F472" s="57">
        <v>0.211093</v>
      </c>
      <c r="G472" s="56" t="s">
        <v>392</v>
      </c>
      <c r="H472" s="56" t="s">
        <v>2511</v>
      </c>
      <c r="I472" s="56" t="s">
        <v>345</v>
      </c>
      <c r="J472" s="56" t="s">
        <v>2988</v>
      </c>
      <c r="K472" s="57">
        <v>114.05500000000001</v>
      </c>
      <c r="L472" s="56" t="s">
        <v>3752</v>
      </c>
      <c r="M472" s="56" t="s">
        <v>2548</v>
      </c>
      <c r="N472" s="56" t="s">
        <v>18</v>
      </c>
      <c r="O472" s="58">
        <v>23</v>
      </c>
      <c r="P472" s="59" t="s">
        <v>2515</v>
      </c>
      <c r="Q472" s="56" t="s">
        <v>192</v>
      </c>
      <c r="U472" s="538">
        <v>111001373</v>
      </c>
      <c r="V472">
        <v>19.05</v>
      </c>
      <c r="W472">
        <v>0</v>
      </c>
      <c r="X472">
        <v>2.2999999999999998</v>
      </c>
      <c r="Y472">
        <v>5.8</v>
      </c>
      <c r="Z472" t="s">
        <v>1868</v>
      </c>
      <c r="AA472" t="s">
        <v>963</v>
      </c>
      <c r="AB472" t="s">
        <v>2520</v>
      </c>
      <c r="AC472" t="s">
        <v>407</v>
      </c>
      <c r="AD472" t="s">
        <v>1838</v>
      </c>
      <c r="AE472" t="s">
        <v>2299</v>
      </c>
      <c r="AF472">
        <v>0.94960272499999998</v>
      </c>
    </row>
    <row r="473" spans="1:32" x14ac:dyDescent="0.25">
      <c r="A473" s="56">
        <v>3911992</v>
      </c>
      <c r="B473" s="56" t="s">
        <v>1629</v>
      </c>
      <c r="C473" s="56" t="s">
        <v>3753</v>
      </c>
      <c r="D473" s="57">
        <v>758.69500000000005</v>
      </c>
      <c r="E473" s="58">
        <v>469</v>
      </c>
      <c r="F473" s="57">
        <v>0.46899999999999997</v>
      </c>
      <c r="G473" s="56" t="s">
        <v>392</v>
      </c>
      <c r="H473" s="56" t="s">
        <v>2511</v>
      </c>
      <c r="I473" s="56" t="s">
        <v>345</v>
      </c>
      <c r="J473" s="56" t="s">
        <v>3754</v>
      </c>
      <c r="K473" s="57">
        <v>253.404</v>
      </c>
      <c r="L473" s="56" t="s">
        <v>3752</v>
      </c>
      <c r="M473" s="56" t="s">
        <v>2548</v>
      </c>
      <c r="N473" s="56" t="s">
        <v>18</v>
      </c>
      <c r="O473" s="58">
        <v>23</v>
      </c>
      <c r="P473" s="59" t="s">
        <v>2515</v>
      </c>
      <c r="Q473" s="56" t="s">
        <v>192</v>
      </c>
      <c r="U473" s="538">
        <v>110102449</v>
      </c>
      <c r="V473">
        <v>19.05</v>
      </c>
      <c r="W473">
        <v>0</v>
      </c>
      <c r="X473">
        <v>2.2999999999999998</v>
      </c>
      <c r="Y473">
        <v>5.9249999999999998</v>
      </c>
      <c r="Z473" t="s">
        <v>1891</v>
      </c>
      <c r="AA473" t="s">
        <v>963</v>
      </c>
      <c r="AB473" t="s">
        <v>2520</v>
      </c>
      <c r="AC473" t="s">
        <v>407</v>
      </c>
      <c r="AD473" t="s">
        <v>1838</v>
      </c>
      <c r="AE473" t="s">
        <v>2299</v>
      </c>
      <c r="AF473">
        <v>0.94960272499999998</v>
      </c>
    </row>
    <row r="474" spans="1:32" x14ac:dyDescent="0.25">
      <c r="A474" s="56">
        <v>3911993</v>
      </c>
      <c r="B474" s="56" t="s">
        <v>855</v>
      </c>
      <c r="C474" s="56" t="s">
        <v>3755</v>
      </c>
      <c r="D474" s="57">
        <v>60</v>
      </c>
      <c r="E474" s="57">
        <v>166.68600000000001</v>
      </c>
      <c r="F474" s="57">
        <v>0.166686</v>
      </c>
      <c r="G474" s="56" t="s">
        <v>392</v>
      </c>
      <c r="H474" s="56" t="s">
        <v>2511</v>
      </c>
      <c r="I474" s="56" t="s">
        <v>345</v>
      </c>
      <c r="J474" s="56" t="s">
        <v>1914</v>
      </c>
      <c r="K474" s="57">
        <v>90.061999999999998</v>
      </c>
      <c r="L474" s="56" t="s">
        <v>3756</v>
      </c>
      <c r="M474" s="56" t="s">
        <v>2609</v>
      </c>
      <c r="N474" s="56" t="s">
        <v>18</v>
      </c>
      <c r="O474" s="58">
        <v>9</v>
      </c>
      <c r="P474" s="59" t="s">
        <v>2515</v>
      </c>
      <c r="Q474" s="56" t="s">
        <v>192</v>
      </c>
      <c r="U474" s="52">
        <v>1940333</v>
      </c>
      <c r="V474">
        <v>19.05</v>
      </c>
      <c r="W474">
        <v>0</v>
      </c>
      <c r="X474">
        <v>2.2999999999999998</v>
      </c>
      <c r="Y474">
        <v>6</v>
      </c>
      <c r="Z474" t="s">
        <v>1891</v>
      </c>
      <c r="AA474" t="s">
        <v>963</v>
      </c>
      <c r="AB474" t="s">
        <v>2520</v>
      </c>
      <c r="AC474" t="s">
        <v>407</v>
      </c>
      <c r="AD474" t="s">
        <v>1838</v>
      </c>
      <c r="AE474" t="s">
        <v>2299</v>
      </c>
      <c r="AF474">
        <v>0.94960272499999998</v>
      </c>
    </row>
    <row r="475" spans="1:32" x14ac:dyDescent="0.25">
      <c r="A475" s="56">
        <v>3924502</v>
      </c>
      <c r="B475" s="56" t="s">
        <v>1575</v>
      </c>
      <c r="C475" s="56" t="s">
        <v>3757</v>
      </c>
      <c r="D475" s="57">
        <v>2058.404</v>
      </c>
      <c r="E475" s="58">
        <v>1091</v>
      </c>
      <c r="F475" s="57">
        <v>1.091</v>
      </c>
      <c r="G475" s="56" t="s">
        <v>392</v>
      </c>
      <c r="H475" s="56" t="s">
        <v>2511</v>
      </c>
      <c r="I475" s="56" t="s">
        <v>345</v>
      </c>
      <c r="J475" s="56" t="s">
        <v>1914</v>
      </c>
      <c r="K475" s="57">
        <v>967.45600000000002</v>
      </c>
      <c r="L475" s="56" t="s">
        <v>3758</v>
      </c>
      <c r="M475" s="56" t="s">
        <v>2810</v>
      </c>
      <c r="N475" s="56" t="s">
        <v>53</v>
      </c>
      <c r="O475" s="58">
        <v>2</v>
      </c>
      <c r="P475" s="59" t="s">
        <v>2515</v>
      </c>
      <c r="Q475" s="56" t="s">
        <v>2516</v>
      </c>
      <c r="U475" s="538">
        <v>110102474</v>
      </c>
      <c r="V475">
        <v>19.05</v>
      </c>
      <c r="W475">
        <v>0</v>
      </c>
      <c r="X475">
        <v>2.2999999999999998</v>
      </c>
      <c r="Y475">
        <v>6</v>
      </c>
      <c r="Z475" t="s">
        <v>1891</v>
      </c>
      <c r="AA475" t="s">
        <v>963</v>
      </c>
      <c r="AB475" t="s">
        <v>2520</v>
      </c>
      <c r="AC475" t="s">
        <v>407</v>
      </c>
      <c r="AD475" t="s">
        <v>1838</v>
      </c>
      <c r="AE475" t="s">
        <v>2299</v>
      </c>
      <c r="AF475">
        <v>0.94960272499999998</v>
      </c>
    </row>
    <row r="476" spans="1:32" x14ac:dyDescent="0.25">
      <c r="A476" s="56">
        <v>1930110</v>
      </c>
      <c r="B476" s="56" t="s">
        <v>1916</v>
      </c>
      <c r="C476" s="56" t="s">
        <v>3759</v>
      </c>
      <c r="D476" s="57">
        <v>125.922</v>
      </c>
      <c r="E476" s="58">
        <v>1810</v>
      </c>
      <c r="F476" s="57">
        <v>1.81</v>
      </c>
      <c r="G476" s="56" t="s">
        <v>392</v>
      </c>
      <c r="H476" s="56" t="s">
        <v>2511</v>
      </c>
      <c r="I476" s="56" t="s">
        <v>362</v>
      </c>
      <c r="J476" s="56" t="s">
        <v>3760</v>
      </c>
      <c r="K476" s="57">
        <v>654.77700000000004</v>
      </c>
      <c r="L476" s="56" t="s">
        <v>3761</v>
      </c>
      <c r="M476" s="56" t="s">
        <v>2537</v>
      </c>
      <c r="N476" s="56" t="s">
        <v>24</v>
      </c>
      <c r="O476" s="58">
        <v>2</v>
      </c>
      <c r="P476" s="59" t="s">
        <v>2515</v>
      </c>
      <c r="Q476" s="56" t="s">
        <v>2516</v>
      </c>
      <c r="U476" s="52">
        <v>1940335</v>
      </c>
      <c r="V476">
        <v>19.05</v>
      </c>
      <c r="W476">
        <v>0</v>
      </c>
      <c r="X476">
        <v>2.2999999999999998</v>
      </c>
      <c r="Y476">
        <v>6.05</v>
      </c>
      <c r="Z476" t="s">
        <v>1891</v>
      </c>
      <c r="AA476" t="s">
        <v>963</v>
      </c>
      <c r="AB476" t="s">
        <v>2520</v>
      </c>
      <c r="AC476" t="s">
        <v>407</v>
      </c>
      <c r="AD476" t="s">
        <v>1838</v>
      </c>
      <c r="AE476" t="s">
        <v>2299</v>
      </c>
      <c r="AF476">
        <v>0.94960272499999998</v>
      </c>
    </row>
    <row r="477" spans="1:32" x14ac:dyDescent="0.25">
      <c r="A477" s="56">
        <v>1942166</v>
      </c>
      <c r="B477" s="56" t="s">
        <v>1930</v>
      </c>
      <c r="C477" s="56" t="s">
        <v>3762</v>
      </c>
      <c r="D477" s="57">
        <v>200.78800000000001</v>
      </c>
      <c r="E477" s="58">
        <v>1834</v>
      </c>
      <c r="F477" s="57">
        <v>1.8340000000000001</v>
      </c>
      <c r="G477" s="56" t="s">
        <v>392</v>
      </c>
      <c r="H477" s="56" t="s">
        <v>2511</v>
      </c>
      <c r="I477" s="56" t="s">
        <v>362</v>
      </c>
      <c r="J477" s="56" t="s">
        <v>3763</v>
      </c>
      <c r="K477" s="57">
        <v>1190.6769999999999</v>
      </c>
      <c r="L477" s="56" t="s">
        <v>3764</v>
      </c>
      <c r="M477" s="56" t="s">
        <v>2537</v>
      </c>
      <c r="N477" s="56" t="s">
        <v>48</v>
      </c>
      <c r="O477" s="58">
        <v>262</v>
      </c>
      <c r="P477" s="59" t="s">
        <v>2524</v>
      </c>
      <c r="Q477" s="56" t="s">
        <v>11</v>
      </c>
      <c r="U477" s="52">
        <v>3682070</v>
      </c>
      <c r="V477">
        <v>19.05</v>
      </c>
      <c r="W477">
        <v>0</v>
      </c>
      <c r="X477">
        <v>2.2999999999999998</v>
      </c>
      <c r="Y477">
        <v>6.05</v>
      </c>
      <c r="Z477" t="s">
        <v>1914</v>
      </c>
      <c r="AA477" t="s">
        <v>963</v>
      </c>
      <c r="AB477" t="s">
        <v>2520</v>
      </c>
      <c r="AC477" t="s">
        <v>407</v>
      </c>
      <c r="AD477" t="s">
        <v>1838</v>
      </c>
      <c r="AE477" t="s">
        <v>2299</v>
      </c>
      <c r="AF477">
        <v>0.94960272499999998</v>
      </c>
    </row>
    <row r="478" spans="1:32" x14ac:dyDescent="0.25">
      <c r="A478" s="56">
        <v>2410388</v>
      </c>
      <c r="B478" s="56" t="s">
        <v>819</v>
      </c>
      <c r="C478" s="56" t="s">
        <v>3765</v>
      </c>
      <c r="D478" s="57">
        <v>85.8</v>
      </c>
      <c r="E478" s="58">
        <v>655</v>
      </c>
      <c r="F478" s="57">
        <v>0.65500000000000003</v>
      </c>
      <c r="G478" s="56" t="s">
        <v>392</v>
      </c>
      <c r="H478" s="56" t="s">
        <v>2511</v>
      </c>
      <c r="I478" s="56" t="s">
        <v>362</v>
      </c>
      <c r="J478" s="56" t="s">
        <v>3766</v>
      </c>
      <c r="K478" s="57">
        <v>386.089</v>
      </c>
      <c r="L478" s="56" t="s">
        <v>3767</v>
      </c>
      <c r="M478" s="56" t="s">
        <v>2605</v>
      </c>
      <c r="N478" s="56" t="s">
        <v>37</v>
      </c>
      <c r="O478" s="58">
        <v>54</v>
      </c>
      <c r="P478" s="59" t="s">
        <v>2532</v>
      </c>
      <c r="Q478" s="56" t="s">
        <v>11</v>
      </c>
      <c r="U478" s="538">
        <v>110102470</v>
      </c>
      <c r="V478">
        <v>19.05</v>
      </c>
      <c r="W478">
        <v>0</v>
      </c>
      <c r="X478">
        <v>2.2999999999999998</v>
      </c>
      <c r="Y478">
        <v>6.1</v>
      </c>
      <c r="Z478" t="s">
        <v>1891</v>
      </c>
      <c r="AA478" t="s">
        <v>963</v>
      </c>
      <c r="AB478" t="s">
        <v>2520</v>
      </c>
      <c r="AC478" t="s">
        <v>407</v>
      </c>
      <c r="AD478" t="s">
        <v>1838</v>
      </c>
      <c r="AE478" t="s">
        <v>2299</v>
      </c>
      <c r="AF478">
        <v>0.94960272499999998</v>
      </c>
    </row>
    <row r="479" spans="1:32" x14ac:dyDescent="0.25">
      <c r="A479" s="56">
        <v>2410388</v>
      </c>
      <c r="B479" s="56" t="s">
        <v>819</v>
      </c>
      <c r="C479" s="56" t="s">
        <v>3768</v>
      </c>
      <c r="D479" s="57">
        <v>95.887</v>
      </c>
      <c r="E479" s="58">
        <v>732</v>
      </c>
      <c r="F479" s="57">
        <v>0.73199999999999998</v>
      </c>
      <c r="G479" s="56" t="s">
        <v>392</v>
      </c>
      <c r="H479" s="56" t="s">
        <v>2511</v>
      </c>
      <c r="I479" s="56" t="s">
        <v>362</v>
      </c>
      <c r="J479" s="56" t="s">
        <v>3769</v>
      </c>
      <c r="K479" s="57">
        <v>431.47699999999998</v>
      </c>
      <c r="L479" s="56" t="s">
        <v>3767</v>
      </c>
      <c r="M479" s="56" t="s">
        <v>2605</v>
      </c>
      <c r="N479" s="56" t="s">
        <v>37</v>
      </c>
      <c r="O479" s="58">
        <v>54</v>
      </c>
      <c r="P479" s="59" t="s">
        <v>2532</v>
      </c>
      <c r="Q479" s="56" t="s">
        <v>11</v>
      </c>
      <c r="U479" s="52">
        <v>1940337</v>
      </c>
      <c r="V479">
        <v>19.05</v>
      </c>
      <c r="W479">
        <v>0</v>
      </c>
      <c r="X479">
        <v>2.2999999999999998</v>
      </c>
      <c r="Y479">
        <v>6.32</v>
      </c>
      <c r="Z479" t="s">
        <v>1891</v>
      </c>
      <c r="AA479" t="s">
        <v>963</v>
      </c>
      <c r="AB479" t="s">
        <v>2520</v>
      </c>
      <c r="AC479" t="s">
        <v>407</v>
      </c>
      <c r="AD479" t="s">
        <v>1838</v>
      </c>
      <c r="AE479" t="s">
        <v>2299</v>
      </c>
      <c r="AF479">
        <v>0.94960272499999998</v>
      </c>
    </row>
    <row r="480" spans="1:32" x14ac:dyDescent="0.25">
      <c r="A480" s="56">
        <v>2410388</v>
      </c>
      <c r="B480" s="56" t="s">
        <v>819</v>
      </c>
      <c r="C480" s="56" t="s">
        <v>3770</v>
      </c>
      <c r="D480" s="57">
        <v>8.1219999999999999</v>
      </c>
      <c r="E480" s="58">
        <v>62</v>
      </c>
      <c r="F480" s="57">
        <v>6.2E-2</v>
      </c>
      <c r="G480" s="56" t="s">
        <v>392</v>
      </c>
      <c r="H480" s="56" t="s">
        <v>2511</v>
      </c>
      <c r="I480" s="56" t="s">
        <v>362</v>
      </c>
      <c r="J480" s="56" t="s">
        <v>3091</v>
      </c>
      <c r="K480" s="57">
        <v>36.545999999999999</v>
      </c>
      <c r="L480" s="56" t="s">
        <v>3767</v>
      </c>
      <c r="M480" s="56" t="s">
        <v>2605</v>
      </c>
      <c r="N480" s="56" t="s">
        <v>37</v>
      </c>
      <c r="O480" s="58">
        <v>54</v>
      </c>
      <c r="P480" s="59" t="s">
        <v>2532</v>
      </c>
      <c r="Q480" s="56" t="s">
        <v>11</v>
      </c>
      <c r="U480" s="538">
        <v>110102477</v>
      </c>
      <c r="V480">
        <v>19.05</v>
      </c>
      <c r="W480">
        <v>0</v>
      </c>
      <c r="X480">
        <v>2.2999999999999998</v>
      </c>
      <c r="Y480">
        <v>6.32</v>
      </c>
      <c r="Z480" t="s">
        <v>1891</v>
      </c>
      <c r="AA480" t="s">
        <v>963</v>
      </c>
      <c r="AB480" t="s">
        <v>2520</v>
      </c>
      <c r="AC480" t="s">
        <v>407</v>
      </c>
      <c r="AD480" t="s">
        <v>1838</v>
      </c>
      <c r="AE480" t="s">
        <v>2299</v>
      </c>
      <c r="AF480">
        <v>0.94960272499999998</v>
      </c>
    </row>
    <row r="481" spans="1:32" x14ac:dyDescent="0.25">
      <c r="A481" s="56">
        <v>2410388</v>
      </c>
      <c r="B481" s="56" t="s">
        <v>819</v>
      </c>
      <c r="C481" s="56" t="s">
        <v>3771</v>
      </c>
      <c r="D481" s="57">
        <v>24.364999999999998</v>
      </c>
      <c r="E481" s="58">
        <v>186</v>
      </c>
      <c r="F481" s="57">
        <v>0.186</v>
      </c>
      <c r="G481" s="56" t="s">
        <v>392</v>
      </c>
      <c r="H481" s="56" t="s">
        <v>2511</v>
      </c>
      <c r="I481" s="56" t="s">
        <v>362</v>
      </c>
      <c r="J481" s="56" t="s">
        <v>2158</v>
      </c>
      <c r="K481" s="57">
        <v>109.637</v>
      </c>
      <c r="L481" s="56" t="s">
        <v>3772</v>
      </c>
      <c r="M481" s="56" t="s">
        <v>2589</v>
      </c>
      <c r="N481" s="56" t="s">
        <v>37</v>
      </c>
      <c r="O481" s="58">
        <v>143</v>
      </c>
      <c r="P481" s="59" t="s">
        <v>2524</v>
      </c>
      <c r="Q481" s="56" t="s">
        <v>11</v>
      </c>
      <c r="U481" s="52">
        <v>3500582</v>
      </c>
      <c r="V481">
        <v>19.05</v>
      </c>
      <c r="W481">
        <v>0</v>
      </c>
      <c r="X481">
        <v>2.2999999999999998</v>
      </c>
      <c r="Y481">
        <v>7</v>
      </c>
      <c r="Z481" t="s">
        <v>1914</v>
      </c>
      <c r="AA481" t="s">
        <v>963</v>
      </c>
      <c r="AB481" t="s">
        <v>2520</v>
      </c>
      <c r="AC481" t="s">
        <v>407</v>
      </c>
      <c r="AD481" t="s">
        <v>1838</v>
      </c>
      <c r="AE481" t="s">
        <v>2299</v>
      </c>
      <c r="AF481">
        <v>0.94960272499999998</v>
      </c>
    </row>
    <row r="482" spans="1:32" x14ac:dyDescent="0.25">
      <c r="A482" s="56">
        <v>2410388</v>
      </c>
      <c r="B482" s="56" t="s">
        <v>819</v>
      </c>
      <c r="C482" s="56" t="s">
        <v>3773</v>
      </c>
      <c r="D482" s="57">
        <v>216.53100000000001</v>
      </c>
      <c r="E482" s="58">
        <v>1653</v>
      </c>
      <c r="F482" s="57">
        <v>1.653</v>
      </c>
      <c r="G482" s="56" t="s">
        <v>392</v>
      </c>
      <c r="H482" s="56" t="s">
        <v>2511</v>
      </c>
      <c r="I482" s="56" t="s">
        <v>362</v>
      </c>
      <c r="J482" s="56" t="s">
        <v>3471</v>
      </c>
      <c r="K482" s="57">
        <v>974.35900000000004</v>
      </c>
      <c r="L482" s="56" t="s">
        <v>3774</v>
      </c>
      <c r="M482" s="56" t="s">
        <v>2537</v>
      </c>
      <c r="N482" s="56" t="s">
        <v>37</v>
      </c>
      <c r="O482" s="58">
        <v>32</v>
      </c>
      <c r="P482" s="59" t="s">
        <v>2532</v>
      </c>
      <c r="Q482" s="56" t="s">
        <v>11</v>
      </c>
      <c r="U482" s="52">
        <v>1268694</v>
      </c>
      <c r="V482">
        <v>19.05</v>
      </c>
      <c r="W482">
        <v>0</v>
      </c>
      <c r="X482">
        <v>2.2999999999999998</v>
      </c>
      <c r="Y482">
        <v>7</v>
      </c>
      <c r="Z482" t="s">
        <v>1914</v>
      </c>
      <c r="AA482" t="s">
        <v>963</v>
      </c>
      <c r="AB482" t="s">
        <v>2520</v>
      </c>
      <c r="AC482" t="s">
        <v>407</v>
      </c>
      <c r="AD482" t="s">
        <v>1838</v>
      </c>
      <c r="AE482" t="s">
        <v>2299</v>
      </c>
      <c r="AF482">
        <v>0.94960272499999998</v>
      </c>
    </row>
    <row r="483" spans="1:32" x14ac:dyDescent="0.25">
      <c r="A483" s="56">
        <v>2410388</v>
      </c>
      <c r="B483" s="56" t="s">
        <v>819</v>
      </c>
      <c r="C483" s="56" t="s">
        <v>3775</v>
      </c>
      <c r="D483" s="57">
        <v>205.26599999999999</v>
      </c>
      <c r="E483" s="58">
        <v>1567</v>
      </c>
      <c r="F483" s="57">
        <v>1.5669999999999999</v>
      </c>
      <c r="G483" s="56" t="s">
        <v>392</v>
      </c>
      <c r="H483" s="56" t="s">
        <v>2511</v>
      </c>
      <c r="I483" s="56" t="s">
        <v>362</v>
      </c>
      <c r="J483" s="56" t="s">
        <v>3763</v>
      </c>
      <c r="K483" s="57">
        <v>923.66600000000005</v>
      </c>
      <c r="L483" s="56" t="s">
        <v>3774</v>
      </c>
      <c r="M483" s="56" t="s">
        <v>2537</v>
      </c>
      <c r="N483" s="56" t="s">
        <v>37</v>
      </c>
      <c r="O483" s="58">
        <v>32</v>
      </c>
      <c r="P483" s="59" t="s">
        <v>2532</v>
      </c>
      <c r="Q483" s="56" t="s">
        <v>11</v>
      </c>
      <c r="U483" s="52">
        <v>238726</v>
      </c>
      <c r="V483">
        <v>19.05</v>
      </c>
      <c r="W483">
        <v>0</v>
      </c>
      <c r="X483">
        <v>2.34</v>
      </c>
      <c r="Y483">
        <v>0.25</v>
      </c>
      <c r="Z483" t="s">
        <v>2821</v>
      </c>
      <c r="AA483" t="s">
        <v>963</v>
      </c>
      <c r="AB483" t="s">
        <v>2520</v>
      </c>
      <c r="AC483" t="s">
        <v>407</v>
      </c>
      <c r="AD483" t="s">
        <v>2171</v>
      </c>
      <c r="AE483" t="s">
        <v>3776</v>
      </c>
      <c r="AF483">
        <v>0.24095260215</v>
      </c>
    </row>
    <row r="484" spans="1:32" x14ac:dyDescent="0.25">
      <c r="A484" s="56">
        <v>2410388</v>
      </c>
      <c r="B484" s="56" t="s">
        <v>819</v>
      </c>
      <c r="C484" s="56" t="s">
        <v>3777</v>
      </c>
      <c r="D484" s="57">
        <v>214.435</v>
      </c>
      <c r="E484" s="58">
        <v>1637</v>
      </c>
      <c r="F484" s="57">
        <v>1.637</v>
      </c>
      <c r="G484" s="56" t="s">
        <v>392</v>
      </c>
      <c r="H484" s="56" t="s">
        <v>2511</v>
      </c>
      <c r="I484" s="56" t="s">
        <v>362</v>
      </c>
      <c r="J484" s="56" t="s">
        <v>3778</v>
      </c>
      <c r="K484" s="57">
        <v>964.928</v>
      </c>
      <c r="L484" s="56" t="s">
        <v>3774</v>
      </c>
      <c r="M484" s="56" t="s">
        <v>2537</v>
      </c>
      <c r="N484" s="56" t="s">
        <v>37</v>
      </c>
      <c r="O484" s="58">
        <v>32</v>
      </c>
      <c r="P484" s="59" t="s">
        <v>2532</v>
      </c>
      <c r="Q484" s="56" t="s">
        <v>11</v>
      </c>
      <c r="U484" s="52">
        <v>3718926</v>
      </c>
      <c r="V484">
        <v>19.05</v>
      </c>
      <c r="W484">
        <v>0</v>
      </c>
      <c r="X484">
        <v>2.34</v>
      </c>
      <c r="Y484">
        <v>0.40200000000000002</v>
      </c>
      <c r="Z484" t="s">
        <v>1952</v>
      </c>
      <c r="AA484" t="s">
        <v>963</v>
      </c>
      <c r="AB484" t="s">
        <v>2520</v>
      </c>
      <c r="AC484" t="s">
        <v>407</v>
      </c>
      <c r="AD484" t="s">
        <v>2171</v>
      </c>
      <c r="AE484" t="s">
        <v>3779</v>
      </c>
      <c r="AF484">
        <v>0.3874517842572</v>
      </c>
    </row>
    <row r="485" spans="1:32" x14ac:dyDescent="0.25">
      <c r="A485" s="56">
        <v>2410388</v>
      </c>
      <c r="B485" s="56" t="s">
        <v>819</v>
      </c>
      <c r="C485" s="56" t="s">
        <v>3780</v>
      </c>
      <c r="D485" s="57">
        <v>122.60899999999999</v>
      </c>
      <c r="E485" s="58">
        <v>936</v>
      </c>
      <c r="F485" s="57">
        <v>0.93600000000000005</v>
      </c>
      <c r="G485" s="56" t="s">
        <v>392</v>
      </c>
      <c r="H485" s="56" t="s">
        <v>2511</v>
      </c>
      <c r="I485" s="56" t="s">
        <v>362</v>
      </c>
      <c r="J485" s="56" t="s">
        <v>3781</v>
      </c>
      <c r="K485" s="57">
        <v>551.72400000000005</v>
      </c>
      <c r="L485" s="56" t="s">
        <v>3774</v>
      </c>
      <c r="M485" s="56" t="s">
        <v>2537</v>
      </c>
      <c r="N485" s="56" t="s">
        <v>37</v>
      </c>
      <c r="O485" s="58">
        <v>37</v>
      </c>
      <c r="P485" s="59" t="s">
        <v>2532</v>
      </c>
      <c r="Q485" s="56" t="s">
        <v>11</v>
      </c>
      <c r="U485" s="52">
        <v>238539</v>
      </c>
      <c r="V485">
        <v>19.05</v>
      </c>
      <c r="W485">
        <v>0</v>
      </c>
      <c r="X485">
        <v>2.34</v>
      </c>
      <c r="Y485">
        <v>0.6</v>
      </c>
      <c r="Z485" t="s">
        <v>2821</v>
      </c>
      <c r="AA485" t="s">
        <v>963</v>
      </c>
      <c r="AB485" t="s">
        <v>2520</v>
      </c>
      <c r="AC485" t="s">
        <v>407</v>
      </c>
      <c r="AD485" t="s">
        <v>2171</v>
      </c>
      <c r="AE485" t="s">
        <v>3732</v>
      </c>
      <c r="AF485">
        <v>0.57828624515999993</v>
      </c>
    </row>
    <row r="486" spans="1:32" x14ac:dyDescent="0.25">
      <c r="A486" s="56">
        <v>2410388</v>
      </c>
      <c r="B486" s="56" t="s">
        <v>819</v>
      </c>
      <c r="C486" s="56" t="s">
        <v>3782</v>
      </c>
      <c r="D486" s="57">
        <v>9.17</v>
      </c>
      <c r="E486" s="58">
        <v>70</v>
      </c>
      <c r="F486" s="57">
        <v>7.0000000000000007E-2</v>
      </c>
      <c r="G486" s="56" t="s">
        <v>392</v>
      </c>
      <c r="H486" s="56" t="s">
        <v>2511</v>
      </c>
      <c r="I486" s="56" t="s">
        <v>362</v>
      </c>
      <c r="J486" s="56" t="s">
        <v>2810</v>
      </c>
      <c r="K486" s="57">
        <v>41.261000000000003</v>
      </c>
      <c r="L486" s="56" t="s">
        <v>3774</v>
      </c>
      <c r="M486" s="56" t="s">
        <v>2537</v>
      </c>
      <c r="N486" s="56" t="s">
        <v>37</v>
      </c>
      <c r="O486" s="58">
        <v>37</v>
      </c>
      <c r="P486" s="59" t="s">
        <v>2532</v>
      </c>
      <c r="Q486" s="56" t="s">
        <v>11</v>
      </c>
      <c r="U486" s="52">
        <v>2410643</v>
      </c>
      <c r="V486">
        <v>19.100000000000001</v>
      </c>
      <c r="W486">
        <v>16.100000000000001</v>
      </c>
      <c r="X486">
        <v>1.5</v>
      </c>
      <c r="Y486">
        <v>6</v>
      </c>
      <c r="Z486" t="s">
        <v>1874</v>
      </c>
      <c r="AA486" t="s">
        <v>1003</v>
      </c>
      <c r="AB486" t="s">
        <v>2517</v>
      </c>
      <c r="AC486" t="s">
        <v>3783</v>
      </c>
      <c r="AD486" t="s">
        <v>1838</v>
      </c>
      <c r="AE486" t="s">
        <v>3784</v>
      </c>
      <c r="AF486">
        <v>0.65073360000000002</v>
      </c>
    </row>
    <row r="487" spans="1:32" x14ac:dyDescent="0.25">
      <c r="A487" s="56">
        <v>2410388</v>
      </c>
      <c r="B487" s="56" t="s">
        <v>819</v>
      </c>
      <c r="C487" s="56" t="s">
        <v>3785</v>
      </c>
      <c r="D487" s="57">
        <v>196.096</v>
      </c>
      <c r="E487" s="58">
        <v>1497</v>
      </c>
      <c r="F487" s="57">
        <v>1.4970000000000001</v>
      </c>
      <c r="G487" s="56" t="s">
        <v>392</v>
      </c>
      <c r="H487" s="56" t="s">
        <v>2511</v>
      </c>
      <c r="I487" s="56" t="s">
        <v>362</v>
      </c>
      <c r="J487" s="56" t="s">
        <v>3441</v>
      </c>
      <c r="K487" s="57">
        <v>882.40499999999997</v>
      </c>
      <c r="L487" s="56" t="s">
        <v>3774</v>
      </c>
      <c r="M487" s="56" t="s">
        <v>2537</v>
      </c>
      <c r="N487" s="56" t="s">
        <v>37</v>
      </c>
      <c r="O487" s="58">
        <v>33</v>
      </c>
      <c r="P487" s="59" t="s">
        <v>2532</v>
      </c>
      <c r="Q487" s="56" t="s">
        <v>11</v>
      </c>
      <c r="U487" s="52">
        <v>3228788</v>
      </c>
      <c r="V487">
        <v>20</v>
      </c>
      <c r="W487">
        <v>0</v>
      </c>
      <c r="X487">
        <v>1.42</v>
      </c>
      <c r="Y487">
        <v>0.27300000000000002</v>
      </c>
      <c r="Z487" t="s">
        <v>1874</v>
      </c>
      <c r="AA487" t="s">
        <v>1003</v>
      </c>
      <c r="AB487" t="s">
        <v>2517</v>
      </c>
      <c r="AC487" t="s">
        <v>724</v>
      </c>
      <c r="AD487" t="s">
        <v>2171</v>
      </c>
      <c r="AE487" t="s">
        <v>726</v>
      </c>
      <c r="AF487">
        <v>0.17753991429720001</v>
      </c>
    </row>
    <row r="488" spans="1:32" x14ac:dyDescent="0.25">
      <c r="A488" s="56">
        <v>2410388</v>
      </c>
      <c r="B488" s="56" t="s">
        <v>819</v>
      </c>
      <c r="C488" s="56" t="s">
        <v>3786</v>
      </c>
      <c r="D488" s="57">
        <v>109.90300000000001</v>
      </c>
      <c r="E488" s="58">
        <v>839</v>
      </c>
      <c r="F488" s="57">
        <v>0.83899999999999997</v>
      </c>
      <c r="G488" s="56" t="s">
        <v>392</v>
      </c>
      <c r="H488" s="56" t="s">
        <v>2511</v>
      </c>
      <c r="I488" s="56" t="s">
        <v>362</v>
      </c>
      <c r="J488" s="56" t="s">
        <v>3787</v>
      </c>
      <c r="K488" s="57">
        <v>494.548</v>
      </c>
      <c r="L488" s="56" t="s">
        <v>3774</v>
      </c>
      <c r="M488" s="56" t="s">
        <v>2537</v>
      </c>
      <c r="N488" s="56" t="s">
        <v>37</v>
      </c>
      <c r="O488" s="58">
        <v>32</v>
      </c>
      <c r="P488" s="59" t="s">
        <v>2532</v>
      </c>
      <c r="Q488" s="56" t="s">
        <v>11</v>
      </c>
      <c r="U488" s="52">
        <v>3769066</v>
      </c>
      <c r="V488">
        <v>20</v>
      </c>
      <c r="W488">
        <v>0</v>
      </c>
      <c r="X488">
        <v>1.42</v>
      </c>
      <c r="Y488">
        <v>5.85</v>
      </c>
      <c r="Z488" t="s">
        <v>1874</v>
      </c>
      <c r="AA488" t="s">
        <v>1003</v>
      </c>
      <c r="AB488" t="s">
        <v>2517</v>
      </c>
      <c r="AC488" t="s">
        <v>724</v>
      </c>
      <c r="AD488" t="s">
        <v>1838</v>
      </c>
      <c r="AE488" t="s">
        <v>3788</v>
      </c>
      <c r="AF488">
        <v>0.6503293564</v>
      </c>
    </row>
    <row r="489" spans="1:32" x14ac:dyDescent="0.25">
      <c r="A489" s="56">
        <v>2410388</v>
      </c>
      <c r="B489" s="56" t="s">
        <v>819</v>
      </c>
      <c r="C489" s="56" t="s">
        <v>3789</v>
      </c>
      <c r="D489" s="57">
        <v>112.392</v>
      </c>
      <c r="E489" s="58">
        <v>858</v>
      </c>
      <c r="F489" s="57">
        <v>0.85799999999999998</v>
      </c>
      <c r="G489" s="56" t="s">
        <v>392</v>
      </c>
      <c r="H489" s="56" t="s">
        <v>2511</v>
      </c>
      <c r="I489" s="56" t="s">
        <v>362</v>
      </c>
      <c r="J489" s="56" t="s">
        <v>3787</v>
      </c>
      <c r="K489" s="57">
        <v>505.74700000000001</v>
      </c>
      <c r="L489" s="56" t="s">
        <v>3774</v>
      </c>
      <c r="M489" s="56" t="s">
        <v>2537</v>
      </c>
      <c r="N489" s="56" t="s">
        <v>37</v>
      </c>
      <c r="O489" s="58">
        <v>32</v>
      </c>
      <c r="P489" s="59" t="s">
        <v>2532</v>
      </c>
      <c r="Q489" s="56" t="s">
        <v>11</v>
      </c>
      <c r="U489" s="52">
        <v>2439536</v>
      </c>
      <c r="V489">
        <v>20</v>
      </c>
      <c r="W489">
        <v>0</v>
      </c>
      <c r="X489">
        <v>3.8</v>
      </c>
      <c r="Y489">
        <v>6</v>
      </c>
      <c r="Z489" t="s">
        <v>1874</v>
      </c>
      <c r="AA489" t="s">
        <v>1003</v>
      </c>
      <c r="AB489" t="s">
        <v>2517</v>
      </c>
      <c r="AC489" t="s">
        <v>995</v>
      </c>
      <c r="AD489" t="s">
        <v>1838</v>
      </c>
      <c r="AE489" t="s">
        <v>3790</v>
      </c>
      <c r="AF489">
        <v>1.5173924399999998</v>
      </c>
    </row>
    <row r="490" spans="1:32" x14ac:dyDescent="0.25">
      <c r="A490" s="56">
        <v>2410388</v>
      </c>
      <c r="B490" s="56" t="s">
        <v>819</v>
      </c>
      <c r="C490" s="56" t="s">
        <v>3791</v>
      </c>
      <c r="D490" s="57">
        <v>85.8</v>
      </c>
      <c r="E490" s="58">
        <v>655</v>
      </c>
      <c r="F490" s="57">
        <v>0.65500000000000003</v>
      </c>
      <c r="G490" s="56" t="s">
        <v>392</v>
      </c>
      <c r="H490" s="56" t="s">
        <v>2511</v>
      </c>
      <c r="I490" s="56" t="s">
        <v>362</v>
      </c>
      <c r="J490" s="56" t="s">
        <v>3766</v>
      </c>
      <c r="K490" s="57">
        <v>386.089</v>
      </c>
      <c r="L490" s="56" t="s">
        <v>3774</v>
      </c>
      <c r="M490" s="56" t="s">
        <v>2537</v>
      </c>
      <c r="N490" s="56" t="s">
        <v>37</v>
      </c>
      <c r="O490" s="58">
        <v>30</v>
      </c>
      <c r="P490" s="59" t="s">
        <v>2515</v>
      </c>
      <c r="Q490" s="56" t="s">
        <v>11</v>
      </c>
      <c r="U490" s="52">
        <v>2439535</v>
      </c>
      <c r="V490">
        <v>20</v>
      </c>
      <c r="W490">
        <v>0</v>
      </c>
      <c r="X490">
        <v>4.5</v>
      </c>
      <c r="Y490">
        <v>6</v>
      </c>
      <c r="Z490" t="s">
        <v>1874</v>
      </c>
      <c r="AA490" t="s">
        <v>1003</v>
      </c>
      <c r="AB490" t="s">
        <v>2517</v>
      </c>
      <c r="AC490" t="s">
        <v>996</v>
      </c>
      <c r="AD490" t="s">
        <v>1838</v>
      </c>
      <c r="AE490" t="s">
        <v>3792</v>
      </c>
      <c r="AF490">
        <v>1.71926775</v>
      </c>
    </row>
    <row r="491" spans="1:32" x14ac:dyDescent="0.25">
      <c r="A491" s="56">
        <v>2410388</v>
      </c>
      <c r="B491" s="56" t="s">
        <v>819</v>
      </c>
      <c r="C491" s="56" t="s">
        <v>3793</v>
      </c>
      <c r="D491" s="57">
        <v>83.965999999999994</v>
      </c>
      <c r="E491" s="58">
        <v>641</v>
      </c>
      <c r="F491" s="57">
        <v>0.64100000000000001</v>
      </c>
      <c r="G491" s="56" t="s">
        <v>392</v>
      </c>
      <c r="H491" s="56" t="s">
        <v>2511</v>
      </c>
      <c r="I491" s="56" t="s">
        <v>362</v>
      </c>
      <c r="J491" s="56" t="s">
        <v>3766</v>
      </c>
      <c r="K491" s="57">
        <v>377.83699999999999</v>
      </c>
      <c r="L491" s="56" t="s">
        <v>3774</v>
      </c>
      <c r="M491" s="56" t="s">
        <v>2537</v>
      </c>
      <c r="N491" s="56" t="s">
        <v>37</v>
      </c>
      <c r="O491" s="58">
        <v>30</v>
      </c>
      <c r="P491" s="59" t="s">
        <v>2515</v>
      </c>
      <c r="Q491" s="56" t="s">
        <v>11</v>
      </c>
      <c r="U491" s="52">
        <v>2411624</v>
      </c>
      <c r="V491">
        <v>21.2</v>
      </c>
      <c r="W491">
        <v>15.7</v>
      </c>
      <c r="X491">
        <v>2.75</v>
      </c>
      <c r="Y491">
        <v>6</v>
      </c>
      <c r="Z491" t="s">
        <v>1874</v>
      </c>
      <c r="AA491" t="s">
        <v>1003</v>
      </c>
      <c r="AB491" t="s">
        <v>2517</v>
      </c>
      <c r="AC491" t="s">
        <v>3361</v>
      </c>
      <c r="AD491" t="s">
        <v>1838</v>
      </c>
      <c r="AE491" t="s">
        <v>3362</v>
      </c>
      <c r="AF491">
        <v>1.2506286375</v>
      </c>
    </row>
    <row r="492" spans="1:32" x14ac:dyDescent="0.25">
      <c r="A492" s="56">
        <v>2410388</v>
      </c>
      <c r="B492" s="56" t="s">
        <v>819</v>
      </c>
      <c r="C492" s="56" t="s">
        <v>3794</v>
      </c>
      <c r="D492" s="57">
        <v>10.217000000000001</v>
      </c>
      <c r="E492" s="58">
        <v>78</v>
      </c>
      <c r="F492" s="57">
        <v>7.8E-2</v>
      </c>
      <c r="G492" s="56" t="s">
        <v>392</v>
      </c>
      <c r="H492" s="56" t="s">
        <v>2511</v>
      </c>
      <c r="I492" s="56" t="s">
        <v>362</v>
      </c>
      <c r="J492" s="56" t="s">
        <v>2903</v>
      </c>
      <c r="K492" s="57">
        <v>45.976999999999997</v>
      </c>
      <c r="L492" s="56" t="s">
        <v>3774</v>
      </c>
      <c r="M492" s="56" t="s">
        <v>2537</v>
      </c>
      <c r="N492" s="56" t="s">
        <v>37</v>
      </c>
      <c r="O492" s="58">
        <v>30</v>
      </c>
      <c r="P492" s="59" t="s">
        <v>2515</v>
      </c>
      <c r="Q492" s="56" t="s">
        <v>11</v>
      </c>
      <c r="U492" s="52">
        <v>3219710</v>
      </c>
      <c r="V492">
        <v>21.4</v>
      </c>
      <c r="W492">
        <v>0</v>
      </c>
      <c r="X492">
        <v>1.6</v>
      </c>
      <c r="Y492">
        <v>6</v>
      </c>
      <c r="Z492" t="s">
        <v>1868</v>
      </c>
      <c r="AA492" t="s">
        <v>963</v>
      </c>
      <c r="AB492" t="s">
        <v>2520</v>
      </c>
      <c r="AC492" t="s">
        <v>3795</v>
      </c>
      <c r="AD492" t="s">
        <v>1838</v>
      </c>
      <c r="AE492" t="s">
        <v>3796</v>
      </c>
      <c r="AF492">
        <v>0.78088031999999996</v>
      </c>
    </row>
    <row r="493" spans="1:32" x14ac:dyDescent="0.25">
      <c r="A493" s="56">
        <v>2410388</v>
      </c>
      <c r="B493" s="56" t="s">
        <v>819</v>
      </c>
      <c r="C493" s="56" t="s">
        <v>3797</v>
      </c>
      <c r="D493" s="57">
        <v>177.75700000000001</v>
      </c>
      <c r="E493" s="58">
        <v>1357</v>
      </c>
      <c r="F493" s="57">
        <v>1.357</v>
      </c>
      <c r="G493" s="56" t="s">
        <v>392</v>
      </c>
      <c r="H493" s="56" t="s">
        <v>2511</v>
      </c>
      <c r="I493" s="56" t="s">
        <v>362</v>
      </c>
      <c r="J493" s="56" t="s">
        <v>3798</v>
      </c>
      <c r="K493" s="57">
        <v>799.88199999999995</v>
      </c>
      <c r="L493" s="56" t="s">
        <v>3799</v>
      </c>
      <c r="M493" s="56" t="s">
        <v>2537</v>
      </c>
      <c r="N493" s="56" t="s">
        <v>37</v>
      </c>
      <c r="O493" s="58">
        <v>33</v>
      </c>
      <c r="P493" s="59" t="s">
        <v>2532</v>
      </c>
      <c r="Q493" s="56" t="s">
        <v>11</v>
      </c>
      <c r="U493" s="52">
        <v>3482551</v>
      </c>
      <c r="V493">
        <v>21.4</v>
      </c>
      <c r="W493">
        <v>0</v>
      </c>
      <c r="X493">
        <v>2</v>
      </c>
      <c r="Y493">
        <v>0.46200000000000002</v>
      </c>
      <c r="Z493" t="s">
        <v>1868</v>
      </c>
      <c r="AA493" t="s">
        <v>963</v>
      </c>
      <c r="AB493" t="s">
        <v>2520</v>
      </c>
      <c r="AC493" t="s">
        <v>3800</v>
      </c>
      <c r="AD493" t="s">
        <v>2171</v>
      </c>
      <c r="AE493" t="s">
        <v>3801</v>
      </c>
      <c r="AF493">
        <v>0.44184811439999999</v>
      </c>
    </row>
    <row r="494" spans="1:32" x14ac:dyDescent="0.25">
      <c r="A494" s="56">
        <v>2410388</v>
      </c>
      <c r="B494" s="56" t="s">
        <v>819</v>
      </c>
      <c r="C494" s="56" t="s">
        <v>3802</v>
      </c>
      <c r="D494" s="57">
        <v>122.60899999999999</v>
      </c>
      <c r="E494" s="58">
        <v>936</v>
      </c>
      <c r="F494" s="57">
        <v>0.93600000000000005</v>
      </c>
      <c r="G494" s="56" t="s">
        <v>392</v>
      </c>
      <c r="H494" s="56" t="s">
        <v>2511</v>
      </c>
      <c r="I494" s="56" t="s">
        <v>362</v>
      </c>
      <c r="J494" s="56" t="s">
        <v>3781</v>
      </c>
      <c r="K494" s="57">
        <v>551.72400000000005</v>
      </c>
      <c r="L494" s="56" t="s">
        <v>3799</v>
      </c>
      <c r="M494" s="56" t="s">
        <v>2537</v>
      </c>
      <c r="N494" s="56" t="s">
        <v>37</v>
      </c>
      <c r="O494" s="58">
        <v>33</v>
      </c>
      <c r="P494" s="59" t="s">
        <v>2532</v>
      </c>
      <c r="Q494" s="56" t="s">
        <v>11</v>
      </c>
      <c r="U494" s="52">
        <v>1940348</v>
      </c>
      <c r="V494">
        <v>21.4</v>
      </c>
      <c r="W494">
        <v>0</v>
      </c>
      <c r="X494">
        <v>2</v>
      </c>
      <c r="Y494">
        <v>0.93</v>
      </c>
      <c r="Z494" t="s">
        <v>1881</v>
      </c>
      <c r="AA494" t="s">
        <v>963</v>
      </c>
      <c r="AB494" t="s">
        <v>2520</v>
      </c>
      <c r="AC494" t="s">
        <v>3361</v>
      </c>
      <c r="AD494" t="s">
        <v>2171</v>
      </c>
      <c r="AE494" t="s">
        <v>3803</v>
      </c>
      <c r="AF494">
        <v>0.88943451600000001</v>
      </c>
    </row>
    <row r="495" spans="1:32" x14ac:dyDescent="0.25">
      <c r="A495" s="56">
        <v>2410388</v>
      </c>
      <c r="B495" s="56" t="s">
        <v>819</v>
      </c>
      <c r="C495" s="56" t="s">
        <v>3804</v>
      </c>
      <c r="D495" s="57">
        <v>82.656999999999996</v>
      </c>
      <c r="E495" s="58">
        <v>631</v>
      </c>
      <c r="F495" s="57">
        <v>0.63100000000000001</v>
      </c>
      <c r="G495" s="56" t="s">
        <v>392</v>
      </c>
      <c r="H495" s="56" t="s">
        <v>2511</v>
      </c>
      <c r="I495" s="56" t="s">
        <v>362</v>
      </c>
      <c r="J495" s="56" t="s">
        <v>3805</v>
      </c>
      <c r="K495" s="57">
        <v>371.94200000000001</v>
      </c>
      <c r="L495" s="56" t="s">
        <v>3799</v>
      </c>
      <c r="M495" s="56" t="s">
        <v>2537</v>
      </c>
      <c r="N495" s="56" t="s">
        <v>37</v>
      </c>
      <c r="O495" s="58">
        <v>33</v>
      </c>
      <c r="P495" s="59" t="s">
        <v>2532</v>
      </c>
      <c r="Q495" s="56" t="s">
        <v>11</v>
      </c>
      <c r="U495" s="52">
        <v>2410999</v>
      </c>
      <c r="V495">
        <v>21.7</v>
      </c>
      <c r="W495">
        <v>16.2</v>
      </c>
      <c r="X495">
        <v>2.75</v>
      </c>
      <c r="Y495">
        <v>6</v>
      </c>
      <c r="Z495" t="s">
        <v>1874</v>
      </c>
      <c r="AA495" t="s">
        <v>1003</v>
      </c>
      <c r="AB495" t="s">
        <v>2517</v>
      </c>
      <c r="AC495" t="s">
        <v>727</v>
      </c>
      <c r="AD495" t="s">
        <v>1838</v>
      </c>
      <c r="AE495" t="s">
        <v>729</v>
      </c>
      <c r="AF495">
        <v>1.2845210124999999</v>
      </c>
    </row>
    <row r="496" spans="1:32" x14ac:dyDescent="0.25">
      <c r="A496" s="56">
        <v>2410388</v>
      </c>
      <c r="B496" s="56" t="s">
        <v>819</v>
      </c>
      <c r="C496" s="56" t="s">
        <v>3806</v>
      </c>
      <c r="D496" s="57">
        <v>9.17</v>
      </c>
      <c r="E496" s="58">
        <v>70</v>
      </c>
      <c r="F496" s="57">
        <v>7.0000000000000007E-2</v>
      </c>
      <c r="G496" s="56" t="s">
        <v>392</v>
      </c>
      <c r="H496" s="56" t="s">
        <v>2511</v>
      </c>
      <c r="I496" s="56" t="s">
        <v>362</v>
      </c>
      <c r="J496" s="56" t="s">
        <v>2810</v>
      </c>
      <c r="K496" s="57">
        <v>41.261000000000003</v>
      </c>
      <c r="L496" s="56" t="s">
        <v>3799</v>
      </c>
      <c r="M496" s="56" t="s">
        <v>2537</v>
      </c>
      <c r="N496" s="56" t="s">
        <v>37</v>
      </c>
      <c r="O496" s="58">
        <v>33</v>
      </c>
      <c r="P496" s="59" t="s">
        <v>2532</v>
      </c>
      <c r="Q496" s="56" t="s">
        <v>11</v>
      </c>
      <c r="U496" s="52">
        <v>2410994</v>
      </c>
      <c r="V496">
        <v>21.75</v>
      </c>
      <c r="W496">
        <v>0</v>
      </c>
      <c r="X496">
        <v>3.5</v>
      </c>
      <c r="Y496">
        <v>6</v>
      </c>
      <c r="Z496" t="s">
        <v>1874</v>
      </c>
      <c r="AA496" t="s">
        <v>1003</v>
      </c>
      <c r="AB496" t="s">
        <v>2517</v>
      </c>
      <c r="AC496" t="s">
        <v>997</v>
      </c>
      <c r="AD496" t="s">
        <v>1838</v>
      </c>
      <c r="AE496" t="s">
        <v>3807</v>
      </c>
      <c r="AF496">
        <v>1.574454875</v>
      </c>
    </row>
    <row r="497" spans="1:32" x14ac:dyDescent="0.25">
      <c r="A497" s="56">
        <v>2410388</v>
      </c>
      <c r="B497" s="56" t="s">
        <v>819</v>
      </c>
      <c r="C497" s="56" t="s">
        <v>3808</v>
      </c>
      <c r="D497" s="57">
        <v>81.739999999999995</v>
      </c>
      <c r="E497" s="58">
        <v>624</v>
      </c>
      <c r="F497" s="57">
        <v>0.624</v>
      </c>
      <c r="G497" s="56" t="s">
        <v>392</v>
      </c>
      <c r="H497" s="56" t="s">
        <v>2511</v>
      </c>
      <c r="I497" s="56" t="s">
        <v>362</v>
      </c>
      <c r="J497" s="56" t="s">
        <v>3805</v>
      </c>
      <c r="K497" s="57">
        <v>367.81599999999997</v>
      </c>
      <c r="L497" s="56" t="s">
        <v>3799</v>
      </c>
      <c r="M497" s="56" t="s">
        <v>2537</v>
      </c>
      <c r="N497" s="56" t="s">
        <v>37</v>
      </c>
      <c r="O497" s="58">
        <v>33</v>
      </c>
      <c r="P497" s="59" t="s">
        <v>2532</v>
      </c>
      <c r="Q497" s="56" t="s">
        <v>11</v>
      </c>
      <c r="U497" s="52">
        <v>314118</v>
      </c>
      <c r="V497">
        <v>22.2</v>
      </c>
      <c r="W497">
        <v>0</v>
      </c>
      <c r="X497">
        <v>1.2</v>
      </c>
      <c r="Y497">
        <v>0.3</v>
      </c>
      <c r="Z497" t="s">
        <v>2821</v>
      </c>
      <c r="AA497" t="s">
        <v>963</v>
      </c>
      <c r="AB497" t="s">
        <v>2520</v>
      </c>
      <c r="AC497" t="s">
        <v>607</v>
      </c>
      <c r="AD497" t="s">
        <v>2171</v>
      </c>
      <c r="AE497" t="s">
        <v>3809</v>
      </c>
      <c r="AF497">
        <v>0.18634644</v>
      </c>
    </row>
    <row r="498" spans="1:32" x14ac:dyDescent="0.25">
      <c r="A498" s="56">
        <v>2410388</v>
      </c>
      <c r="B498" s="56" t="s">
        <v>819</v>
      </c>
      <c r="C498" s="56" t="s">
        <v>3810</v>
      </c>
      <c r="D498" s="57">
        <v>82.656999999999996</v>
      </c>
      <c r="E498" s="58">
        <v>631</v>
      </c>
      <c r="F498" s="57">
        <v>0.63100000000000001</v>
      </c>
      <c r="G498" s="56" t="s">
        <v>392</v>
      </c>
      <c r="H498" s="56" t="s">
        <v>2511</v>
      </c>
      <c r="I498" s="56" t="s">
        <v>362</v>
      </c>
      <c r="J498" s="56" t="s">
        <v>3805</v>
      </c>
      <c r="K498" s="57">
        <v>371.94200000000001</v>
      </c>
      <c r="L498" s="56" t="s">
        <v>3799</v>
      </c>
      <c r="M498" s="56" t="s">
        <v>2537</v>
      </c>
      <c r="N498" s="56" t="s">
        <v>37</v>
      </c>
      <c r="O498" s="58">
        <v>33</v>
      </c>
      <c r="P498" s="59" t="s">
        <v>2532</v>
      </c>
      <c r="Q498" s="56" t="s">
        <v>11</v>
      </c>
      <c r="U498" s="52">
        <v>420489</v>
      </c>
      <c r="V498">
        <v>22.2</v>
      </c>
      <c r="W498">
        <v>0</v>
      </c>
      <c r="X498">
        <v>1.2</v>
      </c>
      <c r="Y498">
        <v>0.6</v>
      </c>
      <c r="Z498" t="s">
        <v>2821</v>
      </c>
      <c r="AA498" t="s">
        <v>963</v>
      </c>
      <c r="AB498" t="s">
        <v>2520</v>
      </c>
      <c r="AC498" t="s">
        <v>607</v>
      </c>
      <c r="AD498" t="s">
        <v>2171</v>
      </c>
      <c r="AE498" t="s">
        <v>3811</v>
      </c>
      <c r="AF498">
        <v>0.37269288</v>
      </c>
    </row>
    <row r="499" spans="1:32" x14ac:dyDescent="0.25">
      <c r="A499" s="56">
        <v>2410388</v>
      </c>
      <c r="B499" s="56" t="s">
        <v>819</v>
      </c>
      <c r="C499" s="56" t="s">
        <v>3812</v>
      </c>
      <c r="D499" s="57">
        <v>8.1219999999999999</v>
      </c>
      <c r="E499" s="58">
        <v>62</v>
      </c>
      <c r="F499" s="57">
        <v>6.2E-2</v>
      </c>
      <c r="G499" s="56" t="s">
        <v>392</v>
      </c>
      <c r="H499" s="56" t="s">
        <v>2511</v>
      </c>
      <c r="I499" s="56" t="s">
        <v>362</v>
      </c>
      <c r="J499" s="56" t="s">
        <v>3091</v>
      </c>
      <c r="K499" s="57">
        <v>36.545999999999999</v>
      </c>
      <c r="L499" s="56" t="s">
        <v>3799</v>
      </c>
      <c r="M499" s="56" t="s">
        <v>2537</v>
      </c>
      <c r="N499" s="56" t="s">
        <v>37</v>
      </c>
      <c r="O499" s="58">
        <v>33</v>
      </c>
      <c r="P499" s="59" t="s">
        <v>2532</v>
      </c>
      <c r="Q499" s="56" t="s">
        <v>11</v>
      </c>
      <c r="U499" s="52">
        <v>3506510</v>
      </c>
      <c r="V499">
        <v>22.2</v>
      </c>
      <c r="W499">
        <v>0</v>
      </c>
      <c r="X499">
        <v>1.2</v>
      </c>
      <c r="Y499">
        <v>0.6</v>
      </c>
      <c r="Z499" t="s">
        <v>1914</v>
      </c>
      <c r="AA499" t="s">
        <v>963</v>
      </c>
      <c r="AB499" t="s">
        <v>2520</v>
      </c>
      <c r="AC499" t="s">
        <v>607</v>
      </c>
      <c r="AD499" t="s">
        <v>2171</v>
      </c>
      <c r="AF499">
        <v>0.37269288</v>
      </c>
    </row>
    <row r="500" spans="1:32" x14ac:dyDescent="0.25">
      <c r="A500" s="56">
        <v>2410388</v>
      </c>
      <c r="B500" s="56" t="s">
        <v>819</v>
      </c>
      <c r="C500" s="56" t="s">
        <v>3813</v>
      </c>
      <c r="D500" s="57">
        <v>115.929</v>
      </c>
      <c r="E500" s="58">
        <v>885</v>
      </c>
      <c r="F500" s="57">
        <v>0.88500000000000001</v>
      </c>
      <c r="G500" s="56" t="s">
        <v>392</v>
      </c>
      <c r="H500" s="56" t="s">
        <v>2511</v>
      </c>
      <c r="I500" s="56" t="s">
        <v>362</v>
      </c>
      <c r="J500" s="56" t="s">
        <v>3781</v>
      </c>
      <c r="K500" s="57">
        <v>521.66200000000003</v>
      </c>
      <c r="L500" s="56" t="s">
        <v>3799</v>
      </c>
      <c r="M500" s="56" t="s">
        <v>2537</v>
      </c>
      <c r="N500" s="56" t="s">
        <v>37</v>
      </c>
      <c r="O500" s="58">
        <v>33</v>
      </c>
      <c r="P500" s="59" t="s">
        <v>2532</v>
      </c>
      <c r="Q500" s="56" t="s">
        <v>11</v>
      </c>
      <c r="U500" s="52">
        <v>3180928</v>
      </c>
      <c r="V500">
        <v>22.2</v>
      </c>
      <c r="W500">
        <v>0</v>
      </c>
      <c r="X500">
        <v>1.2</v>
      </c>
      <c r="Y500">
        <v>0.63</v>
      </c>
      <c r="Z500" t="s">
        <v>1914</v>
      </c>
      <c r="AA500" t="s">
        <v>963</v>
      </c>
      <c r="AB500" t="s">
        <v>2520</v>
      </c>
      <c r="AC500" t="s">
        <v>607</v>
      </c>
      <c r="AD500" t="s">
        <v>2171</v>
      </c>
      <c r="AE500" t="s">
        <v>3814</v>
      </c>
      <c r="AF500">
        <v>0.39132752399999998</v>
      </c>
    </row>
    <row r="501" spans="1:32" x14ac:dyDescent="0.25">
      <c r="A501" s="56">
        <v>2410388</v>
      </c>
      <c r="B501" s="56" t="s">
        <v>819</v>
      </c>
      <c r="C501" s="56" t="s">
        <v>3815</v>
      </c>
      <c r="D501" s="57">
        <v>92.873999999999995</v>
      </c>
      <c r="E501" s="58">
        <v>709</v>
      </c>
      <c r="F501" s="57">
        <v>0.70899999999999996</v>
      </c>
      <c r="G501" s="56" t="s">
        <v>392</v>
      </c>
      <c r="H501" s="56" t="s">
        <v>2511</v>
      </c>
      <c r="I501" s="56" t="s">
        <v>362</v>
      </c>
      <c r="J501" s="56" t="s">
        <v>3816</v>
      </c>
      <c r="K501" s="57">
        <v>417.91899999999998</v>
      </c>
      <c r="L501" s="56" t="s">
        <v>3799</v>
      </c>
      <c r="M501" s="56" t="s">
        <v>2537</v>
      </c>
      <c r="N501" s="56" t="s">
        <v>37</v>
      </c>
      <c r="O501" s="58">
        <v>33</v>
      </c>
      <c r="P501" s="59" t="s">
        <v>2532</v>
      </c>
      <c r="Q501" s="56" t="s">
        <v>11</v>
      </c>
      <c r="U501" s="52">
        <v>3667938</v>
      </c>
      <c r="V501">
        <v>22.2</v>
      </c>
      <c r="W501">
        <v>0</v>
      </c>
      <c r="X501">
        <v>1.2</v>
      </c>
      <c r="Y501">
        <v>0.67300000000000004</v>
      </c>
      <c r="Z501" t="s">
        <v>1914</v>
      </c>
      <c r="AA501" t="s">
        <v>963</v>
      </c>
      <c r="AB501" t="s">
        <v>2520</v>
      </c>
      <c r="AC501" t="s">
        <v>607</v>
      </c>
      <c r="AD501" t="s">
        <v>2171</v>
      </c>
      <c r="AE501" t="s">
        <v>640</v>
      </c>
      <c r="AF501">
        <v>0.41803718040000004</v>
      </c>
    </row>
    <row r="502" spans="1:32" x14ac:dyDescent="0.25">
      <c r="A502" s="56">
        <v>2410388</v>
      </c>
      <c r="B502" s="56" t="s">
        <v>819</v>
      </c>
      <c r="C502" s="56" t="s">
        <v>3817</v>
      </c>
      <c r="D502" s="57">
        <v>13.23</v>
      </c>
      <c r="E502" s="58">
        <v>101</v>
      </c>
      <c r="F502" s="57">
        <v>0.10100000000000001</v>
      </c>
      <c r="G502" s="56" t="s">
        <v>392</v>
      </c>
      <c r="H502" s="56" t="s">
        <v>2511</v>
      </c>
      <c r="I502" s="56" t="s">
        <v>362</v>
      </c>
      <c r="J502" s="56" t="s">
        <v>2895</v>
      </c>
      <c r="K502" s="57">
        <v>59.533999999999999</v>
      </c>
      <c r="L502" s="56" t="s">
        <v>3799</v>
      </c>
      <c r="M502" s="56" t="s">
        <v>2537</v>
      </c>
      <c r="N502" s="56" t="s">
        <v>37</v>
      </c>
      <c r="O502" s="58">
        <v>33</v>
      </c>
      <c r="P502" s="59" t="s">
        <v>2532</v>
      </c>
      <c r="Q502" s="56" t="s">
        <v>11</v>
      </c>
      <c r="U502" s="52">
        <v>281749</v>
      </c>
      <c r="V502">
        <v>22.2</v>
      </c>
      <c r="W502">
        <v>0</v>
      </c>
      <c r="X502">
        <v>1.2</v>
      </c>
      <c r="Y502">
        <v>0.67300000000000004</v>
      </c>
      <c r="Z502" t="s">
        <v>2821</v>
      </c>
      <c r="AA502" t="s">
        <v>963</v>
      </c>
      <c r="AB502" t="s">
        <v>2520</v>
      </c>
      <c r="AC502" t="s">
        <v>607</v>
      </c>
      <c r="AD502" t="s">
        <v>2171</v>
      </c>
      <c r="AE502" t="s">
        <v>640</v>
      </c>
      <c r="AF502">
        <v>0.41803718040000004</v>
      </c>
    </row>
    <row r="503" spans="1:32" x14ac:dyDescent="0.25">
      <c r="A503" s="56">
        <v>3500714</v>
      </c>
      <c r="B503" s="56" t="s">
        <v>1922</v>
      </c>
      <c r="C503" s="56" t="s">
        <v>3818</v>
      </c>
      <c r="D503" s="57">
        <v>99.966999999999999</v>
      </c>
      <c r="E503" s="58">
        <v>2099</v>
      </c>
      <c r="F503" s="57">
        <v>2.0990000000000002</v>
      </c>
      <c r="G503" s="56" t="s">
        <v>392</v>
      </c>
      <c r="H503" s="56" t="s">
        <v>2511</v>
      </c>
      <c r="I503" s="56" t="s">
        <v>362</v>
      </c>
      <c r="J503" s="56" t="s">
        <v>3581</v>
      </c>
      <c r="K503" s="57">
        <v>549.822</v>
      </c>
      <c r="L503" s="56" t="s">
        <v>3819</v>
      </c>
      <c r="M503" s="56" t="s">
        <v>2548</v>
      </c>
      <c r="N503" s="56" t="s">
        <v>37</v>
      </c>
      <c r="O503" s="58">
        <v>105</v>
      </c>
      <c r="P503" s="59" t="s">
        <v>2524</v>
      </c>
      <c r="Q503" s="56" t="s">
        <v>11</v>
      </c>
      <c r="U503" s="52">
        <v>3507568</v>
      </c>
      <c r="V503">
        <v>22.2</v>
      </c>
      <c r="W503">
        <v>0</v>
      </c>
      <c r="X503">
        <v>1.2</v>
      </c>
      <c r="Y503">
        <v>0.68100000000000005</v>
      </c>
      <c r="Z503" t="s">
        <v>1914</v>
      </c>
      <c r="AA503" t="s">
        <v>963</v>
      </c>
      <c r="AB503" t="s">
        <v>2520</v>
      </c>
      <c r="AC503" t="s">
        <v>607</v>
      </c>
      <c r="AD503" t="s">
        <v>2171</v>
      </c>
      <c r="AE503" t="s">
        <v>2254</v>
      </c>
      <c r="AF503">
        <v>0.42300641880000006</v>
      </c>
    </row>
    <row r="504" spans="1:32" x14ac:dyDescent="0.25">
      <c r="A504" s="56">
        <v>3770393</v>
      </c>
      <c r="B504" s="56" t="s">
        <v>3820</v>
      </c>
      <c r="C504" s="56" t="s">
        <v>3821</v>
      </c>
      <c r="D504" s="57">
        <v>144.88300000000001</v>
      </c>
      <c r="E504" s="58">
        <v>1492</v>
      </c>
      <c r="F504" s="57">
        <v>1.492</v>
      </c>
      <c r="G504" s="56" t="s">
        <v>392</v>
      </c>
      <c r="H504" s="56" t="s">
        <v>2511</v>
      </c>
      <c r="I504" s="56" t="s">
        <v>362</v>
      </c>
      <c r="J504" s="56" t="s">
        <v>3822</v>
      </c>
      <c r="K504" s="57">
        <v>879.45799999999997</v>
      </c>
      <c r="L504" s="56" t="s">
        <v>3823</v>
      </c>
      <c r="M504" s="56" t="s">
        <v>2537</v>
      </c>
      <c r="N504" s="56" t="s">
        <v>37</v>
      </c>
      <c r="O504" s="58">
        <v>53</v>
      </c>
      <c r="P504" s="59" t="s">
        <v>2532</v>
      </c>
      <c r="Q504" s="56" t="s">
        <v>11</v>
      </c>
      <c r="U504" s="52">
        <v>1270328</v>
      </c>
      <c r="V504">
        <v>22.2</v>
      </c>
      <c r="W504">
        <v>0</v>
      </c>
      <c r="X504">
        <v>1.2</v>
      </c>
      <c r="Y504">
        <v>0.68100000000000005</v>
      </c>
      <c r="Z504" t="s">
        <v>1914</v>
      </c>
      <c r="AA504" t="s">
        <v>963</v>
      </c>
      <c r="AB504" t="s">
        <v>2520</v>
      </c>
      <c r="AC504" t="s">
        <v>607</v>
      </c>
      <c r="AD504" t="s">
        <v>2171</v>
      </c>
      <c r="AE504" t="s">
        <v>2254</v>
      </c>
      <c r="AF504">
        <v>0.42300641880000006</v>
      </c>
    </row>
    <row r="505" spans="1:32" x14ac:dyDescent="0.25">
      <c r="A505" s="56">
        <v>3770393</v>
      </c>
      <c r="B505" s="56" t="s">
        <v>3820</v>
      </c>
      <c r="C505" s="56" t="s">
        <v>3824</v>
      </c>
      <c r="D505" s="57">
        <v>149.83500000000001</v>
      </c>
      <c r="E505" s="58">
        <v>1543</v>
      </c>
      <c r="F505" s="57">
        <v>1.5429999999999999</v>
      </c>
      <c r="G505" s="56" t="s">
        <v>392</v>
      </c>
      <c r="H505" s="56" t="s">
        <v>2511</v>
      </c>
      <c r="I505" s="56" t="s">
        <v>362</v>
      </c>
      <c r="J505" s="56" t="s">
        <v>3434</v>
      </c>
      <c r="K505" s="57">
        <v>909.52</v>
      </c>
      <c r="L505" s="56" t="s">
        <v>3823</v>
      </c>
      <c r="M505" s="56" t="s">
        <v>2537</v>
      </c>
      <c r="N505" s="56" t="s">
        <v>37</v>
      </c>
      <c r="O505" s="58">
        <v>53</v>
      </c>
      <c r="P505" s="59" t="s">
        <v>2532</v>
      </c>
      <c r="Q505" s="56" t="s">
        <v>11</v>
      </c>
      <c r="U505" s="52">
        <v>521118</v>
      </c>
      <c r="V505">
        <v>22.2</v>
      </c>
      <c r="W505">
        <v>0</v>
      </c>
      <c r="X505">
        <v>1.2</v>
      </c>
      <c r="Y505">
        <v>1.1619999999999999</v>
      </c>
      <c r="Z505" t="s">
        <v>1914</v>
      </c>
      <c r="AA505" t="s">
        <v>963</v>
      </c>
      <c r="AB505" t="s">
        <v>2520</v>
      </c>
      <c r="AC505" t="s">
        <v>607</v>
      </c>
      <c r="AD505" t="s">
        <v>2171</v>
      </c>
      <c r="AE505" t="s">
        <v>3825</v>
      </c>
      <c r="AF505">
        <v>0.72178187760000001</v>
      </c>
    </row>
    <row r="506" spans="1:32" x14ac:dyDescent="0.25">
      <c r="A506" s="56">
        <v>1930110</v>
      </c>
      <c r="B506" s="56" t="s">
        <v>1916</v>
      </c>
      <c r="C506" s="56" t="s">
        <v>3826</v>
      </c>
      <c r="D506" s="57">
        <v>98.929000000000002</v>
      </c>
      <c r="E506" s="58">
        <v>1422</v>
      </c>
      <c r="F506" s="57">
        <v>1.4219999999999999</v>
      </c>
      <c r="G506" s="56" t="s">
        <v>392</v>
      </c>
      <c r="H506" s="56" t="s">
        <v>2511</v>
      </c>
      <c r="I506" s="56" t="s">
        <v>362</v>
      </c>
      <c r="J506" s="56" t="s">
        <v>3827</v>
      </c>
      <c r="K506" s="57">
        <v>514.41600000000005</v>
      </c>
      <c r="L506" s="56" t="s">
        <v>1914</v>
      </c>
      <c r="M506" s="56" t="s">
        <v>1123</v>
      </c>
      <c r="N506" s="56" t="s">
        <v>24</v>
      </c>
      <c r="O506" s="58">
        <v>249</v>
      </c>
      <c r="P506" s="59" t="s">
        <v>2524</v>
      </c>
      <c r="Q506" s="56" t="s">
        <v>2516</v>
      </c>
      <c r="U506" s="52">
        <v>3781676</v>
      </c>
      <c r="V506">
        <v>22.2</v>
      </c>
      <c r="W506">
        <v>0</v>
      </c>
      <c r="X506">
        <v>1.2</v>
      </c>
      <c r="Y506">
        <v>1.1619999999999999</v>
      </c>
      <c r="Z506" t="s">
        <v>2821</v>
      </c>
      <c r="AA506" t="s">
        <v>963</v>
      </c>
      <c r="AB506" t="s">
        <v>2520</v>
      </c>
      <c r="AC506" t="s">
        <v>607</v>
      </c>
      <c r="AD506" t="s">
        <v>2171</v>
      </c>
      <c r="AE506" t="s">
        <v>933</v>
      </c>
      <c r="AF506">
        <v>0.72178187760000001</v>
      </c>
    </row>
    <row r="507" spans="1:32" x14ac:dyDescent="0.25">
      <c r="A507" s="56">
        <v>1930110</v>
      </c>
      <c r="B507" s="56" t="s">
        <v>1916</v>
      </c>
      <c r="C507" s="56" t="s">
        <v>3828</v>
      </c>
      <c r="D507" s="57">
        <v>8.9749999999999996</v>
      </c>
      <c r="E507" s="58">
        <v>129</v>
      </c>
      <c r="F507" s="57">
        <v>0.129</v>
      </c>
      <c r="G507" s="56" t="s">
        <v>392</v>
      </c>
      <c r="H507" s="56" t="s">
        <v>2511</v>
      </c>
      <c r="I507" s="56" t="s">
        <v>362</v>
      </c>
      <c r="J507" s="56" t="s">
        <v>2810</v>
      </c>
      <c r="K507" s="57">
        <v>46.665999999999997</v>
      </c>
      <c r="L507" s="56" t="s">
        <v>1914</v>
      </c>
      <c r="M507" s="56" t="s">
        <v>1123</v>
      </c>
      <c r="N507" s="56" t="s">
        <v>24</v>
      </c>
      <c r="O507" s="58">
        <v>152</v>
      </c>
      <c r="P507" s="59" t="s">
        <v>2524</v>
      </c>
      <c r="Q507" s="56" t="s">
        <v>2516</v>
      </c>
      <c r="U507" s="52">
        <v>3669081</v>
      </c>
      <c r="V507">
        <v>22.2</v>
      </c>
      <c r="W507">
        <v>0</v>
      </c>
      <c r="X507">
        <v>1.2</v>
      </c>
      <c r="Y507">
        <v>1.3</v>
      </c>
      <c r="Z507" t="s">
        <v>1891</v>
      </c>
      <c r="AA507" t="s">
        <v>963</v>
      </c>
      <c r="AB507" t="s">
        <v>2520</v>
      </c>
      <c r="AC507" t="s">
        <v>607</v>
      </c>
      <c r="AD507" t="s">
        <v>2171</v>
      </c>
      <c r="AE507" t="s">
        <v>3829</v>
      </c>
      <c r="AF507">
        <v>0.80750124000000001</v>
      </c>
    </row>
    <row r="508" spans="1:32" x14ac:dyDescent="0.25">
      <c r="A508" s="56">
        <v>1930110</v>
      </c>
      <c r="B508" s="56" t="s">
        <v>1916</v>
      </c>
      <c r="C508" s="56" t="s">
        <v>3830</v>
      </c>
      <c r="D508" s="57">
        <v>135.87</v>
      </c>
      <c r="E508" s="58">
        <v>1953</v>
      </c>
      <c r="F508" s="57">
        <v>1.9530000000000001</v>
      </c>
      <c r="G508" s="56" t="s">
        <v>392</v>
      </c>
      <c r="H508" s="56" t="s">
        <v>2511</v>
      </c>
      <c r="I508" s="56" t="s">
        <v>362</v>
      </c>
      <c r="J508" s="56" t="s">
        <v>2576</v>
      </c>
      <c r="K508" s="57">
        <v>706.50800000000004</v>
      </c>
      <c r="L508" s="56" t="s">
        <v>1914</v>
      </c>
      <c r="M508" s="56" t="s">
        <v>1123</v>
      </c>
      <c r="N508" s="56" t="s">
        <v>24</v>
      </c>
      <c r="O508" s="58">
        <v>20</v>
      </c>
      <c r="P508" s="59" t="s">
        <v>2515</v>
      </c>
      <c r="Q508" s="56" t="s">
        <v>2516</v>
      </c>
      <c r="U508" s="52">
        <v>3882110</v>
      </c>
      <c r="V508">
        <v>22.2</v>
      </c>
      <c r="W508">
        <v>0</v>
      </c>
      <c r="X508">
        <v>1.2</v>
      </c>
      <c r="Y508">
        <v>5.87</v>
      </c>
      <c r="Z508" t="s">
        <v>1914</v>
      </c>
      <c r="AA508" t="s">
        <v>963</v>
      </c>
      <c r="AB508" t="s">
        <v>2520</v>
      </c>
      <c r="AC508" t="s">
        <v>607</v>
      </c>
      <c r="AD508" t="s">
        <v>1838</v>
      </c>
      <c r="AE508" t="s">
        <v>2176</v>
      </c>
      <c r="AF508" t="e">
        <f>IF([4]!buckets[[#This Row],[LL or CTL]]="LL",(3.14*([4]!buckets[[#This Row],[OD]]-[4]!buckets[[#This Row],[Thickness]])*[4]!buckets[[#This Row],[Thickness]]*1000*7.85)/1000000,(3.14*([4]!buckets[[#This Row],[OD]]-[4]!buckets[[#This Row],[Thickness]])*[4]!buckets[[#This Row],[Thickness]]*[4]!buckets[[#This Row],[Length]]*1000*7.85)/1000000)</f>
        <v>#REF!</v>
      </c>
    </row>
    <row r="509" spans="1:32" x14ac:dyDescent="0.25">
      <c r="A509" s="56">
        <v>1931823</v>
      </c>
      <c r="B509" s="56" t="s">
        <v>1876</v>
      </c>
      <c r="C509" s="56" t="s">
        <v>3831</v>
      </c>
      <c r="D509" s="57">
        <v>203</v>
      </c>
      <c r="E509" s="57">
        <v>754.75400000000002</v>
      </c>
      <c r="F509" s="57">
        <v>0.75475400000000004</v>
      </c>
      <c r="G509" s="56" t="s">
        <v>392</v>
      </c>
      <c r="H509" s="56" t="s">
        <v>2511</v>
      </c>
      <c r="I509" s="56" t="s">
        <v>362</v>
      </c>
      <c r="J509" s="56" t="s">
        <v>3832</v>
      </c>
      <c r="K509" s="57">
        <v>1217.934</v>
      </c>
      <c r="L509" s="56" t="s">
        <v>1914</v>
      </c>
      <c r="M509" s="56" t="s">
        <v>1123</v>
      </c>
      <c r="N509" s="56" t="s">
        <v>17</v>
      </c>
      <c r="O509" s="58">
        <v>549</v>
      </c>
      <c r="P509" s="59" t="s">
        <v>2524</v>
      </c>
      <c r="Q509" s="56" t="s">
        <v>192</v>
      </c>
      <c r="U509" s="52">
        <v>3498972</v>
      </c>
      <c r="V509">
        <v>22.2</v>
      </c>
      <c r="W509">
        <v>0</v>
      </c>
      <c r="X509">
        <v>1.2</v>
      </c>
      <c r="Y509">
        <v>6</v>
      </c>
      <c r="Z509" t="s">
        <v>1914</v>
      </c>
      <c r="AA509" t="s">
        <v>963</v>
      </c>
      <c r="AB509" t="s">
        <v>2520</v>
      </c>
      <c r="AC509" t="s">
        <v>607</v>
      </c>
      <c r="AD509" t="s">
        <v>1838</v>
      </c>
      <c r="AE509" t="s">
        <v>2176</v>
      </c>
      <c r="AF509">
        <v>0.62115480000000001</v>
      </c>
    </row>
    <row r="510" spans="1:32" x14ac:dyDescent="0.25">
      <c r="A510" s="56">
        <v>2288945</v>
      </c>
      <c r="B510" s="56" t="s">
        <v>1241</v>
      </c>
      <c r="C510" s="56" t="s">
        <v>3833</v>
      </c>
      <c r="D510" s="57">
        <v>280.01499999999999</v>
      </c>
      <c r="E510" s="58">
        <v>730</v>
      </c>
      <c r="F510" s="57">
        <v>0.73</v>
      </c>
      <c r="G510" s="56" t="s">
        <v>392</v>
      </c>
      <c r="H510" s="56" t="s">
        <v>2511</v>
      </c>
      <c r="I510" s="56" t="s">
        <v>362</v>
      </c>
      <c r="J510" s="56" t="s">
        <v>2875</v>
      </c>
      <c r="K510" s="57">
        <v>1720.481</v>
      </c>
      <c r="L510" s="56" t="s">
        <v>1914</v>
      </c>
      <c r="M510" s="56" t="s">
        <v>1123</v>
      </c>
      <c r="N510" s="56" t="s">
        <v>151</v>
      </c>
      <c r="O510" s="58">
        <v>57</v>
      </c>
      <c r="P510" s="59" t="s">
        <v>2532</v>
      </c>
      <c r="Q510" s="56" t="s">
        <v>11</v>
      </c>
      <c r="U510" s="52">
        <v>3500906</v>
      </c>
      <c r="V510">
        <v>22.2</v>
      </c>
      <c r="W510">
        <v>0</v>
      </c>
      <c r="X510">
        <v>1.4</v>
      </c>
      <c r="Y510">
        <v>5.2</v>
      </c>
      <c r="Z510" t="s">
        <v>1914</v>
      </c>
      <c r="AA510" t="s">
        <v>963</v>
      </c>
      <c r="AB510" t="s">
        <v>2520</v>
      </c>
      <c r="AC510" t="s">
        <v>3834</v>
      </c>
      <c r="AD510" t="s">
        <v>1838</v>
      </c>
      <c r="AE510" t="s">
        <v>3835</v>
      </c>
      <c r="AF510">
        <v>0.71777888000000001</v>
      </c>
    </row>
    <row r="511" spans="1:32" x14ac:dyDescent="0.25">
      <c r="A511" s="56">
        <v>2288945</v>
      </c>
      <c r="B511" s="56" t="s">
        <v>1241</v>
      </c>
      <c r="C511" s="56" t="s">
        <v>3836</v>
      </c>
      <c r="D511" s="57">
        <v>303.79700000000003</v>
      </c>
      <c r="E511" s="58">
        <v>792</v>
      </c>
      <c r="F511" s="57">
        <v>0.79200000000000004</v>
      </c>
      <c r="G511" s="56" t="s">
        <v>392</v>
      </c>
      <c r="H511" s="56" t="s">
        <v>2511</v>
      </c>
      <c r="I511" s="56" t="s">
        <v>362</v>
      </c>
      <c r="J511" s="56" t="s">
        <v>3837</v>
      </c>
      <c r="K511" s="57">
        <v>1866.604</v>
      </c>
      <c r="L511" s="56" t="s">
        <v>1914</v>
      </c>
      <c r="M511" s="56" t="s">
        <v>1123</v>
      </c>
      <c r="N511" s="56" t="s">
        <v>151</v>
      </c>
      <c r="O511" s="58">
        <v>5</v>
      </c>
      <c r="P511" s="59" t="s">
        <v>2515</v>
      </c>
      <c r="Q511" s="56" t="s">
        <v>11</v>
      </c>
      <c r="U511" s="52">
        <v>3499662</v>
      </c>
      <c r="V511">
        <v>22.2</v>
      </c>
      <c r="W511">
        <v>0</v>
      </c>
      <c r="X511">
        <v>1.4</v>
      </c>
      <c r="Y511">
        <v>5.83</v>
      </c>
      <c r="Z511" t="s">
        <v>1914</v>
      </c>
      <c r="AA511" t="s">
        <v>963</v>
      </c>
      <c r="AB511" t="s">
        <v>2520</v>
      </c>
      <c r="AC511" t="s">
        <v>3838</v>
      </c>
      <c r="AD511" t="s">
        <v>1838</v>
      </c>
      <c r="AE511" t="s">
        <v>3839</v>
      </c>
      <c r="AF511">
        <v>0.71777888000000001</v>
      </c>
    </row>
    <row r="512" spans="1:32" x14ac:dyDescent="0.25">
      <c r="A512" s="56">
        <v>2288945</v>
      </c>
      <c r="B512" s="56" t="s">
        <v>1241</v>
      </c>
      <c r="C512" s="56" t="s">
        <v>3840</v>
      </c>
      <c r="D512" s="57">
        <v>634.44600000000003</v>
      </c>
      <c r="E512" s="58">
        <v>1654</v>
      </c>
      <c r="F512" s="57">
        <v>1.6539999999999999</v>
      </c>
      <c r="G512" s="56" t="s">
        <v>392</v>
      </c>
      <c r="H512" s="56" t="s">
        <v>2511</v>
      </c>
      <c r="I512" s="56" t="s">
        <v>362</v>
      </c>
      <c r="J512" s="56" t="s">
        <v>3492</v>
      </c>
      <c r="K512" s="57">
        <v>3898.1849999999999</v>
      </c>
      <c r="L512" s="56" t="s">
        <v>1914</v>
      </c>
      <c r="M512" s="56" t="s">
        <v>1123</v>
      </c>
      <c r="N512" s="56" t="s">
        <v>151</v>
      </c>
      <c r="O512" s="58">
        <v>12</v>
      </c>
      <c r="P512" s="59" t="s">
        <v>2515</v>
      </c>
      <c r="Q512" s="56" t="s">
        <v>11</v>
      </c>
      <c r="U512" s="52">
        <v>3829175</v>
      </c>
      <c r="V512">
        <v>22.2</v>
      </c>
      <c r="W512">
        <v>0</v>
      </c>
      <c r="X512">
        <v>1.4</v>
      </c>
      <c r="Y512">
        <v>6</v>
      </c>
      <c r="Z512" t="s">
        <v>1914</v>
      </c>
      <c r="AA512" t="s">
        <v>963</v>
      </c>
      <c r="AB512" t="s">
        <v>2520</v>
      </c>
      <c r="AC512" t="s">
        <v>3834</v>
      </c>
      <c r="AD512" t="s">
        <v>1838</v>
      </c>
      <c r="AE512" t="s">
        <v>3835</v>
      </c>
      <c r="AF512">
        <v>0.71777888000000001</v>
      </c>
    </row>
    <row r="513" spans="1:32" x14ac:dyDescent="0.25">
      <c r="A513" s="56">
        <v>2288945</v>
      </c>
      <c r="B513" s="56" t="s">
        <v>1241</v>
      </c>
      <c r="C513" s="56" t="s">
        <v>3841</v>
      </c>
      <c r="D513" s="57">
        <v>555.81100000000004</v>
      </c>
      <c r="E513" s="58">
        <v>1449</v>
      </c>
      <c r="F513" s="57">
        <v>1.4490000000000001</v>
      </c>
      <c r="G513" s="56" t="s">
        <v>392</v>
      </c>
      <c r="H513" s="56" t="s">
        <v>2511</v>
      </c>
      <c r="I513" s="56" t="s">
        <v>362</v>
      </c>
      <c r="J513" s="56" t="s">
        <v>3842</v>
      </c>
      <c r="K513" s="57">
        <v>3415.0369999999998</v>
      </c>
      <c r="L513" s="56" t="s">
        <v>1914</v>
      </c>
      <c r="M513" s="56" t="s">
        <v>1123</v>
      </c>
      <c r="N513" s="56" t="s">
        <v>151</v>
      </c>
      <c r="O513" s="58">
        <v>12</v>
      </c>
      <c r="P513" s="59" t="s">
        <v>2515</v>
      </c>
      <c r="Q513" s="56" t="s">
        <v>11</v>
      </c>
      <c r="U513" s="52">
        <v>355991</v>
      </c>
      <c r="V513">
        <v>22.2</v>
      </c>
      <c r="W513">
        <v>0</v>
      </c>
      <c r="X513">
        <v>1.6</v>
      </c>
      <c r="Y513">
        <v>0.28299999999999997</v>
      </c>
      <c r="Z513" t="s">
        <v>2821</v>
      </c>
      <c r="AA513" t="s">
        <v>963</v>
      </c>
      <c r="AB513" t="s">
        <v>2520</v>
      </c>
      <c r="AC513" t="s">
        <v>412</v>
      </c>
      <c r="AD513" t="s">
        <v>2171</v>
      </c>
      <c r="AE513" t="s">
        <v>3843</v>
      </c>
      <c r="AF513">
        <v>0.22991798431999999</v>
      </c>
    </row>
    <row r="514" spans="1:32" x14ac:dyDescent="0.25">
      <c r="A514" s="56">
        <v>2288945</v>
      </c>
      <c r="B514" s="56" t="s">
        <v>1241</v>
      </c>
      <c r="C514" s="56" t="s">
        <v>3844</v>
      </c>
      <c r="D514" s="57">
        <v>522.82299999999998</v>
      </c>
      <c r="E514" s="58">
        <v>1363</v>
      </c>
      <c r="F514" s="57">
        <v>1.363</v>
      </c>
      <c r="G514" s="56" t="s">
        <v>392</v>
      </c>
      <c r="H514" s="56" t="s">
        <v>2511</v>
      </c>
      <c r="I514" s="56" t="s">
        <v>362</v>
      </c>
      <c r="J514" s="56" t="s">
        <v>3845</v>
      </c>
      <c r="K514" s="57">
        <v>3212.35</v>
      </c>
      <c r="L514" s="56" t="s">
        <v>1914</v>
      </c>
      <c r="M514" s="56" t="s">
        <v>1123</v>
      </c>
      <c r="N514" s="56" t="s">
        <v>151</v>
      </c>
      <c r="O514" s="58">
        <v>11</v>
      </c>
      <c r="P514" s="59" t="s">
        <v>2515</v>
      </c>
      <c r="Q514" s="56" t="s">
        <v>11</v>
      </c>
      <c r="U514" s="52">
        <v>237644</v>
      </c>
      <c r="V514">
        <v>22.2</v>
      </c>
      <c r="W514">
        <v>0</v>
      </c>
      <c r="X514">
        <v>1.6</v>
      </c>
      <c r="Y514">
        <v>0.28499999999999998</v>
      </c>
      <c r="Z514" t="s">
        <v>2821</v>
      </c>
      <c r="AA514" t="s">
        <v>963</v>
      </c>
      <c r="AB514" t="s">
        <v>2520</v>
      </c>
      <c r="AC514" t="s">
        <v>412</v>
      </c>
      <c r="AD514" t="s">
        <v>2171</v>
      </c>
      <c r="AE514" t="s">
        <v>2240</v>
      </c>
      <c r="AF514">
        <v>0.23154284639999997</v>
      </c>
    </row>
    <row r="515" spans="1:32" x14ac:dyDescent="0.25">
      <c r="A515" s="56">
        <v>2288945</v>
      </c>
      <c r="B515" s="56" t="s">
        <v>1241</v>
      </c>
      <c r="C515" s="56" t="s">
        <v>3846</v>
      </c>
      <c r="D515" s="57">
        <v>336.786</v>
      </c>
      <c r="E515" s="58">
        <v>878</v>
      </c>
      <c r="F515" s="57">
        <v>0.878</v>
      </c>
      <c r="G515" s="56" t="s">
        <v>392</v>
      </c>
      <c r="H515" s="56" t="s">
        <v>2511</v>
      </c>
      <c r="I515" s="56" t="s">
        <v>362</v>
      </c>
      <c r="J515" s="56" t="s">
        <v>3847</v>
      </c>
      <c r="K515" s="57">
        <v>2069.2910000000002</v>
      </c>
      <c r="L515" s="56" t="s">
        <v>1914</v>
      </c>
      <c r="M515" s="56" t="s">
        <v>1123</v>
      </c>
      <c r="N515" s="56" t="s">
        <v>151</v>
      </c>
      <c r="O515" s="58">
        <v>12</v>
      </c>
      <c r="P515" s="59" t="s">
        <v>2515</v>
      </c>
      <c r="Q515" s="56" t="s">
        <v>11</v>
      </c>
      <c r="U515">
        <v>3781147</v>
      </c>
      <c r="V515">
        <v>22.2</v>
      </c>
      <c r="W515">
        <v>0</v>
      </c>
      <c r="X515">
        <v>1.6</v>
      </c>
      <c r="Y515">
        <v>0.28499999999999998</v>
      </c>
      <c r="Z515" t="s">
        <v>2821</v>
      </c>
      <c r="AA515" t="s">
        <v>963</v>
      </c>
      <c r="AB515" t="s">
        <v>2520</v>
      </c>
      <c r="AC515" t="s">
        <v>412</v>
      </c>
      <c r="AD515" t="s">
        <v>2171</v>
      </c>
      <c r="AE515" t="s">
        <v>2240</v>
      </c>
      <c r="AF515">
        <v>0.23154284639999997</v>
      </c>
    </row>
    <row r="516" spans="1:32" x14ac:dyDescent="0.25">
      <c r="A516" s="56">
        <v>2410960</v>
      </c>
      <c r="B516" s="56" t="s">
        <v>847</v>
      </c>
      <c r="C516" s="56" t="s">
        <v>3848</v>
      </c>
      <c r="D516" s="57">
        <v>66.41</v>
      </c>
      <c r="E516" s="58">
        <v>706</v>
      </c>
      <c r="F516" s="57">
        <v>0.70599999999999996</v>
      </c>
      <c r="G516" s="56" t="s">
        <v>392</v>
      </c>
      <c r="H516" s="56" t="s">
        <v>2511</v>
      </c>
      <c r="I516" s="56" t="s">
        <v>362</v>
      </c>
      <c r="J516" s="56" t="s">
        <v>3849</v>
      </c>
      <c r="K516" s="57">
        <v>298.83600000000001</v>
      </c>
      <c r="L516" s="56" t="s">
        <v>1914</v>
      </c>
      <c r="M516" s="56" t="s">
        <v>1123</v>
      </c>
      <c r="N516" s="56" t="s">
        <v>17</v>
      </c>
      <c r="O516" s="58">
        <v>77</v>
      </c>
      <c r="P516" s="59" t="s">
        <v>2579</v>
      </c>
      <c r="Q516" s="56" t="s">
        <v>192</v>
      </c>
      <c r="U516">
        <v>3506067</v>
      </c>
      <c r="V516">
        <v>22.2</v>
      </c>
      <c r="W516">
        <v>0</v>
      </c>
      <c r="X516">
        <v>1.6</v>
      </c>
      <c r="Y516">
        <v>0.28499999999999998</v>
      </c>
      <c r="Z516" t="s">
        <v>1914</v>
      </c>
      <c r="AA516" t="s">
        <v>963</v>
      </c>
      <c r="AB516" t="s">
        <v>2520</v>
      </c>
      <c r="AC516" t="s">
        <v>412</v>
      </c>
      <c r="AD516" t="s">
        <v>2171</v>
      </c>
      <c r="AE516" t="s">
        <v>2240</v>
      </c>
      <c r="AF516">
        <v>0.23154284639999997</v>
      </c>
    </row>
    <row r="517" spans="1:32" x14ac:dyDescent="0.25">
      <c r="A517" s="56">
        <v>2410994</v>
      </c>
      <c r="B517" s="56" t="s">
        <v>1949</v>
      </c>
      <c r="C517" s="56" t="s">
        <v>3850</v>
      </c>
      <c r="D517" s="57">
        <v>159.78</v>
      </c>
      <c r="E517" s="58">
        <v>1133</v>
      </c>
      <c r="F517" s="57">
        <v>1.133</v>
      </c>
      <c r="G517" s="56" t="s">
        <v>392</v>
      </c>
      <c r="H517" s="56" t="s">
        <v>2511</v>
      </c>
      <c r="I517" s="56" t="s">
        <v>362</v>
      </c>
      <c r="J517" s="56" t="s">
        <v>3851</v>
      </c>
      <c r="K517" s="57">
        <v>719</v>
      </c>
      <c r="L517" s="56" t="s">
        <v>1914</v>
      </c>
      <c r="M517" s="56" t="s">
        <v>1123</v>
      </c>
      <c r="N517" s="56" t="s">
        <v>151</v>
      </c>
      <c r="O517" s="58">
        <v>32</v>
      </c>
      <c r="P517" s="59" t="s">
        <v>2532</v>
      </c>
      <c r="Q517" s="56" t="s">
        <v>11</v>
      </c>
      <c r="U517" s="52">
        <v>256860</v>
      </c>
      <c r="V517">
        <v>22.2</v>
      </c>
      <c r="W517">
        <v>0</v>
      </c>
      <c r="X517">
        <v>1.6</v>
      </c>
      <c r="Y517">
        <v>0.36099999999999999</v>
      </c>
      <c r="Z517" t="s">
        <v>2821</v>
      </c>
      <c r="AA517" t="s">
        <v>963</v>
      </c>
      <c r="AB517" t="s">
        <v>2520</v>
      </c>
      <c r="AC517" t="s">
        <v>412</v>
      </c>
      <c r="AD517" t="s">
        <v>2171</v>
      </c>
      <c r="AE517" t="s">
        <v>3852</v>
      </c>
      <c r="AF517">
        <v>0.29328760543999999</v>
      </c>
    </row>
    <row r="518" spans="1:32" x14ac:dyDescent="0.25">
      <c r="A518" s="56">
        <v>2410994</v>
      </c>
      <c r="B518" s="56" t="s">
        <v>1949</v>
      </c>
      <c r="C518" s="56" t="s">
        <v>3853</v>
      </c>
      <c r="D518" s="57">
        <v>73.331999999999994</v>
      </c>
      <c r="E518" s="58">
        <v>520</v>
      </c>
      <c r="F518" s="57">
        <v>0.52</v>
      </c>
      <c r="G518" s="56" t="s">
        <v>392</v>
      </c>
      <c r="H518" s="56" t="s">
        <v>2511</v>
      </c>
      <c r="I518" s="56" t="s">
        <v>362</v>
      </c>
      <c r="J518" s="56" t="s">
        <v>3745</v>
      </c>
      <c r="K518" s="57">
        <v>329.99099999999999</v>
      </c>
      <c r="L518" s="56" t="s">
        <v>1914</v>
      </c>
      <c r="M518" s="56" t="s">
        <v>1123</v>
      </c>
      <c r="N518" s="56" t="s">
        <v>151</v>
      </c>
      <c r="O518" s="58">
        <v>5</v>
      </c>
      <c r="P518" s="59" t="s">
        <v>2515</v>
      </c>
      <c r="Q518" s="56" t="s">
        <v>11</v>
      </c>
      <c r="U518" s="52">
        <v>3747395</v>
      </c>
      <c r="V518">
        <v>22.2</v>
      </c>
      <c r="W518">
        <v>0</v>
      </c>
      <c r="X518">
        <v>1.6</v>
      </c>
      <c r="Y518">
        <v>0.36099999999999999</v>
      </c>
      <c r="Z518" t="s">
        <v>1952</v>
      </c>
      <c r="AA518" t="s">
        <v>963</v>
      </c>
      <c r="AB518" t="s">
        <v>2520</v>
      </c>
      <c r="AC518" t="s">
        <v>412</v>
      </c>
      <c r="AD518" t="s">
        <v>2171</v>
      </c>
      <c r="AE518" t="s">
        <v>3852</v>
      </c>
      <c r="AF518">
        <v>0.29328760543999999</v>
      </c>
    </row>
    <row r="519" spans="1:32" x14ac:dyDescent="0.25">
      <c r="A519" s="56">
        <v>2410994</v>
      </c>
      <c r="B519" s="56" t="s">
        <v>1949</v>
      </c>
      <c r="C519" s="56" t="s">
        <v>3854</v>
      </c>
      <c r="D519" s="57">
        <v>55.280999999999999</v>
      </c>
      <c r="E519" s="58">
        <v>392</v>
      </c>
      <c r="F519" s="57">
        <v>0.39200000000000002</v>
      </c>
      <c r="G519" s="56" t="s">
        <v>392</v>
      </c>
      <c r="H519" s="56" t="s">
        <v>2511</v>
      </c>
      <c r="I519" s="56" t="s">
        <v>362</v>
      </c>
      <c r="J519" s="56" t="s">
        <v>3855</v>
      </c>
      <c r="K519" s="57">
        <v>248.76300000000001</v>
      </c>
      <c r="L519" s="56" t="s">
        <v>1914</v>
      </c>
      <c r="M519" s="56" t="s">
        <v>1123</v>
      </c>
      <c r="N519" s="56" t="s">
        <v>151</v>
      </c>
      <c r="O519" s="58">
        <v>5</v>
      </c>
      <c r="P519" s="59" t="s">
        <v>2515</v>
      </c>
      <c r="Q519" s="56" t="s">
        <v>11</v>
      </c>
      <c r="U519" s="52">
        <v>292334</v>
      </c>
      <c r="V519">
        <v>22.2</v>
      </c>
      <c r="W519">
        <v>0</v>
      </c>
      <c r="X519">
        <v>1.6</v>
      </c>
      <c r="Y519">
        <v>0.39400000000000002</v>
      </c>
      <c r="Z519" t="s">
        <v>3450</v>
      </c>
      <c r="AA519" t="s">
        <v>963</v>
      </c>
      <c r="AB519" t="s">
        <v>2520</v>
      </c>
      <c r="AC519" t="s">
        <v>412</v>
      </c>
      <c r="AD519" t="s">
        <v>2171</v>
      </c>
      <c r="AE519" t="s">
        <v>2262</v>
      </c>
      <c r="AF519">
        <v>0.32009782976000001</v>
      </c>
    </row>
    <row r="520" spans="1:32" x14ac:dyDescent="0.25">
      <c r="A520" s="56">
        <v>2410994</v>
      </c>
      <c r="B520" s="56" t="s">
        <v>1949</v>
      </c>
      <c r="C520" s="56" t="s">
        <v>3856</v>
      </c>
      <c r="D520" s="57">
        <v>7.7560000000000002</v>
      </c>
      <c r="E520" s="58">
        <v>55</v>
      </c>
      <c r="F520" s="57">
        <v>5.5E-2</v>
      </c>
      <c r="G520" s="56" t="s">
        <v>392</v>
      </c>
      <c r="H520" s="56" t="s">
        <v>2511</v>
      </c>
      <c r="I520" s="56" t="s">
        <v>362</v>
      </c>
      <c r="J520" s="56" t="s">
        <v>3091</v>
      </c>
      <c r="K520" s="57">
        <v>34.902999999999999</v>
      </c>
      <c r="L520" s="56" t="s">
        <v>1914</v>
      </c>
      <c r="M520" s="56" t="s">
        <v>1123</v>
      </c>
      <c r="N520" s="56" t="s">
        <v>151</v>
      </c>
      <c r="O520" s="58">
        <v>5</v>
      </c>
      <c r="P520" s="59" t="s">
        <v>2515</v>
      </c>
      <c r="Q520" s="56" t="s">
        <v>11</v>
      </c>
      <c r="U520">
        <v>3781598</v>
      </c>
      <c r="V520">
        <v>22.2</v>
      </c>
      <c r="W520">
        <v>0</v>
      </c>
      <c r="X520">
        <v>1.6</v>
      </c>
      <c r="Y520">
        <v>0.39400000000000002</v>
      </c>
      <c r="Z520" t="s">
        <v>3450</v>
      </c>
      <c r="AA520" t="s">
        <v>963</v>
      </c>
      <c r="AB520" t="s">
        <v>2520</v>
      </c>
      <c r="AC520" t="s">
        <v>412</v>
      </c>
      <c r="AD520" t="s">
        <v>2171</v>
      </c>
      <c r="AE520" t="s">
        <v>2262</v>
      </c>
      <c r="AF520">
        <v>0.32009782976000001</v>
      </c>
    </row>
    <row r="521" spans="1:32" x14ac:dyDescent="0.25">
      <c r="A521" s="56">
        <v>2410996</v>
      </c>
      <c r="B521" s="56" t="s">
        <v>1230</v>
      </c>
      <c r="C521" s="56" t="s">
        <v>3857</v>
      </c>
      <c r="D521" s="57">
        <v>76.444000000000003</v>
      </c>
      <c r="E521" s="58">
        <v>307</v>
      </c>
      <c r="F521" s="57">
        <v>0.307</v>
      </c>
      <c r="G521" s="56" t="s">
        <v>392</v>
      </c>
      <c r="H521" s="56" t="s">
        <v>2511</v>
      </c>
      <c r="I521" s="56" t="s">
        <v>362</v>
      </c>
      <c r="J521" s="56" t="s">
        <v>3805</v>
      </c>
      <c r="K521" s="57">
        <v>343.93900000000002</v>
      </c>
      <c r="L521" s="56" t="s">
        <v>1914</v>
      </c>
      <c r="M521" s="56" t="s">
        <v>1123</v>
      </c>
      <c r="N521" s="56" t="s">
        <v>48</v>
      </c>
      <c r="O521" s="58">
        <v>47</v>
      </c>
      <c r="P521" s="59" t="s">
        <v>2532</v>
      </c>
      <c r="Q521" s="56" t="s">
        <v>11</v>
      </c>
      <c r="U521" s="52">
        <v>508985</v>
      </c>
      <c r="V521">
        <v>22.2</v>
      </c>
      <c r="W521">
        <v>0</v>
      </c>
      <c r="X521">
        <v>1.6</v>
      </c>
      <c r="Y521">
        <v>0.40100000000000002</v>
      </c>
      <c r="Z521" t="s">
        <v>1914</v>
      </c>
      <c r="AA521" t="s">
        <v>963</v>
      </c>
      <c r="AB521" t="s">
        <v>2520</v>
      </c>
      <c r="AC521" t="s">
        <v>412</v>
      </c>
      <c r="AD521" t="s">
        <v>2171</v>
      </c>
      <c r="AE521" t="s">
        <v>599</v>
      </c>
      <c r="AF521">
        <v>0.32578484703999999</v>
      </c>
    </row>
    <row r="522" spans="1:32" x14ac:dyDescent="0.25">
      <c r="A522" s="56">
        <v>2410996</v>
      </c>
      <c r="B522" s="56" t="s">
        <v>1230</v>
      </c>
      <c r="C522" s="56" t="s">
        <v>3858</v>
      </c>
      <c r="D522" s="57">
        <v>58.515999999999998</v>
      </c>
      <c r="E522" s="58">
        <v>235</v>
      </c>
      <c r="F522" s="57">
        <v>0.23499999999999999</v>
      </c>
      <c r="G522" s="56" t="s">
        <v>392</v>
      </c>
      <c r="H522" s="56" t="s">
        <v>2511</v>
      </c>
      <c r="I522" s="56" t="s">
        <v>362</v>
      </c>
      <c r="J522" s="56" t="s">
        <v>3855</v>
      </c>
      <c r="K522" s="57">
        <v>263.27600000000001</v>
      </c>
      <c r="L522" s="56" t="s">
        <v>1914</v>
      </c>
      <c r="M522" s="56" t="s">
        <v>1123</v>
      </c>
      <c r="N522" s="56" t="s">
        <v>48</v>
      </c>
      <c r="O522" s="58">
        <v>47</v>
      </c>
      <c r="P522" s="59" t="s">
        <v>2532</v>
      </c>
      <c r="Q522" s="56" t="s">
        <v>11</v>
      </c>
      <c r="U522">
        <v>3781670</v>
      </c>
      <c r="V522">
        <v>22.2</v>
      </c>
      <c r="W522">
        <v>0</v>
      </c>
      <c r="X522">
        <v>1.6</v>
      </c>
      <c r="Y522">
        <v>0.40100000000000002</v>
      </c>
      <c r="Z522" t="s">
        <v>2821</v>
      </c>
      <c r="AA522" t="s">
        <v>963</v>
      </c>
      <c r="AB522" t="s">
        <v>2520</v>
      </c>
      <c r="AC522" t="s">
        <v>412</v>
      </c>
      <c r="AD522" t="s">
        <v>2171</v>
      </c>
      <c r="AE522" t="s">
        <v>599</v>
      </c>
      <c r="AF522">
        <v>0.32578484703999999</v>
      </c>
    </row>
    <row r="523" spans="1:32" x14ac:dyDescent="0.25">
      <c r="A523" s="56">
        <v>2410996</v>
      </c>
      <c r="B523" s="56" t="s">
        <v>1230</v>
      </c>
      <c r="C523" s="56" t="s">
        <v>3859</v>
      </c>
      <c r="D523" s="57">
        <v>24.9</v>
      </c>
      <c r="E523" s="58">
        <v>100</v>
      </c>
      <c r="F523" s="57">
        <v>0.1</v>
      </c>
      <c r="G523" s="56" t="s">
        <v>392</v>
      </c>
      <c r="H523" s="56" t="s">
        <v>2511</v>
      </c>
      <c r="I523" s="56" t="s">
        <v>362</v>
      </c>
      <c r="J523" s="56" t="s">
        <v>2161</v>
      </c>
      <c r="K523" s="57">
        <v>112.032</v>
      </c>
      <c r="L523" s="56" t="s">
        <v>1914</v>
      </c>
      <c r="M523" s="56" t="s">
        <v>1123</v>
      </c>
      <c r="N523" s="56" t="s">
        <v>48</v>
      </c>
      <c r="O523" s="58">
        <v>47</v>
      </c>
      <c r="P523" s="59" t="s">
        <v>2532</v>
      </c>
      <c r="Q523" s="56" t="s">
        <v>11</v>
      </c>
      <c r="U523" s="52">
        <v>3214089</v>
      </c>
      <c r="V523">
        <v>22.2</v>
      </c>
      <c r="W523">
        <v>0</v>
      </c>
      <c r="X523">
        <v>1.6</v>
      </c>
      <c r="Y523">
        <v>0.56999999999999995</v>
      </c>
      <c r="Z523" t="s">
        <v>1952</v>
      </c>
      <c r="AA523" t="s">
        <v>963</v>
      </c>
      <c r="AB523" t="s">
        <v>2520</v>
      </c>
      <c r="AC523" t="s">
        <v>412</v>
      </c>
      <c r="AD523" t="s">
        <v>2171</v>
      </c>
      <c r="AE523" t="s">
        <v>3860</v>
      </c>
      <c r="AF523">
        <v>0.46308569279999995</v>
      </c>
    </row>
    <row r="524" spans="1:32" x14ac:dyDescent="0.25">
      <c r="A524" s="56">
        <v>2410996</v>
      </c>
      <c r="B524" s="56" t="s">
        <v>1230</v>
      </c>
      <c r="C524" s="56" t="s">
        <v>3861</v>
      </c>
      <c r="D524" s="57">
        <v>152.88800000000001</v>
      </c>
      <c r="E524" s="58">
        <v>614</v>
      </c>
      <c r="F524" s="57">
        <v>0.61399999999999999</v>
      </c>
      <c r="G524" s="56" t="s">
        <v>392</v>
      </c>
      <c r="H524" s="56" t="s">
        <v>2511</v>
      </c>
      <c r="I524" s="56" t="s">
        <v>362</v>
      </c>
      <c r="J524" s="56" t="s">
        <v>3862</v>
      </c>
      <c r="K524" s="57">
        <v>687.87800000000004</v>
      </c>
      <c r="L524" s="56" t="s">
        <v>1914</v>
      </c>
      <c r="M524" s="56" t="s">
        <v>1123</v>
      </c>
      <c r="N524" s="56" t="s">
        <v>48</v>
      </c>
      <c r="O524" s="58">
        <v>43</v>
      </c>
      <c r="P524" s="59" t="s">
        <v>2532</v>
      </c>
      <c r="Q524" s="56" t="s">
        <v>11</v>
      </c>
      <c r="U524" s="52">
        <v>3556680</v>
      </c>
      <c r="V524">
        <v>22.2</v>
      </c>
      <c r="W524">
        <v>0</v>
      </c>
      <c r="X524">
        <v>1.6</v>
      </c>
      <c r="Y524">
        <v>0.64</v>
      </c>
      <c r="Z524" t="s">
        <v>1891</v>
      </c>
      <c r="AA524" t="s">
        <v>963</v>
      </c>
      <c r="AB524" t="s">
        <v>2520</v>
      </c>
      <c r="AC524" t="s">
        <v>412</v>
      </c>
      <c r="AD524" t="s">
        <v>2171</v>
      </c>
      <c r="AE524" t="s">
        <v>601</v>
      </c>
      <c r="AF524">
        <v>0.51995586559999996</v>
      </c>
    </row>
    <row r="525" spans="1:32" x14ac:dyDescent="0.25">
      <c r="A525" s="56">
        <v>2410996</v>
      </c>
      <c r="B525" s="56" t="s">
        <v>1230</v>
      </c>
      <c r="C525" s="56" t="s">
        <v>3863</v>
      </c>
      <c r="D525" s="57">
        <v>157.869</v>
      </c>
      <c r="E525" s="58">
        <v>634</v>
      </c>
      <c r="F525" s="57">
        <v>0.63400000000000001</v>
      </c>
      <c r="G525" s="56" t="s">
        <v>392</v>
      </c>
      <c r="H525" s="56" t="s">
        <v>2511</v>
      </c>
      <c r="I525" s="56" t="s">
        <v>362</v>
      </c>
      <c r="J525" s="56" t="s">
        <v>3862</v>
      </c>
      <c r="K525" s="57">
        <v>710.28499999999997</v>
      </c>
      <c r="L525" s="56" t="s">
        <v>1914</v>
      </c>
      <c r="M525" s="56" t="s">
        <v>1123</v>
      </c>
      <c r="N525" s="56" t="s">
        <v>48</v>
      </c>
      <c r="O525" s="58">
        <v>43</v>
      </c>
      <c r="P525" s="59" t="s">
        <v>2532</v>
      </c>
      <c r="Q525" s="56" t="s">
        <v>11</v>
      </c>
      <c r="U525" s="52">
        <v>1448372</v>
      </c>
      <c r="V525">
        <v>22.2</v>
      </c>
      <c r="W525">
        <v>0</v>
      </c>
      <c r="X525">
        <v>1.6</v>
      </c>
      <c r="Y525">
        <v>0.67</v>
      </c>
      <c r="Z525" t="s">
        <v>1914</v>
      </c>
      <c r="AA525" t="s">
        <v>963</v>
      </c>
      <c r="AB525" t="s">
        <v>2520</v>
      </c>
      <c r="AC525" t="s">
        <v>412</v>
      </c>
      <c r="AD525" t="s">
        <v>2171</v>
      </c>
      <c r="AE525" t="s">
        <v>2247</v>
      </c>
      <c r="AF525">
        <v>0.54432879680000001</v>
      </c>
    </row>
    <row r="526" spans="1:32" x14ac:dyDescent="0.25">
      <c r="A526" s="56">
        <v>2410996</v>
      </c>
      <c r="B526" s="56" t="s">
        <v>1230</v>
      </c>
      <c r="C526" s="56" t="s">
        <v>3864</v>
      </c>
      <c r="D526" s="57">
        <v>22.908000000000001</v>
      </c>
      <c r="E526" s="58">
        <v>92</v>
      </c>
      <c r="F526" s="57">
        <v>9.1999999999999998E-2</v>
      </c>
      <c r="G526" s="56" t="s">
        <v>392</v>
      </c>
      <c r="H526" s="56" t="s">
        <v>2511</v>
      </c>
      <c r="I526" s="56" t="s">
        <v>362</v>
      </c>
      <c r="J526" s="56" t="s">
        <v>2159</v>
      </c>
      <c r="K526" s="57">
        <v>103.07</v>
      </c>
      <c r="L526" s="56" t="s">
        <v>1914</v>
      </c>
      <c r="M526" s="56" t="s">
        <v>1123</v>
      </c>
      <c r="N526" s="56" t="s">
        <v>48</v>
      </c>
      <c r="O526" s="58">
        <v>43</v>
      </c>
      <c r="P526" s="59" t="s">
        <v>2532</v>
      </c>
      <c r="Q526" s="56" t="s">
        <v>11</v>
      </c>
      <c r="U526" s="52">
        <v>3509031</v>
      </c>
      <c r="V526">
        <v>22.2</v>
      </c>
      <c r="W526">
        <v>0</v>
      </c>
      <c r="X526">
        <v>1.6</v>
      </c>
      <c r="Y526">
        <v>0.67</v>
      </c>
      <c r="Z526" t="s">
        <v>1914</v>
      </c>
      <c r="AA526" t="s">
        <v>963</v>
      </c>
      <c r="AB526" t="s">
        <v>2520</v>
      </c>
      <c r="AC526" t="s">
        <v>412</v>
      </c>
      <c r="AD526" t="s">
        <v>2171</v>
      </c>
      <c r="AE526" t="s">
        <v>2247</v>
      </c>
      <c r="AF526">
        <v>0.54432879680000001</v>
      </c>
    </row>
    <row r="527" spans="1:32" x14ac:dyDescent="0.25">
      <c r="A527" s="56">
        <v>2410996</v>
      </c>
      <c r="B527" s="56" t="s">
        <v>1230</v>
      </c>
      <c r="C527" s="56" t="s">
        <v>3865</v>
      </c>
      <c r="D527" s="57">
        <v>359.81099999999998</v>
      </c>
      <c r="E527" s="58">
        <v>1445</v>
      </c>
      <c r="F527" s="57">
        <v>1.4450000000000001</v>
      </c>
      <c r="G527" s="56" t="s">
        <v>392</v>
      </c>
      <c r="H527" s="56" t="s">
        <v>2511</v>
      </c>
      <c r="I527" s="56" t="s">
        <v>362</v>
      </c>
      <c r="J527" s="56" t="s">
        <v>3055</v>
      </c>
      <c r="K527" s="57">
        <v>1618.866</v>
      </c>
      <c r="L527" s="56" t="s">
        <v>1914</v>
      </c>
      <c r="M527" s="56" t="s">
        <v>1123</v>
      </c>
      <c r="N527" s="56" t="s">
        <v>48</v>
      </c>
      <c r="O527" s="58">
        <v>45</v>
      </c>
      <c r="P527" s="59" t="s">
        <v>2532</v>
      </c>
      <c r="Q527" s="56" t="s">
        <v>11</v>
      </c>
      <c r="U527" s="52">
        <v>1399344</v>
      </c>
      <c r="V527">
        <v>22.2</v>
      </c>
      <c r="W527">
        <v>0</v>
      </c>
      <c r="X527">
        <v>1.6</v>
      </c>
      <c r="Y527">
        <v>0.67500000000000004</v>
      </c>
      <c r="Z527" t="s">
        <v>1914</v>
      </c>
      <c r="AA527" t="s">
        <v>963</v>
      </c>
      <c r="AB527" t="s">
        <v>2520</v>
      </c>
      <c r="AC527" t="s">
        <v>412</v>
      </c>
      <c r="AD527" t="s">
        <v>2171</v>
      </c>
      <c r="AE527" t="s">
        <v>3866</v>
      </c>
      <c r="AF527">
        <v>0.54839095199999999</v>
      </c>
    </row>
    <row r="528" spans="1:32" x14ac:dyDescent="0.25">
      <c r="A528" s="56">
        <v>2410996</v>
      </c>
      <c r="B528" s="56" t="s">
        <v>1230</v>
      </c>
      <c r="C528" s="56" t="s">
        <v>3867</v>
      </c>
      <c r="D528" s="57">
        <v>175.797</v>
      </c>
      <c r="E528" s="58">
        <v>706</v>
      </c>
      <c r="F528" s="57">
        <v>0.70599999999999996</v>
      </c>
      <c r="G528" s="56" t="s">
        <v>392</v>
      </c>
      <c r="H528" s="56" t="s">
        <v>2511</v>
      </c>
      <c r="I528" s="56" t="s">
        <v>362</v>
      </c>
      <c r="J528" s="56" t="s">
        <v>3868</v>
      </c>
      <c r="K528" s="57">
        <v>790.94799999999998</v>
      </c>
      <c r="L528" s="56" t="s">
        <v>1914</v>
      </c>
      <c r="M528" s="56" t="s">
        <v>1123</v>
      </c>
      <c r="N528" s="56" t="s">
        <v>48</v>
      </c>
      <c r="O528" s="58">
        <v>44</v>
      </c>
      <c r="P528" s="59" t="s">
        <v>2532</v>
      </c>
      <c r="Q528" s="56" t="s">
        <v>11</v>
      </c>
      <c r="U528" s="52">
        <v>292333</v>
      </c>
      <c r="V528">
        <v>22.2</v>
      </c>
      <c r="W528">
        <v>0</v>
      </c>
      <c r="X528">
        <v>1.6</v>
      </c>
      <c r="Y528">
        <v>0.80900000000000005</v>
      </c>
      <c r="Z528" t="s">
        <v>3450</v>
      </c>
      <c r="AA528" t="s">
        <v>963</v>
      </c>
      <c r="AB528" t="s">
        <v>2520</v>
      </c>
      <c r="AC528" t="s">
        <v>412</v>
      </c>
      <c r="AD528" t="s">
        <v>2171</v>
      </c>
      <c r="AE528" t="s">
        <v>3869</v>
      </c>
      <c r="AF528">
        <v>0.65725671136000008</v>
      </c>
    </row>
    <row r="529" spans="1:32" x14ac:dyDescent="0.25">
      <c r="A529" s="56">
        <v>2410996</v>
      </c>
      <c r="B529" s="56" t="s">
        <v>1230</v>
      </c>
      <c r="C529" s="56" t="s">
        <v>3870</v>
      </c>
      <c r="D529" s="57">
        <v>159.86099999999999</v>
      </c>
      <c r="E529" s="58">
        <v>642</v>
      </c>
      <c r="F529" s="57">
        <v>0.64200000000000002</v>
      </c>
      <c r="G529" s="56" t="s">
        <v>392</v>
      </c>
      <c r="H529" s="56" t="s">
        <v>2511</v>
      </c>
      <c r="I529" s="56" t="s">
        <v>362</v>
      </c>
      <c r="J529" s="56" t="s">
        <v>3862</v>
      </c>
      <c r="K529" s="57">
        <v>719.24699999999996</v>
      </c>
      <c r="L529" s="56" t="s">
        <v>1914</v>
      </c>
      <c r="M529" s="56" t="s">
        <v>1123</v>
      </c>
      <c r="N529" s="56" t="s">
        <v>48</v>
      </c>
      <c r="O529" s="58">
        <v>44</v>
      </c>
      <c r="P529" s="59" t="s">
        <v>2532</v>
      </c>
      <c r="Q529" s="56" t="s">
        <v>11</v>
      </c>
      <c r="U529" s="52">
        <v>3781597</v>
      </c>
      <c r="V529">
        <v>22.2</v>
      </c>
      <c r="W529">
        <v>0</v>
      </c>
      <c r="X529">
        <v>1.6</v>
      </c>
      <c r="Y529">
        <v>0.80900000000000005</v>
      </c>
      <c r="Z529" t="s">
        <v>3450</v>
      </c>
      <c r="AA529" t="s">
        <v>963</v>
      </c>
      <c r="AB529" t="s">
        <v>2520</v>
      </c>
      <c r="AC529" t="s">
        <v>412</v>
      </c>
      <c r="AD529" t="s">
        <v>2171</v>
      </c>
      <c r="AE529" t="s">
        <v>3869</v>
      </c>
      <c r="AF529">
        <v>0.65725671136000008</v>
      </c>
    </row>
    <row r="530" spans="1:32" x14ac:dyDescent="0.25">
      <c r="A530" s="56">
        <v>2410996</v>
      </c>
      <c r="B530" s="56" t="s">
        <v>1230</v>
      </c>
      <c r="C530" s="56" t="s">
        <v>3871</v>
      </c>
      <c r="D530" s="57">
        <v>16.683</v>
      </c>
      <c r="E530" s="58">
        <v>67</v>
      </c>
      <c r="F530" s="57">
        <v>6.7000000000000004E-2</v>
      </c>
      <c r="G530" s="56" t="s">
        <v>392</v>
      </c>
      <c r="H530" s="56" t="s">
        <v>2511</v>
      </c>
      <c r="I530" s="56" t="s">
        <v>362</v>
      </c>
      <c r="J530" s="56" t="s">
        <v>2990</v>
      </c>
      <c r="K530" s="57">
        <v>75.061999999999998</v>
      </c>
      <c r="L530" s="56" t="s">
        <v>1914</v>
      </c>
      <c r="M530" s="56" t="s">
        <v>1123</v>
      </c>
      <c r="N530" s="56" t="s">
        <v>48</v>
      </c>
      <c r="O530" s="58">
        <v>44</v>
      </c>
      <c r="P530" s="59" t="s">
        <v>2532</v>
      </c>
      <c r="Q530" s="56" t="s">
        <v>11</v>
      </c>
      <c r="U530" s="52">
        <v>1254735</v>
      </c>
      <c r="V530">
        <v>22.2</v>
      </c>
      <c r="W530">
        <v>0</v>
      </c>
      <c r="X530">
        <v>1.6</v>
      </c>
      <c r="Y530">
        <v>0.96699999999999997</v>
      </c>
      <c r="Z530" t="s">
        <v>1914</v>
      </c>
      <c r="AA530" t="s">
        <v>963</v>
      </c>
      <c r="AB530" t="s">
        <v>2520</v>
      </c>
      <c r="AC530" t="s">
        <v>412</v>
      </c>
      <c r="AD530" t="s">
        <v>2171</v>
      </c>
      <c r="AE530" t="s">
        <v>3872</v>
      </c>
      <c r="AF530">
        <v>0.78562081567999997</v>
      </c>
    </row>
    <row r="531" spans="1:32" x14ac:dyDescent="0.25">
      <c r="A531" s="56">
        <v>2410996</v>
      </c>
      <c r="B531" s="56" t="s">
        <v>1230</v>
      </c>
      <c r="C531" s="56" t="s">
        <v>3873</v>
      </c>
      <c r="D531" s="57">
        <v>175.797</v>
      </c>
      <c r="E531" s="58">
        <v>706</v>
      </c>
      <c r="F531" s="57">
        <v>0.70599999999999996</v>
      </c>
      <c r="G531" s="56" t="s">
        <v>392</v>
      </c>
      <c r="H531" s="56" t="s">
        <v>2511</v>
      </c>
      <c r="I531" s="56" t="s">
        <v>362</v>
      </c>
      <c r="J531" s="56" t="s">
        <v>3868</v>
      </c>
      <c r="K531" s="57">
        <v>790.94799999999998</v>
      </c>
      <c r="L531" s="56" t="s">
        <v>1914</v>
      </c>
      <c r="M531" s="56" t="s">
        <v>1123</v>
      </c>
      <c r="N531" s="56" t="s">
        <v>48</v>
      </c>
      <c r="O531" s="58">
        <v>39</v>
      </c>
      <c r="P531" s="59" t="s">
        <v>2532</v>
      </c>
      <c r="Q531" s="56" t="s">
        <v>11</v>
      </c>
      <c r="U531" s="52">
        <v>3507486</v>
      </c>
      <c r="V531">
        <v>22.2</v>
      </c>
      <c r="W531">
        <v>0</v>
      </c>
      <c r="X531">
        <v>1.6</v>
      </c>
      <c r="Y531">
        <v>0.96699999999999997</v>
      </c>
      <c r="Z531" t="s">
        <v>1914</v>
      </c>
      <c r="AA531" t="s">
        <v>963</v>
      </c>
      <c r="AB531" t="s">
        <v>2520</v>
      </c>
      <c r="AC531" t="s">
        <v>412</v>
      </c>
      <c r="AD531" t="s">
        <v>2171</v>
      </c>
      <c r="AE531" t="s">
        <v>3872</v>
      </c>
      <c r="AF531">
        <v>0.78562081567999997</v>
      </c>
    </row>
    <row r="532" spans="1:32" x14ac:dyDescent="0.25">
      <c r="A532" s="56">
        <v>2410996</v>
      </c>
      <c r="B532" s="56" t="s">
        <v>1230</v>
      </c>
      <c r="C532" s="56" t="s">
        <v>3874</v>
      </c>
      <c r="D532" s="57">
        <v>159.114</v>
      </c>
      <c r="E532" s="58">
        <v>639</v>
      </c>
      <c r="F532" s="57">
        <v>0.63900000000000001</v>
      </c>
      <c r="G532" s="56" t="s">
        <v>392</v>
      </c>
      <c r="H532" s="56" t="s">
        <v>2511</v>
      </c>
      <c r="I532" s="56" t="s">
        <v>362</v>
      </c>
      <c r="J532" s="56" t="s">
        <v>3862</v>
      </c>
      <c r="K532" s="57">
        <v>715.88599999999997</v>
      </c>
      <c r="L532" s="56" t="s">
        <v>1914</v>
      </c>
      <c r="M532" s="56" t="s">
        <v>1123</v>
      </c>
      <c r="N532" s="56" t="s">
        <v>48</v>
      </c>
      <c r="O532" s="58">
        <v>39</v>
      </c>
      <c r="P532" s="59" t="s">
        <v>2532</v>
      </c>
      <c r="Q532" s="56" t="s">
        <v>11</v>
      </c>
      <c r="U532" s="52">
        <v>420528</v>
      </c>
      <c r="V532">
        <v>22.2</v>
      </c>
      <c r="W532">
        <v>0</v>
      </c>
      <c r="X532">
        <v>1.6</v>
      </c>
      <c r="Y532">
        <v>1.175</v>
      </c>
      <c r="Z532" t="s">
        <v>3450</v>
      </c>
      <c r="AA532" t="s">
        <v>963</v>
      </c>
      <c r="AB532" t="s">
        <v>2520</v>
      </c>
      <c r="AC532" t="s">
        <v>412</v>
      </c>
      <c r="AD532" t="s">
        <v>2171</v>
      </c>
      <c r="AE532" t="s">
        <v>731</v>
      </c>
      <c r="AF532">
        <v>0.95460647200000004</v>
      </c>
    </row>
    <row r="533" spans="1:32" x14ac:dyDescent="0.25">
      <c r="A533" s="56">
        <v>2410996</v>
      </c>
      <c r="B533" s="56" t="s">
        <v>1230</v>
      </c>
      <c r="C533" s="56" t="s">
        <v>3875</v>
      </c>
      <c r="D533" s="57">
        <v>17.678999999999998</v>
      </c>
      <c r="E533" s="58">
        <v>71</v>
      </c>
      <c r="F533" s="57">
        <v>7.0999999999999994E-2</v>
      </c>
      <c r="G533" s="56" t="s">
        <v>392</v>
      </c>
      <c r="H533" s="56" t="s">
        <v>2511</v>
      </c>
      <c r="I533" s="56" t="s">
        <v>362</v>
      </c>
      <c r="J533" s="56" t="s">
        <v>2584</v>
      </c>
      <c r="K533" s="57">
        <v>79.543000000000006</v>
      </c>
      <c r="L533" s="56" t="s">
        <v>1914</v>
      </c>
      <c r="M533" s="56" t="s">
        <v>1123</v>
      </c>
      <c r="N533" s="56" t="s">
        <v>48</v>
      </c>
      <c r="O533" s="58">
        <v>39</v>
      </c>
      <c r="P533" s="59" t="s">
        <v>2532</v>
      </c>
      <c r="Q533" s="56" t="s">
        <v>11</v>
      </c>
      <c r="U533">
        <v>3781609</v>
      </c>
      <c r="V533">
        <v>22.2</v>
      </c>
      <c r="W533">
        <v>0</v>
      </c>
      <c r="X533">
        <v>1.6</v>
      </c>
      <c r="Y533">
        <v>1.175</v>
      </c>
      <c r="Z533" t="s">
        <v>3450</v>
      </c>
      <c r="AA533" t="s">
        <v>963</v>
      </c>
      <c r="AB533" t="s">
        <v>2520</v>
      </c>
      <c r="AC533" t="s">
        <v>412</v>
      </c>
      <c r="AD533" t="s">
        <v>2171</v>
      </c>
      <c r="AE533" t="s">
        <v>731</v>
      </c>
      <c r="AF533">
        <v>0.95460647200000004</v>
      </c>
    </row>
    <row r="534" spans="1:32" x14ac:dyDescent="0.25">
      <c r="A534" s="56">
        <v>2410996</v>
      </c>
      <c r="B534" s="56" t="s">
        <v>1230</v>
      </c>
      <c r="C534" s="56" t="s">
        <v>3876</v>
      </c>
      <c r="D534" s="57">
        <v>167.08199999999999</v>
      </c>
      <c r="E534" s="58">
        <v>671</v>
      </c>
      <c r="F534" s="57">
        <v>0.67100000000000004</v>
      </c>
      <c r="G534" s="56" t="s">
        <v>392</v>
      </c>
      <c r="H534" s="56" t="s">
        <v>2511</v>
      </c>
      <c r="I534" s="56" t="s">
        <v>362</v>
      </c>
      <c r="J534" s="56" t="s">
        <v>2881</v>
      </c>
      <c r="K534" s="57">
        <v>751.73699999999997</v>
      </c>
      <c r="L534" s="56" t="s">
        <v>1914</v>
      </c>
      <c r="M534" s="56" t="s">
        <v>1123</v>
      </c>
      <c r="N534" s="56" t="s">
        <v>48</v>
      </c>
      <c r="O534" s="58">
        <v>38</v>
      </c>
      <c r="P534" s="59" t="s">
        <v>2532</v>
      </c>
      <c r="Q534" s="56" t="s">
        <v>11</v>
      </c>
      <c r="U534" s="52">
        <v>3509824</v>
      </c>
      <c r="V534">
        <v>22.2</v>
      </c>
      <c r="W534">
        <v>0</v>
      </c>
      <c r="X534">
        <v>1.6</v>
      </c>
      <c r="Y534">
        <v>1.21</v>
      </c>
      <c r="Z534" t="s">
        <v>1914</v>
      </c>
      <c r="AA534" t="s">
        <v>963</v>
      </c>
      <c r="AB534" t="s">
        <v>2520</v>
      </c>
      <c r="AC534" t="s">
        <v>412</v>
      </c>
      <c r="AD534" t="s">
        <v>2171</v>
      </c>
      <c r="AE534" t="s">
        <v>2304</v>
      </c>
      <c r="AF534">
        <v>0.98304155839999996</v>
      </c>
    </row>
    <row r="535" spans="1:32" x14ac:dyDescent="0.25">
      <c r="A535" s="56">
        <v>2410996</v>
      </c>
      <c r="B535" s="56" t="s">
        <v>1230</v>
      </c>
      <c r="C535" s="56" t="s">
        <v>3877</v>
      </c>
      <c r="D535" s="57">
        <v>149.9</v>
      </c>
      <c r="E535" s="58">
        <v>602</v>
      </c>
      <c r="F535" s="57">
        <v>0.60199999999999998</v>
      </c>
      <c r="G535" s="56" t="s">
        <v>392</v>
      </c>
      <c r="H535" s="56" t="s">
        <v>2511</v>
      </c>
      <c r="I535" s="56" t="s">
        <v>362</v>
      </c>
      <c r="J535" s="56" t="s">
        <v>3434</v>
      </c>
      <c r="K535" s="57">
        <v>674.43399999999997</v>
      </c>
      <c r="L535" s="56" t="s">
        <v>1914</v>
      </c>
      <c r="M535" s="56" t="s">
        <v>1123</v>
      </c>
      <c r="N535" s="56" t="s">
        <v>48</v>
      </c>
      <c r="O535" s="58">
        <v>38</v>
      </c>
      <c r="P535" s="59" t="s">
        <v>2532</v>
      </c>
      <c r="Q535" s="56" t="s">
        <v>11</v>
      </c>
      <c r="U535" s="52">
        <v>3533249</v>
      </c>
      <c r="V535">
        <v>22.2</v>
      </c>
      <c r="W535">
        <v>0</v>
      </c>
      <c r="X535">
        <v>1.6</v>
      </c>
      <c r="Y535">
        <v>1.222</v>
      </c>
      <c r="Z535" t="s">
        <v>1891</v>
      </c>
      <c r="AA535" t="s">
        <v>963</v>
      </c>
      <c r="AB535" t="s">
        <v>2520</v>
      </c>
      <c r="AC535" t="s">
        <v>412</v>
      </c>
      <c r="AD535" t="s">
        <v>2171</v>
      </c>
      <c r="AE535" t="s">
        <v>734</v>
      </c>
      <c r="AF535">
        <v>0.99279073087999992</v>
      </c>
    </row>
    <row r="536" spans="1:32" x14ac:dyDescent="0.25">
      <c r="A536" s="56">
        <v>2410996</v>
      </c>
      <c r="B536" s="56" t="s">
        <v>1230</v>
      </c>
      <c r="C536" s="56" t="s">
        <v>3878</v>
      </c>
      <c r="D536" s="57">
        <v>14.442</v>
      </c>
      <c r="E536" s="58">
        <v>58</v>
      </c>
      <c r="F536" s="57">
        <v>5.8000000000000003E-2</v>
      </c>
      <c r="G536" s="56" t="s">
        <v>392</v>
      </c>
      <c r="H536" s="56" t="s">
        <v>2511</v>
      </c>
      <c r="I536" s="56" t="s">
        <v>362</v>
      </c>
      <c r="J536" s="56" t="s">
        <v>2768</v>
      </c>
      <c r="K536" s="57">
        <v>64.978999999999999</v>
      </c>
      <c r="L536" s="56" t="s">
        <v>1914</v>
      </c>
      <c r="M536" s="56" t="s">
        <v>1123</v>
      </c>
      <c r="N536" s="56" t="s">
        <v>48</v>
      </c>
      <c r="O536" s="58">
        <v>38</v>
      </c>
      <c r="P536" s="59" t="s">
        <v>2532</v>
      </c>
      <c r="Q536" s="56" t="s">
        <v>11</v>
      </c>
      <c r="U536" s="52">
        <v>3533248</v>
      </c>
      <c r="V536">
        <v>22.2</v>
      </c>
      <c r="W536">
        <v>0</v>
      </c>
      <c r="X536">
        <v>1.6</v>
      </c>
      <c r="Y536">
        <v>1.29</v>
      </c>
      <c r="Z536" t="s">
        <v>1891</v>
      </c>
      <c r="AA536" t="s">
        <v>963</v>
      </c>
      <c r="AB536" t="s">
        <v>2520</v>
      </c>
      <c r="AC536" t="s">
        <v>412</v>
      </c>
      <c r="AD536" t="s">
        <v>2171</v>
      </c>
      <c r="AE536" t="s">
        <v>736</v>
      </c>
      <c r="AF536">
        <v>1.0480360416000001</v>
      </c>
    </row>
    <row r="537" spans="1:32" x14ac:dyDescent="0.25">
      <c r="A537" s="56">
        <v>2410996</v>
      </c>
      <c r="B537" s="56" t="s">
        <v>1230</v>
      </c>
      <c r="C537" s="56" t="s">
        <v>3879</v>
      </c>
      <c r="D537" s="57">
        <v>146.66300000000001</v>
      </c>
      <c r="E537" s="58">
        <v>589</v>
      </c>
      <c r="F537" s="57">
        <v>0.58899999999999997</v>
      </c>
      <c r="G537" s="56" t="s">
        <v>392</v>
      </c>
      <c r="H537" s="56" t="s">
        <v>2511</v>
      </c>
      <c r="I537" s="56" t="s">
        <v>362</v>
      </c>
      <c r="J537" s="56" t="s">
        <v>3434</v>
      </c>
      <c r="K537" s="57">
        <v>659.87</v>
      </c>
      <c r="L537" s="56" t="s">
        <v>1914</v>
      </c>
      <c r="M537" s="56" t="s">
        <v>1123</v>
      </c>
      <c r="N537" s="56" t="s">
        <v>48</v>
      </c>
      <c r="O537" s="58">
        <v>38</v>
      </c>
      <c r="P537" s="59" t="s">
        <v>2532</v>
      </c>
      <c r="Q537" s="56" t="s">
        <v>11</v>
      </c>
      <c r="U537" s="52">
        <v>267070</v>
      </c>
      <c r="V537">
        <v>22.2</v>
      </c>
      <c r="W537">
        <v>0</v>
      </c>
      <c r="X537">
        <v>1.6</v>
      </c>
      <c r="Y537">
        <v>1.3</v>
      </c>
      <c r="Z537" t="s">
        <v>2821</v>
      </c>
      <c r="AA537" t="s">
        <v>963</v>
      </c>
      <c r="AB537" t="s">
        <v>2520</v>
      </c>
      <c r="AC537" t="s">
        <v>412</v>
      </c>
      <c r="AD537" t="s">
        <v>2171</v>
      </c>
      <c r="AE537" t="s">
        <v>3880</v>
      </c>
      <c r="AF537">
        <v>1.056160352</v>
      </c>
    </row>
    <row r="538" spans="1:32" x14ac:dyDescent="0.25">
      <c r="A538" s="56">
        <v>2410996</v>
      </c>
      <c r="B538" s="56" t="s">
        <v>1230</v>
      </c>
      <c r="C538" s="56" t="s">
        <v>3881</v>
      </c>
      <c r="D538" s="57">
        <v>149.9</v>
      </c>
      <c r="E538" s="58">
        <v>602</v>
      </c>
      <c r="F538" s="57">
        <v>0.60199999999999998</v>
      </c>
      <c r="G538" s="56" t="s">
        <v>392</v>
      </c>
      <c r="H538" s="56" t="s">
        <v>2511</v>
      </c>
      <c r="I538" s="56" t="s">
        <v>362</v>
      </c>
      <c r="J538" s="56" t="s">
        <v>3434</v>
      </c>
      <c r="K538" s="57">
        <v>674.43399999999997</v>
      </c>
      <c r="L538" s="56" t="s">
        <v>1914</v>
      </c>
      <c r="M538" s="56" t="s">
        <v>1123</v>
      </c>
      <c r="N538" s="56" t="s">
        <v>48</v>
      </c>
      <c r="O538" s="58">
        <v>38</v>
      </c>
      <c r="P538" s="59" t="s">
        <v>2532</v>
      </c>
      <c r="Q538" s="56" t="s">
        <v>11</v>
      </c>
      <c r="U538" s="52">
        <v>1385283</v>
      </c>
      <c r="V538">
        <v>22.2</v>
      </c>
      <c r="W538">
        <v>0</v>
      </c>
      <c r="X538">
        <v>1.6</v>
      </c>
      <c r="Y538">
        <v>1.337</v>
      </c>
      <c r="Z538" t="s">
        <v>1914</v>
      </c>
      <c r="AA538" t="s">
        <v>963</v>
      </c>
      <c r="AB538" t="s">
        <v>2520</v>
      </c>
      <c r="AC538" t="s">
        <v>412</v>
      </c>
      <c r="AD538" t="s">
        <v>2171</v>
      </c>
      <c r="AE538" t="s">
        <v>3882</v>
      </c>
      <c r="AF538">
        <v>1.08622030048</v>
      </c>
    </row>
    <row r="539" spans="1:32" x14ac:dyDescent="0.25">
      <c r="A539" s="56">
        <v>2410996</v>
      </c>
      <c r="B539" s="56" t="s">
        <v>1230</v>
      </c>
      <c r="C539" s="56" t="s">
        <v>3883</v>
      </c>
      <c r="D539" s="57">
        <v>31.375</v>
      </c>
      <c r="E539" s="58">
        <v>126</v>
      </c>
      <c r="F539" s="57">
        <v>0.126</v>
      </c>
      <c r="G539" s="56" t="s">
        <v>392</v>
      </c>
      <c r="H539" s="56" t="s">
        <v>2511</v>
      </c>
      <c r="I539" s="56" t="s">
        <v>362</v>
      </c>
      <c r="J539" s="56" t="s">
        <v>2578</v>
      </c>
      <c r="K539" s="57">
        <v>141.161</v>
      </c>
      <c r="L539" s="56" t="s">
        <v>1914</v>
      </c>
      <c r="M539" s="56" t="s">
        <v>1123</v>
      </c>
      <c r="N539" s="56" t="s">
        <v>48</v>
      </c>
      <c r="O539" s="58">
        <v>38</v>
      </c>
      <c r="P539" s="59" t="s">
        <v>2532</v>
      </c>
      <c r="Q539" s="56" t="s">
        <v>11</v>
      </c>
      <c r="U539" s="52">
        <v>3682123</v>
      </c>
      <c r="V539">
        <v>22.2</v>
      </c>
      <c r="W539">
        <v>0</v>
      </c>
      <c r="X539">
        <v>1.6</v>
      </c>
      <c r="Y539">
        <v>5.4509999999999996</v>
      </c>
      <c r="Z539" t="s">
        <v>1914</v>
      </c>
      <c r="AA539" t="s">
        <v>963</v>
      </c>
      <c r="AB539" t="s">
        <v>2520</v>
      </c>
      <c r="AC539" t="s">
        <v>412</v>
      </c>
      <c r="AD539" t="s">
        <v>1838</v>
      </c>
      <c r="AE539" t="s">
        <v>2293</v>
      </c>
      <c r="AF539">
        <v>0.81243103999999999</v>
      </c>
    </row>
    <row r="540" spans="1:32" x14ac:dyDescent="0.25">
      <c r="A540" s="56">
        <v>2410996</v>
      </c>
      <c r="B540" s="56" t="s">
        <v>1230</v>
      </c>
      <c r="C540" s="56" t="s">
        <v>3884</v>
      </c>
      <c r="D540" s="57">
        <v>163.34700000000001</v>
      </c>
      <c r="E540" s="58">
        <v>656</v>
      </c>
      <c r="F540" s="57">
        <v>0.65600000000000003</v>
      </c>
      <c r="G540" s="56" t="s">
        <v>392</v>
      </c>
      <c r="H540" s="56" t="s">
        <v>2511</v>
      </c>
      <c r="I540" s="56" t="s">
        <v>362</v>
      </c>
      <c r="J540" s="56" t="s">
        <v>2881</v>
      </c>
      <c r="K540" s="57">
        <v>734.93200000000002</v>
      </c>
      <c r="L540" s="56" t="s">
        <v>1914</v>
      </c>
      <c r="M540" s="56" t="s">
        <v>1123</v>
      </c>
      <c r="N540" s="56" t="s">
        <v>48</v>
      </c>
      <c r="O540" s="58">
        <v>37</v>
      </c>
      <c r="P540" s="59" t="s">
        <v>2532</v>
      </c>
      <c r="Q540" s="56" t="s">
        <v>11</v>
      </c>
      <c r="U540" s="52">
        <v>3502468</v>
      </c>
      <c r="V540">
        <v>22.2</v>
      </c>
      <c r="W540">
        <v>0</v>
      </c>
      <c r="X540">
        <v>1.6</v>
      </c>
      <c r="Y540">
        <v>5.78</v>
      </c>
      <c r="Z540" t="s">
        <v>1914</v>
      </c>
      <c r="AA540" t="s">
        <v>1003</v>
      </c>
      <c r="AB540" t="s">
        <v>2520</v>
      </c>
      <c r="AC540" t="s">
        <v>412</v>
      </c>
      <c r="AD540" t="s">
        <v>1838</v>
      </c>
      <c r="AE540" t="s">
        <v>2293</v>
      </c>
      <c r="AF540">
        <v>0.81243103999999999</v>
      </c>
    </row>
    <row r="541" spans="1:32" x14ac:dyDescent="0.25">
      <c r="A541" s="56">
        <v>2410996</v>
      </c>
      <c r="B541" s="56" t="s">
        <v>1230</v>
      </c>
      <c r="C541" s="56" t="s">
        <v>3885</v>
      </c>
      <c r="D541" s="57">
        <v>143.17699999999999</v>
      </c>
      <c r="E541" s="58">
        <v>575</v>
      </c>
      <c r="F541" s="57">
        <v>0.57499999999999996</v>
      </c>
      <c r="G541" s="56" t="s">
        <v>392</v>
      </c>
      <c r="H541" s="56" t="s">
        <v>2511</v>
      </c>
      <c r="I541" s="56" t="s">
        <v>362</v>
      </c>
      <c r="J541" s="56" t="s">
        <v>3434</v>
      </c>
      <c r="K541" s="57">
        <v>644.18600000000004</v>
      </c>
      <c r="L541" s="56" t="s">
        <v>1914</v>
      </c>
      <c r="M541" s="56" t="s">
        <v>1123</v>
      </c>
      <c r="N541" s="56" t="s">
        <v>48</v>
      </c>
      <c r="O541" s="58">
        <v>37</v>
      </c>
      <c r="P541" s="59" t="s">
        <v>2532</v>
      </c>
      <c r="Q541" s="56" t="s">
        <v>11</v>
      </c>
      <c r="U541">
        <v>3534935</v>
      </c>
      <c r="V541">
        <v>22.2</v>
      </c>
      <c r="W541">
        <v>0</v>
      </c>
      <c r="X541">
        <v>1.6</v>
      </c>
      <c r="Y541">
        <v>5.8</v>
      </c>
      <c r="Z541" t="s">
        <v>1914</v>
      </c>
      <c r="AA541" t="s">
        <v>963</v>
      </c>
      <c r="AB541" t="s">
        <v>2520</v>
      </c>
      <c r="AC541" t="s">
        <v>412</v>
      </c>
      <c r="AD541" t="s">
        <v>1838</v>
      </c>
      <c r="AE541" t="s">
        <v>2293</v>
      </c>
      <c r="AF541">
        <v>0.81243103999999999</v>
      </c>
    </row>
    <row r="542" spans="1:32" x14ac:dyDescent="0.25">
      <c r="A542" s="56">
        <v>2410996</v>
      </c>
      <c r="B542" s="56" t="s">
        <v>1230</v>
      </c>
      <c r="C542" s="56" t="s">
        <v>3886</v>
      </c>
      <c r="D542" s="57">
        <v>28.884</v>
      </c>
      <c r="E542" s="58">
        <v>116</v>
      </c>
      <c r="F542" s="57">
        <v>0.11600000000000001</v>
      </c>
      <c r="G542" s="56" t="s">
        <v>392</v>
      </c>
      <c r="H542" s="56" t="s">
        <v>2511</v>
      </c>
      <c r="I542" s="56" t="s">
        <v>362</v>
      </c>
      <c r="J542" s="56" t="s">
        <v>2166</v>
      </c>
      <c r="K542" s="57">
        <v>129.95699999999999</v>
      </c>
      <c r="L542" s="56" t="s">
        <v>1914</v>
      </c>
      <c r="M542" s="56" t="s">
        <v>1123</v>
      </c>
      <c r="N542" s="56" t="s">
        <v>48</v>
      </c>
      <c r="O542" s="58">
        <v>37</v>
      </c>
      <c r="P542" s="59" t="s">
        <v>2532</v>
      </c>
      <c r="Q542" s="56" t="s">
        <v>11</v>
      </c>
      <c r="U542" s="52">
        <v>3499239</v>
      </c>
      <c r="V542">
        <v>22.2</v>
      </c>
      <c r="W542">
        <v>0</v>
      </c>
      <c r="X542">
        <v>1.6</v>
      </c>
      <c r="Y542">
        <v>6</v>
      </c>
      <c r="Z542" t="s">
        <v>1914</v>
      </c>
      <c r="AA542" t="s">
        <v>963</v>
      </c>
      <c r="AB542" t="s">
        <v>2520</v>
      </c>
      <c r="AC542" t="s">
        <v>412</v>
      </c>
      <c r="AD542" t="s">
        <v>1838</v>
      </c>
      <c r="AE542" t="s">
        <v>2293</v>
      </c>
      <c r="AF542">
        <v>0.81243103999999999</v>
      </c>
    </row>
    <row r="543" spans="1:32" x14ac:dyDescent="0.25">
      <c r="A543" s="56">
        <v>2410996</v>
      </c>
      <c r="B543" s="56" t="s">
        <v>1230</v>
      </c>
      <c r="C543" s="56" t="s">
        <v>3887</v>
      </c>
      <c r="D543" s="57">
        <v>290.58800000000002</v>
      </c>
      <c r="E543" s="58">
        <v>1167</v>
      </c>
      <c r="F543" s="57">
        <v>1.167</v>
      </c>
      <c r="G543" s="56" t="s">
        <v>392</v>
      </c>
      <c r="H543" s="56" t="s">
        <v>2511</v>
      </c>
      <c r="I543" s="56" t="s">
        <v>362</v>
      </c>
      <c r="J543" s="56" t="s">
        <v>2726</v>
      </c>
      <c r="K543" s="57">
        <v>1307.4169999999999</v>
      </c>
      <c r="L543" s="56" t="s">
        <v>1914</v>
      </c>
      <c r="M543" s="56" t="s">
        <v>1123</v>
      </c>
      <c r="N543" s="56" t="s">
        <v>48</v>
      </c>
      <c r="O543" s="58">
        <v>37</v>
      </c>
      <c r="P543" s="59" t="s">
        <v>2532</v>
      </c>
      <c r="Q543" s="56" t="s">
        <v>11</v>
      </c>
      <c r="U543" s="52">
        <v>235001</v>
      </c>
      <c r="V543">
        <v>22.2</v>
      </c>
      <c r="W543">
        <v>0</v>
      </c>
      <c r="X543">
        <v>1.6</v>
      </c>
      <c r="Y543">
        <v>6</v>
      </c>
      <c r="Z543" t="s">
        <v>3450</v>
      </c>
      <c r="AA543" t="s">
        <v>963</v>
      </c>
      <c r="AB543" t="s">
        <v>2520</v>
      </c>
      <c r="AC543" t="s">
        <v>412</v>
      </c>
      <c r="AD543" t="s">
        <v>1838</v>
      </c>
      <c r="AE543" t="s">
        <v>2293</v>
      </c>
      <c r="AF543">
        <v>0.81243103999999999</v>
      </c>
    </row>
    <row r="544" spans="1:32" x14ac:dyDescent="0.25">
      <c r="A544" s="56">
        <v>2410996</v>
      </c>
      <c r="B544" s="56" t="s">
        <v>1230</v>
      </c>
      <c r="C544" s="56" t="s">
        <v>3888</v>
      </c>
      <c r="D544" s="57">
        <v>308.267</v>
      </c>
      <c r="E544" s="58">
        <v>1238</v>
      </c>
      <c r="F544" s="57">
        <v>1.238</v>
      </c>
      <c r="G544" s="56" t="s">
        <v>392</v>
      </c>
      <c r="H544" s="56" t="s">
        <v>2511</v>
      </c>
      <c r="I544" s="56" t="s">
        <v>362</v>
      </c>
      <c r="J544" s="56" t="s">
        <v>3889</v>
      </c>
      <c r="K544" s="57">
        <v>1386.9590000000001</v>
      </c>
      <c r="L544" s="56" t="s">
        <v>1914</v>
      </c>
      <c r="M544" s="56" t="s">
        <v>1123</v>
      </c>
      <c r="N544" s="56" t="s">
        <v>48</v>
      </c>
      <c r="O544" s="58">
        <v>37</v>
      </c>
      <c r="P544" s="59" t="s">
        <v>2532</v>
      </c>
      <c r="Q544" s="56" t="s">
        <v>11</v>
      </c>
      <c r="U544" s="52">
        <v>3682124</v>
      </c>
      <c r="V544">
        <v>22.2</v>
      </c>
      <c r="W544">
        <v>0</v>
      </c>
      <c r="X544">
        <v>1.6</v>
      </c>
      <c r="Y544">
        <v>6.45</v>
      </c>
      <c r="Z544" t="s">
        <v>1914</v>
      </c>
      <c r="AA544" t="s">
        <v>963</v>
      </c>
      <c r="AB544" t="s">
        <v>2520</v>
      </c>
      <c r="AC544" t="s">
        <v>412</v>
      </c>
      <c r="AD544" t="s">
        <v>1838</v>
      </c>
      <c r="AE544" t="s">
        <v>2293</v>
      </c>
      <c r="AF544">
        <v>0.81243103999999999</v>
      </c>
    </row>
    <row r="545" spans="1:32" x14ac:dyDescent="0.25">
      <c r="A545" s="56">
        <v>2410996</v>
      </c>
      <c r="B545" s="56" t="s">
        <v>1230</v>
      </c>
      <c r="C545" s="56" t="s">
        <v>3890</v>
      </c>
      <c r="D545" s="57">
        <v>32.869</v>
      </c>
      <c r="E545" s="58">
        <v>132</v>
      </c>
      <c r="F545" s="57">
        <v>0.13200000000000001</v>
      </c>
      <c r="G545" s="56" t="s">
        <v>392</v>
      </c>
      <c r="H545" s="56" t="s">
        <v>2511</v>
      </c>
      <c r="I545" s="56" t="s">
        <v>362</v>
      </c>
      <c r="J545" s="56" t="s">
        <v>2667</v>
      </c>
      <c r="K545" s="57">
        <v>147.88300000000001</v>
      </c>
      <c r="L545" s="56" t="s">
        <v>1914</v>
      </c>
      <c r="M545" s="56" t="s">
        <v>1123</v>
      </c>
      <c r="N545" s="56" t="s">
        <v>48</v>
      </c>
      <c r="O545" s="58">
        <v>37</v>
      </c>
      <c r="P545" s="59" t="s">
        <v>2532</v>
      </c>
      <c r="Q545" s="56" t="s">
        <v>11</v>
      </c>
      <c r="U545" s="52">
        <v>3506193</v>
      </c>
      <c r="V545">
        <v>22.2</v>
      </c>
      <c r="W545">
        <v>0</v>
      </c>
      <c r="X545">
        <v>1.63</v>
      </c>
      <c r="Y545">
        <v>0.7</v>
      </c>
      <c r="Z545" t="s">
        <v>1914</v>
      </c>
      <c r="AA545" t="s">
        <v>963</v>
      </c>
      <c r="AB545" t="s">
        <v>2520</v>
      </c>
      <c r="AC545" t="s">
        <v>412</v>
      </c>
      <c r="AD545" t="s">
        <v>2171</v>
      </c>
      <c r="AE545" t="s">
        <v>414</v>
      </c>
      <c r="AF545">
        <v>0.57852115012999994</v>
      </c>
    </row>
    <row r="546" spans="1:32" x14ac:dyDescent="0.25">
      <c r="A546" s="56">
        <v>2410998</v>
      </c>
      <c r="B546" s="56" t="s">
        <v>2003</v>
      </c>
      <c r="C546" s="56" t="s">
        <v>3891</v>
      </c>
      <c r="D546" s="57">
        <v>274.93</v>
      </c>
      <c r="E546" s="58">
        <v>1373</v>
      </c>
      <c r="F546" s="57">
        <v>1.373</v>
      </c>
      <c r="G546" s="56" t="s">
        <v>392</v>
      </c>
      <c r="H546" s="56" t="s">
        <v>2511</v>
      </c>
      <c r="I546" s="56" t="s">
        <v>362</v>
      </c>
      <c r="J546" s="56" t="s">
        <v>3892</v>
      </c>
      <c r="K546" s="57">
        <v>1237.1600000000001</v>
      </c>
      <c r="L546" s="56" t="s">
        <v>1914</v>
      </c>
      <c r="M546" s="56" t="s">
        <v>1123</v>
      </c>
      <c r="N546" s="56" t="s">
        <v>48</v>
      </c>
      <c r="O546" s="58">
        <v>67</v>
      </c>
      <c r="P546" s="59" t="s">
        <v>2579</v>
      </c>
      <c r="Q546" s="56" t="s">
        <v>11</v>
      </c>
      <c r="U546" s="52">
        <v>296754</v>
      </c>
      <c r="V546">
        <v>22.2</v>
      </c>
      <c r="W546">
        <v>0</v>
      </c>
      <c r="X546">
        <v>1.63</v>
      </c>
      <c r="Y546">
        <v>0.7</v>
      </c>
      <c r="Z546" t="s">
        <v>2821</v>
      </c>
      <c r="AA546" t="s">
        <v>963</v>
      </c>
      <c r="AB546" t="s">
        <v>2520</v>
      </c>
      <c r="AC546" t="s">
        <v>412</v>
      </c>
      <c r="AD546" t="s">
        <v>2171</v>
      </c>
      <c r="AE546" t="s">
        <v>414</v>
      </c>
      <c r="AF546">
        <v>0.57852115012999994</v>
      </c>
    </row>
    <row r="547" spans="1:32" x14ac:dyDescent="0.25">
      <c r="A547" s="56">
        <v>2410998</v>
      </c>
      <c r="B547" s="56" t="s">
        <v>2003</v>
      </c>
      <c r="C547" s="56" t="s">
        <v>3893</v>
      </c>
      <c r="D547" s="57">
        <v>582.49900000000002</v>
      </c>
      <c r="E547" s="58">
        <v>2909</v>
      </c>
      <c r="F547" s="57">
        <v>2.9089999999999998</v>
      </c>
      <c r="G547" s="56" t="s">
        <v>392</v>
      </c>
      <c r="H547" s="56" t="s">
        <v>2511</v>
      </c>
      <c r="I547" s="56" t="s">
        <v>362</v>
      </c>
      <c r="J547" s="56" t="s">
        <v>2531</v>
      </c>
      <c r="K547" s="57">
        <v>2621.1930000000002</v>
      </c>
      <c r="L547" s="56" t="s">
        <v>1914</v>
      </c>
      <c r="M547" s="56" t="s">
        <v>1123</v>
      </c>
      <c r="N547" s="56" t="s">
        <v>48</v>
      </c>
      <c r="O547" s="58">
        <v>40</v>
      </c>
      <c r="P547" s="59" t="s">
        <v>2532</v>
      </c>
      <c r="Q547" s="56" t="s">
        <v>11</v>
      </c>
      <c r="U547">
        <v>4017017</v>
      </c>
      <c r="V547">
        <v>22.2</v>
      </c>
      <c r="W547">
        <v>0</v>
      </c>
      <c r="X547">
        <v>1.9</v>
      </c>
      <c r="Y547">
        <v>5.36</v>
      </c>
      <c r="Z547" t="s">
        <v>1952</v>
      </c>
      <c r="AA547" t="s">
        <v>963</v>
      </c>
      <c r="AB547" t="s">
        <v>2520</v>
      </c>
      <c r="AC547" t="s">
        <v>633</v>
      </c>
      <c r="AD547" t="s">
        <v>1838</v>
      </c>
      <c r="AE547" t="s">
        <v>782</v>
      </c>
      <c r="AF547">
        <v>0.95071192999999998</v>
      </c>
    </row>
    <row r="548" spans="1:32" x14ac:dyDescent="0.25">
      <c r="A548" s="56">
        <v>2410998</v>
      </c>
      <c r="B548" s="56" t="s">
        <v>2003</v>
      </c>
      <c r="C548" s="56" t="s">
        <v>3894</v>
      </c>
      <c r="D548" s="57">
        <v>264.517</v>
      </c>
      <c r="E548" s="58">
        <v>1321</v>
      </c>
      <c r="F548" s="57">
        <v>1.321</v>
      </c>
      <c r="G548" s="56" t="s">
        <v>392</v>
      </c>
      <c r="H548" s="56" t="s">
        <v>2511</v>
      </c>
      <c r="I548" s="56" t="s">
        <v>362</v>
      </c>
      <c r="J548" s="56" t="s">
        <v>3130</v>
      </c>
      <c r="K548" s="57">
        <v>1190.3050000000001</v>
      </c>
      <c r="L548" s="56" t="s">
        <v>1914</v>
      </c>
      <c r="M548" s="56" t="s">
        <v>1123</v>
      </c>
      <c r="N548" s="56" t="s">
        <v>48</v>
      </c>
      <c r="O548" s="58">
        <v>38</v>
      </c>
      <c r="P548" s="59" t="s">
        <v>2532</v>
      </c>
      <c r="Q548" s="56" t="s">
        <v>11</v>
      </c>
      <c r="U548">
        <v>4017018</v>
      </c>
      <c r="V548">
        <v>22.2</v>
      </c>
      <c r="W548">
        <v>0</v>
      </c>
      <c r="X548">
        <v>1.9</v>
      </c>
      <c r="Y548">
        <v>5.5</v>
      </c>
      <c r="Z548" t="s">
        <v>1952</v>
      </c>
      <c r="AA548" t="s">
        <v>963</v>
      </c>
      <c r="AB548" t="s">
        <v>2520</v>
      </c>
      <c r="AC548" t="s">
        <v>633</v>
      </c>
      <c r="AD548" t="s">
        <v>1838</v>
      </c>
      <c r="AE548" t="s">
        <v>782</v>
      </c>
      <c r="AF548">
        <v>0.95071192999999998</v>
      </c>
    </row>
    <row r="549" spans="1:32" x14ac:dyDescent="0.25">
      <c r="A549" s="56">
        <v>2410998</v>
      </c>
      <c r="B549" s="56" t="s">
        <v>2003</v>
      </c>
      <c r="C549" s="56" t="s">
        <v>3895</v>
      </c>
      <c r="D549" s="57">
        <v>281.738</v>
      </c>
      <c r="E549" s="58">
        <v>1407</v>
      </c>
      <c r="F549" s="57">
        <v>1.407</v>
      </c>
      <c r="G549" s="56" t="s">
        <v>392</v>
      </c>
      <c r="H549" s="56" t="s">
        <v>2511</v>
      </c>
      <c r="I549" s="56" t="s">
        <v>362</v>
      </c>
      <c r="J549" s="56" t="s">
        <v>3896</v>
      </c>
      <c r="K549" s="57">
        <v>1267.796</v>
      </c>
      <c r="L549" s="56" t="s">
        <v>1914</v>
      </c>
      <c r="M549" s="56" t="s">
        <v>1123</v>
      </c>
      <c r="N549" s="56" t="s">
        <v>48</v>
      </c>
      <c r="O549" s="58">
        <v>38</v>
      </c>
      <c r="P549" s="59" t="s">
        <v>2532</v>
      </c>
      <c r="Q549" s="56" t="s">
        <v>11</v>
      </c>
      <c r="U549">
        <v>3779315</v>
      </c>
      <c r="V549">
        <v>22.2</v>
      </c>
      <c r="W549">
        <v>0</v>
      </c>
      <c r="X549">
        <v>1.9</v>
      </c>
      <c r="Y549">
        <v>5.65</v>
      </c>
      <c r="Z549" t="s">
        <v>1952</v>
      </c>
      <c r="AA549" t="s">
        <v>963</v>
      </c>
      <c r="AB549" t="s">
        <v>2520</v>
      </c>
      <c r="AC549" t="s">
        <v>633</v>
      </c>
      <c r="AD549" t="s">
        <v>1838</v>
      </c>
      <c r="AE549" t="s">
        <v>782</v>
      </c>
      <c r="AF549">
        <v>0.95071192999999998</v>
      </c>
    </row>
    <row r="550" spans="1:32" x14ac:dyDescent="0.25">
      <c r="A550" s="56">
        <v>2410998</v>
      </c>
      <c r="B550" s="56" t="s">
        <v>2003</v>
      </c>
      <c r="C550" s="56" t="s">
        <v>3897</v>
      </c>
      <c r="D550" s="57">
        <v>286.54399999999998</v>
      </c>
      <c r="E550" s="58">
        <v>1431</v>
      </c>
      <c r="F550" s="57">
        <v>1.431</v>
      </c>
      <c r="G550" s="56" t="s">
        <v>392</v>
      </c>
      <c r="H550" s="56" t="s">
        <v>2511</v>
      </c>
      <c r="I550" s="56" t="s">
        <v>362</v>
      </c>
      <c r="J550" s="56" t="s">
        <v>2726</v>
      </c>
      <c r="K550" s="57">
        <v>1289.422</v>
      </c>
      <c r="L550" s="56" t="s">
        <v>1914</v>
      </c>
      <c r="M550" s="56" t="s">
        <v>1123</v>
      </c>
      <c r="N550" s="56" t="s">
        <v>48</v>
      </c>
      <c r="O550" s="58">
        <v>38</v>
      </c>
      <c r="P550" s="59" t="s">
        <v>2532</v>
      </c>
      <c r="Q550" s="56" t="s">
        <v>11</v>
      </c>
      <c r="U550" s="52">
        <v>1159568</v>
      </c>
      <c r="V550">
        <v>22.2</v>
      </c>
      <c r="W550">
        <v>0</v>
      </c>
      <c r="X550">
        <v>2</v>
      </c>
      <c r="Y550">
        <v>0.18</v>
      </c>
      <c r="Z550" t="s">
        <v>1914</v>
      </c>
      <c r="AA550" t="s">
        <v>963</v>
      </c>
      <c r="AB550" t="s">
        <v>2520</v>
      </c>
      <c r="AC550" t="s">
        <v>633</v>
      </c>
      <c r="AD550" t="s">
        <v>2171</v>
      </c>
      <c r="AE550" t="s">
        <v>3898</v>
      </c>
      <c r="AF550">
        <v>0.17924752799999999</v>
      </c>
    </row>
    <row r="551" spans="1:32" x14ac:dyDescent="0.25">
      <c r="A551" s="56">
        <v>2410998</v>
      </c>
      <c r="B551" s="56" t="s">
        <v>2003</v>
      </c>
      <c r="C551" s="56" t="s">
        <v>3899</v>
      </c>
      <c r="D551" s="57">
        <v>292.15100000000001</v>
      </c>
      <c r="E551" s="58">
        <v>1459</v>
      </c>
      <c r="F551" s="57">
        <v>1.4590000000000001</v>
      </c>
      <c r="G551" s="56" t="s">
        <v>392</v>
      </c>
      <c r="H551" s="56" t="s">
        <v>2511</v>
      </c>
      <c r="I551" s="56" t="s">
        <v>362</v>
      </c>
      <c r="J551" s="56" t="s">
        <v>3900</v>
      </c>
      <c r="K551" s="57">
        <v>1314.6510000000001</v>
      </c>
      <c r="L551" s="56" t="s">
        <v>1914</v>
      </c>
      <c r="M551" s="56" t="s">
        <v>1123</v>
      </c>
      <c r="N551" s="56" t="s">
        <v>48</v>
      </c>
      <c r="O551" s="58">
        <v>39</v>
      </c>
      <c r="P551" s="59" t="s">
        <v>2532</v>
      </c>
      <c r="Q551" s="56" t="s">
        <v>11</v>
      </c>
      <c r="U551" s="52">
        <v>471489</v>
      </c>
      <c r="V551">
        <v>22.2</v>
      </c>
      <c r="W551">
        <v>0</v>
      </c>
      <c r="X551">
        <v>2</v>
      </c>
      <c r="Y551">
        <v>0.22</v>
      </c>
      <c r="Z551" t="s">
        <v>1914</v>
      </c>
      <c r="AA551" t="s">
        <v>963</v>
      </c>
      <c r="AB551" t="s">
        <v>2520</v>
      </c>
      <c r="AC551" t="s">
        <v>633</v>
      </c>
      <c r="AD551" t="s">
        <v>2171</v>
      </c>
      <c r="AE551" t="s">
        <v>763</v>
      </c>
      <c r="AF551">
        <v>0.219080312</v>
      </c>
    </row>
    <row r="552" spans="1:32" x14ac:dyDescent="0.25">
      <c r="A552" s="56">
        <v>2410998</v>
      </c>
      <c r="B552" s="56" t="s">
        <v>2003</v>
      </c>
      <c r="C552" s="56" t="s">
        <v>3901</v>
      </c>
      <c r="D552" s="57">
        <v>149.179</v>
      </c>
      <c r="E552" s="58">
        <v>745</v>
      </c>
      <c r="F552" s="57">
        <v>0.745</v>
      </c>
      <c r="G552" s="56" t="s">
        <v>392</v>
      </c>
      <c r="H552" s="56" t="s">
        <v>2511</v>
      </c>
      <c r="I552" s="56" t="s">
        <v>362</v>
      </c>
      <c r="J552" s="56" t="s">
        <v>3862</v>
      </c>
      <c r="K552" s="57">
        <v>671.29200000000003</v>
      </c>
      <c r="L552" s="56" t="s">
        <v>1914</v>
      </c>
      <c r="M552" s="56" t="s">
        <v>1123</v>
      </c>
      <c r="N552" s="56" t="s">
        <v>48</v>
      </c>
      <c r="O552" s="58">
        <v>38</v>
      </c>
      <c r="P552" s="59" t="s">
        <v>2532</v>
      </c>
      <c r="Q552" s="56" t="s">
        <v>11</v>
      </c>
      <c r="U552" s="52">
        <v>3781669</v>
      </c>
      <c r="V552">
        <v>22.2</v>
      </c>
      <c r="W552">
        <v>0</v>
      </c>
      <c r="X552">
        <v>2</v>
      </c>
      <c r="Y552">
        <v>0.23599999999999999</v>
      </c>
      <c r="Z552" t="s">
        <v>2821</v>
      </c>
      <c r="AA552" t="s">
        <v>963</v>
      </c>
      <c r="AB552" t="s">
        <v>2520</v>
      </c>
      <c r="AC552" t="s">
        <v>633</v>
      </c>
      <c r="AD552" t="s">
        <v>2171</v>
      </c>
      <c r="AE552" t="s">
        <v>3902</v>
      </c>
      <c r="AF552">
        <v>0.23501342559999999</v>
      </c>
    </row>
    <row r="553" spans="1:32" x14ac:dyDescent="0.25">
      <c r="A553" s="56">
        <v>2410998</v>
      </c>
      <c r="B553" s="56" t="s">
        <v>2003</v>
      </c>
      <c r="C553" s="56" t="s">
        <v>3903</v>
      </c>
      <c r="D553" s="57">
        <v>133.761</v>
      </c>
      <c r="E553" s="58">
        <v>668</v>
      </c>
      <c r="F553" s="57">
        <v>0.66800000000000004</v>
      </c>
      <c r="G553" s="56" t="s">
        <v>392</v>
      </c>
      <c r="H553" s="56" t="s">
        <v>2511</v>
      </c>
      <c r="I553" s="56" t="s">
        <v>362</v>
      </c>
      <c r="J553" s="56" t="s">
        <v>3904</v>
      </c>
      <c r="K553" s="57">
        <v>601.91</v>
      </c>
      <c r="L553" s="56" t="s">
        <v>1914</v>
      </c>
      <c r="M553" s="56" t="s">
        <v>1123</v>
      </c>
      <c r="N553" s="56" t="s">
        <v>48</v>
      </c>
      <c r="O553" s="58">
        <v>38</v>
      </c>
      <c r="P553" s="59" t="s">
        <v>2532</v>
      </c>
      <c r="Q553" s="56" t="s">
        <v>11</v>
      </c>
      <c r="U553" s="52">
        <v>508984</v>
      </c>
      <c r="V553">
        <v>22.2</v>
      </c>
      <c r="W553">
        <v>0</v>
      </c>
      <c r="X553">
        <v>2</v>
      </c>
      <c r="Y553">
        <v>0.23599999999999999</v>
      </c>
      <c r="Z553" t="s">
        <v>1914</v>
      </c>
      <c r="AA553" t="s">
        <v>963</v>
      </c>
      <c r="AB553" t="s">
        <v>2520</v>
      </c>
      <c r="AC553" t="s">
        <v>633</v>
      </c>
      <c r="AD553" t="s">
        <v>2171</v>
      </c>
      <c r="AE553" t="s">
        <v>3902</v>
      </c>
      <c r="AF553">
        <v>0.23501342559999999</v>
      </c>
    </row>
    <row r="554" spans="1:32" x14ac:dyDescent="0.25">
      <c r="A554" s="56">
        <v>2410998</v>
      </c>
      <c r="B554" s="56" t="s">
        <v>2003</v>
      </c>
      <c r="C554" s="56" t="s">
        <v>3905</v>
      </c>
      <c r="D554" s="57">
        <v>286.54399999999998</v>
      </c>
      <c r="E554" s="58">
        <v>1431</v>
      </c>
      <c r="F554" s="57">
        <v>1.431</v>
      </c>
      <c r="G554" s="56" t="s">
        <v>392</v>
      </c>
      <c r="H554" s="56" t="s">
        <v>2511</v>
      </c>
      <c r="I554" s="56" t="s">
        <v>362</v>
      </c>
      <c r="J554" s="56" t="s">
        <v>2726</v>
      </c>
      <c r="K554" s="57">
        <v>1289.422</v>
      </c>
      <c r="L554" s="56" t="s">
        <v>1914</v>
      </c>
      <c r="M554" s="56" t="s">
        <v>1123</v>
      </c>
      <c r="N554" s="56" t="s">
        <v>48</v>
      </c>
      <c r="O554" s="58">
        <v>38</v>
      </c>
      <c r="P554" s="59" t="s">
        <v>2532</v>
      </c>
      <c r="Q554" s="56" t="s">
        <v>11</v>
      </c>
      <c r="U554" s="52">
        <v>1154248</v>
      </c>
      <c r="V554">
        <v>22.2</v>
      </c>
      <c r="W554">
        <v>0</v>
      </c>
      <c r="X554">
        <v>2</v>
      </c>
      <c r="Y554">
        <v>0.39400000000000002</v>
      </c>
      <c r="Z554" t="s">
        <v>1914</v>
      </c>
      <c r="AA554" t="s">
        <v>963</v>
      </c>
      <c r="AB554" t="s">
        <v>2520</v>
      </c>
      <c r="AC554" t="s">
        <v>633</v>
      </c>
      <c r="AD554" t="s">
        <v>2171</v>
      </c>
      <c r="AE554" t="s">
        <v>638</v>
      </c>
      <c r="AF554">
        <v>0.39235292240000003</v>
      </c>
    </row>
    <row r="555" spans="1:32" x14ac:dyDescent="0.25">
      <c r="A555" s="56">
        <v>2410998</v>
      </c>
      <c r="B555" s="56" t="s">
        <v>2003</v>
      </c>
      <c r="C555" s="56" t="s">
        <v>3906</v>
      </c>
      <c r="D555" s="57">
        <v>293.15199999999999</v>
      </c>
      <c r="E555" s="58">
        <v>1464</v>
      </c>
      <c r="F555" s="57">
        <v>1.464</v>
      </c>
      <c r="G555" s="56" t="s">
        <v>392</v>
      </c>
      <c r="H555" s="56" t="s">
        <v>2511</v>
      </c>
      <c r="I555" s="56" t="s">
        <v>362</v>
      </c>
      <c r="J555" s="56" t="s">
        <v>2726</v>
      </c>
      <c r="K555" s="57">
        <v>1319.1569999999999</v>
      </c>
      <c r="L555" s="56" t="s">
        <v>1914</v>
      </c>
      <c r="M555" s="56" t="s">
        <v>1123</v>
      </c>
      <c r="N555" s="56" t="s">
        <v>48</v>
      </c>
      <c r="O555" s="58">
        <v>38</v>
      </c>
      <c r="P555" s="59" t="s">
        <v>2532</v>
      </c>
      <c r="Q555" s="56" t="s">
        <v>11</v>
      </c>
      <c r="U555" s="52">
        <v>1174856</v>
      </c>
      <c r="V555">
        <v>22.2</v>
      </c>
      <c r="W555">
        <v>0</v>
      </c>
      <c r="X555">
        <v>2</v>
      </c>
      <c r="Y555">
        <v>0.505</v>
      </c>
      <c r="Z555" t="s">
        <v>1914</v>
      </c>
      <c r="AA555" t="s">
        <v>1003</v>
      </c>
      <c r="AB555" t="s">
        <v>2520</v>
      </c>
      <c r="AC555" t="s">
        <v>562</v>
      </c>
      <c r="AD555" t="s">
        <v>2171</v>
      </c>
      <c r="AE555" t="s">
        <v>3907</v>
      </c>
      <c r="AF555">
        <v>0.50288889800000003</v>
      </c>
    </row>
    <row r="556" spans="1:32" x14ac:dyDescent="0.25">
      <c r="A556" s="56">
        <v>2410998</v>
      </c>
      <c r="B556" s="56" t="s">
        <v>2003</v>
      </c>
      <c r="C556" s="56" t="s">
        <v>3908</v>
      </c>
      <c r="D556" s="57">
        <v>11.414</v>
      </c>
      <c r="E556" s="58">
        <v>57</v>
      </c>
      <c r="F556" s="57">
        <v>5.7000000000000002E-2</v>
      </c>
      <c r="G556" s="56" t="s">
        <v>392</v>
      </c>
      <c r="H556" s="56" t="s">
        <v>2511</v>
      </c>
      <c r="I556" s="56" t="s">
        <v>362</v>
      </c>
      <c r="J556" s="56" t="s">
        <v>2919</v>
      </c>
      <c r="K556" s="57">
        <v>51.360999999999997</v>
      </c>
      <c r="L556" s="56" t="s">
        <v>1914</v>
      </c>
      <c r="M556" s="56" t="s">
        <v>1123</v>
      </c>
      <c r="N556" s="56" t="s">
        <v>48</v>
      </c>
      <c r="O556" s="58">
        <v>38</v>
      </c>
      <c r="P556" s="59" t="s">
        <v>2532</v>
      </c>
      <c r="Q556" s="56" t="s">
        <v>11</v>
      </c>
      <c r="U556" s="52">
        <v>475364</v>
      </c>
      <c r="V556">
        <v>22.2</v>
      </c>
      <c r="W556">
        <v>0</v>
      </c>
      <c r="X556">
        <v>2</v>
      </c>
      <c r="Y556">
        <v>0.57399999999999995</v>
      </c>
      <c r="Z556" t="s">
        <v>1914</v>
      </c>
      <c r="AA556" t="s">
        <v>963</v>
      </c>
      <c r="AB556" t="s">
        <v>2520</v>
      </c>
      <c r="AC556" t="s">
        <v>633</v>
      </c>
      <c r="AD556" t="s">
        <v>2171</v>
      </c>
      <c r="AE556" t="s">
        <v>3909</v>
      </c>
      <c r="AF556">
        <v>0.57160045039999996</v>
      </c>
    </row>
    <row r="557" spans="1:32" x14ac:dyDescent="0.25">
      <c r="A557" s="56">
        <v>2410999</v>
      </c>
      <c r="B557" s="56" t="s">
        <v>728</v>
      </c>
      <c r="C557" s="56" t="s">
        <v>3910</v>
      </c>
      <c r="D557" s="57">
        <v>269.83600000000001</v>
      </c>
      <c r="E557" s="58">
        <v>1561</v>
      </c>
      <c r="F557" s="57">
        <v>1.5609999999999999</v>
      </c>
      <c r="G557" s="56" t="s">
        <v>392</v>
      </c>
      <c r="H557" s="56" t="s">
        <v>2511</v>
      </c>
      <c r="I557" s="56" t="s">
        <v>362</v>
      </c>
      <c r="J557" s="56" t="s">
        <v>2909</v>
      </c>
      <c r="K557" s="57">
        <v>1214.2190000000001</v>
      </c>
      <c r="L557" s="56" t="s">
        <v>1914</v>
      </c>
      <c r="M557" s="56" t="s">
        <v>1123</v>
      </c>
      <c r="N557" s="56" t="s">
        <v>48</v>
      </c>
      <c r="O557" s="58">
        <v>37</v>
      </c>
      <c r="P557" s="59" t="s">
        <v>2532</v>
      </c>
      <c r="Q557" s="56" t="s">
        <v>11</v>
      </c>
      <c r="U557" s="52">
        <v>3781666</v>
      </c>
      <c r="V557">
        <v>22.2</v>
      </c>
      <c r="W557">
        <v>0</v>
      </c>
      <c r="X557">
        <v>2</v>
      </c>
      <c r="Y557">
        <v>0.57399999999999995</v>
      </c>
      <c r="Z557" t="s">
        <v>2821</v>
      </c>
      <c r="AA557" t="s">
        <v>963</v>
      </c>
      <c r="AB557" t="s">
        <v>2520</v>
      </c>
      <c r="AC557" t="s">
        <v>633</v>
      </c>
      <c r="AD557" t="s">
        <v>2171</v>
      </c>
      <c r="AF557">
        <v>0.57160045039999996</v>
      </c>
    </row>
    <row r="558" spans="1:32" x14ac:dyDescent="0.25">
      <c r="A558" s="56">
        <v>2418610</v>
      </c>
      <c r="B558" s="56" t="s">
        <v>1964</v>
      </c>
      <c r="C558" s="56" t="s">
        <v>3911</v>
      </c>
      <c r="D558" s="57">
        <v>89.905000000000001</v>
      </c>
      <c r="E558" s="58">
        <v>765</v>
      </c>
      <c r="F558" s="57">
        <v>0.76500000000000001</v>
      </c>
      <c r="G558" s="56" t="s">
        <v>392</v>
      </c>
      <c r="H558" s="56" t="s">
        <v>2511</v>
      </c>
      <c r="I558" s="56" t="s">
        <v>362</v>
      </c>
      <c r="J558" s="56" t="s">
        <v>3816</v>
      </c>
      <c r="K558" s="57">
        <v>404.548</v>
      </c>
      <c r="L558" s="56" t="s">
        <v>1914</v>
      </c>
      <c r="M558" s="56" t="s">
        <v>1123</v>
      </c>
      <c r="N558" s="56" t="s">
        <v>71</v>
      </c>
      <c r="O558" s="58">
        <v>181</v>
      </c>
      <c r="P558" s="59" t="s">
        <v>2524</v>
      </c>
      <c r="Q558" s="56" t="s">
        <v>2516</v>
      </c>
      <c r="U558" s="52">
        <v>1405728</v>
      </c>
      <c r="V558">
        <v>22.2</v>
      </c>
      <c r="W558">
        <v>0</v>
      </c>
      <c r="X558">
        <v>2</v>
      </c>
      <c r="Y558">
        <v>0.70599999999999996</v>
      </c>
      <c r="Z558" t="s">
        <v>1914</v>
      </c>
      <c r="AA558" t="s">
        <v>963</v>
      </c>
      <c r="AB558" t="s">
        <v>2520</v>
      </c>
      <c r="AC558" t="s">
        <v>633</v>
      </c>
      <c r="AD558" t="s">
        <v>2171</v>
      </c>
      <c r="AE558" t="s">
        <v>3912</v>
      </c>
      <c r="AF558">
        <v>0.70304863760000003</v>
      </c>
    </row>
    <row r="559" spans="1:32" x14ac:dyDescent="0.25">
      <c r="A559" s="56">
        <v>2418610</v>
      </c>
      <c r="B559" s="56" t="s">
        <v>1964</v>
      </c>
      <c r="C559" s="56" t="s">
        <v>3913</v>
      </c>
      <c r="D559" s="57">
        <v>91.903000000000006</v>
      </c>
      <c r="E559" s="58">
        <v>782</v>
      </c>
      <c r="F559" s="57">
        <v>0.78200000000000003</v>
      </c>
      <c r="G559" s="56" t="s">
        <v>392</v>
      </c>
      <c r="H559" s="56" t="s">
        <v>2511</v>
      </c>
      <c r="I559" s="56" t="s">
        <v>362</v>
      </c>
      <c r="J559" s="56" t="s">
        <v>3816</v>
      </c>
      <c r="K559" s="57">
        <v>413.53800000000001</v>
      </c>
      <c r="L559" s="56" t="s">
        <v>1914</v>
      </c>
      <c r="M559" s="56" t="s">
        <v>1123</v>
      </c>
      <c r="N559" s="56" t="s">
        <v>71</v>
      </c>
      <c r="O559" s="58">
        <v>181</v>
      </c>
      <c r="P559" s="59" t="s">
        <v>2524</v>
      </c>
      <c r="Q559" s="56" t="s">
        <v>2516</v>
      </c>
      <c r="U559" s="52">
        <v>1405729</v>
      </c>
      <c r="V559">
        <v>22.2</v>
      </c>
      <c r="W559">
        <v>0</v>
      </c>
      <c r="X559">
        <v>2</v>
      </c>
      <c r="Y559">
        <v>0.70799999999999996</v>
      </c>
      <c r="Z559" t="s">
        <v>1914</v>
      </c>
      <c r="AA559" t="s">
        <v>963</v>
      </c>
      <c r="AB559" t="s">
        <v>2520</v>
      </c>
      <c r="AC559" t="s">
        <v>633</v>
      </c>
      <c r="AD559" t="s">
        <v>2171</v>
      </c>
      <c r="AE559" t="s">
        <v>3914</v>
      </c>
      <c r="AF559">
        <v>0.70504027680000003</v>
      </c>
    </row>
    <row r="560" spans="1:32" x14ac:dyDescent="0.25">
      <c r="A560" s="56">
        <v>2418610</v>
      </c>
      <c r="B560" s="56" t="s">
        <v>1964</v>
      </c>
      <c r="C560" s="56" t="s">
        <v>3915</v>
      </c>
      <c r="D560" s="57">
        <v>8.2270000000000003</v>
      </c>
      <c r="E560" s="58">
        <v>70</v>
      </c>
      <c r="F560" s="57">
        <v>7.0000000000000007E-2</v>
      </c>
      <c r="G560" s="56" t="s">
        <v>392</v>
      </c>
      <c r="H560" s="56" t="s">
        <v>2511</v>
      </c>
      <c r="I560" s="56" t="s">
        <v>362</v>
      </c>
      <c r="J560" s="56" t="s">
        <v>3091</v>
      </c>
      <c r="K560" s="57">
        <v>37.017000000000003</v>
      </c>
      <c r="L560" s="56" t="s">
        <v>1914</v>
      </c>
      <c r="M560" s="56" t="s">
        <v>1123</v>
      </c>
      <c r="N560" s="56" t="s">
        <v>71</v>
      </c>
      <c r="O560" s="58">
        <v>181</v>
      </c>
      <c r="P560" s="59" t="s">
        <v>2524</v>
      </c>
      <c r="Q560" s="56" t="s">
        <v>2516</v>
      </c>
      <c r="U560" s="52">
        <v>288719</v>
      </c>
      <c r="V560">
        <v>22.2</v>
      </c>
      <c r="W560">
        <v>0</v>
      </c>
      <c r="X560">
        <v>2</v>
      </c>
      <c r="Y560">
        <v>0.71499999999999997</v>
      </c>
      <c r="Z560" t="s">
        <v>2821</v>
      </c>
      <c r="AA560" t="s">
        <v>963</v>
      </c>
      <c r="AB560" t="s">
        <v>2520</v>
      </c>
      <c r="AC560" t="s">
        <v>633</v>
      </c>
      <c r="AD560" t="s">
        <v>2171</v>
      </c>
      <c r="AE560" t="s">
        <v>3916</v>
      </c>
      <c r="AF560">
        <v>0.712011014</v>
      </c>
    </row>
    <row r="561" spans="1:32" x14ac:dyDescent="0.25">
      <c r="A561" s="56">
        <v>2418610</v>
      </c>
      <c r="B561" s="56" t="s">
        <v>1964</v>
      </c>
      <c r="C561" s="56" t="s">
        <v>3917</v>
      </c>
      <c r="D561" s="57">
        <v>207.54499999999999</v>
      </c>
      <c r="E561" s="58">
        <v>1766</v>
      </c>
      <c r="F561" s="57">
        <v>1.766</v>
      </c>
      <c r="G561" s="56" t="s">
        <v>392</v>
      </c>
      <c r="H561" s="56" t="s">
        <v>2511</v>
      </c>
      <c r="I561" s="56" t="s">
        <v>362</v>
      </c>
      <c r="J561" s="56" t="s">
        <v>2544</v>
      </c>
      <c r="K561" s="57">
        <v>933.89700000000005</v>
      </c>
      <c r="L561" s="56" t="s">
        <v>1914</v>
      </c>
      <c r="M561" s="56" t="s">
        <v>1123</v>
      </c>
      <c r="N561" s="56" t="s">
        <v>71</v>
      </c>
      <c r="O561" s="58">
        <v>46</v>
      </c>
      <c r="P561" s="59" t="s">
        <v>2532</v>
      </c>
      <c r="Q561" s="56" t="s">
        <v>2516</v>
      </c>
      <c r="U561" s="52">
        <v>3506173</v>
      </c>
      <c r="V561">
        <v>22.2</v>
      </c>
      <c r="W561">
        <v>0</v>
      </c>
      <c r="X561">
        <v>2</v>
      </c>
      <c r="Y561">
        <v>0.71499999999999997</v>
      </c>
      <c r="Z561" t="s">
        <v>1914</v>
      </c>
      <c r="AA561" t="s">
        <v>963</v>
      </c>
      <c r="AB561" t="s">
        <v>2520</v>
      </c>
      <c r="AC561" t="s">
        <v>633</v>
      </c>
      <c r="AD561" t="s">
        <v>2171</v>
      </c>
      <c r="AE561" t="s">
        <v>3916</v>
      </c>
      <c r="AF561">
        <v>0.712011014</v>
      </c>
    </row>
    <row r="562" spans="1:32" x14ac:dyDescent="0.25">
      <c r="A562" s="56">
        <v>2418610</v>
      </c>
      <c r="B562" s="56" t="s">
        <v>1964</v>
      </c>
      <c r="C562" s="56" t="s">
        <v>3918</v>
      </c>
      <c r="D562" s="57">
        <v>139.14699999999999</v>
      </c>
      <c r="E562" s="58">
        <v>1184</v>
      </c>
      <c r="F562" s="57">
        <v>1.1839999999999999</v>
      </c>
      <c r="G562" s="56" t="s">
        <v>392</v>
      </c>
      <c r="H562" s="56" t="s">
        <v>2511</v>
      </c>
      <c r="I562" s="56" t="s">
        <v>362</v>
      </c>
      <c r="J562" s="56" t="s">
        <v>3919</v>
      </c>
      <c r="K562" s="57">
        <v>626.12400000000002</v>
      </c>
      <c r="L562" s="56" t="s">
        <v>1914</v>
      </c>
      <c r="M562" s="56" t="s">
        <v>1123</v>
      </c>
      <c r="N562" s="56" t="s">
        <v>71</v>
      </c>
      <c r="O562" s="58">
        <v>27</v>
      </c>
      <c r="P562" s="59" t="s">
        <v>2515</v>
      </c>
      <c r="Q562" s="56" t="s">
        <v>2516</v>
      </c>
      <c r="U562" s="52">
        <v>3781596</v>
      </c>
      <c r="V562">
        <v>22.2</v>
      </c>
      <c r="W562">
        <v>0</v>
      </c>
      <c r="X562">
        <v>2</v>
      </c>
      <c r="Y562">
        <v>0.71499999999999997</v>
      </c>
      <c r="Z562" t="s">
        <v>2821</v>
      </c>
      <c r="AA562" t="s">
        <v>963</v>
      </c>
      <c r="AB562" t="s">
        <v>2520</v>
      </c>
      <c r="AC562" t="s">
        <v>633</v>
      </c>
      <c r="AD562" t="s">
        <v>2171</v>
      </c>
      <c r="AF562">
        <v>0.712011014</v>
      </c>
    </row>
    <row r="563" spans="1:32" x14ac:dyDescent="0.25">
      <c r="A563" s="56">
        <v>2418610</v>
      </c>
      <c r="B563" s="56" t="s">
        <v>1964</v>
      </c>
      <c r="C563" s="56" t="s">
        <v>3920</v>
      </c>
      <c r="D563" s="57">
        <v>190.857</v>
      </c>
      <c r="E563" s="58">
        <v>1624</v>
      </c>
      <c r="F563" s="57">
        <v>1.6240000000000001</v>
      </c>
      <c r="G563" s="56" t="s">
        <v>392</v>
      </c>
      <c r="H563" s="56" t="s">
        <v>2511</v>
      </c>
      <c r="I563" s="56" t="s">
        <v>362</v>
      </c>
      <c r="J563" s="56" t="s">
        <v>3921</v>
      </c>
      <c r="K563" s="57">
        <v>858.80499999999995</v>
      </c>
      <c r="L563" s="56" t="s">
        <v>1914</v>
      </c>
      <c r="M563" s="56" t="s">
        <v>1123</v>
      </c>
      <c r="N563" s="56" t="s">
        <v>71</v>
      </c>
      <c r="O563" s="58">
        <v>39</v>
      </c>
      <c r="P563" s="59" t="s">
        <v>2532</v>
      </c>
      <c r="Q563" s="56" t="s">
        <v>2516</v>
      </c>
      <c r="U563" s="52">
        <v>3775108</v>
      </c>
      <c r="V563">
        <v>22.2</v>
      </c>
      <c r="W563">
        <v>0</v>
      </c>
      <c r="X563">
        <v>2</v>
      </c>
      <c r="Y563">
        <v>0.77200000000000002</v>
      </c>
      <c r="Z563" t="s">
        <v>1914</v>
      </c>
      <c r="AA563" t="s">
        <v>963</v>
      </c>
      <c r="AB563" t="s">
        <v>2520</v>
      </c>
      <c r="AC563" t="s">
        <v>633</v>
      </c>
      <c r="AD563" t="s">
        <v>2171</v>
      </c>
      <c r="AE563" t="s">
        <v>3922</v>
      </c>
      <c r="AF563">
        <v>0.7687727312</v>
      </c>
    </row>
    <row r="564" spans="1:32" x14ac:dyDescent="0.25">
      <c r="A564" s="56">
        <v>2418610</v>
      </c>
      <c r="B564" s="56" t="s">
        <v>1964</v>
      </c>
      <c r="C564" s="56" t="s">
        <v>3923</v>
      </c>
      <c r="D564" s="57">
        <v>192.03200000000001</v>
      </c>
      <c r="E564" s="58">
        <v>1634</v>
      </c>
      <c r="F564" s="57">
        <v>1.6339999999999999</v>
      </c>
      <c r="G564" s="56" t="s">
        <v>392</v>
      </c>
      <c r="H564" s="56" t="s">
        <v>2511</v>
      </c>
      <c r="I564" s="56" t="s">
        <v>362</v>
      </c>
      <c r="J564" s="56" t="s">
        <v>3798</v>
      </c>
      <c r="K564" s="57">
        <v>864.09299999999996</v>
      </c>
      <c r="L564" s="56" t="s">
        <v>1914</v>
      </c>
      <c r="M564" s="56" t="s">
        <v>1123</v>
      </c>
      <c r="N564" s="56" t="s">
        <v>71</v>
      </c>
      <c r="O564" s="58">
        <v>40</v>
      </c>
      <c r="P564" s="59" t="s">
        <v>2532</v>
      </c>
      <c r="Q564" s="56" t="s">
        <v>2516</v>
      </c>
      <c r="U564" s="52">
        <v>1936862</v>
      </c>
      <c r="V564">
        <v>22.2</v>
      </c>
      <c r="W564">
        <v>0</v>
      </c>
      <c r="X564">
        <v>2</v>
      </c>
      <c r="Y564">
        <v>0.80500000000000005</v>
      </c>
      <c r="Z564" t="s">
        <v>1883</v>
      </c>
      <c r="AA564" t="s">
        <v>963</v>
      </c>
      <c r="AB564" t="s">
        <v>2520</v>
      </c>
      <c r="AC564" t="s">
        <v>633</v>
      </c>
      <c r="AD564" t="s">
        <v>2171</v>
      </c>
      <c r="AE564" t="s">
        <v>746</v>
      </c>
      <c r="AF564">
        <v>0.80163477800000005</v>
      </c>
    </row>
    <row r="565" spans="1:32" x14ac:dyDescent="0.25">
      <c r="A565" s="56">
        <v>2418610</v>
      </c>
      <c r="B565" s="56" t="s">
        <v>1964</v>
      </c>
      <c r="C565" s="56" t="s">
        <v>3924</v>
      </c>
      <c r="D565" s="57">
        <v>189.79900000000001</v>
      </c>
      <c r="E565" s="58">
        <v>1615</v>
      </c>
      <c r="F565" s="57">
        <v>1.615</v>
      </c>
      <c r="G565" s="56" t="s">
        <v>392</v>
      </c>
      <c r="H565" s="56" t="s">
        <v>2511</v>
      </c>
      <c r="I565" s="56" t="s">
        <v>362</v>
      </c>
      <c r="J565" s="56" t="s">
        <v>3925</v>
      </c>
      <c r="K565" s="57">
        <v>854.04499999999996</v>
      </c>
      <c r="L565" s="56" t="s">
        <v>1914</v>
      </c>
      <c r="M565" s="56" t="s">
        <v>1123</v>
      </c>
      <c r="N565" s="56" t="s">
        <v>71</v>
      </c>
      <c r="O565" s="58">
        <v>40</v>
      </c>
      <c r="P565" s="59" t="s">
        <v>2532</v>
      </c>
      <c r="Q565" s="56" t="s">
        <v>2516</v>
      </c>
      <c r="U565" s="52">
        <v>3694069</v>
      </c>
      <c r="V565">
        <v>22.2</v>
      </c>
      <c r="W565">
        <v>0</v>
      </c>
      <c r="X565">
        <v>2</v>
      </c>
      <c r="Y565">
        <v>0.80500000000000005</v>
      </c>
      <c r="Z565" t="s">
        <v>1891</v>
      </c>
      <c r="AA565" t="s">
        <v>963</v>
      </c>
      <c r="AB565" t="s">
        <v>2520</v>
      </c>
      <c r="AC565" t="s">
        <v>633</v>
      </c>
      <c r="AD565" t="s">
        <v>2171</v>
      </c>
      <c r="AE565" t="s">
        <v>746</v>
      </c>
      <c r="AF565">
        <v>0.80163477800000005</v>
      </c>
    </row>
    <row r="566" spans="1:32" x14ac:dyDescent="0.25">
      <c r="A566" s="56">
        <v>2418610</v>
      </c>
      <c r="B566" s="56" t="s">
        <v>1964</v>
      </c>
      <c r="C566" s="56" t="s">
        <v>3926</v>
      </c>
      <c r="D566" s="57">
        <v>196.49799999999999</v>
      </c>
      <c r="E566" s="58">
        <v>1672</v>
      </c>
      <c r="F566" s="57">
        <v>1.6719999999999999</v>
      </c>
      <c r="G566" s="56" t="s">
        <v>392</v>
      </c>
      <c r="H566" s="56" t="s">
        <v>2511</v>
      </c>
      <c r="I566" s="56" t="s">
        <v>362</v>
      </c>
      <c r="J566" s="56" t="s">
        <v>3413</v>
      </c>
      <c r="K566" s="57">
        <v>884.18799999999999</v>
      </c>
      <c r="L566" s="56" t="s">
        <v>1914</v>
      </c>
      <c r="M566" s="56" t="s">
        <v>1123</v>
      </c>
      <c r="N566" s="56" t="s">
        <v>71</v>
      </c>
      <c r="O566" s="58">
        <v>40</v>
      </c>
      <c r="P566" s="59" t="s">
        <v>2532</v>
      </c>
      <c r="Q566" s="56" t="s">
        <v>2516</v>
      </c>
      <c r="U566" s="52">
        <v>437135</v>
      </c>
      <c r="V566">
        <v>22.2</v>
      </c>
      <c r="W566">
        <v>0</v>
      </c>
      <c r="X566">
        <v>2</v>
      </c>
      <c r="Y566">
        <v>0.80900000000000005</v>
      </c>
      <c r="Z566" t="s">
        <v>2821</v>
      </c>
      <c r="AA566" t="s">
        <v>963</v>
      </c>
      <c r="AB566" t="s">
        <v>2520</v>
      </c>
      <c r="AC566" t="s">
        <v>633</v>
      </c>
      <c r="AD566" t="s">
        <v>2171</v>
      </c>
      <c r="AE566" t="s">
        <v>765</v>
      </c>
      <c r="AF566">
        <v>0.80561805640000006</v>
      </c>
    </row>
    <row r="567" spans="1:32" x14ac:dyDescent="0.25">
      <c r="A567" s="56">
        <v>2418610</v>
      </c>
      <c r="B567" s="56" t="s">
        <v>1964</v>
      </c>
      <c r="C567" s="56" t="s">
        <v>3927</v>
      </c>
      <c r="D567" s="57">
        <v>197.55600000000001</v>
      </c>
      <c r="E567" s="58">
        <v>1681</v>
      </c>
      <c r="F567" s="57">
        <v>1.681</v>
      </c>
      <c r="G567" s="56" t="s">
        <v>392</v>
      </c>
      <c r="H567" s="56" t="s">
        <v>2511</v>
      </c>
      <c r="I567" s="56" t="s">
        <v>362</v>
      </c>
      <c r="J567" s="56" t="s">
        <v>3928</v>
      </c>
      <c r="K567" s="57">
        <v>888.94799999999998</v>
      </c>
      <c r="L567" s="56" t="s">
        <v>1914</v>
      </c>
      <c r="M567" s="56" t="s">
        <v>1123</v>
      </c>
      <c r="N567" s="56" t="s">
        <v>71</v>
      </c>
      <c r="O567" s="58">
        <v>40</v>
      </c>
      <c r="P567" s="59" t="s">
        <v>2532</v>
      </c>
      <c r="Q567" s="56" t="s">
        <v>2516</v>
      </c>
      <c r="U567" s="52">
        <v>319684</v>
      </c>
      <c r="V567">
        <v>22.2</v>
      </c>
      <c r="W567">
        <v>0</v>
      </c>
      <c r="X567">
        <v>2</v>
      </c>
      <c r="Y567">
        <v>0.81499999999999995</v>
      </c>
      <c r="Z567" t="s">
        <v>2821</v>
      </c>
      <c r="AA567" t="s">
        <v>963</v>
      </c>
      <c r="AB567" t="s">
        <v>2520</v>
      </c>
      <c r="AC567" t="s">
        <v>633</v>
      </c>
      <c r="AD567" t="s">
        <v>2171</v>
      </c>
      <c r="AE567" t="s">
        <v>635</v>
      </c>
      <c r="AF567">
        <v>0.81159297399999997</v>
      </c>
    </row>
    <row r="568" spans="1:32" x14ac:dyDescent="0.25">
      <c r="A568" s="56">
        <v>2418610</v>
      </c>
      <c r="B568" s="56" t="s">
        <v>1964</v>
      </c>
      <c r="C568" s="56" t="s">
        <v>3929</v>
      </c>
      <c r="D568" s="57">
        <v>190.857</v>
      </c>
      <c r="E568" s="58">
        <v>1624</v>
      </c>
      <c r="F568" s="57">
        <v>1.6240000000000001</v>
      </c>
      <c r="G568" s="56" t="s">
        <v>392</v>
      </c>
      <c r="H568" s="56" t="s">
        <v>2511</v>
      </c>
      <c r="I568" s="56" t="s">
        <v>362</v>
      </c>
      <c r="J568" s="56" t="s">
        <v>3921</v>
      </c>
      <c r="K568" s="57">
        <v>858.80499999999995</v>
      </c>
      <c r="L568" s="56" t="s">
        <v>1914</v>
      </c>
      <c r="M568" s="56" t="s">
        <v>1123</v>
      </c>
      <c r="N568" s="56" t="s">
        <v>71</v>
      </c>
      <c r="O568" s="58">
        <v>39</v>
      </c>
      <c r="P568" s="59" t="s">
        <v>2532</v>
      </c>
      <c r="Q568" s="56" t="s">
        <v>2516</v>
      </c>
      <c r="U568" s="52">
        <v>3781605</v>
      </c>
      <c r="V568">
        <v>22.2</v>
      </c>
      <c r="W568">
        <v>0</v>
      </c>
      <c r="X568">
        <v>2</v>
      </c>
      <c r="Y568">
        <v>0.81499999999999995</v>
      </c>
      <c r="Z568" t="s">
        <v>2821</v>
      </c>
      <c r="AA568" t="s">
        <v>963</v>
      </c>
      <c r="AB568" t="s">
        <v>2520</v>
      </c>
      <c r="AC568" t="s">
        <v>633</v>
      </c>
      <c r="AD568" t="s">
        <v>2171</v>
      </c>
      <c r="AE568" t="s">
        <v>635</v>
      </c>
      <c r="AF568">
        <v>0.81159297399999997</v>
      </c>
    </row>
    <row r="569" spans="1:32" x14ac:dyDescent="0.25">
      <c r="A569" s="56">
        <v>2418610</v>
      </c>
      <c r="B569" s="56" t="s">
        <v>1964</v>
      </c>
      <c r="C569" s="56" t="s">
        <v>3930</v>
      </c>
      <c r="D569" s="57">
        <v>184.27500000000001</v>
      </c>
      <c r="E569" s="58">
        <v>1568</v>
      </c>
      <c r="F569" s="57">
        <v>1.5680000000000001</v>
      </c>
      <c r="G569" s="56" t="s">
        <v>392</v>
      </c>
      <c r="H569" s="56" t="s">
        <v>2511</v>
      </c>
      <c r="I569" s="56" t="s">
        <v>362</v>
      </c>
      <c r="J569" s="56" t="s">
        <v>3931</v>
      </c>
      <c r="K569" s="57">
        <v>829.19100000000003</v>
      </c>
      <c r="L569" s="56" t="s">
        <v>1914</v>
      </c>
      <c r="M569" s="56" t="s">
        <v>1123</v>
      </c>
      <c r="N569" s="56" t="s">
        <v>71</v>
      </c>
      <c r="O569" s="58">
        <v>40</v>
      </c>
      <c r="P569" s="59" t="s">
        <v>2532</v>
      </c>
      <c r="Q569" s="56" t="s">
        <v>2516</v>
      </c>
      <c r="U569" s="52">
        <v>1140411</v>
      </c>
      <c r="V569">
        <v>22.2</v>
      </c>
      <c r="W569">
        <v>0</v>
      </c>
      <c r="X569">
        <v>2</v>
      </c>
      <c r="Y569">
        <v>0.85099999999999998</v>
      </c>
      <c r="Z569" t="s">
        <v>1914</v>
      </c>
      <c r="AA569" t="s">
        <v>963</v>
      </c>
      <c r="AB569" t="s">
        <v>2520</v>
      </c>
      <c r="AC569" t="s">
        <v>633</v>
      </c>
      <c r="AD569" t="s">
        <v>2171</v>
      </c>
      <c r="AE569" t="s">
        <v>3932</v>
      </c>
      <c r="AF569">
        <v>0.84744247959999996</v>
      </c>
    </row>
    <row r="570" spans="1:32" x14ac:dyDescent="0.25">
      <c r="A570" s="56">
        <v>2418610</v>
      </c>
      <c r="B570" s="56" t="s">
        <v>1964</v>
      </c>
      <c r="C570" s="56" t="s">
        <v>3933</v>
      </c>
      <c r="D570" s="57">
        <v>89.905000000000001</v>
      </c>
      <c r="E570" s="58">
        <v>765</v>
      </c>
      <c r="F570" s="57">
        <v>0.76500000000000001</v>
      </c>
      <c r="G570" s="56" t="s">
        <v>392</v>
      </c>
      <c r="H570" s="56" t="s">
        <v>2511</v>
      </c>
      <c r="I570" s="56" t="s">
        <v>362</v>
      </c>
      <c r="J570" s="56" t="s">
        <v>3816</v>
      </c>
      <c r="K570" s="57">
        <v>404.548</v>
      </c>
      <c r="L570" s="56" t="s">
        <v>1914</v>
      </c>
      <c r="M570" s="56" t="s">
        <v>1123</v>
      </c>
      <c r="N570" s="56" t="s">
        <v>71</v>
      </c>
      <c r="O570" s="58">
        <v>47</v>
      </c>
      <c r="P570" s="59" t="s">
        <v>2532</v>
      </c>
      <c r="Q570" s="56" t="s">
        <v>2516</v>
      </c>
      <c r="U570" s="52">
        <v>3673949</v>
      </c>
      <c r="V570">
        <v>22.2</v>
      </c>
      <c r="W570">
        <v>0</v>
      </c>
      <c r="X570">
        <v>2</v>
      </c>
      <c r="Y570">
        <v>0.85099999999999998</v>
      </c>
      <c r="Z570" t="s">
        <v>1891</v>
      </c>
      <c r="AA570" t="s">
        <v>963</v>
      </c>
      <c r="AB570" t="s">
        <v>2520</v>
      </c>
      <c r="AC570" t="s">
        <v>633</v>
      </c>
      <c r="AD570" t="s">
        <v>2171</v>
      </c>
      <c r="AE570" t="s">
        <v>3932</v>
      </c>
      <c r="AF570">
        <v>0.84744247959999996</v>
      </c>
    </row>
    <row r="571" spans="1:32" x14ac:dyDescent="0.25">
      <c r="A571" s="56">
        <v>2418610</v>
      </c>
      <c r="B571" s="56" t="s">
        <v>1964</v>
      </c>
      <c r="C571" s="56" t="s">
        <v>3934</v>
      </c>
      <c r="D571" s="57">
        <v>91.903000000000006</v>
      </c>
      <c r="E571" s="58">
        <v>782</v>
      </c>
      <c r="F571" s="57">
        <v>0.78200000000000003</v>
      </c>
      <c r="G571" s="56" t="s">
        <v>392</v>
      </c>
      <c r="H571" s="56" t="s">
        <v>2511</v>
      </c>
      <c r="I571" s="56" t="s">
        <v>362</v>
      </c>
      <c r="J571" s="56" t="s">
        <v>3816</v>
      </c>
      <c r="K571" s="57">
        <v>413.53800000000001</v>
      </c>
      <c r="L571" s="56" t="s">
        <v>1914</v>
      </c>
      <c r="M571" s="56" t="s">
        <v>1123</v>
      </c>
      <c r="N571" s="56" t="s">
        <v>71</v>
      </c>
      <c r="O571" s="58">
        <v>47</v>
      </c>
      <c r="P571" s="59" t="s">
        <v>2532</v>
      </c>
      <c r="Q571" s="56" t="s">
        <v>2516</v>
      </c>
      <c r="U571" s="52">
        <v>3508391</v>
      </c>
      <c r="V571">
        <v>22.2</v>
      </c>
      <c r="W571">
        <v>0</v>
      </c>
      <c r="X571">
        <v>2</v>
      </c>
      <c r="Y571">
        <v>0.86199999999999999</v>
      </c>
      <c r="Z571" t="s">
        <v>1914</v>
      </c>
      <c r="AA571" t="s">
        <v>963</v>
      </c>
      <c r="AB571" t="s">
        <v>2520</v>
      </c>
      <c r="AC571" t="s">
        <v>633</v>
      </c>
      <c r="AD571" t="s">
        <v>2171</v>
      </c>
      <c r="AE571" t="s">
        <v>2319</v>
      </c>
      <c r="AF571">
        <v>0.85839649520000005</v>
      </c>
    </row>
    <row r="572" spans="1:32" x14ac:dyDescent="0.25">
      <c r="A572" s="56">
        <v>2418610</v>
      </c>
      <c r="B572" s="56" t="s">
        <v>1964</v>
      </c>
      <c r="C572" s="56" t="s">
        <v>3935</v>
      </c>
      <c r="D572" s="57">
        <v>12.222</v>
      </c>
      <c r="E572" s="58">
        <v>104</v>
      </c>
      <c r="F572" s="57">
        <v>0.104</v>
      </c>
      <c r="G572" s="56" t="s">
        <v>392</v>
      </c>
      <c r="H572" s="56" t="s">
        <v>2511</v>
      </c>
      <c r="I572" s="56" t="s">
        <v>362</v>
      </c>
      <c r="J572" s="56" t="s">
        <v>2919</v>
      </c>
      <c r="K572" s="57">
        <v>54.997</v>
      </c>
      <c r="L572" s="56" t="s">
        <v>1914</v>
      </c>
      <c r="M572" s="56" t="s">
        <v>1123</v>
      </c>
      <c r="N572" s="56" t="s">
        <v>71</v>
      </c>
      <c r="O572" s="58">
        <v>47</v>
      </c>
      <c r="P572" s="59" t="s">
        <v>2532</v>
      </c>
      <c r="Q572" s="56" t="s">
        <v>2516</v>
      </c>
      <c r="U572" s="52">
        <v>1361680</v>
      </c>
      <c r="V572">
        <v>22.2</v>
      </c>
      <c r="W572">
        <v>0</v>
      </c>
      <c r="X572">
        <v>2</v>
      </c>
      <c r="Y572">
        <v>0.86199999999999999</v>
      </c>
      <c r="Z572" t="s">
        <v>1914</v>
      </c>
      <c r="AA572" t="s">
        <v>963</v>
      </c>
      <c r="AB572" t="s">
        <v>2520</v>
      </c>
      <c r="AC572" t="s">
        <v>633</v>
      </c>
      <c r="AD572" t="s">
        <v>2171</v>
      </c>
      <c r="AE572" t="s">
        <v>2319</v>
      </c>
      <c r="AF572">
        <v>0.85839649520000005</v>
      </c>
    </row>
    <row r="573" spans="1:32" x14ac:dyDescent="0.25">
      <c r="A573" s="56">
        <v>2418610</v>
      </c>
      <c r="B573" s="56" t="s">
        <v>1964</v>
      </c>
      <c r="C573" s="56" t="s">
        <v>3936</v>
      </c>
      <c r="D573" s="57">
        <v>37.841999999999999</v>
      </c>
      <c r="E573" s="58">
        <v>322</v>
      </c>
      <c r="F573" s="57">
        <v>0.32200000000000001</v>
      </c>
      <c r="G573" s="56" t="s">
        <v>392</v>
      </c>
      <c r="H573" s="56" t="s">
        <v>2511</v>
      </c>
      <c r="I573" s="56" t="s">
        <v>362</v>
      </c>
      <c r="J573" s="56" t="s">
        <v>3937</v>
      </c>
      <c r="K573" s="57">
        <v>170.28</v>
      </c>
      <c r="L573" s="56" t="s">
        <v>1914</v>
      </c>
      <c r="M573" s="56" t="s">
        <v>1123</v>
      </c>
      <c r="N573" s="56" t="s">
        <v>71</v>
      </c>
      <c r="O573" s="58">
        <v>47</v>
      </c>
      <c r="P573" s="59" t="s">
        <v>2532</v>
      </c>
      <c r="Q573" s="56" t="s">
        <v>2516</v>
      </c>
      <c r="U573" s="52">
        <v>1455510</v>
      </c>
      <c r="V573">
        <v>22.2</v>
      </c>
      <c r="W573">
        <v>0</v>
      </c>
      <c r="X573">
        <v>2</v>
      </c>
      <c r="Y573">
        <v>1.325</v>
      </c>
      <c r="Z573" t="s">
        <v>1914</v>
      </c>
      <c r="AA573" t="s">
        <v>963</v>
      </c>
      <c r="AB573" t="s">
        <v>2520</v>
      </c>
      <c r="AC573" t="s">
        <v>633</v>
      </c>
      <c r="AD573" t="s">
        <v>2171</v>
      </c>
      <c r="AE573" t="s">
        <v>776</v>
      </c>
      <c r="AF573">
        <v>1.31946097</v>
      </c>
    </row>
    <row r="574" spans="1:32" x14ac:dyDescent="0.25">
      <c r="A574" s="56">
        <v>2418610</v>
      </c>
      <c r="B574" s="56" t="s">
        <v>1964</v>
      </c>
      <c r="C574" s="56" t="s">
        <v>3938</v>
      </c>
      <c r="D574" s="57">
        <v>96.838999999999999</v>
      </c>
      <c r="E574" s="58">
        <v>824</v>
      </c>
      <c r="F574" s="57">
        <v>0.82399999999999995</v>
      </c>
      <c r="G574" s="56" t="s">
        <v>392</v>
      </c>
      <c r="H574" s="56" t="s">
        <v>2511</v>
      </c>
      <c r="I574" s="56" t="s">
        <v>362</v>
      </c>
      <c r="J574" s="56" t="s">
        <v>3769</v>
      </c>
      <c r="K574" s="57">
        <v>435.74799999999999</v>
      </c>
      <c r="L574" s="56" t="s">
        <v>1914</v>
      </c>
      <c r="M574" s="56" t="s">
        <v>1123</v>
      </c>
      <c r="N574" s="56" t="s">
        <v>71</v>
      </c>
      <c r="O574" s="58">
        <v>46</v>
      </c>
      <c r="P574" s="59" t="s">
        <v>2532</v>
      </c>
      <c r="Q574" s="56" t="s">
        <v>2516</v>
      </c>
      <c r="U574" s="52">
        <v>3697417</v>
      </c>
      <c r="V574">
        <v>22.2</v>
      </c>
      <c r="W574">
        <v>0</v>
      </c>
      <c r="X574">
        <v>2</v>
      </c>
      <c r="Y574">
        <v>1.385</v>
      </c>
      <c r="Z574" t="s">
        <v>2821</v>
      </c>
      <c r="AA574" t="s">
        <v>963</v>
      </c>
      <c r="AB574" t="s">
        <v>2520</v>
      </c>
      <c r="AC574" t="s">
        <v>633</v>
      </c>
      <c r="AD574" t="s">
        <v>2171</v>
      </c>
      <c r="AE574" t="s">
        <v>3939</v>
      </c>
      <c r="AF574">
        <v>1.3792101460000001</v>
      </c>
    </row>
    <row r="575" spans="1:32" x14ac:dyDescent="0.25">
      <c r="A575" s="56">
        <v>2418610</v>
      </c>
      <c r="B575" s="56" t="s">
        <v>1964</v>
      </c>
      <c r="C575" s="56" t="s">
        <v>3940</v>
      </c>
      <c r="D575" s="57">
        <v>99.659000000000006</v>
      </c>
      <c r="E575" s="58">
        <v>848</v>
      </c>
      <c r="F575" s="57">
        <v>0.84799999999999998</v>
      </c>
      <c r="G575" s="56" t="s">
        <v>392</v>
      </c>
      <c r="H575" s="56" t="s">
        <v>2511</v>
      </c>
      <c r="I575" s="56" t="s">
        <v>362</v>
      </c>
      <c r="J575" s="56" t="s">
        <v>3769</v>
      </c>
      <c r="K575" s="57">
        <v>448.44</v>
      </c>
      <c r="L575" s="56" t="s">
        <v>1914</v>
      </c>
      <c r="M575" s="56" t="s">
        <v>1123</v>
      </c>
      <c r="N575" s="56" t="s">
        <v>71</v>
      </c>
      <c r="O575" s="58">
        <v>46</v>
      </c>
      <c r="P575" s="59" t="s">
        <v>2532</v>
      </c>
      <c r="Q575" s="56" t="s">
        <v>2516</v>
      </c>
      <c r="U575" s="52">
        <v>3500554</v>
      </c>
      <c r="V575">
        <v>22.2</v>
      </c>
      <c r="W575">
        <v>0</v>
      </c>
      <c r="X575">
        <v>2</v>
      </c>
      <c r="Y575">
        <v>5.0999999999999996</v>
      </c>
      <c r="Z575" t="s">
        <v>1914</v>
      </c>
      <c r="AA575" t="s">
        <v>963</v>
      </c>
      <c r="AB575" t="s">
        <v>2520</v>
      </c>
      <c r="AC575" t="s">
        <v>633</v>
      </c>
      <c r="AD575" t="s">
        <v>1838</v>
      </c>
      <c r="AE575" t="s">
        <v>782</v>
      </c>
      <c r="AF575">
        <v>0.99581960000000003</v>
      </c>
    </row>
    <row r="576" spans="1:32" x14ac:dyDescent="0.25">
      <c r="A576" s="56">
        <v>2418610</v>
      </c>
      <c r="B576" s="56" t="s">
        <v>1964</v>
      </c>
      <c r="C576" s="56" t="s">
        <v>3941</v>
      </c>
      <c r="D576" s="57">
        <v>67.457999999999998</v>
      </c>
      <c r="E576" s="58">
        <v>574</v>
      </c>
      <c r="F576" s="57">
        <v>0.57399999999999995</v>
      </c>
      <c r="G576" s="56" t="s">
        <v>392</v>
      </c>
      <c r="H576" s="56" t="s">
        <v>2511</v>
      </c>
      <c r="I576" s="56" t="s">
        <v>362</v>
      </c>
      <c r="J576" s="56" t="s">
        <v>3942</v>
      </c>
      <c r="K576" s="57">
        <v>303.54300000000001</v>
      </c>
      <c r="L576" s="56" t="s">
        <v>1914</v>
      </c>
      <c r="M576" s="56" t="s">
        <v>1123</v>
      </c>
      <c r="N576" s="56" t="s">
        <v>71</v>
      </c>
      <c r="O576" s="58">
        <v>46</v>
      </c>
      <c r="P576" s="59" t="s">
        <v>2532</v>
      </c>
      <c r="Q576" s="56" t="s">
        <v>2516</v>
      </c>
      <c r="U576" s="52">
        <v>3568328</v>
      </c>
      <c r="V576">
        <v>22.2</v>
      </c>
      <c r="W576">
        <v>0</v>
      </c>
      <c r="X576">
        <v>2</v>
      </c>
      <c r="Y576">
        <v>5.39</v>
      </c>
      <c r="Z576" t="s">
        <v>1914</v>
      </c>
      <c r="AA576" t="s">
        <v>1003</v>
      </c>
      <c r="AB576" t="s">
        <v>2520</v>
      </c>
      <c r="AC576" t="s">
        <v>562</v>
      </c>
      <c r="AD576" t="s">
        <v>1838</v>
      </c>
      <c r="AE576" t="s">
        <v>2322</v>
      </c>
      <c r="AF576">
        <v>0.99581960000000003</v>
      </c>
    </row>
    <row r="577" spans="1:32" x14ac:dyDescent="0.25">
      <c r="A577" s="56">
        <v>2418610</v>
      </c>
      <c r="B577" s="56" t="s">
        <v>1964</v>
      </c>
      <c r="C577" s="56" t="s">
        <v>3943</v>
      </c>
      <c r="D577" s="57">
        <v>91.08</v>
      </c>
      <c r="E577" s="58">
        <v>775</v>
      </c>
      <c r="F577" s="57">
        <v>0.77500000000000002</v>
      </c>
      <c r="G577" s="56" t="s">
        <v>392</v>
      </c>
      <c r="H577" s="56" t="s">
        <v>2511</v>
      </c>
      <c r="I577" s="56" t="s">
        <v>362</v>
      </c>
      <c r="J577" s="56" t="s">
        <v>3944</v>
      </c>
      <c r="K577" s="57">
        <v>409.83600000000001</v>
      </c>
      <c r="L577" s="56" t="s">
        <v>1914</v>
      </c>
      <c r="M577" s="56" t="s">
        <v>1123</v>
      </c>
      <c r="N577" s="56" t="s">
        <v>71</v>
      </c>
      <c r="O577" s="58">
        <v>40</v>
      </c>
      <c r="P577" s="59" t="s">
        <v>2532</v>
      </c>
      <c r="Q577" s="56" t="s">
        <v>2516</v>
      </c>
      <c r="U577" s="52">
        <v>3500471</v>
      </c>
      <c r="V577">
        <v>22.2</v>
      </c>
      <c r="W577">
        <v>0</v>
      </c>
      <c r="X577">
        <v>2</v>
      </c>
      <c r="Y577">
        <v>5.4</v>
      </c>
      <c r="Z577" t="s">
        <v>1914</v>
      </c>
      <c r="AA577" t="s">
        <v>963</v>
      </c>
      <c r="AB577" t="s">
        <v>2520</v>
      </c>
      <c r="AC577" t="s">
        <v>633</v>
      </c>
      <c r="AD577" t="s">
        <v>1838</v>
      </c>
      <c r="AE577" t="s">
        <v>782</v>
      </c>
      <c r="AF577">
        <v>0.99581960000000003</v>
      </c>
    </row>
    <row r="578" spans="1:32" x14ac:dyDescent="0.25">
      <c r="A578" s="56">
        <v>2418610</v>
      </c>
      <c r="B578" s="56" t="s">
        <v>1964</v>
      </c>
      <c r="C578" s="56" t="s">
        <v>3945</v>
      </c>
      <c r="D578" s="57">
        <v>92.138000000000005</v>
      </c>
      <c r="E578" s="58">
        <v>784</v>
      </c>
      <c r="F578" s="57">
        <v>0.78400000000000003</v>
      </c>
      <c r="G578" s="56" t="s">
        <v>392</v>
      </c>
      <c r="H578" s="56" t="s">
        <v>2511</v>
      </c>
      <c r="I578" s="56" t="s">
        <v>362</v>
      </c>
      <c r="J578" s="56" t="s">
        <v>3946</v>
      </c>
      <c r="K578" s="57">
        <v>414.59500000000003</v>
      </c>
      <c r="L578" s="56" t="s">
        <v>1914</v>
      </c>
      <c r="M578" s="56" t="s">
        <v>1123</v>
      </c>
      <c r="N578" s="56" t="s">
        <v>71</v>
      </c>
      <c r="O578" s="58">
        <v>40</v>
      </c>
      <c r="P578" s="59" t="s">
        <v>2532</v>
      </c>
      <c r="Q578" s="56" t="s">
        <v>2516</v>
      </c>
      <c r="U578" s="52">
        <v>1196779</v>
      </c>
      <c r="V578">
        <v>22.2</v>
      </c>
      <c r="W578">
        <v>0</v>
      </c>
      <c r="X578">
        <v>2</v>
      </c>
      <c r="Y578">
        <v>5.4</v>
      </c>
      <c r="Z578" t="s">
        <v>1914</v>
      </c>
      <c r="AA578" t="s">
        <v>963</v>
      </c>
      <c r="AB578" t="s">
        <v>2520</v>
      </c>
      <c r="AC578" t="s">
        <v>633</v>
      </c>
      <c r="AD578" t="s">
        <v>1838</v>
      </c>
      <c r="AE578" t="s">
        <v>782</v>
      </c>
      <c r="AF578">
        <v>0.99581960000000003</v>
      </c>
    </row>
    <row r="579" spans="1:32" x14ac:dyDescent="0.25">
      <c r="A579" s="56">
        <v>2418610</v>
      </c>
      <c r="B579" s="56" t="s">
        <v>1964</v>
      </c>
      <c r="C579" s="56" t="s">
        <v>3947</v>
      </c>
      <c r="D579" s="57">
        <v>8.9320000000000004</v>
      </c>
      <c r="E579" s="58">
        <v>76</v>
      </c>
      <c r="F579" s="57">
        <v>7.5999999999999998E-2</v>
      </c>
      <c r="G579" s="56" t="s">
        <v>392</v>
      </c>
      <c r="H579" s="56" t="s">
        <v>2511</v>
      </c>
      <c r="I579" s="56" t="s">
        <v>362</v>
      </c>
      <c r="J579" s="56" t="s">
        <v>3091</v>
      </c>
      <c r="K579" s="57">
        <v>40.19</v>
      </c>
      <c r="L579" s="56" t="s">
        <v>1914</v>
      </c>
      <c r="M579" s="56" t="s">
        <v>1123</v>
      </c>
      <c r="N579" s="56" t="s">
        <v>71</v>
      </c>
      <c r="O579" s="58">
        <v>40</v>
      </c>
      <c r="P579" s="59" t="s">
        <v>2532</v>
      </c>
      <c r="Q579" s="56" t="s">
        <v>2516</v>
      </c>
      <c r="U579" s="588">
        <v>4272693</v>
      </c>
      <c r="V579">
        <v>22.2</v>
      </c>
      <c r="W579">
        <v>0</v>
      </c>
      <c r="X579">
        <v>2</v>
      </c>
      <c r="Y579">
        <v>5.95</v>
      </c>
      <c r="Z579" t="s">
        <v>1868</v>
      </c>
      <c r="AA579" t="s">
        <v>1003</v>
      </c>
      <c r="AB579" t="s">
        <v>2520</v>
      </c>
      <c r="AC579" t="s">
        <v>562</v>
      </c>
      <c r="AD579" t="s">
        <v>1838</v>
      </c>
      <c r="AE579" t="s">
        <v>2322</v>
      </c>
      <c r="AF579" t="e">
        <f>IF([4]!buckets[[#This Row],[LL or CTL]]="LL",(3.14*([4]!buckets[[#This Row],[OD]]-[4]!buckets[[#This Row],[Thickness]])*[4]!buckets[[#This Row],[Thickness]]*1000*7.85)/1000000,(3.14*([4]!buckets[[#This Row],[OD]]-[4]!buckets[[#This Row],[Thickness]])*[4]!buckets[[#This Row],[Thickness]]*[4]!buckets[[#This Row],[Length]]*1000*7.85)/1000000)</f>
        <v>#REF!</v>
      </c>
    </row>
    <row r="580" spans="1:32" x14ac:dyDescent="0.25">
      <c r="A580" s="56">
        <v>3188792</v>
      </c>
      <c r="B580" s="56" t="s">
        <v>547</v>
      </c>
      <c r="C580" s="56" t="s">
        <v>3948</v>
      </c>
      <c r="D580" s="57">
        <v>241.72</v>
      </c>
      <c r="E580" s="58">
        <v>1102</v>
      </c>
      <c r="F580" s="57">
        <v>1.1020000000000001</v>
      </c>
      <c r="G580" s="56" t="s">
        <v>392</v>
      </c>
      <c r="H580" s="56" t="s">
        <v>2511</v>
      </c>
      <c r="I580" s="56" t="s">
        <v>362</v>
      </c>
      <c r="J580" s="56" t="s">
        <v>2523</v>
      </c>
      <c r="K580" s="57">
        <v>1208.598</v>
      </c>
      <c r="L580" s="56" t="s">
        <v>1914</v>
      </c>
      <c r="M580" s="56" t="s">
        <v>1123</v>
      </c>
      <c r="N580" s="56" t="s">
        <v>48</v>
      </c>
      <c r="O580" s="58">
        <v>23</v>
      </c>
      <c r="P580" s="59" t="s">
        <v>2515</v>
      </c>
      <c r="Q580" s="56" t="s">
        <v>11</v>
      </c>
      <c r="U580">
        <v>3905466</v>
      </c>
      <c r="V580">
        <v>22.2</v>
      </c>
      <c r="W580">
        <v>0</v>
      </c>
      <c r="X580">
        <v>2</v>
      </c>
      <c r="Y580">
        <v>5.9509999999999996</v>
      </c>
      <c r="Z580" t="s">
        <v>1914</v>
      </c>
      <c r="AA580" t="s">
        <v>963</v>
      </c>
      <c r="AB580" t="s">
        <v>2520</v>
      </c>
      <c r="AC580" t="s">
        <v>633</v>
      </c>
      <c r="AD580" t="s">
        <v>1838</v>
      </c>
      <c r="AE580" t="s">
        <v>782</v>
      </c>
      <c r="AF580">
        <v>0.99581960000000003</v>
      </c>
    </row>
    <row r="581" spans="1:32" x14ac:dyDescent="0.25">
      <c r="A581" s="56">
        <v>3188792</v>
      </c>
      <c r="B581" s="56" t="s">
        <v>547</v>
      </c>
      <c r="C581" s="56" t="s">
        <v>3949</v>
      </c>
      <c r="D581" s="57">
        <v>247.203</v>
      </c>
      <c r="E581" s="58">
        <v>1127</v>
      </c>
      <c r="F581" s="57">
        <v>1.127</v>
      </c>
      <c r="G581" s="56" t="s">
        <v>392</v>
      </c>
      <c r="H581" s="56" t="s">
        <v>2511</v>
      </c>
      <c r="I581" s="56" t="s">
        <v>362</v>
      </c>
      <c r="J581" s="56" t="s">
        <v>2523</v>
      </c>
      <c r="K581" s="57">
        <v>1236.0170000000001</v>
      </c>
      <c r="L581" s="56" t="s">
        <v>1914</v>
      </c>
      <c r="M581" s="56" t="s">
        <v>1123</v>
      </c>
      <c r="N581" s="56" t="s">
        <v>48</v>
      </c>
      <c r="O581" s="58">
        <v>23</v>
      </c>
      <c r="P581" s="59" t="s">
        <v>2515</v>
      </c>
      <c r="Q581" s="56" t="s">
        <v>11</v>
      </c>
      <c r="U581" s="52">
        <v>3500134</v>
      </c>
      <c r="V581">
        <v>22.2</v>
      </c>
      <c r="W581">
        <v>0</v>
      </c>
      <c r="X581">
        <v>2</v>
      </c>
      <c r="Y581">
        <v>6</v>
      </c>
      <c r="Z581" t="s">
        <v>2821</v>
      </c>
      <c r="AA581" t="s">
        <v>963</v>
      </c>
      <c r="AB581" t="s">
        <v>2520</v>
      </c>
      <c r="AC581" t="s">
        <v>633</v>
      </c>
      <c r="AD581" t="s">
        <v>1838</v>
      </c>
      <c r="AE581" t="s">
        <v>782</v>
      </c>
      <c r="AF581">
        <v>0.99581960000000003</v>
      </c>
    </row>
    <row r="582" spans="1:32" x14ac:dyDescent="0.25">
      <c r="A582" s="56">
        <v>3188792</v>
      </c>
      <c r="B582" s="56" t="s">
        <v>547</v>
      </c>
      <c r="C582" s="56" t="s">
        <v>3950</v>
      </c>
      <c r="D582" s="57">
        <v>38.604999999999997</v>
      </c>
      <c r="E582" s="58">
        <v>176</v>
      </c>
      <c r="F582" s="57">
        <v>0.17599999999999999</v>
      </c>
      <c r="G582" s="56" t="s">
        <v>392</v>
      </c>
      <c r="H582" s="56" t="s">
        <v>2511</v>
      </c>
      <c r="I582" s="56" t="s">
        <v>362</v>
      </c>
      <c r="J582" s="56" t="s">
        <v>3951</v>
      </c>
      <c r="K582" s="57">
        <v>193.02500000000001</v>
      </c>
      <c r="L582" s="56" t="s">
        <v>1914</v>
      </c>
      <c r="M582" s="56" t="s">
        <v>1123</v>
      </c>
      <c r="N582" s="56" t="s">
        <v>48</v>
      </c>
      <c r="O582" s="58">
        <v>23</v>
      </c>
      <c r="P582" s="59" t="s">
        <v>2515</v>
      </c>
      <c r="Q582" s="56" t="s">
        <v>11</v>
      </c>
      <c r="U582" s="52">
        <v>3499230</v>
      </c>
      <c r="V582">
        <v>22.2</v>
      </c>
      <c r="W582">
        <v>0</v>
      </c>
      <c r="X582">
        <v>2</v>
      </c>
      <c r="Y582">
        <v>6</v>
      </c>
      <c r="Z582" t="s">
        <v>1914</v>
      </c>
      <c r="AA582" t="s">
        <v>1003</v>
      </c>
      <c r="AB582" t="s">
        <v>2520</v>
      </c>
      <c r="AC582" t="s">
        <v>562</v>
      </c>
      <c r="AD582" t="s">
        <v>1838</v>
      </c>
      <c r="AE582" t="s">
        <v>2322</v>
      </c>
      <c r="AF582">
        <v>0.99581960000000003</v>
      </c>
    </row>
    <row r="583" spans="1:32" x14ac:dyDescent="0.25">
      <c r="A583" s="56">
        <v>3188792</v>
      </c>
      <c r="B583" s="56" t="s">
        <v>547</v>
      </c>
      <c r="C583" s="56" t="s">
        <v>3953</v>
      </c>
      <c r="D583" s="57">
        <v>189.077</v>
      </c>
      <c r="E583" s="58">
        <v>862</v>
      </c>
      <c r="F583" s="57">
        <v>0.86199999999999999</v>
      </c>
      <c r="G583" s="56" t="s">
        <v>392</v>
      </c>
      <c r="H583" s="56" t="s">
        <v>2511</v>
      </c>
      <c r="I583" s="56" t="s">
        <v>362</v>
      </c>
      <c r="J583" s="56" t="s">
        <v>2868</v>
      </c>
      <c r="K583" s="57">
        <v>945.38300000000004</v>
      </c>
      <c r="L583" s="56" t="s">
        <v>1914</v>
      </c>
      <c r="M583" s="56" t="s">
        <v>1123</v>
      </c>
      <c r="N583" s="56" t="s">
        <v>48</v>
      </c>
      <c r="O583" s="58">
        <v>21</v>
      </c>
      <c r="P583" s="59" t="s">
        <v>2515</v>
      </c>
      <c r="Q583" s="56" t="s">
        <v>11</v>
      </c>
      <c r="U583">
        <v>3502494</v>
      </c>
      <c r="V583">
        <v>22.2</v>
      </c>
      <c r="W583">
        <v>0</v>
      </c>
      <c r="X583">
        <v>2</v>
      </c>
      <c r="Y583">
        <v>6.0010000000000003</v>
      </c>
      <c r="Z583" t="s">
        <v>1914</v>
      </c>
      <c r="AA583" t="s">
        <v>1003</v>
      </c>
      <c r="AB583" t="s">
        <v>2520</v>
      </c>
      <c r="AC583" t="s">
        <v>679</v>
      </c>
      <c r="AD583" t="s">
        <v>1838</v>
      </c>
      <c r="AE583" t="s">
        <v>3952</v>
      </c>
      <c r="AF583">
        <v>0.99581960000000003</v>
      </c>
    </row>
    <row r="584" spans="1:32" x14ac:dyDescent="0.25">
      <c r="A584" s="56">
        <v>3188792</v>
      </c>
      <c r="B584" s="56" t="s">
        <v>547</v>
      </c>
      <c r="C584" s="56" t="s">
        <v>3954</v>
      </c>
      <c r="D584" s="57">
        <v>175.916</v>
      </c>
      <c r="E584" s="58">
        <v>802</v>
      </c>
      <c r="F584" s="57">
        <v>0.80200000000000005</v>
      </c>
      <c r="G584" s="56" t="s">
        <v>392</v>
      </c>
      <c r="H584" s="56" t="s">
        <v>2511</v>
      </c>
      <c r="I584" s="56" t="s">
        <v>362</v>
      </c>
      <c r="J584" s="56" t="s">
        <v>3051</v>
      </c>
      <c r="K584" s="57">
        <v>879.57899999999995</v>
      </c>
      <c r="L584" s="56" t="s">
        <v>1914</v>
      </c>
      <c r="M584" s="56" t="s">
        <v>1123</v>
      </c>
      <c r="N584" s="56" t="s">
        <v>48</v>
      </c>
      <c r="O584" s="58">
        <v>21</v>
      </c>
      <c r="P584" s="59" t="s">
        <v>2515</v>
      </c>
      <c r="Q584" s="56" t="s">
        <v>11</v>
      </c>
      <c r="U584" s="52">
        <v>3502303</v>
      </c>
      <c r="V584">
        <v>22.2</v>
      </c>
      <c r="W584">
        <v>0</v>
      </c>
      <c r="X584">
        <v>2</v>
      </c>
      <c r="Y584">
        <v>6.15</v>
      </c>
      <c r="Z584" t="s">
        <v>1914</v>
      </c>
      <c r="AA584" t="s">
        <v>1003</v>
      </c>
      <c r="AB584" t="s">
        <v>2520</v>
      </c>
      <c r="AC584" t="s">
        <v>562</v>
      </c>
      <c r="AD584" t="s">
        <v>1838</v>
      </c>
      <c r="AE584" t="s">
        <v>2322</v>
      </c>
      <c r="AF584">
        <v>0.99581960000000003</v>
      </c>
    </row>
    <row r="585" spans="1:32" x14ac:dyDescent="0.25">
      <c r="A585" s="56">
        <v>3188792</v>
      </c>
      <c r="B585" s="56" t="s">
        <v>547</v>
      </c>
      <c r="C585" s="56" t="s">
        <v>3955</v>
      </c>
      <c r="D585" s="57">
        <v>24.567</v>
      </c>
      <c r="E585" s="58">
        <v>112</v>
      </c>
      <c r="F585" s="57">
        <v>0.112</v>
      </c>
      <c r="G585" s="56" t="s">
        <v>392</v>
      </c>
      <c r="H585" s="56" t="s">
        <v>2511</v>
      </c>
      <c r="I585" s="56" t="s">
        <v>362</v>
      </c>
      <c r="J585" s="56" t="s">
        <v>2163</v>
      </c>
      <c r="K585" s="57">
        <v>122.834</v>
      </c>
      <c r="L585" s="56" t="s">
        <v>1914</v>
      </c>
      <c r="M585" s="56" t="s">
        <v>1123</v>
      </c>
      <c r="N585" s="56" t="s">
        <v>48</v>
      </c>
      <c r="O585" s="58">
        <v>21</v>
      </c>
      <c r="P585" s="59" t="s">
        <v>2515</v>
      </c>
      <c r="Q585" s="56" t="s">
        <v>11</v>
      </c>
      <c r="U585" s="52">
        <v>3245308</v>
      </c>
      <c r="V585">
        <v>22.2</v>
      </c>
      <c r="W585">
        <v>0</v>
      </c>
      <c r="X585">
        <v>2</v>
      </c>
      <c r="Y585">
        <v>6.15</v>
      </c>
      <c r="Z585" t="s">
        <v>1914</v>
      </c>
      <c r="AA585" t="s">
        <v>1003</v>
      </c>
      <c r="AB585" t="s">
        <v>2520</v>
      </c>
      <c r="AC585" t="s">
        <v>562</v>
      </c>
      <c r="AD585" t="s">
        <v>1838</v>
      </c>
      <c r="AE585" t="s">
        <v>2322</v>
      </c>
      <c r="AF585">
        <v>0.99581960000000003</v>
      </c>
    </row>
    <row r="586" spans="1:32" x14ac:dyDescent="0.25">
      <c r="A586" s="56">
        <v>3499608</v>
      </c>
      <c r="B586" s="56" t="s">
        <v>2351</v>
      </c>
      <c r="C586" s="56" t="s">
        <v>3956</v>
      </c>
      <c r="D586" s="57">
        <v>61.966000000000001</v>
      </c>
      <c r="E586" s="58">
        <v>1960</v>
      </c>
      <c r="F586" s="57">
        <v>1.96</v>
      </c>
      <c r="G586" s="56" t="s">
        <v>392</v>
      </c>
      <c r="H586" s="56" t="s">
        <v>2511</v>
      </c>
      <c r="I586" s="56" t="s">
        <v>362</v>
      </c>
      <c r="J586" s="56" t="s">
        <v>3957</v>
      </c>
      <c r="K586" s="57">
        <v>371.80399999999997</v>
      </c>
      <c r="L586" s="56" t="s">
        <v>1914</v>
      </c>
      <c r="M586" s="56" t="s">
        <v>1123</v>
      </c>
      <c r="N586" s="56" t="s">
        <v>151</v>
      </c>
      <c r="O586" s="58">
        <v>74</v>
      </c>
      <c r="P586" s="59" t="s">
        <v>2579</v>
      </c>
      <c r="Q586" s="56" t="s">
        <v>11</v>
      </c>
      <c r="U586" s="52">
        <v>3686335</v>
      </c>
      <c r="V586">
        <v>22.2</v>
      </c>
      <c r="W586">
        <v>0</v>
      </c>
      <c r="X586">
        <v>2</v>
      </c>
      <c r="Y586">
        <v>6.1509999999999998</v>
      </c>
      <c r="Z586" t="s">
        <v>1914</v>
      </c>
      <c r="AA586" t="s">
        <v>963</v>
      </c>
      <c r="AB586" t="s">
        <v>2520</v>
      </c>
      <c r="AC586" t="s">
        <v>633</v>
      </c>
      <c r="AD586" t="s">
        <v>1838</v>
      </c>
      <c r="AE586" t="s">
        <v>782</v>
      </c>
      <c r="AF586">
        <v>0.99581960000000003</v>
      </c>
    </row>
    <row r="587" spans="1:32" x14ac:dyDescent="0.25">
      <c r="A587" s="56">
        <v>3499608</v>
      </c>
      <c r="B587" s="56" t="s">
        <v>2351</v>
      </c>
      <c r="C587" s="56" t="s">
        <v>3958</v>
      </c>
      <c r="D587" s="57">
        <v>73.031999999999996</v>
      </c>
      <c r="E587" s="58">
        <v>2310</v>
      </c>
      <c r="F587" s="57">
        <v>2.31</v>
      </c>
      <c r="G587" s="56" t="s">
        <v>392</v>
      </c>
      <c r="H587" s="56" t="s">
        <v>2511</v>
      </c>
      <c r="I587" s="56" t="s">
        <v>362</v>
      </c>
      <c r="J587" s="56" t="s">
        <v>3959</v>
      </c>
      <c r="K587" s="57">
        <v>438.197</v>
      </c>
      <c r="L587" s="56" t="s">
        <v>1914</v>
      </c>
      <c r="M587" s="56" t="s">
        <v>1123</v>
      </c>
      <c r="N587" s="56" t="s">
        <v>151</v>
      </c>
      <c r="O587" s="58">
        <v>74</v>
      </c>
      <c r="P587" s="59" t="s">
        <v>2579</v>
      </c>
      <c r="Q587" s="56" t="s">
        <v>11</v>
      </c>
      <c r="U587" s="52">
        <v>3682068</v>
      </c>
      <c r="V587">
        <v>22.2</v>
      </c>
      <c r="W587">
        <v>0</v>
      </c>
      <c r="X587">
        <v>2</v>
      </c>
      <c r="Y587">
        <v>6.6</v>
      </c>
      <c r="Z587" t="s">
        <v>1914</v>
      </c>
      <c r="AA587" t="s">
        <v>963</v>
      </c>
      <c r="AB587" t="s">
        <v>2520</v>
      </c>
      <c r="AC587" t="s">
        <v>633</v>
      </c>
      <c r="AD587" t="s">
        <v>1838</v>
      </c>
      <c r="AE587" t="s">
        <v>782</v>
      </c>
      <c r="AF587">
        <v>0.99581960000000003</v>
      </c>
    </row>
    <row r="588" spans="1:32" x14ac:dyDescent="0.25">
      <c r="A588" s="56">
        <v>3499608</v>
      </c>
      <c r="B588" s="56" t="s">
        <v>2351</v>
      </c>
      <c r="C588" s="56" t="s">
        <v>3960</v>
      </c>
      <c r="D588" s="57">
        <v>68.984999999999999</v>
      </c>
      <c r="E588" s="58">
        <v>2182</v>
      </c>
      <c r="F588" s="57">
        <v>2.1819999999999999</v>
      </c>
      <c r="G588" s="56" t="s">
        <v>392</v>
      </c>
      <c r="H588" s="56" t="s">
        <v>2511</v>
      </c>
      <c r="I588" s="56" t="s">
        <v>362</v>
      </c>
      <c r="J588" s="56" t="s">
        <v>3849</v>
      </c>
      <c r="K588" s="57">
        <v>413.916</v>
      </c>
      <c r="L588" s="56" t="s">
        <v>1914</v>
      </c>
      <c r="M588" s="56" t="s">
        <v>1123</v>
      </c>
      <c r="N588" s="56" t="s">
        <v>151</v>
      </c>
      <c r="O588" s="58">
        <v>75</v>
      </c>
      <c r="P588" s="59" t="s">
        <v>2579</v>
      </c>
      <c r="Q588" s="56" t="s">
        <v>11</v>
      </c>
      <c r="U588" s="52">
        <v>250198</v>
      </c>
      <c r="V588">
        <v>22.2</v>
      </c>
      <c r="W588">
        <v>0</v>
      </c>
      <c r="X588">
        <v>2.0299999999999998</v>
      </c>
      <c r="Y588">
        <v>0.6</v>
      </c>
      <c r="Z588" t="s">
        <v>2821</v>
      </c>
      <c r="AA588" t="s">
        <v>963</v>
      </c>
      <c r="AB588" t="s">
        <v>2520</v>
      </c>
      <c r="AC588" t="s">
        <v>633</v>
      </c>
      <c r="AD588" t="s">
        <v>2171</v>
      </c>
      <c r="AE588" t="s">
        <v>3811</v>
      </c>
      <c r="AF588">
        <v>0.60555346193999982</v>
      </c>
    </row>
    <row r="589" spans="1:32" x14ac:dyDescent="0.25">
      <c r="A589" s="56">
        <v>3499608</v>
      </c>
      <c r="B589" s="56" t="s">
        <v>2351</v>
      </c>
      <c r="C589" s="56" t="s">
        <v>3961</v>
      </c>
      <c r="D589" s="57">
        <v>68.984999999999999</v>
      </c>
      <c r="E589" s="58">
        <v>2182</v>
      </c>
      <c r="F589" s="57">
        <v>2.1819999999999999</v>
      </c>
      <c r="G589" s="56" t="s">
        <v>392</v>
      </c>
      <c r="H589" s="56" t="s">
        <v>2511</v>
      </c>
      <c r="I589" s="56" t="s">
        <v>362</v>
      </c>
      <c r="J589" s="56" t="s">
        <v>3849</v>
      </c>
      <c r="K589" s="57">
        <v>413.916</v>
      </c>
      <c r="L589" s="56" t="s">
        <v>1914</v>
      </c>
      <c r="M589" s="56" t="s">
        <v>1123</v>
      </c>
      <c r="N589" s="56" t="s">
        <v>151</v>
      </c>
      <c r="O589" s="58">
        <v>75</v>
      </c>
      <c r="P589" s="59" t="s">
        <v>2579</v>
      </c>
      <c r="Q589" s="56" t="s">
        <v>11</v>
      </c>
      <c r="U589" s="52">
        <v>3484652</v>
      </c>
      <c r="V589">
        <v>22.2</v>
      </c>
      <c r="W589">
        <v>0</v>
      </c>
      <c r="X589">
        <v>2.2999999999999998</v>
      </c>
      <c r="Y589">
        <v>0.22500000000000001</v>
      </c>
      <c r="Z589" t="s">
        <v>1914</v>
      </c>
      <c r="AA589" t="s">
        <v>963</v>
      </c>
      <c r="AB589" t="s">
        <v>2520</v>
      </c>
      <c r="AC589" t="s">
        <v>748</v>
      </c>
      <c r="AD589" t="s">
        <v>2171</v>
      </c>
      <c r="AE589" t="s">
        <v>750</v>
      </c>
      <c r="AF589">
        <v>0.25384156424999998</v>
      </c>
    </row>
    <row r="590" spans="1:32" x14ac:dyDescent="0.25">
      <c r="A590" s="56">
        <v>3499608</v>
      </c>
      <c r="B590" s="56" t="s">
        <v>2351</v>
      </c>
      <c r="C590" s="56" t="s">
        <v>3963</v>
      </c>
      <c r="D590" s="57">
        <v>67.972999999999999</v>
      </c>
      <c r="E590" s="58">
        <v>2150</v>
      </c>
      <c r="F590" s="57">
        <v>2.15</v>
      </c>
      <c r="G590" s="56" t="s">
        <v>392</v>
      </c>
      <c r="H590" s="56" t="s">
        <v>2511</v>
      </c>
      <c r="I590" s="56" t="s">
        <v>362</v>
      </c>
      <c r="J590" s="56" t="s">
        <v>3964</v>
      </c>
      <c r="K590" s="57">
        <v>407.846</v>
      </c>
      <c r="L590" s="56" t="s">
        <v>1914</v>
      </c>
      <c r="M590" s="56" t="s">
        <v>1123</v>
      </c>
      <c r="N590" s="56" t="s">
        <v>151</v>
      </c>
      <c r="O590" s="58">
        <v>16</v>
      </c>
      <c r="P590" s="59" t="s">
        <v>2515</v>
      </c>
      <c r="Q590" s="56" t="s">
        <v>11</v>
      </c>
      <c r="U590" s="52">
        <v>3673948</v>
      </c>
      <c r="V590">
        <v>22.2</v>
      </c>
      <c r="W590">
        <v>0</v>
      </c>
      <c r="X590">
        <v>2.2999999999999998</v>
      </c>
      <c r="Y590">
        <v>0.245</v>
      </c>
      <c r="Z590" t="s">
        <v>1891</v>
      </c>
      <c r="AA590" t="s">
        <v>963</v>
      </c>
      <c r="AB590" t="s">
        <v>2520</v>
      </c>
      <c r="AC590" t="s">
        <v>748</v>
      </c>
      <c r="AD590" t="s">
        <v>2171</v>
      </c>
      <c r="AE590" t="s">
        <v>3962</v>
      </c>
      <c r="AF590">
        <v>0.27640525884999995</v>
      </c>
    </row>
    <row r="591" spans="1:32" x14ac:dyDescent="0.25">
      <c r="A591" s="56">
        <v>3499608</v>
      </c>
      <c r="B591" s="56" t="s">
        <v>2351</v>
      </c>
      <c r="C591" s="56" t="s">
        <v>3965</v>
      </c>
      <c r="D591" s="57">
        <v>69.997</v>
      </c>
      <c r="E591" s="58">
        <v>2214</v>
      </c>
      <c r="F591" s="57">
        <v>2.214</v>
      </c>
      <c r="G591" s="56" t="s">
        <v>392</v>
      </c>
      <c r="H591" s="56" t="s">
        <v>2511</v>
      </c>
      <c r="I591" s="56" t="s">
        <v>362</v>
      </c>
      <c r="J591" s="56" t="s">
        <v>3966</v>
      </c>
      <c r="K591" s="57">
        <v>419.98599999999999</v>
      </c>
      <c r="L591" s="56" t="s">
        <v>1914</v>
      </c>
      <c r="M591" s="56" t="s">
        <v>1123</v>
      </c>
      <c r="N591" s="56" t="s">
        <v>151</v>
      </c>
      <c r="O591" s="58">
        <v>16</v>
      </c>
      <c r="P591" s="59" t="s">
        <v>2515</v>
      </c>
      <c r="Q591" s="56" t="s">
        <v>11</v>
      </c>
      <c r="U591" s="52">
        <v>3508156</v>
      </c>
      <c r="V591">
        <v>22.2</v>
      </c>
      <c r="W591">
        <v>0</v>
      </c>
      <c r="X591">
        <v>2.2999999999999998</v>
      </c>
      <c r="Y591">
        <v>0.28100000000000003</v>
      </c>
      <c r="Z591" t="s">
        <v>1914</v>
      </c>
      <c r="AA591" t="s">
        <v>963</v>
      </c>
      <c r="AB591" t="s">
        <v>2520</v>
      </c>
      <c r="AC591" t="s">
        <v>748</v>
      </c>
      <c r="AD591" t="s">
        <v>2171</v>
      </c>
      <c r="AE591" t="s">
        <v>752</v>
      </c>
      <c r="AF591">
        <v>0.31701990913</v>
      </c>
    </row>
    <row r="592" spans="1:32" x14ac:dyDescent="0.25">
      <c r="A592" s="56">
        <v>3499608</v>
      </c>
      <c r="B592" s="56" t="s">
        <v>2351</v>
      </c>
      <c r="C592" s="56" t="s">
        <v>3967</v>
      </c>
      <c r="D592" s="57">
        <v>62.883000000000003</v>
      </c>
      <c r="E592" s="58">
        <v>1989</v>
      </c>
      <c r="F592" s="57">
        <v>1.9890000000000001</v>
      </c>
      <c r="G592" s="56" t="s">
        <v>392</v>
      </c>
      <c r="H592" s="56" t="s">
        <v>2511</v>
      </c>
      <c r="I592" s="56" t="s">
        <v>362</v>
      </c>
      <c r="J592" s="56" t="s">
        <v>3957</v>
      </c>
      <c r="K592" s="57">
        <v>377.30500000000001</v>
      </c>
      <c r="L592" s="56" t="s">
        <v>1914</v>
      </c>
      <c r="M592" s="56" t="s">
        <v>1123</v>
      </c>
      <c r="N592" s="56" t="s">
        <v>151</v>
      </c>
      <c r="O592" s="58">
        <v>16</v>
      </c>
      <c r="P592" s="59" t="s">
        <v>2515</v>
      </c>
      <c r="Q592" s="56" t="s">
        <v>11</v>
      </c>
      <c r="U592" s="52">
        <v>1333188</v>
      </c>
      <c r="V592">
        <v>22.2</v>
      </c>
      <c r="W592">
        <v>0</v>
      </c>
      <c r="X592">
        <v>2.2999999999999998</v>
      </c>
      <c r="Y592">
        <v>0.28100000000000003</v>
      </c>
      <c r="Z592" t="s">
        <v>1914</v>
      </c>
      <c r="AA592" t="s">
        <v>963</v>
      </c>
      <c r="AB592" t="s">
        <v>2520</v>
      </c>
      <c r="AC592" t="s">
        <v>748</v>
      </c>
      <c r="AD592" t="s">
        <v>2171</v>
      </c>
      <c r="AE592" t="s">
        <v>752</v>
      </c>
      <c r="AF592">
        <v>0.31701990913</v>
      </c>
    </row>
    <row r="593" spans="1:32" x14ac:dyDescent="0.25">
      <c r="A593" s="56">
        <v>3499608</v>
      </c>
      <c r="B593" s="56" t="s">
        <v>2351</v>
      </c>
      <c r="C593" s="56" t="s">
        <v>3969</v>
      </c>
      <c r="D593" s="57">
        <v>74.043999999999997</v>
      </c>
      <c r="E593" s="58">
        <v>2342</v>
      </c>
      <c r="F593" s="57">
        <v>2.3420000000000001</v>
      </c>
      <c r="G593" s="56" t="s">
        <v>392</v>
      </c>
      <c r="H593" s="56" t="s">
        <v>2511</v>
      </c>
      <c r="I593" s="56" t="s">
        <v>362</v>
      </c>
      <c r="J593" s="56" t="s">
        <v>3970</v>
      </c>
      <c r="K593" s="57">
        <v>444.267</v>
      </c>
      <c r="L593" s="56" t="s">
        <v>1914</v>
      </c>
      <c r="M593" s="56" t="s">
        <v>1123</v>
      </c>
      <c r="N593" s="56" t="s">
        <v>151</v>
      </c>
      <c r="O593" s="58">
        <v>16</v>
      </c>
      <c r="P593" s="59" t="s">
        <v>2515</v>
      </c>
      <c r="Q593" s="56" t="s">
        <v>11</v>
      </c>
      <c r="U593" s="52">
        <v>1364720</v>
      </c>
      <c r="V593">
        <v>22.2</v>
      </c>
      <c r="W593">
        <v>0</v>
      </c>
      <c r="X593">
        <v>2.2999999999999998</v>
      </c>
      <c r="Y593">
        <v>0.35</v>
      </c>
      <c r="Z593" t="s">
        <v>1914</v>
      </c>
      <c r="AA593" t="s">
        <v>963</v>
      </c>
      <c r="AB593" t="s">
        <v>2520</v>
      </c>
      <c r="AC593" t="s">
        <v>748</v>
      </c>
      <c r="AD593" t="s">
        <v>2171</v>
      </c>
      <c r="AE593" t="s">
        <v>3968</v>
      </c>
      <c r="AF593">
        <v>0.39486465549999994</v>
      </c>
    </row>
    <row r="594" spans="1:32" x14ac:dyDescent="0.25">
      <c r="A594" s="56">
        <v>3499608</v>
      </c>
      <c r="B594" s="56" t="s">
        <v>2351</v>
      </c>
      <c r="C594" s="56" t="s">
        <v>3972</v>
      </c>
      <c r="D594" s="57">
        <v>41.573999999999998</v>
      </c>
      <c r="E594" s="58">
        <v>1315</v>
      </c>
      <c r="F594" s="57">
        <v>1.3149999999999999</v>
      </c>
      <c r="G594" s="56" t="s">
        <v>392</v>
      </c>
      <c r="H594" s="56" t="s">
        <v>2511</v>
      </c>
      <c r="I594" s="56" t="s">
        <v>362</v>
      </c>
      <c r="J594" s="56" t="s">
        <v>3973</v>
      </c>
      <c r="K594" s="57">
        <v>249.45</v>
      </c>
      <c r="L594" s="56" t="s">
        <v>1914</v>
      </c>
      <c r="M594" s="56" t="s">
        <v>1123</v>
      </c>
      <c r="N594" s="56" t="s">
        <v>151</v>
      </c>
      <c r="O594" s="58">
        <v>64</v>
      </c>
      <c r="P594" s="59" t="s">
        <v>2579</v>
      </c>
      <c r="Q594" s="56" t="s">
        <v>11</v>
      </c>
      <c r="U594" s="52">
        <v>1241174</v>
      </c>
      <c r="V594">
        <v>22.2</v>
      </c>
      <c r="W594">
        <v>0</v>
      </c>
      <c r="X594">
        <v>2.2999999999999998</v>
      </c>
      <c r="Y594">
        <v>0.37</v>
      </c>
      <c r="Z594" t="s">
        <v>1914</v>
      </c>
      <c r="AA594" t="s">
        <v>963</v>
      </c>
      <c r="AB594" t="s">
        <v>2520</v>
      </c>
      <c r="AC594" t="s">
        <v>748</v>
      </c>
      <c r="AD594" t="s">
        <v>2171</v>
      </c>
      <c r="AE594" t="s">
        <v>3971</v>
      </c>
      <c r="AF594">
        <v>0.41742835009999996</v>
      </c>
    </row>
    <row r="595" spans="1:32" x14ac:dyDescent="0.25">
      <c r="A595" s="56">
        <v>3499608</v>
      </c>
      <c r="B595" s="56" t="s">
        <v>2351</v>
      </c>
      <c r="C595" s="56" t="s">
        <v>3974</v>
      </c>
      <c r="D595" s="57">
        <v>60.86</v>
      </c>
      <c r="E595" s="58">
        <v>1925</v>
      </c>
      <c r="F595" s="57">
        <v>1.925</v>
      </c>
      <c r="G595" s="56" t="s">
        <v>392</v>
      </c>
      <c r="H595" s="56" t="s">
        <v>2511</v>
      </c>
      <c r="I595" s="56" t="s">
        <v>362</v>
      </c>
      <c r="J595" s="56" t="s">
        <v>3855</v>
      </c>
      <c r="K595" s="57">
        <v>365.16399999999999</v>
      </c>
      <c r="L595" s="56" t="s">
        <v>1914</v>
      </c>
      <c r="M595" s="56" t="s">
        <v>1123</v>
      </c>
      <c r="N595" s="56" t="s">
        <v>151</v>
      </c>
      <c r="O595" s="58">
        <v>64</v>
      </c>
      <c r="P595" s="59" t="s">
        <v>2579</v>
      </c>
      <c r="Q595" s="56" t="s">
        <v>11</v>
      </c>
      <c r="U595" s="52">
        <v>3781975</v>
      </c>
      <c r="V595">
        <v>22.2</v>
      </c>
      <c r="W595">
        <v>0</v>
      </c>
      <c r="X595">
        <v>2.2999999999999998</v>
      </c>
      <c r="Y595">
        <v>0.40500000000000003</v>
      </c>
      <c r="Z595" t="s">
        <v>1952</v>
      </c>
      <c r="AA595" t="s">
        <v>963</v>
      </c>
      <c r="AB595" t="s">
        <v>2520</v>
      </c>
      <c r="AC595" t="s">
        <v>748</v>
      </c>
      <c r="AD595" t="s">
        <v>2171</v>
      </c>
      <c r="AF595">
        <v>0.45691481564999997</v>
      </c>
    </row>
    <row r="596" spans="1:32" x14ac:dyDescent="0.25">
      <c r="A596" s="56">
        <v>3499608</v>
      </c>
      <c r="B596" s="56" t="s">
        <v>2351</v>
      </c>
      <c r="C596" s="56" t="s">
        <v>3976</v>
      </c>
      <c r="D596" s="57">
        <v>44.988999999999997</v>
      </c>
      <c r="E596" s="58">
        <v>1423</v>
      </c>
      <c r="F596" s="57">
        <v>1.423</v>
      </c>
      <c r="G596" s="56" t="s">
        <v>392</v>
      </c>
      <c r="H596" s="56" t="s">
        <v>2511</v>
      </c>
      <c r="I596" s="56" t="s">
        <v>362</v>
      </c>
      <c r="J596" s="56" t="s">
        <v>3423</v>
      </c>
      <c r="K596" s="57">
        <v>269.93700000000001</v>
      </c>
      <c r="L596" s="56" t="s">
        <v>1914</v>
      </c>
      <c r="M596" s="56" t="s">
        <v>1123</v>
      </c>
      <c r="N596" s="56" t="s">
        <v>151</v>
      </c>
      <c r="O596" s="58">
        <v>64</v>
      </c>
      <c r="P596" s="59" t="s">
        <v>2579</v>
      </c>
      <c r="Q596" s="56" t="s">
        <v>11</v>
      </c>
      <c r="U596" s="52">
        <v>3087645</v>
      </c>
      <c r="V596">
        <v>22.2</v>
      </c>
      <c r="W596">
        <v>0</v>
      </c>
      <c r="X596">
        <v>2.2999999999999998</v>
      </c>
      <c r="Y596">
        <v>0.42499999999999999</v>
      </c>
      <c r="Z596" t="s">
        <v>1914</v>
      </c>
      <c r="AA596" t="s">
        <v>963</v>
      </c>
      <c r="AB596" t="s">
        <v>2520</v>
      </c>
      <c r="AC596" t="s">
        <v>748</v>
      </c>
      <c r="AD596" t="s">
        <v>2171</v>
      </c>
      <c r="AE596" t="s">
        <v>3975</v>
      </c>
      <c r="AF596">
        <v>0.47947851024999993</v>
      </c>
    </row>
    <row r="597" spans="1:32" x14ac:dyDescent="0.25">
      <c r="A597" s="56">
        <v>3500641</v>
      </c>
      <c r="B597" s="56" t="s">
        <v>3977</v>
      </c>
      <c r="C597" s="56" t="s">
        <v>3978</v>
      </c>
      <c r="D597" s="57">
        <v>120.768</v>
      </c>
      <c r="E597" s="58">
        <v>1691</v>
      </c>
      <c r="F597" s="57">
        <v>1.6910000000000001</v>
      </c>
      <c r="G597" s="56" t="s">
        <v>392</v>
      </c>
      <c r="H597" s="56" t="s">
        <v>2511</v>
      </c>
      <c r="I597" s="56" t="s">
        <v>362</v>
      </c>
      <c r="J597" s="56" t="s">
        <v>3339</v>
      </c>
      <c r="K597" s="57">
        <v>736.69100000000003</v>
      </c>
      <c r="L597" s="56" t="s">
        <v>1914</v>
      </c>
      <c r="M597" s="56" t="s">
        <v>1123</v>
      </c>
      <c r="N597" s="56" t="s">
        <v>151</v>
      </c>
      <c r="O597" s="58">
        <v>13</v>
      </c>
      <c r="P597" s="59" t="s">
        <v>2515</v>
      </c>
      <c r="Q597" s="56" t="s">
        <v>11</v>
      </c>
      <c r="U597" s="52">
        <v>3509640</v>
      </c>
      <c r="V597">
        <v>22.2</v>
      </c>
      <c r="W597">
        <v>0</v>
      </c>
      <c r="X597">
        <v>2.2999999999999998</v>
      </c>
      <c r="Y597">
        <v>0.42499999999999999</v>
      </c>
      <c r="Z597" t="s">
        <v>1914</v>
      </c>
      <c r="AA597" t="s">
        <v>963</v>
      </c>
      <c r="AB597" t="s">
        <v>2520</v>
      </c>
      <c r="AC597" t="s">
        <v>748</v>
      </c>
      <c r="AD597" t="s">
        <v>2171</v>
      </c>
      <c r="AE597" t="s">
        <v>3975</v>
      </c>
      <c r="AF597">
        <v>0.47947851024999993</v>
      </c>
    </row>
    <row r="598" spans="1:32" x14ac:dyDescent="0.25">
      <c r="A598" s="56">
        <v>3500641</v>
      </c>
      <c r="B598" s="56" t="s">
        <v>3977</v>
      </c>
      <c r="C598" s="56" t="s">
        <v>3980</v>
      </c>
      <c r="D598" s="57">
        <v>126.053</v>
      </c>
      <c r="E598" s="58">
        <v>1765</v>
      </c>
      <c r="F598" s="57">
        <v>1.7649999999999999</v>
      </c>
      <c r="G598" s="56" t="s">
        <v>392</v>
      </c>
      <c r="H598" s="56" t="s">
        <v>2511</v>
      </c>
      <c r="I598" s="56" t="s">
        <v>362</v>
      </c>
      <c r="J598" s="56" t="s">
        <v>3981</v>
      </c>
      <c r="K598" s="57">
        <v>768.92899999999997</v>
      </c>
      <c r="L598" s="56" t="s">
        <v>1914</v>
      </c>
      <c r="M598" s="56" t="s">
        <v>1123</v>
      </c>
      <c r="N598" s="56" t="s">
        <v>151</v>
      </c>
      <c r="O598" s="58">
        <v>13</v>
      </c>
      <c r="P598" s="59" t="s">
        <v>2515</v>
      </c>
      <c r="Q598" s="56" t="s">
        <v>11</v>
      </c>
      <c r="U598">
        <v>3629057</v>
      </c>
      <c r="V598">
        <v>22.2</v>
      </c>
      <c r="W598">
        <v>0</v>
      </c>
      <c r="X598">
        <v>2.2999999999999998</v>
      </c>
      <c r="Y598">
        <v>0.42699999999999999</v>
      </c>
      <c r="Z598" t="s">
        <v>2821</v>
      </c>
      <c r="AA598" t="s">
        <v>963</v>
      </c>
      <c r="AB598" t="s">
        <v>3979</v>
      </c>
      <c r="AC598" t="s">
        <v>748</v>
      </c>
      <c r="AD598" t="s">
        <v>2171</v>
      </c>
      <c r="AE598" t="s">
        <v>754</v>
      </c>
      <c r="AF598">
        <v>0.48173487970999995</v>
      </c>
    </row>
    <row r="599" spans="1:32" x14ac:dyDescent="0.25">
      <c r="A599" s="56">
        <v>3500641</v>
      </c>
      <c r="B599" s="56" t="s">
        <v>3977</v>
      </c>
      <c r="C599" s="56" t="s">
        <v>3983</v>
      </c>
      <c r="D599" s="57">
        <v>134.55199999999999</v>
      </c>
      <c r="E599" s="58">
        <v>1884</v>
      </c>
      <c r="F599" s="57">
        <v>1.8839999999999999</v>
      </c>
      <c r="G599" s="56" t="s">
        <v>392</v>
      </c>
      <c r="H599" s="56" t="s">
        <v>2511</v>
      </c>
      <c r="I599" s="56" t="s">
        <v>362</v>
      </c>
      <c r="J599" s="56" t="s">
        <v>3984</v>
      </c>
      <c r="K599" s="57">
        <v>820.77200000000005</v>
      </c>
      <c r="L599" s="56" t="s">
        <v>1914</v>
      </c>
      <c r="M599" s="56" t="s">
        <v>1123</v>
      </c>
      <c r="N599" s="56" t="s">
        <v>151</v>
      </c>
      <c r="O599" s="58">
        <v>13</v>
      </c>
      <c r="P599" s="59" t="s">
        <v>2515</v>
      </c>
      <c r="Q599" s="56" t="s">
        <v>11</v>
      </c>
      <c r="U599" s="52">
        <v>3506579</v>
      </c>
      <c r="V599">
        <v>22.2</v>
      </c>
      <c r="W599">
        <v>0</v>
      </c>
      <c r="X599">
        <v>2.2999999999999998</v>
      </c>
      <c r="Y599">
        <v>0.43</v>
      </c>
      <c r="Z599" t="s">
        <v>1914</v>
      </c>
      <c r="AA599" t="s">
        <v>963</v>
      </c>
      <c r="AB599" t="s">
        <v>2520</v>
      </c>
      <c r="AC599" t="s">
        <v>748</v>
      </c>
      <c r="AD599" t="s">
        <v>2171</v>
      </c>
      <c r="AE599" t="s">
        <v>3982</v>
      </c>
      <c r="AF599">
        <v>0.48511943389999995</v>
      </c>
    </row>
    <row r="600" spans="1:32" x14ac:dyDescent="0.25">
      <c r="A600" s="56">
        <v>3500641</v>
      </c>
      <c r="B600" s="56" t="s">
        <v>3977</v>
      </c>
      <c r="C600" s="56" t="s">
        <v>3985</v>
      </c>
      <c r="D600" s="57">
        <v>134.55199999999999</v>
      </c>
      <c r="E600" s="58">
        <v>1884</v>
      </c>
      <c r="F600" s="57">
        <v>1.8839999999999999</v>
      </c>
      <c r="G600" s="56" t="s">
        <v>392</v>
      </c>
      <c r="H600" s="56" t="s">
        <v>2511</v>
      </c>
      <c r="I600" s="56" t="s">
        <v>362</v>
      </c>
      <c r="J600" s="56" t="s">
        <v>3984</v>
      </c>
      <c r="K600" s="57">
        <v>820.77200000000005</v>
      </c>
      <c r="L600" s="56" t="s">
        <v>1914</v>
      </c>
      <c r="M600" s="56" t="s">
        <v>1123</v>
      </c>
      <c r="N600" s="56" t="s">
        <v>151</v>
      </c>
      <c r="O600" s="58">
        <v>13</v>
      </c>
      <c r="P600" s="59" t="s">
        <v>2515</v>
      </c>
      <c r="Q600" s="56" t="s">
        <v>11</v>
      </c>
      <c r="U600" s="52">
        <v>3501890</v>
      </c>
      <c r="V600">
        <v>22.2</v>
      </c>
      <c r="W600">
        <v>0</v>
      </c>
      <c r="X600">
        <v>2.2999999999999998</v>
      </c>
      <c r="Y600">
        <v>5.76</v>
      </c>
      <c r="Z600" t="s">
        <v>1914</v>
      </c>
      <c r="AA600" t="s">
        <v>963</v>
      </c>
      <c r="AB600" t="s">
        <v>2520</v>
      </c>
      <c r="AC600" t="s">
        <v>748</v>
      </c>
      <c r="AD600" t="s">
        <v>1838</v>
      </c>
      <c r="AE600" t="s">
        <v>756</v>
      </c>
      <c r="AF600">
        <v>1.1281847299999999</v>
      </c>
    </row>
    <row r="601" spans="1:32" x14ac:dyDescent="0.25">
      <c r="A601" s="56">
        <v>3500650</v>
      </c>
      <c r="B601" s="56" t="s">
        <v>1694</v>
      </c>
      <c r="C601" s="56" t="s">
        <v>3986</v>
      </c>
      <c r="D601" s="57">
        <v>19.506</v>
      </c>
      <c r="E601" s="58">
        <v>396</v>
      </c>
      <c r="F601" s="57">
        <v>0.39600000000000002</v>
      </c>
      <c r="G601" s="56" t="s">
        <v>392</v>
      </c>
      <c r="H601" s="56" t="s">
        <v>2511</v>
      </c>
      <c r="I601" s="56" t="s">
        <v>362</v>
      </c>
      <c r="J601" s="56" t="s">
        <v>2740</v>
      </c>
      <c r="K601" s="57">
        <v>117.035</v>
      </c>
      <c r="L601" s="56" t="s">
        <v>1914</v>
      </c>
      <c r="M601" s="56" t="s">
        <v>1123</v>
      </c>
      <c r="N601" s="56" t="s">
        <v>151</v>
      </c>
      <c r="O601" s="58">
        <v>95</v>
      </c>
      <c r="P601" s="59" t="s">
        <v>2524</v>
      </c>
      <c r="Q601" s="56" t="s">
        <v>11</v>
      </c>
      <c r="U601" s="52">
        <v>3502302</v>
      </c>
      <c r="V601">
        <v>22.2</v>
      </c>
      <c r="W601">
        <v>0</v>
      </c>
      <c r="X601">
        <v>2.2999999999999998</v>
      </c>
      <c r="Y601">
        <v>5.98</v>
      </c>
      <c r="Z601" t="s">
        <v>1914</v>
      </c>
      <c r="AA601" t="s">
        <v>963</v>
      </c>
      <c r="AB601" t="s">
        <v>2520</v>
      </c>
      <c r="AC601" t="s">
        <v>748</v>
      </c>
      <c r="AD601" t="s">
        <v>1838</v>
      </c>
      <c r="AE601" t="s">
        <v>756</v>
      </c>
      <c r="AF601">
        <v>1.1281847299999999</v>
      </c>
    </row>
    <row r="602" spans="1:32" x14ac:dyDescent="0.25">
      <c r="A602" s="56">
        <v>3500650</v>
      </c>
      <c r="B602" s="56" t="s">
        <v>1694</v>
      </c>
      <c r="C602" s="56" t="s">
        <v>3987</v>
      </c>
      <c r="D602" s="57">
        <v>106.645</v>
      </c>
      <c r="E602" s="58">
        <v>2165</v>
      </c>
      <c r="F602" s="57">
        <v>2.165</v>
      </c>
      <c r="G602" s="56" t="s">
        <v>392</v>
      </c>
      <c r="H602" s="56" t="s">
        <v>2511</v>
      </c>
      <c r="I602" s="56" t="s">
        <v>362</v>
      </c>
      <c r="J602" s="56" t="s">
        <v>3349</v>
      </c>
      <c r="K602" s="57">
        <v>639.851</v>
      </c>
      <c r="L602" s="56" t="s">
        <v>1914</v>
      </c>
      <c r="M602" s="56" t="s">
        <v>1123</v>
      </c>
      <c r="N602" s="56" t="s">
        <v>151</v>
      </c>
      <c r="O602" s="58">
        <v>72</v>
      </c>
      <c r="P602" s="59" t="s">
        <v>2579</v>
      </c>
      <c r="Q602" s="56" t="s">
        <v>11</v>
      </c>
      <c r="U602" s="52">
        <v>235488</v>
      </c>
      <c r="V602">
        <v>22.2</v>
      </c>
      <c r="W602">
        <v>0</v>
      </c>
      <c r="X602">
        <v>2.2999999999999998</v>
      </c>
      <c r="Y602">
        <v>6</v>
      </c>
      <c r="Z602" t="s">
        <v>2821</v>
      </c>
      <c r="AA602" t="s">
        <v>963</v>
      </c>
      <c r="AB602" t="s">
        <v>2520</v>
      </c>
      <c r="AC602" t="s">
        <v>748</v>
      </c>
      <c r="AD602" t="s">
        <v>1838</v>
      </c>
      <c r="AE602" t="s">
        <v>756</v>
      </c>
      <c r="AF602">
        <v>1.1281847299999999</v>
      </c>
    </row>
    <row r="603" spans="1:32" x14ac:dyDescent="0.25">
      <c r="A603" s="56">
        <v>3500650</v>
      </c>
      <c r="B603" s="56" t="s">
        <v>1694</v>
      </c>
      <c r="C603" s="56" t="s">
        <v>3988</v>
      </c>
      <c r="D603" s="57">
        <v>119.994</v>
      </c>
      <c r="E603" s="58">
        <v>2436</v>
      </c>
      <c r="F603" s="57">
        <v>2.4359999999999999</v>
      </c>
      <c r="G603" s="56" t="s">
        <v>392</v>
      </c>
      <c r="H603" s="56" t="s">
        <v>2511</v>
      </c>
      <c r="I603" s="56" t="s">
        <v>362</v>
      </c>
      <c r="J603" s="56" t="s">
        <v>3341</v>
      </c>
      <c r="K603" s="57">
        <v>719.94299999999998</v>
      </c>
      <c r="L603" s="56" t="s">
        <v>1914</v>
      </c>
      <c r="M603" s="56" t="s">
        <v>1123</v>
      </c>
      <c r="N603" s="56" t="s">
        <v>151</v>
      </c>
      <c r="O603" s="58">
        <v>80</v>
      </c>
      <c r="P603" s="59" t="s">
        <v>2579</v>
      </c>
      <c r="Q603" s="56" t="s">
        <v>11</v>
      </c>
      <c r="U603" s="52">
        <v>1144880</v>
      </c>
      <c r="V603">
        <v>22.2</v>
      </c>
      <c r="W603">
        <v>0</v>
      </c>
      <c r="X603">
        <v>2.2999999999999998</v>
      </c>
      <c r="Y603">
        <v>6.22</v>
      </c>
      <c r="Z603" t="s">
        <v>1914</v>
      </c>
      <c r="AA603" t="s">
        <v>963</v>
      </c>
      <c r="AB603" t="s">
        <v>2520</v>
      </c>
      <c r="AC603" t="s">
        <v>748</v>
      </c>
      <c r="AD603" t="s">
        <v>1838</v>
      </c>
      <c r="AE603" t="s">
        <v>756</v>
      </c>
      <c r="AF603">
        <v>1.1281847299999999</v>
      </c>
    </row>
    <row r="604" spans="1:32" x14ac:dyDescent="0.25">
      <c r="A604" s="56">
        <v>3500650</v>
      </c>
      <c r="B604" s="56" t="s">
        <v>1694</v>
      </c>
      <c r="C604" s="56" t="s">
        <v>3989</v>
      </c>
      <c r="D604" s="57">
        <v>33.988</v>
      </c>
      <c r="E604" s="58">
        <v>690</v>
      </c>
      <c r="F604" s="57">
        <v>0.69</v>
      </c>
      <c r="G604" s="56" t="s">
        <v>392</v>
      </c>
      <c r="H604" s="56" t="s">
        <v>2511</v>
      </c>
      <c r="I604" s="56" t="s">
        <v>362</v>
      </c>
      <c r="J604" s="56" t="s">
        <v>2667</v>
      </c>
      <c r="K604" s="57">
        <v>203.92500000000001</v>
      </c>
      <c r="L604" s="56" t="s">
        <v>1914</v>
      </c>
      <c r="M604" s="56" t="s">
        <v>1123</v>
      </c>
      <c r="N604" s="56" t="s">
        <v>151</v>
      </c>
      <c r="O604" s="58">
        <v>57</v>
      </c>
      <c r="P604" s="59" t="s">
        <v>2532</v>
      </c>
      <c r="Q604" s="56" t="s">
        <v>11</v>
      </c>
      <c r="U604">
        <v>3500367</v>
      </c>
      <c r="V604">
        <v>22.2</v>
      </c>
      <c r="W604">
        <v>0</v>
      </c>
      <c r="X604">
        <v>2.2999999999999998</v>
      </c>
      <c r="Y604">
        <v>6.22</v>
      </c>
      <c r="Z604" t="s">
        <v>1914</v>
      </c>
      <c r="AA604" t="s">
        <v>963</v>
      </c>
      <c r="AB604" t="s">
        <v>2520</v>
      </c>
      <c r="AC604" t="s">
        <v>748</v>
      </c>
      <c r="AD604" t="s">
        <v>1838</v>
      </c>
      <c r="AE604" t="s">
        <v>756</v>
      </c>
      <c r="AF604">
        <v>1.1281847299999999</v>
      </c>
    </row>
    <row r="605" spans="1:32" x14ac:dyDescent="0.25">
      <c r="A605" s="56">
        <v>3500650</v>
      </c>
      <c r="B605" s="56" t="s">
        <v>1694</v>
      </c>
      <c r="C605" s="56" t="s">
        <v>3990</v>
      </c>
      <c r="D605" s="57">
        <v>100.931</v>
      </c>
      <c r="E605" s="58">
        <v>2049</v>
      </c>
      <c r="F605" s="57">
        <v>2.0489999999999999</v>
      </c>
      <c r="G605" s="56" t="s">
        <v>392</v>
      </c>
      <c r="H605" s="56" t="s">
        <v>2511</v>
      </c>
      <c r="I605" s="56" t="s">
        <v>362</v>
      </c>
      <c r="J605" s="56" t="s">
        <v>3991</v>
      </c>
      <c r="K605" s="57">
        <v>605.56799999999998</v>
      </c>
      <c r="L605" s="56" t="s">
        <v>1914</v>
      </c>
      <c r="M605" s="56" t="s">
        <v>1123</v>
      </c>
      <c r="N605" s="56" t="s">
        <v>151</v>
      </c>
      <c r="O605" s="58">
        <v>61</v>
      </c>
      <c r="P605" s="59" t="s">
        <v>2579</v>
      </c>
      <c r="Q605" s="56" t="s">
        <v>11</v>
      </c>
      <c r="U605" s="52">
        <v>3702717</v>
      </c>
      <c r="V605">
        <v>22.2</v>
      </c>
      <c r="W605">
        <v>0</v>
      </c>
      <c r="X605">
        <v>2.6</v>
      </c>
      <c r="Y605">
        <v>5</v>
      </c>
      <c r="Z605" t="s">
        <v>1924</v>
      </c>
      <c r="AA605" t="s">
        <v>963</v>
      </c>
      <c r="AB605" t="s">
        <v>2801</v>
      </c>
      <c r="AC605" t="s">
        <v>3838</v>
      </c>
      <c r="AD605" t="s">
        <v>1838</v>
      </c>
      <c r="AE605" t="s">
        <v>3839</v>
      </c>
      <c r="AF605">
        <v>1.2561130399999998</v>
      </c>
    </row>
    <row r="606" spans="1:32" x14ac:dyDescent="0.25">
      <c r="A606" s="56">
        <v>3500650</v>
      </c>
      <c r="B606" s="56" t="s">
        <v>1694</v>
      </c>
      <c r="C606" s="56" t="s">
        <v>3993</v>
      </c>
      <c r="D606" s="57">
        <v>112.95</v>
      </c>
      <c r="E606" s="58">
        <v>2293</v>
      </c>
      <c r="F606" s="57">
        <v>2.2930000000000001</v>
      </c>
      <c r="G606" s="56" t="s">
        <v>392</v>
      </c>
      <c r="H606" s="56" t="s">
        <v>2511</v>
      </c>
      <c r="I606" s="56" t="s">
        <v>362</v>
      </c>
      <c r="J606" s="56" t="s">
        <v>3126</v>
      </c>
      <c r="K606" s="57">
        <v>677.68100000000004</v>
      </c>
      <c r="L606" s="56" t="s">
        <v>1914</v>
      </c>
      <c r="M606" s="56" t="s">
        <v>1123</v>
      </c>
      <c r="N606" s="56" t="s">
        <v>151</v>
      </c>
      <c r="O606" s="58">
        <v>72</v>
      </c>
      <c r="P606" s="59" t="s">
        <v>2579</v>
      </c>
      <c r="Q606" s="56" t="s">
        <v>11</v>
      </c>
      <c r="U606" s="52">
        <v>1940357</v>
      </c>
      <c r="V606">
        <v>22.23</v>
      </c>
      <c r="W606">
        <v>0</v>
      </c>
      <c r="X606">
        <v>1.2</v>
      </c>
      <c r="Y606">
        <v>0.14000000000000001</v>
      </c>
      <c r="Z606" t="s">
        <v>1881</v>
      </c>
      <c r="AA606" t="s">
        <v>963</v>
      </c>
      <c r="AB606" t="s">
        <v>2520</v>
      </c>
      <c r="AC606" t="s">
        <v>607</v>
      </c>
      <c r="AD606" t="s">
        <v>2171</v>
      </c>
      <c r="AE606" t="s">
        <v>3992</v>
      </c>
      <c r="AF606">
        <v>8.7085902960000003E-2</v>
      </c>
    </row>
    <row r="607" spans="1:32" x14ac:dyDescent="0.25">
      <c r="A607" s="56">
        <v>3500650</v>
      </c>
      <c r="B607" s="56" t="s">
        <v>1694</v>
      </c>
      <c r="C607" s="56" t="s">
        <v>3994</v>
      </c>
      <c r="D607" s="57">
        <v>113.935</v>
      </c>
      <c r="E607" s="58">
        <v>2313</v>
      </c>
      <c r="F607" s="57">
        <v>2.3130000000000002</v>
      </c>
      <c r="G607" s="56" t="s">
        <v>392</v>
      </c>
      <c r="H607" s="56" t="s">
        <v>2511</v>
      </c>
      <c r="I607" s="56" t="s">
        <v>362</v>
      </c>
      <c r="J607" s="56" t="s">
        <v>3339</v>
      </c>
      <c r="K607" s="57">
        <v>683.59100000000001</v>
      </c>
      <c r="L607" s="56" t="s">
        <v>1914</v>
      </c>
      <c r="M607" s="56" t="s">
        <v>1123</v>
      </c>
      <c r="N607" s="56" t="s">
        <v>151</v>
      </c>
      <c r="O607" s="58">
        <v>74</v>
      </c>
      <c r="P607" s="59" t="s">
        <v>2579</v>
      </c>
      <c r="Q607" s="56" t="s">
        <v>11</v>
      </c>
      <c r="U607">
        <v>4083986</v>
      </c>
      <c r="V607">
        <v>22.23</v>
      </c>
      <c r="W607">
        <v>0</v>
      </c>
      <c r="X607">
        <v>1.2</v>
      </c>
      <c r="Y607">
        <v>0.29699999999999999</v>
      </c>
      <c r="Z607" t="s">
        <v>1952</v>
      </c>
      <c r="AA607" t="s">
        <v>963</v>
      </c>
      <c r="AB607" t="s">
        <v>2520</v>
      </c>
      <c r="AC607" t="s">
        <v>607</v>
      </c>
      <c r="AD607" t="s">
        <v>2171</v>
      </c>
      <c r="AE607" t="s">
        <v>6614</v>
      </c>
      <c r="AF607">
        <v>0.18474652270799999</v>
      </c>
    </row>
    <row r="608" spans="1:32" x14ac:dyDescent="0.25">
      <c r="A608" s="56">
        <v>3500650</v>
      </c>
      <c r="B608" s="56" t="s">
        <v>1694</v>
      </c>
      <c r="C608" s="56" t="s">
        <v>3996</v>
      </c>
      <c r="D608" s="57">
        <v>112.95</v>
      </c>
      <c r="E608" s="58">
        <v>2293</v>
      </c>
      <c r="F608" s="57">
        <v>2.2930000000000001</v>
      </c>
      <c r="G608" s="56" t="s">
        <v>392</v>
      </c>
      <c r="H608" s="56" t="s">
        <v>2511</v>
      </c>
      <c r="I608" s="56" t="s">
        <v>362</v>
      </c>
      <c r="J608" s="56" t="s">
        <v>3126</v>
      </c>
      <c r="K608" s="57">
        <v>677.68100000000004</v>
      </c>
      <c r="L608" s="56" t="s">
        <v>1914</v>
      </c>
      <c r="M608" s="56" t="s">
        <v>1123</v>
      </c>
      <c r="N608" s="56" t="s">
        <v>151</v>
      </c>
      <c r="O608" s="58">
        <v>72</v>
      </c>
      <c r="P608" s="59" t="s">
        <v>2579</v>
      </c>
      <c r="Q608" s="56" t="s">
        <v>11</v>
      </c>
      <c r="U608" s="52">
        <v>1940360</v>
      </c>
      <c r="V608">
        <v>22.23</v>
      </c>
      <c r="W608">
        <v>0</v>
      </c>
      <c r="X608">
        <v>1.2</v>
      </c>
      <c r="Y608">
        <v>0.6</v>
      </c>
      <c r="Z608" t="s">
        <v>1881</v>
      </c>
      <c r="AA608" t="s">
        <v>963</v>
      </c>
      <c r="AB608" t="s">
        <v>2520</v>
      </c>
      <c r="AC608" t="s">
        <v>607</v>
      </c>
      <c r="AD608" t="s">
        <v>2171</v>
      </c>
      <c r="AE608" t="s">
        <v>3995</v>
      </c>
      <c r="AF608">
        <v>0.37322529840000002</v>
      </c>
    </row>
    <row r="609" spans="1:32" x14ac:dyDescent="0.25">
      <c r="A609" s="56">
        <v>3500650</v>
      </c>
      <c r="B609" s="56" t="s">
        <v>1694</v>
      </c>
      <c r="C609" s="56" t="s">
        <v>3997</v>
      </c>
      <c r="D609" s="57">
        <v>117.925</v>
      </c>
      <c r="E609" s="58">
        <v>2394</v>
      </c>
      <c r="F609" s="57">
        <v>2.3940000000000001</v>
      </c>
      <c r="G609" s="56" t="s">
        <v>392</v>
      </c>
      <c r="H609" s="56" t="s">
        <v>2511</v>
      </c>
      <c r="I609" s="56" t="s">
        <v>362</v>
      </c>
      <c r="J609" s="56" t="s">
        <v>3998</v>
      </c>
      <c r="K609" s="57">
        <v>707.53</v>
      </c>
      <c r="L609" s="56" t="s">
        <v>1914</v>
      </c>
      <c r="M609" s="56" t="s">
        <v>1123</v>
      </c>
      <c r="N609" s="56" t="s">
        <v>151</v>
      </c>
      <c r="O609" s="58">
        <v>70</v>
      </c>
      <c r="P609" s="59" t="s">
        <v>2579</v>
      </c>
      <c r="Q609" s="56" t="s">
        <v>11</v>
      </c>
      <c r="U609" s="52">
        <v>1900466</v>
      </c>
      <c r="V609">
        <v>22.23</v>
      </c>
      <c r="W609">
        <v>0</v>
      </c>
      <c r="X609">
        <v>1.2</v>
      </c>
      <c r="Y609">
        <v>0.67300000000000004</v>
      </c>
      <c r="Z609" t="s">
        <v>1952</v>
      </c>
      <c r="AA609" t="s">
        <v>963</v>
      </c>
      <c r="AB609" t="s">
        <v>2520</v>
      </c>
      <c r="AC609" t="s">
        <v>607</v>
      </c>
      <c r="AD609" t="s">
        <v>2171</v>
      </c>
      <c r="AE609" t="s">
        <v>640</v>
      </c>
      <c r="AF609">
        <v>0.41863437637200002</v>
      </c>
    </row>
    <row r="610" spans="1:32" x14ac:dyDescent="0.25">
      <c r="A610" s="56">
        <v>3500650</v>
      </c>
      <c r="B610" s="56" t="s">
        <v>1694</v>
      </c>
      <c r="C610" s="56" t="s">
        <v>3999</v>
      </c>
      <c r="D610" s="57">
        <v>118.96</v>
      </c>
      <c r="E610" s="58">
        <v>2415</v>
      </c>
      <c r="F610" s="57">
        <v>2.415</v>
      </c>
      <c r="G610" s="56" t="s">
        <v>392</v>
      </c>
      <c r="H610" s="56" t="s">
        <v>2511</v>
      </c>
      <c r="I610" s="56" t="s">
        <v>362</v>
      </c>
      <c r="J610" s="56" t="s">
        <v>4000</v>
      </c>
      <c r="K610" s="57">
        <v>713.73699999999997</v>
      </c>
      <c r="L610" s="56" t="s">
        <v>1914</v>
      </c>
      <c r="M610" s="56" t="s">
        <v>1123</v>
      </c>
      <c r="N610" s="56" t="s">
        <v>151</v>
      </c>
      <c r="O610" s="58">
        <v>70</v>
      </c>
      <c r="P610" s="59" t="s">
        <v>2579</v>
      </c>
      <c r="Q610" s="56" t="s">
        <v>11</v>
      </c>
      <c r="U610" s="52">
        <v>1940363</v>
      </c>
      <c r="V610">
        <v>22.23</v>
      </c>
      <c r="W610">
        <v>0</v>
      </c>
      <c r="X610">
        <v>1.2</v>
      </c>
      <c r="Y610">
        <v>1.1619999999999999</v>
      </c>
      <c r="Z610" t="s">
        <v>1881</v>
      </c>
      <c r="AA610" t="s">
        <v>963</v>
      </c>
      <c r="AB610" t="s">
        <v>2520</v>
      </c>
      <c r="AC610" t="s">
        <v>607</v>
      </c>
      <c r="AD610" t="s">
        <v>2171</v>
      </c>
      <c r="AE610" t="s">
        <v>933</v>
      </c>
      <c r="AF610">
        <v>0.72281299456799997</v>
      </c>
    </row>
    <row r="611" spans="1:32" x14ac:dyDescent="0.25">
      <c r="A611" s="56">
        <v>3500650</v>
      </c>
      <c r="B611" s="56" t="s">
        <v>1694</v>
      </c>
      <c r="C611" s="56" t="s">
        <v>4002</v>
      </c>
      <c r="D611" s="57">
        <v>113.935</v>
      </c>
      <c r="E611" s="58">
        <v>2313</v>
      </c>
      <c r="F611" s="57">
        <v>2.3130000000000002</v>
      </c>
      <c r="G611" s="56" t="s">
        <v>392</v>
      </c>
      <c r="H611" s="56" t="s">
        <v>2511</v>
      </c>
      <c r="I611" s="56" t="s">
        <v>362</v>
      </c>
      <c r="J611" s="56" t="s">
        <v>3339</v>
      </c>
      <c r="K611" s="57">
        <v>683.59100000000001</v>
      </c>
      <c r="L611" s="56" t="s">
        <v>1914</v>
      </c>
      <c r="M611" s="56" t="s">
        <v>1123</v>
      </c>
      <c r="N611" s="56" t="s">
        <v>151</v>
      </c>
      <c r="O611" s="58">
        <v>73</v>
      </c>
      <c r="P611" s="59" t="s">
        <v>2579</v>
      </c>
      <c r="Q611" s="56" t="s">
        <v>11</v>
      </c>
      <c r="U611" s="52">
        <v>1940364</v>
      </c>
      <c r="V611">
        <v>22.23</v>
      </c>
      <c r="W611">
        <v>0</v>
      </c>
      <c r="X611">
        <v>1.2</v>
      </c>
      <c r="Y611">
        <v>1.26</v>
      </c>
      <c r="Z611" t="s">
        <v>1881</v>
      </c>
      <c r="AA611" t="s">
        <v>963</v>
      </c>
      <c r="AB611" t="s">
        <v>2520</v>
      </c>
      <c r="AC611" t="s">
        <v>607</v>
      </c>
      <c r="AD611" t="s">
        <v>2171</v>
      </c>
      <c r="AE611" t="s">
        <v>4001</v>
      </c>
      <c r="AF611">
        <v>0.78377312663999998</v>
      </c>
    </row>
    <row r="612" spans="1:32" x14ac:dyDescent="0.25">
      <c r="A612" s="56">
        <v>3500650</v>
      </c>
      <c r="B612" s="56" t="s">
        <v>1694</v>
      </c>
      <c r="C612" s="56" t="s">
        <v>4003</v>
      </c>
      <c r="D612" s="57">
        <v>117.925</v>
      </c>
      <c r="E612" s="58">
        <v>2394</v>
      </c>
      <c r="F612" s="57">
        <v>2.3940000000000001</v>
      </c>
      <c r="G612" s="56" t="s">
        <v>392</v>
      </c>
      <c r="H612" s="56" t="s">
        <v>2511</v>
      </c>
      <c r="I612" s="56" t="s">
        <v>362</v>
      </c>
      <c r="J612" s="56" t="s">
        <v>3998</v>
      </c>
      <c r="K612" s="57">
        <v>707.53</v>
      </c>
      <c r="L612" s="56" t="s">
        <v>1914</v>
      </c>
      <c r="M612" s="56" t="s">
        <v>1123</v>
      </c>
      <c r="N612" s="56" t="s">
        <v>151</v>
      </c>
      <c r="O612" s="58">
        <v>74</v>
      </c>
      <c r="P612" s="59" t="s">
        <v>2579</v>
      </c>
      <c r="Q612" s="56" t="s">
        <v>11</v>
      </c>
      <c r="U612" s="52">
        <v>3747393</v>
      </c>
      <c r="V612">
        <v>22.23</v>
      </c>
      <c r="W612">
        <v>0</v>
      </c>
      <c r="X612">
        <v>1.2</v>
      </c>
      <c r="Y612">
        <v>1.3080000000000001</v>
      </c>
      <c r="Z612" t="s">
        <v>1952</v>
      </c>
      <c r="AA612" t="s">
        <v>963</v>
      </c>
      <c r="AB612" t="s">
        <v>2520</v>
      </c>
      <c r="AC612" t="s">
        <v>607</v>
      </c>
      <c r="AD612" t="s">
        <v>2171</v>
      </c>
      <c r="AE612" t="s">
        <v>609</v>
      </c>
      <c r="AF612">
        <v>0.81363115051200008</v>
      </c>
    </row>
    <row r="613" spans="1:32" x14ac:dyDescent="0.25">
      <c r="A613" s="56">
        <v>3500650</v>
      </c>
      <c r="B613" s="56" t="s">
        <v>1694</v>
      </c>
      <c r="C613" s="56" t="s">
        <v>4004</v>
      </c>
      <c r="D613" s="57">
        <v>114.871</v>
      </c>
      <c r="E613" s="58">
        <v>2332</v>
      </c>
      <c r="F613" s="57">
        <v>2.3319999999999999</v>
      </c>
      <c r="G613" s="56" t="s">
        <v>392</v>
      </c>
      <c r="H613" s="56" t="s">
        <v>2511</v>
      </c>
      <c r="I613" s="56" t="s">
        <v>362</v>
      </c>
      <c r="J613" s="56" t="s">
        <v>4005</v>
      </c>
      <c r="K613" s="57">
        <v>689.20699999999999</v>
      </c>
      <c r="L613" s="56" t="s">
        <v>1914</v>
      </c>
      <c r="M613" s="56" t="s">
        <v>1123</v>
      </c>
      <c r="N613" s="56" t="s">
        <v>151</v>
      </c>
      <c r="O613" s="58">
        <v>74</v>
      </c>
      <c r="P613" s="59" t="s">
        <v>2579</v>
      </c>
      <c r="Q613" s="56" t="s">
        <v>11</v>
      </c>
      <c r="U613" s="52">
        <v>2423535</v>
      </c>
      <c r="V613">
        <v>22.23</v>
      </c>
      <c r="W613">
        <v>0</v>
      </c>
      <c r="X613">
        <v>1.2</v>
      </c>
      <c r="Y613">
        <v>1.3280000000000001</v>
      </c>
      <c r="Z613" t="s">
        <v>1881</v>
      </c>
      <c r="AA613" t="s">
        <v>963</v>
      </c>
      <c r="AB613" t="s">
        <v>2520</v>
      </c>
      <c r="AC613" t="s">
        <v>607</v>
      </c>
      <c r="AD613" t="s">
        <v>2171</v>
      </c>
      <c r="AE613" t="s">
        <v>2219</v>
      </c>
      <c r="AF613">
        <v>0.82607199379200003</v>
      </c>
    </row>
    <row r="614" spans="1:32" x14ac:dyDescent="0.25">
      <c r="A614" s="56">
        <v>3500650</v>
      </c>
      <c r="B614" s="56" t="s">
        <v>1694</v>
      </c>
      <c r="C614" s="56" t="s">
        <v>4006</v>
      </c>
      <c r="D614" s="57">
        <v>114.871</v>
      </c>
      <c r="E614" s="58">
        <v>2332</v>
      </c>
      <c r="F614" s="57">
        <v>2.3319999999999999</v>
      </c>
      <c r="G614" s="56" t="s">
        <v>392</v>
      </c>
      <c r="H614" s="56" t="s">
        <v>2511</v>
      </c>
      <c r="I614" s="56" t="s">
        <v>362</v>
      </c>
      <c r="J614" s="56" t="s">
        <v>4005</v>
      </c>
      <c r="K614" s="57">
        <v>689.20699999999999</v>
      </c>
      <c r="L614" s="56" t="s">
        <v>1914</v>
      </c>
      <c r="M614" s="56" t="s">
        <v>1123</v>
      </c>
      <c r="N614" s="56" t="s">
        <v>151</v>
      </c>
      <c r="O614" s="58">
        <v>74</v>
      </c>
      <c r="P614" s="59" t="s">
        <v>2579</v>
      </c>
      <c r="Q614" s="56" t="s">
        <v>11</v>
      </c>
      <c r="U614" s="538">
        <v>111118011</v>
      </c>
      <c r="V614">
        <v>22.23</v>
      </c>
      <c r="W614">
        <v>0</v>
      </c>
      <c r="X614">
        <v>1.2</v>
      </c>
      <c r="Y614">
        <v>5.3</v>
      </c>
      <c r="Z614" t="s">
        <v>1881</v>
      </c>
      <c r="AA614" t="s">
        <v>963</v>
      </c>
      <c r="AB614" t="s">
        <v>2520</v>
      </c>
      <c r="AC614" t="s">
        <v>607</v>
      </c>
      <c r="AD614" t="s">
        <v>1838</v>
      </c>
      <c r="AE614" t="s">
        <v>2176</v>
      </c>
      <c r="AF614">
        <v>0.62204216400000001</v>
      </c>
    </row>
    <row r="615" spans="1:32" x14ac:dyDescent="0.25">
      <c r="A615" s="56">
        <v>3500650</v>
      </c>
      <c r="B615" s="56" t="s">
        <v>1694</v>
      </c>
      <c r="C615" s="56" t="s">
        <v>4007</v>
      </c>
      <c r="D615" s="57">
        <v>116.89100000000001</v>
      </c>
      <c r="E615" s="58">
        <v>2373</v>
      </c>
      <c r="F615" s="57">
        <v>2.3730000000000002</v>
      </c>
      <c r="G615" s="56" t="s">
        <v>392</v>
      </c>
      <c r="H615" s="56" t="s">
        <v>2511</v>
      </c>
      <c r="I615" s="56" t="s">
        <v>362</v>
      </c>
      <c r="J615" s="56" t="s">
        <v>3339</v>
      </c>
      <c r="K615" s="57">
        <v>701.32399999999996</v>
      </c>
      <c r="L615" s="56" t="s">
        <v>1914</v>
      </c>
      <c r="M615" s="56" t="s">
        <v>1123</v>
      </c>
      <c r="N615" s="56" t="s">
        <v>151</v>
      </c>
      <c r="O615" s="58">
        <v>74</v>
      </c>
      <c r="P615" s="59" t="s">
        <v>2579</v>
      </c>
      <c r="Q615" s="56" t="s">
        <v>11</v>
      </c>
      <c r="U615" s="588">
        <v>3929640</v>
      </c>
      <c r="V615">
        <v>22.23</v>
      </c>
      <c r="W615">
        <v>0</v>
      </c>
      <c r="X615">
        <v>1.2</v>
      </c>
      <c r="Y615">
        <v>5.3</v>
      </c>
      <c r="Z615" t="s">
        <v>1881</v>
      </c>
      <c r="AA615" t="s">
        <v>963</v>
      </c>
      <c r="AB615" t="s">
        <v>2520</v>
      </c>
      <c r="AC615" t="s">
        <v>607</v>
      </c>
      <c r="AD615" t="s">
        <v>1838</v>
      </c>
      <c r="AE615" t="s">
        <v>2176</v>
      </c>
      <c r="AF615" t="e">
        <f>IF([4]!buckets[[#This Row],[LL or CTL]]="LL",(3.14*([4]!buckets[[#This Row],[OD]]-[4]!buckets[[#This Row],[Thickness]])*[4]!buckets[[#This Row],[Thickness]]*1000*7.85)/1000000,(3.14*([4]!buckets[[#This Row],[OD]]-[4]!buckets[[#This Row],[Thickness]])*[4]!buckets[[#This Row],[Thickness]]*[4]!buckets[[#This Row],[Length]]*1000*7.85)/1000000)</f>
        <v>#REF!</v>
      </c>
    </row>
    <row r="616" spans="1:32" x14ac:dyDescent="0.25">
      <c r="A616" s="56">
        <v>3500650</v>
      </c>
      <c r="B616" s="56" t="s">
        <v>1694</v>
      </c>
      <c r="C616" s="56" t="s">
        <v>4008</v>
      </c>
      <c r="D616" s="57">
        <v>94.971000000000004</v>
      </c>
      <c r="E616" s="58">
        <v>1928</v>
      </c>
      <c r="F616" s="57">
        <v>1.9279999999999999</v>
      </c>
      <c r="G616" s="56" t="s">
        <v>392</v>
      </c>
      <c r="H616" s="56" t="s">
        <v>2511</v>
      </c>
      <c r="I616" s="56" t="s">
        <v>362</v>
      </c>
      <c r="J616" s="56" t="s">
        <v>4009</v>
      </c>
      <c r="K616" s="57">
        <v>569.80700000000002</v>
      </c>
      <c r="L616" s="56" t="s">
        <v>1914</v>
      </c>
      <c r="M616" s="56" t="s">
        <v>1123</v>
      </c>
      <c r="N616" s="56" t="s">
        <v>151</v>
      </c>
      <c r="O616" s="58">
        <v>62</v>
      </c>
      <c r="P616" s="59" t="s">
        <v>2579</v>
      </c>
      <c r="Q616" s="56" t="s">
        <v>11</v>
      </c>
      <c r="U616" s="538">
        <v>111002305</v>
      </c>
      <c r="V616">
        <v>22.23</v>
      </c>
      <c r="W616">
        <v>0</v>
      </c>
      <c r="X616">
        <v>1.2</v>
      </c>
      <c r="Y616">
        <v>5.3840000000000003</v>
      </c>
      <c r="Z616" t="s">
        <v>1881</v>
      </c>
      <c r="AA616" t="s">
        <v>963</v>
      </c>
      <c r="AB616" t="s">
        <v>2520</v>
      </c>
      <c r="AC616" t="s">
        <v>607</v>
      </c>
      <c r="AD616" t="s">
        <v>1838</v>
      </c>
      <c r="AE616" t="s">
        <v>2176</v>
      </c>
      <c r="AF616">
        <v>0.62204216400000001</v>
      </c>
    </row>
    <row r="617" spans="1:32" x14ac:dyDescent="0.25">
      <c r="A617" s="56">
        <v>3500650</v>
      </c>
      <c r="B617" s="56" t="s">
        <v>1694</v>
      </c>
      <c r="C617" s="56" t="s">
        <v>4010</v>
      </c>
      <c r="D617" s="57">
        <v>111.965</v>
      </c>
      <c r="E617" s="58">
        <v>2273</v>
      </c>
      <c r="F617" s="57">
        <v>2.2730000000000001</v>
      </c>
      <c r="G617" s="56" t="s">
        <v>392</v>
      </c>
      <c r="H617" s="56" t="s">
        <v>2511</v>
      </c>
      <c r="I617" s="56" t="s">
        <v>362</v>
      </c>
      <c r="J617" s="56" t="s">
        <v>4005</v>
      </c>
      <c r="K617" s="57">
        <v>671.77</v>
      </c>
      <c r="L617" s="56" t="s">
        <v>1914</v>
      </c>
      <c r="M617" s="56" t="s">
        <v>1123</v>
      </c>
      <c r="N617" s="56" t="s">
        <v>151</v>
      </c>
      <c r="O617" s="58">
        <v>59</v>
      </c>
      <c r="P617" s="59" t="s">
        <v>2532</v>
      </c>
      <c r="Q617" s="56" t="s">
        <v>11</v>
      </c>
      <c r="U617" s="538">
        <v>111002204</v>
      </c>
      <c r="V617">
        <v>22.23</v>
      </c>
      <c r="W617">
        <v>0</v>
      </c>
      <c r="X617">
        <v>1.2</v>
      </c>
      <c r="Y617">
        <v>5.5350000000000001</v>
      </c>
      <c r="Z617" t="s">
        <v>1881</v>
      </c>
      <c r="AA617" t="s">
        <v>963</v>
      </c>
      <c r="AB617" t="s">
        <v>2520</v>
      </c>
      <c r="AC617" t="s">
        <v>607</v>
      </c>
      <c r="AD617" t="s">
        <v>1838</v>
      </c>
      <c r="AE617" t="s">
        <v>2176</v>
      </c>
      <c r="AF617">
        <v>0.62204216400000001</v>
      </c>
    </row>
    <row r="618" spans="1:32" x14ac:dyDescent="0.25">
      <c r="A618" s="56">
        <v>3500650</v>
      </c>
      <c r="B618" s="56" t="s">
        <v>1694</v>
      </c>
      <c r="C618" s="56" t="s">
        <v>4011</v>
      </c>
      <c r="D618" s="57">
        <v>111.965</v>
      </c>
      <c r="E618" s="58">
        <v>2273</v>
      </c>
      <c r="F618" s="57">
        <v>2.2730000000000001</v>
      </c>
      <c r="G618" s="56" t="s">
        <v>392</v>
      </c>
      <c r="H618" s="56" t="s">
        <v>2511</v>
      </c>
      <c r="I618" s="56" t="s">
        <v>362</v>
      </c>
      <c r="J618" s="56" t="s">
        <v>4005</v>
      </c>
      <c r="K618" s="57">
        <v>671.77</v>
      </c>
      <c r="L618" s="56" t="s">
        <v>1914</v>
      </c>
      <c r="M618" s="56" t="s">
        <v>1123</v>
      </c>
      <c r="N618" s="56" t="s">
        <v>151</v>
      </c>
      <c r="O618" s="58">
        <v>59</v>
      </c>
      <c r="P618" s="59" t="s">
        <v>2532</v>
      </c>
      <c r="Q618" s="56" t="s">
        <v>11</v>
      </c>
      <c r="U618" s="508">
        <v>3569248</v>
      </c>
      <c r="V618">
        <v>22.23</v>
      </c>
      <c r="W618">
        <v>0</v>
      </c>
      <c r="X618">
        <v>1.2</v>
      </c>
      <c r="Y618">
        <v>5.65</v>
      </c>
      <c r="Z618" t="s">
        <v>1881</v>
      </c>
      <c r="AA618" t="s">
        <v>963</v>
      </c>
      <c r="AB618" t="s">
        <v>2520</v>
      </c>
      <c r="AC618" t="s">
        <v>607</v>
      </c>
      <c r="AD618" t="s">
        <v>1838</v>
      </c>
      <c r="AE618" t="s">
        <v>2176</v>
      </c>
      <c r="AF618">
        <v>0.62204216400000001</v>
      </c>
    </row>
    <row r="619" spans="1:32" x14ac:dyDescent="0.25">
      <c r="A619" s="56">
        <v>3500650</v>
      </c>
      <c r="B619" s="56" t="s">
        <v>1694</v>
      </c>
      <c r="C619" s="56" t="s">
        <v>4012</v>
      </c>
      <c r="D619" s="57">
        <v>122.014</v>
      </c>
      <c r="E619" s="58">
        <v>2477</v>
      </c>
      <c r="F619" s="57">
        <v>2.4769999999999999</v>
      </c>
      <c r="G619" s="56" t="s">
        <v>392</v>
      </c>
      <c r="H619" s="56" t="s">
        <v>2511</v>
      </c>
      <c r="I619" s="56" t="s">
        <v>362</v>
      </c>
      <c r="J619" s="56" t="s">
        <v>3981</v>
      </c>
      <c r="K619" s="57">
        <v>732.06100000000004</v>
      </c>
      <c r="L619" s="56" t="s">
        <v>1914</v>
      </c>
      <c r="M619" s="56" t="s">
        <v>1123</v>
      </c>
      <c r="N619" s="56" t="s">
        <v>151</v>
      </c>
      <c r="O619" s="58">
        <v>61</v>
      </c>
      <c r="P619" s="59" t="s">
        <v>2579</v>
      </c>
      <c r="Q619" s="56" t="s">
        <v>11</v>
      </c>
      <c r="U619" s="538">
        <v>110102502</v>
      </c>
      <c r="V619">
        <v>22.23</v>
      </c>
      <c r="W619">
        <v>0</v>
      </c>
      <c r="X619">
        <v>1.2</v>
      </c>
      <c r="Y619">
        <v>5.65</v>
      </c>
      <c r="Z619" t="s">
        <v>1881</v>
      </c>
      <c r="AA619" t="s">
        <v>963</v>
      </c>
      <c r="AB619" t="s">
        <v>2520</v>
      </c>
      <c r="AC619" t="s">
        <v>607</v>
      </c>
      <c r="AD619" t="s">
        <v>1838</v>
      </c>
      <c r="AE619" t="s">
        <v>2176</v>
      </c>
      <c r="AF619">
        <v>0.62204216400000001</v>
      </c>
    </row>
    <row r="620" spans="1:32" x14ac:dyDescent="0.25">
      <c r="A620" s="56">
        <v>3500650</v>
      </c>
      <c r="B620" s="56" t="s">
        <v>1694</v>
      </c>
      <c r="C620" s="56" t="s">
        <v>4013</v>
      </c>
      <c r="D620" s="57">
        <v>126.151</v>
      </c>
      <c r="E620" s="58">
        <v>2561</v>
      </c>
      <c r="F620" s="57">
        <v>2.5609999999999999</v>
      </c>
      <c r="G620" s="56" t="s">
        <v>392</v>
      </c>
      <c r="H620" s="56" t="s">
        <v>2511</v>
      </c>
      <c r="I620" s="56" t="s">
        <v>362</v>
      </c>
      <c r="J620" s="56" t="s">
        <v>4014</v>
      </c>
      <c r="K620" s="57">
        <v>756.88599999999997</v>
      </c>
      <c r="L620" s="56" t="s">
        <v>1914</v>
      </c>
      <c r="M620" s="56" t="s">
        <v>1123</v>
      </c>
      <c r="N620" s="56" t="s">
        <v>151</v>
      </c>
      <c r="O620" s="58">
        <v>62</v>
      </c>
      <c r="P620" s="59" t="s">
        <v>2579</v>
      </c>
      <c r="Q620" s="56" t="s">
        <v>11</v>
      </c>
      <c r="U620" s="52">
        <v>3183145</v>
      </c>
      <c r="V620">
        <v>22.23</v>
      </c>
      <c r="W620">
        <v>0</v>
      </c>
      <c r="X620">
        <v>1.2</v>
      </c>
      <c r="Y620">
        <v>5.85</v>
      </c>
      <c r="Z620" t="s">
        <v>1881</v>
      </c>
      <c r="AA620" t="s">
        <v>963</v>
      </c>
      <c r="AB620" t="s">
        <v>2520</v>
      </c>
      <c r="AC620" t="s">
        <v>607</v>
      </c>
      <c r="AD620" t="s">
        <v>1838</v>
      </c>
      <c r="AE620" t="s">
        <v>2176</v>
      </c>
      <c r="AF620">
        <v>0.62204216400000001</v>
      </c>
    </row>
    <row r="621" spans="1:32" x14ac:dyDescent="0.25">
      <c r="A621" s="56">
        <v>3500650</v>
      </c>
      <c r="B621" s="56" t="s">
        <v>1694</v>
      </c>
      <c r="C621" s="56" t="s">
        <v>4015</v>
      </c>
      <c r="D621" s="57">
        <v>120.93</v>
      </c>
      <c r="E621" s="58">
        <v>2455</v>
      </c>
      <c r="F621" s="57">
        <v>2.4550000000000001</v>
      </c>
      <c r="G621" s="56" t="s">
        <v>392</v>
      </c>
      <c r="H621" s="56" t="s">
        <v>2511</v>
      </c>
      <c r="I621" s="56" t="s">
        <v>362</v>
      </c>
      <c r="J621" s="56" t="s">
        <v>4016</v>
      </c>
      <c r="K621" s="57">
        <v>725.55899999999997</v>
      </c>
      <c r="L621" s="56" t="s">
        <v>1914</v>
      </c>
      <c r="M621" s="56" t="s">
        <v>1123</v>
      </c>
      <c r="N621" s="56" t="s">
        <v>151</v>
      </c>
      <c r="O621" s="58">
        <v>61</v>
      </c>
      <c r="P621" s="59" t="s">
        <v>2579</v>
      </c>
      <c r="Q621" s="56" t="s">
        <v>11</v>
      </c>
      <c r="U621">
        <v>3575893</v>
      </c>
      <c r="V621">
        <v>22.23</v>
      </c>
      <c r="W621">
        <v>0</v>
      </c>
      <c r="X621">
        <v>1.2</v>
      </c>
      <c r="Y621">
        <v>5.8849999999999998</v>
      </c>
      <c r="Z621" t="s">
        <v>1881</v>
      </c>
      <c r="AA621" t="s">
        <v>963</v>
      </c>
      <c r="AB621" t="s">
        <v>2520</v>
      </c>
      <c r="AC621" t="s">
        <v>607</v>
      </c>
      <c r="AD621" t="s">
        <v>1838</v>
      </c>
      <c r="AE621" t="s">
        <v>2176</v>
      </c>
      <c r="AF621">
        <v>0.62204216400000001</v>
      </c>
    </row>
    <row r="622" spans="1:32" x14ac:dyDescent="0.25">
      <c r="A622" s="56">
        <v>3500650</v>
      </c>
      <c r="B622" s="56" t="s">
        <v>1694</v>
      </c>
      <c r="C622" s="56" t="s">
        <v>4017</v>
      </c>
      <c r="D622" s="57">
        <v>121.964</v>
      </c>
      <c r="E622" s="58">
        <v>2476</v>
      </c>
      <c r="F622" s="57">
        <v>2.476</v>
      </c>
      <c r="G622" s="56" t="s">
        <v>392</v>
      </c>
      <c r="H622" s="56" t="s">
        <v>2511</v>
      </c>
      <c r="I622" s="56" t="s">
        <v>362</v>
      </c>
      <c r="J622" s="56" t="s">
        <v>4018</v>
      </c>
      <c r="K622" s="57">
        <v>731.76499999999999</v>
      </c>
      <c r="L622" s="56" t="s">
        <v>1914</v>
      </c>
      <c r="M622" s="56" t="s">
        <v>1123</v>
      </c>
      <c r="N622" s="56" t="s">
        <v>151</v>
      </c>
      <c r="O622" s="58">
        <v>59</v>
      </c>
      <c r="P622" s="59" t="s">
        <v>2532</v>
      </c>
      <c r="Q622" s="56" t="s">
        <v>11</v>
      </c>
      <c r="U622" s="538">
        <v>110102503</v>
      </c>
      <c r="V622">
        <v>22.23</v>
      </c>
      <c r="W622">
        <v>0</v>
      </c>
      <c r="X622">
        <v>1.2</v>
      </c>
      <c r="Y622">
        <v>5.8849999999999998</v>
      </c>
      <c r="Z622" t="s">
        <v>1881</v>
      </c>
      <c r="AA622" t="s">
        <v>963</v>
      </c>
      <c r="AB622" t="s">
        <v>2520</v>
      </c>
      <c r="AC622" t="s">
        <v>607</v>
      </c>
      <c r="AD622" t="s">
        <v>1838</v>
      </c>
      <c r="AE622" t="s">
        <v>2176</v>
      </c>
      <c r="AF622">
        <v>0.62204216400000001</v>
      </c>
    </row>
    <row r="623" spans="1:32" x14ac:dyDescent="0.25">
      <c r="A623" s="56">
        <v>3500650</v>
      </c>
      <c r="B623" s="56" t="s">
        <v>1694</v>
      </c>
      <c r="C623" s="56" t="s">
        <v>4019</v>
      </c>
      <c r="D623" s="57">
        <v>119.94499999999999</v>
      </c>
      <c r="E623" s="58">
        <v>2435</v>
      </c>
      <c r="F623" s="57">
        <v>2.4350000000000001</v>
      </c>
      <c r="G623" s="56" t="s">
        <v>392</v>
      </c>
      <c r="H623" s="56" t="s">
        <v>2511</v>
      </c>
      <c r="I623" s="56" t="s">
        <v>362</v>
      </c>
      <c r="J623" s="56" t="s">
        <v>3781</v>
      </c>
      <c r="K623" s="57">
        <v>719.64800000000002</v>
      </c>
      <c r="L623" s="56" t="s">
        <v>1914</v>
      </c>
      <c r="M623" s="56" t="s">
        <v>1123</v>
      </c>
      <c r="N623" s="56" t="s">
        <v>151</v>
      </c>
      <c r="O623" s="58">
        <v>62</v>
      </c>
      <c r="P623" s="59" t="s">
        <v>2579</v>
      </c>
      <c r="Q623" s="56" t="s">
        <v>11</v>
      </c>
      <c r="U623" s="508">
        <v>3183146</v>
      </c>
      <c r="V623">
        <v>22.23</v>
      </c>
      <c r="W623">
        <v>0</v>
      </c>
      <c r="X623">
        <v>1.2</v>
      </c>
      <c r="Y623">
        <v>5.96</v>
      </c>
      <c r="Z623" t="s">
        <v>1881</v>
      </c>
      <c r="AA623" t="s">
        <v>963</v>
      </c>
      <c r="AB623" t="s">
        <v>2520</v>
      </c>
      <c r="AC623" t="s">
        <v>607</v>
      </c>
      <c r="AD623" t="s">
        <v>1838</v>
      </c>
      <c r="AE623" t="s">
        <v>2176</v>
      </c>
      <c r="AF623">
        <v>0.62204216400000001</v>
      </c>
    </row>
    <row r="624" spans="1:32" x14ac:dyDescent="0.25">
      <c r="A624" s="56">
        <v>3500650</v>
      </c>
      <c r="B624" s="56" t="s">
        <v>1694</v>
      </c>
      <c r="C624" s="56" t="s">
        <v>4020</v>
      </c>
      <c r="D624" s="57">
        <v>127.137</v>
      </c>
      <c r="E624" s="58">
        <v>2581</v>
      </c>
      <c r="F624" s="57">
        <v>2.581</v>
      </c>
      <c r="G624" s="56" t="s">
        <v>392</v>
      </c>
      <c r="H624" s="56" t="s">
        <v>2511</v>
      </c>
      <c r="I624" s="56" t="s">
        <v>362</v>
      </c>
      <c r="J624" s="56" t="s">
        <v>4021</v>
      </c>
      <c r="K624" s="57">
        <v>762.79700000000003</v>
      </c>
      <c r="L624" s="56" t="s">
        <v>1914</v>
      </c>
      <c r="M624" s="56" t="s">
        <v>1123</v>
      </c>
      <c r="N624" s="56" t="s">
        <v>151</v>
      </c>
      <c r="O624" s="58">
        <v>62</v>
      </c>
      <c r="P624" s="59" t="s">
        <v>2579</v>
      </c>
      <c r="Q624" s="56" t="s">
        <v>11</v>
      </c>
      <c r="U624" s="52">
        <v>1940369</v>
      </c>
      <c r="V624">
        <v>22.23</v>
      </c>
      <c r="W624">
        <v>0</v>
      </c>
      <c r="X624">
        <v>1.2</v>
      </c>
      <c r="Y624">
        <v>6</v>
      </c>
      <c r="Z624" t="s">
        <v>1881</v>
      </c>
      <c r="AA624" t="s">
        <v>963</v>
      </c>
      <c r="AB624" t="s">
        <v>2520</v>
      </c>
      <c r="AC624" t="s">
        <v>607</v>
      </c>
      <c r="AD624" t="s">
        <v>1838</v>
      </c>
      <c r="AE624" t="s">
        <v>2176</v>
      </c>
      <c r="AF624">
        <v>0.62204216400000001</v>
      </c>
    </row>
    <row r="625" spans="1:32" x14ac:dyDescent="0.25">
      <c r="A625" s="56">
        <v>3500650</v>
      </c>
      <c r="B625" s="56" t="s">
        <v>1694</v>
      </c>
      <c r="C625" s="56" t="s">
        <v>4022</v>
      </c>
      <c r="D625" s="57">
        <v>122.014</v>
      </c>
      <c r="E625" s="58">
        <v>2477</v>
      </c>
      <c r="F625" s="57">
        <v>2.4769999999999999</v>
      </c>
      <c r="G625" s="56" t="s">
        <v>392</v>
      </c>
      <c r="H625" s="56" t="s">
        <v>2511</v>
      </c>
      <c r="I625" s="56" t="s">
        <v>362</v>
      </c>
      <c r="J625" s="56" t="s">
        <v>3981</v>
      </c>
      <c r="K625" s="57">
        <v>732.06100000000004</v>
      </c>
      <c r="L625" s="56" t="s">
        <v>1914</v>
      </c>
      <c r="M625" s="56" t="s">
        <v>1123</v>
      </c>
      <c r="N625" s="56" t="s">
        <v>151</v>
      </c>
      <c r="O625" s="58">
        <v>61</v>
      </c>
      <c r="P625" s="59" t="s">
        <v>2579</v>
      </c>
      <c r="Q625" s="56" t="s">
        <v>11</v>
      </c>
      <c r="U625" s="28">
        <v>3701572</v>
      </c>
      <c r="V625">
        <v>22.23</v>
      </c>
      <c r="W625">
        <v>0</v>
      </c>
      <c r="X625">
        <v>1.2</v>
      </c>
      <c r="Y625">
        <v>6</v>
      </c>
      <c r="Z625" t="s">
        <v>1881</v>
      </c>
      <c r="AA625" t="s">
        <v>963</v>
      </c>
      <c r="AB625" t="s">
        <v>2520</v>
      </c>
      <c r="AC625" t="s">
        <v>607</v>
      </c>
      <c r="AD625" t="s">
        <v>1838</v>
      </c>
      <c r="AE625" t="s">
        <v>2176</v>
      </c>
      <c r="AF625">
        <v>0.62204216400000001</v>
      </c>
    </row>
    <row r="626" spans="1:32" x14ac:dyDescent="0.25">
      <c r="A626" s="56">
        <v>3500650</v>
      </c>
      <c r="B626" s="56" t="s">
        <v>1694</v>
      </c>
      <c r="C626" s="56" t="s">
        <v>4023</v>
      </c>
      <c r="D626" s="57">
        <v>113.935</v>
      </c>
      <c r="E626" s="58">
        <v>2313</v>
      </c>
      <c r="F626" s="57">
        <v>2.3130000000000002</v>
      </c>
      <c r="G626" s="56" t="s">
        <v>392</v>
      </c>
      <c r="H626" s="56" t="s">
        <v>2511</v>
      </c>
      <c r="I626" s="56" t="s">
        <v>362</v>
      </c>
      <c r="J626" s="56" t="s">
        <v>3339</v>
      </c>
      <c r="K626" s="57">
        <v>683.59100000000001</v>
      </c>
      <c r="L626" s="56" t="s">
        <v>1914</v>
      </c>
      <c r="M626" s="56" t="s">
        <v>1123</v>
      </c>
      <c r="N626" s="56" t="s">
        <v>151</v>
      </c>
      <c r="O626" s="58">
        <v>55</v>
      </c>
      <c r="P626" s="59" t="s">
        <v>2532</v>
      </c>
      <c r="Q626" s="56" t="s">
        <v>11</v>
      </c>
      <c r="U626" s="538">
        <v>110102509</v>
      </c>
      <c r="V626">
        <v>22.23</v>
      </c>
      <c r="W626">
        <v>0</v>
      </c>
      <c r="X626">
        <v>1.2</v>
      </c>
      <c r="Y626">
        <v>6</v>
      </c>
      <c r="Z626" t="s">
        <v>1881</v>
      </c>
      <c r="AA626" t="s">
        <v>963</v>
      </c>
      <c r="AB626" t="s">
        <v>2520</v>
      </c>
      <c r="AC626" t="s">
        <v>607</v>
      </c>
      <c r="AD626" t="s">
        <v>1838</v>
      </c>
      <c r="AE626" t="s">
        <v>2176</v>
      </c>
      <c r="AF626">
        <v>0.62204216400000001</v>
      </c>
    </row>
    <row r="627" spans="1:32" x14ac:dyDescent="0.25">
      <c r="A627" s="56">
        <v>3500650</v>
      </c>
      <c r="B627" s="56" t="s">
        <v>1694</v>
      </c>
      <c r="C627" s="56" t="s">
        <v>4024</v>
      </c>
      <c r="D627" s="57">
        <v>116.94</v>
      </c>
      <c r="E627" s="58">
        <v>2374</v>
      </c>
      <c r="F627" s="57">
        <v>2.3740000000000001</v>
      </c>
      <c r="G627" s="56" t="s">
        <v>392</v>
      </c>
      <c r="H627" s="56" t="s">
        <v>2511</v>
      </c>
      <c r="I627" s="56" t="s">
        <v>362</v>
      </c>
      <c r="J627" s="56" t="s">
        <v>3341</v>
      </c>
      <c r="K627" s="57">
        <v>701.62</v>
      </c>
      <c r="L627" s="56" t="s">
        <v>1914</v>
      </c>
      <c r="M627" s="56" t="s">
        <v>1123</v>
      </c>
      <c r="N627" s="56" t="s">
        <v>151</v>
      </c>
      <c r="O627" s="58">
        <v>59</v>
      </c>
      <c r="P627" s="59" t="s">
        <v>2532</v>
      </c>
      <c r="Q627" s="56" t="s">
        <v>11</v>
      </c>
      <c r="U627" s="538">
        <v>110102496</v>
      </c>
      <c r="V627">
        <v>22.23</v>
      </c>
      <c r="W627">
        <v>0</v>
      </c>
      <c r="X627">
        <v>1.2</v>
      </c>
      <c r="Y627">
        <v>6.13</v>
      </c>
      <c r="Z627" t="s">
        <v>1881</v>
      </c>
      <c r="AA627" t="s">
        <v>963</v>
      </c>
      <c r="AB627" t="s">
        <v>2520</v>
      </c>
      <c r="AC627" t="s">
        <v>607</v>
      </c>
      <c r="AD627" t="s">
        <v>1838</v>
      </c>
      <c r="AE627" t="s">
        <v>2176</v>
      </c>
      <c r="AF627">
        <v>0.62204216400000001</v>
      </c>
    </row>
    <row r="628" spans="1:32" x14ac:dyDescent="0.25">
      <c r="A628" s="56">
        <v>3500650</v>
      </c>
      <c r="B628" s="56" t="s">
        <v>1694</v>
      </c>
      <c r="C628" s="56" t="s">
        <v>4025</v>
      </c>
      <c r="D628" s="57">
        <v>114.97</v>
      </c>
      <c r="E628" s="58">
        <v>2334</v>
      </c>
      <c r="F628" s="57">
        <v>2.3340000000000001</v>
      </c>
      <c r="G628" s="56" t="s">
        <v>392</v>
      </c>
      <c r="H628" s="56" t="s">
        <v>2511</v>
      </c>
      <c r="I628" s="56" t="s">
        <v>362</v>
      </c>
      <c r="J628" s="56" t="s">
        <v>3998</v>
      </c>
      <c r="K628" s="57">
        <v>689.798</v>
      </c>
      <c r="L628" s="56" t="s">
        <v>1914</v>
      </c>
      <c r="M628" s="56" t="s">
        <v>1123</v>
      </c>
      <c r="N628" s="56" t="s">
        <v>151</v>
      </c>
      <c r="O628" s="58">
        <v>59</v>
      </c>
      <c r="P628" s="59" t="s">
        <v>2532</v>
      </c>
      <c r="Q628" s="56" t="s">
        <v>11</v>
      </c>
      <c r="U628" s="52">
        <v>3929577</v>
      </c>
      <c r="V628" s="546">
        <v>22.23</v>
      </c>
      <c r="W628" s="546">
        <v>0</v>
      </c>
      <c r="X628" s="547">
        <v>1.2</v>
      </c>
      <c r="Y628" s="548">
        <v>6.13</v>
      </c>
      <c r="Z628" t="s">
        <v>1881</v>
      </c>
      <c r="AA628" t="s">
        <v>963</v>
      </c>
      <c r="AB628" t="s">
        <v>2520</v>
      </c>
      <c r="AC628" t="s">
        <v>607</v>
      </c>
      <c r="AD628" t="s">
        <v>1838</v>
      </c>
      <c r="AE628" t="s">
        <v>2176</v>
      </c>
      <c r="AF628">
        <v>0.62204216400000001</v>
      </c>
    </row>
    <row r="629" spans="1:32" x14ac:dyDescent="0.25">
      <c r="A629" s="56">
        <v>3500650</v>
      </c>
      <c r="B629" s="56" t="s">
        <v>1694</v>
      </c>
      <c r="C629" s="56" t="s">
        <v>4028</v>
      </c>
      <c r="D629" s="57">
        <v>115.955</v>
      </c>
      <c r="E629" s="58">
        <v>2354</v>
      </c>
      <c r="F629" s="57">
        <v>2.3540000000000001</v>
      </c>
      <c r="G629" s="56" t="s">
        <v>392</v>
      </c>
      <c r="H629" s="56" t="s">
        <v>2511</v>
      </c>
      <c r="I629" s="56" t="s">
        <v>362</v>
      </c>
      <c r="J629" s="56" t="s">
        <v>4000</v>
      </c>
      <c r="K629" s="57">
        <v>695.70899999999995</v>
      </c>
      <c r="L629" s="56" t="s">
        <v>1914</v>
      </c>
      <c r="M629" s="56" t="s">
        <v>1123</v>
      </c>
      <c r="N629" s="56" t="s">
        <v>151</v>
      </c>
      <c r="O629" s="58">
        <v>62</v>
      </c>
      <c r="P629" s="59" t="s">
        <v>2579</v>
      </c>
      <c r="Q629" s="56" t="s">
        <v>11</v>
      </c>
      <c r="U629" s="52">
        <v>2364549</v>
      </c>
      <c r="V629">
        <v>22.23</v>
      </c>
      <c r="W629">
        <v>0</v>
      </c>
      <c r="X629">
        <v>1.2</v>
      </c>
      <c r="Y629">
        <v>6.4</v>
      </c>
      <c r="Z629" t="s">
        <v>1868</v>
      </c>
      <c r="AA629" t="s">
        <v>963</v>
      </c>
      <c r="AB629" t="s">
        <v>2520</v>
      </c>
      <c r="AC629" t="s">
        <v>607</v>
      </c>
      <c r="AD629" t="s">
        <v>1838</v>
      </c>
      <c r="AE629" t="s">
        <v>2176</v>
      </c>
      <c r="AF629">
        <v>0.62204216400000001</v>
      </c>
    </row>
    <row r="630" spans="1:32" x14ac:dyDescent="0.25">
      <c r="A630" s="56">
        <v>3500650</v>
      </c>
      <c r="B630" s="56" t="s">
        <v>1694</v>
      </c>
      <c r="C630" s="56" t="s">
        <v>4029</v>
      </c>
      <c r="D630" s="57">
        <v>117.925</v>
      </c>
      <c r="E630" s="58">
        <v>2394</v>
      </c>
      <c r="F630" s="57">
        <v>2.3940000000000001</v>
      </c>
      <c r="G630" s="56" t="s">
        <v>392</v>
      </c>
      <c r="H630" s="56" t="s">
        <v>2511</v>
      </c>
      <c r="I630" s="56" t="s">
        <v>362</v>
      </c>
      <c r="J630" s="56" t="s">
        <v>3998</v>
      </c>
      <c r="K630" s="57">
        <v>707.53</v>
      </c>
      <c r="L630" s="56" t="s">
        <v>1914</v>
      </c>
      <c r="M630" s="56" t="s">
        <v>1123</v>
      </c>
      <c r="N630" s="56" t="s">
        <v>151</v>
      </c>
      <c r="O630" s="58">
        <v>62</v>
      </c>
      <c r="P630" s="59" t="s">
        <v>2579</v>
      </c>
      <c r="Q630" s="56" t="s">
        <v>11</v>
      </c>
      <c r="U630" s="52">
        <v>2404870</v>
      </c>
      <c r="V630">
        <v>22.23</v>
      </c>
      <c r="W630">
        <v>0</v>
      </c>
      <c r="X630">
        <v>1.4</v>
      </c>
      <c r="Y630">
        <v>5.8849999999999998</v>
      </c>
      <c r="Z630" t="s">
        <v>2088</v>
      </c>
      <c r="AA630" t="s">
        <v>963</v>
      </c>
      <c r="AB630" t="s">
        <v>2520</v>
      </c>
      <c r="AC630" t="s">
        <v>4026</v>
      </c>
      <c r="AD630" t="s">
        <v>1838</v>
      </c>
      <c r="AE630" t="s">
        <v>4027</v>
      </c>
      <c r="AF630">
        <v>0.71881413800000005</v>
      </c>
    </row>
    <row r="631" spans="1:32" x14ac:dyDescent="0.25">
      <c r="A631" s="56">
        <v>3500650</v>
      </c>
      <c r="B631" s="56" t="s">
        <v>1694</v>
      </c>
      <c r="C631" s="56" t="s">
        <v>4031</v>
      </c>
      <c r="D631" s="57">
        <v>97.974999999999994</v>
      </c>
      <c r="E631" s="58">
        <v>1989</v>
      </c>
      <c r="F631" s="57">
        <v>1.9890000000000001</v>
      </c>
      <c r="G631" s="56" t="s">
        <v>392</v>
      </c>
      <c r="H631" s="56" t="s">
        <v>2511</v>
      </c>
      <c r="I631" s="56" t="s">
        <v>362</v>
      </c>
      <c r="J631" s="56" t="s">
        <v>3618</v>
      </c>
      <c r="K631" s="57">
        <v>587.83500000000004</v>
      </c>
      <c r="L631" s="56" t="s">
        <v>1914</v>
      </c>
      <c r="M631" s="56" t="s">
        <v>1123</v>
      </c>
      <c r="N631" s="56" t="s">
        <v>151</v>
      </c>
      <c r="O631" s="58">
        <v>59</v>
      </c>
      <c r="P631" s="59" t="s">
        <v>2532</v>
      </c>
      <c r="Q631" s="56" t="s">
        <v>11</v>
      </c>
      <c r="U631" s="52">
        <v>3702143</v>
      </c>
      <c r="V631">
        <v>22.23</v>
      </c>
      <c r="W631">
        <v>0</v>
      </c>
      <c r="X631">
        <v>1.4</v>
      </c>
      <c r="Y631">
        <v>6</v>
      </c>
      <c r="Z631" t="s">
        <v>1881</v>
      </c>
      <c r="AA631" t="s">
        <v>963</v>
      </c>
      <c r="AB631" t="s">
        <v>2520</v>
      </c>
      <c r="AC631" t="s">
        <v>4026</v>
      </c>
      <c r="AD631" t="s">
        <v>1838</v>
      </c>
      <c r="AE631" t="s">
        <v>4027</v>
      </c>
      <c r="AF631">
        <v>0.71881413800000005</v>
      </c>
    </row>
    <row r="632" spans="1:32" x14ac:dyDescent="0.25">
      <c r="A632" s="56">
        <v>3500650</v>
      </c>
      <c r="B632" s="56" t="s">
        <v>1694</v>
      </c>
      <c r="C632" s="56" t="s">
        <v>4032</v>
      </c>
      <c r="D632" s="57">
        <v>116.94</v>
      </c>
      <c r="E632" s="58">
        <v>2374</v>
      </c>
      <c r="F632" s="57">
        <v>2.3740000000000001</v>
      </c>
      <c r="G632" s="56" t="s">
        <v>392</v>
      </c>
      <c r="H632" s="56" t="s">
        <v>2511</v>
      </c>
      <c r="I632" s="56" t="s">
        <v>362</v>
      </c>
      <c r="J632" s="56" t="s">
        <v>3341</v>
      </c>
      <c r="K632" s="57">
        <v>701.62</v>
      </c>
      <c r="L632" s="56" t="s">
        <v>1914</v>
      </c>
      <c r="M632" s="56" t="s">
        <v>1123</v>
      </c>
      <c r="N632" s="56" t="s">
        <v>151</v>
      </c>
      <c r="O632" s="58">
        <v>61</v>
      </c>
      <c r="P632" s="59" t="s">
        <v>2579</v>
      </c>
      <c r="Q632" s="56" t="s">
        <v>11</v>
      </c>
      <c r="U632" s="52">
        <v>2320560</v>
      </c>
      <c r="V632">
        <v>22.23</v>
      </c>
      <c r="W632">
        <v>0</v>
      </c>
      <c r="X632">
        <v>1.6</v>
      </c>
      <c r="Y632">
        <v>0.21</v>
      </c>
      <c r="Z632" t="s">
        <v>1868</v>
      </c>
      <c r="AA632" t="s">
        <v>963</v>
      </c>
      <c r="AB632" t="s">
        <v>2520</v>
      </c>
      <c r="AC632" t="s">
        <v>412</v>
      </c>
      <c r="AD632" t="s">
        <v>2171</v>
      </c>
      <c r="AE632" t="s">
        <v>4030</v>
      </c>
      <c r="AF632">
        <v>0.17085898032000002</v>
      </c>
    </row>
    <row r="633" spans="1:32" x14ac:dyDescent="0.25">
      <c r="A633" s="56">
        <v>3500650</v>
      </c>
      <c r="B633" s="56" t="s">
        <v>1694</v>
      </c>
      <c r="C633" s="56" t="s">
        <v>4033</v>
      </c>
      <c r="D633" s="57">
        <v>95.956000000000003</v>
      </c>
      <c r="E633" s="58">
        <v>1948</v>
      </c>
      <c r="F633" s="57">
        <v>1.948</v>
      </c>
      <c r="G633" s="56" t="s">
        <v>392</v>
      </c>
      <c r="H633" s="56" t="s">
        <v>2511</v>
      </c>
      <c r="I633" s="56" t="s">
        <v>362</v>
      </c>
      <c r="J633" s="56" t="s">
        <v>3769</v>
      </c>
      <c r="K633" s="57">
        <v>575.71799999999996</v>
      </c>
      <c r="L633" s="56" t="s">
        <v>1914</v>
      </c>
      <c r="M633" s="56" t="s">
        <v>1123</v>
      </c>
      <c r="N633" s="56" t="s">
        <v>151</v>
      </c>
      <c r="O633" s="58">
        <v>61</v>
      </c>
      <c r="P633" s="59" t="s">
        <v>2579</v>
      </c>
      <c r="Q633" s="56" t="s">
        <v>11</v>
      </c>
      <c r="U633" s="52">
        <v>3553684</v>
      </c>
      <c r="V633">
        <v>22.23</v>
      </c>
      <c r="W633">
        <v>0</v>
      </c>
      <c r="X633">
        <v>1.6</v>
      </c>
      <c r="Y633">
        <v>0.27400000000000002</v>
      </c>
      <c r="Z633" t="s">
        <v>1868</v>
      </c>
      <c r="AA633" t="s">
        <v>963</v>
      </c>
      <c r="AB633" t="s">
        <v>2520</v>
      </c>
      <c r="AC633" t="s">
        <v>412</v>
      </c>
      <c r="AD633" t="s">
        <v>2171</v>
      </c>
      <c r="AE633" t="s">
        <v>2286</v>
      </c>
      <c r="AF633">
        <v>0.22293028860800004</v>
      </c>
    </row>
    <row r="634" spans="1:32" x14ac:dyDescent="0.25">
      <c r="A634" s="56">
        <v>3500650</v>
      </c>
      <c r="B634" s="56" t="s">
        <v>1694</v>
      </c>
      <c r="C634" s="56" t="s">
        <v>4034</v>
      </c>
      <c r="D634" s="57">
        <v>118.96</v>
      </c>
      <c r="E634" s="58">
        <v>2415</v>
      </c>
      <c r="F634" s="57">
        <v>2.415</v>
      </c>
      <c r="G634" s="56" t="s">
        <v>392</v>
      </c>
      <c r="H634" s="56" t="s">
        <v>2511</v>
      </c>
      <c r="I634" s="56" t="s">
        <v>362</v>
      </c>
      <c r="J634" s="56" t="s">
        <v>3981</v>
      </c>
      <c r="K634" s="57">
        <v>713.73699999999997</v>
      </c>
      <c r="L634" s="56" t="s">
        <v>1914</v>
      </c>
      <c r="M634" s="56" t="s">
        <v>1123</v>
      </c>
      <c r="N634" s="56" t="s">
        <v>151</v>
      </c>
      <c r="O634" s="58">
        <v>61</v>
      </c>
      <c r="P634" s="59" t="s">
        <v>2579</v>
      </c>
      <c r="Q634" s="56" t="s">
        <v>11</v>
      </c>
      <c r="U634" s="52">
        <v>1940390</v>
      </c>
      <c r="V634">
        <v>22.23</v>
      </c>
      <c r="W634">
        <v>0</v>
      </c>
      <c r="X634">
        <v>1.6</v>
      </c>
      <c r="Y634">
        <v>0.28299999999999997</v>
      </c>
      <c r="Z634" t="s">
        <v>1891</v>
      </c>
      <c r="AA634" t="s">
        <v>963</v>
      </c>
      <c r="AB634" t="s">
        <v>2520</v>
      </c>
      <c r="AC634" t="s">
        <v>412</v>
      </c>
      <c r="AD634" t="s">
        <v>2171</v>
      </c>
      <c r="AE634" t="s">
        <v>3843</v>
      </c>
      <c r="AF634">
        <v>0.230252816336</v>
      </c>
    </row>
    <row r="635" spans="1:32" x14ac:dyDescent="0.25">
      <c r="A635" s="56">
        <v>3500650</v>
      </c>
      <c r="B635" s="56" t="s">
        <v>1694</v>
      </c>
      <c r="C635" s="56" t="s">
        <v>4036</v>
      </c>
      <c r="D635" s="57">
        <v>107.97499999999999</v>
      </c>
      <c r="E635" s="58">
        <v>2192</v>
      </c>
      <c r="F635" s="57">
        <v>2.1920000000000002</v>
      </c>
      <c r="G635" s="56" t="s">
        <v>392</v>
      </c>
      <c r="H635" s="56" t="s">
        <v>2511</v>
      </c>
      <c r="I635" s="56" t="s">
        <v>362</v>
      </c>
      <c r="J635" s="56" t="s">
        <v>4037</v>
      </c>
      <c r="K635" s="57">
        <v>647.83100000000002</v>
      </c>
      <c r="L635" s="56" t="s">
        <v>1914</v>
      </c>
      <c r="M635" s="56" t="s">
        <v>1123</v>
      </c>
      <c r="N635" s="56" t="s">
        <v>151</v>
      </c>
      <c r="O635" s="58">
        <v>57</v>
      </c>
      <c r="P635" s="59" t="s">
        <v>2532</v>
      </c>
      <c r="Q635" s="56" t="s">
        <v>11</v>
      </c>
      <c r="U635" s="52">
        <v>1940392</v>
      </c>
      <c r="V635">
        <v>22.23</v>
      </c>
      <c r="W635">
        <v>0</v>
      </c>
      <c r="X635">
        <v>1.6</v>
      </c>
      <c r="Y635">
        <v>0.28499999999999998</v>
      </c>
      <c r="Z635" t="s">
        <v>1891</v>
      </c>
      <c r="AA635" t="s">
        <v>963</v>
      </c>
      <c r="AB635" t="s">
        <v>2520</v>
      </c>
      <c r="AC635" t="s">
        <v>412</v>
      </c>
      <c r="AD635" t="s">
        <v>2171</v>
      </c>
      <c r="AE635" t="s">
        <v>2240</v>
      </c>
      <c r="AF635">
        <v>0.23188004472000001</v>
      </c>
    </row>
    <row r="636" spans="1:32" x14ac:dyDescent="0.25">
      <c r="A636" s="56">
        <v>3500650</v>
      </c>
      <c r="B636" s="56" t="s">
        <v>1694</v>
      </c>
      <c r="C636" s="56" t="s">
        <v>4038</v>
      </c>
      <c r="D636" s="57">
        <v>103.93600000000001</v>
      </c>
      <c r="E636" s="58">
        <v>2110</v>
      </c>
      <c r="F636" s="57">
        <v>2.11</v>
      </c>
      <c r="G636" s="56" t="s">
        <v>392</v>
      </c>
      <c r="H636" s="56" t="s">
        <v>2511</v>
      </c>
      <c r="I636" s="56" t="s">
        <v>362</v>
      </c>
      <c r="J636" s="56" t="s">
        <v>3349</v>
      </c>
      <c r="K636" s="57">
        <v>623.596</v>
      </c>
      <c r="L636" s="56" t="s">
        <v>1914</v>
      </c>
      <c r="M636" s="56" t="s">
        <v>1123</v>
      </c>
      <c r="N636" s="56" t="s">
        <v>151</v>
      </c>
      <c r="O636" s="58">
        <v>57</v>
      </c>
      <c r="P636" s="59" t="s">
        <v>2532</v>
      </c>
      <c r="Q636" s="56" t="s">
        <v>11</v>
      </c>
      <c r="U636" s="52">
        <v>1940393</v>
      </c>
      <c r="V636">
        <v>22.23</v>
      </c>
      <c r="W636">
        <v>0</v>
      </c>
      <c r="X636">
        <v>1.6</v>
      </c>
      <c r="Y636">
        <v>0.29299999999999998</v>
      </c>
      <c r="Z636" t="s">
        <v>1891</v>
      </c>
      <c r="AA636" t="s">
        <v>963</v>
      </c>
      <c r="AB636" t="s">
        <v>2520</v>
      </c>
      <c r="AC636" t="s">
        <v>412</v>
      </c>
      <c r="AD636" t="s">
        <v>2171</v>
      </c>
      <c r="AE636" t="s">
        <v>4035</v>
      </c>
      <c r="AF636">
        <v>0.23838895825600001</v>
      </c>
    </row>
    <row r="637" spans="1:32" x14ac:dyDescent="0.25">
      <c r="A637" s="56">
        <v>3500650</v>
      </c>
      <c r="B637" s="56" t="s">
        <v>1694</v>
      </c>
      <c r="C637" s="56" t="s">
        <v>4039</v>
      </c>
      <c r="D637" s="57">
        <v>105.955</v>
      </c>
      <c r="E637" s="58">
        <v>2151</v>
      </c>
      <c r="F637" s="57">
        <v>2.1509999999999998</v>
      </c>
      <c r="G637" s="56" t="s">
        <v>392</v>
      </c>
      <c r="H637" s="56" t="s">
        <v>2511</v>
      </c>
      <c r="I637" s="56" t="s">
        <v>362</v>
      </c>
      <c r="J637" s="56" t="s">
        <v>3609</v>
      </c>
      <c r="K637" s="57">
        <v>635.71299999999997</v>
      </c>
      <c r="L637" s="56" t="s">
        <v>1914</v>
      </c>
      <c r="M637" s="56" t="s">
        <v>1123</v>
      </c>
      <c r="N637" s="56" t="s">
        <v>151</v>
      </c>
      <c r="O637" s="58">
        <v>61</v>
      </c>
      <c r="P637" s="59" t="s">
        <v>2579</v>
      </c>
      <c r="Q637" s="56" t="s">
        <v>11</v>
      </c>
      <c r="U637" s="52">
        <v>1938251</v>
      </c>
      <c r="V637">
        <v>22.23</v>
      </c>
      <c r="W637">
        <v>0</v>
      </c>
      <c r="X637">
        <v>1.6</v>
      </c>
      <c r="Y637">
        <v>0.39400000000000002</v>
      </c>
      <c r="Z637" t="s">
        <v>1883</v>
      </c>
      <c r="AA637" t="s">
        <v>963</v>
      </c>
      <c r="AB637" t="s">
        <v>2520</v>
      </c>
      <c r="AC637" t="s">
        <v>412</v>
      </c>
      <c r="AD637" t="s">
        <v>2171</v>
      </c>
      <c r="AE637" t="s">
        <v>2262</v>
      </c>
      <c r="AF637">
        <v>0.32056399164800004</v>
      </c>
    </row>
    <row r="638" spans="1:32" x14ac:dyDescent="0.25">
      <c r="A638" s="56">
        <v>3500650</v>
      </c>
      <c r="B638" s="56" t="s">
        <v>1694</v>
      </c>
      <c r="C638" s="56" t="s">
        <v>4040</v>
      </c>
      <c r="D638" s="57">
        <v>112.80200000000001</v>
      </c>
      <c r="E638" s="58">
        <v>2290</v>
      </c>
      <c r="F638" s="57">
        <v>2.29</v>
      </c>
      <c r="G638" s="56" t="s">
        <v>392</v>
      </c>
      <c r="H638" s="56" t="s">
        <v>2511</v>
      </c>
      <c r="I638" s="56" t="s">
        <v>362</v>
      </c>
      <c r="J638" s="56" t="s">
        <v>3787</v>
      </c>
      <c r="K638" s="57">
        <v>676.79399999999998</v>
      </c>
      <c r="L638" s="56" t="s">
        <v>1914</v>
      </c>
      <c r="M638" s="56" t="s">
        <v>1123</v>
      </c>
      <c r="N638" s="56" t="s">
        <v>151</v>
      </c>
      <c r="O638" s="58">
        <v>61</v>
      </c>
      <c r="P638" s="59" t="s">
        <v>2579</v>
      </c>
      <c r="Q638" s="56" t="s">
        <v>11</v>
      </c>
      <c r="U638" s="52">
        <v>1940398</v>
      </c>
      <c r="V638">
        <v>22.23</v>
      </c>
      <c r="W638">
        <v>0</v>
      </c>
      <c r="X638">
        <v>1.6</v>
      </c>
      <c r="Y638">
        <v>0.39400000000000002</v>
      </c>
      <c r="Z638" t="s">
        <v>1891</v>
      </c>
      <c r="AA638" t="s">
        <v>963</v>
      </c>
      <c r="AB638" t="s">
        <v>2520</v>
      </c>
      <c r="AC638" t="s">
        <v>412</v>
      </c>
      <c r="AD638" t="s">
        <v>2171</v>
      </c>
      <c r="AE638" t="s">
        <v>2262</v>
      </c>
      <c r="AF638">
        <v>0.32056399164800004</v>
      </c>
    </row>
    <row r="639" spans="1:32" x14ac:dyDescent="0.25">
      <c r="A639" s="56">
        <v>3500650</v>
      </c>
      <c r="B639" s="56" t="s">
        <v>1694</v>
      </c>
      <c r="C639" s="56" t="s">
        <v>4041</v>
      </c>
      <c r="D639" s="57">
        <v>95.956000000000003</v>
      </c>
      <c r="E639" s="58">
        <v>1948</v>
      </c>
      <c r="F639" s="57">
        <v>1.948</v>
      </c>
      <c r="G639" s="56" t="s">
        <v>392</v>
      </c>
      <c r="H639" s="56" t="s">
        <v>2511</v>
      </c>
      <c r="I639" s="56" t="s">
        <v>362</v>
      </c>
      <c r="J639" s="56" t="s">
        <v>3769</v>
      </c>
      <c r="K639" s="57">
        <v>575.71799999999996</v>
      </c>
      <c r="L639" s="56" t="s">
        <v>1914</v>
      </c>
      <c r="M639" s="56" t="s">
        <v>1123</v>
      </c>
      <c r="N639" s="56" t="s">
        <v>151</v>
      </c>
      <c r="O639" s="58">
        <v>61</v>
      </c>
      <c r="P639" s="59" t="s">
        <v>2579</v>
      </c>
      <c r="Q639" s="56" t="s">
        <v>11</v>
      </c>
      <c r="U639" s="52">
        <v>1940399</v>
      </c>
      <c r="V639">
        <v>22.23</v>
      </c>
      <c r="W639">
        <v>0</v>
      </c>
      <c r="X639">
        <v>1.6</v>
      </c>
      <c r="Y639">
        <v>0.40100000000000002</v>
      </c>
      <c r="Z639" t="s">
        <v>1881</v>
      </c>
      <c r="AA639" t="s">
        <v>963</v>
      </c>
      <c r="AB639" t="s">
        <v>2520</v>
      </c>
      <c r="AC639" t="s">
        <v>412</v>
      </c>
      <c r="AD639" t="s">
        <v>2171</v>
      </c>
      <c r="AE639" t="s">
        <v>599</v>
      </c>
      <c r="AF639">
        <v>0.32625929099200007</v>
      </c>
    </row>
    <row r="640" spans="1:32" x14ac:dyDescent="0.25">
      <c r="A640" s="56">
        <v>3500650</v>
      </c>
      <c r="B640" s="56" t="s">
        <v>1694</v>
      </c>
      <c r="C640" s="56" t="s">
        <v>4043</v>
      </c>
      <c r="D640" s="57">
        <v>153.786</v>
      </c>
      <c r="E640" s="58">
        <v>3122</v>
      </c>
      <c r="F640" s="57">
        <v>3.1219999999999999</v>
      </c>
      <c r="G640" s="56" t="s">
        <v>392</v>
      </c>
      <c r="H640" s="56" t="s">
        <v>2511</v>
      </c>
      <c r="I640" s="56" t="s">
        <v>362</v>
      </c>
      <c r="J640" s="56" t="s">
        <v>3434</v>
      </c>
      <c r="K640" s="57">
        <v>922.68600000000004</v>
      </c>
      <c r="L640" s="56" t="s">
        <v>1914</v>
      </c>
      <c r="M640" s="56" t="s">
        <v>1123</v>
      </c>
      <c r="N640" s="56" t="s">
        <v>151</v>
      </c>
      <c r="O640" s="58">
        <v>55</v>
      </c>
      <c r="P640" s="59" t="s">
        <v>2532</v>
      </c>
      <c r="Q640" s="56" t="s">
        <v>11</v>
      </c>
      <c r="U640" s="52">
        <v>1940400</v>
      </c>
      <c r="V640">
        <v>22.23</v>
      </c>
      <c r="W640">
        <v>0</v>
      </c>
      <c r="X640">
        <v>1.6</v>
      </c>
      <c r="Y640">
        <v>0.40100000000000002</v>
      </c>
      <c r="Z640" t="s">
        <v>1891</v>
      </c>
      <c r="AA640" t="s">
        <v>963</v>
      </c>
      <c r="AB640" t="s">
        <v>2520</v>
      </c>
      <c r="AC640" t="s">
        <v>412</v>
      </c>
      <c r="AD640" t="s">
        <v>2171</v>
      </c>
      <c r="AE640" t="s">
        <v>599</v>
      </c>
      <c r="AF640">
        <v>0.32625929099200007</v>
      </c>
    </row>
    <row r="641" spans="1:32" x14ac:dyDescent="0.25">
      <c r="A641" s="56">
        <v>3500650</v>
      </c>
      <c r="B641" s="56" t="s">
        <v>1694</v>
      </c>
      <c r="C641" s="56" t="s">
        <v>4045</v>
      </c>
      <c r="D641" s="57">
        <v>4.9749999999999996</v>
      </c>
      <c r="E641" s="58">
        <v>101</v>
      </c>
      <c r="F641" s="57">
        <v>0.10100000000000001</v>
      </c>
      <c r="G641" s="56" t="s">
        <v>392</v>
      </c>
      <c r="H641" s="56" t="s">
        <v>2511</v>
      </c>
      <c r="I641" s="56" t="s">
        <v>362</v>
      </c>
      <c r="J641" s="56" t="s">
        <v>2609</v>
      </c>
      <c r="K641" s="57">
        <v>29.85</v>
      </c>
      <c r="L641" s="56" t="s">
        <v>1914</v>
      </c>
      <c r="M641" s="56" t="s">
        <v>1123</v>
      </c>
      <c r="N641" s="56" t="s">
        <v>151</v>
      </c>
      <c r="O641" s="58">
        <v>25</v>
      </c>
      <c r="P641" s="59" t="s">
        <v>2515</v>
      </c>
      <c r="Q641" s="56" t="s">
        <v>11</v>
      </c>
      <c r="U641">
        <v>3217231</v>
      </c>
      <c r="V641">
        <v>22.23</v>
      </c>
      <c r="W641">
        <v>0</v>
      </c>
      <c r="X641">
        <v>1.6</v>
      </c>
      <c r="Y641">
        <v>0.42699999999999999</v>
      </c>
      <c r="Z641" t="s">
        <v>1868</v>
      </c>
      <c r="AA641" t="s">
        <v>963</v>
      </c>
      <c r="AB641" t="s">
        <v>2520</v>
      </c>
      <c r="AC641" t="s">
        <v>412</v>
      </c>
      <c r="AD641" t="s">
        <v>2171</v>
      </c>
      <c r="AE641" t="s">
        <v>4042</v>
      </c>
      <c r="AF641">
        <v>0.34741325998400002</v>
      </c>
    </row>
    <row r="642" spans="1:32" x14ac:dyDescent="0.25">
      <c r="A642" s="56">
        <v>3500650</v>
      </c>
      <c r="B642" s="56" t="s">
        <v>1694</v>
      </c>
      <c r="C642" s="56" t="s">
        <v>4047</v>
      </c>
      <c r="D642" s="57">
        <v>89.945999999999998</v>
      </c>
      <c r="E642" s="58">
        <v>1826</v>
      </c>
      <c r="F642" s="57">
        <v>1.8260000000000001</v>
      </c>
      <c r="G642" s="56" t="s">
        <v>392</v>
      </c>
      <c r="H642" s="56" t="s">
        <v>2511</v>
      </c>
      <c r="I642" s="56" t="s">
        <v>362</v>
      </c>
      <c r="J642" s="56" t="s">
        <v>3816</v>
      </c>
      <c r="K642" s="57">
        <v>539.66200000000003</v>
      </c>
      <c r="L642" s="56" t="s">
        <v>1914</v>
      </c>
      <c r="M642" s="56" t="s">
        <v>1123</v>
      </c>
      <c r="N642" s="56" t="s">
        <v>151</v>
      </c>
      <c r="O642" s="58">
        <v>17</v>
      </c>
      <c r="P642" s="59" t="s">
        <v>2515</v>
      </c>
      <c r="Q642" s="56" t="s">
        <v>11</v>
      </c>
      <c r="U642" s="52">
        <v>1940403</v>
      </c>
      <c r="V642">
        <v>22.23</v>
      </c>
      <c r="W642">
        <v>0</v>
      </c>
      <c r="X642">
        <v>1.6</v>
      </c>
      <c r="Y642">
        <v>0.56999999999999995</v>
      </c>
      <c r="Z642" t="s">
        <v>1924</v>
      </c>
      <c r="AA642" t="s">
        <v>963</v>
      </c>
      <c r="AB642" t="s">
        <v>2520</v>
      </c>
      <c r="AC642" t="s">
        <v>695</v>
      </c>
      <c r="AD642" t="s">
        <v>2171</v>
      </c>
      <c r="AE642" t="s">
        <v>4044</v>
      </c>
      <c r="AF642">
        <v>0.46376008944000002</v>
      </c>
    </row>
    <row r="643" spans="1:32" x14ac:dyDescent="0.25">
      <c r="A643" s="56">
        <v>3500714</v>
      </c>
      <c r="B643" s="56" t="s">
        <v>1922</v>
      </c>
      <c r="C643" s="56" t="s">
        <v>4048</v>
      </c>
      <c r="D643" s="57">
        <v>112.96899999999999</v>
      </c>
      <c r="E643" s="58">
        <v>2372</v>
      </c>
      <c r="F643" s="57">
        <v>2.3719999999999999</v>
      </c>
      <c r="G643" s="56" t="s">
        <v>392</v>
      </c>
      <c r="H643" s="56" t="s">
        <v>2511</v>
      </c>
      <c r="I643" s="56" t="s">
        <v>362</v>
      </c>
      <c r="J643" s="56" t="s">
        <v>3126</v>
      </c>
      <c r="K643" s="57">
        <v>621.33299999999997</v>
      </c>
      <c r="L643" s="56" t="s">
        <v>1914</v>
      </c>
      <c r="M643" s="56" t="s">
        <v>1123</v>
      </c>
      <c r="N643" s="56" t="s">
        <v>48</v>
      </c>
      <c r="O643" s="58">
        <v>13</v>
      </c>
      <c r="P643" s="59" t="s">
        <v>2515</v>
      </c>
      <c r="Q643" s="56" t="s">
        <v>11</v>
      </c>
      <c r="U643" s="52">
        <v>1940404</v>
      </c>
      <c r="V643">
        <v>22.23</v>
      </c>
      <c r="W643">
        <v>0</v>
      </c>
      <c r="X643">
        <v>1.6</v>
      </c>
      <c r="Y643">
        <v>0.65400000000000003</v>
      </c>
      <c r="Z643" t="s">
        <v>1924</v>
      </c>
      <c r="AA643" t="s">
        <v>963</v>
      </c>
      <c r="AB643" t="s">
        <v>2520</v>
      </c>
      <c r="AC643" t="s">
        <v>695</v>
      </c>
      <c r="AD643" t="s">
        <v>2171</v>
      </c>
      <c r="AE643" t="s">
        <v>4046</v>
      </c>
      <c r="AF643">
        <v>0.53210368156800003</v>
      </c>
    </row>
    <row r="644" spans="1:32" x14ac:dyDescent="0.25">
      <c r="A644" s="56">
        <v>3500714</v>
      </c>
      <c r="B644" s="56" t="s">
        <v>1922</v>
      </c>
      <c r="C644" s="56" t="s">
        <v>4049</v>
      </c>
      <c r="D644" s="57">
        <v>110.968</v>
      </c>
      <c r="E644" s="58">
        <v>2330</v>
      </c>
      <c r="F644" s="57">
        <v>2.33</v>
      </c>
      <c r="G644" s="56" t="s">
        <v>392</v>
      </c>
      <c r="H644" s="56" t="s">
        <v>2511</v>
      </c>
      <c r="I644" s="56" t="s">
        <v>362</v>
      </c>
      <c r="J644" s="56" t="s">
        <v>4050</v>
      </c>
      <c r="K644" s="57">
        <v>610.33100000000002</v>
      </c>
      <c r="L644" s="56" t="s">
        <v>1914</v>
      </c>
      <c r="M644" s="56" t="s">
        <v>1123</v>
      </c>
      <c r="N644" s="56" t="s">
        <v>48</v>
      </c>
      <c r="O644" s="58">
        <v>14</v>
      </c>
      <c r="P644" s="59" t="s">
        <v>2515</v>
      </c>
      <c r="Q644" s="56" t="s">
        <v>11</v>
      </c>
      <c r="U644" s="52">
        <v>2427960</v>
      </c>
      <c r="V644">
        <v>22.23</v>
      </c>
      <c r="W644">
        <v>0</v>
      </c>
      <c r="X644">
        <v>1.6</v>
      </c>
      <c r="Y644">
        <v>0.67</v>
      </c>
      <c r="Z644" t="s">
        <v>1868</v>
      </c>
      <c r="AA644" t="s">
        <v>963</v>
      </c>
      <c r="AB644" t="s">
        <v>2520</v>
      </c>
      <c r="AC644" t="s">
        <v>412</v>
      </c>
      <c r="AD644" t="s">
        <v>2171</v>
      </c>
      <c r="AE644" t="s">
        <v>2247</v>
      </c>
      <c r="AF644">
        <v>0.54512150864000009</v>
      </c>
    </row>
    <row r="645" spans="1:32" x14ac:dyDescent="0.25">
      <c r="A645" s="56">
        <v>3500714</v>
      </c>
      <c r="B645" s="56" t="s">
        <v>1922</v>
      </c>
      <c r="C645" s="56" t="s">
        <v>4051</v>
      </c>
      <c r="D645" s="57">
        <v>111.968</v>
      </c>
      <c r="E645" s="58">
        <v>2351</v>
      </c>
      <c r="F645" s="57">
        <v>2.351</v>
      </c>
      <c r="G645" s="56" t="s">
        <v>392</v>
      </c>
      <c r="H645" s="56" t="s">
        <v>2511</v>
      </c>
      <c r="I645" s="56" t="s">
        <v>362</v>
      </c>
      <c r="J645" s="56" t="s">
        <v>4005</v>
      </c>
      <c r="K645" s="57">
        <v>615.83199999999999</v>
      </c>
      <c r="L645" s="56" t="s">
        <v>1914</v>
      </c>
      <c r="M645" s="56" t="s">
        <v>1123</v>
      </c>
      <c r="N645" s="56" t="s">
        <v>48</v>
      </c>
      <c r="O645" s="58">
        <v>13</v>
      </c>
      <c r="P645" s="59" t="s">
        <v>2515</v>
      </c>
      <c r="Q645" s="56" t="s">
        <v>11</v>
      </c>
      <c r="U645" s="52">
        <v>2427939</v>
      </c>
      <c r="V645">
        <v>22.23</v>
      </c>
      <c r="W645">
        <v>0</v>
      </c>
      <c r="X645">
        <v>1.6</v>
      </c>
      <c r="Y645">
        <v>0.67500000000000004</v>
      </c>
      <c r="Z645" t="s">
        <v>1868</v>
      </c>
      <c r="AA645" t="s">
        <v>963</v>
      </c>
      <c r="AB645" t="s">
        <v>2520</v>
      </c>
      <c r="AC645" t="s">
        <v>412</v>
      </c>
      <c r="AD645" t="s">
        <v>2171</v>
      </c>
      <c r="AE645" t="s">
        <v>3866</v>
      </c>
      <c r="AF645">
        <v>0.54918957960000003</v>
      </c>
    </row>
    <row r="646" spans="1:32" x14ac:dyDescent="0.25">
      <c r="A646" s="56">
        <v>3500714</v>
      </c>
      <c r="B646" s="56" t="s">
        <v>1922</v>
      </c>
      <c r="C646" s="56" t="s">
        <v>4052</v>
      </c>
      <c r="D646" s="57">
        <v>111.968</v>
      </c>
      <c r="E646" s="58">
        <v>2351</v>
      </c>
      <c r="F646" s="57">
        <v>2.351</v>
      </c>
      <c r="G646" s="56" t="s">
        <v>392</v>
      </c>
      <c r="H646" s="56" t="s">
        <v>2511</v>
      </c>
      <c r="I646" s="56" t="s">
        <v>362</v>
      </c>
      <c r="J646" s="56" t="s">
        <v>4005</v>
      </c>
      <c r="K646" s="57">
        <v>615.83199999999999</v>
      </c>
      <c r="L646" s="56" t="s">
        <v>1914</v>
      </c>
      <c r="M646" s="56" t="s">
        <v>1123</v>
      </c>
      <c r="N646" s="56" t="s">
        <v>48</v>
      </c>
      <c r="O646" s="58">
        <v>13</v>
      </c>
      <c r="P646" s="59" t="s">
        <v>2515</v>
      </c>
      <c r="Q646" s="56" t="s">
        <v>11</v>
      </c>
      <c r="U646" s="52">
        <v>3714733</v>
      </c>
      <c r="V646">
        <v>22.23</v>
      </c>
      <c r="W646">
        <v>0</v>
      </c>
      <c r="X646">
        <v>1.6</v>
      </c>
      <c r="Y646">
        <v>0.69</v>
      </c>
      <c r="Z646" t="s">
        <v>1952</v>
      </c>
      <c r="AA646" t="s">
        <v>963</v>
      </c>
      <c r="AB646" t="s">
        <v>2520</v>
      </c>
      <c r="AC646" t="s">
        <v>412</v>
      </c>
      <c r="AD646" t="s">
        <v>2171</v>
      </c>
      <c r="AE646" t="s">
        <v>759</v>
      </c>
      <c r="AF646">
        <v>0.56139379247999999</v>
      </c>
    </row>
    <row r="647" spans="1:32" x14ac:dyDescent="0.25">
      <c r="A647" s="56">
        <v>3500714</v>
      </c>
      <c r="B647" s="56" t="s">
        <v>1922</v>
      </c>
      <c r="C647" s="56" t="s">
        <v>4054</v>
      </c>
      <c r="D647" s="57">
        <v>112.96899999999999</v>
      </c>
      <c r="E647" s="58">
        <v>2372</v>
      </c>
      <c r="F647" s="57">
        <v>2.3719999999999999</v>
      </c>
      <c r="G647" s="56" t="s">
        <v>392</v>
      </c>
      <c r="H647" s="56" t="s">
        <v>2511</v>
      </c>
      <c r="I647" s="56" t="s">
        <v>362</v>
      </c>
      <c r="J647" s="56" t="s">
        <v>3126</v>
      </c>
      <c r="K647" s="57">
        <v>621.33299999999997</v>
      </c>
      <c r="L647" s="56" t="s">
        <v>1914</v>
      </c>
      <c r="M647" s="56" t="s">
        <v>1123</v>
      </c>
      <c r="N647" s="56" t="s">
        <v>48</v>
      </c>
      <c r="O647" s="58">
        <v>14</v>
      </c>
      <c r="P647" s="59" t="s">
        <v>2515</v>
      </c>
      <c r="Q647" s="56" t="s">
        <v>11</v>
      </c>
      <c r="U647" s="52">
        <v>2270133</v>
      </c>
      <c r="V647">
        <v>22.23</v>
      </c>
      <c r="W647">
        <v>0</v>
      </c>
      <c r="X647">
        <v>1.6</v>
      </c>
      <c r="Y647">
        <v>0.7</v>
      </c>
      <c r="Z647" t="s">
        <v>1891</v>
      </c>
      <c r="AA647" t="s">
        <v>963</v>
      </c>
      <c r="AB647" t="s">
        <v>239</v>
      </c>
      <c r="AC647" t="s">
        <v>412</v>
      </c>
      <c r="AD647" t="s">
        <v>2171</v>
      </c>
      <c r="AE647" t="s">
        <v>414</v>
      </c>
      <c r="AF647">
        <v>0.56952993439999999</v>
      </c>
    </row>
    <row r="648" spans="1:32" x14ac:dyDescent="0.25">
      <c r="A648" s="56">
        <v>3500714</v>
      </c>
      <c r="B648" s="56" t="s">
        <v>1922</v>
      </c>
      <c r="C648" s="56" t="s">
        <v>4055</v>
      </c>
      <c r="D648" s="57">
        <v>110.968</v>
      </c>
      <c r="E648" s="58">
        <v>2330</v>
      </c>
      <c r="F648" s="57">
        <v>2.33</v>
      </c>
      <c r="G648" s="56" t="s">
        <v>392</v>
      </c>
      <c r="H648" s="56" t="s">
        <v>2511</v>
      </c>
      <c r="I648" s="56" t="s">
        <v>362</v>
      </c>
      <c r="J648" s="56" t="s">
        <v>4050</v>
      </c>
      <c r="K648" s="57">
        <v>610.33100000000002</v>
      </c>
      <c r="L648" s="56" t="s">
        <v>1914</v>
      </c>
      <c r="M648" s="56" t="s">
        <v>1123</v>
      </c>
      <c r="N648" s="56" t="s">
        <v>48</v>
      </c>
      <c r="O648" s="58">
        <v>13</v>
      </c>
      <c r="P648" s="59" t="s">
        <v>2515</v>
      </c>
      <c r="Q648" s="56" t="s">
        <v>11</v>
      </c>
      <c r="U648" s="52">
        <v>1940407</v>
      </c>
      <c r="V648">
        <v>22.23</v>
      </c>
      <c r="W648">
        <v>0</v>
      </c>
      <c r="X648">
        <v>1.6</v>
      </c>
      <c r="Y648">
        <v>0.74</v>
      </c>
      <c r="Z648" t="s">
        <v>1891</v>
      </c>
      <c r="AA648" t="s">
        <v>963</v>
      </c>
      <c r="AB648" t="s">
        <v>2520</v>
      </c>
      <c r="AC648" t="s">
        <v>412</v>
      </c>
      <c r="AD648" t="s">
        <v>2171</v>
      </c>
      <c r="AE648" t="s">
        <v>4053</v>
      </c>
      <c r="AF648">
        <v>0.60207450208000002</v>
      </c>
    </row>
    <row r="649" spans="1:32" x14ac:dyDescent="0.25">
      <c r="A649" s="56">
        <v>3500714</v>
      </c>
      <c r="B649" s="56" t="s">
        <v>1922</v>
      </c>
      <c r="C649" s="56" t="s">
        <v>4057</v>
      </c>
      <c r="D649" s="57">
        <v>107.968</v>
      </c>
      <c r="E649" s="58">
        <v>2267</v>
      </c>
      <c r="F649" s="57">
        <v>2.2669999999999999</v>
      </c>
      <c r="G649" s="56" t="s">
        <v>392</v>
      </c>
      <c r="H649" s="56" t="s">
        <v>2511</v>
      </c>
      <c r="I649" s="56" t="s">
        <v>362</v>
      </c>
      <c r="J649" s="56" t="s">
        <v>4037</v>
      </c>
      <c r="K649" s="57">
        <v>593.82899999999995</v>
      </c>
      <c r="L649" s="56" t="s">
        <v>1914</v>
      </c>
      <c r="M649" s="56" t="s">
        <v>1123</v>
      </c>
      <c r="N649" s="56" t="s">
        <v>48</v>
      </c>
      <c r="O649" s="58">
        <v>13</v>
      </c>
      <c r="P649" s="59" t="s">
        <v>2515</v>
      </c>
      <c r="Q649" s="56" t="s">
        <v>11</v>
      </c>
      <c r="U649" s="52">
        <v>1940408</v>
      </c>
      <c r="V649">
        <v>22.23</v>
      </c>
      <c r="W649">
        <v>0</v>
      </c>
      <c r="X649">
        <v>1.6</v>
      </c>
      <c r="Y649">
        <v>0.80900000000000005</v>
      </c>
      <c r="Z649" t="s">
        <v>1891</v>
      </c>
      <c r="AA649" t="s">
        <v>963</v>
      </c>
      <c r="AB649" t="s">
        <v>2520</v>
      </c>
      <c r="AC649" t="s">
        <v>412</v>
      </c>
      <c r="AD649" t="s">
        <v>2171</v>
      </c>
      <c r="AE649" t="s">
        <v>3869</v>
      </c>
      <c r="AF649">
        <v>0.65821388132800007</v>
      </c>
    </row>
    <row r="650" spans="1:32" x14ac:dyDescent="0.25">
      <c r="A650" s="56">
        <v>3500714</v>
      </c>
      <c r="B650" s="56" t="s">
        <v>1922</v>
      </c>
      <c r="C650" s="56" t="s">
        <v>4059</v>
      </c>
      <c r="D650" s="57">
        <v>111.968</v>
      </c>
      <c r="E650" s="58">
        <v>2351</v>
      </c>
      <c r="F650" s="57">
        <v>2.351</v>
      </c>
      <c r="G650" s="56" t="s">
        <v>392</v>
      </c>
      <c r="H650" s="56" t="s">
        <v>2511</v>
      </c>
      <c r="I650" s="56" t="s">
        <v>362</v>
      </c>
      <c r="J650" s="56" t="s">
        <v>4005</v>
      </c>
      <c r="K650" s="57">
        <v>615.83199999999999</v>
      </c>
      <c r="L650" s="56" t="s">
        <v>1914</v>
      </c>
      <c r="M650" s="56" t="s">
        <v>1123</v>
      </c>
      <c r="N650" s="56" t="s">
        <v>48</v>
      </c>
      <c r="O650" s="58">
        <v>13</v>
      </c>
      <c r="P650" s="59" t="s">
        <v>2515</v>
      </c>
      <c r="Q650" s="56" t="s">
        <v>11</v>
      </c>
      <c r="U650" s="52">
        <v>3628242</v>
      </c>
      <c r="V650">
        <v>22.23</v>
      </c>
      <c r="W650">
        <v>0</v>
      </c>
      <c r="X650">
        <v>1.6</v>
      </c>
      <c r="Y650">
        <v>0.84399999999999997</v>
      </c>
      <c r="Z650" t="s">
        <v>1924</v>
      </c>
      <c r="AA650" t="s">
        <v>963</v>
      </c>
      <c r="AB650" t="s">
        <v>2520</v>
      </c>
      <c r="AC650" t="s">
        <v>695</v>
      </c>
      <c r="AD650" t="s">
        <v>2171</v>
      </c>
      <c r="AE650" t="s">
        <v>4056</v>
      </c>
      <c r="AF650">
        <v>0.68669037804800004</v>
      </c>
    </row>
    <row r="651" spans="1:32" x14ac:dyDescent="0.25">
      <c r="A651" s="56">
        <v>3500714</v>
      </c>
      <c r="B651" s="56" t="s">
        <v>1922</v>
      </c>
      <c r="C651" s="56" t="s">
        <v>4061</v>
      </c>
      <c r="D651" s="57">
        <v>68.962000000000003</v>
      </c>
      <c r="E651" s="58">
        <v>1448</v>
      </c>
      <c r="F651" s="57">
        <v>1.448</v>
      </c>
      <c r="G651" s="56" t="s">
        <v>392</v>
      </c>
      <c r="H651" s="56" t="s">
        <v>2511</v>
      </c>
      <c r="I651" s="56" t="s">
        <v>362</v>
      </c>
      <c r="J651" s="56" t="s">
        <v>3966</v>
      </c>
      <c r="K651" s="57">
        <v>379.29599999999999</v>
      </c>
      <c r="L651" s="56" t="s">
        <v>1914</v>
      </c>
      <c r="M651" s="56" t="s">
        <v>1123</v>
      </c>
      <c r="N651" s="56" t="s">
        <v>48</v>
      </c>
      <c r="O651" s="58">
        <v>13</v>
      </c>
      <c r="P651" s="59" t="s">
        <v>2515</v>
      </c>
      <c r="Q651" s="56" t="s">
        <v>11</v>
      </c>
      <c r="U651" s="52">
        <v>2418687</v>
      </c>
      <c r="V651">
        <v>22.23</v>
      </c>
      <c r="W651">
        <v>0</v>
      </c>
      <c r="X651">
        <v>1.6</v>
      </c>
      <c r="Y651">
        <v>0.88</v>
      </c>
      <c r="Z651" t="s">
        <v>1891</v>
      </c>
      <c r="AA651" t="s">
        <v>963</v>
      </c>
      <c r="AB651" t="s">
        <v>2520</v>
      </c>
      <c r="AC651" t="s">
        <v>412</v>
      </c>
      <c r="AD651" t="s">
        <v>2171</v>
      </c>
      <c r="AE651" t="s">
        <v>4058</v>
      </c>
      <c r="AF651">
        <v>0.71598048896000011</v>
      </c>
    </row>
    <row r="652" spans="1:32" x14ac:dyDescent="0.25">
      <c r="A652" s="56">
        <v>3500714</v>
      </c>
      <c r="B652" s="56" t="s">
        <v>1922</v>
      </c>
      <c r="C652" s="56" t="s">
        <v>4062</v>
      </c>
      <c r="D652" s="57">
        <v>39.957999999999998</v>
      </c>
      <c r="E652" s="58">
        <v>839</v>
      </c>
      <c r="F652" s="57">
        <v>0.83899999999999997</v>
      </c>
      <c r="G652" s="56" t="s">
        <v>392</v>
      </c>
      <c r="H652" s="56" t="s">
        <v>2511</v>
      </c>
      <c r="I652" s="56" t="s">
        <v>362</v>
      </c>
      <c r="J652" s="56" t="s">
        <v>3625</v>
      </c>
      <c r="K652" s="57">
        <v>219.77199999999999</v>
      </c>
      <c r="L652" s="56" t="s">
        <v>1914</v>
      </c>
      <c r="M652" s="56" t="s">
        <v>1123</v>
      </c>
      <c r="N652" s="56" t="s">
        <v>48</v>
      </c>
      <c r="O652" s="58">
        <v>13</v>
      </c>
      <c r="P652" s="59" t="s">
        <v>2515</v>
      </c>
      <c r="Q652" s="56" t="s">
        <v>11</v>
      </c>
      <c r="U652" s="52">
        <v>1940415</v>
      </c>
      <c r="V652">
        <v>22.23</v>
      </c>
      <c r="W652">
        <v>0</v>
      </c>
      <c r="X652">
        <v>1.6</v>
      </c>
      <c r="Y652">
        <v>0.92500000000000004</v>
      </c>
      <c r="Z652" t="s">
        <v>1924</v>
      </c>
      <c r="AA652" t="s">
        <v>963</v>
      </c>
      <c r="AB652" t="s">
        <v>2520</v>
      </c>
      <c r="AC652" t="s">
        <v>695</v>
      </c>
      <c r="AD652" t="s">
        <v>2171</v>
      </c>
      <c r="AE652" t="s">
        <v>4060</v>
      </c>
      <c r="AF652">
        <v>0.75259312760000008</v>
      </c>
    </row>
    <row r="653" spans="1:32" x14ac:dyDescent="0.25">
      <c r="A653" s="56">
        <v>3500714</v>
      </c>
      <c r="B653" s="56" t="s">
        <v>1922</v>
      </c>
      <c r="C653" s="56" t="s">
        <v>4064</v>
      </c>
      <c r="D653" s="57">
        <v>108.968</v>
      </c>
      <c r="E653" s="58">
        <v>2288</v>
      </c>
      <c r="F653" s="57">
        <v>2.2879999999999998</v>
      </c>
      <c r="G653" s="56" t="s">
        <v>392</v>
      </c>
      <c r="H653" s="56" t="s">
        <v>2511</v>
      </c>
      <c r="I653" s="56" t="s">
        <v>362</v>
      </c>
      <c r="J653" s="56" t="s">
        <v>4065</v>
      </c>
      <c r="K653" s="57">
        <v>599.32899999999995</v>
      </c>
      <c r="L653" s="56" t="s">
        <v>1914</v>
      </c>
      <c r="M653" s="56" t="s">
        <v>1123</v>
      </c>
      <c r="N653" s="56" t="s">
        <v>48</v>
      </c>
      <c r="O653" s="58">
        <v>13</v>
      </c>
      <c r="P653" s="59" t="s">
        <v>2515</v>
      </c>
      <c r="Q653" s="56" t="s">
        <v>11</v>
      </c>
      <c r="U653" s="52">
        <v>1940416</v>
      </c>
      <c r="V653">
        <v>22.23</v>
      </c>
      <c r="W653">
        <v>0</v>
      </c>
      <c r="X653">
        <v>1.6</v>
      </c>
      <c r="Y653">
        <v>0.93500000000000005</v>
      </c>
      <c r="Z653" t="s">
        <v>1924</v>
      </c>
      <c r="AA653" t="s">
        <v>963</v>
      </c>
      <c r="AB653" t="s">
        <v>2520</v>
      </c>
      <c r="AC653" t="s">
        <v>695</v>
      </c>
      <c r="AD653" t="s">
        <v>2171</v>
      </c>
      <c r="AE653" t="s">
        <v>697</v>
      </c>
      <c r="AF653">
        <v>0.76072926952000008</v>
      </c>
    </row>
    <row r="654" spans="1:32" x14ac:dyDescent="0.25">
      <c r="A654" s="56">
        <v>3500714</v>
      </c>
      <c r="B654" s="56" t="s">
        <v>1922</v>
      </c>
      <c r="C654" s="56" t="s">
        <v>4066</v>
      </c>
      <c r="D654" s="57">
        <v>30.004000000000001</v>
      </c>
      <c r="E654" s="58">
        <v>630</v>
      </c>
      <c r="F654" s="57">
        <v>0.63</v>
      </c>
      <c r="G654" s="56" t="s">
        <v>392</v>
      </c>
      <c r="H654" s="56" t="s">
        <v>2511</v>
      </c>
      <c r="I654" s="56" t="s">
        <v>362</v>
      </c>
      <c r="J654" s="56" t="s">
        <v>2165</v>
      </c>
      <c r="K654" s="57">
        <v>165.02500000000001</v>
      </c>
      <c r="L654" s="56" t="s">
        <v>1914</v>
      </c>
      <c r="M654" s="56" t="s">
        <v>1123</v>
      </c>
      <c r="N654" s="56" t="s">
        <v>48</v>
      </c>
      <c r="O654" s="58">
        <v>14</v>
      </c>
      <c r="P654" s="59" t="s">
        <v>2515</v>
      </c>
      <c r="Q654" s="56" t="s">
        <v>11</v>
      </c>
      <c r="U654" s="52">
        <v>3599863</v>
      </c>
      <c r="V654">
        <v>22.23</v>
      </c>
      <c r="W654">
        <v>0</v>
      </c>
      <c r="X654">
        <v>1.6</v>
      </c>
      <c r="Y654">
        <v>0.94499999999999995</v>
      </c>
      <c r="Z654" t="s">
        <v>1868</v>
      </c>
      <c r="AA654" t="s">
        <v>963</v>
      </c>
      <c r="AB654" t="s">
        <v>2520</v>
      </c>
      <c r="AC654" t="s">
        <v>412</v>
      </c>
      <c r="AD654" t="s">
        <v>2171</v>
      </c>
      <c r="AE654" t="s">
        <v>4063</v>
      </c>
      <c r="AF654">
        <v>0.76886541143999998</v>
      </c>
    </row>
    <row r="655" spans="1:32" x14ac:dyDescent="0.25">
      <c r="A655" s="56">
        <v>3500714</v>
      </c>
      <c r="B655" s="56" t="s">
        <v>1922</v>
      </c>
      <c r="C655" s="56" t="s">
        <v>4067</v>
      </c>
      <c r="D655" s="57">
        <v>30.004000000000001</v>
      </c>
      <c r="E655" s="58">
        <v>630</v>
      </c>
      <c r="F655" s="57">
        <v>0.63</v>
      </c>
      <c r="G655" s="56" t="s">
        <v>392</v>
      </c>
      <c r="H655" s="56" t="s">
        <v>2511</v>
      </c>
      <c r="I655" s="56" t="s">
        <v>362</v>
      </c>
      <c r="J655" s="56" t="s">
        <v>2165</v>
      </c>
      <c r="K655" s="57">
        <v>165.02500000000001</v>
      </c>
      <c r="L655" s="56" t="s">
        <v>1914</v>
      </c>
      <c r="M655" s="56" t="s">
        <v>1123</v>
      </c>
      <c r="N655" s="56" t="s">
        <v>48</v>
      </c>
      <c r="O655" s="58">
        <v>14</v>
      </c>
      <c r="P655" s="59" t="s">
        <v>2515</v>
      </c>
      <c r="Q655" s="56" t="s">
        <v>11</v>
      </c>
      <c r="U655" s="52">
        <v>3599035</v>
      </c>
      <c r="V655">
        <v>22.23</v>
      </c>
      <c r="W655">
        <v>0</v>
      </c>
      <c r="X655">
        <v>1.6</v>
      </c>
      <c r="Y655">
        <v>0.94499999999999995</v>
      </c>
      <c r="Z655" t="s">
        <v>1868</v>
      </c>
      <c r="AA655" t="s">
        <v>963</v>
      </c>
      <c r="AB655" t="s">
        <v>2520</v>
      </c>
      <c r="AC655" t="s">
        <v>412</v>
      </c>
      <c r="AD655" t="s">
        <v>2171</v>
      </c>
      <c r="AE655" t="s">
        <v>4063</v>
      </c>
      <c r="AF655">
        <v>0.76886541143999998</v>
      </c>
    </row>
    <row r="656" spans="1:32" x14ac:dyDescent="0.25">
      <c r="A656" s="56">
        <v>3500718</v>
      </c>
      <c r="B656" s="56" t="s">
        <v>1657</v>
      </c>
      <c r="C656" s="56" t="s">
        <v>4068</v>
      </c>
      <c r="D656" s="57">
        <v>145.53399999999999</v>
      </c>
      <c r="E656" s="58">
        <v>2058</v>
      </c>
      <c r="F656" s="57">
        <v>2.0579999999999998</v>
      </c>
      <c r="G656" s="56" t="s">
        <v>392</v>
      </c>
      <c r="H656" s="56" t="s">
        <v>2511</v>
      </c>
      <c r="I656" s="56" t="s">
        <v>362</v>
      </c>
      <c r="J656" s="56" t="s">
        <v>4069</v>
      </c>
      <c r="K656" s="57">
        <v>689.101</v>
      </c>
      <c r="L656" s="56" t="s">
        <v>1914</v>
      </c>
      <c r="M656" s="56" t="s">
        <v>1123</v>
      </c>
      <c r="N656" s="56" t="s">
        <v>76</v>
      </c>
      <c r="O656" s="58">
        <v>8</v>
      </c>
      <c r="P656" s="59" t="s">
        <v>2515</v>
      </c>
      <c r="Q656" s="56" t="s">
        <v>2561</v>
      </c>
      <c r="U656" s="52">
        <v>3672992</v>
      </c>
      <c r="V656">
        <v>22.23</v>
      </c>
      <c r="W656">
        <v>0</v>
      </c>
      <c r="X656">
        <v>1.6</v>
      </c>
      <c r="Y656">
        <v>0.94899999999999995</v>
      </c>
      <c r="Z656" t="s">
        <v>1891</v>
      </c>
      <c r="AA656" t="s">
        <v>963</v>
      </c>
      <c r="AB656" t="s">
        <v>2520</v>
      </c>
      <c r="AC656" t="s">
        <v>412</v>
      </c>
      <c r="AD656" t="s">
        <v>2171</v>
      </c>
      <c r="AE656" t="s">
        <v>2260</v>
      </c>
      <c r="AF656">
        <v>0.77211986820800005</v>
      </c>
    </row>
    <row r="657" spans="1:32" x14ac:dyDescent="0.25">
      <c r="A657" s="56">
        <v>3500718</v>
      </c>
      <c r="B657" s="56" t="s">
        <v>1657</v>
      </c>
      <c r="C657" s="56" t="s">
        <v>4070</v>
      </c>
      <c r="D657" s="57">
        <v>147.726</v>
      </c>
      <c r="E657" s="58">
        <v>2089</v>
      </c>
      <c r="F657" s="57">
        <v>2.089</v>
      </c>
      <c r="G657" s="56" t="s">
        <v>392</v>
      </c>
      <c r="H657" s="56" t="s">
        <v>2511</v>
      </c>
      <c r="I657" s="56" t="s">
        <v>362</v>
      </c>
      <c r="J657" s="56" t="s">
        <v>4069</v>
      </c>
      <c r="K657" s="57">
        <v>699.48099999999999</v>
      </c>
      <c r="L657" s="56" t="s">
        <v>1914</v>
      </c>
      <c r="M657" s="56" t="s">
        <v>1123</v>
      </c>
      <c r="N657" s="56" t="s">
        <v>76</v>
      </c>
      <c r="O657" s="58">
        <v>8</v>
      </c>
      <c r="P657" s="59" t="s">
        <v>2515</v>
      </c>
      <c r="Q657" s="56" t="s">
        <v>2561</v>
      </c>
      <c r="U657" s="52">
        <v>3673012</v>
      </c>
      <c r="V657">
        <v>22.23</v>
      </c>
      <c r="W657">
        <v>0</v>
      </c>
      <c r="X657">
        <v>1.6</v>
      </c>
      <c r="Y657">
        <v>0.94899999999999995</v>
      </c>
      <c r="Z657" t="s">
        <v>1868</v>
      </c>
      <c r="AA657" t="s">
        <v>963</v>
      </c>
      <c r="AB657" t="s">
        <v>2520</v>
      </c>
      <c r="AC657" t="s">
        <v>412</v>
      </c>
      <c r="AD657" t="s">
        <v>2171</v>
      </c>
      <c r="AE657" t="s">
        <v>2260</v>
      </c>
      <c r="AF657">
        <v>0.77211986820800005</v>
      </c>
    </row>
    <row r="658" spans="1:32" x14ac:dyDescent="0.25">
      <c r="A658" s="56">
        <v>3500718</v>
      </c>
      <c r="B658" s="56" t="s">
        <v>1657</v>
      </c>
      <c r="C658" s="56" t="s">
        <v>4071</v>
      </c>
      <c r="D658" s="57">
        <v>149.636</v>
      </c>
      <c r="E658" s="58">
        <v>2116</v>
      </c>
      <c r="F658" s="57">
        <v>2.1160000000000001</v>
      </c>
      <c r="G658" s="56" t="s">
        <v>392</v>
      </c>
      <c r="H658" s="56" t="s">
        <v>2511</v>
      </c>
      <c r="I658" s="56" t="s">
        <v>362</v>
      </c>
      <c r="J658" s="56" t="s">
        <v>4072</v>
      </c>
      <c r="K658" s="57">
        <v>708.52200000000005</v>
      </c>
      <c r="L658" s="56" t="s">
        <v>1914</v>
      </c>
      <c r="M658" s="56" t="s">
        <v>1123</v>
      </c>
      <c r="N658" s="56" t="s">
        <v>76</v>
      </c>
      <c r="O658" s="58">
        <v>8</v>
      </c>
      <c r="P658" s="59" t="s">
        <v>2515</v>
      </c>
      <c r="Q658" s="56" t="s">
        <v>2561</v>
      </c>
      <c r="U658" s="52">
        <v>1940418</v>
      </c>
      <c r="V658">
        <v>22.23</v>
      </c>
      <c r="W658">
        <v>0</v>
      </c>
      <c r="X658">
        <v>1.6</v>
      </c>
      <c r="Y658">
        <v>0.96699999999999997</v>
      </c>
      <c r="Z658" t="s">
        <v>1891</v>
      </c>
      <c r="AA658" t="s">
        <v>963</v>
      </c>
      <c r="AB658" t="s">
        <v>2520</v>
      </c>
      <c r="AC658" t="s">
        <v>412</v>
      </c>
      <c r="AD658" t="s">
        <v>2171</v>
      </c>
      <c r="AE658" t="s">
        <v>3872</v>
      </c>
      <c r="AF658">
        <v>0.78676492366400008</v>
      </c>
    </row>
    <row r="659" spans="1:32" x14ac:dyDescent="0.25">
      <c r="A659" s="56">
        <v>3500718</v>
      </c>
      <c r="B659" s="56" t="s">
        <v>1657</v>
      </c>
      <c r="C659" s="56" t="s">
        <v>4073</v>
      </c>
      <c r="D659" s="57">
        <v>148.64599999999999</v>
      </c>
      <c r="E659" s="58">
        <v>2102</v>
      </c>
      <c r="F659" s="57">
        <v>2.1019999999999999</v>
      </c>
      <c r="G659" s="56" t="s">
        <v>392</v>
      </c>
      <c r="H659" s="56" t="s">
        <v>2511</v>
      </c>
      <c r="I659" s="56" t="s">
        <v>362</v>
      </c>
      <c r="J659" s="56" t="s">
        <v>3822</v>
      </c>
      <c r="K659" s="57">
        <v>703.83399999999995</v>
      </c>
      <c r="L659" s="56" t="s">
        <v>1914</v>
      </c>
      <c r="M659" s="56" t="s">
        <v>1123</v>
      </c>
      <c r="N659" s="56" t="s">
        <v>76</v>
      </c>
      <c r="O659" s="58">
        <v>7</v>
      </c>
      <c r="P659" s="59" t="s">
        <v>2515</v>
      </c>
      <c r="Q659" s="56" t="s">
        <v>2561</v>
      </c>
      <c r="U659" s="52">
        <v>1940420</v>
      </c>
      <c r="V659">
        <v>22.23</v>
      </c>
      <c r="W659">
        <v>0</v>
      </c>
      <c r="X659">
        <v>1.6</v>
      </c>
      <c r="Y659">
        <v>1.175</v>
      </c>
      <c r="Z659" t="s">
        <v>1891</v>
      </c>
      <c r="AA659" t="s">
        <v>963</v>
      </c>
      <c r="AB659" t="s">
        <v>2520</v>
      </c>
      <c r="AC659" t="s">
        <v>412</v>
      </c>
      <c r="AD659" t="s">
        <v>2171</v>
      </c>
      <c r="AE659" t="s">
        <v>731</v>
      </c>
      <c r="AF659">
        <v>0.95599667560000012</v>
      </c>
    </row>
    <row r="660" spans="1:32" x14ac:dyDescent="0.25">
      <c r="A660" s="56">
        <v>3500816</v>
      </c>
      <c r="B660" s="56" t="s">
        <v>2365</v>
      </c>
      <c r="C660" s="56" t="s">
        <v>4074</v>
      </c>
      <c r="D660" s="57">
        <v>14.334</v>
      </c>
      <c r="E660" s="58">
        <v>493</v>
      </c>
      <c r="F660" s="57">
        <v>0.49299999999999999</v>
      </c>
      <c r="G660" s="56" t="s">
        <v>392</v>
      </c>
      <c r="H660" s="56" t="s">
        <v>2511</v>
      </c>
      <c r="I660" s="56" t="s">
        <v>362</v>
      </c>
      <c r="J660" s="56" t="s">
        <v>2625</v>
      </c>
      <c r="K660" s="57">
        <v>86.004000000000005</v>
      </c>
      <c r="L660" s="56" t="s">
        <v>1914</v>
      </c>
      <c r="M660" s="56" t="s">
        <v>1123</v>
      </c>
      <c r="N660" s="56" t="s">
        <v>151</v>
      </c>
      <c r="O660" s="58">
        <v>187</v>
      </c>
      <c r="P660" s="59" t="s">
        <v>2524</v>
      </c>
      <c r="Q660" s="56" t="s">
        <v>11</v>
      </c>
      <c r="U660" s="52">
        <v>3673011</v>
      </c>
      <c r="V660">
        <v>22.23</v>
      </c>
      <c r="W660">
        <v>0</v>
      </c>
      <c r="X660">
        <v>1.6</v>
      </c>
      <c r="Y660">
        <v>1.304</v>
      </c>
      <c r="Z660" t="s">
        <v>1868</v>
      </c>
      <c r="AA660" t="s">
        <v>963</v>
      </c>
      <c r="AB660" t="s">
        <v>2520</v>
      </c>
      <c r="AC660" t="s">
        <v>412</v>
      </c>
      <c r="AD660" t="s">
        <v>2171</v>
      </c>
      <c r="AE660" t="s">
        <v>652</v>
      </c>
      <c r="AF660">
        <v>1.0609529063680001</v>
      </c>
    </row>
    <row r="661" spans="1:32" x14ac:dyDescent="0.25">
      <c r="A661" s="56">
        <v>3500816</v>
      </c>
      <c r="B661" s="56" t="s">
        <v>2365</v>
      </c>
      <c r="C661" s="56" t="s">
        <v>4075</v>
      </c>
      <c r="D661" s="57">
        <v>53.207000000000001</v>
      </c>
      <c r="E661" s="58">
        <v>1830</v>
      </c>
      <c r="F661" s="57">
        <v>1.83</v>
      </c>
      <c r="G661" s="56" t="s">
        <v>392</v>
      </c>
      <c r="H661" s="56" t="s">
        <v>2511</v>
      </c>
      <c r="I661" s="56" t="s">
        <v>362</v>
      </c>
      <c r="J661" s="56" t="s">
        <v>4076</v>
      </c>
      <c r="K661" s="57">
        <v>319.24400000000003</v>
      </c>
      <c r="L661" s="56" t="s">
        <v>1914</v>
      </c>
      <c r="M661" s="56" t="s">
        <v>1123</v>
      </c>
      <c r="N661" s="56" t="s">
        <v>151</v>
      </c>
      <c r="O661" s="58">
        <v>170</v>
      </c>
      <c r="P661" s="59" t="s">
        <v>2524</v>
      </c>
      <c r="Q661" s="56" t="s">
        <v>11</v>
      </c>
      <c r="U661" s="52">
        <v>2349249</v>
      </c>
      <c r="V661">
        <v>22.23</v>
      </c>
      <c r="W661">
        <v>0</v>
      </c>
      <c r="X661">
        <v>1.6</v>
      </c>
      <c r="Y661">
        <v>1.3380000000000001</v>
      </c>
      <c r="Z661" t="s">
        <v>1868</v>
      </c>
      <c r="AA661" t="s">
        <v>1914</v>
      </c>
      <c r="AB661" t="s">
        <v>2520</v>
      </c>
      <c r="AC661" t="s">
        <v>412</v>
      </c>
      <c r="AD661" t="s">
        <v>2171</v>
      </c>
      <c r="AE661" t="s">
        <v>761</v>
      </c>
      <c r="AF661">
        <v>1.0886157888960002</v>
      </c>
    </row>
    <row r="662" spans="1:32" x14ac:dyDescent="0.25">
      <c r="A662" s="56">
        <v>3500816</v>
      </c>
      <c r="B662" s="56" t="s">
        <v>2365</v>
      </c>
      <c r="C662" s="56" t="s">
        <v>4077</v>
      </c>
      <c r="D662" s="57">
        <v>53.207000000000001</v>
      </c>
      <c r="E662" s="58">
        <v>1830</v>
      </c>
      <c r="F662" s="57">
        <v>1.83</v>
      </c>
      <c r="G662" s="56" t="s">
        <v>392</v>
      </c>
      <c r="H662" s="56" t="s">
        <v>2511</v>
      </c>
      <c r="I662" s="56" t="s">
        <v>362</v>
      </c>
      <c r="J662" s="56" t="s">
        <v>4076</v>
      </c>
      <c r="K662" s="57">
        <v>319.24400000000003</v>
      </c>
      <c r="L662" s="56" t="s">
        <v>1914</v>
      </c>
      <c r="M662" s="56" t="s">
        <v>1123</v>
      </c>
      <c r="N662" s="56" t="s">
        <v>151</v>
      </c>
      <c r="O662" s="58">
        <v>57</v>
      </c>
      <c r="P662" s="59" t="s">
        <v>2532</v>
      </c>
      <c r="Q662" s="56" t="s">
        <v>11</v>
      </c>
      <c r="U662">
        <v>3575894</v>
      </c>
      <c r="V662">
        <v>22.23</v>
      </c>
      <c r="W662">
        <v>0</v>
      </c>
      <c r="X662">
        <v>1.6</v>
      </c>
      <c r="Y662">
        <v>5.27</v>
      </c>
      <c r="Z662" t="s">
        <v>1868</v>
      </c>
      <c r="AA662" t="s">
        <v>963</v>
      </c>
      <c r="AB662" t="s">
        <v>2520</v>
      </c>
      <c r="AC662" t="s">
        <v>412</v>
      </c>
      <c r="AD662" t="s">
        <v>1838</v>
      </c>
      <c r="AE662" t="s">
        <v>2293</v>
      </c>
      <c r="AF662">
        <v>0.81361419200000007</v>
      </c>
    </row>
    <row r="663" spans="1:32" x14ac:dyDescent="0.25">
      <c r="A663" s="56">
        <v>3500816</v>
      </c>
      <c r="B663" s="56" t="s">
        <v>2365</v>
      </c>
      <c r="C663" s="56" t="s">
        <v>4078</v>
      </c>
      <c r="D663" s="57">
        <v>4.0999999999999996</v>
      </c>
      <c r="E663" s="58">
        <v>141</v>
      </c>
      <c r="F663" s="57">
        <v>0.14099999999999999</v>
      </c>
      <c r="G663" s="56" t="s">
        <v>392</v>
      </c>
      <c r="H663" s="56" t="s">
        <v>2511</v>
      </c>
      <c r="I663" s="56" t="s">
        <v>362</v>
      </c>
      <c r="J663" s="56" t="s">
        <v>2548</v>
      </c>
      <c r="K663" s="57">
        <v>24.597000000000001</v>
      </c>
      <c r="L663" s="56" t="s">
        <v>1914</v>
      </c>
      <c r="M663" s="56" t="s">
        <v>1123</v>
      </c>
      <c r="N663" s="56" t="s">
        <v>151</v>
      </c>
      <c r="O663" s="58">
        <v>153</v>
      </c>
      <c r="P663" s="59" t="s">
        <v>2524</v>
      </c>
      <c r="Q663" s="56" t="s">
        <v>11</v>
      </c>
      <c r="U663" s="538">
        <v>111002410</v>
      </c>
      <c r="V663">
        <v>22.23</v>
      </c>
      <c r="W663">
        <v>0</v>
      </c>
      <c r="X663">
        <v>1.6</v>
      </c>
      <c r="Y663">
        <v>5.27</v>
      </c>
      <c r="Z663" t="s">
        <v>1881</v>
      </c>
      <c r="AA663" t="s">
        <v>963</v>
      </c>
      <c r="AB663" t="s">
        <v>2520</v>
      </c>
      <c r="AC663" t="s">
        <v>412</v>
      </c>
      <c r="AD663" t="s">
        <v>1838</v>
      </c>
      <c r="AE663" t="s">
        <v>2293</v>
      </c>
      <c r="AF663">
        <v>0.81361419200000007</v>
      </c>
    </row>
    <row r="664" spans="1:32" x14ac:dyDescent="0.25">
      <c r="A664" s="56">
        <v>3500816</v>
      </c>
      <c r="B664" s="56" t="s">
        <v>2365</v>
      </c>
      <c r="C664" s="56" t="s">
        <v>4079</v>
      </c>
      <c r="D664" s="57">
        <v>7.1520000000000001</v>
      </c>
      <c r="E664" s="58">
        <v>246</v>
      </c>
      <c r="F664" s="57">
        <v>0.246</v>
      </c>
      <c r="G664" s="56" t="s">
        <v>392</v>
      </c>
      <c r="H664" s="56" t="s">
        <v>2511</v>
      </c>
      <c r="I664" s="56" t="s">
        <v>362</v>
      </c>
      <c r="J664" s="56" t="s">
        <v>2877</v>
      </c>
      <c r="K664" s="57">
        <v>42.914999999999999</v>
      </c>
      <c r="L664" s="56" t="s">
        <v>1914</v>
      </c>
      <c r="M664" s="56" t="s">
        <v>1123</v>
      </c>
      <c r="N664" s="56" t="s">
        <v>151</v>
      </c>
      <c r="O664" s="58">
        <v>77</v>
      </c>
      <c r="P664" s="59" t="s">
        <v>2579</v>
      </c>
      <c r="Q664" s="56" t="s">
        <v>11</v>
      </c>
      <c r="U664" s="538">
        <v>111002209</v>
      </c>
      <c r="V664">
        <v>22.23</v>
      </c>
      <c r="W664">
        <v>0</v>
      </c>
      <c r="X664">
        <v>1.6</v>
      </c>
      <c r="Y664">
        <v>5.2850000000000001</v>
      </c>
      <c r="Z664" t="s">
        <v>1868</v>
      </c>
      <c r="AA664" t="s">
        <v>963</v>
      </c>
      <c r="AB664" t="s">
        <v>2520</v>
      </c>
      <c r="AC664" t="s">
        <v>412</v>
      </c>
      <c r="AD664" t="s">
        <v>1838</v>
      </c>
      <c r="AE664" t="s">
        <v>2293</v>
      </c>
      <c r="AF664">
        <v>0.81361419200000007</v>
      </c>
    </row>
    <row r="665" spans="1:32" x14ac:dyDescent="0.25">
      <c r="A665" s="56">
        <v>3500816</v>
      </c>
      <c r="B665" s="56" t="s">
        <v>2365</v>
      </c>
      <c r="C665" s="56" t="s">
        <v>4080</v>
      </c>
      <c r="D665" s="57">
        <v>10.234</v>
      </c>
      <c r="E665" s="58">
        <v>352</v>
      </c>
      <c r="F665" s="57">
        <v>0.35199999999999998</v>
      </c>
      <c r="G665" s="56" t="s">
        <v>392</v>
      </c>
      <c r="H665" s="56" t="s">
        <v>2511</v>
      </c>
      <c r="I665" s="56" t="s">
        <v>362</v>
      </c>
      <c r="J665" s="56" t="s">
        <v>2903</v>
      </c>
      <c r="K665" s="57">
        <v>61.405999999999999</v>
      </c>
      <c r="L665" s="56" t="s">
        <v>1914</v>
      </c>
      <c r="M665" s="56" t="s">
        <v>1123</v>
      </c>
      <c r="N665" s="56" t="s">
        <v>151</v>
      </c>
      <c r="O665" s="58">
        <v>55</v>
      </c>
      <c r="P665" s="59" t="s">
        <v>2532</v>
      </c>
      <c r="Q665" s="56" t="s">
        <v>11</v>
      </c>
      <c r="U665" s="52">
        <v>3517683</v>
      </c>
      <c r="V665">
        <v>22.23</v>
      </c>
      <c r="W665">
        <v>0</v>
      </c>
      <c r="X665">
        <v>1.6</v>
      </c>
      <c r="Y665">
        <v>5.48</v>
      </c>
      <c r="Z665" t="s">
        <v>1868</v>
      </c>
      <c r="AA665" t="s">
        <v>963</v>
      </c>
      <c r="AB665" t="s">
        <v>2520</v>
      </c>
      <c r="AC665" t="s">
        <v>412</v>
      </c>
      <c r="AD665" t="s">
        <v>1838</v>
      </c>
      <c r="AE665" t="s">
        <v>2293</v>
      </c>
      <c r="AF665">
        <v>0.81361419200000007</v>
      </c>
    </row>
    <row r="666" spans="1:32" x14ac:dyDescent="0.25">
      <c r="A666" s="56">
        <v>3500816</v>
      </c>
      <c r="B666" s="56" t="s">
        <v>2365</v>
      </c>
      <c r="C666" s="56" t="s">
        <v>4081</v>
      </c>
      <c r="D666" s="57">
        <v>68.558000000000007</v>
      </c>
      <c r="E666" s="58">
        <v>2358</v>
      </c>
      <c r="F666" s="57">
        <v>2.3580000000000001</v>
      </c>
      <c r="G666" s="56" t="s">
        <v>392</v>
      </c>
      <c r="H666" s="56" t="s">
        <v>2511</v>
      </c>
      <c r="I666" s="56" t="s">
        <v>362</v>
      </c>
      <c r="J666" s="56" t="s">
        <v>3964</v>
      </c>
      <c r="K666" s="57">
        <v>411.35300000000001</v>
      </c>
      <c r="L666" s="56" t="s">
        <v>1914</v>
      </c>
      <c r="M666" s="56" t="s">
        <v>1123</v>
      </c>
      <c r="N666" s="56" t="s">
        <v>151</v>
      </c>
      <c r="O666" s="58">
        <v>56</v>
      </c>
      <c r="P666" s="59" t="s">
        <v>2532</v>
      </c>
      <c r="Q666" s="56" t="s">
        <v>11</v>
      </c>
      <c r="U666" s="538">
        <v>111116355</v>
      </c>
      <c r="V666">
        <v>22.23</v>
      </c>
      <c r="W666">
        <v>0</v>
      </c>
      <c r="X666">
        <v>1.6</v>
      </c>
      <c r="Y666">
        <v>5.48</v>
      </c>
      <c r="Z666" t="s">
        <v>1868</v>
      </c>
      <c r="AA666" t="s">
        <v>963</v>
      </c>
      <c r="AB666" t="s">
        <v>2520</v>
      </c>
      <c r="AC666" t="s">
        <v>412</v>
      </c>
      <c r="AD666" t="s">
        <v>1838</v>
      </c>
      <c r="AE666" t="s">
        <v>2293</v>
      </c>
      <c r="AF666">
        <v>0.81361419200000007</v>
      </c>
    </row>
    <row r="667" spans="1:32" x14ac:dyDescent="0.25">
      <c r="A667" s="56">
        <v>3500816</v>
      </c>
      <c r="B667" s="56" t="s">
        <v>2365</v>
      </c>
      <c r="C667" s="56" t="s">
        <v>4082</v>
      </c>
      <c r="D667" s="57">
        <v>35.82</v>
      </c>
      <c r="E667" s="58">
        <v>1232</v>
      </c>
      <c r="F667" s="57">
        <v>1.232</v>
      </c>
      <c r="G667" s="56" t="s">
        <v>392</v>
      </c>
      <c r="H667" s="56" t="s">
        <v>2511</v>
      </c>
      <c r="I667" s="56" t="s">
        <v>362</v>
      </c>
      <c r="J667" s="56" t="s">
        <v>3057</v>
      </c>
      <c r="K667" s="57">
        <v>214.922</v>
      </c>
      <c r="L667" s="56" t="s">
        <v>1914</v>
      </c>
      <c r="M667" s="56" t="s">
        <v>1123</v>
      </c>
      <c r="N667" s="56" t="s">
        <v>151</v>
      </c>
      <c r="O667" s="58">
        <v>14</v>
      </c>
      <c r="P667" s="59" t="s">
        <v>2515</v>
      </c>
      <c r="Q667" s="56" t="s">
        <v>11</v>
      </c>
      <c r="U667" s="538">
        <v>111118077</v>
      </c>
      <c r="V667">
        <v>22.23</v>
      </c>
      <c r="W667">
        <v>0</v>
      </c>
      <c r="X667">
        <v>1.6</v>
      </c>
      <c r="Y667">
        <v>5.6</v>
      </c>
      <c r="Z667" t="s">
        <v>1881</v>
      </c>
      <c r="AA667" t="s">
        <v>963</v>
      </c>
      <c r="AB667" t="s">
        <v>2520</v>
      </c>
      <c r="AC667" t="s">
        <v>412</v>
      </c>
      <c r="AD667" t="s">
        <v>1838</v>
      </c>
      <c r="AE667" t="s">
        <v>2293</v>
      </c>
      <c r="AF667">
        <v>0.81361419200000007</v>
      </c>
    </row>
    <row r="668" spans="1:32" x14ac:dyDescent="0.25">
      <c r="A668" s="56">
        <v>3500816</v>
      </c>
      <c r="B668" s="56" t="s">
        <v>2365</v>
      </c>
      <c r="C668" s="56" t="s">
        <v>4083</v>
      </c>
      <c r="D668" s="57">
        <v>61.405999999999999</v>
      </c>
      <c r="E668" s="58">
        <v>2112</v>
      </c>
      <c r="F668" s="57">
        <v>2.1120000000000001</v>
      </c>
      <c r="G668" s="56" t="s">
        <v>392</v>
      </c>
      <c r="H668" s="56" t="s">
        <v>2511</v>
      </c>
      <c r="I668" s="56" t="s">
        <v>362</v>
      </c>
      <c r="J668" s="56" t="s">
        <v>3855</v>
      </c>
      <c r="K668" s="57">
        <v>368.43799999999999</v>
      </c>
      <c r="L668" s="56" t="s">
        <v>1914</v>
      </c>
      <c r="M668" s="56" t="s">
        <v>1123</v>
      </c>
      <c r="N668" s="56" t="s">
        <v>151</v>
      </c>
      <c r="O668" s="58">
        <v>74</v>
      </c>
      <c r="P668" s="59" t="s">
        <v>2579</v>
      </c>
      <c r="Q668" s="56" t="s">
        <v>11</v>
      </c>
      <c r="U668" s="52">
        <v>4055022</v>
      </c>
      <c r="V668">
        <v>22.23</v>
      </c>
      <c r="W668">
        <v>0</v>
      </c>
      <c r="X668">
        <v>1.6</v>
      </c>
      <c r="Y668">
        <v>5.67</v>
      </c>
      <c r="Z668" t="s">
        <v>1952</v>
      </c>
      <c r="AA668" t="s">
        <v>2520</v>
      </c>
      <c r="AB668" t="s">
        <v>963</v>
      </c>
      <c r="AC668" t="s">
        <v>412</v>
      </c>
      <c r="AD668" t="s">
        <v>1838</v>
      </c>
      <c r="AE668" t="s">
        <v>2293</v>
      </c>
      <c r="AF668">
        <v>0.81361419200000007</v>
      </c>
    </row>
    <row r="669" spans="1:32" x14ac:dyDescent="0.25">
      <c r="A669" s="56">
        <v>3500816</v>
      </c>
      <c r="B669" s="56" t="s">
        <v>2365</v>
      </c>
      <c r="C669" s="56" t="s">
        <v>4084</v>
      </c>
      <c r="D669" s="57">
        <v>55.271000000000001</v>
      </c>
      <c r="E669" s="58">
        <v>1901</v>
      </c>
      <c r="F669" s="57">
        <v>1.901</v>
      </c>
      <c r="G669" s="56" t="s">
        <v>392</v>
      </c>
      <c r="H669" s="56" t="s">
        <v>2511</v>
      </c>
      <c r="I669" s="56" t="s">
        <v>362</v>
      </c>
      <c r="J669" s="56" t="s">
        <v>4085</v>
      </c>
      <c r="K669" s="57">
        <v>331.63</v>
      </c>
      <c r="L669" s="56" t="s">
        <v>1914</v>
      </c>
      <c r="M669" s="56" t="s">
        <v>1123</v>
      </c>
      <c r="N669" s="56" t="s">
        <v>151</v>
      </c>
      <c r="O669" s="58">
        <v>75</v>
      </c>
      <c r="P669" s="59" t="s">
        <v>2579</v>
      </c>
      <c r="Q669" s="56" t="s">
        <v>11</v>
      </c>
      <c r="U669" s="52">
        <v>3570690</v>
      </c>
      <c r="V669">
        <v>22.23</v>
      </c>
      <c r="W669">
        <v>0</v>
      </c>
      <c r="X669">
        <v>1.6</v>
      </c>
      <c r="Y669">
        <v>5.6849999999999996</v>
      </c>
      <c r="Z669" t="s">
        <v>1881</v>
      </c>
      <c r="AA669" t="s">
        <v>1003</v>
      </c>
      <c r="AB669" t="s">
        <v>2520</v>
      </c>
      <c r="AC669" t="s">
        <v>412</v>
      </c>
      <c r="AD669" t="s">
        <v>1838</v>
      </c>
      <c r="AE669" t="s">
        <v>2293</v>
      </c>
      <c r="AF669">
        <v>0.81361419200000007</v>
      </c>
    </row>
    <row r="670" spans="1:32" x14ac:dyDescent="0.25">
      <c r="A670" s="56">
        <v>3500816</v>
      </c>
      <c r="B670" s="56" t="s">
        <v>2365</v>
      </c>
      <c r="C670" s="56" t="s">
        <v>4087</v>
      </c>
      <c r="D670" s="57">
        <v>45.036999999999999</v>
      </c>
      <c r="E670" s="58">
        <v>1549</v>
      </c>
      <c r="F670" s="57">
        <v>1.5489999999999999</v>
      </c>
      <c r="G670" s="56" t="s">
        <v>392</v>
      </c>
      <c r="H670" s="56" t="s">
        <v>2511</v>
      </c>
      <c r="I670" s="56" t="s">
        <v>362</v>
      </c>
      <c r="J670" s="56" t="s">
        <v>4088</v>
      </c>
      <c r="K670" s="57">
        <v>270.22300000000001</v>
      </c>
      <c r="L670" s="56" t="s">
        <v>1914</v>
      </c>
      <c r="M670" s="56" t="s">
        <v>1123</v>
      </c>
      <c r="N670" s="56" t="s">
        <v>151</v>
      </c>
      <c r="O670" s="58">
        <v>75</v>
      </c>
      <c r="P670" s="59" t="s">
        <v>2579</v>
      </c>
      <c r="Q670" s="56" t="s">
        <v>11</v>
      </c>
      <c r="U670" s="538">
        <v>111002232</v>
      </c>
      <c r="V670">
        <v>22.23</v>
      </c>
      <c r="W670">
        <v>0</v>
      </c>
      <c r="X670">
        <v>1.6</v>
      </c>
      <c r="Y670">
        <v>5.6849999999999996</v>
      </c>
      <c r="Z670" t="s">
        <v>1881</v>
      </c>
      <c r="AA670" t="s">
        <v>1003</v>
      </c>
      <c r="AB670" t="s">
        <v>2520</v>
      </c>
      <c r="AC670" t="s">
        <v>412</v>
      </c>
      <c r="AD670" t="s">
        <v>1838</v>
      </c>
      <c r="AE670" t="s">
        <v>2293</v>
      </c>
      <c r="AF670">
        <v>0.81361419200000007</v>
      </c>
    </row>
    <row r="671" spans="1:32" x14ac:dyDescent="0.25">
      <c r="A671" s="56">
        <v>3500816</v>
      </c>
      <c r="B671" s="56" t="s">
        <v>2365</v>
      </c>
      <c r="C671" s="56" t="s">
        <v>4089</v>
      </c>
      <c r="D671" s="57">
        <v>40.936999999999998</v>
      </c>
      <c r="E671" s="58">
        <v>1408</v>
      </c>
      <c r="F671" s="57">
        <v>1.4079999999999999</v>
      </c>
      <c r="G671" s="56" t="s">
        <v>392</v>
      </c>
      <c r="H671" s="56" t="s">
        <v>2511</v>
      </c>
      <c r="I671" s="56" t="s">
        <v>362</v>
      </c>
      <c r="J671" s="56" t="s">
        <v>3625</v>
      </c>
      <c r="K671" s="57">
        <v>245.626</v>
      </c>
      <c r="L671" s="56" t="s">
        <v>1914</v>
      </c>
      <c r="M671" s="56" t="s">
        <v>1123</v>
      </c>
      <c r="N671" s="56" t="s">
        <v>151</v>
      </c>
      <c r="O671" s="58">
        <v>74</v>
      </c>
      <c r="P671" s="59" t="s">
        <v>2579</v>
      </c>
      <c r="Q671" s="56" t="s">
        <v>11</v>
      </c>
      <c r="U671" s="538">
        <v>110102553</v>
      </c>
      <c r="V671">
        <v>22.23</v>
      </c>
      <c r="W671">
        <v>0</v>
      </c>
      <c r="X671">
        <v>1.6</v>
      </c>
      <c r="Y671">
        <v>5.69</v>
      </c>
      <c r="Z671" t="s">
        <v>1924</v>
      </c>
      <c r="AA671" t="s">
        <v>963</v>
      </c>
      <c r="AB671" t="s">
        <v>2520</v>
      </c>
      <c r="AC671" t="s">
        <v>695</v>
      </c>
      <c r="AD671" t="s">
        <v>1838</v>
      </c>
      <c r="AE671" t="s">
        <v>4086</v>
      </c>
      <c r="AF671">
        <v>0.81361419200000007</v>
      </c>
    </row>
    <row r="672" spans="1:32" x14ac:dyDescent="0.25">
      <c r="A672" s="56">
        <v>3500816</v>
      </c>
      <c r="B672" s="56" t="s">
        <v>2365</v>
      </c>
      <c r="C672" s="56" t="s">
        <v>4090</v>
      </c>
      <c r="D672" s="57">
        <v>44.018999999999998</v>
      </c>
      <c r="E672" s="58">
        <v>1514</v>
      </c>
      <c r="F672" s="57">
        <v>1.514</v>
      </c>
      <c r="G672" s="56" t="s">
        <v>392</v>
      </c>
      <c r="H672" s="56" t="s">
        <v>2511</v>
      </c>
      <c r="I672" s="56" t="s">
        <v>362</v>
      </c>
      <c r="J672" s="56" t="s">
        <v>3951</v>
      </c>
      <c r="K672" s="57">
        <v>264.11700000000002</v>
      </c>
      <c r="L672" s="56" t="s">
        <v>1914</v>
      </c>
      <c r="M672" s="56" t="s">
        <v>1123</v>
      </c>
      <c r="N672" s="56" t="s">
        <v>151</v>
      </c>
      <c r="O672" s="58">
        <v>52</v>
      </c>
      <c r="P672" s="59" t="s">
        <v>2532</v>
      </c>
      <c r="Q672" s="56" t="s">
        <v>11</v>
      </c>
      <c r="U672" s="52">
        <v>3575895</v>
      </c>
      <c r="V672">
        <v>22.23</v>
      </c>
      <c r="W672">
        <v>0</v>
      </c>
      <c r="X672">
        <v>1.6</v>
      </c>
      <c r="Y672">
        <v>5.75</v>
      </c>
      <c r="Z672" t="s">
        <v>1868</v>
      </c>
      <c r="AA672" t="s">
        <v>963</v>
      </c>
      <c r="AB672" t="s">
        <v>2520</v>
      </c>
      <c r="AC672" t="s">
        <v>412</v>
      </c>
      <c r="AD672" t="s">
        <v>1838</v>
      </c>
      <c r="AE672" t="s">
        <v>2293</v>
      </c>
      <c r="AF672">
        <v>0.81361419200000007</v>
      </c>
    </row>
    <row r="673" spans="1:32" x14ac:dyDescent="0.25">
      <c r="A673" s="56">
        <v>3500816</v>
      </c>
      <c r="B673" s="56" t="s">
        <v>2365</v>
      </c>
      <c r="C673" s="56" t="s">
        <v>4091</v>
      </c>
      <c r="D673" s="57">
        <v>30.702999999999999</v>
      </c>
      <c r="E673" s="58">
        <v>1056</v>
      </c>
      <c r="F673" s="57">
        <v>1.056</v>
      </c>
      <c r="G673" s="56" t="s">
        <v>392</v>
      </c>
      <c r="H673" s="56" t="s">
        <v>2511</v>
      </c>
      <c r="I673" s="56" t="s">
        <v>362</v>
      </c>
      <c r="J673" s="56" t="s">
        <v>2165</v>
      </c>
      <c r="K673" s="57">
        <v>184.21899999999999</v>
      </c>
      <c r="L673" s="56" t="s">
        <v>1914</v>
      </c>
      <c r="M673" s="56" t="s">
        <v>1123</v>
      </c>
      <c r="N673" s="56" t="s">
        <v>151</v>
      </c>
      <c r="O673" s="58">
        <v>51</v>
      </c>
      <c r="P673" s="59" t="s">
        <v>2532</v>
      </c>
      <c r="Q673" s="56" t="s">
        <v>11</v>
      </c>
      <c r="U673" s="52">
        <v>3517682</v>
      </c>
      <c r="V673">
        <v>22.23</v>
      </c>
      <c r="W673">
        <v>0</v>
      </c>
      <c r="X673">
        <v>1.6</v>
      </c>
      <c r="Y673">
        <v>5.77</v>
      </c>
      <c r="Z673" t="s">
        <v>1868</v>
      </c>
      <c r="AA673" t="s">
        <v>963</v>
      </c>
      <c r="AB673" t="s">
        <v>2520</v>
      </c>
      <c r="AC673" t="s">
        <v>412</v>
      </c>
      <c r="AD673" t="s">
        <v>1838</v>
      </c>
      <c r="AE673" t="s">
        <v>2293</v>
      </c>
      <c r="AF673">
        <v>0.81361419200000007</v>
      </c>
    </row>
    <row r="674" spans="1:32" x14ac:dyDescent="0.25">
      <c r="A674" s="56">
        <v>3500816</v>
      </c>
      <c r="B674" s="56" t="s">
        <v>2365</v>
      </c>
      <c r="C674" s="56" t="s">
        <v>4092</v>
      </c>
      <c r="D674" s="57">
        <v>103.361</v>
      </c>
      <c r="E674" s="58">
        <v>3555</v>
      </c>
      <c r="F674" s="57">
        <v>3.5550000000000002</v>
      </c>
      <c r="G674" s="56" t="s">
        <v>392</v>
      </c>
      <c r="H674" s="56" t="s">
        <v>2511</v>
      </c>
      <c r="I674" s="56" t="s">
        <v>362</v>
      </c>
      <c r="J674" s="56" t="s">
        <v>3991</v>
      </c>
      <c r="K674" s="57">
        <v>620.16999999999996</v>
      </c>
      <c r="L674" s="56" t="s">
        <v>1914</v>
      </c>
      <c r="M674" s="56" t="s">
        <v>1123</v>
      </c>
      <c r="N674" s="56" t="s">
        <v>151</v>
      </c>
      <c r="O674" s="58">
        <v>52</v>
      </c>
      <c r="P674" s="59" t="s">
        <v>2532</v>
      </c>
      <c r="Q674" s="56" t="s">
        <v>11</v>
      </c>
      <c r="U674" s="538">
        <v>111116484</v>
      </c>
      <c r="V674">
        <v>22.23</v>
      </c>
      <c r="W674">
        <v>0</v>
      </c>
      <c r="X674">
        <v>1.6</v>
      </c>
      <c r="Y674">
        <v>5.77</v>
      </c>
      <c r="Z674" t="s">
        <v>1891</v>
      </c>
      <c r="AA674" t="s">
        <v>963</v>
      </c>
      <c r="AB674" t="s">
        <v>2520</v>
      </c>
      <c r="AC674" t="s">
        <v>412</v>
      </c>
      <c r="AD674" t="s">
        <v>1838</v>
      </c>
      <c r="AE674" t="s">
        <v>2293</v>
      </c>
      <c r="AF674">
        <v>0.81361419200000007</v>
      </c>
    </row>
    <row r="675" spans="1:32" x14ac:dyDescent="0.25">
      <c r="A675" s="56">
        <v>3500816</v>
      </c>
      <c r="B675" s="56" t="s">
        <v>2365</v>
      </c>
      <c r="C675" s="56" t="s">
        <v>4093</v>
      </c>
      <c r="D675" s="57">
        <v>69.605000000000004</v>
      </c>
      <c r="E675" s="58">
        <v>2394</v>
      </c>
      <c r="F675" s="57">
        <v>2.3940000000000001</v>
      </c>
      <c r="G675" s="56" t="s">
        <v>392</v>
      </c>
      <c r="H675" s="56" t="s">
        <v>2511</v>
      </c>
      <c r="I675" s="56" t="s">
        <v>362</v>
      </c>
      <c r="J675" s="56" t="s">
        <v>3849</v>
      </c>
      <c r="K675" s="57">
        <v>417.63299999999998</v>
      </c>
      <c r="L675" s="56" t="s">
        <v>1914</v>
      </c>
      <c r="M675" s="56" t="s">
        <v>1123</v>
      </c>
      <c r="N675" s="56" t="s">
        <v>151</v>
      </c>
      <c r="O675" s="58">
        <v>52</v>
      </c>
      <c r="P675" s="59" t="s">
        <v>2532</v>
      </c>
      <c r="Q675" s="56" t="s">
        <v>11</v>
      </c>
      <c r="U675" s="538">
        <v>111002648</v>
      </c>
      <c r="V675">
        <v>22.23</v>
      </c>
      <c r="W675">
        <v>0</v>
      </c>
      <c r="X675">
        <v>1.6</v>
      </c>
      <c r="Y675">
        <v>5.88</v>
      </c>
      <c r="Z675" t="s">
        <v>1868</v>
      </c>
      <c r="AA675" t="s">
        <v>963</v>
      </c>
      <c r="AB675" t="s">
        <v>2520</v>
      </c>
      <c r="AC675" t="s">
        <v>412</v>
      </c>
      <c r="AD675" t="s">
        <v>1838</v>
      </c>
      <c r="AE675" t="s">
        <v>2293</v>
      </c>
      <c r="AF675">
        <v>0.81361419200000007</v>
      </c>
    </row>
    <row r="676" spans="1:32" x14ac:dyDescent="0.25">
      <c r="A676" s="56">
        <v>3500816</v>
      </c>
      <c r="B676" s="56" t="s">
        <v>2365</v>
      </c>
      <c r="C676" s="56" t="s">
        <v>4094</v>
      </c>
      <c r="D676" s="57">
        <v>22.504000000000001</v>
      </c>
      <c r="E676" s="58">
        <v>774</v>
      </c>
      <c r="F676" s="57">
        <v>0.77400000000000002</v>
      </c>
      <c r="G676" s="56" t="s">
        <v>392</v>
      </c>
      <c r="H676" s="56" t="s">
        <v>2511</v>
      </c>
      <c r="I676" s="56" t="s">
        <v>362</v>
      </c>
      <c r="J676" s="56" t="s">
        <v>2157</v>
      </c>
      <c r="K676" s="57">
        <v>135.024</v>
      </c>
      <c r="L676" s="56" t="s">
        <v>1914</v>
      </c>
      <c r="M676" s="56" t="s">
        <v>1123</v>
      </c>
      <c r="N676" s="56" t="s">
        <v>151</v>
      </c>
      <c r="O676" s="58">
        <v>51</v>
      </c>
      <c r="P676" s="59" t="s">
        <v>2532</v>
      </c>
      <c r="Q676" s="56" t="s">
        <v>11</v>
      </c>
      <c r="U676" s="52">
        <v>2428449</v>
      </c>
      <c r="V676">
        <v>22.23</v>
      </c>
      <c r="W676">
        <v>0</v>
      </c>
      <c r="X676">
        <v>1.6</v>
      </c>
      <c r="Y676">
        <v>5.95</v>
      </c>
      <c r="Z676" t="s">
        <v>1868</v>
      </c>
      <c r="AA676" t="s">
        <v>963</v>
      </c>
      <c r="AB676" t="s">
        <v>2520</v>
      </c>
      <c r="AC676" t="s">
        <v>412</v>
      </c>
      <c r="AD676" t="s">
        <v>1838</v>
      </c>
      <c r="AE676" t="s">
        <v>2293</v>
      </c>
      <c r="AF676">
        <v>0.81361419200000007</v>
      </c>
    </row>
    <row r="677" spans="1:32" x14ac:dyDescent="0.25">
      <c r="A677" s="56">
        <v>3500816</v>
      </c>
      <c r="B677" s="56" t="s">
        <v>2365</v>
      </c>
      <c r="C677" s="56" t="s">
        <v>4095</v>
      </c>
      <c r="D677" s="57">
        <v>8.1989999999999998</v>
      </c>
      <c r="E677" s="58">
        <v>282</v>
      </c>
      <c r="F677" s="57">
        <v>0.28199999999999997</v>
      </c>
      <c r="G677" s="56" t="s">
        <v>392</v>
      </c>
      <c r="H677" s="56" t="s">
        <v>2511</v>
      </c>
      <c r="I677" s="56" t="s">
        <v>362</v>
      </c>
      <c r="J677" s="56" t="s">
        <v>3091</v>
      </c>
      <c r="K677" s="57">
        <v>49.195</v>
      </c>
      <c r="L677" s="56" t="s">
        <v>1914</v>
      </c>
      <c r="M677" s="56" t="s">
        <v>1123</v>
      </c>
      <c r="N677" s="56" t="s">
        <v>151</v>
      </c>
      <c r="O677" s="58">
        <v>55</v>
      </c>
      <c r="P677" s="59" t="s">
        <v>2532</v>
      </c>
      <c r="Q677" s="56" t="s">
        <v>11</v>
      </c>
      <c r="U677" s="538">
        <v>110102557</v>
      </c>
      <c r="V677">
        <v>22.23</v>
      </c>
      <c r="W677">
        <v>0</v>
      </c>
      <c r="X677">
        <v>1.6</v>
      </c>
      <c r="Y677">
        <v>5.95</v>
      </c>
      <c r="Z677" t="s">
        <v>1891</v>
      </c>
      <c r="AA677" t="s">
        <v>963</v>
      </c>
      <c r="AB677" t="s">
        <v>2520</v>
      </c>
      <c r="AC677" t="s">
        <v>412</v>
      </c>
      <c r="AD677" t="s">
        <v>1838</v>
      </c>
      <c r="AE677" t="s">
        <v>2293</v>
      </c>
      <c r="AF677">
        <v>0.81361419200000007</v>
      </c>
    </row>
    <row r="678" spans="1:32" x14ac:dyDescent="0.25">
      <c r="A678" s="56">
        <v>3502422</v>
      </c>
      <c r="B678" s="56" t="s">
        <v>2374</v>
      </c>
      <c r="C678" s="56" t="s">
        <v>4096</v>
      </c>
      <c r="D678" s="57">
        <v>105.93600000000001</v>
      </c>
      <c r="E678" s="58">
        <v>2495</v>
      </c>
      <c r="F678" s="57">
        <v>2.4950000000000001</v>
      </c>
      <c r="G678" s="56" t="s">
        <v>392</v>
      </c>
      <c r="H678" s="56" t="s">
        <v>2511</v>
      </c>
      <c r="I678" s="56" t="s">
        <v>362</v>
      </c>
      <c r="J678" s="56" t="s">
        <v>3609</v>
      </c>
      <c r="K678" s="57">
        <v>640.92700000000002</v>
      </c>
      <c r="L678" s="56" t="s">
        <v>1914</v>
      </c>
      <c r="M678" s="56" t="s">
        <v>1123</v>
      </c>
      <c r="N678" s="56" t="s">
        <v>151</v>
      </c>
      <c r="O678" s="58">
        <v>59</v>
      </c>
      <c r="P678" s="59" t="s">
        <v>2532</v>
      </c>
      <c r="Q678" s="56" t="s">
        <v>11</v>
      </c>
      <c r="U678" s="52">
        <v>1931050</v>
      </c>
      <c r="V678">
        <v>22.23</v>
      </c>
      <c r="W678">
        <v>0</v>
      </c>
      <c r="X678">
        <v>1.6</v>
      </c>
      <c r="Y678">
        <v>6</v>
      </c>
      <c r="Z678" t="s">
        <v>1883</v>
      </c>
      <c r="AA678" t="s">
        <v>963</v>
      </c>
      <c r="AB678" t="s">
        <v>2520</v>
      </c>
      <c r="AC678" t="s">
        <v>412</v>
      </c>
      <c r="AD678" t="s">
        <v>1838</v>
      </c>
      <c r="AE678" t="s">
        <v>2293</v>
      </c>
      <c r="AF678">
        <v>0.81361419200000007</v>
      </c>
    </row>
    <row r="679" spans="1:32" x14ac:dyDescent="0.25">
      <c r="A679" s="56">
        <v>3594528</v>
      </c>
      <c r="B679" s="56" t="s">
        <v>2007</v>
      </c>
      <c r="C679" s="56" t="s">
        <v>4097</v>
      </c>
      <c r="D679" s="57">
        <v>4</v>
      </c>
      <c r="E679" s="57">
        <v>69.036000000000001</v>
      </c>
      <c r="F679" s="57">
        <v>6.9036E-2</v>
      </c>
      <c r="G679" s="56" t="s">
        <v>392</v>
      </c>
      <c r="H679" s="56" t="s">
        <v>2511</v>
      </c>
      <c r="I679" s="56" t="s">
        <v>362</v>
      </c>
      <c r="J679" s="56" t="s">
        <v>2548</v>
      </c>
      <c r="K679" s="57">
        <v>24</v>
      </c>
      <c r="L679" s="56" t="s">
        <v>1914</v>
      </c>
      <c r="M679" s="56" t="s">
        <v>1123</v>
      </c>
      <c r="N679" s="56" t="s">
        <v>151</v>
      </c>
      <c r="O679" s="58">
        <v>333</v>
      </c>
      <c r="P679" s="59" t="s">
        <v>2524</v>
      </c>
      <c r="Q679" s="56" t="s">
        <v>11</v>
      </c>
      <c r="U679" s="52">
        <v>3575897</v>
      </c>
      <c r="V679">
        <v>22.23</v>
      </c>
      <c r="W679">
        <v>0</v>
      </c>
      <c r="X679">
        <v>1.6</v>
      </c>
      <c r="Y679">
        <v>6.01</v>
      </c>
      <c r="Z679" t="s">
        <v>1868</v>
      </c>
      <c r="AA679" t="s">
        <v>963</v>
      </c>
      <c r="AB679" t="s">
        <v>2520</v>
      </c>
      <c r="AC679" t="s">
        <v>412</v>
      </c>
      <c r="AD679" t="s">
        <v>1838</v>
      </c>
      <c r="AE679" t="s">
        <v>2293</v>
      </c>
      <c r="AF679">
        <v>0.81361419200000007</v>
      </c>
    </row>
    <row r="680" spans="1:32" x14ac:dyDescent="0.25">
      <c r="A680" s="56">
        <v>3594528</v>
      </c>
      <c r="B680" s="56" t="s">
        <v>2007</v>
      </c>
      <c r="C680" s="56" t="s">
        <v>4098</v>
      </c>
      <c r="D680" s="57">
        <v>33</v>
      </c>
      <c r="E680" s="57">
        <v>569.54700000000003</v>
      </c>
      <c r="F680" s="57">
        <v>0.56954700000000003</v>
      </c>
      <c r="G680" s="56" t="s">
        <v>392</v>
      </c>
      <c r="H680" s="56" t="s">
        <v>2511</v>
      </c>
      <c r="I680" s="56" t="s">
        <v>362</v>
      </c>
      <c r="J680" s="56" t="s">
        <v>3541</v>
      </c>
      <c r="K680" s="57">
        <v>198</v>
      </c>
      <c r="L680" s="56" t="s">
        <v>1914</v>
      </c>
      <c r="M680" s="56" t="s">
        <v>1123</v>
      </c>
      <c r="N680" s="56" t="s">
        <v>151</v>
      </c>
      <c r="O680" s="58">
        <v>228</v>
      </c>
      <c r="P680" s="59" t="s">
        <v>2524</v>
      </c>
      <c r="Q680" s="56" t="s">
        <v>11</v>
      </c>
      <c r="U680" s="538">
        <v>110102532</v>
      </c>
      <c r="V680">
        <v>22.23</v>
      </c>
      <c r="W680">
        <v>0</v>
      </c>
      <c r="X680">
        <v>1.6</v>
      </c>
      <c r="Y680">
        <v>6.01</v>
      </c>
      <c r="Z680" t="s">
        <v>1891</v>
      </c>
      <c r="AA680" t="s">
        <v>963</v>
      </c>
      <c r="AB680" t="s">
        <v>2520</v>
      </c>
      <c r="AC680" t="s">
        <v>412</v>
      </c>
      <c r="AD680" t="s">
        <v>1838</v>
      </c>
      <c r="AE680" t="s">
        <v>2293</v>
      </c>
      <c r="AF680">
        <v>0.81361419200000007</v>
      </c>
    </row>
    <row r="681" spans="1:32" x14ac:dyDescent="0.25">
      <c r="A681" s="56">
        <v>3702200</v>
      </c>
      <c r="B681" s="56" t="s">
        <v>1876</v>
      </c>
      <c r="C681" s="56" t="s">
        <v>4099</v>
      </c>
      <c r="D681" s="57">
        <v>131.82400000000001</v>
      </c>
      <c r="E681" s="58">
        <v>468</v>
      </c>
      <c r="F681" s="57">
        <v>0.46800000000000003</v>
      </c>
      <c r="G681" s="56" t="s">
        <v>392</v>
      </c>
      <c r="H681" s="56" t="s">
        <v>2511</v>
      </c>
      <c r="I681" s="56" t="s">
        <v>362</v>
      </c>
      <c r="J681" s="56" t="s">
        <v>3760</v>
      </c>
      <c r="K681" s="57">
        <v>790.94100000000003</v>
      </c>
      <c r="L681" s="56" t="s">
        <v>1914</v>
      </c>
      <c r="M681" s="56" t="s">
        <v>1123</v>
      </c>
      <c r="N681" s="56" t="s">
        <v>17</v>
      </c>
      <c r="O681" s="58">
        <v>212</v>
      </c>
      <c r="P681" s="59" t="s">
        <v>2524</v>
      </c>
      <c r="Q681" s="56" t="s">
        <v>192</v>
      </c>
      <c r="U681" s="52">
        <v>3575898</v>
      </c>
      <c r="V681">
        <v>22.23</v>
      </c>
      <c r="W681">
        <v>0</v>
      </c>
      <c r="X681">
        <v>1.6</v>
      </c>
      <c r="Y681">
        <v>6.12</v>
      </c>
      <c r="Z681" t="s">
        <v>1868</v>
      </c>
      <c r="AA681" t="s">
        <v>963</v>
      </c>
      <c r="AB681" t="s">
        <v>2520</v>
      </c>
      <c r="AC681" t="s">
        <v>412</v>
      </c>
      <c r="AD681" t="s">
        <v>1838</v>
      </c>
      <c r="AE681" t="s">
        <v>2293</v>
      </c>
      <c r="AF681">
        <v>0.81361419200000007</v>
      </c>
    </row>
    <row r="682" spans="1:32" x14ac:dyDescent="0.25">
      <c r="A682" s="56">
        <v>3702200</v>
      </c>
      <c r="B682" s="56" t="s">
        <v>1876</v>
      </c>
      <c r="C682" s="56" t="s">
        <v>4100</v>
      </c>
      <c r="D682" s="57">
        <v>391.52699999999999</v>
      </c>
      <c r="E682" s="58">
        <v>1390</v>
      </c>
      <c r="F682" s="57">
        <v>1.39</v>
      </c>
      <c r="G682" s="56" t="s">
        <v>392</v>
      </c>
      <c r="H682" s="56" t="s">
        <v>2511</v>
      </c>
      <c r="I682" s="56" t="s">
        <v>362</v>
      </c>
      <c r="J682" s="56" t="s">
        <v>4101</v>
      </c>
      <c r="K682" s="57">
        <v>2349.163</v>
      </c>
      <c r="L682" s="56" t="s">
        <v>1914</v>
      </c>
      <c r="M682" s="56" t="s">
        <v>1123</v>
      </c>
      <c r="N682" s="56" t="s">
        <v>17</v>
      </c>
      <c r="O682" s="58">
        <v>71</v>
      </c>
      <c r="P682" s="59" t="s">
        <v>2579</v>
      </c>
      <c r="Q682" s="56" t="s">
        <v>192</v>
      </c>
      <c r="U682" s="538">
        <v>111002450</v>
      </c>
      <c r="V682">
        <v>22.23</v>
      </c>
      <c r="W682">
        <v>0</v>
      </c>
      <c r="X682">
        <v>1.6</v>
      </c>
      <c r="Y682">
        <v>6.12</v>
      </c>
      <c r="Z682" t="s">
        <v>1868</v>
      </c>
      <c r="AA682" t="s">
        <v>963</v>
      </c>
      <c r="AB682" t="s">
        <v>2520</v>
      </c>
      <c r="AC682" t="s">
        <v>412</v>
      </c>
      <c r="AD682" t="s">
        <v>1838</v>
      </c>
      <c r="AE682" t="s">
        <v>2293</v>
      </c>
      <c r="AF682">
        <v>0.81361419200000007</v>
      </c>
    </row>
    <row r="683" spans="1:32" x14ac:dyDescent="0.25">
      <c r="A683" s="56">
        <v>3702200</v>
      </c>
      <c r="B683" s="56" t="s">
        <v>1876</v>
      </c>
      <c r="C683" s="56" t="s">
        <v>4102</v>
      </c>
      <c r="D683" s="57">
        <v>120.27500000000001</v>
      </c>
      <c r="E683" s="58">
        <v>427</v>
      </c>
      <c r="F683" s="57">
        <v>0.42699999999999999</v>
      </c>
      <c r="G683" s="56" t="s">
        <v>392</v>
      </c>
      <c r="H683" s="56" t="s">
        <v>2511</v>
      </c>
      <c r="I683" s="56" t="s">
        <v>362</v>
      </c>
      <c r="J683" s="56" t="s">
        <v>3998</v>
      </c>
      <c r="K683" s="57">
        <v>721.649</v>
      </c>
      <c r="L683" s="56" t="s">
        <v>1914</v>
      </c>
      <c r="M683" s="56" t="s">
        <v>1123</v>
      </c>
      <c r="N683" s="56" t="s">
        <v>17</v>
      </c>
      <c r="O683" s="58">
        <v>71</v>
      </c>
      <c r="P683" s="59" t="s">
        <v>2579</v>
      </c>
      <c r="Q683" s="56" t="s">
        <v>192</v>
      </c>
      <c r="U683" s="538">
        <v>111116356</v>
      </c>
      <c r="V683">
        <v>22.23</v>
      </c>
      <c r="W683">
        <v>0</v>
      </c>
      <c r="X683">
        <v>1.6</v>
      </c>
      <c r="Y683">
        <v>6.12</v>
      </c>
      <c r="Z683" t="s">
        <v>1881</v>
      </c>
      <c r="AA683" t="s">
        <v>963</v>
      </c>
      <c r="AB683" t="s">
        <v>2520</v>
      </c>
      <c r="AC683" t="s">
        <v>412</v>
      </c>
      <c r="AD683" t="s">
        <v>1838</v>
      </c>
      <c r="AE683" t="s">
        <v>2293</v>
      </c>
      <c r="AF683">
        <v>0.81361419200000007</v>
      </c>
    </row>
    <row r="684" spans="1:32" x14ac:dyDescent="0.25">
      <c r="A684" s="56">
        <v>3702200</v>
      </c>
      <c r="B684" s="56" t="s">
        <v>1876</v>
      </c>
      <c r="C684" s="56" t="s">
        <v>4103</v>
      </c>
      <c r="D684" s="57">
        <v>139.14699999999999</v>
      </c>
      <c r="E684" s="58">
        <v>494</v>
      </c>
      <c r="F684" s="57">
        <v>0.49399999999999999</v>
      </c>
      <c r="G684" s="56" t="s">
        <v>392</v>
      </c>
      <c r="H684" s="56" t="s">
        <v>2511</v>
      </c>
      <c r="I684" s="56" t="s">
        <v>362</v>
      </c>
      <c r="J684" s="56" t="s">
        <v>4104</v>
      </c>
      <c r="K684" s="57">
        <v>834.88300000000004</v>
      </c>
      <c r="L684" s="56" t="s">
        <v>1914</v>
      </c>
      <c r="M684" s="56" t="s">
        <v>1123</v>
      </c>
      <c r="N684" s="56" t="s">
        <v>17</v>
      </c>
      <c r="O684" s="58">
        <v>77</v>
      </c>
      <c r="P684" s="59" t="s">
        <v>2579</v>
      </c>
      <c r="Q684" s="56" t="s">
        <v>192</v>
      </c>
      <c r="U684" s="538">
        <v>111106952</v>
      </c>
      <c r="V684">
        <v>22.23</v>
      </c>
      <c r="W684">
        <v>0</v>
      </c>
      <c r="X684">
        <v>1.6</v>
      </c>
      <c r="Y684">
        <v>6.2450000000000001</v>
      </c>
      <c r="Z684" t="s">
        <v>1868</v>
      </c>
      <c r="AA684" t="s">
        <v>963</v>
      </c>
      <c r="AB684" t="s">
        <v>2520</v>
      </c>
      <c r="AC684" t="s">
        <v>412</v>
      </c>
      <c r="AD684" t="s">
        <v>1838</v>
      </c>
      <c r="AE684" t="s">
        <v>2293</v>
      </c>
      <c r="AF684">
        <v>0.81361419200000007</v>
      </c>
    </row>
    <row r="685" spans="1:32" x14ac:dyDescent="0.25">
      <c r="A685" s="56">
        <v>3702200</v>
      </c>
      <c r="B685" s="56" t="s">
        <v>1876</v>
      </c>
      <c r="C685" s="56" t="s">
        <v>4105</v>
      </c>
      <c r="D685" s="57">
        <v>278.29399999999998</v>
      </c>
      <c r="E685" s="58">
        <v>988</v>
      </c>
      <c r="F685" s="57">
        <v>0.98799999999999999</v>
      </c>
      <c r="G685" s="56" t="s">
        <v>392</v>
      </c>
      <c r="H685" s="56" t="s">
        <v>2511</v>
      </c>
      <c r="I685" s="56" t="s">
        <v>362</v>
      </c>
      <c r="J685" s="56" t="s">
        <v>4106</v>
      </c>
      <c r="K685" s="57">
        <v>1669.7650000000001</v>
      </c>
      <c r="L685" s="56" t="s">
        <v>1914</v>
      </c>
      <c r="M685" s="56" t="s">
        <v>1123</v>
      </c>
      <c r="N685" s="56" t="s">
        <v>17</v>
      </c>
      <c r="O685" s="58">
        <v>77</v>
      </c>
      <c r="P685" s="59" t="s">
        <v>2579</v>
      </c>
      <c r="Q685" s="56" t="s">
        <v>192</v>
      </c>
      <c r="U685" s="52">
        <v>1940430</v>
      </c>
      <c r="V685">
        <v>22.23</v>
      </c>
      <c r="W685">
        <v>0</v>
      </c>
      <c r="X685">
        <v>2</v>
      </c>
      <c r="Y685">
        <v>0.22</v>
      </c>
      <c r="Z685" t="s">
        <v>1891</v>
      </c>
      <c r="AA685" t="s">
        <v>963</v>
      </c>
      <c r="AB685" t="s">
        <v>2520</v>
      </c>
      <c r="AC685" t="s">
        <v>633</v>
      </c>
      <c r="AD685" t="s">
        <v>2171</v>
      </c>
      <c r="AE685" t="s">
        <v>763</v>
      </c>
      <c r="AF685">
        <v>0.2194056788</v>
      </c>
    </row>
    <row r="686" spans="1:32" x14ac:dyDescent="0.25">
      <c r="A686" s="56">
        <v>3702200</v>
      </c>
      <c r="B686" s="56" t="s">
        <v>1876</v>
      </c>
      <c r="C686" s="56" t="s">
        <v>4108</v>
      </c>
      <c r="D686" s="57">
        <v>99.994</v>
      </c>
      <c r="E686" s="58">
        <v>355</v>
      </c>
      <c r="F686" s="57">
        <v>0.35499999999999998</v>
      </c>
      <c r="G686" s="56" t="s">
        <v>392</v>
      </c>
      <c r="H686" s="56" t="s">
        <v>2511</v>
      </c>
      <c r="I686" s="56" t="s">
        <v>362</v>
      </c>
      <c r="J686" s="56" t="s">
        <v>3581</v>
      </c>
      <c r="K686" s="57">
        <v>599.96600000000001</v>
      </c>
      <c r="L686" s="56" t="s">
        <v>1914</v>
      </c>
      <c r="M686" s="56" t="s">
        <v>1123</v>
      </c>
      <c r="N686" s="56" t="s">
        <v>17</v>
      </c>
      <c r="O686" s="58">
        <v>136</v>
      </c>
      <c r="P686" s="59" t="s">
        <v>2524</v>
      </c>
      <c r="Q686" s="56" t="s">
        <v>192</v>
      </c>
      <c r="U686" s="52">
        <v>1905990</v>
      </c>
      <c r="V686">
        <v>22.23</v>
      </c>
      <c r="W686">
        <v>0</v>
      </c>
      <c r="X686">
        <v>2</v>
      </c>
      <c r="Y686">
        <v>0.23599999999999999</v>
      </c>
      <c r="Z686" t="s">
        <v>1952</v>
      </c>
      <c r="AA686" t="s">
        <v>963</v>
      </c>
      <c r="AB686" t="s">
        <v>2520</v>
      </c>
      <c r="AC686" t="s">
        <v>633</v>
      </c>
      <c r="AD686" t="s">
        <v>2171</v>
      </c>
      <c r="AE686" t="s">
        <v>3902</v>
      </c>
      <c r="AF686">
        <v>0.23536245544000001</v>
      </c>
    </row>
    <row r="687" spans="1:32" x14ac:dyDescent="0.25">
      <c r="A687" s="56">
        <v>3702201</v>
      </c>
      <c r="B687" s="56" t="s">
        <v>1968</v>
      </c>
      <c r="C687" s="56" t="s">
        <v>4110</v>
      </c>
      <c r="D687" s="57">
        <v>785.952</v>
      </c>
      <c r="E687" s="58">
        <v>2126</v>
      </c>
      <c r="F687" s="57">
        <v>2.1259999999999999</v>
      </c>
      <c r="G687" s="56" t="s">
        <v>392</v>
      </c>
      <c r="H687" s="56" t="s">
        <v>2511</v>
      </c>
      <c r="I687" s="56" t="s">
        <v>362</v>
      </c>
      <c r="J687" s="56" t="s">
        <v>4111</v>
      </c>
      <c r="K687" s="57">
        <v>4716.0600000000004</v>
      </c>
      <c r="L687" s="56" t="s">
        <v>1914</v>
      </c>
      <c r="M687" s="56" t="s">
        <v>1123</v>
      </c>
      <c r="N687" s="56" t="s">
        <v>17</v>
      </c>
      <c r="O687" s="58">
        <v>52</v>
      </c>
      <c r="P687" s="59" t="s">
        <v>2532</v>
      </c>
      <c r="Q687" s="56" t="s">
        <v>192</v>
      </c>
      <c r="U687" s="52">
        <v>1902334</v>
      </c>
      <c r="V687">
        <v>22.23</v>
      </c>
      <c r="W687">
        <v>0</v>
      </c>
      <c r="X687">
        <v>2</v>
      </c>
      <c r="Y687">
        <v>0.26300000000000001</v>
      </c>
      <c r="Z687" t="s">
        <v>1952</v>
      </c>
      <c r="AA687" t="s">
        <v>963</v>
      </c>
      <c r="AB687" t="s">
        <v>2520</v>
      </c>
      <c r="AC687" t="s">
        <v>633</v>
      </c>
      <c r="AD687" t="s">
        <v>2171</v>
      </c>
      <c r="AE687" t="s">
        <v>4107</v>
      </c>
      <c r="AF687">
        <v>0.26228951602</v>
      </c>
    </row>
    <row r="688" spans="1:32" x14ac:dyDescent="0.25">
      <c r="A688" s="56">
        <v>3702201</v>
      </c>
      <c r="B688" s="56" t="s">
        <v>1968</v>
      </c>
      <c r="C688" s="56" t="s">
        <v>4112</v>
      </c>
      <c r="D688" s="57">
        <v>575.601</v>
      </c>
      <c r="E688" s="58">
        <v>1557</v>
      </c>
      <c r="F688" s="57">
        <v>1.5569999999999999</v>
      </c>
      <c r="G688" s="56" t="s">
        <v>392</v>
      </c>
      <c r="H688" s="56" t="s">
        <v>2511</v>
      </c>
      <c r="I688" s="56" t="s">
        <v>362</v>
      </c>
      <c r="J688" s="56" t="s">
        <v>4113</v>
      </c>
      <c r="K688" s="57">
        <v>3453.86</v>
      </c>
      <c r="L688" s="56" t="s">
        <v>1914</v>
      </c>
      <c r="M688" s="56" t="s">
        <v>1123</v>
      </c>
      <c r="N688" s="56" t="s">
        <v>17</v>
      </c>
      <c r="O688" s="58">
        <v>76</v>
      </c>
      <c r="P688" s="59" t="s">
        <v>2579</v>
      </c>
      <c r="Q688" s="56" t="s">
        <v>192</v>
      </c>
      <c r="U688" s="52">
        <v>1940433</v>
      </c>
      <c r="V688">
        <v>22.23</v>
      </c>
      <c r="W688">
        <v>0</v>
      </c>
      <c r="X688">
        <v>2</v>
      </c>
      <c r="Y688">
        <v>0.27</v>
      </c>
      <c r="Z688" t="s">
        <v>1891</v>
      </c>
      <c r="AA688" t="s">
        <v>963</v>
      </c>
      <c r="AB688" t="s">
        <v>2520</v>
      </c>
      <c r="AC688" t="s">
        <v>633</v>
      </c>
      <c r="AD688" t="s">
        <v>2171</v>
      </c>
      <c r="AE688" t="s">
        <v>4109</v>
      </c>
      <c r="AF688">
        <v>0.26927060580000006</v>
      </c>
    </row>
    <row r="689" spans="1:32" x14ac:dyDescent="0.25">
      <c r="A689" s="56">
        <v>3702201</v>
      </c>
      <c r="B689" s="56" t="s">
        <v>1968</v>
      </c>
      <c r="C689" s="56" t="s">
        <v>4115</v>
      </c>
      <c r="D689" s="57">
        <v>577.81899999999996</v>
      </c>
      <c r="E689" s="58">
        <v>1563</v>
      </c>
      <c r="F689" s="57">
        <v>1.5629999999999999</v>
      </c>
      <c r="G689" s="56" t="s">
        <v>392</v>
      </c>
      <c r="H689" s="56" t="s">
        <v>2511</v>
      </c>
      <c r="I689" s="56" t="s">
        <v>362</v>
      </c>
      <c r="J689" s="56" t="s">
        <v>4116</v>
      </c>
      <c r="K689" s="57">
        <v>3467.1689999999999</v>
      </c>
      <c r="L689" s="56" t="s">
        <v>1914</v>
      </c>
      <c r="M689" s="56" t="s">
        <v>1123</v>
      </c>
      <c r="N689" s="56" t="s">
        <v>17</v>
      </c>
      <c r="O689" s="58">
        <v>77</v>
      </c>
      <c r="P689" s="59" t="s">
        <v>2579</v>
      </c>
      <c r="Q689" s="56" t="s">
        <v>192</v>
      </c>
      <c r="U689" s="52">
        <v>1940437</v>
      </c>
      <c r="V689">
        <v>22.23</v>
      </c>
      <c r="W689">
        <v>0</v>
      </c>
      <c r="X689">
        <v>2</v>
      </c>
      <c r="Y689">
        <v>0.39400000000000002</v>
      </c>
      <c r="Z689" t="s">
        <v>1891</v>
      </c>
      <c r="AA689" t="s">
        <v>963</v>
      </c>
      <c r="AB689" t="s">
        <v>2520</v>
      </c>
      <c r="AC689" t="s">
        <v>633</v>
      </c>
      <c r="AD689" t="s">
        <v>2171</v>
      </c>
      <c r="AE689" t="s">
        <v>638</v>
      </c>
      <c r="AF689">
        <v>0.39293562476000005</v>
      </c>
    </row>
    <row r="690" spans="1:32" x14ac:dyDescent="0.25">
      <c r="A690" s="56">
        <v>3702201</v>
      </c>
      <c r="B690" s="56" t="s">
        <v>1968</v>
      </c>
      <c r="C690" s="56" t="s">
        <v>4117</v>
      </c>
      <c r="D690" s="57">
        <v>576.71</v>
      </c>
      <c r="E690" s="58">
        <v>1560</v>
      </c>
      <c r="F690" s="57">
        <v>1.56</v>
      </c>
      <c r="G690" s="56" t="s">
        <v>392</v>
      </c>
      <c r="H690" s="56" t="s">
        <v>2511</v>
      </c>
      <c r="I690" s="56" t="s">
        <v>362</v>
      </c>
      <c r="J690" s="56" t="s">
        <v>4118</v>
      </c>
      <c r="K690" s="57">
        <v>3460.5149999999999</v>
      </c>
      <c r="L690" s="56" t="s">
        <v>1914</v>
      </c>
      <c r="M690" s="56" t="s">
        <v>1123</v>
      </c>
      <c r="N690" s="56" t="s">
        <v>17</v>
      </c>
      <c r="O690" s="58">
        <v>76</v>
      </c>
      <c r="P690" s="59" t="s">
        <v>2579</v>
      </c>
      <c r="Q690" s="56" t="s">
        <v>192</v>
      </c>
      <c r="U690" s="52">
        <v>1940445</v>
      </c>
      <c r="V690">
        <v>22.23</v>
      </c>
      <c r="W690">
        <v>0</v>
      </c>
      <c r="X690">
        <v>2</v>
      </c>
      <c r="Y690">
        <v>0.505</v>
      </c>
      <c r="Z690" t="s">
        <v>1891</v>
      </c>
      <c r="AA690" t="s">
        <v>963</v>
      </c>
      <c r="AB690" t="s">
        <v>2520</v>
      </c>
      <c r="AC690" t="s">
        <v>633</v>
      </c>
      <c r="AD690" t="s">
        <v>2171</v>
      </c>
      <c r="AE690" t="s">
        <v>4114</v>
      </c>
      <c r="AF690">
        <v>0.50363576269999999</v>
      </c>
    </row>
    <row r="691" spans="1:32" x14ac:dyDescent="0.25">
      <c r="A691" s="56">
        <v>3702201</v>
      </c>
      <c r="B691" s="56" t="s">
        <v>1968</v>
      </c>
      <c r="C691" s="56" t="s">
        <v>4121</v>
      </c>
      <c r="D691" s="57">
        <v>581.14599999999996</v>
      </c>
      <c r="E691" s="58">
        <v>1572</v>
      </c>
      <c r="F691" s="57">
        <v>1.5720000000000001</v>
      </c>
      <c r="G691" s="56" t="s">
        <v>392</v>
      </c>
      <c r="H691" s="56" t="s">
        <v>2511</v>
      </c>
      <c r="I691" s="56" t="s">
        <v>362</v>
      </c>
      <c r="J691" s="56" t="s">
        <v>2621</v>
      </c>
      <c r="K691" s="57">
        <v>3487.134</v>
      </c>
      <c r="L691" s="56" t="s">
        <v>1914</v>
      </c>
      <c r="M691" s="56" t="s">
        <v>1123</v>
      </c>
      <c r="N691" s="56" t="s">
        <v>17</v>
      </c>
      <c r="O691" s="58">
        <v>76</v>
      </c>
      <c r="P691" s="59" t="s">
        <v>2579</v>
      </c>
      <c r="Q691" s="56" t="s">
        <v>192</v>
      </c>
      <c r="U691" s="52">
        <v>1940449</v>
      </c>
      <c r="V691">
        <v>22.23</v>
      </c>
      <c r="W691">
        <v>0</v>
      </c>
      <c r="X691">
        <v>2</v>
      </c>
      <c r="Y691">
        <v>0.57399999999999995</v>
      </c>
      <c r="Z691" t="s">
        <v>1891</v>
      </c>
      <c r="AA691" t="s">
        <v>963</v>
      </c>
      <c r="AB691" t="s">
        <v>2520</v>
      </c>
      <c r="AC691" t="s">
        <v>633</v>
      </c>
      <c r="AD691" t="s">
        <v>2171</v>
      </c>
      <c r="AE691" t="s">
        <v>3909</v>
      </c>
      <c r="AF691">
        <v>0.57244936195999996</v>
      </c>
    </row>
    <row r="692" spans="1:32" x14ac:dyDescent="0.25">
      <c r="A692" s="56">
        <v>3702201</v>
      </c>
      <c r="B692" s="56" t="s">
        <v>1968</v>
      </c>
      <c r="C692" s="56" t="s">
        <v>4123</v>
      </c>
      <c r="D692" s="57">
        <v>174.12200000000001</v>
      </c>
      <c r="E692" s="58">
        <v>471</v>
      </c>
      <c r="F692" s="57">
        <v>0.47099999999999997</v>
      </c>
      <c r="G692" s="56" t="s">
        <v>392</v>
      </c>
      <c r="H692" s="56" t="s">
        <v>2511</v>
      </c>
      <c r="I692" s="56" t="s">
        <v>362</v>
      </c>
      <c r="J692" s="56" t="s">
        <v>3851</v>
      </c>
      <c r="K692" s="57">
        <v>1044.809</v>
      </c>
      <c r="L692" s="56" t="s">
        <v>1914</v>
      </c>
      <c r="M692" s="56" t="s">
        <v>1123</v>
      </c>
      <c r="N692" s="56" t="s">
        <v>17</v>
      </c>
      <c r="O692" s="58">
        <v>76</v>
      </c>
      <c r="P692" s="59" t="s">
        <v>2579</v>
      </c>
      <c r="Q692" s="56" t="s">
        <v>192</v>
      </c>
      <c r="U692">
        <v>4036237</v>
      </c>
      <c r="V692">
        <v>22.23</v>
      </c>
      <c r="W692">
        <v>0</v>
      </c>
      <c r="X692">
        <v>2</v>
      </c>
      <c r="Y692">
        <v>0.60399999999999998</v>
      </c>
      <c r="Z692" t="s">
        <v>1924</v>
      </c>
      <c r="AA692" t="s">
        <v>4119</v>
      </c>
      <c r="AB692" t="s">
        <v>2520</v>
      </c>
      <c r="AC692" t="s">
        <v>679</v>
      </c>
      <c r="AD692" t="s">
        <v>2171</v>
      </c>
      <c r="AE692" t="s">
        <v>4120</v>
      </c>
      <c r="AF692">
        <v>0.60236831816000003</v>
      </c>
    </row>
    <row r="693" spans="1:32" x14ac:dyDescent="0.25">
      <c r="A693" s="56">
        <v>3769066</v>
      </c>
      <c r="B693" s="56" t="s">
        <v>2449</v>
      </c>
      <c r="C693" s="56" t="s">
        <v>4124</v>
      </c>
      <c r="D693" s="57">
        <v>18.908000000000001</v>
      </c>
      <c r="E693" s="58">
        <v>72</v>
      </c>
      <c r="F693" s="57">
        <v>7.1999999999999995E-2</v>
      </c>
      <c r="G693" s="56" t="s">
        <v>392</v>
      </c>
      <c r="H693" s="56" t="s">
        <v>2511</v>
      </c>
      <c r="I693" s="56" t="s">
        <v>362</v>
      </c>
      <c r="J693" s="56" t="s">
        <v>2740</v>
      </c>
      <c r="K693" s="57">
        <v>110.616</v>
      </c>
      <c r="L693" s="56" t="s">
        <v>1914</v>
      </c>
      <c r="M693" s="56" t="s">
        <v>1123</v>
      </c>
      <c r="N693" s="56" t="s">
        <v>151</v>
      </c>
      <c r="O693" s="58">
        <v>40</v>
      </c>
      <c r="P693" s="59" t="s">
        <v>2532</v>
      </c>
      <c r="Q693" s="56" t="s">
        <v>11</v>
      </c>
      <c r="U693" s="52">
        <v>2420107</v>
      </c>
      <c r="V693">
        <v>22.23</v>
      </c>
      <c r="W693">
        <v>0</v>
      </c>
      <c r="X693">
        <v>2</v>
      </c>
      <c r="Y693">
        <v>0.64</v>
      </c>
      <c r="Z693" t="s">
        <v>1868</v>
      </c>
      <c r="AA693" t="s">
        <v>963</v>
      </c>
      <c r="AB693" t="s">
        <v>2520</v>
      </c>
      <c r="AC693" t="s">
        <v>633</v>
      </c>
      <c r="AD693" t="s">
        <v>2171</v>
      </c>
      <c r="AE693" t="s">
        <v>4122</v>
      </c>
      <c r="AF693">
        <v>0.63827106560000002</v>
      </c>
    </row>
    <row r="694" spans="1:32" x14ac:dyDescent="0.25">
      <c r="A694" s="56">
        <v>3770391</v>
      </c>
      <c r="B694" s="56" t="s">
        <v>2343</v>
      </c>
      <c r="C694" s="56" t="s">
        <v>4125</v>
      </c>
      <c r="D694" s="57">
        <v>9.0109999999999992</v>
      </c>
      <c r="E694" s="58">
        <v>77</v>
      </c>
      <c r="F694" s="57">
        <v>7.6999999999999999E-2</v>
      </c>
      <c r="G694" s="56" t="s">
        <v>392</v>
      </c>
      <c r="H694" s="56" t="s">
        <v>2511</v>
      </c>
      <c r="I694" s="56" t="s">
        <v>362</v>
      </c>
      <c r="J694" s="56" t="s">
        <v>2810</v>
      </c>
      <c r="K694" s="57">
        <v>54.517000000000003</v>
      </c>
      <c r="L694" s="56" t="s">
        <v>1914</v>
      </c>
      <c r="M694" s="56" t="s">
        <v>1123</v>
      </c>
      <c r="N694" s="56" t="s">
        <v>30</v>
      </c>
      <c r="O694" s="58">
        <v>49</v>
      </c>
      <c r="P694" s="59" t="s">
        <v>2532</v>
      </c>
      <c r="Q694" s="56" t="s">
        <v>11</v>
      </c>
      <c r="U694" s="52">
        <v>1940454</v>
      </c>
      <c r="V694">
        <v>22.23</v>
      </c>
      <c r="W694">
        <v>0</v>
      </c>
      <c r="X694">
        <v>2</v>
      </c>
      <c r="Y694">
        <v>0.70499999999999996</v>
      </c>
      <c r="Z694" t="s">
        <v>1891</v>
      </c>
      <c r="AA694" t="s">
        <v>963</v>
      </c>
      <c r="AB694" t="s">
        <v>2520</v>
      </c>
      <c r="AC694" t="s">
        <v>633</v>
      </c>
      <c r="AD694" t="s">
        <v>2171</v>
      </c>
      <c r="AE694" t="s">
        <v>2187</v>
      </c>
      <c r="AF694">
        <v>0.7030954707</v>
      </c>
    </row>
    <row r="695" spans="1:32" x14ac:dyDescent="0.25">
      <c r="A695" s="56">
        <v>3770391</v>
      </c>
      <c r="B695" s="56" t="s">
        <v>2343</v>
      </c>
      <c r="C695" s="56" t="s">
        <v>4126</v>
      </c>
      <c r="D695" s="57">
        <v>40.96</v>
      </c>
      <c r="E695" s="58">
        <v>350</v>
      </c>
      <c r="F695" s="57">
        <v>0.35</v>
      </c>
      <c r="G695" s="56" t="s">
        <v>392</v>
      </c>
      <c r="H695" s="56" t="s">
        <v>2511</v>
      </c>
      <c r="I695" s="56" t="s">
        <v>362</v>
      </c>
      <c r="J695" s="56" t="s">
        <v>3973</v>
      </c>
      <c r="K695" s="57">
        <v>247.80500000000001</v>
      </c>
      <c r="L695" s="56" t="s">
        <v>1914</v>
      </c>
      <c r="M695" s="56" t="s">
        <v>1123</v>
      </c>
      <c r="N695" s="56" t="s">
        <v>30</v>
      </c>
      <c r="O695" s="58">
        <v>49</v>
      </c>
      <c r="P695" s="59" t="s">
        <v>2532</v>
      </c>
      <c r="Q695" s="56" t="s">
        <v>11</v>
      </c>
      <c r="U695" s="52">
        <v>3910020</v>
      </c>
      <c r="V695">
        <v>22.23</v>
      </c>
      <c r="W695">
        <v>0</v>
      </c>
      <c r="X695">
        <v>2</v>
      </c>
      <c r="Y695">
        <v>0.71499999999999997</v>
      </c>
      <c r="Z695" t="s">
        <v>1952</v>
      </c>
      <c r="AA695" t="s">
        <v>1003</v>
      </c>
      <c r="AB695" t="s">
        <v>2520</v>
      </c>
      <c r="AC695" t="s">
        <v>562</v>
      </c>
      <c r="AD695" t="s">
        <v>2171</v>
      </c>
      <c r="AE695" t="s">
        <v>564</v>
      </c>
      <c r="AF695">
        <v>0.71306845610000003</v>
      </c>
    </row>
    <row r="696" spans="1:32" x14ac:dyDescent="0.25">
      <c r="A696" s="56">
        <v>3770391</v>
      </c>
      <c r="B696" s="56" t="s">
        <v>2343</v>
      </c>
      <c r="C696" s="56" t="s">
        <v>4129</v>
      </c>
      <c r="D696" s="57">
        <v>186.893</v>
      </c>
      <c r="E696" s="58">
        <v>1597</v>
      </c>
      <c r="F696" s="57">
        <v>1.597</v>
      </c>
      <c r="G696" s="56" t="s">
        <v>392</v>
      </c>
      <c r="H696" s="56" t="s">
        <v>2511</v>
      </c>
      <c r="I696" s="56" t="s">
        <v>362</v>
      </c>
      <c r="J696" s="56" t="s">
        <v>4130</v>
      </c>
      <c r="K696" s="57">
        <v>1130.7</v>
      </c>
      <c r="L696" s="56" t="s">
        <v>1914</v>
      </c>
      <c r="M696" s="56" t="s">
        <v>1123</v>
      </c>
      <c r="N696" s="56" t="s">
        <v>30</v>
      </c>
      <c r="O696" s="58">
        <v>33</v>
      </c>
      <c r="P696" s="59" t="s">
        <v>2532</v>
      </c>
      <c r="Q696" s="56" t="s">
        <v>11</v>
      </c>
      <c r="U696" s="588">
        <v>4267147</v>
      </c>
      <c r="V696">
        <v>22.23</v>
      </c>
      <c r="W696">
        <v>0</v>
      </c>
      <c r="X696">
        <v>2</v>
      </c>
      <c r="Y696">
        <v>0.73799999999999999</v>
      </c>
      <c r="Z696" t="s">
        <v>2821</v>
      </c>
      <c r="AA696" t="s">
        <v>1003</v>
      </c>
      <c r="AB696" t="s">
        <v>2520</v>
      </c>
      <c r="AC696" t="s">
        <v>562</v>
      </c>
      <c r="AD696" t="s">
        <v>2171</v>
      </c>
      <c r="AE696" t="s">
        <v>6609</v>
      </c>
      <c r="AF696" t="e">
        <f>IF([4]!buckets[[#This Row],[LL or CTL]]="LL",(3.14*([4]!buckets[[#This Row],[OD]]-[4]!buckets[[#This Row],[Thickness]])*[4]!buckets[[#This Row],[Thickness]]*1000*7.85)/1000000,(3.14*([4]!buckets[[#This Row],[OD]]-[4]!buckets[[#This Row],[Thickness]])*[4]!buckets[[#This Row],[Thickness]]*[4]!buckets[[#This Row],[Length]]*1000*7.85)/1000000)</f>
        <v>#REF!</v>
      </c>
    </row>
    <row r="697" spans="1:32" x14ac:dyDescent="0.25">
      <c r="A697" s="56">
        <v>3770391</v>
      </c>
      <c r="B697" s="56" t="s">
        <v>2343</v>
      </c>
      <c r="C697" s="56" t="s">
        <v>4131</v>
      </c>
      <c r="D697" s="57">
        <v>100.878</v>
      </c>
      <c r="E697" s="58">
        <v>862</v>
      </c>
      <c r="F697" s="57">
        <v>0.86199999999999999</v>
      </c>
      <c r="G697" s="56" t="s">
        <v>392</v>
      </c>
      <c r="H697" s="56" t="s">
        <v>2511</v>
      </c>
      <c r="I697" s="56" t="s">
        <v>362</v>
      </c>
      <c r="J697" s="56" t="s">
        <v>3991</v>
      </c>
      <c r="K697" s="57">
        <v>610.30899999999997</v>
      </c>
      <c r="L697" s="56" t="s">
        <v>1914</v>
      </c>
      <c r="M697" s="56" t="s">
        <v>1123</v>
      </c>
      <c r="N697" s="56" t="s">
        <v>30</v>
      </c>
      <c r="O697" s="58">
        <v>32</v>
      </c>
      <c r="P697" s="59" t="s">
        <v>2532</v>
      </c>
      <c r="Q697" s="56" t="s">
        <v>11</v>
      </c>
      <c r="U697" s="588">
        <v>1940458</v>
      </c>
      <c r="V697">
        <v>22.23</v>
      </c>
      <c r="W697">
        <v>0</v>
      </c>
      <c r="X697">
        <v>2</v>
      </c>
      <c r="Y697">
        <v>0.73899999999999999</v>
      </c>
      <c r="Z697" t="s">
        <v>1891</v>
      </c>
      <c r="AA697" t="s">
        <v>963</v>
      </c>
      <c r="AB697" t="s">
        <v>2520</v>
      </c>
      <c r="AC697" t="s">
        <v>562</v>
      </c>
      <c r="AD697" t="s">
        <v>2171</v>
      </c>
      <c r="AE697" t="s">
        <v>6610</v>
      </c>
      <c r="AF697" t="e">
        <f>IF([4]!buckets[[#This Row],[LL or CTL]]="LL",(3.14*([4]!buckets[[#This Row],[OD]]-[4]!buckets[[#This Row],[Thickness]])*[4]!buckets[[#This Row],[Thickness]]*1000*7.85)/1000000,(3.14*([4]!buckets[[#This Row],[OD]]-[4]!buckets[[#This Row],[Thickness]])*[4]!buckets[[#This Row],[Thickness]]*[4]!buckets[[#This Row],[Length]]*1000*7.85)/1000000)</f>
        <v>#REF!</v>
      </c>
    </row>
    <row r="698" spans="1:32" x14ac:dyDescent="0.25">
      <c r="A698" s="56">
        <v>3770392</v>
      </c>
      <c r="B698" s="56" t="s">
        <v>405</v>
      </c>
      <c r="C698" s="56" t="s">
        <v>4132</v>
      </c>
      <c r="D698" s="57">
        <v>36.924999999999997</v>
      </c>
      <c r="E698" s="58">
        <v>391</v>
      </c>
      <c r="F698" s="57">
        <v>0.39100000000000001</v>
      </c>
      <c r="G698" s="56" t="s">
        <v>392</v>
      </c>
      <c r="H698" s="56" t="s">
        <v>2511</v>
      </c>
      <c r="I698" s="56" t="s">
        <v>362</v>
      </c>
      <c r="J698" s="56" t="s">
        <v>3937</v>
      </c>
      <c r="K698" s="57">
        <v>206.76900000000001</v>
      </c>
      <c r="L698" s="56" t="s">
        <v>1914</v>
      </c>
      <c r="M698" s="56" t="s">
        <v>1123</v>
      </c>
      <c r="N698" s="56" t="s">
        <v>71</v>
      </c>
      <c r="O698" s="58">
        <v>151</v>
      </c>
      <c r="P698" s="59" t="s">
        <v>2524</v>
      </c>
      <c r="Q698" s="56" t="s">
        <v>2516</v>
      </c>
      <c r="U698" s="52">
        <v>2422186</v>
      </c>
      <c r="V698">
        <v>22.23</v>
      </c>
      <c r="W698">
        <v>0</v>
      </c>
      <c r="X698">
        <v>2</v>
      </c>
      <c r="Y698">
        <v>0.77500000000000002</v>
      </c>
      <c r="Z698" t="s">
        <v>1881</v>
      </c>
      <c r="AA698" t="s">
        <v>963</v>
      </c>
      <c r="AB698" t="s">
        <v>2520</v>
      </c>
      <c r="AC698" t="s">
        <v>633</v>
      </c>
      <c r="AD698" t="s">
        <v>2171</v>
      </c>
      <c r="AE698" t="s">
        <v>2218</v>
      </c>
      <c r="AF698">
        <v>0.77290636850000005</v>
      </c>
    </row>
    <row r="699" spans="1:32" x14ac:dyDescent="0.25">
      <c r="A699" s="56">
        <v>3770394</v>
      </c>
      <c r="B699" s="56" t="s">
        <v>2353</v>
      </c>
      <c r="C699" s="56" t="s">
        <v>4133</v>
      </c>
      <c r="D699" s="57">
        <v>76.912999999999997</v>
      </c>
      <c r="E699" s="58">
        <v>1180</v>
      </c>
      <c r="F699" s="57">
        <v>1.18</v>
      </c>
      <c r="G699" s="56" t="s">
        <v>392</v>
      </c>
      <c r="H699" s="56" t="s">
        <v>2511</v>
      </c>
      <c r="I699" s="56" t="s">
        <v>362</v>
      </c>
      <c r="J699" s="56" t="s">
        <v>4134</v>
      </c>
      <c r="K699" s="57">
        <v>426.87099999999998</v>
      </c>
      <c r="L699" s="56" t="s">
        <v>1914</v>
      </c>
      <c r="M699" s="56" t="s">
        <v>1123</v>
      </c>
      <c r="N699" s="56" t="s">
        <v>24</v>
      </c>
      <c r="O699" s="58">
        <v>2</v>
      </c>
      <c r="P699" s="59" t="s">
        <v>2515</v>
      </c>
      <c r="Q699" s="56" t="s">
        <v>2516</v>
      </c>
      <c r="U699" s="52">
        <v>1940464</v>
      </c>
      <c r="V699">
        <v>22.23</v>
      </c>
      <c r="W699">
        <v>0</v>
      </c>
      <c r="X699">
        <v>2</v>
      </c>
      <c r="Y699">
        <v>0.77500000000000002</v>
      </c>
      <c r="Z699" t="s">
        <v>1924</v>
      </c>
      <c r="AA699" t="s">
        <v>4127</v>
      </c>
      <c r="AB699" t="s">
        <v>2520</v>
      </c>
      <c r="AC699" t="s">
        <v>642</v>
      </c>
      <c r="AD699" t="s">
        <v>2171</v>
      </c>
      <c r="AE699" t="s">
        <v>4128</v>
      </c>
      <c r="AF699">
        <v>0.77290636850000005</v>
      </c>
    </row>
    <row r="700" spans="1:32" x14ac:dyDescent="0.25">
      <c r="A700" s="56">
        <v>3770394</v>
      </c>
      <c r="B700" s="56" t="s">
        <v>2353</v>
      </c>
      <c r="C700" s="56" t="s">
        <v>4136</v>
      </c>
      <c r="D700" s="57">
        <v>9.9730000000000008</v>
      </c>
      <c r="E700" s="58">
        <v>153</v>
      </c>
      <c r="F700" s="57">
        <v>0.153</v>
      </c>
      <c r="G700" s="56" t="s">
        <v>392</v>
      </c>
      <c r="H700" s="56" t="s">
        <v>2511</v>
      </c>
      <c r="I700" s="56" t="s">
        <v>362</v>
      </c>
      <c r="J700" s="56" t="s">
        <v>2903</v>
      </c>
      <c r="K700" s="57">
        <v>55.348999999999997</v>
      </c>
      <c r="L700" s="56" t="s">
        <v>1914</v>
      </c>
      <c r="M700" s="56" t="s">
        <v>1123</v>
      </c>
      <c r="N700" s="56" t="s">
        <v>24</v>
      </c>
      <c r="O700" s="58">
        <v>49</v>
      </c>
      <c r="P700" s="59" t="s">
        <v>2532</v>
      </c>
      <c r="Q700" s="56" t="s">
        <v>2516</v>
      </c>
      <c r="U700" s="52">
        <v>1940466</v>
      </c>
      <c r="V700">
        <v>22.23</v>
      </c>
      <c r="W700">
        <v>0</v>
      </c>
      <c r="X700">
        <v>2</v>
      </c>
      <c r="Y700">
        <v>0.80900000000000005</v>
      </c>
      <c r="Z700" t="s">
        <v>1891</v>
      </c>
      <c r="AA700" t="s">
        <v>963</v>
      </c>
      <c r="AB700" t="s">
        <v>2520</v>
      </c>
      <c r="AC700" t="s">
        <v>633</v>
      </c>
      <c r="AD700" t="s">
        <v>2171</v>
      </c>
      <c r="AE700" t="s">
        <v>765</v>
      </c>
      <c r="AF700">
        <v>0.80681451886000011</v>
      </c>
    </row>
    <row r="701" spans="1:32" x14ac:dyDescent="0.25">
      <c r="A701" s="56">
        <v>3770394</v>
      </c>
      <c r="B701" s="56" t="s">
        <v>2353</v>
      </c>
      <c r="C701" s="56" t="s">
        <v>4137</v>
      </c>
      <c r="D701" s="57">
        <v>96.923000000000002</v>
      </c>
      <c r="E701" s="58">
        <v>1487</v>
      </c>
      <c r="F701" s="57">
        <v>1.4870000000000001</v>
      </c>
      <c r="G701" s="56" t="s">
        <v>392</v>
      </c>
      <c r="H701" s="56" t="s">
        <v>2511</v>
      </c>
      <c r="I701" s="56" t="s">
        <v>362</v>
      </c>
      <c r="J701" s="56" t="s">
        <v>4138</v>
      </c>
      <c r="K701" s="57">
        <v>537.92999999999995</v>
      </c>
      <c r="L701" s="56" t="s">
        <v>1914</v>
      </c>
      <c r="M701" s="56" t="s">
        <v>1123</v>
      </c>
      <c r="N701" s="56" t="s">
        <v>24</v>
      </c>
      <c r="O701" s="58">
        <v>2</v>
      </c>
      <c r="P701" s="59" t="s">
        <v>2515</v>
      </c>
      <c r="Q701" s="56" t="s">
        <v>2516</v>
      </c>
      <c r="U701" s="52">
        <v>1940467</v>
      </c>
      <c r="V701">
        <v>22.23</v>
      </c>
      <c r="W701">
        <v>0</v>
      </c>
      <c r="X701">
        <v>2</v>
      </c>
      <c r="Y701">
        <v>0.81200000000000006</v>
      </c>
      <c r="Z701" t="s">
        <v>1924</v>
      </c>
      <c r="AA701" t="s">
        <v>963</v>
      </c>
      <c r="AB701" t="s">
        <v>2520</v>
      </c>
      <c r="AC701" t="s">
        <v>642</v>
      </c>
      <c r="AD701" t="s">
        <v>2171</v>
      </c>
      <c r="AE701" t="s">
        <v>767</v>
      </c>
      <c r="AF701">
        <v>0.80980641448000013</v>
      </c>
    </row>
    <row r="702" spans="1:32" x14ac:dyDescent="0.25">
      <c r="A702" s="56">
        <v>3770398</v>
      </c>
      <c r="B702" s="56" t="s">
        <v>2357</v>
      </c>
      <c r="C702" s="56" t="s">
        <v>4139</v>
      </c>
      <c r="D702" s="57">
        <v>98.965999999999994</v>
      </c>
      <c r="E702" s="58">
        <v>907</v>
      </c>
      <c r="F702" s="57">
        <v>0.90700000000000003</v>
      </c>
      <c r="G702" s="56" t="s">
        <v>392</v>
      </c>
      <c r="H702" s="56" t="s">
        <v>2511</v>
      </c>
      <c r="I702" s="56" t="s">
        <v>362</v>
      </c>
      <c r="J702" s="56" t="s">
        <v>3827</v>
      </c>
      <c r="K702" s="57">
        <v>588.846</v>
      </c>
      <c r="L702" s="56" t="s">
        <v>1914</v>
      </c>
      <c r="M702" s="56" t="s">
        <v>1123</v>
      </c>
      <c r="N702" s="56" t="s">
        <v>30</v>
      </c>
      <c r="O702" s="58">
        <v>79</v>
      </c>
      <c r="P702" s="59" t="s">
        <v>2579</v>
      </c>
      <c r="Q702" s="56" t="s">
        <v>11</v>
      </c>
      <c r="U702" s="52">
        <v>2413708</v>
      </c>
      <c r="V702">
        <v>22.23</v>
      </c>
      <c r="W702">
        <v>0</v>
      </c>
      <c r="X702">
        <v>2</v>
      </c>
      <c r="Y702">
        <v>0.81499999999999995</v>
      </c>
      <c r="Z702" t="s">
        <v>1868</v>
      </c>
      <c r="AA702" t="s">
        <v>963</v>
      </c>
      <c r="AB702" t="s">
        <v>2520</v>
      </c>
      <c r="AC702" t="s">
        <v>633</v>
      </c>
      <c r="AD702" t="s">
        <v>2171</v>
      </c>
      <c r="AE702" t="s">
        <v>635</v>
      </c>
      <c r="AF702">
        <v>0.81279831010000003</v>
      </c>
    </row>
    <row r="703" spans="1:32" x14ac:dyDescent="0.25">
      <c r="A703" s="56">
        <v>3770398</v>
      </c>
      <c r="B703" s="56" t="s">
        <v>2357</v>
      </c>
      <c r="C703" s="56" t="s">
        <v>4141</v>
      </c>
      <c r="D703" s="57">
        <v>185.82</v>
      </c>
      <c r="E703" s="58">
        <v>1703</v>
      </c>
      <c r="F703" s="57">
        <v>1.7030000000000001</v>
      </c>
      <c r="G703" s="56" t="s">
        <v>392</v>
      </c>
      <c r="H703" s="56" t="s">
        <v>2511</v>
      </c>
      <c r="I703" s="56" t="s">
        <v>362</v>
      </c>
      <c r="J703" s="56" t="s">
        <v>4142</v>
      </c>
      <c r="K703" s="57">
        <v>1105.6289999999999</v>
      </c>
      <c r="L703" s="56" t="s">
        <v>1914</v>
      </c>
      <c r="M703" s="56" t="s">
        <v>1123</v>
      </c>
      <c r="N703" s="56" t="s">
        <v>30</v>
      </c>
      <c r="O703" s="58">
        <v>56</v>
      </c>
      <c r="P703" s="59" t="s">
        <v>2532</v>
      </c>
      <c r="Q703" s="56" t="s">
        <v>11</v>
      </c>
      <c r="U703" s="52">
        <v>3915667</v>
      </c>
      <c r="V703">
        <v>22.23</v>
      </c>
      <c r="W703">
        <v>0</v>
      </c>
      <c r="X703">
        <v>2</v>
      </c>
      <c r="Y703">
        <v>0.82699999999999996</v>
      </c>
      <c r="Z703" t="s">
        <v>1924</v>
      </c>
      <c r="AA703" t="s">
        <v>4127</v>
      </c>
      <c r="AB703" t="s">
        <v>2520</v>
      </c>
      <c r="AC703" t="s">
        <v>642</v>
      </c>
      <c r="AD703" t="s">
        <v>2171</v>
      </c>
      <c r="AE703" t="s">
        <v>4135</v>
      </c>
      <c r="AF703">
        <v>0.82476589257999999</v>
      </c>
    </row>
    <row r="704" spans="1:32" x14ac:dyDescent="0.25">
      <c r="A704" s="56">
        <v>3770398</v>
      </c>
      <c r="B704" s="56" t="s">
        <v>2357</v>
      </c>
      <c r="C704" s="56" t="s">
        <v>4143</v>
      </c>
      <c r="D704" s="57">
        <v>205.78700000000001</v>
      </c>
      <c r="E704" s="58">
        <v>1886</v>
      </c>
      <c r="F704" s="57">
        <v>1.8859999999999999</v>
      </c>
      <c r="G704" s="56" t="s">
        <v>392</v>
      </c>
      <c r="H704" s="56" t="s">
        <v>2511</v>
      </c>
      <c r="I704" s="56" t="s">
        <v>362</v>
      </c>
      <c r="J704" s="56" t="s">
        <v>4144</v>
      </c>
      <c r="K704" s="57">
        <v>1224.4369999999999</v>
      </c>
      <c r="L704" s="56" t="s">
        <v>1914</v>
      </c>
      <c r="M704" s="56" t="s">
        <v>1123</v>
      </c>
      <c r="N704" s="56" t="s">
        <v>30</v>
      </c>
      <c r="O704" s="58">
        <v>59</v>
      </c>
      <c r="P704" s="59" t="s">
        <v>2532</v>
      </c>
      <c r="Q704" s="56" t="s">
        <v>11</v>
      </c>
      <c r="U704">
        <v>3943202</v>
      </c>
      <c r="V704">
        <v>22.23</v>
      </c>
      <c r="W704">
        <v>0</v>
      </c>
      <c r="X704">
        <v>2</v>
      </c>
      <c r="Y704" s="43">
        <v>0.84</v>
      </c>
      <c r="Z704" t="s">
        <v>1924</v>
      </c>
      <c r="AA704" t="s">
        <v>1003</v>
      </c>
      <c r="AB704" t="s">
        <v>2520</v>
      </c>
      <c r="AC704" t="s">
        <v>679</v>
      </c>
      <c r="AD704" t="s">
        <v>2171</v>
      </c>
      <c r="AE704" t="s">
        <v>769</v>
      </c>
      <c r="AF704">
        <v>0.83773077360000003</v>
      </c>
    </row>
    <row r="705" spans="1:32" x14ac:dyDescent="0.25">
      <c r="A705" s="56">
        <v>3770398</v>
      </c>
      <c r="B705" s="56" t="s">
        <v>2357</v>
      </c>
      <c r="C705" s="56" t="s">
        <v>4145</v>
      </c>
      <c r="D705" s="57">
        <v>219.863</v>
      </c>
      <c r="E705" s="58">
        <v>2015</v>
      </c>
      <c r="F705" s="57">
        <v>2.0150000000000001</v>
      </c>
      <c r="G705" s="56" t="s">
        <v>392</v>
      </c>
      <c r="H705" s="56" t="s">
        <v>2511</v>
      </c>
      <c r="I705" s="56" t="s">
        <v>362</v>
      </c>
      <c r="J705" s="56" t="s">
        <v>2868</v>
      </c>
      <c r="K705" s="57">
        <v>1308.1869999999999</v>
      </c>
      <c r="L705" s="56" t="s">
        <v>1914</v>
      </c>
      <c r="M705" s="56" t="s">
        <v>1123</v>
      </c>
      <c r="N705" s="56" t="s">
        <v>30</v>
      </c>
      <c r="O705" s="58">
        <v>60</v>
      </c>
      <c r="P705" s="59" t="s">
        <v>2532</v>
      </c>
      <c r="Q705" s="56" t="s">
        <v>11</v>
      </c>
      <c r="U705" s="52">
        <v>1940470</v>
      </c>
      <c r="V705">
        <v>22.23</v>
      </c>
      <c r="W705">
        <v>0</v>
      </c>
      <c r="X705">
        <v>2</v>
      </c>
      <c r="Y705">
        <v>0.85099999999999998</v>
      </c>
      <c r="Z705" t="s">
        <v>1891</v>
      </c>
      <c r="AA705" t="s">
        <v>963</v>
      </c>
      <c r="AB705" t="s">
        <v>2520</v>
      </c>
      <c r="AC705" t="s">
        <v>633</v>
      </c>
      <c r="AD705" t="s">
        <v>2171</v>
      </c>
      <c r="AE705" t="s">
        <v>3932</v>
      </c>
      <c r="AF705">
        <v>0.84870105754000003</v>
      </c>
    </row>
    <row r="706" spans="1:32" x14ac:dyDescent="0.25">
      <c r="A706" s="56">
        <v>3770398</v>
      </c>
      <c r="B706" s="56" t="s">
        <v>2357</v>
      </c>
      <c r="C706" s="56" t="s">
        <v>4146</v>
      </c>
      <c r="D706" s="57">
        <v>208.84299999999999</v>
      </c>
      <c r="E706" s="58">
        <v>1914</v>
      </c>
      <c r="F706" s="57">
        <v>1.9139999999999999</v>
      </c>
      <c r="G706" s="56" t="s">
        <v>392</v>
      </c>
      <c r="H706" s="56" t="s">
        <v>2511</v>
      </c>
      <c r="I706" s="56" t="s">
        <v>362</v>
      </c>
      <c r="J706" s="56" t="s">
        <v>4147</v>
      </c>
      <c r="K706" s="57">
        <v>1242.615</v>
      </c>
      <c r="L706" s="56" t="s">
        <v>1914</v>
      </c>
      <c r="M706" s="56" t="s">
        <v>1123</v>
      </c>
      <c r="N706" s="56" t="s">
        <v>30</v>
      </c>
      <c r="O706" s="58">
        <v>60</v>
      </c>
      <c r="P706" s="59" t="s">
        <v>2532</v>
      </c>
      <c r="Q706" s="56" t="s">
        <v>11</v>
      </c>
      <c r="U706" s="52">
        <v>3910650</v>
      </c>
      <c r="V706">
        <v>22.23</v>
      </c>
      <c r="W706">
        <v>0</v>
      </c>
      <c r="X706">
        <v>2</v>
      </c>
      <c r="Y706">
        <v>0.85499999999999998</v>
      </c>
      <c r="Z706" t="s">
        <v>1881</v>
      </c>
      <c r="AA706" t="s">
        <v>1003</v>
      </c>
      <c r="AB706" t="s">
        <v>4140</v>
      </c>
      <c r="AC706" t="s">
        <v>770</v>
      </c>
      <c r="AD706" t="s">
        <v>2171</v>
      </c>
      <c r="AE706" t="s">
        <v>772</v>
      </c>
      <c r="AF706">
        <v>0.85269025170000001</v>
      </c>
    </row>
    <row r="707" spans="1:32" x14ac:dyDescent="0.25">
      <c r="A707" s="56">
        <v>3770398</v>
      </c>
      <c r="B707" s="56" t="s">
        <v>2357</v>
      </c>
      <c r="C707" s="56" t="s">
        <v>4148</v>
      </c>
      <c r="D707" s="57">
        <v>207.86099999999999</v>
      </c>
      <c r="E707" s="58">
        <v>1905</v>
      </c>
      <c r="F707" s="57">
        <v>1.905</v>
      </c>
      <c r="G707" s="56" t="s">
        <v>392</v>
      </c>
      <c r="H707" s="56" t="s">
        <v>2511</v>
      </c>
      <c r="I707" s="56" t="s">
        <v>362</v>
      </c>
      <c r="J707" s="56" t="s">
        <v>4149</v>
      </c>
      <c r="K707" s="57">
        <v>1236.7719999999999</v>
      </c>
      <c r="L707" s="56" t="s">
        <v>1914</v>
      </c>
      <c r="M707" s="56" t="s">
        <v>1123</v>
      </c>
      <c r="N707" s="56" t="s">
        <v>30</v>
      </c>
      <c r="O707" s="58">
        <v>60</v>
      </c>
      <c r="P707" s="59" t="s">
        <v>2532</v>
      </c>
      <c r="Q707" s="56" t="s">
        <v>11</v>
      </c>
      <c r="U707">
        <v>3943203</v>
      </c>
      <c r="V707">
        <v>22.23</v>
      </c>
      <c r="W707">
        <v>0</v>
      </c>
      <c r="X707">
        <v>2</v>
      </c>
      <c r="Y707" s="43">
        <v>0.85499999999999998</v>
      </c>
      <c r="Z707" t="s">
        <v>1924</v>
      </c>
      <c r="AA707" t="s">
        <v>1003</v>
      </c>
      <c r="AB707" t="s">
        <v>2520</v>
      </c>
      <c r="AC707" t="s">
        <v>679</v>
      </c>
      <c r="AD707" t="s">
        <v>2171</v>
      </c>
      <c r="AE707" t="s">
        <v>681</v>
      </c>
      <c r="AF707">
        <v>0.85269025170000001</v>
      </c>
    </row>
    <row r="708" spans="1:32" x14ac:dyDescent="0.25">
      <c r="A708" s="56">
        <v>3770398</v>
      </c>
      <c r="B708" s="56" t="s">
        <v>2357</v>
      </c>
      <c r="C708" s="56" t="s">
        <v>4150</v>
      </c>
      <c r="D708" s="57">
        <v>194.876</v>
      </c>
      <c r="E708" s="58">
        <v>1786</v>
      </c>
      <c r="F708" s="57">
        <v>1.786</v>
      </c>
      <c r="G708" s="56" t="s">
        <v>392</v>
      </c>
      <c r="H708" s="56" t="s">
        <v>2511</v>
      </c>
      <c r="I708" s="56" t="s">
        <v>362</v>
      </c>
      <c r="J708" s="56" t="s">
        <v>3430</v>
      </c>
      <c r="K708" s="57">
        <v>1159.5139999999999</v>
      </c>
      <c r="L708" s="56" t="s">
        <v>1914</v>
      </c>
      <c r="M708" s="56" t="s">
        <v>1123</v>
      </c>
      <c r="N708" s="56" t="s">
        <v>30</v>
      </c>
      <c r="O708" s="58">
        <v>48</v>
      </c>
      <c r="P708" s="59" t="s">
        <v>2532</v>
      </c>
      <c r="Q708" s="56" t="s">
        <v>11</v>
      </c>
      <c r="U708" s="52">
        <v>1940472</v>
      </c>
      <c r="V708">
        <v>22.23</v>
      </c>
      <c r="W708">
        <v>0</v>
      </c>
      <c r="X708">
        <v>2</v>
      </c>
      <c r="Y708">
        <v>0.86199999999999999</v>
      </c>
      <c r="Z708" t="s">
        <v>1891</v>
      </c>
      <c r="AA708" t="s">
        <v>963</v>
      </c>
      <c r="AB708" t="s">
        <v>2520</v>
      </c>
      <c r="AC708" t="s">
        <v>633</v>
      </c>
      <c r="AD708" t="s">
        <v>2171</v>
      </c>
      <c r="AE708" t="s">
        <v>2319</v>
      </c>
      <c r="AF708">
        <v>0.85967134148000002</v>
      </c>
    </row>
    <row r="709" spans="1:32" x14ac:dyDescent="0.25">
      <c r="A709" s="56">
        <v>3770398</v>
      </c>
      <c r="B709" s="56" t="s">
        <v>2357</v>
      </c>
      <c r="C709" s="56" t="s">
        <v>4151</v>
      </c>
      <c r="D709" s="57">
        <v>195.858</v>
      </c>
      <c r="E709" s="58">
        <v>1795</v>
      </c>
      <c r="F709" s="57">
        <v>1.7949999999999999</v>
      </c>
      <c r="G709" s="56" t="s">
        <v>392</v>
      </c>
      <c r="H709" s="56" t="s">
        <v>2511</v>
      </c>
      <c r="I709" s="56" t="s">
        <v>362</v>
      </c>
      <c r="J709" s="56" t="s">
        <v>3443</v>
      </c>
      <c r="K709" s="57">
        <v>1165.357</v>
      </c>
      <c r="L709" s="56" t="s">
        <v>1914</v>
      </c>
      <c r="M709" s="56" t="s">
        <v>1123</v>
      </c>
      <c r="N709" s="56" t="s">
        <v>30</v>
      </c>
      <c r="O709" s="58">
        <v>60</v>
      </c>
      <c r="P709" s="59" t="s">
        <v>2532</v>
      </c>
      <c r="Q709" s="56" t="s">
        <v>11</v>
      </c>
      <c r="U709" s="52">
        <v>3910649</v>
      </c>
      <c r="V709">
        <v>22.23</v>
      </c>
      <c r="W709">
        <v>0</v>
      </c>
      <c r="X709">
        <v>2</v>
      </c>
      <c r="Y709">
        <v>0.86299999999999999</v>
      </c>
      <c r="Z709" t="s">
        <v>1881</v>
      </c>
      <c r="AA709" t="s">
        <v>1003</v>
      </c>
      <c r="AB709" t="s">
        <v>2520</v>
      </c>
      <c r="AC709" t="s">
        <v>770</v>
      </c>
      <c r="AD709" t="s">
        <v>2171</v>
      </c>
      <c r="AE709" t="s">
        <v>774</v>
      </c>
      <c r="AF709">
        <v>0.8606686400200001</v>
      </c>
    </row>
    <row r="710" spans="1:32" x14ac:dyDescent="0.25">
      <c r="A710" s="56">
        <v>3770398</v>
      </c>
      <c r="B710" s="56" t="s">
        <v>2357</v>
      </c>
      <c r="C710" s="56" t="s">
        <v>4152</v>
      </c>
      <c r="D710" s="57">
        <v>167.816</v>
      </c>
      <c r="E710" s="58">
        <v>1538</v>
      </c>
      <c r="F710" s="57">
        <v>1.538</v>
      </c>
      <c r="G710" s="56" t="s">
        <v>392</v>
      </c>
      <c r="H710" s="56" t="s">
        <v>2511</v>
      </c>
      <c r="I710" s="56" t="s">
        <v>362</v>
      </c>
      <c r="J710" s="56" t="s">
        <v>4153</v>
      </c>
      <c r="K710" s="57">
        <v>998.50699999999995</v>
      </c>
      <c r="L710" s="56" t="s">
        <v>1914</v>
      </c>
      <c r="M710" s="56" t="s">
        <v>1123</v>
      </c>
      <c r="N710" s="56" t="s">
        <v>30</v>
      </c>
      <c r="O710" s="58">
        <v>60</v>
      </c>
      <c r="P710" s="59" t="s">
        <v>2532</v>
      </c>
      <c r="Q710" s="56" t="s">
        <v>11</v>
      </c>
      <c r="U710" s="52">
        <v>1940474</v>
      </c>
      <c r="V710">
        <v>22.23</v>
      </c>
      <c r="W710">
        <v>0</v>
      </c>
      <c r="X710">
        <v>2</v>
      </c>
      <c r="Y710">
        <v>0.86499999999999999</v>
      </c>
      <c r="Z710" t="s">
        <v>1924</v>
      </c>
      <c r="AA710" t="s">
        <v>963</v>
      </c>
      <c r="AB710" t="s">
        <v>2520</v>
      </c>
      <c r="AC710" t="s">
        <v>642</v>
      </c>
      <c r="AD710" t="s">
        <v>2171</v>
      </c>
      <c r="AE710" t="s">
        <v>2290</v>
      </c>
      <c r="AF710">
        <v>0.86266323710000004</v>
      </c>
    </row>
    <row r="711" spans="1:32" x14ac:dyDescent="0.25">
      <c r="A711" s="56">
        <v>3770398</v>
      </c>
      <c r="B711" s="56" t="s">
        <v>2357</v>
      </c>
      <c r="C711" s="56" t="s">
        <v>4154</v>
      </c>
      <c r="D711" s="57">
        <v>142.93799999999999</v>
      </c>
      <c r="E711" s="58">
        <v>1310</v>
      </c>
      <c r="F711" s="57">
        <v>1.31</v>
      </c>
      <c r="G711" s="56" t="s">
        <v>392</v>
      </c>
      <c r="H711" s="56" t="s">
        <v>2511</v>
      </c>
      <c r="I711" s="56" t="s">
        <v>362</v>
      </c>
      <c r="J711" s="56" t="s">
        <v>4155</v>
      </c>
      <c r="K711" s="57">
        <v>850.48400000000004</v>
      </c>
      <c r="L711" s="56" t="s">
        <v>1914</v>
      </c>
      <c r="M711" s="56" t="s">
        <v>1123</v>
      </c>
      <c r="N711" s="56" t="s">
        <v>30</v>
      </c>
      <c r="O711" s="58">
        <v>55</v>
      </c>
      <c r="P711" s="59" t="s">
        <v>2532</v>
      </c>
      <c r="Q711" s="56" t="s">
        <v>11</v>
      </c>
      <c r="U711" s="52">
        <v>4228296</v>
      </c>
      <c r="V711">
        <v>22.23</v>
      </c>
      <c r="W711">
        <v>0</v>
      </c>
      <c r="X711">
        <v>2</v>
      </c>
      <c r="Y711">
        <v>0.86499999999999999</v>
      </c>
      <c r="Z711" t="s">
        <v>2088</v>
      </c>
      <c r="AA711" t="s">
        <v>963</v>
      </c>
      <c r="AB711" t="s">
        <v>2520</v>
      </c>
      <c r="AC711" t="s">
        <v>645</v>
      </c>
      <c r="AD711" t="s">
        <v>2171</v>
      </c>
      <c r="AE711" t="s">
        <v>647</v>
      </c>
      <c r="AF711">
        <v>0.86266323710000004</v>
      </c>
    </row>
    <row r="712" spans="1:32" x14ac:dyDescent="0.25">
      <c r="A712" s="56">
        <v>3770398</v>
      </c>
      <c r="B712" s="56" t="s">
        <v>2357</v>
      </c>
      <c r="C712" s="56" t="s">
        <v>4157</v>
      </c>
      <c r="D712" s="57">
        <v>177.85400000000001</v>
      </c>
      <c r="E712" s="58">
        <v>1630</v>
      </c>
      <c r="F712" s="57">
        <v>1.63</v>
      </c>
      <c r="G712" s="56" t="s">
        <v>392</v>
      </c>
      <c r="H712" s="56" t="s">
        <v>2511</v>
      </c>
      <c r="I712" s="56" t="s">
        <v>362</v>
      </c>
      <c r="J712" s="56" t="s">
        <v>4158</v>
      </c>
      <c r="K712" s="57">
        <v>1058.2349999999999</v>
      </c>
      <c r="L712" s="56" t="s">
        <v>1914</v>
      </c>
      <c r="M712" s="56" t="s">
        <v>1123</v>
      </c>
      <c r="N712" s="56" t="s">
        <v>30</v>
      </c>
      <c r="O712" s="58">
        <v>54</v>
      </c>
      <c r="P712" s="59" t="s">
        <v>2532</v>
      </c>
      <c r="Q712" s="56" t="s">
        <v>11</v>
      </c>
      <c r="U712" s="52">
        <v>1940478</v>
      </c>
      <c r="V712">
        <v>22.23</v>
      </c>
      <c r="W712">
        <v>0</v>
      </c>
      <c r="X712">
        <v>2</v>
      </c>
      <c r="Y712">
        <v>0.90500000000000003</v>
      </c>
      <c r="Z712" t="s">
        <v>1924</v>
      </c>
      <c r="AA712" t="s">
        <v>963</v>
      </c>
      <c r="AB712" t="s">
        <v>2520</v>
      </c>
      <c r="AC712" t="s">
        <v>642</v>
      </c>
      <c r="AD712" t="s">
        <v>2171</v>
      </c>
      <c r="AE712" t="s">
        <v>644</v>
      </c>
      <c r="AF712">
        <v>0.90255517870000013</v>
      </c>
    </row>
    <row r="713" spans="1:32" x14ac:dyDescent="0.25">
      <c r="A713" s="56">
        <v>3770398</v>
      </c>
      <c r="B713" s="56" t="s">
        <v>2357</v>
      </c>
      <c r="C713" s="56" t="s">
        <v>4160</v>
      </c>
      <c r="D713" s="57">
        <v>201.85900000000001</v>
      </c>
      <c r="E713" s="58">
        <v>1850</v>
      </c>
      <c r="F713" s="57">
        <v>1.85</v>
      </c>
      <c r="G713" s="56" t="s">
        <v>392</v>
      </c>
      <c r="H713" s="56" t="s">
        <v>2511</v>
      </c>
      <c r="I713" s="56" t="s">
        <v>362</v>
      </c>
      <c r="J713" s="56" t="s">
        <v>2806</v>
      </c>
      <c r="K713" s="57">
        <v>1201.0650000000001</v>
      </c>
      <c r="L713" s="56" t="s">
        <v>1914</v>
      </c>
      <c r="M713" s="56" t="s">
        <v>1123</v>
      </c>
      <c r="N713" s="56" t="s">
        <v>30</v>
      </c>
      <c r="O713" s="58">
        <v>54</v>
      </c>
      <c r="P713" s="59" t="s">
        <v>2532</v>
      </c>
      <c r="Q713" s="56" t="s">
        <v>11</v>
      </c>
      <c r="U713">
        <v>1940479</v>
      </c>
      <c r="V713">
        <v>22.23</v>
      </c>
      <c r="W713">
        <v>0</v>
      </c>
      <c r="X713">
        <v>2</v>
      </c>
      <c r="Y713">
        <v>0.93</v>
      </c>
      <c r="Z713" t="s">
        <v>1924</v>
      </c>
      <c r="AA713" t="s">
        <v>963</v>
      </c>
      <c r="AB713" t="s">
        <v>2520</v>
      </c>
      <c r="AC713" t="s">
        <v>642</v>
      </c>
      <c r="AD713" t="s">
        <v>2171</v>
      </c>
      <c r="AE713" t="s">
        <v>699</v>
      </c>
      <c r="AF713">
        <v>0.92748764220000013</v>
      </c>
    </row>
    <row r="714" spans="1:32" x14ac:dyDescent="0.25">
      <c r="A714" s="56">
        <v>3770398</v>
      </c>
      <c r="B714" s="56" t="s">
        <v>2357</v>
      </c>
      <c r="C714" s="56" t="s">
        <v>4161</v>
      </c>
      <c r="D714" s="57">
        <v>196.84</v>
      </c>
      <c r="E714" s="58">
        <v>1804</v>
      </c>
      <c r="F714" s="57">
        <v>1.804</v>
      </c>
      <c r="G714" s="56" t="s">
        <v>392</v>
      </c>
      <c r="H714" s="56" t="s">
        <v>2511</v>
      </c>
      <c r="I714" s="56" t="s">
        <v>362</v>
      </c>
      <c r="J714" s="56" t="s">
        <v>4162</v>
      </c>
      <c r="K714" s="57">
        <v>1171.2</v>
      </c>
      <c r="L714" s="56" t="s">
        <v>1914</v>
      </c>
      <c r="M714" s="56" t="s">
        <v>1123</v>
      </c>
      <c r="N714" s="56" t="s">
        <v>30</v>
      </c>
      <c r="O714" s="58">
        <v>54</v>
      </c>
      <c r="P714" s="59" t="s">
        <v>2532</v>
      </c>
      <c r="Q714" s="56" t="s">
        <v>11</v>
      </c>
      <c r="U714">
        <v>4184749</v>
      </c>
      <c r="V714">
        <v>22.23</v>
      </c>
      <c r="W714">
        <v>0</v>
      </c>
      <c r="X714">
        <v>2</v>
      </c>
      <c r="Y714">
        <v>0.93400000000000005</v>
      </c>
      <c r="Z714" t="s">
        <v>206</v>
      </c>
      <c r="AA714" t="s">
        <v>1003</v>
      </c>
      <c r="AB714" t="s">
        <v>2520</v>
      </c>
      <c r="AC714" t="s">
        <v>642</v>
      </c>
      <c r="AD714" t="s">
        <v>2171</v>
      </c>
      <c r="AE714" t="s">
        <v>2235</v>
      </c>
      <c r="AF714">
        <v>0.93147683636000012</v>
      </c>
    </row>
    <row r="715" spans="1:32" x14ac:dyDescent="0.25">
      <c r="A715" s="56">
        <v>3770398</v>
      </c>
      <c r="B715" s="56" t="s">
        <v>2357</v>
      </c>
      <c r="C715" s="56" t="s">
        <v>4163</v>
      </c>
      <c r="D715" s="57">
        <v>163.88800000000001</v>
      </c>
      <c r="E715" s="58">
        <v>1502</v>
      </c>
      <c r="F715" s="57">
        <v>1.502</v>
      </c>
      <c r="G715" s="56" t="s">
        <v>392</v>
      </c>
      <c r="H715" s="56" t="s">
        <v>2511</v>
      </c>
      <c r="I715" s="56" t="s">
        <v>362</v>
      </c>
      <c r="J715" s="56" t="s">
        <v>4164</v>
      </c>
      <c r="K715" s="57">
        <v>975.13499999999999</v>
      </c>
      <c r="L715" s="56" t="s">
        <v>1914</v>
      </c>
      <c r="M715" s="56" t="s">
        <v>1123</v>
      </c>
      <c r="N715" s="56" t="s">
        <v>30</v>
      </c>
      <c r="O715" s="58">
        <v>54</v>
      </c>
      <c r="P715" s="59" t="s">
        <v>2532</v>
      </c>
      <c r="Q715" s="56" t="s">
        <v>11</v>
      </c>
      <c r="U715">
        <v>4124433</v>
      </c>
      <c r="V715">
        <v>22.23</v>
      </c>
      <c r="W715">
        <v>0</v>
      </c>
      <c r="X715">
        <v>2</v>
      </c>
      <c r="Y715">
        <v>0.93500000000000005</v>
      </c>
      <c r="Z715" t="s">
        <v>1924</v>
      </c>
      <c r="AA715" t="s">
        <v>1003</v>
      </c>
      <c r="AB715" t="s">
        <v>2520</v>
      </c>
      <c r="AC715" t="s">
        <v>642</v>
      </c>
      <c r="AD715" t="s">
        <v>2171</v>
      </c>
      <c r="AE715" t="s">
        <v>4156</v>
      </c>
      <c r="AF715">
        <v>0.93247413490000008</v>
      </c>
    </row>
    <row r="716" spans="1:32" x14ac:dyDescent="0.25">
      <c r="A716" s="56">
        <v>3770398</v>
      </c>
      <c r="B716" s="56" t="s">
        <v>2357</v>
      </c>
      <c r="C716" s="56" t="s">
        <v>4165</v>
      </c>
      <c r="D716" s="57">
        <v>78.888999999999996</v>
      </c>
      <c r="E716" s="58">
        <v>723</v>
      </c>
      <c r="F716" s="57">
        <v>0.72299999999999998</v>
      </c>
      <c r="G716" s="56" t="s">
        <v>392</v>
      </c>
      <c r="H716" s="56" t="s">
        <v>2511</v>
      </c>
      <c r="I716" s="56" t="s">
        <v>362</v>
      </c>
      <c r="J716" s="56" t="s">
        <v>3336</v>
      </c>
      <c r="K716" s="57">
        <v>469.38900000000001</v>
      </c>
      <c r="L716" s="56" t="s">
        <v>1914</v>
      </c>
      <c r="M716" s="56" t="s">
        <v>1123</v>
      </c>
      <c r="N716" s="56" t="s">
        <v>30</v>
      </c>
      <c r="O716" s="58">
        <v>53</v>
      </c>
      <c r="P716" s="59" t="s">
        <v>2532</v>
      </c>
      <c r="Q716" s="56" t="s">
        <v>11</v>
      </c>
      <c r="U716" s="52">
        <v>1940481</v>
      </c>
      <c r="V716">
        <v>22.23</v>
      </c>
      <c r="W716">
        <v>0</v>
      </c>
      <c r="X716">
        <v>2</v>
      </c>
      <c r="Y716">
        <v>1.012</v>
      </c>
      <c r="Z716" t="s">
        <v>1891</v>
      </c>
      <c r="AA716" t="s">
        <v>963</v>
      </c>
      <c r="AB716" t="s">
        <v>2520</v>
      </c>
      <c r="AC716" t="s">
        <v>633</v>
      </c>
      <c r="AD716" t="s">
        <v>2171</v>
      </c>
      <c r="AE716" t="s">
        <v>4159</v>
      </c>
      <c r="AF716">
        <v>1.0092661224800001</v>
      </c>
    </row>
    <row r="717" spans="1:32" x14ac:dyDescent="0.25">
      <c r="A717" s="56">
        <v>3770398</v>
      </c>
      <c r="B717" s="56" t="s">
        <v>2357</v>
      </c>
      <c r="C717" s="56" t="s">
        <v>4166</v>
      </c>
      <c r="D717" s="57">
        <v>91.873000000000005</v>
      </c>
      <c r="E717" s="58">
        <v>842</v>
      </c>
      <c r="F717" s="57">
        <v>0.84199999999999997</v>
      </c>
      <c r="G717" s="56" t="s">
        <v>392</v>
      </c>
      <c r="H717" s="56" t="s">
        <v>2511</v>
      </c>
      <c r="I717" s="56" t="s">
        <v>362</v>
      </c>
      <c r="J717" s="56" t="s">
        <v>4167</v>
      </c>
      <c r="K717" s="57">
        <v>546.64700000000005</v>
      </c>
      <c r="L717" s="56" t="s">
        <v>1914</v>
      </c>
      <c r="M717" s="56" t="s">
        <v>1123</v>
      </c>
      <c r="N717" s="56" t="s">
        <v>30</v>
      </c>
      <c r="O717" s="58">
        <v>53</v>
      </c>
      <c r="P717" s="59" t="s">
        <v>2532</v>
      </c>
      <c r="Q717" s="56" t="s">
        <v>11</v>
      </c>
      <c r="U717" s="52">
        <v>2420106</v>
      </c>
      <c r="V717">
        <v>22.23</v>
      </c>
      <c r="W717">
        <v>0</v>
      </c>
      <c r="X717">
        <v>2</v>
      </c>
      <c r="Y717">
        <v>1.325</v>
      </c>
      <c r="Z717" t="s">
        <v>1868</v>
      </c>
      <c r="AA717" t="s">
        <v>963</v>
      </c>
      <c r="AB717" t="s">
        <v>2520</v>
      </c>
      <c r="AC717" t="s">
        <v>633</v>
      </c>
      <c r="AD717" t="s">
        <v>2171</v>
      </c>
      <c r="AE717" t="s">
        <v>776</v>
      </c>
      <c r="AF717">
        <v>1.3214205655</v>
      </c>
    </row>
    <row r="718" spans="1:32" x14ac:dyDescent="0.25">
      <c r="A718" s="56">
        <v>3770398</v>
      </c>
      <c r="B718" s="56" t="s">
        <v>2357</v>
      </c>
      <c r="C718" s="56" t="s">
        <v>4168</v>
      </c>
      <c r="D718" s="57">
        <v>167.816</v>
      </c>
      <c r="E718" s="58">
        <v>1538</v>
      </c>
      <c r="F718" s="57">
        <v>1.538</v>
      </c>
      <c r="G718" s="56" t="s">
        <v>392</v>
      </c>
      <c r="H718" s="56" t="s">
        <v>2511</v>
      </c>
      <c r="I718" s="56" t="s">
        <v>362</v>
      </c>
      <c r="J718" s="56" t="s">
        <v>4153</v>
      </c>
      <c r="K718" s="57">
        <v>998.50699999999995</v>
      </c>
      <c r="L718" s="56" t="s">
        <v>1914</v>
      </c>
      <c r="M718" s="56" t="s">
        <v>1123</v>
      </c>
      <c r="N718" s="56" t="s">
        <v>30</v>
      </c>
      <c r="O718" s="58">
        <v>53</v>
      </c>
      <c r="P718" s="59" t="s">
        <v>2532</v>
      </c>
      <c r="Q718" s="56" t="s">
        <v>11</v>
      </c>
      <c r="U718" s="52">
        <v>1940490</v>
      </c>
      <c r="V718">
        <v>22.23</v>
      </c>
      <c r="W718">
        <v>0</v>
      </c>
      <c r="X718">
        <v>2</v>
      </c>
      <c r="Y718">
        <v>1.385</v>
      </c>
      <c r="Z718" t="s">
        <v>1891</v>
      </c>
      <c r="AA718" t="s">
        <v>963</v>
      </c>
      <c r="AB718" t="s">
        <v>2520</v>
      </c>
      <c r="AC718" t="s">
        <v>633</v>
      </c>
      <c r="AD718" t="s">
        <v>2171</v>
      </c>
      <c r="AE718" t="s">
        <v>3939</v>
      </c>
      <c r="AF718">
        <v>1.3812584779000001</v>
      </c>
    </row>
    <row r="719" spans="1:32" x14ac:dyDescent="0.25">
      <c r="A719" s="56">
        <v>3770398</v>
      </c>
      <c r="B719" s="56" t="s">
        <v>2357</v>
      </c>
      <c r="C719" s="56" t="s">
        <v>4169</v>
      </c>
      <c r="D719" s="57">
        <v>155.923</v>
      </c>
      <c r="E719" s="58">
        <v>1429</v>
      </c>
      <c r="F719" s="57">
        <v>1.429</v>
      </c>
      <c r="G719" s="56" t="s">
        <v>392</v>
      </c>
      <c r="H719" s="56" t="s">
        <v>2511</v>
      </c>
      <c r="I719" s="56" t="s">
        <v>362</v>
      </c>
      <c r="J719" s="56" t="s">
        <v>4170</v>
      </c>
      <c r="K719" s="57">
        <v>927.74099999999999</v>
      </c>
      <c r="L719" s="56" t="s">
        <v>1914</v>
      </c>
      <c r="M719" s="56" t="s">
        <v>1123</v>
      </c>
      <c r="N719" s="56" t="s">
        <v>30</v>
      </c>
      <c r="O719" s="58">
        <v>48</v>
      </c>
      <c r="P719" s="59" t="s">
        <v>2532</v>
      </c>
      <c r="Q719" s="56" t="s">
        <v>11</v>
      </c>
      <c r="U719" s="52">
        <v>1940489</v>
      </c>
      <c r="V719">
        <v>22.23</v>
      </c>
      <c r="W719">
        <v>0</v>
      </c>
      <c r="X719">
        <v>2</v>
      </c>
      <c r="Y719">
        <v>1.385</v>
      </c>
      <c r="Z719" t="s">
        <v>1924</v>
      </c>
      <c r="AA719" t="s">
        <v>963</v>
      </c>
      <c r="AB719" t="s">
        <v>2520</v>
      </c>
      <c r="AC719" t="s">
        <v>642</v>
      </c>
      <c r="AD719" t="s">
        <v>2171</v>
      </c>
      <c r="AE719" t="s">
        <v>778</v>
      </c>
      <c r="AF719">
        <v>1.3812584779000001</v>
      </c>
    </row>
    <row r="720" spans="1:32" x14ac:dyDescent="0.25">
      <c r="A720" s="56">
        <v>3770398</v>
      </c>
      <c r="B720" s="56" t="s">
        <v>2357</v>
      </c>
      <c r="C720" s="56" t="s">
        <v>4171</v>
      </c>
      <c r="D720" s="57">
        <v>159.851</v>
      </c>
      <c r="E720" s="58">
        <v>1465</v>
      </c>
      <c r="F720" s="57">
        <v>1.4650000000000001</v>
      </c>
      <c r="G720" s="56" t="s">
        <v>392</v>
      </c>
      <c r="H720" s="56" t="s">
        <v>2511</v>
      </c>
      <c r="I720" s="56" t="s">
        <v>362</v>
      </c>
      <c r="J720" s="56" t="s">
        <v>3862</v>
      </c>
      <c r="K720" s="57">
        <v>951.11300000000006</v>
      </c>
      <c r="L720" s="56" t="s">
        <v>1914</v>
      </c>
      <c r="M720" s="56" t="s">
        <v>1123</v>
      </c>
      <c r="N720" s="56" t="s">
        <v>30</v>
      </c>
      <c r="O720" s="58">
        <v>37</v>
      </c>
      <c r="P720" s="59" t="s">
        <v>2532</v>
      </c>
      <c r="Q720" s="56" t="s">
        <v>11</v>
      </c>
      <c r="U720" s="52">
        <v>2349840</v>
      </c>
      <c r="V720">
        <v>22.23</v>
      </c>
      <c r="W720">
        <v>0</v>
      </c>
      <c r="X720">
        <v>2</v>
      </c>
      <c r="Y720">
        <v>5.0999999999999996</v>
      </c>
      <c r="Z720" t="s">
        <v>1868</v>
      </c>
      <c r="AA720" t="s">
        <v>1914</v>
      </c>
      <c r="AB720" t="s">
        <v>2520</v>
      </c>
      <c r="AC720" t="s">
        <v>3361</v>
      </c>
      <c r="AD720" t="s">
        <v>1838</v>
      </c>
      <c r="AE720" t="s">
        <v>3362</v>
      </c>
      <c r="AF720">
        <v>0.99729854000000007</v>
      </c>
    </row>
    <row r="721" spans="1:32" x14ac:dyDescent="0.25">
      <c r="A721" s="56">
        <v>3770398</v>
      </c>
      <c r="B721" s="56" t="s">
        <v>2357</v>
      </c>
      <c r="C721" s="56" t="s">
        <v>4172</v>
      </c>
      <c r="D721" s="57">
        <v>149.92099999999999</v>
      </c>
      <c r="E721" s="58">
        <v>1374</v>
      </c>
      <c r="F721" s="57">
        <v>1.3740000000000001</v>
      </c>
      <c r="G721" s="56" t="s">
        <v>392</v>
      </c>
      <c r="H721" s="56" t="s">
        <v>2511</v>
      </c>
      <c r="I721" s="56" t="s">
        <v>362</v>
      </c>
      <c r="J721" s="56" t="s">
        <v>3434</v>
      </c>
      <c r="K721" s="57">
        <v>892.03399999999999</v>
      </c>
      <c r="L721" s="56" t="s">
        <v>1914</v>
      </c>
      <c r="M721" s="56" t="s">
        <v>1123</v>
      </c>
      <c r="N721" s="56" t="s">
        <v>30</v>
      </c>
      <c r="O721" s="58">
        <v>28</v>
      </c>
      <c r="P721" s="59" t="s">
        <v>2515</v>
      </c>
      <c r="Q721" s="56" t="s">
        <v>11</v>
      </c>
      <c r="U721" s="52">
        <v>3557791</v>
      </c>
      <c r="V721">
        <v>22.23</v>
      </c>
      <c r="W721">
        <v>0</v>
      </c>
      <c r="X721">
        <v>2</v>
      </c>
      <c r="Y721">
        <v>5.37</v>
      </c>
      <c r="Z721" t="s">
        <v>1868</v>
      </c>
      <c r="AA721" t="s">
        <v>1003</v>
      </c>
      <c r="AB721" t="s">
        <v>2520</v>
      </c>
      <c r="AC721" t="s">
        <v>562</v>
      </c>
      <c r="AD721" t="s">
        <v>1838</v>
      </c>
      <c r="AE721" t="s">
        <v>2322</v>
      </c>
      <c r="AF721">
        <v>0.99729854000000007</v>
      </c>
    </row>
    <row r="722" spans="1:32" x14ac:dyDescent="0.25">
      <c r="A722" s="56">
        <v>3770398</v>
      </c>
      <c r="B722" s="56" t="s">
        <v>2357</v>
      </c>
      <c r="C722" s="56" t="s">
        <v>4173</v>
      </c>
      <c r="D722" s="57">
        <v>85.980999999999995</v>
      </c>
      <c r="E722" s="58">
        <v>788</v>
      </c>
      <c r="F722" s="57">
        <v>0.78800000000000003</v>
      </c>
      <c r="G722" s="56" t="s">
        <v>392</v>
      </c>
      <c r="H722" s="56" t="s">
        <v>2511</v>
      </c>
      <c r="I722" s="56" t="s">
        <v>362</v>
      </c>
      <c r="J722" s="56" t="s">
        <v>4174</v>
      </c>
      <c r="K722" s="57">
        <v>511.589</v>
      </c>
      <c r="L722" s="56" t="s">
        <v>1914</v>
      </c>
      <c r="M722" s="56" t="s">
        <v>1123</v>
      </c>
      <c r="N722" s="56" t="s">
        <v>30</v>
      </c>
      <c r="O722" s="58">
        <v>10</v>
      </c>
      <c r="P722" s="59" t="s">
        <v>2515</v>
      </c>
      <c r="Q722" s="56" t="s">
        <v>11</v>
      </c>
      <c r="U722">
        <v>3929574</v>
      </c>
      <c r="V722">
        <v>22.23</v>
      </c>
      <c r="W722">
        <v>0</v>
      </c>
      <c r="X722">
        <v>2</v>
      </c>
      <c r="Y722">
        <v>5.375</v>
      </c>
      <c r="Z722" t="s">
        <v>1891</v>
      </c>
      <c r="AA722" t="s">
        <v>963</v>
      </c>
      <c r="AB722" t="s">
        <v>2520</v>
      </c>
      <c r="AC722" t="s">
        <v>633</v>
      </c>
      <c r="AD722" t="s">
        <v>1838</v>
      </c>
      <c r="AE722" t="s">
        <v>782</v>
      </c>
      <c r="AF722">
        <v>0.99729854000000007</v>
      </c>
    </row>
    <row r="723" spans="1:32" x14ac:dyDescent="0.25">
      <c r="A723" s="56">
        <v>3775569</v>
      </c>
      <c r="B723" s="56" t="s">
        <v>595</v>
      </c>
      <c r="C723" s="56" t="s">
        <v>4175</v>
      </c>
      <c r="D723" s="57">
        <v>203.857</v>
      </c>
      <c r="E723" s="58">
        <v>1596</v>
      </c>
      <c r="F723" s="57">
        <v>1.5960000000000001</v>
      </c>
      <c r="G723" s="56" t="s">
        <v>392</v>
      </c>
      <c r="H723" s="56" t="s">
        <v>2511</v>
      </c>
      <c r="I723" s="56" t="s">
        <v>362</v>
      </c>
      <c r="J723" s="56" t="s">
        <v>4176</v>
      </c>
      <c r="K723" s="57">
        <v>1263.8579999999999</v>
      </c>
      <c r="L723" s="56" t="s">
        <v>1914</v>
      </c>
      <c r="M723" s="56" t="s">
        <v>1123</v>
      </c>
      <c r="N723" s="56" t="s">
        <v>48</v>
      </c>
      <c r="O723" s="58">
        <v>50</v>
      </c>
      <c r="P723" s="59" t="s">
        <v>2532</v>
      </c>
      <c r="Q723" s="56" t="s">
        <v>11</v>
      </c>
      <c r="U723" s="538">
        <v>110102621</v>
      </c>
      <c r="V723">
        <v>22.23</v>
      </c>
      <c r="W723">
        <v>0</v>
      </c>
      <c r="X723">
        <v>2</v>
      </c>
      <c r="Y723">
        <v>5.375</v>
      </c>
      <c r="Z723" t="s">
        <v>1891</v>
      </c>
      <c r="AA723" t="s">
        <v>963</v>
      </c>
      <c r="AB723" t="s">
        <v>2520</v>
      </c>
      <c r="AC723" t="s">
        <v>633</v>
      </c>
      <c r="AD723" t="s">
        <v>1838</v>
      </c>
      <c r="AE723" t="s">
        <v>782</v>
      </c>
      <c r="AF723">
        <v>0.99729854000000007</v>
      </c>
    </row>
    <row r="724" spans="1:32" x14ac:dyDescent="0.25">
      <c r="A724" s="56">
        <v>3775569</v>
      </c>
      <c r="B724" s="56" t="s">
        <v>595</v>
      </c>
      <c r="C724" s="56" t="s">
        <v>4177</v>
      </c>
      <c r="D724" s="57">
        <v>181.88800000000001</v>
      </c>
      <c r="E724" s="58">
        <v>1424</v>
      </c>
      <c r="F724" s="57">
        <v>1.4239999999999999</v>
      </c>
      <c r="G724" s="56" t="s">
        <v>392</v>
      </c>
      <c r="H724" s="56" t="s">
        <v>2511</v>
      </c>
      <c r="I724" s="56" t="s">
        <v>362</v>
      </c>
      <c r="J724" s="56" t="s">
        <v>4178</v>
      </c>
      <c r="K724" s="57">
        <v>1127.653</v>
      </c>
      <c r="L724" s="56" t="s">
        <v>1914</v>
      </c>
      <c r="M724" s="56" t="s">
        <v>1123</v>
      </c>
      <c r="N724" s="56" t="s">
        <v>48</v>
      </c>
      <c r="O724" s="58">
        <v>41</v>
      </c>
      <c r="P724" s="59" t="s">
        <v>2532</v>
      </c>
      <c r="Q724" s="56" t="s">
        <v>11</v>
      </c>
      <c r="U724" s="52">
        <v>2431251</v>
      </c>
      <c r="V724">
        <v>22.23</v>
      </c>
      <c r="W724">
        <v>0</v>
      </c>
      <c r="X724">
        <v>2</v>
      </c>
      <c r="Y724">
        <v>5.4</v>
      </c>
      <c r="Z724" t="s">
        <v>1881</v>
      </c>
      <c r="AA724" t="s">
        <v>963</v>
      </c>
      <c r="AB724" t="s">
        <v>2520</v>
      </c>
      <c r="AC724" t="s">
        <v>633</v>
      </c>
      <c r="AD724" t="s">
        <v>1838</v>
      </c>
      <c r="AE724" t="s">
        <v>782</v>
      </c>
      <c r="AF724">
        <v>0.99729854000000007</v>
      </c>
    </row>
    <row r="725" spans="1:32" x14ac:dyDescent="0.25">
      <c r="A725" s="56">
        <v>3775569</v>
      </c>
      <c r="B725" s="56" t="s">
        <v>595</v>
      </c>
      <c r="C725" s="56" t="s">
        <v>4179</v>
      </c>
      <c r="D725" s="57">
        <v>192.87299999999999</v>
      </c>
      <c r="E725" s="58">
        <v>1510</v>
      </c>
      <c r="F725" s="57">
        <v>1.51</v>
      </c>
      <c r="G725" s="56" t="s">
        <v>392</v>
      </c>
      <c r="H725" s="56" t="s">
        <v>2511</v>
      </c>
      <c r="I725" s="56" t="s">
        <v>362</v>
      </c>
      <c r="J725" s="56" t="s">
        <v>3137</v>
      </c>
      <c r="K725" s="57">
        <v>1195.7550000000001</v>
      </c>
      <c r="L725" s="56" t="s">
        <v>1914</v>
      </c>
      <c r="M725" s="56" t="s">
        <v>1123</v>
      </c>
      <c r="N725" s="56" t="s">
        <v>48</v>
      </c>
      <c r="O725" s="58">
        <v>50</v>
      </c>
      <c r="P725" s="59" t="s">
        <v>2532</v>
      </c>
      <c r="Q725" s="56" t="s">
        <v>11</v>
      </c>
      <c r="U725" s="52">
        <v>2426429</v>
      </c>
      <c r="V725">
        <v>22.23</v>
      </c>
      <c r="W725">
        <v>0</v>
      </c>
      <c r="X725">
        <v>2</v>
      </c>
      <c r="Y725">
        <v>5.51</v>
      </c>
      <c r="Z725" t="s">
        <v>1924</v>
      </c>
      <c r="AA725" t="s">
        <v>963</v>
      </c>
      <c r="AB725" t="s">
        <v>2520</v>
      </c>
      <c r="AC725" t="s">
        <v>642</v>
      </c>
      <c r="AD725" t="s">
        <v>1838</v>
      </c>
      <c r="AE725" t="s">
        <v>2330</v>
      </c>
      <c r="AF725">
        <v>0.99729854000000007</v>
      </c>
    </row>
    <row r="726" spans="1:32" x14ac:dyDescent="0.25">
      <c r="A726" s="56">
        <v>3775569</v>
      </c>
      <c r="B726" s="56" t="s">
        <v>595</v>
      </c>
      <c r="C726" s="56" t="s">
        <v>4180</v>
      </c>
      <c r="D726" s="57">
        <v>199.898</v>
      </c>
      <c r="E726" s="58">
        <v>1565</v>
      </c>
      <c r="F726" s="57">
        <v>1.5649999999999999</v>
      </c>
      <c r="G726" s="56" t="s">
        <v>392</v>
      </c>
      <c r="H726" s="56" t="s">
        <v>2511</v>
      </c>
      <c r="I726" s="56" t="s">
        <v>362</v>
      </c>
      <c r="J726" s="56" t="s">
        <v>3051</v>
      </c>
      <c r="K726" s="57">
        <v>1239.309</v>
      </c>
      <c r="L726" s="56" t="s">
        <v>1914</v>
      </c>
      <c r="M726" s="56" t="s">
        <v>1123</v>
      </c>
      <c r="N726" s="56" t="s">
        <v>48</v>
      </c>
      <c r="O726" s="58">
        <v>46</v>
      </c>
      <c r="P726" s="59" t="s">
        <v>2532</v>
      </c>
      <c r="Q726" s="56" t="s">
        <v>11</v>
      </c>
      <c r="U726" s="538">
        <v>110102614</v>
      </c>
      <c r="V726">
        <v>22.23</v>
      </c>
      <c r="W726">
        <v>0</v>
      </c>
      <c r="X726">
        <v>2</v>
      </c>
      <c r="Y726">
        <v>5.51</v>
      </c>
      <c r="Z726" t="s">
        <v>1924</v>
      </c>
      <c r="AA726" t="s">
        <v>963</v>
      </c>
      <c r="AB726" t="s">
        <v>2520</v>
      </c>
      <c r="AC726" t="s">
        <v>642</v>
      </c>
      <c r="AD726" t="s">
        <v>1838</v>
      </c>
      <c r="AE726" t="s">
        <v>2330</v>
      </c>
      <c r="AF726">
        <v>0.99729854000000007</v>
      </c>
    </row>
    <row r="727" spans="1:32" x14ac:dyDescent="0.25">
      <c r="A727" s="56">
        <v>3775569</v>
      </c>
      <c r="B727" s="56" t="s">
        <v>595</v>
      </c>
      <c r="C727" s="56" t="s">
        <v>4181</v>
      </c>
      <c r="D727" s="57">
        <v>192.87299999999999</v>
      </c>
      <c r="E727" s="58">
        <v>1510</v>
      </c>
      <c r="F727" s="57">
        <v>1.51</v>
      </c>
      <c r="G727" s="56" t="s">
        <v>392</v>
      </c>
      <c r="H727" s="56" t="s">
        <v>2511</v>
      </c>
      <c r="I727" s="56" t="s">
        <v>362</v>
      </c>
      <c r="J727" s="56" t="s">
        <v>3137</v>
      </c>
      <c r="K727" s="57">
        <v>1195.7550000000001</v>
      </c>
      <c r="L727" s="56" t="s">
        <v>1914</v>
      </c>
      <c r="M727" s="56" t="s">
        <v>1123</v>
      </c>
      <c r="N727" s="56" t="s">
        <v>48</v>
      </c>
      <c r="O727" s="58">
        <v>57</v>
      </c>
      <c r="P727" s="59" t="s">
        <v>2532</v>
      </c>
      <c r="Q727" s="56" t="s">
        <v>11</v>
      </c>
      <c r="U727" s="52">
        <v>3908348</v>
      </c>
      <c r="V727">
        <v>22.23</v>
      </c>
      <c r="W727">
        <v>0</v>
      </c>
      <c r="X727">
        <v>2</v>
      </c>
      <c r="Y727">
        <v>5.51</v>
      </c>
      <c r="Z727" t="s">
        <v>1924</v>
      </c>
      <c r="AA727" t="s">
        <v>963</v>
      </c>
      <c r="AB727" t="s">
        <v>2520</v>
      </c>
      <c r="AC727" t="s">
        <v>642</v>
      </c>
      <c r="AD727" t="s">
        <v>1838</v>
      </c>
      <c r="AE727" t="s">
        <v>2330</v>
      </c>
      <c r="AF727">
        <v>0.99729854000000007</v>
      </c>
    </row>
    <row r="728" spans="1:32" x14ac:dyDescent="0.25">
      <c r="A728" s="56">
        <v>3775569</v>
      </c>
      <c r="B728" s="56" t="s">
        <v>595</v>
      </c>
      <c r="C728" s="56" t="s">
        <v>4182</v>
      </c>
      <c r="D728" s="57">
        <v>179.84399999999999</v>
      </c>
      <c r="E728" s="58">
        <v>1408</v>
      </c>
      <c r="F728" s="57">
        <v>1.4079999999999999</v>
      </c>
      <c r="G728" s="56" t="s">
        <v>392</v>
      </c>
      <c r="H728" s="56" t="s">
        <v>2511</v>
      </c>
      <c r="I728" s="56" t="s">
        <v>362</v>
      </c>
      <c r="J728" s="56" t="s">
        <v>3868</v>
      </c>
      <c r="K728" s="57">
        <v>1114.9829999999999</v>
      </c>
      <c r="L728" s="56" t="s">
        <v>1914</v>
      </c>
      <c r="M728" s="56" t="s">
        <v>1123</v>
      </c>
      <c r="N728" s="56" t="s">
        <v>48</v>
      </c>
      <c r="O728" s="58">
        <v>50</v>
      </c>
      <c r="P728" s="59" t="s">
        <v>2532</v>
      </c>
      <c r="Q728" s="56" t="s">
        <v>11</v>
      </c>
      <c r="U728" s="538">
        <v>110102626</v>
      </c>
      <c r="V728">
        <v>22.23</v>
      </c>
      <c r="W728">
        <v>0</v>
      </c>
      <c r="X728">
        <v>2</v>
      </c>
      <c r="Y728">
        <v>5.61</v>
      </c>
      <c r="Z728" t="s">
        <v>1891</v>
      </c>
      <c r="AA728" t="s">
        <v>963</v>
      </c>
      <c r="AB728" t="s">
        <v>2520</v>
      </c>
      <c r="AC728" t="s">
        <v>633</v>
      </c>
      <c r="AD728" t="s">
        <v>1838</v>
      </c>
      <c r="AE728" t="s">
        <v>782</v>
      </c>
      <c r="AF728">
        <v>0.99729854000000007</v>
      </c>
    </row>
    <row r="729" spans="1:32" x14ac:dyDescent="0.25">
      <c r="A729" s="56">
        <v>3775569</v>
      </c>
      <c r="B729" s="56" t="s">
        <v>595</v>
      </c>
      <c r="C729" s="56" t="s">
        <v>4183</v>
      </c>
      <c r="D729" s="57">
        <v>185.84700000000001</v>
      </c>
      <c r="E729" s="58">
        <v>1455</v>
      </c>
      <c r="F729" s="57">
        <v>1.4550000000000001</v>
      </c>
      <c r="G729" s="56" t="s">
        <v>392</v>
      </c>
      <c r="H729" s="56" t="s">
        <v>2511</v>
      </c>
      <c r="I729" s="56" t="s">
        <v>362</v>
      </c>
      <c r="J729" s="56" t="s">
        <v>4142</v>
      </c>
      <c r="K729" s="57">
        <v>1152.201</v>
      </c>
      <c r="L729" s="56" t="s">
        <v>1914</v>
      </c>
      <c r="M729" s="56" t="s">
        <v>1123</v>
      </c>
      <c r="N729" s="56" t="s">
        <v>48</v>
      </c>
      <c r="O729" s="58">
        <v>50</v>
      </c>
      <c r="P729" s="59" t="s">
        <v>2532</v>
      </c>
      <c r="Q729" s="56" t="s">
        <v>11</v>
      </c>
      <c r="U729" s="52">
        <v>110102615</v>
      </c>
      <c r="V729">
        <v>22.23</v>
      </c>
      <c r="W729">
        <v>0</v>
      </c>
      <c r="X729">
        <v>2</v>
      </c>
      <c r="Y729">
        <v>5.66</v>
      </c>
      <c r="Z729" t="s">
        <v>1924</v>
      </c>
      <c r="AA729" t="s">
        <v>963</v>
      </c>
      <c r="AB729" t="s">
        <v>2520</v>
      </c>
      <c r="AC729" t="s">
        <v>633</v>
      </c>
      <c r="AD729" t="s">
        <v>1838</v>
      </c>
      <c r="AE729" t="s">
        <v>782</v>
      </c>
      <c r="AF729">
        <v>0.99729854000000007</v>
      </c>
    </row>
    <row r="730" spans="1:32" x14ac:dyDescent="0.25">
      <c r="A730" s="56">
        <v>3775569</v>
      </c>
      <c r="B730" s="56" t="s">
        <v>595</v>
      </c>
      <c r="C730" s="56" t="s">
        <v>4184</v>
      </c>
      <c r="D730" s="57">
        <v>203.857</v>
      </c>
      <c r="E730" s="58">
        <v>1596</v>
      </c>
      <c r="F730" s="57">
        <v>1.5960000000000001</v>
      </c>
      <c r="G730" s="56" t="s">
        <v>392</v>
      </c>
      <c r="H730" s="56" t="s">
        <v>2511</v>
      </c>
      <c r="I730" s="56" t="s">
        <v>362</v>
      </c>
      <c r="J730" s="56" t="s">
        <v>4176</v>
      </c>
      <c r="K730" s="57">
        <v>1263.8579999999999</v>
      </c>
      <c r="L730" s="56" t="s">
        <v>1914</v>
      </c>
      <c r="M730" s="56" t="s">
        <v>1123</v>
      </c>
      <c r="N730" s="56" t="s">
        <v>48</v>
      </c>
      <c r="O730" s="58">
        <v>50</v>
      </c>
      <c r="P730" s="59" t="s">
        <v>2532</v>
      </c>
      <c r="Q730" s="56" t="s">
        <v>11</v>
      </c>
      <c r="U730" s="52">
        <v>3586640</v>
      </c>
      <c r="V730">
        <v>22.23</v>
      </c>
      <c r="W730">
        <v>0</v>
      </c>
      <c r="X730">
        <v>2</v>
      </c>
      <c r="Y730">
        <v>5.75</v>
      </c>
      <c r="Z730" t="s">
        <v>1868</v>
      </c>
      <c r="AA730" t="s">
        <v>963</v>
      </c>
      <c r="AB730" t="s">
        <v>2520</v>
      </c>
      <c r="AC730" t="s">
        <v>633</v>
      </c>
      <c r="AD730" t="s">
        <v>1838</v>
      </c>
      <c r="AE730" t="s">
        <v>782</v>
      </c>
      <c r="AF730">
        <v>0.99729854000000007</v>
      </c>
    </row>
    <row r="731" spans="1:32" x14ac:dyDescent="0.25">
      <c r="A731" s="56">
        <v>3775569</v>
      </c>
      <c r="B731" s="56" t="s">
        <v>595</v>
      </c>
      <c r="C731" s="56" t="s">
        <v>4185</v>
      </c>
      <c r="D731" s="57">
        <v>203.857</v>
      </c>
      <c r="E731" s="58">
        <v>1596</v>
      </c>
      <c r="F731" s="57">
        <v>1.5960000000000001</v>
      </c>
      <c r="G731" s="56" t="s">
        <v>392</v>
      </c>
      <c r="H731" s="56" t="s">
        <v>2511</v>
      </c>
      <c r="I731" s="56" t="s">
        <v>362</v>
      </c>
      <c r="J731" s="56" t="s">
        <v>4176</v>
      </c>
      <c r="K731" s="57">
        <v>1263.8579999999999</v>
      </c>
      <c r="L731" s="56" t="s">
        <v>1914</v>
      </c>
      <c r="M731" s="56" t="s">
        <v>1123</v>
      </c>
      <c r="N731" s="56" t="s">
        <v>48</v>
      </c>
      <c r="O731" s="58">
        <v>50</v>
      </c>
      <c r="P731" s="59" t="s">
        <v>2532</v>
      </c>
      <c r="Q731" s="56" t="s">
        <v>11</v>
      </c>
      <c r="U731" s="538">
        <v>111106953</v>
      </c>
      <c r="V731">
        <v>22.23</v>
      </c>
      <c r="W731">
        <v>0</v>
      </c>
      <c r="X731">
        <v>2</v>
      </c>
      <c r="Y731">
        <v>5.75</v>
      </c>
      <c r="Z731" t="s">
        <v>1868</v>
      </c>
      <c r="AA731" t="s">
        <v>963</v>
      </c>
      <c r="AB731" t="s">
        <v>2520</v>
      </c>
      <c r="AC731" t="s">
        <v>633</v>
      </c>
      <c r="AD731" t="s">
        <v>1838</v>
      </c>
      <c r="AE731" t="s">
        <v>782</v>
      </c>
      <c r="AF731">
        <v>0.99729854000000007</v>
      </c>
    </row>
    <row r="732" spans="1:32" x14ac:dyDescent="0.25">
      <c r="A732" s="56">
        <v>3775569</v>
      </c>
      <c r="B732" s="56" t="s">
        <v>595</v>
      </c>
      <c r="C732" s="56" t="s">
        <v>4186</v>
      </c>
      <c r="D732" s="57">
        <v>203.857</v>
      </c>
      <c r="E732" s="58">
        <v>1596</v>
      </c>
      <c r="F732" s="57">
        <v>1.5960000000000001</v>
      </c>
      <c r="G732" s="56" t="s">
        <v>392</v>
      </c>
      <c r="H732" s="56" t="s">
        <v>2511</v>
      </c>
      <c r="I732" s="56" t="s">
        <v>362</v>
      </c>
      <c r="J732" s="56" t="s">
        <v>4176</v>
      </c>
      <c r="K732" s="57">
        <v>1263.8579999999999</v>
      </c>
      <c r="L732" s="56" t="s">
        <v>1914</v>
      </c>
      <c r="M732" s="56" t="s">
        <v>1123</v>
      </c>
      <c r="N732" s="56" t="s">
        <v>48</v>
      </c>
      <c r="O732" s="58">
        <v>50</v>
      </c>
      <c r="P732" s="59" t="s">
        <v>2532</v>
      </c>
      <c r="Q732" s="56" t="s">
        <v>11</v>
      </c>
      <c r="U732" s="538">
        <v>111002027</v>
      </c>
      <c r="V732">
        <v>22.23</v>
      </c>
      <c r="W732">
        <v>0</v>
      </c>
      <c r="X732">
        <v>2</v>
      </c>
      <c r="Y732">
        <v>5.79</v>
      </c>
      <c r="Z732" t="s">
        <v>1891</v>
      </c>
      <c r="AA732" t="s">
        <v>963</v>
      </c>
      <c r="AB732" t="s">
        <v>2520</v>
      </c>
      <c r="AC732" t="s">
        <v>633</v>
      </c>
      <c r="AD732" t="s">
        <v>1838</v>
      </c>
      <c r="AE732" t="s">
        <v>782</v>
      </c>
      <c r="AF732">
        <v>0.99729854000000007</v>
      </c>
    </row>
    <row r="733" spans="1:32" x14ac:dyDescent="0.25">
      <c r="A733" s="56">
        <v>3777563</v>
      </c>
      <c r="B733" s="56" t="s">
        <v>2391</v>
      </c>
      <c r="C733" s="56" t="s">
        <v>4187</v>
      </c>
      <c r="D733" s="57">
        <v>68.034000000000006</v>
      </c>
      <c r="E733" s="58">
        <v>1463</v>
      </c>
      <c r="F733" s="57">
        <v>1.4630000000000001</v>
      </c>
      <c r="G733" s="56" t="s">
        <v>392</v>
      </c>
      <c r="H733" s="56" t="s">
        <v>2511</v>
      </c>
      <c r="I733" s="56" t="s">
        <v>362</v>
      </c>
      <c r="J733" s="56" t="s">
        <v>3964</v>
      </c>
      <c r="K733" s="57">
        <v>393.91500000000002</v>
      </c>
      <c r="L733" s="56" t="s">
        <v>1914</v>
      </c>
      <c r="M733" s="56" t="s">
        <v>1123</v>
      </c>
      <c r="N733" s="56" t="s">
        <v>151</v>
      </c>
      <c r="O733" s="58">
        <v>74</v>
      </c>
      <c r="P733" s="59" t="s">
        <v>2579</v>
      </c>
      <c r="Q733" s="56" t="s">
        <v>11</v>
      </c>
      <c r="U733" s="52">
        <v>3586641</v>
      </c>
      <c r="V733">
        <v>22.23</v>
      </c>
      <c r="W733">
        <v>0</v>
      </c>
      <c r="X733">
        <v>2</v>
      </c>
      <c r="Y733">
        <v>5.8</v>
      </c>
      <c r="Z733" t="s">
        <v>1924</v>
      </c>
      <c r="AA733" t="s">
        <v>963</v>
      </c>
      <c r="AB733" t="s">
        <v>2520</v>
      </c>
      <c r="AC733" t="s">
        <v>642</v>
      </c>
      <c r="AD733" t="s">
        <v>1838</v>
      </c>
      <c r="AE733" t="s">
        <v>2330</v>
      </c>
      <c r="AF733">
        <v>0.99729854000000007</v>
      </c>
    </row>
    <row r="734" spans="1:32" x14ac:dyDescent="0.25">
      <c r="A734" s="56">
        <v>3777563</v>
      </c>
      <c r="B734" s="56" t="s">
        <v>2391</v>
      </c>
      <c r="C734" s="56" t="s">
        <v>4188</v>
      </c>
      <c r="D734" s="57">
        <v>52.826999999999998</v>
      </c>
      <c r="E734" s="58">
        <v>1136</v>
      </c>
      <c r="F734" s="57">
        <v>1.1359999999999999</v>
      </c>
      <c r="G734" s="56" t="s">
        <v>392</v>
      </c>
      <c r="H734" s="56" t="s">
        <v>2511</v>
      </c>
      <c r="I734" s="56" t="s">
        <v>362</v>
      </c>
      <c r="J734" s="56" t="s">
        <v>4076</v>
      </c>
      <c r="K734" s="57">
        <v>305.87</v>
      </c>
      <c r="L734" s="56" t="s">
        <v>1914</v>
      </c>
      <c r="M734" s="56" t="s">
        <v>1123</v>
      </c>
      <c r="N734" s="56" t="s">
        <v>151</v>
      </c>
      <c r="O734" s="58">
        <v>13</v>
      </c>
      <c r="P734" s="59" t="s">
        <v>2515</v>
      </c>
      <c r="Q734" s="56" t="s">
        <v>11</v>
      </c>
      <c r="U734" s="538">
        <v>110102570</v>
      </c>
      <c r="V734">
        <v>22.23</v>
      </c>
      <c r="W734">
        <v>0</v>
      </c>
      <c r="X734">
        <v>2</v>
      </c>
      <c r="Y734">
        <v>5.8250000000000002</v>
      </c>
      <c r="Z734" t="s">
        <v>1891</v>
      </c>
      <c r="AA734" t="s">
        <v>963</v>
      </c>
      <c r="AB734" t="s">
        <v>2520</v>
      </c>
      <c r="AC734" t="s">
        <v>562</v>
      </c>
      <c r="AD734" t="s">
        <v>1838</v>
      </c>
      <c r="AE734" t="s">
        <v>2322</v>
      </c>
      <c r="AF734">
        <v>0.99729854000000007</v>
      </c>
    </row>
    <row r="735" spans="1:32" x14ac:dyDescent="0.25">
      <c r="A735" s="56">
        <v>3777563</v>
      </c>
      <c r="B735" s="56" t="s">
        <v>2391</v>
      </c>
      <c r="C735" s="56" t="s">
        <v>4189</v>
      </c>
      <c r="D735" s="57">
        <v>76.962000000000003</v>
      </c>
      <c r="E735" s="58">
        <v>1655</v>
      </c>
      <c r="F735" s="57">
        <v>1.655</v>
      </c>
      <c r="G735" s="56" t="s">
        <v>392</v>
      </c>
      <c r="H735" s="56" t="s">
        <v>2511</v>
      </c>
      <c r="I735" s="56" t="s">
        <v>362</v>
      </c>
      <c r="J735" s="56" t="s">
        <v>4134</v>
      </c>
      <c r="K735" s="57">
        <v>445.61099999999999</v>
      </c>
      <c r="L735" s="56" t="s">
        <v>1914</v>
      </c>
      <c r="M735" s="56" t="s">
        <v>1123</v>
      </c>
      <c r="N735" s="56" t="s">
        <v>151</v>
      </c>
      <c r="O735" s="58">
        <v>14</v>
      </c>
      <c r="P735" s="59" t="s">
        <v>2515</v>
      </c>
      <c r="Q735" s="56" t="s">
        <v>11</v>
      </c>
      <c r="U735" s="52">
        <v>3575899</v>
      </c>
      <c r="V735">
        <v>22.23</v>
      </c>
      <c r="W735">
        <v>0</v>
      </c>
      <c r="X735">
        <v>2</v>
      </c>
      <c r="Y735">
        <v>5.85</v>
      </c>
      <c r="Z735" t="s">
        <v>1868</v>
      </c>
      <c r="AA735" t="s">
        <v>963</v>
      </c>
      <c r="AB735" t="s">
        <v>2520</v>
      </c>
      <c r="AC735" t="s">
        <v>633</v>
      </c>
      <c r="AD735" t="s">
        <v>1838</v>
      </c>
      <c r="AE735" t="s">
        <v>782</v>
      </c>
      <c r="AF735">
        <v>0.99729854000000007</v>
      </c>
    </row>
    <row r="736" spans="1:32" x14ac:dyDescent="0.25">
      <c r="A736" s="56">
        <v>3777563</v>
      </c>
      <c r="B736" s="56" t="s">
        <v>2391</v>
      </c>
      <c r="C736" s="56" t="s">
        <v>4190</v>
      </c>
      <c r="D736" s="57">
        <v>35.993000000000002</v>
      </c>
      <c r="E736" s="58">
        <v>774</v>
      </c>
      <c r="F736" s="57">
        <v>0.77400000000000002</v>
      </c>
      <c r="G736" s="56" t="s">
        <v>392</v>
      </c>
      <c r="H736" s="56" t="s">
        <v>2511</v>
      </c>
      <c r="I736" s="56" t="s">
        <v>362</v>
      </c>
      <c r="J736" s="56" t="s">
        <v>4191</v>
      </c>
      <c r="K736" s="57">
        <v>208.40100000000001</v>
      </c>
      <c r="L736" s="56" t="s">
        <v>1914</v>
      </c>
      <c r="M736" s="56" t="s">
        <v>1123</v>
      </c>
      <c r="N736" s="56" t="s">
        <v>151</v>
      </c>
      <c r="O736" s="58">
        <v>11</v>
      </c>
      <c r="P736" s="59" t="s">
        <v>2515</v>
      </c>
      <c r="Q736" s="56" t="s">
        <v>11</v>
      </c>
      <c r="U736" s="52">
        <v>1940493</v>
      </c>
      <c r="V736">
        <v>22.23</v>
      </c>
      <c r="W736">
        <v>0</v>
      </c>
      <c r="X736">
        <v>2</v>
      </c>
      <c r="Y736">
        <v>6</v>
      </c>
      <c r="Z736" t="s">
        <v>1881</v>
      </c>
      <c r="AA736" t="s">
        <v>963</v>
      </c>
      <c r="AB736" t="s">
        <v>2520</v>
      </c>
      <c r="AC736" t="s">
        <v>633</v>
      </c>
      <c r="AD736" t="s">
        <v>1838</v>
      </c>
      <c r="AE736" t="s">
        <v>782</v>
      </c>
      <c r="AF736">
        <v>0.99729854000000007</v>
      </c>
    </row>
    <row r="737" spans="1:32" x14ac:dyDescent="0.25">
      <c r="A737" s="56">
        <v>3777563</v>
      </c>
      <c r="B737" s="56" t="s">
        <v>2391</v>
      </c>
      <c r="C737" s="56" t="s">
        <v>4192</v>
      </c>
      <c r="D737" s="57">
        <v>34.97</v>
      </c>
      <c r="E737" s="58">
        <v>752</v>
      </c>
      <c r="F737" s="57">
        <v>0.752</v>
      </c>
      <c r="G737" s="56" t="s">
        <v>392</v>
      </c>
      <c r="H737" s="56" t="s">
        <v>2511</v>
      </c>
      <c r="I737" s="56" t="s">
        <v>362</v>
      </c>
      <c r="J737" s="56" t="s">
        <v>3057</v>
      </c>
      <c r="K737" s="57">
        <v>202.477</v>
      </c>
      <c r="L737" s="56" t="s">
        <v>1914</v>
      </c>
      <c r="M737" s="56" t="s">
        <v>1123</v>
      </c>
      <c r="N737" s="56" t="s">
        <v>151</v>
      </c>
      <c r="O737" s="58">
        <v>14</v>
      </c>
      <c r="P737" s="59" t="s">
        <v>2515</v>
      </c>
      <c r="Q737" s="56" t="s">
        <v>11</v>
      </c>
      <c r="U737" s="52">
        <v>1940494</v>
      </c>
      <c r="V737">
        <v>22.23</v>
      </c>
      <c r="W737">
        <v>0</v>
      </c>
      <c r="X737">
        <v>2</v>
      </c>
      <c r="Y737">
        <v>6</v>
      </c>
      <c r="Z737" t="s">
        <v>1891</v>
      </c>
      <c r="AA737" t="s">
        <v>963</v>
      </c>
      <c r="AB737" t="s">
        <v>2520</v>
      </c>
      <c r="AC737" t="s">
        <v>633</v>
      </c>
      <c r="AD737" t="s">
        <v>1838</v>
      </c>
      <c r="AE737" t="s">
        <v>782</v>
      </c>
      <c r="AF737">
        <v>0.99729854000000007</v>
      </c>
    </row>
    <row r="738" spans="1:32" x14ac:dyDescent="0.25">
      <c r="A738" s="56">
        <v>3777563</v>
      </c>
      <c r="B738" s="56" t="s">
        <v>2391</v>
      </c>
      <c r="C738" s="56" t="s">
        <v>4193</v>
      </c>
      <c r="D738" s="57">
        <v>69.986999999999995</v>
      </c>
      <c r="E738" s="58">
        <v>1505</v>
      </c>
      <c r="F738" s="57">
        <v>1.5049999999999999</v>
      </c>
      <c r="G738" s="56" t="s">
        <v>392</v>
      </c>
      <c r="H738" s="56" t="s">
        <v>2511</v>
      </c>
      <c r="I738" s="56" t="s">
        <v>362</v>
      </c>
      <c r="J738" s="56" t="s">
        <v>3118</v>
      </c>
      <c r="K738" s="57">
        <v>405.22300000000001</v>
      </c>
      <c r="L738" s="56" t="s">
        <v>1914</v>
      </c>
      <c r="M738" s="56" t="s">
        <v>1123</v>
      </c>
      <c r="N738" s="56" t="s">
        <v>151</v>
      </c>
      <c r="O738" s="58">
        <v>11</v>
      </c>
      <c r="P738" s="59" t="s">
        <v>2515</v>
      </c>
      <c r="Q738" s="56" t="s">
        <v>11</v>
      </c>
      <c r="U738" s="52">
        <v>2427582</v>
      </c>
      <c r="V738">
        <v>22.23</v>
      </c>
      <c r="W738">
        <v>0</v>
      </c>
      <c r="X738">
        <v>2</v>
      </c>
      <c r="Y738">
        <v>6</v>
      </c>
      <c r="Z738" t="s">
        <v>1924</v>
      </c>
      <c r="AA738" t="s">
        <v>963</v>
      </c>
      <c r="AB738" t="s">
        <v>2520</v>
      </c>
      <c r="AC738" t="s">
        <v>642</v>
      </c>
      <c r="AD738" t="s">
        <v>1838</v>
      </c>
      <c r="AE738" t="s">
        <v>2330</v>
      </c>
      <c r="AF738">
        <v>0.99729854000000007</v>
      </c>
    </row>
    <row r="739" spans="1:32" x14ac:dyDescent="0.25">
      <c r="A739" s="56">
        <v>3777563</v>
      </c>
      <c r="B739" s="56" t="s">
        <v>2391</v>
      </c>
      <c r="C739" s="56" t="s">
        <v>4194</v>
      </c>
      <c r="D739" s="57">
        <v>59.896000000000001</v>
      </c>
      <c r="E739" s="58">
        <v>1288</v>
      </c>
      <c r="F739" s="57">
        <v>1.288</v>
      </c>
      <c r="G739" s="56" t="s">
        <v>392</v>
      </c>
      <c r="H739" s="56" t="s">
        <v>2511</v>
      </c>
      <c r="I739" s="56" t="s">
        <v>362</v>
      </c>
      <c r="J739" s="56" t="s">
        <v>4195</v>
      </c>
      <c r="K739" s="57">
        <v>346.79599999999999</v>
      </c>
      <c r="L739" s="56" t="s">
        <v>1914</v>
      </c>
      <c r="M739" s="56" t="s">
        <v>1123</v>
      </c>
      <c r="N739" s="56" t="s">
        <v>151</v>
      </c>
      <c r="O739" s="58">
        <v>14</v>
      </c>
      <c r="P739" s="59" t="s">
        <v>2515</v>
      </c>
      <c r="Q739" s="56" t="s">
        <v>11</v>
      </c>
      <c r="U739" s="538">
        <v>111002657</v>
      </c>
      <c r="V739">
        <v>22.23</v>
      </c>
      <c r="W739">
        <v>0</v>
      </c>
      <c r="X739">
        <v>2</v>
      </c>
      <c r="Y739">
        <v>6</v>
      </c>
      <c r="Z739" t="s">
        <v>1924</v>
      </c>
      <c r="AA739" t="s">
        <v>963</v>
      </c>
      <c r="AB739" t="s">
        <v>2520</v>
      </c>
      <c r="AC739" t="s">
        <v>679</v>
      </c>
      <c r="AD739" t="s">
        <v>1838</v>
      </c>
      <c r="AE739" t="s">
        <v>3952</v>
      </c>
      <c r="AF739">
        <v>0.99729854000000007</v>
      </c>
    </row>
    <row r="740" spans="1:32" x14ac:dyDescent="0.25">
      <c r="A740" s="56">
        <v>3777563</v>
      </c>
      <c r="B740" s="56" t="s">
        <v>2391</v>
      </c>
      <c r="C740" s="56" t="s">
        <v>4197</v>
      </c>
      <c r="D740" s="57">
        <v>81.938000000000002</v>
      </c>
      <c r="E740" s="58">
        <v>1762</v>
      </c>
      <c r="F740" s="57">
        <v>1.762</v>
      </c>
      <c r="G740" s="56" t="s">
        <v>392</v>
      </c>
      <c r="H740" s="56" t="s">
        <v>2511</v>
      </c>
      <c r="I740" s="56" t="s">
        <v>362</v>
      </c>
      <c r="J740" s="56" t="s">
        <v>3944</v>
      </c>
      <c r="K740" s="57">
        <v>474.42099999999999</v>
      </c>
      <c r="L740" s="56" t="s">
        <v>1914</v>
      </c>
      <c r="M740" s="56" t="s">
        <v>1123</v>
      </c>
      <c r="N740" s="56" t="s">
        <v>151</v>
      </c>
      <c r="O740" s="58">
        <v>14</v>
      </c>
      <c r="P740" s="59" t="s">
        <v>2515</v>
      </c>
      <c r="Q740" s="56" t="s">
        <v>11</v>
      </c>
      <c r="U740" s="52">
        <v>1931535</v>
      </c>
      <c r="V740">
        <v>22.23</v>
      </c>
      <c r="W740">
        <v>0</v>
      </c>
      <c r="X740">
        <v>2</v>
      </c>
      <c r="Y740">
        <v>6</v>
      </c>
      <c r="Z740" t="s">
        <v>1883</v>
      </c>
      <c r="AA740" t="s">
        <v>963</v>
      </c>
      <c r="AB740" t="s">
        <v>2520</v>
      </c>
      <c r="AC740" t="s">
        <v>633</v>
      </c>
      <c r="AD740" t="s">
        <v>1838</v>
      </c>
      <c r="AE740" t="s">
        <v>782</v>
      </c>
      <c r="AF740">
        <v>0.99729854000000007</v>
      </c>
    </row>
    <row r="741" spans="1:32" x14ac:dyDescent="0.25">
      <c r="A741" s="56">
        <v>3777563</v>
      </c>
      <c r="B741" s="56" t="s">
        <v>2391</v>
      </c>
      <c r="C741" s="56" t="s">
        <v>4198</v>
      </c>
      <c r="D741" s="57">
        <v>77.984999999999999</v>
      </c>
      <c r="E741" s="58">
        <v>1677</v>
      </c>
      <c r="F741" s="57">
        <v>1.677</v>
      </c>
      <c r="G741" s="56" t="s">
        <v>392</v>
      </c>
      <c r="H741" s="56" t="s">
        <v>2511</v>
      </c>
      <c r="I741" s="56" t="s">
        <v>362</v>
      </c>
      <c r="J741" s="56" t="s">
        <v>4199</v>
      </c>
      <c r="K741" s="57">
        <v>451.53500000000003</v>
      </c>
      <c r="L741" s="56" t="s">
        <v>1914</v>
      </c>
      <c r="M741" s="56" t="s">
        <v>1123</v>
      </c>
      <c r="N741" s="56" t="s">
        <v>151</v>
      </c>
      <c r="O741" s="58">
        <v>9</v>
      </c>
      <c r="P741" s="59" t="s">
        <v>2515</v>
      </c>
      <c r="Q741" s="56" t="s">
        <v>11</v>
      </c>
      <c r="U741" s="588">
        <v>3410966</v>
      </c>
      <c r="V741">
        <v>22.23</v>
      </c>
      <c r="W741">
        <v>0</v>
      </c>
      <c r="X741">
        <v>2</v>
      </c>
      <c r="Y741">
        <v>6</v>
      </c>
      <c r="Z741" t="s">
        <v>2088</v>
      </c>
      <c r="AA741" t="s">
        <v>1003</v>
      </c>
      <c r="AB741" t="s">
        <v>2520</v>
      </c>
      <c r="AC741" t="s">
        <v>770</v>
      </c>
      <c r="AD741" t="s">
        <v>1838</v>
      </c>
      <c r="AE741" t="s">
        <v>4196</v>
      </c>
      <c r="AF741" t="e">
        <f>IF([4]!buckets[[#This Row],[LL or CTL]]="LL",(3.14*([4]!buckets[[#This Row],[OD]]-[4]!buckets[[#This Row],[Thickness]])*[4]!buckets[[#This Row],[Thickness]]*1000*7.85)/1000000,(3.14*([4]!buckets[[#This Row],[OD]]-[4]!buckets[[#This Row],[Thickness]])*[4]!buckets[[#This Row],[Thickness]]*[4]!buckets[[#This Row],[Length]]*1000*7.85)/1000000)</f>
        <v>#REF!</v>
      </c>
    </row>
    <row r="742" spans="1:32" x14ac:dyDescent="0.25">
      <c r="A742" s="56">
        <v>3777563</v>
      </c>
      <c r="B742" s="56" t="s">
        <v>2391</v>
      </c>
      <c r="C742" s="56" t="s">
        <v>4200</v>
      </c>
      <c r="D742" s="57">
        <v>75.986000000000004</v>
      </c>
      <c r="E742" s="58">
        <v>1634</v>
      </c>
      <c r="F742" s="57">
        <v>1.6339999999999999</v>
      </c>
      <c r="G742" s="56" t="s">
        <v>392</v>
      </c>
      <c r="H742" s="56" t="s">
        <v>2511</v>
      </c>
      <c r="I742" s="56" t="s">
        <v>362</v>
      </c>
      <c r="J742" s="56" t="s">
        <v>3408</v>
      </c>
      <c r="K742" s="57">
        <v>439.95699999999999</v>
      </c>
      <c r="L742" s="56" t="s">
        <v>1914</v>
      </c>
      <c r="M742" s="56" t="s">
        <v>1123</v>
      </c>
      <c r="N742" s="56" t="s">
        <v>151</v>
      </c>
      <c r="O742" s="58">
        <v>13</v>
      </c>
      <c r="P742" s="59" t="s">
        <v>2515</v>
      </c>
      <c r="Q742" s="56" t="s">
        <v>11</v>
      </c>
      <c r="U742" s="52">
        <v>3576131</v>
      </c>
      <c r="V742">
        <v>22.23</v>
      </c>
      <c r="W742">
        <v>0</v>
      </c>
      <c r="X742">
        <v>2</v>
      </c>
      <c r="Y742">
        <v>6.0350000000000001</v>
      </c>
      <c r="Z742" t="s">
        <v>1868</v>
      </c>
      <c r="AA742" t="s">
        <v>963</v>
      </c>
      <c r="AB742" t="s">
        <v>2520</v>
      </c>
      <c r="AC742" t="s">
        <v>633</v>
      </c>
      <c r="AD742" t="s">
        <v>1838</v>
      </c>
      <c r="AE742" t="s">
        <v>782</v>
      </c>
      <c r="AF742">
        <v>0.99729854000000007</v>
      </c>
    </row>
    <row r="743" spans="1:32" x14ac:dyDescent="0.25">
      <c r="A743" s="56">
        <v>3777563</v>
      </c>
      <c r="B743" s="56" t="s">
        <v>2391</v>
      </c>
      <c r="C743" s="56" t="s">
        <v>4201</v>
      </c>
      <c r="D743" s="57">
        <v>77.984999999999999</v>
      </c>
      <c r="E743" s="58">
        <v>1677</v>
      </c>
      <c r="F743" s="57">
        <v>1.677</v>
      </c>
      <c r="G743" s="56" t="s">
        <v>392</v>
      </c>
      <c r="H743" s="56" t="s">
        <v>2511</v>
      </c>
      <c r="I743" s="56" t="s">
        <v>362</v>
      </c>
      <c r="J743" s="56" t="s">
        <v>4199</v>
      </c>
      <c r="K743" s="57">
        <v>451.53500000000003</v>
      </c>
      <c r="L743" s="56" t="s">
        <v>1914</v>
      </c>
      <c r="M743" s="56" t="s">
        <v>1123</v>
      </c>
      <c r="N743" s="56" t="s">
        <v>151</v>
      </c>
      <c r="O743" s="58">
        <v>14</v>
      </c>
      <c r="P743" s="59" t="s">
        <v>2515</v>
      </c>
      <c r="Q743" s="56" t="s">
        <v>11</v>
      </c>
      <c r="U743" s="538">
        <v>110102574</v>
      </c>
      <c r="V743">
        <v>22.23</v>
      </c>
      <c r="W743">
        <v>0</v>
      </c>
      <c r="X743">
        <v>2</v>
      </c>
      <c r="Y743">
        <v>6.0350000000000001</v>
      </c>
      <c r="Z743" t="s">
        <v>1891</v>
      </c>
      <c r="AA743" t="s">
        <v>963</v>
      </c>
      <c r="AB743" t="s">
        <v>2520</v>
      </c>
      <c r="AC743" t="s">
        <v>633</v>
      </c>
      <c r="AD743" t="s">
        <v>1838</v>
      </c>
      <c r="AE743" t="s">
        <v>782</v>
      </c>
      <c r="AF743">
        <v>0.99729854000000007</v>
      </c>
    </row>
    <row r="744" spans="1:32" x14ac:dyDescent="0.25">
      <c r="A744" s="56">
        <v>3777563</v>
      </c>
      <c r="B744" s="56" t="s">
        <v>2391</v>
      </c>
      <c r="C744" s="56" t="s">
        <v>4202</v>
      </c>
      <c r="D744" s="57">
        <v>76.962000000000003</v>
      </c>
      <c r="E744" s="58">
        <v>1655</v>
      </c>
      <c r="F744" s="57">
        <v>1.655</v>
      </c>
      <c r="G744" s="56" t="s">
        <v>392</v>
      </c>
      <c r="H744" s="56" t="s">
        <v>2511</v>
      </c>
      <c r="I744" s="56" t="s">
        <v>362</v>
      </c>
      <c r="J744" s="56" t="s">
        <v>4134</v>
      </c>
      <c r="K744" s="57">
        <v>445.61099999999999</v>
      </c>
      <c r="L744" s="56" t="s">
        <v>1914</v>
      </c>
      <c r="M744" s="56" t="s">
        <v>1123</v>
      </c>
      <c r="N744" s="56" t="s">
        <v>151</v>
      </c>
      <c r="O744" s="58">
        <v>14</v>
      </c>
      <c r="P744" s="59" t="s">
        <v>2515</v>
      </c>
      <c r="Q744" s="56" t="s">
        <v>11</v>
      </c>
      <c r="U744" s="538">
        <v>111002695</v>
      </c>
      <c r="V744">
        <v>22.23</v>
      </c>
      <c r="W744">
        <v>0</v>
      </c>
      <c r="X744">
        <v>2</v>
      </c>
      <c r="Y744">
        <v>6.0750000000000002</v>
      </c>
      <c r="Z744" t="s">
        <v>2088</v>
      </c>
      <c r="AA744" t="s">
        <v>963</v>
      </c>
      <c r="AB744" t="s">
        <v>2520</v>
      </c>
      <c r="AC744" t="s">
        <v>770</v>
      </c>
      <c r="AD744" t="s">
        <v>1838</v>
      </c>
      <c r="AE744" t="s">
        <v>4196</v>
      </c>
      <c r="AF744">
        <v>0.99729854000000007</v>
      </c>
    </row>
    <row r="745" spans="1:32" x14ac:dyDescent="0.25">
      <c r="A745" s="56">
        <v>3777563</v>
      </c>
      <c r="B745" s="56" t="s">
        <v>2391</v>
      </c>
      <c r="C745" s="56" t="s">
        <v>4203</v>
      </c>
      <c r="D745" s="57">
        <v>77.984999999999999</v>
      </c>
      <c r="E745" s="58">
        <v>1677</v>
      </c>
      <c r="F745" s="57">
        <v>1.677</v>
      </c>
      <c r="G745" s="56" t="s">
        <v>392</v>
      </c>
      <c r="H745" s="56" t="s">
        <v>2511</v>
      </c>
      <c r="I745" s="56" t="s">
        <v>362</v>
      </c>
      <c r="J745" s="56" t="s">
        <v>4199</v>
      </c>
      <c r="K745" s="57">
        <v>451.53500000000003</v>
      </c>
      <c r="L745" s="56" t="s">
        <v>1914</v>
      </c>
      <c r="M745" s="56" t="s">
        <v>1123</v>
      </c>
      <c r="N745" s="56" t="s">
        <v>151</v>
      </c>
      <c r="O745" s="58">
        <v>14</v>
      </c>
      <c r="P745" s="59" t="s">
        <v>2515</v>
      </c>
      <c r="Q745" s="56" t="s">
        <v>11</v>
      </c>
      <c r="U745" s="538">
        <v>110102595</v>
      </c>
      <c r="V745">
        <v>22.23</v>
      </c>
      <c r="W745">
        <v>0</v>
      </c>
      <c r="X745">
        <v>2</v>
      </c>
      <c r="Y745">
        <v>6.1139999999999999</v>
      </c>
      <c r="Z745" t="s">
        <v>1891</v>
      </c>
      <c r="AA745" t="s">
        <v>963</v>
      </c>
      <c r="AB745" t="s">
        <v>2520</v>
      </c>
      <c r="AC745" t="s">
        <v>633</v>
      </c>
      <c r="AD745" t="s">
        <v>1838</v>
      </c>
      <c r="AE745" t="s">
        <v>782</v>
      </c>
      <c r="AF745">
        <v>0.99729854000000007</v>
      </c>
    </row>
    <row r="746" spans="1:32" x14ac:dyDescent="0.25">
      <c r="A746" s="56">
        <v>3777563</v>
      </c>
      <c r="B746" s="56" t="s">
        <v>2391</v>
      </c>
      <c r="C746" s="56" t="s">
        <v>4204</v>
      </c>
      <c r="D746" s="57">
        <v>78.962000000000003</v>
      </c>
      <c r="E746" s="58">
        <v>1698</v>
      </c>
      <c r="F746" s="57">
        <v>1.698</v>
      </c>
      <c r="G746" s="56" t="s">
        <v>392</v>
      </c>
      <c r="H746" s="56" t="s">
        <v>2511</v>
      </c>
      <c r="I746" s="56" t="s">
        <v>362</v>
      </c>
      <c r="J746" s="56" t="s">
        <v>3336</v>
      </c>
      <c r="K746" s="57">
        <v>457.18900000000002</v>
      </c>
      <c r="L746" s="56" t="s">
        <v>1914</v>
      </c>
      <c r="M746" s="56" t="s">
        <v>1123</v>
      </c>
      <c r="N746" s="56" t="s">
        <v>151</v>
      </c>
      <c r="O746" s="58">
        <v>14</v>
      </c>
      <c r="P746" s="59" t="s">
        <v>2515</v>
      </c>
      <c r="Q746" s="56" t="s">
        <v>11</v>
      </c>
      <c r="U746" s="52">
        <v>3804796</v>
      </c>
      <c r="V746">
        <v>22.23</v>
      </c>
      <c r="W746">
        <v>0</v>
      </c>
      <c r="X746">
        <v>2</v>
      </c>
      <c r="Y746">
        <v>6.133</v>
      </c>
      <c r="Z746" t="s">
        <v>1924</v>
      </c>
      <c r="AA746" t="s">
        <v>963</v>
      </c>
      <c r="AB746" t="s">
        <v>2520</v>
      </c>
      <c r="AC746" t="s">
        <v>642</v>
      </c>
      <c r="AD746" t="s">
        <v>1838</v>
      </c>
      <c r="AE746" t="s">
        <v>2330</v>
      </c>
      <c r="AF746">
        <v>0.99729854000000007</v>
      </c>
    </row>
    <row r="747" spans="1:32" x14ac:dyDescent="0.25">
      <c r="A747" s="56">
        <v>3777563</v>
      </c>
      <c r="B747" s="56" t="s">
        <v>2391</v>
      </c>
      <c r="C747" s="56" t="s">
        <v>4205</v>
      </c>
      <c r="D747" s="57">
        <v>64.965000000000003</v>
      </c>
      <c r="E747" s="58">
        <v>1397</v>
      </c>
      <c r="F747" s="57">
        <v>1.397</v>
      </c>
      <c r="G747" s="56" t="s">
        <v>392</v>
      </c>
      <c r="H747" s="56" t="s">
        <v>2511</v>
      </c>
      <c r="I747" s="56" t="s">
        <v>362</v>
      </c>
      <c r="J747" s="56" t="s">
        <v>4206</v>
      </c>
      <c r="K747" s="57">
        <v>376.14400000000001</v>
      </c>
      <c r="L747" s="56" t="s">
        <v>1914</v>
      </c>
      <c r="M747" s="56" t="s">
        <v>1123</v>
      </c>
      <c r="N747" s="56" t="s">
        <v>151</v>
      </c>
      <c r="O747" s="58">
        <v>14</v>
      </c>
      <c r="P747" s="59" t="s">
        <v>2515</v>
      </c>
      <c r="Q747" s="56" t="s">
        <v>11</v>
      </c>
      <c r="U747" s="52">
        <v>3230499</v>
      </c>
      <c r="V747">
        <v>22.23</v>
      </c>
      <c r="W747">
        <v>0</v>
      </c>
      <c r="X747">
        <v>2</v>
      </c>
      <c r="Y747">
        <v>6.16</v>
      </c>
      <c r="Z747" t="s">
        <v>2088</v>
      </c>
      <c r="AA747" t="s">
        <v>1003</v>
      </c>
      <c r="AB747" t="s">
        <v>2520</v>
      </c>
      <c r="AC747" t="s">
        <v>770</v>
      </c>
      <c r="AD747" t="s">
        <v>1838</v>
      </c>
      <c r="AE747" t="s">
        <v>4196</v>
      </c>
      <c r="AF747">
        <v>0.99729854000000007</v>
      </c>
    </row>
    <row r="748" spans="1:32" x14ac:dyDescent="0.25">
      <c r="A748" s="56">
        <v>3777563</v>
      </c>
      <c r="B748" s="56" t="s">
        <v>2391</v>
      </c>
      <c r="C748" s="56" t="s">
        <v>4207</v>
      </c>
      <c r="D748" s="57">
        <v>64.965000000000003</v>
      </c>
      <c r="E748" s="58">
        <v>1397</v>
      </c>
      <c r="F748" s="57">
        <v>1.397</v>
      </c>
      <c r="G748" s="56" t="s">
        <v>392</v>
      </c>
      <c r="H748" s="56" t="s">
        <v>2511</v>
      </c>
      <c r="I748" s="56" t="s">
        <v>362</v>
      </c>
      <c r="J748" s="56" t="s">
        <v>4206</v>
      </c>
      <c r="K748" s="57">
        <v>376.14400000000001</v>
      </c>
      <c r="L748" s="56" t="s">
        <v>1914</v>
      </c>
      <c r="M748" s="56" t="s">
        <v>1123</v>
      </c>
      <c r="N748" s="56" t="s">
        <v>151</v>
      </c>
      <c r="O748" s="58">
        <v>14</v>
      </c>
      <c r="P748" s="59" t="s">
        <v>2515</v>
      </c>
      <c r="Q748" s="56" t="s">
        <v>11</v>
      </c>
      <c r="U748" s="52">
        <v>3586643</v>
      </c>
      <c r="V748">
        <v>22.23</v>
      </c>
      <c r="W748">
        <v>0</v>
      </c>
      <c r="X748">
        <v>2</v>
      </c>
      <c r="Y748">
        <v>6.2</v>
      </c>
      <c r="Z748" t="s">
        <v>1881</v>
      </c>
      <c r="AA748" t="s">
        <v>963</v>
      </c>
      <c r="AB748" t="s">
        <v>2520</v>
      </c>
      <c r="AC748" t="s">
        <v>633</v>
      </c>
      <c r="AD748" t="s">
        <v>1838</v>
      </c>
      <c r="AE748" t="s">
        <v>782</v>
      </c>
      <c r="AF748">
        <v>0.99729854000000007</v>
      </c>
    </row>
    <row r="749" spans="1:32" x14ac:dyDescent="0.25">
      <c r="A749" s="56">
        <v>3777563</v>
      </c>
      <c r="B749" s="56" t="s">
        <v>2391</v>
      </c>
      <c r="C749" s="56" t="s">
        <v>4208</v>
      </c>
      <c r="D749" s="57">
        <v>84.960999999999999</v>
      </c>
      <c r="E749" s="58">
        <v>1827</v>
      </c>
      <c r="F749" s="57">
        <v>1.827</v>
      </c>
      <c r="G749" s="56" t="s">
        <v>392</v>
      </c>
      <c r="H749" s="56" t="s">
        <v>2511</v>
      </c>
      <c r="I749" s="56" t="s">
        <v>362</v>
      </c>
      <c r="J749" s="56" t="s">
        <v>4209</v>
      </c>
      <c r="K749" s="57">
        <v>491.92200000000003</v>
      </c>
      <c r="L749" s="56" t="s">
        <v>1914</v>
      </c>
      <c r="M749" s="56" t="s">
        <v>1123</v>
      </c>
      <c r="N749" s="56" t="s">
        <v>151</v>
      </c>
      <c r="O749" s="58">
        <v>14</v>
      </c>
      <c r="P749" s="59" t="s">
        <v>2515</v>
      </c>
      <c r="Q749" s="56" t="s">
        <v>11</v>
      </c>
      <c r="U749" s="52">
        <v>2402914</v>
      </c>
      <c r="V749">
        <v>22.23</v>
      </c>
      <c r="W749">
        <v>0</v>
      </c>
      <c r="X749">
        <v>2</v>
      </c>
      <c r="Y749">
        <v>6.2249999999999996</v>
      </c>
      <c r="Z749" t="s">
        <v>1868</v>
      </c>
      <c r="AA749" t="s">
        <v>1003</v>
      </c>
      <c r="AB749" t="s">
        <v>2520</v>
      </c>
      <c r="AC749" t="s">
        <v>562</v>
      </c>
      <c r="AD749" t="s">
        <v>1838</v>
      </c>
      <c r="AE749" t="s">
        <v>2322</v>
      </c>
      <c r="AF749">
        <v>0.99729854000000007</v>
      </c>
    </row>
    <row r="750" spans="1:32" x14ac:dyDescent="0.25">
      <c r="A750" s="56">
        <v>3777563</v>
      </c>
      <c r="B750" s="56" t="s">
        <v>2391</v>
      </c>
      <c r="C750" s="56" t="s">
        <v>4211</v>
      </c>
      <c r="D750" s="57">
        <v>70.963999999999999</v>
      </c>
      <c r="E750" s="58">
        <v>1526</v>
      </c>
      <c r="F750" s="57">
        <v>1.526</v>
      </c>
      <c r="G750" s="56" t="s">
        <v>392</v>
      </c>
      <c r="H750" s="56" t="s">
        <v>2511</v>
      </c>
      <c r="I750" s="56" t="s">
        <v>362</v>
      </c>
      <c r="J750" s="56" t="s">
        <v>4212</v>
      </c>
      <c r="K750" s="57">
        <v>410.87799999999999</v>
      </c>
      <c r="L750" s="56" t="s">
        <v>1914</v>
      </c>
      <c r="M750" s="56" t="s">
        <v>1123</v>
      </c>
      <c r="N750" s="56" t="s">
        <v>151</v>
      </c>
      <c r="O750" s="58">
        <v>14</v>
      </c>
      <c r="P750" s="59" t="s">
        <v>2515</v>
      </c>
      <c r="Q750" s="56" t="s">
        <v>11</v>
      </c>
      <c r="U750" s="52">
        <v>3702820</v>
      </c>
      <c r="V750">
        <v>22.23</v>
      </c>
      <c r="W750">
        <v>0</v>
      </c>
      <c r="X750">
        <v>2</v>
      </c>
      <c r="Y750">
        <v>6.25</v>
      </c>
      <c r="Z750" t="s">
        <v>1881</v>
      </c>
      <c r="AA750" t="s">
        <v>963</v>
      </c>
      <c r="AB750" t="s">
        <v>2572</v>
      </c>
      <c r="AC750" t="s">
        <v>633</v>
      </c>
      <c r="AD750" t="s">
        <v>1838</v>
      </c>
      <c r="AE750" t="s">
        <v>782</v>
      </c>
      <c r="AF750">
        <v>0.99729854000000007</v>
      </c>
    </row>
    <row r="751" spans="1:32" x14ac:dyDescent="0.25">
      <c r="A751" s="56">
        <v>3777563</v>
      </c>
      <c r="B751" s="56" t="s">
        <v>2391</v>
      </c>
      <c r="C751" s="56" t="s">
        <v>4213</v>
      </c>
      <c r="D751" s="57">
        <v>75.986000000000004</v>
      </c>
      <c r="E751" s="58">
        <v>1634</v>
      </c>
      <c r="F751" s="57">
        <v>1.6339999999999999</v>
      </c>
      <c r="G751" s="56" t="s">
        <v>392</v>
      </c>
      <c r="H751" s="56" t="s">
        <v>2511</v>
      </c>
      <c r="I751" s="56" t="s">
        <v>362</v>
      </c>
      <c r="J751" s="56" t="s">
        <v>3408</v>
      </c>
      <c r="K751" s="57">
        <v>439.95699999999999</v>
      </c>
      <c r="L751" s="56" t="s">
        <v>1914</v>
      </c>
      <c r="M751" s="56" t="s">
        <v>1123</v>
      </c>
      <c r="N751" s="56" t="s">
        <v>151</v>
      </c>
      <c r="O751" s="58">
        <v>14</v>
      </c>
      <c r="P751" s="59" t="s">
        <v>2515</v>
      </c>
      <c r="Q751" s="56" t="s">
        <v>11</v>
      </c>
      <c r="U751" s="52">
        <v>3738265</v>
      </c>
      <c r="V751">
        <v>22.23</v>
      </c>
      <c r="W751">
        <v>0</v>
      </c>
      <c r="X751">
        <v>2</v>
      </c>
      <c r="Y751">
        <v>6.28</v>
      </c>
      <c r="Z751" t="s">
        <v>1881</v>
      </c>
      <c r="AA751" t="s">
        <v>1003</v>
      </c>
      <c r="AB751" t="s">
        <v>2520</v>
      </c>
      <c r="AC751" t="s">
        <v>562</v>
      </c>
      <c r="AD751" t="s">
        <v>1838</v>
      </c>
      <c r="AE751" t="s">
        <v>2322</v>
      </c>
      <c r="AF751">
        <v>0.99729854000000007</v>
      </c>
    </row>
    <row r="752" spans="1:32" x14ac:dyDescent="0.25">
      <c r="A752" s="56">
        <v>3777563</v>
      </c>
      <c r="B752" s="56" t="s">
        <v>2391</v>
      </c>
      <c r="C752" s="56" t="s">
        <v>4214</v>
      </c>
      <c r="D752" s="57">
        <v>75.986000000000004</v>
      </c>
      <c r="E752" s="58">
        <v>1634</v>
      </c>
      <c r="F752" s="57">
        <v>1.6339999999999999</v>
      </c>
      <c r="G752" s="56" t="s">
        <v>392</v>
      </c>
      <c r="H752" s="56" t="s">
        <v>2511</v>
      </c>
      <c r="I752" s="56" t="s">
        <v>362</v>
      </c>
      <c r="J752" s="56" t="s">
        <v>3408</v>
      </c>
      <c r="K752" s="57">
        <v>439.95699999999999</v>
      </c>
      <c r="L752" s="56" t="s">
        <v>1914</v>
      </c>
      <c r="M752" s="56" t="s">
        <v>1123</v>
      </c>
      <c r="N752" s="56" t="s">
        <v>151</v>
      </c>
      <c r="O752" s="58">
        <v>14</v>
      </c>
      <c r="P752" s="59" t="s">
        <v>2515</v>
      </c>
      <c r="Q752" s="56" t="s">
        <v>11</v>
      </c>
      <c r="U752" s="538">
        <v>111113835</v>
      </c>
      <c r="V752">
        <v>22.23</v>
      </c>
      <c r="W752">
        <v>0</v>
      </c>
      <c r="X752">
        <v>2</v>
      </c>
      <c r="Y752">
        <v>6.28</v>
      </c>
      <c r="Z752" t="s">
        <v>1881</v>
      </c>
      <c r="AA752" t="s">
        <v>963</v>
      </c>
      <c r="AB752" t="s">
        <v>2520</v>
      </c>
      <c r="AC752" t="s">
        <v>633</v>
      </c>
      <c r="AD752" t="s">
        <v>1838</v>
      </c>
      <c r="AE752" t="s">
        <v>782</v>
      </c>
      <c r="AF752">
        <v>0.99729854000000007</v>
      </c>
    </row>
    <row r="753" spans="1:32" x14ac:dyDescent="0.25">
      <c r="A753" s="56">
        <v>3777563</v>
      </c>
      <c r="B753" s="56" t="s">
        <v>2391</v>
      </c>
      <c r="C753" s="56" t="s">
        <v>4215</v>
      </c>
      <c r="D753" s="57">
        <v>76.962000000000003</v>
      </c>
      <c r="E753" s="58">
        <v>1655</v>
      </c>
      <c r="F753" s="57">
        <v>1.655</v>
      </c>
      <c r="G753" s="56" t="s">
        <v>392</v>
      </c>
      <c r="H753" s="56" t="s">
        <v>2511</v>
      </c>
      <c r="I753" s="56" t="s">
        <v>362</v>
      </c>
      <c r="J753" s="56" t="s">
        <v>4134</v>
      </c>
      <c r="K753" s="57">
        <v>445.61099999999999</v>
      </c>
      <c r="L753" s="56" t="s">
        <v>1914</v>
      </c>
      <c r="M753" s="56" t="s">
        <v>1123</v>
      </c>
      <c r="N753" s="56" t="s">
        <v>151</v>
      </c>
      <c r="O753" s="58">
        <v>14</v>
      </c>
      <c r="P753" s="59" t="s">
        <v>2515</v>
      </c>
      <c r="Q753" s="56" t="s">
        <v>11</v>
      </c>
      <c r="U753" s="52">
        <v>3586644</v>
      </c>
      <c r="V753">
        <v>22.23</v>
      </c>
      <c r="W753">
        <v>0</v>
      </c>
      <c r="X753">
        <v>2</v>
      </c>
      <c r="Y753">
        <v>6.3250000000000002</v>
      </c>
      <c r="Z753" t="s">
        <v>1881</v>
      </c>
      <c r="AA753" t="s">
        <v>963</v>
      </c>
      <c r="AB753" t="s">
        <v>2520</v>
      </c>
      <c r="AC753" t="s">
        <v>633</v>
      </c>
      <c r="AD753" t="s">
        <v>1838</v>
      </c>
      <c r="AE753" t="s">
        <v>782</v>
      </c>
      <c r="AF753">
        <v>0.99729854000000007</v>
      </c>
    </row>
    <row r="754" spans="1:32" x14ac:dyDescent="0.25">
      <c r="A754" s="56">
        <v>3777563</v>
      </c>
      <c r="B754" s="56" t="s">
        <v>2391</v>
      </c>
      <c r="C754" s="56" t="s">
        <v>4216</v>
      </c>
      <c r="D754" s="57">
        <v>70.963999999999999</v>
      </c>
      <c r="E754" s="58">
        <v>1526</v>
      </c>
      <c r="F754" s="57">
        <v>1.526</v>
      </c>
      <c r="G754" s="56" t="s">
        <v>392</v>
      </c>
      <c r="H754" s="56" t="s">
        <v>2511</v>
      </c>
      <c r="I754" s="56" t="s">
        <v>362</v>
      </c>
      <c r="J754" s="56" t="s">
        <v>4212</v>
      </c>
      <c r="K754" s="57">
        <v>410.87799999999999</v>
      </c>
      <c r="L754" s="56" t="s">
        <v>1914</v>
      </c>
      <c r="M754" s="56" t="s">
        <v>1123</v>
      </c>
      <c r="N754" s="56" t="s">
        <v>151</v>
      </c>
      <c r="O754" s="58">
        <v>9</v>
      </c>
      <c r="P754" s="59" t="s">
        <v>2515</v>
      </c>
      <c r="Q754" s="56" t="s">
        <v>11</v>
      </c>
      <c r="U754" s="52">
        <v>3442057</v>
      </c>
      <c r="V754">
        <v>22.23</v>
      </c>
      <c r="W754">
        <v>0</v>
      </c>
      <c r="X754">
        <v>2.0299999999999998</v>
      </c>
      <c r="Y754">
        <v>0.92400000000000004</v>
      </c>
      <c r="Z754" t="s">
        <v>1924</v>
      </c>
      <c r="AA754" t="s">
        <v>963</v>
      </c>
      <c r="AB754" t="s">
        <v>2572</v>
      </c>
      <c r="AC754" t="s">
        <v>642</v>
      </c>
      <c r="AD754" t="s">
        <v>2171</v>
      </c>
      <c r="AE754" t="s">
        <v>4210</v>
      </c>
      <c r="AF754">
        <v>0.93393937005599981</v>
      </c>
    </row>
    <row r="755" spans="1:32" x14ac:dyDescent="0.25">
      <c r="A755" s="56">
        <v>1568170</v>
      </c>
      <c r="B755" s="56" t="s">
        <v>1718</v>
      </c>
      <c r="C755" s="56" t="s">
        <v>4218</v>
      </c>
      <c r="D755" s="57"/>
      <c r="E755" s="57">
        <v>189.60900000000001</v>
      </c>
      <c r="F755" s="57">
        <v>0.189609</v>
      </c>
      <c r="G755" s="56" t="s">
        <v>392</v>
      </c>
      <c r="H755" s="56" t="s">
        <v>2511</v>
      </c>
      <c r="I755" s="56" t="s">
        <v>1835</v>
      </c>
      <c r="J755" s="56" t="s">
        <v>1914</v>
      </c>
      <c r="K755" s="57">
        <v>48.707999999999998</v>
      </c>
      <c r="L755" s="56" t="s">
        <v>1914</v>
      </c>
      <c r="M755" s="56" t="s">
        <v>1123</v>
      </c>
      <c r="N755" s="56" t="s">
        <v>151</v>
      </c>
      <c r="O755" s="58">
        <v>33</v>
      </c>
      <c r="P755" s="59" t="s">
        <v>2532</v>
      </c>
      <c r="Q755" s="56" t="s">
        <v>11</v>
      </c>
      <c r="U755">
        <v>4098594</v>
      </c>
      <c r="V755">
        <v>22.23</v>
      </c>
      <c r="W755">
        <v>0</v>
      </c>
      <c r="X755">
        <v>2.2999999999999998</v>
      </c>
      <c r="Y755">
        <v>0.23</v>
      </c>
      <c r="Z755" t="s">
        <v>1891</v>
      </c>
      <c r="AA755" t="s">
        <v>2520</v>
      </c>
      <c r="AB755" t="s">
        <v>963</v>
      </c>
      <c r="AC755" t="s">
        <v>748</v>
      </c>
      <c r="AD755" t="s">
        <v>2171</v>
      </c>
      <c r="AE755" t="s">
        <v>2297</v>
      </c>
      <c r="AF755">
        <v>0.25987366752999996</v>
      </c>
    </row>
    <row r="756" spans="1:32" x14ac:dyDescent="0.25">
      <c r="A756" s="56">
        <v>1931824</v>
      </c>
      <c r="B756" s="56" t="s">
        <v>1968</v>
      </c>
      <c r="C756" s="56" t="s">
        <v>4219</v>
      </c>
      <c r="D756" s="57"/>
      <c r="E756" s="58">
        <v>911</v>
      </c>
      <c r="F756" s="57">
        <v>0.91100000000000003</v>
      </c>
      <c r="G756" s="56" t="s">
        <v>392</v>
      </c>
      <c r="H756" s="56" t="s">
        <v>2511</v>
      </c>
      <c r="I756" s="56" t="s">
        <v>1835</v>
      </c>
      <c r="J756" s="56" t="s">
        <v>4220</v>
      </c>
      <c r="K756" s="57">
        <v>1911.4559999999999</v>
      </c>
      <c r="L756" s="56" t="s">
        <v>1914</v>
      </c>
      <c r="M756" s="56" t="s">
        <v>1123</v>
      </c>
      <c r="N756" s="56" t="s">
        <v>48</v>
      </c>
      <c r="O756" s="58">
        <v>76</v>
      </c>
      <c r="P756" s="59" t="s">
        <v>2579</v>
      </c>
      <c r="Q756" s="56" t="s">
        <v>11</v>
      </c>
      <c r="U756" s="52">
        <v>1940497</v>
      </c>
      <c r="V756">
        <v>22.23</v>
      </c>
      <c r="W756">
        <v>0</v>
      </c>
      <c r="X756">
        <v>2.2999999999999998</v>
      </c>
      <c r="Y756">
        <v>0.245</v>
      </c>
      <c r="Z756" t="s">
        <v>1891</v>
      </c>
      <c r="AA756" t="s">
        <v>963</v>
      </c>
      <c r="AB756" t="s">
        <v>2520</v>
      </c>
      <c r="AC756" t="s">
        <v>748</v>
      </c>
      <c r="AD756" t="s">
        <v>2171</v>
      </c>
      <c r="AE756" t="s">
        <v>3962</v>
      </c>
      <c r="AF756">
        <v>0.27682195019499994</v>
      </c>
    </row>
    <row r="757" spans="1:32" x14ac:dyDescent="0.25">
      <c r="A757" s="56">
        <v>1931824</v>
      </c>
      <c r="B757" s="56" t="s">
        <v>1968</v>
      </c>
      <c r="C757" s="56" t="s">
        <v>4221</v>
      </c>
      <c r="D757" s="57"/>
      <c r="E757" s="57">
        <v>509.56</v>
      </c>
      <c r="F757" s="57">
        <v>0.50956000000000001</v>
      </c>
      <c r="G757" s="56" t="s">
        <v>392</v>
      </c>
      <c r="H757" s="56" t="s">
        <v>2511</v>
      </c>
      <c r="I757" s="56" t="s">
        <v>1835</v>
      </c>
      <c r="J757" s="56" t="s">
        <v>4222</v>
      </c>
      <c r="K757" s="57">
        <v>1069.1569999999999</v>
      </c>
      <c r="L757" s="56" t="s">
        <v>1914</v>
      </c>
      <c r="M757" s="56" t="s">
        <v>1123</v>
      </c>
      <c r="N757" s="56" t="s">
        <v>48</v>
      </c>
      <c r="O757" s="58">
        <v>76</v>
      </c>
      <c r="P757" s="59" t="s">
        <v>2579</v>
      </c>
      <c r="Q757" s="56" t="s">
        <v>11</v>
      </c>
      <c r="U757" s="52">
        <v>1940498</v>
      </c>
      <c r="V757">
        <v>22.23</v>
      </c>
      <c r="W757">
        <v>0</v>
      </c>
      <c r="X757">
        <v>2.2999999999999998</v>
      </c>
      <c r="Y757">
        <v>0.28100000000000003</v>
      </c>
      <c r="Z757" t="s">
        <v>1891</v>
      </c>
      <c r="AA757" t="s">
        <v>963</v>
      </c>
      <c r="AB757" t="s">
        <v>2520</v>
      </c>
      <c r="AC757" t="s">
        <v>748</v>
      </c>
      <c r="AD757" t="s">
        <v>2171</v>
      </c>
      <c r="AE757" t="s">
        <v>752</v>
      </c>
      <c r="AF757">
        <v>0.31749782859100001</v>
      </c>
    </row>
    <row r="758" spans="1:32" x14ac:dyDescent="0.25">
      <c r="A758" s="56">
        <v>1931843</v>
      </c>
      <c r="B758" s="56" t="s">
        <v>4223</v>
      </c>
      <c r="C758" s="56" t="s">
        <v>4224</v>
      </c>
      <c r="D758" s="57"/>
      <c r="E758" s="57">
        <v>2636.7379999999998</v>
      </c>
      <c r="F758" s="57">
        <v>2.6367379999999998</v>
      </c>
      <c r="G758" s="56" t="s">
        <v>392</v>
      </c>
      <c r="H758" s="56" t="s">
        <v>2511</v>
      </c>
      <c r="I758" s="56" t="s">
        <v>1835</v>
      </c>
      <c r="J758" s="56" t="s">
        <v>4225</v>
      </c>
      <c r="K758" s="57">
        <v>1202.5070000000001</v>
      </c>
      <c r="L758" s="56" t="s">
        <v>1914</v>
      </c>
      <c r="M758" s="56" t="s">
        <v>1123</v>
      </c>
      <c r="N758" s="56" t="s">
        <v>7</v>
      </c>
      <c r="O758" s="58">
        <v>482</v>
      </c>
      <c r="P758" s="59" t="s">
        <v>2524</v>
      </c>
      <c r="Q758" s="56" t="s">
        <v>2516</v>
      </c>
      <c r="U758" s="52">
        <v>3926424</v>
      </c>
      <c r="V758">
        <v>22.23</v>
      </c>
      <c r="W758">
        <v>0</v>
      </c>
      <c r="X758">
        <v>2.2999999999999998</v>
      </c>
      <c r="Y758">
        <v>0.37</v>
      </c>
      <c r="Z758" t="s">
        <v>2088</v>
      </c>
      <c r="AA758" t="s">
        <v>963</v>
      </c>
      <c r="AB758" t="s">
        <v>2520</v>
      </c>
      <c r="AC758" t="s">
        <v>645</v>
      </c>
      <c r="AD758" t="s">
        <v>2171</v>
      </c>
      <c r="AE758" t="s">
        <v>784</v>
      </c>
      <c r="AF758">
        <v>0.41805763906999993</v>
      </c>
    </row>
    <row r="759" spans="1:32" x14ac:dyDescent="0.25">
      <c r="A759" s="56">
        <v>1932290</v>
      </c>
      <c r="B759" s="56" t="s">
        <v>4228</v>
      </c>
      <c r="C759" s="56" t="s">
        <v>4229</v>
      </c>
      <c r="D759" s="57"/>
      <c r="E759" s="57">
        <v>536.91999999999996</v>
      </c>
      <c r="F759" s="57">
        <v>0.53691999999999995</v>
      </c>
      <c r="G759" s="56" t="s">
        <v>392</v>
      </c>
      <c r="H759" s="56" t="s">
        <v>2511</v>
      </c>
      <c r="I759" s="56" t="s">
        <v>1835</v>
      </c>
      <c r="J759" s="56" t="s">
        <v>4230</v>
      </c>
      <c r="K759" s="57">
        <v>647.75</v>
      </c>
      <c r="L759" s="56" t="s">
        <v>1914</v>
      </c>
      <c r="M759" s="56" t="s">
        <v>1123</v>
      </c>
      <c r="N759" s="56" t="s">
        <v>76</v>
      </c>
      <c r="O759" s="58">
        <v>543</v>
      </c>
      <c r="P759" s="59" t="s">
        <v>2524</v>
      </c>
      <c r="Q759" s="56" t="s">
        <v>2561</v>
      </c>
      <c r="U759" s="52">
        <v>1940504</v>
      </c>
      <c r="V759">
        <v>22.23</v>
      </c>
      <c r="W759">
        <v>0</v>
      </c>
      <c r="X759">
        <v>2.2999999999999998</v>
      </c>
      <c r="Y759">
        <v>0.499</v>
      </c>
      <c r="Z759" t="s">
        <v>1891</v>
      </c>
      <c r="AA759" t="s">
        <v>963</v>
      </c>
      <c r="AB759" t="s">
        <v>2520</v>
      </c>
      <c r="AC759" t="s">
        <v>748</v>
      </c>
      <c r="AD759" t="s">
        <v>2171</v>
      </c>
      <c r="AE759" t="s">
        <v>4217</v>
      </c>
      <c r="AF759">
        <v>0.56381286998899993</v>
      </c>
    </row>
    <row r="760" spans="1:32" x14ac:dyDescent="0.25">
      <c r="A760" s="56">
        <v>1938118</v>
      </c>
      <c r="B760" s="56" t="s">
        <v>1233</v>
      </c>
      <c r="C760" s="56" t="s">
        <v>4231</v>
      </c>
      <c r="D760" s="57"/>
      <c r="E760" s="57">
        <v>242.4</v>
      </c>
      <c r="F760" s="57">
        <v>0.2424</v>
      </c>
      <c r="G760" s="56" t="s">
        <v>392</v>
      </c>
      <c r="H760" s="56" t="s">
        <v>2511</v>
      </c>
      <c r="I760" s="56" t="s">
        <v>1835</v>
      </c>
      <c r="J760" s="56" t="s">
        <v>4232</v>
      </c>
      <c r="K760" s="57">
        <v>409.66699999999997</v>
      </c>
      <c r="L760" s="56" t="s">
        <v>1914</v>
      </c>
      <c r="M760" s="56" t="s">
        <v>1123</v>
      </c>
      <c r="N760" s="56" t="s">
        <v>101</v>
      </c>
      <c r="O760" s="58">
        <v>229</v>
      </c>
      <c r="P760" s="59" t="s">
        <v>2524</v>
      </c>
      <c r="Q760" s="56" t="s">
        <v>192</v>
      </c>
      <c r="U760" s="538">
        <v>110102643</v>
      </c>
      <c r="V760">
        <v>22.23</v>
      </c>
      <c r="W760">
        <v>0</v>
      </c>
      <c r="X760">
        <v>2.2999999999999998</v>
      </c>
      <c r="Y760">
        <v>5.8</v>
      </c>
      <c r="Z760" t="s">
        <v>1891</v>
      </c>
      <c r="AA760" t="s">
        <v>963</v>
      </c>
      <c r="AB760" t="s">
        <v>2520</v>
      </c>
      <c r="AC760" t="s">
        <v>748</v>
      </c>
      <c r="AD760" t="s">
        <v>1838</v>
      </c>
      <c r="AE760" t="s">
        <v>756</v>
      </c>
      <c r="AF760">
        <v>1.1298855109999999</v>
      </c>
    </row>
    <row r="761" spans="1:32" x14ac:dyDescent="0.25">
      <c r="A761" s="56">
        <v>1938118</v>
      </c>
      <c r="B761" s="56" t="s">
        <v>1233</v>
      </c>
      <c r="C761" s="56" t="s">
        <v>4233</v>
      </c>
      <c r="D761" s="57"/>
      <c r="E761" s="58">
        <v>70</v>
      </c>
      <c r="F761" s="57">
        <v>7.0000000000000007E-2</v>
      </c>
      <c r="G761" s="56" t="s">
        <v>392</v>
      </c>
      <c r="H761" s="56" t="s">
        <v>2511</v>
      </c>
      <c r="I761" s="56" t="s">
        <v>1835</v>
      </c>
      <c r="J761" s="56" t="s">
        <v>4234</v>
      </c>
      <c r="K761" s="57">
        <v>118.303</v>
      </c>
      <c r="L761" s="56" t="s">
        <v>1914</v>
      </c>
      <c r="M761" s="56" t="s">
        <v>1123</v>
      </c>
      <c r="N761" s="56" t="s">
        <v>101</v>
      </c>
      <c r="O761" s="58">
        <v>69</v>
      </c>
      <c r="P761" s="59" t="s">
        <v>2579</v>
      </c>
      <c r="Q761" s="56" t="s">
        <v>192</v>
      </c>
      <c r="U761" s="52">
        <v>1940510</v>
      </c>
      <c r="V761">
        <v>22.23</v>
      </c>
      <c r="W761">
        <v>0</v>
      </c>
      <c r="X761">
        <v>2.2999999999999998</v>
      </c>
      <c r="Y761">
        <v>6</v>
      </c>
      <c r="Z761" t="s">
        <v>1891</v>
      </c>
      <c r="AA761" t="s">
        <v>963</v>
      </c>
      <c r="AB761" t="s">
        <v>2520</v>
      </c>
      <c r="AC761" t="s">
        <v>748</v>
      </c>
      <c r="AD761" t="s">
        <v>1838</v>
      </c>
      <c r="AE761" t="s">
        <v>756</v>
      </c>
      <c r="AF761">
        <v>1.1298855109999999</v>
      </c>
    </row>
    <row r="762" spans="1:32" x14ac:dyDescent="0.25">
      <c r="A762" s="56">
        <v>1938121</v>
      </c>
      <c r="B762" s="56" t="s">
        <v>1594</v>
      </c>
      <c r="C762" s="56" t="s">
        <v>4237</v>
      </c>
      <c r="D762" s="57"/>
      <c r="E762" s="57">
        <v>373.5</v>
      </c>
      <c r="F762" s="57">
        <v>0.3735</v>
      </c>
      <c r="G762" s="56" t="s">
        <v>392</v>
      </c>
      <c r="H762" s="56" t="s">
        <v>2511</v>
      </c>
      <c r="I762" s="56" t="s">
        <v>1835</v>
      </c>
      <c r="J762" s="56" t="s">
        <v>3466</v>
      </c>
      <c r="K762" s="57">
        <v>242.48500000000001</v>
      </c>
      <c r="L762" s="56" t="s">
        <v>1914</v>
      </c>
      <c r="M762" s="56" t="s">
        <v>1123</v>
      </c>
      <c r="N762" s="56" t="s">
        <v>72</v>
      </c>
      <c r="O762" s="58">
        <v>521</v>
      </c>
      <c r="P762" s="59" t="s">
        <v>2524</v>
      </c>
      <c r="Q762" s="56" t="s">
        <v>11</v>
      </c>
      <c r="U762" s="538">
        <v>110102646</v>
      </c>
      <c r="V762">
        <v>22.23</v>
      </c>
      <c r="W762">
        <v>0</v>
      </c>
      <c r="X762">
        <v>2.2999999999999998</v>
      </c>
      <c r="Y762">
        <v>6</v>
      </c>
      <c r="Z762" t="s">
        <v>1891</v>
      </c>
      <c r="AA762" t="s">
        <v>963</v>
      </c>
      <c r="AB762" t="s">
        <v>2520</v>
      </c>
      <c r="AC762" t="s">
        <v>748</v>
      </c>
      <c r="AD762" t="s">
        <v>1838</v>
      </c>
      <c r="AE762" t="s">
        <v>756</v>
      </c>
      <c r="AF762">
        <v>1.1298855109999999</v>
      </c>
    </row>
    <row r="763" spans="1:32" x14ac:dyDescent="0.25">
      <c r="A763" s="56">
        <v>1938125</v>
      </c>
      <c r="B763" s="56" t="s">
        <v>870</v>
      </c>
      <c r="C763" s="56" t="s">
        <v>4240</v>
      </c>
      <c r="D763" s="57"/>
      <c r="E763" s="57">
        <v>163.94399999999999</v>
      </c>
      <c r="F763" s="57">
        <v>0.16394399999999998</v>
      </c>
      <c r="G763" s="56" t="s">
        <v>392</v>
      </c>
      <c r="H763" s="56" t="s">
        <v>2511</v>
      </c>
      <c r="I763" s="56" t="s">
        <v>1835</v>
      </c>
      <c r="J763" s="56" t="s">
        <v>3618</v>
      </c>
      <c r="K763" s="57">
        <v>72.828000000000003</v>
      </c>
      <c r="L763" s="56" t="s">
        <v>1914</v>
      </c>
      <c r="M763" s="56" t="s">
        <v>1123</v>
      </c>
      <c r="N763" s="56" t="s">
        <v>30</v>
      </c>
      <c r="O763" s="58">
        <v>7</v>
      </c>
      <c r="P763" s="59" t="s">
        <v>2515</v>
      </c>
      <c r="Q763" s="56" t="s">
        <v>11</v>
      </c>
      <c r="U763">
        <v>4134873</v>
      </c>
      <c r="V763">
        <v>22.23</v>
      </c>
      <c r="W763">
        <v>0</v>
      </c>
      <c r="X763">
        <v>2.2999999999999998</v>
      </c>
      <c r="Y763">
        <v>6.05</v>
      </c>
      <c r="Z763" t="s">
        <v>2088</v>
      </c>
      <c r="AA763" t="s">
        <v>963</v>
      </c>
      <c r="AB763" t="s">
        <v>2520</v>
      </c>
      <c r="AC763" t="s">
        <v>4226</v>
      </c>
      <c r="AD763" t="s">
        <v>1838</v>
      </c>
      <c r="AE763" t="s">
        <v>4227</v>
      </c>
      <c r="AF763">
        <v>1.1298855109999999</v>
      </c>
    </row>
    <row r="764" spans="1:32" x14ac:dyDescent="0.25">
      <c r="A764" s="56">
        <v>1938125</v>
      </c>
      <c r="B764" s="56" t="s">
        <v>870</v>
      </c>
      <c r="C764" s="56" t="s">
        <v>4241</v>
      </c>
      <c r="D764" s="57"/>
      <c r="E764" s="57">
        <v>206.94399999999999</v>
      </c>
      <c r="F764" s="57">
        <v>0.20694399999999999</v>
      </c>
      <c r="G764" s="56" t="s">
        <v>392</v>
      </c>
      <c r="H764" s="56" t="s">
        <v>2511</v>
      </c>
      <c r="I764" s="56" t="s">
        <v>1835</v>
      </c>
      <c r="J764" s="56" t="s">
        <v>3336</v>
      </c>
      <c r="K764" s="57">
        <v>91.93</v>
      </c>
      <c r="L764" s="56" t="s">
        <v>1914</v>
      </c>
      <c r="M764" s="56" t="s">
        <v>1123</v>
      </c>
      <c r="N764" s="56" t="s">
        <v>30</v>
      </c>
      <c r="O764" s="58">
        <v>13</v>
      </c>
      <c r="P764" s="59" t="s">
        <v>2515</v>
      </c>
      <c r="Q764" s="56" t="s">
        <v>11</v>
      </c>
      <c r="U764" s="538">
        <v>111120345</v>
      </c>
      <c r="V764">
        <v>22.23</v>
      </c>
      <c r="W764">
        <v>0</v>
      </c>
      <c r="X764">
        <v>2.2999999999999998</v>
      </c>
      <c r="Y764">
        <v>6.05</v>
      </c>
      <c r="Z764" t="s">
        <v>1868</v>
      </c>
      <c r="AA764" t="s">
        <v>963</v>
      </c>
      <c r="AB764" t="s">
        <v>2520</v>
      </c>
      <c r="AC764" t="s">
        <v>748</v>
      </c>
      <c r="AD764" t="s">
        <v>1838</v>
      </c>
      <c r="AE764" t="s">
        <v>756</v>
      </c>
      <c r="AF764">
        <v>1.1298855109999999</v>
      </c>
    </row>
    <row r="765" spans="1:32" x14ac:dyDescent="0.25">
      <c r="A765" s="56">
        <v>1938127</v>
      </c>
      <c r="B765" s="56" t="s">
        <v>1733</v>
      </c>
      <c r="C765" s="56" t="s">
        <v>4243</v>
      </c>
      <c r="D765" s="57"/>
      <c r="E765" s="57">
        <v>446.6</v>
      </c>
      <c r="F765" s="57">
        <v>0.4466</v>
      </c>
      <c r="G765" s="56" t="s">
        <v>392</v>
      </c>
      <c r="H765" s="56" t="s">
        <v>2511</v>
      </c>
      <c r="I765" s="56" t="s">
        <v>1835</v>
      </c>
      <c r="J765" s="56" t="s">
        <v>3341</v>
      </c>
      <c r="K765" s="57">
        <v>194.56299999999999</v>
      </c>
      <c r="L765" s="56" t="s">
        <v>1914</v>
      </c>
      <c r="M765" s="56" t="s">
        <v>1123</v>
      </c>
      <c r="N765" s="56" t="s">
        <v>151</v>
      </c>
      <c r="O765" s="58">
        <v>13</v>
      </c>
      <c r="P765" s="59" t="s">
        <v>2515</v>
      </c>
      <c r="Q765" s="56" t="s">
        <v>11</v>
      </c>
      <c r="U765">
        <v>4095224</v>
      </c>
      <c r="V765">
        <v>22.23</v>
      </c>
      <c r="W765">
        <v>0</v>
      </c>
      <c r="X765">
        <v>2.31</v>
      </c>
      <c r="Y765">
        <v>0.29499999999999998</v>
      </c>
      <c r="Z765" t="s">
        <v>1891</v>
      </c>
      <c r="AA765" t="s">
        <v>963</v>
      </c>
      <c r="AB765" t="s">
        <v>2520</v>
      </c>
      <c r="AC765" t="s">
        <v>748</v>
      </c>
      <c r="AD765" t="s">
        <v>2171</v>
      </c>
      <c r="AE765" t="s">
        <v>6615</v>
      </c>
      <c r="AF765">
        <v>0.33459745611600006</v>
      </c>
    </row>
    <row r="766" spans="1:32" x14ac:dyDescent="0.25">
      <c r="A766" s="56">
        <v>1938127</v>
      </c>
      <c r="B766" s="56" t="s">
        <v>1733</v>
      </c>
      <c r="C766" s="56" t="s">
        <v>4244</v>
      </c>
      <c r="D766" s="57"/>
      <c r="E766" s="57">
        <v>152.9</v>
      </c>
      <c r="F766" s="57">
        <v>0.15290000000000001</v>
      </c>
      <c r="G766" s="56" t="s">
        <v>392</v>
      </c>
      <c r="H766" s="56" t="s">
        <v>2511</v>
      </c>
      <c r="I766" s="56" t="s">
        <v>1835</v>
      </c>
      <c r="J766" s="56" t="s">
        <v>3197</v>
      </c>
      <c r="K766" s="57">
        <v>66.611000000000004</v>
      </c>
      <c r="L766" s="56" t="s">
        <v>1914</v>
      </c>
      <c r="M766" s="56" t="s">
        <v>1123</v>
      </c>
      <c r="N766" s="56" t="s">
        <v>151</v>
      </c>
      <c r="O766" s="58">
        <v>13</v>
      </c>
      <c r="P766" s="59" t="s">
        <v>2515</v>
      </c>
      <c r="Q766" s="56" t="s">
        <v>11</v>
      </c>
      <c r="U766" s="52">
        <v>3557584</v>
      </c>
      <c r="V766">
        <v>22.23</v>
      </c>
      <c r="W766">
        <v>0</v>
      </c>
      <c r="X766">
        <v>2.5</v>
      </c>
      <c r="Y766">
        <v>5.08</v>
      </c>
      <c r="Z766" t="s">
        <v>1883</v>
      </c>
      <c r="AA766" t="s">
        <v>963</v>
      </c>
      <c r="AB766" t="s">
        <v>2801</v>
      </c>
      <c r="AC766" t="s">
        <v>4235</v>
      </c>
      <c r="AD766" t="s">
        <v>1838</v>
      </c>
      <c r="AE766" t="s">
        <v>4236</v>
      </c>
      <c r="AF766">
        <v>1.2158119250000001</v>
      </c>
    </row>
    <row r="767" spans="1:32" x14ac:dyDescent="0.25">
      <c r="A767" s="56">
        <v>1938191</v>
      </c>
      <c r="B767" s="56" t="s">
        <v>591</v>
      </c>
      <c r="C767" s="56" t="s">
        <v>4245</v>
      </c>
      <c r="D767" s="57"/>
      <c r="E767" s="57">
        <v>169.04</v>
      </c>
      <c r="F767" s="57">
        <v>0.16904</v>
      </c>
      <c r="G767" s="56" t="s">
        <v>392</v>
      </c>
      <c r="H767" s="56" t="s">
        <v>2511</v>
      </c>
      <c r="I767" s="56" t="s">
        <v>1835</v>
      </c>
      <c r="J767" s="56" t="s">
        <v>3816</v>
      </c>
      <c r="K767" s="57">
        <v>133.86099999999999</v>
      </c>
      <c r="L767" s="56" t="s">
        <v>1914</v>
      </c>
      <c r="M767" s="56" t="s">
        <v>1123</v>
      </c>
      <c r="N767" s="56" t="s">
        <v>61</v>
      </c>
      <c r="O767" s="58">
        <v>10</v>
      </c>
      <c r="P767" s="59" t="s">
        <v>2515</v>
      </c>
      <c r="Q767" s="56" t="s">
        <v>11</v>
      </c>
      <c r="U767" s="52">
        <v>3515987</v>
      </c>
      <c r="V767">
        <v>22.23</v>
      </c>
      <c r="W767">
        <v>0</v>
      </c>
      <c r="X767">
        <v>2.6</v>
      </c>
      <c r="Y767">
        <v>0.27</v>
      </c>
      <c r="Z767" t="s">
        <v>4238</v>
      </c>
      <c r="AA767" t="s">
        <v>963</v>
      </c>
      <c r="AB767" t="s">
        <v>2520</v>
      </c>
      <c r="AC767" t="s">
        <v>642</v>
      </c>
      <c r="AD767" t="s">
        <v>2171</v>
      </c>
      <c r="AE767" t="s">
        <v>4239</v>
      </c>
      <c r="AF767">
        <v>0.33966962874000001</v>
      </c>
    </row>
    <row r="768" spans="1:32" x14ac:dyDescent="0.25">
      <c r="A768" s="56">
        <v>1938195</v>
      </c>
      <c r="B768" s="56" t="s">
        <v>558</v>
      </c>
      <c r="C768" s="56" t="s">
        <v>4246</v>
      </c>
      <c r="D768" s="57"/>
      <c r="E768" s="57">
        <v>300.88299999999998</v>
      </c>
      <c r="F768" s="57">
        <v>0.30088299999999996</v>
      </c>
      <c r="G768" s="56" t="s">
        <v>392</v>
      </c>
      <c r="H768" s="56" t="s">
        <v>2511</v>
      </c>
      <c r="I768" s="56" t="s">
        <v>1835</v>
      </c>
      <c r="J768" s="56" t="s">
        <v>4247</v>
      </c>
      <c r="K768" s="57">
        <v>631.31100000000004</v>
      </c>
      <c r="L768" s="56" t="s">
        <v>1914</v>
      </c>
      <c r="M768" s="56" t="s">
        <v>1123</v>
      </c>
      <c r="N768" s="56" t="s">
        <v>151</v>
      </c>
      <c r="O768" s="58">
        <v>38</v>
      </c>
      <c r="P768" s="59" t="s">
        <v>2532</v>
      </c>
      <c r="Q768" s="56" t="s">
        <v>11</v>
      </c>
      <c r="U768">
        <v>3515988</v>
      </c>
      <c r="V768">
        <v>22.23</v>
      </c>
      <c r="W768">
        <v>0</v>
      </c>
      <c r="X768">
        <v>2.6</v>
      </c>
      <c r="Y768">
        <v>0.872</v>
      </c>
      <c r="Z768" t="s">
        <v>4238</v>
      </c>
      <c r="AA768" t="s">
        <v>963</v>
      </c>
      <c r="AB768" t="s">
        <v>2520</v>
      </c>
      <c r="AC768" t="s">
        <v>529</v>
      </c>
      <c r="AD768" t="s">
        <v>2171</v>
      </c>
      <c r="AE768" t="s">
        <v>6616</v>
      </c>
      <c r="AF768">
        <v>1.097007097264</v>
      </c>
    </row>
    <row r="769" spans="1:32" x14ac:dyDescent="0.25">
      <c r="A769" s="56">
        <v>1939479</v>
      </c>
      <c r="B769" s="56" t="s">
        <v>1656</v>
      </c>
      <c r="C769" s="56" t="s">
        <v>4249</v>
      </c>
      <c r="D769" s="57"/>
      <c r="E769" s="57">
        <v>148.4</v>
      </c>
      <c r="F769" s="57">
        <v>0.1484</v>
      </c>
      <c r="G769" s="56" t="s">
        <v>392</v>
      </c>
      <c r="H769" s="56" t="s">
        <v>2511</v>
      </c>
      <c r="I769" s="56" t="s">
        <v>1835</v>
      </c>
      <c r="J769" s="56" t="s">
        <v>4005</v>
      </c>
      <c r="K769" s="57">
        <v>53.863999999999997</v>
      </c>
      <c r="L769" s="56" t="s">
        <v>1914</v>
      </c>
      <c r="M769" s="56" t="s">
        <v>1123</v>
      </c>
      <c r="N769" s="56" t="s">
        <v>76</v>
      </c>
      <c r="O769" s="58">
        <v>6</v>
      </c>
      <c r="P769" s="59" t="s">
        <v>2515</v>
      </c>
      <c r="Q769" s="56" t="s">
        <v>2561</v>
      </c>
      <c r="U769" s="52">
        <v>3230483</v>
      </c>
      <c r="V769">
        <v>25</v>
      </c>
      <c r="W769">
        <v>25</v>
      </c>
      <c r="X769">
        <v>1.2</v>
      </c>
      <c r="Y769">
        <v>0.33</v>
      </c>
      <c r="Z769" t="s">
        <v>229</v>
      </c>
      <c r="AA769" t="s">
        <v>963</v>
      </c>
      <c r="AB769" t="s">
        <v>2520</v>
      </c>
      <c r="AC769" t="s">
        <v>529</v>
      </c>
      <c r="AD769" t="s">
        <v>2171</v>
      </c>
      <c r="AE769" t="s">
        <v>4242</v>
      </c>
      <c r="AF769">
        <v>0.23231189520000001</v>
      </c>
    </row>
    <row r="770" spans="1:32" x14ac:dyDescent="0.25">
      <c r="A770" s="56">
        <v>1939479</v>
      </c>
      <c r="B770" s="56" t="s">
        <v>1656</v>
      </c>
      <c r="C770" s="56" t="s">
        <v>4250</v>
      </c>
      <c r="D770" s="57"/>
      <c r="E770" s="57">
        <v>241.38</v>
      </c>
      <c r="F770" s="57">
        <v>0.24137999999999998</v>
      </c>
      <c r="G770" s="56" t="s">
        <v>392</v>
      </c>
      <c r="H770" s="56" t="s">
        <v>2511</v>
      </c>
      <c r="I770" s="56" t="s">
        <v>1835</v>
      </c>
      <c r="J770" s="56" t="s">
        <v>4251</v>
      </c>
      <c r="K770" s="57">
        <v>87.611999999999995</v>
      </c>
      <c r="L770" s="56" t="s">
        <v>1914</v>
      </c>
      <c r="M770" s="56" t="s">
        <v>1123</v>
      </c>
      <c r="N770" s="56" t="s">
        <v>76</v>
      </c>
      <c r="O770" s="58">
        <v>14</v>
      </c>
      <c r="P770" s="59" t="s">
        <v>2515</v>
      </c>
      <c r="Q770" s="56" t="s">
        <v>2561</v>
      </c>
      <c r="U770">
        <v>4151430</v>
      </c>
      <c r="V770">
        <v>25</v>
      </c>
      <c r="W770">
        <v>25</v>
      </c>
      <c r="X770">
        <v>1.2</v>
      </c>
      <c r="Y770">
        <v>0.64</v>
      </c>
      <c r="Z770" t="s">
        <v>229</v>
      </c>
      <c r="AA770" t="s">
        <v>963</v>
      </c>
      <c r="AB770" t="s">
        <v>2520</v>
      </c>
      <c r="AC770" t="s">
        <v>529</v>
      </c>
      <c r="AD770" t="s">
        <v>2171</v>
      </c>
      <c r="AE770" t="s">
        <v>531</v>
      </c>
      <c r="AF770">
        <v>0.45054428160000004</v>
      </c>
    </row>
    <row r="771" spans="1:32" x14ac:dyDescent="0.25">
      <c r="A771" s="56">
        <v>1939479</v>
      </c>
      <c r="B771" s="56" t="s">
        <v>1656</v>
      </c>
      <c r="C771" s="56" t="s">
        <v>4252</v>
      </c>
      <c r="D771" s="57"/>
      <c r="E771" s="57">
        <v>51.5</v>
      </c>
      <c r="F771" s="57">
        <v>5.1499999999999997E-2</v>
      </c>
      <c r="G771" s="56" t="s">
        <v>392</v>
      </c>
      <c r="H771" s="56" t="s">
        <v>2511</v>
      </c>
      <c r="I771" s="56" t="s">
        <v>1835</v>
      </c>
      <c r="J771" s="56" t="s">
        <v>4253</v>
      </c>
      <c r="K771" s="57">
        <v>18.693000000000001</v>
      </c>
      <c r="L771" s="56" t="s">
        <v>1914</v>
      </c>
      <c r="M771" s="56" t="s">
        <v>1123</v>
      </c>
      <c r="N771" s="56" t="s">
        <v>76</v>
      </c>
      <c r="O771" s="58">
        <v>13</v>
      </c>
      <c r="P771" s="59" t="s">
        <v>2515</v>
      </c>
      <c r="Q771" s="56" t="s">
        <v>2561</v>
      </c>
      <c r="U771" s="52">
        <v>3572043</v>
      </c>
      <c r="V771">
        <v>25</v>
      </c>
      <c r="W771">
        <v>25</v>
      </c>
      <c r="X771">
        <v>1.2</v>
      </c>
      <c r="Y771">
        <v>0.64200000000000002</v>
      </c>
      <c r="Z771" t="s">
        <v>229</v>
      </c>
      <c r="AA771" t="s">
        <v>963</v>
      </c>
      <c r="AB771" t="s">
        <v>2520</v>
      </c>
      <c r="AC771" t="s">
        <v>529</v>
      </c>
      <c r="AD771" t="s">
        <v>2171</v>
      </c>
      <c r="AE771" t="s">
        <v>2315</v>
      </c>
      <c r="AF771">
        <v>0.45195223247999999</v>
      </c>
    </row>
    <row r="772" spans="1:32" x14ac:dyDescent="0.25">
      <c r="A772" s="56">
        <v>1940614</v>
      </c>
      <c r="B772" s="56" t="s">
        <v>693</v>
      </c>
      <c r="C772" s="56" t="s">
        <v>4254</v>
      </c>
      <c r="D772" s="57"/>
      <c r="E772" s="57">
        <v>570.11300000000006</v>
      </c>
      <c r="F772" s="57">
        <v>0.57011300000000009</v>
      </c>
      <c r="G772" s="56" t="s">
        <v>392</v>
      </c>
      <c r="H772" s="56" t="s">
        <v>2511</v>
      </c>
      <c r="I772" s="56" t="s">
        <v>1835</v>
      </c>
      <c r="J772" s="56" t="s">
        <v>4255</v>
      </c>
      <c r="K772" s="57">
        <v>703.322</v>
      </c>
      <c r="L772" s="56" t="s">
        <v>1914</v>
      </c>
      <c r="M772" s="56" t="s">
        <v>1123</v>
      </c>
      <c r="N772" s="56" t="s">
        <v>101</v>
      </c>
      <c r="O772" s="58">
        <v>69</v>
      </c>
      <c r="P772" s="59" t="s">
        <v>2579</v>
      </c>
      <c r="Q772" s="56" t="s">
        <v>192</v>
      </c>
      <c r="U772" s="52">
        <v>3230482</v>
      </c>
      <c r="V772">
        <v>25</v>
      </c>
      <c r="W772">
        <v>25</v>
      </c>
      <c r="X772">
        <v>1.2</v>
      </c>
      <c r="Y772">
        <v>0.78700000000000003</v>
      </c>
      <c r="Z772" t="s">
        <v>229</v>
      </c>
      <c r="AA772" t="s">
        <v>963</v>
      </c>
      <c r="AB772" t="s">
        <v>2520</v>
      </c>
      <c r="AC772" t="s">
        <v>529</v>
      </c>
      <c r="AD772" t="s">
        <v>2171</v>
      </c>
      <c r="AE772" t="s">
        <v>625</v>
      </c>
      <c r="AF772">
        <v>0.55402867128</v>
      </c>
    </row>
    <row r="773" spans="1:32" x14ac:dyDescent="0.25">
      <c r="A773" s="56">
        <v>1941303</v>
      </c>
      <c r="B773" s="56" t="s">
        <v>1590</v>
      </c>
      <c r="C773" s="56" t="s">
        <v>4256</v>
      </c>
      <c r="D773" s="57"/>
      <c r="E773" s="57">
        <v>53.673999999999999</v>
      </c>
      <c r="F773" s="57">
        <v>5.3673999999999999E-2</v>
      </c>
      <c r="G773" s="56" t="s">
        <v>392</v>
      </c>
      <c r="H773" s="56" t="s">
        <v>2511</v>
      </c>
      <c r="I773" s="56" t="s">
        <v>1835</v>
      </c>
      <c r="J773" s="56" t="s">
        <v>3339</v>
      </c>
      <c r="K773" s="57">
        <v>19.417000000000002</v>
      </c>
      <c r="L773" s="56" t="s">
        <v>1914</v>
      </c>
      <c r="M773" s="56" t="s">
        <v>1123</v>
      </c>
      <c r="N773" s="56" t="s">
        <v>24</v>
      </c>
      <c r="O773" s="58">
        <v>18</v>
      </c>
      <c r="P773" s="59" t="s">
        <v>2515</v>
      </c>
      <c r="Q773" s="56" t="s">
        <v>2516</v>
      </c>
      <c r="U773" s="52">
        <v>3230484</v>
      </c>
      <c r="V773">
        <v>25</v>
      </c>
      <c r="W773">
        <v>25</v>
      </c>
      <c r="X773">
        <v>1.2</v>
      </c>
      <c r="Y773">
        <v>1.246</v>
      </c>
      <c r="Z773" t="s">
        <v>229</v>
      </c>
      <c r="AA773" t="s">
        <v>963</v>
      </c>
      <c r="AB773" t="s">
        <v>2520</v>
      </c>
      <c r="AC773" t="s">
        <v>529</v>
      </c>
      <c r="AD773" t="s">
        <v>2171</v>
      </c>
      <c r="AE773" t="s">
        <v>4248</v>
      </c>
      <c r="AF773">
        <v>0.87715339824000005</v>
      </c>
    </row>
    <row r="774" spans="1:32" x14ac:dyDescent="0.25">
      <c r="A774" s="56">
        <v>1941303</v>
      </c>
      <c r="B774" s="56" t="s">
        <v>1590</v>
      </c>
      <c r="C774" s="56" t="s">
        <v>4257</v>
      </c>
      <c r="D774" s="57"/>
      <c r="E774" s="57">
        <v>135.19999999999999</v>
      </c>
      <c r="F774" s="57">
        <v>0.13519999999999999</v>
      </c>
      <c r="G774" s="56" t="s">
        <v>392</v>
      </c>
      <c r="H774" s="56" t="s">
        <v>2511</v>
      </c>
      <c r="I774" s="56" t="s">
        <v>1835</v>
      </c>
      <c r="J774" s="56" t="s">
        <v>4005</v>
      </c>
      <c r="K774" s="57">
        <v>48.908999999999999</v>
      </c>
      <c r="L774" s="56" t="s">
        <v>1914</v>
      </c>
      <c r="M774" s="56" t="s">
        <v>1123</v>
      </c>
      <c r="N774" s="56" t="s">
        <v>24</v>
      </c>
      <c r="O774" s="58">
        <v>31</v>
      </c>
      <c r="P774" s="59" t="s">
        <v>2532</v>
      </c>
      <c r="Q774" s="56" t="s">
        <v>2516</v>
      </c>
      <c r="U774">
        <v>3935311</v>
      </c>
      <c r="V774">
        <v>25</v>
      </c>
      <c r="W774">
        <v>25</v>
      </c>
      <c r="X774">
        <v>1.2</v>
      </c>
      <c r="Y774">
        <v>1.298</v>
      </c>
      <c r="Z774" t="s">
        <v>229</v>
      </c>
      <c r="AA774" t="s">
        <v>963</v>
      </c>
      <c r="AB774" t="s">
        <v>2520</v>
      </c>
      <c r="AC774" t="s">
        <v>529</v>
      </c>
      <c r="AD774" t="s">
        <v>2171</v>
      </c>
      <c r="AE774" t="s">
        <v>623</v>
      </c>
      <c r="AF774">
        <v>0.91376012112000005</v>
      </c>
    </row>
    <row r="775" spans="1:32" x14ac:dyDescent="0.25">
      <c r="A775" s="56">
        <v>1941303</v>
      </c>
      <c r="B775" s="56" t="s">
        <v>1590</v>
      </c>
      <c r="C775" s="56" t="s">
        <v>4258</v>
      </c>
      <c r="D775" s="57"/>
      <c r="E775" s="57">
        <v>57.8</v>
      </c>
      <c r="F775" s="57">
        <v>5.7799999999999997E-2</v>
      </c>
      <c r="G775" s="56" t="s">
        <v>392</v>
      </c>
      <c r="H775" s="56" t="s">
        <v>2511</v>
      </c>
      <c r="I775" s="56" t="s">
        <v>1835</v>
      </c>
      <c r="J775" s="56" t="s">
        <v>3919</v>
      </c>
      <c r="K775" s="57">
        <v>20.908999999999999</v>
      </c>
      <c r="L775" s="56" t="s">
        <v>1914</v>
      </c>
      <c r="M775" s="56" t="s">
        <v>1123</v>
      </c>
      <c r="N775" s="56" t="s">
        <v>24</v>
      </c>
      <c r="O775" s="58">
        <v>18</v>
      </c>
      <c r="P775" s="59" t="s">
        <v>2515</v>
      </c>
      <c r="Q775" s="56" t="s">
        <v>2516</v>
      </c>
      <c r="U775" s="538">
        <v>111121738</v>
      </c>
      <c r="V775">
        <v>25</v>
      </c>
      <c r="W775">
        <v>25</v>
      </c>
      <c r="X775">
        <v>1.2</v>
      </c>
      <c r="Y775">
        <v>5.27</v>
      </c>
      <c r="Z775" t="s">
        <v>229</v>
      </c>
      <c r="AA775" t="s">
        <v>963</v>
      </c>
      <c r="AB775" t="s">
        <v>2520</v>
      </c>
      <c r="AC775" t="s">
        <v>529</v>
      </c>
      <c r="AD775" t="s">
        <v>1838</v>
      </c>
      <c r="AE775" t="s">
        <v>2332</v>
      </c>
      <c r="AF775">
        <v>0.70397544000000001</v>
      </c>
    </row>
    <row r="776" spans="1:32" x14ac:dyDescent="0.25">
      <c r="A776" s="56">
        <v>2288945</v>
      </c>
      <c r="B776" s="56" t="s">
        <v>1241</v>
      </c>
      <c r="C776" s="56" t="s">
        <v>4259</v>
      </c>
      <c r="D776" s="57"/>
      <c r="E776" s="58">
        <v>1571</v>
      </c>
      <c r="F776" s="57">
        <v>1.571</v>
      </c>
      <c r="G776" s="56" t="s">
        <v>392</v>
      </c>
      <c r="H776" s="56" t="s">
        <v>2511</v>
      </c>
      <c r="I776" s="56" t="s">
        <v>1835</v>
      </c>
      <c r="J776" s="56" t="s">
        <v>4260</v>
      </c>
      <c r="K776" s="57">
        <v>3702.569</v>
      </c>
      <c r="L776" s="56" t="s">
        <v>1914</v>
      </c>
      <c r="M776" s="56" t="s">
        <v>1123</v>
      </c>
      <c r="N776" s="56" t="s">
        <v>151</v>
      </c>
      <c r="O776" s="58">
        <v>23</v>
      </c>
      <c r="P776" s="59" t="s">
        <v>2515</v>
      </c>
      <c r="Q776" s="56" t="s">
        <v>11</v>
      </c>
      <c r="U776" s="538">
        <v>111116364</v>
      </c>
      <c r="V776">
        <v>25</v>
      </c>
      <c r="W776">
        <v>25</v>
      </c>
      <c r="X776">
        <v>1.2</v>
      </c>
      <c r="Y776">
        <v>5.86</v>
      </c>
      <c r="Z776" t="s">
        <v>229</v>
      </c>
      <c r="AA776" t="s">
        <v>963</v>
      </c>
      <c r="AB776" t="s">
        <v>2520</v>
      </c>
      <c r="AC776" t="s">
        <v>529</v>
      </c>
      <c r="AD776" t="s">
        <v>1838</v>
      </c>
      <c r="AE776" t="s">
        <v>2332</v>
      </c>
      <c r="AF776">
        <v>0.70397544000000001</v>
      </c>
    </row>
    <row r="777" spans="1:32" x14ac:dyDescent="0.25">
      <c r="A777" s="56">
        <v>2288945</v>
      </c>
      <c r="B777" s="56" t="s">
        <v>1241</v>
      </c>
      <c r="C777" s="56" t="s">
        <v>4261</v>
      </c>
      <c r="D777" s="57"/>
      <c r="E777" s="58">
        <v>1157</v>
      </c>
      <c r="F777" s="57">
        <v>1.157</v>
      </c>
      <c r="G777" s="56" t="s">
        <v>392</v>
      </c>
      <c r="H777" s="56" t="s">
        <v>2511</v>
      </c>
      <c r="I777" s="56" t="s">
        <v>1835</v>
      </c>
      <c r="J777" s="56" t="s">
        <v>2656</v>
      </c>
      <c r="K777" s="57">
        <v>2726.8440000000001</v>
      </c>
      <c r="L777" s="56" t="s">
        <v>1914</v>
      </c>
      <c r="M777" s="56" t="s">
        <v>1123</v>
      </c>
      <c r="N777" s="56" t="s">
        <v>151</v>
      </c>
      <c r="O777" s="58">
        <v>23</v>
      </c>
      <c r="P777" s="59" t="s">
        <v>2515</v>
      </c>
      <c r="Q777" s="56" t="s">
        <v>11</v>
      </c>
      <c r="U777" s="52">
        <v>3572044</v>
      </c>
      <c r="V777">
        <v>25</v>
      </c>
      <c r="W777">
        <v>25</v>
      </c>
      <c r="X777">
        <v>1.2</v>
      </c>
      <c r="Y777">
        <v>6</v>
      </c>
      <c r="Z777" t="s">
        <v>229</v>
      </c>
      <c r="AA777" t="s">
        <v>963</v>
      </c>
      <c r="AB777" t="s">
        <v>2520</v>
      </c>
      <c r="AC777" t="s">
        <v>529</v>
      </c>
      <c r="AD777" t="s">
        <v>1838</v>
      </c>
      <c r="AE777" t="s">
        <v>2332</v>
      </c>
      <c r="AF777">
        <v>0.70397544000000001</v>
      </c>
    </row>
    <row r="778" spans="1:32" x14ac:dyDescent="0.25">
      <c r="A778" s="56">
        <v>2288945</v>
      </c>
      <c r="B778" s="56" t="s">
        <v>1241</v>
      </c>
      <c r="C778" s="56" t="s">
        <v>4263</v>
      </c>
      <c r="D778" s="57"/>
      <c r="E778" s="57">
        <v>1203.3</v>
      </c>
      <c r="F778" s="57">
        <v>1.2033</v>
      </c>
      <c r="G778" s="56" t="s">
        <v>392</v>
      </c>
      <c r="H778" s="56" t="s">
        <v>2511</v>
      </c>
      <c r="I778" s="56" t="s">
        <v>1835</v>
      </c>
      <c r="J778" s="56" t="s">
        <v>4222</v>
      </c>
      <c r="K778" s="57">
        <v>2835.9650000000001</v>
      </c>
      <c r="L778" s="56" t="s">
        <v>1914</v>
      </c>
      <c r="M778" s="56" t="s">
        <v>1123</v>
      </c>
      <c r="N778" s="56" t="s">
        <v>151</v>
      </c>
      <c r="O778" s="58">
        <v>23</v>
      </c>
      <c r="P778" s="59" t="s">
        <v>2515</v>
      </c>
      <c r="Q778" s="56" t="s">
        <v>11</v>
      </c>
      <c r="U778" s="52">
        <v>3752128</v>
      </c>
      <c r="V778">
        <v>25</v>
      </c>
      <c r="W778">
        <v>25</v>
      </c>
      <c r="X778">
        <v>1.2</v>
      </c>
      <c r="Y778">
        <v>6.4</v>
      </c>
      <c r="Z778" t="s">
        <v>229</v>
      </c>
      <c r="AA778" t="s">
        <v>963</v>
      </c>
      <c r="AB778" t="s">
        <v>2520</v>
      </c>
      <c r="AC778" t="s">
        <v>529</v>
      </c>
      <c r="AD778" t="s">
        <v>1838</v>
      </c>
      <c r="AE778" t="s">
        <v>2332</v>
      </c>
      <c r="AF778">
        <v>0.70397544000000001</v>
      </c>
    </row>
    <row r="779" spans="1:32" x14ac:dyDescent="0.25">
      <c r="A779" s="56">
        <v>2288945</v>
      </c>
      <c r="B779" s="56" t="s">
        <v>1241</v>
      </c>
      <c r="C779" s="56" t="s">
        <v>4265</v>
      </c>
      <c r="D779" s="57"/>
      <c r="E779" s="57">
        <v>836.3</v>
      </c>
      <c r="F779" s="57">
        <v>0.83629999999999993</v>
      </c>
      <c r="G779" s="56" t="s">
        <v>392</v>
      </c>
      <c r="H779" s="56" t="s">
        <v>2511</v>
      </c>
      <c r="I779" s="56" t="s">
        <v>1835</v>
      </c>
      <c r="J779" s="56" t="s">
        <v>4266</v>
      </c>
      <c r="K779" s="57">
        <v>1971.011</v>
      </c>
      <c r="L779" s="56" t="s">
        <v>1914</v>
      </c>
      <c r="M779" s="56" t="s">
        <v>1123</v>
      </c>
      <c r="N779" s="56" t="s">
        <v>151</v>
      </c>
      <c r="O779" s="58">
        <v>23</v>
      </c>
      <c r="P779" s="59" t="s">
        <v>2515</v>
      </c>
      <c r="Q779" s="56" t="s">
        <v>11</v>
      </c>
      <c r="U779" s="538">
        <v>111116491</v>
      </c>
      <c r="V779">
        <v>25</v>
      </c>
      <c r="W779">
        <v>25</v>
      </c>
      <c r="X779">
        <v>1.2</v>
      </c>
      <c r="Y779">
        <v>6.4</v>
      </c>
      <c r="Z779" t="s">
        <v>229</v>
      </c>
      <c r="AA779" t="s">
        <v>963</v>
      </c>
      <c r="AB779" t="s">
        <v>2520</v>
      </c>
      <c r="AC779" t="s">
        <v>529</v>
      </c>
      <c r="AD779" t="s">
        <v>1838</v>
      </c>
      <c r="AE779" t="s">
        <v>2332</v>
      </c>
      <c r="AF779">
        <v>0.70397544000000001</v>
      </c>
    </row>
    <row r="780" spans="1:32" x14ac:dyDescent="0.25">
      <c r="A780" s="56">
        <v>2359912</v>
      </c>
      <c r="B780" s="56" t="s">
        <v>825</v>
      </c>
      <c r="C780" s="56" t="s">
        <v>4267</v>
      </c>
      <c r="D780" s="57"/>
      <c r="E780" s="57">
        <v>195.87299999999999</v>
      </c>
      <c r="F780" s="57">
        <v>0.19587299999999999</v>
      </c>
      <c r="G780" s="56" t="s">
        <v>392</v>
      </c>
      <c r="H780" s="56" t="s">
        <v>2511</v>
      </c>
      <c r="I780" s="56" t="s">
        <v>1835</v>
      </c>
      <c r="J780" s="56" t="s">
        <v>4268</v>
      </c>
      <c r="K780" s="57">
        <v>70.906999999999996</v>
      </c>
      <c r="L780" s="56" t="s">
        <v>1914</v>
      </c>
      <c r="M780" s="56" t="s">
        <v>1123</v>
      </c>
      <c r="N780" s="56" t="s">
        <v>24</v>
      </c>
      <c r="O780" s="58">
        <v>28</v>
      </c>
      <c r="P780" s="59" t="s">
        <v>2515</v>
      </c>
      <c r="Q780" s="56" t="s">
        <v>2516</v>
      </c>
      <c r="U780" s="52">
        <v>1940538</v>
      </c>
      <c r="V780">
        <v>25.4</v>
      </c>
      <c r="W780">
        <v>0</v>
      </c>
      <c r="X780">
        <v>1.2</v>
      </c>
      <c r="Y780">
        <v>0.84499999999999997</v>
      </c>
      <c r="Z780" t="s">
        <v>1881</v>
      </c>
      <c r="AA780" t="s">
        <v>963</v>
      </c>
      <c r="AB780" t="s">
        <v>2520</v>
      </c>
      <c r="AC780" t="s">
        <v>785</v>
      </c>
      <c r="AD780" t="s">
        <v>2171</v>
      </c>
      <c r="AE780" t="s">
        <v>2263</v>
      </c>
      <c r="AF780">
        <v>0.60485688120000003</v>
      </c>
    </row>
    <row r="781" spans="1:32" x14ac:dyDescent="0.25">
      <c r="A781" s="56">
        <v>2396465</v>
      </c>
      <c r="B781" s="56" t="s">
        <v>1950</v>
      </c>
      <c r="C781" s="56" t="s">
        <v>4269</v>
      </c>
      <c r="D781" s="57"/>
      <c r="E781" s="57">
        <v>793.04399999999998</v>
      </c>
      <c r="F781" s="57">
        <v>0.79304399999999997</v>
      </c>
      <c r="G781" s="56" t="s">
        <v>392</v>
      </c>
      <c r="H781" s="56" t="s">
        <v>2511</v>
      </c>
      <c r="I781" s="56" t="s">
        <v>1835</v>
      </c>
      <c r="J781" s="56" t="s">
        <v>1914</v>
      </c>
      <c r="K781" s="57">
        <v>234.303</v>
      </c>
      <c r="L781" s="56" t="s">
        <v>1914</v>
      </c>
      <c r="M781" s="56" t="s">
        <v>1123</v>
      </c>
      <c r="N781" s="56" t="s">
        <v>37</v>
      </c>
      <c r="O781" s="58">
        <v>24</v>
      </c>
      <c r="P781" s="59" t="s">
        <v>2515</v>
      </c>
      <c r="Q781" s="56" t="s">
        <v>11</v>
      </c>
      <c r="U781" s="52">
        <v>435963</v>
      </c>
      <c r="V781">
        <v>25.4</v>
      </c>
      <c r="W781">
        <v>0</v>
      </c>
      <c r="X781">
        <v>1.2</v>
      </c>
      <c r="Y781">
        <v>0.84499999999999997</v>
      </c>
      <c r="Z781" t="s">
        <v>3450</v>
      </c>
      <c r="AA781" t="s">
        <v>963</v>
      </c>
      <c r="AB781" t="s">
        <v>2520</v>
      </c>
      <c r="AC781" t="s">
        <v>785</v>
      </c>
      <c r="AD781" t="s">
        <v>2171</v>
      </c>
      <c r="AE781" t="s">
        <v>2263</v>
      </c>
      <c r="AF781">
        <v>0.60485688120000003</v>
      </c>
    </row>
    <row r="782" spans="1:32" x14ac:dyDescent="0.25">
      <c r="A782" s="56">
        <v>2410388</v>
      </c>
      <c r="B782" s="56" t="s">
        <v>819</v>
      </c>
      <c r="C782" s="56" t="s">
        <v>4270</v>
      </c>
      <c r="D782" s="57"/>
      <c r="E782" s="57">
        <v>632.02499999999998</v>
      </c>
      <c r="F782" s="57">
        <v>0.63202499999999995</v>
      </c>
      <c r="G782" s="56" t="s">
        <v>392</v>
      </c>
      <c r="H782" s="56" t="s">
        <v>2511</v>
      </c>
      <c r="I782" s="56" t="s">
        <v>1835</v>
      </c>
      <c r="J782" s="56" t="s">
        <v>4178</v>
      </c>
      <c r="K782" s="57">
        <v>372.54599999999999</v>
      </c>
      <c r="L782" s="56" t="s">
        <v>1914</v>
      </c>
      <c r="M782" s="56" t="s">
        <v>1123</v>
      </c>
      <c r="N782" s="56" t="s">
        <v>17</v>
      </c>
      <c r="O782" s="58">
        <v>113</v>
      </c>
      <c r="P782" s="59" t="s">
        <v>2524</v>
      </c>
      <c r="Q782" s="56" t="s">
        <v>192</v>
      </c>
      <c r="U782" s="52">
        <v>3675671</v>
      </c>
      <c r="V782">
        <v>25.4</v>
      </c>
      <c r="W782">
        <v>0</v>
      </c>
      <c r="X782">
        <v>1.2</v>
      </c>
      <c r="Y782">
        <v>1</v>
      </c>
      <c r="Z782" t="s">
        <v>3100</v>
      </c>
      <c r="AA782" t="s">
        <v>963</v>
      </c>
      <c r="AB782" t="s">
        <v>2520</v>
      </c>
      <c r="AC782" t="s">
        <v>785</v>
      </c>
      <c r="AD782" t="s">
        <v>2171</v>
      </c>
      <c r="AE782" t="s">
        <v>4262</v>
      </c>
      <c r="AF782">
        <v>0.71580695999999999</v>
      </c>
    </row>
    <row r="783" spans="1:32" x14ac:dyDescent="0.25">
      <c r="A783" s="56">
        <v>2410389</v>
      </c>
      <c r="B783" s="56" t="s">
        <v>1165</v>
      </c>
      <c r="C783" s="56" t="s">
        <v>4271</v>
      </c>
      <c r="D783" s="57"/>
      <c r="E783" s="57">
        <v>235.05</v>
      </c>
      <c r="F783" s="57">
        <v>0.23505000000000001</v>
      </c>
      <c r="G783" s="56" t="s">
        <v>392</v>
      </c>
      <c r="H783" s="56" t="s">
        <v>2511</v>
      </c>
      <c r="I783" s="56" t="s">
        <v>1835</v>
      </c>
      <c r="J783" s="56" t="s">
        <v>4272</v>
      </c>
      <c r="K783" s="57">
        <v>480.18400000000003</v>
      </c>
      <c r="L783" s="56" t="s">
        <v>1914</v>
      </c>
      <c r="M783" s="56" t="s">
        <v>1123</v>
      </c>
      <c r="N783" s="56" t="s">
        <v>17</v>
      </c>
      <c r="O783" s="58">
        <v>28</v>
      </c>
      <c r="P783" s="59" t="s">
        <v>2515</v>
      </c>
      <c r="Q783" s="56" t="s">
        <v>192</v>
      </c>
      <c r="U783" s="52">
        <v>3675672</v>
      </c>
      <c r="V783">
        <v>25.4</v>
      </c>
      <c r="W783">
        <v>0</v>
      </c>
      <c r="X783">
        <v>1.2</v>
      </c>
      <c r="Y783">
        <v>1.33</v>
      </c>
      <c r="Z783" t="s">
        <v>3100</v>
      </c>
      <c r="AA783" t="s">
        <v>963</v>
      </c>
      <c r="AB783" t="s">
        <v>2520</v>
      </c>
      <c r="AC783" t="s">
        <v>785</v>
      </c>
      <c r="AD783" t="s">
        <v>2171</v>
      </c>
      <c r="AE783" t="s">
        <v>4264</v>
      </c>
      <c r="AF783">
        <v>0.9520232568</v>
      </c>
    </row>
    <row r="784" spans="1:32" x14ac:dyDescent="0.25">
      <c r="A784" s="56">
        <v>2410995</v>
      </c>
      <c r="B784" s="56" t="s">
        <v>1875</v>
      </c>
      <c r="C784" s="56" t="s">
        <v>4273</v>
      </c>
      <c r="D784" s="57"/>
      <c r="E784" s="57">
        <v>851.98099999999999</v>
      </c>
      <c r="F784" s="57">
        <v>0.85198099999999999</v>
      </c>
      <c r="G784" s="56" t="s">
        <v>392</v>
      </c>
      <c r="H784" s="56" t="s">
        <v>2511</v>
      </c>
      <c r="I784" s="56" t="s">
        <v>1835</v>
      </c>
      <c r="J784" s="56" t="s">
        <v>4101</v>
      </c>
      <c r="K784" s="57">
        <v>890.26199999999994</v>
      </c>
      <c r="L784" s="56" t="s">
        <v>1914</v>
      </c>
      <c r="M784" s="56" t="s">
        <v>1123</v>
      </c>
      <c r="N784" s="56" t="s">
        <v>76</v>
      </c>
      <c r="O784" s="58">
        <v>301</v>
      </c>
      <c r="P784" s="59" t="s">
        <v>2524</v>
      </c>
      <c r="Q784" s="56" t="s">
        <v>2561</v>
      </c>
      <c r="U784">
        <v>2426142</v>
      </c>
      <c r="V784">
        <v>25.4</v>
      </c>
      <c r="W784">
        <v>0</v>
      </c>
      <c r="X784">
        <v>1.2</v>
      </c>
      <c r="Y784">
        <v>2.5499999999999998</v>
      </c>
      <c r="Z784" t="s">
        <v>1881</v>
      </c>
      <c r="AA784" t="s">
        <v>963</v>
      </c>
      <c r="AB784" t="s">
        <v>2520</v>
      </c>
      <c r="AC784" t="s">
        <v>785</v>
      </c>
      <c r="AD784" t="s">
        <v>2171</v>
      </c>
      <c r="AE784" t="s">
        <v>787</v>
      </c>
      <c r="AF784">
        <v>1.825307748</v>
      </c>
    </row>
    <row r="785" spans="1:32" x14ac:dyDescent="0.25">
      <c r="A785" s="56">
        <v>2410997</v>
      </c>
      <c r="B785" s="56" t="s">
        <v>814</v>
      </c>
      <c r="C785" s="56" t="s">
        <v>4274</v>
      </c>
      <c r="D785" s="57"/>
      <c r="E785" s="57">
        <v>117.497</v>
      </c>
      <c r="F785" s="57">
        <v>0.117497</v>
      </c>
      <c r="G785" s="56" t="s">
        <v>392</v>
      </c>
      <c r="H785" s="56" t="s">
        <v>2511</v>
      </c>
      <c r="I785" s="56" t="s">
        <v>1835</v>
      </c>
      <c r="J785" s="56" t="s">
        <v>3816</v>
      </c>
      <c r="K785" s="57">
        <v>67.042000000000002</v>
      </c>
      <c r="L785" s="56" t="s">
        <v>1914</v>
      </c>
      <c r="M785" s="56" t="s">
        <v>1123</v>
      </c>
      <c r="N785" s="56" t="s">
        <v>151</v>
      </c>
      <c r="O785" s="58">
        <v>146</v>
      </c>
      <c r="P785" s="59" t="s">
        <v>2524</v>
      </c>
      <c r="Q785" s="56" t="s">
        <v>11</v>
      </c>
      <c r="U785">
        <v>3672610</v>
      </c>
      <c r="V785">
        <v>25.4</v>
      </c>
      <c r="W785">
        <v>0</v>
      </c>
      <c r="X785">
        <v>1.2</v>
      </c>
      <c r="Y785">
        <v>2.585</v>
      </c>
      <c r="Z785" t="s">
        <v>1881</v>
      </c>
      <c r="AA785" t="s">
        <v>963</v>
      </c>
      <c r="AB785" t="s">
        <v>2520</v>
      </c>
      <c r="AC785" t="s">
        <v>785</v>
      </c>
      <c r="AD785" t="s">
        <v>2171</v>
      </c>
      <c r="AE785" t="s">
        <v>2278</v>
      </c>
      <c r="AF785">
        <v>1.8503609915999999</v>
      </c>
    </row>
    <row r="786" spans="1:32" x14ac:dyDescent="0.25">
      <c r="A786" s="56">
        <v>2410997</v>
      </c>
      <c r="B786" s="56" t="s">
        <v>814</v>
      </c>
      <c r="C786" s="56" t="s">
        <v>4275</v>
      </c>
      <c r="D786" s="57"/>
      <c r="E786" s="57">
        <v>101.497</v>
      </c>
      <c r="F786" s="57">
        <v>0.101497</v>
      </c>
      <c r="G786" s="56" t="s">
        <v>392</v>
      </c>
      <c r="H786" s="56" t="s">
        <v>2511</v>
      </c>
      <c r="I786" s="56" t="s">
        <v>1835</v>
      </c>
      <c r="J786" s="56" t="s">
        <v>3816</v>
      </c>
      <c r="K786" s="57">
        <v>57.911999999999999</v>
      </c>
      <c r="L786" s="56" t="s">
        <v>1914</v>
      </c>
      <c r="M786" s="56" t="s">
        <v>1123</v>
      </c>
      <c r="N786" s="56" t="s">
        <v>151</v>
      </c>
      <c r="O786" s="58">
        <v>146</v>
      </c>
      <c r="P786" s="59" t="s">
        <v>2524</v>
      </c>
      <c r="Q786" s="56" t="s">
        <v>11</v>
      </c>
      <c r="U786">
        <v>3571602</v>
      </c>
      <c r="V786">
        <v>25.4</v>
      </c>
      <c r="W786">
        <v>0</v>
      </c>
      <c r="X786">
        <v>1.2</v>
      </c>
      <c r="Y786">
        <v>5.12</v>
      </c>
      <c r="Z786" t="s">
        <v>1881</v>
      </c>
      <c r="AA786" t="s">
        <v>963</v>
      </c>
      <c r="AB786" t="s">
        <v>2520</v>
      </c>
      <c r="AC786" t="s">
        <v>785</v>
      </c>
      <c r="AD786" t="s">
        <v>1838</v>
      </c>
      <c r="AE786" t="s">
        <v>4262</v>
      </c>
      <c r="AF786">
        <v>0.71580695999999999</v>
      </c>
    </row>
    <row r="787" spans="1:32" x14ac:dyDescent="0.25">
      <c r="A787" s="56">
        <v>2410997</v>
      </c>
      <c r="B787" s="56" t="s">
        <v>814</v>
      </c>
      <c r="C787" s="56" t="s">
        <v>4276</v>
      </c>
      <c r="D787" s="57"/>
      <c r="E787" s="58">
        <v>788</v>
      </c>
      <c r="F787" s="57">
        <v>0.78800000000000003</v>
      </c>
      <c r="G787" s="56" t="s">
        <v>392</v>
      </c>
      <c r="H787" s="56" t="s">
        <v>2511</v>
      </c>
      <c r="I787" s="56" t="s">
        <v>1835</v>
      </c>
      <c r="J787" s="56" t="s">
        <v>3581</v>
      </c>
      <c r="K787" s="57">
        <v>449.61799999999999</v>
      </c>
      <c r="L787" s="56" t="s">
        <v>1914</v>
      </c>
      <c r="M787" s="56" t="s">
        <v>1123</v>
      </c>
      <c r="N787" s="56" t="s">
        <v>151</v>
      </c>
      <c r="O787" s="58">
        <v>114</v>
      </c>
      <c r="P787" s="59" t="s">
        <v>2524</v>
      </c>
      <c r="Q787" s="56" t="s">
        <v>11</v>
      </c>
      <c r="U787" s="538">
        <v>111002373</v>
      </c>
      <c r="V787">
        <v>25.4</v>
      </c>
      <c r="W787">
        <v>0</v>
      </c>
      <c r="X787">
        <v>1.2</v>
      </c>
      <c r="Y787">
        <v>5.17</v>
      </c>
      <c r="Z787" t="s">
        <v>1881</v>
      </c>
      <c r="AA787" t="s">
        <v>963</v>
      </c>
      <c r="AB787" t="s">
        <v>2520</v>
      </c>
      <c r="AC787" t="s">
        <v>785</v>
      </c>
      <c r="AD787" t="s">
        <v>1838</v>
      </c>
      <c r="AE787" t="s">
        <v>4262</v>
      </c>
      <c r="AF787">
        <v>0.71580695999999999</v>
      </c>
    </row>
    <row r="788" spans="1:32" x14ac:dyDescent="0.25">
      <c r="A788" s="56">
        <v>2410997</v>
      </c>
      <c r="B788" s="56" t="s">
        <v>814</v>
      </c>
      <c r="C788" s="56" t="s">
        <v>4277</v>
      </c>
      <c r="D788" s="57"/>
      <c r="E788" s="57">
        <v>512.96500000000003</v>
      </c>
      <c r="F788" s="57">
        <v>0.512965</v>
      </c>
      <c r="G788" s="56" t="s">
        <v>392</v>
      </c>
      <c r="H788" s="56" t="s">
        <v>2511</v>
      </c>
      <c r="I788" s="56" t="s">
        <v>1835</v>
      </c>
      <c r="J788" s="56" t="s">
        <v>3581</v>
      </c>
      <c r="K788" s="57">
        <v>292.68799999999999</v>
      </c>
      <c r="L788" s="56" t="s">
        <v>1914</v>
      </c>
      <c r="M788" s="56" t="s">
        <v>1123</v>
      </c>
      <c r="N788" s="56" t="s">
        <v>151</v>
      </c>
      <c r="O788" s="58">
        <v>114</v>
      </c>
      <c r="P788" s="59" t="s">
        <v>2524</v>
      </c>
      <c r="Q788" s="56" t="s">
        <v>11</v>
      </c>
      <c r="U788" s="52">
        <v>3571603</v>
      </c>
      <c r="V788">
        <v>25.4</v>
      </c>
      <c r="W788">
        <v>0</v>
      </c>
      <c r="X788">
        <v>1.2</v>
      </c>
      <c r="Y788">
        <v>5.17</v>
      </c>
      <c r="Z788" t="s">
        <v>1881</v>
      </c>
      <c r="AA788" t="s">
        <v>963</v>
      </c>
      <c r="AB788" t="s">
        <v>2520</v>
      </c>
      <c r="AC788" t="s">
        <v>785</v>
      </c>
      <c r="AD788" t="s">
        <v>1838</v>
      </c>
      <c r="AE788" t="s">
        <v>4262</v>
      </c>
      <c r="AF788">
        <v>0.71580695999999999</v>
      </c>
    </row>
    <row r="789" spans="1:32" x14ac:dyDescent="0.25">
      <c r="A789" s="56">
        <v>2410997</v>
      </c>
      <c r="B789" s="56" t="s">
        <v>814</v>
      </c>
      <c r="C789" s="56" t="s">
        <v>4278</v>
      </c>
      <c r="D789" s="57"/>
      <c r="E789" s="58">
        <v>113</v>
      </c>
      <c r="F789" s="57">
        <v>0.113</v>
      </c>
      <c r="G789" s="56" t="s">
        <v>392</v>
      </c>
      <c r="H789" s="56" t="s">
        <v>2511</v>
      </c>
      <c r="I789" s="56" t="s">
        <v>1835</v>
      </c>
      <c r="J789" s="56" t="s">
        <v>2625</v>
      </c>
      <c r="K789" s="57">
        <v>64.475999999999999</v>
      </c>
      <c r="L789" s="56" t="s">
        <v>1914</v>
      </c>
      <c r="M789" s="56" t="s">
        <v>1123</v>
      </c>
      <c r="N789" s="56" t="s">
        <v>151</v>
      </c>
      <c r="O789" s="58">
        <v>114</v>
      </c>
      <c r="P789" s="59" t="s">
        <v>2524</v>
      </c>
      <c r="Q789" s="56" t="s">
        <v>11</v>
      </c>
      <c r="U789" s="52">
        <v>111002372</v>
      </c>
      <c r="V789">
        <v>25.4</v>
      </c>
      <c r="W789">
        <v>0</v>
      </c>
      <c r="X789">
        <v>1.2</v>
      </c>
      <c r="Y789">
        <v>5.27</v>
      </c>
      <c r="Z789" t="s">
        <v>1881</v>
      </c>
      <c r="AA789" t="s">
        <v>963</v>
      </c>
      <c r="AB789" t="s">
        <v>2520</v>
      </c>
      <c r="AC789" t="s">
        <v>785</v>
      </c>
      <c r="AD789" t="s">
        <v>1838</v>
      </c>
      <c r="AE789" t="s">
        <v>4262</v>
      </c>
      <c r="AF789">
        <v>0.71580695999999999</v>
      </c>
    </row>
    <row r="790" spans="1:32" x14ac:dyDescent="0.25">
      <c r="A790" s="56">
        <v>2410997</v>
      </c>
      <c r="B790" s="56" t="s">
        <v>814</v>
      </c>
      <c r="C790" s="56" t="s">
        <v>4279</v>
      </c>
      <c r="D790" s="57"/>
      <c r="E790" s="57">
        <v>69.855999999999995</v>
      </c>
      <c r="F790" s="57">
        <v>6.9856000000000001E-2</v>
      </c>
      <c r="G790" s="56" t="s">
        <v>392</v>
      </c>
      <c r="H790" s="56" t="s">
        <v>2511</v>
      </c>
      <c r="I790" s="56" t="s">
        <v>1835</v>
      </c>
      <c r="J790" s="56" t="s">
        <v>3781</v>
      </c>
      <c r="K790" s="57">
        <v>39.857999999999997</v>
      </c>
      <c r="L790" s="56" t="s">
        <v>1914</v>
      </c>
      <c r="M790" s="56" t="s">
        <v>1123</v>
      </c>
      <c r="N790" s="56" t="s">
        <v>151</v>
      </c>
      <c r="O790" s="58">
        <v>146</v>
      </c>
      <c r="P790" s="59" t="s">
        <v>2524</v>
      </c>
      <c r="Q790" s="56" t="s">
        <v>11</v>
      </c>
      <c r="U790" s="52">
        <v>3677732</v>
      </c>
      <c r="V790">
        <v>25.4</v>
      </c>
      <c r="W790">
        <v>0</v>
      </c>
      <c r="X790">
        <v>1.2</v>
      </c>
      <c r="Y790">
        <v>5.85</v>
      </c>
      <c r="Z790" t="s">
        <v>1881</v>
      </c>
      <c r="AA790" t="s">
        <v>963</v>
      </c>
      <c r="AB790" t="s">
        <v>2520</v>
      </c>
      <c r="AC790" t="s">
        <v>785</v>
      </c>
      <c r="AD790" t="s">
        <v>1838</v>
      </c>
      <c r="AE790" t="s">
        <v>4262</v>
      </c>
      <c r="AF790">
        <v>0.71580695999999999</v>
      </c>
    </row>
    <row r="791" spans="1:32" x14ac:dyDescent="0.25">
      <c r="A791" s="56">
        <v>2410997</v>
      </c>
      <c r="B791" s="56" t="s">
        <v>814</v>
      </c>
      <c r="C791" s="56" t="s">
        <v>4281</v>
      </c>
      <c r="D791" s="57"/>
      <c r="E791" s="58">
        <v>63</v>
      </c>
      <c r="F791" s="57">
        <v>6.3E-2</v>
      </c>
      <c r="G791" s="56" t="s">
        <v>392</v>
      </c>
      <c r="H791" s="56" t="s">
        <v>2511</v>
      </c>
      <c r="I791" s="56" t="s">
        <v>1835</v>
      </c>
      <c r="J791" s="56" t="s">
        <v>2810</v>
      </c>
      <c r="K791" s="57">
        <v>35.947000000000003</v>
      </c>
      <c r="L791" s="56" t="s">
        <v>1914</v>
      </c>
      <c r="M791" s="56" t="s">
        <v>1123</v>
      </c>
      <c r="N791" s="56" t="s">
        <v>151</v>
      </c>
      <c r="O791" s="58">
        <v>146</v>
      </c>
      <c r="P791" s="59" t="s">
        <v>2524</v>
      </c>
      <c r="Q791" s="56" t="s">
        <v>11</v>
      </c>
      <c r="U791" s="52">
        <v>3499231</v>
      </c>
      <c r="V791">
        <v>25.4</v>
      </c>
      <c r="W791">
        <v>0</v>
      </c>
      <c r="X791">
        <v>1.2</v>
      </c>
      <c r="Y791">
        <v>6</v>
      </c>
      <c r="Z791" t="s">
        <v>1914</v>
      </c>
      <c r="AA791" t="s">
        <v>963</v>
      </c>
      <c r="AB791" t="s">
        <v>2520</v>
      </c>
      <c r="AC791" t="s">
        <v>785</v>
      </c>
      <c r="AD791" t="s">
        <v>1838</v>
      </c>
      <c r="AE791" t="s">
        <v>4262</v>
      </c>
      <c r="AF791">
        <v>0.71580695999999999</v>
      </c>
    </row>
    <row r="792" spans="1:32" x14ac:dyDescent="0.25">
      <c r="A792" s="56">
        <v>2410997</v>
      </c>
      <c r="B792" s="56" t="s">
        <v>814</v>
      </c>
      <c r="C792" s="56" t="s">
        <v>4284</v>
      </c>
      <c r="D792" s="57"/>
      <c r="E792" s="58">
        <v>1446</v>
      </c>
      <c r="F792" s="57">
        <v>1.446</v>
      </c>
      <c r="G792" s="56" t="s">
        <v>392</v>
      </c>
      <c r="H792" s="56" t="s">
        <v>2511</v>
      </c>
      <c r="I792" s="56" t="s">
        <v>1835</v>
      </c>
      <c r="J792" s="56" t="s">
        <v>3441</v>
      </c>
      <c r="K792" s="57">
        <v>825.06</v>
      </c>
      <c r="L792" s="56" t="s">
        <v>1914</v>
      </c>
      <c r="M792" s="56" t="s">
        <v>1123</v>
      </c>
      <c r="N792" s="56" t="s">
        <v>151</v>
      </c>
      <c r="O792" s="58">
        <v>114</v>
      </c>
      <c r="P792" s="59" t="s">
        <v>2524</v>
      </c>
      <c r="Q792" s="56" t="s">
        <v>11</v>
      </c>
      <c r="U792" s="52">
        <v>2424802</v>
      </c>
      <c r="V792">
        <v>25.4</v>
      </c>
      <c r="W792">
        <v>0</v>
      </c>
      <c r="X792">
        <v>1.2</v>
      </c>
      <c r="Y792">
        <v>6</v>
      </c>
      <c r="Z792" t="s">
        <v>1881</v>
      </c>
      <c r="AA792" t="s">
        <v>1003</v>
      </c>
      <c r="AB792" t="s">
        <v>2520</v>
      </c>
      <c r="AC792" t="s">
        <v>785</v>
      </c>
      <c r="AD792" t="s">
        <v>1838</v>
      </c>
      <c r="AE792" t="s">
        <v>4262</v>
      </c>
      <c r="AF792">
        <v>0.71580695999999999</v>
      </c>
    </row>
    <row r="793" spans="1:32" x14ac:dyDescent="0.25">
      <c r="A793" s="56">
        <v>2410999</v>
      </c>
      <c r="B793" s="56" t="s">
        <v>728</v>
      </c>
      <c r="C793" s="56" t="s">
        <v>4286</v>
      </c>
      <c r="D793" s="57"/>
      <c r="E793" s="57">
        <v>344.05599999999998</v>
      </c>
      <c r="F793" s="57">
        <v>0.34405599999999997</v>
      </c>
      <c r="G793" s="56" t="s">
        <v>392</v>
      </c>
      <c r="H793" s="56" t="s">
        <v>2511</v>
      </c>
      <c r="I793" s="56" t="s">
        <v>1835</v>
      </c>
      <c r="J793" s="56" t="s">
        <v>4287</v>
      </c>
      <c r="K793" s="57">
        <v>267.62299999999999</v>
      </c>
      <c r="L793" s="56" t="s">
        <v>1914</v>
      </c>
      <c r="M793" s="56" t="s">
        <v>1123</v>
      </c>
      <c r="N793" s="56" t="s">
        <v>61</v>
      </c>
      <c r="O793" s="58">
        <v>146</v>
      </c>
      <c r="P793" s="59" t="s">
        <v>2524</v>
      </c>
      <c r="Q793" s="56" t="s">
        <v>11</v>
      </c>
      <c r="U793" s="28">
        <v>3701615</v>
      </c>
      <c r="V793">
        <v>25.4</v>
      </c>
      <c r="W793">
        <v>0</v>
      </c>
      <c r="X793">
        <v>1.2</v>
      </c>
      <c r="Y793">
        <v>6</v>
      </c>
      <c r="Z793" t="s">
        <v>1881</v>
      </c>
      <c r="AA793" t="s">
        <v>963</v>
      </c>
      <c r="AB793" t="s">
        <v>2520</v>
      </c>
      <c r="AC793" t="s">
        <v>785</v>
      </c>
      <c r="AD793" t="s">
        <v>1838</v>
      </c>
      <c r="AE793" t="s">
        <v>4262</v>
      </c>
      <c r="AF793">
        <v>0.71580695999999999</v>
      </c>
    </row>
    <row r="794" spans="1:32" x14ac:dyDescent="0.25">
      <c r="A794" s="56">
        <v>2410999</v>
      </c>
      <c r="B794" s="56" t="s">
        <v>728</v>
      </c>
      <c r="C794" s="56" t="s">
        <v>4288</v>
      </c>
      <c r="D794" s="57"/>
      <c r="E794" s="58">
        <v>1347</v>
      </c>
      <c r="F794" s="57">
        <v>1.347</v>
      </c>
      <c r="G794" s="56" t="s">
        <v>392</v>
      </c>
      <c r="H794" s="56" t="s">
        <v>2511</v>
      </c>
      <c r="I794" s="56" t="s">
        <v>1835</v>
      </c>
      <c r="J794" s="56" t="s">
        <v>3665</v>
      </c>
      <c r="K794" s="57">
        <v>1047.76</v>
      </c>
      <c r="L794" s="56" t="s">
        <v>1914</v>
      </c>
      <c r="M794" s="56" t="s">
        <v>1123</v>
      </c>
      <c r="N794" s="56" t="s">
        <v>61</v>
      </c>
      <c r="O794" s="58">
        <v>146</v>
      </c>
      <c r="P794" s="59" t="s">
        <v>2524</v>
      </c>
      <c r="Q794" s="56" t="s">
        <v>11</v>
      </c>
      <c r="U794" s="52">
        <v>3605862</v>
      </c>
      <c r="V794">
        <v>25.4</v>
      </c>
      <c r="W794">
        <v>0</v>
      </c>
      <c r="X794">
        <v>1.22</v>
      </c>
      <c r="Y794">
        <v>2.585</v>
      </c>
      <c r="Z794" t="s">
        <v>1881</v>
      </c>
      <c r="AA794" t="s">
        <v>963</v>
      </c>
      <c r="AB794" t="s">
        <v>2520</v>
      </c>
      <c r="AC794" t="s">
        <v>785</v>
      </c>
      <c r="AD794" t="s">
        <v>2171</v>
      </c>
      <c r="AE794" t="s">
        <v>2278</v>
      </c>
      <c r="AF794">
        <v>1.8796456304339999</v>
      </c>
    </row>
    <row r="795" spans="1:32" x14ac:dyDescent="0.25">
      <c r="A795" s="56">
        <v>2410999</v>
      </c>
      <c r="B795" s="56" t="s">
        <v>728</v>
      </c>
      <c r="C795" s="56" t="s">
        <v>4291</v>
      </c>
      <c r="D795" s="57"/>
      <c r="E795" s="57">
        <v>1210.711</v>
      </c>
      <c r="F795" s="57">
        <v>1.2107110000000001</v>
      </c>
      <c r="G795" s="56" t="s">
        <v>392</v>
      </c>
      <c r="H795" s="56" t="s">
        <v>2511</v>
      </c>
      <c r="I795" s="56" t="s">
        <v>1835</v>
      </c>
      <c r="J795" s="56" t="s">
        <v>3420</v>
      </c>
      <c r="K795" s="57">
        <v>941.74800000000005</v>
      </c>
      <c r="L795" s="56" t="s">
        <v>1914</v>
      </c>
      <c r="M795" s="56" t="s">
        <v>1123</v>
      </c>
      <c r="N795" s="56" t="s">
        <v>61</v>
      </c>
      <c r="O795" s="58">
        <v>189</v>
      </c>
      <c r="P795" s="59" t="s">
        <v>2524</v>
      </c>
      <c r="Q795" s="56" t="s">
        <v>11</v>
      </c>
      <c r="U795" s="52">
        <v>1940545</v>
      </c>
      <c r="V795">
        <v>25.4</v>
      </c>
      <c r="W795">
        <v>0</v>
      </c>
      <c r="X795">
        <v>1.4</v>
      </c>
      <c r="Y795">
        <v>0.45900000000000002</v>
      </c>
      <c r="Z795" t="s">
        <v>1881</v>
      </c>
      <c r="AA795" t="s">
        <v>963</v>
      </c>
      <c r="AB795" t="s">
        <v>2520</v>
      </c>
      <c r="AC795" t="s">
        <v>3838</v>
      </c>
      <c r="AD795" t="s">
        <v>2171</v>
      </c>
      <c r="AE795" t="s">
        <v>4280</v>
      </c>
      <c r="AF795">
        <v>0.38014673759999995</v>
      </c>
    </row>
    <row r="796" spans="1:32" x14ac:dyDescent="0.25">
      <c r="A796" s="56">
        <v>2410999</v>
      </c>
      <c r="B796" s="56" t="s">
        <v>728</v>
      </c>
      <c r="C796" s="56" t="s">
        <v>4292</v>
      </c>
      <c r="D796" s="57"/>
      <c r="E796" s="57">
        <v>354.387</v>
      </c>
      <c r="F796" s="57">
        <v>0.35438700000000001</v>
      </c>
      <c r="G796" s="56" t="s">
        <v>392</v>
      </c>
      <c r="H796" s="56" t="s">
        <v>2511</v>
      </c>
      <c r="I796" s="56" t="s">
        <v>1835</v>
      </c>
      <c r="J796" s="56" t="s">
        <v>4293</v>
      </c>
      <c r="K796" s="57">
        <v>275.65899999999999</v>
      </c>
      <c r="L796" s="56" t="s">
        <v>1914</v>
      </c>
      <c r="M796" s="56" t="s">
        <v>1123</v>
      </c>
      <c r="N796" s="56" t="s">
        <v>61</v>
      </c>
      <c r="O796" s="58">
        <v>188</v>
      </c>
      <c r="P796" s="59" t="s">
        <v>2524</v>
      </c>
      <c r="Q796" s="56" t="s">
        <v>11</v>
      </c>
      <c r="U796" s="52">
        <v>2371410</v>
      </c>
      <c r="V796">
        <v>25.4</v>
      </c>
      <c r="W796">
        <v>0</v>
      </c>
      <c r="X796">
        <v>1.4</v>
      </c>
      <c r="Y796">
        <v>0.78300000000000003</v>
      </c>
      <c r="Z796" t="s">
        <v>2088</v>
      </c>
      <c r="AA796" t="s">
        <v>963</v>
      </c>
      <c r="AB796" t="s">
        <v>2801</v>
      </c>
      <c r="AC796" t="s">
        <v>4282</v>
      </c>
      <c r="AD796" t="s">
        <v>2171</v>
      </c>
      <c r="AE796" t="s">
        <v>4283</v>
      </c>
      <c r="AF796">
        <v>0.64848561119999992</v>
      </c>
    </row>
    <row r="797" spans="1:32" x14ac:dyDescent="0.25">
      <c r="A797" s="56">
        <v>2417648</v>
      </c>
      <c r="B797" s="56" t="s">
        <v>876</v>
      </c>
      <c r="C797" s="56" t="s">
        <v>4294</v>
      </c>
      <c r="D797" s="57"/>
      <c r="E797" s="58">
        <v>119</v>
      </c>
      <c r="F797" s="57">
        <v>0.11899999999999999</v>
      </c>
      <c r="G797" s="56" t="s">
        <v>392</v>
      </c>
      <c r="H797" s="56" t="s">
        <v>2511</v>
      </c>
      <c r="I797" s="56" t="s">
        <v>1835</v>
      </c>
      <c r="J797" s="56" t="s">
        <v>3126</v>
      </c>
      <c r="K797" s="57">
        <v>35.158000000000001</v>
      </c>
      <c r="L797" s="56" t="s">
        <v>1914</v>
      </c>
      <c r="M797" s="56" t="s">
        <v>1123</v>
      </c>
      <c r="N797" s="56" t="s">
        <v>151</v>
      </c>
      <c r="O797" s="58">
        <v>13</v>
      </c>
      <c r="P797" s="59" t="s">
        <v>2515</v>
      </c>
      <c r="Q797" s="56" t="s">
        <v>11</v>
      </c>
      <c r="U797" s="52">
        <v>3501900</v>
      </c>
      <c r="V797">
        <v>25.4</v>
      </c>
      <c r="W797">
        <v>0</v>
      </c>
      <c r="X797">
        <v>1.4</v>
      </c>
      <c r="Y797">
        <v>5.5309999999999997</v>
      </c>
      <c r="Z797" t="s">
        <v>1914</v>
      </c>
      <c r="AA797" t="s">
        <v>1003</v>
      </c>
      <c r="AB797" t="s">
        <v>2520</v>
      </c>
      <c r="AC797" t="s">
        <v>4282</v>
      </c>
      <c r="AD797" t="s">
        <v>1838</v>
      </c>
      <c r="AE797" t="s">
        <v>4285</v>
      </c>
      <c r="AF797">
        <v>0.8282063999999999</v>
      </c>
    </row>
    <row r="798" spans="1:32" x14ac:dyDescent="0.25">
      <c r="A798" s="56">
        <v>2432009</v>
      </c>
      <c r="B798" s="56" t="s">
        <v>4296</v>
      </c>
      <c r="C798" s="56" t="s">
        <v>4297</v>
      </c>
      <c r="D798" s="57"/>
      <c r="E798" s="57">
        <v>1089.595</v>
      </c>
      <c r="F798" s="57">
        <v>1.0895950000000001</v>
      </c>
      <c r="G798" s="56" t="s">
        <v>392</v>
      </c>
      <c r="H798" s="56" t="s">
        <v>2511</v>
      </c>
      <c r="I798" s="56" t="s">
        <v>1835</v>
      </c>
      <c r="J798" s="56" t="s">
        <v>3665</v>
      </c>
      <c r="K798" s="57">
        <v>515.95600000000002</v>
      </c>
      <c r="L798" s="56" t="s">
        <v>1914</v>
      </c>
      <c r="M798" s="56" t="s">
        <v>1123</v>
      </c>
      <c r="N798" s="56" t="s">
        <v>76</v>
      </c>
      <c r="O798" s="58">
        <v>644</v>
      </c>
      <c r="P798" s="59" t="s">
        <v>2524</v>
      </c>
      <c r="Q798" s="56" t="s">
        <v>2561</v>
      </c>
      <c r="U798" s="52">
        <v>1932290</v>
      </c>
      <c r="V798">
        <v>25.4</v>
      </c>
      <c r="W798">
        <v>0</v>
      </c>
      <c r="X798">
        <v>1.4</v>
      </c>
      <c r="Y798">
        <v>6</v>
      </c>
      <c r="Z798" t="s">
        <v>1883</v>
      </c>
      <c r="AA798" t="s">
        <v>963</v>
      </c>
      <c r="AB798" t="s">
        <v>2520</v>
      </c>
      <c r="AC798" t="s">
        <v>3838</v>
      </c>
      <c r="AD798" t="s">
        <v>1838</v>
      </c>
      <c r="AE798" t="s">
        <v>3839</v>
      </c>
      <c r="AF798">
        <v>0.8282063999999999</v>
      </c>
    </row>
    <row r="799" spans="1:32" x14ac:dyDescent="0.25">
      <c r="A799" s="56">
        <v>2432009</v>
      </c>
      <c r="B799" s="56" t="s">
        <v>4296</v>
      </c>
      <c r="C799" s="56" t="s">
        <v>4299</v>
      </c>
      <c r="D799" s="57"/>
      <c r="E799" s="58">
        <v>270</v>
      </c>
      <c r="F799" s="57">
        <v>0.27</v>
      </c>
      <c r="G799" s="56" t="s">
        <v>392</v>
      </c>
      <c r="H799" s="56" t="s">
        <v>2511</v>
      </c>
      <c r="I799" s="56" t="s">
        <v>1835</v>
      </c>
      <c r="J799" s="56" t="s">
        <v>3964</v>
      </c>
      <c r="K799" s="57">
        <v>127.85299999999999</v>
      </c>
      <c r="L799" s="56" t="s">
        <v>1914</v>
      </c>
      <c r="M799" s="56" t="s">
        <v>1123</v>
      </c>
      <c r="N799" s="56" t="s">
        <v>76</v>
      </c>
      <c r="O799" s="58">
        <v>636</v>
      </c>
      <c r="P799" s="59" t="s">
        <v>2524</v>
      </c>
      <c r="Q799" s="56" t="s">
        <v>2561</v>
      </c>
      <c r="U799" s="52">
        <v>3556885</v>
      </c>
      <c r="V799">
        <v>25.4</v>
      </c>
      <c r="W799">
        <v>0</v>
      </c>
      <c r="X799">
        <v>1.4</v>
      </c>
      <c r="Y799">
        <v>6.0010000000000003</v>
      </c>
      <c r="Z799" t="s">
        <v>1914</v>
      </c>
      <c r="AA799" t="s">
        <v>1003</v>
      </c>
      <c r="AB799" t="s">
        <v>2520</v>
      </c>
      <c r="AC799" t="s">
        <v>4289</v>
      </c>
      <c r="AD799" t="s">
        <v>1838</v>
      </c>
      <c r="AE799" t="s">
        <v>4290</v>
      </c>
      <c r="AF799">
        <v>0.8282063999999999</v>
      </c>
    </row>
    <row r="800" spans="1:32" x14ac:dyDescent="0.25">
      <c r="A800" s="56">
        <v>2439535</v>
      </c>
      <c r="B800" s="56" t="s">
        <v>1430</v>
      </c>
      <c r="C800" s="56" t="s">
        <v>4300</v>
      </c>
      <c r="D800" s="57"/>
      <c r="E800" s="58">
        <v>1040</v>
      </c>
      <c r="F800" s="57">
        <v>1.04</v>
      </c>
      <c r="G800" s="56" t="s">
        <v>392</v>
      </c>
      <c r="H800" s="56" t="s">
        <v>2511</v>
      </c>
      <c r="I800" s="56" t="s">
        <v>1835</v>
      </c>
      <c r="J800" s="56" t="s">
        <v>4301</v>
      </c>
      <c r="K800" s="57">
        <v>604.40499999999997</v>
      </c>
      <c r="L800" s="56" t="s">
        <v>1914</v>
      </c>
      <c r="M800" s="56" t="s">
        <v>1123</v>
      </c>
      <c r="N800" s="56" t="s">
        <v>151</v>
      </c>
      <c r="O800" s="58">
        <v>52</v>
      </c>
      <c r="P800" s="59" t="s">
        <v>2532</v>
      </c>
      <c r="Q800" s="56" t="s">
        <v>11</v>
      </c>
      <c r="U800" s="52">
        <v>3557792</v>
      </c>
      <c r="V800">
        <v>25.4</v>
      </c>
      <c r="W800">
        <v>0</v>
      </c>
      <c r="X800">
        <v>1.4</v>
      </c>
      <c r="Y800">
        <v>6.06</v>
      </c>
      <c r="Z800" t="s">
        <v>1881</v>
      </c>
      <c r="AA800" t="s">
        <v>1003</v>
      </c>
      <c r="AB800" t="s">
        <v>2520</v>
      </c>
      <c r="AC800" t="s">
        <v>3838</v>
      </c>
      <c r="AD800" t="s">
        <v>1838</v>
      </c>
      <c r="AE800" t="s">
        <v>3839</v>
      </c>
      <c r="AF800">
        <v>0.8282063999999999</v>
      </c>
    </row>
    <row r="801" spans="1:32" x14ac:dyDescent="0.25">
      <c r="A801" s="56">
        <v>2439535</v>
      </c>
      <c r="B801" s="56" t="s">
        <v>1430</v>
      </c>
      <c r="C801" s="56" t="s">
        <v>4303</v>
      </c>
      <c r="D801" s="57"/>
      <c r="E801" s="58">
        <v>2070</v>
      </c>
      <c r="F801" s="57">
        <v>2.0699999999999998</v>
      </c>
      <c r="G801" s="56" t="s">
        <v>392</v>
      </c>
      <c r="H801" s="56" t="s">
        <v>2511</v>
      </c>
      <c r="I801" s="56" t="s">
        <v>1835</v>
      </c>
      <c r="J801" s="56" t="s">
        <v>2875</v>
      </c>
      <c r="K801" s="57">
        <v>1202.999</v>
      </c>
      <c r="L801" s="56" t="s">
        <v>1914</v>
      </c>
      <c r="M801" s="56" t="s">
        <v>1123</v>
      </c>
      <c r="N801" s="56" t="s">
        <v>151</v>
      </c>
      <c r="O801" s="58">
        <v>52</v>
      </c>
      <c r="P801" s="59" t="s">
        <v>2532</v>
      </c>
      <c r="Q801" s="56" t="s">
        <v>11</v>
      </c>
      <c r="U801" s="52">
        <v>1931310</v>
      </c>
      <c r="V801">
        <v>25.4</v>
      </c>
      <c r="W801">
        <v>0</v>
      </c>
      <c r="X801">
        <v>1.5</v>
      </c>
      <c r="Y801">
        <v>6</v>
      </c>
      <c r="Z801" t="s">
        <v>1883</v>
      </c>
      <c r="AA801" t="s">
        <v>963</v>
      </c>
      <c r="AB801" t="s">
        <v>2520</v>
      </c>
      <c r="AC801" t="s">
        <v>468</v>
      </c>
      <c r="AD801" t="s">
        <v>1838</v>
      </c>
      <c r="AE801" t="s">
        <v>2180</v>
      </c>
      <c r="AF801">
        <v>0.88366664999999989</v>
      </c>
    </row>
    <row r="802" spans="1:32" x14ac:dyDescent="0.25">
      <c r="A802" s="56">
        <v>2439535</v>
      </c>
      <c r="B802" s="56" t="s">
        <v>1430</v>
      </c>
      <c r="C802" s="56" t="s">
        <v>4305</v>
      </c>
      <c r="D802" s="57"/>
      <c r="E802" s="58">
        <v>1774</v>
      </c>
      <c r="F802" s="57">
        <v>1.774</v>
      </c>
      <c r="G802" s="56" t="s">
        <v>392</v>
      </c>
      <c r="H802" s="56" t="s">
        <v>2511</v>
      </c>
      <c r="I802" s="56" t="s">
        <v>1835</v>
      </c>
      <c r="J802" s="56" t="s">
        <v>3665</v>
      </c>
      <c r="K802" s="57">
        <v>1030.9760000000001</v>
      </c>
      <c r="L802" s="56" t="s">
        <v>1914</v>
      </c>
      <c r="M802" s="56" t="s">
        <v>1123</v>
      </c>
      <c r="N802" s="56" t="s">
        <v>151</v>
      </c>
      <c r="O802" s="58">
        <v>52</v>
      </c>
      <c r="P802" s="59" t="s">
        <v>2532</v>
      </c>
      <c r="Q802" s="56" t="s">
        <v>11</v>
      </c>
      <c r="U802" s="52">
        <v>438186</v>
      </c>
      <c r="V802">
        <v>25.4</v>
      </c>
      <c r="W802">
        <v>0</v>
      </c>
      <c r="X802">
        <v>1.6</v>
      </c>
      <c r="Y802">
        <v>0.126</v>
      </c>
      <c r="Z802" t="s">
        <v>2821</v>
      </c>
      <c r="AA802" t="s">
        <v>963</v>
      </c>
      <c r="AB802" t="s">
        <v>2520</v>
      </c>
      <c r="AC802" t="s">
        <v>468</v>
      </c>
      <c r="AD802" t="s">
        <v>2171</v>
      </c>
      <c r="AE802" t="s">
        <v>4295</v>
      </c>
      <c r="AF802">
        <v>0.11826787392</v>
      </c>
    </row>
    <row r="803" spans="1:32" x14ac:dyDescent="0.25">
      <c r="A803" s="56">
        <v>3190072</v>
      </c>
      <c r="B803" s="56" t="s">
        <v>1588</v>
      </c>
      <c r="C803" s="56" t="s">
        <v>4307</v>
      </c>
      <c r="D803" s="57"/>
      <c r="E803" s="57">
        <v>77.599999999999994</v>
      </c>
      <c r="F803" s="57">
        <v>7.7599999999999988E-2</v>
      </c>
      <c r="G803" s="56" t="s">
        <v>392</v>
      </c>
      <c r="H803" s="56" t="s">
        <v>2511</v>
      </c>
      <c r="I803" s="56" t="s">
        <v>1835</v>
      </c>
      <c r="J803" s="56" t="s">
        <v>3760</v>
      </c>
      <c r="K803" s="57">
        <v>28.071999999999999</v>
      </c>
      <c r="L803" s="56" t="s">
        <v>1914</v>
      </c>
      <c r="M803" s="56" t="s">
        <v>1123</v>
      </c>
      <c r="N803" s="56" t="s">
        <v>24</v>
      </c>
      <c r="O803" s="58">
        <v>18</v>
      </c>
      <c r="P803" s="59" t="s">
        <v>2515</v>
      </c>
      <c r="Q803" s="56" t="s">
        <v>2516</v>
      </c>
      <c r="U803" s="52">
        <v>1903091</v>
      </c>
      <c r="V803">
        <v>25.4</v>
      </c>
      <c r="W803">
        <v>0</v>
      </c>
      <c r="X803">
        <v>1.6</v>
      </c>
      <c r="Y803">
        <v>0.20799999999999999</v>
      </c>
      <c r="Z803" t="s">
        <v>1952</v>
      </c>
      <c r="AA803" t="s">
        <v>963</v>
      </c>
      <c r="AB803" t="s">
        <v>2520</v>
      </c>
      <c r="AC803" t="s">
        <v>468</v>
      </c>
      <c r="AD803" t="s">
        <v>2171</v>
      </c>
      <c r="AE803" t="s">
        <v>4298</v>
      </c>
      <c r="AF803">
        <v>0.19523585535999999</v>
      </c>
    </row>
    <row r="804" spans="1:32" x14ac:dyDescent="0.25">
      <c r="A804" s="56">
        <v>3190072</v>
      </c>
      <c r="B804" s="56" t="s">
        <v>1588</v>
      </c>
      <c r="C804" s="56" t="s">
        <v>4308</v>
      </c>
      <c r="D804" s="57"/>
      <c r="E804" s="57">
        <v>75.2</v>
      </c>
      <c r="F804" s="57">
        <v>7.5200000000000003E-2</v>
      </c>
      <c r="G804" s="56" t="s">
        <v>392</v>
      </c>
      <c r="H804" s="56" t="s">
        <v>2511</v>
      </c>
      <c r="I804" s="56" t="s">
        <v>1835</v>
      </c>
      <c r="J804" s="56" t="s">
        <v>3904</v>
      </c>
      <c r="K804" s="57">
        <v>27.204000000000001</v>
      </c>
      <c r="L804" s="56" t="s">
        <v>1914</v>
      </c>
      <c r="M804" s="56" t="s">
        <v>1123</v>
      </c>
      <c r="N804" s="56" t="s">
        <v>24</v>
      </c>
      <c r="O804" s="58">
        <v>46</v>
      </c>
      <c r="P804" s="59" t="s">
        <v>2532</v>
      </c>
      <c r="Q804" s="56" t="s">
        <v>2516</v>
      </c>
      <c r="U804" s="52">
        <v>3732180</v>
      </c>
      <c r="V804">
        <v>25.4</v>
      </c>
      <c r="W804">
        <v>0</v>
      </c>
      <c r="X804">
        <v>1.6</v>
      </c>
      <c r="Y804">
        <v>0.20799999999999999</v>
      </c>
      <c r="Z804" t="s">
        <v>1952</v>
      </c>
      <c r="AA804" t="s">
        <v>1003</v>
      </c>
      <c r="AB804" t="s">
        <v>2520</v>
      </c>
      <c r="AC804" t="s">
        <v>1007</v>
      </c>
      <c r="AD804" t="s">
        <v>2171</v>
      </c>
      <c r="AE804" t="s">
        <v>2323</v>
      </c>
      <c r="AF804">
        <v>0.19523585535999999</v>
      </c>
    </row>
    <row r="805" spans="1:32" x14ac:dyDescent="0.25">
      <c r="A805" s="56">
        <v>3191790</v>
      </c>
      <c r="B805" s="56" t="s">
        <v>1727</v>
      </c>
      <c r="C805" s="56" t="s">
        <v>4309</v>
      </c>
      <c r="D805" s="57"/>
      <c r="E805" s="57">
        <v>84.84</v>
      </c>
      <c r="F805" s="57">
        <v>8.4839999999999999E-2</v>
      </c>
      <c r="G805" s="56" t="s">
        <v>392</v>
      </c>
      <c r="H805" s="56" t="s">
        <v>2511</v>
      </c>
      <c r="I805" s="56" t="s">
        <v>1835</v>
      </c>
      <c r="J805" s="56" t="s">
        <v>4088</v>
      </c>
      <c r="K805" s="57">
        <v>35.65</v>
      </c>
      <c r="L805" s="56" t="s">
        <v>1914</v>
      </c>
      <c r="M805" s="56" t="s">
        <v>1123</v>
      </c>
      <c r="N805" s="56" t="s">
        <v>151</v>
      </c>
      <c r="O805" s="58">
        <v>6</v>
      </c>
      <c r="P805" s="59" t="s">
        <v>2515</v>
      </c>
      <c r="Q805" s="56" t="s">
        <v>11</v>
      </c>
      <c r="U805" s="52">
        <v>1119129</v>
      </c>
      <c r="V805">
        <v>25.4</v>
      </c>
      <c r="W805">
        <v>0</v>
      </c>
      <c r="X805">
        <v>1.6</v>
      </c>
      <c r="Y805">
        <v>0.36</v>
      </c>
      <c r="Z805" t="s">
        <v>1914</v>
      </c>
      <c r="AA805" t="s">
        <v>963</v>
      </c>
      <c r="AB805" t="s">
        <v>2520</v>
      </c>
      <c r="AC805" t="s">
        <v>468</v>
      </c>
      <c r="AD805" t="s">
        <v>2171</v>
      </c>
      <c r="AE805" t="s">
        <v>4302</v>
      </c>
      <c r="AF805">
        <v>0.33790821119999997</v>
      </c>
    </row>
    <row r="806" spans="1:32" x14ac:dyDescent="0.25">
      <c r="A806" s="56">
        <v>3191790</v>
      </c>
      <c r="B806" s="56" t="s">
        <v>1727</v>
      </c>
      <c r="C806" s="56" t="s">
        <v>4243</v>
      </c>
      <c r="D806" s="57"/>
      <c r="E806" s="57">
        <v>67.2</v>
      </c>
      <c r="F806" s="57">
        <v>6.720000000000001E-2</v>
      </c>
      <c r="G806" s="56" t="s">
        <v>392</v>
      </c>
      <c r="H806" s="56" t="s">
        <v>2511</v>
      </c>
      <c r="I806" s="56" t="s">
        <v>1835</v>
      </c>
      <c r="J806" s="56" t="s">
        <v>4005</v>
      </c>
      <c r="K806" s="57">
        <v>28.238</v>
      </c>
      <c r="L806" s="56" t="s">
        <v>1914</v>
      </c>
      <c r="M806" s="56" t="s">
        <v>1123</v>
      </c>
      <c r="N806" s="56" t="s">
        <v>151</v>
      </c>
      <c r="O806" s="58">
        <v>13</v>
      </c>
      <c r="P806" s="59" t="s">
        <v>2515</v>
      </c>
      <c r="Q806" s="56" t="s">
        <v>11</v>
      </c>
      <c r="U806" s="52">
        <v>1940562</v>
      </c>
      <c r="V806">
        <v>25.4</v>
      </c>
      <c r="W806">
        <v>0</v>
      </c>
      <c r="X806">
        <v>1.6</v>
      </c>
      <c r="Y806">
        <v>0.36</v>
      </c>
      <c r="Z806" t="s">
        <v>1891</v>
      </c>
      <c r="AA806" t="s">
        <v>1003</v>
      </c>
      <c r="AB806" t="s">
        <v>2520</v>
      </c>
      <c r="AC806" t="s">
        <v>1007</v>
      </c>
      <c r="AD806" t="s">
        <v>2171</v>
      </c>
      <c r="AE806" t="s">
        <v>4304</v>
      </c>
      <c r="AF806">
        <v>0.33790821119999997</v>
      </c>
    </row>
    <row r="807" spans="1:32" x14ac:dyDescent="0.25">
      <c r="A807" s="56">
        <v>3191790</v>
      </c>
      <c r="B807" s="56" t="s">
        <v>1727</v>
      </c>
      <c r="C807" s="56" t="s">
        <v>4312</v>
      </c>
      <c r="D807" s="57"/>
      <c r="E807" s="57">
        <v>156.19999999999999</v>
      </c>
      <c r="F807" s="57">
        <v>0.15619999999999998</v>
      </c>
      <c r="G807" s="56" t="s">
        <v>392</v>
      </c>
      <c r="H807" s="56" t="s">
        <v>2511</v>
      </c>
      <c r="I807" s="56" t="s">
        <v>1835</v>
      </c>
      <c r="J807" s="56" t="s">
        <v>4313</v>
      </c>
      <c r="K807" s="57">
        <v>65.635999999999996</v>
      </c>
      <c r="L807" s="56" t="s">
        <v>1914</v>
      </c>
      <c r="M807" s="56" t="s">
        <v>1123</v>
      </c>
      <c r="N807" s="56" t="s">
        <v>151</v>
      </c>
      <c r="O807" s="58">
        <v>13</v>
      </c>
      <c r="P807" s="59" t="s">
        <v>2515</v>
      </c>
      <c r="Q807" s="56" t="s">
        <v>11</v>
      </c>
      <c r="U807" s="52">
        <v>249132</v>
      </c>
      <c r="V807">
        <v>25.4</v>
      </c>
      <c r="W807">
        <v>0</v>
      </c>
      <c r="X807">
        <v>1.6</v>
      </c>
      <c r="Y807">
        <v>0.41199999999999998</v>
      </c>
      <c r="Z807" t="s">
        <v>3450</v>
      </c>
      <c r="AA807" t="s">
        <v>963</v>
      </c>
      <c r="AB807" t="s">
        <v>2520</v>
      </c>
      <c r="AC807" t="s">
        <v>468</v>
      </c>
      <c r="AD807" t="s">
        <v>2171</v>
      </c>
      <c r="AE807" t="s">
        <v>4306</v>
      </c>
      <c r="AF807">
        <v>0.38671717503999997</v>
      </c>
    </row>
    <row r="808" spans="1:32" x14ac:dyDescent="0.25">
      <c r="A808" s="56">
        <v>3191790</v>
      </c>
      <c r="B808" s="56" t="s">
        <v>1727</v>
      </c>
      <c r="C808" s="56" t="s">
        <v>4315</v>
      </c>
      <c r="D808" s="57"/>
      <c r="E808" s="57">
        <v>81.5</v>
      </c>
      <c r="F808" s="57">
        <v>8.1500000000000003E-2</v>
      </c>
      <c r="G808" s="56" t="s">
        <v>392</v>
      </c>
      <c r="H808" s="56" t="s">
        <v>2511</v>
      </c>
      <c r="I808" s="56" t="s">
        <v>1835</v>
      </c>
      <c r="J808" s="56" t="s">
        <v>3197</v>
      </c>
      <c r="K808" s="57">
        <v>34.247</v>
      </c>
      <c r="L808" s="56" t="s">
        <v>1914</v>
      </c>
      <c r="M808" s="56" t="s">
        <v>1123</v>
      </c>
      <c r="N808" s="56" t="s">
        <v>151</v>
      </c>
      <c r="O808" s="58">
        <v>6</v>
      </c>
      <c r="P808" s="59" t="s">
        <v>2515</v>
      </c>
      <c r="Q808" s="56" t="s">
        <v>11</v>
      </c>
      <c r="U808" s="52">
        <v>3677047</v>
      </c>
      <c r="V808">
        <v>25.4</v>
      </c>
      <c r="W808">
        <v>0</v>
      </c>
      <c r="X808">
        <v>1.6</v>
      </c>
      <c r="Y808">
        <v>0.41199999999999998</v>
      </c>
      <c r="Z808" t="s">
        <v>1891</v>
      </c>
      <c r="AA808" t="s">
        <v>963</v>
      </c>
      <c r="AB808" t="s">
        <v>2520</v>
      </c>
      <c r="AC808" t="s">
        <v>468</v>
      </c>
      <c r="AD808" t="s">
        <v>2171</v>
      </c>
      <c r="AE808" t="s">
        <v>4306</v>
      </c>
      <c r="AF808">
        <v>0.38671717503999997</v>
      </c>
    </row>
    <row r="809" spans="1:32" x14ac:dyDescent="0.25">
      <c r="A809" s="56">
        <v>3191790</v>
      </c>
      <c r="B809" s="56" t="s">
        <v>1727</v>
      </c>
      <c r="C809" s="56" t="s">
        <v>4316</v>
      </c>
      <c r="D809" s="57"/>
      <c r="E809" s="57">
        <v>97.5</v>
      </c>
      <c r="F809" s="57">
        <v>9.7500000000000003E-2</v>
      </c>
      <c r="G809" s="56" t="s">
        <v>392</v>
      </c>
      <c r="H809" s="56" t="s">
        <v>2511</v>
      </c>
      <c r="I809" s="56" t="s">
        <v>1835</v>
      </c>
      <c r="J809" s="56" t="s">
        <v>3197</v>
      </c>
      <c r="K809" s="57">
        <v>40.97</v>
      </c>
      <c r="L809" s="56" t="s">
        <v>1914</v>
      </c>
      <c r="M809" s="56" t="s">
        <v>1123</v>
      </c>
      <c r="N809" s="56" t="s">
        <v>151</v>
      </c>
      <c r="O809" s="58">
        <v>6</v>
      </c>
      <c r="P809" s="59" t="s">
        <v>2515</v>
      </c>
      <c r="Q809" s="56" t="s">
        <v>11</v>
      </c>
      <c r="U809" s="52">
        <v>1448370</v>
      </c>
      <c r="V809">
        <v>25.4</v>
      </c>
      <c r="W809">
        <v>0</v>
      </c>
      <c r="X809">
        <v>1.6</v>
      </c>
      <c r="Y809">
        <v>0.41199999999999998</v>
      </c>
      <c r="Z809" t="s">
        <v>1914</v>
      </c>
      <c r="AA809" t="s">
        <v>963</v>
      </c>
      <c r="AB809" t="s">
        <v>2520</v>
      </c>
      <c r="AC809" t="s">
        <v>468</v>
      </c>
      <c r="AD809" t="s">
        <v>2171</v>
      </c>
      <c r="AE809" t="s">
        <v>4306</v>
      </c>
      <c r="AF809">
        <v>0.38671717503999997</v>
      </c>
    </row>
    <row r="810" spans="1:32" x14ac:dyDescent="0.25">
      <c r="A810" s="56">
        <v>3219709</v>
      </c>
      <c r="B810" s="56" t="s">
        <v>1734</v>
      </c>
      <c r="C810" s="56" t="s">
        <v>4317</v>
      </c>
      <c r="D810" s="57"/>
      <c r="E810" s="57">
        <v>323.39999999999998</v>
      </c>
      <c r="F810" s="57">
        <v>0.32339999999999997</v>
      </c>
      <c r="G810" s="56" t="s">
        <v>392</v>
      </c>
      <c r="H810" s="56" t="s">
        <v>2511</v>
      </c>
      <c r="I810" s="56" t="s">
        <v>1835</v>
      </c>
      <c r="J810" s="56" t="s">
        <v>3760</v>
      </c>
      <c r="K810" s="57">
        <v>134.31299999999999</v>
      </c>
      <c r="L810" s="56" t="s">
        <v>1914</v>
      </c>
      <c r="M810" s="56" t="s">
        <v>1123</v>
      </c>
      <c r="N810" s="56" t="s">
        <v>39</v>
      </c>
      <c r="O810" s="58">
        <v>107</v>
      </c>
      <c r="P810" s="59" t="s">
        <v>2524</v>
      </c>
      <c r="Q810" s="56" t="s">
        <v>2516</v>
      </c>
      <c r="U810" s="52">
        <v>3551623</v>
      </c>
      <c r="V810">
        <v>25.4</v>
      </c>
      <c r="W810">
        <v>0</v>
      </c>
      <c r="X810">
        <v>1.6</v>
      </c>
      <c r="Y810">
        <v>0.41499999999999998</v>
      </c>
      <c r="Z810" t="s">
        <v>1868</v>
      </c>
      <c r="AA810" t="s">
        <v>1003</v>
      </c>
      <c r="AB810" t="s">
        <v>2520</v>
      </c>
      <c r="AC810" t="s">
        <v>1007</v>
      </c>
      <c r="AD810" t="s">
        <v>2171</v>
      </c>
      <c r="AE810" t="s">
        <v>4310</v>
      </c>
      <c r="AF810">
        <v>0.38953307679999999</v>
      </c>
    </row>
    <row r="811" spans="1:32" x14ac:dyDescent="0.25">
      <c r="A811" s="56">
        <v>3487459</v>
      </c>
      <c r="B811" s="56" t="s">
        <v>4318</v>
      </c>
      <c r="C811" s="56" t="s">
        <v>4319</v>
      </c>
      <c r="D811" s="57"/>
      <c r="E811" s="57">
        <v>1651.11</v>
      </c>
      <c r="F811" s="57">
        <v>1.6511099999999999</v>
      </c>
      <c r="G811" s="56" t="s">
        <v>392</v>
      </c>
      <c r="H811" s="56" t="s">
        <v>2511</v>
      </c>
      <c r="I811" s="56" t="s">
        <v>1835</v>
      </c>
      <c r="J811" s="56" t="s">
        <v>4320</v>
      </c>
      <c r="K811" s="57">
        <v>577.27099999999996</v>
      </c>
      <c r="L811" s="56" t="s">
        <v>1914</v>
      </c>
      <c r="M811" s="56" t="s">
        <v>1123</v>
      </c>
      <c r="N811" s="56" t="s">
        <v>126</v>
      </c>
      <c r="O811" s="58">
        <v>171</v>
      </c>
      <c r="P811" s="59" t="s">
        <v>2524</v>
      </c>
      <c r="Q811" s="56" t="s">
        <v>11</v>
      </c>
      <c r="U811" s="52">
        <v>2400891</v>
      </c>
      <c r="V811">
        <v>25.4</v>
      </c>
      <c r="W811">
        <v>0</v>
      </c>
      <c r="X811">
        <v>1.6</v>
      </c>
      <c r="Y811">
        <v>0.47</v>
      </c>
      <c r="Z811" t="s">
        <v>1952</v>
      </c>
      <c r="AA811" t="s">
        <v>963</v>
      </c>
      <c r="AB811" t="s">
        <v>2520</v>
      </c>
      <c r="AC811" t="s">
        <v>468</v>
      </c>
      <c r="AD811" t="s">
        <v>2171</v>
      </c>
      <c r="AE811" t="s">
        <v>4311</v>
      </c>
      <c r="AF811">
        <v>0.4411579424</v>
      </c>
    </row>
    <row r="812" spans="1:32" x14ac:dyDescent="0.25">
      <c r="A812" s="56">
        <v>3487459</v>
      </c>
      <c r="B812" s="56" t="s">
        <v>4318</v>
      </c>
      <c r="C812" s="56" t="s">
        <v>4321</v>
      </c>
      <c r="D812" s="57"/>
      <c r="E812" s="58">
        <v>2343</v>
      </c>
      <c r="F812" s="57">
        <v>2.343</v>
      </c>
      <c r="G812" s="56" t="s">
        <v>392</v>
      </c>
      <c r="H812" s="56" t="s">
        <v>2511</v>
      </c>
      <c r="I812" s="56" t="s">
        <v>1835</v>
      </c>
      <c r="J812" s="56" t="s">
        <v>3051</v>
      </c>
      <c r="K812" s="57">
        <v>819.173</v>
      </c>
      <c r="L812" s="56" t="s">
        <v>1914</v>
      </c>
      <c r="M812" s="56" t="s">
        <v>1123</v>
      </c>
      <c r="N812" s="56" t="s">
        <v>126</v>
      </c>
      <c r="O812" s="58">
        <v>76</v>
      </c>
      <c r="P812" s="59" t="s">
        <v>2579</v>
      </c>
      <c r="Q812" s="56" t="s">
        <v>11</v>
      </c>
      <c r="U812" s="52">
        <v>3727130</v>
      </c>
      <c r="V812">
        <v>25.4</v>
      </c>
      <c r="W812">
        <v>0</v>
      </c>
      <c r="X812">
        <v>1.6</v>
      </c>
      <c r="Y812">
        <v>0.51200000000000001</v>
      </c>
      <c r="Z812" t="s">
        <v>2821</v>
      </c>
      <c r="AA812" t="s">
        <v>963</v>
      </c>
      <c r="AB812" t="s">
        <v>2520</v>
      </c>
      <c r="AC812" t="s">
        <v>468</v>
      </c>
      <c r="AD812" t="s">
        <v>2171</v>
      </c>
      <c r="AE812" t="s">
        <v>4314</v>
      </c>
      <c r="AF812">
        <v>0.48058056704000002</v>
      </c>
    </row>
    <row r="813" spans="1:32" x14ac:dyDescent="0.25">
      <c r="A813" s="56">
        <v>3499828</v>
      </c>
      <c r="B813" s="56" t="s">
        <v>4322</v>
      </c>
      <c r="C813" s="56" t="s">
        <v>4323</v>
      </c>
      <c r="D813" s="57"/>
      <c r="E813" s="57">
        <v>932.62300000000005</v>
      </c>
      <c r="F813" s="57">
        <v>0.93262300000000009</v>
      </c>
      <c r="G813" s="56" t="s">
        <v>392</v>
      </c>
      <c r="H813" s="56" t="s">
        <v>2511</v>
      </c>
      <c r="I813" s="56" t="s">
        <v>1835</v>
      </c>
      <c r="J813" s="56" t="s">
        <v>1914</v>
      </c>
      <c r="K813" s="57">
        <v>319.512</v>
      </c>
      <c r="L813" s="56" t="s">
        <v>1914</v>
      </c>
      <c r="M813" s="56" t="s">
        <v>1123</v>
      </c>
      <c r="N813" s="56" t="s">
        <v>76</v>
      </c>
      <c r="O813" s="58">
        <v>84</v>
      </c>
      <c r="P813" s="59" t="s">
        <v>2579</v>
      </c>
      <c r="Q813" s="56" t="s">
        <v>2561</v>
      </c>
      <c r="U813" s="52">
        <v>2409618</v>
      </c>
      <c r="V813">
        <v>25.4</v>
      </c>
      <c r="W813">
        <v>0</v>
      </c>
      <c r="X813">
        <v>1.6</v>
      </c>
      <c r="Y813">
        <v>2.59</v>
      </c>
      <c r="Z813" t="s">
        <v>1868</v>
      </c>
      <c r="AA813" t="s">
        <v>963</v>
      </c>
      <c r="AB813" t="s">
        <v>2520</v>
      </c>
      <c r="AC813" t="s">
        <v>468</v>
      </c>
      <c r="AD813" t="s">
        <v>2171</v>
      </c>
      <c r="AE813" t="s">
        <v>470</v>
      </c>
      <c r="AF813">
        <v>2.4310618528000001</v>
      </c>
    </row>
    <row r="814" spans="1:32" x14ac:dyDescent="0.25">
      <c r="A814" s="56">
        <v>3499828</v>
      </c>
      <c r="B814" s="56" t="s">
        <v>4322</v>
      </c>
      <c r="C814" s="56" t="s">
        <v>4324</v>
      </c>
      <c r="D814" s="57"/>
      <c r="E814" s="57">
        <v>876.32</v>
      </c>
      <c r="F814" s="57">
        <v>0.8763200000000001</v>
      </c>
      <c r="G814" s="56" t="s">
        <v>392</v>
      </c>
      <c r="H814" s="56" t="s">
        <v>2511</v>
      </c>
      <c r="I814" s="56" t="s">
        <v>1835</v>
      </c>
      <c r="J814" s="56" t="s">
        <v>1914</v>
      </c>
      <c r="K814" s="57">
        <v>300.22300000000001</v>
      </c>
      <c r="L814" s="56" t="s">
        <v>1914</v>
      </c>
      <c r="M814" s="56" t="s">
        <v>1123</v>
      </c>
      <c r="N814" s="56" t="s">
        <v>76</v>
      </c>
      <c r="O814" s="58">
        <v>34</v>
      </c>
      <c r="P814" s="59" t="s">
        <v>2532</v>
      </c>
      <c r="Q814" s="56" t="s">
        <v>2561</v>
      </c>
      <c r="U814" s="538">
        <v>111001994</v>
      </c>
      <c r="V814">
        <v>25.4</v>
      </c>
      <c r="W814">
        <v>0</v>
      </c>
      <c r="X814">
        <v>1.6</v>
      </c>
      <c r="Y814">
        <v>5.27</v>
      </c>
      <c r="Z814" t="s">
        <v>1891</v>
      </c>
      <c r="AA814" t="s">
        <v>963</v>
      </c>
      <c r="AB814" t="s">
        <v>2520</v>
      </c>
      <c r="AC814" t="s">
        <v>468</v>
      </c>
      <c r="AD814" t="s">
        <v>1838</v>
      </c>
      <c r="AE814" t="s">
        <v>2180</v>
      </c>
      <c r="AF814">
        <v>0.93863392000000001</v>
      </c>
    </row>
    <row r="815" spans="1:32" x14ac:dyDescent="0.25">
      <c r="A815" s="56">
        <v>3499828</v>
      </c>
      <c r="B815" s="56" t="s">
        <v>4322</v>
      </c>
      <c r="C815" s="56" t="s">
        <v>4325</v>
      </c>
      <c r="D815" s="57"/>
      <c r="E815" s="57">
        <v>943.36</v>
      </c>
      <c r="F815" s="57">
        <v>0.94335999999999998</v>
      </c>
      <c r="G815" s="56" t="s">
        <v>392</v>
      </c>
      <c r="H815" s="56" t="s">
        <v>2511</v>
      </c>
      <c r="I815" s="56" t="s">
        <v>1835</v>
      </c>
      <c r="J815" s="56" t="s">
        <v>1914</v>
      </c>
      <c r="K815" s="57">
        <v>323.19</v>
      </c>
      <c r="L815" s="56" t="s">
        <v>1914</v>
      </c>
      <c r="M815" s="56" t="s">
        <v>1123</v>
      </c>
      <c r="N815" s="56" t="s">
        <v>76</v>
      </c>
      <c r="O815" s="58">
        <v>34</v>
      </c>
      <c r="P815" s="59" t="s">
        <v>2532</v>
      </c>
      <c r="Q815" s="56" t="s">
        <v>2561</v>
      </c>
      <c r="U815" s="52">
        <v>4187875</v>
      </c>
      <c r="V815">
        <v>25.4</v>
      </c>
      <c r="W815">
        <v>0</v>
      </c>
      <c r="X815">
        <v>1.6</v>
      </c>
      <c r="Y815">
        <v>5.27</v>
      </c>
      <c r="Z815" t="s">
        <v>1868</v>
      </c>
      <c r="AA815" t="s">
        <v>963</v>
      </c>
      <c r="AB815" t="s">
        <v>2520</v>
      </c>
      <c r="AC815" t="s">
        <v>468</v>
      </c>
      <c r="AD815" t="s">
        <v>1838</v>
      </c>
      <c r="AE815" t="s">
        <v>2180</v>
      </c>
      <c r="AF815">
        <v>0.93863392000000001</v>
      </c>
    </row>
    <row r="816" spans="1:32" x14ac:dyDescent="0.25">
      <c r="A816" s="56">
        <v>3500641</v>
      </c>
      <c r="B816" s="56" t="s">
        <v>3977</v>
      </c>
      <c r="C816" s="56" t="s">
        <v>4327</v>
      </c>
      <c r="D816" s="57"/>
      <c r="E816" s="58">
        <v>711</v>
      </c>
      <c r="F816" s="57">
        <v>0.71099999999999997</v>
      </c>
      <c r="G816" s="56" t="s">
        <v>392</v>
      </c>
      <c r="H816" s="56" t="s">
        <v>2511</v>
      </c>
      <c r="I816" s="56" t="s">
        <v>1835</v>
      </c>
      <c r="J816" s="56" t="s">
        <v>3584</v>
      </c>
      <c r="K816" s="57">
        <v>309.75</v>
      </c>
      <c r="L816" s="56" t="s">
        <v>1914</v>
      </c>
      <c r="M816" s="56" t="s">
        <v>1123</v>
      </c>
      <c r="N816" s="56" t="s">
        <v>151</v>
      </c>
      <c r="O816" s="58">
        <v>16</v>
      </c>
      <c r="P816" s="59" t="s">
        <v>2515</v>
      </c>
      <c r="Q816" s="56" t="s">
        <v>11</v>
      </c>
      <c r="U816" s="52">
        <v>1940571</v>
      </c>
      <c r="V816">
        <v>25.4</v>
      </c>
      <c r="W816">
        <v>0</v>
      </c>
      <c r="X816">
        <v>1.6</v>
      </c>
      <c r="Y816">
        <v>5.9</v>
      </c>
      <c r="Z816" t="s">
        <v>1881</v>
      </c>
      <c r="AA816" t="s">
        <v>963</v>
      </c>
      <c r="AB816" t="s">
        <v>2520</v>
      </c>
      <c r="AC816" t="s">
        <v>468</v>
      </c>
      <c r="AD816" t="s">
        <v>1838</v>
      </c>
      <c r="AE816" t="s">
        <v>2180</v>
      </c>
      <c r="AF816">
        <v>0.93863392000000001</v>
      </c>
    </row>
    <row r="817" spans="1:32" x14ac:dyDescent="0.25">
      <c r="A817" s="56">
        <v>3500650</v>
      </c>
      <c r="B817" s="56" t="s">
        <v>1694</v>
      </c>
      <c r="C817" s="56" t="s">
        <v>4328</v>
      </c>
      <c r="D817" s="57"/>
      <c r="E817" s="58">
        <v>2353</v>
      </c>
      <c r="F817" s="57">
        <v>2.3530000000000002</v>
      </c>
      <c r="G817" s="56" t="s">
        <v>392</v>
      </c>
      <c r="H817" s="56" t="s">
        <v>2511</v>
      </c>
      <c r="I817" s="56" t="s">
        <v>1835</v>
      </c>
      <c r="J817" s="56" t="s">
        <v>3126</v>
      </c>
      <c r="K817" s="57">
        <v>695.41300000000001</v>
      </c>
      <c r="L817" s="56" t="s">
        <v>1914</v>
      </c>
      <c r="M817" s="56" t="s">
        <v>1123</v>
      </c>
      <c r="N817" s="56" t="s">
        <v>151</v>
      </c>
      <c r="O817" s="58">
        <v>11</v>
      </c>
      <c r="P817" s="59" t="s">
        <v>2515</v>
      </c>
      <c r="Q817" s="56" t="s">
        <v>11</v>
      </c>
      <c r="U817" s="52">
        <v>3929632</v>
      </c>
      <c r="V817">
        <v>25.4</v>
      </c>
      <c r="W817">
        <v>0</v>
      </c>
      <c r="X817">
        <v>1.6</v>
      </c>
      <c r="Y817">
        <v>5.91</v>
      </c>
      <c r="Z817" t="s">
        <v>1868</v>
      </c>
      <c r="AA817" t="s">
        <v>963</v>
      </c>
      <c r="AB817" t="s">
        <v>2520</v>
      </c>
      <c r="AC817" t="s">
        <v>468</v>
      </c>
      <c r="AD817" t="s">
        <v>1838</v>
      </c>
      <c r="AE817" t="s">
        <v>2180</v>
      </c>
      <c r="AF817">
        <v>0.93863392000000001</v>
      </c>
    </row>
    <row r="818" spans="1:32" x14ac:dyDescent="0.25">
      <c r="A818" s="56">
        <v>3500650</v>
      </c>
      <c r="B818" s="56" t="s">
        <v>1694</v>
      </c>
      <c r="C818" s="56" t="s">
        <v>4329</v>
      </c>
      <c r="D818" s="57"/>
      <c r="E818" s="58">
        <v>2299</v>
      </c>
      <c r="F818" s="57">
        <v>2.2989999999999999</v>
      </c>
      <c r="G818" s="56" t="s">
        <v>392</v>
      </c>
      <c r="H818" s="56" t="s">
        <v>2511</v>
      </c>
      <c r="I818" s="56" t="s">
        <v>1835</v>
      </c>
      <c r="J818" s="56" t="s">
        <v>3126</v>
      </c>
      <c r="K818" s="57">
        <v>679.45399999999995</v>
      </c>
      <c r="L818" s="56" t="s">
        <v>1914</v>
      </c>
      <c r="M818" s="56" t="s">
        <v>1123</v>
      </c>
      <c r="N818" s="56" t="s">
        <v>151</v>
      </c>
      <c r="O818" s="58">
        <v>11</v>
      </c>
      <c r="P818" s="59" t="s">
        <v>2515</v>
      </c>
      <c r="Q818" s="56" t="s">
        <v>11</v>
      </c>
      <c r="U818" s="52">
        <v>3500097</v>
      </c>
      <c r="V818">
        <v>25.4</v>
      </c>
      <c r="W818">
        <v>0</v>
      </c>
      <c r="X818">
        <v>1.6</v>
      </c>
      <c r="Y818">
        <v>6</v>
      </c>
      <c r="Z818" t="s">
        <v>3450</v>
      </c>
      <c r="AA818" t="s">
        <v>963</v>
      </c>
      <c r="AB818" t="s">
        <v>2520</v>
      </c>
      <c r="AC818" t="s">
        <v>468</v>
      </c>
      <c r="AD818" t="s">
        <v>1838</v>
      </c>
      <c r="AE818" t="s">
        <v>2180</v>
      </c>
      <c r="AF818">
        <v>0.93863392000000001</v>
      </c>
    </row>
    <row r="819" spans="1:32" x14ac:dyDescent="0.25">
      <c r="A819" s="56">
        <v>3500650</v>
      </c>
      <c r="B819" s="56" t="s">
        <v>1694</v>
      </c>
      <c r="C819" s="56" t="s">
        <v>4330</v>
      </c>
      <c r="D819" s="57"/>
      <c r="E819" s="58">
        <v>2258</v>
      </c>
      <c r="F819" s="57">
        <v>2.258</v>
      </c>
      <c r="G819" s="56" t="s">
        <v>392</v>
      </c>
      <c r="H819" s="56" t="s">
        <v>2511</v>
      </c>
      <c r="I819" s="56" t="s">
        <v>1835</v>
      </c>
      <c r="J819" s="56" t="s">
        <v>4050</v>
      </c>
      <c r="K819" s="57">
        <v>667.33699999999999</v>
      </c>
      <c r="L819" s="56" t="s">
        <v>1914</v>
      </c>
      <c r="M819" s="56" t="s">
        <v>1123</v>
      </c>
      <c r="N819" s="56" t="s">
        <v>151</v>
      </c>
      <c r="O819" s="58">
        <v>11</v>
      </c>
      <c r="P819" s="59" t="s">
        <v>2515</v>
      </c>
      <c r="Q819" s="56" t="s">
        <v>11</v>
      </c>
      <c r="U819" s="52">
        <v>1940574</v>
      </c>
      <c r="V819">
        <v>25.4</v>
      </c>
      <c r="W819">
        <v>0</v>
      </c>
      <c r="X819">
        <v>1.6</v>
      </c>
      <c r="Y819">
        <v>6</v>
      </c>
      <c r="Z819" t="s">
        <v>1891</v>
      </c>
      <c r="AA819" t="s">
        <v>963</v>
      </c>
      <c r="AB819" t="s">
        <v>2520</v>
      </c>
      <c r="AC819" t="s">
        <v>468</v>
      </c>
      <c r="AD819" t="s">
        <v>1838</v>
      </c>
      <c r="AE819" t="s">
        <v>2180</v>
      </c>
      <c r="AF819">
        <v>0.93863392000000001</v>
      </c>
    </row>
    <row r="820" spans="1:32" x14ac:dyDescent="0.25">
      <c r="A820" s="56">
        <v>3500650</v>
      </c>
      <c r="B820" s="56" t="s">
        <v>1694</v>
      </c>
      <c r="C820" s="56" t="s">
        <v>4331</v>
      </c>
      <c r="D820" s="57"/>
      <c r="E820" s="58">
        <v>1995</v>
      </c>
      <c r="F820" s="57">
        <v>1.9950000000000001</v>
      </c>
      <c r="G820" s="56" t="s">
        <v>392</v>
      </c>
      <c r="H820" s="56" t="s">
        <v>2511</v>
      </c>
      <c r="I820" s="56" t="s">
        <v>1835</v>
      </c>
      <c r="J820" s="56" t="s">
        <v>3618</v>
      </c>
      <c r="K820" s="57">
        <v>589.60900000000004</v>
      </c>
      <c r="L820" s="56" t="s">
        <v>1914</v>
      </c>
      <c r="M820" s="56" t="s">
        <v>1123</v>
      </c>
      <c r="N820" s="56" t="s">
        <v>151</v>
      </c>
      <c r="O820" s="58">
        <v>11</v>
      </c>
      <c r="P820" s="59" t="s">
        <v>2515</v>
      </c>
      <c r="Q820" s="56" t="s">
        <v>11</v>
      </c>
      <c r="U820" s="52">
        <v>1940572</v>
      </c>
      <c r="V820">
        <v>25.4</v>
      </c>
      <c r="W820">
        <v>0</v>
      </c>
      <c r="X820">
        <v>1.6</v>
      </c>
      <c r="Y820">
        <v>6</v>
      </c>
      <c r="Z820" t="s">
        <v>1891</v>
      </c>
      <c r="AA820" t="s">
        <v>1003</v>
      </c>
      <c r="AB820" t="s">
        <v>2520</v>
      </c>
      <c r="AC820" t="s">
        <v>1007</v>
      </c>
      <c r="AD820" t="s">
        <v>1838</v>
      </c>
      <c r="AE820" t="s">
        <v>4326</v>
      </c>
      <c r="AF820">
        <v>0.93863392000000001</v>
      </c>
    </row>
    <row r="821" spans="1:32" x14ac:dyDescent="0.25">
      <c r="A821" s="56">
        <v>3500714</v>
      </c>
      <c r="B821" s="56" t="s">
        <v>1922</v>
      </c>
      <c r="C821" s="56" t="s">
        <v>4333</v>
      </c>
      <c r="D821" s="57"/>
      <c r="E821" s="57">
        <v>116.29300000000001</v>
      </c>
      <c r="F821" s="57">
        <v>0.11629300000000001</v>
      </c>
      <c r="G821" s="56" t="s">
        <v>392</v>
      </c>
      <c r="H821" s="56" t="s">
        <v>2511</v>
      </c>
      <c r="I821" s="56" t="s">
        <v>1835</v>
      </c>
      <c r="J821" s="56" t="s">
        <v>3787</v>
      </c>
      <c r="K821" s="57">
        <v>30.462</v>
      </c>
      <c r="L821" s="56" t="s">
        <v>1914</v>
      </c>
      <c r="M821" s="56" t="s">
        <v>1123</v>
      </c>
      <c r="N821" s="56" t="s">
        <v>72</v>
      </c>
      <c r="O821" s="58">
        <v>24</v>
      </c>
      <c r="P821" s="59" t="s">
        <v>2515</v>
      </c>
      <c r="Q821" s="56" t="s">
        <v>11</v>
      </c>
      <c r="U821">
        <v>1900760</v>
      </c>
      <c r="V821">
        <v>25.4</v>
      </c>
      <c r="W821">
        <v>0</v>
      </c>
      <c r="X821">
        <v>1.6</v>
      </c>
      <c r="Y821">
        <v>6</v>
      </c>
      <c r="Z821" t="s">
        <v>1952</v>
      </c>
      <c r="AA821" t="s">
        <v>963</v>
      </c>
      <c r="AB821" t="s">
        <v>2520</v>
      </c>
      <c r="AC821" t="s">
        <v>1007</v>
      </c>
      <c r="AD821" t="s">
        <v>1838</v>
      </c>
      <c r="AE821" t="s">
        <v>4326</v>
      </c>
      <c r="AF821">
        <v>0.93863392000000001</v>
      </c>
    </row>
    <row r="822" spans="1:32" x14ac:dyDescent="0.25">
      <c r="A822" s="56">
        <v>3500714</v>
      </c>
      <c r="B822" s="56" t="s">
        <v>1922</v>
      </c>
      <c r="C822" s="56" t="s">
        <v>4335</v>
      </c>
      <c r="D822" s="57"/>
      <c r="E822" s="58">
        <v>2309</v>
      </c>
      <c r="F822" s="57">
        <v>2.3090000000000002</v>
      </c>
      <c r="G822" s="56" t="s">
        <v>392</v>
      </c>
      <c r="H822" s="56" t="s">
        <v>2511</v>
      </c>
      <c r="I822" s="56" t="s">
        <v>1835</v>
      </c>
      <c r="J822" s="56" t="s">
        <v>3787</v>
      </c>
      <c r="K822" s="57">
        <v>604.83000000000004</v>
      </c>
      <c r="L822" s="56" t="s">
        <v>1914</v>
      </c>
      <c r="M822" s="56" t="s">
        <v>1123</v>
      </c>
      <c r="N822" s="56" t="s">
        <v>72</v>
      </c>
      <c r="O822" s="58">
        <v>24</v>
      </c>
      <c r="P822" s="59" t="s">
        <v>2515</v>
      </c>
      <c r="Q822" s="56" t="s">
        <v>11</v>
      </c>
      <c r="U822" s="538">
        <v>111116489</v>
      </c>
      <c r="V822">
        <v>25.4</v>
      </c>
      <c r="W822">
        <v>0</v>
      </c>
      <c r="X822">
        <v>1.6</v>
      </c>
      <c r="Y822">
        <v>6.2</v>
      </c>
      <c r="Z822" t="s">
        <v>1891</v>
      </c>
      <c r="AA822" t="s">
        <v>963</v>
      </c>
      <c r="AB822" t="s">
        <v>2520</v>
      </c>
      <c r="AC822" t="s">
        <v>1007</v>
      </c>
      <c r="AD822" t="s">
        <v>1838</v>
      </c>
      <c r="AE822" t="s">
        <v>4326</v>
      </c>
      <c r="AF822">
        <v>0.93863392000000001</v>
      </c>
    </row>
    <row r="823" spans="1:32" x14ac:dyDescent="0.25">
      <c r="A823" s="56">
        <v>3500714</v>
      </c>
      <c r="B823" s="56" t="s">
        <v>1922</v>
      </c>
      <c r="C823" s="56" t="s">
        <v>4336</v>
      </c>
      <c r="D823" s="57"/>
      <c r="E823" s="57">
        <v>673.24400000000003</v>
      </c>
      <c r="F823" s="57">
        <v>0.67324400000000006</v>
      </c>
      <c r="G823" s="56" t="s">
        <v>392</v>
      </c>
      <c r="H823" s="56" t="s">
        <v>2511</v>
      </c>
      <c r="I823" s="56" t="s">
        <v>1835</v>
      </c>
      <c r="J823" s="56" t="s">
        <v>4050</v>
      </c>
      <c r="K823" s="57">
        <v>176.35300000000001</v>
      </c>
      <c r="L823" s="56" t="s">
        <v>1914</v>
      </c>
      <c r="M823" s="56" t="s">
        <v>1123</v>
      </c>
      <c r="N823" s="56" t="s">
        <v>72</v>
      </c>
      <c r="O823" s="58">
        <v>24</v>
      </c>
      <c r="P823" s="59" t="s">
        <v>2515</v>
      </c>
      <c r="Q823" s="56" t="s">
        <v>11</v>
      </c>
      <c r="U823">
        <v>3673031</v>
      </c>
      <c r="V823">
        <v>25.4</v>
      </c>
      <c r="W823">
        <v>0</v>
      </c>
      <c r="X823">
        <v>1.63</v>
      </c>
      <c r="Y823" s="43">
        <v>2.58</v>
      </c>
      <c r="Z823" t="s">
        <v>1868</v>
      </c>
      <c r="AA823" t="s">
        <v>963</v>
      </c>
      <c r="AB823" t="s">
        <v>2520</v>
      </c>
      <c r="AC823" t="s">
        <v>468</v>
      </c>
      <c r="AD823" t="s">
        <v>2171</v>
      </c>
      <c r="AE823" t="s">
        <v>793</v>
      </c>
      <c r="AF823">
        <v>2.4639721623419995</v>
      </c>
    </row>
    <row r="824" spans="1:32" x14ac:dyDescent="0.25">
      <c r="A824" s="56">
        <v>3500714</v>
      </c>
      <c r="B824" s="56" t="s">
        <v>1922</v>
      </c>
      <c r="C824" s="56" t="s">
        <v>4338</v>
      </c>
      <c r="D824" s="57"/>
      <c r="E824" s="58">
        <v>2331</v>
      </c>
      <c r="F824" s="57">
        <v>2.331</v>
      </c>
      <c r="G824" s="56" t="s">
        <v>392</v>
      </c>
      <c r="H824" s="56" t="s">
        <v>2511</v>
      </c>
      <c r="I824" s="56" t="s">
        <v>1835</v>
      </c>
      <c r="J824" s="56" t="s">
        <v>4050</v>
      </c>
      <c r="K824" s="57">
        <v>610.59299999999996</v>
      </c>
      <c r="L824" s="56" t="s">
        <v>1914</v>
      </c>
      <c r="M824" s="56" t="s">
        <v>1123</v>
      </c>
      <c r="N824" s="56" t="s">
        <v>72</v>
      </c>
      <c r="O824" s="58">
        <v>3</v>
      </c>
      <c r="P824" s="59" t="s">
        <v>2515</v>
      </c>
      <c r="Q824" s="56" t="s">
        <v>11</v>
      </c>
      <c r="U824">
        <v>3605861</v>
      </c>
      <c r="V824">
        <v>25.4</v>
      </c>
      <c r="W824">
        <v>0</v>
      </c>
      <c r="X824">
        <v>1.63</v>
      </c>
      <c r="Y824">
        <v>2.58</v>
      </c>
      <c r="Z824" t="s">
        <v>1868</v>
      </c>
      <c r="AA824" t="s">
        <v>963</v>
      </c>
      <c r="AB824" t="s">
        <v>2520</v>
      </c>
      <c r="AC824" t="s">
        <v>468</v>
      </c>
      <c r="AD824" t="s">
        <v>2171</v>
      </c>
      <c r="AE824" t="s">
        <v>793</v>
      </c>
      <c r="AF824">
        <v>2.4639721623419995</v>
      </c>
    </row>
    <row r="825" spans="1:32" x14ac:dyDescent="0.25">
      <c r="A825" s="56">
        <v>3500714</v>
      </c>
      <c r="B825" s="56" t="s">
        <v>1922</v>
      </c>
      <c r="C825" s="56" t="s">
        <v>4339</v>
      </c>
      <c r="D825" s="57"/>
      <c r="E825" s="58">
        <v>2330</v>
      </c>
      <c r="F825" s="57">
        <v>2.33</v>
      </c>
      <c r="G825" s="56" t="s">
        <v>392</v>
      </c>
      <c r="H825" s="56" t="s">
        <v>2511</v>
      </c>
      <c r="I825" s="56" t="s">
        <v>1835</v>
      </c>
      <c r="J825" s="56" t="s">
        <v>4050</v>
      </c>
      <c r="K825" s="57">
        <v>610.33100000000002</v>
      </c>
      <c r="L825" s="56" t="s">
        <v>1914</v>
      </c>
      <c r="M825" s="56" t="s">
        <v>1123</v>
      </c>
      <c r="N825" s="56" t="s">
        <v>72</v>
      </c>
      <c r="O825" s="58">
        <v>3</v>
      </c>
      <c r="P825" s="59" t="s">
        <v>2515</v>
      </c>
      <c r="Q825" s="56" t="s">
        <v>11</v>
      </c>
      <c r="U825" s="52">
        <v>4229656</v>
      </c>
      <c r="V825">
        <v>25.4</v>
      </c>
      <c r="W825">
        <v>0</v>
      </c>
      <c r="X825">
        <v>2</v>
      </c>
      <c r="Y825">
        <v>0.21299999999999999</v>
      </c>
      <c r="Z825" t="s">
        <v>1891</v>
      </c>
      <c r="AA825" t="s">
        <v>1003</v>
      </c>
      <c r="AB825" t="s">
        <v>2520</v>
      </c>
      <c r="AC825" t="s">
        <v>737</v>
      </c>
      <c r="AD825" t="s">
        <v>2171</v>
      </c>
      <c r="AE825" t="s">
        <v>4332</v>
      </c>
      <c r="AF825">
        <v>0.24571109160000001</v>
      </c>
    </row>
    <row r="826" spans="1:32" x14ac:dyDescent="0.25">
      <c r="A826" s="56">
        <v>3500714</v>
      </c>
      <c r="B826" s="56" t="s">
        <v>1922</v>
      </c>
      <c r="C826" s="56" t="s">
        <v>4340</v>
      </c>
      <c r="D826" s="57"/>
      <c r="E826" s="58">
        <v>2330</v>
      </c>
      <c r="F826" s="57">
        <v>2.33</v>
      </c>
      <c r="G826" s="56" t="s">
        <v>392</v>
      </c>
      <c r="H826" s="56" t="s">
        <v>2511</v>
      </c>
      <c r="I826" s="56" t="s">
        <v>1835</v>
      </c>
      <c r="J826" s="56" t="s">
        <v>4050</v>
      </c>
      <c r="K826" s="57">
        <v>610.33100000000002</v>
      </c>
      <c r="L826" s="56" t="s">
        <v>1914</v>
      </c>
      <c r="M826" s="56" t="s">
        <v>1123</v>
      </c>
      <c r="N826" s="56" t="s">
        <v>72</v>
      </c>
      <c r="O826" s="58">
        <v>3</v>
      </c>
      <c r="P826" s="59" t="s">
        <v>2515</v>
      </c>
      <c r="Q826" s="56" t="s">
        <v>11</v>
      </c>
      <c r="U826" s="52">
        <v>3216121</v>
      </c>
      <c r="V826">
        <v>25.4</v>
      </c>
      <c r="W826">
        <v>0</v>
      </c>
      <c r="X826">
        <v>2</v>
      </c>
      <c r="Y826">
        <v>0.22800000000000001</v>
      </c>
      <c r="Z826" t="s">
        <v>1881</v>
      </c>
      <c r="AA826" t="s">
        <v>1003</v>
      </c>
      <c r="AB826" t="s">
        <v>2520</v>
      </c>
      <c r="AC826" t="s">
        <v>737</v>
      </c>
      <c r="AD826" t="s">
        <v>2171</v>
      </c>
      <c r="AE826" t="s">
        <v>4334</v>
      </c>
      <c r="AF826">
        <v>0.26301468960000002</v>
      </c>
    </row>
    <row r="827" spans="1:32" x14ac:dyDescent="0.25">
      <c r="A827" s="56">
        <v>3500714</v>
      </c>
      <c r="B827" s="56" t="s">
        <v>1922</v>
      </c>
      <c r="C827" s="56" t="s">
        <v>4342</v>
      </c>
      <c r="D827" s="57"/>
      <c r="E827" s="58">
        <v>2288</v>
      </c>
      <c r="F827" s="57">
        <v>2.2879999999999998</v>
      </c>
      <c r="G827" s="56" t="s">
        <v>392</v>
      </c>
      <c r="H827" s="56" t="s">
        <v>2511</v>
      </c>
      <c r="I827" s="56" t="s">
        <v>1835</v>
      </c>
      <c r="J827" s="56" t="s">
        <v>4065</v>
      </c>
      <c r="K827" s="57">
        <v>599.32899999999995</v>
      </c>
      <c r="L827" s="56" t="s">
        <v>1914</v>
      </c>
      <c r="M827" s="56" t="s">
        <v>1123</v>
      </c>
      <c r="N827" s="56" t="s">
        <v>72</v>
      </c>
      <c r="O827" s="58">
        <v>3</v>
      </c>
      <c r="P827" s="59" t="s">
        <v>2515</v>
      </c>
      <c r="Q827" s="56" t="s">
        <v>11</v>
      </c>
      <c r="U827" s="52">
        <v>1940584</v>
      </c>
      <c r="V827">
        <v>25.4</v>
      </c>
      <c r="W827">
        <v>0</v>
      </c>
      <c r="X827">
        <v>2</v>
      </c>
      <c r="Y827">
        <v>0.28100000000000003</v>
      </c>
      <c r="Z827" t="s">
        <v>1891</v>
      </c>
      <c r="AA827" t="s">
        <v>1003</v>
      </c>
      <c r="AB827" t="s">
        <v>2520</v>
      </c>
      <c r="AC827" t="s">
        <v>737</v>
      </c>
      <c r="AD827" t="s">
        <v>2171</v>
      </c>
      <c r="AE827" t="s">
        <v>780</v>
      </c>
      <c r="AF827">
        <v>0.32415406920000006</v>
      </c>
    </row>
    <row r="828" spans="1:32" x14ac:dyDescent="0.25">
      <c r="A828" s="56">
        <v>3500714</v>
      </c>
      <c r="B828" s="56" t="s">
        <v>1922</v>
      </c>
      <c r="C828" s="56" t="s">
        <v>4345</v>
      </c>
      <c r="D828" s="57"/>
      <c r="E828" s="58">
        <v>2351</v>
      </c>
      <c r="F828" s="57">
        <v>2.351</v>
      </c>
      <c r="G828" s="56" t="s">
        <v>392</v>
      </c>
      <c r="H828" s="56" t="s">
        <v>2511</v>
      </c>
      <c r="I828" s="56" t="s">
        <v>1835</v>
      </c>
      <c r="J828" s="56" t="s">
        <v>4005</v>
      </c>
      <c r="K828" s="57">
        <v>615.83199999999999</v>
      </c>
      <c r="L828" s="56" t="s">
        <v>1914</v>
      </c>
      <c r="M828" s="56" t="s">
        <v>1123</v>
      </c>
      <c r="N828" s="56" t="s">
        <v>72</v>
      </c>
      <c r="O828" s="58">
        <v>3</v>
      </c>
      <c r="P828" s="59" t="s">
        <v>2515</v>
      </c>
      <c r="Q828" s="56" t="s">
        <v>11</v>
      </c>
      <c r="U828" s="52">
        <v>299981</v>
      </c>
      <c r="V828">
        <v>25.4</v>
      </c>
      <c r="W828">
        <v>0</v>
      </c>
      <c r="X828">
        <v>2</v>
      </c>
      <c r="Y828">
        <v>0.28100000000000003</v>
      </c>
      <c r="Z828" t="s">
        <v>2821</v>
      </c>
      <c r="AA828" t="s">
        <v>963</v>
      </c>
      <c r="AB828" t="s">
        <v>2520</v>
      </c>
      <c r="AC828" t="s">
        <v>1008</v>
      </c>
      <c r="AD828" t="s">
        <v>2171</v>
      </c>
      <c r="AE828" t="s">
        <v>4337</v>
      </c>
      <c r="AF828">
        <v>0.32415406920000006</v>
      </c>
    </row>
    <row r="829" spans="1:32" x14ac:dyDescent="0.25">
      <c r="A829" s="56">
        <v>3500714</v>
      </c>
      <c r="B829" s="56" t="s">
        <v>1922</v>
      </c>
      <c r="C829" s="56" t="s">
        <v>4269</v>
      </c>
      <c r="D829" s="57"/>
      <c r="E829" s="57">
        <v>1636.2919999999999</v>
      </c>
      <c r="F829" s="57">
        <v>1.6362919999999999</v>
      </c>
      <c r="G829" s="56" t="s">
        <v>392</v>
      </c>
      <c r="H829" s="56" t="s">
        <v>2511</v>
      </c>
      <c r="I829" s="56" t="s">
        <v>1835</v>
      </c>
      <c r="J829" s="56" t="s">
        <v>1914</v>
      </c>
      <c r="K829" s="57">
        <v>428.61799999999999</v>
      </c>
      <c r="L829" s="56" t="s">
        <v>1914</v>
      </c>
      <c r="M829" s="56" t="s">
        <v>1123</v>
      </c>
      <c r="N829" s="56" t="s">
        <v>72</v>
      </c>
      <c r="O829" s="58">
        <v>24</v>
      </c>
      <c r="P829" s="59" t="s">
        <v>2515</v>
      </c>
      <c r="Q829" s="56" t="s">
        <v>11</v>
      </c>
      <c r="U829" s="52">
        <v>3506206</v>
      </c>
      <c r="V829">
        <v>25.4</v>
      </c>
      <c r="W829">
        <v>0</v>
      </c>
      <c r="X829">
        <v>2</v>
      </c>
      <c r="Y829">
        <v>0.28100000000000003</v>
      </c>
      <c r="Z829" t="s">
        <v>1914</v>
      </c>
      <c r="AA829" t="s">
        <v>963</v>
      </c>
      <c r="AB829" t="s">
        <v>2520</v>
      </c>
      <c r="AC829" t="s">
        <v>1008</v>
      </c>
      <c r="AD829" t="s">
        <v>2171</v>
      </c>
      <c r="AE829" t="s">
        <v>4337</v>
      </c>
      <c r="AF829">
        <v>0.32415406920000006</v>
      </c>
    </row>
    <row r="830" spans="1:32" x14ac:dyDescent="0.25">
      <c r="A830" s="56">
        <v>3500718</v>
      </c>
      <c r="B830" s="56" t="s">
        <v>1657</v>
      </c>
      <c r="C830" s="56" t="s">
        <v>4347</v>
      </c>
      <c r="D830" s="57"/>
      <c r="E830" s="58">
        <v>1852</v>
      </c>
      <c r="F830" s="57">
        <v>1.8520000000000001</v>
      </c>
      <c r="G830" s="56" t="s">
        <v>392</v>
      </c>
      <c r="H830" s="56" t="s">
        <v>2511</v>
      </c>
      <c r="I830" s="56" t="s">
        <v>1835</v>
      </c>
      <c r="J830" s="56" t="s">
        <v>4348</v>
      </c>
      <c r="K830" s="57">
        <v>620.12400000000002</v>
      </c>
      <c r="L830" s="56" t="s">
        <v>1914</v>
      </c>
      <c r="M830" s="56" t="s">
        <v>1123</v>
      </c>
      <c r="N830" s="56" t="s">
        <v>76</v>
      </c>
      <c r="O830" s="58">
        <v>16</v>
      </c>
      <c r="P830" s="59" t="s">
        <v>2515</v>
      </c>
      <c r="Q830" s="56" t="s">
        <v>2561</v>
      </c>
      <c r="U830">
        <v>4095223</v>
      </c>
      <c r="V830">
        <v>25.4</v>
      </c>
      <c r="W830">
        <v>0</v>
      </c>
      <c r="X830">
        <v>2</v>
      </c>
      <c r="Y830">
        <v>0.28999999999999998</v>
      </c>
      <c r="Z830" t="s">
        <v>1891</v>
      </c>
      <c r="AA830" t="s">
        <v>963</v>
      </c>
      <c r="AB830" t="s">
        <v>2520</v>
      </c>
      <c r="AC830" t="s">
        <v>1008</v>
      </c>
      <c r="AD830" t="s">
        <v>2171</v>
      </c>
      <c r="AE830" t="s">
        <v>2318</v>
      </c>
      <c r="AF830">
        <v>0.33453622799999999</v>
      </c>
    </row>
    <row r="831" spans="1:32" x14ac:dyDescent="0.25">
      <c r="A831" s="56">
        <v>3500718</v>
      </c>
      <c r="B831" s="56" t="s">
        <v>1657</v>
      </c>
      <c r="C831" s="56" t="s">
        <v>4349</v>
      </c>
      <c r="D831" s="57"/>
      <c r="E831" s="58">
        <v>1953</v>
      </c>
      <c r="F831" s="57">
        <v>1.9530000000000001</v>
      </c>
      <c r="G831" s="56" t="s">
        <v>392</v>
      </c>
      <c r="H831" s="56" t="s">
        <v>2511</v>
      </c>
      <c r="I831" s="56" t="s">
        <v>1835</v>
      </c>
      <c r="J831" s="56" t="s">
        <v>2527</v>
      </c>
      <c r="K831" s="57">
        <v>653.94299999999998</v>
      </c>
      <c r="L831" s="56" t="s">
        <v>1914</v>
      </c>
      <c r="M831" s="56" t="s">
        <v>1123</v>
      </c>
      <c r="N831" s="56" t="s">
        <v>76</v>
      </c>
      <c r="O831" s="58">
        <v>16</v>
      </c>
      <c r="P831" s="59" t="s">
        <v>2515</v>
      </c>
      <c r="Q831" s="56" t="s">
        <v>2561</v>
      </c>
      <c r="U831" s="52">
        <v>4229655</v>
      </c>
      <c r="V831">
        <v>25.4</v>
      </c>
      <c r="W831">
        <v>0</v>
      </c>
      <c r="X831">
        <v>2</v>
      </c>
      <c r="Y831">
        <v>0.31</v>
      </c>
      <c r="Z831" t="s">
        <v>1891</v>
      </c>
      <c r="AA831" t="s">
        <v>1003</v>
      </c>
      <c r="AB831" t="s">
        <v>2520</v>
      </c>
      <c r="AC831" t="s">
        <v>1008</v>
      </c>
      <c r="AD831" t="s">
        <v>2171</v>
      </c>
      <c r="AE831" t="s">
        <v>4341</v>
      </c>
      <c r="AF831">
        <v>0.35760769200000003</v>
      </c>
    </row>
    <row r="832" spans="1:32" x14ac:dyDescent="0.25">
      <c r="A832" s="56">
        <v>3500816</v>
      </c>
      <c r="B832" s="56" t="s">
        <v>2365</v>
      </c>
      <c r="C832" s="56" t="s">
        <v>4350</v>
      </c>
      <c r="D832" s="57"/>
      <c r="E832" s="58">
        <v>556</v>
      </c>
      <c r="F832" s="57">
        <v>0.55600000000000005</v>
      </c>
      <c r="G832" s="56" t="s">
        <v>392</v>
      </c>
      <c r="H832" s="56" t="s">
        <v>2511</v>
      </c>
      <c r="I832" s="56" t="s">
        <v>1835</v>
      </c>
      <c r="J832" s="56" t="s">
        <v>4251</v>
      </c>
      <c r="K832" s="57">
        <v>96.994</v>
      </c>
      <c r="L832" s="56" t="s">
        <v>1914</v>
      </c>
      <c r="M832" s="56" t="s">
        <v>1123</v>
      </c>
      <c r="N832" s="56" t="s">
        <v>151</v>
      </c>
      <c r="O832" s="58">
        <v>11</v>
      </c>
      <c r="P832" s="59" t="s">
        <v>2515</v>
      </c>
      <c r="Q832" s="56" t="s">
        <v>11</v>
      </c>
      <c r="U832" s="52">
        <v>1413976</v>
      </c>
      <c r="V832">
        <v>25.4</v>
      </c>
      <c r="W832">
        <v>0</v>
      </c>
      <c r="X832">
        <v>2</v>
      </c>
      <c r="Y832">
        <v>0.315</v>
      </c>
      <c r="Z832" t="s">
        <v>1914</v>
      </c>
      <c r="AA832" t="s">
        <v>963</v>
      </c>
      <c r="AB832" t="s">
        <v>4343</v>
      </c>
      <c r="AC832" t="s">
        <v>1008</v>
      </c>
      <c r="AD832" t="s">
        <v>2171</v>
      </c>
      <c r="AE832" t="s">
        <v>4344</v>
      </c>
      <c r="AF832">
        <v>0.36337555800000004</v>
      </c>
    </row>
    <row r="833" spans="1:32" x14ac:dyDescent="0.25">
      <c r="A833" s="56">
        <v>3500816</v>
      </c>
      <c r="B833" s="56" t="s">
        <v>2365</v>
      </c>
      <c r="C833" s="56" t="s">
        <v>4352</v>
      </c>
      <c r="D833" s="57"/>
      <c r="E833" s="58">
        <v>1191</v>
      </c>
      <c r="F833" s="57">
        <v>1.1910000000000001</v>
      </c>
      <c r="G833" s="56" t="s">
        <v>392</v>
      </c>
      <c r="H833" s="56" t="s">
        <v>2511</v>
      </c>
      <c r="I833" s="56" t="s">
        <v>1835</v>
      </c>
      <c r="J833" s="56" t="s">
        <v>4353</v>
      </c>
      <c r="K833" s="57">
        <v>207.77</v>
      </c>
      <c r="L833" s="56" t="s">
        <v>1914</v>
      </c>
      <c r="M833" s="56" t="s">
        <v>1123</v>
      </c>
      <c r="N833" s="56" t="s">
        <v>151</v>
      </c>
      <c r="O833" s="58">
        <v>25</v>
      </c>
      <c r="P833" s="59" t="s">
        <v>2515</v>
      </c>
      <c r="Q833" s="56" t="s">
        <v>11</v>
      </c>
      <c r="U833" s="52">
        <v>3508859</v>
      </c>
      <c r="V833">
        <v>25.4</v>
      </c>
      <c r="W833">
        <v>0</v>
      </c>
      <c r="X833">
        <v>2</v>
      </c>
      <c r="Y833">
        <v>0.315</v>
      </c>
      <c r="Z833" t="s">
        <v>1914</v>
      </c>
      <c r="AA833" t="s">
        <v>963</v>
      </c>
      <c r="AB833" t="s">
        <v>4343</v>
      </c>
      <c r="AC833" t="s">
        <v>1008</v>
      </c>
      <c r="AD833" t="s">
        <v>2171</v>
      </c>
      <c r="AE833" t="s">
        <v>4344</v>
      </c>
      <c r="AF833">
        <v>0.36337555800000004</v>
      </c>
    </row>
    <row r="834" spans="1:32" x14ac:dyDescent="0.25">
      <c r="A834" s="56">
        <v>3500816</v>
      </c>
      <c r="B834" s="56" t="s">
        <v>2365</v>
      </c>
      <c r="C834" s="56" t="s">
        <v>4354</v>
      </c>
      <c r="D834" s="57"/>
      <c r="E834" s="57">
        <v>185.566</v>
      </c>
      <c r="F834" s="57">
        <v>0.18556600000000001</v>
      </c>
      <c r="G834" s="56" t="s">
        <v>392</v>
      </c>
      <c r="H834" s="56" t="s">
        <v>2511</v>
      </c>
      <c r="I834" s="56" t="s">
        <v>1835</v>
      </c>
      <c r="J834" s="56" t="s">
        <v>4076</v>
      </c>
      <c r="K834" s="57">
        <v>32.372</v>
      </c>
      <c r="L834" s="56" t="s">
        <v>1914</v>
      </c>
      <c r="M834" s="56" t="s">
        <v>1123</v>
      </c>
      <c r="N834" s="56" t="s">
        <v>151</v>
      </c>
      <c r="O834" s="58">
        <v>76</v>
      </c>
      <c r="P834" s="59" t="s">
        <v>2579</v>
      </c>
      <c r="Q834" s="56" t="s">
        <v>11</v>
      </c>
      <c r="U834" s="52">
        <v>3209978</v>
      </c>
      <c r="V834">
        <v>25.4</v>
      </c>
      <c r="W834">
        <v>0</v>
      </c>
      <c r="X834">
        <v>2</v>
      </c>
      <c r="Y834">
        <v>0.32</v>
      </c>
      <c r="Z834" t="s">
        <v>1914</v>
      </c>
      <c r="AA834" t="s">
        <v>1003</v>
      </c>
      <c r="AB834" t="s">
        <v>2520</v>
      </c>
      <c r="AC834" t="s">
        <v>737</v>
      </c>
      <c r="AD834" t="s">
        <v>2171</v>
      </c>
      <c r="AE834" t="s">
        <v>4346</v>
      </c>
      <c r="AF834">
        <v>0.36914342400000005</v>
      </c>
    </row>
    <row r="835" spans="1:32" x14ac:dyDescent="0.25">
      <c r="A835" s="56">
        <v>3502422</v>
      </c>
      <c r="B835" s="56" t="s">
        <v>2374</v>
      </c>
      <c r="C835" s="56" t="s">
        <v>4218</v>
      </c>
      <c r="D835" s="57"/>
      <c r="E835" s="57">
        <v>310.44799999999998</v>
      </c>
      <c r="F835" s="57">
        <v>0.310448</v>
      </c>
      <c r="G835" s="56" t="s">
        <v>392</v>
      </c>
      <c r="H835" s="56" t="s">
        <v>2511</v>
      </c>
      <c r="I835" s="56" t="s">
        <v>1835</v>
      </c>
      <c r="J835" s="56" t="s">
        <v>1914</v>
      </c>
      <c r="K835" s="57">
        <v>79.748999999999995</v>
      </c>
      <c r="L835" s="56" t="s">
        <v>1914</v>
      </c>
      <c r="M835" s="56" t="s">
        <v>1123</v>
      </c>
      <c r="N835" s="56" t="s">
        <v>39</v>
      </c>
      <c r="O835" s="58">
        <v>40</v>
      </c>
      <c r="P835" s="59" t="s">
        <v>2532</v>
      </c>
      <c r="Q835" s="56" t="s">
        <v>2516</v>
      </c>
      <c r="U835" s="52">
        <v>3616911</v>
      </c>
      <c r="V835">
        <v>25.4</v>
      </c>
      <c r="W835">
        <v>0</v>
      </c>
      <c r="X835">
        <v>2</v>
      </c>
      <c r="Y835">
        <v>0.35</v>
      </c>
      <c r="Z835" t="s">
        <v>1868</v>
      </c>
      <c r="AA835" t="s">
        <v>1003</v>
      </c>
      <c r="AB835" t="s">
        <v>2520</v>
      </c>
      <c r="AC835" t="s">
        <v>737</v>
      </c>
      <c r="AD835" t="s">
        <v>2171</v>
      </c>
      <c r="AE835" t="s">
        <v>739</v>
      </c>
      <c r="AF835">
        <v>0.40375062</v>
      </c>
    </row>
    <row r="836" spans="1:32" x14ac:dyDescent="0.25">
      <c r="A836" s="56">
        <v>3502422</v>
      </c>
      <c r="B836" s="56" t="s">
        <v>2374</v>
      </c>
      <c r="C836" s="56" t="s">
        <v>4356</v>
      </c>
      <c r="D836" s="57"/>
      <c r="E836" s="58">
        <v>1514</v>
      </c>
      <c r="F836" s="57">
        <v>1.514</v>
      </c>
      <c r="G836" s="56" t="s">
        <v>392</v>
      </c>
      <c r="H836" s="56" t="s">
        <v>2511</v>
      </c>
      <c r="I836" s="56" t="s">
        <v>1835</v>
      </c>
      <c r="J836" s="56" t="s">
        <v>3339</v>
      </c>
      <c r="K836" s="57">
        <v>388.923</v>
      </c>
      <c r="L836" s="56" t="s">
        <v>1914</v>
      </c>
      <c r="M836" s="56" t="s">
        <v>1123</v>
      </c>
      <c r="N836" s="56" t="s">
        <v>39</v>
      </c>
      <c r="O836" s="58">
        <v>38</v>
      </c>
      <c r="P836" s="59" t="s">
        <v>2532</v>
      </c>
      <c r="Q836" s="56" t="s">
        <v>2516</v>
      </c>
      <c r="U836" s="52">
        <v>1940588</v>
      </c>
      <c r="V836">
        <v>25.4</v>
      </c>
      <c r="W836">
        <v>0</v>
      </c>
      <c r="X836">
        <v>2</v>
      </c>
      <c r="Y836">
        <v>0.35499999999999998</v>
      </c>
      <c r="Z836" t="s">
        <v>1891</v>
      </c>
      <c r="AA836" t="s">
        <v>1003</v>
      </c>
      <c r="AB836" t="s">
        <v>2520</v>
      </c>
      <c r="AC836" t="s">
        <v>737</v>
      </c>
      <c r="AD836" t="s">
        <v>2171</v>
      </c>
      <c r="AE836" t="s">
        <v>798</v>
      </c>
      <c r="AF836">
        <v>0.40951848600000001</v>
      </c>
    </row>
    <row r="837" spans="1:32" x14ac:dyDescent="0.25">
      <c r="A837" s="56">
        <v>3531650</v>
      </c>
      <c r="B837" s="56" t="s">
        <v>1717</v>
      </c>
      <c r="C837" s="56" t="s">
        <v>4356</v>
      </c>
      <c r="D837" s="57"/>
      <c r="E837" s="57">
        <v>54.55</v>
      </c>
      <c r="F837" s="57">
        <v>5.4549999999999994E-2</v>
      </c>
      <c r="G837" s="56" t="s">
        <v>392</v>
      </c>
      <c r="H837" s="56" t="s">
        <v>2511</v>
      </c>
      <c r="I837" s="56" t="s">
        <v>1835</v>
      </c>
      <c r="J837" s="56" t="s">
        <v>3339</v>
      </c>
      <c r="K837" s="57">
        <v>14.007999999999999</v>
      </c>
      <c r="L837" s="56" t="s">
        <v>1914</v>
      </c>
      <c r="M837" s="56" t="s">
        <v>1123</v>
      </c>
      <c r="N837" s="56" t="s">
        <v>39</v>
      </c>
      <c r="O837" s="58">
        <v>30</v>
      </c>
      <c r="P837" s="59" t="s">
        <v>2515</v>
      </c>
      <c r="Q837" s="56" t="s">
        <v>2516</v>
      </c>
      <c r="U837" s="52">
        <v>3122350</v>
      </c>
      <c r="V837">
        <v>25.4</v>
      </c>
      <c r="W837">
        <v>0</v>
      </c>
      <c r="X837">
        <v>2</v>
      </c>
      <c r="Y837">
        <v>0.40500000000000003</v>
      </c>
      <c r="Z837" t="s">
        <v>1868</v>
      </c>
      <c r="AA837" t="s">
        <v>1003</v>
      </c>
      <c r="AB837" t="s">
        <v>2520</v>
      </c>
      <c r="AC837" t="s">
        <v>737</v>
      </c>
      <c r="AD837" t="s">
        <v>2171</v>
      </c>
      <c r="AE837" t="s">
        <v>4351</v>
      </c>
      <c r="AF837">
        <v>0.46719714600000006</v>
      </c>
    </row>
    <row r="838" spans="1:32" x14ac:dyDescent="0.25">
      <c r="A838" s="56">
        <v>3531650</v>
      </c>
      <c r="B838" s="56" t="s">
        <v>1717</v>
      </c>
      <c r="C838" s="56" t="s">
        <v>4359</v>
      </c>
      <c r="D838" s="57"/>
      <c r="E838" s="58">
        <v>720</v>
      </c>
      <c r="F838" s="57">
        <v>0.72</v>
      </c>
      <c r="G838" s="56" t="s">
        <v>392</v>
      </c>
      <c r="H838" s="56" t="s">
        <v>2511</v>
      </c>
      <c r="I838" s="56" t="s">
        <v>1835</v>
      </c>
      <c r="J838" s="56" t="s">
        <v>4164</v>
      </c>
      <c r="K838" s="57">
        <v>184.89</v>
      </c>
      <c r="L838" s="56" t="s">
        <v>1914</v>
      </c>
      <c r="M838" s="56" t="s">
        <v>1123</v>
      </c>
      <c r="N838" s="56" t="s">
        <v>39</v>
      </c>
      <c r="O838" s="58">
        <v>3</v>
      </c>
      <c r="P838" s="59" t="s">
        <v>2515</v>
      </c>
      <c r="Q838" s="56" t="s">
        <v>2516</v>
      </c>
      <c r="U838" s="52">
        <v>3863819</v>
      </c>
      <c r="V838">
        <v>25.4</v>
      </c>
      <c r="W838">
        <v>0</v>
      </c>
      <c r="X838">
        <v>2</v>
      </c>
      <c r="Y838">
        <v>0.41199999999999998</v>
      </c>
      <c r="Z838" t="s">
        <v>1952</v>
      </c>
      <c r="AA838" t="s">
        <v>1003</v>
      </c>
      <c r="AB838" t="s">
        <v>2520</v>
      </c>
      <c r="AC838" t="s">
        <v>737</v>
      </c>
      <c r="AD838" t="s">
        <v>2171</v>
      </c>
      <c r="AE838" t="s">
        <v>803</v>
      </c>
      <c r="AF838">
        <v>0.47527215839999998</v>
      </c>
    </row>
    <row r="839" spans="1:32" x14ac:dyDescent="0.25">
      <c r="A839" s="56">
        <v>3594528</v>
      </c>
      <c r="B839" s="56" t="s">
        <v>2007</v>
      </c>
      <c r="C839" s="56" t="s">
        <v>4360</v>
      </c>
      <c r="D839" s="57"/>
      <c r="E839" s="58">
        <v>591</v>
      </c>
      <c r="F839" s="57">
        <v>0.59099999999999997</v>
      </c>
      <c r="G839" s="56" t="s">
        <v>392</v>
      </c>
      <c r="H839" s="56" t="s">
        <v>2511</v>
      </c>
      <c r="I839" s="56" t="s">
        <v>1835</v>
      </c>
      <c r="J839" s="56" t="s">
        <v>2667</v>
      </c>
      <c r="K839" s="57">
        <v>205.458</v>
      </c>
      <c r="L839" s="56" t="s">
        <v>1914</v>
      </c>
      <c r="M839" s="56" t="s">
        <v>1123</v>
      </c>
      <c r="N839" s="56" t="s">
        <v>151</v>
      </c>
      <c r="O839" s="58">
        <v>11</v>
      </c>
      <c r="P839" s="59" t="s">
        <v>2515</v>
      </c>
      <c r="Q839" s="56" t="s">
        <v>11</v>
      </c>
      <c r="U839" s="52">
        <v>3863800</v>
      </c>
      <c r="V839">
        <v>25.4</v>
      </c>
      <c r="W839">
        <v>0</v>
      </c>
      <c r="X839">
        <v>2</v>
      </c>
      <c r="Y839">
        <v>0.41199999999999998</v>
      </c>
      <c r="Z839" t="s">
        <v>1952</v>
      </c>
      <c r="AA839" t="s">
        <v>963</v>
      </c>
      <c r="AB839" t="s">
        <v>2520</v>
      </c>
      <c r="AC839" t="s">
        <v>1008</v>
      </c>
      <c r="AD839" t="s">
        <v>2171</v>
      </c>
      <c r="AE839" t="s">
        <v>4355</v>
      </c>
      <c r="AF839">
        <v>0.47527215839999998</v>
      </c>
    </row>
    <row r="840" spans="1:32" x14ac:dyDescent="0.25">
      <c r="A840" s="56">
        <v>3702200</v>
      </c>
      <c r="B840" s="56" t="s">
        <v>1876</v>
      </c>
      <c r="C840" s="56" t="s">
        <v>4362</v>
      </c>
      <c r="D840" s="57"/>
      <c r="E840" s="58">
        <v>1063</v>
      </c>
      <c r="F840" s="57">
        <v>1.0629999999999999</v>
      </c>
      <c r="G840" s="56" t="s">
        <v>392</v>
      </c>
      <c r="H840" s="56" t="s">
        <v>2511</v>
      </c>
      <c r="I840" s="56" t="s">
        <v>1835</v>
      </c>
      <c r="J840" s="56" t="s">
        <v>4363</v>
      </c>
      <c r="K840" s="57">
        <v>1796.519</v>
      </c>
      <c r="L840" s="56" t="s">
        <v>1914</v>
      </c>
      <c r="M840" s="56" t="s">
        <v>1123</v>
      </c>
      <c r="N840" s="56" t="s">
        <v>101</v>
      </c>
      <c r="O840" s="58">
        <v>53</v>
      </c>
      <c r="P840" s="59" t="s">
        <v>2532</v>
      </c>
      <c r="Q840" s="56" t="s">
        <v>192</v>
      </c>
      <c r="U840" s="52">
        <v>3926270</v>
      </c>
      <c r="V840">
        <v>25.4</v>
      </c>
      <c r="W840">
        <v>0</v>
      </c>
      <c r="X840">
        <v>2</v>
      </c>
      <c r="Y840">
        <v>0.41799999999999998</v>
      </c>
      <c r="Z840" t="s">
        <v>1868</v>
      </c>
      <c r="AA840" t="s">
        <v>1003</v>
      </c>
      <c r="AB840" t="s">
        <v>2520</v>
      </c>
      <c r="AC840" t="s">
        <v>737</v>
      </c>
      <c r="AD840" t="s">
        <v>2171</v>
      </c>
      <c r="AE840" t="s">
        <v>805</v>
      </c>
      <c r="AF840">
        <v>0.48219359760000002</v>
      </c>
    </row>
    <row r="841" spans="1:32" x14ac:dyDescent="0.25">
      <c r="A841" s="56">
        <v>3702200</v>
      </c>
      <c r="B841" s="56" t="s">
        <v>1876</v>
      </c>
      <c r="C841" s="56" t="s">
        <v>4364</v>
      </c>
      <c r="D841" s="57"/>
      <c r="E841" s="58">
        <v>980</v>
      </c>
      <c r="F841" s="57">
        <v>0.98</v>
      </c>
      <c r="G841" s="56" t="s">
        <v>392</v>
      </c>
      <c r="H841" s="56" t="s">
        <v>2511</v>
      </c>
      <c r="I841" s="56" t="s">
        <v>1835</v>
      </c>
      <c r="J841" s="56" t="s">
        <v>4106</v>
      </c>
      <c r="K841" s="57">
        <v>1656.2449999999999</v>
      </c>
      <c r="L841" s="56" t="s">
        <v>1914</v>
      </c>
      <c r="M841" s="56" t="s">
        <v>1123</v>
      </c>
      <c r="N841" s="56" t="s">
        <v>101</v>
      </c>
      <c r="O841" s="58">
        <v>53</v>
      </c>
      <c r="P841" s="59" t="s">
        <v>2532</v>
      </c>
      <c r="Q841" s="56" t="s">
        <v>192</v>
      </c>
      <c r="U841" s="52">
        <v>2382577</v>
      </c>
      <c r="V841">
        <v>25.4</v>
      </c>
      <c r="W841">
        <v>0</v>
      </c>
      <c r="X841">
        <v>2</v>
      </c>
      <c r="Y841">
        <v>0.45200000000000001</v>
      </c>
      <c r="Z841" t="s">
        <v>1868</v>
      </c>
      <c r="AA841" t="s">
        <v>1003</v>
      </c>
      <c r="AB841" t="s">
        <v>2520</v>
      </c>
      <c r="AC841" t="s">
        <v>737</v>
      </c>
      <c r="AD841" t="s">
        <v>2171</v>
      </c>
      <c r="AE841" t="s">
        <v>4357</v>
      </c>
      <c r="AF841">
        <v>0.52141508640000001</v>
      </c>
    </row>
    <row r="842" spans="1:32" x14ac:dyDescent="0.25">
      <c r="A842" s="56">
        <v>3702201</v>
      </c>
      <c r="B842" s="56" t="s">
        <v>1968</v>
      </c>
      <c r="C842" s="56" t="s">
        <v>4366</v>
      </c>
      <c r="D842" s="57"/>
      <c r="E842" s="58">
        <v>1390</v>
      </c>
      <c r="F842" s="57">
        <v>1.39</v>
      </c>
      <c r="G842" s="56" t="s">
        <v>392</v>
      </c>
      <c r="H842" s="56" t="s">
        <v>2511</v>
      </c>
      <c r="I842" s="56" t="s">
        <v>1835</v>
      </c>
      <c r="J842" s="56" t="s">
        <v>4367</v>
      </c>
      <c r="K842" s="57">
        <v>3083.4070000000002</v>
      </c>
      <c r="L842" s="56" t="s">
        <v>1914</v>
      </c>
      <c r="M842" s="56" t="s">
        <v>1123</v>
      </c>
      <c r="N842" s="56" t="s">
        <v>101</v>
      </c>
      <c r="O842" s="58">
        <v>55</v>
      </c>
      <c r="P842" s="59" t="s">
        <v>2532</v>
      </c>
      <c r="Q842" s="56" t="s">
        <v>192</v>
      </c>
      <c r="U842" s="52">
        <v>1386656</v>
      </c>
      <c r="V842">
        <v>25.4</v>
      </c>
      <c r="W842">
        <v>0</v>
      </c>
      <c r="X842">
        <v>2</v>
      </c>
      <c r="Y842">
        <v>0.47</v>
      </c>
      <c r="Z842" t="s">
        <v>1914</v>
      </c>
      <c r="AA842" t="s">
        <v>1003</v>
      </c>
      <c r="AB842" t="s">
        <v>2520</v>
      </c>
      <c r="AC842" t="s">
        <v>737</v>
      </c>
      <c r="AD842" t="s">
        <v>2171</v>
      </c>
      <c r="AE842" t="s">
        <v>4358</v>
      </c>
      <c r="AF842">
        <v>0.54217940399999998</v>
      </c>
    </row>
    <row r="843" spans="1:32" x14ac:dyDescent="0.25">
      <c r="A843" s="56">
        <v>3702201</v>
      </c>
      <c r="B843" s="56" t="s">
        <v>1968</v>
      </c>
      <c r="C843" s="56" t="s">
        <v>4368</v>
      </c>
      <c r="D843" s="57"/>
      <c r="E843" s="58">
        <v>1459</v>
      </c>
      <c r="F843" s="57">
        <v>1.4590000000000001</v>
      </c>
      <c r="G843" s="56" t="s">
        <v>392</v>
      </c>
      <c r="H843" s="56" t="s">
        <v>2511</v>
      </c>
      <c r="I843" s="56" t="s">
        <v>1835</v>
      </c>
      <c r="J843" s="56" t="s">
        <v>4369</v>
      </c>
      <c r="K843" s="57">
        <v>3236.4690000000001</v>
      </c>
      <c r="L843" s="56" t="s">
        <v>1914</v>
      </c>
      <c r="M843" s="56" t="s">
        <v>1123</v>
      </c>
      <c r="N843" s="56" t="s">
        <v>101</v>
      </c>
      <c r="O843" s="58">
        <v>55</v>
      </c>
      <c r="P843" s="59" t="s">
        <v>2532</v>
      </c>
      <c r="Q843" s="56" t="s">
        <v>192</v>
      </c>
      <c r="U843" s="52">
        <v>3924502</v>
      </c>
      <c r="V843">
        <v>25.4</v>
      </c>
      <c r="W843">
        <v>0</v>
      </c>
      <c r="X843">
        <v>2</v>
      </c>
      <c r="Y843">
        <v>0.47</v>
      </c>
      <c r="Z843" t="s">
        <v>1952</v>
      </c>
      <c r="AA843" t="s">
        <v>1003</v>
      </c>
      <c r="AB843" t="s">
        <v>2520</v>
      </c>
      <c r="AC843" t="s">
        <v>737</v>
      </c>
      <c r="AD843" t="s">
        <v>2171</v>
      </c>
      <c r="AE843" t="s">
        <v>4358</v>
      </c>
      <c r="AF843">
        <v>0.54217940399999998</v>
      </c>
    </row>
    <row r="844" spans="1:32" x14ac:dyDescent="0.25">
      <c r="A844" s="56">
        <v>3702201</v>
      </c>
      <c r="B844" s="56" t="s">
        <v>1968</v>
      </c>
      <c r="C844" s="56" t="s">
        <v>4371</v>
      </c>
      <c r="D844" s="57"/>
      <c r="E844" s="58">
        <v>1459</v>
      </c>
      <c r="F844" s="57">
        <v>1.4590000000000001</v>
      </c>
      <c r="G844" s="56" t="s">
        <v>392</v>
      </c>
      <c r="H844" s="56" t="s">
        <v>2511</v>
      </c>
      <c r="I844" s="56" t="s">
        <v>1835</v>
      </c>
      <c r="J844" s="56" t="s">
        <v>4369</v>
      </c>
      <c r="K844" s="57">
        <v>3236.4690000000001</v>
      </c>
      <c r="L844" s="56" t="s">
        <v>1914</v>
      </c>
      <c r="M844" s="56" t="s">
        <v>1123</v>
      </c>
      <c r="N844" s="56" t="s">
        <v>101</v>
      </c>
      <c r="O844" s="58">
        <v>55</v>
      </c>
      <c r="P844" s="59" t="s">
        <v>2532</v>
      </c>
      <c r="Q844" s="56" t="s">
        <v>192</v>
      </c>
      <c r="U844" s="52">
        <v>3509211</v>
      </c>
      <c r="V844">
        <v>25.4</v>
      </c>
      <c r="W844">
        <v>0</v>
      </c>
      <c r="X844">
        <v>2</v>
      </c>
      <c r="Y844">
        <v>0.47799999999999998</v>
      </c>
      <c r="Z844" t="s">
        <v>1914</v>
      </c>
      <c r="AA844" t="s">
        <v>963</v>
      </c>
      <c r="AB844" t="s">
        <v>2520</v>
      </c>
      <c r="AC844" t="s">
        <v>1008</v>
      </c>
      <c r="AD844" t="s">
        <v>2171</v>
      </c>
      <c r="AE844" t="s">
        <v>4361</v>
      </c>
      <c r="AF844">
        <v>0.55140798960000004</v>
      </c>
    </row>
    <row r="845" spans="1:32" x14ac:dyDescent="0.25">
      <c r="A845" s="56">
        <v>3702201</v>
      </c>
      <c r="B845" s="56" t="s">
        <v>1968</v>
      </c>
      <c r="C845" s="56" t="s">
        <v>4372</v>
      </c>
      <c r="D845" s="57"/>
      <c r="E845" s="58">
        <v>519</v>
      </c>
      <c r="F845" s="57">
        <v>0.51900000000000002</v>
      </c>
      <c r="G845" s="56" t="s">
        <v>392</v>
      </c>
      <c r="H845" s="56" t="s">
        <v>2511</v>
      </c>
      <c r="I845" s="56" t="s">
        <v>1835</v>
      </c>
      <c r="J845" s="56" t="s">
        <v>3201</v>
      </c>
      <c r="K845" s="57">
        <v>1151.287</v>
      </c>
      <c r="L845" s="56" t="s">
        <v>1914</v>
      </c>
      <c r="M845" s="56" t="s">
        <v>1123</v>
      </c>
      <c r="N845" s="56" t="s">
        <v>101</v>
      </c>
      <c r="O845" s="58">
        <v>55</v>
      </c>
      <c r="P845" s="59" t="s">
        <v>2532</v>
      </c>
      <c r="Q845" s="56" t="s">
        <v>192</v>
      </c>
      <c r="U845" s="52">
        <v>1482265</v>
      </c>
      <c r="V845">
        <v>25.4</v>
      </c>
      <c r="W845">
        <v>0</v>
      </c>
      <c r="X845">
        <v>2</v>
      </c>
      <c r="Y845">
        <v>0.47799999999999998</v>
      </c>
      <c r="Z845" t="s">
        <v>1914</v>
      </c>
      <c r="AA845" t="s">
        <v>963</v>
      </c>
      <c r="AB845" t="s">
        <v>2520</v>
      </c>
      <c r="AC845" t="s">
        <v>1008</v>
      </c>
      <c r="AD845" t="s">
        <v>2171</v>
      </c>
      <c r="AE845" t="s">
        <v>4361</v>
      </c>
      <c r="AF845">
        <v>0.55140798960000004</v>
      </c>
    </row>
    <row r="846" spans="1:32" x14ac:dyDescent="0.25">
      <c r="A846" s="56">
        <v>3702201</v>
      </c>
      <c r="B846" s="56" t="s">
        <v>1968</v>
      </c>
      <c r="C846" s="56" t="s">
        <v>4374</v>
      </c>
      <c r="D846" s="57"/>
      <c r="E846" s="58">
        <v>1385</v>
      </c>
      <c r="F846" s="57">
        <v>1.385</v>
      </c>
      <c r="G846" s="56" t="s">
        <v>392</v>
      </c>
      <c r="H846" s="56" t="s">
        <v>2511</v>
      </c>
      <c r="I846" s="56" t="s">
        <v>1835</v>
      </c>
      <c r="J846" s="56" t="s">
        <v>4375</v>
      </c>
      <c r="K846" s="57">
        <v>3072.3159999999998</v>
      </c>
      <c r="L846" s="56" t="s">
        <v>1914</v>
      </c>
      <c r="M846" s="56" t="s">
        <v>1123</v>
      </c>
      <c r="N846" s="56" t="s">
        <v>101</v>
      </c>
      <c r="O846" s="58">
        <v>55</v>
      </c>
      <c r="P846" s="59" t="s">
        <v>2532</v>
      </c>
      <c r="Q846" s="56" t="s">
        <v>192</v>
      </c>
      <c r="U846" s="52">
        <v>3218520</v>
      </c>
      <c r="V846">
        <v>25.4</v>
      </c>
      <c r="W846">
        <v>0</v>
      </c>
      <c r="X846">
        <v>2</v>
      </c>
      <c r="Y846">
        <v>0.496</v>
      </c>
      <c r="Z846" t="s">
        <v>1914</v>
      </c>
      <c r="AA846" t="s">
        <v>963</v>
      </c>
      <c r="AB846" t="s">
        <v>2520</v>
      </c>
      <c r="AC846" t="s">
        <v>1008</v>
      </c>
      <c r="AD846" t="s">
        <v>2171</v>
      </c>
      <c r="AE846" t="s">
        <v>4365</v>
      </c>
      <c r="AF846">
        <v>0.57217230720000001</v>
      </c>
    </row>
    <row r="847" spans="1:32" x14ac:dyDescent="0.25">
      <c r="A847" s="56">
        <v>3702201</v>
      </c>
      <c r="B847" s="56" t="s">
        <v>1968</v>
      </c>
      <c r="C847" s="56" t="s">
        <v>4377</v>
      </c>
      <c r="D847" s="57"/>
      <c r="E847" s="58">
        <v>1316</v>
      </c>
      <c r="F847" s="57">
        <v>1.3160000000000001</v>
      </c>
      <c r="G847" s="56" t="s">
        <v>392</v>
      </c>
      <c r="H847" s="56" t="s">
        <v>2511</v>
      </c>
      <c r="I847" s="56" t="s">
        <v>1835</v>
      </c>
      <c r="J847" s="56" t="s">
        <v>4378</v>
      </c>
      <c r="K847" s="57">
        <v>2919.2550000000001</v>
      </c>
      <c r="L847" s="56" t="s">
        <v>1914</v>
      </c>
      <c r="M847" s="56" t="s">
        <v>1123</v>
      </c>
      <c r="N847" s="56" t="s">
        <v>101</v>
      </c>
      <c r="O847" s="58">
        <v>55</v>
      </c>
      <c r="P847" s="59" t="s">
        <v>2532</v>
      </c>
      <c r="Q847" s="56" t="s">
        <v>192</v>
      </c>
      <c r="U847" s="52">
        <v>4220897</v>
      </c>
      <c r="V847">
        <v>25.4</v>
      </c>
      <c r="W847">
        <v>0</v>
      </c>
      <c r="X847">
        <v>2</v>
      </c>
      <c r="Y847">
        <v>0.56699999999999995</v>
      </c>
      <c r="Z847" t="s">
        <v>1952</v>
      </c>
      <c r="AA847" t="s">
        <v>1003</v>
      </c>
      <c r="AB847" t="s">
        <v>2520</v>
      </c>
      <c r="AC847" t="s">
        <v>737</v>
      </c>
      <c r="AD847" t="s">
        <v>2171</v>
      </c>
      <c r="AE847" t="s">
        <v>6617</v>
      </c>
      <c r="AF847">
        <v>0.65407600440000002</v>
      </c>
    </row>
    <row r="848" spans="1:32" x14ac:dyDescent="0.25">
      <c r="A848" s="56">
        <v>3702679</v>
      </c>
      <c r="B848" s="56" t="s">
        <v>4380</v>
      </c>
      <c r="C848" s="56" t="s">
        <v>4381</v>
      </c>
      <c r="D848" s="57"/>
      <c r="E848" s="57">
        <v>2202.5059999999999</v>
      </c>
      <c r="F848" s="57">
        <v>2.2025060000000001</v>
      </c>
      <c r="G848" s="56" t="s">
        <v>392</v>
      </c>
      <c r="H848" s="56" t="s">
        <v>2511</v>
      </c>
      <c r="I848" s="56" t="s">
        <v>1835</v>
      </c>
      <c r="J848" s="56" t="s">
        <v>4167</v>
      </c>
      <c r="K848" s="57">
        <v>573.15099999999995</v>
      </c>
      <c r="L848" s="56" t="s">
        <v>1914</v>
      </c>
      <c r="M848" s="56" t="s">
        <v>1123</v>
      </c>
      <c r="N848" s="56" t="s">
        <v>151</v>
      </c>
      <c r="O848" s="58">
        <v>11</v>
      </c>
      <c r="P848" s="59" t="s">
        <v>2515</v>
      </c>
      <c r="Q848" s="56" t="s">
        <v>11</v>
      </c>
      <c r="U848" s="52">
        <v>1531609</v>
      </c>
      <c r="V848">
        <v>25.4</v>
      </c>
      <c r="W848">
        <v>0</v>
      </c>
      <c r="X848">
        <v>2</v>
      </c>
      <c r="Y848">
        <v>0.6</v>
      </c>
      <c r="Z848" t="s">
        <v>1914</v>
      </c>
      <c r="AA848" t="s">
        <v>1003</v>
      </c>
      <c r="AB848" t="s">
        <v>2520</v>
      </c>
      <c r="AC848" t="s">
        <v>737</v>
      </c>
      <c r="AD848" t="s">
        <v>2171</v>
      </c>
      <c r="AE848" t="s">
        <v>4370</v>
      </c>
      <c r="AF848">
        <v>0.69214392000000002</v>
      </c>
    </row>
    <row r="849" spans="1:32" x14ac:dyDescent="0.25">
      <c r="A849" s="56">
        <v>3702679</v>
      </c>
      <c r="B849" s="56" t="s">
        <v>4380</v>
      </c>
      <c r="C849" s="56" t="s">
        <v>4382</v>
      </c>
      <c r="D849" s="57"/>
      <c r="E849" s="57">
        <v>354.49400000000003</v>
      </c>
      <c r="F849" s="57">
        <v>0.35449400000000003</v>
      </c>
      <c r="G849" s="56" t="s">
        <v>392</v>
      </c>
      <c r="H849" s="56" t="s">
        <v>2511</v>
      </c>
      <c r="I849" s="56" t="s">
        <v>1835</v>
      </c>
      <c r="J849" s="56" t="s">
        <v>2768</v>
      </c>
      <c r="K849" s="57">
        <v>92.248999999999995</v>
      </c>
      <c r="L849" s="56" t="s">
        <v>1914</v>
      </c>
      <c r="M849" s="56" t="s">
        <v>1123</v>
      </c>
      <c r="N849" s="56" t="s">
        <v>151</v>
      </c>
      <c r="O849" s="58">
        <v>11</v>
      </c>
      <c r="P849" s="59" t="s">
        <v>2515</v>
      </c>
      <c r="Q849" s="56" t="s">
        <v>11</v>
      </c>
      <c r="U849">
        <v>3784370</v>
      </c>
      <c r="V849">
        <v>25.4</v>
      </c>
      <c r="W849">
        <v>0</v>
      </c>
      <c r="X849">
        <v>2</v>
      </c>
      <c r="Y849">
        <v>0.6</v>
      </c>
      <c r="Z849" t="s">
        <v>1952</v>
      </c>
      <c r="AA849" t="s">
        <v>1003</v>
      </c>
      <c r="AB849" t="s">
        <v>2520</v>
      </c>
      <c r="AC849" t="s">
        <v>737</v>
      </c>
      <c r="AD849" t="s">
        <v>2171</v>
      </c>
      <c r="AE849" t="s">
        <v>4370</v>
      </c>
      <c r="AF849">
        <v>0.69214392000000002</v>
      </c>
    </row>
    <row r="850" spans="1:32" x14ac:dyDescent="0.25">
      <c r="A850" s="56">
        <v>3702717</v>
      </c>
      <c r="B850" s="56" t="s">
        <v>4383</v>
      </c>
      <c r="C850" s="56" t="s">
        <v>4384</v>
      </c>
      <c r="D850" s="57"/>
      <c r="E850" s="57">
        <v>347.85199999999998</v>
      </c>
      <c r="F850" s="57">
        <v>0.34785199999999999</v>
      </c>
      <c r="G850" s="56" t="s">
        <v>392</v>
      </c>
      <c r="H850" s="56" t="s">
        <v>2511</v>
      </c>
      <c r="I850" s="56" t="s">
        <v>1835</v>
      </c>
      <c r="J850" s="56" t="s">
        <v>4385</v>
      </c>
      <c r="K850" s="57">
        <v>276.68799999999999</v>
      </c>
      <c r="L850" s="56" t="s">
        <v>1914</v>
      </c>
      <c r="M850" s="56" t="s">
        <v>1123</v>
      </c>
      <c r="N850" s="56" t="s">
        <v>76</v>
      </c>
      <c r="O850" s="58">
        <v>11</v>
      </c>
      <c r="P850" s="59" t="s">
        <v>2515</v>
      </c>
      <c r="Q850" s="56" t="s">
        <v>2561</v>
      </c>
      <c r="U850" s="52">
        <v>1190412</v>
      </c>
      <c r="V850">
        <v>25.4</v>
      </c>
      <c r="W850">
        <v>0</v>
      </c>
      <c r="X850">
        <v>2</v>
      </c>
      <c r="Y850">
        <v>0.65700000000000003</v>
      </c>
      <c r="Z850" t="s">
        <v>1914</v>
      </c>
      <c r="AA850" t="s">
        <v>963</v>
      </c>
      <c r="AB850" t="s">
        <v>2520</v>
      </c>
      <c r="AC850" t="s">
        <v>1008</v>
      </c>
      <c r="AD850" t="s">
        <v>2171</v>
      </c>
      <c r="AE850" t="s">
        <v>4373</v>
      </c>
      <c r="AF850">
        <v>0.7578975924000001</v>
      </c>
    </row>
    <row r="851" spans="1:32" x14ac:dyDescent="0.25">
      <c r="A851" s="56">
        <v>3702820</v>
      </c>
      <c r="B851" s="56" t="s">
        <v>4387</v>
      </c>
      <c r="C851" s="56" t="s">
        <v>4388</v>
      </c>
      <c r="D851" s="57"/>
      <c r="E851" s="58">
        <v>477</v>
      </c>
      <c r="F851" s="57">
        <v>0.47699999999999998</v>
      </c>
      <c r="G851" s="56" t="s">
        <v>392</v>
      </c>
      <c r="H851" s="56" t="s">
        <v>2511</v>
      </c>
      <c r="I851" s="56" t="s">
        <v>1835</v>
      </c>
      <c r="J851" s="56" t="s">
        <v>3408</v>
      </c>
      <c r="K851" s="57">
        <v>488.93</v>
      </c>
      <c r="L851" s="56" t="s">
        <v>1914</v>
      </c>
      <c r="M851" s="56" t="s">
        <v>1123</v>
      </c>
      <c r="N851" s="56" t="s">
        <v>52</v>
      </c>
      <c r="O851" s="58">
        <v>6</v>
      </c>
      <c r="P851" s="59" t="s">
        <v>2515</v>
      </c>
      <c r="Q851" s="56" t="s">
        <v>2516</v>
      </c>
      <c r="U851" s="52">
        <v>2420715</v>
      </c>
      <c r="V851">
        <v>25.4</v>
      </c>
      <c r="W851">
        <v>0</v>
      </c>
      <c r="X851">
        <v>2</v>
      </c>
      <c r="Y851">
        <v>0.82499999999999996</v>
      </c>
      <c r="Z851" t="s">
        <v>1891</v>
      </c>
      <c r="AA851" t="s">
        <v>1003</v>
      </c>
      <c r="AB851" t="s">
        <v>2520</v>
      </c>
      <c r="AC851" t="s">
        <v>737</v>
      </c>
      <c r="AD851" t="s">
        <v>2171</v>
      </c>
      <c r="AE851" t="s">
        <v>4376</v>
      </c>
      <c r="AF851">
        <v>0.95169789000000005</v>
      </c>
    </row>
    <row r="852" spans="1:32" x14ac:dyDescent="0.25">
      <c r="A852" s="56">
        <v>3702820</v>
      </c>
      <c r="B852" s="56" t="s">
        <v>4387</v>
      </c>
      <c r="C852" s="56" t="s">
        <v>4389</v>
      </c>
      <c r="D852" s="57"/>
      <c r="E852" s="58">
        <v>78</v>
      </c>
      <c r="F852" s="57">
        <v>7.8E-2</v>
      </c>
      <c r="G852" s="56" t="s">
        <v>392</v>
      </c>
      <c r="H852" s="56" t="s">
        <v>2511</v>
      </c>
      <c r="I852" s="56" t="s">
        <v>1835</v>
      </c>
      <c r="J852" s="56" t="s">
        <v>3441</v>
      </c>
      <c r="K852" s="57">
        <v>79.950999999999993</v>
      </c>
      <c r="L852" s="56" t="s">
        <v>1914</v>
      </c>
      <c r="M852" s="56" t="s">
        <v>1123</v>
      </c>
      <c r="N852" s="56" t="s">
        <v>52</v>
      </c>
      <c r="O852" s="58">
        <v>51</v>
      </c>
      <c r="P852" s="59" t="s">
        <v>2532</v>
      </c>
      <c r="Q852" s="56" t="s">
        <v>2516</v>
      </c>
      <c r="U852">
        <v>3500404</v>
      </c>
      <c r="V852">
        <v>25.4</v>
      </c>
      <c r="W852">
        <v>0</v>
      </c>
      <c r="X852">
        <v>2</v>
      </c>
      <c r="Y852">
        <v>5</v>
      </c>
      <c r="Z852" t="s">
        <v>1914</v>
      </c>
      <c r="AA852" t="s">
        <v>1003</v>
      </c>
      <c r="AB852" t="s">
        <v>2520</v>
      </c>
      <c r="AC852" t="s">
        <v>737</v>
      </c>
      <c r="AD852" t="s">
        <v>1838</v>
      </c>
      <c r="AE852" t="s">
        <v>4379</v>
      </c>
      <c r="AF852">
        <v>1.1535732000000001</v>
      </c>
    </row>
    <row r="853" spans="1:32" x14ac:dyDescent="0.25">
      <c r="A853" s="56">
        <v>3702820</v>
      </c>
      <c r="B853" s="56" t="s">
        <v>4387</v>
      </c>
      <c r="C853" s="56" t="s">
        <v>4390</v>
      </c>
      <c r="D853" s="57"/>
      <c r="E853" s="58">
        <v>651</v>
      </c>
      <c r="F853" s="57">
        <v>0.65100000000000002</v>
      </c>
      <c r="G853" s="56" t="s">
        <v>392</v>
      </c>
      <c r="H853" s="56" t="s">
        <v>2511</v>
      </c>
      <c r="I853" s="56" t="s">
        <v>1835</v>
      </c>
      <c r="J853" s="56" t="s">
        <v>4162</v>
      </c>
      <c r="K853" s="57">
        <v>667.28200000000004</v>
      </c>
      <c r="L853" s="56" t="s">
        <v>1914</v>
      </c>
      <c r="M853" s="56" t="s">
        <v>1123</v>
      </c>
      <c r="N853" s="56" t="s">
        <v>52</v>
      </c>
      <c r="O853" s="58">
        <v>51</v>
      </c>
      <c r="P853" s="59" t="s">
        <v>2532</v>
      </c>
      <c r="Q853" s="56" t="s">
        <v>2516</v>
      </c>
      <c r="U853" s="538">
        <v>111002135</v>
      </c>
      <c r="V853">
        <v>25.4</v>
      </c>
      <c r="W853">
        <v>0</v>
      </c>
      <c r="X853">
        <v>2</v>
      </c>
      <c r="Y853">
        <v>5.74</v>
      </c>
      <c r="Z853" t="s">
        <v>1868</v>
      </c>
      <c r="AA853" t="s">
        <v>1003</v>
      </c>
      <c r="AB853" t="s">
        <v>2520</v>
      </c>
      <c r="AC853" t="s">
        <v>737</v>
      </c>
      <c r="AD853" t="s">
        <v>1838</v>
      </c>
      <c r="AE853" t="s">
        <v>4379</v>
      </c>
      <c r="AF853">
        <v>1.1535732000000001</v>
      </c>
    </row>
    <row r="854" spans="1:32" x14ac:dyDescent="0.25">
      <c r="A854" s="56">
        <v>3746291</v>
      </c>
      <c r="B854" s="56" t="s">
        <v>880</v>
      </c>
      <c r="C854" s="56" t="s">
        <v>4391</v>
      </c>
      <c r="D854" s="57"/>
      <c r="E854" s="57">
        <v>389.58</v>
      </c>
      <c r="F854" s="57">
        <v>0.38957999999999998</v>
      </c>
      <c r="G854" s="56" t="s">
        <v>392</v>
      </c>
      <c r="H854" s="56" t="s">
        <v>2511</v>
      </c>
      <c r="I854" s="56" t="s">
        <v>1835</v>
      </c>
      <c r="J854" s="56" t="s">
        <v>2158</v>
      </c>
      <c r="K854" s="57">
        <v>67.962000000000003</v>
      </c>
      <c r="L854" s="56" t="s">
        <v>1914</v>
      </c>
      <c r="M854" s="56" t="s">
        <v>1123</v>
      </c>
      <c r="N854" s="56" t="s">
        <v>151</v>
      </c>
      <c r="O854" s="58">
        <v>13</v>
      </c>
      <c r="P854" s="59" t="s">
        <v>2515</v>
      </c>
      <c r="Q854" s="56" t="s">
        <v>11</v>
      </c>
      <c r="U854" s="538">
        <v>111001243</v>
      </c>
      <c r="V854">
        <v>25.4</v>
      </c>
      <c r="W854">
        <v>0</v>
      </c>
      <c r="X854">
        <v>2</v>
      </c>
      <c r="Y854">
        <v>5.8</v>
      </c>
      <c r="Z854" t="s">
        <v>1868</v>
      </c>
      <c r="AA854" t="s">
        <v>1003</v>
      </c>
      <c r="AB854" t="s">
        <v>2520</v>
      </c>
      <c r="AC854" t="s">
        <v>737</v>
      </c>
      <c r="AD854" t="s">
        <v>1838</v>
      </c>
      <c r="AE854" t="s">
        <v>4379</v>
      </c>
      <c r="AF854">
        <v>1.1535732000000001</v>
      </c>
    </row>
    <row r="855" spans="1:32" x14ac:dyDescent="0.25">
      <c r="A855" s="56">
        <v>3768907</v>
      </c>
      <c r="B855" s="56" t="s">
        <v>655</v>
      </c>
      <c r="C855" s="56" t="s">
        <v>4392</v>
      </c>
      <c r="D855" s="57"/>
      <c r="E855" s="57">
        <v>204.47399999999999</v>
      </c>
      <c r="F855" s="57">
        <v>0.20447399999999999</v>
      </c>
      <c r="G855" s="56" t="s">
        <v>392</v>
      </c>
      <c r="H855" s="56" t="s">
        <v>2511</v>
      </c>
      <c r="I855" s="56" t="s">
        <v>1835</v>
      </c>
      <c r="J855" s="56" t="s">
        <v>1914</v>
      </c>
      <c r="K855" s="57">
        <v>68.016999999999996</v>
      </c>
      <c r="L855" s="56" t="s">
        <v>1914</v>
      </c>
      <c r="M855" s="56" t="s">
        <v>1123</v>
      </c>
      <c r="N855" s="56" t="s">
        <v>39</v>
      </c>
      <c r="O855" s="58">
        <v>34</v>
      </c>
      <c r="P855" s="59" t="s">
        <v>2532</v>
      </c>
      <c r="Q855" s="56" t="s">
        <v>2516</v>
      </c>
      <c r="U855" s="52">
        <v>3667329</v>
      </c>
      <c r="V855">
        <v>25.4</v>
      </c>
      <c r="W855">
        <v>0</v>
      </c>
      <c r="X855">
        <v>2</v>
      </c>
      <c r="Y855">
        <v>5.84</v>
      </c>
      <c r="Z855" t="s">
        <v>1914</v>
      </c>
      <c r="AA855" t="s">
        <v>963</v>
      </c>
      <c r="AB855" t="s">
        <v>2520</v>
      </c>
      <c r="AC855" t="s">
        <v>1008</v>
      </c>
      <c r="AD855" t="s">
        <v>1838</v>
      </c>
      <c r="AE855" t="s">
        <v>4386</v>
      </c>
      <c r="AF855">
        <v>1.1535732000000001</v>
      </c>
    </row>
    <row r="856" spans="1:32" x14ac:dyDescent="0.25">
      <c r="A856" s="56">
        <v>3770394</v>
      </c>
      <c r="B856" s="56" t="s">
        <v>2353</v>
      </c>
      <c r="C856" s="56" t="s">
        <v>4393</v>
      </c>
      <c r="D856" s="57"/>
      <c r="E856" s="57">
        <v>1892.6130000000001</v>
      </c>
      <c r="F856" s="57">
        <v>1.8926130000000001</v>
      </c>
      <c r="G856" s="56" t="s">
        <v>392</v>
      </c>
      <c r="H856" s="56" t="s">
        <v>2511</v>
      </c>
      <c r="I856" s="56" t="s">
        <v>1835</v>
      </c>
      <c r="J856" s="56" t="s">
        <v>4014</v>
      </c>
      <c r="K856" s="57">
        <v>684.66300000000001</v>
      </c>
      <c r="L856" s="56" t="s">
        <v>1914</v>
      </c>
      <c r="M856" s="56" t="s">
        <v>1123</v>
      </c>
      <c r="N856" s="56" t="s">
        <v>71</v>
      </c>
      <c r="O856" s="58">
        <v>28</v>
      </c>
      <c r="P856" s="59" t="s">
        <v>2515</v>
      </c>
      <c r="Q856" s="56" t="s">
        <v>2516</v>
      </c>
      <c r="U856" s="52">
        <v>3673890</v>
      </c>
      <c r="V856">
        <v>25.4</v>
      </c>
      <c r="W856">
        <v>0</v>
      </c>
      <c r="X856">
        <v>2</v>
      </c>
      <c r="Y856">
        <v>5.84</v>
      </c>
      <c r="Z856" t="s">
        <v>1914</v>
      </c>
      <c r="AA856" t="s">
        <v>963</v>
      </c>
      <c r="AB856" t="s">
        <v>2520</v>
      </c>
      <c r="AC856" t="s">
        <v>1008</v>
      </c>
      <c r="AD856" t="s">
        <v>1838</v>
      </c>
      <c r="AE856" t="s">
        <v>4386</v>
      </c>
      <c r="AF856">
        <v>1.1535732000000001</v>
      </c>
    </row>
    <row r="857" spans="1:32" x14ac:dyDescent="0.25">
      <c r="A857" s="56">
        <v>3770394</v>
      </c>
      <c r="B857" s="56" t="s">
        <v>2353</v>
      </c>
      <c r="C857" s="56" t="s">
        <v>4394</v>
      </c>
      <c r="D857" s="57"/>
      <c r="E857" s="58">
        <v>200</v>
      </c>
      <c r="F857" s="57">
        <v>0.2</v>
      </c>
      <c r="G857" s="56" t="s">
        <v>392</v>
      </c>
      <c r="H857" s="56" t="s">
        <v>2511</v>
      </c>
      <c r="I857" s="56" t="s">
        <v>1835</v>
      </c>
      <c r="J857" s="56" t="s">
        <v>4395</v>
      </c>
      <c r="K857" s="57">
        <v>72.350999999999999</v>
      </c>
      <c r="L857" s="56" t="s">
        <v>1914</v>
      </c>
      <c r="M857" s="56" t="s">
        <v>1123</v>
      </c>
      <c r="N857" s="56" t="s">
        <v>71</v>
      </c>
      <c r="O857" s="58">
        <v>77</v>
      </c>
      <c r="P857" s="59" t="s">
        <v>2579</v>
      </c>
      <c r="Q857" s="56" t="s">
        <v>2516</v>
      </c>
      <c r="U857" s="52">
        <v>3230760</v>
      </c>
      <c r="V857">
        <v>25.4</v>
      </c>
      <c r="W857">
        <v>0</v>
      </c>
      <c r="X857">
        <v>2</v>
      </c>
      <c r="Y857">
        <v>5.84</v>
      </c>
      <c r="Z857" t="s">
        <v>1868</v>
      </c>
      <c r="AA857" t="s">
        <v>1003</v>
      </c>
      <c r="AB857" t="s">
        <v>2520</v>
      </c>
      <c r="AC857" t="s">
        <v>737</v>
      </c>
      <c r="AD857" t="s">
        <v>1838</v>
      </c>
      <c r="AE857" t="s">
        <v>4379</v>
      </c>
      <c r="AF857">
        <v>1.1535732000000001</v>
      </c>
    </row>
    <row r="858" spans="1:32" x14ac:dyDescent="0.25">
      <c r="A858" s="56">
        <v>3770394</v>
      </c>
      <c r="B858" s="56" t="s">
        <v>2353</v>
      </c>
      <c r="C858" s="56" t="s">
        <v>4396</v>
      </c>
      <c r="D858" s="57"/>
      <c r="E858" s="58">
        <v>100</v>
      </c>
      <c r="F858" s="57">
        <v>0.1</v>
      </c>
      <c r="G858" s="56" t="s">
        <v>392</v>
      </c>
      <c r="H858" s="56" t="s">
        <v>2511</v>
      </c>
      <c r="I858" s="56" t="s">
        <v>1835</v>
      </c>
      <c r="J858" s="56" t="s">
        <v>3760</v>
      </c>
      <c r="K858" s="57">
        <v>36.176000000000002</v>
      </c>
      <c r="L858" s="56" t="s">
        <v>1914</v>
      </c>
      <c r="M858" s="56" t="s">
        <v>1123</v>
      </c>
      <c r="N858" s="56" t="s">
        <v>71</v>
      </c>
      <c r="O858" s="58">
        <v>59</v>
      </c>
      <c r="P858" s="59" t="s">
        <v>2532</v>
      </c>
      <c r="Q858" s="56" t="s">
        <v>2516</v>
      </c>
      <c r="U858" s="52">
        <v>3230758</v>
      </c>
      <c r="V858">
        <v>25.4</v>
      </c>
      <c r="W858">
        <v>0</v>
      </c>
      <c r="X858">
        <v>2</v>
      </c>
      <c r="Y858">
        <v>5.86</v>
      </c>
      <c r="Z858" t="s">
        <v>1868</v>
      </c>
      <c r="AA858" t="s">
        <v>1003</v>
      </c>
      <c r="AB858" t="s">
        <v>2520</v>
      </c>
      <c r="AC858" t="s">
        <v>737</v>
      </c>
      <c r="AD858" t="s">
        <v>1838</v>
      </c>
      <c r="AE858" t="s">
        <v>4379</v>
      </c>
      <c r="AF858" t="e">
        <f>IF([4]!buckets[[#This Row],[LL or CTL]]="LL",(3.14*([4]!buckets[[#This Row],[OD]]-[4]!buckets[[#This Row],[Thickness]])*[4]!buckets[[#This Row],[Thickness]]*1000*7.85)/1000000,(3.14*([4]!buckets[[#This Row],[OD]]-[4]!buckets[[#This Row],[Thickness]])*[4]!buckets[[#This Row],[Thickness]]*[4]!buckets[[#This Row],[Length]]*1000*7.85)/1000000)</f>
        <v>#REF!</v>
      </c>
    </row>
    <row r="859" spans="1:32" x14ac:dyDescent="0.25">
      <c r="A859" s="56">
        <v>3770394</v>
      </c>
      <c r="B859" s="56" t="s">
        <v>2353</v>
      </c>
      <c r="C859" s="56" t="s">
        <v>4397</v>
      </c>
      <c r="D859" s="57"/>
      <c r="E859" s="58">
        <v>111</v>
      </c>
      <c r="F859" s="57">
        <v>0.111</v>
      </c>
      <c r="G859" s="56" t="s">
        <v>392</v>
      </c>
      <c r="H859" s="56" t="s">
        <v>2511</v>
      </c>
      <c r="I859" s="56" t="s">
        <v>1835</v>
      </c>
      <c r="J859" s="56" t="s">
        <v>4398</v>
      </c>
      <c r="K859" s="57">
        <v>40.155000000000001</v>
      </c>
      <c r="L859" s="56" t="s">
        <v>1914</v>
      </c>
      <c r="M859" s="56" t="s">
        <v>1123</v>
      </c>
      <c r="N859" s="56" t="s">
        <v>71</v>
      </c>
      <c r="O859" s="58">
        <v>59</v>
      </c>
      <c r="P859" s="59" t="s">
        <v>2532</v>
      </c>
      <c r="Q859" s="56" t="s">
        <v>2516</v>
      </c>
      <c r="U859" s="538">
        <v>111116361</v>
      </c>
      <c r="V859">
        <v>25.4</v>
      </c>
      <c r="W859">
        <v>0</v>
      </c>
      <c r="X859">
        <v>2</v>
      </c>
      <c r="Y859">
        <v>5.92</v>
      </c>
      <c r="Z859" t="s">
        <v>1868</v>
      </c>
      <c r="AA859" t="s">
        <v>1003</v>
      </c>
      <c r="AB859" t="s">
        <v>2520</v>
      </c>
      <c r="AC859" t="s">
        <v>737</v>
      </c>
      <c r="AD859" t="s">
        <v>1838</v>
      </c>
      <c r="AE859" t="s">
        <v>4379</v>
      </c>
      <c r="AF859">
        <v>1.1535732000000001</v>
      </c>
    </row>
    <row r="860" spans="1:32" x14ac:dyDescent="0.25">
      <c r="A860" s="56">
        <v>3770398</v>
      </c>
      <c r="B860" s="56" t="s">
        <v>2357</v>
      </c>
      <c r="C860" s="56" t="s">
        <v>4399</v>
      </c>
      <c r="D860" s="57"/>
      <c r="E860" s="58">
        <v>2051</v>
      </c>
      <c r="F860" s="57">
        <v>2.0510000000000002</v>
      </c>
      <c r="G860" s="56" t="s">
        <v>392</v>
      </c>
      <c r="H860" s="56" t="s">
        <v>2511</v>
      </c>
      <c r="I860" s="56" t="s">
        <v>1835</v>
      </c>
      <c r="J860" s="56" t="s">
        <v>3466</v>
      </c>
      <c r="K860" s="57">
        <v>1331.559</v>
      </c>
      <c r="L860" s="56" t="s">
        <v>1914</v>
      </c>
      <c r="M860" s="56" t="s">
        <v>1123</v>
      </c>
      <c r="N860" s="56" t="s">
        <v>30</v>
      </c>
      <c r="O860" s="58">
        <v>3</v>
      </c>
      <c r="P860" s="59" t="s">
        <v>2515</v>
      </c>
      <c r="Q860" s="56" t="s">
        <v>11</v>
      </c>
      <c r="U860" s="538">
        <v>111120564</v>
      </c>
      <c r="V860">
        <v>25.4</v>
      </c>
      <c r="W860">
        <v>0</v>
      </c>
      <c r="X860">
        <v>2</v>
      </c>
      <c r="Y860">
        <v>5.95</v>
      </c>
      <c r="Z860" t="s">
        <v>1952</v>
      </c>
      <c r="AA860" t="s">
        <v>1003</v>
      </c>
      <c r="AB860" t="s">
        <v>2520</v>
      </c>
      <c r="AC860" t="s">
        <v>737</v>
      </c>
      <c r="AD860" t="s">
        <v>1838</v>
      </c>
      <c r="AE860" t="s">
        <v>4379</v>
      </c>
      <c r="AF860">
        <v>1.1535732000000001</v>
      </c>
    </row>
    <row r="861" spans="1:32" x14ac:dyDescent="0.25">
      <c r="A861" s="56">
        <v>3770398</v>
      </c>
      <c r="B861" s="56" t="s">
        <v>2357</v>
      </c>
      <c r="C861" s="56" t="s">
        <v>4400</v>
      </c>
      <c r="D861" s="57"/>
      <c r="E861" s="58">
        <v>1968</v>
      </c>
      <c r="F861" s="57">
        <v>1.968</v>
      </c>
      <c r="G861" s="56" t="s">
        <v>392</v>
      </c>
      <c r="H861" s="56" t="s">
        <v>2511</v>
      </c>
      <c r="I861" s="56" t="s">
        <v>1835</v>
      </c>
      <c r="J861" s="56" t="s">
        <v>3778</v>
      </c>
      <c r="K861" s="57">
        <v>1277.673</v>
      </c>
      <c r="L861" s="56" t="s">
        <v>1914</v>
      </c>
      <c r="M861" s="56" t="s">
        <v>1123</v>
      </c>
      <c r="N861" s="56" t="s">
        <v>30</v>
      </c>
      <c r="O861" s="58">
        <v>3</v>
      </c>
      <c r="P861" s="59" t="s">
        <v>2515</v>
      </c>
      <c r="Q861" s="56" t="s">
        <v>11</v>
      </c>
      <c r="U861" s="52">
        <v>3500096</v>
      </c>
      <c r="V861">
        <v>25.4</v>
      </c>
      <c r="W861">
        <v>0</v>
      </c>
      <c r="X861">
        <v>2</v>
      </c>
      <c r="Y861">
        <v>6</v>
      </c>
      <c r="Z861" t="s">
        <v>2821</v>
      </c>
      <c r="AA861" t="s">
        <v>963</v>
      </c>
      <c r="AB861" t="s">
        <v>2520</v>
      </c>
      <c r="AC861" t="s">
        <v>1008</v>
      </c>
      <c r="AD861" t="s">
        <v>1838</v>
      </c>
      <c r="AE861" t="s">
        <v>4386</v>
      </c>
      <c r="AF861">
        <v>1.1535732000000001</v>
      </c>
    </row>
    <row r="862" spans="1:32" x14ac:dyDescent="0.25">
      <c r="A862" s="56">
        <v>3770398</v>
      </c>
      <c r="B862" s="56" t="s">
        <v>2357</v>
      </c>
      <c r="C862" s="56" t="s">
        <v>4401</v>
      </c>
      <c r="D862" s="57"/>
      <c r="E862" s="58">
        <v>2014</v>
      </c>
      <c r="F862" s="57">
        <v>2.0139999999999998</v>
      </c>
      <c r="G862" s="56" t="s">
        <v>392</v>
      </c>
      <c r="H862" s="56" t="s">
        <v>2511</v>
      </c>
      <c r="I862" s="56" t="s">
        <v>1835</v>
      </c>
      <c r="J862" s="56" t="s">
        <v>3405</v>
      </c>
      <c r="K862" s="57">
        <v>1307.537</v>
      </c>
      <c r="L862" s="56" t="s">
        <v>1914</v>
      </c>
      <c r="M862" s="56" t="s">
        <v>1123</v>
      </c>
      <c r="N862" s="56" t="s">
        <v>30</v>
      </c>
      <c r="O862" s="58">
        <v>3</v>
      </c>
      <c r="P862" s="59" t="s">
        <v>2515</v>
      </c>
      <c r="Q862" s="56" t="s">
        <v>11</v>
      </c>
      <c r="U862" s="52">
        <v>2385290</v>
      </c>
      <c r="V862">
        <v>25.4</v>
      </c>
      <c r="W862">
        <v>0</v>
      </c>
      <c r="X862">
        <v>2</v>
      </c>
      <c r="Y862">
        <v>6</v>
      </c>
      <c r="Z862" t="s">
        <v>1868</v>
      </c>
      <c r="AA862" t="s">
        <v>1003</v>
      </c>
      <c r="AB862" t="s">
        <v>2520</v>
      </c>
      <c r="AC862" t="s">
        <v>737</v>
      </c>
      <c r="AD862" t="s">
        <v>1838</v>
      </c>
      <c r="AE862" t="s">
        <v>4379</v>
      </c>
      <c r="AF862">
        <v>1.1535732000000001</v>
      </c>
    </row>
    <row r="863" spans="1:32" x14ac:dyDescent="0.25">
      <c r="A863" s="56">
        <v>3770398</v>
      </c>
      <c r="B863" s="56" t="s">
        <v>2357</v>
      </c>
      <c r="C863" s="56" t="s">
        <v>4404</v>
      </c>
      <c r="D863" s="57"/>
      <c r="E863" s="58">
        <v>2083</v>
      </c>
      <c r="F863" s="57">
        <v>2.0830000000000002</v>
      </c>
      <c r="G863" s="56" t="s">
        <v>392</v>
      </c>
      <c r="H863" s="56" t="s">
        <v>2511</v>
      </c>
      <c r="I863" s="56" t="s">
        <v>1835</v>
      </c>
      <c r="J863" s="56" t="s">
        <v>4405</v>
      </c>
      <c r="K863" s="57">
        <v>1352.3340000000001</v>
      </c>
      <c r="L863" s="56" t="s">
        <v>1914</v>
      </c>
      <c r="M863" s="56" t="s">
        <v>1123</v>
      </c>
      <c r="N863" s="56" t="s">
        <v>30</v>
      </c>
      <c r="O863" s="58">
        <v>3</v>
      </c>
      <c r="P863" s="59" t="s">
        <v>2515</v>
      </c>
      <c r="Q863" s="56" t="s">
        <v>11</v>
      </c>
      <c r="U863">
        <v>3515482</v>
      </c>
      <c r="V863">
        <v>25.4</v>
      </c>
      <c r="W863">
        <v>0</v>
      </c>
      <c r="X863">
        <v>2</v>
      </c>
      <c r="Y863">
        <v>6</v>
      </c>
      <c r="Z863" t="s">
        <v>1868</v>
      </c>
      <c r="AA863" t="s">
        <v>1003</v>
      </c>
      <c r="AB863" t="s">
        <v>2801</v>
      </c>
      <c r="AC863" t="s">
        <v>737</v>
      </c>
      <c r="AD863" t="s">
        <v>1838</v>
      </c>
      <c r="AE863" t="s">
        <v>4379</v>
      </c>
      <c r="AF863">
        <v>1.1535732000000001</v>
      </c>
    </row>
    <row r="864" spans="1:32" x14ac:dyDescent="0.25">
      <c r="A864" s="56">
        <v>3770398</v>
      </c>
      <c r="B864" s="56" t="s">
        <v>2357</v>
      </c>
      <c r="C864" s="56" t="s">
        <v>4406</v>
      </c>
      <c r="D864" s="57"/>
      <c r="E864" s="58">
        <v>1968</v>
      </c>
      <c r="F864" s="57">
        <v>1.968</v>
      </c>
      <c r="G864" s="56" t="s">
        <v>392</v>
      </c>
      <c r="H864" s="56" t="s">
        <v>2511</v>
      </c>
      <c r="I864" s="56" t="s">
        <v>1835</v>
      </c>
      <c r="J864" s="56" t="s">
        <v>3778</v>
      </c>
      <c r="K864" s="57">
        <v>1277.673</v>
      </c>
      <c r="L864" s="56" t="s">
        <v>1914</v>
      </c>
      <c r="M864" s="56" t="s">
        <v>1123</v>
      </c>
      <c r="N864" s="56" t="s">
        <v>30</v>
      </c>
      <c r="O864" s="58">
        <v>3</v>
      </c>
      <c r="P864" s="59" t="s">
        <v>2515</v>
      </c>
      <c r="Q864" s="56" t="s">
        <v>11</v>
      </c>
      <c r="U864" s="52">
        <v>3702196</v>
      </c>
      <c r="V864">
        <v>25.4</v>
      </c>
      <c r="W864">
        <v>0</v>
      </c>
      <c r="X864">
        <v>2</v>
      </c>
      <c r="Y864">
        <v>6</v>
      </c>
      <c r="Z864" t="s">
        <v>1881</v>
      </c>
      <c r="AA864" t="s">
        <v>963</v>
      </c>
      <c r="AB864" t="s">
        <v>2520</v>
      </c>
      <c r="AC864" t="s">
        <v>1008</v>
      </c>
      <c r="AD864" t="s">
        <v>1838</v>
      </c>
      <c r="AE864" t="s">
        <v>4386</v>
      </c>
      <c r="AF864" t="e">
        <f>IF([4]!buckets[[#This Row],[LL or CTL]]="LL",(3.14*([4]!buckets[[#This Row],[OD]]-[4]!buckets[[#This Row],[Thickness]])*[4]!buckets[[#This Row],[Thickness]]*1000*7.85)/1000000,(3.14*([4]!buckets[[#This Row],[OD]]-[4]!buckets[[#This Row],[Thickness]])*[4]!buckets[[#This Row],[Thickness]]*[4]!buckets[[#This Row],[Length]]*1000*7.85)/1000000)</f>
        <v>#REF!</v>
      </c>
    </row>
    <row r="865" spans="1:32" x14ac:dyDescent="0.25">
      <c r="A865" s="56">
        <v>3770398</v>
      </c>
      <c r="B865" s="56" t="s">
        <v>2357</v>
      </c>
      <c r="C865" s="56" t="s">
        <v>4407</v>
      </c>
      <c r="D865" s="57"/>
      <c r="E865" s="58">
        <v>1986</v>
      </c>
      <c r="F865" s="57">
        <v>1.986</v>
      </c>
      <c r="G865" s="56" t="s">
        <v>392</v>
      </c>
      <c r="H865" s="56" t="s">
        <v>2511</v>
      </c>
      <c r="I865" s="56" t="s">
        <v>1835</v>
      </c>
      <c r="J865" s="56" t="s">
        <v>3471</v>
      </c>
      <c r="K865" s="57">
        <v>1289.3589999999999</v>
      </c>
      <c r="L865" s="56" t="s">
        <v>1914</v>
      </c>
      <c r="M865" s="56" t="s">
        <v>1123</v>
      </c>
      <c r="N865" s="56" t="s">
        <v>30</v>
      </c>
      <c r="O865" s="58">
        <v>3</v>
      </c>
      <c r="P865" s="59" t="s">
        <v>2515</v>
      </c>
      <c r="Q865" s="56" t="s">
        <v>11</v>
      </c>
      <c r="U865" s="52">
        <v>3230755</v>
      </c>
      <c r="V865">
        <v>25.4</v>
      </c>
      <c r="W865">
        <v>0</v>
      </c>
      <c r="X865">
        <v>2</v>
      </c>
      <c r="Y865">
        <v>6.08</v>
      </c>
      <c r="Z865" t="s">
        <v>1868</v>
      </c>
      <c r="AA865" t="s">
        <v>1003</v>
      </c>
      <c r="AB865" t="s">
        <v>2520</v>
      </c>
      <c r="AC865" t="s">
        <v>737</v>
      </c>
      <c r="AD865" t="s">
        <v>1838</v>
      </c>
      <c r="AE865" t="s">
        <v>4379</v>
      </c>
      <c r="AF865">
        <v>1.1535732000000001</v>
      </c>
    </row>
    <row r="866" spans="1:32" x14ac:dyDescent="0.25">
      <c r="A866" s="56">
        <v>3770398</v>
      </c>
      <c r="B866" s="56" t="s">
        <v>2357</v>
      </c>
      <c r="C866" s="56" t="s">
        <v>4409</v>
      </c>
      <c r="D866" s="57"/>
      <c r="E866" s="58">
        <v>1959</v>
      </c>
      <c r="F866" s="57">
        <v>1.9590000000000001</v>
      </c>
      <c r="G866" s="56" t="s">
        <v>392</v>
      </c>
      <c r="H866" s="56" t="s">
        <v>2511</v>
      </c>
      <c r="I866" s="56" t="s">
        <v>1835</v>
      </c>
      <c r="J866" s="56" t="s">
        <v>4147</v>
      </c>
      <c r="K866" s="57">
        <v>1271.83</v>
      </c>
      <c r="L866" s="56" t="s">
        <v>1914</v>
      </c>
      <c r="M866" s="56" t="s">
        <v>1123</v>
      </c>
      <c r="N866" s="56" t="s">
        <v>30</v>
      </c>
      <c r="O866" s="58">
        <v>3</v>
      </c>
      <c r="P866" s="59" t="s">
        <v>2515</v>
      </c>
      <c r="Q866" s="56" t="s">
        <v>11</v>
      </c>
      <c r="U866" s="52">
        <v>1909397</v>
      </c>
      <c r="V866">
        <v>25.4</v>
      </c>
      <c r="W866">
        <v>0</v>
      </c>
      <c r="X866">
        <v>2</v>
      </c>
      <c r="Y866">
        <v>6.1</v>
      </c>
      <c r="Z866" t="s">
        <v>1952</v>
      </c>
      <c r="AA866" t="s">
        <v>963</v>
      </c>
      <c r="AB866" t="s">
        <v>2520</v>
      </c>
      <c r="AC866" t="s">
        <v>1008</v>
      </c>
      <c r="AD866" t="s">
        <v>1838</v>
      </c>
      <c r="AE866" t="s">
        <v>4386</v>
      </c>
      <c r="AF866">
        <v>1.1535732000000001</v>
      </c>
    </row>
    <row r="867" spans="1:32" x14ac:dyDescent="0.25">
      <c r="A867" s="56">
        <v>3770398</v>
      </c>
      <c r="B867" s="56" t="s">
        <v>2357</v>
      </c>
      <c r="C867" s="56" t="s">
        <v>4410</v>
      </c>
      <c r="D867" s="57"/>
      <c r="E867" s="58">
        <v>1898</v>
      </c>
      <c r="F867" s="57">
        <v>1.8979999999999999</v>
      </c>
      <c r="G867" s="56" t="s">
        <v>392</v>
      </c>
      <c r="H867" s="56" t="s">
        <v>2511</v>
      </c>
      <c r="I867" s="56" t="s">
        <v>1835</v>
      </c>
      <c r="J867" s="56" t="s">
        <v>3832</v>
      </c>
      <c r="K867" s="57">
        <v>1232.2270000000001</v>
      </c>
      <c r="L867" s="56" t="s">
        <v>1914</v>
      </c>
      <c r="M867" s="56" t="s">
        <v>1123</v>
      </c>
      <c r="N867" s="56" t="s">
        <v>30</v>
      </c>
      <c r="O867" s="58">
        <v>3</v>
      </c>
      <c r="P867" s="59" t="s">
        <v>2515</v>
      </c>
      <c r="Q867" s="56" t="s">
        <v>11</v>
      </c>
      <c r="U867" s="52">
        <v>3520755</v>
      </c>
      <c r="V867">
        <v>25.4</v>
      </c>
      <c r="W867">
        <v>0</v>
      </c>
      <c r="X867">
        <v>2.2999999999999998</v>
      </c>
      <c r="Y867">
        <v>0.27300000000000002</v>
      </c>
      <c r="Z867" t="s">
        <v>1891</v>
      </c>
      <c r="AA867" t="s">
        <v>963</v>
      </c>
      <c r="AB867" t="s">
        <v>2520</v>
      </c>
      <c r="AC867" t="s">
        <v>4402</v>
      </c>
      <c r="AD867" t="s">
        <v>2171</v>
      </c>
      <c r="AE867" t="s">
        <v>4403</v>
      </c>
      <c r="AF867">
        <v>0.35752117400999994</v>
      </c>
    </row>
    <row r="868" spans="1:32" x14ac:dyDescent="0.25">
      <c r="A868" s="56">
        <v>3770398</v>
      </c>
      <c r="B868" s="56" t="s">
        <v>2357</v>
      </c>
      <c r="C868" s="56" t="s">
        <v>4412</v>
      </c>
      <c r="D868" s="57"/>
      <c r="E868" s="58">
        <v>2143</v>
      </c>
      <c r="F868" s="57">
        <v>2.1429999999999998</v>
      </c>
      <c r="G868" s="56" t="s">
        <v>392</v>
      </c>
      <c r="H868" s="56" t="s">
        <v>2511</v>
      </c>
      <c r="I868" s="56" t="s">
        <v>1835</v>
      </c>
      <c r="J868" s="56" t="s">
        <v>3475</v>
      </c>
      <c r="K868" s="57">
        <v>1391.287</v>
      </c>
      <c r="L868" s="56" t="s">
        <v>1914</v>
      </c>
      <c r="M868" s="56" t="s">
        <v>1123</v>
      </c>
      <c r="N868" s="56" t="s">
        <v>30</v>
      </c>
      <c r="O868" s="58">
        <v>3</v>
      </c>
      <c r="P868" s="59" t="s">
        <v>2515</v>
      </c>
      <c r="Q868" s="56" t="s">
        <v>11</v>
      </c>
      <c r="U868" s="52">
        <v>3410967</v>
      </c>
      <c r="V868">
        <v>25.4</v>
      </c>
      <c r="W868">
        <v>0</v>
      </c>
      <c r="X868">
        <v>2.2999999999999998</v>
      </c>
      <c r="Y868">
        <v>6</v>
      </c>
      <c r="Z868" t="s">
        <v>2088</v>
      </c>
      <c r="AA868" t="s">
        <v>1003</v>
      </c>
      <c r="AB868" t="s">
        <v>2520</v>
      </c>
      <c r="AC868" t="s">
        <v>3361</v>
      </c>
      <c r="AD868" t="s">
        <v>1838</v>
      </c>
      <c r="AE868" t="s">
        <v>3362</v>
      </c>
      <c r="AF868">
        <v>1.3096013699999998</v>
      </c>
    </row>
    <row r="869" spans="1:32" x14ac:dyDescent="0.25">
      <c r="A869" s="56">
        <v>3775122</v>
      </c>
      <c r="B869" s="56" t="s">
        <v>1765</v>
      </c>
      <c r="C869" s="56" t="s">
        <v>4413</v>
      </c>
      <c r="D869" s="57"/>
      <c r="E869" s="58">
        <v>110</v>
      </c>
      <c r="F869" s="57">
        <v>0.11</v>
      </c>
      <c r="G869" s="56" t="s">
        <v>392</v>
      </c>
      <c r="H869" s="56" t="s">
        <v>2511</v>
      </c>
      <c r="I869" s="56" t="s">
        <v>1835</v>
      </c>
      <c r="J869" s="56" t="s">
        <v>4414</v>
      </c>
      <c r="K869" s="57">
        <v>19.190000000000001</v>
      </c>
      <c r="L869" s="56" t="s">
        <v>1914</v>
      </c>
      <c r="M869" s="56" t="s">
        <v>1123</v>
      </c>
      <c r="N869" s="56" t="s">
        <v>151</v>
      </c>
      <c r="O869" s="58">
        <v>80</v>
      </c>
      <c r="P869" s="59" t="s">
        <v>2579</v>
      </c>
      <c r="Q869" s="56" t="s">
        <v>11</v>
      </c>
      <c r="U869" s="52">
        <v>1939544</v>
      </c>
      <c r="V869">
        <v>25.4</v>
      </c>
      <c r="W869">
        <v>0</v>
      </c>
      <c r="X869">
        <v>2.5</v>
      </c>
      <c r="Y869">
        <v>0.217</v>
      </c>
      <c r="Z869" t="s">
        <v>1874</v>
      </c>
      <c r="AA869" t="s">
        <v>1003</v>
      </c>
      <c r="AB869" t="s">
        <v>2517</v>
      </c>
      <c r="AC869" t="s">
        <v>806</v>
      </c>
      <c r="AD869" t="s">
        <v>2171</v>
      </c>
      <c r="AE869" t="s">
        <v>808</v>
      </c>
      <c r="AF869">
        <v>0.30622068925000001</v>
      </c>
    </row>
    <row r="870" spans="1:32" x14ac:dyDescent="0.25">
      <c r="A870" s="56">
        <v>3775569</v>
      </c>
      <c r="B870" s="56" t="s">
        <v>595</v>
      </c>
      <c r="C870" s="56" t="s">
        <v>4415</v>
      </c>
      <c r="D870" s="57"/>
      <c r="E870" s="58">
        <v>1363</v>
      </c>
      <c r="F870" s="57">
        <v>1.363</v>
      </c>
      <c r="G870" s="56" t="s">
        <v>392</v>
      </c>
      <c r="H870" s="56" t="s">
        <v>2511</v>
      </c>
      <c r="I870" s="56" t="s">
        <v>1835</v>
      </c>
      <c r="J870" s="56" t="s">
        <v>2881</v>
      </c>
      <c r="K870" s="57">
        <v>1079.347</v>
      </c>
      <c r="L870" s="56" t="s">
        <v>1914</v>
      </c>
      <c r="M870" s="56" t="s">
        <v>1123</v>
      </c>
      <c r="N870" s="56" t="s">
        <v>72</v>
      </c>
      <c r="O870" s="58">
        <v>16</v>
      </c>
      <c r="P870" s="59" t="s">
        <v>2515</v>
      </c>
      <c r="Q870" s="56" t="s">
        <v>11</v>
      </c>
      <c r="U870" s="52">
        <v>1941293</v>
      </c>
      <c r="V870">
        <v>25.4</v>
      </c>
      <c r="W870">
        <v>0</v>
      </c>
      <c r="X870">
        <v>2.5</v>
      </c>
      <c r="Y870">
        <v>0.218</v>
      </c>
      <c r="Z870" t="s">
        <v>1874</v>
      </c>
      <c r="AA870" t="s">
        <v>1003</v>
      </c>
      <c r="AB870" t="s">
        <v>2517</v>
      </c>
      <c r="AC870" t="s">
        <v>806</v>
      </c>
      <c r="AD870" t="s">
        <v>2171</v>
      </c>
      <c r="AE870" t="s">
        <v>4408</v>
      </c>
      <c r="AF870">
        <v>0.30763184449999997</v>
      </c>
    </row>
    <row r="871" spans="1:32" x14ac:dyDescent="0.25">
      <c r="A871" s="56">
        <v>3775569</v>
      </c>
      <c r="B871" s="56" t="s">
        <v>595</v>
      </c>
      <c r="C871" s="56" t="s">
        <v>4417</v>
      </c>
      <c r="D871" s="57"/>
      <c r="E871" s="57">
        <v>1517.944</v>
      </c>
      <c r="F871" s="57">
        <v>1.517944</v>
      </c>
      <c r="G871" s="56" t="s">
        <v>392</v>
      </c>
      <c r="H871" s="56" t="s">
        <v>2511</v>
      </c>
      <c r="I871" s="56" t="s">
        <v>1835</v>
      </c>
      <c r="J871" s="56" t="s">
        <v>4418</v>
      </c>
      <c r="K871" s="57">
        <v>1202.046</v>
      </c>
      <c r="L871" s="56" t="s">
        <v>1914</v>
      </c>
      <c r="M871" s="56" t="s">
        <v>1123</v>
      </c>
      <c r="N871" s="56" t="s">
        <v>72</v>
      </c>
      <c r="O871" s="58">
        <v>18</v>
      </c>
      <c r="P871" s="59" t="s">
        <v>2515</v>
      </c>
      <c r="Q871" s="56" t="s">
        <v>11</v>
      </c>
      <c r="U871">
        <v>4095196</v>
      </c>
      <c r="V871">
        <v>25.4</v>
      </c>
      <c r="W871">
        <v>0</v>
      </c>
      <c r="X871">
        <v>2.5</v>
      </c>
      <c r="Y871">
        <v>0.27300000000000002</v>
      </c>
      <c r="Z871" t="s">
        <v>1891</v>
      </c>
      <c r="AA871" t="s">
        <v>1003</v>
      </c>
      <c r="AB871" t="s">
        <v>2520</v>
      </c>
      <c r="AC871" t="s">
        <v>810</v>
      </c>
      <c r="AD871" t="s">
        <v>2171</v>
      </c>
      <c r="AE871" t="s">
        <v>2231</v>
      </c>
      <c r="AF871">
        <v>0.38524538325000002</v>
      </c>
    </row>
    <row r="872" spans="1:32" x14ac:dyDescent="0.25">
      <c r="A872" s="56">
        <v>3775569</v>
      </c>
      <c r="B872" s="56" t="s">
        <v>595</v>
      </c>
      <c r="C872" s="56" t="s">
        <v>4419</v>
      </c>
      <c r="D872" s="57"/>
      <c r="E872" s="58">
        <v>1596</v>
      </c>
      <c r="F872" s="57">
        <v>1.5960000000000001</v>
      </c>
      <c r="G872" s="56" t="s">
        <v>392</v>
      </c>
      <c r="H872" s="56" t="s">
        <v>2511</v>
      </c>
      <c r="I872" s="56" t="s">
        <v>1835</v>
      </c>
      <c r="J872" s="56" t="s">
        <v>4176</v>
      </c>
      <c r="K872" s="57">
        <v>1263.8579999999999</v>
      </c>
      <c r="L872" s="56" t="s">
        <v>1914</v>
      </c>
      <c r="M872" s="56" t="s">
        <v>1123</v>
      </c>
      <c r="N872" s="56" t="s">
        <v>72</v>
      </c>
      <c r="O872" s="58">
        <v>16</v>
      </c>
      <c r="P872" s="59" t="s">
        <v>2515</v>
      </c>
      <c r="Q872" s="56" t="s">
        <v>11</v>
      </c>
      <c r="U872" s="52">
        <v>1940595</v>
      </c>
      <c r="V872">
        <v>25.4</v>
      </c>
      <c r="W872">
        <v>0</v>
      </c>
      <c r="X872">
        <v>2.5</v>
      </c>
      <c r="Y872">
        <v>0.32200000000000001</v>
      </c>
      <c r="Z872" t="s">
        <v>1881</v>
      </c>
      <c r="AA872" t="s">
        <v>1003</v>
      </c>
      <c r="AB872" t="s">
        <v>2520</v>
      </c>
      <c r="AC872" t="s">
        <v>810</v>
      </c>
      <c r="AD872" t="s">
        <v>2171</v>
      </c>
      <c r="AE872" t="s">
        <v>4411</v>
      </c>
      <c r="AF872">
        <v>0.45439199050000001</v>
      </c>
    </row>
    <row r="873" spans="1:32" x14ac:dyDescent="0.25">
      <c r="A873" s="56">
        <v>3775569</v>
      </c>
      <c r="B873" s="56" t="s">
        <v>595</v>
      </c>
      <c r="C873" s="56" t="s">
        <v>4420</v>
      </c>
      <c r="D873" s="57"/>
      <c r="E873" s="58">
        <v>1525</v>
      </c>
      <c r="F873" s="57">
        <v>1.5249999999999999</v>
      </c>
      <c r="G873" s="56" t="s">
        <v>392</v>
      </c>
      <c r="H873" s="56" t="s">
        <v>2511</v>
      </c>
      <c r="I873" s="56" t="s">
        <v>1835</v>
      </c>
      <c r="J873" s="56" t="s">
        <v>3430</v>
      </c>
      <c r="K873" s="57">
        <v>1207.634</v>
      </c>
      <c r="L873" s="56" t="s">
        <v>1914</v>
      </c>
      <c r="M873" s="56" t="s">
        <v>1123</v>
      </c>
      <c r="N873" s="56" t="s">
        <v>72</v>
      </c>
      <c r="O873" s="58">
        <v>16</v>
      </c>
      <c r="P873" s="59" t="s">
        <v>2515</v>
      </c>
      <c r="Q873" s="56" t="s">
        <v>11</v>
      </c>
      <c r="U873" s="52">
        <v>3542856</v>
      </c>
      <c r="V873">
        <v>25.4</v>
      </c>
      <c r="W873">
        <v>0</v>
      </c>
      <c r="X873">
        <v>2.5</v>
      </c>
      <c r="Y873">
        <v>0.78300000000000003</v>
      </c>
      <c r="Z873" t="s">
        <v>1868</v>
      </c>
      <c r="AA873" t="s">
        <v>1003</v>
      </c>
      <c r="AB873" t="s">
        <v>2520</v>
      </c>
      <c r="AC873" t="s">
        <v>810</v>
      </c>
      <c r="AD873" t="s">
        <v>2171</v>
      </c>
      <c r="AE873" t="s">
        <v>812</v>
      </c>
      <c r="AF873">
        <v>1.1049345607500001</v>
      </c>
    </row>
    <row r="874" spans="1:32" x14ac:dyDescent="0.25">
      <c r="A874" s="56">
        <v>3775569</v>
      </c>
      <c r="B874" s="56" t="s">
        <v>595</v>
      </c>
      <c r="C874" s="56" t="s">
        <v>4421</v>
      </c>
      <c r="D874" s="57"/>
      <c r="E874" s="58">
        <v>1690</v>
      </c>
      <c r="F874" s="57">
        <v>1.69</v>
      </c>
      <c r="G874" s="56" t="s">
        <v>392</v>
      </c>
      <c r="H874" s="56" t="s">
        <v>2511</v>
      </c>
      <c r="I874" s="56" t="s">
        <v>1835</v>
      </c>
      <c r="J874" s="56" t="s">
        <v>4422</v>
      </c>
      <c r="K874" s="57">
        <v>1338.296</v>
      </c>
      <c r="L874" s="56" t="s">
        <v>1914</v>
      </c>
      <c r="M874" s="56" t="s">
        <v>1123</v>
      </c>
      <c r="N874" s="56" t="s">
        <v>72</v>
      </c>
      <c r="O874" s="58">
        <v>16</v>
      </c>
      <c r="P874" s="59" t="s">
        <v>2515</v>
      </c>
      <c r="Q874" s="56" t="s">
        <v>11</v>
      </c>
      <c r="U874" s="52">
        <v>3775636</v>
      </c>
      <c r="V874">
        <v>25.4</v>
      </c>
      <c r="W874">
        <v>0</v>
      </c>
      <c r="X874">
        <v>2.5</v>
      </c>
      <c r="Y874">
        <v>0.78300000000000003</v>
      </c>
      <c r="Z874" t="s">
        <v>1881</v>
      </c>
      <c r="AA874" t="s">
        <v>1003</v>
      </c>
      <c r="AB874" t="s">
        <v>2520</v>
      </c>
      <c r="AC874" t="s">
        <v>810</v>
      </c>
      <c r="AD874" t="s">
        <v>2171</v>
      </c>
      <c r="AE874" t="s">
        <v>812</v>
      </c>
      <c r="AF874">
        <v>1.1049345607500001</v>
      </c>
    </row>
    <row r="875" spans="1:32" x14ac:dyDescent="0.25">
      <c r="A875" s="56">
        <v>3775631</v>
      </c>
      <c r="B875" s="56" t="s">
        <v>2385</v>
      </c>
      <c r="C875" s="56" t="s">
        <v>4423</v>
      </c>
      <c r="D875" s="57"/>
      <c r="E875" s="57">
        <v>2590.944</v>
      </c>
      <c r="F875" s="57">
        <v>2.5909439999999999</v>
      </c>
      <c r="G875" s="56" t="s">
        <v>392</v>
      </c>
      <c r="H875" s="56" t="s">
        <v>2511</v>
      </c>
      <c r="I875" s="56" t="s">
        <v>1835</v>
      </c>
      <c r="J875" s="56" t="s">
        <v>4424</v>
      </c>
      <c r="K875" s="57">
        <v>1150.9680000000001</v>
      </c>
      <c r="L875" s="56" t="s">
        <v>1914</v>
      </c>
      <c r="M875" s="56" t="s">
        <v>1123</v>
      </c>
      <c r="N875" s="56" t="s">
        <v>24</v>
      </c>
      <c r="O875" s="58">
        <v>20</v>
      </c>
      <c r="P875" s="59" t="s">
        <v>2515</v>
      </c>
      <c r="Q875" s="56" t="s">
        <v>2516</v>
      </c>
      <c r="U875" s="52">
        <v>2280506</v>
      </c>
      <c r="V875">
        <v>25.4</v>
      </c>
      <c r="W875">
        <v>0</v>
      </c>
      <c r="X875">
        <v>2.5</v>
      </c>
      <c r="Y875">
        <v>0.79</v>
      </c>
      <c r="Z875" t="s">
        <v>1868</v>
      </c>
      <c r="AA875" t="s">
        <v>1003</v>
      </c>
      <c r="AB875" t="s">
        <v>2520</v>
      </c>
      <c r="AC875" t="s">
        <v>810</v>
      </c>
      <c r="AD875" t="s">
        <v>2171</v>
      </c>
      <c r="AE875" t="s">
        <v>4416</v>
      </c>
      <c r="AF875">
        <v>1.1148126475</v>
      </c>
    </row>
    <row r="876" spans="1:32" x14ac:dyDescent="0.25">
      <c r="A876" s="56">
        <v>3775631</v>
      </c>
      <c r="B876" s="56" t="s">
        <v>2385</v>
      </c>
      <c r="C876" s="56" t="s">
        <v>4425</v>
      </c>
      <c r="D876" s="57"/>
      <c r="E876" s="57">
        <v>2106.944</v>
      </c>
      <c r="F876" s="57">
        <v>2.1069439999999999</v>
      </c>
      <c r="G876" s="56" t="s">
        <v>392</v>
      </c>
      <c r="H876" s="56" t="s">
        <v>2511</v>
      </c>
      <c r="I876" s="56" t="s">
        <v>1835</v>
      </c>
      <c r="J876" s="56" t="s">
        <v>3434</v>
      </c>
      <c r="K876" s="57">
        <v>935.96199999999999</v>
      </c>
      <c r="L876" s="56" t="s">
        <v>1914</v>
      </c>
      <c r="M876" s="56" t="s">
        <v>1123</v>
      </c>
      <c r="N876" s="56" t="s">
        <v>24</v>
      </c>
      <c r="O876" s="58">
        <v>20</v>
      </c>
      <c r="P876" s="59" t="s">
        <v>2515</v>
      </c>
      <c r="Q876" s="56" t="s">
        <v>2516</v>
      </c>
      <c r="U876" s="52">
        <v>3502256</v>
      </c>
      <c r="V876">
        <v>25.4</v>
      </c>
      <c r="W876">
        <v>0</v>
      </c>
      <c r="X876">
        <v>2.5</v>
      </c>
      <c r="Y876">
        <v>5.53</v>
      </c>
      <c r="Z876" t="s">
        <v>1914</v>
      </c>
      <c r="AA876" t="s">
        <v>963</v>
      </c>
      <c r="AB876" t="s">
        <v>2520</v>
      </c>
      <c r="AC876" t="s">
        <v>2222</v>
      </c>
      <c r="AD876" t="s">
        <v>1838</v>
      </c>
      <c r="AE876" t="s">
        <v>2223</v>
      </c>
      <c r="AF876">
        <v>1.41115525</v>
      </c>
    </row>
    <row r="877" spans="1:32" x14ac:dyDescent="0.25">
      <c r="A877" s="56">
        <v>3775631</v>
      </c>
      <c r="B877" s="56" t="s">
        <v>2385</v>
      </c>
      <c r="C877" s="56" t="s">
        <v>4426</v>
      </c>
      <c r="D877" s="57"/>
      <c r="E877" s="57">
        <v>2300.944</v>
      </c>
      <c r="F877" s="57">
        <v>2.3009439999999999</v>
      </c>
      <c r="G877" s="56" t="s">
        <v>392</v>
      </c>
      <c r="H877" s="56" t="s">
        <v>2511</v>
      </c>
      <c r="I877" s="56" t="s">
        <v>1835</v>
      </c>
      <c r="J877" s="56" t="s">
        <v>4164</v>
      </c>
      <c r="K877" s="57">
        <v>1022.1420000000001</v>
      </c>
      <c r="L877" s="56" t="s">
        <v>1914</v>
      </c>
      <c r="M877" s="56" t="s">
        <v>1123</v>
      </c>
      <c r="N877" s="56" t="s">
        <v>24</v>
      </c>
      <c r="O877" s="58">
        <v>20</v>
      </c>
      <c r="P877" s="59" t="s">
        <v>2515</v>
      </c>
      <c r="Q877" s="56" t="s">
        <v>2516</v>
      </c>
      <c r="U877" s="538">
        <v>111002141</v>
      </c>
      <c r="V877">
        <v>25.4</v>
      </c>
      <c r="W877">
        <v>0</v>
      </c>
      <c r="X877">
        <v>2.5</v>
      </c>
      <c r="Y877">
        <v>5.56</v>
      </c>
      <c r="Z877" t="s">
        <v>1868</v>
      </c>
      <c r="AA877" t="s">
        <v>1003</v>
      </c>
      <c r="AB877" t="s">
        <v>2520</v>
      </c>
      <c r="AC877" t="s">
        <v>810</v>
      </c>
      <c r="AD877" t="s">
        <v>1838</v>
      </c>
      <c r="AE877" t="s">
        <v>2341</v>
      </c>
      <c r="AF877">
        <v>1.41115525</v>
      </c>
    </row>
    <row r="878" spans="1:32" x14ac:dyDescent="0.25">
      <c r="A878" s="56">
        <v>3855139</v>
      </c>
      <c r="B878" s="56" t="s">
        <v>2468</v>
      </c>
      <c r="C878" s="56" t="s">
        <v>4427</v>
      </c>
      <c r="D878" s="57"/>
      <c r="E878" s="57">
        <v>573.27</v>
      </c>
      <c r="F878" s="57">
        <v>0.57326999999999995</v>
      </c>
      <c r="G878" s="56" t="s">
        <v>392</v>
      </c>
      <c r="H878" s="56" t="s">
        <v>2511</v>
      </c>
      <c r="I878" s="56" t="s">
        <v>1835</v>
      </c>
      <c r="J878" s="56" t="s">
        <v>3781</v>
      </c>
      <c r="K878" s="57">
        <v>190.53700000000001</v>
      </c>
      <c r="L878" s="56" t="s">
        <v>1914</v>
      </c>
      <c r="M878" s="56" t="s">
        <v>1123</v>
      </c>
      <c r="N878" s="56" t="s">
        <v>24</v>
      </c>
      <c r="O878" s="58">
        <v>25</v>
      </c>
      <c r="P878" s="59" t="s">
        <v>2515</v>
      </c>
      <c r="Q878" s="56" t="s">
        <v>2516</v>
      </c>
      <c r="U878" s="52">
        <v>3537130</v>
      </c>
      <c r="V878">
        <v>25.4</v>
      </c>
      <c r="W878">
        <v>0</v>
      </c>
      <c r="X878">
        <v>2.5</v>
      </c>
      <c r="Y878">
        <v>5.87</v>
      </c>
      <c r="Z878" t="s">
        <v>1883</v>
      </c>
      <c r="AA878" t="s">
        <v>1003</v>
      </c>
      <c r="AB878" t="s">
        <v>2520</v>
      </c>
      <c r="AC878" t="s">
        <v>810</v>
      </c>
      <c r="AD878" t="s">
        <v>1838</v>
      </c>
      <c r="AE878" t="s">
        <v>2341</v>
      </c>
      <c r="AF878" t="e">
        <f>IF([4]!buckets[[#This Row],[LL or CTL]]="LL",(3.14*([4]!buckets[[#This Row],[OD]]-[4]!buckets[[#This Row],[Thickness]])*[4]!buckets[[#This Row],[Thickness]]*1000*7.85)/1000000,(3.14*([4]!buckets[[#This Row],[OD]]-[4]!buckets[[#This Row],[Thickness]])*[4]!buckets[[#This Row],[Thickness]]*[4]!buckets[[#This Row],[Length]]*1000*7.85)/1000000)</f>
        <v>#REF!</v>
      </c>
    </row>
    <row r="879" spans="1:32" x14ac:dyDescent="0.25">
      <c r="A879" s="56">
        <v>3855139</v>
      </c>
      <c r="B879" s="56" t="s">
        <v>2468</v>
      </c>
      <c r="C879" s="56" t="s">
        <v>4430</v>
      </c>
      <c r="D879" s="57"/>
      <c r="E879" s="58">
        <v>1534</v>
      </c>
      <c r="F879" s="57">
        <v>1.534</v>
      </c>
      <c r="G879" s="56" t="s">
        <v>392</v>
      </c>
      <c r="H879" s="56" t="s">
        <v>2511</v>
      </c>
      <c r="I879" s="56" t="s">
        <v>1835</v>
      </c>
      <c r="J879" s="56" t="s">
        <v>4016</v>
      </c>
      <c r="K879" s="57">
        <v>509.85500000000002</v>
      </c>
      <c r="L879" s="56" t="s">
        <v>1914</v>
      </c>
      <c r="M879" s="56" t="s">
        <v>1123</v>
      </c>
      <c r="N879" s="56" t="s">
        <v>24</v>
      </c>
      <c r="O879" s="58">
        <v>25</v>
      </c>
      <c r="P879" s="59" t="s">
        <v>2515</v>
      </c>
      <c r="Q879" s="56" t="s">
        <v>2516</v>
      </c>
      <c r="U879" s="52">
        <v>3586645</v>
      </c>
      <c r="V879">
        <v>25.4</v>
      </c>
      <c r="W879">
        <v>0</v>
      </c>
      <c r="X879">
        <v>2.5</v>
      </c>
      <c r="Y879">
        <v>5.9</v>
      </c>
      <c r="Z879" t="s">
        <v>1868</v>
      </c>
      <c r="AA879" t="s">
        <v>963</v>
      </c>
      <c r="AB879" t="s">
        <v>2520</v>
      </c>
      <c r="AC879" t="s">
        <v>2222</v>
      </c>
      <c r="AD879" t="s">
        <v>1838</v>
      </c>
      <c r="AE879" t="s">
        <v>2223</v>
      </c>
      <c r="AF879">
        <v>1.41115525</v>
      </c>
    </row>
    <row r="880" spans="1:32" x14ac:dyDescent="0.25">
      <c r="A880" s="56">
        <v>3855139</v>
      </c>
      <c r="B880" s="56" t="s">
        <v>2468</v>
      </c>
      <c r="C880" s="56" t="s">
        <v>4433</v>
      </c>
      <c r="D880" s="57"/>
      <c r="E880" s="58">
        <v>335</v>
      </c>
      <c r="F880" s="57">
        <v>0.33500000000000002</v>
      </c>
      <c r="G880" s="56" t="s">
        <v>392</v>
      </c>
      <c r="H880" s="56" t="s">
        <v>2511</v>
      </c>
      <c r="I880" s="56" t="s">
        <v>1835</v>
      </c>
      <c r="J880" s="56" t="s">
        <v>3998</v>
      </c>
      <c r="K880" s="57">
        <v>111.34399999999999</v>
      </c>
      <c r="L880" s="56" t="s">
        <v>1914</v>
      </c>
      <c r="M880" s="56" t="s">
        <v>1123</v>
      </c>
      <c r="N880" s="56" t="s">
        <v>24</v>
      </c>
      <c r="O880" s="58">
        <v>28</v>
      </c>
      <c r="P880" s="59" t="s">
        <v>2515</v>
      </c>
      <c r="Q880" s="56" t="s">
        <v>2516</v>
      </c>
      <c r="U880">
        <v>3682066</v>
      </c>
      <c r="V880">
        <v>25.4</v>
      </c>
      <c r="W880">
        <v>0</v>
      </c>
      <c r="X880">
        <v>2.5</v>
      </c>
      <c r="Y880">
        <v>5.95</v>
      </c>
      <c r="Z880" t="s">
        <v>1914</v>
      </c>
      <c r="AA880" t="s">
        <v>1003</v>
      </c>
      <c r="AB880" t="s">
        <v>2520</v>
      </c>
      <c r="AC880" t="s">
        <v>810</v>
      </c>
      <c r="AD880" t="s">
        <v>1838</v>
      </c>
      <c r="AE880" t="s">
        <v>2341</v>
      </c>
      <c r="AF880">
        <v>1.41115525</v>
      </c>
    </row>
    <row r="881" spans="1:32" x14ac:dyDescent="0.25">
      <c r="A881" s="56">
        <v>3855139</v>
      </c>
      <c r="B881" s="56" t="s">
        <v>2468</v>
      </c>
      <c r="C881" s="56" t="s">
        <v>4434</v>
      </c>
      <c r="D881" s="57"/>
      <c r="E881" s="58">
        <v>1894</v>
      </c>
      <c r="F881" s="57">
        <v>1.8939999999999999</v>
      </c>
      <c r="G881" s="56" t="s">
        <v>392</v>
      </c>
      <c r="H881" s="56" t="s">
        <v>2511</v>
      </c>
      <c r="I881" s="56" t="s">
        <v>1835</v>
      </c>
      <c r="J881" s="56" t="s">
        <v>3434</v>
      </c>
      <c r="K881" s="57">
        <v>629.50800000000004</v>
      </c>
      <c r="L881" s="56" t="s">
        <v>1914</v>
      </c>
      <c r="M881" s="56" t="s">
        <v>1123</v>
      </c>
      <c r="N881" s="56" t="s">
        <v>24</v>
      </c>
      <c r="O881" s="58">
        <v>25</v>
      </c>
      <c r="P881" s="59" t="s">
        <v>2515</v>
      </c>
      <c r="Q881" s="56" t="s">
        <v>2516</v>
      </c>
      <c r="U881" s="52">
        <v>3677043</v>
      </c>
      <c r="V881">
        <v>25.4</v>
      </c>
      <c r="W881">
        <v>0</v>
      </c>
      <c r="X881">
        <v>2.5</v>
      </c>
      <c r="Y881">
        <v>5.96</v>
      </c>
      <c r="Z881" t="s">
        <v>1891</v>
      </c>
      <c r="AA881" t="s">
        <v>963</v>
      </c>
      <c r="AB881" t="s">
        <v>2520</v>
      </c>
      <c r="AC881" t="s">
        <v>2222</v>
      </c>
      <c r="AD881" t="s">
        <v>1838</v>
      </c>
      <c r="AE881" t="s">
        <v>2223</v>
      </c>
      <c r="AF881">
        <v>1.41115525</v>
      </c>
    </row>
    <row r="882" spans="1:32" x14ac:dyDescent="0.25">
      <c r="A882" s="56">
        <v>3855139</v>
      </c>
      <c r="B882" s="56" t="s">
        <v>2468</v>
      </c>
      <c r="C882" s="56" t="s">
        <v>4436</v>
      </c>
      <c r="D882" s="57"/>
      <c r="E882" s="57">
        <v>854.73</v>
      </c>
      <c r="F882" s="57">
        <v>0.85472999999999999</v>
      </c>
      <c r="G882" s="56" t="s">
        <v>392</v>
      </c>
      <c r="H882" s="56" t="s">
        <v>2511</v>
      </c>
      <c r="I882" s="56" t="s">
        <v>1835</v>
      </c>
      <c r="J882" s="56" t="s">
        <v>4437</v>
      </c>
      <c r="K882" s="57">
        <v>284.08600000000001</v>
      </c>
      <c r="L882" s="56" t="s">
        <v>1914</v>
      </c>
      <c r="M882" s="56" t="s">
        <v>1123</v>
      </c>
      <c r="N882" s="56" t="s">
        <v>24</v>
      </c>
      <c r="O882" s="58">
        <v>25</v>
      </c>
      <c r="P882" s="59" t="s">
        <v>2515</v>
      </c>
      <c r="Q882" s="56" t="s">
        <v>2516</v>
      </c>
      <c r="U882" s="52">
        <v>1931813</v>
      </c>
      <c r="V882">
        <v>25.4</v>
      </c>
      <c r="W882">
        <v>0</v>
      </c>
      <c r="X882">
        <v>2.5</v>
      </c>
      <c r="Y882">
        <v>6</v>
      </c>
      <c r="Z882" t="s">
        <v>1883</v>
      </c>
      <c r="AA882" t="s">
        <v>963</v>
      </c>
      <c r="AB882" t="s">
        <v>2520</v>
      </c>
      <c r="AC882" t="s">
        <v>2222</v>
      </c>
      <c r="AD882" t="s">
        <v>1838</v>
      </c>
      <c r="AE882" t="s">
        <v>2223</v>
      </c>
      <c r="AF882">
        <v>1.41115525</v>
      </c>
    </row>
    <row r="883" spans="1:32" x14ac:dyDescent="0.25">
      <c r="A883" s="56">
        <v>3870803</v>
      </c>
      <c r="B883" s="56" t="s">
        <v>2393</v>
      </c>
      <c r="C883" s="56" t="s">
        <v>4438</v>
      </c>
      <c r="D883" s="57"/>
      <c r="E883" s="58">
        <v>1552</v>
      </c>
      <c r="F883" s="57">
        <v>1.552</v>
      </c>
      <c r="G883" s="56" t="s">
        <v>392</v>
      </c>
      <c r="H883" s="56" t="s">
        <v>2511</v>
      </c>
      <c r="I883" s="56" t="s">
        <v>1835</v>
      </c>
      <c r="J883" s="56" t="s">
        <v>4348</v>
      </c>
      <c r="K883" s="57">
        <v>826.63099999999997</v>
      </c>
      <c r="L883" s="56" t="s">
        <v>1914</v>
      </c>
      <c r="M883" s="56" t="s">
        <v>1123</v>
      </c>
      <c r="N883" s="56" t="s">
        <v>151</v>
      </c>
      <c r="O883" s="58">
        <v>11</v>
      </c>
      <c r="P883" s="59" t="s">
        <v>2515</v>
      </c>
      <c r="Q883" s="56" t="s">
        <v>11</v>
      </c>
      <c r="U883" s="52">
        <v>3770391</v>
      </c>
      <c r="V883">
        <v>25.4</v>
      </c>
      <c r="W883">
        <v>0</v>
      </c>
      <c r="X883">
        <v>2.5</v>
      </c>
      <c r="Y883">
        <v>6.05</v>
      </c>
      <c r="Z883" t="s">
        <v>1874</v>
      </c>
      <c r="AA883" t="s">
        <v>1003</v>
      </c>
      <c r="AB883" t="s">
        <v>2517</v>
      </c>
      <c r="AC883" t="s">
        <v>806</v>
      </c>
      <c r="AD883" t="s">
        <v>1838</v>
      </c>
      <c r="AE883" t="s">
        <v>2344</v>
      </c>
      <c r="AF883">
        <v>1.41115525</v>
      </c>
    </row>
    <row r="884" spans="1:32" x14ac:dyDescent="0.25">
      <c r="A884" s="56">
        <v>3909479</v>
      </c>
      <c r="B884" s="56" t="s">
        <v>2177</v>
      </c>
      <c r="C884" s="56" t="s">
        <v>4359</v>
      </c>
      <c r="D884" s="57"/>
      <c r="E884" s="58">
        <v>1452</v>
      </c>
      <c r="F884" s="57">
        <v>1.452</v>
      </c>
      <c r="G884" s="56" t="s">
        <v>392</v>
      </c>
      <c r="H884" s="56" t="s">
        <v>2511</v>
      </c>
      <c r="I884" s="56" t="s">
        <v>1835</v>
      </c>
      <c r="J884" s="56" t="s">
        <v>4164</v>
      </c>
      <c r="K884" s="57">
        <v>372.99599999999998</v>
      </c>
      <c r="L884" s="56" t="s">
        <v>1914</v>
      </c>
      <c r="M884" s="56" t="s">
        <v>1123</v>
      </c>
      <c r="N884" s="56" t="s">
        <v>39</v>
      </c>
      <c r="O884" s="58">
        <v>6</v>
      </c>
      <c r="P884" s="59" t="s">
        <v>2515</v>
      </c>
      <c r="Q884" s="56" t="s">
        <v>2516</v>
      </c>
      <c r="U884" s="52">
        <v>1140302</v>
      </c>
      <c r="V884">
        <v>25.4</v>
      </c>
      <c r="W884">
        <v>0</v>
      </c>
      <c r="X884">
        <v>2.6</v>
      </c>
      <c r="Y884">
        <v>0.36</v>
      </c>
      <c r="Z884" t="s">
        <v>1914</v>
      </c>
      <c r="AA884" t="s">
        <v>963</v>
      </c>
      <c r="AB884" t="s">
        <v>2520</v>
      </c>
      <c r="AC884" t="s">
        <v>4428</v>
      </c>
      <c r="AD884" t="s">
        <v>2171</v>
      </c>
      <c r="AE884" t="s">
        <v>4429</v>
      </c>
      <c r="AF884">
        <v>0.52602937919999992</v>
      </c>
    </row>
    <row r="885" spans="1:32" x14ac:dyDescent="0.25">
      <c r="A885" s="56">
        <v>3909479</v>
      </c>
      <c r="B885" s="56" t="s">
        <v>2177</v>
      </c>
      <c r="C885" s="56" t="s">
        <v>4441</v>
      </c>
      <c r="D885" s="57"/>
      <c r="E885" s="58">
        <v>2890</v>
      </c>
      <c r="F885" s="57">
        <v>2.89</v>
      </c>
      <c r="G885" s="56" t="s">
        <v>392</v>
      </c>
      <c r="H885" s="56" t="s">
        <v>2511</v>
      </c>
      <c r="I885" s="56" t="s">
        <v>1835</v>
      </c>
      <c r="J885" s="56" t="s">
        <v>4442</v>
      </c>
      <c r="K885" s="57">
        <v>742.39599999999996</v>
      </c>
      <c r="L885" s="56" t="s">
        <v>1914</v>
      </c>
      <c r="M885" s="56" t="s">
        <v>1123</v>
      </c>
      <c r="N885" s="56" t="s">
        <v>39</v>
      </c>
      <c r="O885" s="58">
        <v>6</v>
      </c>
      <c r="P885" s="59" t="s">
        <v>2515</v>
      </c>
      <c r="Q885" s="56" t="s">
        <v>2516</v>
      </c>
      <c r="U885" s="52">
        <v>1940603</v>
      </c>
      <c r="V885">
        <v>25.4</v>
      </c>
      <c r="W885">
        <v>0</v>
      </c>
      <c r="X885">
        <v>2.6</v>
      </c>
      <c r="Y885">
        <v>0.36</v>
      </c>
      <c r="Z885" t="s">
        <v>4431</v>
      </c>
      <c r="AA885" t="s">
        <v>1003</v>
      </c>
      <c r="AB885" t="s">
        <v>2520</v>
      </c>
      <c r="AC885" t="s">
        <v>810</v>
      </c>
      <c r="AD885" t="s">
        <v>2171</v>
      </c>
      <c r="AE885" t="s">
        <v>4432</v>
      </c>
      <c r="AF885">
        <v>0.52602937919999992</v>
      </c>
    </row>
    <row r="886" spans="1:32" x14ac:dyDescent="0.25">
      <c r="A886" s="56">
        <v>3909479</v>
      </c>
      <c r="B886" s="56" t="s">
        <v>2177</v>
      </c>
      <c r="C886" s="56" t="s">
        <v>4443</v>
      </c>
      <c r="D886" s="57"/>
      <c r="E886" s="58">
        <v>2499</v>
      </c>
      <c r="F886" s="57">
        <v>2.4990000000000001</v>
      </c>
      <c r="G886" s="56" t="s">
        <v>392</v>
      </c>
      <c r="H886" s="56" t="s">
        <v>2511</v>
      </c>
      <c r="I886" s="56" t="s">
        <v>1835</v>
      </c>
      <c r="J886" s="56" t="s">
        <v>2527</v>
      </c>
      <c r="K886" s="57">
        <v>641.95399999999995</v>
      </c>
      <c r="L886" s="56" t="s">
        <v>1914</v>
      </c>
      <c r="M886" s="56" t="s">
        <v>1123</v>
      </c>
      <c r="N886" s="56" t="s">
        <v>39</v>
      </c>
      <c r="O886" s="58">
        <v>6</v>
      </c>
      <c r="P886" s="59" t="s">
        <v>2515</v>
      </c>
      <c r="Q886" s="56" t="s">
        <v>2516</v>
      </c>
      <c r="U886" s="52">
        <v>3441355</v>
      </c>
      <c r="V886">
        <v>25.4</v>
      </c>
      <c r="W886">
        <v>0</v>
      </c>
      <c r="X886">
        <v>2.6</v>
      </c>
      <c r="Y886">
        <v>6</v>
      </c>
      <c r="Z886" t="s">
        <v>1874</v>
      </c>
      <c r="AA886" t="s">
        <v>1003</v>
      </c>
      <c r="AB886" t="s">
        <v>2517</v>
      </c>
      <c r="AC886" t="s">
        <v>806</v>
      </c>
      <c r="AD886" t="s">
        <v>1838</v>
      </c>
      <c r="AE886" t="s">
        <v>2344</v>
      </c>
      <c r="AF886">
        <v>1.4611927199999999</v>
      </c>
    </row>
    <row r="887" spans="1:32" x14ac:dyDescent="0.25">
      <c r="A887" s="56">
        <v>3909479</v>
      </c>
      <c r="B887" s="56" t="s">
        <v>2177</v>
      </c>
      <c r="C887" s="56" t="s">
        <v>4444</v>
      </c>
      <c r="D887" s="57"/>
      <c r="E887" s="58">
        <v>2843</v>
      </c>
      <c r="F887" s="57">
        <v>2.843</v>
      </c>
      <c r="G887" s="56" t="s">
        <v>392</v>
      </c>
      <c r="H887" s="56" t="s">
        <v>2511</v>
      </c>
      <c r="I887" s="56" t="s">
        <v>1835</v>
      </c>
      <c r="J887" s="56" t="s">
        <v>4445</v>
      </c>
      <c r="K887" s="57">
        <v>730.32299999999998</v>
      </c>
      <c r="L887" s="56" t="s">
        <v>1914</v>
      </c>
      <c r="M887" s="56" t="s">
        <v>1123</v>
      </c>
      <c r="N887" s="56" t="s">
        <v>39</v>
      </c>
      <c r="O887" s="58">
        <v>6</v>
      </c>
      <c r="P887" s="59" t="s">
        <v>2515</v>
      </c>
      <c r="Q887" s="56" t="s">
        <v>2516</v>
      </c>
      <c r="U887" s="52">
        <v>1931264</v>
      </c>
      <c r="V887">
        <v>25.4</v>
      </c>
      <c r="W887">
        <v>0</v>
      </c>
      <c r="X887">
        <v>2.6</v>
      </c>
      <c r="Y887">
        <v>6</v>
      </c>
      <c r="Z887" t="s">
        <v>1874</v>
      </c>
      <c r="AA887" t="s">
        <v>963</v>
      </c>
      <c r="AB887" t="s">
        <v>2520</v>
      </c>
      <c r="AC887" t="s">
        <v>4428</v>
      </c>
      <c r="AD887" t="s">
        <v>1838</v>
      </c>
      <c r="AE887" t="s">
        <v>4435</v>
      </c>
      <c r="AF887">
        <v>1.4611927199999999</v>
      </c>
    </row>
    <row r="888" spans="1:32" x14ac:dyDescent="0.25">
      <c r="A888" s="56">
        <v>3909479</v>
      </c>
      <c r="B888" s="56" t="s">
        <v>2177</v>
      </c>
      <c r="C888" s="56" t="s">
        <v>4448</v>
      </c>
      <c r="D888" s="57"/>
      <c r="E888" s="58">
        <v>2850</v>
      </c>
      <c r="F888" s="57">
        <v>2.85</v>
      </c>
      <c r="G888" s="56" t="s">
        <v>392</v>
      </c>
      <c r="H888" s="56" t="s">
        <v>2511</v>
      </c>
      <c r="I888" s="56" t="s">
        <v>1835</v>
      </c>
      <c r="J888" s="56" t="s">
        <v>3862</v>
      </c>
      <c r="K888" s="57">
        <v>732.12099999999998</v>
      </c>
      <c r="L888" s="56" t="s">
        <v>1914</v>
      </c>
      <c r="M888" s="56" t="s">
        <v>1123</v>
      </c>
      <c r="N888" s="56" t="s">
        <v>39</v>
      </c>
      <c r="O888" s="58">
        <v>6</v>
      </c>
      <c r="P888" s="59" t="s">
        <v>2515</v>
      </c>
      <c r="Q888" s="56" t="s">
        <v>2516</v>
      </c>
      <c r="U888" s="52">
        <v>2410997</v>
      </c>
      <c r="V888">
        <v>25.4</v>
      </c>
      <c r="W888">
        <v>0</v>
      </c>
      <c r="X888">
        <v>3.2</v>
      </c>
      <c r="Y888">
        <v>6</v>
      </c>
      <c r="Z888" t="s">
        <v>1874</v>
      </c>
      <c r="AA888" t="s">
        <v>1003</v>
      </c>
      <c r="AB888" t="s">
        <v>2517</v>
      </c>
      <c r="AC888" t="s">
        <v>813</v>
      </c>
      <c r="AD888" t="s">
        <v>1838</v>
      </c>
      <c r="AE888" t="s">
        <v>815</v>
      </c>
      <c r="AF888">
        <v>1.7510649600000001</v>
      </c>
    </row>
    <row r="889" spans="1:32" x14ac:dyDescent="0.25">
      <c r="A889" s="56">
        <v>3909479</v>
      </c>
      <c r="B889" s="56" t="s">
        <v>2177</v>
      </c>
      <c r="C889" s="56" t="s">
        <v>3747</v>
      </c>
      <c r="D889" s="57"/>
      <c r="E889" s="58">
        <v>971</v>
      </c>
      <c r="F889" s="57">
        <v>0.97099999999999997</v>
      </c>
      <c r="G889" s="56" t="s">
        <v>392</v>
      </c>
      <c r="H889" s="56" t="s">
        <v>2511</v>
      </c>
      <c r="I889" s="56" t="s">
        <v>1835</v>
      </c>
      <c r="J889" s="56" t="s">
        <v>3748</v>
      </c>
      <c r="K889" s="57">
        <v>249.435</v>
      </c>
      <c r="L889" s="56" t="s">
        <v>1914</v>
      </c>
      <c r="M889" s="56" t="s">
        <v>1123</v>
      </c>
      <c r="N889" s="56" t="s">
        <v>39</v>
      </c>
      <c r="O889" s="58">
        <v>6</v>
      </c>
      <c r="P889" s="59" t="s">
        <v>2515</v>
      </c>
      <c r="Q889" s="56" t="s">
        <v>2516</v>
      </c>
      <c r="U889" s="588">
        <v>4276615</v>
      </c>
      <c r="V889">
        <v>25.4</v>
      </c>
      <c r="W889">
        <v>0</v>
      </c>
      <c r="X889">
        <v>3.5</v>
      </c>
      <c r="Y889">
        <v>0.245</v>
      </c>
      <c r="Z889" t="s">
        <v>1874</v>
      </c>
      <c r="AA889" t="s">
        <v>1003</v>
      </c>
      <c r="AB889" t="s">
        <v>2517</v>
      </c>
      <c r="AC889" t="s">
        <v>404</v>
      </c>
      <c r="AD889" t="s">
        <v>2171</v>
      </c>
      <c r="AE889" t="s">
        <v>6608</v>
      </c>
      <c r="AF889" t="e">
        <f>IF([4]!buckets[[#This Row],[LL or CTL]]="LL",(3.14*([4]!buckets[[#This Row],[OD]]-[4]!buckets[[#This Row],[Thickness]])*[4]!buckets[[#This Row],[Thickness]]*1000*7.85)/1000000,(3.14*([4]!buckets[[#This Row],[OD]]-[4]!buckets[[#This Row],[Thickness]])*[4]!buckets[[#This Row],[Thickness]]*[4]!buckets[[#This Row],[Length]]*1000*7.85)/1000000)</f>
        <v>#REF!</v>
      </c>
    </row>
    <row r="890" spans="1:32" x14ac:dyDescent="0.25">
      <c r="A890" s="56">
        <v>3915667</v>
      </c>
      <c r="B890" s="56" t="s">
        <v>1529</v>
      </c>
      <c r="C890" s="56" t="s">
        <v>4451</v>
      </c>
      <c r="D890" s="57"/>
      <c r="E890" s="57">
        <v>693.97799999999995</v>
      </c>
      <c r="F890" s="57">
        <v>0.69397799999999998</v>
      </c>
      <c r="G890" s="56" t="s">
        <v>392</v>
      </c>
      <c r="H890" s="56" t="s">
        <v>2511</v>
      </c>
      <c r="I890" s="56" t="s">
        <v>1835</v>
      </c>
      <c r="J890" s="56" t="s">
        <v>4452</v>
      </c>
      <c r="K890" s="57">
        <v>695.22900000000004</v>
      </c>
      <c r="L890" s="56" t="s">
        <v>1914</v>
      </c>
      <c r="M890" s="56" t="s">
        <v>1123</v>
      </c>
      <c r="N890" s="56" t="s">
        <v>76</v>
      </c>
      <c r="O890" s="58">
        <v>13</v>
      </c>
      <c r="P890" s="59" t="s">
        <v>2515</v>
      </c>
      <c r="Q890" s="56" t="s">
        <v>2561</v>
      </c>
      <c r="U890" s="52">
        <v>1939284</v>
      </c>
      <c r="V890">
        <v>25.4</v>
      </c>
      <c r="W890">
        <v>0</v>
      </c>
      <c r="X890">
        <v>3.5</v>
      </c>
      <c r="Y890">
        <v>0.247</v>
      </c>
      <c r="Z890" t="s">
        <v>1874</v>
      </c>
      <c r="AA890" t="s">
        <v>1003</v>
      </c>
      <c r="AB890" t="s">
        <v>2517</v>
      </c>
      <c r="AC890" t="s">
        <v>404</v>
      </c>
      <c r="AD890" t="s">
        <v>2171</v>
      </c>
      <c r="AE890" t="s">
        <v>4439</v>
      </c>
      <c r="AF890">
        <v>0.46666842494999994</v>
      </c>
    </row>
    <row r="891" spans="1:32" x14ac:dyDescent="0.25">
      <c r="A891" s="56">
        <v>257093</v>
      </c>
      <c r="B891" s="56" t="s">
        <v>1653</v>
      </c>
      <c r="C891" s="56" t="s">
        <v>4453</v>
      </c>
      <c r="D891" s="56"/>
      <c r="E891" s="57">
        <v>146.81200000000001</v>
      </c>
      <c r="F891" s="57">
        <v>0.146812</v>
      </c>
      <c r="G891" s="56" t="s">
        <v>392</v>
      </c>
      <c r="H891" s="56" t="s">
        <v>4454</v>
      </c>
      <c r="I891" s="56" t="s">
        <v>4455</v>
      </c>
      <c r="J891" s="56"/>
      <c r="K891" s="56"/>
      <c r="L891" s="56"/>
      <c r="M891" s="56"/>
      <c r="N891" s="56" t="s">
        <v>151</v>
      </c>
      <c r="O891" s="56">
        <v>34</v>
      </c>
      <c r="P891" s="59" t="s">
        <v>2532</v>
      </c>
      <c r="Q891" s="56" t="s">
        <v>11</v>
      </c>
      <c r="U891" s="52">
        <v>1939283</v>
      </c>
      <c r="V891">
        <v>25.4</v>
      </c>
      <c r="W891">
        <v>0</v>
      </c>
      <c r="X891">
        <v>3.5</v>
      </c>
      <c r="Y891">
        <v>0.26300000000000001</v>
      </c>
      <c r="Z891" t="s">
        <v>1874</v>
      </c>
      <c r="AA891" t="s">
        <v>1003</v>
      </c>
      <c r="AB891" t="s">
        <v>2517</v>
      </c>
      <c r="AC891" t="s">
        <v>404</v>
      </c>
      <c r="AD891" t="s">
        <v>2171</v>
      </c>
      <c r="AE891" t="s">
        <v>4440</v>
      </c>
      <c r="AF891">
        <v>0.49689795854999996</v>
      </c>
    </row>
    <row r="892" spans="1:32" x14ac:dyDescent="0.25">
      <c r="A892" s="56">
        <v>302897</v>
      </c>
      <c r="B892" s="56" t="s">
        <v>1641</v>
      </c>
      <c r="C892" s="56" t="s">
        <v>4456</v>
      </c>
      <c r="D892" s="56"/>
      <c r="E892" s="57">
        <v>181.148</v>
      </c>
      <c r="F892" s="57">
        <v>0.181148</v>
      </c>
      <c r="G892" s="56" t="s">
        <v>392</v>
      </c>
      <c r="H892" s="56" t="s">
        <v>4454</v>
      </c>
      <c r="I892" s="56" t="s">
        <v>4455</v>
      </c>
      <c r="J892" s="56"/>
      <c r="K892" s="56"/>
      <c r="L892" s="56"/>
      <c r="M892" s="56"/>
      <c r="N892" s="56" t="s">
        <v>151</v>
      </c>
      <c r="O892" s="56">
        <v>26</v>
      </c>
      <c r="P892" s="59" t="s">
        <v>2515</v>
      </c>
      <c r="Q892" s="56" t="s">
        <v>11</v>
      </c>
      <c r="U892" s="52">
        <v>3770392</v>
      </c>
      <c r="V892">
        <v>25.4</v>
      </c>
      <c r="W892">
        <v>0</v>
      </c>
      <c r="X892">
        <v>3.5</v>
      </c>
      <c r="Y892">
        <v>5.6</v>
      </c>
      <c r="Z892" t="s">
        <v>1874</v>
      </c>
      <c r="AA892" t="s">
        <v>1003</v>
      </c>
      <c r="AB892" t="s">
        <v>2517</v>
      </c>
      <c r="AC892" t="s">
        <v>404</v>
      </c>
      <c r="AD892" t="s">
        <v>1838</v>
      </c>
      <c r="AE892" t="s">
        <v>406</v>
      </c>
      <c r="AF892">
        <v>1.8893458499999998</v>
      </c>
    </row>
    <row r="893" spans="1:32" x14ac:dyDescent="0.25">
      <c r="A893" s="56">
        <v>437147</v>
      </c>
      <c r="B893" s="56" t="s">
        <v>1395</v>
      </c>
      <c r="C893" s="56" t="s">
        <v>4459</v>
      </c>
      <c r="D893" s="56"/>
      <c r="E893" s="57">
        <v>131.42400000000001</v>
      </c>
      <c r="F893" s="57">
        <v>0.13142400000000001</v>
      </c>
      <c r="G893" s="56" t="s">
        <v>392</v>
      </c>
      <c r="H893" s="56" t="s">
        <v>4454</v>
      </c>
      <c r="I893" s="56" t="s">
        <v>1834</v>
      </c>
      <c r="J893" s="56"/>
      <c r="K893" s="56"/>
      <c r="L893" s="56"/>
      <c r="M893" s="56"/>
      <c r="N893" s="56" t="s">
        <v>61</v>
      </c>
      <c r="O893" s="56">
        <v>59</v>
      </c>
      <c r="P893" s="59" t="s">
        <v>2532</v>
      </c>
      <c r="Q893" s="56" t="s">
        <v>11</v>
      </c>
      <c r="U893" s="52">
        <v>2418610</v>
      </c>
      <c r="V893">
        <v>25.4</v>
      </c>
      <c r="W893">
        <v>0</v>
      </c>
      <c r="X893">
        <v>3.5</v>
      </c>
      <c r="Y893">
        <v>6</v>
      </c>
      <c r="Z893" t="s">
        <v>1874</v>
      </c>
      <c r="AA893" t="s">
        <v>1003</v>
      </c>
      <c r="AB893" t="s">
        <v>2517</v>
      </c>
      <c r="AC893" t="s">
        <v>404</v>
      </c>
      <c r="AD893" t="s">
        <v>1838</v>
      </c>
      <c r="AE893" t="s">
        <v>406</v>
      </c>
      <c r="AF893">
        <v>1.8893458499999998</v>
      </c>
    </row>
    <row r="894" spans="1:32" x14ac:dyDescent="0.25">
      <c r="A894" s="56">
        <v>437159</v>
      </c>
      <c r="B894" s="56" t="s">
        <v>1648</v>
      </c>
      <c r="C894" s="56" t="s">
        <v>4460</v>
      </c>
      <c r="D894" s="56"/>
      <c r="E894" s="57">
        <v>142.54499999999999</v>
      </c>
      <c r="F894" s="57">
        <v>0.14254499999999998</v>
      </c>
      <c r="G894" s="56" t="s">
        <v>392</v>
      </c>
      <c r="H894" s="56" t="s">
        <v>4454</v>
      </c>
      <c r="I894" s="56" t="s">
        <v>4455</v>
      </c>
      <c r="J894" s="56"/>
      <c r="K894" s="56"/>
      <c r="L894" s="56"/>
      <c r="M894" s="56"/>
      <c r="N894" s="56" t="s">
        <v>151</v>
      </c>
      <c r="O894" s="56">
        <v>61</v>
      </c>
      <c r="P894" s="59" t="s">
        <v>2579</v>
      </c>
      <c r="Q894" s="56" t="s">
        <v>11</v>
      </c>
      <c r="U894" s="52">
        <v>2410992</v>
      </c>
      <c r="V894">
        <v>25.4</v>
      </c>
      <c r="W894">
        <v>16.399999999999999</v>
      </c>
      <c r="X894">
        <v>4.5</v>
      </c>
      <c r="Y894">
        <v>6</v>
      </c>
      <c r="Z894" t="s">
        <v>1874</v>
      </c>
      <c r="AA894" t="s">
        <v>1003</v>
      </c>
      <c r="AB894" t="s">
        <v>2517</v>
      </c>
      <c r="AC894" t="s">
        <v>4446</v>
      </c>
      <c r="AD894" t="s">
        <v>1838</v>
      </c>
      <c r="AE894" t="s">
        <v>4447</v>
      </c>
      <c r="AF894">
        <v>2.31823845</v>
      </c>
    </row>
    <row r="895" spans="1:32" x14ac:dyDescent="0.25">
      <c r="A895" s="56">
        <v>444029</v>
      </c>
      <c r="B895" s="56" t="s">
        <v>1647</v>
      </c>
      <c r="C895" s="56" t="s">
        <v>4461</v>
      </c>
      <c r="D895" s="56"/>
      <c r="E895" s="57">
        <v>111.76</v>
      </c>
      <c r="F895" s="57">
        <v>0.11176</v>
      </c>
      <c r="G895" s="56" t="s">
        <v>392</v>
      </c>
      <c r="H895" s="56" t="s">
        <v>4454</v>
      </c>
      <c r="I895" s="56" t="s">
        <v>4455</v>
      </c>
      <c r="J895" s="56"/>
      <c r="K895" s="56"/>
      <c r="L895" s="56"/>
      <c r="M895" s="56"/>
      <c r="N895" s="56" t="s">
        <v>151</v>
      </c>
      <c r="O895" s="56">
        <v>61</v>
      </c>
      <c r="P895" s="59" t="s">
        <v>2579</v>
      </c>
      <c r="Q895" s="56" t="s">
        <v>11</v>
      </c>
      <c r="U895" s="52">
        <v>2432009</v>
      </c>
      <c r="V895">
        <v>25.4</v>
      </c>
      <c r="W895">
        <v>17.399999999999999</v>
      </c>
      <c r="X895">
        <v>4</v>
      </c>
      <c r="Y895">
        <v>6</v>
      </c>
      <c r="Z895" t="s">
        <v>1874</v>
      </c>
      <c r="AA895" t="s">
        <v>1003</v>
      </c>
      <c r="AB895" t="s">
        <v>2517</v>
      </c>
      <c r="AC895" t="s">
        <v>4449</v>
      </c>
      <c r="AD895" t="s">
        <v>1838</v>
      </c>
      <c r="AE895" t="s">
        <v>4450</v>
      </c>
      <c r="AF895">
        <v>2.1099543999999999</v>
      </c>
    </row>
    <row r="896" spans="1:32" x14ac:dyDescent="0.25">
      <c r="A896" s="56">
        <v>468843</v>
      </c>
      <c r="B896" s="56" t="s">
        <v>1732</v>
      </c>
      <c r="C896" s="56" t="s">
        <v>4462</v>
      </c>
      <c r="D896" s="56"/>
      <c r="E896" s="57">
        <v>718</v>
      </c>
      <c r="F896" s="57">
        <v>0.71799999999999997</v>
      </c>
      <c r="G896" s="56" t="s">
        <v>392</v>
      </c>
      <c r="H896" s="56" t="s">
        <v>2511</v>
      </c>
      <c r="I896" s="56" t="s">
        <v>1834</v>
      </c>
      <c r="J896" s="56"/>
      <c r="K896" s="56"/>
      <c r="L896" s="56"/>
      <c r="M896" s="56"/>
      <c r="N896" s="56" t="s">
        <v>151</v>
      </c>
      <c r="O896" s="56">
        <v>168</v>
      </c>
      <c r="P896" s="59" t="s">
        <v>2524</v>
      </c>
      <c r="Q896" s="56" t="s">
        <v>11</v>
      </c>
      <c r="U896" s="52">
        <v>2426241</v>
      </c>
      <c r="V896">
        <v>25.6</v>
      </c>
      <c r="W896">
        <v>0</v>
      </c>
      <c r="X896">
        <v>4.5</v>
      </c>
      <c r="Y896">
        <v>4.2</v>
      </c>
      <c r="Z896" t="s">
        <v>2088</v>
      </c>
      <c r="AA896" t="s">
        <v>1003</v>
      </c>
      <c r="AB896" t="s">
        <v>2517</v>
      </c>
      <c r="AC896" t="s">
        <v>3361</v>
      </c>
      <c r="AD896" t="s">
        <v>1838</v>
      </c>
      <c r="AE896" t="s">
        <v>3362</v>
      </c>
      <c r="AF896">
        <v>2.34042255</v>
      </c>
    </row>
    <row r="897" spans="1:32" x14ac:dyDescent="0.25">
      <c r="A897" s="56">
        <v>468843</v>
      </c>
      <c r="B897" s="56" t="s">
        <v>1732</v>
      </c>
      <c r="C897" s="56" t="s">
        <v>4463</v>
      </c>
      <c r="D897" s="56"/>
      <c r="E897" s="57">
        <v>384.971</v>
      </c>
      <c r="F897" s="57">
        <v>0.38497100000000001</v>
      </c>
      <c r="G897" s="56" t="s">
        <v>392</v>
      </c>
      <c r="H897" s="56" t="s">
        <v>2511</v>
      </c>
      <c r="I897" s="56" t="s">
        <v>1834</v>
      </c>
      <c r="J897" s="56"/>
      <c r="K897" s="56"/>
      <c r="L897" s="56"/>
      <c r="M897" s="56"/>
      <c r="N897" s="56" t="s">
        <v>151</v>
      </c>
      <c r="O897" s="56">
        <v>168</v>
      </c>
      <c r="P897" s="59" t="s">
        <v>2524</v>
      </c>
      <c r="Q897" s="56" t="s">
        <v>11</v>
      </c>
      <c r="U897" s="52">
        <v>1938483</v>
      </c>
      <c r="V897">
        <v>26</v>
      </c>
      <c r="W897">
        <v>18</v>
      </c>
      <c r="X897">
        <v>4</v>
      </c>
      <c r="Y897">
        <v>3.7</v>
      </c>
      <c r="Z897" t="s">
        <v>1874</v>
      </c>
      <c r="AA897" t="s">
        <v>1003</v>
      </c>
      <c r="AB897" t="s">
        <v>2517</v>
      </c>
      <c r="AC897" t="s">
        <v>3361</v>
      </c>
      <c r="AD897" t="s">
        <v>1838</v>
      </c>
      <c r="AE897" t="s">
        <v>3362</v>
      </c>
      <c r="AF897">
        <v>2.1691120000000002</v>
      </c>
    </row>
    <row r="898" spans="1:32" x14ac:dyDescent="0.25">
      <c r="A898" s="56">
        <v>1155165</v>
      </c>
      <c r="B898" s="56" t="s">
        <v>1627</v>
      </c>
      <c r="C898" s="56" t="s">
        <v>4269</v>
      </c>
      <c r="D898" s="56"/>
      <c r="E898" s="57">
        <v>113.81</v>
      </c>
      <c r="F898" s="57">
        <v>0.11381000000000001</v>
      </c>
      <c r="G898" s="56" t="s">
        <v>392</v>
      </c>
      <c r="H898" s="56" t="s">
        <v>4454</v>
      </c>
      <c r="I898" s="56" t="s">
        <v>4455</v>
      </c>
      <c r="J898" s="56"/>
      <c r="K898" s="56"/>
      <c r="L898" s="56"/>
      <c r="M898" s="56"/>
      <c r="N898" s="56" t="s">
        <v>25</v>
      </c>
      <c r="O898" s="56">
        <v>6</v>
      </c>
      <c r="P898" s="59" t="s">
        <v>2515</v>
      </c>
      <c r="Q898" s="56" t="s">
        <v>192</v>
      </c>
      <c r="U898" s="52">
        <v>1940614</v>
      </c>
      <c r="V898">
        <v>28.58</v>
      </c>
      <c r="W898">
        <v>0</v>
      </c>
      <c r="X898">
        <v>1.2</v>
      </c>
      <c r="Y898">
        <v>0.59499999999999997</v>
      </c>
      <c r="Z898" t="s">
        <v>1881</v>
      </c>
      <c r="AA898" t="s">
        <v>963</v>
      </c>
      <c r="AB898" t="s">
        <v>2520</v>
      </c>
      <c r="AC898" t="s">
        <v>692</v>
      </c>
      <c r="AD898" t="s">
        <v>2171</v>
      </c>
      <c r="AE898" t="s">
        <v>694</v>
      </c>
      <c r="AF898">
        <v>0.48187118867999995</v>
      </c>
    </row>
    <row r="899" spans="1:32" x14ac:dyDescent="0.25">
      <c r="A899" s="56">
        <v>1568170</v>
      </c>
      <c r="B899" s="56" t="s">
        <v>1718</v>
      </c>
      <c r="C899" s="56" t="s">
        <v>3342</v>
      </c>
      <c r="D899" s="56"/>
      <c r="E899" s="57">
        <v>610.4</v>
      </c>
      <c r="F899" s="57">
        <v>0.61039999999999994</v>
      </c>
      <c r="G899" s="56" t="s">
        <v>392</v>
      </c>
      <c r="H899" s="56" t="s">
        <v>4454</v>
      </c>
      <c r="I899" s="56" t="s">
        <v>4455</v>
      </c>
      <c r="J899" s="56"/>
      <c r="K899" s="56"/>
      <c r="L899" s="56"/>
      <c r="M899" s="56"/>
      <c r="N899" s="56" t="s">
        <v>151</v>
      </c>
      <c r="O899" s="56">
        <v>26</v>
      </c>
      <c r="P899" s="59" t="s">
        <v>2515</v>
      </c>
      <c r="Q899" s="56" t="s">
        <v>11</v>
      </c>
      <c r="U899" s="52">
        <v>237726</v>
      </c>
      <c r="V899">
        <v>28.58</v>
      </c>
      <c r="W899">
        <v>0</v>
      </c>
      <c r="X899">
        <v>1.2</v>
      </c>
      <c r="Y899">
        <v>0.61</v>
      </c>
      <c r="Z899" t="s">
        <v>2821</v>
      </c>
      <c r="AA899" t="s">
        <v>1003</v>
      </c>
      <c r="AB899" t="s">
        <v>2520</v>
      </c>
      <c r="AC899" t="s">
        <v>4457</v>
      </c>
      <c r="AD899" t="s">
        <v>2171</v>
      </c>
      <c r="AE899" t="s">
        <v>4458</v>
      </c>
      <c r="AF899">
        <v>0.49401920183999998</v>
      </c>
    </row>
    <row r="900" spans="1:32" x14ac:dyDescent="0.25">
      <c r="A900" s="56">
        <v>1568170</v>
      </c>
      <c r="B900" s="56" t="s">
        <v>1718</v>
      </c>
      <c r="C900" s="56" t="s">
        <v>4465</v>
      </c>
      <c r="D900" s="56"/>
      <c r="E900" s="57">
        <v>91.739000000000004</v>
      </c>
      <c r="F900" s="57">
        <v>9.1739000000000001E-2</v>
      </c>
      <c r="G900" s="56" t="s">
        <v>392</v>
      </c>
      <c r="H900" s="56" t="s">
        <v>4454</v>
      </c>
      <c r="I900" s="56" t="s">
        <v>4455</v>
      </c>
      <c r="J900" s="56"/>
      <c r="K900" s="56"/>
      <c r="L900" s="56"/>
      <c r="M900" s="56"/>
      <c r="N900" s="56" t="s">
        <v>151</v>
      </c>
      <c r="O900" s="56">
        <v>28</v>
      </c>
      <c r="P900" s="59" t="s">
        <v>2515</v>
      </c>
      <c r="Q900" s="56" t="s">
        <v>11</v>
      </c>
      <c r="U900" s="52">
        <v>2331952</v>
      </c>
      <c r="V900">
        <v>28.58</v>
      </c>
      <c r="W900">
        <v>0</v>
      </c>
      <c r="X900">
        <v>1.2</v>
      </c>
      <c r="Y900">
        <v>0.61</v>
      </c>
      <c r="Z900" t="s">
        <v>1881</v>
      </c>
      <c r="AA900" t="s">
        <v>963</v>
      </c>
      <c r="AB900" t="s">
        <v>2520</v>
      </c>
      <c r="AC900" t="s">
        <v>692</v>
      </c>
      <c r="AD900" t="s">
        <v>2171</v>
      </c>
      <c r="AE900" t="s">
        <v>2327</v>
      </c>
      <c r="AF900">
        <v>0.49401920183999998</v>
      </c>
    </row>
    <row r="901" spans="1:32" x14ac:dyDescent="0.25">
      <c r="A901" s="56">
        <v>1568170</v>
      </c>
      <c r="B901" s="56" t="s">
        <v>1718</v>
      </c>
      <c r="C901" s="56" t="s">
        <v>4467</v>
      </c>
      <c r="D901" s="56"/>
      <c r="E901" s="57">
        <v>514.024</v>
      </c>
      <c r="F901" s="57">
        <v>0.51402400000000004</v>
      </c>
      <c r="G901" s="56" t="s">
        <v>392</v>
      </c>
      <c r="H901" s="56" t="s">
        <v>4454</v>
      </c>
      <c r="I901" s="56" t="s">
        <v>1834</v>
      </c>
      <c r="J901" s="56"/>
      <c r="K901" s="56"/>
      <c r="L901" s="56"/>
      <c r="M901" s="56"/>
      <c r="N901" s="56" t="s">
        <v>151</v>
      </c>
      <c r="O901" s="56">
        <v>10</v>
      </c>
      <c r="P901" s="59" t="s">
        <v>2515</v>
      </c>
      <c r="Q901" s="56" t="s">
        <v>11</v>
      </c>
      <c r="U901" s="52">
        <v>3702101</v>
      </c>
      <c r="V901">
        <v>28.58</v>
      </c>
      <c r="W901">
        <v>0</v>
      </c>
      <c r="X901">
        <v>1.2</v>
      </c>
      <c r="Y901">
        <v>6</v>
      </c>
      <c r="Z901" t="s">
        <v>1881</v>
      </c>
      <c r="AA901" t="s">
        <v>963</v>
      </c>
      <c r="AB901" t="s">
        <v>2520</v>
      </c>
      <c r="AC901" t="s">
        <v>692</v>
      </c>
      <c r="AD901" t="s">
        <v>1838</v>
      </c>
      <c r="AE901" t="s">
        <v>2346</v>
      </c>
      <c r="AF901">
        <v>0.80986754399999994</v>
      </c>
    </row>
    <row r="902" spans="1:32" x14ac:dyDescent="0.25">
      <c r="A902" s="56">
        <v>1931310</v>
      </c>
      <c r="B902" s="56" t="s">
        <v>4468</v>
      </c>
      <c r="C902" s="56" t="s">
        <v>4469</v>
      </c>
      <c r="D902" s="56"/>
      <c r="E902" s="57">
        <v>106</v>
      </c>
      <c r="F902" s="57">
        <v>0.106</v>
      </c>
      <c r="G902" s="56" t="s">
        <v>392</v>
      </c>
      <c r="H902" s="56" t="s">
        <v>4454</v>
      </c>
      <c r="I902" s="56" t="s">
        <v>1834</v>
      </c>
      <c r="J902" s="56"/>
      <c r="K902" s="56"/>
      <c r="L902" s="56"/>
      <c r="M902" s="56"/>
      <c r="N902" s="56" t="s">
        <v>76</v>
      </c>
      <c r="O902" s="56">
        <v>149</v>
      </c>
      <c r="P902" s="59" t="s">
        <v>2524</v>
      </c>
      <c r="Q902" s="56" t="s">
        <v>2561</v>
      </c>
      <c r="U902" s="538">
        <v>110102749</v>
      </c>
      <c r="V902">
        <v>28.58</v>
      </c>
      <c r="W902">
        <v>0</v>
      </c>
      <c r="X902">
        <v>1.2</v>
      </c>
      <c r="Y902">
        <v>6.0549999999999997</v>
      </c>
      <c r="Z902" t="s">
        <v>1881</v>
      </c>
      <c r="AA902" t="s">
        <v>963</v>
      </c>
      <c r="AB902" t="s">
        <v>2520</v>
      </c>
      <c r="AC902" t="s">
        <v>692</v>
      </c>
      <c r="AD902" t="s">
        <v>1838</v>
      </c>
      <c r="AE902" t="s">
        <v>2346</v>
      </c>
      <c r="AF902">
        <v>0.80986754399999994</v>
      </c>
    </row>
    <row r="903" spans="1:32" x14ac:dyDescent="0.25">
      <c r="A903" s="56">
        <v>1931310</v>
      </c>
      <c r="B903" s="56" t="s">
        <v>4468</v>
      </c>
      <c r="C903" s="56" t="s">
        <v>4470</v>
      </c>
      <c r="D903" s="56"/>
      <c r="E903" s="57">
        <v>1385.57</v>
      </c>
      <c r="F903" s="57">
        <v>1.38557</v>
      </c>
      <c r="G903" s="56" t="s">
        <v>392</v>
      </c>
      <c r="H903" s="56" t="s">
        <v>2511</v>
      </c>
      <c r="I903" s="56" t="s">
        <v>1834</v>
      </c>
      <c r="J903" s="56"/>
      <c r="K903" s="56"/>
      <c r="L903" s="56"/>
      <c r="M903" s="56"/>
      <c r="N903" s="56" t="s">
        <v>76</v>
      </c>
      <c r="O903" s="56">
        <v>90</v>
      </c>
      <c r="P903" s="59" t="s">
        <v>2579</v>
      </c>
      <c r="Q903" s="56" t="s">
        <v>2561</v>
      </c>
      <c r="U903" s="538">
        <v>111002097</v>
      </c>
      <c r="V903">
        <v>28.58</v>
      </c>
      <c r="W903">
        <v>0</v>
      </c>
      <c r="X903">
        <v>1.2</v>
      </c>
      <c r="Y903">
        <v>6.2</v>
      </c>
      <c r="Z903" t="s">
        <v>1881</v>
      </c>
      <c r="AA903" t="s">
        <v>963</v>
      </c>
      <c r="AB903" t="s">
        <v>2520</v>
      </c>
      <c r="AC903" t="s">
        <v>692</v>
      </c>
      <c r="AD903" t="s">
        <v>1838</v>
      </c>
      <c r="AE903" t="s">
        <v>2346</v>
      </c>
      <c r="AF903">
        <v>0.80986754399999994</v>
      </c>
    </row>
    <row r="904" spans="1:32" x14ac:dyDescent="0.25">
      <c r="A904" s="56">
        <v>1931310</v>
      </c>
      <c r="B904" s="56" t="s">
        <v>4468</v>
      </c>
      <c r="C904" s="56" t="s">
        <v>4471</v>
      </c>
      <c r="D904" s="56"/>
      <c r="E904" s="57">
        <v>1517.57</v>
      </c>
      <c r="F904" s="57">
        <v>1.5175699999999999</v>
      </c>
      <c r="G904" s="56" t="s">
        <v>392</v>
      </c>
      <c r="H904" s="56" t="s">
        <v>2511</v>
      </c>
      <c r="I904" s="56" t="s">
        <v>1834</v>
      </c>
      <c r="J904" s="56"/>
      <c r="K904" s="56"/>
      <c r="L904" s="56"/>
      <c r="M904" s="56"/>
      <c r="N904" s="56" t="s">
        <v>76</v>
      </c>
      <c r="O904" s="56">
        <v>90</v>
      </c>
      <c r="P904" s="59" t="s">
        <v>2579</v>
      </c>
      <c r="Q904" s="56" t="s">
        <v>2561</v>
      </c>
      <c r="U904" s="52">
        <v>3727212</v>
      </c>
      <c r="V904">
        <v>28.58</v>
      </c>
      <c r="W904">
        <v>0</v>
      </c>
      <c r="X904">
        <v>1.6</v>
      </c>
      <c r="Y904">
        <v>0.215</v>
      </c>
      <c r="Z904" t="s">
        <v>1868</v>
      </c>
      <c r="AA904" t="s">
        <v>1003</v>
      </c>
      <c r="AB904" t="s">
        <v>2520</v>
      </c>
      <c r="AC904" t="s">
        <v>664</v>
      </c>
      <c r="AD904" t="s">
        <v>2171</v>
      </c>
      <c r="AE904" t="s">
        <v>670</v>
      </c>
      <c r="AF904">
        <v>0.22877032688000001</v>
      </c>
    </row>
    <row r="905" spans="1:32" x14ac:dyDescent="0.25">
      <c r="A905" s="56">
        <v>1931310</v>
      </c>
      <c r="B905" s="56" t="s">
        <v>4468</v>
      </c>
      <c r="C905" s="56" t="s">
        <v>4473</v>
      </c>
      <c r="D905" s="56"/>
      <c r="E905" s="57">
        <v>1635.42</v>
      </c>
      <c r="F905" s="57">
        <v>1.6354200000000001</v>
      </c>
      <c r="G905" s="56" t="s">
        <v>392</v>
      </c>
      <c r="H905" s="56" t="s">
        <v>2511</v>
      </c>
      <c r="I905" s="56" t="s">
        <v>1834</v>
      </c>
      <c r="J905" s="56"/>
      <c r="K905" s="56"/>
      <c r="L905" s="56"/>
      <c r="M905" s="56"/>
      <c r="N905" s="56" t="s">
        <v>76</v>
      </c>
      <c r="O905" s="56">
        <v>93</v>
      </c>
      <c r="P905" s="59" t="s">
        <v>2524</v>
      </c>
      <c r="Q905" s="56" t="s">
        <v>2561</v>
      </c>
      <c r="U905" s="52">
        <v>3598957</v>
      </c>
      <c r="V905">
        <v>28.58</v>
      </c>
      <c r="W905">
        <v>0</v>
      </c>
      <c r="X905">
        <v>1.6</v>
      </c>
      <c r="Y905">
        <v>0.41399999999999998</v>
      </c>
      <c r="Z905" t="s">
        <v>1868</v>
      </c>
      <c r="AA905" t="s">
        <v>1003</v>
      </c>
      <c r="AB905" t="s">
        <v>2520</v>
      </c>
      <c r="AC905" t="s">
        <v>664</v>
      </c>
      <c r="AD905" t="s">
        <v>2171</v>
      </c>
      <c r="AE905" t="s">
        <v>666</v>
      </c>
      <c r="AF905">
        <v>0.44051588524800001</v>
      </c>
    </row>
    <row r="906" spans="1:32" x14ac:dyDescent="0.25">
      <c r="A906" s="56">
        <v>1931823</v>
      </c>
      <c r="B906" s="56" t="s">
        <v>1876</v>
      </c>
      <c r="C906" s="56" t="s">
        <v>4475</v>
      </c>
      <c r="D906" s="56"/>
      <c r="E906" s="57">
        <v>855</v>
      </c>
      <c r="F906" s="57">
        <v>0.85499999999999998</v>
      </c>
      <c r="G906" s="56" t="s">
        <v>392</v>
      </c>
      <c r="H906" s="56" t="s">
        <v>4454</v>
      </c>
      <c r="I906" s="56" t="s">
        <v>1834</v>
      </c>
      <c r="J906" s="56"/>
      <c r="K906" s="56"/>
      <c r="L906" s="56"/>
      <c r="M906" s="56"/>
      <c r="N906" s="56" t="s">
        <v>17</v>
      </c>
      <c r="O906" s="56">
        <v>86</v>
      </c>
      <c r="P906" s="59" t="s">
        <v>2579</v>
      </c>
      <c r="Q906" s="56" t="s">
        <v>192</v>
      </c>
      <c r="U906" s="48">
        <v>1933557</v>
      </c>
      <c r="V906">
        <v>28.58</v>
      </c>
      <c r="W906">
        <v>0</v>
      </c>
      <c r="X906">
        <v>1.6</v>
      </c>
      <c r="Y906">
        <v>0.84499999999999997</v>
      </c>
      <c r="Z906" t="s">
        <v>1924</v>
      </c>
      <c r="AA906" t="s">
        <v>963</v>
      </c>
      <c r="AB906" t="s">
        <v>2520</v>
      </c>
      <c r="AC906" t="s">
        <v>1021</v>
      </c>
      <c r="AD906" t="s">
        <v>2171</v>
      </c>
      <c r="AE906" t="s">
        <v>4464</v>
      </c>
      <c r="AF906">
        <v>0.89912058704000009</v>
      </c>
    </row>
    <row r="907" spans="1:32" x14ac:dyDescent="0.25">
      <c r="A907" s="56">
        <v>1931824</v>
      </c>
      <c r="B907" s="56" t="s">
        <v>1968</v>
      </c>
      <c r="C907" s="56" t="s">
        <v>4476</v>
      </c>
      <c r="D907" s="56"/>
      <c r="E907" s="57">
        <v>78.12</v>
      </c>
      <c r="F907" s="57">
        <v>7.8120000000000009E-2</v>
      </c>
      <c r="G907" s="56" t="s">
        <v>392</v>
      </c>
      <c r="H907" s="56" t="s">
        <v>4454</v>
      </c>
      <c r="I907" s="56" t="s">
        <v>1834</v>
      </c>
      <c r="J907" s="56"/>
      <c r="K907" s="56"/>
      <c r="L907" s="56"/>
      <c r="M907" s="56"/>
      <c r="N907" s="56" t="s">
        <v>48</v>
      </c>
      <c r="O907" s="56">
        <v>27</v>
      </c>
      <c r="P907" s="59" t="s">
        <v>2515</v>
      </c>
      <c r="Q907" s="56" t="s">
        <v>11</v>
      </c>
      <c r="U907" s="52">
        <v>3598958</v>
      </c>
      <c r="V907">
        <v>28.58</v>
      </c>
      <c r="W907">
        <v>0</v>
      </c>
      <c r="X907">
        <v>1.6</v>
      </c>
      <c r="Y907">
        <v>5.9</v>
      </c>
      <c r="Z907" t="s">
        <v>1868</v>
      </c>
      <c r="AA907" t="s">
        <v>1003</v>
      </c>
      <c r="AB907" t="s">
        <v>2520</v>
      </c>
      <c r="AC907" t="s">
        <v>664</v>
      </c>
      <c r="AD907" t="s">
        <v>1838</v>
      </c>
      <c r="AE907" t="s">
        <v>4466</v>
      </c>
      <c r="AF907">
        <v>1.0640480320000001</v>
      </c>
    </row>
    <row r="908" spans="1:32" x14ac:dyDescent="0.25">
      <c r="A908" s="56">
        <v>1931824</v>
      </c>
      <c r="B908" s="56" t="s">
        <v>1968</v>
      </c>
      <c r="C908" s="56" t="s">
        <v>4477</v>
      </c>
      <c r="D908" s="56"/>
      <c r="E908" s="57">
        <v>1508</v>
      </c>
      <c r="F908" s="57">
        <v>1.508</v>
      </c>
      <c r="G908" s="56" t="s">
        <v>392</v>
      </c>
      <c r="H908" s="56" t="s">
        <v>4454</v>
      </c>
      <c r="I908" s="56" t="s">
        <v>1834</v>
      </c>
      <c r="J908" s="56"/>
      <c r="K908" s="56"/>
      <c r="L908" s="56"/>
      <c r="M908" s="56"/>
      <c r="N908" s="56" t="s">
        <v>48</v>
      </c>
      <c r="O908" s="56">
        <v>86</v>
      </c>
      <c r="P908" s="59" t="s">
        <v>2579</v>
      </c>
      <c r="Q908" s="56" t="s">
        <v>11</v>
      </c>
      <c r="U908" s="538">
        <v>111107137</v>
      </c>
      <c r="V908">
        <v>28.58</v>
      </c>
      <c r="W908">
        <v>0</v>
      </c>
      <c r="X908">
        <v>1.6</v>
      </c>
      <c r="Y908">
        <v>5.9</v>
      </c>
      <c r="Z908" t="s">
        <v>1868</v>
      </c>
      <c r="AA908" t="s">
        <v>1003</v>
      </c>
      <c r="AB908" t="s">
        <v>2520</v>
      </c>
      <c r="AC908" t="s">
        <v>664</v>
      </c>
      <c r="AD908" t="s">
        <v>1838</v>
      </c>
      <c r="AE908" t="s">
        <v>4466</v>
      </c>
      <c r="AF908">
        <v>1.0640480320000001</v>
      </c>
    </row>
    <row r="909" spans="1:32" x14ac:dyDescent="0.25">
      <c r="A909" s="56">
        <v>1931824</v>
      </c>
      <c r="B909" s="56" t="s">
        <v>1968</v>
      </c>
      <c r="C909" s="56" t="s">
        <v>4479</v>
      </c>
      <c r="D909" s="56"/>
      <c r="E909" s="57">
        <v>1396</v>
      </c>
      <c r="F909" s="57">
        <v>1.3959999999999999</v>
      </c>
      <c r="G909" s="56" t="s">
        <v>392</v>
      </c>
      <c r="H909" s="56" t="s">
        <v>4454</v>
      </c>
      <c r="I909" s="56" t="s">
        <v>1834</v>
      </c>
      <c r="J909" s="56"/>
      <c r="K909" s="56"/>
      <c r="L909" s="56"/>
      <c r="M909" s="56"/>
      <c r="N909" s="56" t="s">
        <v>48</v>
      </c>
      <c r="O909" s="56">
        <v>86</v>
      </c>
      <c r="P909" s="59" t="s">
        <v>2579</v>
      </c>
      <c r="Q909" s="56" t="s">
        <v>11</v>
      </c>
      <c r="U909">
        <v>3929642</v>
      </c>
      <c r="V909">
        <v>28.58</v>
      </c>
      <c r="W909">
        <v>0</v>
      </c>
      <c r="X909">
        <v>1.6</v>
      </c>
      <c r="Y909">
        <v>5.95</v>
      </c>
      <c r="Z909" t="s">
        <v>1881</v>
      </c>
      <c r="AA909" t="s">
        <v>1003</v>
      </c>
      <c r="AB909" t="s">
        <v>2520</v>
      </c>
      <c r="AC909" t="s">
        <v>664</v>
      </c>
      <c r="AD909" t="s">
        <v>1838</v>
      </c>
      <c r="AE909" t="s">
        <v>4466</v>
      </c>
      <c r="AF909">
        <v>1.0640480320000001</v>
      </c>
    </row>
    <row r="910" spans="1:32" x14ac:dyDescent="0.25">
      <c r="A910" s="56">
        <v>1931824</v>
      </c>
      <c r="B910" s="56" t="s">
        <v>1968</v>
      </c>
      <c r="C910" s="56" t="s">
        <v>4480</v>
      </c>
      <c r="D910" s="56"/>
      <c r="E910" s="57">
        <v>1457</v>
      </c>
      <c r="F910" s="57">
        <v>1.4570000000000001</v>
      </c>
      <c r="G910" s="56" t="s">
        <v>392</v>
      </c>
      <c r="H910" s="56" t="s">
        <v>4454</v>
      </c>
      <c r="I910" s="56" t="s">
        <v>1834</v>
      </c>
      <c r="J910" s="56"/>
      <c r="K910" s="56"/>
      <c r="L910" s="56"/>
      <c r="M910" s="56"/>
      <c r="N910" s="56" t="s">
        <v>48</v>
      </c>
      <c r="O910" s="56">
        <v>83</v>
      </c>
      <c r="P910" s="59" t="s">
        <v>2579</v>
      </c>
      <c r="Q910" s="56" t="s">
        <v>11</v>
      </c>
      <c r="U910" s="538">
        <v>111118633</v>
      </c>
      <c r="V910">
        <v>28.58</v>
      </c>
      <c r="W910">
        <v>0</v>
      </c>
      <c r="X910">
        <v>1.6</v>
      </c>
      <c r="Y910">
        <v>5.95</v>
      </c>
      <c r="Z910" t="s">
        <v>1881</v>
      </c>
      <c r="AA910" t="s">
        <v>1003</v>
      </c>
      <c r="AB910" t="s">
        <v>2520</v>
      </c>
      <c r="AC910" t="s">
        <v>664</v>
      </c>
      <c r="AD910" t="s">
        <v>1838</v>
      </c>
      <c r="AE910" t="s">
        <v>4466</v>
      </c>
      <c r="AF910">
        <v>1.0640480320000001</v>
      </c>
    </row>
    <row r="911" spans="1:32" x14ac:dyDescent="0.25">
      <c r="A911" s="56">
        <v>1931824</v>
      </c>
      <c r="B911" s="56" t="s">
        <v>1968</v>
      </c>
      <c r="C911" s="56" t="s">
        <v>4483</v>
      </c>
      <c r="D911" s="56"/>
      <c r="E911" s="57">
        <v>1417</v>
      </c>
      <c r="F911" s="57">
        <v>1.417</v>
      </c>
      <c r="G911" s="56" t="s">
        <v>392</v>
      </c>
      <c r="H911" s="56" t="s">
        <v>4454</v>
      </c>
      <c r="I911" s="56" t="s">
        <v>1834</v>
      </c>
      <c r="J911" s="56"/>
      <c r="K911" s="56"/>
      <c r="L911" s="56"/>
      <c r="M911" s="56"/>
      <c r="N911" s="56" t="s">
        <v>48</v>
      </c>
      <c r="O911" s="56">
        <v>83</v>
      </c>
      <c r="P911" s="59" t="s">
        <v>2579</v>
      </c>
      <c r="Q911" s="56" t="s">
        <v>11</v>
      </c>
      <c r="U911" s="52">
        <v>1940621</v>
      </c>
      <c r="V911">
        <v>28.58</v>
      </c>
      <c r="W911">
        <v>0</v>
      </c>
      <c r="X911">
        <v>1.6</v>
      </c>
      <c r="Y911">
        <v>6</v>
      </c>
      <c r="Z911" t="s">
        <v>1891</v>
      </c>
      <c r="AA911" t="s">
        <v>963</v>
      </c>
      <c r="AB911" t="s">
        <v>2520</v>
      </c>
      <c r="AC911" t="s">
        <v>1019</v>
      </c>
      <c r="AD911" t="s">
        <v>1838</v>
      </c>
      <c r="AE911" t="s">
        <v>4472</v>
      </c>
      <c r="AF911">
        <v>1.0640480320000001</v>
      </c>
    </row>
    <row r="912" spans="1:32" x14ac:dyDescent="0.25">
      <c r="A912" s="56">
        <v>1931824</v>
      </c>
      <c r="B912" s="56" t="s">
        <v>1968</v>
      </c>
      <c r="C912" s="56" t="s">
        <v>4484</v>
      </c>
      <c r="D912" s="56"/>
      <c r="E912" s="57">
        <v>1334</v>
      </c>
      <c r="F912" s="57">
        <v>1.3340000000000001</v>
      </c>
      <c r="G912" s="56" t="s">
        <v>392</v>
      </c>
      <c r="H912" s="56" t="s">
        <v>4454</v>
      </c>
      <c r="I912" s="56" t="s">
        <v>1834</v>
      </c>
      <c r="J912" s="56"/>
      <c r="K912" s="56"/>
      <c r="L912" s="56"/>
      <c r="M912" s="56"/>
      <c r="N912" s="56" t="s">
        <v>48</v>
      </c>
      <c r="O912" s="56">
        <v>83</v>
      </c>
      <c r="P912" s="59" t="s">
        <v>2579</v>
      </c>
      <c r="Q912" s="56" t="s">
        <v>11</v>
      </c>
      <c r="U912" s="52">
        <v>2397074</v>
      </c>
      <c r="V912">
        <v>28.58</v>
      </c>
      <c r="W912">
        <v>0</v>
      </c>
      <c r="X912">
        <v>2</v>
      </c>
      <c r="Y912">
        <v>0.46899999999999997</v>
      </c>
      <c r="Z912" t="s">
        <v>1868</v>
      </c>
      <c r="AA912" t="s">
        <v>1003</v>
      </c>
      <c r="AB912" t="s">
        <v>2520</v>
      </c>
      <c r="AC912" t="s">
        <v>582</v>
      </c>
      <c r="AD912" t="s">
        <v>2171</v>
      </c>
      <c r="AE912" t="s">
        <v>4474</v>
      </c>
      <c r="AF912">
        <v>0.61454985395999995</v>
      </c>
    </row>
    <row r="913" spans="1:32" x14ac:dyDescent="0.25">
      <c r="A913" s="56">
        <v>1931824</v>
      </c>
      <c r="B913" s="56" t="s">
        <v>1968</v>
      </c>
      <c r="C913" s="56" t="s">
        <v>4486</v>
      </c>
      <c r="D913" s="56"/>
      <c r="E913" s="57">
        <v>302</v>
      </c>
      <c r="F913" s="57">
        <v>0.30199999999999999</v>
      </c>
      <c r="G913" s="56" t="s">
        <v>392</v>
      </c>
      <c r="H913" s="56" t="s">
        <v>4454</v>
      </c>
      <c r="I913" s="56" t="s">
        <v>1834</v>
      </c>
      <c r="J913" s="56"/>
      <c r="K913" s="56"/>
      <c r="L913" s="56"/>
      <c r="M913" s="56"/>
      <c r="N913" s="56" t="s">
        <v>48</v>
      </c>
      <c r="O913" s="56">
        <v>86</v>
      </c>
      <c r="P913" s="59" t="s">
        <v>2579</v>
      </c>
      <c r="Q913" s="56" t="s">
        <v>11</v>
      </c>
      <c r="U913" s="52">
        <v>1940626</v>
      </c>
      <c r="V913">
        <v>28.58</v>
      </c>
      <c r="W913">
        <v>0</v>
      </c>
      <c r="X913">
        <v>2</v>
      </c>
      <c r="Y913">
        <v>0.47499999999999998</v>
      </c>
      <c r="Z913" t="s">
        <v>1891</v>
      </c>
      <c r="AA913" t="s">
        <v>1003</v>
      </c>
      <c r="AB913" t="s">
        <v>2520</v>
      </c>
      <c r="AC913" t="s">
        <v>582</v>
      </c>
      <c r="AD913" t="s">
        <v>2171</v>
      </c>
      <c r="AE913" t="s">
        <v>584</v>
      </c>
      <c r="AF913">
        <v>0.62241189900000005</v>
      </c>
    </row>
    <row r="914" spans="1:32" x14ac:dyDescent="0.25">
      <c r="A914" s="56">
        <v>1931824</v>
      </c>
      <c r="B914" s="56" t="s">
        <v>1968</v>
      </c>
      <c r="C914" s="56" t="s">
        <v>4487</v>
      </c>
      <c r="D914" s="56"/>
      <c r="E914" s="57">
        <v>890</v>
      </c>
      <c r="F914" s="57">
        <v>0.89</v>
      </c>
      <c r="G914" s="56" t="s">
        <v>392</v>
      </c>
      <c r="H914" s="56" t="s">
        <v>4454</v>
      </c>
      <c r="I914" s="56" t="s">
        <v>1834</v>
      </c>
      <c r="J914" s="56"/>
      <c r="K914" s="56"/>
      <c r="L914" s="56"/>
      <c r="M914" s="56"/>
      <c r="N914" s="56" t="s">
        <v>48</v>
      </c>
      <c r="O914" s="56">
        <v>86</v>
      </c>
      <c r="P914" s="59" t="s">
        <v>2579</v>
      </c>
      <c r="Q914" s="56" t="s">
        <v>11</v>
      </c>
      <c r="U914" s="538">
        <v>110102758</v>
      </c>
      <c r="V914">
        <v>28.58</v>
      </c>
      <c r="W914">
        <v>0</v>
      </c>
      <c r="X914">
        <v>2</v>
      </c>
      <c r="Y914">
        <v>5.81</v>
      </c>
      <c r="Z914" t="s">
        <v>1891</v>
      </c>
      <c r="AA914" t="s">
        <v>1003</v>
      </c>
      <c r="AB914" t="s">
        <v>2520</v>
      </c>
      <c r="AC914" t="s">
        <v>582</v>
      </c>
      <c r="AD914" t="s">
        <v>1838</v>
      </c>
      <c r="AE914" t="s">
        <v>2350</v>
      </c>
      <c r="AF914">
        <v>1.3103408400000001</v>
      </c>
    </row>
    <row r="915" spans="1:32" x14ac:dyDescent="0.25">
      <c r="A915" s="56">
        <v>1931824</v>
      </c>
      <c r="B915" s="56" t="s">
        <v>1968</v>
      </c>
      <c r="C915" s="56" t="s">
        <v>4488</v>
      </c>
      <c r="D915" s="56"/>
      <c r="E915" s="57">
        <v>1438</v>
      </c>
      <c r="F915" s="57">
        <v>1.4379999999999999</v>
      </c>
      <c r="G915" s="56" t="s">
        <v>392</v>
      </c>
      <c r="H915" s="56" t="s">
        <v>2511</v>
      </c>
      <c r="I915" s="56" t="s">
        <v>1834</v>
      </c>
      <c r="J915" s="56"/>
      <c r="K915" s="56"/>
      <c r="L915" s="56"/>
      <c r="M915" s="56"/>
      <c r="N915" s="56" t="s">
        <v>48</v>
      </c>
      <c r="O915" s="56">
        <v>90</v>
      </c>
      <c r="P915" s="59" t="s">
        <v>2579</v>
      </c>
      <c r="Q915" s="56" t="s">
        <v>11</v>
      </c>
      <c r="U915">
        <v>3494440</v>
      </c>
      <c r="V915">
        <v>28.58</v>
      </c>
      <c r="W915">
        <v>0</v>
      </c>
      <c r="X915">
        <v>2</v>
      </c>
      <c r="Y915">
        <v>5.85</v>
      </c>
      <c r="Z915" t="s">
        <v>4478</v>
      </c>
      <c r="AA915" t="s">
        <v>1003</v>
      </c>
      <c r="AB915" t="s">
        <v>4343</v>
      </c>
      <c r="AC915" t="s">
        <v>582</v>
      </c>
      <c r="AD915" t="s">
        <v>1838</v>
      </c>
      <c r="AE915" t="s">
        <v>2350</v>
      </c>
      <c r="AF915">
        <v>1.3103408400000001</v>
      </c>
    </row>
    <row r="916" spans="1:32" x14ac:dyDescent="0.25">
      <c r="A916" s="56">
        <v>1931824</v>
      </c>
      <c r="B916" s="56" t="s">
        <v>1968</v>
      </c>
      <c r="C916" s="56" t="s">
        <v>4489</v>
      </c>
      <c r="D916" s="56"/>
      <c r="E916" s="57">
        <v>626.84</v>
      </c>
      <c r="F916" s="57">
        <v>0.62684000000000006</v>
      </c>
      <c r="G916" s="56" t="s">
        <v>392</v>
      </c>
      <c r="H916" s="56" t="s">
        <v>1914</v>
      </c>
      <c r="I916" s="56" t="s">
        <v>1834</v>
      </c>
      <c r="J916" s="56"/>
      <c r="K916" s="56"/>
      <c r="L916" s="56"/>
      <c r="M916" s="56"/>
      <c r="N916" s="56" t="s">
        <v>48</v>
      </c>
      <c r="O916" s="56">
        <v>52</v>
      </c>
      <c r="P916" s="59" t="s">
        <v>2532</v>
      </c>
      <c r="Q916" s="56" t="s">
        <v>11</v>
      </c>
      <c r="U916" s="52">
        <v>3702095</v>
      </c>
      <c r="V916">
        <v>28.58</v>
      </c>
      <c r="W916">
        <v>0</v>
      </c>
      <c r="X916">
        <v>2</v>
      </c>
      <c r="Y916">
        <v>6</v>
      </c>
      <c r="Z916" t="s">
        <v>1881</v>
      </c>
      <c r="AA916" t="s">
        <v>1003</v>
      </c>
      <c r="AB916" t="s">
        <v>2520</v>
      </c>
      <c r="AC916" t="s">
        <v>582</v>
      </c>
      <c r="AD916" t="s">
        <v>1838</v>
      </c>
      <c r="AE916" t="s">
        <v>2350</v>
      </c>
      <c r="AF916">
        <v>1.3103408400000001</v>
      </c>
    </row>
    <row r="917" spans="1:32" x14ac:dyDescent="0.25">
      <c r="A917" s="56">
        <v>1938116</v>
      </c>
      <c r="B917" s="56" t="s">
        <v>1237</v>
      </c>
      <c r="C917" s="56" t="s">
        <v>4491</v>
      </c>
      <c r="D917" s="56"/>
      <c r="E917" s="57">
        <v>401.00400000000002</v>
      </c>
      <c r="F917" s="57">
        <v>0.40100400000000003</v>
      </c>
      <c r="G917" s="56" t="s">
        <v>392</v>
      </c>
      <c r="H917" s="56" t="s">
        <v>4454</v>
      </c>
      <c r="I917" s="56" t="s">
        <v>1834</v>
      </c>
      <c r="J917" s="56"/>
      <c r="K917" s="56"/>
      <c r="L917" s="56"/>
      <c r="M917" s="56"/>
      <c r="N917" s="56" t="s">
        <v>151</v>
      </c>
      <c r="O917" s="56">
        <v>6</v>
      </c>
      <c r="P917" s="59" t="s">
        <v>2515</v>
      </c>
      <c r="Q917" s="56" t="s">
        <v>11</v>
      </c>
      <c r="U917" s="52">
        <v>1940627</v>
      </c>
      <c r="V917">
        <v>28.58</v>
      </c>
      <c r="W917">
        <v>0</v>
      </c>
      <c r="X917">
        <v>3.2</v>
      </c>
      <c r="Y917">
        <v>6</v>
      </c>
      <c r="Z917" t="s">
        <v>1891</v>
      </c>
      <c r="AA917" t="s">
        <v>1003</v>
      </c>
      <c r="AB917" t="s">
        <v>2520</v>
      </c>
      <c r="AC917" t="s">
        <v>4481</v>
      </c>
      <c r="AD917" t="s">
        <v>1838</v>
      </c>
      <c r="AE917" t="s">
        <v>4482</v>
      </c>
      <c r="AF917">
        <v>2.001893184</v>
      </c>
    </row>
    <row r="918" spans="1:32" x14ac:dyDescent="0.25">
      <c r="A918" s="56">
        <v>1938116</v>
      </c>
      <c r="B918" s="56" t="s">
        <v>1237</v>
      </c>
      <c r="C918" s="56" t="s">
        <v>4493</v>
      </c>
      <c r="D918" s="56"/>
      <c r="E918" s="57">
        <v>71.063999999999993</v>
      </c>
      <c r="F918" s="57">
        <v>7.1063999999999988E-2</v>
      </c>
      <c r="G918" s="56" t="s">
        <v>392</v>
      </c>
      <c r="H918" s="56" t="s">
        <v>4454</v>
      </c>
      <c r="I918" s="56" t="s">
        <v>1834</v>
      </c>
      <c r="J918" s="56"/>
      <c r="K918" s="56"/>
      <c r="L918" s="56"/>
      <c r="M918" s="56"/>
      <c r="N918" s="56" t="s">
        <v>151</v>
      </c>
      <c r="O918" s="56">
        <v>7</v>
      </c>
      <c r="P918" s="59" t="s">
        <v>2515</v>
      </c>
      <c r="Q918" s="56" t="s">
        <v>11</v>
      </c>
      <c r="U918" s="52">
        <v>3617058</v>
      </c>
      <c r="V918">
        <v>28.6</v>
      </c>
      <c r="W918">
        <v>0</v>
      </c>
      <c r="X918">
        <v>2.65</v>
      </c>
      <c r="Y918">
        <v>0.20899999999999999</v>
      </c>
      <c r="Z918" t="s">
        <v>1874</v>
      </c>
      <c r="AA918" t="s">
        <v>1003</v>
      </c>
      <c r="AB918" t="s">
        <v>2517</v>
      </c>
      <c r="AC918" t="s">
        <v>816</v>
      </c>
      <c r="AD918" t="s">
        <v>2171</v>
      </c>
      <c r="AE918" t="s">
        <v>818</v>
      </c>
      <c r="AF918">
        <v>0.35426547246749995</v>
      </c>
    </row>
    <row r="919" spans="1:32" x14ac:dyDescent="0.25">
      <c r="A919" s="56">
        <v>1938118</v>
      </c>
      <c r="B919" s="56" t="s">
        <v>1233</v>
      </c>
      <c r="C919" s="56" t="s">
        <v>4496</v>
      </c>
      <c r="D919" s="56"/>
      <c r="E919" s="57">
        <v>105.655</v>
      </c>
      <c r="F919" s="57">
        <v>0.105655</v>
      </c>
      <c r="G919" s="56" t="s">
        <v>392</v>
      </c>
      <c r="H919" s="56" t="s">
        <v>4454</v>
      </c>
      <c r="I919" s="56" t="s">
        <v>1834</v>
      </c>
      <c r="J919" s="56"/>
      <c r="K919" s="56"/>
      <c r="L919" s="56"/>
      <c r="M919" s="56"/>
      <c r="N919" s="56" t="s">
        <v>101</v>
      </c>
      <c r="O919" s="56">
        <v>11</v>
      </c>
      <c r="P919" s="59" t="s">
        <v>2515</v>
      </c>
      <c r="Q919" s="56" t="s">
        <v>192</v>
      </c>
      <c r="U919" s="52">
        <v>3472102</v>
      </c>
      <c r="V919">
        <v>28.6</v>
      </c>
      <c r="W919">
        <v>23.3</v>
      </c>
      <c r="X919">
        <v>2.65</v>
      </c>
      <c r="Y919">
        <v>0.44400000000000001</v>
      </c>
      <c r="Z919" t="s">
        <v>1914</v>
      </c>
      <c r="AA919" t="s">
        <v>963</v>
      </c>
      <c r="AB919" t="s">
        <v>2517</v>
      </c>
      <c r="AC919" t="s">
        <v>816</v>
      </c>
      <c r="AD919" t="s">
        <v>2171</v>
      </c>
      <c r="AE919" t="s">
        <v>4485</v>
      </c>
      <c r="AF919">
        <v>0.75260224772999995</v>
      </c>
    </row>
    <row r="920" spans="1:32" x14ac:dyDescent="0.25">
      <c r="A920" s="56">
        <v>1938118</v>
      </c>
      <c r="B920" s="56" t="s">
        <v>1233</v>
      </c>
      <c r="C920" s="56" t="s">
        <v>4498</v>
      </c>
      <c r="D920" s="56"/>
      <c r="E920" s="57">
        <v>345.03</v>
      </c>
      <c r="F920" s="57">
        <v>0.34502999999999995</v>
      </c>
      <c r="G920" s="56" t="s">
        <v>392</v>
      </c>
      <c r="H920" s="56" t="s">
        <v>4454</v>
      </c>
      <c r="I920" s="56" t="s">
        <v>1834</v>
      </c>
      <c r="J920" s="56"/>
      <c r="K920" s="56"/>
      <c r="L920" s="56"/>
      <c r="M920" s="56"/>
      <c r="N920" s="56" t="s">
        <v>101</v>
      </c>
      <c r="O920" s="56">
        <v>59</v>
      </c>
      <c r="P920" s="59" t="s">
        <v>2532</v>
      </c>
      <c r="Q920" s="56" t="s">
        <v>192</v>
      </c>
      <c r="U920" s="52">
        <v>2410388</v>
      </c>
      <c r="V920">
        <v>28.6</v>
      </c>
      <c r="W920">
        <v>23.3</v>
      </c>
      <c r="X920">
        <v>2.65</v>
      </c>
      <c r="Y920">
        <v>6</v>
      </c>
      <c r="Z920" t="s">
        <v>1874</v>
      </c>
      <c r="AA920" t="s">
        <v>1003</v>
      </c>
      <c r="AB920" t="s">
        <v>2517</v>
      </c>
      <c r="AC920" t="s">
        <v>816</v>
      </c>
      <c r="AD920" t="s">
        <v>1838</v>
      </c>
      <c r="AE920" t="s">
        <v>820</v>
      </c>
      <c r="AF920">
        <v>1.6950501075</v>
      </c>
    </row>
    <row r="921" spans="1:32" x14ac:dyDescent="0.25">
      <c r="A921" s="56">
        <v>1938118</v>
      </c>
      <c r="B921" s="56" t="s">
        <v>1233</v>
      </c>
      <c r="C921" s="56" t="s">
        <v>4499</v>
      </c>
      <c r="D921" s="56"/>
      <c r="E921" s="57">
        <v>123.2</v>
      </c>
      <c r="F921" s="57">
        <v>0.1232</v>
      </c>
      <c r="G921" s="56" t="s">
        <v>392</v>
      </c>
      <c r="H921" s="56" t="s">
        <v>4454</v>
      </c>
      <c r="I921" s="56" t="s">
        <v>1834</v>
      </c>
      <c r="J921" s="56"/>
      <c r="K921" s="56"/>
      <c r="L921" s="56"/>
      <c r="M921" s="56"/>
      <c r="N921" s="56" t="s">
        <v>101</v>
      </c>
      <c r="O921" s="56">
        <v>59</v>
      </c>
      <c r="P921" s="59" t="s">
        <v>2532</v>
      </c>
      <c r="Q921" s="56" t="s">
        <v>192</v>
      </c>
      <c r="U921" s="52">
        <v>3770393</v>
      </c>
      <c r="V921">
        <v>28.6</v>
      </c>
      <c r="W921">
        <v>23.3</v>
      </c>
      <c r="X921">
        <v>2.65</v>
      </c>
      <c r="Y921">
        <v>6.07</v>
      </c>
      <c r="Z921" t="s">
        <v>1874</v>
      </c>
      <c r="AA921" t="s">
        <v>1003</v>
      </c>
      <c r="AB921" t="s">
        <v>2517</v>
      </c>
      <c r="AC921" t="s">
        <v>816</v>
      </c>
      <c r="AD921" t="s">
        <v>1838</v>
      </c>
      <c r="AE921" t="s">
        <v>820</v>
      </c>
      <c r="AF921">
        <v>1.6950501075</v>
      </c>
    </row>
    <row r="922" spans="1:32" x14ac:dyDescent="0.25">
      <c r="A922" s="56">
        <v>1938118</v>
      </c>
      <c r="B922" s="56" t="s">
        <v>1233</v>
      </c>
      <c r="C922" s="56" t="s">
        <v>4501</v>
      </c>
      <c r="D922" s="56"/>
      <c r="E922" s="57">
        <v>77.349000000000004</v>
      </c>
      <c r="F922" s="57">
        <v>7.7349000000000001E-2</v>
      </c>
      <c r="G922" s="56" t="s">
        <v>392</v>
      </c>
      <c r="H922" s="56" t="s">
        <v>4454</v>
      </c>
      <c r="I922" s="56" t="s">
        <v>1834</v>
      </c>
      <c r="J922" s="56"/>
      <c r="K922" s="56"/>
      <c r="L922" s="56"/>
      <c r="M922" s="56"/>
      <c r="N922" s="56" t="s">
        <v>101</v>
      </c>
      <c r="O922" s="56">
        <v>53</v>
      </c>
      <c r="P922" s="59" t="s">
        <v>2532</v>
      </c>
      <c r="Q922" s="56" t="s">
        <v>192</v>
      </c>
      <c r="U922" s="52">
        <v>2426240</v>
      </c>
      <c r="V922">
        <v>29.28</v>
      </c>
      <c r="W922">
        <v>0</v>
      </c>
      <c r="X922">
        <v>3.4</v>
      </c>
      <c r="Y922">
        <v>3.5</v>
      </c>
      <c r="Z922" t="s">
        <v>1874</v>
      </c>
      <c r="AA922" t="s">
        <v>1003</v>
      </c>
      <c r="AB922" t="s">
        <v>2517</v>
      </c>
      <c r="AC922" t="s">
        <v>1073</v>
      </c>
      <c r="AD922" t="s">
        <v>1838</v>
      </c>
      <c r="AE922" t="s">
        <v>2347</v>
      </c>
      <c r="AF922">
        <v>2.1689148080000002</v>
      </c>
    </row>
    <row r="923" spans="1:32" x14ac:dyDescent="0.25">
      <c r="A923" s="56">
        <v>1938119</v>
      </c>
      <c r="B923" s="56" t="s">
        <v>1235</v>
      </c>
      <c r="C923" s="56" t="s">
        <v>4503</v>
      </c>
      <c r="D923" s="56"/>
      <c r="E923" s="57">
        <v>149.107</v>
      </c>
      <c r="F923" s="57">
        <v>0.14910699999999999</v>
      </c>
      <c r="G923" s="56" t="s">
        <v>392</v>
      </c>
      <c r="H923" s="56" t="s">
        <v>4454</v>
      </c>
      <c r="I923" s="56" t="s">
        <v>1834</v>
      </c>
      <c r="J923" s="56"/>
      <c r="K923" s="56"/>
      <c r="L923" s="56"/>
      <c r="M923" s="56"/>
      <c r="N923" s="56" t="s">
        <v>101</v>
      </c>
      <c r="O923" s="56">
        <v>55</v>
      </c>
      <c r="P923" s="59" t="s">
        <v>2532</v>
      </c>
      <c r="Q923" s="56" t="s">
        <v>192</v>
      </c>
      <c r="U923">
        <v>3974533</v>
      </c>
      <c r="V923">
        <v>29.35</v>
      </c>
      <c r="W923">
        <v>0</v>
      </c>
      <c r="X923">
        <v>4.4000000000000004</v>
      </c>
      <c r="Y923">
        <v>0.36299999999999999</v>
      </c>
      <c r="Z923" t="s">
        <v>2088</v>
      </c>
      <c r="AA923" t="s">
        <v>1003</v>
      </c>
      <c r="AB923" t="s">
        <v>2517</v>
      </c>
      <c r="AC923" t="s">
        <v>824</v>
      </c>
      <c r="AD923" t="s">
        <v>2171</v>
      </c>
      <c r="AE923" t="s">
        <v>4490</v>
      </c>
      <c r="AF923">
        <v>0.98226610086000021</v>
      </c>
    </row>
    <row r="924" spans="1:32" x14ac:dyDescent="0.25">
      <c r="A924" s="56">
        <v>1938119</v>
      </c>
      <c r="B924" s="56" t="s">
        <v>1235</v>
      </c>
      <c r="C924" s="56" t="s">
        <v>4504</v>
      </c>
      <c r="D924" s="56"/>
      <c r="E924" s="57">
        <v>410.66399999999999</v>
      </c>
      <c r="F924" s="57">
        <v>0.41066399999999997</v>
      </c>
      <c r="G924" s="56" t="s">
        <v>392</v>
      </c>
      <c r="H924" s="56" t="s">
        <v>4454</v>
      </c>
      <c r="I924" s="56" t="s">
        <v>1834</v>
      </c>
      <c r="J924" s="56"/>
      <c r="K924" s="56"/>
      <c r="L924" s="56"/>
      <c r="M924" s="56"/>
      <c r="N924" s="56" t="s">
        <v>101</v>
      </c>
      <c r="O924" s="56">
        <v>55</v>
      </c>
      <c r="P924" s="59" t="s">
        <v>2532</v>
      </c>
      <c r="Q924" s="56" t="s">
        <v>192</v>
      </c>
      <c r="U924">
        <v>3983443</v>
      </c>
      <c r="V924">
        <v>29.35</v>
      </c>
      <c r="W924">
        <v>0</v>
      </c>
      <c r="X924">
        <v>4.4000000000000004</v>
      </c>
      <c r="Y924">
        <v>0.378</v>
      </c>
      <c r="Z924" t="s">
        <v>2088</v>
      </c>
      <c r="AA924" t="s">
        <v>1003</v>
      </c>
      <c r="AB924" t="s">
        <v>2517</v>
      </c>
      <c r="AC924" t="s">
        <v>1917</v>
      </c>
      <c r="AD924" t="s">
        <v>2171</v>
      </c>
      <c r="AE924" t="s">
        <v>4492</v>
      </c>
      <c r="AF924">
        <v>1.0228556091600003</v>
      </c>
    </row>
    <row r="925" spans="1:32" x14ac:dyDescent="0.25">
      <c r="A925" s="56">
        <v>1938119</v>
      </c>
      <c r="B925" s="56" t="s">
        <v>1235</v>
      </c>
      <c r="C925" s="56" t="s">
        <v>4505</v>
      </c>
      <c r="D925" s="56"/>
      <c r="E925" s="57">
        <v>174.536</v>
      </c>
      <c r="F925" s="57">
        <v>0.174536</v>
      </c>
      <c r="G925" s="56" t="s">
        <v>392</v>
      </c>
      <c r="H925" s="56" t="s">
        <v>4454</v>
      </c>
      <c r="I925" s="56" t="s">
        <v>1834</v>
      </c>
      <c r="J925" s="56"/>
      <c r="K925" s="56"/>
      <c r="L925" s="56"/>
      <c r="M925" s="56"/>
      <c r="N925" s="56" t="s">
        <v>101</v>
      </c>
      <c r="O925" s="56">
        <v>2</v>
      </c>
      <c r="P925" s="59" t="s">
        <v>2515</v>
      </c>
      <c r="Q925" s="56" t="s">
        <v>192</v>
      </c>
      <c r="U925">
        <v>3185923</v>
      </c>
      <c r="V925">
        <v>29.35</v>
      </c>
      <c r="W925">
        <v>0</v>
      </c>
      <c r="X925">
        <v>4.4000000000000004</v>
      </c>
      <c r="Y925">
        <v>4.0999999999999996</v>
      </c>
      <c r="Z925" t="s">
        <v>2088</v>
      </c>
      <c r="AA925" t="s">
        <v>1003</v>
      </c>
      <c r="AB925" t="s">
        <v>2517</v>
      </c>
      <c r="AC925" t="s">
        <v>4494</v>
      </c>
      <c r="AD925" t="s">
        <v>1838</v>
      </c>
      <c r="AE925" t="s">
        <v>4495</v>
      </c>
      <c r="AF925">
        <v>2.7059672200000007</v>
      </c>
    </row>
    <row r="926" spans="1:32" x14ac:dyDescent="0.25">
      <c r="A926" s="56">
        <v>1938119</v>
      </c>
      <c r="B926" s="56" t="s">
        <v>1235</v>
      </c>
      <c r="C926" s="56" t="s">
        <v>4507</v>
      </c>
      <c r="D926" s="56"/>
      <c r="E926" s="57">
        <v>423.16199999999998</v>
      </c>
      <c r="F926" s="57">
        <v>0.42316199999999998</v>
      </c>
      <c r="G926" s="56" t="s">
        <v>392</v>
      </c>
      <c r="H926" s="56" t="s">
        <v>4454</v>
      </c>
      <c r="I926" s="56" t="s">
        <v>1834</v>
      </c>
      <c r="J926" s="56"/>
      <c r="K926" s="56"/>
      <c r="L926" s="56"/>
      <c r="M926" s="56"/>
      <c r="N926" s="56" t="s">
        <v>101</v>
      </c>
      <c r="O926" s="56">
        <v>5</v>
      </c>
      <c r="P926" s="59" t="s">
        <v>2515</v>
      </c>
      <c r="Q926" s="56" t="s">
        <v>192</v>
      </c>
      <c r="U926" s="52">
        <v>3190072</v>
      </c>
      <c r="V926">
        <v>29.4</v>
      </c>
      <c r="W926">
        <v>0</v>
      </c>
      <c r="X926">
        <v>4.5</v>
      </c>
      <c r="Y926">
        <v>0.35699999999999998</v>
      </c>
      <c r="Z926" t="s">
        <v>2088</v>
      </c>
      <c r="AA926" t="s">
        <v>1003</v>
      </c>
      <c r="AB926" t="s">
        <v>2517</v>
      </c>
      <c r="AC926" t="s">
        <v>824</v>
      </c>
      <c r="AD926" t="s">
        <v>2171</v>
      </c>
      <c r="AE926" t="s">
        <v>4497</v>
      </c>
      <c r="AF926">
        <v>0.98600560064999987</v>
      </c>
    </row>
    <row r="927" spans="1:32" x14ac:dyDescent="0.25">
      <c r="A927" s="56">
        <v>1938125</v>
      </c>
      <c r="B927" s="56" t="s">
        <v>870</v>
      </c>
      <c r="C927" s="56" t="s">
        <v>4508</v>
      </c>
      <c r="D927" s="56"/>
      <c r="E927" s="57">
        <v>661.22500000000002</v>
      </c>
      <c r="F927" s="57">
        <v>0.66122500000000006</v>
      </c>
      <c r="G927" s="56" t="s">
        <v>392</v>
      </c>
      <c r="H927" s="56" t="s">
        <v>4454</v>
      </c>
      <c r="I927" s="56" t="s">
        <v>1834</v>
      </c>
      <c r="J927" s="56"/>
      <c r="K927" s="56"/>
      <c r="L927" s="56"/>
      <c r="M927" s="56"/>
      <c r="N927" s="56" t="s">
        <v>30</v>
      </c>
      <c r="O927" s="56">
        <v>11</v>
      </c>
      <c r="P927" s="59" t="s">
        <v>2515</v>
      </c>
      <c r="Q927" s="56" t="s">
        <v>11</v>
      </c>
      <c r="U927" s="52">
        <v>3909903</v>
      </c>
      <c r="V927">
        <v>29.4</v>
      </c>
      <c r="W927">
        <v>0</v>
      </c>
      <c r="X927">
        <v>4.5</v>
      </c>
      <c r="Y927">
        <v>0.35699999999999998</v>
      </c>
      <c r="Z927" t="s">
        <v>1874</v>
      </c>
      <c r="AA927" t="s">
        <v>1003</v>
      </c>
      <c r="AB927" t="s">
        <v>2517</v>
      </c>
      <c r="AC927" t="s">
        <v>393</v>
      </c>
      <c r="AD927" t="s">
        <v>2171</v>
      </c>
      <c r="AE927" t="s">
        <v>823</v>
      </c>
      <c r="AF927">
        <v>0.98600560064999987</v>
      </c>
    </row>
    <row r="928" spans="1:32" x14ac:dyDescent="0.25">
      <c r="A928" s="56">
        <v>1938163</v>
      </c>
      <c r="B928" s="56" t="s">
        <v>2134</v>
      </c>
      <c r="C928" s="56" t="s">
        <v>4503</v>
      </c>
      <c r="D928" s="56"/>
      <c r="E928" s="57">
        <v>309.27699999999999</v>
      </c>
      <c r="F928" s="57">
        <v>0.30927699999999997</v>
      </c>
      <c r="G928" s="56" t="s">
        <v>392</v>
      </c>
      <c r="H928" s="56" t="s">
        <v>4454</v>
      </c>
      <c r="I928" s="56" t="s">
        <v>1834</v>
      </c>
      <c r="J928" s="56"/>
      <c r="K928" s="56"/>
      <c r="L928" s="56"/>
      <c r="M928" s="56"/>
      <c r="N928" s="56" t="s">
        <v>61</v>
      </c>
      <c r="O928" s="56">
        <v>18</v>
      </c>
      <c r="P928" s="59" t="s">
        <v>2515</v>
      </c>
      <c r="Q928" s="56" t="s">
        <v>11</v>
      </c>
      <c r="U928" s="588">
        <v>3948187</v>
      </c>
      <c r="V928">
        <v>29.4</v>
      </c>
      <c r="W928">
        <v>0</v>
      </c>
      <c r="X928">
        <v>4.5</v>
      </c>
      <c r="Y928">
        <v>0.35899999999999999</v>
      </c>
      <c r="Z928" t="s">
        <v>1874</v>
      </c>
      <c r="AA928" t="s">
        <v>1003</v>
      </c>
      <c r="AB928" t="s">
        <v>2517</v>
      </c>
      <c r="AC928" t="s">
        <v>393</v>
      </c>
      <c r="AD928" t="s">
        <v>2171</v>
      </c>
      <c r="AE928" t="s">
        <v>6624</v>
      </c>
      <c r="AF928" t="e">
        <f>IF([4]!buckets[[#This Row],[LL or CTL]]="LL",(3.14*([4]!buckets[[#This Row],[OD]]-[4]!buckets[[#This Row],[Thickness]])*[4]!buckets[[#This Row],[Thickness]]*1000*7.85)/1000000,(3.14*([4]!buckets[[#This Row],[OD]]-[4]!buckets[[#This Row],[Thickness]])*[4]!buckets[[#This Row],[Thickness]]*[4]!buckets[[#This Row],[Length]]*1000*7.85)/1000000)</f>
        <v>#REF!</v>
      </c>
    </row>
    <row r="929" spans="1:32" x14ac:dyDescent="0.25">
      <c r="A929" s="56">
        <v>1938163</v>
      </c>
      <c r="B929" s="56" t="s">
        <v>2134</v>
      </c>
      <c r="C929" s="56" t="s">
        <v>4510</v>
      </c>
      <c r="D929" s="56"/>
      <c r="E929" s="57">
        <v>1985.67</v>
      </c>
      <c r="F929" s="57">
        <v>1.98567</v>
      </c>
      <c r="G929" s="56" t="s">
        <v>392</v>
      </c>
      <c r="H929" s="56" t="s">
        <v>4454</v>
      </c>
      <c r="I929" s="56" t="s">
        <v>1834</v>
      </c>
      <c r="J929" s="56"/>
      <c r="K929" s="56"/>
      <c r="L929" s="56"/>
      <c r="M929" s="56"/>
      <c r="N929" s="56" t="s">
        <v>61</v>
      </c>
      <c r="O929" s="56">
        <v>17</v>
      </c>
      <c r="P929" s="59" t="s">
        <v>2515</v>
      </c>
      <c r="Q929" s="56" t="s">
        <v>11</v>
      </c>
      <c r="U929" s="52">
        <v>3940551</v>
      </c>
      <c r="V929">
        <v>29.4</v>
      </c>
      <c r="W929">
        <v>0</v>
      </c>
      <c r="X929">
        <v>4.5</v>
      </c>
      <c r="Y929">
        <v>0.36</v>
      </c>
      <c r="Z929" t="s">
        <v>1874</v>
      </c>
      <c r="AA929" t="s">
        <v>1003</v>
      </c>
      <c r="AB929" t="s">
        <v>2517</v>
      </c>
      <c r="AC929" t="s">
        <v>393</v>
      </c>
      <c r="AD929" t="s">
        <v>2171</v>
      </c>
      <c r="AE929" t="s">
        <v>4500</v>
      </c>
      <c r="AF929">
        <v>0.9942913619999999</v>
      </c>
    </row>
    <row r="930" spans="1:32" x14ac:dyDescent="0.25">
      <c r="A930" s="56">
        <v>1938191</v>
      </c>
      <c r="B930" s="56" t="s">
        <v>591</v>
      </c>
      <c r="C930" s="56" t="s">
        <v>4512</v>
      </c>
      <c r="D930" s="56"/>
      <c r="E930" s="57">
        <v>520.1</v>
      </c>
      <c r="F930" s="57">
        <v>0.52010000000000001</v>
      </c>
      <c r="G930" s="56" t="s">
        <v>392</v>
      </c>
      <c r="H930" s="56" t="s">
        <v>4454</v>
      </c>
      <c r="I930" s="56" t="s">
        <v>1834</v>
      </c>
      <c r="J930" s="56"/>
      <c r="K930" s="56"/>
      <c r="L930" s="56"/>
      <c r="M930" s="56"/>
      <c r="N930" s="56" t="s">
        <v>61</v>
      </c>
      <c r="O930" s="56">
        <v>24</v>
      </c>
      <c r="P930" s="59" t="s">
        <v>2515</v>
      </c>
      <c r="Q930" s="56" t="s">
        <v>11</v>
      </c>
      <c r="U930" s="52">
        <v>1939285</v>
      </c>
      <c r="V930">
        <v>29.4</v>
      </c>
      <c r="W930">
        <v>0</v>
      </c>
      <c r="X930">
        <v>4.5</v>
      </c>
      <c r="Y930">
        <v>0.36099999999999999</v>
      </c>
      <c r="Z930" t="s">
        <v>2088</v>
      </c>
      <c r="AA930" t="s">
        <v>1003</v>
      </c>
      <c r="AB930" t="s">
        <v>2517</v>
      </c>
      <c r="AC930" t="s">
        <v>824</v>
      </c>
      <c r="AD930" t="s">
        <v>2171</v>
      </c>
      <c r="AE930" t="s">
        <v>4502</v>
      </c>
      <c r="AF930">
        <v>0.99705328244999991</v>
      </c>
    </row>
    <row r="931" spans="1:32" x14ac:dyDescent="0.25">
      <c r="A931" s="56">
        <v>1938191</v>
      </c>
      <c r="B931" s="56" t="s">
        <v>591</v>
      </c>
      <c r="C931" s="56" t="s">
        <v>4514</v>
      </c>
      <c r="D931" s="56"/>
      <c r="E931" s="57">
        <v>78.685000000000002</v>
      </c>
      <c r="F931" s="57">
        <v>7.8685000000000005E-2</v>
      </c>
      <c r="G931" s="56" t="s">
        <v>392</v>
      </c>
      <c r="H931" s="56" t="s">
        <v>4454</v>
      </c>
      <c r="I931" s="56" t="s">
        <v>1834</v>
      </c>
      <c r="J931" s="56"/>
      <c r="K931" s="56"/>
      <c r="L931" s="56"/>
      <c r="M931" s="56"/>
      <c r="N931" s="56" t="s">
        <v>61</v>
      </c>
      <c r="O931" s="56">
        <v>26</v>
      </c>
      <c r="P931" s="59" t="s">
        <v>2515</v>
      </c>
      <c r="Q931" s="56" t="s">
        <v>11</v>
      </c>
      <c r="U931" s="52">
        <v>1941303</v>
      </c>
      <c r="V931">
        <v>29.4</v>
      </c>
      <c r="W931">
        <v>0</v>
      </c>
      <c r="X931">
        <v>4.5</v>
      </c>
      <c r="Y931">
        <v>0.36099999999999999</v>
      </c>
      <c r="Z931" t="s">
        <v>2088</v>
      </c>
      <c r="AA931" t="s">
        <v>1003</v>
      </c>
      <c r="AB931" t="s">
        <v>2517</v>
      </c>
      <c r="AC931" t="s">
        <v>824</v>
      </c>
      <c r="AD931" t="s">
        <v>2171</v>
      </c>
      <c r="AE931" t="s">
        <v>4502</v>
      </c>
      <c r="AF931">
        <v>0.99705328244999991</v>
      </c>
    </row>
    <row r="932" spans="1:32" x14ac:dyDescent="0.25">
      <c r="A932" s="56">
        <v>1938358</v>
      </c>
      <c r="B932" s="56" t="s">
        <v>892</v>
      </c>
      <c r="C932" s="56" t="s">
        <v>4517</v>
      </c>
      <c r="D932" s="56"/>
      <c r="E932" s="57">
        <v>488.88</v>
      </c>
      <c r="F932" s="57">
        <v>0.48887999999999998</v>
      </c>
      <c r="G932" s="56" t="s">
        <v>392</v>
      </c>
      <c r="H932" s="56" t="s">
        <v>4454</v>
      </c>
      <c r="I932" s="56" t="s">
        <v>1834</v>
      </c>
      <c r="J932" s="56"/>
      <c r="K932" s="56"/>
      <c r="L932" s="56"/>
      <c r="M932" s="56"/>
      <c r="N932" s="56" t="s">
        <v>72</v>
      </c>
      <c r="O932" s="56">
        <v>24</v>
      </c>
      <c r="P932" s="59" t="s">
        <v>2515</v>
      </c>
      <c r="Q932" s="56" t="s">
        <v>11</v>
      </c>
      <c r="U932">
        <v>3909902</v>
      </c>
      <c r="V932">
        <v>29.4</v>
      </c>
      <c r="W932">
        <v>0</v>
      </c>
      <c r="X932">
        <v>4.5</v>
      </c>
      <c r="Y932">
        <v>0.36099999999999999</v>
      </c>
      <c r="Z932" t="s">
        <v>1874</v>
      </c>
      <c r="AA932" t="s">
        <v>1003</v>
      </c>
      <c r="AB932" t="s">
        <v>2517</v>
      </c>
      <c r="AC932" t="s">
        <v>393</v>
      </c>
      <c r="AD932" t="s">
        <v>2171</v>
      </c>
      <c r="AE932" t="s">
        <v>6618</v>
      </c>
      <c r="AF932">
        <v>0.99705328244999991</v>
      </c>
    </row>
    <row r="933" spans="1:32" x14ac:dyDescent="0.25">
      <c r="A933" s="56">
        <v>1938358</v>
      </c>
      <c r="B933" s="56" t="s">
        <v>892</v>
      </c>
      <c r="C933" s="56" t="s">
        <v>4518</v>
      </c>
      <c r="D933" s="56"/>
      <c r="E933" s="57">
        <v>729.93600000000004</v>
      </c>
      <c r="F933" s="57">
        <v>0.72993600000000003</v>
      </c>
      <c r="G933" s="56" t="s">
        <v>392</v>
      </c>
      <c r="H933" s="56" t="s">
        <v>4454</v>
      </c>
      <c r="I933" s="56" t="s">
        <v>1834</v>
      </c>
      <c r="J933" s="56"/>
      <c r="K933" s="56"/>
      <c r="L933" s="56"/>
      <c r="M933" s="56"/>
      <c r="N933" s="56" t="s">
        <v>72</v>
      </c>
      <c r="O933" s="56">
        <v>27</v>
      </c>
      <c r="P933" s="59" t="s">
        <v>2515</v>
      </c>
      <c r="Q933" s="56" t="s">
        <v>11</v>
      </c>
      <c r="U933">
        <v>4070862</v>
      </c>
      <c r="V933">
        <v>29.4</v>
      </c>
      <c r="W933">
        <v>0</v>
      </c>
      <c r="X933">
        <v>4.5</v>
      </c>
      <c r="Y933">
        <v>0.36399999999999999</v>
      </c>
      <c r="Z933" t="s">
        <v>1874</v>
      </c>
      <c r="AA933" t="s">
        <v>1003</v>
      </c>
      <c r="AB933" t="s">
        <v>2517</v>
      </c>
      <c r="AC933" t="s">
        <v>393</v>
      </c>
      <c r="AD933" t="s">
        <v>2171</v>
      </c>
      <c r="AE933" t="s">
        <v>4506</v>
      </c>
      <c r="AF933">
        <v>1.0053390437999998</v>
      </c>
    </row>
    <row r="934" spans="1:32" x14ac:dyDescent="0.25">
      <c r="A934" s="56">
        <v>1938382</v>
      </c>
      <c r="B934" s="56" t="s">
        <v>4519</v>
      </c>
      <c r="C934" s="56" t="s">
        <v>4520</v>
      </c>
      <c r="D934" s="56"/>
      <c r="E934" s="57">
        <v>669.79300000000001</v>
      </c>
      <c r="F934" s="57">
        <v>0.66979299999999997</v>
      </c>
      <c r="G934" s="56" t="s">
        <v>392</v>
      </c>
      <c r="H934" s="56" t="s">
        <v>4454</v>
      </c>
      <c r="I934" s="56" t="s">
        <v>1834</v>
      </c>
      <c r="J934" s="56"/>
      <c r="K934" s="56"/>
      <c r="L934" s="56"/>
      <c r="M934" s="56"/>
      <c r="N934" s="56" t="s">
        <v>101</v>
      </c>
      <c r="O934" s="56">
        <v>55</v>
      </c>
      <c r="P934" s="59" t="s">
        <v>2532</v>
      </c>
      <c r="Q934" s="56" t="s">
        <v>192</v>
      </c>
      <c r="U934" s="590">
        <v>2359912</v>
      </c>
      <c r="V934">
        <v>29.4</v>
      </c>
      <c r="W934">
        <v>0</v>
      </c>
      <c r="X934">
        <v>4.5</v>
      </c>
      <c r="Y934">
        <v>0.376</v>
      </c>
      <c r="Z934" t="s">
        <v>2088</v>
      </c>
      <c r="AA934" t="s">
        <v>1003</v>
      </c>
      <c r="AB934" t="s">
        <v>2517</v>
      </c>
      <c r="AC934" t="s">
        <v>824</v>
      </c>
      <c r="AD934" t="s">
        <v>2171</v>
      </c>
      <c r="AE934" t="s">
        <v>826</v>
      </c>
      <c r="AF934">
        <v>1.0384820892</v>
      </c>
    </row>
    <row r="935" spans="1:32" x14ac:dyDescent="0.25">
      <c r="A935" s="56">
        <v>1938382</v>
      </c>
      <c r="B935" s="56" t="s">
        <v>4519</v>
      </c>
      <c r="C935" s="56" t="s">
        <v>4521</v>
      </c>
      <c r="D935" s="56"/>
      <c r="E935" s="57">
        <v>991.47799999999995</v>
      </c>
      <c r="F935" s="57">
        <v>0.99147799999999997</v>
      </c>
      <c r="G935" s="56" t="s">
        <v>392</v>
      </c>
      <c r="H935" s="56" t="s">
        <v>4454</v>
      </c>
      <c r="I935" s="56" t="s">
        <v>1834</v>
      </c>
      <c r="J935" s="56"/>
      <c r="K935" s="56"/>
      <c r="L935" s="56"/>
      <c r="M935" s="56"/>
      <c r="N935" s="56" t="s">
        <v>101</v>
      </c>
      <c r="O935" s="56">
        <v>55</v>
      </c>
      <c r="P935" s="59" t="s">
        <v>2532</v>
      </c>
      <c r="Q935" s="56" t="s">
        <v>192</v>
      </c>
      <c r="U935" s="589">
        <v>3909769</v>
      </c>
      <c r="V935">
        <v>29.4</v>
      </c>
      <c r="W935">
        <v>0</v>
      </c>
      <c r="X935">
        <v>4.5</v>
      </c>
      <c r="Y935">
        <v>0.376</v>
      </c>
      <c r="Z935" t="s">
        <v>1874</v>
      </c>
      <c r="AA935" t="s">
        <v>1003</v>
      </c>
      <c r="AB935" t="s">
        <v>2517</v>
      </c>
      <c r="AC935" t="s">
        <v>393</v>
      </c>
      <c r="AD935" t="s">
        <v>2171</v>
      </c>
      <c r="AE935" t="s">
        <v>6619</v>
      </c>
      <c r="AF935">
        <v>1.0384820892</v>
      </c>
    </row>
    <row r="936" spans="1:32" x14ac:dyDescent="0.25">
      <c r="A936" s="56">
        <v>1939283</v>
      </c>
      <c r="B936" s="56" t="s">
        <v>1586</v>
      </c>
      <c r="C936" s="56" t="s">
        <v>4522</v>
      </c>
      <c r="D936" s="56"/>
      <c r="E936" s="57">
        <v>1641.9849999999999</v>
      </c>
      <c r="F936" s="57">
        <v>1.6419849999999998</v>
      </c>
      <c r="G936" s="56" t="s">
        <v>392</v>
      </c>
      <c r="H936" s="56" t="s">
        <v>4454</v>
      </c>
      <c r="I936" s="56" t="s">
        <v>1834</v>
      </c>
      <c r="J936" s="56"/>
      <c r="K936" s="56"/>
      <c r="L936" s="56"/>
      <c r="M936" s="56"/>
      <c r="N936" s="60" t="s">
        <v>71</v>
      </c>
      <c r="O936" s="56">
        <v>2</v>
      </c>
      <c r="P936" s="59" t="s">
        <v>2515</v>
      </c>
      <c r="Q936" s="56" t="s">
        <v>2516</v>
      </c>
      <c r="U936" s="589">
        <v>4070861</v>
      </c>
      <c r="V936">
        <v>29.4</v>
      </c>
      <c r="W936">
        <v>0</v>
      </c>
      <c r="X936">
        <v>4.5</v>
      </c>
      <c r="Y936">
        <v>0.379</v>
      </c>
      <c r="Z936" t="s">
        <v>1874</v>
      </c>
      <c r="AA936" t="s">
        <v>1003</v>
      </c>
      <c r="AB936" t="s">
        <v>2517</v>
      </c>
      <c r="AC936" t="s">
        <v>393</v>
      </c>
      <c r="AD936" t="s">
        <v>2171</v>
      </c>
      <c r="AE936" t="s">
        <v>4509</v>
      </c>
      <c r="AF936">
        <v>1.04676785055</v>
      </c>
    </row>
    <row r="937" spans="1:32" x14ac:dyDescent="0.25">
      <c r="A937" s="56">
        <v>1939283</v>
      </c>
      <c r="B937" s="56" t="s">
        <v>1586</v>
      </c>
      <c r="C937" s="56" t="s">
        <v>4523</v>
      </c>
      <c r="D937" s="56"/>
      <c r="E937" s="57">
        <v>222.65600000000001</v>
      </c>
      <c r="F937" s="57">
        <v>0.22265599999999999</v>
      </c>
      <c r="G937" s="56" t="s">
        <v>392</v>
      </c>
      <c r="H937" s="56" t="s">
        <v>4454</v>
      </c>
      <c r="I937" s="56" t="s">
        <v>1834</v>
      </c>
      <c r="J937" s="56"/>
      <c r="K937" s="56"/>
      <c r="L937" s="56"/>
      <c r="M937" s="56"/>
      <c r="N937" s="60" t="s">
        <v>71</v>
      </c>
      <c r="O937" s="56">
        <v>2</v>
      </c>
      <c r="P937" s="59" t="s">
        <v>2515</v>
      </c>
      <c r="Q937" s="56" t="s">
        <v>2516</v>
      </c>
      <c r="U937" s="52">
        <v>3190073</v>
      </c>
      <c r="V937">
        <v>29.4</v>
      </c>
      <c r="W937">
        <v>0</v>
      </c>
      <c r="X937">
        <v>4.5</v>
      </c>
      <c r="Y937">
        <v>0.38500000000000001</v>
      </c>
      <c r="Z937" t="s">
        <v>2088</v>
      </c>
      <c r="AA937" t="s">
        <v>1003</v>
      </c>
      <c r="AB937" t="s">
        <v>2517</v>
      </c>
      <c r="AC937" t="s">
        <v>824</v>
      </c>
      <c r="AD937" t="s">
        <v>2171</v>
      </c>
      <c r="AE937" t="s">
        <v>4511</v>
      </c>
      <c r="AF937">
        <v>1.0633393732500001</v>
      </c>
    </row>
    <row r="938" spans="1:32" x14ac:dyDescent="0.25">
      <c r="A938" s="56">
        <v>1939283</v>
      </c>
      <c r="B938" s="56" t="s">
        <v>1586</v>
      </c>
      <c r="C938" s="56" t="s">
        <v>4526</v>
      </c>
      <c r="D938" s="56"/>
      <c r="E938" s="57">
        <v>628.20799999999997</v>
      </c>
      <c r="F938" s="57">
        <v>0.62820799999999999</v>
      </c>
      <c r="G938" s="56" t="s">
        <v>392</v>
      </c>
      <c r="H938" s="56" t="s">
        <v>4454</v>
      </c>
      <c r="I938" s="56" t="s">
        <v>1834</v>
      </c>
      <c r="J938" s="56"/>
      <c r="K938" s="56"/>
      <c r="L938" s="56"/>
      <c r="M938" s="56"/>
      <c r="N938" s="60" t="s">
        <v>71</v>
      </c>
      <c r="O938" s="56">
        <v>0</v>
      </c>
      <c r="P938" s="59" t="s">
        <v>2515</v>
      </c>
      <c r="Q938" s="56" t="s">
        <v>2516</v>
      </c>
      <c r="U938" s="590">
        <v>1939282</v>
      </c>
      <c r="V938">
        <v>29.4</v>
      </c>
      <c r="W938">
        <v>0</v>
      </c>
      <c r="X938">
        <v>4.5</v>
      </c>
      <c r="Y938">
        <v>0.45</v>
      </c>
      <c r="Z938" t="s">
        <v>2088</v>
      </c>
      <c r="AA938" t="s">
        <v>1003</v>
      </c>
      <c r="AB938" t="s">
        <v>2517</v>
      </c>
      <c r="AC938" t="s">
        <v>824</v>
      </c>
      <c r="AD938" t="s">
        <v>2171</v>
      </c>
      <c r="AE938" t="s">
        <v>4513</v>
      </c>
      <c r="AF938">
        <v>1.2428642025000001</v>
      </c>
    </row>
    <row r="939" spans="1:32" x14ac:dyDescent="0.25">
      <c r="A939" s="56">
        <v>1939479</v>
      </c>
      <c r="B939" s="56" t="s">
        <v>1656</v>
      </c>
      <c r="C939" s="56" t="s">
        <v>4527</v>
      </c>
      <c r="D939" s="56"/>
      <c r="E939" s="57">
        <v>559.89499999999998</v>
      </c>
      <c r="F939" s="57">
        <v>0.55989500000000003</v>
      </c>
      <c r="G939" s="56" t="s">
        <v>392</v>
      </c>
      <c r="H939" s="56" t="s">
        <v>4454</v>
      </c>
      <c r="I939" s="56" t="s">
        <v>4455</v>
      </c>
      <c r="J939" s="56"/>
      <c r="K939" s="56"/>
      <c r="L939" s="56"/>
      <c r="M939" s="56"/>
      <c r="N939" s="56" t="s">
        <v>76</v>
      </c>
      <c r="O939" s="56">
        <v>65</v>
      </c>
      <c r="P939" s="59" t="s">
        <v>2579</v>
      </c>
      <c r="Q939" s="56" t="s">
        <v>2561</v>
      </c>
      <c r="U939" s="589">
        <v>4123064</v>
      </c>
      <c r="V939">
        <v>29.4</v>
      </c>
      <c r="W939">
        <v>0</v>
      </c>
      <c r="X939">
        <v>4.5</v>
      </c>
      <c r="Y939">
        <v>0.45300000000000001</v>
      </c>
      <c r="Z939" t="s">
        <v>4515</v>
      </c>
      <c r="AA939" t="s">
        <v>1003</v>
      </c>
      <c r="AB939" t="s">
        <v>2517</v>
      </c>
      <c r="AC939" t="s">
        <v>393</v>
      </c>
      <c r="AD939" t="s">
        <v>2171</v>
      </c>
      <c r="AE939" t="s">
        <v>4516</v>
      </c>
      <c r="AF939">
        <v>1.2511499638499999</v>
      </c>
    </row>
    <row r="940" spans="1:32" x14ac:dyDescent="0.25">
      <c r="A940" s="56">
        <v>1939479</v>
      </c>
      <c r="B940" s="56" t="s">
        <v>1656</v>
      </c>
      <c r="C940" s="56" t="s">
        <v>4528</v>
      </c>
      <c r="D940" s="56"/>
      <c r="E940" s="57">
        <v>105.51600000000001</v>
      </c>
      <c r="F940" s="57">
        <v>0.105516</v>
      </c>
      <c r="G940" s="56" t="s">
        <v>392</v>
      </c>
      <c r="H940" s="56" t="s">
        <v>4454</v>
      </c>
      <c r="I940" s="56" t="s">
        <v>1834</v>
      </c>
      <c r="J940" s="56"/>
      <c r="K940" s="56"/>
      <c r="L940" s="56"/>
      <c r="M940" s="56"/>
      <c r="N940" s="56" t="s">
        <v>76</v>
      </c>
      <c r="O940" s="56">
        <v>5</v>
      </c>
      <c r="P940" s="59" t="s">
        <v>2515</v>
      </c>
      <c r="Q940" s="56" t="s">
        <v>2561</v>
      </c>
      <c r="U940" s="28">
        <v>3995629</v>
      </c>
      <c r="V940">
        <v>29.4</v>
      </c>
      <c r="W940">
        <v>0</v>
      </c>
      <c r="X940">
        <v>4.5</v>
      </c>
      <c r="Y940">
        <v>4.4400000000000004</v>
      </c>
      <c r="Z940" t="s">
        <v>1874</v>
      </c>
      <c r="AA940" t="s">
        <v>2517</v>
      </c>
      <c r="AB940" t="s">
        <v>1003</v>
      </c>
      <c r="AC940" t="s">
        <v>393</v>
      </c>
      <c r="AD940" t="s">
        <v>1838</v>
      </c>
      <c r="AE940" t="s">
        <v>395</v>
      </c>
      <c r="AF940">
        <v>2.7619204499999999</v>
      </c>
    </row>
    <row r="941" spans="1:32" x14ac:dyDescent="0.25">
      <c r="A941" s="56">
        <v>1939479</v>
      </c>
      <c r="B941" s="56" t="s">
        <v>1656</v>
      </c>
      <c r="C941" s="56" t="s">
        <v>4529</v>
      </c>
      <c r="D941" s="56"/>
      <c r="E941" s="57">
        <v>290.07</v>
      </c>
      <c r="F941" s="57">
        <v>0.29006999999999999</v>
      </c>
      <c r="G941" s="56" t="s">
        <v>392</v>
      </c>
      <c r="H941" s="56" t="s">
        <v>4454</v>
      </c>
      <c r="I941" s="56" t="s">
        <v>1834</v>
      </c>
      <c r="J941" s="56"/>
      <c r="K941" s="56"/>
      <c r="L941" s="56"/>
      <c r="M941" s="56"/>
      <c r="N941" s="56" t="s">
        <v>76</v>
      </c>
      <c r="O941" s="56">
        <v>2</v>
      </c>
      <c r="P941" s="59" t="s">
        <v>2515</v>
      </c>
      <c r="Q941" s="56" t="s">
        <v>2561</v>
      </c>
      <c r="U941" s="52">
        <v>3855139</v>
      </c>
      <c r="V941">
        <v>29.4</v>
      </c>
      <c r="W941">
        <v>0</v>
      </c>
      <c r="X941">
        <v>4.5</v>
      </c>
      <c r="Y941">
        <v>4.5</v>
      </c>
      <c r="Z941" t="s">
        <v>1874</v>
      </c>
      <c r="AA941" t="s">
        <v>1003</v>
      </c>
      <c r="AB941" t="s">
        <v>2517</v>
      </c>
      <c r="AC941" t="s">
        <v>393</v>
      </c>
      <c r="AD941" t="s">
        <v>1838</v>
      </c>
      <c r="AE941" t="s">
        <v>395</v>
      </c>
      <c r="AF941">
        <v>2.7619204499999999</v>
      </c>
    </row>
    <row r="942" spans="1:32" x14ac:dyDescent="0.25">
      <c r="A942" s="56">
        <v>1940213</v>
      </c>
      <c r="B942" s="56" t="s">
        <v>4531</v>
      </c>
      <c r="C942" s="56" t="s">
        <v>4532</v>
      </c>
      <c r="D942" s="56"/>
      <c r="E942" s="57">
        <v>58</v>
      </c>
      <c r="F942" s="57">
        <v>5.8000000000000003E-2</v>
      </c>
      <c r="G942" s="56" t="s">
        <v>392</v>
      </c>
      <c r="H942" s="56" t="s">
        <v>4454</v>
      </c>
      <c r="I942" s="56" t="s">
        <v>1834</v>
      </c>
      <c r="J942" s="56"/>
      <c r="K942" s="56"/>
      <c r="L942" s="56"/>
      <c r="M942" s="56"/>
      <c r="N942" s="56" t="s">
        <v>76</v>
      </c>
      <c r="O942" s="56">
        <v>149</v>
      </c>
      <c r="P942" s="59" t="s">
        <v>2524</v>
      </c>
      <c r="Q942" s="56" t="s">
        <v>2561</v>
      </c>
      <c r="U942" s="52">
        <v>1930110</v>
      </c>
      <c r="V942">
        <v>29.4</v>
      </c>
      <c r="W942">
        <v>0</v>
      </c>
      <c r="X942">
        <v>4.5</v>
      </c>
      <c r="Y942">
        <v>5.2</v>
      </c>
      <c r="Z942" t="s">
        <v>2088</v>
      </c>
      <c r="AA942" t="s">
        <v>1003</v>
      </c>
      <c r="AB942" t="s">
        <v>2517</v>
      </c>
      <c r="AC942" t="s">
        <v>824</v>
      </c>
      <c r="AD942" t="s">
        <v>1838</v>
      </c>
      <c r="AE942" t="s">
        <v>2354</v>
      </c>
      <c r="AF942">
        <v>2.7619204499999999</v>
      </c>
    </row>
    <row r="943" spans="1:32" x14ac:dyDescent="0.25">
      <c r="A943" s="56">
        <v>1940430</v>
      </c>
      <c r="B943" s="56" t="s">
        <v>762</v>
      </c>
      <c r="C943" s="56" t="s">
        <v>4533</v>
      </c>
      <c r="D943" s="56"/>
      <c r="E943" s="57">
        <v>530.16200000000003</v>
      </c>
      <c r="F943" s="57">
        <v>0.53016200000000002</v>
      </c>
      <c r="G943" s="56" t="s">
        <v>392</v>
      </c>
      <c r="H943" s="56" t="s">
        <v>4454</v>
      </c>
      <c r="I943" s="56" t="s">
        <v>1834</v>
      </c>
      <c r="J943" s="56"/>
      <c r="K943" s="56"/>
      <c r="L943" s="56"/>
      <c r="M943" s="56"/>
      <c r="N943" s="56" t="s">
        <v>61</v>
      </c>
      <c r="O943" s="56">
        <v>34</v>
      </c>
      <c r="P943" s="59" t="s">
        <v>2532</v>
      </c>
      <c r="Q943" s="56" t="s">
        <v>11</v>
      </c>
      <c r="U943" s="590">
        <v>3770394</v>
      </c>
      <c r="V943">
        <v>29.4</v>
      </c>
      <c r="W943">
        <v>0</v>
      </c>
      <c r="X943">
        <v>4.5</v>
      </c>
      <c r="Y943">
        <v>5.55</v>
      </c>
      <c r="Z943" t="s">
        <v>2088</v>
      </c>
      <c r="AA943" t="s">
        <v>1003</v>
      </c>
      <c r="AB943" t="s">
        <v>2517</v>
      </c>
      <c r="AC943" t="s">
        <v>824</v>
      </c>
      <c r="AD943" t="s">
        <v>1838</v>
      </c>
      <c r="AE943" t="s">
        <v>2354</v>
      </c>
      <c r="AF943">
        <v>2.7619204499999999</v>
      </c>
    </row>
    <row r="944" spans="1:32" x14ac:dyDescent="0.25">
      <c r="A944" s="56">
        <v>1940437</v>
      </c>
      <c r="B944" s="56" t="s">
        <v>637</v>
      </c>
      <c r="C944" s="56" t="s">
        <v>4534</v>
      </c>
      <c r="D944" s="56"/>
      <c r="E944" s="57">
        <v>638.625</v>
      </c>
      <c r="F944" s="57">
        <v>0.638625</v>
      </c>
      <c r="G944" s="56" t="s">
        <v>392</v>
      </c>
      <c r="H944" s="56" t="s">
        <v>4454</v>
      </c>
      <c r="I944" s="56" t="s">
        <v>1834</v>
      </c>
      <c r="J944" s="56"/>
      <c r="K944" s="56"/>
      <c r="L944" s="56"/>
      <c r="M944" s="56"/>
      <c r="N944" s="56" t="s">
        <v>151</v>
      </c>
      <c r="O944" s="56">
        <v>11</v>
      </c>
      <c r="P944" s="59" t="s">
        <v>2515</v>
      </c>
      <c r="Q944" s="56" t="s">
        <v>11</v>
      </c>
      <c r="U944" s="52">
        <v>2359755</v>
      </c>
      <c r="V944">
        <v>30</v>
      </c>
      <c r="W944">
        <v>0</v>
      </c>
      <c r="X944">
        <v>2.25</v>
      </c>
      <c r="Y944">
        <v>0.48499999999999999</v>
      </c>
      <c r="Z944" t="s">
        <v>1874</v>
      </c>
      <c r="AA944" t="s">
        <v>1003</v>
      </c>
      <c r="AB944" t="s">
        <v>2517</v>
      </c>
      <c r="AC944" t="s">
        <v>827</v>
      </c>
      <c r="AD944" t="s">
        <v>2171</v>
      </c>
      <c r="AE944" t="s">
        <v>829</v>
      </c>
      <c r="AF944">
        <v>0.74642563968749998</v>
      </c>
    </row>
    <row r="945" spans="1:32" x14ac:dyDescent="0.25">
      <c r="A945" s="56">
        <v>1940445</v>
      </c>
      <c r="B945" s="56" t="s">
        <v>2061</v>
      </c>
      <c r="C945" s="56" t="s">
        <v>4467</v>
      </c>
      <c r="D945" s="56"/>
      <c r="E945" s="57">
        <v>756.06399999999996</v>
      </c>
      <c r="F945" s="57">
        <v>0.75606399999999996</v>
      </c>
      <c r="G945" s="56" t="s">
        <v>392</v>
      </c>
      <c r="H945" s="56" t="s">
        <v>4454</v>
      </c>
      <c r="I945" s="56" t="s">
        <v>1834</v>
      </c>
      <c r="J945" s="56"/>
      <c r="K945" s="56"/>
      <c r="L945" s="56"/>
      <c r="M945" s="56"/>
      <c r="N945" s="56" t="s">
        <v>46</v>
      </c>
      <c r="O945" s="56">
        <v>9</v>
      </c>
      <c r="P945" s="59" t="s">
        <v>2515</v>
      </c>
      <c r="Q945" s="56" t="s">
        <v>11</v>
      </c>
      <c r="U945" s="52">
        <v>2410991</v>
      </c>
      <c r="V945">
        <v>30</v>
      </c>
      <c r="W945">
        <v>0</v>
      </c>
      <c r="X945">
        <v>3.2</v>
      </c>
      <c r="Y945">
        <v>6</v>
      </c>
      <c r="Z945" t="s">
        <v>1874</v>
      </c>
      <c r="AA945" t="s">
        <v>1003</v>
      </c>
      <c r="AB945" t="s">
        <v>2517</v>
      </c>
      <c r="AC945" t="s">
        <v>4524</v>
      </c>
      <c r="AD945" t="s">
        <v>1838</v>
      </c>
      <c r="AE945" t="s">
        <v>4525</v>
      </c>
      <c r="AF945">
        <v>2.1138982400000002</v>
      </c>
    </row>
    <row r="946" spans="1:32" x14ac:dyDescent="0.25">
      <c r="A946" s="56">
        <v>1940445</v>
      </c>
      <c r="B946" s="56" t="s">
        <v>2061</v>
      </c>
      <c r="C946" s="56" t="s">
        <v>4535</v>
      </c>
      <c r="D946" s="56"/>
      <c r="E946" s="57">
        <v>1159.2</v>
      </c>
      <c r="F946" s="57">
        <v>1.1592</v>
      </c>
      <c r="G946" s="56" t="s">
        <v>392</v>
      </c>
      <c r="H946" s="56" t="s">
        <v>4536</v>
      </c>
      <c r="I946" s="56" t="s">
        <v>1834</v>
      </c>
      <c r="J946" s="56"/>
      <c r="K946" s="56"/>
      <c r="L946" s="56"/>
      <c r="M946" s="56"/>
      <c r="N946" s="56" t="s">
        <v>46</v>
      </c>
      <c r="O946" s="56">
        <v>9</v>
      </c>
      <c r="P946" s="59" t="s">
        <v>2515</v>
      </c>
      <c r="Q946" s="56" t="s">
        <v>11</v>
      </c>
      <c r="U946" s="52">
        <v>1938121</v>
      </c>
      <c r="V946">
        <v>30</v>
      </c>
      <c r="W946">
        <v>25.5</v>
      </c>
      <c r="X946">
        <v>2.25</v>
      </c>
      <c r="Y946">
        <v>0.48499999999999999</v>
      </c>
      <c r="Z946" t="s">
        <v>1874</v>
      </c>
      <c r="AA946" t="s">
        <v>1003</v>
      </c>
      <c r="AB946" t="s">
        <v>2517</v>
      </c>
      <c r="AC946" t="s">
        <v>827</v>
      </c>
      <c r="AD946" t="s">
        <v>2171</v>
      </c>
      <c r="AE946" t="s">
        <v>829</v>
      </c>
      <c r="AF946">
        <v>0.74642563968749998</v>
      </c>
    </row>
    <row r="947" spans="1:32" x14ac:dyDescent="0.25">
      <c r="A947" s="56">
        <v>1940510</v>
      </c>
      <c r="B947" s="56" t="s">
        <v>1536</v>
      </c>
      <c r="C947" s="56" t="s">
        <v>4537</v>
      </c>
      <c r="D947" s="56"/>
      <c r="E947" s="57">
        <v>1485</v>
      </c>
      <c r="F947" s="57">
        <v>1.4850000000000001</v>
      </c>
      <c r="G947" s="56" t="s">
        <v>392</v>
      </c>
      <c r="H947" s="56" t="s">
        <v>2511</v>
      </c>
      <c r="I947" s="56" t="s">
        <v>1834</v>
      </c>
      <c r="J947" s="56"/>
      <c r="K947" s="56"/>
      <c r="L947" s="56"/>
      <c r="M947" s="56"/>
      <c r="N947" s="56" t="s">
        <v>46</v>
      </c>
      <c r="O947" s="56">
        <v>52</v>
      </c>
      <c r="P947" s="59" t="s">
        <v>2532</v>
      </c>
      <c r="Q947" s="56" t="s">
        <v>11</v>
      </c>
      <c r="U947" s="52">
        <v>1942166</v>
      </c>
      <c r="V947">
        <v>30</v>
      </c>
      <c r="W947">
        <v>25.5</v>
      </c>
      <c r="X947">
        <v>2.25</v>
      </c>
      <c r="Y947">
        <v>5.93</v>
      </c>
      <c r="Z947" t="s">
        <v>1874</v>
      </c>
      <c r="AA947" t="s">
        <v>1003</v>
      </c>
      <c r="AB947" t="s">
        <v>2517</v>
      </c>
      <c r="AC947" t="s">
        <v>827</v>
      </c>
      <c r="AD947" t="s">
        <v>1838</v>
      </c>
      <c r="AE947" t="s">
        <v>2342</v>
      </c>
      <c r="AF947">
        <v>1.5390219375</v>
      </c>
    </row>
    <row r="948" spans="1:32" x14ac:dyDescent="0.25">
      <c r="A948" s="56">
        <v>1940510</v>
      </c>
      <c r="B948" s="56" t="s">
        <v>1536</v>
      </c>
      <c r="C948" s="56" t="s">
        <v>4538</v>
      </c>
      <c r="D948" s="56"/>
      <c r="E948" s="57">
        <v>136.31200000000001</v>
      </c>
      <c r="F948" s="57">
        <v>0.13631200000000002</v>
      </c>
      <c r="G948" s="56" t="s">
        <v>392</v>
      </c>
      <c r="H948" s="56" t="s">
        <v>2511</v>
      </c>
      <c r="I948" s="56" t="s">
        <v>1834</v>
      </c>
      <c r="J948" s="56"/>
      <c r="K948" s="56"/>
      <c r="L948" s="56"/>
      <c r="M948" s="56"/>
      <c r="N948" s="56" t="s">
        <v>46</v>
      </c>
      <c r="O948" s="56">
        <v>52</v>
      </c>
      <c r="P948" s="59" t="s">
        <v>2532</v>
      </c>
      <c r="Q948" s="56" t="s">
        <v>11</v>
      </c>
      <c r="U948" s="52">
        <v>3770398</v>
      </c>
      <c r="V948">
        <v>30</v>
      </c>
      <c r="W948">
        <v>25.5</v>
      </c>
      <c r="X948">
        <v>2.25</v>
      </c>
      <c r="Y948">
        <v>5.95</v>
      </c>
      <c r="Z948" t="s">
        <v>1874</v>
      </c>
      <c r="AA948" t="s">
        <v>1003</v>
      </c>
      <c r="AB948" t="s">
        <v>2517</v>
      </c>
      <c r="AC948" t="s">
        <v>827</v>
      </c>
      <c r="AD948" t="s">
        <v>1838</v>
      </c>
      <c r="AE948" t="s">
        <v>2342</v>
      </c>
      <c r="AF948">
        <v>1.5390219375</v>
      </c>
    </row>
    <row r="949" spans="1:32" x14ac:dyDescent="0.25">
      <c r="A949" s="56">
        <v>1940510</v>
      </c>
      <c r="B949" s="56" t="s">
        <v>1536</v>
      </c>
      <c r="C949" s="56" t="s">
        <v>4539</v>
      </c>
      <c r="D949" s="56"/>
      <c r="E949" s="57">
        <v>2076</v>
      </c>
      <c r="F949" s="57">
        <v>2.0760000000000001</v>
      </c>
      <c r="G949" s="56" t="s">
        <v>392</v>
      </c>
      <c r="H949" s="56" t="s">
        <v>2511</v>
      </c>
      <c r="I949" s="56" t="s">
        <v>1834</v>
      </c>
      <c r="J949" s="56"/>
      <c r="K949" s="56"/>
      <c r="L949" s="56"/>
      <c r="M949" s="56"/>
      <c r="N949" s="56" t="s">
        <v>46</v>
      </c>
      <c r="O949" s="56">
        <v>52</v>
      </c>
      <c r="P949" s="59" t="s">
        <v>2532</v>
      </c>
      <c r="Q949" s="56" t="s">
        <v>11</v>
      </c>
      <c r="U949">
        <v>1940629</v>
      </c>
      <c r="V949">
        <v>30</v>
      </c>
      <c r="W949">
        <v>30</v>
      </c>
      <c r="X949">
        <v>1.1499999999999999</v>
      </c>
      <c r="Y949">
        <v>6</v>
      </c>
      <c r="Z949" t="s">
        <v>229</v>
      </c>
      <c r="AA949" t="s">
        <v>963</v>
      </c>
      <c r="AB949" t="s">
        <v>2520</v>
      </c>
      <c r="AC949" t="s">
        <v>549</v>
      </c>
      <c r="AD949" t="s">
        <v>1838</v>
      </c>
      <c r="AE949" t="s">
        <v>4530</v>
      </c>
      <c r="AF949">
        <v>1.0501525105671075</v>
      </c>
    </row>
    <row r="950" spans="1:32" x14ac:dyDescent="0.25">
      <c r="A950" s="56">
        <v>1940510</v>
      </c>
      <c r="B950" s="56" t="s">
        <v>1536</v>
      </c>
      <c r="C950" s="56" t="s">
        <v>4543</v>
      </c>
      <c r="D950" s="56"/>
      <c r="E950" s="57">
        <v>2107</v>
      </c>
      <c r="F950" s="57">
        <v>2.1070000000000002</v>
      </c>
      <c r="G950" s="56" t="s">
        <v>392</v>
      </c>
      <c r="H950" s="56" t="s">
        <v>2511</v>
      </c>
      <c r="I950" s="56" t="s">
        <v>1834</v>
      </c>
      <c r="J950" s="56"/>
      <c r="K950" s="56"/>
      <c r="L950" s="56"/>
      <c r="M950" s="56"/>
      <c r="N950" s="56" t="s">
        <v>46</v>
      </c>
      <c r="O950" s="56">
        <v>52</v>
      </c>
      <c r="P950" s="59" t="s">
        <v>2532</v>
      </c>
      <c r="Q950" s="56" t="s">
        <v>11</v>
      </c>
      <c r="U950" s="52">
        <v>3572045</v>
      </c>
      <c r="V950">
        <v>30</v>
      </c>
      <c r="W950">
        <v>30</v>
      </c>
      <c r="X950">
        <v>1.2</v>
      </c>
      <c r="Y950">
        <v>0.14000000000000001</v>
      </c>
      <c r="Z950" t="s">
        <v>229</v>
      </c>
      <c r="AA950" t="s">
        <v>963</v>
      </c>
      <c r="AB950" t="s">
        <v>2520</v>
      </c>
      <c r="AC950" t="s">
        <v>549</v>
      </c>
      <c r="AD950" t="s">
        <v>2171</v>
      </c>
      <c r="AE950" t="s">
        <v>2333</v>
      </c>
      <c r="AF950">
        <v>0.15320653255241223</v>
      </c>
    </row>
    <row r="951" spans="1:32" x14ac:dyDescent="0.25">
      <c r="A951" s="56">
        <v>1940510</v>
      </c>
      <c r="B951" s="56" t="s">
        <v>1536</v>
      </c>
      <c r="C951" s="56" t="s">
        <v>4544</v>
      </c>
      <c r="D951" s="56"/>
      <c r="E951" s="57">
        <v>146.72200000000001</v>
      </c>
      <c r="F951" s="57">
        <v>0.14672200000000002</v>
      </c>
      <c r="G951" s="56" t="s">
        <v>392</v>
      </c>
      <c r="H951" s="56" t="s">
        <v>2511</v>
      </c>
      <c r="I951" s="56" t="s">
        <v>1834</v>
      </c>
      <c r="J951" s="56"/>
      <c r="K951" s="56"/>
      <c r="L951" s="56"/>
      <c r="M951" s="56"/>
      <c r="N951" s="56" t="s">
        <v>46</v>
      </c>
      <c r="O951" s="56">
        <v>52</v>
      </c>
      <c r="P951" s="59" t="s">
        <v>2532</v>
      </c>
      <c r="Q951" s="56" t="s">
        <v>11</v>
      </c>
      <c r="U951">
        <v>4151424</v>
      </c>
      <c r="V951">
        <v>30</v>
      </c>
      <c r="W951">
        <v>30</v>
      </c>
      <c r="X951">
        <v>1.2</v>
      </c>
      <c r="Y951">
        <v>0.19</v>
      </c>
      <c r="Z951" t="s">
        <v>229</v>
      </c>
      <c r="AA951" t="s">
        <v>963</v>
      </c>
      <c r="AB951" t="s">
        <v>2520</v>
      </c>
      <c r="AC951" t="s">
        <v>549</v>
      </c>
      <c r="AD951" t="s">
        <v>2171</v>
      </c>
      <c r="AE951" t="s">
        <v>551</v>
      </c>
      <c r="AF951">
        <v>0.20792315132113087</v>
      </c>
    </row>
    <row r="952" spans="1:32" x14ac:dyDescent="0.25">
      <c r="A952" s="56">
        <v>1940743</v>
      </c>
      <c r="B952" s="56" t="s">
        <v>867</v>
      </c>
      <c r="C952" s="56" t="s">
        <v>4461</v>
      </c>
      <c r="D952" s="56"/>
      <c r="E952" s="57">
        <v>386.46199999999999</v>
      </c>
      <c r="F952" s="57">
        <v>0.38646199999999997</v>
      </c>
      <c r="G952" s="56" t="s">
        <v>392</v>
      </c>
      <c r="H952" s="56" t="s">
        <v>4454</v>
      </c>
      <c r="I952" s="56" t="s">
        <v>4455</v>
      </c>
      <c r="J952" s="56"/>
      <c r="K952" s="56"/>
      <c r="L952" s="56"/>
      <c r="M952" s="56"/>
      <c r="N952" s="56" t="s">
        <v>151</v>
      </c>
      <c r="O952" s="56">
        <v>58</v>
      </c>
      <c r="P952" s="59" t="s">
        <v>2532</v>
      </c>
      <c r="Q952" s="56" t="s">
        <v>11</v>
      </c>
      <c r="U952" s="52">
        <v>3230495</v>
      </c>
      <c r="V952">
        <v>30</v>
      </c>
      <c r="W952">
        <v>30</v>
      </c>
      <c r="X952">
        <v>1.2</v>
      </c>
      <c r="Y952">
        <v>0.22</v>
      </c>
      <c r="Z952" t="s">
        <v>229</v>
      </c>
      <c r="AA952" t="s">
        <v>963</v>
      </c>
      <c r="AB952" t="s">
        <v>2520</v>
      </c>
      <c r="AC952" t="s">
        <v>549</v>
      </c>
      <c r="AD952" t="s">
        <v>2171</v>
      </c>
      <c r="AE952" t="s">
        <v>630</v>
      </c>
      <c r="AF952">
        <v>0.24075312258236206</v>
      </c>
    </row>
    <row r="953" spans="1:32" x14ac:dyDescent="0.25">
      <c r="A953" s="56">
        <v>1941303</v>
      </c>
      <c r="B953" s="56" t="s">
        <v>1590</v>
      </c>
      <c r="C953" s="56" t="s">
        <v>4545</v>
      </c>
      <c r="D953" s="56"/>
      <c r="E953" s="57">
        <v>790</v>
      </c>
      <c r="F953" s="57">
        <v>0.79</v>
      </c>
      <c r="G953" s="56" t="s">
        <v>392</v>
      </c>
      <c r="H953" s="56" t="s">
        <v>4454</v>
      </c>
      <c r="I953" s="56" t="s">
        <v>1834</v>
      </c>
      <c r="J953" s="56"/>
      <c r="K953" s="56"/>
      <c r="L953" s="56"/>
      <c r="M953" s="56"/>
      <c r="N953" s="56" t="s">
        <v>24</v>
      </c>
      <c r="O953" s="56">
        <v>0</v>
      </c>
      <c r="P953" s="59" t="s">
        <v>2515</v>
      </c>
      <c r="Q953" s="56" t="s">
        <v>2516</v>
      </c>
      <c r="U953" s="538">
        <v>111116368</v>
      </c>
      <c r="V953">
        <v>30</v>
      </c>
      <c r="W953">
        <v>30</v>
      </c>
      <c r="X953">
        <v>1.2</v>
      </c>
      <c r="Y953">
        <v>5.64</v>
      </c>
      <c r="Z953" t="s">
        <v>229</v>
      </c>
      <c r="AA953" t="s">
        <v>963</v>
      </c>
      <c r="AB953" t="s">
        <v>2520</v>
      </c>
      <c r="AC953" t="s">
        <v>549</v>
      </c>
      <c r="AD953" t="s">
        <v>1838</v>
      </c>
      <c r="AE953" t="s">
        <v>4530</v>
      </c>
      <c r="AF953">
        <v>1.094332375374373</v>
      </c>
    </row>
    <row r="954" spans="1:32" x14ac:dyDescent="0.25">
      <c r="A954" s="56">
        <v>2288945</v>
      </c>
      <c r="B954" s="56" t="s">
        <v>1241</v>
      </c>
      <c r="C954" s="56" t="s">
        <v>4547</v>
      </c>
      <c r="D954" s="56"/>
      <c r="E954" s="57">
        <v>1169.3330000000001</v>
      </c>
      <c r="F954" s="57">
        <v>1.1693330000000002</v>
      </c>
      <c r="G954" s="56" t="s">
        <v>392</v>
      </c>
      <c r="H954" s="56" t="s">
        <v>4454</v>
      </c>
      <c r="I954" s="56" t="s">
        <v>1834</v>
      </c>
      <c r="J954" s="56"/>
      <c r="K954" s="56"/>
      <c r="L954" s="56"/>
      <c r="M954" s="56"/>
      <c r="N954" s="56" t="s">
        <v>151</v>
      </c>
      <c r="O954" s="56">
        <v>79</v>
      </c>
      <c r="P954" s="59" t="s">
        <v>2579</v>
      </c>
      <c r="Q954" s="56" t="s">
        <v>11</v>
      </c>
      <c r="U954" s="52">
        <v>403040</v>
      </c>
      <c r="V954">
        <v>30.15</v>
      </c>
      <c r="W954">
        <v>25.5</v>
      </c>
      <c r="X954">
        <v>2.3199999999999998</v>
      </c>
      <c r="Y954">
        <v>0.46500000000000002</v>
      </c>
      <c r="Z954" t="s">
        <v>2821</v>
      </c>
      <c r="AA954" t="s">
        <v>4127</v>
      </c>
      <c r="AB954" t="s">
        <v>2517</v>
      </c>
      <c r="AC954" t="s">
        <v>827</v>
      </c>
      <c r="AD954" t="s">
        <v>2171</v>
      </c>
      <c r="AE954" t="s">
        <v>831</v>
      </c>
      <c r="AF954">
        <v>0.74003702559599993</v>
      </c>
    </row>
    <row r="955" spans="1:32" x14ac:dyDescent="0.25">
      <c r="A955" s="56">
        <v>2288945</v>
      </c>
      <c r="B955" s="56" t="s">
        <v>1241</v>
      </c>
      <c r="C955" s="56" t="s">
        <v>4549</v>
      </c>
      <c r="D955" s="56"/>
      <c r="E955" s="57">
        <v>1172.3</v>
      </c>
      <c r="F955" s="57">
        <v>1.1722999999999999</v>
      </c>
      <c r="G955" s="56" t="s">
        <v>392</v>
      </c>
      <c r="H955" s="56" t="s">
        <v>4454</v>
      </c>
      <c r="I955" s="56" t="s">
        <v>1834</v>
      </c>
      <c r="J955" s="56"/>
      <c r="K955" s="56"/>
      <c r="L955" s="56"/>
      <c r="M955" s="56"/>
      <c r="N955" s="56" t="s">
        <v>151</v>
      </c>
      <c r="O955" s="56">
        <v>79</v>
      </c>
      <c r="P955" s="59" t="s">
        <v>2579</v>
      </c>
      <c r="Q955" s="56" t="s">
        <v>11</v>
      </c>
      <c r="U955">
        <v>3781608</v>
      </c>
      <c r="V955">
        <v>30.15</v>
      </c>
      <c r="W955">
        <v>25.5</v>
      </c>
      <c r="X955">
        <v>2.3199999999999998</v>
      </c>
      <c r="Y955">
        <v>0.46500000000000002</v>
      </c>
      <c r="Z955" t="s">
        <v>2821</v>
      </c>
      <c r="AA955" t="s">
        <v>4127</v>
      </c>
      <c r="AB955" t="s">
        <v>2517</v>
      </c>
      <c r="AC955" t="s">
        <v>827</v>
      </c>
      <c r="AD955" t="s">
        <v>2171</v>
      </c>
      <c r="AE955" t="s">
        <v>831</v>
      </c>
      <c r="AF955">
        <v>0.74003702559599993</v>
      </c>
    </row>
    <row r="956" spans="1:32" x14ac:dyDescent="0.25">
      <c r="A956" s="56">
        <v>2288945</v>
      </c>
      <c r="B956" s="56" t="s">
        <v>1241</v>
      </c>
      <c r="C956" s="56" t="s">
        <v>4550</v>
      </c>
      <c r="D956" s="56"/>
      <c r="E956" s="57">
        <v>1128.3</v>
      </c>
      <c r="F956" s="57">
        <v>1.1282999999999999</v>
      </c>
      <c r="G956" s="56" t="s">
        <v>392</v>
      </c>
      <c r="H956" s="56" t="s">
        <v>4454</v>
      </c>
      <c r="I956" s="56" t="s">
        <v>1834</v>
      </c>
      <c r="J956" s="56"/>
      <c r="K956" s="56"/>
      <c r="L956" s="56"/>
      <c r="M956" s="56"/>
      <c r="N956" s="56" t="s">
        <v>151</v>
      </c>
      <c r="O956" s="56">
        <v>79</v>
      </c>
      <c r="P956" s="59" t="s">
        <v>2579</v>
      </c>
      <c r="Q956" s="56" t="s">
        <v>11</v>
      </c>
      <c r="U956" s="52">
        <v>503108</v>
      </c>
      <c r="V956">
        <v>30.15</v>
      </c>
      <c r="W956">
        <v>25.5</v>
      </c>
      <c r="X956">
        <v>2.3199999999999998</v>
      </c>
      <c r="Y956">
        <v>0.48499999999999999</v>
      </c>
      <c r="Z956" t="s">
        <v>1914</v>
      </c>
      <c r="AA956" t="s">
        <v>4127</v>
      </c>
      <c r="AB956" t="s">
        <v>2517</v>
      </c>
      <c r="AC956" t="s">
        <v>827</v>
      </c>
      <c r="AD956" t="s">
        <v>2171</v>
      </c>
      <c r="AE956" t="s">
        <v>829</v>
      </c>
      <c r="AF956">
        <v>0.77186657508399981</v>
      </c>
    </row>
    <row r="957" spans="1:32" x14ac:dyDescent="0.25">
      <c r="A957" s="56">
        <v>2288945</v>
      </c>
      <c r="B957" s="56" t="s">
        <v>1241</v>
      </c>
      <c r="C957" s="56" t="s">
        <v>4551</v>
      </c>
      <c r="D957" s="56"/>
      <c r="E957" s="57">
        <v>1138.3</v>
      </c>
      <c r="F957" s="57">
        <v>1.1382999999999999</v>
      </c>
      <c r="G957" s="56" t="s">
        <v>392</v>
      </c>
      <c r="H957" s="56" t="s">
        <v>4454</v>
      </c>
      <c r="I957" s="56" t="s">
        <v>1834</v>
      </c>
      <c r="J957" s="56"/>
      <c r="K957" s="56"/>
      <c r="L957" s="56"/>
      <c r="M957" s="56"/>
      <c r="N957" s="56" t="s">
        <v>151</v>
      </c>
      <c r="O957" s="56">
        <v>79</v>
      </c>
      <c r="P957" s="59" t="s">
        <v>2579</v>
      </c>
      <c r="Q957" s="56" t="s">
        <v>11</v>
      </c>
      <c r="U957" s="52">
        <v>3774983</v>
      </c>
      <c r="V957">
        <v>31</v>
      </c>
      <c r="W957">
        <v>24.6</v>
      </c>
      <c r="X957">
        <v>3.2</v>
      </c>
      <c r="Y957">
        <v>6.0010000000000003</v>
      </c>
      <c r="Z957" t="s">
        <v>4540</v>
      </c>
      <c r="AA957" t="s">
        <v>1003</v>
      </c>
      <c r="AB957" t="s">
        <v>2517</v>
      </c>
      <c r="AC957" t="s">
        <v>4541</v>
      </c>
      <c r="AD957" t="s">
        <v>1838</v>
      </c>
      <c r="AE957" t="s">
        <v>4542</v>
      </c>
      <c r="AF957">
        <v>2.1927750400000003</v>
      </c>
    </row>
    <row r="958" spans="1:32" x14ac:dyDescent="0.25">
      <c r="A958" s="56">
        <v>2288945</v>
      </c>
      <c r="B958" s="56" t="s">
        <v>1241</v>
      </c>
      <c r="C958" s="56" t="s">
        <v>4552</v>
      </c>
      <c r="D958" s="56"/>
      <c r="E958" s="57">
        <v>1122.3</v>
      </c>
      <c r="F958" s="57">
        <v>1.1222999999999999</v>
      </c>
      <c r="G958" s="56" t="s">
        <v>392</v>
      </c>
      <c r="H958" s="56" t="s">
        <v>4454</v>
      </c>
      <c r="I958" s="56" t="s">
        <v>1834</v>
      </c>
      <c r="J958" s="56"/>
      <c r="K958" s="56"/>
      <c r="L958" s="56"/>
      <c r="M958" s="56"/>
      <c r="N958" s="56" t="s">
        <v>151</v>
      </c>
      <c r="O958" s="56">
        <v>79</v>
      </c>
      <c r="P958" s="59" t="s">
        <v>2579</v>
      </c>
      <c r="Q958" s="56" t="s">
        <v>11</v>
      </c>
      <c r="U958" s="52">
        <v>2256593</v>
      </c>
      <c r="V958">
        <v>31.75</v>
      </c>
      <c r="W958">
        <v>0</v>
      </c>
      <c r="X958">
        <v>1.2</v>
      </c>
      <c r="Y958">
        <v>0.21</v>
      </c>
      <c r="Z958" t="s">
        <v>1881</v>
      </c>
      <c r="AA958" t="s">
        <v>1003</v>
      </c>
      <c r="AB958" t="s">
        <v>2520</v>
      </c>
      <c r="AC958" t="s">
        <v>836</v>
      </c>
      <c r="AD958" t="s">
        <v>2171</v>
      </c>
      <c r="AE958" t="s">
        <v>2320</v>
      </c>
      <c r="AF958">
        <v>0.18976279139999996</v>
      </c>
    </row>
    <row r="959" spans="1:32" x14ac:dyDescent="0.25">
      <c r="A959" s="56">
        <v>2288945</v>
      </c>
      <c r="B959" s="56" t="s">
        <v>1241</v>
      </c>
      <c r="C959" s="56" t="s">
        <v>4553</v>
      </c>
      <c r="D959" s="56"/>
      <c r="E959" s="57">
        <v>1104.3</v>
      </c>
      <c r="F959" s="57">
        <v>1.1043000000000001</v>
      </c>
      <c r="G959" s="56" t="s">
        <v>392</v>
      </c>
      <c r="H959" s="56" t="s">
        <v>4454</v>
      </c>
      <c r="I959" s="56" t="s">
        <v>1834</v>
      </c>
      <c r="J959" s="56"/>
      <c r="K959" s="56"/>
      <c r="L959" s="56"/>
      <c r="M959" s="56"/>
      <c r="N959" s="56" t="s">
        <v>151</v>
      </c>
      <c r="O959" s="56">
        <v>79</v>
      </c>
      <c r="P959" s="59" t="s">
        <v>2579</v>
      </c>
      <c r="Q959" s="56" t="s">
        <v>11</v>
      </c>
      <c r="U959" s="52">
        <v>3508456</v>
      </c>
      <c r="V959">
        <v>31.75</v>
      </c>
      <c r="W959">
        <v>0</v>
      </c>
      <c r="X959">
        <v>1.2</v>
      </c>
      <c r="Y959">
        <v>0.21</v>
      </c>
      <c r="Z959" t="s">
        <v>1914</v>
      </c>
      <c r="AA959" t="s">
        <v>963</v>
      </c>
      <c r="AB959" t="s">
        <v>2520</v>
      </c>
      <c r="AC959" t="s">
        <v>832</v>
      </c>
      <c r="AD959" t="s">
        <v>2171</v>
      </c>
      <c r="AE959" t="s">
        <v>834</v>
      </c>
      <c r="AF959">
        <v>0.18976279139999996</v>
      </c>
    </row>
    <row r="960" spans="1:32" x14ac:dyDescent="0.25">
      <c r="A960" s="56">
        <v>2288945</v>
      </c>
      <c r="B960" s="56" t="s">
        <v>1241</v>
      </c>
      <c r="C960" s="56" t="s">
        <v>4555</v>
      </c>
      <c r="D960" s="56"/>
      <c r="E960" s="57">
        <v>549.9</v>
      </c>
      <c r="F960" s="57">
        <v>0.54989999999999994</v>
      </c>
      <c r="G960" s="56" t="s">
        <v>392</v>
      </c>
      <c r="H960" s="56" t="s">
        <v>4454</v>
      </c>
      <c r="I960" s="56" t="s">
        <v>1834</v>
      </c>
      <c r="J960" s="56"/>
      <c r="K960" s="56"/>
      <c r="L960" s="56"/>
      <c r="M960" s="56"/>
      <c r="N960" s="56" t="s">
        <v>151</v>
      </c>
      <c r="O960" s="56">
        <v>25</v>
      </c>
      <c r="P960" s="59" t="s">
        <v>2515</v>
      </c>
      <c r="Q960" s="56" t="s">
        <v>11</v>
      </c>
      <c r="U960">
        <v>4082199</v>
      </c>
      <c r="V960">
        <v>31.75</v>
      </c>
      <c r="W960">
        <v>0</v>
      </c>
      <c r="X960">
        <v>1.2</v>
      </c>
      <c r="Y960">
        <v>0.59799999999999998</v>
      </c>
      <c r="Z960" t="s">
        <v>1881</v>
      </c>
      <c r="AA960" t="s">
        <v>1003</v>
      </c>
      <c r="AB960" t="s">
        <v>2520</v>
      </c>
      <c r="AC960" t="s">
        <v>836</v>
      </c>
      <c r="AD960" t="s">
        <v>2171</v>
      </c>
      <c r="AE960" t="s">
        <v>838</v>
      </c>
      <c r="AF960">
        <v>0.54037213931999994</v>
      </c>
    </row>
    <row r="961" spans="1:32" x14ac:dyDescent="0.25">
      <c r="A961" s="56">
        <v>2288945</v>
      </c>
      <c r="B961" s="56" t="s">
        <v>1241</v>
      </c>
      <c r="C961" s="56" t="s">
        <v>4556</v>
      </c>
      <c r="D961" s="56"/>
      <c r="E961" s="57">
        <v>1206</v>
      </c>
      <c r="F961" s="57">
        <v>1.206</v>
      </c>
      <c r="G961" s="56" t="s">
        <v>392</v>
      </c>
      <c r="H961" s="56" t="s">
        <v>2511</v>
      </c>
      <c r="I961" s="56" t="s">
        <v>1834</v>
      </c>
      <c r="J961" s="56"/>
      <c r="K961" s="56"/>
      <c r="L961" s="56"/>
      <c r="M961" s="56"/>
      <c r="N961" s="56" t="s">
        <v>151</v>
      </c>
      <c r="O961" s="56">
        <v>79</v>
      </c>
      <c r="P961" s="59" t="s">
        <v>2579</v>
      </c>
      <c r="Q961" s="56" t="s">
        <v>11</v>
      </c>
      <c r="U961" s="52">
        <v>444028</v>
      </c>
      <c r="V961">
        <v>31.75</v>
      </c>
      <c r="W961">
        <v>0</v>
      </c>
      <c r="X961">
        <v>1.2</v>
      </c>
      <c r="Y961">
        <v>0.6</v>
      </c>
      <c r="Z961" t="s">
        <v>2821</v>
      </c>
      <c r="AA961" t="s">
        <v>963</v>
      </c>
      <c r="AB961" t="s">
        <v>2520</v>
      </c>
      <c r="AC961" t="s">
        <v>832</v>
      </c>
      <c r="AD961" t="s">
        <v>2171</v>
      </c>
      <c r="AE961" t="s">
        <v>4546</v>
      </c>
      <c r="AF961">
        <v>0.54217940399999998</v>
      </c>
    </row>
    <row r="962" spans="1:32" x14ac:dyDescent="0.25">
      <c r="A962" s="56">
        <v>2288945</v>
      </c>
      <c r="B962" s="56" t="s">
        <v>1241</v>
      </c>
      <c r="C962" s="56" t="s">
        <v>4557</v>
      </c>
      <c r="D962" s="56"/>
      <c r="E962" s="57">
        <v>1188</v>
      </c>
      <c r="F962" s="57">
        <v>1.1879999999999999</v>
      </c>
      <c r="G962" s="56" t="s">
        <v>392</v>
      </c>
      <c r="H962" s="56" t="s">
        <v>2511</v>
      </c>
      <c r="I962" s="56" t="s">
        <v>1834</v>
      </c>
      <c r="J962" s="56"/>
      <c r="K962" s="56"/>
      <c r="L962" s="56"/>
      <c r="M962" s="56"/>
      <c r="N962" s="56" t="s">
        <v>151</v>
      </c>
      <c r="O962" s="56">
        <v>79</v>
      </c>
      <c r="P962" s="59" t="s">
        <v>2579</v>
      </c>
      <c r="Q962" s="56" t="s">
        <v>11</v>
      </c>
      <c r="U962" s="52">
        <v>3507795</v>
      </c>
      <c r="V962">
        <v>31.75</v>
      </c>
      <c r="W962">
        <v>0</v>
      </c>
      <c r="X962">
        <v>1.2</v>
      </c>
      <c r="Y962">
        <v>0.65700000000000003</v>
      </c>
      <c r="Z962" t="s">
        <v>1914</v>
      </c>
      <c r="AA962" t="s">
        <v>963</v>
      </c>
      <c r="AB962" t="s">
        <v>2520</v>
      </c>
      <c r="AC962" t="s">
        <v>832</v>
      </c>
      <c r="AD962" t="s">
        <v>2171</v>
      </c>
      <c r="AE962" t="s">
        <v>4548</v>
      </c>
      <c r="AF962">
        <v>0.59368644737999998</v>
      </c>
    </row>
    <row r="963" spans="1:32" x14ac:dyDescent="0.25">
      <c r="A963" s="56">
        <v>2288945</v>
      </c>
      <c r="B963" s="56" t="s">
        <v>1241</v>
      </c>
      <c r="C963" s="56" t="s">
        <v>4559</v>
      </c>
      <c r="D963" s="56"/>
      <c r="E963" s="57">
        <v>1821</v>
      </c>
      <c r="F963" s="57">
        <v>1.821</v>
      </c>
      <c r="G963" s="56" t="s">
        <v>392</v>
      </c>
      <c r="H963" s="56" t="s">
        <v>2511</v>
      </c>
      <c r="I963" s="56" t="s">
        <v>1834</v>
      </c>
      <c r="J963" s="56"/>
      <c r="K963" s="56"/>
      <c r="L963" s="56"/>
      <c r="M963" s="56"/>
      <c r="N963" s="56" t="s">
        <v>151</v>
      </c>
      <c r="O963" s="56">
        <v>79</v>
      </c>
      <c r="P963" s="59" t="s">
        <v>2579</v>
      </c>
      <c r="Q963" s="56" t="s">
        <v>11</v>
      </c>
      <c r="U963" s="52">
        <v>373013</v>
      </c>
      <c r="V963">
        <v>31.75</v>
      </c>
      <c r="W963">
        <v>0</v>
      </c>
      <c r="X963">
        <v>1.2</v>
      </c>
      <c r="Y963">
        <v>0.67</v>
      </c>
      <c r="Z963" t="s">
        <v>2821</v>
      </c>
      <c r="AA963" t="s">
        <v>963</v>
      </c>
      <c r="AB963" t="s">
        <v>2520</v>
      </c>
      <c r="AC963" t="s">
        <v>832</v>
      </c>
      <c r="AD963" t="s">
        <v>2171</v>
      </c>
      <c r="AE963" t="s">
        <v>2324</v>
      </c>
      <c r="AF963">
        <v>0.60543366779999996</v>
      </c>
    </row>
    <row r="964" spans="1:32" x14ac:dyDescent="0.25">
      <c r="A964" s="56">
        <v>2288945</v>
      </c>
      <c r="B964" s="56" t="s">
        <v>1241</v>
      </c>
      <c r="C964" s="56" t="s">
        <v>4491</v>
      </c>
      <c r="D964" s="56"/>
      <c r="E964" s="57">
        <v>223.904</v>
      </c>
      <c r="F964" s="57">
        <v>0.22390399999999999</v>
      </c>
      <c r="G964" s="56" t="s">
        <v>392</v>
      </c>
      <c r="H964" s="56" t="s">
        <v>1914</v>
      </c>
      <c r="I964" s="56" t="s">
        <v>1834</v>
      </c>
      <c r="J964" s="56"/>
      <c r="K964" s="56"/>
      <c r="L964" s="56"/>
      <c r="M964" s="56"/>
      <c r="N964" s="56" t="s">
        <v>151</v>
      </c>
      <c r="O964" s="56">
        <v>6</v>
      </c>
      <c r="P964" s="59" t="s">
        <v>2515</v>
      </c>
      <c r="Q964" s="56" t="s">
        <v>11</v>
      </c>
      <c r="U964" s="52">
        <v>1940653</v>
      </c>
      <c r="V964">
        <v>31.75</v>
      </c>
      <c r="W964">
        <v>0</v>
      </c>
      <c r="X964">
        <v>1.2</v>
      </c>
      <c r="Y964">
        <v>0.67</v>
      </c>
      <c r="Z964" t="s">
        <v>1881</v>
      </c>
      <c r="AA964" t="s">
        <v>963</v>
      </c>
      <c r="AB964" t="s">
        <v>2520</v>
      </c>
      <c r="AC964" t="s">
        <v>832</v>
      </c>
      <c r="AD964" t="s">
        <v>2171</v>
      </c>
      <c r="AE964" t="s">
        <v>2324</v>
      </c>
      <c r="AF964">
        <v>0.60543366779999996</v>
      </c>
    </row>
    <row r="965" spans="1:32" x14ac:dyDescent="0.25">
      <c r="A965" s="56">
        <v>2288945</v>
      </c>
      <c r="B965" s="56" t="s">
        <v>1241</v>
      </c>
      <c r="C965" s="56" t="s">
        <v>4493</v>
      </c>
      <c r="D965" s="56"/>
      <c r="E965" s="57">
        <v>319.959</v>
      </c>
      <c r="F965" s="57">
        <v>0.31995899999999999</v>
      </c>
      <c r="G965" s="56" t="s">
        <v>392</v>
      </c>
      <c r="H965" s="56" t="s">
        <v>1914</v>
      </c>
      <c r="I965" s="56" t="s">
        <v>1834</v>
      </c>
      <c r="J965" s="56"/>
      <c r="K965" s="56"/>
      <c r="L965" s="56"/>
      <c r="M965" s="56"/>
      <c r="N965" s="56" t="s">
        <v>151</v>
      </c>
      <c r="O965" s="56">
        <v>7</v>
      </c>
      <c r="P965" s="59" t="s">
        <v>2515</v>
      </c>
      <c r="Q965" s="56" t="s">
        <v>11</v>
      </c>
      <c r="U965" s="52">
        <v>3506437</v>
      </c>
      <c r="V965">
        <v>31.75</v>
      </c>
      <c r="W965">
        <v>0</v>
      </c>
      <c r="X965">
        <v>1.2</v>
      </c>
      <c r="Y965">
        <v>0.67</v>
      </c>
      <c r="Z965" t="s">
        <v>1914</v>
      </c>
      <c r="AA965" t="s">
        <v>963</v>
      </c>
      <c r="AB965" t="s">
        <v>2520</v>
      </c>
      <c r="AC965" t="s">
        <v>832</v>
      </c>
      <c r="AD965" t="s">
        <v>2171</v>
      </c>
      <c r="AE965" t="s">
        <v>2324</v>
      </c>
      <c r="AF965">
        <v>0.60543366779999996</v>
      </c>
    </row>
    <row r="966" spans="1:32" x14ac:dyDescent="0.25">
      <c r="A966" s="56">
        <v>2356445</v>
      </c>
      <c r="B966" s="56" t="s">
        <v>3124</v>
      </c>
      <c r="C966" s="56" t="s">
        <v>3125</v>
      </c>
      <c r="D966" s="56"/>
      <c r="E966" s="57">
        <v>1384</v>
      </c>
      <c r="F966" s="57">
        <v>1.3839999999999999</v>
      </c>
      <c r="G966" s="56" t="s">
        <v>392</v>
      </c>
      <c r="H966" s="56" t="s">
        <v>2511</v>
      </c>
      <c r="I966" s="56" t="s">
        <v>1834</v>
      </c>
      <c r="J966" s="56"/>
      <c r="K966" s="56"/>
      <c r="L966" s="56"/>
      <c r="M966" s="56"/>
      <c r="N966" s="56" t="s">
        <v>37</v>
      </c>
      <c r="O966" s="56">
        <v>110</v>
      </c>
      <c r="P966" s="59" t="s">
        <v>2524</v>
      </c>
      <c r="Q966" s="56" t="s">
        <v>11</v>
      </c>
      <c r="U966" s="52">
        <v>3819143</v>
      </c>
      <c r="V966">
        <v>31.75</v>
      </c>
      <c r="W966">
        <v>0</v>
      </c>
      <c r="X966">
        <v>1.2</v>
      </c>
      <c r="Y966">
        <v>0.68</v>
      </c>
      <c r="Z966" t="s">
        <v>1881</v>
      </c>
      <c r="AA966" t="s">
        <v>963</v>
      </c>
      <c r="AB966" t="s">
        <v>2520</v>
      </c>
      <c r="AC966" t="s">
        <v>832</v>
      </c>
      <c r="AD966" t="s">
        <v>2171</v>
      </c>
      <c r="AE966" t="s">
        <v>840</v>
      </c>
      <c r="AF966">
        <v>0.61446999120000001</v>
      </c>
    </row>
    <row r="967" spans="1:32" x14ac:dyDescent="0.25">
      <c r="A967" s="56">
        <v>2359755</v>
      </c>
      <c r="B967" s="56" t="s">
        <v>828</v>
      </c>
      <c r="C967" s="56" t="s">
        <v>4560</v>
      </c>
      <c r="D967" s="56"/>
      <c r="E967" s="57">
        <v>1219.104</v>
      </c>
      <c r="F967" s="57">
        <v>1.219104</v>
      </c>
      <c r="G967" s="56" t="s">
        <v>392</v>
      </c>
      <c r="H967" s="56" t="s">
        <v>4454</v>
      </c>
      <c r="I967" s="56" t="s">
        <v>1834</v>
      </c>
      <c r="J967" s="56"/>
      <c r="K967" s="56"/>
      <c r="L967" s="56"/>
      <c r="M967" s="56"/>
      <c r="N967" s="56" t="s">
        <v>30</v>
      </c>
      <c r="O967" s="56">
        <v>33</v>
      </c>
      <c r="P967" s="59" t="s">
        <v>2532</v>
      </c>
      <c r="Q967" s="56" t="s">
        <v>11</v>
      </c>
      <c r="U967" s="52">
        <v>1904406</v>
      </c>
      <c r="V967">
        <v>31.75</v>
      </c>
      <c r="W967">
        <v>0</v>
      </c>
      <c r="X967">
        <v>1.2</v>
      </c>
      <c r="Y967">
        <v>0.68579999999999997</v>
      </c>
      <c r="Z967" t="s">
        <v>1952</v>
      </c>
      <c r="AA967" t="s">
        <v>963</v>
      </c>
      <c r="AB967" t="s">
        <v>2520</v>
      </c>
      <c r="AC967" t="s">
        <v>832</v>
      </c>
      <c r="AD967" t="s">
        <v>2171</v>
      </c>
      <c r="AE967" t="s">
        <v>4554</v>
      </c>
      <c r="AF967">
        <v>0.61971105877199995</v>
      </c>
    </row>
    <row r="968" spans="1:32" x14ac:dyDescent="0.25">
      <c r="A968" s="56">
        <v>2359755</v>
      </c>
      <c r="B968" s="56" t="s">
        <v>828</v>
      </c>
      <c r="C968" s="56" t="s">
        <v>4561</v>
      </c>
      <c r="D968" s="56"/>
      <c r="E968" s="57">
        <v>1263.76</v>
      </c>
      <c r="F968" s="57">
        <v>1.26376</v>
      </c>
      <c r="G968" s="56" t="s">
        <v>392</v>
      </c>
      <c r="H968" s="56" t="s">
        <v>4454</v>
      </c>
      <c r="I968" s="56" t="s">
        <v>1834</v>
      </c>
      <c r="J968" s="56"/>
      <c r="K968" s="56"/>
      <c r="L968" s="56"/>
      <c r="M968" s="56"/>
      <c r="N968" s="56" t="s">
        <v>30</v>
      </c>
      <c r="O968" s="56">
        <v>31</v>
      </c>
      <c r="P968" s="59" t="s">
        <v>2532</v>
      </c>
      <c r="Q968" s="56" t="s">
        <v>11</v>
      </c>
      <c r="U968" s="52">
        <v>3586648</v>
      </c>
      <c r="V968">
        <v>31.75</v>
      </c>
      <c r="W968">
        <v>0</v>
      </c>
      <c r="X968">
        <v>1.2</v>
      </c>
      <c r="Y968">
        <v>5.45</v>
      </c>
      <c r="Z968" t="s">
        <v>1881</v>
      </c>
      <c r="AA968" t="s">
        <v>963</v>
      </c>
      <c r="AB968" t="s">
        <v>2520</v>
      </c>
      <c r="AC968" t="s">
        <v>832</v>
      </c>
      <c r="AD968" t="s">
        <v>1838</v>
      </c>
      <c r="AE968" t="s">
        <v>2202</v>
      </c>
      <c r="AF968">
        <v>0.90363233999999992</v>
      </c>
    </row>
    <row r="969" spans="1:32" x14ac:dyDescent="0.25">
      <c r="A969" s="56">
        <v>2363145</v>
      </c>
      <c r="B969" s="56" t="s">
        <v>1946</v>
      </c>
      <c r="C969" s="56" t="s">
        <v>4562</v>
      </c>
      <c r="D969" s="56"/>
      <c r="E969" s="57">
        <v>2460</v>
      </c>
      <c r="F969" s="57">
        <v>2.46</v>
      </c>
      <c r="G969" s="56" t="s">
        <v>392</v>
      </c>
      <c r="H969" s="56" t="s">
        <v>4454</v>
      </c>
      <c r="I969" s="56" t="s">
        <v>1834</v>
      </c>
      <c r="J969" s="56"/>
      <c r="K969" s="56"/>
      <c r="L969" s="56"/>
      <c r="M969" s="56"/>
      <c r="N969" s="56" t="s">
        <v>151</v>
      </c>
      <c r="O969" s="56">
        <v>101</v>
      </c>
      <c r="P969" s="59" t="s">
        <v>2524</v>
      </c>
      <c r="Q969" s="56" t="s">
        <v>11</v>
      </c>
      <c r="U969" s="538">
        <v>111001347</v>
      </c>
      <c r="V969">
        <v>31.75</v>
      </c>
      <c r="W969">
        <v>0</v>
      </c>
      <c r="X969">
        <v>1.2</v>
      </c>
      <c r="Y969">
        <v>5.55</v>
      </c>
      <c r="Z969" t="s">
        <v>1881</v>
      </c>
      <c r="AA969" t="s">
        <v>963</v>
      </c>
      <c r="AB969" t="s">
        <v>2520</v>
      </c>
      <c r="AC969" t="s">
        <v>832</v>
      </c>
      <c r="AD969" t="s">
        <v>1838</v>
      </c>
      <c r="AE969" t="s">
        <v>2202</v>
      </c>
      <c r="AF969">
        <v>0.90363233999999992</v>
      </c>
    </row>
    <row r="970" spans="1:32" x14ac:dyDescent="0.25">
      <c r="A970" s="56">
        <v>2396464</v>
      </c>
      <c r="B970" s="56" t="s">
        <v>921</v>
      </c>
      <c r="C970" s="56" t="s">
        <v>4563</v>
      </c>
      <c r="D970" s="56"/>
      <c r="E970" s="57">
        <v>155.99100000000001</v>
      </c>
      <c r="F970" s="57">
        <v>0.15599100000000002</v>
      </c>
      <c r="G970" s="56" t="s">
        <v>392</v>
      </c>
      <c r="H970" s="56" t="s">
        <v>4454</v>
      </c>
      <c r="I970" s="56" t="s">
        <v>1834</v>
      </c>
      <c r="J970" s="56"/>
      <c r="K970" s="56"/>
      <c r="L970" s="56"/>
      <c r="M970" s="56"/>
      <c r="N970" s="56" t="s">
        <v>151</v>
      </c>
      <c r="O970" s="56">
        <v>13</v>
      </c>
      <c r="P970" s="59" t="s">
        <v>2515</v>
      </c>
      <c r="Q970" s="56" t="s">
        <v>11</v>
      </c>
      <c r="U970" s="52">
        <v>331629</v>
      </c>
      <c r="V970">
        <v>31.75</v>
      </c>
      <c r="W970">
        <v>0</v>
      </c>
      <c r="X970">
        <v>1.2</v>
      </c>
      <c r="Y970">
        <v>5.6</v>
      </c>
      <c r="Z970" t="s">
        <v>2821</v>
      </c>
      <c r="AA970" t="s">
        <v>1003</v>
      </c>
      <c r="AB970" t="s">
        <v>2520</v>
      </c>
      <c r="AC970" t="s">
        <v>836</v>
      </c>
      <c r="AD970" t="s">
        <v>1838</v>
      </c>
      <c r="AE970" t="s">
        <v>4558</v>
      </c>
      <c r="AF970">
        <v>0.90363233999999992</v>
      </c>
    </row>
    <row r="971" spans="1:32" x14ac:dyDescent="0.25">
      <c r="A971" s="56">
        <v>2396464</v>
      </c>
      <c r="B971" s="56" t="s">
        <v>921</v>
      </c>
      <c r="C971" s="56" t="s">
        <v>4564</v>
      </c>
      <c r="D971" s="56"/>
      <c r="E971" s="57">
        <v>3050.634</v>
      </c>
      <c r="F971" s="57">
        <v>3.0506340000000001</v>
      </c>
      <c r="G971" s="56" t="s">
        <v>392</v>
      </c>
      <c r="H971" s="56" t="s">
        <v>4454</v>
      </c>
      <c r="I971" s="56" t="s">
        <v>1834</v>
      </c>
      <c r="J971" s="56"/>
      <c r="K971" s="56"/>
      <c r="L971" s="56"/>
      <c r="M971" s="56"/>
      <c r="N971" s="56" t="s">
        <v>151</v>
      </c>
      <c r="O971" s="56">
        <v>46</v>
      </c>
      <c r="P971" s="59" t="s">
        <v>2532</v>
      </c>
      <c r="Q971" s="56" t="s">
        <v>11</v>
      </c>
      <c r="U971" s="52">
        <v>3171772</v>
      </c>
      <c r="V971">
        <v>31.75</v>
      </c>
      <c r="W971">
        <v>0</v>
      </c>
      <c r="X971">
        <v>1.2</v>
      </c>
      <c r="Y971">
        <v>6</v>
      </c>
      <c r="Z971" t="s">
        <v>1881</v>
      </c>
      <c r="AA971" t="s">
        <v>963</v>
      </c>
      <c r="AB971" t="s">
        <v>2520</v>
      </c>
      <c r="AC971" t="s">
        <v>832</v>
      </c>
      <c r="AD971" t="s">
        <v>1838</v>
      </c>
      <c r="AE971" t="s">
        <v>2202</v>
      </c>
      <c r="AF971">
        <v>0.90363233999999992</v>
      </c>
    </row>
    <row r="972" spans="1:32" x14ac:dyDescent="0.25">
      <c r="A972" s="56">
        <v>2396464</v>
      </c>
      <c r="B972" s="56" t="s">
        <v>921</v>
      </c>
      <c r="C972" s="56" t="s">
        <v>4565</v>
      </c>
      <c r="D972" s="56"/>
      <c r="E972" s="57">
        <v>779.00599999999997</v>
      </c>
      <c r="F972" s="57">
        <v>0.77900599999999998</v>
      </c>
      <c r="G972" s="56" t="s">
        <v>392</v>
      </c>
      <c r="H972" s="56" t="s">
        <v>4454</v>
      </c>
      <c r="I972" s="56" t="s">
        <v>1834</v>
      </c>
      <c r="J972" s="56"/>
      <c r="K972" s="56"/>
      <c r="L972" s="56"/>
      <c r="M972" s="56"/>
      <c r="N972" s="56" t="s">
        <v>151</v>
      </c>
      <c r="O972" s="56">
        <v>35</v>
      </c>
      <c r="P972" s="59" t="s">
        <v>2532</v>
      </c>
      <c r="Q972" s="56" t="s">
        <v>11</v>
      </c>
      <c r="U972" s="52">
        <v>3500689</v>
      </c>
      <c r="V972">
        <v>31.75</v>
      </c>
      <c r="W972">
        <v>0</v>
      </c>
      <c r="X972">
        <v>1.2</v>
      </c>
      <c r="Y972">
        <v>6</v>
      </c>
      <c r="Z972" t="s">
        <v>1914</v>
      </c>
      <c r="AA972" t="s">
        <v>1003</v>
      </c>
      <c r="AB972" t="s">
        <v>3979</v>
      </c>
      <c r="AC972" t="s">
        <v>836</v>
      </c>
      <c r="AD972" t="s">
        <v>1838</v>
      </c>
      <c r="AE972" t="s">
        <v>4558</v>
      </c>
      <c r="AF972">
        <v>0.90363233999999992</v>
      </c>
    </row>
    <row r="973" spans="1:32" x14ac:dyDescent="0.25">
      <c r="A973" s="56">
        <v>2397139</v>
      </c>
      <c r="B973" s="56" t="s">
        <v>1998</v>
      </c>
      <c r="C973" s="56" t="s">
        <v>4567</v>
      </c>
      <c r="D973" s="56"/>
      <c r="E973" s="57">
        <v>3046</v>
      </c>
      <c r="F973" s="57">
        <v>3.0459999999999998</v>
      </c>
      <c r="G973" s="56" t="s">
        <v>392</v>
      </c>
      <c r="H973" s="56" t="s">
        <v>4454</v>
      </c>
      <c r="I973" s="56" t="s">
        <v>1834</v>
      </c>
      <c r="J973" s="56"/>
      <c r="K973" s="56"/>
      <c r="L973" s="56"/>
      <c r="M973" s="56"/>
      <c r="N973" s="56" t="s">
        <v>151</v>
      </c>
      <c r="O973" s="56">
        <v>132</v>
      </c>
      <c r="P973" s="59" t="s">
        <v>2524</v>
      </c>
      <c r="Q973" s="56" t="s">
        <v>11</v>
      </c>
      <c r="U973" s="538">
        <v>110102775</v>
      </c>
      <c r="V973">
        <v>31.75</v>
      </c>
      <c r="W973">
        <v>0</v>
      </c>
      <c r="X973">
        <v>1.2</v>
      </c>
      <c r="Y973">
        <v>6.0350000000000001</v>
      </c>
      <c r="Z973" t="s">
        <v>1881</v>
      </c>
      <c r="AA973" t="s">
        <v>963</v>
      </c>
      <c r="AB973" t="s">
        <v>2520</v>
      </c>
      <c r="AC973" t="s">
        <v>836</v>
      </c>
      <c r="AD973" t="s">
        <v>1838</v>
      </c>
      <c r="AE973" t="s">
        <v>4558</v>
      </c>
      <c r="AF973">
        <v>0.90363233999999992</v>
      </c>
    </row>
    <row r="974" spans="1:32" x14ac:dyDescent="0.25">
      <c r="A974" s="56">
        <v>2397139</v>
      </c>
      <c r="B974" s="56" t="s">
        <v>1998</v>
      </c>
      <c r="C974" s="56" t="s">
        <v>4569</v>
      </c>
      <c r="D974" s="56"/>
      <c r="E974" s="57">
        <v>2969</v>
      </c>
      <c r="F974" s="57">
        <v>2.9689999999999999</v>
      </c>
      <c r="G974" s="56" t="s">
        <v>392</v>
      </c>
      <c r="H974" s="56" t="s">
        <v>4454</v>
      </c>
      <c r="I974" s="56" t="s">
        <v>1834</v>
      </c>
      <c r="J974" s="56"/>
      <c r="K974" s="56"/>
      <c r="L974" s="56"/>
      <c r="M974" s="56"/>
      <c r="N974" s="56" t="s">
        <v>151</v>
      </c>
      <c r="O974" s="56">
        <v>132</v>
      </c>
      <c r="P974" s="59" t="s">
        <v>2524</v>
      </c>
      <c r="Q974" s="56" t="s">
        <v>11</v>
      </c>
      <c r="U974" s="538">
        <v>110102778</v>
      </c>
      <c r="V974">
        <v>31.75</v>
      </c>
      <c r="W974">
        <v>0</v>
      </c>
      <c r="X974">
        <v>1.2</v>
      </c>
      <c r="Y974">
        <v>6.085</v>
      </c>
      <c r="Z974" t="s">
        <v>1881</v>
      </c>
      <c r="AA974" t="s">
        <v>963</v>
      </c>
      <c r="AB974" t="s">
        <v>2520</v>
      </c>
      <c r="AC974" t="s">
        <v>836</v>
      </c>
      <c r="AD974" t="s">
        <v>1838</v>
      </c>
      <c r="AE974" t="s">
        <v>4558</v>
      </c>
      <c r="AF974">
        <v>0.90363233999999992</v>
      </c>
    </row>
    <row r="975" spans="1:32" x14ac:dyDescent="0.25">
      <c r="A975" s="56">
        <v>2397139</v>
      </c>
      <c r="B975" s="56" t="s">
        <v>1998</v>
      </c>
      <c r="C975" s="56" t="s">
        <v>4571</v>
      </c>
      <c r="D975" s="56"/>
      <c r="E975" s="57">
        <v>1646.9860000000001</v>
      </c>
      <c r="F975" s="57">
        <v>1.6469860000000001</v>
      </c>
      <c r="G975" s="56" t="s">
        <v>392</v>
      </c>
      <c r="H975" s="56" t="s">
        <v>2511</v>
      </c>
      <c r="I975" s="56" t="s">
        <v>1834</v>
      </c>
      <c r="J975" s="56"/>
      <c r="K975" s="56"/>
      <c r="L975" s="56"/>
      <c r="M975" s="56"/>
      <c r="N975" s="56" t="s">
        <v>151</v>
      </c>
      <c r="O975" s="56">
        <v>123</v>
      </c>
      <c r="P975" s="59" t="s">
        <v>2524</v>
      </c>
      <c r="Q975" s="56" t="s">
        <v>11</v>
      </c>
      <c r="U975" s="538">
        <v>110102784</v>
      </c>
      <c r="V975">
        <v>31.75</v>
      </c>
      <c r="W975">
        <v>0</v>
      </c>
      <c r="X975">
        <v>1.2</v>
      </c>
      <c r="Y975">
        <v>6.125</v>
      </c>
      <c r="Z975" t="s">
        <v>1881</v>
      </c>
      <c r="AA975" t="s">
        <v>963</v>
      </c>
      <c r="AB975" t="s">
        <v>2520</v>
      </c>
      <c r="AC975" t="s">
        <v>832</v>
      </c>
      <c r="AD975" t="s">
        <v>1838</v>
      </c>
      <c r="AE975" t="s">
        <v>2202</v>
      </c>
      <c r="AF975">
        <v>0.90363233999999992</v>
      </c>
    </row>
    <row r="976" spans="1:32" x14ac:dyDescent="0.25">
      <c r="A976" s="56">
        <v>2410388</v>
      </c>
      <c r="B976" s="56" t="s">
        <v>819</v>
      </c>
      <c r="C976" s="56" t="s">
        <v>4572</v>
      </c>
      <c r="D976" s="56"/>
      <c r="E976" s="57">
        <v>873</v>
      </c>
      <c r="F976" s="57">
        <v>0.873</v>
      </c>
      <c r="G976" s="56" t="s">
        <v>392</v>
      </c>
      <c r="H976" s="56" t="s">
        <v>4454</v>
      </c>
      <c r="I976" s="56" t="s">
        <v>1834</v>
      </c>
      <c r="J976" s="56"/>
      <c r="K976" s="56"/>
      <c r="L976" s="56"/>
      <c r="M976" s="56"/>
      <c r="N976" s="56" t="s">
        <v>17</v>
      </c>
      <c r="O976" s="56">
        <v>40</v>
      </c>
      <c r="P976" s="59" t="s">
        <v>2532</v>
      </c>
      <c r="Q976" s="56" t="s">
        <v>192</v>
      </c>
      <c r="U976" s="52">
        <v>3553505</v>
      </c>
      <c r="V976">
        <v>31.75</v>
      </c>
      <c r="W976">
        <v>0</v>
      </c>
      <c r="X976">
        <v>1.2</v>
      </c>
      <c r="Y976">
        <v>6.125</v>
      </c>
      <c r="Z976" t="s">
        <v>1881</v>
      </c>
      <c r="AA976" t="s">
        <v>963</v>
      </c>
      <c r="AB976" t="s">
        <v>2520</v>
      </c>
      <c r="AC976" t="s">
        <v>832</v>
      </c>
      <c r="AD976" t="s">
        <v>1838</v>
      </c>
      <c r="AE976" t="s">
        <v>2202</v>
      </c>
      <c r="AF976">
        <v>0.90363233999999992</v>
      </c>
    </row>
    <row r="977" spans="1:32" x14ac:dyDescent="0.25">
      <c r="A977" s="56">
        <v>2410388</v>
      </c>
      <c r="B977" s="56" t="s">
        <v>819</v>
      </c>
      <c r="C977" s="56" t="s">
        <v>4573</v>
      </c>
      <c r="D977" s="56"/>
      <c r="E977" s="57">
        <v>55</v>
      </c>
      <c r="F977" s="57">
        <v>5.5E-2</v>
      </c>
      <c r="G977" s="56" t="s">
        <v>392</v>
      </c>
      <c r="H977" s="56" t="s">
        <v>4454</v>
      </c>
      <c r="I977" s="56" t="s">
        <v>1834</v>
      </c>
      <c r="J977" s="56"/>
      <c r="K977" s="56"/>
      <c r="L977" s="56"/>
      <c r="M977" s="56"/>
      <c r="N977" s="56" t="s">
        <v>17</v>
      </c>
      <c r="O977" s="56">
        <v>51</v>
      </c>
      <c r="P977" s="59" t="s">
        <v>2532</v>
      </c>
      <c r="Q977" s="56" t="s">
        <v>192</v>
      </c>
      <c r="U977" s="52">
        <v>3682122</v>
      </c>
      <c r="V977">
        <v>31.75</v>
      </c>
      <c r="W977">
        <v>0</v>
      </c>
      <c r="X977">
        <v>1.2</v>
      </c>
      <c r="Y977">
        <v>6.15</v>
      </c>
      <c r="Z977" t="s">
        <v>1914</v>
      </c>
      <c r="AA977" t="s">
        <v>1003</v>
      </c>
      <c r="AB977" t="s">
        <v>2520</v>
      </c>
      <c r="AC977" t="s">
        <v>836</v>
      </c>
      <c r="AD977" t="s">
        <v>1838</v>
      </c>
      <c r="AE977" t="s">
        <v>4558</v>
      </c>
      <c r="AF977">
        <v>0.90363233999999992</v>
      </c>
    </row>
    <row r="978" spans="1:32" x14ac:dyDescent="0.25">
      <c r="A978" s="56">
        <v>2410388</v>
      </c>
      <c r="B978" s="56" t="s">
        <v>819</v>
      </c>
      <c r="C978" s="56" t="s">
        <v>4574</v>
      </c>
      <c r="D978" s="56"/>
      <c r="E978" s="57">
        <v>655</v>
      </c>
      <c r="F978" s="57">
        <v>0.65500000000000003</v>
      </c>
      <c r="G978" s="56" t="s">
        <v>392</v>
      </c>
      <c r="H978" s="56" t="s">
        <v>4454</v>
      </c>
      <c r="I978" s="56" t="s">
        <v>1834</v>
      </c>
      <c r="J978" s="56"/>
      <c r="K978" s="56"/>
      <c r="L978" s="56"/>
      <c r="M978" s="56"/>
      <c r="N978" s="56" t="s">
        <v>17</v>
      </c>
      <c r="O978" s="56">
        <v>51</v>
      </c>
      <c r="P978" s="59" t="s">
        <v>2532</v>
      </c>
      <c r="Q978" s="56" t="s">
        <v>192</v>
      </c>
      <c r="U978" s="28">
        <v>3702310</v>
      </c>
      <c r="V978">
        <v>31.75</v>
      </c>
      <c r="W978">
        <v>0</v>
      </c>
      <c r="X978">
        <v>1.22</v>
      </c>
      <c r="Y978">
        <v>5.71</v>
      </c>
      <c r="Z978" t="s">
        <v>1881</v>
      </c>
      <c r="AA978" t="s">
        <v>1003</v>
      </c>
      <c r="AB978" t="s">
        <v>2520</v>
      </c>
      <c r="AC978" t="s">
        <v>832</v>
      </c>
      <c r="AD978" t="s">
        <v>1838</v>
      </c>
      <c r="AE978" t="s">
        <v>2202</v>
      </c>
      <c r="AF978">
        <v>0.91809144340000004</v>
      </c>
    </row>
    <row r="979" spans="1:32" x14ac:dyDescent="0.25">
      <c r="A979" s="56">
        <v>2410388</v>
      </c>
      <c r="B979" s="56" t="s">
        <v>819</v>
      </c>
      <c r="C979" s="56" t="s">
        <v>4575</v>
      </c>
      <c r="D979" s="56"/>
      <c r="E979" s="57">
        <v>117</v>
      </c>
      <c r="F979" s="57">
        <v>0.11700000000000001</v>
      </c>
      <c r="G979" s="56" t="s">
        <v>392</v>
      </c>
      <c r="H979" s="56" t="s">
        <v>4454</v>
      </c>
      <c r="I979" s="56" t="s">
        <v>1834</v>
      </c>
      <c r="J979" s="56"/>
      <c r="K979" s="56"/>
      <c r="L979" s="56"/>
      <c r="M979" s="56"/>
      <c r="N979" s="56" t="s">
        <v>17</v>
      </c>
      <c r="O979" s="56">
        <v>51</v>
      </c>
      <c r="P979" s="59" t="s">
        <v>2532</v>
      </c>
      <c r="Q979" s="56" t="s">
        <v>192</v>
      </c>
      <c r="U979" s="52">
        <v>3715133</v>
      </c>
      <c r="V979">
        <v>31.75</v>
      </c>
      <c r="W979">
        <v>0</v>
      </c>
      <c r="X979">
        <v>1.6</v>
      </c>
      <c r="Y979">
        <v>0.65800000000000003</v>
      </c>
      <c r="Z979" t="s">
        <v>1881</v>
      </c>
      <c r="AA979" t="s">
        <v>1003</v>
      </c>
      <c r="AB979" t="s">
        <v>2520</v>
      </c>
      <c r="AC979" t="s">
        <v>1028</v>
      </c>
      <c r="AD979" t="s">
        <v>2171</v>
      </c>
      <c r="AE979" t="s">
        <v>2325</v>
      </c>
      <c r="AF979">
        <v>0.78240658608000013</v>
      </c>
    </row>
    <row r="980" spans="1:32" x14ac:dyDescent="0.25">
      <c r="A980" s="56">
        <v>2410388</v>
      </c>
      <c r="B980" s="56" t="s">
        <v>819</v>
      </c>
      <c r="C980" s="56" t="s">
        <v>4576</v>
      </c>
      <c r="D980" s="56"/>
      <c r="E980" s="57">
        <v>824</v>
      </c>
      <c r="F980" s="57">
        <v>0.82399999999999995</v>
      </c>
      <c r="G980" s="56" t="s">
        <v>392</v>
      </c>
      <c r="H980" s="56" t="s">
        <v>4454</v>
      </c>
      <c r="I980" s="56" t="s">
        <v>1834</v>
      </c>
      <c r="J980" s="56"/>
      <c r="K980" s="56"/>
      <c r="L980" s="56"/>
      <c r="M980" s="56"/>
      <c r="N980" s="56" t="s">
        <v>17</v>
      </c>
      <c r="O980" s="56">
        <v>51</v>
      </c>
      <c r="P980" s="59" t="s">
        <v>2532</v>
      </c>
      <c r="Q980" s="56" t="s">
        <v>192</v>
      </c>
      <c r="U980" s="52">
        <v>3447257</v>
      </c>
      <c r="V980">
        <v>31.75</v>
      </c>
      <c r="W980">
        <v>0</v>
      </c>
      <c r="X980">
        <v>1.6</v>
      </c>
      <c r="Y980">
        <v>0.78</v>
      </c>
      <c r="Z980" t="s">
        <v>1868</v>
      </c>
      <c r="AA980" t="s">
        <v>1003</v>
      </c>
      <c r="AB980" t="s">
        <v>2520</v>
      </c>
      <c r="AC980" t="s">
        <v>1028</v>
      </c>
      <c r="AD980" t="s">
        <v>2171</v>
      </c>
      <c r="AE980" t="s">
        <v>4566</v>
      </c>
      <c r="AF980">
        <v>0.92747285280000014</v>
      </c>
    </row>
    <row r="981" spans="1:32" x14ac:dyDescent="0.25">
      <c r="A981" s="56">
        <v>2410388</v>
      </c>
      <c r="B981" s="56" t="s">
        <v>819</v>
      </c>
      <c r="C981" s="56" t="s">
        <v>4577</v>
      </c>
      <c r="D981" s="56"/>
      <c r="E981" s="57">
        <v>521.16</v>
      </c>
      <c r="F981" s="57">
        <v>0.52115999999999996</v>
      </c>
      <c r="G981" s="56" t="s">
        <v>392</v>
      </c>
      <c r="H981" s="56" t="s">
        <v>4454</v>
      </c>
      <c r="I981" s="56" t="s">
        <v>1834</v>
      </c>
      <c r="J981" s="56"/>
      <c r="K981" s="56"/>
      <c r="L981" s="56"/>
      <c r="M981" s="56"/>
      <c r="N981" s="56" t="s">
        <v>17</v>
      </c>
      <c r="O981" s="56">
        <v>6</v>
      </c>
      <c r="P981" s="59" t="s">
        <v>2515</v>
      </c>
      <c r="Q981" s="56" t="s">
        <v>192</v>
      </c>
      <c r="U981" s="538">
        <v>110102787</v>
      </c>
      <c r="V981">
        <v>31.75</v>
      </c>
      <c r="W981">
        <v>0</v>
      </c>
      <c r="X981">
        <v>1.6</v>
      </c>
      <c r="Y981">
        <v>6.0330000000000004</v>
      </c>
      <c r="Z981" t="s">
        <v>1881</v>
      </c>
      <c r="AA981" t="s">
        <v>1003</v>
      </c>
      <c r="AB981" t="s">
        <v>2520</v>
      </c>
      <c r="AC981" t="s">
        <v>1028</v>
      </c>
      <c r="AD981" t="s">
        <v>1838</v>
      </c>
      <c r="AE981" t="s">
        <v>4568</v>
      </c>
      <c r="AF981">
        <v>1.1890677600000001</v>
      </c>
    </row>
    <row r="982" spans="1:32" x14ac:dyDescent="0.25">
      <c r="A982" s="56">
        <v>2410388</v>
      </c>
      <c r="B982" s="56" t="s">
        <v>819</v>
      </c>
      <c r="C982" s="56" t="s">
        <v>4578</v>
      </c>
      <c r="D982" s="56"/>
      <c r="E982" s="57">
        <v>114</v>
      </c>
      <c r="F982" s="57">
        <v>0.114</v>
      </c>
      <c r="G982" s="56" t="s">
        <v>392</v>
      </c>
      <c r="H982" s="56" t="s">
        <v>4454</v>
      </c>
      <c r="I982" s="56" t="s">
        <v>1834</v>
      </c>
      <c r="J982" s="56"/>
      <c r="K982" s="56"/>
      <c r="L982" s="56"/>
      <c r="M982" s="56"/>
      <c r="N982" s="56" t="s">
        <v>17</v>
      </c>
      <c r="O982" s="56">
        <v>44</v>
      </c>
      <c r="P982" s="59" t="s">
        <v>2532</v>
      </c>
      <c r="Q982" s="56" t="s">
        <v>192</v>
      </c>
      <c r="U982" s="52">
        <v>3502018</v>
      </c>
      <c r="V982">
        <v>31.75</v>
      </c>
      <c r="W982">
        <v>0</v>
      </c>
      <c r="X982">
        <v>2.2999999999999998</v>
      </c>
      <c r="Y982">
        <v>5.89</v>
      </c>
      <c r="Z982" t="s">
        <v>1914</v>
      </c>
      <c r="AA982" t="s">
        <v>1003</v>
      </c>
      <c r="AB982" t="s">
        <v>2520</v>
      </c>
      <c r="AC982" t="s">
        <v>1029</v>
      </c>
      <c r="AD982" t="s">
        <v>1838</v>
      </c>
      <c r="AE982" t="s">
        <v>4570</v>
      </c>
      <c r="AF982">
        <v>1.6696000150000001</v>
      </c>
    </row>
    <row r="983" spans="1:32" x14ac:dyDescent="0.25">
      <c r="A983" s="56">
        <v>2410388</v>
      </c>
      <c r="B983" s="56" t="s">
        <v>819</v>
      </c>
      <c r="C983" s="56" t="s">
        <v>4579</v>
      </c>
      <c r="D983" s="56"/>
      <c r="E983" s="57">
        <v>749</v>
      </c>
      <c r="F983" s="57">
        <v>0.749</v>
      </c>
      <c r="G983" s="56" t="s">
        <v>392</v>
      </c>
      <c r="H983" s="56" t="s">
        <v>4454</v>
      </c>
      <c r="I983" s="56" t="s">
        <v>1834</v>
      </c>
      <c r="J983" s="56"/>
      <c r="K983" s="56"/>
      <c r="L983" s="56"/>
      <c r="M983" s="56"/>
      <c r="N983" s="56" t="s">
        <v>17</v>
      </c>
      <c r="O983" s="56">
        <v>44</v>
      </c>
      <c r="P983" s="59" t="s">
        <v>2532</v>
      </c>
      <c r="Q983" s="56" t="s">
        <v>192</v>
      </c>
      <c r="U983" s="52">
        <v>4072797</v>
      </c>
      <c r="V983">
        <v>31.75</v>
      </c>
      <c r="W983">
        <v>0</v>
      </c>
      <c r="X983">
        <v>2.2999999999999998</v>
      </c>
      <c r="Y983">
        <v>5.92</v>
      </c>
      <c r="Z983" t="s">
        <v>1881</v>
      </c>
      <c r="AA983" t="s">
        <v>1003</v>
      </c>
      <c r="AB983" t="s">
        <v>2520</v>
      </c>
      <c r="AC983" t="s">
        <v>1029</v>
      </c>
      <c r="AD983" t="s">
        <v>1838</v>
      </c>
      <c r="AE983" t="s">
        <v>6620</v>
      </c>
      <c r="AF983" t="e">
        <f>IF([4]!buckets[[#This Row],[LL or CTL]]="LL",(3.14*([4]!buckets[[#This Row],[OD]]-[4]!buckets[[#This Row],[Thickness]])*[4]!buckets[[#This Row],[Thickness]]*1000*7.85)/1000000,(3.14*([4]!buckets[[#This Row],[OD]]-[4]!buckets[[#This Row],[Thickness]])*[4]!buckets[[#This Row],[Thickness]]*[4]!buckets[[#This Row],[Length]]*1000*7.85)/1000000)</f>
        <v>#REF!</v>
      </c>
    </row>
    <row r="984" spans="1:32" x14ac:dyDescent="0.25">
      <c r="A984" s="56">
        <v>2410388</v>
      </c>
      <c r="B984" s="56" t="s">
        <v>819</v>
      </c>
      <c r="C984" s="56" t="s">
        <v>4580</v>
      </c>
      <c r="D984" s="56"/>
      <c r="E984" s="57">
        <v>824</v>
      </c>
      <c r="F984" s="57">
        <v>0.82399999999999995</v>
      </c>
      <c r="G984" s="56" t="s">
        <v>392</v>
      </c>
      <c r="H984" s="56" t="s">
        <v>4454</v>
      </c>
      <c r="I984" s="56" t="s">
        <v>1834</v>
      </c>
      <c r="J984" s="56"/>
      <c r="K984" s="56"/>
      <c r="L984" s="56"/>
      <c r="M984" s="56"/>
      <c r="N984" s="56" t="s">
        <v>17</v>
      </c>
      <c r="O984" s="56">
        <v>44</v>
      </c>
      <c r="P984" s="59" t="s">
        <v>2532</v>
      </c>
      <c r="Q984" s="56" t="s">
        <v>192</v>
      </c>
      <c r="U984" s="588">
        <v>1940684</v>
      </c>
      <c r="V984">
        <v>31.75</v>
      </c>
      <c r="W984">
        <v>0</v>
      </c>
      <c r="X984">
        <v>2.2999999999999998</v>
      </c>
      <c r="Y984">
        <v>6</v>
      </c>
      <c r="Z984" t="s">
        <v>1891</v>
      </c>
      <c r="AA984" t="s">
        <v>1003</v>
      </c>
      <c r="AB984" t="s">
        <v>2520</v>
      </c>
      <c r="AC984" t="s">
        <v>1029</v>
      </c>
      <c r="AD984" t="s">
        <v>1838</v>
      </c>
      <c r="AE984" t="s">
        <v>6620</v>
      </c>
      <c r="AF984" t="e">
        <f>IF([4]!buckets[[#This Row],[LL or CTL]]="LL",(3.14*([4]!buckets[[#This Row],[OD]]-[4]!buckets[[#This Row],[Thickness]])*[4]!buckets[[#This Row],[Thickness]]*1000*7.85)/1000000,(3.14*([4]!buckets[[#This Row],[OD]]-[4]!buckets[[#This Row],[Thickness]])*[4]!buckets[[#This Row],[Thickness]]*[4]!buckets[[#This Row],[Length]]*1000*7.85)/1000000)</f>
        <v>#REF!</v>
      </c>
    </row>
    <row r="985" spans="1:32" x14ac:dyDescent="0.25">
      <c r="A985" s="56">
        <v>2410388</v>
      </c>
      <c r="B985" s="56" t="s">
        <v>819</v>
      </c>
      <c r="C985" s="56" t="s">
        <v>4581</v>
      </c>
      <c r="D985" s="56"/>
      <c r="E985" s="57">
        <v>76</v>
      </c>
      <c r="F985" s="57">
        <v>7.5999999999999998E-2</v>
      </c>
      <c r="G985" s="56" t="s">
        <v>392</v>
      </c>
      <c r="H985" s="56" t="s">
        <v>4454</v>
      </c>
      <c r="I985" s="56" t="s">
        <v>1834</v>
      </c>
      <c r="J985" s="56"/>
      <c r="K985" s="56"/>
      <c r="L985" s="56"/>
      <c r="M985" s="56"/>
      <c r="N985" s="56" t="s">
        <v>17</v>
      </c>
      <c r="O985" s="56">
        <v>51</v>
      </c>
      <c r="P985" s="59" t="s">
        <v>2532</v>
      </c>
      <c r="Q985" s="56" t="s">
        <v>192</v>
      </c>
      <c r="U985" s="52">
        <v>3500081</v>
      </c>
      <c r="V985">
        <v>31.75</v>
      </c>
      <c r="W985">
        <v>0</v>
      </c>
      <c r="X985">
        <v>2.2999999999999998</v>
      </c>
      <c r="Y985">
        <v>6</v>
      </c>
      <c r="Z985" t="s">
        <v>1914</v>
      </c>
      <c r="AA985" t="s">
        <v>1003</v>
      </c>
      <c r="AB985" t="s">
        <v>2520</v>
      </c>
      <c r="AC985" t="s">
        <v>1029</v>
      </c>
      <c r="AD985" t="s">
        <v>1838</v>
      </c>
      <c r="AE985" t="s">
        <v>4570</v>
      </c>
      <c r="AF985">
        <v>1.6696000150000001</v>
      </c>
    </row>
    <row r="986" spans="1:32" x14ac:dyDescent="0.25">
      <c r="A986" s="56">
        <v>2410388</v>
      </c>
      <c r="B986" s="56" t="s">
        <v>819</v>
      </c>
      <c r="C986" s="56" t="s">
        <v>4585</v>
      </c>
      <c r="D986" s="56"/>
      <c r="E986" s="57">
        <v>860</v>
      </c>
      <c r="F986" s="57">
        <v>0.86</v>
      </c>
      <c r="G986" s="56" t="s">
        <v>392</v>
      </c>
      <c r="H986" s="56" t="s">
        <v>4454</v>
      </c>
      <c r="I986" s="56" t="s">
        <v>1834</v>
      </c>
      <c r="J986" s="56"/>
      <c r="K986" s="56"/>
      <c r="L986" s="56"/>
      <c r="M986" s="56"/>
      <c r="N986" s="56" t="s">
        <v>17</v>
      </c>
      <c r="O986" s="56">
        <v>51</v>
      </c>
      <c r="P986" s="59" t="s">
        <v>2532</v>
      </c>
      <c r="Q986" s="56" t="s">
        <v>192</v>
      </c>
      <c r="U986">
        <v>3509016</v>
      </c>
      <c r="V986">
        <v>31.75</v>
      </c>
      <c r="W986">
        <v>0</v>
      </c>
      <c r="X986">
        <v>2.5</v>
      </c>
      <c r="Y986">
        <v>0.193</v>
      </c>
      <c r="Z986" t="s">
        <v>1914</v>
      </c>
      <c r="AA986" t="s">
        <v>963</v>
      </c>
      <c r="AB986" t="s">
        <v>2520</v>
      </c>
      <c r="AC986" t="s">
        <v>799</v>
      </c>
      <c r="AD986" t="s">
        <v>2171</v>
      </c>
      <c r="AE986" t="s">
        <v>801</v>
      </c>
      <c r="AF986">
        <v>0.34787441812500003</v>
      </c>
    </row>
    <row r="987" spans="1:32" x14ac:dyDescent="0.25">
      <c r="A987" s="56">
        <v>2410388</v>
      </c>
      <c r="B987" s="56" t="s">
        <v>819</v>
      </c>
      <c r="C987" s="56" t="s">
        <v>4587</v>
      </c>
      <c r="D987" s="56"/>
      <c r="E987" s="57">
        <v>732</v>
      </c>
      <c r="F987" s="57">
        <v>0.73199999999999998</v>
      </c>
      <c r="G987" s="56" t="s">
        <v>392</v>
      </c>
      <c r="H987" s="56" t="s">
        <v>4454</v>
      </c>
      <c r="I987" s="56" t="s">
        <v>1834</v>
      </c>
      <c r="J987" s="56"/>
      <c r="K987" s="56"/>
      <c r="L987" s="56"/>
      <c r="M987" s="56"/>
      <c r="N987" s="56" t="s">
        <v>17</v>
      </c>
      <c r="O987" s="56">
        <v>51</v>
      </c>
      <c r="P987" s="59" t="s">
        <v>2532</v>
      </c>
      <c r="Q987" s="56" t="s">
        <v>192</v>
      </c>
      <c r="U987" s="52">
        <v>3500352</v>
      </c>
      <c r="V987">
        <v>31.75</v>
      </c>
      <c r="W987">
        <v>0</v>
      </c>
      <c r="X987">
        <v>2.5</v>
      </c>
      <c r="Y987">
        <v>6</v>
      </c>
      <c r="Z987" t="s">
        <v>1914</v>
      </c>
      <c r="AA987" t="s">
        <v>1003</v>
      </c>
      <c r="AB987" t="s">
        <v>2520</v>
      </c>
      <c r="AC987" t="s">
        <v>799</v>
      </c>
      <c r="AD987" t="s">
        <v>1838</v>
      </c>
      <c r="AE987" t="s">
        <v>845</v>
      </c>
      <c r="AF987">
        <v>1.802458125</v>
      </c>
    </row>
    <row r="988" spans="1:32" x14ac:dyDescent="0.25">
      <c r="A988" s="56">
        <v>2410388</v>
      </c>
      <c r="B988" s="56" t="s">
        <v>819</v>
      </c>
      <c r="C988" s="56" t="s">
        <v>4589</v>
      </c>
      <c r="D988" s="56"/>
      <c r="E988" s="57">
        <v>107</v>
      </c>
      <c r="F988" s="57">
        <v>0.107</v>
      </c>
      <c r="G988" s="56" t="s">
        <v>392</v>
      </c>
      <c r="H988" s="56" t="s">
        <v>4454</v>
      </c>
      <c r="I988" s="56" t="s">
        <v>1834</v>
      </c>
      <c r="J988" s="56"/>
      <c r="K988" s="56"/>
      <c r="L988" s="56"/>
      <c r="M988" s="56"/>
      <c r="N988" s="56" t="s">
        <v>17</v>
      </c>
      <c r="O988" s="56">
        <v>38</v>
      </c>
      <c r="P988" s="59" t="s">
        <v>2532</v>
      </c>
      <c r="Q988" s="56" t="s">
        <v>192</v>
      </c>
      <c r="U988" s="52">
        <v>1940686</v>
      </c>
      <c r="V988">
        <v>31.75</v>
      </c>
      <c r="W988">
        <v>0</v>
      </c>
      <c r="X988">
        <v>2.5</v>
      </c>
      <c r="Y988">
        <v>6</v>
      </c>
      <c r="Z988" t="s">
        <v>1881</v>
      </c>
      <c r="AA988" t="s">
        <v>1003</v>
      </c>
      <c r="AB988" t="s">
        <v>2520</v>
      </c>
      <c r="AC988" t="s">
        <v>799</v>
      </c>
      <c r="AD988" t="s">
        <v>1838</v>
      </c>
      <c r="AE988" t="s">
        <v>845</v>
      </c>
      <c r="AF988">
        <v>1.802458125</v>
      </c>
    </row>
    <row r="989" spans="1:32" x14ac:dyDescent="0.25">
      <c r="A989" s="56">
        <v>2410388</v>
      </c>
      <c r="B989" s="56" t="s">
        <v>819</v>
      </c>
      <c r="C989" s="56" t="s">
        <v>4591</v>
      </c>
      <c r="D989" s="56"/>
      <c r="E989" s="57">
        <v>822</v>
      </c>
      <c r="F989" s="57">
        <v>0.82199999999999995</v>
      </c>
      <c r="G989" s="56" t="s">
        <v>392</v>
      </c>
      <c r="H989" s="56" t="s">
        <v>4454</v>
      </c>
      <c r="I989" s="56" t="s">
        <v>1834</v>
      </c>
      <c r="J989" s="56"/>
      <c r="K989" s="56"/>
      <c r="L989" s="56"/>
      <c r="M989" s="56"/>
      <c r="N989" s="56" t="s">
        <v>17</v>
      </c>
      <c r="O989" s="56">
        <v>38</v>
      </c>
      <c r="P989" s="59" t="s">
        <v>2532</v>
      </c>
      <c r="Q989" s="56" t="s">
        <v>192</v>
      </c>
      <c r="U989" s="52">
        <v>1138892</v>
      </c>
      <c r="V989">
        <v>31.75</v>
      </c>
      <c r="W989">
        <v>0</v>
      </c>
      <c r="X989">
        <v>2.5</v>
      </c>
      <c r="Y989">
        <v>6</v>
      </c>
      <c r="Z989" t="s">
        <v>1914</v>
      </c>
      <c r="AA989" t="s">
        <v>1003</v>
      </c>
      <c r="AB989" t="s">
        <v>2520</v>
      </c>
      <c r="AC989" t="s">
        <v>799</v>
      </c>
      <c r="AD989" t="s">
        <v>1838</v>
      </c>
      <c r="AE989" t="s">
        <v>845</v>
      </c>
      <c r="AF989">
        <v>1.802458125</v>
      </c>
    </row>
    <row r="990" spans="1:32" x14ac:dyDescent="0.25">
      <c r="A990" s="56">
        <v>2410388</v>
      </c>
      <c r="B990" s="56" t="s">
        <v>819</v>
      </c>
      <c r="C990" s="56" t="s">
        <v>4593</v>
      </c>
      <c r="D990" s="56"/>
      <c r="E990" s="57">
        <v>805</v>
      </c>
      <c r="F990" s="57">
        <v>0.80500000000000005</v>
      </c>
      <c r="G990" s="56" t="s">
        <v>392</v>
      </c>
      <c r="H990" s="56" t="s">
        <v>4454</v>
      </c>
      <c r="I990" s="56" t="s">
        <v>1834</v>
      </c>
      <c r="J990" s="56"/>
      <c r="K990" s="56"/>
      <c r="L990" s="56"/>
      <c r="M990" s="56"/>
      <c r="N990" s="56" t="s">
        <v>17</v>
      </c>
      <c r="O990" s="56">
        <v>38</v>
      </c>
      <c r="P990" s="59" t="s">
        <v>2532</v>
      </c>
      <c r="Q990" s="56" t="s">
        <v>192</v>
      </c>
      <c r="U990" s="52">
        <v>1941840</v>
      </c>
      <c r="V990">
        <v>31.75</v>
      </c>
      <c r="W990">
        <v>0</v>
      </c>
      <c r="X990">
        <v>2.5</v>
      </c>
      <c r="Y990">
        <v>6</v>
      </c>
      <c r="Z990" t="s">
        <v>1891</v>
      </c>
      <c r="AA990" t="s">
        <v>1003</v>
      </c>
      <c r="AB990" t="s">
        <v>2520</v>
      </c>
      <c r="AC990" t="s">
        <v>799</v>
      </c>
      <c r="AD990" t="s">
        <v>1838</v>
      </c>
      <c r="AE990" t="s">
        <v>845</v>
      </c>
      <c r="AF990">
        <v>1.802458125</v>
      </c>
    </row>
    <row r="991" spans="1:32" x14ac:dyDescent="0.25">
      <c r="A991" s="56">
        <v>2410388</v>
      </c>
      <c r="B991" s="56" t="s">
        <v>819</v>
      </c>
      <c r="C991" s="56" t="s">
        <v>4594</v>
      </c>
      <c r="D991" s="56"/>
      <c r="E991" s="57">
        <v>1571</v>
      </c>
      <c r="F991" s="57">
        <v>1.571</v>
      </c>
      <c r="G991" s="56" t="s">
        <v>392</v>
      </c>
      <c r="H991" s="56" t="s">
        <v>4454</v>
      </c>
      <c r="I991" s="56" t="s">
        <v>1834</v>
      </c>
      <c r="J991" s="56"/>
      <c r="K991" s="56"/>
      <c r="L991" s="56"/>
      <c r="M991" s="56"/>
      <c r="N991" s="56" t="s">
        <v>17</v>
      </c>
      <c r="O991" s="56">
        <v>44</v>
      </c>
      <c r="P991" s="59" t="s">
        <v>2532</v>
      </c>
      <c r="Q991" s="56" t="s">
        <v>192</v>
      </c>
      <c r="U991" s="52">
        <v>1940685</v>
      </c>
      <c r="V991">
        <v>31.75</v>
      </c>
      <c r="W991">
        <v>0</v>
      </c>
      <c r="X991">
        <v>2.5</v>
      </c>
      <c r="Y991">
        <v>6</v>
      </c>
      <c r="Z991" t="s">
        <v>4431</v>
      </c>
      <c r="AA991" t="s">
        <v>1003</v>
      </c>
      <c r="AB991" t="s">
        <v>2520</v>
      </c>
      <c r="AC991" t="s">
        <v>799</v>
      </c>
      <c r="AD991" t="s">
        <v>1838</v>
      </c>
      <c r="AE991" t="s">
        <v>845</v>
      </c>
      <c r="AF991">
        <v>1.802458125</v>
      </c>
    </row>
    <row r="992" spans="1:32" x14ac:dyDescent="0.25">
      <c r="A992" s="56">
        <v>2410388</v>
      </c>
      <c r="B992" s="56" t="s">
        <v>819</v>
      </c>
      <c r="C992" s="56" t="s">
        <v>4596</v>
      </c>
      <c r="D992" s="56"/>
      <c r="E992" s="57">
        <v>1709</v>
      </c>
      <c r="F992" s="57">
        <v>1.7090000000000001</v>
      </c>
      <c r="G992" s="56" t="s">
        <v>392</v>
      </c>
      <c r="H992" s="56" t="s">
        <v>4454</v>
      </c>
      <c r="I992" s="56" t="s">
        <v>1834</v>
      </c>
      <c r="J992" s="56"/>
      <c r="K992" s="56"/>
      <c r="L992" s="56"/>
      <c r="M992" s="56"/>
      <c r="N992" s="56" t="s">
        <v>17</v>
      </c>
      <c r="O992" s="56">
        <v>44</v>
      </c>
      <c r="P992" s="59" t="s">
        <v>2532</v>
      </c>
      <c r="Q992" s="56" t="s">
        <v>192</v>
      </c>
      <c r="U992">
        <v>3702361</v>
      </c>
      <c r="V992">
        <v>31.75</v>
      </c>
      <c r="W992">
        <v>0</v>
      </c>
      <c r="X992">
        <v>2.5</v>
      </c>
      <c r="Y992">
        <v>6</v>
      </c>
      <c r="Z992" t="s">
        <v>1881</v>
      </c>
      <c r="AA992" t="s">
        <v>1003</v>
      </c>
      <c r="AB992" t="s">
        <v>2520</v>
      </c>
      <c r="AC992" t="s">
        <v>799</v>
      </c>
      <c r="AD992" t="s">
        <v>1838</v>
      </c>
      <c r="AE992" t="s">
        <v>845</v>
      </c>
      <c r="AF992">
        <v>1.802458125</v>
      </c>
    </row>
    <row r="993" spans="1:32" x14ac:dyDescent="0.25">
      <c r="A993" s="56">
        <v>2410388</v>
      </c>
      <c r="B993" s="56" t="s">
        <v>819</v>
      </c>
      <c r="C993" s="56" t="s">
        <v>4597</v>
      </c>
      <c r="D993" s="56"/>
      <c r="E993" s="57">
        <v>61</v>
      </c>
      <c r="F993" s="57">
        <v>6.0999999999999999E-2</v>
      </c>
      <c r="G993" s="56" t="s">
        <v>392</v>
      </c>
      <c r="H993" s="56" t="s">
        <v>4454</v>
      </c>
      <c r="I993" s="56" t="s">
        <v>1834</v>
      </c>
      <c r="J993" s="56"/>
      <c r="K993" s="56"/>
      <c r="L993" s="56"/>
      <c r="M993" s="56"/>
      <c r="N993" s="56" t="s">
        <v>17</v>
      </c>
      <c r="O993" s="56">
        <v>38</v>
      </c>
      <c r="P993" s="59" t="s">
        <v>2532</v>
      </c>
      <c r="Q993" s="56" t="s">
        <v>192</v>
      </c>
      <c r="U993" s="52">
        <v>2410960</v>
      </c>
      <c r="V993">
        <v>31.75</v>
      </c>
      <c r="W993">
        <v>25</v>
      </c>
      <c r="X993">
        <v>3.375</v>
      </c>
      <c r="Y993">
        <v>6</v>
      </c>
      <c r="Z993" t="s">
        <v>1874</v>
      </c>
      <c r="AA993" t="s">
        <v>1003</v>
      </c>
      <c r="AB993" t="s">
        <v>2517</v>
      </c>
      <c r="AC993" t="s">
        <v>846</v>
      </c>
      <c r="AD993" t="s">
        <v>1838</v>
      </c>
      <c r="AE993" t="s">
        <v>848</v>
      </c>
      <c r="AF993">
        <v>2.3605268906250001</v>
      </c>
    </row>
    <row r="994" spans="1:32" x14ac:dyDescent="0.25">
      <c r="A994" s="56">
        <v>2410388</v>
      </c>
      <c r="B994" s="56" t="s">
        <v>819</v>
      </c>
      <c r="C994" s="56" t="s">
        <v>4598</v>
      </c>
      <c r="D994" s="56"/>
      <c r="E994" s="57">
        <v>1018</v>
      </c>
      <c r="F994" s="57">
        <v>1.018</v>
      </c>
      <c r="G994" s="56" t="s">
        <v>392</v>
      </c>
      <c r="H994" s="56" t="s">
        <v>4454</v>
      </c>
      <c r="I994" s="56" t="s">
        <v>1834</v>
      </c>
      <c r="J994" s="56"/>
      <c r="K994" s="56"/>
      <c r="L994" s="56"/>
      <c r="M994" s="56"/>
      <c r="N994" s="56" t="s">
        <v>17</v>
      </c>
      <c r="O994" s="56">
        <v>38</v>
      </c>
      <c r="P994" s="59" t="s">
        <v>2532</v>
      </c>
      <c r="Q994" s="56" t="s">
        <v>192</v>
      </c>
      <c r="U994" s="590">
        <v>3673945</v>
      </c>
      <c r="V994">
        <v>32</v>
      </c>
      <c r="W994">
        <v>0</v>
      </c>
      <c r="X994">
        <v>4.5</v>
      </c>
      <c r="Y994">
        <v>1.27</v>
      </c>
      <c r="Z994" t="s">
        <v>1891</v>
      </c>
      <c r="AA994" t="s">
        <v>1003</v>
      </c>
      <c r="AB994" t="s">
        <v>4582</v>
      </c>
      <c r="AC994" t="s">
        <v>4583</v>
      </c>
      <c r="AD994" t="s">
        <v>2171</v>
      </c>
      <c r="AE994" t="s">
        <v>4584</v>
      </c>
      <c r="AF994">
        <v>3.8738984625000001</v>
      </c>
    </row>
    <row r="995" spans="1:32" x14ac:dyDescent="0.25">
      <c r="A995" s="56">
        <v>2410388</v>
      </c>
      <c r="B995" s="56" t="s">
        <v>819</v>
      </c>
      <c r="C995" s="56" t="s">
        <v>4599</v>
      </c>
      <c r="D995" s="56"/>
      <c r="E995" s="57">
        <v>1066</v>
      </c>
      <c r="F995" s="57">
        <v>1.0660000000000001</v>
      </c>
      <c r="G995" s="56" t="s">
        <v>392</v>
      </c>
      <c r="H995" s="56" t="s">
        <v>4454</v>
      </c>
      <c r="I995" s="56" t="s">
        <v>1834</v>
      </c>
      <c r="J995" s="56"/>
      <c r="K995" s="56"/>
      <c r="L995" s="56"/>
      <c r="M995" s="56"/>
      <c r="N995" s="56" t="s">
        <v>17</v>
      </c>
      <c r="O995" s="56">
        <v>38</v>
      </c>
      <c r="P995" s="59" t="s">
        <v>2532</v>
      </c>
      <c r="Q995" s="56" t="s">
        <v>192</v>
      </c>
      <c r="U995" s="590">
        <v>3673942</v>
      </c>
      <c r="V995">
        <v>32</v>
      </c>
      <c r="W995">
        <v>0</v>
      </c>
      <c r="X995">
        <v>4.5</v>
      </c>
      <c r="Y995">
        <v>1.288</v>
      </c>
      <c r="Z995" t="s">
        <v>1891</v>
      </c>
      <c r="AA995" t="s">
        <v>1003</v>
      </c>
      <c r="AB995" t="s">
        <v>4582</v>
      </c>
      <c r="AC995" t="s">
        <v>4583</v>
      </c>
      <c r="AD995" t="s">
        <v>2171</v>
      </c>
      <c r="AE995" t="s">
        <v>4586</v>
      </c>
      <c r="AF995">
        <v>3.9288041100000002</v>
      </c>
    </row>
    <row r="996" spans="1:32" x14ac:dyDescent="0.25">
      <c r="A996" s="56">
        <v>2410388</v>
      </c>
      <c r="B996" s="56" t="s">
        <v>819</v>
      </c>
      <c r="C996" s="56" t="s">
        <v>4601</v>
      </c>
      <c r="D996" s="56"/>
      <c r="E996" s="57">
        <v>117</v>
      </c>
      <c r="F996" s="57">
        <v>0.11700000000000001</v>
      </c>
      <c r="G996" s="56" t="s">
        <v>392</v>
      </c>
      <c r="H996" s="56" t="s">
        <v>4454</v>
      </c>
      <c r="I996" s="56" t="s">
        <v>1834</v>
      </c>
      <c r="J996" s="56"/>
      <c r="K996" s="56"/>
      <c r="L996" s="56"/>
      <c r="M996" s="56"/>
      <c r="N996" s="56" t="s">
        <v>17</v>
      </c>
      <c r="O996" s="56">
        <v>90</v>
      </c>
      <c r="P996" s="59" t="s">
        <v>2579</v>
      </c>
      <c r="Q996" s="56" t="s">
        <v>192</v>
      </c>
      <c r="U996" s="590">
        <v>3673944</v>
      </c>
      <c r="V996">
        <v>32</v>
      </c>
      <c r="W996">
        <v>0</v>
      </c>
      <c r="X996">
        <v>4.5</v>
      </c>
      <c r="Y996">
        <v>1.591</v>
      </c>
      <c r="Z996" t="s">
        <v>1891</v>
      </c>
      <c r="AA996" t="s">
        <v>1003</v>
      </c>
      <c r="AB996" t="s">
        <v>4582</v>
      </c>
      <c r="AC996" t="s">
        <v>4583</v>
      </c>
      <c r="AD996" t="s">
        <v>2171</v>
      </c>
      <c r="AE996" t="s">
        <v>4588</v>
      </c>
      <c r="AF996">
        <v>4.8530491762499999</v>
      </c>
    </row>
    <row r="997" spans="1:32" x14ac:dyDescent="0.25">
      <c r="A997" s="56">
        <v>2410388</v>
      </c>
      <c r="B997" s="56" t="s">
        <v>819</v>
      </c>
      <c r="C997" s="56" t="s">
        <v>4602</v>
      </c>
      <c r="D997" s="56"/>
      <c r="E997" s="57">
        <v>732</v>
      </c>
      <c r="F997" s="57">
        <v>0.73199999999999998</v>
      </c>
      <c r="G997" s="56" t="s">
        <v>392</v>
      </c>
      <c r="H997" s="56" t="s">
        <v>4454</v>
      </c>
      <c r="I997" s="56" t="s">
        <v>1834</v>
      </c>
      <c r="J997" s="56"/>
      <c r="K997" s="56"/>
      <c r="L997" s="56"/>
      <c r="M997" s="56"/>
      <c r="N997" s="56" t="s">
        <v>17</v>
      </c>
      <c r="O997" s="56">
        <v>90</v>
      </c>
      <c r="P997" s="59" t="s">
        <v>2579</v>
      </c>
      <c r="Q997" s="56" t="s">
        <v>192</v>
      </c>
      <c r="U997" s="590">
        <v>1939872</v>
      </c>
      <c r="V997">
        <v>32</v>
      </c>
      <c r="W997">
        <v>0</v>
      </c>
      <c r="X997">
        <v>4.5</v>
      </c>
      <c r="Y997">
        <v>3.3</v>
      </c>
      <c r="Z997" t="s">
        <v>2088</v>
      </c>
      <c r="AA997" t="s">
        <v>1003</v>
      </c>
      <c r="AB997" t="s">
        <v>2517</v>
      </c>
      <c r="AC997" t="s">
        <v>4583</v>
      </c>
      <c r="AD997" t="s">
        <v>2171</v>
      </c>
      <c r="AE997" t="s">
        <v>4590</v>
      </c>
      <c r="AF997">
        <v>10.066035374999998</v>
      </c>
    </row>
    <row r="998" spans="1:32" x14ac:dyDescent="0.25">
      <c r="A998" s="56">
        <v>2410388</v>
      </c>
      <c r="B998" s="56" t="s">
        <v>819</v>
      </c>
      <c r="C998" s="56" t="s">
        <v>4605</v>
      </c>
      <c r="D998" s="56"/>
      <c r="E998" s="57">
        <v>94</v>
      </c>
      <c r="F998" s="57">
        <v>9.4E-2</v>
      </c>
      <c r="G998" s="56" t="s">
        <v>392</v>
      </c>
      <c r="H998" s="56" t="s">
        <v>2511</v>
      </c>
      <c r="I998" s="56" t="s">
        <v>1834</v>
      </c>
      <c r="J998" s="56"/>
      <c r="K998" s="56"/>
      <c r="L998" s="56"/>
      <c r="M998" s="56"/>
      <c r="N998" s="56" t="s">
        <v>17</v>
      </c>
      <c r="O998" s="56">
        <v>35</v>
      </c>
      <c r="P998" s="59" t="s">
        <v>2532</v>
      </c>
      <c r="Q998" s="56" t="s">
        <v>192</v>
      </c>
      <c r="U998" s="52">
        <v>3694074</v>
      </c>
      <c r="V998">
        <v>32</v>
      </c>
      <c r="W998">
        <v>0</v>
      </c>
      <c r="X998">
        <v>4.5</v>
      </c>
      <c r="Y998">
        <v>6.4</v>
      </c>
      <c r="Z998" t="s">
        <v>1914</v>
      </c>
      <c r="AA998" t="s">
        <v>1003</v>
      </c>
      <c r="AB998" t="s">
        <v>4582</v>
      </c>
      <c r="AC998" t="s">
        <v>4583</v>
      </c>
      <c r="AD998" t="s">
        <v>1838</v>
      </c>
      <c r="AE998" t="s">
        <v>4592</v>
      </c>
      <c r="AF998">
        <v>3.0503137499999999</v>
      </c>
    </row>
    <row r="999" spans="1:32" x14ac:dyDescent="0.25">
      <c r="A999" s="56">
        <v>2410388</v>
      </c>
      <c r="B999" s="56" t="s">
        <v>819</v>
      </c>
      <c r="C999" s="56" t="s">
        <v>4607</v>
      </c>
      <c r="D999" s="56"/>
      <c r="E999" s="57">
        <v>1556</v>
      </c>
      <c r="F999" s="57">
        <v>1.556</v>
      </c>
      <c r="G999" s="56" t="s">
        <v>392</v>
      </c>
      <c r="H999" s="56" t="s">
        <v>2511</v>
      </c>
      <c r="I999" s="56" t="s">
        <v>1834</v>
      </c>
      <c r="J999" s="56"/>
      <c r="K999" s="56"/>
      <c r="L999" s="56"/>
      <c r="M999" s="56"/>
      <c r="N999" s="56" t="s">
        <v>17</v>
      </c>
      <c r="O999" s="56">
        <v>31</v>
      </c>
      <c r="P999" s="59" t="s">
        <v>2532</v>
      </c>
      <c r="Q999" s="56" t="s">
        <v>192</v>
      </c>
      <c r="U999" s="52">
        <v>3806599</v>
      </c>
      <c r="V999">
        <v>32.700000000000003</v>
      </c>
      <c r="W999">
        <v>26.3</v>
      </c>
      <c r="X999">
        <v>3.2</v>
      </c>
      <c r="Y999">
        <v>6</v>
      </c>
      <c r="Z999" t="s">
        <v>1874</v>
      </c>
      <c r="AA999" t="s">
        <v>1003</v>
      </c>
      <c r="AB999" t="s">
        <v>2572</v>
      </c>
      <c r="AC999" t="s">
        <v>4524</v>
      </c>
      <c r="AD999" t="s">
        <v>1838</v>
      </c>
      <c r="AE999" t="s">
        <v>4525</v>
      </c>
      <c r="AF999">
        <v>2.3268656000000005</v>
      </c>
    </row>
    <row r="1000" spans="1:32" x14ac:dyDescent="0.25">
      <c r="A1000" s="56">
        <v>2410388</v>
      </c>
      <c r="B1000" s="56" t="s">
        <v>819</v>
      </c>
      <c r="C1000" s="56" t="s">
        <v>4609</v>
      </c>
      <c r="D1000" s="56"/>
      <c r="E1000" s="57">
        <v>91.6</v>
      </c>
      <c r="F1000" s="57">
        <v>9.1600000000000001E-2</v>
      </c>
      <c r="G1000" s="56" t="s">
        <v>392</v>
      </c>
      <c r="H1000" s="56" t="s">
        <v>1914</v>
      </c>
      <c r="I1000" s="56" t="s">
        <v>1834</v>
      </c>
      <c r="J1000" s="56"/>
      <c r="K1000" s="56"/>
      <c r="L1000" s="56"/>
      <c r="M1000" s="56"/>
      <c r="N1000" s="56" t="s">
        <v>17</v>
      </c>
      <c r="O1000" s="56">
        <v>2</v>
      </c>
      <c r="P1000" s="59" t="s">
        <v>2515</v>
      </c>
      <c r="Q1000" s="56" t="s">
        <v>192</v>
      </c>
      <c r="U1000" s="52">
        <v>2412748</v>
      </c>
      <c r="V1000">
        <v>33.299999999999997</v>
      </c>
      <c r="W1000">
        <v>29.3</v>
      </c>
      <c r="X1000">
        <v>2</v>
      </c>
      <c r="Y1000">
        <v>4.3</v>
      </c>
      <c r="Z1000" t="s">
        <v>1874</v>
      </c>
      <c r="AA1000" t="s">
        <v>1003</v>
      </c>
      <c r="AB1000" t="s">
        <v>2517</v>
      </c>
      <c r="AC1000" t="s">
        <v>1032</v>
      </c>
      <c r="AD1000" t="s">
        <v>1838</v>
      </c>
      <c r="AE1000" t="s">
        <v>4595</v>
      </c>
      <c r="AF1000">
        <v>1.5430273999999999</v>
      </c>
    </row>
    <row r="1001" spans="1:32" x14ac:dyDescent="0.25">
      <c r="A1001" s="56">
        <v>2410389</v>
      </c>
      <c r="B1001" s="56" t="s">
        <v>1165</v>
      </c>
      <c r="C1001" s="56" t="s">
        <v>4611</v>
      </c>
      <c r="D1001" s="56"/>
      <c r="E1001" s="57">
        <v>57</v>
      </c>
      <c r="F1001" s="57">
        <v>5.7000000000000002E-2</v>
      </c>
      <c r="G1001" s="56" t="s">
        <v>392</v>
      </c>
      <c r="H1001" s="56" t="s">
        <v>4454</v>
      </c>
      <c r="I1001" s="56" t="s">
        <v>1834</v>
      </c>
      <c r="J1001" s="56"/>
      <c r="K1001" s="56"/>
      <c r="L1001" s="56"/>
      <c r="M1001" s="56"/>
      <c r="N1001" s="56" t="s">
        <v>17</v>
      </c>
      <c r="O1001" s="56">
        <v>88</v>
      </c>
      <c r="P1001" s="59" t="s">
        <v>2579</v>
      </c>
      <c r="Q1001" s="56" t="s">
        <v>192</v>
      </c>
      <c r="U1001" s="52">
        <v>2410993</v>
      </c>
      <c r="V1001">
        <v>33.299999999999997</v>
      </c>
      <c r="W1001">
        <v>29.3</v>
      </c>
      <c r="X1001">
        <v>2</v>
      </c>
      <c r="Y1001">
        <v>6</v>
      </c>
      <c r="Z1001" t="s">
        <v>1874</v>
      </c>
      <c r="AA1001" t="s">
        <v>1003</v>
      </c>
      <c r="AB1001" t="s">
        <v>2517</v>
      </c>
      <c r="AC1001" t="s">
        <v>1032</v>
      </c>
      <c r="AD1001" t="s">
        <v>1838</v>
      </c>
      <c r="AE1001" t="s">
        <v>4595</v>
      </c>
      <c r="AF1001">
        <v>1.5430273999999999</v>
      </c>
    </row>
    <row r="1002" spans="1:32" x14ac:dyDescent="0.25">
      <c r="A1002" s="56">
        <v>2410389</v>
      </c>
      <c r="B1002" s="56" t="s">
        <v>1165</v>
      </c>
      <c r="C1002" s="56" t="s">
        <v>4613</v>
      </c>
      <c r="D1002" s="56"/>
      <c r="E1002" s="57">
        <v>635.73500000000001</v>
      </c>
      <c r="F1002" s="57">
        <v>0.63573500000000005</v>
      </c>
      <c r="G1002" s="56" t="s">
        <v>392</v>
      </c>
      <c r="H1002" s="56" t="s">
        <v>4454</v>
      </c>
      <c r="I1002" s="56" t="s">
        <v>1834</v>
      </c>
      <c r="J1002" s="56"/>
      <c r="K1002" s="56"/>
      <c r="L1002" s="56"/>
      <c r="M1002" s="56"/>
      <c r="N1002" s="56" t="s">
        <v>17</v>
      </c>
      <c r="O1002" s="56">
        <v>35</v>
      </c>
      <c r="P1002" s="59" t="s">
        <v>2532</v>
      </c>
      <c r="Q1002" s="56" t="s">
        <v>192</v>
      </c>
      <c r="U1002" s="52">
        <v>3552194</v>
      </c>
      <c r="V1002">
        <v>34</v>
      </c>
      <c r="W1002">
        <v>0</v>
      </c>
      <c r="X1002">
        <v>1.4</v>
      </c>
      <c r="Y1002">
        <v>6.52</v>
      </c>
      <c r="Z1002" t="s">
        <v>1881</v>
      </c>
      <c r="AA1002" t="s">
        <v>1003</v>
      </c>
      <c r="AB1002" t="s">
        <v>2520</v>
      </c>
      <c r="AC1002" t="s">
        <v>4524</v>
      </c>
      <c r="AD1002" t="s">
        <v>1838</v>
      </c>
      <c r="AE1002" t="s">
        <v>4525</v>
      </c>
      <c r="AF1002">
        <v>1.1249803600000001</v>
      </c>
    </row>
    <row r="1003" spans="1:32" x14ac:dyDescent="0.25">
      <c r="A1003" s="56">
        <v>2410960</v>
      </c>
      <c r="B1003" s="56" t="s">
        <v>847</v>
      </c>
      <c r="C1003" s="56" t="s">
        <v>4614</v>
      </c>
      <c r="D1003" s="56"/>
      <c r="E1003" s="57">
        <v>552</v>
      </c>
      <c r="F1003" s="57">
        <v>0.55200000000000005</v>
      </c>
      <c r="G1003" s="56" t="s">
        <v>392</v>
      </c>
      <c r="H1003" s="56" t="s">
        <v>4454</v>
      </c>
      <c r="I1003" s="56" t="s">
        <v>1834</v>
      </c>
      <c r="J1003" s="56"/>
      <c r="K1003" s="56"/>
      <c r="L1003" s="56"/>
      <c r="M1003" s="56"/>
      <c r="N1003" s="56" t="s">
        <v>17</v>
      </c>
      <c r="O1003" s="56">
        <v>38</v>
      </c>
      <c r="P1003" s="59" t="s">
        <v>2532</v>
      </c>
      <c r="Q1003" s="56" t="s">
        <v>192</v>
      </c>
      <c r="U1003" s="52">
        <v>3702855</v>
      </c>
      <c r="V1003">
        <v>34</v>
      </c>
      <c r="W1003">
        <v>0</v>
      </c>
      <c r="X1003">
        <v>1.4</v>
      </c>
      <c r="Y1003">
        <v>6.52</v>
      </c>
      <c r="Z1003" t="s">
        <v>1881</v>
      </c>
      <c r="AA1003" t="s">
        <v>1003</v>
      </c>
      <c r="AB1003" t="s">
        <v>2520</v>
      </c>
      <c r="AC1003" t="s">
        <v>4524</v>
      </c>
      <c r="AD1003" t="s">
        <v>1838</v>
      </c>
      <c r="AE1003" t="s">
        <v>4525</v>
      </c>
      <c r="AF1003">
        <v>1.1249803600000001</v>
      </c>
    </row>
    <row r="1004" spans="1:32" x14ac:dyDescent="0.25">
      <c r="A1004" s="56">
        <v>2410960</v>
      </c>
      <c r="B1004" s="56" t="s">
        <v>847</v>
      </c>
      <c r="C1004" s="56" t="s">
        <v>4615</v>
      </c>
      <c r="D1004" s="56"/>
      <c r="E1004" s="57">
        <v>457</v>
      </c>
      <c r="F1004" s="57">
        <v>0.45700000000000002</v>
      </c>
      <c r="G1004" s="56" t="s">
        <v>392</v>
      </c>
      <c r="H1004" s="56" t="s">
        <v>4454</v>
      </c>
      <c r="I1004" s="56" t="s">
        <v>1834</v>
      </c>
      <c r="J1004" s="56"/>
      <c r="K1004" s="56"/>
      <c r="L1004" s="56"/>
      <c r="M1004" s="56"/>
      <c r="N1004" s="56" t="s">
        <v>17</v>
      </c>
      <c r="O1004" s="56">
        <v>38</v>
      </c>
      <c r="P1004" s="59" t="s">
        <v>2532</v>
      </c>
      <c r="Q1004" s="56" t="s">
        <v>192</v>
      </c>
      <c r="U1004" s="52">
        <v>3138219</v>
      </c>
      <c r="V1004">
        <v>34.93</v>
      </c>
      <c r="W1004">
        <v>0</v>
      </c>
      <c r="X1004">
        <v>1.2</v>
      </c>
      <c r="Y1004">
        <v>0.39</v>
      </c>
      <c r="Z1004" t="s">
        <v>1914</v>
      </c>
      <c r="AA1004" t="s">
        <v>1003</v>
      </c>
      <c r="AB1004" t="s">
        <v>2520</v>
      </c>
      <c r="AC1004" t="s">
        <v>1034</v>
      </c>
      <c r="AD1004" t="s">
        <v>2171</v>
      </c>
      <c r="AE1004" t="s">
        <v>4600</v>
      </c>
      <c r="AF1004">
        <v>0.38910024035999996</v>
      </c>
    </row>
    <row r="1005" spans="1:32" x14ac:dyDescent="0.25">
      <c r="A1005" s="56">
        <v>2410960</v>
      </c>
      <c r="B1005" s="56" t="s">
        <v>847</v>
      </c>
      <c r="C1005" s="56" t="s">
        <v>4616</v>
      </c>
      <c r="D1005" s="56"/>
      <c r="E1005" s="57">
        <v>52</v>
      </c>
      <c r="F1005" s="57">
        <v>5.1999999999999998E-2</v>
      </c>
      <c r="G1005" s="56" t="s">
        <v>392</v>
      </c>
      <c r="H1005" s="56" t="s">
        <v>4454</v>
      </c>
      <c r="I1005" s="56" t="s">
        <v>1834</v>
      </c>
      <c r="J1005" s="56"/>
      <c r="K1005" s="56"/>
      <c r="L1005" s="56"/>
      <c r="M1005" s="56"/>
      <c r="N1005" s="56" t="s">
        <v>17</v>
      </c>
      <c r="O1005" s="56">
        <v>56</v>
      </c>
      <c r="P1005" s="59" t="s">
        <v>2532</v>
      </c>
      <c r="Q1005" s="56" t="s">
        <v>192</v>
      </c>
      <c r="U1005">
        <v>3781678</v>
      </c>
      <c r="V1005">
        <v>34.93</v>
      </c>
      <c r="W1005">
        <v>0</v>
      </c>
      <c r="X1005">
        <v>1.2</v>
      </c>
      <c r="Y1005">
        <v>0.39</v>
      </c>
      <c r="Z1005" t="s">
        <v>2821</v>
      </c>
      <c r="AA1005" t="s">
        <v>1003</v>
      </c>
      <c r="AB1005" t="s">
        <v>2520</v>
      </c>
      <c r="AC1005" t="s">
        <v>1034</v>
      </c>
      <c r="AD1005" t="s">
        <v>2171</v>
      </c>
      <c r="AE1005" t="s">
        <v>4600</v>
      </c>
      <c r="AF1005">
        <v>0.38910024035999996</v>
      </c>
    </row>
    <row r="1006" spans="1:32" x14ac:dyDescent="0.25">
      <c r="A1006" s="56">
        <v>2410960</v>
      </c>
      <c r="B1006" s="56" t="s">
        <v>847</v>
      </c>
      <c r="C1006" s="56" t="s">
        <v>4617</v>
      </c>
      <c r="D1006" s="56"/>
      <c r="E1006" s="57">
        <v>1052</v>
      </c>
      <c r="F1006" s="57">
        <v>1.052</v>
      </c>
      <c r="G1006" s="56" t="s">
        <v>392</v>
      </c>
      <c r="H1006" s="56" t="s">
        <v>4454</v>
      </c>
      <c r="I1006" s="56" t="s">
        <v>1834</v>
      </c>
      <c r="J1006" s="56"/>
      <c r="K1006" s="56"/>
      <c r="L1006" s="56"/>
      <c r="M1006" s="56"/>
      <c r="N1006" s="56" t="s">
        <v>17</v>
      </c>
      <c r="O1006" s="56">
        <v>56</v>
      </c>
      <c r="P1006" s="59" t="s">
        <v>2532</v>
      </c>
      <c r="Q1006" s="56" t="s">
        <v>192</v>
      </c>
      <c r="U1006" s="52">
        <v>3210433</v>
      </c>
      <c r="V1006">
        <v>34.93</v>
      </c>
      <c r="W1006">
        <v>0</v>
      </c>
      <c r="X1006">
        <v>1.2</v>
      </c>
      <c r="Y1006">
        <v>0.39400000000000002</v>
      </c>
      <c r="Z1006" t="s">
        <v>1952</v>
      </c>
      <c r="AA1006" t="s">
        <v>963</v>
      </c>
      <c r="AB1006" t="s">
        <v>2520</v>
      </c>
      <c r="AC1006" t="s">
        <v>4603</v>
      </c>
      <c r="AD1006" t="s">
        <v>2171</v>
      </c>
      <c r="AE1006" t="s">
        <v>4604</v>
      </c>
      <c r="AF1006">
        <v>0.39309101205599994</v>
      </c>
    </row>
    <row r="1007" spans="1:32" x14ac:dyDescent="0.25">
      <c r="A1007" s="56">
        <v>2410960</v>
      </c>
      <c r="B1007" s="56" t="s">
        <v>847</v>
      </c>
      <c r="C1007" s="56" t="s">
        <v>4618</v>
      </c>
      <c r="D1007" s="56"/>
      <c r="E1007" s="57">
        <v>821</v>
      </c>
      <c r="F1007" s="57">
        <v>0.82099999999999995</v>
      </c>
      <c r="G1007" s="56" t="s">
        <v>392</v>
      </c>
      <c r="H1007" s="56" t="s">
        <v>4454</v>
      </c>
      <c r="I1007" s="56" t="s">
        <v>1834</v>
      </c>
      <c r="J1007" s="56"/>
      <c r="K1007" s="56"/>
      <c r="L1007" s="56"/>
      <c r="M1007" s="56"/>
      <c r="N1007" s="56" t="s">
        <v>17</v>
      </c>
      <c r="O1007" s="56">
        <v>56</v>
      </c>
      <c r="P1007" s="59" t="s">
        <v>2532</v>
      </c>
      <c r="Q1007" s="56" t="s">
        <v>192</v>
      </c>
      <c r="U1007" s="52">
        <v>1438913</v>
      </c>
      <c r="V1007">
        <v>34.93</v>
      </c>
      <c r="W1007">
        <v>0</v>
      </c>
      <c r="X1007">
        <v>1.2</v>
      </c>
      <c r="Y1007">
        <v>0.45</v>
      </c>
      <c r="Z1007" t="s">
        <v>1914</v>
      </c>
      <c r="AA1007" t="s">
        <v>963</v>
      </c>
      <c r="AB1007" t="s">
        <v>2520</v>
      </c>
      <c r="AC1007" t="s">
        <v>4603</v>
      </c>
      <c r="AD1007" t="s">
        <v>2171</v>
      </c>
      <c r="AE1007" t="s">
        <v>4606</v>
      </c>
      <c r="AF1007">
        <v>0.44896181579999994</v>
      </c>
    </row>
    <row r="1008" spans="1:32" x14ac:dyDescent="0.25">
      <c r="A1008" s="56">
        <v>2410960</v>
      </c>
      <c r="B1008" s="56" t="s">
        <v>847</v>
      </c>
      <c r="C1008" s="56" t="s">
        <v>4619</v>
      </c>
      <c r="D1008" s="56"/>
      <c r="E1008" s="57">
        <v>1751</v>
      </c>
      <c r="F1008" s="57">
        <v>1.7509999999999999</v>
      </c>
      <c r="G1008" s="56" t="s">
        <v>392</v>
      </c>
      <c r="H1008" s="56" t="s">
        <v>4454</v>
      </c>
      <c r="I1008" s="56" t="s">
        <v>1834</v>
      </c>
      <c r="J1008" s="56"/>
      <c r="K1008" s="56"/>
      <c r="L1008" s="56"/>
      <c r="M1008" s="56"/>
      <c r="N1008" s="56" t="s">
        <v>17</v>
      </c>
      <c r="O1008" s="56">
        <v>56</v>
      </c>
      <c r="P1008" s="59" t="s">
        <v>2532</v>
      </c>
      <c r="Q1008" s="56" t="s">
        <v>192</v>
      </c>
      <c r="U1008" s="52">
        <v>2397073</v>
      </c>
      <c r="V1008">
        <v>34.93</v>
      </c>
      <c r="W1008">
        <v>0</v>
      </c>
      <c r="X1008">
        <v>1.2</v>
      </c>
      <c r="Y1008">
        <v>0.62</v>
      </c>
      <c r="Z1008" t="s">
        <v>1881</v>
      </c>
      <c r="AA1008" t="s">
        <v>1003</v>
      </c>
      <c r="AB1008" t="s">
        <v>2520</v>
      </c>
      <c r="AC1008" t="s">
        <v>1034</v>
      </c>
      <c r="AD1008" t="s">
        <v>2171</v>
      </c>
      <c r="AE1008" t="s">
        <v>4608</v>
      </c>
      <c r="AF1008">
        <v>0.6185696128799999</v>
      </c>
    </row>
    <row r="1009" spans="1:32" x14ac:dyDescent="0.25">
      <c r="A1009" s="56">
        <v>2410960</v>
      </c>
      <c r="B1009" s="56" t="s">
        <v>847</v>
      </c>
      <c r="C1009" s="56" t="s">
        <v>4621</v>
      </c>
      <c r="D1009" s="56"/>
      <c r="E1009" s="57">
        <v>135.31</v>
      </c>
      <c r="F1009" s="57">
        <v>0.13531000000000001</v>
      </c>
      <c r="G1009" s="56" t="s">
        <v>392</v>
      </c>
      <c r="H1009" s="56" t="s">
        <v>4454</v>
      </c>
      <c r="I1009" s="56" t="s">
        <v>1834</v>
      </c>
      <c r="J1009" s="56"/>
      <c r="K1009" s="56"/>
      <c r="L1009" s="56"/>
      <c r="M1009" s="56"/>
      <c r="N1009" s="56" t="s">
        <v>17</v>
      </c>
      <c r="O1009" s="56">
        <v>33</v>
      </c>
      <c r="P1009" s="59" t="s">
        <v>2532</v>
      </c>
      <c r="Q1009" s="56" t="s">
        <v>192</v>
      </c>
      <c r="U1009" s="52">
        <v>3649699</v>
      </c>
      <c r="V1009">
        <v>34.93</v>
      </c>
      <c r="W1009">
        <v>0</v>
      </c>
      <c r="X1009">
        <v>1.2</v>
      </c>
      <c r="Y1009">
        <v>0.7</v>
      </c>
      <c r="Z1009" t="s">
        <v>1881</v>
      </c>
      <c r="AA1009" t="s">
        <v>1003</v>
      </c>
      <c r="AB1009" t="s">
        <v>2520</v>
      </c>
      <c r="AC1009" t="s">
        <v>1034</v>
      </c>
      <c r="AD1009" t="s">
        <v>2171</v>
      </c>
      <c r="AE1009" t="s">
        <v>4610</v>
      </c>
      <c r="AF1009">
        <v>0.69838504679999991</v>
      </c>
    </row>
    <row r="1010" spans="1:32" x14ac:dyDescent="0.25">
      <c r="A1010" s="56">
        <v>2410960</v>
      </c>
      <c r="B1010" s="56" t="s">
        <v>847</v>
      </c>
      <c r="C1010" s="56" t="s">
        <v>4622</v>
      </c>
      <c r="D1010" s="56"/>
      <c r="E1010" s="57">
        <v>65</v>
      </c>
      <c r="F1010" s="57">
        <v>6.5000000000000002E-2</v>
      </c>
      <c r="G1010" s="56" t="s">
        <v>392</v>
      </c>
      <c r="H1010" s="56" t="s">
        <v>4454</v>
      </c>
      <c r="I1010" s="56" t="s">
        <v>1834</v>
      </c>
      <c r="J1010" s="56"/>
      <c r="K1010" s="56"/>
      <c r="L1010" s="56"/>
      <c r="M1010" s="56"/>
      <c r="N1010" s="56" t="s">
        <v>17</v>
      </c>
      <c r="O1010" s="56">
        <v>83</v>
      </c>
      <c r="P1010" s="59" t="s">
        <v>2579</v>
      </c>
      <c r="Q1010" s="56" t="s">
        <v>192</v>
      </c>
      <c r="U1010" s="52">
        <v>3447254</v>
      </c>
      <c r="V1010">
        <v>34.93</v>
      </c>
      <c r="W1010">
        <v>0</v>
      </c>
      <c r="X1010">
        <v>1.2</v>
      </c>
      <c r="Y1010">
        <v>5.67</v>
      </c>
      <c r="Z1010" t="s">
        <v>1881</v>
      </c>
      <c r="AA1010" t="s">
        <v>1003</v>
      </c>
      <c r="AB1010" t="s">
        <v>2520</v>
      </c>
      <c r="AC1010" t="s">
        <v>1034</v>
      </c>
      <c r="AD1010" t="s">
        <v>1838</v>
      </c>
      <c r="AE1010" t="s">
        <v>4612</v>
      </c>
      <c r="AF1010">
        <v>0.99769292399999987</v>
      </c>
    </row>
    <row r="1011" spans="1:32" x14ac:dyDescent="0.25">
      <c r="A1011" s="56">
        <v>2410960</v>
      </c>
      <c r="B1011" s="56" t="s">
        <v>847</v>
      </c>
      <c r="C1011" s="56" t="s">
        <v>4624</v>
      </c>
      <c r="D1011" s="56"/>
      <c r="E1011" s="57">
        <v>955</v>
      </c>
      <c r="F1011" s="57">
        <v>0.95499999999999996</v>
      </c>
      <c r="G1011" s="56" t="s">
        <v>392</v>
      </c>
      <c r="H1011" s="56" t="s">
        <v>4454</v>
      </c>
      <c r="I1011" s="56" t="s">
        <v>1834</v>
      </c>
      <c r="J1011" s="56"/>
      <c r="K1011" s="56"/>
      <c r="L1011" s="56"/>
      <c r="M1011" s="56"/>
      <c r="N1011" s="56" t="s">
        <v>17</v>
      </c>
      <c r="O1011" s="56">
        <v>83</v>
      </c>
      <c r="P1011" s="59" t="s">
        <v>2579</v>
      </c>
      <c r="Q1011" s="56" t="s">
        <v>192</v>
      </c>
      <c r="U1011" s="52">
        <v>3499611</v>
      </c>
      <c r="V1011">
        <v>34.93</v>
      </c>
      <c r="W1011">
        <v>0</v>
      </c>
      <c r="X1011">
        <v>1.2</v>
      </c>
      <c r="Y1011">
        <v>6</v>
      </c>
      <c r="Z1011" t="s">
        <v>1914</v>
      </c>
      <c r="AA1011" t="s">
        <v>1003</v>
      </c>
      <c r="AB1011" t="s">
        <v>2520</v>
      </c>
      <c r="AC1011" t="s">
        <v>1034</v>
      </c>
      <c r="AD1011" t="s">
        <v>1838</v>
      </c>
      <c r="AE1011" t="s">
        <v>4612</v>
      </c>
      <c r="AF1011">
        <v>0.99769292399999987</v>
      </c>
    </row>
    <row r="1012" spans="1:32" x14ac:dyDescent="0.25">
      <c r="A1012" s="56">
        <v>2410960</v>
      </c>
      <c r="B1012" s="56" t="s">
        <v>847</v>
      </c>
      <c r="C1012" s="56" t="s">
        <v>4626</v>
      </c>
      <c r="D1012" s="56"/>
      <c r="E1012" s="57">
        <v>976</v>
      </c>
      <c r="F1012" s="57">
        <v>0.97599999999999998</v>
      </c>
      <c r="G1012" s="56" t="s">
        <v>392</v>
      </c>
      <c r="H1012" s="56" t="s">
        <v>4454</v>
      </c>
      <c r="I1012" s="56" t="s">
        <v>1834</v>
      </c>
      <c r="J1012" s="56"/>
      <c r="K1012" s="56"/>
      <c r="L1012" s="56"/>
      <c r="M1012" s="56"/>
      <c r="N1012" s="56" t="s">
        <v>17</v>
      </c>
      <c r="O1012" s="56">
        <v>83</v>
      </c>
      <c r="P1012" s="59" t="s">
        <v>2579</v>
      </c>
      <c r="Q1012" s="56" t="s">
        <v>192</v>
      </c>
      <c r="U1012" s="52">
        <v>1940701</v>
      </c>
      <c r="V1012">
        <v>34.93</v>
      </c>
      <c r="W1012">
        <v>0</v>
      </c>
      <c r="X1012">
        <v>1.2</v>
      </c>
      <c r="Y1012">
        <v>6</v>
      </c>
      <c r="Z1012" t="s">
        <v>1881</v>
      </c>
      <c r="AA1012" t="s">
        <v>1003</v>
      </c>
      <c r="AB1012" t="s">
        <v>2520</v>
      </c>
      <c r="AC1012" t="s">
        <v>1034</v>
      </c>
      <c r="AD1012" t="s">
        <v>1838</v>
      </c>
      <c r="AE1012" t="s">
        <v>4612</v>
      </c>
      <c r="AF1012">
        <v>0.99769292399999987</v>
      </c>
    </row>
    <row r="1013" spans="1:32" x14ac:dyDescent="0.25">
      <c r="A1013" s="56">
        <v>2410960</v>
      </c>
      <c r="B1013" s="56" t="s">
        <v>847</v>
      </c>
      <c r="C1013" s="56" t="s">
        <v>4627</v>
      </c>
      <c r="D1013" s="56"/>
      <c r="E1013" s="57">
        <v>74</v>
      </c>
      <c r="F1013" s="57">
        <v>7.3999999999999996E-2</v>
      </c>
      <c r="G1013" s="56" t="s">
        <v>392</v>
      </c>
      <c r="H1013" s="56" t="s">
        <v>4454</v>
      </c>
      <c r="I1013" s="56" t="s">
        <v>1834</v>
      </c>
      <c r="J1013" s="56"/>
      <c r="K1013" s="56"/>
      <c r="L1013" s="56"/>
      <c r="M1013" s="56"/>
      <c r="N1013" s="56" t="s">
        <v>17</v>
      </c>
      <c r="O1013" s="56">
        <v>83</v>
      </c>
      <c r="P1013" s="59" t="s">
        <v>2579</v>
      </c>
      <c r="Q1013" s="56" t="s">
        <v>192</v>
      </c>
      <c r="U1013" s="52">
        <v>3584140</v>
      </c>
      <c r="V1013">
        <v>34.93</v>
      </c>
      <c r="W1013">
        <v>0</v>
      </c>
      <c r="X1013">
        <v>1.2</v>
      </c>
      <c r="Y1013">
        <v>6.1</v>
      </c>
      <c r="Z1013" t="s">
        <v>1881</v>
      </c>
      <c r="AA1013" t="s">
        <v>1003</v>
      </c>
      <c r="AB1013" t="s">
        <v>2520</v>
      </c>
      <c r="AC1013" t="s">
        <v>1034</v>
      </c>
      <c r="AD1013" t="s">
        <v>1838</v>
      </c>
      <c r="AE1013" t="s">
        <v>4612</v>
      </c>
      <c r="AF1013">
        <v>0.99769292399999987</v>
      </c>
    </row>
    <row r="1014" spans="1:32" x14ac:dyDescent="0.25">
      <c r="A1014" s="56">
        <v>2410960</v>
      </c>
      <c r="B1014" s="56" t="s">
        <v>847</v>
      </c>
      <c r="C1014" s="56" t="s">
        <v>4630</v>
      </c>
      <c r="D1014" s="56"/>
      <c r="E1014" s="57">
        <v>874</v>
      </c>
      <c r="F1014" s="57">
        <v>0.874</v>
      </c>
      <c r="G1014" s="56" t="s">
        <v>392</v>
      </c>
      <c r="H1014" s="56" t="s">
        <v>4454</v>
      </c>
      <c r="I1014" s="56" t="s">
        <v>1834</v>
      </c>
      <c r="J1014" s="56"/>
      <c r="K1014" s="56"/>
      <c r="L1014" s="56"/>
      <c r="M1014" s="56"/>
      <c r="N1014" s="56" t="s">
        <v>17</v>
      </c>
      <c r="O1014" s="56">
        <v>83</v>
      </c>
      <c r="P1014" s="59" t="s">
        <v>2579</v>
      </c>
      <c r="Q1014" s="56" t="s">
        <v>192</v>
      </c>
      <c r="U1014" s="52">
        <v>1155165</v>
      </c>
      <c r="V1014">
        <v>34.93</v>
      </c>
      <c r="W1014">
        <v>0</v>
      </c>
      <c r="X1014">
        <v>1.6</v>
      </c>
      <c r="Y1014">
        <v>1.726</v>
      </c>
      <c r="Z1014" t="s">
        <v>1914</v>
      </c>
      <c r="AA1014" t="s">
        <v>963</v>
      </c>
      <c r="AB1014" t="s">
        <v>2520</v>
      </c>
      <c r="AC1014" t="s">
        <v>565</v>
      </c>
      <c r="AD1014" t="s">
        <v>2171</v>
      </c>
      <c r="AE1014" t="s">
        <v>567</v>
      </c>
      <c r="AF1014">
        <v>2.2687957110720003</v>
      </c>
    </row>
    <row r="1015" spans="1:32" x14ac:dyDescent="0.25">
      <c r="A1015" s="56">
        <v>2410960</v>
      </c>
      <c r="B1015" s="56" t="s">
        <v>847</v>
      </c>
      <c r="C1015" s="56" t="s">
        <v>4632</v>
      </c>
      <c r="D1015" s="56"/>
      <c r="E1015" s="57">
        <v>846</v>
      </c>
      <c r="F1015" s="57">
        <v>0.84599999999999997</v>
      </c>
      <c r="G1015" s="56" t="s">
        <v>392</v>
      </c>
      <c r="H1015" s="56" t="s">
        <v>4454</v>
      </c>
      <c r="I1015" s="56" t="s">
        <v>1834</v>
      </c>
      <c r="J1015" s="56"/>
      <c r="K1015" s="56"/>
      <c r="L1015" s="56"/>
      <c r="M1015" s="56"/>
      <c r="N1015" s="56" t="s">
        <v>17</v>
      </c>
      <c r="O1015" s="56">
        <v>83</v>
      </c>
      <c r="P1015" s="59" t="s">
        <v>2579</v>
      </c>
      <c r="Q1015" s="56" t="s">
        <v>192</v>
      </c>
      <c r="U1015" s="52">
        <v>1940711</v>
      </c>
      <c r="V1015">
        <v>34.93</v>
      </c>
      <c r="W1015">
        <v>0</v>
      </c>
      <c r="X1015">
        <v>1.6</v>
      </c>
      <c r="Y1015">
        <v>1.726</v>
      </c>
      <c r="Z1015" t="s">
        <v>1881</v>
      </c>
      <c r="AA1015" t="s">
        <v>1003</v>
      </c>
      <c r="AB1015" t="s">
        <v>2520</v>
      </c>
      <c r="AC1015" t="s">
        <v>565</v>
      </c>
      <c r="AD1015" t="s">
        <v>2171</v>
      </c>
      <c r="AE1015" t="s">
        <v>567</v>
      </c>
      <c r="AF1015">
        <v>2.2687957110720003</v>
      </c>
    </row>
    <row r="1016" spans="1:32" x14ac:dyDescent="0.25">
      <c r="A1016" s="56">
        <v>2410960</v>
      </c>
      <c r="B1016" s="56" t="s">
        <v>847</v>
      </c>
      <c r="C1016" s="56" t="s">
        <v>4634</v>
      </c>
      <c r="D1016" s="56"/>
      <c r="E1016" s="57">
        <v>150</v>
      </c>
      <c r="F1016" s="57">
        <v>0.15</v>
      </c>
      <c r="G1016" s="56" t="s">
        <v>392</v>
      </c>
      <c r="H1016" s="56" t="s">
        <v>4454</v>
      </c>
      <c r="I1016" s="56" t="s">
        <v>1834</v>
      </c>
      <c r="J1016" s="56"/>
      <c r="K1016" s="56"/>
      <c r="L1016" s="56"/>
      <c r="M1016" s="56"/>
      <c r="N1016" s="56" t="s">
        <v>17</v>
      </c>
      <c r="O1016" s="56">
        <v>83</v>
      </c>
      <c r="P1016" s="59" t="s">
        <v>2579</v>
      </c>
      <c r="Q1016" s="56" t="s">
        <v>192</v>
      </c>
      <c r="U1016" s="52">
        <v>1940710</v>
      </c>
      <c r="V1016">
        <v>34.93</v>
      </c>
      <c r="W1016">
        <v>0</v>
      </c>
      <c r="X1016">
        <v>1.6</v>
      </c>
      <c r="Y1016">
        <v>1.726</v>
      </c>
      <c r="Z1016" t="s">
        <v>1891</v>
      </c>
      <c r="AA1016" t="s">
        <v>1003</v>
      </c>
      <c r="AB1016" t="s">
        <v>2520</v>
      </c>
      <c r="AC1016" t="s">
        <v>565</v>
      </c>
      <c r="AD1016" t="s">
        <v>2171</v>
      </c>
      <c r="AE1016" t="s">
        <v>567</v>
      </c>
      <c r="AF1016">
        <v>2.2687957110720003</v>
      </c>
    </row>
    <row r="1017" spans="1:32" x14ac:dyDescent="0.25">
      <c r="A1017" s="56">
        <v>2410960</v>
      </c>
      <c r="B1017" s="56" t="s">
        <v>847</v>
      </c>
      <c r="C1017" s="56" t="s">
        <v>4635</v>
      </c>
      <c r="D1017" s="56"/>
      <c r="E1017" s="57">
        <v>865</v>
      </c>
      <c r="F1017" s="57">
        <v>0.86499999999999999</v>
      </c>
      <c r="G1017" s="56" t="s">
        <v>392</v>
      </c>
      <c r="H1017" s="56" t="s">
        <v>4454</v>
      </c>
      <c r="I1017" s="56" t="s">
        <v>1834</v>
      </c>
      <c r="J1017" s="56"/>
      <c r="K1017" s="56"/>
      <c r="L1017" s="56"/>
      <c r="M1017" s="56"/>
      <c r="N1017" s="56" t="s">
        <v>17</v>
      </c>
      <c r="O1017" s="56">
        <v>83</v>
      </c>
      <c r="P1017" s="59" t="s">
        <v>2579</v>
      </c>
      <c r="Q1017" s="56" t="s">
        <v>192</v>
      </c>
      <c r="U1017" s="538">
        <v>110102839</v>
      </c>
      <c r="V1017">
        <v>34.93</v>
      </c>
      <c r="W1017">
        <v>0</v>
      </c>
      <c r="X1017">
        <v>1.6</v>
      </c>
      <c r="Y1017">
        <v>5.2430000000000003</v>
      </c>
      <c r="Z1017" t="s">
        <v>1881</v>
      </c>
      <c r="AA1017" t="s">
        <v>1003</v>
      </c>
      <c r="AB1017" t="s">
        <v>2520</v>
      </c>
      <c r="AC1017" t="s">
        <v>565</v>
      </c>
      <c r="AD1017" t="s">
        <v>1838</v>
      </c>
      <c r="AE1017" t="s">
        <v>4620</v>
      </c>
      <c r="AF1017">
        <v>1.3144818720000002</v>
      </c>
    </row>
    <row r="1018" spans="1:32" x14ac:dyDescent="0.25">
      <c r="A1018" s="56">
        <v>2410960</v>
      </c>
      <c r="B1018" s="56" t="s">
        <v>847</v>
      </c>
      <c r="C1018" s="56" t="s">
        <v>4637</v>
      </c>
      <c r="D1018" s="56"/>
      <c r="E1018" s="57">
        <v>955</v>
      </c>
      <c r="F1018" s="57">
        <v>0.95499999999999996</v>
      </c>
      <c r="G1018" s="56" t="s">
        <v>392</v>
      </c>
      <c r="H1018" s="56" t="s">
        <v>4454</v>
      </c>
      <c r="I1018" s="56" t="s">
        <v>1834</v>
      </c>
      <c r="J1018" s="56"/>
      <c r="K1018" s="56"/>
      <c r="L1018" s="56"/>
      <c r="M1018" s="56"/>
      <c r="N1018" s="56" t="s">
        <v>17</v>
      </c>
      <c r="O1018" s="56">
        <v>83</v>
      </c>
      <c r="P1018" s="59" t="s">
        <v>2579</v>
      </c>
      <c r="Q1018" s="56" t="s">
        <v>192</v>
      </c>
      <c r="U1018" s="52">
        <v>3500308</v>
      </c>
      <c r="V1018">
        <v>34.93</v>
      </c>
      <c r="W1018">
        <v>0</v>
      </c>
      <c r="X1018">
        <v>1.6</v>
      </c>
      <c r="Y1018">
        <v>6</v>
      </c>
      <c r="Z1018" t="s">
        <v>1914</v>
      </c>
      <c r="AA1018" t="s">
        <v>1003</v>
      </c>
      <c r="AB1018" t="s">
        <v>2520</v>
      </c>
      <c r="AC1018" t="s">
        <v>565</v>
      </c>
      <c r="AD1018" t="s">
        <v>1838</v>
      </c>
      <c r="AE1018" t="s">
        <v>4620</v>
      </c>
      <c r="AF1018">
        <v>1.3144818720000002</v>
      </c>
    </row>
    <row r="1019" spans="1:32" x14ac:dyDescent="0.25">
      <c r="A1019" s="56">
        <v>2410960</v>
      </c>
      <c r="B1019" s="56" t="s">
        <v>847</v>
      </c>
      <c r="C1019" s="56" t="s">
        <v>4639</v>
      </c>
      <c r="D1019" s="56"/>
      <c r="E1019" s="57">
        <v>1884</v>
      </c>
      <c r="F1019" s="57">
        <v>1.8839999999999999</v>
      </c>
      <c r="G1019" s="56" t="s">
        <v>392</v>
      </c>
      <c r="H1019" s="56" t="s">
        <v>4454</v>
      </c>
      <c r="I1019" s="56" t="s">
        <v>1834</v>
      </c>
      <c r="J1019" s="56"/>
      <c r="K1019" s="56"/>
      <c r="L1019" s="56"/>
      <c r="M1019" s="56"/>
      <c r="N1019" s="56" t="s">
        <v>17</v>
      </c>
      <c r="O1019" s="56">
        <v>83</v>
      </c>
      <c r="P1019" s="59" t="s">
        <v>2579</v>
      </c>
      <c r="Q1019" s="56" t="s">
        <v>192</v>
      </c>
      <c r="U1019" s="52">
        <v>3210055</v>
      </c>
      <c r="V1019">
        <v>34.93</v>
      </c>
      <c r="W1019">
        <v>0</v>
      </c>
      <c r="X1019">
        <v>2</v>
      </c>
      <c r="Y1019">
        <v>0.248</v>
      </c>
      <c r="Z1019" t="s">
        <v>1914</v>
      </c>
      <c r="AA1019" t="s">
        <v>963</v>
      </c>
      <c r="AB1019" t="s">
        <v>2520</v>
      </c>
      <c r="AC1019" t="s">
        <v>4603</v>
      </c>
      <c r="AD1019" t="s">
        <v>2171</v>
      </c>
      <c r="AE1019" t="s">
        <v>4623</v>
      </c>
      <c r="AF1019">
        <v>0.40259901872000003</v>
      </c>
    </row>
    <row r="1020" spans="1:32" x14ac:dyDescent="0.25">
      <c r="A1020" s="56">
        <v>2410960</v>
      </c>
      <c r="B1020" s="56" t="s">
        <v>847</v>
      </c>
      <c r="C1020" s="56" t="s">
        <v>4640</v>
      </c>
      <c r="D1020" s="56"/>
      <c r="E1020" s="57">
        <v>127</v>
      </c>
      <c r="F1020" s="57">
        <v>0.127</v>
      </c>
      <c r="G1020" s="56" t="s">
        <v>392</v>
      </c>
      <c r="H1020" s="56" t="s">
        <v>4454</v>
      </c>
      <c r="I1020" s="56" t="s">
        <v>1834</v>
      </c>
      <c r="J1020" s="56"/>
      <c r="K1020" s="56"/>
      <c r="L1020" s="56"/>
      <c r="M1020" s="56"/>
      <c r="N1020" s="56" t="s">
        <v>17</v>
      </c>
      <c r="O1020" s="56">
        <v>83</v>
      </c>
      <c r="P1020" s="59" t="s">
        <v>2579</v>
      </c>
      <c r="Q1020" s="56" t="s">
        <v>192</v>
      </c>
      <c r="U1020" s="52">
        <v>1551280</v>
      </c>
      <c r="V1020">
        <v>34.93</v>
      </c>
      <c r="W1020">
        <v>0</v>
      </c>
      <c r="X1020">
        <v>2</v>
      </c>
      <c r="Y1020">
        <v>0.28399999999999997</v>
      </c>
      <c r="Z1020" t="s">
        <v>1914</v>
      </c>
      <c r="AA1020" t="s">
        <v>963</v>
      </c>
      <c r="AB1020" t="s">
        <v>2520</v>
      </c>
      <c r="AC1020" t="s">
        <v>4603</v>
      </c>
      <c r="AD1020" t="s">
        <v>2171</v>
      </c>
      <c r="AE1020" t="s">
        <v>4625</v>
      </c>
      <c r="AF1020">
        <v>0.46104081176</v>
      </c>
    </row>
    <row r="1021" spans="1:32" x14ac:dyDescent="0.25">
      <c r="A1021" s="56">
        <v>2410960</v>
      </c>
      <c r="B1021" s="56" t="s">
        <v>847</v>
      </c>
      <c r="C1021" s="56" t="s">
        <v>4641</v>
      </c>
      <c r="D1021" s="56"/>
      <c r="E1021" s="57">
        <v>963</v>
      </c>
      <c r="F1021" s="57">
        <v>0.96299999999999997</v>
      </c>
      <c r="G1021" s="56" t="s">
        <v>392</v>
      </c>
      <c r="H1021" s="56" t="s">
        <v>4454</v>
      </c>
      <c r="I1021" s="56" t="s">
        <v>1834</v>
      </c>
      <c r="J1021" s="56"/>
      <c r="K1021" s="56"/>
      <c r="L1021" s="56"/>
      <c r="M1021" s="56"/>
      <c r="N1021" s="56" t="s">
        <v>17</v>
      </c>
      <c r="O1021" s="56">
        <v>83</v>
      </c>
      <c r="P1021" s="59" t="s">
        <v>2579</v>
      </c>
      <c r="Q1021" s="56" t="s">
        <v>192</v>
      </c>
      <c r="U1021" s="52">
        <v>3210054</v>
      </c>
      <c r="V1021">
        <v>34.93</v>
      </c>
      <c r="W1021">
        <v>0</v>
      </c>
      <c r="X1021">
        <v>2</v>
      </c>
      <c r="Y1021">
        <v>0.28399999999999997</v>
      </c>
      <c r="Z1021" t="s">
        <v>1914</v>
      </c>
      <c r="AA1021" t="s">
        <v>963</v>
      </c>
      <c r="AB1021" t="s">
        <v>2520</v>
      </c>
      <c r="AC1021" t="s">
        <v>4603</v>
      </c>
      <c r="AD1021" t="s">
        <v>2171</v>
      </c>
      <c r="AE1021" t="s">
        <v>4625</v>
      </c>
      <c r="AF1021">
        <v>0.46104081176</v>
      </c>
    </row>
    <row r="1022" spans="1:32" x14ac:dyDescent="0.25">
      <c r="A1022" s="56">
        <v>2410960</v>
      </c>
      <c r="B1022" s="56" t="s">
        <v>847</v>
      </c>
      <c r="C1022" s="56" t="s">
        <v>4642</v>
      </c>
      <c r="D1022" s="56"/>
      <c r="E1022" s="57">
        <v>558.495</v>
      </c>
      <c r="F1022" s="57">
        <v>0.55849499999999996</v>
      </c>
      <c r="G1022" s="56" t="s">
        <v>392</v>
      </c>
      <c r="H1022" s="56" t="s">
        <v>4454</v>
      </c>
      <c r="I1022" s="56" t="s">
        <v>1834</v>
      </c>
      <c r="J1022" s="56"/>
      <c r="K1022" s="56"/>
      <c r="L1022" s="56"/>
      <c r="M1022" s="56"/>
      <c r="N1022" s="56" t="s">
        <v>17</v>
      </c>
      <c r="O1022" s="56">
        <v>118</v>
      </c>
      <c r="P1022" s="59" t="s">
        <v>2524</v>
      </c>
      <c r="Q1022" s="56" t="s">
        <v>192</v>
      </c>
      <c r="U1022" s="52">
        <v>1236370</v>
      </c>
      <c r="V1022">
        <v>34.93</v>
      </c>
      <c r="W1022">
        <v>0</v>
      </c>
      <c r="X1022">
        <v>2</v>
      </c>
      <c r="Y1022">
        <v>0.33900000000000002</v>
      </c>
      <c r="Z1022" t="s">
        <v>1914</v>
      </c>
      <c r="AA1022" t="s">
        <v>1003</v>
      </c>
      <c r="AB1022" t="s">
        <v>2520</v>
      </c>
      <c r="AC1022" t="s">
        <v>4628</v>
      </c>
      <c r="AD1022" t="s">
        <v>2171</v>
      </c>
      <c r="AE1022" t="s">
        <v>4629</v>
      </c>
      <c r="AF1022">
        <v>0.55032688446000011</v>
      </c>
    </row>
    <row r="1023" spans="1:32" x14ac:dyDescent="0.25">
      <c r="A1023" s="56">
        <v>2410960</v>
      </c>
      <c r="B1023" s="56" t="s">
        <v>847</v>
      </c>
      <c r="C1023" s="56" t="s">
        <v>4643</v>
      </c>
      <c r="D1023" s="56"/>
      <c r="E1023" s="57">
        <v>966</v>
      </c>
      <c r="F1023" s="57">
        <v>0.96599999999999997</v>
      </c>
      <c r="G1023" s="56" t="s">
        <v>392</v>
      </c>
      <c r="H1023" s="56" t="s">
        <v>2511</v>
      </c>
      <c r="I1023" s="56" t="s">
        <v>1834</v>
      </c>
      <c r="J1023" s="56"/>
      <c r="K1023" s="56"/>
      <c r="L1023" s="56"/>
      <c r="M1023" s="56"/>
      <c r="N1023" s="56" t="s">
        <v>17</v>
      </c>
      <c r="O1023" s="56">
        <v>129</v>
      </c>
      <c r="P1023" s="59" t="s">
        <v>2524</v>
      </c>
      <c r="Q1023" s="56" t="s">
        <v>192</v>
      </c>
      <c r="U1023" s="52">
        <v>3210056</v>
      </c>
      <c r="V1023">
        <v>34.93</v>
      </c>
      <c r="W1023">
        <v>0</v>
      </c>
      <c r="X1023">
        <v>2</v>
      </c>
      <c r="Y1023">
        <v>1.175</v>
      </c>
      <c r="Z1023" t="s">
        <v>1914</v>
      </c>
      <c r="AA1023" t="s">
        <v>963</v>
      </c>
      <c r="AB1023" t="s">
        <v>2520</v>
      </c>
      <c r="AC1023" t="s">
        <v>4603</v>
      </c>
      <c r="AD1023" t="s">
        <v>2171</v>
      </c>
      <c r="AE1023" t="s">
        <v>4631</v>
      </c>
      <c r="AF1023">
        <v>1.9074751895000002</v>
      </c>
    </row>
    <row r="1024" spans="1:32" x14ac:dyDescent="0.25">
      <c r="A1024" s="56">
        <v>2410960</v>
      </c>
      <c r="B1024" s="56" t="s">
        <v>847</v>
      </c>
      <c r="C1024" s="56" t="s">
        <v>4644</v>
      </c>
      <c r="D1024" s="56"/>
      <c r="E1024" s="57">
        <v>1040</v>
      </c>
      <c r="F1024" s="57">
        <v>1.04</v>
      </c>
      <c r="G1024" s="56" t="s">
        <v>392</v>
      </c>
      <c r="H1024" s="56" t="s">
        <v>2511</v>
      </c>
      <c r="I1024" s="56" t="s">
        <v>1834</v>
      </c>
      <c r="J1024" s="56"/>
      <c r="K1024" s="56"/>
      <c r="L1024" s="56"/>
      <c r="M1024" s="56"/>
      <c r="N1024" s="56" t="s">
        <v>17</v>
      </c>
      <c r="O1024" s="56">
        <v>129</v>
      </c>
      <c r="P1024" s="59" t="s">
        <v>2524</v>
      </c>
      <c r="Q1024" s="56" t="s">
        <v>192</v>
      </c>
      <c r="U1024" s="52">
        <v>3484654</v>
      </c>
      <c r="V1024">
        <v>34.93</v>
      </c>
      <c r="W1024">
        <v>0</v>
      </c>
      <c r="X1024">
        <v>2</v>
      </c>
      <c r="Y1024">
        <v>1.28</v>
      </c>
      <c r="Z1024" t="s">
        <v>1914</v>
      </c>
      <c r="AA1024" t="s">
        <v>963</v>
      </c>
      <c r="AB1024" t="s">
        <v>2520</v>
      </c>
      <c r="AC1024" t="s">
        <v>4603</v>
      </c>
      <c r="AD1024" t="s">
        <v>2171</v>
      </c>
      <c r="AE1024" t="s">
        <v>4633</v>
      </c>
      <c r="AF1024">
        <v>2.0779304192000003</v>
      </c>
    </row>
    <row r="1025" spans="1:32" x14ac:dyDescent="0.25">
      <c r="A1025" s="56">
        <v>2410960</v>
      </c>
      <c r="B1025" s="56" t="s">
        <v>847</v>
      </c>
      <c r="C1025" s="56" t="s">
        <v>4645</v>
      </c>
      <c r="D1025" s="56"/>
      <c r="E1025" s="57">
        <v>117</v>
      </c>
      <c r="F1025" s="57">
        <v>0.11700000000000001</v>
      </c>
      <c r="G1025" s="56" t="s">
        <v>392</v>
      </c>
      <c r="H1025" s="56" t="s">
        <v>2511</v>
      </c>
      <c r="I1025" s="56" t="s">
        <v>1834</v>
      </c>
      <c r="J1025" s="56"/>
      <c r="K1025" s="56"/>
      <c r="L1025" s="56"/>
      <c r="M1025" s="56"/>
      <c r="N1025" s="56" t="s">
        <v>17</v>
      </c>
      <c r="O1025" s="56">
        <v>86</v>
      </c>
      <c r="P1025" s="59" t="s">
        <v>2579</v>
      </c>
      <c r="Q1025" s="56" t="s">
        <v>192</v>
      </c>
      <c r="U1025" s="52">
        <v>3677064</v>
      </c>
      <c r="V1025">
        <v>34.93</v>
      </c>
      <c r="W1025">
        <v>0</v>
      </c>
      <c r="X1025">
        <v>2</v>
      </c>
      <c r="Y1025">
        <v>1.28</v>
      </c>
      <c r="Z1025" t="s">
        <v>1891</v>
      </c>
      <c r="AA1025" t="s">
        <v>963</v>
      </c>
      <c r="AB1025" t="s">
        <v>2520</v>
      </c>
      <c r="AC1025" t="s">
        <v>4603</v>
      </c>
      <c r="AD1025" t="s">
        <v>2171</v>
      </c>
      <c r="AE1025" t="s">
        <v>4633</v>
      </c>
      <c r="AF1025">
        <v>2.0779304192000003</v>
      </c>
    </row>
    <row r="1026" spans="1:32" x14ac:dyDescent="0.25">
      <c r="A1026" s="56">
        <v>2410960</v>
      </c>
      <c r="B1026" s="56" t="s">
        <v>847</v>
      </c>
      <c r="C1026" s="56" t="s">
        <v>4647</v>
      </c>
      <c r="D1026" s="56"/>
      <c r="E1026" s="57">
        <v>156.33699999999999</v>
      </c>
      <c r="F1026" s="57">
        <v>0.15633699999999998</v>
      </c>
      <c r="G1026" s="56" t="s">
        <v>392</v>
      </c>
      <c r="H1026" s="56" t="s">
        <v>2511</v>
      </c>
      <c r="I1026" s="56" t="s">
        <v>1834</v>
      </c>
      <c r="J1026" s="56"/>
      <c r="K1026" s="56"/>
      <c r="L1026" s="56"/>
      <c r="M1026" s="56"/>
      <c r="N1026" s="56" t="s">
        <v>17</v>
      </c>
      <c r="O1026" s="56">
        <v>32</v>
      </c>
      <c r="P1026" s="59" t="s">
        <v>2532</v>
      </c>
      <c r="Q1026" s="56" t="s">
        <v>192</v>
      </c>
      <c r="U1026" s="52">
        <v>3500083</v>
      </c>
      <c r="V1026">
        <v>34.93</v>
      </c>
      <c r="W1026">
        <v>0</v>
      </c>
      <c r="X1026">
        <v>2</v>
      </c>
      <c r="Y1026">
        <v>6</v>
      </c>
      <c r="Z1026" t="s">
        <v>2821</v>
      </c>
      <c r="AA1026" t="s">
        <v>963</v>
      </c>
      <c r="AB1026" t="s">
        <v>2520</v>
      </c>
      <c r="AC1026" t="s">
        <v>4603</v>
      </c>
      <c r="AD1026" t="s">
        <v>1838</v>
      </c>
      <c r="AE1026" t="s">
        <v>4636</v>
      </c>
      <c r="AF1026">
        <v>1.6233831400000001</v>
      </c>
    </row>
    <row r="1027" spans="1:32" x14ac:dyDescent="0.25">
      <c r="A1027" s="56">
        <v>2410960</v>
      </c>
      <c r="B1027" s="56" t="s">
        <v>847</v>
      </c>
      <c r="C1027" s="56" t="s">
        <v>4649</v>
      </c>
      <c r="D1027" s="56"/>
      <c r="E1027" s="57">
        <v>87</v>
      </c>
      <c r="F1027" s="57">
        <v>8.6999999999999994E-2</v>
      </c>
      <c r="G1027" s="56" t="s">
        <v>392</v>
      </c>
      <c r="H1027" s="56" t="s">
        <v>2511</v>
      </c>
      <c r="I1027" s="56" t="s">
        <v>1834</v>
      </c>
      <c r="J1027" s="56"/>
      <c r="K1027" s="56"/>
      <c r="L1027" s="56"/>
      <c r="M1027" s="56"/>
      <c r="N1027" s="56" t="s">
        <v>17</v>
      </c>
      <c r="O1027" s="56">
        <v>135</v>
      </c>
      <c r="P1027" s="59" t="s">
        <v>2524</v>
      </c>
      <c r="Q1027" s="56" t="s">
        <v>192</v>
      </c>
      <c r="U1027" s="52">
        <v>3517684</v>
      </c>
      <c r="V1027">
        <v>34.93</v>
      </c>
      <c r="W1027">
        <v>0</v>
      </c>
      <c r="X1027">
        <v>2</v>
      </c>
      <c r="Y1027">
        <v>6.2</v>
      </c>
      <c r="Z1027" t="s">
        <v>1868</v>
      </c>
      <c r="AA1027" t="s">
        <v>1003</v>
      </c>
      <c r="AB1027" t="s">
        <v>2520</v>
      </c>
      <c r="AC1027" t="s">
        <v>4628</v>
      </c>
      <c r="AD1027" t="s">
        <v>1838</v>
      </c>
      <c r="AE1027" t="s">
        <v>4638</v>
      </c>
      <c r="AF1027">
        <v>1.6233831400000001</v>
      </c>
    </row>
    <row r="1028" spans="1:32" x14ac:dyDescent="0.25">
      <c r="A1028" s="56">
        <v>2410960</v>
      </c>
      <c r="B1028" s="56" t="s">
        <v>847</v>
      </c>
      <c r="C1028" s="56" t="s">
        <v>4650</v>
      </c>
      <c r="D1028" s="56"/>
      <c r="E1028" s="57">
        <v>118</v>
      </c>
      <c r="F1028" s="57">
        <v>0.11799999999999999</v>
      </c>
      <c r="G1028" s="56" t="s">
        <v>392</v>
      </c>
      <c r="H1028" s="56" t="s">
        <v>2511</v>
      </c>
      <c r="I1028" s="56" t="s">
        <v>1834</v>
      </c>
      <c r="J1028" s="56"/>
      <c r="K1028" s="56"/>
      <c r="L1028" s="56"/>
      <c r="M1028" s="56"/>
      <c r="N1028" s="56" t="s">
        <v>17</v>
      </c>
      <c r="O1028" s="56">
        <v>173</v>
      </c>
      <c r="P1028" s="59" t="s">
        <v>2524</v>
      </c>
      <c r="Q1028" s="56" t="s">
        <v>192</v>
      </c>
      <c r="U1028" s="52">
        <v>3910451</v>
      </c>
      <c r="V1028">
        <v>34.93</v>
      </c>
      <c r="W1028">
        <v>0</v>
      </c>
      <c r="X1028">
        <v>2.2999999999999998</v>
      </c>
      <c r="Y1028">
        <v>0.29799999999999999</v>
      </c>
      <c r="Z1028" t="s">
        <v>2088</v>
      </c>
      <c r="AA1028" t="s">
        <v>1003</v>
      </c>
      <c r="AB1028" t="s">
        <v>2520</v>
      </c>
      <c r="AC1028" t="s">
        <v>849</v>
      </c>
      <c r="AD1028" t="s">
        <v>2171</v>
      </c>
      <c r="AE1028" t="s">
        <v>851</v>
      </c>
      <c r="AF1028">
        <v>0.55126507469800001</v>
      </c>
    </row>
    <row r="1029" spans="1:32" x14ac:dyDescent="0.25">
      <c r="A1029" s="56">
        <v>2410960</v>
      </c>
      <c r="B1029" s="56" t="s">
        <v>847</v>
      </c>
      <c r="C1029" s="56" t="s">
        <v>4652</v>
      </c>
      <c r="D1029" s="56"/>
      <c r="E1029" s="57">
        <v>442.541</v>
      </c>
      <c r="F1029" s="57">
        <v>0.44254100000000002</v>
      </c>
      <c r="G1029" s="56" t="s">
        <v>392</v>
      </c>
      <c r="H1029" s="56" t="s">
        <v>2511</v>
      </c>
      <c r="I1029" s="56" t="s">
        <v>1834</v>
      </c>
      <c r="J1029" s="56"/>
      <c r="K1029" s="56"/>
      <c r="L1029" s="56"/>
      <c r="M1029" s="56"/>
      <c r="N1029" s="56" t="s">
        <v>17</v>
      </c>
      <c r="O1029" s="56">
        <v>168</v>
      </c>
      <c r="P1029" s="59" t="s">
        <v>2524</v>
      </c>
      <c r="Q1029" s="56" t="s">
        <v>192</v>
      </c>
      <c r="U1029" s="52">
        <v>3453789</v>
      </c>
      <c r="V1029">
        <v>34.93</v>
      </c>
      <c r="W1029">
        <v>0</v>
      </c>
      <c r="X1029">
        <v>2.2999999999999998</v>
      </c>
      <c r="Y1029">
        <v>0.33300000000000002</v>
      </c>
      <c r="Z1029" t="s">
        <v>1914</v>
      </c>
      <c r="AA1029" t="s">
        <v>1003</v>
      </c>
      <c r="AB1029" t="s">
        <v>2520</v>
      </c>
      <c r="AC1029" t="s">
        <v>849</v>
      </c>
      <c r="AD1029" t="s">
        <v>2171</v>
      </c>
      <c r="AE1029" t="s">
        <v>853</v>
      </c>
      <c r="AF1029">
        <v>0.6160109727330001</v>
      </c>
    </row>
    <row r="1030" spans="1:32" x14ac:dyDescent="0.25">
      <c r="A1030" s="56">
        <v>2410960</v>
      </c>
      <c r="B1030" s="56" t="s">
        <v>847</v>
      </c>
      <c r="C1030" s="56" t="s">
        <v>4653</v>
      </c>
      <c r="D1030" s="56"/>
      <c r="E1030" s="57">
        <v>140</v>
      </c>
      <c r="F1030" s="57">
        <v>0.14000000000000001</v>
      </c>
      <c r="G1030" s="56" t="s">
        <v>392</v>
      </c>
      <c r="H1030" s="56" t="s">
        <v>2511</v>
      </c>
      <c r="I1030" s="56" t="s">
        <v>1834</v>
      </c>
      <c r="J1030" s="56"/>
      <c r="K1030" s="56"/>
      <c r="L1030" s="56"/>
      <c r="M1030" s="56"/>
      <c r="N1030" s="56" t="s">
        <v>17</v>
      </c>
      <c r="O1030" s="56">
        <v>173</v>
      </c>
      <c r="P1030" s="59" t="s">
        <v>2524</v>
      </c>
      <c r="Q1030" s="56" t="s">
        <v>192</v>
      </c>
      <c r="U1030">
        <v>3729146</v>
      </c>
      <c r="V1030">
        <v>34.93</v>
      </c>
      <c r="W1030">
        <v>0</v>
      </c>
      <c r="X1030">
        <v>2.2999999999999998</v>
      </c>
      <c r="Y1030">
        <v>0.33300000000000002</v>
      </c>
      <c r="Z1030" t="s">
        <v>1891</v>
      </c>
      <c r="AA1030" t="s">
        <v>1003</v>
      </c>
      <c r="AB1030" t="s">
        <v>2520</v>
      </c>
      <c r="AC1030" s="45" t="s">
        <v>849</v>
      </c>
      <c r="AD1030" t="s">
        <v>2171</v>
      </c>
      <c r="AE1030" t="s">
        <v>853</v>
      </c>
      <c r="AF1030">
        <v>0.6160109727330001</v>
      </c>
    </row>
    <row r="1031" spans="1:32" x14ac:dyDescent="0.25">
      <c r="A1031" s="56">
        <v>2410988</v>
      </c>
      <c r="B1031" s="56" t="s">
        <v>1167</v>
      </c>
      <c r="C1031" s="56" t="s">
        <v>4654</v>
      </c>
      <c r="D1031" s="56"/>
      <c r="E1031" s="57">
        <v>60</v>
      </c>
      <c r="F1031" s="57">
        <v>0.06</v>
      </c>
      <c r="G1031" s="56" t="s">
        <v>392</v>
      </c>
      <c r="H1031" s="56" t="s">
        <v>4454</v>
      </c>
      <c r="I1031" s="56" t="s">
        <v>1834</v>
      </c>
      <c r="J1031" s="56"/>
      <c r="K1031" s="56"/>
      <c r="L1031" s="56"/>
      <c r="M1031" s="56"/>
      <c r="N1031" s="56" t="s">
        <v>76</v>
      </c>
      <c r="O1031" s="56">
        <v>153</v>
      </c>
      <c r="P1031" s="59" t="s">
        <v>2524</v>
      </c>
      <c r="Q1031" s="56" t="s">
        <v>2561</v>
      </c>
      <c r="U1031" s="52">
        <v>3911992</v>
      </c>
      <c r="V1031">
        <v>34.93</v>
      </c>
      <c r="W1031">
        <v>0</v>
      </c>
      <c r="X1031">
        <v>2.2999999999999998</v>
      </c>
      <c r="Y1031">
        <v>0.33400000000000002</v>
      </c>
      <c r="Z1031" t="s">
        <v>2088</v>
      </c>
      <c r="AA1031" t="s">
        <v>1003</v>
      </c>
      <c r="AB1031" t="s">
        <v>2520</v>
      </c>
      <c r="AC1031" t="s">
        <v>849</v>
      </c>
      <c r="AD1031" t="s">
        <v>2171</v>
      </c>
      <c r="AE1031" t="s">
        <v>2367</v>
      </c>
      <c r="AF1031">
        <v>0.61786085553400005</v>
      </c>
    </row>
    <row r="1032" spans="1:32" x14ac:dyDescent="0.25">
      <c r="A1032" s="56">
        <v>2410988</v>
      </c>
      <c r="B1032" s="56" t="s">
        <v>1167</v>
      </c>
      <c r="C1032" s="56" t="s">
        <v>4656</v>
      </c>
      <c r="D1032" s="56"/>
      <c r="E1032" s="57">
        <v>68.16</v>
      </c>
      <c r="F1032" s="57">
        <v>6.8159999999999998E-2</v>
      </c>
      <c r="G1032" s="56" t="s">
        <v>392</v>
      </c>
      <c r="H1032" s="56" t="s">
        <v>4454</v>
      </c>
      <c r="I1032" s="56" t="s">
        <v>1834</v>
      </c>
      <c r="J1032" s="56"/>
      <c r="K1032" s="56"/>
      <c r="L1032" s="56"/>
      <c r="M1032" s="56"/>
      <c r="N1032" s="56" t="s">
        <v>76</v>
      </c>
      <c r="O1032" s="56">
        <v>130</v>
      </c>
      <c r="P1032" s="59" t="s">
        <v>2524</v>
      </c>
      <c r="Q1032" s="56" t="s">
        <v>2561</v>
      </c>
      <c r="U1032">
        <v>4183777</v>
      </c>
      <c r="V1032">
        <v>34.93</v>
      </c>
      <c r="W1032">
        <v>0</v>
      </c>
      <c r="X1032">
        <v>2.2999999999999998</v>
      </c>
      <c r="Y1032">
        <v>0.85599999999999998</v>
      </c>
      <c r="Z1032" t="s">
        <v>2088</v>
      </c>
      <c r="AA1032" t="s">
        <v>1003</v>
      </c>
      <c r="AB1032" t="s">
        <v>2520</v>
      </c>
      <c r="AC1032" t="s">
        <v>849</v>
      </c>
      <c r="AD1032" t="s">
        <v>2171</v>
      </c>
      <c r="AE1032" t="s">
        <v>6621</v>
      </c>
      <c r="AF1032">
        <v>1.583499677656</v>
      </c>
    </row>
    <row r="1033" spans="1:32" x14ac:dyDescent="0.25">
      <c r="A1033" s="56">
        <v>2410988</v>
      </c>
      <c r="B1033" s="56" t="s">
        <v>1167</v>
      </c>
      <c r="C1033" s="56" t="s">
        <v>4657</v>
      </c>
      <c r="D1033" s="56"/>
      <c r="E1033" s="57">
        <v>768.24400000000003</v>
      </c>
      <c r="F1033" s="57">
        <v>0.76824400000000004</v>
      </c>
      <c r="G1033" s="56" t="s">
        <v>392</v>
      </c>
      <c r="H1033" s="56" t="s">
        <v>4454</v>
      </c>
      <c r="I1033" s="56" t="s">
        <v>1834</v>
      </c>
      <c r="J1033" s="56"/>
      <c r="K1033" s="56"/>
      <c r="L1033" s="56"/>
      <c r="M1033" s="56"/>
      <c r="N1033" s="56" t="s">
        <v>76</v>
      </c>
      <c r="O1033" s="56">
        <v>119</v>
      </c>
      <c r="P1033" s="59" t="s">
        <v>2524</v>
      </c>
      <c r="Q1033" s="56" t="s">
        <v>2561</v>
      </c>
      <c r="U1033" s="589">
        <v>4071121</v>
      </c>
      <c r="V1033">
        <v>34.93</v>
      </c>
      <c r="W1033">
        <v>0</v>
      </c>
      <c r="X1033">
        <v>2.2999999999999998</v>
      </c>
      <c r="Y1033">
        <v>0.86499999999999999</v>
      </c>
      <c r="Z1033" t="s">
        <v>2088</v>
      </c>
      <c r="AA1033" t="s">
        <v>1003</v>
      </c>
      <c r="AB1033" t="s">
        <v>2520</v>
      </c>
      <c r="AC1033" t="s">
        <v>849</v>
      </c>
      <c r="AD1033" t="s">
        <v>2171</v>
      </c>
      <c r="AE1033" t="s">
        <v>6622</v>
      </c>
      <c r="AF1033">
        <v>1.6001486228650001</v>
      </c>
    </row>
    <row r="1034" spans="1:32" x14ac:dyDescent="0.25">
      <c r="A1034" s="56">
        <v>2410988</v>
      </c>
      <c r="B1034" s="56" t="s">
        <v>1167</v>
      </c>
      <c r="C1034" s="56" t="s">
        <v>4659</v>
      </c>
      <c r="D1034" s="56"/>
      <c r="E1034" s="57">
        <v>1575</v>
      </c>
      <c r="F1034" s="57">
        <v>1.575</v>
      </c>
      <c r="G1034" s="56" t="s">
        <v>392</v>
      </c>
      <c r="H1034" s="56" t="s">
        <v>4454</v>
      </c>
      <c r="I1034" s="56" t="s">
        <v>1834</v>
      </c>
      <c r="J1034" s="56"/>
      <c r="K1034" s="56"/>
      <c r="L1034" s="56"/>
      <c r="M1034" s="56"/>
      <c r="N1034" s="56" t="s">
        <v>76</v>
      </c>
      <c r="O1034" s="56">
        <v>147</v>
      </c>
      <c r="P1034" s="59" t="s">
        <v>2524</v>
      </c>
      <c r="Q1034" s="56" t="s">
        <v>2561</v>
      </c>
      <c r="U1034" s="589">
        <v>4010436</v>
      </c>
      <c r="V1034">
        <v>34.93</v>
      </c>
      <c r="W1034">
        <v>0</v>
      </c>
      <c r="X1034">
        <v>2.2999999999999998</v>
      </c>
      <c r="Y1034">
        <v>1.1000000000000001</v>
      </c>
      <c r="Z1034" t="s">
        <v>2088</v>
      </c>
      <c r="AA1034" t="s">
        <v>2520</v>
      </c>
      <c r="AB1034" t="s">
        <v>1003</v>
      </c>
      <c r="AC1034" t="s">
        <v>849</v>
      </c>
      <c r="AD1034" t="s">
        <v>2171</v>
      </c>
      <c r="AE1034" t="s">
        <v>4646</v>
      </c>
      <c r="AF1034">
        <v>2.0348710811000004</v>
      </c>
    </row>
    <row r="1035" spans="1:32" x14ac:dyDescent="0.25">
      <c r="A1035" s="56">
        <v>2410995</v>
      </c>
      <c r="B1035" s="56" t="s">
        <v>1875</v>
      </c>
      <c r="C1035" s="56" t="s">
        <v>4660</v>
      </c>
      <c r="D1035" s="56"/>
      <c r="E1035" s="57">
        <v>132</v>
      </c>
      <c r="F1035" s="57">
        <v>0.13200000000000001</v>
      </c>
      <c r="G1035" s="56" t="s">
        <v>392</v>
      </c>
      <c r="H1035" s="56" t="s">
        <v>4454</v>
      </c>
      <c r="I1035" s="56" t="s">
        <v>1834</v>
      </c>
      <c r="J1035" s="56"/>
      <c r="K1035" s="56"/>
      <c r="L1035" s="56"/>
      <c r="M1035" s="56"/>
      <c r="N1035" s="56" t="s">
        <v>76</v>
      </c>
      <c r="O1035" s="56">
        <v>88</v>
      </c>
      <c r="P1035" s="59" t="s">
        <v>2579</v>
      </c>
      <c r="Q1035" s="56" t="s">
        <v>2561</v>
      </c>
      <c r="U1035" s="52">
        <v>3454801</v>
      </c>
      <c r="V1035">
        <v>34.93</v>
      </c>
      <c r="W1035">
        <v>0</v>
      </c>
      <c r="X1035">
        <v>2.2999999999999998</v>
      </c>
      <c r="Y1035">
        <v>1.5</v>
      </c>
      <c r="Z1035" t="s">
        <v>2088</v>
      </c>
      <c r="AA1035" t="s">
        <v>1003</v>
      </c>
      <c r="AB1035" t="s">
        <v>2520</v>
      </c>
      <c r="AC1035" t="s">
        <v>849</v>
      </c>
      <c r="AD1035" t="s">
        <v>2171</v>
      </c>
      <c r="AE1035" t="s">
        <v>4648</v>
      </c>
      <c r="AF1035">
        <v>2.7748242015000004</v>
      </c>
    </row>
    <row r="1036" spans="1:32" x14ac:dyDescent="0.25">
      <c r="A1036" s="56">
        <v>2410995</v>
      </c>
      <c r="B1036" s="56" t="s">
        <v>1875</v>
      </c>
      <c r="C1036" s="56" t="s">
        <v>4661</v>
      </c>
      <c r="D1036" s="56"/>
      <c r="E1036" s="57">
        <v>116</v>
      </c>
      <c r="F1036" s="57">
        <v>0.11600000000000001</v>
      </c>
      <c r="G1036" s="56" t="s">
        <v>392</v>
      </c>
      <c r="H1036" s="56" t="s">
        <v>4454</v>
      </c>
      <c r="I1036" s="56" t="s">
        <v>1834</v>
      </c>
      <c r="J1036" s="56"/>
      <c r="K1036" s="56"/>
      <c r="L1036" s="56"/>
      <c r="M1036" s="56"/>
      <c r="N1036" s="56" t="s">
        <v>76</v>
      </c>
      <c r="O1036" s="56">
        <v>88</v>
      </c>
      <c r="P1036" s="59" t="s">
        <v>2579</v>
      </c>
      <c r="Q1036" s="56" t="s">
        <v>2561</v>
      </c>
      <c r="U1036" s="52">
        <v>3911993</v>
      </c>
      <c r="V1036">
        <v>34.93</v>
      </c>
      <c r="W1036">
        <v>0</v>
      </c>
      <c r="X1036">
        <v>2.2999999999999998</v>
      </c>
      <c r="Y1036">
        <v>1.5009999999999999</v>
      </c>
      <c r="Z1036" t="s">
        <v>2088</v>
      </c>
      <c r="AA1036" t="s">
        <v>1003</v>
      </c>
      <c r="AB1036" t="s">
        <v>2520</v>
      </c>
      <c r="AC1036" t="s">
        <v>849</v>
      </c>
      <c r="AD1036" t="s">
        <v>2171</v>
      </c>
      <c r="AE1036" t="s">
        <v>856</v>
      </c>
      <c r="AF1036">
        <v>2.7766740843009998</v>
      </c>
    </row>
    <row r="1037" spans="1:32" x14ac:dyDescent="0.25">
      <c r="A1037" s="56">
        <v>2410995</v>
      </c>
      <c r="B1037" s="56" t="s">
        <v>1875</v>
      </c>
      <c r="C1037" s="56" t="s">
        <v>4662</v>
      </c>
      <c r="D1037" s="56"/>
      <c r="E1037" s="57">
        <v>653</v>
      </c>
      <c r="F1037" s="57">
        <v>0.65300000000000002</v>
      </c>
      <c r="G1037" s="56" t="s">
        <v>392</v>
      </c>
      <c r="H1037" s="56" t="s">
        <v>4454</v>
      </c>
      <c r="I1037" s="56" t="s">
        <v>1834</v>
      </c>
      <c r="J1037" s="56"/>
      <c r="K1037" s="56"/>
      <c r="L1037" s="56"/>
      <c r="M1037" s="56"/>
      <c r="N1037" s="56" t="s">
        <v>76</v>
      </c>
      <c r="O1037" s="56">
        <v>88</v>
      </c>
      <c r="P1037" s="59" t="s">
        <v>2579</v>
      </c>
      <c r="Q1037" s="56" t="s">
        <v>2561</v>
      </c>
      <c r="U1037" s="52">
        <v>3636656</v>
      </c>
      <c r="V1037">
        <v>34.93</v>
      </c>
      <c r="W1037">
        <v>0</v>
      </c>
      <c r="X1037">
        <v>2.2999999999999998</v>
      </c>
      <c r="Y1037">
        <v>5.2</v>
      </c>
      <c r="Z1037" t="s">
        <v>1914</v>
      </c>
      <c r="AA1037" t="s">
        <v>1003</v>
      </c>
      <c r="AB1037" t="s">
        <v>2520</v>
      </c>
      <c r="AC1037" t="s">
        <v>849</v>
      </c>
      <c r="AD1037" t="s">
        <v>1838</v>
      </c>
      <c r="AE1037" t="s">
        <v>4651</v>
      </c>
      <c r="AF1037">
        <v>1.8498828010000001</v>
      </c>
    </row>
    <row r="1038" spans="1:32" x14ac:dyDescent="0.25">
      <c r="A1038" s="56">
        <v>2410995</v>
      </c>
      <c r="B1038" s="56" t="s">
        <v>1875</v>
      </c>
      <c r="C1038" s="56" t="s">
        <v>4663</v>
      </c>
      <c r="D1038" s="56"/>
      <c r="E1038" s="57">
        <v>780</v>
      </c>
      <c r="F1038" s="57">
        <v>0.78</v>
      </c>
      <c r="G1038" s="56" t="s">
        <v>392</v>
      </c>
      <c r="H1038" s="56" t="s">
        <v>4454</v>
      </c>
      <c r="I1038" s="56" t="s">
        <v>1834</v>
      </c>
      <c r="J1038" s="56"/>
      <c r="K1038" s="56"/>
      <c r="L1038" s="56"/>
      <c r="M1038" s="56"/>
      <c r="N1038" s="56" t="s">
        <v>76</v>
      </c>
      <c r="O1038" s="56">
        <v>88</v>
      </c>
      <c r="P1038" s="59" t="s">
        <v>2579</v>
      </c>
      <c r="Q1038" s="56" t="s">
        <v>2561</v>
      </c>
      <c r="U1038" s="52">
        <v>111121233</v>
      </c>
      <c r="V1038">
        <v>34.93</v>
      </c>
      <c r="W1038">
        <v>0</v>
      </c>
      <c r="X1038">
        <v>2.2999999999999998</v>
      </c>
      <c r="Y1038">
        <v>6.1</v>
      </c>
      <c r="Z1038" t="s">
        <v>2088</v>
      </c>
      <c r="AA1038" t="s">
        <v>1003</v>
      </c>
      <c r="AB1038" t="s">
        <v>2520</v>
      </c>
      <c r="AC1038" t="s">
        <v>849</v>
      </c>
      <c r="AD1038" t="s">
        <v>1838</v>
      </c>
      <c r="AE1038" t="s">
        <v>4651</v>
      </c>
      <c r="AF1038">
        <v>1.8498828010000001</v>
      </c>
    </row>
    <row r="1039" spans="1:32" x14ac:dyDescent="0.25">
      <c r="A1039" s="56">
        <v>2410995</v>
      </c>
      <c r="B1039" s="56" t="s">
        <v>1875</v>
      </c>
      <c r="C1039" s="56" t="s">
        <v>4665</v>
      </c>
      <c r="D1039" s="56"/>
      <c r="E1039" s="57">
        <v>511.30200000000002</v>
      </c>
      <c r="F1039" s="57">
        <v>0.51130200000000003</v>
      </c>
      <c r="G1039" s="56" t="s">
        <v>392</v>
      </c>
      <c r="H1039" s="56" t="s">
        <v>4454</v>
      </c>
      <c r="I1039" s="56" t="s">
        <v>1834</v>
      </c>
      <c r="J1039" s="56"/>
      <c r="K1039" s="56"/>
      <c r="L1039" s="56"/>
      <c r="M1039" s="56"/>
      <c r="N1039" s="56" t="s">
        <v>76</v>
      </c>
      <c r="O1039" s="56">
        <v>82</v>
      </c>
      <c r="P1039" s="59" t="s">
        <v>2579</v>
      </c>
      <c r="Q1039" s="56" t="s">
        <v>2561</v>
      </c>
      <c r="U1039" s="52">
        <v>1940715</v>
      </c>
      <c r="V1039">
        <v>34.93</v>
      </c>
      <c r="W1039">
        <v>0</v>
      </c>
      <c r="X1039">
        <v>2.5</v>
      </c>
      <c r="Y1039">
        <v>1.7210000000000001</v>
      </c>
      <c r="Z1039" t="s">
        <v>4431</v>
      </c>
      <c r="AA1039" t="s">
        <v>1003</v>
      </c>
      <c r="AB1039" t="s">
        <v>2520</v>
      </c>
      <c r="AC1039" t="s">
        <v>673</v>
      </c>
      <c r="AD1039" t="s">
        <v>2171</v>
      </c>
      <c r="AE1039" t="s">
        <v>675</v>
      </c>
      <c r="AF1039">
        <v>3.4392768186750007</v>
      </c>
    </row>
    <row r="1040" spans="1:32" x14ac:dyDescent="0.25">
      <c r="A1040" s="56">
        <v>2410996</v>
      </c>
      <c r="B1040" s="56" t="s">
        <v>1230</v>
      </c>
      <c r="C1040" s="56" t="s">
        <v>4666</v>
      </c>
      <c r="D1040" s="56"/>
      <c r="E1040" s="57">
        <v>732</v>
      </c>
      <c r="F1040" s="57">
        <v>0.73199999999999998</v>
      </c>
      <c r="G1040" s="56" t="s">
        <v>392</v>
      </c>
      <c r="H1040" s="56" t="s">
        <v>4454</v>
      </c>
      <c r="I1040" s="56" t="s">
        <v>1834</v>
      </c>
      <c r="J1040" s="56"/>
      <c r="K1040" s="56"/>
      <c r="L1040" s="56"/>
      <c r="M1040" s="56"/>
      <c r="N1040" s="56" t="s">
        <v>17</v>
      </c>
      <c r="O1040" s="56">
        <v>32</v>
      </c>
      <c r="P1040" s="59" t="s">
        <v>2532</v>
      </c>
      <c r="Q1040" s="56" t="s">
        <v>192</v>
      </c>
      <c r="U1040" s="52">
        <v>1155164</v>
      </c>
      <c r="V1040">
        <v>34.93</v>
      </c>
      <c r="W1040">
        <v>0</v>
      </c>
      <c r="X1040">
        <v>2.5</v>
      </c>
      <c r="Y1040">
        <v>1.7230000000000001</v>
      </c>
      <c r="Z1040" t="s">
        <v>1914</v>
      </c>
      <c r="AA1040" t="s">
        <v>963</v>
      </c>
      <c r="AB1040" t="s">
        <v>3979</v>
      </c>
      <c r="AC1040" t="s">
        <v>673</v>
      </c>
      <c r="AD1040" t="s">
        <v>2171</v>
      </c>
      <c r="AE1040" t="s">
        <v>4655</v>
      </c>
      <c r="AF1040">
        <v>3.4432736540250004</v>
      </c>
    </row>
    <row r="1041" spans="1:32" x14ac:dyDescent="0.25">
      <c r="A1041" s="56">
        <v>2410996</v>
      </c>
      <c r="B1041" s="56" t="s">
        <v>1230</v>
      </c>
      <c r="C1041" s="56" t="s">
        <v>4667</v>
      </c>
      <c r="D1041" s="56"/>
      <c r="E1041" s="57">
        <v>716</v>
      </c>
      <c r="F1041" s="57">
        <v>0.71599999999999997</v>
      </c>
      <c r="G1041" s="56" t="s">
        <v>392</v>
      </c>
      <c r="H1041" s="56" t="s">
        <v>4454</v>
      </c>
      <c r="I1041" s="56" t="s">
        <v>1834</v>
      </c>
      <c r="J1041" s="56"/>
      <c r="K1041" s="56"/>
      <c r="L1041" s="56"/>
      <c r="M1041" s="56"/>
      <c r="N1041" s="56" t="s">
        <v>17</v>
      </c>
      <c r="O1041" s="56">
        <v>32</v>
      </c>
      <c r="P1041" s="59" t="s">
        <v>2532</v>
      </c>
      <c r="Q1041" s="56" t="s">
        <v>192</v>
      </c>
      <c r="U1041">
        <v>3784465</v>
      </c>
      <c r="V1041">
        <v>34.93</v>
      </c>
      <c r="W1041">
        <v>0</v>
      </c>
      <c r="X1041">
        <v>2.5</v>
      </c>
      <c r="Y1041">
        <v>1.7230000000000001</v>
      </c>
      <c r="Z1041" t="s">
        <v>1952</v>
      </c>
      <c r="AA1041" t="s">
        <v>963</v>
      </c>
      <c r="AB1041" t="s">
        <v>3979</v>
      </c>
      <c r="AC1041" t="s">
        <v>673</v>
      </c>
      <c r="AD1041" t="s">
        <v>2171</v>
      </c>
      <c r="AE1041" t="s">
        <v>4655</v>
      </c>
      <c r="AF1041">
        <v>3.4432736540250004</v>
      </c>
    </row>
    <row r="1042" spans="1:32" x14ac:dyDescent="0.25">
      <c r="A1042" s="56">
        <v>2410996</v>
      </c>
      <c r="B1042" s="56" t="s">
        <v>1230</v>
      </c>
      <c r="C1042" s="56" t="s">
        <v>4668</v>
      </c>
      <c r="D1042" s="56"/>
      <c r="E1042" s="57">
        <v>88</v>
      </c>
      <c r="F1042" s="57">
        <v>8.7999999999999995E-2</v>
      </c>
      <c r="G1042" s="56" t="s">
        <v>392</v>
      </c>
      <c r="H1042" s="56" t="s">
        <v>4454</v>
      </c>
      <c r="I1042" s="56" t="s">
        <v>1834</v>
      </c>
      <c r="J1042" s="56"/>
      <c r="K1042" s="56"/>
      <c r="L1042" s="56"/>
      <c r="M1042" s="56"/>
      <c r="N1042" s="56" t="s">
        <v>17</v>
      </c>
      <c r="O1042" s="56">
        <v>44</v>
      </c>
      <c r="P1042" s="59" t="s">
        <v>2532</v>
      </c>
      <c r="Q1042" s="56" t="s">
        <v>192</v>
      </c>
      <c r="U1042" s="538">
        <v>110102843</v>
      </c>
      <c r="V1042">
        <v>34.93</v>
      </c>
      <c r="W1042">
        <v>0</v>
      </c>
      <c r="X1042">
        <v>2.5</v>
      </c>
      <c r="Y1042">
        <v>5.2279999999999998</v>
      </c>
      <c r="Z1042" t="s">
        <v>4431</v>
      </c>
      <c r="AA1042" t="s">
        <v>1003</v>
      </c>
      <c r="AB1042" t="s">
        <v>2520</v>
      </c>
      <c r="AC1042" t="s">
        <v>673</v>
      </c>
      <c r="AD1042" t="s">
        <v>1838</v>
      </c>
      <c r="AE1042" t="s">
        <v>4658</v>
      </c>
      <c r="AF1042">
        <v>1.9984176750000002</v>
      </c>
    </row>
    <row r="1043" spans="1:32" x14ac:dyDescent="0.25">
      <c r="A1043" s="56">
        <v>2410996</v>
      </c>
      <c r="B1043" s="56" t="s">
        <v>1230</v>
      </c>
      <c r="C1043" s="56" t="s">
        <v>4669</v>
      </c>
      <c r="D1043" s="56"/>
      <c r="E1043" s="57">
        <v>301</v>
      </c>
      <c r="F1043" s="57">
        <v>0.30099999999999999</v>
      </c>
      <c r="G1043" s="56" t="s">
        <v>392</v>
      </c>
      <c r="H1043" s="56" t="s">
        <v>4454</v>
      </c>
      <c r="I1043" s="56" t="s">
        <v>1834</v>
      </c>
      <c r="J1043" s="56"/>
      <c r="K1043" s="56"/>
      <c r="L1043" s="56"/>
      <c r="M1043" s="56"/>
      <c r="N1043" s="56" t="s">
        <v>17</v>
      </c>
      <c r="O1043" s="56">
        <v>44</v>
      </c>
      <c r="P1043" s="59" t="s">
        <v>2532</v>
      </c>
      <c r="Q1043" s="56" t="s">
        <v>192</v>
      </c>
      <c r="U1043" s="52">
        <v>4140303</v>
      </c>
      <c r="V1043">
        <v>34.93</v>
      </c>
      <c r="W1043">
        <v>0</v>
      </c>
      <c r="X1043">
        <v>2.5</v>
      </c>
      <c r="Y1043">
        <v>5.23</v>
      </c>
      <c r="Z1043" t="s">
        <v>1891</v>
      </c>
      <c r="AA1043" t="s">
        <v>1003</v>
      </c>
      <c r="AB1043" t="s">
        <v>2520</v>
      </c>
      <c r="AC1043" t="s">
        <v>673</v>
      </c>
      <c r="AD1043" t="s">
        <v>1838</v>
      </c>
      <c r="AE1043" t="s">
        <v>4658</v>
      </c>
      <c r="AF1043" t="e">
        <f>IF([4]!buckets[[#This Row],[LL or CTL]]="LL",(3.14*([4]!buckets[[#This Row],[OD]]-[4]!buckets[[#This Row],[Thickness]])*[4]!buckets[[#This Row],[Thickness]]*1000*7.85)/1000000,(3.14*([4]!buckets[[#This Row],[OD]]-[4]!buckets[[#This Row],[Thickness]])*[4]!buckets[[#This Row],[Thickness]]*[4]!buckets[[#This Row],[Length]]*1000*7.85)/1000000)</f>
        <v>#REF!</v>
      </c>
    </row>
    <row r="1044" spans="1:32" x14ac:dyDescent="0.25">
      <c r="A1044" s="56">
        <v>2410996</v>
      </c>
      <c r="B1044" s="56" t="s">
        <v>1230</v>
      </c>
      <c r="C1044" s="56" t="s">
        <v>4670</v>
      </c>
      <c r="D1044" s="56"/>
      <c r="E1044" s="57">
        <v>392</v>
      </c>
      <c r="F1044" s="57">
        <v>0.39200000000000002</v>
      </c>
      <c r="G1044" s="56" t="s">
        <v>392</v>
      </c>
      <c r="H1044" s="56" t="s">
        <v>4454</v>
      </c>
      <c r="I1044" s="56" t="s">
        <v>1834</v>
      </c>
      <c r="J1044" s="56"/>
      <c r="K1044" s="56"/>
      <c r="L1044" s="56"/>
      <c r="M1044" s="56"/>
      <c r="N1044" s="56" t="s">
        <v>17</v>
      </c>
      <c r="O1044" s="56">
        <v>44</v>
      </c>
      <c r="P1044" s="59" t="s">
        <v>2532</v>
      </c>
      <c r="Q1044" s="56" t="s">
        <v>192</v>
      </c>
      <c r="U1044" s="52">
        <v>1940716</v>
      </c>
      <c r="V1044">
        <v>34.93</v>
      </c>
      <c r="W1044">
        <v>0</v>
      </c>
      <c r="X1044">
        <v>2.5</v>
      </c>
      <c r="Y1044">
        <v>6</v>
      </c>
      <c r="Z1044" t="s">
        <v>4431</v>
      </c>
      <c r="AA1044" t="s">
        <v>1003</v>
      </c>
      <c r="AB1044" t="s">
        <v>2520</v>
      </c>
      <c r="AC1044" t="s">
        <v>673</v>
      </c>
      <c r="AD1044" t="s">
        <v>1838</v>
      </c>
      <c r="AE1044" t="s">
        <v>4658</v>
      </c>
      <c r="AF1044">
        <v>1.9984176750000002</v>
      </c>
    </row>
    <row r="1045" spans="1:32" x14ac:dyDescent="0.25">
      <c r="A1045" s="56">
        <v>2410996</v>
      </c>
      <c r="B1045" s="56" t="s">
        <v>1230</v>
      </c>
      <c r="C1045" s="56" t="s">
        <v>4672</v>
      </c>
      <c r="D1045" s="56"/>
      <c r="E1045" s="57">
        <v>763</v>
      </c>
      <c r="F1045" s="57">
        <v>0.76300000000000001</v>
      </c>
      <c r="G1045" s="56" t="s">
        <v>392</v>
      </c>
      <c r="H1045" s="56" t="s">
        <v>4454</v>
      </c>
      <c r="I1045" s="56" t="s">
        <v>1834</v>
      </c>
      <c r="J1045" s="56"/>
      <c r="K1045" s="56"/>
      <c r="L1045" s="56"/>
      <c r="M1045" s="56"/>
      <c r="N1045" s="56" t="s">
        <v>17</v>
      </c>
      <c r="O1045" s="56">
        <v>44</v>
      </c>
      <c r="P1045" s="59" t="s">
        <v>2532</v>
      </c>
      <c r="Q1045" s="56" t="s">
        <v>192</v>
      </c>
      <c r="U1045" s="52">
        <v>3500223</v>
      </c>
      <c r="V1045">
        <v>34.93</v>
      </c>
      <c r="W1045">
        <v>0</v>
      </c>
      <c r="X1045">
        <v>2.5</v>
      </c>
      <c r="Y1045">
        <v>6</v>
      </c>
      <c r="Z1045" t="s">
        <v>2821</v>
      </c>
      <c r="AA1045" t="s">
        <v>963</v>
      </c>
      <c r="AB1045" t="s">
        <v>3979</v>
      </c>
      <c r="AC1045" t="s">
        <v>673</v>
      </c>
      <c r="AD1045" t="s">
        <v>1838</v>
      </c>
      <c r="AE1045" t="s">
        <v>4658</v>
      </c>
      <c r="AF1045">
        <v>1.9984176750000002</v>
      </c>
    </row>
    <row r="1046" spans="1:32" x14ac:dyDescent="0.25">
      <c r="A1046" s="56">
        <v>2410996</v>
      </c>
      <c r="B1046" s="56" t="s">
        <v>1230</v>
      </c>
      <c r="C1046" s="56" t="s">
        <v>4673</v>
      </c>
      <c r="D1046" s="56"/>
      <c r="E1046" s="57">
        <v>656</v>
      </c>
      <c r="F1046" s="57">
        <v>0.65600000000000003</v>
      </c>
      <c r="G1046" s="56" t="s">
        <v>392</v>
      </c>
      <c r="H1046" s="56" t="s">
        <v>4454</v>
      </c>
      <c r="I1046" s="56" t="s">
        <v>1834</v>
      </c>
      <c r="J1046" s="56"/>
      <c r="K1046" s="56"/>
      <c r="L1046" s="56"/>
      <c r="M1046" s="56"/>
      <c r="N1046" s="56" t="s">
        <v>17</v>
      </c>
      <c r="O1046" s="56">
        <v>44</v>
      </c>
      <c r="P1046" s="59" t="s">
        <v>2532</v>
      </c>
      <c r="Q1046" s="56" t="s">
        <v>192</v>
      </c>
      <c r="U1046" s="52">
        <v>1940718</v>
      </c>
      <c r="V1046">
        <v>34.93</v>
      </c>
      <c r="W1046">
        <v>0</v>
      </c>
      <c r="X1046">
        <v>2.6</v>
      </c>
      <c r="Y1046">
        <v>1.7210000000000001</v>
      </c>
      <c r="Z1046" t="s">
        <v>4431</v>
      </c>
      <c r="AA1046" t="s">
        <v>1003</v>
      </c>
      <c r="AB1046" t="s">
        <v>2520</v>
      </c>
      <c r="AC1046" t="s">
        <v>673</v>
      </c>
      <c r="AD1046" t="s">
        <v>2171</v>
      </c>
      <c r="AE1046" t="s">
        <v>675</v>
      </c>
      <c r="AF1046">
        <v>3.5658184498819998</v>
      </c>
    </row>
    <row r="1047" spans="1:32" x14ac:dyDescent="0.25">
      <c r="A1047" s="56">
        <v>2410996</v>
      </c>
      <c r="B1047" s="56" t="s">
        <v>1230</v>
      </c>
      <c r="C1047" s="56" t="s">
        <v>4675</v>
      </c>
      <c r="D1047" s="56"/>
      <c r="E1047" s="57">
        <v>628</v>
      </c>
      <c r="F1047" s="57">
        <v>0.628</v>
      </c>
      <c r="G1047" s="56" t="s">
        <v>392</v>
      </c>
      <c r="H1047" s="56" t="s">
        <v>4454</v>
      </c>
      <c r="I1047" s="56" t="s">
        <v>1834</v>
      </c>
      <c r="J1047" s="56"/>
      <c r="K1047" s="56"/>
      <c r="L1047" s="56"/>
      <c r="M1047" s="56"/>
      <c r="N1047" s="56" t="s">
        <v>17</v>
      </c>
      <c r="O1047" s="56">
        <v>44</v>
      </c>
      <c r="P1047" s="59" t="s">
        <v>2532</v>
      </c>
      <c r="Q1047" s="56" t="s">
        <v>192</v>
      </c>
      <c r="U1047" s="52">
        <v>3547256</v>
      </c>
      <c r="V1047">
        <v>36</v>
      </c>
      <c r="W1047">
        <v>0</v>
      </c>
      <c r="X1047">
        <v>4</v>
      </c>
      <c r="Y1047">
        <v>1.41</v>
      </c>
      <c r="Z1047" t="s">
        <v>1891</v>
      </c>
      <c r="AA1047" t="s">
        <v>1003</v>
      </c>
      <c r="AB1047" t="s">
        <v>4582</v>
      </c>
      <c r="AC1047" t="s">
        <v>4524</v>
      </c>
      <c r="AD1047" t="s">
        <v>2171</v>
      </c>
      <c r="AE1047" t="s">
        <v>4664</v>
      </c>
      <c r="AF1047">
        <v>4.4486515200000003</v>
      </c>
    </row>
    <row r="1048" spans="1:32" x14ac:dyDescent="0.25">
      <c r="A1048" s="56">
        <v>2410996</v>
      </c>
      <c r="B1048" s="56" t="s">
        <v>1230</v>
      </c>
      <c r="C1048" s="56" t="s">
        <v>4677</v>
      </c>
      <c r="D1048" s="56"/>
      <c r="E1048" s="57">
        <v>1490</v>
      </c>
      <c r="F1048" s="57">
        <v>1.49</v>
      </c>
      <c r="G1048" s="56" t="s">
        <v>392</v>
      </c>
      <c r="H1048" s="56" t="s">
        <v>4454</v>
      </c>
      <c r="I1048" s="56" t="s">
        <v>1834</v>
      </c>
      <c r="J1048" s="56"/>
      <c r="K1048" s="56"/>
      <c r="L1048" s="56"/>
      <c r="M1048" s="56"/>
      <c r="N1048" s="56" t="s">
        <v>17</v>
      </c>
      <c r="O1048" s="56">
        <v>56</v>
      </c>
      <c r="P1048" s="59" t="s">
        <v>2532</v>
      </c>
      <c r="Q1048" s="56" t="s">
        <v>192</v>
      </c>
      <c r="U1048" s="52">
        <v>3775788</v>
      </c>
      <c r="V1048">
        <v>36</v>
      </c>
      <c r="W1048">
        <v>0</v>
      </c>
      <c r="X1048">
        <v>4</v>
      </c>
      <c r="Y1048">
        <v>5.2</v>
      </c>
      <c r="Z1048" t="s">
        <v>1914</v>
      </c>
      <c r="AA1048" t="s">
        <v>1003</v>
      </c>
      <c r="AB1048" t="s">
        <v>4582</v>
      </c>
      <c r="AC1048" t="s">
        <v>4524</v>
      </c>
      <c r="AD1048" t="s">
        <v>1838</v>
      </c>
      <c r="AE1048" t="s">
        <v>4525</v>
      </c>
      <c r="AF1048">
        <v>3.1550720000000001</v>
      </c>
    </row>
    <row r="1049" spans="1:32" x14ac:dyDescent="0.25">
      <c r="A1049" s="56">
        <v>2410996</v>
      </c>
      <c r="B1049" s="56" t="s">
        <v>1230</v>
      </c>
      <c r="C1049" s="56" t="s">
        <v>4678</v>
      </c>
      <c r="D1049" s="56"/>
      <c r="E1049" s="57">
        <v>81</v>
      </c>
      <c r="F1049" s="57">
        <v>8.1000000000000003E-2</v>
      </c>
      <c r="G1049" s="56" t="s">
        <v>392</v>
      </c>
      <c r="H1049" s="56" t="s">
        <v>4454</v>
      </c>
      <c r="I1049" s="56" t="s">
        <v>1834</v>
      </c>
      <c r="J1049" s="56"/>
      <c r="K1049" s="56"/>
      <c r="L1049" s="56"/>
      <c r="M1049" s="56"/>
      <c r="N1049" s="56" t="s">
        <v>17</v>
      </c>
      <c r="O1049" s="56">
        <v>81</v>
      </c>
      <c r="P1049" s="59" t="s">
        <v>2579</v>
      </c>
      <c r="Q1049" s="56" t="s">
        <v>192</v>
      </c>
      <c r="U1049" s="52">
        <v>3578410</v>
      </c>
      <c r="V1049">
        <v>36</v>
      </c>
      <c r="W1049">
        <v>0</v>
      </c>
      <c r="X1049">
        <v>4</v>
      </c>
      <c r="Y1049">
        <v>5.7</v>
      </c>
      <c r="Z1049" t="s">
        <v>1914</v>
      </c>
      <c r="AA1049" t="s">
        <v>1003</v>
      </c>
      <c r="AB1049" t="s">
        <v>4582</v>
      </c>
      <c r="AC1049" t="s">
        <v>4524</v>
      </c>
      <c r="AD1049" t="s">
        <v>1838</v>
      </c>
      <c r="AE1049" t="s">
        <v>4525</v>
      </c>
      <c r="AF1049">
        <v>3.1550720000000001</v>
      </c>
    </row>
    <row r="1050" spans="1:32" x14ac:dyDescent="0.25">
      <c r="A1050" s="56">
        <v>2410996</v>
      </c>
      <c r="B1050" s="56" t="s">
        <v>1230</v>
      </c>
      <c r="C1050" s="56" t="s">
        <v>4679</v>
      </c>
      <c r="D1050" s="56"/>
      <c r="E1050" s="57">
        <v>639</v>
      </c>
      <c r="F1050" s="57">
        <v>0.63900000000000001</v>
      </c>
      <c r="G1050" s="56" t="s">
        <v>392</v>
      </c>
      <c r="H1050" s="56" t="s">
        <v>4454</v>
      </c>
      <c r="I1050" s="56" t="s">
        <v>1834</v>
      </c>
      <c r="J1050" s="56"/>
      <c r="K1050" s="56"/>
      <c r="L1050" s="56"/>
      <c r="M1050" s="56"/>
      <c r="N1050" s="56" t="s">
        <v>17</v>
      </c>
      <c r="O1050" s="56">
        <v>81</v>
      </c>
      <c r="P1050" s="59" t="s">
        <v>2579</v>
      </c>
      <c r="Q1050" s="56" t="s">
        <v>192</v>
      </c>
      <c r="U1050" s="52">
        <v>3501132</v>
      </c>
      <c r="V1050">
        <v>36</v>
      </c>
      <c r="W1050">
        <v>0</v>
      </c>
      <c r="X1050">
        <v>4</v>
      </c>
      <c r="Y1050">
        <v>6</v>
      </c>
      <c r="Z1050" t="s">
        <v>1914</v>
      </c>
      <c r="AA1050" t="s">
        <v>1003</v>
      </c>
      <c r="AB1050" t="s">
        <v>4582</v>
      </c>
      <c r="AC1050" t="s">
        <v>4524</v>
      </c>
      <c r="AD1050" t="s">
        <v>1838</v>
      </c>
      <c r="AE1050" t="s">
        <v>4525</v>
      </c>
      <c r="AF1050">
        <v>3.1550720000000001</v>
      </c>
    </row>
    <row r="1051" spans="1:32" x14ac:dyDescent="0.25">
      <c r="A1051" s="56">
        <v>2410996</v>
      </c>
      <c r="B1051" s="56" t="s">
        <v>1230</v>
      </c>
      <c r="C1051" s="56" t="s">
        <v>4680</v>
      </c>
      <c r="D1051" s="56"/>
      <c r="E1051" s="57">
        <v>731</v>
      </c>
      <c r="F1051" s="57">
        <v>0.73099999999999998</v>
      </c>
      <c r="G1051" s="56" t="s">
        <v>392</v>
      </c>
      <c r="H1051" s="56" t="s">
        <v>4454</v>
      </c>
      <c r="I1051" s="56" t="s">
        <v>1834</v>
      </c>
      <c r="J1051" s="56"/>
      <c r="K1051" s="56"/>
      <c r="L1051" s="56"/>
      <c r="M1051" s="56"/>
      <c r="N1051" s="56" t="s">
        <v>17</v>
      </c>
      <c r="O1051" s="56">
        <v>81</v>
      </c>
      <c r="P1051" s="59" t="s">
        <v>2579</v>
      </c>
      <c r="Q1051" s="56" t="s">
        <v>192</v>
      </c>
      <c r="U1051" s="52">
        <v>1374708</v>
      </c>
      <c r="V1051">
        <v>36</v>
      </c>
      <c r="W1051">
        <v>0</v>
      </c>
      <c r="X1051">
        <v>4</v>
      </c>
      <c r="Y1051">
        <v>6</v>
      </c>
      <c r="Z1051" t="s">
        <v>1914</v>
      </c>
      <c r="AA1051" t="s">
        <v>1003</v>
      </c>
      <c r="AB1051" t="s">
        <v>4582</v>
      </c>
      <c r="AC1051" t="s">
        <v>4524</v>
      </c>
      <c r="AD1051" t="s">
        <v>1838</v>
      </c>
      <c r="AE1051" t="s">
        <v>4525</v>
      </c>
      <c r="AF1051">
        <v>3.1550720000000001</v>
      </c>
    </row>
    <row r="1052" spans="1:32" x14ac:dyDescent="0.25">
      <c r="A1052" s="56">
        <v>2410996</v>
      </c>
      <c r="B1052" s="56" t="s">
        <v>1230</v>
      </c>
      <c r="C1052" s="56" t="s">
        <v>4681</v>
      </c>
      <c r="D1052" s="56"/>
      <c r="E1052" s="57">
        <v>147.274</v>
      </c>
      <c r="F1052" s="57">
        <v>0.14727399999999999</v>
      </c>
      <c r="G1052" s="56" t="s">
        <v>392</v>
      </c>
      <c r="H1052" s="56" t="s">
        <v>4454</v>
      </c>
      <c r="I1052" s="56" t="s">
        <v>1834</v>
      </c>
      <c r="J1052" s="56"/>
      <c r="K1052" s="56"/>
      <c r="L1052" s="56"/>
      <c r="M1052" s="56"/>
      <c r="N1052" s="56" t="s">
        <v>17</v>
      </c>
      <c r="O1052" s="56">
        <v>7</v>
      </c>
      <c r="P1052" s="59" t="s">
        <v>2515</v>
      </c>
      <c r="Q1052" s="56" t="s">
        <v>192</v>
      </c>
      <c r="U1052" s="52">
        <v>3487459</v>
      </c>
      <c r="V1052">
        <v>37.5</v>
      </c>
      <c r="W1052">
        <v>30.7</v>
      </c>
      <c r="X1052">
        <v>3.4</v>
      </c>
      <c r="Y1052">
        <v>4.0999999999999996</v>
      </c>
      <c r="Z1052" t="s">
        <v>1874</v>
      </c>
      <c r="AA1052" t="s">
        <v>1003</v>
      </c>
      <c r="AB1052" t="s">
        <v>2572</v>
      </c>
      <c r="AC1052" t="s">
        <v>3838</v>
      </c>
      <c r="AD1052" t="s">
        <v>1838</v>
      </c>
      <c r="AE1052" t="s">
        <v>3839</v>
      </c>
      <c r="AF1052">
        <v>2.85780506</v>
      </c>
    </row>
    <row r="1053" spans="1:32" x14ac:dyDescent="0.25">
      <c r="A1053" s="56">
        <v>2410996</v>
      </c>
      <c r="B1053" s="56" t="s">
        <v>1230</v>
      </c>
      <c r="C1053" s="56" t="s">
        <v>4683</v>
      </c>
      <c r="D1053" s="56"/>
      <c r="E1053" s="57">
        <v>1620</v>
      </c>
      <c r="F1053" s="57">
        <v>1.62</v>
      </c>
      <c r="G1053" s="56" t="s">
        <v>392</v>
      </c>
      <c r="H1053" s="56" t="s">
        <v>4454</v>
      </c>
      <c r="I1053" s="56" t="s">
        <v>1834</v>
      </c>
      <c r="J1053" s="56"/>
      <c r="K1053" s="56"/>
      <c r="L1053" s="56"/>
      <c r="M1053" s="56"/>
      <c r="N1053" s="56" t="s">
        <v>17</v>
      </c>
      <c r="O1053" s="56">
        <v>83</v>
      </c>
      <c r="P1053" s="59" t="s">
        <v>2579</v>
      </c>
      <c r="Q1053" s="56" t="s">
        <v>192</v>
      </c>
      <c r="U1053" s="52">
        <v>403039</v>
      </c>
      <c r="V1053">
        <v>37.6</v>
      </c>
      <c r="W1053">
        <v>31.2</v>
      </c>
      <c r="X1053">
        <v>3.2</v>
      </c>
      <c r="Y1053">
        <v>0.29499999999999998</v>
      </c>
      <c r="Z1053" t="s">
        <v>2821</v>
      </c>
      <c r="AA1053" t="s">
        <v>4127</v>
      </c>
      <c r="AB1053" t="s">
        <v>2517</v>
      </c>
      <c r="AC1053" t="s">
        <v>1041</v>
      </c>
      <c r="AD1053" t="s">
        <v>2171</v>
      </c>
      <c r="AE1053" t="s">
        <v>4671</v>
      </c>
      <c r="AF1053">
        <v>0.80044176639999998</v>
      </c>
    </row>
    <row r="1054" spans="1:32" x14ac:dyDescent="0.25">
      <c r="A1054" s="56">
        <v>2410996</v>
      </c>
      <c r="B1054" s="56" t="s">
        <v>1230</v>
      </c>
      <c r="C1054" s="56" t="s">
        <v>4684</v>
      </c>
      <c r="D1054" s="56"/>
      <c r="E1054" s="57">
        <v>70</v>
      </c>
      <c r="F1054" s="57">
        <v>7.0000000000000007E-2</v>
      </c>
      <c r="G1054" s="56" t="s">
        <v>392</v>
      </c>
      <c r="H1054" s="56" t="s">
        <v>4454</v>
      </c>
      <c r="I1054" s="56" t="s">
        <v>1834</v>
      </c>
      <c r="J1054" s="56"/>
      <c r="K1054" s="56"/>
      <c r="L1054" s="56"/>
      <c r="M1054" s="56"/>
      <c r="N1054" s="56" t="s">
        <v>17</v>
      </c>
      <c r="O1054" s="56">
        <v>83</v>
      </c>
      <c r="P1054" s="59" t="s">
        <v>2579</v>
      </c>
      <c r="Q1054" s="56" t="s">
        <v>192</v>
      </c>
      <c r="U1054">
        <v>3781607</v>
      </c>
      <c r="V1054">
        <v>37.6</v>
      </c>
      <c r="W1054">
        <v>31.2</v>
      </c>
      <c r="X1054">
        <v>3.2</v>
      </c>
      <c r="Y1054">
        <v>0.29499999999999998</v>
      </c>
      <c r="Z1054" t="s">
        <v>2821</v>
      </c>
      <c r="AA1054" t="s">
        <v>4127</v>
      </c>
      <c r="AB1054" t="s">
        <v>2517</v>
      </c>
      <c r="AC1054" t="s">
        <v>1041</v>
      </c>
      <c r="AD1054" t="s">
        <v>2171</v>
      </c>
      <c r="AE1054" t="s">
        <v>4671</v>
      </c>
      <c r="AF1054">
        <v>0.80044176639999998</v>
      </c>
    </row>
    <row r="1055" spans="1:32" x14ac:dyDescent="0.25">
      <c r="A1055" s="56">
        <v>2410996</v>
      </c>
      <c r="B1055" s="56" t="s">
        <v>1230</v>
      </c>
      <c r="C1055" s="56" t="s">
        <v>4685</v>
      </c>
      <c r="D1055" s="56"/>
      <c r="E1055" s="57">
        <v>615</v>
      </c>
      <c r="F1055" s="57">
        <v>0.61499999999999999</v>
      </c>
      <c r="G1055" s="56" t="s">
        <v>392</v>
      </c>
      <c r="H1055" s="56" t="s">
        <v>4454</v>
      </c>
      <c r="I1055" s="56" t="s">
        <v>1834</v>
      </c>
      <c r="J1055" s="56"/>
      <c r="K1055" s="56"/>
      <c r="L1055" s="56"/>
      <c r="M1055" s="56"/>
      <c r="N1055" s="56" t="s">
        <v>17</v>
      </c>
      <c r="O1055" s="56">
        <v>83</v>
      </c>
      <c r="P1055" s="59" t="s">
        <v>2579</v>
      </c>
      <c r="Q1055" s="56" t="s">
        <v>192</v>
      </c>
      <c r="U1055" s="52">
        <v>3499903</v>
      </c>
      <c r="V1055">
        <v>37.6</v>
      </c>
      <c r="W1055">
        <v>31.2</v>
      </c>
      <c r="X1055">
        <v>3.2</v>
      </c>
      <c r="Y1055">
        <v>5.13</v>
      </c>
      <c r="Z1055" t="s">
        <v>2821</v>
      </c>
      <c r="AA1055" t="s">
        <v>963</v>
      </c>
      <c r="AB1055" t="s">
        <v>2517</v>
      </c>
      <c r="AC1055" t="s">
        <v>1041</v>
      </c>
      <c r="AD1055" t="s">
        <v>1838</v>
      </c>
      <c r="AE1055" t="s">
        <v>4674</v>
      </c>
      <c r="AF1055">
        <v>2.7133619200000001</v>
      </c>
    </row>
    <row r="1056" spans="1:32" x14ac:dyDescent="0.25">
      <c r="A1056" s="56">
        <v>2410996</v>
      </c>
      <c r="B1056" s="56" t="s">
        <v>1230</v>
      </c>
      <c r="C1056" s="56" t="s">
        <v>4686</v>
      </c>
      <c r="D1056" s="56"/>
      <c r="E1056" s="57">
        <v>684</v>
      </c>
      <c r="F1056" s="57">
        <v>0.68400000000000005</v>
      </c>
      <c r="G1056" s="56" t="s">
        <v>392</v>
      </c>
      <c r="H1056" s="56" t="s">
        <v>4454</v>
      </c>
      <c r="I1056" s="56" t="s">
        <v>1834</v>
      </c>
      <c r="J1056" s="56"/>
      <c r="K1056" s="56"/>
      <c r="L1056" s="56"/>
      <c r="M1056" s="56"/>
      <c r="N1056" s="56" t="s">
        <v>17</v>
      </c>
      <c r="O1056" s="56">
        <v>83</v>
      </c>
      <c r="P1056" s="59" t="s">
        <v>2579</v>
      </c>
      <c r="Q1056" s="56" t="s">
        <v>192</v>
      </c>
      <c r="U1056" s="52">
        <v>3731917</v>
      </c>
      <c r="V1056">
        <v>37.9</v>
      </c>
      <c r="W1056">
        <v>32</v>
      </c>
      <c r="X1056">
        <v>2.95</v>
      </c>
      <c r="Y1056">
        <v>0.94</v>
      </c>
      <c r="Z1056" t="s">
        <v>2821</v>
      </c>
      <c r="AA1056" t="s">
        <v>963</v>
      </c>
      <c r="AB1056" t="s">
        <v>2517</v>
      </c>
      <c r="AC1056" t="s">
        <v>1042</v>
      </c>
      <c r="AD1056" t="s">
        <v>2171</v>
      </c>
      <c r="AE1056" t="s">
        <v>4676</v>
      </c>
      <c r="AF1056">
        <v>2.3888911111499995</v>
      </c>
    </row>
    <row r="1057" spans="1:32" x14ac:dyDescent="0.25">
      <c r="A1057" s="56">
        <v>2410996</v>
      </c>
      <c r="B1057" s="56" t="s">
        <v>1230</v>
      </c>
      <c r="C1057" s="56" t="s">
        <v>4688</v>
      </c>
      <c r="D1057" s="56"/>
      <c r="E1057" s="57">
        <v>1526</v>
      </c>
      <c r="F1057" s="57">
        <v>1.526</v>
      </c>
      <c r="G1057" s="56" t="s">
        <v>392</v>
      </c>
      <c r="H1057" s="56" t="s">
        <v>4454</v>
      </c>
      <c r="I1057" s="56" t="s">
        <v>1834</v>
      </c>
      <c r="J1057" s="56"/>
      <c r="K1057" s="56"/>
      <c r="L1057" s="56"/>
      <c r="M1057" s="56"/>
      <c r="N1057" s="56" t="s">
        <v>17</v>
      </c>
      <c r="O1057" s="56">
        <v>80</v>
      </c>
      <c r="P1057" s="59" t="s">
        <v>2579</v>
      </c>
      <c r="Q1057" s="56" t="s">
        <v>192</v>
      </c>
      <c r="U1057" s="590">
        <v>238413</v>
      </c>
      <c r="V1057">
        <v>37.9</v>
      </c>
      <c r="W1057">
        <v>32</v>
      </c>
      <c r="X1057">
        <v>2.95</v>
      </c>
      <c r="Y1057">
        <v>0.94</v>
      </c>
      <c r="Z1057" t="s">
        <v>2821</v>
      </c>
      <c r="AA1057" t="s">
        <v>963</v>
      </c>
      <c r="AB1057" t="s">
        <v>2517</v>
      </c>
      <c r="AC1057" t="s">
        <v>1042</v>
      </c>
      <c r="AD1057" t="s">
        <v>2171</v>
      </c>
      <c r="AE1057" t="s">
        <v>4676</v>
      </c>
      <c r="AF1057">
        <v>2.3888911111499995</v>
      </c>
    </row>
    <row r="1058" spans="1:32" x14ac:dyDescent="0.25">
      <c r="A1058" s="56">
        <v>2410996</v>
      </c>
      <c r="B1058" s="56" t="s">
        <v>1230</v>
      </c>
      <c r="C1058" s="56" t="s">
        <v>4690</v>
      </c>
      <c r="D1058" s="56"/>
      <c r="E1058" s="57">
        <v>1983</v>
      </c>
      <c r="F1058" s="57">
        <v>1.9830000000000001</v>
      </c>
      <c r="G1058" s="56" t="s">
        <v>392</v>
      </c>
      <c r="H1058" s="56" t="s">
        <v>4454</v>
      </c>
      <c r="I1058" s="56" t="s">
        <v>1834</v>
      </c>
      <c r="J1058" s="56"/>
      <c r="K1058" s="56"/>
      <c r="L1058" s="56"/>
      <c r="M1058" s="56"/>
      <c r="N1058" s="56" t="s">
        <v>17</v>
      </c>
      <c r="O1058" s="56">
        <v>83</v>
      </c>
      <c r="P1058" s="59" t="s">
        <v>2579</v>
      </c>
      <c r="Q1058" s="56" t="s">
        <v>192</v>
      </c>
      <c r="U1058" s="52">
        <v>3136335</v>
      </c>
      <c r="V1058">
        <v>38</v>
      </c>
      <c r="W1058">
        <v>0</v>
      </c>
      <c r="X1058">
        <v>3</v>
      </c>
      <c r="Y1058">
        <v>0</v>
      </c>
      <c r="Z1058" t="s">
        <v>1874</v>
      </c>
      <c r="AA1058" t="s">
        <v>1003</v>
      </c>
      <c r="AB1058" t="s">
        <v>2517</v>
      </c>
      <c r="AC1058" t="s">
        <v>1042</v>
      </c>
      <c r="AD1058" t="s">
        <v>2171</v>
      </c>
      <c r="AE1058" t="s">
        <v>2370</v>
      </c>
      <c r="AF1058">
        <v>0</v>
      </c>
    </row>
    <row r="1059" spans="1:32" x14ac:dyDescent="0.25">
      <c r="A1059" s="56">
        <v>2410996</v>
      </c>
      <c r="B1059" s="56" t="s">
        <v>1230</v>
      </c>
      <c r="C1059" s="56" t="s">
        <v>4692</v>
      </c>
      <c r="D1059" s="56"/>
      <c r="E1059" s="57">
        <v>51.5</v>
      </c>
      <c r="F1059" s="57">
        <v>5.1499999999999997E-2</v>
      </c>
      <c r="G1059" s="56" t="s">
        <v>392</v>
      </c>
      <c r="H1059" s="56" t="s">
        <v>2511</v>
      </c>
      <c r="I1059" s="56" t="s">
        <v>1834</v>
      </c>
      <c r="J1059" s="56"/>
      <c r="K1059" s="56"/>
      <c r="L1059" s="56"/>
      <c r="M1059" s="56"/>
      <c r="N1059" s="56" t="s">
        <v>17</v>
      </c>
      <c r="O1059" s="56">
        <v>41</v>
      </c>
      <c r="P1059" s="59" t="s">
        <v>2532</v>
      </c>
      <c r="Q1059" s="56" t="s">
        <v>192</v>
      </c>
      <c r="U1059">
        <v>3557586</v>
      </c>
      <c r="V1059">
        <v>38</v>
      </c>
      <c r="W1059">
        <v>0</v>
      </c>
      <c r="X1059">
        <v>3</v>
      </c>
      <c r="Y1059">
        <v>4.4000000000000004</v>
      </c>
      <c r="Z1059" t="s">
        <v>2088</v>
      </c>
      <c r="AA1059" t="s">
        <v>1003</v>
      </c>
      <c r="AB1059" t="s">
        <v>2517</v>
      </c>
      <c r="AC1059" t="s">
        <v>1042</v>
      </c>
      <c r="AD1059" t="s">
        <v>1838</v>
      </c>
      <c r="AE1059" t="s">
        <v>2370</v>
      </c>
      <c r="AF1059">
        <v>2.5881449999999999</v>
      </c>
    </row>
    <row r="1060" spans="1:32" x14ac:dyDescent="0.25">
      <c r="A1060" s="56">
        <v>2410996</v>
      </c>
      <c r="B1060" s="56" t="s">
        <v>1230</v>
      </c>
      <c r="C1060" s="56" t="s">
        <v>4693</v>
      </c>
      <c r="D1060" s="56"/>
      <c r="E1060" s="57">
        <v>730.5</v>
      </c>
      <c r="F1060" s="57">
        <v>0.73050000000000004</v>
      </c>
      <c r="G1060" s="56" t="s">
        <v>392</v>
      </c>
      <c r="H1060" s="56" t="s">
        <v>2511</v>
      </c>
      <c r="I1060" s="56" t="s">
        <v>1834</v>
      </c>
      <c r="J1060" s="56"/>
      <c r="K1060" s="56"/>
      <c r="L1060" s="56"/>
      <c r="M1060" s="56"/>
      <c r="N1060" s="56" t="s">
        <v>17</v>
      </c>
      <c r="O1060" s="56">
        <v>41</v>
      </c>
      <c r="P1060" s="59" t="s">
        <v>2532</v>
      </c>
      <c r="Q1060" s="56" t="s">
        <v>192</v>
      </c>
      <c r="U1060">
        <v>3502026</v>
      </c>
      <c r="V1060">
        <v>38</v>
      </c>
      <c r="W1060">
        <v>0</v>
      </c>
      <c r="X1060">
        <v>3</v>
      </c>
      <c r="Y1060">
        <v>6</v>
      </c>
      <c r="Z1060" t="s">
        <v>1874</v>
      </c>
      <c r="AA1060" t="s">
        <v>1003</v>
      </c>
      <c r="AB1060" t="s">
        <v>2517</v>
      </c>
      <c r="AC1060" t="s">
        <v>1042</v>
      </c>
      <c r="AD1060" t="s">
        <v>1838</v>
      </c>
      <c r="AE1060" t="s">
        <v>2370</v>
      </c>
      <c r="AF1060">
        <v>2.5881449999999999</v>
      </c>
    </row>
    <row r="1061" spans="1:32" x14ac:dyDescent="0.25">
      <c r="A1061" s="56">
        <v>2410996</v>
      </c>
      <c r="B1061" s="56" t="s">
        <v>1230</v>
      </c>
      <c r="C1061" s="56" t="s">
        <v>4694</v>
      </c>
      <c r="D1061" s="56"/>
      <c r="E1061" s="57">
        <v>601.5</v>
      </c>
      <c r="F1061" s="57">
        <v>0.60150000000000003</v>
      </c>
      <c r="G1061" s="56" t="s">
        <v>392</v>
      </c>
      <c r="H1061" s="56" t="s">
        <v>2511</v>
      </c>
      <c r="I1061" s="56" t="s">
        <v>1834</v>
      </c>
      <c r="J1061" s="56"/>
      <c r="K1061" s="56"/>
      <c r="L1061" s="56"/>
      <c r="M1061" s="56"/>
      <c r="N1061" s="56" t="s">
        <v>17</v>
      </c>
      <c r="O1061" s="56">
        <v>41</v>
      </c>
      <c r="P1061" s="59" t="s">
        <v>2532</v>
      </c>
      <c r="Q1061" s="56" t="s">
        <v>192</v>
      </c>
      <c r="U1061" s="52">
        <v>293855</v>
      </c>
      <c r="V1061">
        <v>38.1</v>
      </c>
      <c r="W1061">
        <v>0</v>
      </c>
      <c r="X1061">
        <v>1.6</v>
      </c>
      <c r="Y1061">
        <v>0.48799999999999999</v>
      </c>
      <c r="Z1061" t="s">
        <v>2821</v>
      </c>
      <c r="AA1061" t="s">
        <v>963</v>
      </c>
      <c r="AB1061" t="s">
        <v>2520</v>
      </c>
      <c r="AC1061" t="s">
        <v>1043</v>
      </c>
      <c r="AD1061" t="s">
        <v>2171</v>
      </c>
      <c r="AE1061" t="s">
        <v>4682</v>
      </c>
      <c r="AF1061">
        <v>0.70247678080000009</v>
      </c>
    </row>
    <row r="1062" spans="1:32" x14ac:dyDescent="0.25">
      <c r="A1062" s="56">
        <v>2410996</v>
      </c>
      <c r="B1062" s="56" t="s">
        <v>1230</v>
      </c>
      <c r="C1062" s="56" t="s">
        <v>4696</v>
      </c>
      <c r="D1062" s="56"/>
      <c r="E1062" s="57">
        <v>1393.5</v>
      </c>
      <c r="F1062" s="57">
        <v>1.3935</v>
      </c>
      <c r="G1062" s="56" t="s">
        <v>392</v>
      </c>
      <c r="H1062" s="56" t="s">
        <v>2511</v>
      </c>
      <c r="I1062" s="56" t="s">
        <v>1834</v>
      </c>
      <c r="J1062" s="56"/>
      <c r="K1062" s="56"/>
      <c r="L1062" s="56"/>
      <c r="M1062" s="56"/>
      <c r="N1062" s="56" t="s">
        <v>17</v>
      </c>
      <c r="O1062" s="56">
        <v>41</v>
      </c>
      <c r="P1062" s="59" t="s">
        <v>2532</v>
      </c>
      <c r="Q1062" s="56" t="s">
        <v>192</v>
      </c>
      <c r="U1062" s="52">
        <v>1940730</v>
      </c>
      <c r="V1062">
        <v>38.1</v>
      </c>
      <c r="W1062">
        <v>0</v>
      </c>
      <c r="X1062">
        <v>1.6</v>
      </c>
      <c r="Y1062">
        <v>0.48799999999999999</v>
      </c>
      <c r="Z1062" t="s">
        <v>1891</v>
      </c>
      <c r="AA1062" t="s">
        <v>1003</v>
      </c>
      <c r="AB1062" t="s">
        <v>2520</v>
      </c>
      <c r="AC1062" t="s">
        <v>1043</v>
      </c>
      <c r="AD1062" t="s">
        <v>2171</v>
      </c>
      <c r="AE1062" t="s">
        <v>4682</v>
      </c>
      <c r="AF1062">
        <v>0.70247678080000009</v>
      </c>
    </row>
    <row r="1063" spans="1:32" x14ac:dyDescent="0.25">
      <c r="A1063" s="56">
        <v>2410996</v>
      </c>
      <c r="B1063" s="56" t="s">
        <v>1230</v>
      </c>
      <c r="C1063" s="56" t="s">
        <v>4698</v>
      </c>
      <c r="D1063" s="56"/>
      <c r="E1063" s="57">
        <v>1364.5</v>
      </c>
      <c r="F1063" s="57">
        <v>1.3645</v>
      </c>
      <c r="G1063" s="56" t="s">
        <v>392</v>
      </c>
      <c r="H1063" s="56" t="s">
        <v>2511</v>
      </c>
      <c r="I1063" s="56" t="s">
        <v>1834</v>
      </c>
      <c r="J1063" s="56"/>
      <c r="K1063" s="56"/>
      <c r="L1063" s="56"/>
      <c r="M1063" s="56"/>
      <c r="N1063" s="56" t="s">
        <v>17</v>
      </c>
      <c r="O1063" s="56">
        <v>41</v>
      </c>
      <c r="P1063" s="59" t="s">
        <v>2532</v>
      </c>
      <c r="Q1063" s="56" t="s">
        <v>192</v>
      </c>
      <c r="U1063" s="52">
        <v>302897</v>
      </c>
      <c r="V1063">
        <v>38.1</v>
      </c>
      <c r="W1063">
        <v>0</v>
      </c>
      <c r="X1063">
        <v>1.6</v>
      </c>
      <c r="Y1063">
        <v>0.81200000000000006</v>
      </c>
      <c r="Z1063" t="s">
        <v>3450</v>
      </c>
      <c r="AA1063" t="s">
        <v>1003</v>
      </c>
      <c r="AB1063" t="s">
        <v>2520</v>
      </c>
      <c r="AC1063" t="s">
        <v>1043</v>
      </c>
      <c r="AD1063" t="s">
        <v>2171</v>
      </c>
      <c r="AE1063" t="s">
        <v>2336</v>
      </c>
      <c r="AF1063">
        <v>1.1688752992000002</v>
      </c>
    </row>
    <row r="1064" spans="1:32" x14ac:dyDescent="0.25">
      <c r="A1064" s="56">
        <v>2410997</v>
      </c>
      <c r="B1064" s="56" t="s">
        <v>814</v>
      </c>
      <c r="C1064" s="56" t="s">
        <v>4700</v>
      </c>
      <c r="D1064" s="56"/>
      <c r="E1064" s="57">
        <v>1257</v>
      </c>
      <c r="F1064" s="57">
        <v>1.2569999999999999</v>
      </c>
      <c r="G1064" s="56" t="s">
        <v>392</v>
      </c>
      <c r="H1064" s="56" t="s">
        <v>4454</v>
      </c>
      <c r="I1064" s="56" t="s">
        <v>1834</v>
      </c>
      <c r="J1064" s="56"/>
      <c r="K1064" s="56"/>
      <c r="L1064" s="56"/>
      <c r="M1064" s="56"/>
      <c r="N1064" s="56" t="s">
        <v>151</v>
      </c>
      <c r="O1064" s="56">
        <v>32</v>
      </c>
      <c r="P1064" s="59" t="s">
        <v>2532</v>
      </c>
      <c r="Q1064" s="56" t="s">
        <v>11</v>
      </c>
      <c r="U1064" s="52">
        <v>1940731</v>
      </c>
      <c r="V1064">
        <v>38.1</v>
      </c>
      <c r="W1064">
        <v>0</v>
      </c>
      <c r="X1064">
        <v>1.6</v>
      </c>
      <c r="Y1064">
        <v>0.81200000000000006</v>
      </c>
      <c r="Z1064" t="s">
        <v>1891</v>
      </c>
      <c r="AA1064" t="s">
        <v>1003</v>
      </c>
      <c r="AB1064" t="s">
        <v>2520</v>
      </c>
      <c r="AC1064" t="s">
        <v>1043</v>
      </c>
      <c r="AD1064" t="s">
        <v>2171</v>
      </c>
      <c r="AE1064" t="s">
        <v>2336</v>
      </c>
      <c r="AF1064">
        <v>1.1688752992000002</v>
      </c>
    </row>
    <row r="1065" spans="1:32" x14ac:dyDescent="0.25">
      <c r="A1065" s="56">
        <v>2410997</v>
      </c>
      <c r="B1065" s="56" t="s">
        <v>814</v>
      </c>
      <c r="C1065" s="56" t="s">
        <v>4701</v>
      </c>
      <c r="D1065" s="56"/>
      <c r="E1065" s="57">
        <v>100</v>
      </c>
      <c r="F1065" s="57">
        <v>0.1</v>
      </c>
      <c r="G1065" s="56" t="s">
        <v>392</v>
      </c>
      <c r="H1065" s="56" t="s">
        <v>4454</v>
      </c>
      <c r="I1065" s="56" t="s">
        <v>1834</v>
      </c>
      <c r="J1065" s="56"/>
      <c r="K1065" s="56"/>
      <c r="L1065" s="56"/>
      <c r="M1065" s="56"/>
      <c r="N1065" s="56" t="s">
        <v>151</v>
      </c>
      <c r="O1065" s="56">
        <v>83</v>
      </c>
      <c r="P1065" s="59" t="s">
        <v>2579</v>
      </c>
      <c r="Q1065" s="56" t="s">
        <v>11</v>
      </c>
      <c r="U1065" s="52">
        <v>3507790</v>
      </c>
      <c r="V1065">
        <v>38.1</v>
      </c>
      <c r="W1065">
        <v>0</v>
      </c>
      <c r="X1065">
        <v>1.6</v>
      </c>
      <c r="Y1065">
        <v>0.81499999999999995</v>
      </c>
      <c r="Z1065" t="s">
        <v>1914</v>
      </c>
      <c r="AA1065" t="s">
        <v>1003</v>
      </c>
      <c r="AB1065" t="s">
        <v>2520</v>
      </c>
      <c r="AC1065" t="s">
        <v>1043</v>
      </c>
      <c r="AD1065" t="s">
        <v>2171</v>
      </c>
      <c r="AE1065" t="s">
        <v>4687</v>
      </c>
      <c r="AF1065">
        <v>1.1731938040000001</v>
      </c>
    </row>
    <row r="1066" spans="1:32" x14ac:dyDescent="0.25">
      <c r="A1066" s="56">
        <v>2410997</v>
      </c>
      <c r="B1066" s="56" t="s">
        <v>814</v>
      </c>
      <c r="C1066" s="56" t="s">
        <v>4702</v>
      </c>
      <c r="D1066" s="56"/>
      <c r="E1066" s="57">
        <v>932</v>
      </c>
      <c r="F1066" s="57">
        <v>0.93200000000000005</v>
      </c>
      <c r="G1066" s="56" t="s">
        <v>392</v>
      </c>
      <c r="H1066" s="56" t="s">
        <v>4454</v>
      </c>
      <c r="I1066" s="56" t="s">
        <v>1834</v>
      </c>
      <c r="J1066" s="56"/>
      <c r="K1066" s="56"/>
      <c r="L1066" s="56"/>
      <c r="M1066" s="56"/>
      <c r="N1066" s="56" t="s">
        <v>151</v>
      </c>
      <c r="O1066" s="56">
        <v>83</v>
      </c>
      <c r="P1066" s="59" t="s">
        <v>2579</v>
      </c>
      <c r="Q1066" s="56" t="s">
        <v>11</v>
      </c>
      <c r="U1066" s="52">
        <v>1940732</v>
      </c>
      <c r="V1066">
        <v>38.1</v>
      </c>
      <c r="W1066">
        <v>0</v>
      </c>
      <c r="X1066">
        <v>1.6</v>
      </c>
      <c r="Y1066">
        <v>0.82099999999999995</v>
      </c>
      <c r="Z1066" t="s">
        <v>1891</v>
      </c>
      <c r="AA1066" t="s">
        <v>1003</v>
      </c>
      <c r="AB1066" t="s">
        <v>2520</v>
      </c>
      <c r="AC1066" t="s">
        <v>1043</v>
      </c>
      <c r="AD1066" t="s">
        <v>2171</v>
      </c>
      <c r="AE1066" t="s">
        <v>4689</v>
      </c>
      <c r="AF1066">
        <v>1.1818308136000002</v>
      </c>
    </row>
    <row r="1067" spans="1:32" x14ac:dyDescent="0.25">
      <c r="A1067" s="56">
        <v>2410997</v>
      </c>
      <c r="B1067" s="56" t="s">
        <v>814</v>
      </c>
      <c r="C1067" s="56" t="s">
        <v>4703</v>
      </c>
      <c r="D1067" s="56"/>
      <c r="E1067" s="57">
        <v>1692</v>
      </c>
      <c r="F1067" s="57">
        <v>1.6919999999999999</v>
      </c>
      <c r="G1067" s="56" t="s">
        <v>392</v>
      </c>
      <c r="H1067" s="56" t="s">
        <v>2511</v>
      </c>
      <c r="I1067" s="56" t="s">
        <v>1834</v>
      </c>
      <c r="J1067" s="56"/>
      <c r="K1067" s="56"/>
      <c r="L1067" s="56"/>
      <c r="M1067" s="56"/>
      <c r="N1067" s="56" t="s">
        <v>151</v>
      </c>
      <c r="O1067" s="56">
        <v>31</v>
      </c>
      <c r="P1067" s="59" t="s">
        <v>2532</v>
      </c>
      <c r="Q1067" s="56" t="s">
        <v>11</v>
      </c>
      <c r="U1067" s="52">
        <v>2436343</v>
      </c>
      <c r="V1067">
        <v>38.1</v>
      </c>
      <c r="W1067">
        <v>0</v>
      </c>
      <c r="X1067">
        <v>1.6</v>
      </c>
      <c r="Y1067">
        <v>0.875</v>
      </c>
      <c r="Z1067" t="s">
        <v>1924</v>
      </c>
      <c r="AA1067" t="s">
        <v>1003</v>
      </c>
      <c r="AB1067" t="s">
        <v>2520</v>
      </c>
      <c r="AC1067" t="s">
        <v>1045</v>
      </c>
      <c r="AD1067" t="s">
        <v>2171</v>
      </c>
      <c r="AE1067" t="s">
        <v>4691</v>
      </c>
      <c r="AF1067">
        <v>1.2595639000000003</v>
      </c>
    </row>
    <row r="1068" spans="1:32" x14ac:dyDescent="0.25">
      <c r="A1068" s="56">
        <v>2410998</v>
      </c>
      <c r="B1068" s="56" t="s">
        <v>2003</v>
      </c>
      <c r="C1068" s="56" t="s">
        <v>4704</v>
      </c>
      <c r="D1068" s="56"/>
      <c r="E1068" s="57">
        <v>678</v>
      </c>
      <c r="F1068" s="57">
        <v>0.67800000000000005</v>
      </c>
      <c r="G1068" s="56" t="s">
        <v>392</v>
      </c>
      <c r="H1068" s="56" t="s">
        <v>4454</v>
      </c>
      <c r="I1068" s="56" t="s">
        <v>1834</v>
      </c>
      <c r="J1068" s="56"/>
      <c r="K1068" s="56"/>
      <c r="L1068" s="56"/>
      <c r="M1068" s="56"/>
      <c r="N1068" s="56" t="s">
        <v>44</v>
      </c>
      <c r="O1068" s="56">
        <v>81</v>
      </c>
      <c r="P1068" s="59" t="s">
        <v>2579</v>
      </c>
      <c r="Q1068" s="56" t="s">
        <v>11</v>
      </c>
      <c r="U1068" s="52">
        <v>3841884</v>
      </c>
      <c r="V1068">
        <v>38.1</v>
      </c>
      <c r="W1068">
        <v>0</v>
      </c>
      <c r="X1068">
        <v>1.6</v>
      </c>
      <c r="Y1068">
        <v>0.875</v>
      </c>
      <c r="Z1068" t="s">
        <v>1924</v>
      </c>
      <c r="AA1068" t="s">
        <v>1003</v>
      </c>
      <c r="AB1068" t="s">
        <v>2520</v>
      </c>
      <c r="AC1068" t="s">
        <v>1045</v>
      </c>
      <c r="AD1068" t="s">
        <v>2171</v>
      </c>
      <c r="AE1068" t="s">
        <v>4691</v>
      </c>
      <c r="AF1068">
        <v>1.2595639000000003</v>
      </c>
    </row>
    <row r="1069" spans="1:32" x14ac:dyDescent="0.25">
      <c r="A1069" s="56">
        <v>2410998</v>
      </c>
      <c r="B1069" s="56" t="s">
        <v>2003</v>
      </c>
      <c r="C1069" s="56" t="s">
        <v>4705</v>
      </c>
      <c r="D1069" s="56"/>
      <c r="E1069" s="57">
        <v>662</v>
      </c>
      <c r="F1069" s="57">
        <v>0.66200000000000003</v>
      </c>
      <c r="G1069" s="56" t="s">
        <v>392</v>
      </c>
      <c r="H1069" s="56" t="s">
        <v>4454</v>
      </c>
      <c r="I1069" s="56" t="s">
        <v>1834</v>
      </c>
      <c r="J1069" s="56"/>
      <c r="K1069" s="56"/>
      <c r="L1069" s="56"/>
      <c r="M1069" s="56"/>
      <c r="N1069" s="56" t="s">
        <v>44</v>
      </c>
      <c r="O1069" s="56">
        <v>81</v>
      </c>
      <c r="P1069" s="59" t="s">
        <v>2579</v>
      </c>
      <c r="Q1069" s="56" t="s">
        <v>11</v>
      </c>
      <c r="U1069" s="52">
        <v>1523477</v>
      </c>
      <c r="V1069">
        <v>38.1</v>
      </c>
      <c r="W1069">
        <v>0</v>
      </c>
      <c r="X1069">
        <v>1.6</v>
      </c>
      <c r="Y1069">
        <v>0.875</v>
      </c>
      <c r="Z1069" t="s">
        <v>1914</v>
      </c>
      <c r="AA1069" t="s">
        <v>1003</v>
      </c>
      <c r="AB1069" t="s">
        <v>2520</v>
      </c>
      <c r="AC1069" t="s">
        <v>1045</v>
      </c>
      <c r="AD1069" t="s">
        <v>2171</v>
      </c>
      <c r="AE1069" t="s">
        <v>4691</v>
      </c>
      <c r="AF1069">
        <v>1.2595639000000003</v>
      </c>
    </row>
    <row r="1070" spans="1:32" x14ac:dyDescent="0.25">
      <c r="A1070" s="56">
        <v>2410998</v>
      </c>
      <c r="B1070" s="56" t="s">
        <v>2003</v>
      </c>
      <c r="C1070" s="56" t="s">
        <v>4706</v>
      </c>
      <c r="D1070" s="56"/>
      <c r="E1070" s="57">
        <v>1594.0940000000001</v>
      </c>
      <c r="F1070" s="57">
        <v>1.5940940000000001</v>
      </c>
      <c r="G1070" s="56" t="s">
        <v>392</v>
      </c>
      <c r="H1070" s="56" t="s">
        <v>4454</v>
      </c>
      <c r="I1070" s="56" t="s">
        <v>1834</v>
      </c>
      <c r="J1070" s="56"/>
      <c r="K1070" s="56"/>
      <c r="L1070" s="56"/>
      <c r="M1070" s="56"/>
      <c r="N1070" s="56" t="s">
        <v>44</v>
      </c>
      <c r="O1070" s="56">
        <v>88</v>
      </c>
      <c r="P1070" s="59" t="s">
        <v>2579</v>
      </c>
      <c r="Q1070" s="56" t="s">
        <v>11</v>
      </c>
      <c r="U1070" s="52">
        <v>3768904</v>
      </c>
      <c r="V1070">
        <v>38.1</v>
      </c>
      <c r="W1070">
        <v>0</v>
      </c>
      <c r="X1070">
        <v>1.6</v>
      </c>
      <c r="Y1070">
        <v>0.878</v>
      </c>
      <c r="Z1070" t="s">
        <v>1924</v>
      </c>
      <c r="AA1070" t="s">
        <v>1003</v>
      </c>
      <c r="AB1070" t="s">
        <v>2520</v>
      </c>
      <c r="AC1070" t="s">
        <v>1045</v>
      </c>
      <c r="AD1070" t="s">
        <v>2171</v>
      </c>
      <c r="AE1070" t="s">
        <v>4695</v>
      </c>
      <c r="AF1070">
        <v>1.2638824048000001</v>
      </c>
    </row>
    <row r="1071" spans="1:32" x14ac:dyDescent="0.25">
      <c r="A1071" s="56">
        <v>2410998</v>
      </c>
      <c r="B1071" s="56" t="s">
        <v>2003</v>
      </c>
      <c r="C1071" s="56" t="s">
        <v>4707</v>
      </c>
      <c r="D1071" s="56"/>
      <c r="E1071" s="57">
        <v>142.5</v>
      </c>
      <c r="F1071" s="57">
        <v>0.14249999999999999</v>
      </c>
      <c r="G1071" s="56" t="s">
        <v>392</v>
      </c>
      <c r="H1071" s="56" t="s">
        <v>2511</v>
      </c>
      <c r="I1071" s="56" t="s">
        <v>1834</v>
      </c>
      <c r="J1071" s="56"/>
      <c r="K1071" s="56"/>
      <c r="L1071" s="56"/>
      <c r="M1071" s="56"/>
      <c r="N1071" s="56" t="s">
        <v>44</v>
      </c>
      <c r="O1071" s="56">
        <v>41</v>
      </c>
      <c r="P1071" s="59" t="s">
        <v>2532</v>
      </c>
      <c r="Q1071" s="56" t="s">
        <v>11</v>
      </c>
      <c r="U1071" s="52">
        <v>3191747</v>
      </c>
      <c r="V1071">
        <v>38.1</v>
      </c>
      <c r="W1071">
        <v>0</v>
      </c>
      <c r="X1071">
        <v>1.6</v>
      </c>
      <c r="Y1071">
        <v>0.93</v>
      </c>
      <c r="Z1071" t="s">
        <v>1924</v>
      </c>
      <c r="AA1071" t="s">
        <v>1003</v>
      </c>
      <c r="AB1071" t="s">
        <v>2520</v>
      </c>
      <c r="AC1071" t="s">
        <v>1045</v>
      </c>
      <c r="AD1071" t="s">
        <v>2171</v>
      </c>
      <c r="AE1071" t="s">
        <v>4697</v>
      </c>
      <c r="AF1071">
        <v>1.3387364880000003</v>
      </c>
    </row>
    <row r="1072" spans="1:32" x14ac:dyDescent="0.25">
      <c r="A1072" s="56">
        <v>2410998</v>
      </c>
      <c r="B1072" s="56" t="s">
        <v>2003</v>
      </c>
      <c r="C1072" s="56" t="s">
        <v>4708</v>
      </c>
      <c r="D1072" s="56"/>
      <c r="E1072" s="57">
        <v>692.5</v>
      </c>
      <c r="F1072" s="57">
        <v>0.6925</v>
      </c>
      <c r="G1072" s="56" t="s">
        <v>392</v>
      </c>
      <c r="H1072" s="56" t="s">
        <v>2511</v>
      </c>
      <c r="I1072" s="56" t="s">
        <v>1834</v>
      </c>
      <c r="J1072" s="56"/>
      <c r="K1072" s="56"/>
      <c r="L1072" s="56"/>
      <c r="M1072" s="56"/>
      <c r="N1072" s="56" t="s">
        <v>44</v>
      </c>
      <c r="O1072" s="56">
        <v>41</v>
      </c>
      <c r="P1072" s="59" t="s">
        <v>2532</v>
      </c>
      <c r="Q1072" s="56" t="s">
        <v>11</v>
      </c>
      <c r="U1072" s="52">
        <v>1194658</v>
      </c>
      <c r="V1072">
        <v>38.1</v>
      </c>
      <c r="W1072">
        <v>0</v>
      </c>
      <c r="X1072">
        <v>1.6</v>
      </c>
      <c r="Y1072">
        <v>0.97</v>
      </c>
      <c r="Z1072" t="s">
        <v>1914</v>
      </c>
      <c r="AA1072" t="s">
        <v>1003</v>
      </c>
      <c r="AB1072" t="s">
        <v>2520</v>
      </c>
      <c r="AC1072" t="s">
        <v>1043</v>
      </c>
      <c r="AD1072" t="s">
        <v>2171</v>
      </c>
      <c r="AE1072" t="s">
        <v>4699</v>
      </c>
      <c r="AF1072">
        <v>1.3963165520000003</v>
      </c>
    </row>
    <row r="1073" spans="1:32" x14ac:dyDescent="0.25">
      <c r="A1073" s="56">
        <v>2410998</v>
      </c>
      <c r="B1073" s="56" t="s">
        <v>2003</v>
      </c>
      <c r="C1073" s="56" t="s">
        <v>4709</v>
      </c>
      <c r="D1073" s="56"/>
      <c r="E1073" s="57">
        <v>680.5</v>
      </c>
      <c r="F1073" s="57">
        <v>0.68049999999999999</v>
      </c>
      <c r="G1073" s="56" t="s">
        <v>392</v>
      </c>
      <c r="H1073" s="56" t="s">
        <v>2511</v>
      </c>
      <c r="I1073" s="56" t="s">
        <v>1834</v>
      </c>
      <c r="J1073" s="56"/>
      <c r="K1073" s="56"/>
      <c r="L1073" s="56"/>
      <c r="M1073" s="56"/>
      <c r="N1073" s="56" t="s">
        <v>44</v>
      </c>
      <c r="O1073" s="56">
        <v>41</v>
      </c>
      <c r="P1073" s="59" t="s">
        <v>2532</v>
      </c>
      <c r="Q1073" s="56" t="s">
        <v>11</v>
      </c>
      <c r="U1073" s="52">
        <v>3507336</v>
      </c>
      <c r="V1073">
        <v>38.1</v>
      </c>
      <c r="W1073">
        <v>0</v>
      </c>
      <c r="X1073">
        <v>1.6</v>
      </c>
      <c r="Y1073">
        <v>0.97</v>
      </c>
      <c r="Z1073" t="s">
        <v>1952</v>
      </c>
      <c r="AA1073" t="s">
        <v>1003</v>
      </c>
      <c r="AB1073" t="s">
        <v>2520</v>
      </c>
      <c r="AC1073" t="s">
        <v>1043</v>
      </c>
      <c r="AD1073" t="s">
        <v>2171</v>
      </c>
      <c r="AE1073" t="s">
        <v>4699</v>
      </c>
      <c r="AF1073">
        <v>1.3963165520000003</v>
      </c>
    </row>
    <row r="1074" spans="1:32" x14ac:dyDescent="0.25">
      <c r="A1074" s="56">
        <v>2410998</v>
      </c>
      <c r="B1074" s="56" t="s">
        <v>2003</v>
      </c>
      <c r="C1074" s="56" t="s">
        <v>4710</v>
      </c>
      <c r="D1074" s="56"/>
      <c r="E1074" s="57">
        <v>141.5</v>
      </c>
      <c r="F1074" s="57">
        <v>0.14149999999999999</v>
      </c>
      <c r="G1074" s="56" t="s">
        <v>392</v>
      </c>
      <c r="H1074" s="56" t="s">
        <v>2511</v>
      </c>
      <c r="I1074" s="56" t="s">
        <v>1834</v>
      </c>
      <c r="J1074" s="56"/>
      <c r="K1074" s="56"/>
      <c r="L1074" s="56"/>
      <c r="M1074" s="56"/>
      <c r="N1074" s="56" t="s">
        <v>44</v>
      </c>
      <c r="O1074" s="56">
        <v>41</v>
      </c>
      <c r="P1074" s="59" t="s">
        <v>2532</v>
      </c>
      <c r="Q1074" s="56" t="s">
        <v>11</v>
      </c>
      <c r="U1074" s="52">
        <v>3500233</v>
      </c>
      <c r="V1074">
        <v>38.1</v>
      </c>
      <c r="W1074">
        <v>0</v>
      </c>
      <c r="X1074">
        <v>1.6</v>
      </c>
      <c r="Y1074">
        <v>4.95</v>
      </c>
      <c r="Z1074" t="s">
        <v>2821</v>
      </c>
      <c r="AA1074" t="s">
        <v>1003</v>
      </c>
      <c r="AB1074" t="s">
        <v>2520</v>
      </c>
      <c r="AC1074" t="s">
        <v>1043</v>
      </c>
      <c r="AD1074" t="s">
        <v>1838</v>
      </c>
      <c r="AE1074" t="s">
        <v>2356</v>
      </c>
      <c r="AF1074">
        <v>1.4395016000000003</v>
      </c>
    </row>
    <row r="1075" spans="1:32" x14ac:dyDescent="0.25">
      <c r="A1075" s="56">
        <v>2410998</v>
      </c>
      <c r="B1075" s="56" t="s">
        <v>2003</v>
      </c>
      <c r="C1075" s="56" t="s">
        <v>4711</v>
      </c>
      <c r="D1075" s="56"/>
      <c r="E1075" s="57">
        <v>695.5</v>
      </c>
      <c r="F1075" s="57">
        <v>0.69550000000000001</v>
      </c>
      <c r="G1075" s="56" t="s">
        <v>392</v>
      </c>
      <c r="H1075" s="56" t="s">
        <v>2511</v>
      </c>
      <c r="I1075" s="56" t="s">
        <v>1834</v>
      </c>
      <c r="J1075" s="56"/>
      <c r="K1075" s="56"/>
      <c r="L1075" s="56"/>
      <c r="M1075" s="56"/>
      <c r="N1075" s="56" t="s">
        <v>44</v>
      </c>
      <c r="O1075" s="56">
        <v>41</v>
      </c>
      <c r="P1075" s="59" t="s">
        <v>2532</v>
      </c>
      <c r="Q1075" s="56" t="s">
        <v>11</v>
      </c>
      <c r="U1075" s="538">
        <v>111116369</v>
      </c>
      <c r="V1075">
        <v>38.1</v>
      </c>
      <c r="W1075">
        <v>0</v>
      </c>
      <c r="X1075">
        <v>1.6</v>
      </c>
      <c r="Y1075">
        <v>5</v>
      </c>
      <c r="Z1075" t="s">
        <v>1891</v>
      </c>
      <c r="AA1075" t="s">
        <v>1003</v>
      </c>
      <c r="AB1075" t="s">
        <v>2520</v>
      </c>
      <c r="AC1075" t="s">
        <v>1043</v>
      </c>
      <c r="AD1075" t="s">
        <v>1838</v>
      </c>
      <c r="AE1075" t="s">
        <v>2356</v>
      </c>
      <c r="AF1075">
        <v>1.4395016000000003</v>
      </c>
    </row>
    <row r="1076" spans="1:32" x14ac:dyDescent="0.25">
      <c r="A1076" s="56">
        <v>2410998</v>
      </c>
      <c r="B1076" s="56" t="s">
        <v>2003</v>
      </c>
      <c r="C1076" s="56" t="s">
        <v>4712</v>
      </c>
      <c r="D1076" s="56"/>
      <c r="E1076" s="57">
        <v>1348</v>
      </c>
      <c r="F1076" s="57">
        <v>1.3480000000000001</v>
      </c>
      <c r="G1076" s="56" t="s">
        <v>392</v>
      </c>
      <c r="H1076" s="56" t="s">
        <v>2511</v>
      </c>
      <c r="I1076" s="56" t="s">
        <v>1834</v>
      </c>
      <c r="J1076" s="56"/>
      <c r="K1076" s="56"/>
      <c r="L1076" s="56"/>
      <c r="M1076" s="56"/>
      <c r="N1076" s="56" t="s">
        <v>44</v>
      </c>
      <c r="O1076" s="56">
        <v>31</v>
      </c>
      <c r="P1076" s="59" t="s">
        <v>2532</v>
      </c>
      <c r="Q1076" s="56" t="s">
        <v>11</v>
      </c>
      <c r="U1076" s="52">
        <v>3931304</v>
      </c>
      <c r="V1076">
        <v>38.1</v>
      </c>
      <c r="W1076">
        <v>0</v>
      </c>
      <c r="X1076">
        <v>1.6</v>
      </c>
      <c r="Y1076">
        <v>5.35</v>
      </c>
      <c r="Z1076" t="s">
        <v>1924</v>
      </c>
      <c r="AA1076" t="s">
        <v>1003</v>
      </c>
      <c r="AB1076" t="s">
        <v>2520</v>
      </c>
      <c r="AC1076" t="s">
        <v>1045</v>
      </c>
      <c r="AD1076" t="s">
        <v>1838</v>
      </c>
      <c r="AE1076" t="s">
        <v>2215</v>
      </c>
      <c r="AF1076">
        <v>1.4395016000000003</v>
      </c>
    </row>
    <row r="1077" spans="1:32" x14ac:dyDescent="0.25">
      <c r="A1077" s="56">
        <v>2410998</v>
      </c>
      <c r="B1077" s="56" t="s">
        <v>2003</v>
      </c>
      <c r="C1077" s="56" t="s">
        <v>4713</v>
      </c>
      <c r="D1077" s="56"/>
      <c r="E1077" s="57">
        <v>1461</v>
      </c>
      <c r="F1077" s="57">
        <v>1.4610000000000001</v>
      </c>
      <c r="G1077" s="56" t="s">
        <v>392</v>
      </c>
      <c r="H1077" s="56" t="s">
        <v>2511</v>
      </c>
      <c r="I1077" s="56" t="s">
        <v>1834</v>
      </c>
      <c r="J1077" s="56"/>
      <c r="K1077" s="56"/>
      <c r="L1077" s="56"/>
      <c r="M1077" s="56"/>
      <c r="N1077" s="56" t="s">
        <v>44</v>
      </c>
      <c r="O1077" s="56">
        <v>31</v>
      </c>
      <c r="P1077" s="59" t="s">
        <v>2532</v>
      </c>
      <c r="Q1077" s="56" t="s">
        <v>11</v>
      </c>
      <c r="U1077" s="538">
        <v>111120347</v>
      </c>
      <c r="V1077">
        <v>38.1</v>
      </c>
      <c r="W1077">
        <v>0</v>
      </c>
      <c r="X1077">
        <v>1.6</v>
      </c>
      <c r="Y1077">
        <v>5.35</v>
      </c>
      <c r="Z1077" t="s">
        <v>1924</v>
      </c>
      <c r="AA1077" t="s">
        <v>1003</v>
      </c>
      <c r="AB1077" t="s">
        <v>2520</v>
      </c>
      <c r="AC1077" t="s">
        <v>1045</v>
      </c>
      <c r="AD1077" t="s">
        <v>1838</v>
      </c>
      <c r="AE1077" t="s">
        <v>2215</v>
      </c>
      <c r="AF1077">
        <v>1.4395016000000003</v>
      </c>
    </row>
    <row r="1078" spans="1:32" x14ac:dyDescent="0.25">
      <c r="A1078" s="56">
        <v>2410998</v>
      </c>
      <c r="B1078" s="56" t="s">
        <v>2003</v>
      </c>
      <c r="C1078" s="56" t="s">
        <v>4714</v>
      </c>
      <c r="D1078" s="56"/>
      <c r="E1078" s="57">
        <v>1474.5</v>
      </c>
      <c r="F1078" s="57">
        <v>1.4744999999999999</v>
      </c>
      <c r="G1078" s="56" t="s">
        <v>392</v>
      </c>
      <c r="H1078" s="56" t="s">
        <v>2511</v>
      </c>
      <c r="I1078" s="56" t="s">
        <v>1834</v>
      </c>
      <c r="J1078" s="56"/>
      <c r="K1078" s="56"/>
      <c r="L1078" s="56"/>
      <c r="M1078" s="56"/>
      <c r="N1078" s="56" t="s">
        <v>44</v>
      </c>
      <c r="O1078" s="56">
        <v>41</v>
      </c>
      <c r="P1078" s="59" t="s">
        <v>2532</v>
      </c>
      <c r="Q1078" s="56" t="s">
        <v>11</v>
      </c>
      <c r="U1078" s="52">
        <v>3514376</v>
      </c>
      <c r="V1078">
        <v>38.1</v>
      </c>
      <c r="W1078">
        <v>0</v>
      </c>
      <c r="X1078">
        <v>1.6</v>
      </c>
      <c r="Y1078">
        <v>5.63</v>
      </c>
      <c r="Z1078" t="s">
        <v>1924</v>
      </c>
      <c r="AA1078" t="s">
        <v>1003</v>
      </c>
      <c r="AB1078" t="s">
        <v>2520</v>
      </c>
      <c r="AC1078" t="s">
        <v>1045</v>
      </c>
      <c r="AD1078" t="s">
        <v>1838</v>
      </c>
      <c r="AE1078" t="s">
        <v>2215</v>
      </c>
      <c r="AF1078">
        <v>1.4395016000000003</v>
      </c>
    </row>
    <row r="1079" spans="1:32" x14ac:dyDescent="0.25">
      <c r="A1079" s="56">
        <v>2410998</v>
      </c>
      <c r="B1079" s="56" t="s">
        <v>2003</v>
      </c>
      <c r="C1079" s="56" t="s">
        <v>4715</v>
      </c>
      <c r="D1079" s="56"/>
      <c r="E1079" s="57">
        <v>680.5</v>
      </c>
      <c r="F1079" s="57">
        <v>0.68049999999999999</v>
      </c>
      <c r="G1079" s="56" t="s">
        <v>392</v>
      </c>
      <c r="H1079" s="56" t="s">
        <v>2511</v>
      </c>
      <c r="I1079" s="56" t="s">
        <v>1834</v>
      </c>
      <c r="J1079" s="56"/>
      <c r="K1079" s="56"/>
      <c r="L1079" s="56"/>
      <c r="M1079" s="56"/>
      <c r="N1079" s="56" t="s">
        <v>44</v>
      </c>
      <c r="O1079" s="56">
        <v>41</v>
      </c>
      <c r="P1079" s="59" t="s">
        <v>2532</v>
      </c>
      <c r="Q1079" s="56" t="s">
        <v>11</v>
      </c>
      <c r="U1079" s="52">
        <v>3505953</v>
      </c>
      <c r="V1079">
        <v>38.1</v>
      </c>
      <c r="W1079">
        <v>0</v>
      </c>
      <c r="X1079">
        <v>1.6</v>
      </c>
      <c r="Y1079">
        <v>5.65</v>
      </c>
      <c r="Z1079" t="s">
        <v>1914</v>
      </c>
      <c r="AA1079" t="s">
        <v>1003</v>
      </c>
      <c r="AB1079" t="s">
        <v>4343</v>
      </c>
      <c r="AC1079" t="s">
        <v>1043</v>
      </c>
      <c r="AD1079" t="s">
        <v>1838</v>
      </c>
      <c r="AE1079" t="s">
        <v>2356</v>
      </c>
      <c r="AF1079">
        <v>1.4395016000000003</v>
      </c>
    </row>
    <row r="1080" spans="1:32" x14ac:dyDescent="0.25">
      <c r="A1080" s="56">
        <v>2410998</v>
      </c>
      <c r="B1080" s="56" t="s">
        <v>2003</v>
      </c>
      <c r="C1080" s="56" t="s">
        <v>4717</v>
      </c>
      <c r="D1080" s="56"/>
      <c r="E1080" s="57">
        <v>775.5</v>
      </c>
      <c r="F1080" s="57">
        <v>0.77549999999999997</v>
      </c>
      <c r="G1080" s="56" t="s">
        <v>392</v>
      </c>
      <c r="H1080" s="56" t="s">
        <v>2511</v>
      </c>
      <c r="I1080" s="56" t="s">
        <v>1834</v>
      </c>
      <c r="J1080" s="56"/>
      <c r="K1080" s="56"/>
      <c r="L1080" s="56"/>
      <c r="M1080" s="56"/>
      <c r="N1080" s="56" t="s">
        <v>44</v>
      </c>
      <c r="O1080" s="56">
        <v>41</v>
      </c>
      <c r="P1080" s="59" t="s">
        <v>2532</v>
      </c>
      <c r="Q1080" s="56" t="s">
        <v>11</v>
      </c>
      <c r="U1080" s="52">
        <v>3442533</v>
      </c>
      <c r="V1080">
        <v>38.1</v>
      </c>
      <c r="W1080">
        <v>0</v>
      </c>
      <c r="X1080">
        <v>1.6</v>
      </c>
      <c r="Y1080">
        <v>5.66</v>
      </c>
      <c r="Z1080" t="s">
        <v>1924</v>
      </c>
      <c r="AA1080" t="s">
        <v>1003</v>
      </c>
      <c r="AB1080" t="s">
        <v>2520</v>
      </c>
      <c r="AC1080" t="s">
        <v>1045</v>
      </c>
      <c r="AD1080" t="s">
        <v>1838</v>
      </c>
      <c r="AE1080" t="s">
        <v>2215</v>
      </c>
      <c r="AF1080">
        <v>1.4395016000000003</v>
      </c>
    </row>
    <row r="1081" spans="1:32" x14ac:dyDescent="0.25">
      <c r="A1081" s="56">
        <v>2410998</v>
      </c>
      <c r="B1081" s="56" t="s">
        <v>2003</v>
      </c>
      <c r="C1081" s="56" t="s">
        <v>4720</v>
      </c>
      <c r="D1081" s="56"/>
      <c r="E1081" s="57">
        <v>60.47</v>
      </c>
      <c r="F1081" s="57">
        <v>6.0469999999999996E-2</v>
      </c>
      <c r="G1081" s="56" t="s">
        <v>392</v>
      </c>
      <c r="H1081" s="56" t="s">
        <v>2511</v>
      </c>
      <c r="I1081" s="56" t="s">
        <v>1834</v>
      </c>
      <c r="J1081" s="56"/>
      <c r="K1081" s="56"/>
      <c r="L1081" s="56"/>
      <c r="M1081" s="56"/>
      <c r="N1081" s="56" t="s">
        <v>44</v>
      </c>
      <c r="O1081" s="56">
        <v>65</v>
      </c>
      <c r="P1081" s="59" t="s">
        <v>2579</v>
      </c>
      <c r="Q1081" s="56" t="s">
        <v>11</v>
      </c>
      <c r="U1081" s="538">
        <v>110102859</v>
      </c>
      <c r="V1081">
        <v>38.1</v>
      </c>
      <c r="W1081">
        <v>0</v>
      </c>
      <c r="X1081">
        <v>1.6</v>
      </c>
      <c r="Y1081">
        <v>5.7690000000000001</v>
      </c>
      <c r="Z1081" t="s">
        <v>1891</v>
      </c>
      <c r="AA1081" t="s">
        <v>1003</v>
      </c>
      <c r="AB1081" t="s">
        <v>2520</v>
      </c>
      <c r="AC1081" t="s">
        <v>1043</v>
      </c>
      <c r="AD1081" t="s">
        <v>1838</v>
      </c>
      <c r="AE1081" t="s">
        <v>2356</v>
      </c>
      <c r="AF1081">
        <v>1.4395016000000003</v>
      </c>
    </row>
    <row r="1082" spans="1:32" x14ac:dyDescent="0.25">
      <c r="A1082" s="56">
        <v>2410999</v>
      </c>
      <c r="B1082" s="56" t="s">
        <v>728</v>
      </c>
      <c r="C1082" s="56" t="s">
        <v>4721</v>
      </c>
      <c r="D1082" s="56"/>
      <c r="E1082" s="57">
        <v>2565</v>
      </c>
      <c r="F1082" s="57">
        <v>2.5649999999999999</v>
      </c>
      <c r="G1082" s="56" t="s">
        <v>392</v>
      </c>
      <c r="H1082" s="56" t="s">
        <v>4454</v>
      </c>
      <c r="I1082" s="56" t="s">
        <v>1834</v>
      </c>
      <c r="J1082" s="56"/>
      <c r="K1082" s="56"/>
      <c r="L1082" s="56"/>
      <c r="M1082" s="56"/>
      <c r="N1082" s="56" t="s">
        <v>61</v>
      </c>
      <c r="O1082" s="56">
        <v>80</v>
      </c>
      <c r="P1082" s="59" t="s">
        <v>2579</v>
      </c>
      <c r="Q1082" s="56" t="s">
        <v>11</v>
      </c>
      <c r="U1082" s="52">
        <v>3500470</v>
      </c>
      <c r="V1082">
        <v>38.1</v>
      </c>
      <c r="W1082">
        <v>0</v>
      </c>
      <c r="X1082">
        <v>1.6</v>
      </c>
      <c r="Y1082">
        <v>5.8</v>
      </c>
      <c r="Z1082" t="s">
        <v>1914</v>
      </c>
      <c r="AA1082" t="s">
        <v>1003</v>
      </c>
      <c r="AB1082" t="s">
        <v>2520</v>
      </c>
      <c r="AC1082" t="s">
        <v>1043</v>
      </c>
      <c r="AD1082" t="s">
        <v>1838</v>
      </c>
      <c r="AE1082" t="s">
        <v>2356</v>
      </c>
      <c r="AF1082">
        <v>1.4395016000000003</v>
      </c>
    </row>
    <row r="1083" spans="1:32" x14ac:dyDescent="0.25">
      <c r="A1083" s="56">
        <v>2410999</v>
      </c>
      <c r="B1083" s="56" t="s">
        <v>728</v>
      </c>
      <c r="C1083" s="56" t="s">
        <v>4722</v>
      </c>
      <c r="D1083" s="56"/>
      <c r="E1083" s="57">
        <v>79</v>
      </c>
      <c r="F1083" s="57">
        <v>7.9000000000000001E-2</v>
      </c>
      <c r="G1083" s="56" t="s">
        <v>392</v>
      </c>
      <c r="H1083" s="56" t="s">
        <v>4454</v>
      </c>
      <c r="I1083" s="56" t="s">
        <v>1834</v>
      </c>
      <c r="J1083" s="56"/>
      <c r="K1083" s="56"/>
      <c r="L1083" s="56"/>
      <c r="M1083" s="56"/>
      <c r="N1083" s="56" t="s">
        <v>61</v>
      </c>
      <c r="O1083" s="56">
        <v>80</v>
      </c>
      <c r="P1083" s="59" t="s">
        <v>2579</v>
      </c>
      <c r="Q1083" s="56" t="s">
        <v>11</v>
      </c>
      <c r="U1083">
        <v>2425723</v>
      </c>
      <c r="V1083">
        <v>38.1</v>
      </c>
      <c r="W1083">
        <v>0</v>
      </c>
      <c r="X1083">
        <v>1.6</v>
      </c>
      <c r="Y1083">
        <v>5.88</v>
      </c>
      <c r="Z1083" t="s">
        <v>1952</v>
      </c>
      <c r="AA1083" t="s">
        <v>1003</v>
      </c>
      <c r="AB1083" t="s">
        <v>2520</v>
      </c>
      <c r="AC1083" t="s">
        <v>1043</v>
      </c>
      <c r="AD1083" t="s">
        <v>1838</v>
      </c>
      <c r="AE1083" t="s">
        <v>2356</v>
      </c>
      <c r="AF1083">
        <v>1.4395016000000003</v>
      </c>
    </row>
    <row r="1084" spans="1:32" x14ac:dyDescent="0.25">
      <c r="A1084" s="56">
        <v>2410999</v>
      </c>
      <c r="B1084" s="56" t="s">
        <v>728</v>
      </c>
      <c r="C1084" s="56" t="s">
        <v>4723</v>
      </c>
      <c r="D1084" s="56"/>
      <c r="E1084" s="57">
        <v>1538</v>
      </c>
      <c r="F1084" s="57">
        <v>1.538</v>
      </c>
      <c r="G1084" s="56" t="s">
        <v>392</v>
      </c>
      <c r="H1084" s="56" t="s">
        <v>4454</v>
      </c>
      <c r="I1084" s="56" t="s">
        <v>1834</v>
      </c>
      <c r="J1084" s="56"/>
      <c r="K1084" s="56"/>
      <c r="L1084" s="56"/>
      <c r="M1084" s="56"/>
      <c r="N1084" s="56" t="s">
        <v>61</v>
      </c>
      <c r="O1084" s="56">
        <v>80</v>
      </c>
      <c r="P1084" s="59" t="s">
        <v>2579</v>
      </c>
      <c r="Q1084" s="56" t="s">
        <v>11</v>
      </c>
      <c r="U1084" s="537">
        <v>1931400</v>
      </c>
      <c r="V1084">
        <v>38.1</v>
      </c>
      <c r="W1084">
        <v>0</v>
      </c>
      <c r="X1084">
        <v>1.6</v>
      </c>
      <c r="Y1084">
        <v>6</v>
      </c>
      <c r="Z1084" t="s">
        <v>1883</v>
      </c>
      <c r="AA1084" t="s">
        <v>1003</v>
      </c>
      <c r="AB1084" t="s">
        <v>2520</v>
      </c>
      <c r="AC1084" t="s">
        <v>1043</v>
      </c>
      <c r="AD1084" t="s">
        <v>1838</v>
      </c>
      <c r="AE1084" t="s">
        <v>2356</v>
      </c>
      <c r="AF1084">
        <v>1.4395016000000003</v>
      </c>
    </row>
    <row r="1085" spans="1:32" x14ac:dyDescent="0.25">
      <c r="A1085" s="56">
        <v>2410999</v>
      </c>
      <c r="B1085" s="56" t="s">
        <v>728</v>
      </c>
      <c r="C1085" s="56" t="s">
        <v>4724</v>
      </c>
      <c r="D1085" s="56"/>
      <c r="E1085" s="57">
        <v>1522</v>
      </c>
      <c r="F1085" s="57">
        <v>1.522</v>
      </c>
      <c r="G1085" s="56" t="s">
        <v>392</v>
      </c>
      <c r="H1085" s="56" t="s">
        <v>4454</v>
      </c>
      <c r="I1085" s="56" t="s">
        <v>1834</v>
      </c>
      <c r="J1085" s="56"/>
      <c r="K1085" s="56"/>
      <c r="L1085" s="56"/>
      <c r="M1085" s="56"/>
      <c r="N1085" s="56" t="s">
        <v>61</v>
      </c>
      <c r="O1085" s="56">
        <v>80</v>
      </c>
      <c r="P1085" s="59" t="s">
        <v>2579</v>
      </c>
      <c r="Q1085" s="56" t="s">
        <v>11</v>
      </c>
      <c r="U1085" s="52">
        <v>3502254</v>
      </c>
      <c r="V1085">
        <v>38.1</v>
      </c>
      <c r="W1085">
        <v>0</v>
      </c>
      <c r="X1085">
        <v>1.6</v>
      </c>
      <c r="Y1085">
        <v>6.19</v>
      </c>
      <c r="Z1085" t="s">
        <v>1914</v>
      </c>
      <c r="AA1085" t="s">
        <v>1003</v>
      </c>
      <c r="AB1085" t="s">
        <v>2520</v>
      </c>
      <c r="AC1085" t="s">
        <v>857</v>
      </c>
      <c r="AD1085" t="s">
        <v>1838</v>
      </c>
      <c r="AE1085" t="s">
        <v>859</v>
      </c>
      <c r="AF1085">
        <v>1.4395016000000003</v>
      </c>
    </row>
    <row r="1086" spans="1:32" x14ac:dyDescent="0.25">
      <c r="A1086" s="56">
        <v>2410999</v>
      </c>
      <c r="B1086" s="56" t="s">
        <v>728</v>
      </c>
      <c r="C1086" s="56" t="s">
        <v>4725</v>
      </c>
      <c r="D1086" s="56"/>
      <c r="E1086" s="57">
        <v>1344</v>
      </c>
      <c r="F1086" s="57">
        <v>1.3440000000000001</v>
      </c>
      <c r="G1086" s="56" t="s">
        <v>392</v>
      </c>
      <c r="H1086" s="56" t="s">
        <v>4454</v>
      </c>
      <c r="I1086" s="56" t="s">
        <v>1834</v>
      </c>
      <c r="J1086" s="56"/>
      <c r="K1086" s="56"/>
      <c r="L1086" s="56"/>
      <c r="M1086" s="56"/>
      <c r="N1086" s="56" t="s">
        <v>61</v>
      </c>
      <c r="O1086" s="56">
        <v>80</v>
      </c>
      <c r="P1086" s="59" t="s">
        <v>2579</v>
      </c>
      <c r="Q1086" s="56" t="s">
        <v>11</v>
      </c>
      <c r="U1086" s="52">
        <v>3502339</v>
      </c>
      <c r="V1086">
        <v>38.1</v>
      </c>
      <c r="W1086">
        <v>0</v>
      </c>
      <c r="X1086">
        <v>1.6</v>
      </c>
      <c r="Y1086">
        <v>6.19</v>
      </c>
      <c r="Z1086" t="s">
        <v>1914</v>
      </c>
      <c r="AA1086" t="s">
        <v>1003</v>
      </c>
      <c r="AB1086" t="s">
        <v>2520</v>
      </c>
      <c r="AC1086" t="s">
        <v>857</v>
      </c>
      <c r="AD1086" t="s">
        <v>1838</v>
      </c>
      <c r="AE1086" t="s">
        <v>859</v>
      </c>
      <c r="AF1086">
        <v>1.4395016000000003</v>
      </c>
    </row>
    <row r="1087" spans="1:32" x14ac:dyDescent="0.25">
      <c r="A1087" s="56">
        <v>2410999</v>
      </c>
      <c r="B1087" s="56" t="s">
        <v>728</v>
      </c>
      <c r="C1087" s="56" t="s">
        <v>4726</v>
      </c>
      <c r="D1087" s="56"/>
      <c r="E1087" s="57">
        <v>1330</v>
      </c>
      <c r="F1087" s="57">
        <v>1.33</v>
      </c>
      <c r="G1087" s="56" t="s">
        <v>392</v>
      </c>
      <c r="H1087" s="56" t="s">
        <v>4454</v>
      </c>
      <c r="I1087" s="56" t="s">
        <v>1834</v>
      </c>
      <c r="J1087" s="56"/>
      <c r="K1087" s="56"/>
      <c r="L1087" s="56"/>
      <c r="M1087" s="56"/>
      <c r="N1087" s="56" t="s">
        <v>61</v>
      </c>
      <c r="O1087" s="56">
        <v>80</v>
      </c>
      <c r="P1087" s="59" t="s">
        <v>2579</v>
      </c>
      <c r="Q1087" s="56" t="s">
        <v>11</v>
      </c>
      <c r="U1087" s="52">
        <v>3517681</v>
      </c>
      <c r="V1087">
        <v>38.1</v>
      </c>
      <c r="W1087">
        <v>0</v>
      </c>
      <c r="X1087">
        <v>1.6</v>
      </c>
      <c r="Y1087">
        <v>6.2050000000000001</v>
      </c>
      <c r="Z1087" t="s">
        <v>1924</v>
      </c>
      <c r="AA1087" t="s">
        <v>1003</v>
      </c>
      <c r="AB1087" t="s">
        <v>2520</v>
      </c>
      <c r="AC1087" t="s">
        <v>1045</v>
      </c>
      <c r="AD1087" t="s">
        <v>1838</v>
      </c>
      <c r="AE1087" t="s">
        <v>2215</v>
      </c>
      <c r="AF1087">
        <v>1.4395016000000003</v>
      </c>
    </row>
    <row r="1088" spans="1:32" x14ac:dyDescent="0.25">
      <c r="A1088" s="56">
        <v>2410999</v>
      </c>
      <c r="B1088" s="56" t="s">
        <v>728</v>
      </c>
      <c r="C1088" s="56" t="s">
        <v>4728</v>
      </c>
      <c r="D1088" s="56"/>
      <c r="E1088" s="57">
        <v>3014</v>
      </c>
      <c r="F1088" s="57">
        <v>3.0139999999999998</v>
      </c>
      <c r="G1088" s="56" t="s">
        <v>392</v>
      </c>
      <c r="H1088" s="56" t="s">
        <v>4454</v>
      </c>
      <c r="I1088" s="56" t="s">
        <v>1834</v>
      </c>
      <c r="J1088" s="56"/>
      <c r="K1088" s="56"/>
      <c r="L1088" s="56"/>
      <c r="M1088" s="56"/>
      <c r="N1088" s="56" t="s">
        <v>61</v>
      </c>
      <c r="O1088" s="56">
        <v>80</v>
      </c>
      <c r="P1088" s="59" t="s">
        <v>2579</v>
      </c>
      <c r="Q1088" s="56" t="s">
        <v>11</v>
      </c>
      <c r="U1088" s="52">
        <v>3768902</v>
      </c>
      <c r="V1088">
        <v>38.1</v>
      </c>
      <c r="W1088">
        <v>0</v>
      </c>
      <c r="X1088">
        <v>2</v>
      </c>
      <c r="Y1088">
        <v>0.27700000000000002</v>
      </c>
      <c r="Z1088" t="s">
        <v>1952</v>
      </c>
      <c r="AA1088" t="s">
        <v>1003</v>
      </c>
      <c r="AB1088" t="s">
        <v>2520</v>
      </c>
      <c r="AC1088" t="s">
        <v>860</v>
      </c>
      <c r="AD1088" t="s">
        <v>2171</v>
      </c>
      <c r="AE1088" t="s">
        <v>4716</v>
      </c>
      <c r="AF1088">
        <v>0.49296521060000004</v>
      </c>
    </row>
    <row r="1089" spans="1:32" x14ac:dyDescent="0.25">
      <c r="A1089" s="56">
        <v>2410999</v>
      </c>
      <c r="B1089" s="56" t="s">
        <v>728</v>
      </c>
      <c r="C1089" s="56" t="s">
        <v>4729</v>
      </c>
      <c r="D1089" s="56"/>
      <c r="E1089" s="57">
        <v>1542</v>
      </c>
      <c r="F1089" s="57">
        <v>1.542</v>
      </c>
      <c r="G1089" s="56" t="s">
        <v>392</v>
      </c>
      <c r="H1089" s="56" t="s">
        <v>4454</v>
      </c>
      <c r="I1089" s="56" t="s">
        <v>1834</v>
      </c>
      <c r="J1089" s="56"/>
      <c r="K1089" s="56"/>
      <c r="L1089" s="56"/>
      <c r="M1089" s="56"/>
      <c r="N1089" s="56" t="s">
        <v>61</v>
      </c>
      <c r="O1089" s="56">
        <v>79</v>
      </c>
      <c r="P1089" s="59" t="s">
        <v>2579</v>
      </c>
      <c r="Q1089" s="56" t="s">
        <v>11</v>
      </c>
      <c r="U1089" s="52">
        <v>1448371</v>
      </c>
      <c r="V1089">
        <v>38.1</v>
      </c>
      <c r="W1089">
        <v>0</v>
      </c>
      <c r="X1089">
        <v>2</v>
      </c>
      <c r="Y1089">
        <v>0.40600000000000003</v>
      </c>
      <c r="Z1089" t="s">
        <v>1914</v>
      </c>
      <c r="AA1089" t="s">
        <v>963</v>
      </c>
      <c r="AB1089" t="s">
        <v>2520</v>
      </c>
      <c r="AC1089" t="s">
        <v>4718</v>
      </c>
      <c r="AD1089" t="s">
        <v>2171</v>
      </c>
      <c r="AE1089" t="s">
        <v>4719</v>
      </c>
      <c r="AF1089">
        <v>0.72254106680000008</v>
      </c>
    </row>
    <row r="1090" spans="1:32" x14ac:dyDescent="0.25">
      <c r="A1090" s="56">
        <v>2410999</v>
      </c>
      <c r="B1090" s="56" t="s">
        <v>728</v>
      </c>
      <c r="C1090" s="56" t="s">
        <v>4731</v>
      </c>
      <c r="D1090" s="56"/>
      <c r="E1090" s="57">
        <v>3052</v>
      </c>
      <c r="F1090" s="57">
        <v>3.052</v>
      </c>
      <c r="G1090" s="56" t="s">
        <v>392</v>
      </c>
      <c r="H1090" s="56" t="s">
        <v>4454</v>
      </c>
      <c r="I1090" s="56" t="s">
        <v>1834</v>
      </c>
      <c r="J1090" s="56"/>
      <c r="K1090" s="56"/>
      <c r="L1090" s="56"/>
      <c r="M1090" s="56"/>
      <c r="N1090" s="56" t="s">
        <v>61</v>
      </c>
      <c r="O1090" s="56">
        <v>80</v>
      </c>
      <c r="P1090" s="59" t="s">
        <v>2579</v>
      </c>
      <c r="Q1090" s="56" t="s">
        <v>11</v>
      </c>
      <c r="U1090" s="52">
        <v>3509030</v>
      </c>
      <c r="V1090">
        <v>38.1</v>
      </c>
      <c r="W1090">
        <v>0</v>
      </c>
      <c r="X1090">
        <v>2</v>
      </c>
      <c r="Y1090">
        <v>0.40600000000000003</v>
      </c>
      <c r="Z1090" t="s">
        <v>1914</v>
      </c>
      <c r="AA1090" t="s">
        <v>1003</v>
      </c>
      <c r="AB1090" t="s">
        <v>2520</v>
      </c>
      <c r="AC1090" t="s">
        <v>860</v>
      </c>
      <c r="AD1090" t="s">
        <v>2171</v>
      </c>
      <c r="AE1090" t="s">
        <v>2375</v>
      </c>
      <c r="AF1090">
        <v>0.72254106680000008</v>
      </c>
    </row>
    <row r="1091" spans="1:32" x14ac:dyDescent="0.25">
      <c r="A1091" s="56">
        <v>2410999</v>
      </c>
      <c r="B1091" s="56" t="s">
        <v>728</v>
      </c>
      <c r="C1091" s="56" t="s">
        <v>4732</v>
      </c>
      <c r="D1091" s="56"/>
      <c r="E1091" s="57">
        <v>3072</v>
      </c>
      <c r="F1091" s="57">
        <v>3.0720000000000001</v>
      </c>
      <c r="G1091" s="56" t="s">
        <v>392</v>
      </c>
      <c r="H1091" s="56" t="s">
        <v>4454</v>
      </c>
      <c r="I1091" s="56" t="s">
        <v>1834</v>
      </c>
      <c r="J1091" s="56"/>
      <c r="K1091" s="56"/>
      <c r="L1091" s="56"/>
      <c r="M1091" s="56"/>
      <c r="N1091" s="56" t="s">
        <v>61</v>
      </c>
      <c r="O1091" s="56">
        <v>80</v>
      </c>
      <c r="P1091" s="59" t="s">
        <v>2579</v>
      </c>
      <c r="Q1091" s="56" t="s">
        <v>11</v>
      </c>
      <c r="U1091" s="52">
        <v>2422183</v>
      </c>
      <c r="V1091">
        <v>38.1</v>
      </c>
      <c r="W1091">
        <v>0</v>
      </c>
      <c r="X1091">
        <v>2</v>
      </c>
      <c r="Y1091">
        <v>0.41</v>
      </c>
      <c r="Z1091" t="s">
        <v>1868</v>
      </c>
      <c r="AA1091" t="s">
        <v>1003</v>
      </c>
      <c r="AB1091" t="s">
        <v>2520</v>
      </c>
      <c r="AC1091" t="s">
        <v>860</v>
      </c>
      <c r="AD1091" t="s">
        <v>2171</v>
      </c>
      <c r="AE1091" t="s">
        <v>862</v>
      </c>
      <c r="AF1091">
        <v>0.72965969799999997</v>
      </c>
    </row>
    <row r="1092" spans="1:32" x14ac:dyDescent="0.25">
      <c r="A1092" s="56">
        <v>2410999</v>
      </c>
      <c r="B1092" s="56" t="s">
        <v>728</v>
      </c>
      <c r="C1092" s="56" t="s">
        <v>4733</v>
      </c>
      <c r="D1092" s="56"/>
      <c r="E1092" s="57">
        <v>1208</v>
      </c>
      <c r="F1092" s="57">
        <v>1.208</v>
      </c>
      <c r="G1092" s="56" t="s">
        <v>392</v>
      </c>
      <c r="H1092" s="56" t="s">
        <v>4454</v>
      </c>
      <c r="I1092" s="56" t="s">
        <v>1834</v>
      </c>
      <c r="J1092" s="56"/>
      <c r="K1092" s="56"/>
      <c r="L1092" s="56"/>
      <c r="M1092" s="56"/>
      <c r="N1092" s="56" t="s">
        <v>61</v>
      </c>
      <c r="O1092" s="56">
        <v>90</v>
      </c>
      <c r="P1092" s="59" t="s">
        <v>2579</v>
      </c>
      <c r="Q1092" s="56" t="s">
        <v>11</v>
      </c>
      <c r="U1092" s="52">
        <v>3508742</v>
      </c>
      <c r="V1092">
        <v>38.1</v>
      </c>
      <c r="W1092">
        <v>0</v>
      </c>
      <c r="X1092">
        <v>2</v>
      </c>
      <c r="Y1092">
        <v>0.41</v>
      </c>
      <c r="Z1092" t="s">
        <v>1914</v>
      </c>
      <c r="AA1092" t="s">
        <v>1003</v>
      </c>
      <c r="AB1092" t="s">
        <v>2520</v>
      </c>
      <c r="AC1092" t="s">
        <v>860</v>
      </c>
      <c r="AD1092" t="s">
        <v>2171</v>
      </c>
      <c r="AE1092" t="s">
        <v>862</v>
      </c>
      <c r="AF1092">
        <v>0.72965969799999997</v>
      </c>
    </row>
    <row r="1093" spans="1:32" x14ac:dyDescent="0.25">
      <c r="A1093" s="56">
        <v>2410999</v>
      </c>
      <c r="B1093" s="56" t="s">
        <v>728</v>
      </c>
      <c r="C1093" s="56" t="s">
        <v>4735</v>
      </c>
      <c r="D1093" s="56"/>
      <c r="E1093" s="57">
        <v>849</v>
      </c>
      <c r="F1093" s="57">
        <v>0.84899999999999998</v>
      </c>
      <c r="G1093" s="56" t="s">
        <v>392</v>
      </c>
      <c r="H1093" s="56" t="s">
        <v>4454</v>
      </c>
      <c r="I1093" s="56" t="s">
        <v>1834</v>
      </c>
      <c r="J1093" s="56"/>
      <c r="K1093" s="56"/>
      <c r="L1093" s="56"/>
      <c r="M1093" s="56"/>
      <c r="N1093" s="56" t="s">
        <v>61</v>
      </c>
      <c r="O1093" s="56">
        <v>90</v>
      </c>
      <c r="P1093" s="59" t="s">
        <v>2579</v>
      </c>
      <c r="Q1093" s="56" t="s">
        <v>11</v>
      </c>
      <c r="U1093" s="52">
        <v>1940738</v>
      </c>
      <c r="V1093">
        <v>38.1</v>
      </c>
      <c r="W1093">
        <v>0</v>
      </c>
      <c r="X1093">
        <v>2</v>
      </c>
      <c r="Y1093">
        <v>0.42499999999999999</v>
      </c>
      <c r="Z1093" t="s">
        <v>1891</v>
      </c>
      <c r="AA1093" t="s">
        <v>1003</v>
      </c>
      <c r="AB1093" t="s">
        <v>2520</v>
      </c>
      <c r="AC1093" t="s">
        <v>860</v>
      </c>
      <c r="AD1093" t="s">
        <v>2171</v>
      </c>
      <c r="AE1093" t="s">
        <v>864</v>
      </c>
      <c r="AF1093">
        <v>0.75635456499999998</v>
      </c>
    </row>
    <row r="1094" spans="1:32" x14ac:dyDescent="0.25">
      <c r="A1094" s="56">
        <v>2410999</v>
      </c>
      <c r="B1094" s="56" t="s">
        <v>728</v>
      </c>
      <c r="C1094" s="56" t="s">
        <v>4736</v>
      </c>
      <c r="D1094" s="56"/>
      <c r="E1094" s="57">
        <v>1800</v>
      </c>
      <c r="F1094" s="57">
        <v>1.8</v>
      </c>
      <c r="G1094" s="56" t="s">
        <v>392</v>
      </c>
      <c r="H1094" s="56" t="s">
        <v>4454</v>
      </c>
      <c r="I1094" s="56" t="s">
        <v>1834</v>
      </c>
      <c r="J1094" s="56"/>
      <c r="K1094" s="56"/>
      <c r="L1094" s="56"/>
      <c r="M1094" s="56"/>
      <c r="N1094" s="56" t="s">
        <v>61</v>
      </c>
      <c r="O1094" s="56">
        <v>90</v>
      </c>
      <c r="P1094" s="59" t="s">
        <v>2579</v>
      </c>
      <c r="Q1094" s="56" t="s">
        <v>11</v>
      </c>
      <c r="U1094" s="52">
        <v>444029</v>
      </c>
      <c r="V1094">
        <v>38.1</v>
      </c>
      <c r="W1094">
        <v>0</v>
      </c>
      <c r="X1094">
        <v>2</v>
      </c>
      <c r="Y1094">
        <v>0.42499999999999999</v>
      </c>
      <c r="Z1094" t="s">
        <v>2821</v>
      </c>
      <c r="AA1094" t="s">
        <v>1003</v>
      </c>
      <c r="AB1094" t="s">
        <v>2520</v>
      </c>
      <c r="AC1094" t="s">
        <v>860</v>
      </c>
      <c r="AD1094" t="s">
        <v>2171</v>
      </c>
      <c r="AE1094" t="s">
        <v>864</v>
      </c>
      <c r="AF1094">
        <v>0.75635456499999998</v>
      </c>
    </row>
    <row r="1095" spans="1:32" x14ac:dyDescent="0.25">
      <c r="A1095" s="56">
        <v>2410999</v>
      </c>
      <c r="B1095" s="56" t="s">
        <v>728</v>
      </c>
      <c r="C1095" s="56" t="s">
        <v>4738</v>
      </c>
      <c r="D1095" s="56"/>
      <c r="E1095" s="57">
        <v>975.31500000000005</v>
      </c>
      <c r="F1095" s="57">
        <v>0.97531500000000004</v>
      </c>
      <c r="G1095" s="56" t="s">
        <v>392</v>
      </c>
      <c r="H1095" s="56" t="s">
        <v>4454</v>
      </c>
      <c r="I1095" s="56" t="s">
        <v>1834</v>
      </c>
      <c r="J1095" s="56"/>
      <c r="K1095" s="56"/>
      <c r="L1095" s="56"/>
      <c r="M1095" s="56"/>
      <c r="N1095" s="56" t="s">
        <v>61</v>
      </c>
      <c r="O1095" s="56">
        <v>54</v>
      </c>
      <c r="P1095" s="59" t="s">
        <v>2532</v>
      </c>
      <c r="Q1095" s="56" t="s">
        <v>11</v>
      </c>
      <c r="U1095" s="52">
        <v>1903849</v>
      </c>
      <c r="V1095">
        <v>38.1</v>
      </c>
      <c r="W1095">
        <v>0</v>
      </c>
      <c r="X1095">
        <v>2</v>
      </c>
      <c r="Y1095">
        <v>0.432</v>
      </c>
      <c r="Z1095" t="s">
        <v>1952</v>
      </c>
      <c r="AA1095" t="s">
        <v>1003</v>
      </c>
      <c r="AB1095" t="s">
        <v>2520</v>
      </c>
      <c r="AC1095" t="s">
        <v>860</v>
      </c>
      <c r="AD1095" t="s">
        <v>2171</v>
      </c>
      <c r="AE1095" t="s">
        <v>866</v>
      </c>
      <c r="AF1095">
        <v>0.76881216959999998</v>
      </c>
    </row>
    <row r="1096" spans="1:32" x14ac:dyDescent="0.25">
      <c r="A1096" s="56">
        <v>2410999</v>
      </c>
      <c r="B1096" s="56" t="s">
        <v>728</v>
      </c>
      <c r="C1096" s="56" t="s">
        <v>4739</v>
      </c>
      <c r="D1096" s="56"/>
      <c r="E1096" s="57">
        <v>1326</v>
      </c>
      <c r="F1096" s="57">
        <v>1.3260000000000001</v>
      </c>
      <c r="G1096" s="56" t="s">
        <v>392</v>
      </c>
      <c r="H1096" s="56" t="s">
        <v>4454</v>
      </c>
      <c r="I1096" s="56" t="s">
        <v>1834</v>
      </c>
      <c r="J1096" s="56"/>
      <c r="K1096" s="56"/>
      <c r="L1096" s="56"/>
      <c r="M1096" s="56"/>
      <c r="N1096" s="56" t="s">
        <v>61</v>
      </c>
      <c r="O1096" s="56">
        <v>90</v>
      </c>
      <c r="P1096" s="59" t="s">
        <v>2579</v>
      </c>
      <c r="Q1096" s="56" t="s">
        <v>11</v>
      </c>
      <c r="U1096" s="52">
        <v>1438332</v>
      </c>
      <c r="V1096">
        <v>38.1</v>
      </c>
      <c r="W1096">
        <v>0</v>
      </c>
      <c r="X1096">
        <v>2</v>
      </c>
      <c r="Y1096">
        <v>0.435</v>
      </c>
      <c r="Z1096" t="s">
        <v>1914</v>
      </c>
      <c r="AA1096" t="s">
        <v>1003</v>
      </c>
      <c r="AB1096" t="s">
        <v>2520</v>
      </c>
      <c r="AC1096" t="s">
        <v>860</v>
      </c>
      <c r="AD1096" t="s">
        <v>2171</v>
      </c>
      <c r="AE1096" t="s">
        <v>4727</v>
      </c>
      <c r="AF1096">
        <v>0.77415114299999999</v>
      </c>
    </row>
    <row r="1097" spans="1:32" x14ac:dyDescent="0.25">
      <c r="A1097" s="56">
        <v>2410999</v>
      </c>
      <c r="B1097" s="56" t="s">
        <v>728</v>
      </c>
      <c r="C1097" s="56" t="s">
        <v>4741</v>
      </c>
      <c r="D1097" s="56"/>
      <c r="E1097" s="57">
        <v>380.19900000000001</v>
      </c>
      <c r="F1097" s="57">
        <v>0.38019900000000001</v>
      </c>
      <c r="G1097" s="56" t="s">
        <v>392</v>
      </c>
      <c r="H1097" s="56" t="s">
        <v>2511</v>
      </c>
      <c r="I1097" s="56" t="s">
        <v>1834</v>
      </c>
      <c r="J1097" s="56"/>
      <c r="K1097" s="56"/>
      <c r="L1097" s="56"/>
      <c r="M1097" s="56"/>
      <c r="N1097" s="56" t="s">
        <v>61</v>
      </c>
      <c r="O1097" s="56">
        <v>105</v>
      </c>
      <c r="P1097" s="59" t="s">
        <v>2524</v>
      </c>
      <c r="Q1097" s="56" t="s">
        <v>11</v>
      </c>
      <c r="U1097" s="52">
        <v>3508985</v>
      </c>
      <c r="V1097">
        <v>38.1</v>
      </c>
      <c r="W1097">
        <v>0</v>
      </c>
      <c r="X1097">
        <v>2</v>
      </c>
      <c r="Y1097">
        <v>0.435</v>
      </c>
      <c r="Z1097" t="s">
        <v>1914</v>
      </c>
      <c r="AA1097" t="s">
        <v>1003</v>
      </c>
      <c r="AB1097" t="s">
        <v>2520</v>
      </c>
      <c r="AC1097" t="s">
        <v>860</v>
      </c>
      <c r="AD1097" t="s">
        <v>2171</v>
      </c>
      <c r="AE1097" t="s">
        <v>4727</v>
      </c>
      <c r="AF1097">
        <v>0.77415114299999999</v>
      </c>
    </row>
    <row r="1098" spans="1:32" x14ac:dyDescent="0.25">
      <c r="A1098" s="56">
        <v>2410999</v>
      </c>
      <c r="B1098" s="56" t="s">
        <v>728</v>
      </c>
      <c r="C1098" s="56" t="s">
        <v>4744</v>
      </c>
      <c r="D1098" s="56"/>
      <c r="E1098" s="57">
        <v>52</v>
      </c>
      <c r="F1098" s="57">
        <v>5.1999999999999998E-2</v>
      </c>
      <c r="G1098" s="56" t="s">
        <v>392</v>
      </c>
      <c r="H1098" s="56" t="s">
        <v>2511</v>
      </c>
      <c r="I1098" s="56" t="s">
        <v>1834</v>
      </c>
      <c r="J1098" s="56"/>
      <c r="K1098" s="56"/>
      <c r="L1098" s="56"/>
      <c r="M1098" s="56"/>
      <c r="N1098" s="56" t="s">
        <v>61</v>
      </c>
      <c r="O1098" s="56">
        <v>86</v>
      </c>
      <c r="P1098" s="59" t="s">
        <v>2579</v>
      </c>
      <c r="Q1098" s="56" t="s">
        <v>11</v>
      </c>
      <c r="U1098" s="52">
        <v>1940739</v>
      </c>
      <c r="V1098">
        <v>38.1</v>
      </c>
      <c r="W1098">
        <v>0</v>
      </c>
      <c r="X1098">
        <v>2</v>
      </c>
      <c r="Y1098">
        <v>0.48799999999999999</v>
      </c>
      <c r="Z1098" t="s">
        <v>1891</v>
      </c>
      <c r="AA1098" t="s">
        <v>1003</v>
      </c>
      <c r="AB1098" t="s">
        <v>2520</v>
      </c>
      <c r="AC1098" t="s">
        <v>860</v>
      </c>
      <c r="AD1098" t="s">
        <v>2171</v>
      </c>
      <c r="AE1098" t="s">
        <v>4730</v>
      </c>
      <c r="AF1098">
        <v>0.86847300640000002</v>
      </c>
    </row>
    <row r="1099" spans="1:32" x14ac:dyDescent="0.25">
      <c r="A1099" s="56">
        <v>2410999</v>
      </c>
      <c r="B1099" s="56" t="s">
        <v>728</v>
      </c>
      <c r="C1099" s="56" t="s">
        <v>4745</v>
      </c>
      <c r="D1099" s="56"/>
      <c r="E1099" s="57">
        <v>749</v>
      </c>
      <c r="F1099" s="57">
        <v>0.749</v>
      </c>
      <c r="G1099" s="56" t="s">
        <v>392</v>
      </c>
      <c r="H1099" s="56" t="s">
        <v>2511</v>
      </c>
      <c r="I1099" s="56" t="s">
        <v>1834</v>
      </c>
      <c r="J1099" s="56"/>
      <c r="K1099" s="56"/>
      <c r="L1099" s="56"/>
      <c r="M1099" s="56"/>
      <c r="N1099" s="56" t="s">
        <v>61</v>
      </c>
      <c r="O1099" s="56">
        <v>86</v>
      </c>
      <c r="P1099" s="59" t="s">
        <v>2579</v>
      </c>
      <c r="Q1099" s="56" t="s">
        <v>11</v>
      </c>
      <c r="U1099" s="52">
        <v>437159</v>
      </c>
      <c r="V1099">
        <v>38.1</v>
      </c>
      <c r="W1099">
        <v>0</v>
      </c>
      <c r="X1099">
        <v>2</v>
      </c>
      <c r="Y1099">
        <v>0.48799999999999999</v>
      </c>
      <c r="Z1099" t="s">
        <v>2821</v>
      </c>
      <c r="AA1099" t="s">
        <v>1003</v>
      </c>
      <c r="AB1099" t="s">
        <v>2520</v>
      </c>
      <c r="AC1099" t="s">
        <v>860</v>
      </c>
      <c r="AD1099" t="s">
        <v>2171</v>
      </c>
      <c r="AE1099" t="s">
        <v>4730</v>
      </c>
      <c r="AF1099">
        <v>0.86847300640000002</v>
      </c>
    </row>
    <row r="1100" spans="1:32" x14ac:dyDescent="0.25">
      <c r="A1100" s="56">
        <v>2410999</v>
      </c>
      <c r="B1100" s="56" t="s">
        <v>728</v>
      </c>
      <c r="C1100" s="56" t="s">
        <v>4746</v>
      </c>
      <c r="D1100" s="56"/>
      <c r="E1100" s="57">
        <v>737</v>
      </c>
      <c r="F1100" s="57">
        <v>0.73699999999999999</v>
      </c>
      <c r="G1100" s="56" t="s">
        <v>392</v>
      </c>
      <c r="H1100" s="56" t="s">
        <v>2511</v>
      </c>
      <c r="I1100" s="56" t="s">
        <v>1834</v>
      </c>
      <c r="J1100" s="56"/>
      <c r="K1100" s="56"/>
      <c r="L1100" s="56"/>
      <c r="M1100" s="56"/>
      <c r="N1100" s="56" t="s">
        <v>61</v>
      </c>
      <c r="O1100" s="56">
        <v>86</v>
      </c>
      <c r="P1100" s="59" t="s">
        <v>2579</v>
      </c>
      <c r="Q1100" s="56" t="s">
        <v>11</v>
      </c>
      <c r="U1100" s="52">
        <v>3774058</v>
      </c>
      <c r="V1100">
        <v>38.1</v>
      </c>
      <c r="W1100">
        <v>0</v>
      </c>
      <c r="X1100">
        <v>2</v>
      </c>
      <c r="Y1100">
        <v>0.48799999999999999</v>
      </c>
      <c r="Z1100" t="s">
        <v>1952</v>
      </c>
      <c r="AA1100" t="s">
        <v>1003</v>
      </c>
      <c r="AB1100" t="s">
        <v>2520</v>
      </c>
      <c r="AC1100" t="s">
        <v>860</v>
      </c>
      <c r="AD1100" t="s">
        <v>2171</v>
      </c>
      <c r="AE1100" t="s">
        <v>4730</v>
      </c>
      <c r="AF1100">
        <v>0.86847300640000002</v>
      </c>
    </row>
    <row r="1101" spans="1:32" x14ac:dyDescent="0.25">
      <c r="A1101" s="56">
        <v>2410999</v>
      </c>
      <c r="B1101" s="56" t="s">
        <v>728</v>
      </c>
      <c r="C1101" s="56" t="s">
        <v>4748</v>
      </c>
      <c r="D1101" s="56"/>
      <c r="E1101" s="57">
        <v>248.96</v>
      </c>
      <c r="F1101" s="57">
        <v>0.24896000000000001</v>
      </c>
      <c r="G1101" s="56" t="s">
        <v>392</v>
      </c>
      <c r="H1101" s="56" t="s">
        <v>2511</v>
      </c>
      <c r="I1101" s="56" t="s">
        <v>1834</v>
      </c>
      <c r="J1101" s="56"/>
      <c r="K1101" s="56"/>
      <c r="L1101" s="56"/>
      <c r="M1101" s="56"/>
      <c r="N1101" s="56" t="s">
        <v>61</v>
      </c>
      <c r="O1101" s="56">
        <v>117</v>
      </c>
      <c r="P1101" s="59" t="s">
        <v>2524</v>
      </c>
      <c r="Q1101" s="56" t="s">
        <v>11</v>
      </c>
      <c r="U1101" s="52">
        <v>3516769</v>
      </c>
      <c r="V1101">
        <v>38.1</v>
      </c>
      <c r="W1101">
        <v>0</v>
      </c>
      <c r="X1101">
        <v>2</v>
      </c>
      <c r="Y1101">
        <v>0.49399999999999999</v>
      </c>
      <c r="Z1101" t="s">
        <v>1868</v>
      </c>
      <c r="AA1101" t="s">
        <v>1003</v>
      </c>
      <c r="AB1101" t="s">
        <v>2520</v>
      </c>
      <c r="AC1101" t="s">
        <v>860</v>
      </c>
      <c r="AD1101" t="s">
        <v>2171</v>
      </c>
      <c r="AE1101" t="s">
        <v>4734</v>
      </c>
      <c r="AF1101">
        <v>0.87915095320000003</v>
      </c>
    </row>
    <row r="1102" spans="1:32" x14ac:dyDescent="0.25">
      <c r="A1102" s="56">
        <v>2410999</v>
      </c>
      <c r="B1102" s="56" t="s">
        <v>728</v>
      </c>
      <c r="C1102" s="56" t="s">
        <v>4749</v>
      </c>
      <c r="D1102" s="56"/>
      <c r="E1102" s="57">
        <v>364.108</v>
      </c>
      <c r="F1102" s="57">
        <v>0.36410799999999999</v>
      </c>
      <c r="G1102" s="56" t="s">
        <v>392</v>
      </c>
      <c r="H1102" s="56" t="s">
        <v>2511</v>
      </c>
      <c r="I1102" s="56" t="s">
        <v>1834</v>
      </c>
      <c r="J1102" s="56"/>
      <c r="K1102" s="56"/>
      <c r="L1102" s="56"/>
      <c r="M1102" s="56"/>
      <c r="N1102" s="56" t="s">
        <v>61</v>
      </c>
      <c r="O1102" s="56">
        <v>83</v>
      </c>
      <c r="P1102" s="59" t="s">
        <v>2579</v>
      </c>
      <c r="Q1102" s="56" t="s">
        <v>11</v>
      </c>
      <c r="U1102" s="52">
        <v>1940743</v>
      </c>
      <c r="V1102">
        <v>38.1</v>
      </c>
      <c r="W1102">
        <v>0</v>
      </c>
      <c r="X1102">
        <v>2</v>
      </c>
      <c r="Y1102">
        <v>0.81200000000000006</v>
      </c>
      <c r="Z1102" t="s">
        <v>1891</v>
      </c>
      <c r="AA1102" t="s">
        <v>1003</v>
      </c>
      <c r="AB1102" t="s">
        <v>2520</v>
      </c>
      <c r="AC1102" t="s">
        <v>860</v>
      </c>
      <c r="AD1102" t="s">
        <v>2171</v>
      </c>
      <c r="AE1102" t="s">
        <v>868</v>
      </c>
      <c r="AF1102">
        <v>1.4450821336000002</v>
      </c>
    </row>
    <row r="1103" spans="1:32" x14ac:dyDescent="0.25">
      <c r="A1103" s="56">
        <v>2410999</v>
      </c>
      <c r="B1103" s="56" t="s">
        <v>728</v>
      </c>
      <c r="C1103" s="56" t="s">
        <v>4750</v>
      </c>
      <c r="D1103" s="56"/>
      <c r="E1103" s="57">
        <v>592</v>
      </c>
      <c r="F1103" s="57">
        <v>0.59199999999999997</v>
      </c>
      <c r="G1103" s="56" t="s">
        <v>392</v>
      </c>
      <c r="H1103" s="56" t="s">
        <v>2511</v>
      </c>
      <c r="I1103" s="56" t="s">
        <v>1834</v>
      </c>
      <c r="J1103" s="56"/>
      <c r="K1103" s="56"/>
      <c r="L1103" s="56"/>
      <c r="M1103" s="56"/>
      <c r="N1103" s="56" t="s">
        <v>61</v>
      </c>
      <c r="O1103" s="56">
        <v>147</v>
      </c>
      <c r="P1103" s="59" t="s">
        <v>2524</v>
      </c>
      <c r="Q1103" s="56" t="s">
        <v>11</v>
      </c>
      <c r="U1103" s="52">
        <v>1940744</v>
      </c>
      <c r="V1103">
        <v>38.1</v>
      </c>
      <c r="W1103">
        <v>0</v>
      </c>
      <c r="X1103">
        <v>2</v>
      </c>
      <c r="Y1103">
        <v>0.81499999999999995</v>
      </c>
      <c r="Z1103" t="s">
        <v>1891</v>
      </c>
      <c r="AA1103" t="s">
        <v>1003</v>
      </c>
      <c r="AB1103" t="s">
        <v>2520</v>
      </c>
      <c r="AC1103" t="s">
        <v>860</v>
      </c>
      <c r="AD1103" t="s">
        <v>2171</v>
      </c>
      <c r="AE1103" t="s">
        <v>4737</v>
      </c>
      <c r="AF1103">
        <v>1.4504211069999999</v>
      </c>
    </row>
    <row r="1104" spans="1:32" x14ac:dyDescent="0.25">
      <c r="A1104" s="56">
        <v>2411624</v>
      </c>
      <c r="B1104" s="56" t="s">
        <v>1432</v>
      </c>
      <c r="C1104" s="56" t="s">
        <v>4751</v>
      </c>
      <c r="D1104" s="56"/>
      <c r="E1104" s="57">
        <v>202.75200000000001</v>
      </c>
      <c r="F1104" s="57">
        <v>0.20275200000000002</v>
      </c>
      <c r="G1104" s="56" t="s">
        <v>392</v>
      </c>
      <c r="H1104" s="56" t="s">
        <v>2511</v>
      </c>
      <c r="I1104" s="56" t="s">
        <v>1834</v>
      </c>
      <c r="J1104" s="56"/>
      <c r="K1104" s="56"/>
      <c r="L1104" s="56"/>
      <c r="M1104" s="56"/>
      <c r="N1104" s="56" t="s">
        <v>61</v>
      </c>
      <c r="O1104" s="56">
        <v>56</v>
      </c>
      <c r="P1104" s="59" t="s">
        <v>2532</v>
      </c>
      <c r="Q1104" s="56" t="s">
        <v>11</v>
      </c>
      <c r="U1104" s="52">
        <v>1308858</v>
      </c>
      <c r="V1104">
        <v>38.1</v>
      </c>
      <c r="W1104">
        <v>0</v>
      </c>
      <c r="X1104">
        <v>2</v>
      </c>
      <c r="Y1104">
        <v>0.81499999999999995</v>
      </c>
      <c r="Z1104" t="s">
        <v>1914</v>
      </c>
      <c r="AA1104" t="s">
        <v>1003</v>
      </c>
      <c r="AB1104" t="s">
        <v>2520</v>
      </c>
      <c r="AC1104" t="s">
        <v>860</v>
      </c>
      <c r="AD1104" t="s">
        <v>2171</v>
      </c>
      <c r="AE1104" t="s">
        <v>4737</v>
      </c>
      <c r="AF1104">
        <v>1.4504211069999999</v>
      </c>
    </row>
    <row r="1105" spans="1:32" x14ac:dyDescent="0.25">
      <c r="A1105" s="56">
        <v>2411624</v>
      </c>
      <c r="B1105" s="56" t="s">
        <v>1432</v>
      </c>
      <c r="C1105" s="56" t="s">
        <v>4752</v>
      </c>
      <c r="D1105" s="56"/>
      <c r="E1105" s="57">
        <v>1238.08</v>
      </c>
      <c r="F1105" s="57">
        <v>1.2380799999999998</v>
      </c>
      <c r="G1105" s="56" t="s">
        <v>392</v>
      </c>
      <c r="H1105" s="56" t="s">
        <v>2511</v>
      </c>
      <c r="I1105" s="56" t="s">
        <v>1834</v>
      </c>
      <c r="J1105" s="56"/>
      <c r="K1105" s="56"/>
      <c r="L1105" s="56"/>
      <c r="M1105" s="56"/>
      <c r="N1105" s="56" t="s">
        <v>61</v>
      </c>
      <c r="O1105" s="56">
        <v>18</v>
      </c>
      <c r="P1105" s="59" t="s">
        <v>2515</v>
      </c>
      <c r="Q1105" s="56" t="s">
        <v>11</v>
      </c>
      <c r="U1105" s="52">
        <v>1940745</v>
      </c>
      <c r="V1105">
        <v>38.1</v>
      </c>
      <c r="W1105">
        <v>0</v>
      </c>
      <c r="X1105">
        <v>2</v>
      </c>
      <c r="Y1105">
        <v>0.92700000000000005</v>
      </c>
      <c r="Z1105" t="s">
        <v>1891</v>
      </c>
      <c r="AA1105" t="s">
        <v>1003</v>
      </c>
      <c r="AB1105" t="s">
        <v>2520</v>
      </c>
      <c r="AC1105" t="s">
        <v>860</v>
      </c>
      <c r="AD1105" t="s">
        <v>2171</v>
      </c>
      <c r="AE1105" t="s">
        <v>4740</v>
      </c>
      <c r="AF1105">
        <v>1.6497427806000002</v>
      </c>
    </row>
    <row r="1106" spans="1:32" x14ac:dyDescent="0.25">
      <c r="A1106" s="56">
        <v>2418610</v>
      </c>
      <c r="B1106" s="56" t="s">
        <v>1964</v>
      </c>
      <c r="C1106" s="56" t="s">
        <v>4753</v>
      </c>
      <c r="D1106" s="56"/>
      <c r="E1106" s="57">
        <v>1651</v>
      </c>
      <c r="F1106" s="57">
        <v>1.651</v>
      </c>
      <c r="G1106" s="56" t="s">
        <v>392</v>
      </c>
      <c r="H1106" s="56" t="s">
        <v>4454</v>
      </c>
      <c r="I1106" s="56" t="s">
        <v>1834</v>
      </c>
      <c r="J1106" s="56"/>
      <c r="K1106" s="56"/>
      <c r="L1106" s="56"/>
      <c r="M1106" s="56"/>
      <c r="N1106" s="56" t="s">
        <v>71</v>
      </c>
      <c r="O1106" s="56">
        <v>32</v>
      </c>
      <c r="P1106" s="59" t="s">
        <v>2532</v>
      </c>
      <c r="Q1106" s="56" t="s">
        <v>2516</v>
      </c>
      <c r="U1106" s="52">
        <v>3191748</v>
      </c>
      <c r="V1106">
        <v>38.1</v>
      </c>
      <c r="W1106">
        <v>0</v>
      </c>
      <c r="X1106">
        <v>2</v>
      </c>
      <c r="Y1106">
        <v>0.93</v>
      </c>
      <c r="Z1106" t="s">
        <v>1924</v>
      </c>
      <c r="AA1106" t="s">
        <v>1003</v>
      </c>
      <c r="AB1106" t="s">
        <v>2520</v>
      </c>
      <c r="AC1106" t="s">
        <v>4742</v>
      </c>
      <c r="AD1106" t="s">
        <v>2171</v>
      </c>
      <c r="AE1106" t="s">
        <v>4743</v>
      </c>
      <c r="AF1106">
        <v>1.6550817540000002</v>
      </c>
    </row>
    <row r="1107" spans="1:32" x14ac:dyDescent="0.25">
      <c r="A1107" s="56">
        <v>2418610</v>
      </c>
      <c r="B1107" s="56" t="s">
        <v>1964</v>
      </c>
      <c r="C1107" s="56" t="s">
        <v>4754</v>
      </c>
      <c r="D1107" s="57"/>
      <c r="E1107" s="57">
        <v>1663</v>
      </c>
      <c r="F1107" s="57">
        <v>1.663</v>
      </c>
      <c r="G1107" s="56" t="s">
        <v>392</v>
      </c>
      <c r="H1107" s="56" t="s">
        <v>4454</v>
      </c>
      <c r="I1107" s="56" t="s">
        <v>1834</v>
      </c>
      <c r="J1107" s="56"/>
      <c r="K1107" s="56"/>
      <c r="L1107" s="56"/>
      <c r="M1107" s="56"/>
      <c r="N1107" s="56" t="s">
        <v>71</v>
      </c>
      <c r="O1107" s="56">
        <v>51</v>
      </c>
      <c r="P1107" s="59" t="s">
        <v>2532</v>
      </c>
      <c r="Q1107" s="56" t="s">
        <v>2516</v>
      </c>
      <c r="U1107">
        <v>3863198</v>
      </c>
      <c r="V1107">
        <v>38.1</v>
      </c>
      <c r="W1107">
        <v>0</v>
      </c>
      <c r="X1107">
        <v>2</v>
      </c>
      <c r="Y1107">
        <v>5.03</v>
      </c>
      <c r="Z1107" t="s">
        <v>1952</v>
      </c>
      <c r="AA1107" t="s">
        <v>1003</v>
      </c>
      <c r="AB1107" t="s">
        <v>2520</v>
      </c>
      <c r="AC1107" t="s">
        <v>860</v>
      </c>
      <c r="AD1107" t="s">
        <v>1838</v>
      </c>
      <c r="AE1107" t="s">
        <v>2199</v>
      </c>
      <c r="AF1107">
        <v>1.7796578000000001</v>
      </c>
    </row>
    <row r="1108" spans="1:32" x14ac:dyDescent="0.25">
      <c r="A1108" s="56">
        <v>2418610</v>
      </c>
      <c r="B1108" s="56" t="s">
        <v>1964</v>
      </c>
      <c r="C1108" s="56" t="s">
        <v>4755</v>
      </c>
      <c r="D1108" s="57"/>
      <c r="E1108" s="57">
        <v>1672</v>
      </c>
      <c r="F1108" s="57">
        <v>1.6719999999999999</v>
      </c>
      <c r="G1108" s="56" t="s">
        <v>392</v>
      </c>
      <c r="H1108" s="56" t="s">
        <v>4454</v>
      </c>
      <c r="I1108" s="56" t="s">
        <v>1834</v>
      </c>
      <c r="J1108" s="56"/>
      <c r="K1108" s="56"/>
      <c r="L1108" s="56"/>
      <c r="M1108" s="56"/>
      <c r="N1108" s="56" t="s">
        <v>71</v>
      </c>
      <c r="O1108" s="56">
        <v>38</v>
      </c>
      <c r="P1108" s="59" t="s">
        <v>2532</v>
      </c>
      <c r="Q1108" s="56" t="s">
        <v>2516</v>
      </c>
      <c r="U1108" s="538">
        <v>111116370</v>
      </c>
      <c r="V1108">
        <v>38.1</v>
      </c>
      <c r="W1108">
        <v>0</v>
      </c>
      <c r="X1108">
        <v>2</v>
      </c>
      <c r="Y1108">
        <v>5.03</v>
      </c>
      <c r="Z1108" t="s">
        <v>1868</v>
      </c>
      <c r="AA1108" t="s">
        <v>1003</v>
      </c>
      <c r="AB1108" t="s">
        <v>2520</v>
      </c>
      <c r="AC1108" t="s">
        <v>860</v>
      </c>
      <c r="AD1108" t="s">
        <v>1838</v>
      </c>
      <c r="AE1108" t="s">
        <v>2199</v>
      </c>
      <c r="AF1108">
        <v>1.7796578000000001</v>
      </c>
    </row>
    <row r="1109" spans="1:32" x14ac:dyDescent="0.25">
      <c r="A1109" s="56">
        <v>2418610</v>
      </c>
      <c r="B1109" s="56" t="s">
        <v>1964</v>
      </c>
      <c r="C1109" s="56" t="s">
        <v>4756</v>
      </c>
      <c r="D1109" s="57"/>
      <c r="E1109" s="57">
        <v>1786</v>
      </c>
      <c r="F1109" s="57">
        <v>1.786</v>
      </c>
      <c r="G1109" s="56" t="s">
        <v>392</v>
      </c>
      <c r="H1109" s="56" t="s">
        <v>4454</v>
      </c>
      <c r="I1109" s="56" t="s">
        <v>1834</v>
      </c>
      <c r="J1109" s="56"/>
      <c r="K1109" s="56"/>
      <c r="L1109" s="56"/>
      <c r="M1109" s="56"/>
      <c r="N1109" s="56" t="s">
        <v>71</v>
      </c>
      <c r="O1109" s="56">
        <v>51</v>
      </c>
      <c r="P1109" s="59" t="s">
        <v>2532</v>
      </c>
      <c r="Q1109" s="56" t="s">
        <v>2516</v>
      </c>
      <c r="U1109" s="52">
        <v>3515521</v>
      </c>
      <c r="V1109">
        <v>38.1</v>
      </c>
      <c r="W1109">
        <v>0</v>
      </c>
      <c r="X1109">
        <v>2</v>
      </c>
      <c r="Y1109">
        <v>5.63</v>
      </c>
      <c r="Z1109" t="s">
        <v>1924</v>
      </c>
      <c r="AA1109" t="s">
        <v>1003</v>
      </c>
      <c r="AB1109" t="s">
        <v>2520</v>
      </c>
      <c r="AC1109" t="s">
        <v>4742</v>
      </c>
      <c r="AD1109" t="s">
        <v>1838</v>
      </c>
      <c r="AE1109" t="s">
        <v>4747</v>
      </c>
      <c r="AF1109">
        <v>1.7796578000000001</v>
      </c>
    </row>
    <row r="1110" spans="1:32" x14ac:dyDescent="0.25">
      <c r="A1110" s="56">
        <v>2418610</v>
      </c>
      <c r="B1110" s="56" t="s">
        <v>1964</v>
      </c>
      <c r="C1110" s="56" t="s">
        <v>4757</v>
      </c>
      <c r="D1110" s="57"/>
      <c r="E1110" s="57">
        <v>1795</v>
      </c>
      <c r="F1110" s="57">
        <v>1.7949999999999999</v>
      </c>
      <c r="G1110" s="56" t="s">
        <v>392</v>
      </c>
      <c r="H1110" s="56" t="s">
        <v>4454</v>
      </c>
      <c r="I1110" s="56" t="s">
        <v>1834</v>
      </c>
      <c r="J1110" s="56"/>
      <c r="K1110" s="56"/>
      <c r="L1110" s="56"/>
      <c r="M1110" s="56"/>
      <c r="N1110" s="56" t="s">
        <v>71</v>
      </c>
      <c r="O1110" s="56">
        <v>38</v>
      </c>
      <c r="P1110" s="59" t="s">
        <v>2532</v>
      </c>
      <c r="Q1110" s="56" t="s">
        <v>2516</v>
      </c>
      <c r="U1110" s="538">
        <v>110102873</v>
      </c>
      <c r="V1110">
        <v>38.1</v>
      </c>
      <c r="W1110">
        <v>0</v>
      </c>
      <c r="X1110">
        <v>2</v>
      </c>
      <c r="Y1110">
        <v>5.6420000000000003</v>
      </c>
      <c r="Z1110" t="s">
        <v>1891</v>
      </c>
      <c r="AA1110" t="s">
        <v>1003</v>
      </c>
      <c r="AB1110" t="s">
        <v>2520</v>
      </c>
      <c r="AC1110" t="s">
        <v>860</v>
      </c>
      <c r="AD1110" t="s">
        <v>1838</v>
      </c>
      <c r="AE1110" t="s">
        <v>2199</v>
      </c>
      <c r="AF1110">
        <v>1.7796578000000001</v>
      </c>
    </row>
    <row r="1111" spans="1:32" x14ac:dyDescent="0.25">
      <c r="A1111" s="56">
        <v>2418610</v>
      </c>
      <c r="B1111" s="56" t="s">
        <v>1964</v>
      </c>
      <c r="C1111" s="56" t="s">
        <v>4758</v>
      </c>
      <c r="D1111" s="57"/>
      <c r="E1111" s="57">
        <v>1686</v>
      </c>
      <c r="F1111" s="57">
        <v>1.6859999999999999</v>
      </c>
      <c r="G1111" s="56" t="s">
        <v>392</v>
      </c>
      <c r="H1111" s="56" t="s">
        <v>2511</v>
      </c>
      <c r="I1111" s="56" t="s">
        <v>1834</v>
      </c>
      <c r="J1111" s="56"/>
      <c r="K1111" s="56"/>
      <c r="L1111" s="56"/>
      <c r="M1111" s="56"/>
      <c r="N1111" s="56" t="s">
        <v>71</v>
      </c>
      <c r="O1111" s="56">
        <v>31</v>
      </c>
      <c r="P1111" s="59" t="s">
        <v>2532</v>
      </c>
      <c r="Q1111" s="56" t="s">
        <v>2516</v>
      </c>
      <c r="U1111" s="52">
        <v>3500959</v>
      </c>
      <c r="V1111">
        <v>38.1</v>
      </c>
      <c r="W1111">
        <v>0</v>
      </c>
      <c r="X1111">
        <v>2</v>
      </c>
      <c r="Y1111">
        <v>5.65</v>
      </c>
      <c r="Z1111" t="s">
        <v>1914</v>
      </c>
      <c r="AA1111" t="s">
        <v>1003</v>
      </c>
      <c r="AB1111" t="s">
        <v>2520</v>
      </c>
      <c r="AC1111" t="s">
        <v>860</v>
      </c>
      <c r="AD1111" t="s">
        <v>1838</v>
      </c>
      <c r="AE1111" t="s">
        <v>2199</v>
      </c>
      <c r="AF1111">
        <v>1.7796578000000001</v>
      </c>
    </row>
    <row r="1112" spans="1:32" x14ac:dyDescent="0.25">
      <c r="A1112" s="56">
        <v>2418610</v>
      </c>
      <c r="B1112" s="56" t="s">
        <v>1964</v>
      </c>
      <c r="C1112" s="56" t="s">
        <v>4759</v>
      </c>
      <c r="D1112" s="57"/>
      <c r="E1112" s="57">
        <v>1730</v>
      </c>
      <c r="F1112" s="57">
        <v>1.73</v>
      </c>
      <c r="G1112" s="56" t="s">
        <v>392</v>
      </c>
      <c r="H1112" s="56" t="s">
        <v>2511</v>
      </c>
      <c r="I1112" s="56" t="s">
        <v>1834</v>
      </c>
      <c r="J1112" s="56"/>
      <c r="K1112" s="56"/>
      <c r="L1112" s="56"/>
      <c r="M1112" s="56"/>
      <c r="N1112" s="56" t="s">
        <v>71</v>
      </c>
      <c r="O1112" s="56">
        <v>31</v>
      </c>
      <c r="P1112" s="59" t="s">
        <v>2532</v>
      </c>
      <c r="Q1112" s="56" t="s">
        <v>2516</v>
      </c>
      <c r="U1112" s="52">
        <v>3502253</v>
      </c>
      <c r="V1112">
        <v>38.1</v>
      </c>
      <c r="W1112">
        <v>0</v>
      </c>
      <c r="X1112">
        <v>2</v>
      </c>
      <c r="Y1112">
        <v>5.65</v>
      </c>
      <c r="Z1112" t="s">
        <v>1914</v>
      </c>
      <c r="AA1112" t="s">
        <v>1003</v>
      </c>
      <c r="AB1112" t="s">
        <v>2520</v>
      </c>
      <c r="AC1112" t="s">
        <v>860</v>
      </c>
      <c r="AD1112" t="s">
        <v>1838</v>
      </c>
      <c r="AE1112" t="s">
        <v>2199</v>
      </c>
      <c r="AF1112">
        <v>1.7796578000000001</v>
      </c>
    </row>
    <row r="1113" spans="1:32" x14ac:dyDescent="0.25">
      <c r="A1113" s="56">
        <v>2418610</v>
      </c>
      <c r="B1113" s="56" t="s">
        <v>1964</v>
      </c>
      <c r="C1113" s="56" t="s">
        <v>4523</v>
      </c>
      <c r="D1113" s="57"/>
      <c r="E1113" s="57">
        <v>465.79399999999998</v>
      </c>
      <c r="F1113" s="57">
        <v>0.46579399999999999</v>
      </c>
      <c r="G1113" s="56" t="s">
        <v>392</v>
      </c>
      <c r="H1113" s="56" t="s">
        <v>1914</v>
      </c>
      <c r="I1113" s="56" t="s">
        <v>1834</v>
      </c>
      <c r="J1113" s="56"/>
      <c r="K1113" s="56"/>
      <c r="L1113" s="56"/>
      <c r="M1113" s="56"/>
      <c r="N1113" s="56" t="s">
        <v>71</v>
      </c>
      <c r="O1113" s="56">
        <v>2</v>
      </c>
      <c r="P1113" s="59" t="s">
        <v>2515</v>
      </c>
      <c r="Q1113" s="56" t="s">
        <v>2516</v>
      </c>
      <c r="U1113" s="52">
        <v>3442534</v>
      </c>
      <c r="V1113">
        <v>38.1</v>
      </c>
      <c r="W1113">
        <v>0</v>
      </c>
      <c r="X1113">
        <v>2</v>
      </c>
      <c r="Y1113">
        <v>5.66</v>
      </c>
      <c r="Z1113" t="s">
        <v>1924</v>
      </c>
      <c r="AA1113" t="s">
        <v>1003</v>
      </c>
      <c r="AB1113" t="s">
        <v>2520</v>
      </c>
      <c r="AC1113" t="s">
        <v>4742</v>
      </c>
      <c r="AD1113" t="s">
        <v>1838</v>
      </c>
      <c r="AE1113" t="s">
        <v>4747</v>
      </c>
      <c r="AF1113">
        <v>1.7796578000000001</v>
      </c>
    </row>
    <row r="1114" spans="1:32" x14ac:dyDescent="0.25">
      <c r="A1114" s="56">
        <v>2418610</v>
      </c>
      <c r="B1114" s="56" t="s">
        <v>1964</v>
      </c>
      <c r="C1114" s="56" t="s">
        <v>4526</v>
      </c>
      <c r="D1114" s="57"/>
      <c r="E1114" s="57">
        <v>574.78899999999999</v>
      </c>
      <c r="F1114" s="57">
        <v>0.57478899999999999</v>
      </c>
      <c r="G1114" s="56" t="s">
        <v>392</v>
      </c>
      <c r="H1114" s="56" t="s">
        <v>1914</v>
      </c>
      <c r="I1114" s="56" t="s">
        <v>1834</v>
      </c>
      <c r="J1114" s="56"/>
      <c r="K1114" s="56"/>
      <c r="L1114" s="56"/>
      <c r="M1114" s="56"/>
      <c r="N1114" s="56" t="s">
        <v>71</v>
      </c>
      <c r="O1114" s="56">
        <v>0</v>
      </c>
      <c r="P1114" s="59" t="s">
        <v>2515</v>
      </c>
      <c r="Q1114" s="56" t="s">
        <v>2516</v>
      </c>
      <c r="U1114" s="52">
        <v>1207051</v>
      </c>
      <c r="V1114">
        <v>38.1</v>
      </c>
      <c r="W1114">
        <v>0</v>
      </c>
      <c r="X1114">
        <v>2</v>
      </c>
      <c r="Y1114">
        <v>5.78</v>
      </c>
      <c r="Z1114" t="s">
        <v>1914</v>
      </c>
      <c r="AA1114" t="s">
        <v>1003</v>
      </c>
      <c r="AB1114" t="s">
        <v>2520</v>
      </c>
      <c r="AC1114" t="s">
        <v>860</v>
      </c>
      <c r="AD1114" t="s">
        <v>1838</v>
      </c>
      <c r="AE1114" t="s">
        <v>2199</v>
      </c>
      <c r="AF1114">
        <v>1.7796578000000001</v>
      </c>
    </row>
    <row r="1115" spans="1:32" x14ac:dyDescent="0.25">
      <c r="A1115" s="56">
        <v>2426240</v>
      </c>
      <c r="B1115" s="56" t="s">
        <v>1877</v>
      </c>
      <c r="C1115" s="56" t="s">
        <v>4760</v>
      </c>
      <c r="D1115" s="57"/>
      <c r="E1115" s="57">
        <v>908</v>
      </c>
      <c r="F1115" s="57">
        <v>0.90800000000000003</v>
      </c>
      <c r="G1115" s="56" t="s">
        <v>392</v>
      </c>
      <c r="H1115" s="56" t="s">
        <v>4454</v>
      </c>
      <c r="I1115" s="56" t="s">
        <v>1834</v>
      </c>
      <c r="J1115" s="56"/>
      <c r="K1115" s="56"/>
      <c r="L1115" s="56"/>
      <c r="M1115" s="56"/>
      <c r="N1115" s="56" t="s">
        <v>71</v>
      </c>
      <c r="O1115" s="56">
        <v>80</v>
      </c>
      <c r="P1115" s="59" t="s">
        <v>2579</v>
      </c>
      <c r="Q1115" s="56" t="s">
        <v>2516</v>
      </c>
      <c r="U1115" s="52">
        <v>3929561</v>
      </c>
      <c r="V1115">
        <v>38.1</v>
      </c>
      <c r="W1115">
        <v>0</v>
      </c>
      <c r="X1115">
        <v>2</v>
      </c>
      <c r="Y1115">
        <v>5.78</v>
      </c>
      <c r="Z1115" t="s">
        <v>1891</v>
      </c>
      <c r="AA1115" t="s">
        <v>1003</v>
      </c>
      <c r="AB1115" t="s">
        <v>2520</v>
      </c>
      <c r="AC1115" t="s">
        <v>860</v>
      </c>
      <c r="AD1115" t="s">
        <v>1838</v>
      </c>
      <c r="AE1115" t="s">
        <v>2199</v>
      </c>
      <c r="AF1115">
        <v>1.7796578000000001</v>
      </c>
    </row>
    <row r="1116" spans="1:32" x14ac:dyDescent="0.25">
      <c r="A1116" s="56">
        <v>2426240</v>
      </c>
      <c r="B1116" s="56" t="s">
        <v>1877</v>
      </c>
      <c r="C1116" s="56" t="s">
        <v>4761</v>
      </c>
      <c r="D1116" s="57"/>
      <c r="E1116" s="57">
        <v>285</v>
      </c>
      <c r="F1116" s="57">
        <v>0.28499999999999998</v>
      </c>
      <c r="G1116" s="56" t="s">
        <v>392</v>
      </c>
      <c r="H1116" s="56" t="s">
        <v>4454</v>
      </c>
      <c r="I1116" s="56" t="s">
        <v>1834</v>
      </c>
      <c r="J1116" s="56"/>
      <c r="K1116" s="56"/>
      <c r="L1116" s="56"/>
      <c r="M1116" s="56"/>
      <c r="N1116" s="56" t="s">
        <v>71</v>
      </c>
      <c r="O1116" s="56">
        <v>105</v>
      </c>
      <c r="P1116" s="59" t="s">
        <v>2524</v>
      </c>
      <c r="Q1116" s="56" t="s">
        <v>2516</v>
      </c>
      <c r="U1116" s="538">
        <v>110102875</v>
      </c>
      <c r="V1116">
        <v>38.1</v>
      </c>
      <c r="W1116">
        <v>0</v>
      </c>
      <c r="X1116">
        <v>2</v>
      </c>
      <c r="Y1116">
        <v>5.78</v>
      </c>
      <c r="Z1116" t="s">
        <v>1891</v>
      </c>
      <c r="AA1116" t="s">
        <v>1003</v>
      </c>
      <c r="AB1116" t="s">
        <v>2520</v>
      </c>
      <c r="AC1116" t="s">
        <v>860</v>
      </c>
      <c r="AD1116" t="s">
        <v>1838</v>
      </c>
      <c r="AE1116" t="s">
        <v>2199</v>
      </c>
      <c r="AF1116">
        <v>1.7796578000000001</v>
      </c>
    </row>
    <row r="1117" spans="1:32" x14ac:dyDescent="0.25">
      <c r="A1117" s="56">
        <v>2426240</v>
      </c>
      <c r="B1117" s="56" t="s">
        <v>1877</v>
      </c>
      <c r="C1117" s="56" t="s">
        <v>4763</v>
      </c>
      <c r="D1117" s="57"/>
      <c r="E1117" s="57">
        <v>837</v>
      </c>
      <c r="F1117" s="57">
        <v>0.83699999999999997</v>
      </c>
      <c r="G1117" s="56" t="s">
        <v>392</v>
      </c>
      <c r="H1117" s="56" t="s">
        <v>4454</v>
      </c>
      <c r="I1117" s="56" t="s">
        <v>1834</v>
      </c>
      <c r="J1117" s="56"/>
      <c r="K1117" s="56"/>
      <c r="L1117" s="56"/>
      <c r="M1117" s="56"/>
      <c r="N1117" s="56" t="s">
        <v>71</v>
      </c>
      <c r="O1117" s="56">
        <v>81</v>
      </c>
      <c r="P1117" s="59" t="s">
        <v>2579</v>
      </c>
      <c r="Q1117" s="56" t="s">
        <v>2516</v>
      </c>
      <c r="U1117">
        <v>1942159</v>
      </c>
      <c r="V1117">
        <v>38.1</v>
      </c>
      <c r="W1117">
        <v>0</v>
      </c>
      <c r="X1117">
        <v>2</v>
      </c>
      <c r="Y1117">
        <v>5.8</v>
      </c>
      <c r="Z1117" t="s">
        <v>1891</v>
      </c>
      <c r="AA1117" t="s">
        <v>963</v>
      </c>
      <c r="AB1117" t="s">
        <v>2520</v>
      </c>
      <c r="AC1117" t="s">
        <v>860</v>
      </c>
      <c r="AD1117" t="s">
        <v>1838</v>
      </c>
      <c r="AE1117" t="s">
        <v>2199</v>
      </c>
      <c r="AF1117">
        <v>1.7796578000000001</v>
      </c>
    </row>
    <row r="1118" spans="1:32" x14ac:dyDescent="0.25">
      <c r="A1118" s="56">
        <v>2426240</v>
      </c>
      <c r="B1118" s="56" t="s">
        <v>1877</v>
      </c>
      <c r="C1118" s="56" t="s">
        <v>4764</v>
      </c>
      <c r="D1118" s="57"/>
      <c r="E1118" s="57">
        <v>711</v>
      </c>
      <c r="F1118" s="57">
        <v>0.71099999999999997</v>
      </c>
      <c r="G1118" s="56" t="s">
        <v>392</v>
      </c>
      <c r="H1118" s="56" t="s">
        <v>4454</v>
      </c>
      <c r="I1118" s="56" t="s">
        <v>1834</v>
      </c>
      <c r="J1118" s="56"/>
      <c r="K1118" s="56"/>
      <c r="L1118" s="56"/>
      <c r="M1118" s="56"/>
      <c r="N1118" s="56" t="s">
        <v>71</v>
      </c>
      <c r="O1118" s="56">
        <v>80</v>
      </c>
      <c r="P1118" s="59" t="s">
        <v>2579</v>
      </c>
      <c r="Q1118" s="56" t="s">
        <v>2516</v>
      </c>
      <c r="U1118" s="52">
        <v>3682063</v>
      </c>
      <c r="V1118">
        <v>38.1</v>
      </c>
      <c r="W1118">
        <v>0</v>
      </c>
      <c r="X1118">
        <v>2</v>
      </c>
      <c r="Y1118">
        <v>5.8010000000000002</v>
      </c>
      <c r="Z1118" t="s">
        <v>1914</v>
      </c>
      <c r="AA1118" t="s">
        <v>1003</v>
      </c>
      <c r="AB1118" t="s">
        <v>2520</v>
      </c>
      <c r="AC1118" t="s">
        <v>860</v>
      </c>
      <c r="AD1118" t="s">
        <v>1838</v>
      </c>
      <c r="AE1118" t="s">
        <v>2199</v>
      </c>
      <c r="AF1118">
        <v>1.7796578000000001</v>
      </c>
    </row>
    <row r="1119" spans="1:32" x14ac:dyDescent="0.25">
      <c r="A1119" s="56">
        <v>2426240</v>
      </c>
      <c r="B1119" s="56" t="s">
        <v>1877</v>
      </c>
      <c r="C1119" s="56" t="s">
        <v>4766</v>
      </c>
      <c r="D1119" s="57"/>
      <c r="E1119" s="57">
        <v>1756</v>
      </c>
      <c r="F1119" s="57">
        <v>1.756</v>
      </c>
      <c r="G1119" s="56" t="s">
        <v>392</v>
      </c>
      <c r="H1119" s="56" t="s">
        <v>2511</v>
      </c>
      <c r="I1119" s="56" t="s">
        <v>1834</v>
      </c>
      <c r="J1119" s="56"/>
      <c r="K1119" s="56"/>
      <c r="L1119" s="56"/>
      <c r="M1119" s="56"/>
      <c r="N1119" s="56" t="s">
        <v>71</v>
      </c>
      <c r="O1119" s="56">
        <v>129</v>
      </c>
      <c r="P1119" s="59" t="s">
        <v>2524</v>
      </c>
      <c r="Q1119" s="56" t="s">
        <v>2516</v>
      </c>
      <c r="U1119" s="52">
        <v>3533164</v>
      </c>
      <c r="V1119">
        <v>38.1</v>
      </c>
      <c r="W1119">
        <v>0</v>
      </c>
      <c r="X1119">
        <v>2</v>
      </c>
      <c r="Y1119">
        <v>5.85</v>
      </c>
      <c r="Z1119" t="s">
        <v>1868</v>
      </c>
      <c r="AA1119" t="s">
        <v>1003</v>
      </c>
      <c r="AB1119" t="s">
        <v>2520</v>
      </c>
      <c r="AC1119" t="s">
        <v>860</v>
      </c>
      <c r="AD1119" t="s">
        <v>1838</v>
      </c>
      <c r="AE1119" t="s">
        <v>2199</v>
      </c>
      <c r="AF1119">
        <v>1.7796578000000001</v>
      </c>
    </row>
    <row r="1120" spans="1:32" x14ac:dyDescent="0.25">
      <c r="A1120" s="56">
        <v>2426240</v>
      </c>
      <c r="B1120" s="56" t="s">
        <v>1877</v>
      </c>
      <c r="C1120" s="56" t="s">
        <v>4767</v>
      </c>
      <c r="D1120" s="57"/>
      <c r="E1120" s="57">
        <v>2027</v>
      </c>
      <c r="F1120" s="57">
        <v>2.0270000000000001</v>
      </c>
      <c r="G1120" s="56" t="s">
        <v>392</v>
      </c>
      <c r="H1120" s="56" t="s">
        <v>2511</v>
      </c>
      <c r="I1120" s="56" t="s">
        <v>1834</v>
      </c>
      <c r="J1120" s="56"/>
      <c r="K1120" s="56"/>
      <c r="L1120" s="56"/>
      <c r="M1120" s="56"/>
      <c r="N1120" s="56" t="s">
        <v>71</v>
      </c>
      <c r="O1120" s="56">
        <v>140</v>
      </c>
      <c r="P1120" s="59" t="s">
        <v>2524</v>
      </c>
      <c r="Q1120" s="56" t="s">
        <v>2516</v>
      </c>
      <c r="U1120">
        <v>4044737</v>
      </c>
      <c r="V1120">
        <v>38.1</v>
      </c>
      <c r="W1120">
        <v>0</v>
      </c>
      <c r="X1120">
        <v>2</v>
      </c>
      <c r="Y1120">
        <v>5.9</v>
      </c>
      <c r="Z1120" t="s">
        <v>1952</v>
      </c>
      <c r="AA1120" t="s">
        <v>963</v>
      </c>
      <c r="AB1120" t="s">
        <v>2520</v>
      </c>
      <c r="AC1120" t="s">
        <v>860</v>
      </c>
      <c r="AD1120" t="s">
        <v>1838</v>
      </c>
      <c r="AE1120" t="s">
        <v>2199</v>
      </c>
      <c r="AF1120">
        <v>1.7796578000000001</v>
      </c>
    </row>
    <row r="1121" spans="1:32" x14ac:dyDescent="0.25">
      <c r="A1121" s="56">
        <v>2428441</v>
      </c>
      <c r="B1121" s="56" t="s">
        <v>1695</v>
      </c>
      <c r="C1121" s="56" t="s">
        <v>4768</v>
      </c>
      <c r="D1121" s="57"/>
      <c r="E1121" s="57">
        <v>414.976</v>
      </c>
      <c r="F1121" s="57">
        <v>0.41497600000000001</v>
      </c>
      <c r="G1121" s="56" t="s">
        <v>392</v>
      </c>
      <c r="H1121" s="56" t="s">
        <v>4454</v>
      </c>
      <c r="I1121" s="56" t="s">
        <v>1834</v>
      </c>
      <c r="J1121" s="56"/>
      <c r="K1121" s="56"/>
      <c r="L1121" s="56"/>
      <c r="M1121" s="56"/>
      <c r="N1121" s="56" t="s">
        <v>39</v>
      </c>
      <c r="O1121" s="56">
        <v>75</v>
      </c>
      <c r="P1121" s="59" t="s">
        <v>2579</v>
      </c>
      <c r="Q1121" s="56" t="s">
        <v>2516</v>
      </c>
      <c r="U1121">
        <v>1900941</v>
      </c>
      <c r="V1121">
        <v>38.1</v>
      </c>
      <c r="W1121">
        <v>0</v>
      </c>
      <c r="X1121">
        <v>2</v>
      </c>
      <c r="Y1121">
        <v>6</v>
      </c>
      <c r="Z1121" t="s">
        <v>1868</v>
      </c>
      <c r="AA1121" t="s">
        <v>1003</v>
      </c>
      <c r="AB1121" t="s">
        <v>2801</v>
      </c>
      <c r="AC1121" t="s">
        <v>860</v>
      </c>
      <c r="AD1121" t="s">
        <v>1838</v>
      </c>
      <c r="AE1121" t="s">
        <v>2199</v>
      </c>
      <c r="AF1121">
        <v>1.7796578000000001</v>
      </c>
    </row>
    <row r="1122" spans="1:32" x14ac:dyDescent="0.25">
      <c r="A1122" s="56">
        <v>2428441</v>
      </c>
      <c r="B1122" s="56" t="s">
        <v>1695</v>
      </c>
      <c r="C1122" s="56" t="s">
        <v>4769</v>
      </c>
      <c r="D1122" s="57"/>
      <c r="E1122" s="57">
        <v>50.606999999999999</v>
      </c>
      <c r="F1122" s="57">
        <v>5.0606999999999999E-2</v>
      </c>
      <c r="G1122" s="56" t="s">
        <v>392</v>
      </c>
      <c r="H1122" s="56" t="s">
        <v>4454</v>
      </c>
      <c r="I1122" s="56" t="s">
        <v>1834</v>
      </c>
      <c r="J1122" s="56"/>
      <c r="K1122" s="56"/>
      <c r="L1122" s="56"/>
      <c r="M1122" s="56"/>
      <c r="N1122" s="56" t="s">
        <v>39</v>
      </c>
      <c r="O1122" s="56">
        <v>58</v>
      </c>
      <c r="P1122" s="59" t="s">
        <v>2532</v>
      </c>
      <c r="Q1122" s="56" t="s">
        <v>2516</v>
      </c>
      <c r="U1122" s="508">
        <v>3553658</v>
      </c>
      <c r="V1122">
        <v>38.1</v>
      </c>
      <c r="W1122">
        <v>0</v>
      </c>
      <c r="X1122">
        <v>2</v>
      </c>
      <c r="Y1122">
        <v>6.07</v>
      </c>
      <c r="Z1122" t="s">
        <v>1868</v>
      </c>
      <c r="AA1122" t="s">
        <v>1003</v>
      </c>
      <c r="AB1122" t="s">
        <v>2520</v>
      </c>
      <c r="AC1122" t="s">
        <v>860</v>
      </c>
      <c r="AD1122" t="s">
        <v>1838</v>
      </c>
      <c r="AE1122" t="s">
        <v>2199</v>
      </c>
      <c r="AF1122">
        <v>1.7796578000000001</v>
      </c>
    </row>
    <row r="1123" spans="1:32" x14ac:dyDescent="0.25">
      <c r="A1123" s="56">
        <v>2436343</v>
      </c>
      <c r="B1123" s="56" t="s">
        <v>1643</v>
      </c>
      <c r="C1123" s="56" t="s">
        <v>4269</v>
      </c>
      <c r="D1123" s="57"/>
      <c r="E1123" s="57">
        <v>3959.248</v>
      </c>
      <c r="F1123" s="57">
        <v>3.9592480000000001</v>
      </c>
      <c r="G1123" s="56" t="s">
        <v>392</v>
      </c>
      <c r="H1123" s="56" t="s">
        <v>4454</v>
      </c>
      <c r="I1123" s="56" t="s">
        <v>1834</v>
      </c>
      <c r="J1123" s="56"/>
      <c r="K1123" s="56"/>
      <c r="L1123" s="56"/>
      <c r="M1123" s="56"/>
      <c r="N1123" s="56" t="s">
        <v>49</v>
      </c>
      <c r="O1123" s="56">
        <v>9</v>
      </c>
      <c r="P1123" s="59" t="s">
        <v>2515</v>
      </c>
      <c r="Q1123" s="56" t="s">
        <v>11</v>
      </c>
      <c r="U1123" s="538">
        <v>111120693</v>
      </c>
      <c r="V1123">
        <v>38.1</v>
      </c>
      <c r="W1123">
        <v>0</v>
      </c>
      <c r="X1123">
        <v>2</v>
      </c>
      <c r="Y1123">
        <v>6.15</v>
      </c>
      <c r="Z1123" t="s">
        <v>1891</v>
      </c>
      <c r="AA1123" t="s">
        <v>1003</v>
      </c>
      <c r="AB1123" t="s">
        <v>2520</v>
      </c>
      <c r="AC1123" t="s">
        <v>860</v>
      </c>
      <c r="AD1123" t="s">
        <v>1838</v>
      </c>
      <c r="AE1123" t="s">
        <v>2199</v>
      </c>
      <c r="AF1123">
        <v>1.7796578000000001</v>
      </c>
    </row>
    <row r="1124" spans="1:32" x14ac:dyDescent="0.25">
      <c r="A1124" s="56">
        <v>2439535</v>
      </c>
      <c r="B1124" s="56" t="s">
        <v>1430</v>
      </c>
      <c r="C1124" s="56" t="s">
        <v>4771</v>
      </c>
      <c r="D1124" s="57"/>
      <c r="E1124" s="57">
        <v>72</v>
      </c>
      <c r="F1124" s="57">
        <v>7.1999999999999995E-2</v>
      </c>
      <c r="G1124" s="56" t="s">
        <v>392</v>
      </c>
      <c r="H1124" s="56" t="s">
        <v>4454</v>
      </c>
      <c r="I1124" s="56" t="s">
        <v>1834</v>
      </c>
      <c r="J1124" s="56"/>
      <c r="K1124" s="56"/>
      <c r="L1124" s="56"/>
      <c r="M1124" s="56"/>
      <c r="N1124" s="56" t="s">
        <v>151</v>
      </c>
      <c r="O1124" s="56">
        <v>80</v>
      </c>
      <c r="P1124" s="59" t="s">
        <v>2579</v>
      </c>
      <c r="Q1124" s="56" t="s">
        <v>11</v>
      </c>
      <c r="U1124" s="52">
        <v>257093</v>
      </c>
      <c r="V1124">
        <v>38.1</v>
      </c>
      <c r="W1124">
        <v>0</v>
      </c>
      <c r="X1124">
        <v>2.0299999999999998</v>
      </c>
      <c r="Y1124">
        <v>0.81200000000000006</v>
      </c>
      <c r="Z1124" t="s">
        <v>2821</v>
      </c>
      <c r="AA1124" t="s">
        <v>963</v>
      </c>
      <c r="AB1124" t="s">
        <v>2520</v>
      </c>
      <c r="AC1124" t="s">
        <v>860</v>
      </c>
      <c r="AD1124" t="s">
        <v>2171</v>
      </c>
      <c r="AE1124" t="s">
        <v>868</v>
      </c>
      <c r="AF1124">
        <v>1.4655394528348002</v>
      </c>
    </row>
    <row r="1125" spans="1:32" x14ac:dyDescent="0.25">
      <c r="A1125" s="56">
        <v>2439535</v>
      </c>
      <c r="B1125" s="56" t="s">
        <v>1430</v>
      </c>
      <c r="C1125" s="56" t="s">
        <v>4773</v>
      </c>
      <c r="D1125" s="57"/>
      <c r="E1125" s="57">
        <v>474</v>
      </c>
      <c r="F1125" s="57">
        <v>0.47399999999999998</v>
      </c>
      <c r="G1125" s="56" t="s">
        <v>392</v>
      </c>
      <c r="H1125" s="56" t="s">
        <v>4454</v>
      </c>
      <c r="I1125" s="56" t="s">
        <v>1834</v>
      </c>
      <c r="J1125" s="56"/>
      <c r="K1125" s="56"/>
      <c r="L1125" s="56"/>
      <c r="M1125" s="56"/>
      <c r="N1125" s="56" t="s">
        <v>151</v>
      </c>
      <c r="O1125" s="56">
        <v>80</v>
      </c>
      <c r="P1125" s="59" t="s">
        <v>2579</v>
      </c>
      <c r="Q1125" s="56" t="s">
        <v>11</v>
      </c>
      <c r="U1125" s="52">
        <v>3509424</v>
      </c>
      <c r="V1125">
        <v>38.1</v>
      </c>
      <c r="W1125">
        <v>0</v>
      </c>
      <c r="X1125">
        <v>2.5</v>
      </c>
      <c r="Y1125">
        <v>0.875</v>
      </c>
      <c r="Z1125" t="s">
        <v>1914</v>
      </c>
      <c r="AA1125" t="s">
        <v>1003</v>
      </c>
      <c r="AB1125" t="s">
        <v>2520</v>
      </c>
      <c r="AC1125" t="s">
        <v>1048</v>
      </c>
      <c r="AD1125" t="s">
        <v>2171</v>
      </c>
      <c r="AE1125" t="s">
        <v>4762</v>
      </c>
      <c r="AF1125">
        <v>1.9195408749999998</v>
      </c>
    </row>
    <row r="1126" spans="1:32" x14ac:dyDescent="0.25">
      <c r="A1126" s="56">
        <v>2439535</v>
      </c>
      <c r="B1126" s="56" t="s">
        <v>1430</v>
      </c>
      <c r="C1126" s="56" t="s">
        <v>4775</v>
      </c>
      <c r="D1126" s="57"/>
      <c r="E1126" s="57">
        <v>375</v>
      </c>
      <c r="F1126" s="57">
        <v>0.375</v>
      </c>
      <c r="G1126" s="56" t="s">
        <v>392</v>
      </c>
      <c r="H1126" s="56" t="s">
        <v>4454</v>
      </c>
      <c r="I1126" s="56" t="s">
        <v>1834</v>
      </c>
      <c r="J1126" s="56"/>
      <c r="K1126" s="56"/>
      <c r="L1126" s="56"/>
      <c r="M1126" s="56"/>
      <c r="N1126" s="56" t="s">
        <v>151</v>
      </c>
      <c r="O1126" s="56">
        <v>80</v>
      </c>
      <c r="P1126" s="59" t="s">
        <v>2579</v>
      </c>
      <c r="Q1126" s="56" t="s">
        <v>11</v>
      </c>
      <c r="U1126" s="52">
        <v>1529742</v>
      </c>
      <c r="V1126">
        <v>38.1</v>
      </c>
      <c r="W1126">
        <v>0</v>
      </c>
      <c r="X1126">
        <v>2.5</v>
      </c>
      <c r="Y1126">
        <v>0.875</v>
      </c>
      <c r="Z1126" t="s">
        <v>1914</v>
      </c>
      <c r="AA1126" t="s">
        <v>1003</v>
      </c>
      <c r="AB1126" t="s">
        <v>2520</v>
      </c>
      <c r="AC1126" t="s">
        <v>1048</v>
      </c>
      <c r="AD1126" t="s">
        <v>2171</v>
      </c>
      <c r="AE1126" t="s">
        <v>4762</v>
      </c>
      <c r="AF1126">
        <v>1.9195408749999998</v>
      </c>
    </row>
    <row r="1127" spans="1:32" x14ac:dyDescent="0.25">
      <c r="A1127" s="56">
        <v>2439535</v>
      </c>
      <c r="B1127" s="56" t="s">
        <v>1430</v>
      </c>
      <c r="C1127" s="56" t="s">
        <v>4777</v>
      </c>
      <c r="D1127" s="57"/>
      <c r="E1127" s="57">
        <v>119.093</v>
      </c>
      <c r="F1127" s="57">
        <v>0.119093</v>
      </c>
      <c r="G1127" s="56" t="s">
        <v>392</v>
      </c>
      <c r="H1127" s="56" t="s">
        <v>4454</v>
      </c>
      <c r="I1127" s="56" t="s">
        <v>1834</v>
      </c>
      <c r="J1127" s="56"/>
      <c r="K1127" s="56"/>
      <c r="L1127" s="56"/>
      <c r="M1127" s="56"/>
      <c r="N1127" s="56" t="s">
        <v>151</v>
      </c>
      <c r="O1127" s="56">
        <v>62</v>
      </c>
      <c r="P1127" s="59" t="s">
        <v>2579</v>
      </c>
      <c r="Q1127" s="56" t="s">
        <v>11</v>
      </c>
      <c r="U1127" s="52">
        <v>3788034</v>
      </c>
      <c r="V1127">
        <v>38.1</v>
      </c>
      <c r="W1127">
        <v>0</v>
      </c>
      <c r="X1127">
        <v>2.5</v>
      </c>
      <c r="Y1127">
        <v>0.878</v>
      </c>
      <c r="Z1127" t="s">
        <v>1952</v>
      </c>
      <c r="AA1127" t="s">
        <v>1003</v>
      </c>
      <c r="AB1127" t="s">
        <v>2520</v>
      </c>
      <c r="AC1127" t="s">
        <v>1048</v>
      </c>
      <c r="AD1127" t="s">
        <v>2171</v>
      </c>
      <c r="AE1127" t="s">
        <v>4765</v>
      </c>
      <c r="AF1127">
        <v>1.9261221579999999</v>
      </c>
    </row>
    <row r="1128" spans="1:32" x14ac:dyDescent="0.25">
      <c r="A1128" s="56">
        <v>2439535</v>
      </c>
      <c r="B1128" s="56" t="s">
        <v>1430</v>
      </c>
      <c r="C1128" s="56" t="s">
        <v>4778</v>
      </c>
      <c r="D1128" s="57"/>
      <c r="E1128" s="57">
        <v>120</v>
      </c>
      <c r="F1128" s="57">
        <v>0.12</v>
      </c>
      <c r="G1128" s="56" t="s">
        <v>392</v>
      </c>
      <c r="H1128" s="56" t="s">
        <v>4454</v>
      </c>
      <c r="I1128" s="56" t="s">
        <v>1834</v>
      </c>
      <c r="J1128" s="56"/>
      <c r="K1128" s="56"/>
      <c r="L1128" s="56"/>
      <c r="M1128" s="56"/>
      <c r="N1128" s="56" t="s">
        <v>151</v>
      </c>
      <c r="O1128" s="56">
        <v>88</v>
      </c>
      <c r="P1128" s="59" t="s">
        <v>2579</v>
      </c>
      <c r="Q1128" s="56" t="s">
        <v>11</v>
      </c>
      <c r="U1128" s="538">
        <v>111120313</v>
      </c>
      <c r="V1128">
        <v>38.1</v>
      </c>
      <c r="W1128">
        <v>0</v>
      </c>
      <c r="X1128">
        <v>2.5</v>
      </c>
      <c r="Y1128">
        <v>5.35</v>
      </c>
      <c r="Z1128" t="s">
        <v>1868</v>
      </c>
      <c r="AA1128" t="s">
        <v>1003</v>
      </c>
      <c r="AB1128" t="s">
        <v>2520</v>
      </c>
      <c r="AC1128" t="s">
        <v>1048</v>
      </c>
      <c r="AD1128" t="s">
        <v>1838</v>
      </c>
      <c r="AE1128" t="s">
        <v>2359</v>
      </c>
      <c r="AF1128">
        <v>2.1937609999999999</v>
      </c>
    </row>
    <row r="1129" spans="1:32" x14ac:dyDescent="0.25">
      <c r="A1129" s="56">
        <v>2439535</v>
      </c>
      <c r="B1129" s="56" t="s">
        <v>1430</v>
      </c>
      <c r="C1129" s="56" t="s">
        <v>4779</v>
      </c>
      <c r="D1129" s="57"/>
      <c r="E1129" s="57">
        <v>1046</v>
      </c>
      <c r="F1129" s="57">
        <v>1.046</v>
      </c>
      <c r="G1129" s="56" t="s">
        <v>392</v>
      </c>
      <c r="H1129" s="56" t="s">
        <v>4454</v>
      </c>
      <c r="I1129" s="56" t="s">
        <v>1834</v>
      </c>
      <c r="J1129" s="56"/>
      <c r="K1129" s="56"/>
      <c r="L1129" s="56"/>
      <c r="M1129" s="56"/>
      <c r="N1129" s="56" t="s">
        <v>151</v>
      </c>
      <c r="O1129" s="56">
        <v>88</v>
      </c>
      <c r="P1129" s="59" t="s">
        <v>2579</v>
      </c>
      <c r="Q1129" s="56" t="s">
        <v>11</v>
      </c>
      <c r="U1129" s="52">
        <v>3500240</v>
      </c>
      <c r="V1129">
        <v>38.1</v>
      </c>
      <c r="W1129">
        <v>0</v>
      </c>
      <c r="X1129">
        <v>2.5</v>
      </c>
      <c r="Y1129">
        <v>5.65</v>
      </c>
      <c r="Z1129" t="s">
        <v>3100</v>
      </c>
      <c r="AA1129" t="s">
        <v>1003</v>
      </c>
      <c r="AB1129" t="s">
        <v>4343</v>
      </c>
      <c r="AC1129" t="s">
        <v>1048</v>
      </c>
      <c r="AD1129" t="s">
        <v>1838</v>
      </c>
      <c r="AE1129" t="s">
        <v>2359</v>
      </c>
      <c r="AF1129">
        <v>2.1937609999999999</v>
      </c>
    </row>
    <row r="1130" spans="1:32" x14ac:dyDescent="0.25">
      <c r="A1130" s="56">
        <v>3182342</v>
      </c>
      <c r="B1130" s="56" t="s">
        <v>1745</v>
      </c>
      <c r="C1130" s="56" t="s">
        <v>4780</v>
      </c>
      <c r="D1130" s="57"/>
      <c r="E1130" s="57">
        <v>427.298</v>
      </c>
      <c r="F1130" s="57">
        <v>0.42729800000000001</v>
      </c>
      <c r="G1130" s="56" t="s">
        <v>392</v>
      </c>
      <c r="H1130" s="56" t="s">
        <v>4454</v>
      </c>
      <c r="I1130" s="56" t="s">
        <v>4455</v>
      </c>
      <c r="J1130" s="56"/>
      <c r="K1130" s="56"/>
      <c r="L1130" s="56"/>
      <c r="M1130" s="56"/>
      <c r="N1130" s="56" t="s">
        <v>151</v>
      </c>
      <c r="O1130" s="56">
        <v>4</v>
      </c>
      <c r="P1130" s="59" t="s">
        <v>2515</v>
      </c>
      <c r="Q1130" s="56" t="s">
        <v>11</v>
      </c>
      <c r="U1130" s="52">
        <v>3502007</v>
      </c>
      <c r="V1130">
        <v>38.1</v>
      </c>
      <c r="W1130">
        <v>0</v>
      </c>
      <c r="X1130">
        <v>2.5</v>
      </c>
      <c r="Y1130">
        <v>6.19</v>
      </c>
      <c r="Z1130" t="s">
        <v>1914</v>
      </c>
      <c r="AA1130" t="s">
        <v>1003</v>
      </c>
      <c r="AB1130" t="s">
        <v>4343</v>
      </c>
      <c r="AC1130" t="s">
        <v>1048</v>
      </c>
      <c r="AD1130" t="s">
        <v>1838</v>
      </c>
      <c r="AE1130" t="s">
        <v>2359</v>
      </c>
      <c r="AF1130">
        <v>2.1937609999999999</v>
      </c>
    </row>
    <row r="1131" spans="1:32" x14ac:dyDescent="0.25">
      <c r="A1131" s="56">
        <v>3188792</v>
      </c>
      <c r="B1131" s="56" t="s">
        <v>547</v>
      </c>
      <c r="C1131" s="56" t="s">
        <v>4781</v>
      </c>
      <c r="D1131" s="57"/>
      <c r="E1131" s="57">
        <v>843</v>
      </c>
      <c r="F1131" s="57">
        <v>0.84299999999999997</v>
      </c>
      <c r="G1131" s="56" t="s">
        <v>392</v>
      </c>
      <c r="H1131" s="56" t="s">
        <v>4454</v>
      </c>
      <c r="I1131" s="56" t="s">
        <v>1834</v>
      </c>
      <c r="J1131" s="56"/>
      <c r="K1131" s="56"/>
      <c r="L1131" s="56"/>
      <c r="M1131" s="56"/>
      <c r="N1131" s="56" t="s">
        <v>72</v>
      </c>
      <c r="O1131" s="56">
        <v>52</v>
      </c>
      <c r="P1131" s="59" t="s">
        <v>2532</v>
      </c>
      <c r="Q1131" s="56" t="s">
        <v>11</v>
      </c>
      <c r="U1131" s="52">
        <v>4096367</v>
      </c>
      <c r="V1131">
        <v>38.1</v>
      </c>
      <c r="W1131">
        <v>0</v>
      </c>
      <c r="X1131">
        <v>2.5</v>
      </c>
      <c r="Y1131">
        <v>6.19</v>
      </c>
      <c r="Z1131" t="s">
        <v>1924</v>
      </c>
      <c r="AA1131" t="s">
        <v>1003</v>
      </c>
      <c r="AB1131" t="s">
        <v>2520</v>
      </c>
      <c r="AC1131" t="s">
        <v>1048</v>
      </c>
      <c r="AD1131" t="s">
        <v>1838</v>
      </c>
      <c r="AE1131" t="s">
        <v>2359</v>
      </c>
      <c r="AF1131">
        <v>2.1937609999999999</v>
      </c>
    </row>
    <row r="1132" spans="1:32" x14ac:dyDescent="0.25">
      <c r="A1132" s="56">
        <v>3188792</v>
      </c>
      <c r="B1132" s="56" t="s">
        <v>547</v>
      </c>
      <c r="C1132" s="56" t="s">
        <v>4782</v>
      </c>
      <c r="D1132" s="57"/>
      <c r="E1132" s="57">
        <v>938</v>
      </c>
      <c r="F1132" s="57">
        <v>0.93799999999999994</v>
      </c>
      <c r="G1132" s="56" t="s">
        <v>392</v>
      </c>
      <c r="H1132" s="56" t="s">
        <v>2511</v>
      </c>
      <c r="I1132" s="56" t="s">
        <v>1834</v>
      </c>
      <c r="J1132" s="56"/>
      <c r="K1132" s="56"/>
      <c r="L1132" s="56"/>
      <c r="M1132" s="56"/>
      <c r="N1132" s="56" t="s">
        <v>72</v>
      </c>
      <c r="O1132" s="56">
        <v>31</v>
      </c>
      <c r="P1132" s="59" t="s">
        <v>2532</v>
      </c>
      <c r="Q1132" s="56" t="s">
        <v>11</v>
      </c>
      <c r="U1132" s="52">
        <v>3747392</v>
      </c>
      <c r="V1132">
        <v>38.1</v>
      </c>
      <c r="W1132">
        <v>0</v>
      </c>
      <c r="X1132">
        <v>2.6</v>
      </c>
      <c r="Y1132">
        <v>0.64800000000000002</v>
      </c>
      <c r="Z1132" t="s">
        <v>1952</v>
      </c>
      <c r="AA1132" t="s">
        <v>1003</v>
      </c>
      <c r="AB1132" t="s">
        <v>2520</v>
      </c>
      <c r="AC1132" t="s">
        <v>1048</v>
      </c>
      <c r="AD1132" t="s">
        <v>2171</v>
      </c>
      <c r="AE1132" t="s">
        <v>4770</v>
      </c>
      <c r="AF1132">
        <v>1.4742665496</v>
      </c>
    </row>
    <row r="1133" spans="1:32" x14ac:dyDescent="0.25">
      <c r="A1133" s="56">
        <v>3228788</v>
      </c>
      <c r="B1133" s="56" t="s">
        <v>725</v>
      </c>
      <c r="C1133" s="56" t="s">
        <v>4785</v>
      </c>
      <c r="D1133" s="57"/>
      <c r="E1133" s="57">
        <v>528.07000000000005</v>
      </c>
      <c r="F1133" s="57">
        <v>0.52807000000000004</v>
      </c>
      <c r="G1133" s="56" t="s">
        <v>392</v>
      </c>
      <c r="H1133" s="56" t="s">
        <v>4454</v>
      </c>
      <c r="I1133" s="56" t="s">
        <v>1834</v>
      </c>
      <c r="J1133" s="56"/>
      <c r="K1133" s="56"/>
      <c r="L1133" s="56"/>
      <c r="M1133" s="56"/>
      <c r="N1133" s="56" t="s">
        <v>151</v>
      </c>
      <c r="O1133" s="56">
        <v>9</v>
      </c>
      <c r="P1133" s="59" t="s">
        <v>2515</v>
      </c>
      <c r="Q1133" s="56" t="s">
        <v>11</v>
      </c>
      <c r="U1133" s="52">
        <v>1940779</v>
      </c>
      <c r="V1133">
        <v>38.1</v>
      </c>
      <c r="W1133">
        <v>0</v>
      </c>
      <c r="X1133">
        <v>2.6</v>
      </c>
      <c r="Y1133">
        <v>0.92700000000000005</v>
      </c>
      <c r="Z1133" t="s">
        <v>4431</v>
      </c>
      <c r="AA1133" t="s">
        <v>1003</v>
      </c>
      <c r="AB1133" t="s">
        <v>2520</v>
      </c>
      <c r="AC1133" t="s">
        <v>1048</v>
      </c>
      <c r="AD1133" t="s">
        <v>2171</v>
      </c>
      <c r="AE1133" t="s">
        <v>4772</v>
      </c>
      <c r="AF1133">
        <v>2.1090202029</v>
      </c>
    </row>
    <row r="1134" spans="1:32" x14ac:dyDescent="0.25">
      <c r="A1134" s="56">
        <v>3433148</v>
      </c>
      <c r="B1134" s="56" t="s">
        <v>1693</v>
      </c>
      <c r="C1134" s="56" t="s">
        <v>4789</v>
      </c>
      <c r="D1134" s="57"/>
      <c r="E1134" s="57">
        <v>2076.0169999999998</v>
      </c>
      <c r="F1134" s="57">
        <v>2.0760169999999998</v>
      </c>
      <c r="G1134" s="56" t="s">
        <v>392</v>
      </c>
      <c r="H1134" s="56" t="s">
        <v>4454</v>
      </c>
      <c r="I1134" s="56" t="s">
        <v>1834</v>
      </c>
      <c r="J1134" s="56"/>
      <c r="K1134" s="56"/>
      <c r="L1134" s="56"/>
      <c r="M1134" s="56"/>
      <c r="N1134" s="56" t="s">
        <v>49</v>
      </c>
      <c r="O1134" s="56">
        <v>9</v>
      </c>
      <c r="P1134" s="59" t="s">
        <v>2515</v>
      </c>
      <c r="Q1134" s="56" t="s">
        <v>11</v>
      </c>
      <c r="U1134" s="52">
        <v>1939479</v>
      </c>
      <c r="V1134">
        <v>38.1</v>
      </c>
      <c r="W1134">
        <v>0</v>
      </c>
      <c r="X1134">
        <v>3.2</v>
      </c>
      <c r="Y1134">
        <v>0.31900000000000001</v>
      </c>
      <c r="Z1134" t="s">
        <v>1874</v>
      </c>
      <c r="AA1134" t="s">
        <v>1003</v>
      </c>
      <c r="AB1134" t="s">
        <v>2517</v>
      </c>
      <c r="AC1134" t="s">
        <v>4026</v>
      </c>
      <c r="AD1134" t="s">
        <v>2171</v>
      </c>
      <c r="AE1134" t="s">
        <v>4774</v>
      </c>
      <c r="AF1134">
        <v>0.87814330208000013</v>
      </c>
    </row>
    <row r="1135" spans="1:32" x14ac:dyDescent="0.25">
      <c r="A1135" s="56">
        <v>3487459</v>
      </c>
      <c r="B1135" s="56" t="s">
        <v>4318</v>
      </c>
      <c r="C1135" s="56" t="s">
        <v>4791</v>
      </c>
      <c r="D1135" s="57"/>
      <c r="E1135" s="57">
        <v>2121</v>
      </c>
      <c r="F1135" s="57">
        <v>2.121</v>
      </c>
      <c r="G1135" s="56" t="s">
        <v>392</v>
      </c>
      <c r="H1135" s="56" t="s">
        <v>2511</v>
      </c>
      <c r="I1135" s="56" t="s">
        <v>1834</v>
      </c>
      <c r="J1135" s="56"/>
      <c r="K1135" s="56"/>
      <c r="L1135" s="56"/>
      <c r="M1135" s="56"/>
      <c r="N1135" s="56" t="s">
        <v>126</v>
      </c>
      <c r="O1135" s="56">
        <v>86</v>
      </c>
      <c r="P1135" s="59" t="s">
        <v>2579</v>
      </c>
      <c r="Q1135" s="56" t="s">
        <v>11</v>
      </c>
      <c r="U1135" s="52">
        <v>3784540</v>
      </c>
      <c r="V1135">
        <v>38.1</v>
      </c>
      <c r="W1135">
        <v>0</v>
      </c>
      <c r="X1135">
        <v>3.66</v>
      </c>
      <c r="Y1135">
        <v>0.20100000000000001</v>
      </c>
      <c r="Z1135" t="s">
        <v>1952</v>
      </c>
      <c r="AA1135" t="s">
        <v>1003</v>
      </c>
      <c r="AB1135" t="s">
        <v>2520</v>
      </c>
      <c r="AC1135" t="s">
        <v>1049</v>
      </c>
      <c r="AD1135" t="s">
        <v>2171</v>
      </c>
      <c r="AE1135" t="s">
        <v>4776</v>
      </c>
      <c r="AF1135">
        <v>0.62451027822960004</v>
      </c>
    </row>
    <row r="1136" spans="1:32" x14ac:dyDescent="0.25">
      <c r="A1136" s="56">
        <v>3487459</v>
      </c>
      <c r="B1136" s="56" t="s">
        <v>4318</v>
      </c>
      <c r="C1136" s="56" t="s">
        <v>4793</v>
      </c>
      <c r="D1136" s="57"/>
      <c r="E1136" s="57">
        <v>1234</v>
      </c>
      <c r="F1136" s="57">
        <v>1.234</v>
      </c>
      <c r="G1136" s="56" t="s">
        <v>392</v>
      </c>
      <c r="H1136" s="56" t="s">
        <v>2511</v>
      </c>
      <c r="I1136" s="56" t="s">
        <v>1834</v>
      </c>
      <c r="J1136" s="56"/>
      <c r="K1136" s="56"/>
      <c r="L1136" s="56"/>
      <c r="M1136" s="56"/>
      <c r="N1136" s="56" t="s">
        <v>126</v>
      </c>
      <c r="O1136" s="56">
        <v>86</v>
      </c>
      <c r="P1136" s="59" t="s">
        <v>2579</v>
      </c>
      <c r="Q1136" s="56" t="s">
        <v>11</v>
      </c>
      <c r="U1136" s="52">
        <v>3500718</v>
      </c>
      <c r="V1136">
        <v>38.1</v>
      </c>
      <c r="W1136">
        <v>0</v>
      </c>
      <c r="X1136">
        <v>3.66</v>
      </c>
      <c r="Y1136">
        <v>4.7350000000000003</v>
      </c>
      <c r="Z1136" t="s">
        <v>1914</v>
      </c>
      <c r="AA1136" t="s">
        <v>1003</v>
      </c>
      <c r="AB1136" t="s">
        <v>2520</v>
      </c>
      <c r="AC1136" t="s">
        <v>1049</v>
      </c>
      <c r="AD1136" t="s">
        <v>1838</v>
      </c>
      <c r="AE1136" t="s">
        <v>2384</v>
      </c>
      <c r="AF1136">
        <v>3.1070163096000001</v>
      </c>
    </row>
    <row r="1137" spans="1:32" x14ac:dyDescent="0.25">
      <c r="A1137" s="56">
        <v>3498972</v>
      </c>
      <c r="B1137" s="56" t="s">
        <v>4795</v>
      </c>
      <c r="C1137" s="56" t="s">
        <v>4796</v>
      </c>
      <c r="D1137" s="57"/>
      <c r="E1137" s="57">
        <v>1112.3109999999999</v>
      </c>
      <c r="F1137" s="57">
        <v>1.1123109999999998</v>
      </c>
      <c r="G1137" s="56" t="s">
        <v>392</v>
      </c>
      <c r="H1137" s="56" t="s">
        <v>4454</v>
      </c>
      <c r="I1137" s="56" t="s">
        <v>4455</v>
      </c>
      <c r="J1137" s="56"/>
      <c r="K1137" s="56"/>
      <c r="L1137" s="56"/>
      <c r="M1137" s="56"/>
      <c r="N1137" s="56" t="s">
        <v>101</v>
      </c>
      <c r="O1137" s="56">
        <v>30</v>
      </c>
      <c r="P1137" s="59" t="s">
        <v>2515</v>
      </c>
      <c r="Q1137" s="56" t="s">
        <v>192</v>
      </c>
      <c r="U1137" s="52">
        <v>1938125</v>
      </c>
      <c r="V1137">
        <v>39</v>
      </c>
      <c r="W1137">
        <v>34</v>
      </c>
      <c r="X1137">
        <v>2.5</v>
      </c>
      <c r="Y1137">
        <v>0.27200000000000002</v>
      </c>
      <c r="Z1137" t="s">
        <v>1874</v>
      </c>
      <c r="AA1137" t="s">
        <v>1003</v>
      </c>
      <c r="AB1137" t="s">
        <v>2572</v>
      </c>
      <c r="AC1137" t="s">
        <v>869</v>
      </c>
      <c r="AD1137" t="s">
        <v>2171</v>
      </c>
      <c r="AE1137" t="s">
        <v>871</v>
      </c>
      <c r="AF1137">
        <v>0.61178818000000013</v>
      </c>
    </row>
    <row r="1138" spans="1:32" x14ac:dyDescent="0.25">
      <c r="A1138" s="56">
        <v>3498972</v>
      </c>
      <c r="B1138" s="56" t="s">
        <v>4795</v>
      </c>
      <c r="C1138" s="56" t="s">
        <v>4798</v>
      </c>
      <c r="D1138" s="57"/>
      <c r="E1138" s="57">
        <v>1513.1769999999999</v>
      </c>
      <c r="F1138" s="57">
        <v>1.513177</v>
      </c>
      <c r="G1138" s="56" t="s">
        <v>392</v>
      </c>
      <c r="H1138" s="56" t="s">
        <v>4454</v>
      </c>
      <c r="I1138" s="56" t="s">
        <v>4455</v>
      </c>
      <c r="J1138" s="56"/>
      <c r="K1138" s="56"/>
      <c r="L1138" s="56"/>
      <c r="M1138" s="56"/>
      <c r="N1138" s="56" t="s">
        <v>101</v>
      </c>
      <c r="O1138" s="56">
        <v>24</v>
      </c>
      <c r="P1138" s="59" t="s">
        <v>2515</v>
      </c>
      <c r="Q1138" s="56" t="s">
        <v>192</v>
      </c>
      <c r="U1138" s="52">
        <v>1130592</v>
      </c>
      <c r="V1138">
        <v>39</v>
      </c>
      <c r="W1138">
        <v>34</v>
      </c>
      <c r="X1138">
        <v>2.5</v>
      </c>
      <c r="Y1138">
        <v>0.27200000000000002</v>
      </c>
      <c r="Z1138" t="s">
        <v>1914</v>
      </c>
      <c r="AA1138" t="s">
        <v>963</v>
      </c>
      <c r="AB1138" t="s">
        <v>3979</v>
      </c>
      <c r="AC1138" t="s">
        <v>869</v>
      </c>
      <c r="AD1138" t="s">
        <v>2171</v>
      </c>
      <c r="AE1138" t="s">
        <v>871</v>
      </c>
      <c r="AF1138">
        <v>0.61178818000000013</v>
      </c>
    </row>
    <row r="1139" spans="1:32" x14ac:dyDescent="0.25">
      <c r="A1139" s="56">
        <v>3498972</v>
      </c>
      <c r="B1139" s="56" t="s">
        <v>4795</v>
      </c>
      <c r="C1139" s="56" t="s">
        <v>4801</v>
      </c>
      <c r="D1139" s="57"/>
      <c r="E1139" s="57">
        <v>1516.788</v>
      </c>
      <c r="F1139" s="57">
        <v>1.516788</v>
      </c>
      <c r="G1139" s="56" t="s">
        <v>392</v>
      </c>
      <c r="H1139" s="56" t="s">
        <v>4454</v>
      </c>
      <c r="I1139" s="56" t="s">
        <v>4455</v>
      </c>
      <c r="J1139" s="56"/>
      <c r="K1139" s="56"/>
      <c r="L1139" s="56"/>
      <c r="M1139" s="56"/>
      <c r="N1139" s="56" t="s">
        <v>101</v>
      </c>
      <c r="O1139" s="56">
        <v>24</v>
      </c>
      <c r="P1139" s="59" t="s">
        <v>2515</v>
      </c>
      <c r="Q1139" s="56" t="s">
        <v>192</v>
      </c>
      <c r="U1139" s="52">
        <v>1930116</v>
      </c>
      <c r="V1139">
        <v>39</v>
      </c>
      <c r="W1139">
        <v>34</v>
      </c>
      <c r="X1139">
        <v>2.5</v>
      </c>
      <c r="Y1139">
        <v>4.5</v>
      </c>
      <c r="Z1139" t="s">
        <v>1874</v>
      </c>
      <c r="AA1139" t="s">
        <v>1003</v>
      </c>
      <c r="AB1139" t="s">
        <v>2572</v>
      </c>
      <c r="AC1139" t="s">
        <v>869</v>
      </c>
      <c r="AD1139" t="s">
        <v>1838</v>
      </c>
      <c r="AE1139" t="s">
        <v>2386</v>
      </c>
      <c r="AF1139">
        <v>2.2492212500000002</v>
      </c>
    </row>
    <row r="1140" spans="1:32" x14ac:dyDescent="0.25">
      <c r="A1140" s="56">
        <v>3498972</v>
      </c>
      <c r="B1140" s="56" t="s">
        <v>4795</v>
      </c>
      <c r="C1140" s="56" t="s">
        <v>4803</v>
      </c>
      <c r="D1140" s="57"/>
      <c r="E1140" s="57">
        <v>1509.5650000000001</v>
      </c>
      <c r="F1140" s="57">
        <v>1.509565</v>
      </c>
      <c r="G1140" s="56" t="s">
        <v>392</v>
      </c>
      <c r="H1140" s="56" t="s">
        <v>4454</v>
      </c>
      <c r="I1140" s="56" t="s">
        <v>4455</v>
      </c>
      <c r="J1140" s="56"/>
      <c r="K1140" s="56"/>
      <c r="L1140" s="56"/>
      <c r="M1140" s="56"/>
      <c r="N1140" s="56" t="s">
        <v>101</v>
      </c>
      <c r="O1140" s="56">
        <v>24</v>
      </c>
      <c r="P1140" s="59" t="s">
        <v>2515</v>
      </c>
      <c r="Q1140" s="56" t="s">
        <v>192</v>
      </c>
      <c r="U1140" s="52">
        <v>3775631</v>
      </c>
      <c r="V1140">
        <v>39</v>
      </c>
      <c r="W1140">
        <v>34</v>
      </c>
      <c r="X1140">
        <v>2.5</v>
      </c>
      <c r="Y1140">
        <v>6.15</v>
      </c>
      <c r="Z1140" t="s">
        <v>1874</v>
      </c>
      <c r="AA1140" t="s">
        <v>1003</v>
      </c>
      <c r="AB1140" t="s">
        <v>2572</v>
      </c>
      <c r="AC1140" t="s">
        <v>869</v>
      </c>
      <c r="AD1140" t="s">
        <v>1838</v>
      </c>
      <c r="AE1140" t="s">
        <v>2386</v>
      </c>
      <c r="AF1140">
        <v>2.2492212500000002</v>
      </c>
    </row>
    <row r="1141" spans="1:32" x14ac:dyDescent="0.25">
      <c r="A1141" s="56">
        <v>3498972</v>
      </c>
      <c r="B1141" s="56" t="s">
        <v>4795</v>
      </c>
      <c r="C1141" s="56" t="s">
        <v>4805</v>
      </c>
      <c r="D1141" s="57"/>
      <c r="E1141" s="57">
        <v>1516.788</v>
      </c>
      <c r="F1141" s="57">
        <v>1.516788</v>
      </c>
      <c r="G1141" s="56" t="s">
        <v>392</v>
      </c>
      <c r="H1141" s="56" t="s">
        <v>4454</v>
      </c>
      <c r="I1141" s="56" t="s">
        <v>4455</v>
      </c>
      <c r="J1141" s="56"/>
      <c r="K1141" s="56"/>
      <c r="L1141" s="56"/>
      <c r="M1141" s="56"/>
      <c r="N1141" s="56" t="s">
        <v>101</v>
      </c>
      <c r="O1141" s="56">
        <v>24</v>
      </c>
      <c r="P1141" s="59" t="s">
        <v>2515</v>
      </c>
      <c r="Q1141" s="56" t="s">
        <v>192</v>
      </c>
      <c r="U1141" s="52">
        <v>3644746</v>
      </c>
      <c r="V1141">
        <v>39.5</v>
      </c>
      <c r="W1141">
        <v>0</v>
      </c>
      <c r="X1141">
        <v>1</v>
      </c>
      <c r="Y1141">
        <v>0</v>
      </c>
      <c r="Z1141" t="s">
        <v>222</v>
      </c>
      <c r="AA1141" t="s">
        <v>4783</v>
      </c>
      <c r="AB1141" t="s">
        <v>4784</v>
      </c>
      <c r="AC1141" t="s">
        <v>869</v>
      </c>
      <c r="AD1141" t="s">
        <v>2171</v>
      </c>
      <c r="AE1141" t="s">
        <v>2386</v>
      </c>
      <c r="AF1141">
        <v>0</v>
      </c>
    </row>
    <row r="1142" spans="1:32" x14ac:dyDescent="0.25">
      <c r="A1142" s="56">
        <v>3498972</v>
      </c>
      <c r="B1142" s="56" t="s">
        <v>4795</v>
      </c>
      <c r="C1142" s="56" t="s">
        <v>4806</v>
      </c>
      <c r="D1142" s="57"/>
      <c r="E1142" s="57">
        <v>1505.954</v>
      </c>
      <c r="F1142" s="57">
        <v>1.505954</v>
      </c>
      <c r="G1142" s="56" t="s">
        <v>392</v>
      </c>
      <c r="H1142" s="56" t="s">
        <v>4454</v>
      </c>
      <c r="I1142" s="56" t="s">
        <v>4455</v>
      </c>
      <c r="J1142" s="56"/>
      <c r="K1142" s="56"/>
      <c r="L1142" s="56"/>
      <c r="M1142" s="56"/>
      <c r="N1142" s="56" t="s">
        <v>101</v>
      </c>
      <c r="O1142" s="56">
        <v>30</v>
      </c>
      <c r="P1142" s="59" t="s">
        <v>2515</v>
      </c>
      <c r="Q1142" s="56" t="s">
        <v>192</v>
      </c>
      <c r="U1142" s="52">
        <v>329678</v>
      </c>
      <c r="V1142">
        <v>39.799999999999997</v>
      </c>
      <c r="W1142">
        <v>0</v>
      </c>
      <c r="X1142">
        <v>5.8</v>
      </c>
      <c r="Y1142">
        <v>0.78</v>
      </c>
      <c r="Z1142" t="s">
        <v>4786</v>
      </c>
      <c r="AA1142" t="s">
        <v>1003</v>
      </c>
      <c r="AB1142" t="s">
        <v>3979</v>
      </c>
      <c r="AC1142" t="s">
        <v>4787</v>
      </c>
      <c r="AD1142" t="s">
        <v>2171</v>
      </c>
      <c r="AE1142" t="s">
        <v>4788</v>
      </c>
      <c r="AF1142">
        <v>3.7914105840000003</v>
      </c>
    </row>
    <row r="1143" spans="1:32" x14ac:dyDescent="0.25">
      <c r="A1143" s="56">
        <v>3498972</v>
      </c>
      <c r="B1143" s="56" t="s">
        <v>4795</v>
      </c>
      <c r="C1143" s="56" t="s">
        <v>4807</v>
      </c>
      <c r="D1143" s="57"/>
      <c r="E1143" s="57">
        <v>1447.838</v>
      </c>
      <c r="F1143" s="57">
        <v>1.447838</v>
      </c>
      <c r="G1143" s="56" t="s">
        <v>392</v>
      </c>
      <c r="H1143" s="56" t="s">
        <v>4454</v>
      </c>
      <c r="I1143" s="56" t="s">
        <v>4455</v>
      </c>
      <c r="J1143" s="56"/>
      <c r="K1143" s="56"/>
      <c r="L1143" s="56"/>
      <c r="M1143" s="56"/>
      <c r="N1143" s="56" t="s">
        <v>101</v>
      </c>
      <c r="O1143" s="56">
        <v>2</v>
      </c>
      <c r="P1143" s="59" t="s">
        <v>2515</v>
      </c>
      <c r="Q1143" s="56" t="s">
        <v>192</v>
      </c>
      <c r="U1143" s="52">
        <v>1116276</v>
      </c>
      <c r="V1143">
        <v>39.799999999999997</v>
      </c>
      <c r="W1143">
        <v>0</v>
      </c>
      <c r="X1143">
        <v>5.8</v>
      </c>
      <c r="Y1143">
        <v>0.8</v>
      </c>
      <c r="Z1143" t="s">
        <v>1914</v>
      </c>
      <c r="AA1143" t="s">
        <v>1003</v>
      </c>
      <c r="AB1143" t="s">
        <v>3979</v>
      </c>
      <c r="AC1143" t="s">
        <v>4787</v>
      </c>
      <c r="AD1143" t="s">
        <v>2171</v>
      </c>
      <c r="AE1143" t="s">
        <v>4790</v>
      </c>
      <c r="AF1143">
        <v>3.8886262400000002</v>
      </c>
    </row>
    <row r="1144" spans="1:32" x14ac:dyDescent="0.25">
      <c r="A1144" s="56">
        <v>3498972</v>
      </c>
      <c r="B1144" s="56" t="s">
        <v>4795</v>
      </c>
      <c r="C1144" s="56" t="s">
        <v>4809</v>
      </c>
      <c r="D1144" s="57"/>
      <c r="E1144" s="57">
        <v>1191.7619999999999</v>
      </c>
      <c r="F1144" s="57">
        <v>1.191762</v>
      </c>
      <c r="G1144" s="56" t="s">
        <v>392</v>
      </c>
      <c r="H1144" s="56" t="s">
        <v>4454</v>
      </c>
      <c r="I1144" s="56" t="s">
        <v>4455</v>
      </c>
      <c r="J1144" s="56"/>
      <c r="K1144" s="56"/>
      <c r="L1144" s="56"/>
      <c r="M1144" s="56"/>
      <c r="N1144" s="56" t="s">
        <v>101</v>
      </c>
      <c r="O1144" s="56">
        <v>27</v>
      </c>
      <c r="P1144" s="59" t="s">
        <v>2515</v>
      </c>
      <c r="Q1144" s="56" t="s">
        <v>192</v>
      </c>
      <c r="U1144" s="52">
        <v>1116782</v>
      </c>
      <c r="V1144">
        <v>39.799999999999997</v>
      </c>
      <c r="W1144">
        <v>0</v>
      </c>
      <c r="X1144">
        <v>5.8</v>
      </c>
      <c r="Y1144">
        <v>0.82</v>
      </c>
      <c r="Z1144" t="s">
        <v>1914</v>
      </c>
      <c r="AA1144" t="s">
        <v>1003</v>
      </c>
      <c r="AB1144" t="s">
        <v>3979</v>
      </c>
      <c r="AC1144" t="s">
        <v>4787</v>
      </c>
      <c r="AD1144" t="s">
        <v>2171</v>
      </c>
      <c r="AE1144" t="s">
        <v>4792</v>
      </c>
      <c r="AF1144">
        <v>3.9858418959999997</v>
      </c>
    </row>
    <row r="1145" spans="1:32" x14ac:dyDescent="0.25">
      <c r="A1145" s="56">
        <v>3498972</v>
      </c>
      <c r="B1145" s="56" t="s">
        <v>4795</v>
      </c>
      <c r="C1145" s="56" t="s">
        <v>4810</v>
      </c>
      <c r="D1145" s="56"/>
      <c r="E1145" s="57">
        <v>364.75099999999998</v>
      </c>
      <c r="F1145" s="57">
        <v>0.36475099999999999</v>
      </c>
      <c r="G1145" s="56" t="s">
        <v>392</v>
      </c>
      <c r="H1145" s="56" t="s">
        <v>4454</v>
      </c>
      <c r="I1145" s="56" t="s">
        <v>4455</v>
      </c>
      <c r="J1145" s="56"/>
      <c r="K1145" s="56"/>
      <c r="L1145" s="56"/>
      <c r="M1145" s="56"/>
      <c r="N1145" s="56" t="s">
        <v>101</v>
      </c>
      <c r="O1145" s="56">
        <v>4</v>
      </c>
      <c r="P1145" s="59" t="s">
        <v>2515</v>
      </c>
      <c r="Q1145" s="56" t="s">
        <v>192</v>
      </c>
      <c r="U1145" s="52">
        <v>1116686</v>
      </c>
      <c r="V1145">
        <v>39.799999999999997</v>
      </c>
      <c r="W1145">
        <v>0</v>
      </c>
      <c r="X1145">
        <v>5.8</v>
      </c>
      <c r="Y1145">
        <v>0.84</v>
      </c>
      <c r="Z1145" t="s">
        <v>1914</v>
      </c>
      <c r="AA1145" t="s">
        <v>1003</v>
      </c>
      <c r="AB1145" t="s">
        <v>3979</v>
      </c>
      <c r="AC1145" t="s">
        <v>4787</v>
      </c>
      <c r="AD1145" t="s">
        <v>2171</v>
      </c>
      <c r="AE1145" t="s">
        <v>4794</v>
      </c>
      <c r="AF1145">
        <v>4.0830575519999996</v>
      </c>
    </row>
    <row r="1146" spans="1:32" x14ac:dyDescent="0.25">
      <c r="A1146" s="56">
        <v>3499121</v>
      </c>
      <c r="B1146" s="56" t="s">
        <v>1696</v>
      </c>
      <c r="C1146" s="56" t="s">
        <v>4545</v>
      </c>
      <c r="D1146" s="56"/>
      <c r="E1146" s="57">
        <v>413.71600000000001</v>
      </c>
      <c r="F1146" s="57">
        <v>0.41371600000000003</v>
      </c>
      <c r="G1146" s="56" t="s">
        <v>392</v>
      </c>
      <c r="H1146" s="56" t="s">
        <v>4454</v>
      </c>
      <c r="I1146" s="56" t="s">
        <v>1834</v>
      </c>
      <c r="J1146" s="56"/>
      <c r="K1146" s="56"/>
      <c r="L1146" s="56"/>
      <c r="M1146" s="56"/>
      <c r="N1146" s="56" t="s">
        <v>101</v>
      </c>
      <c r="O1146" s="56">
        <v>0</v>
      </c>
      <c r="P1146" s="59" t="s">
        <v>2515</v>
      </c>
      <c r="Q1146" s="56" t="s">
        <v>192</v>
      </c>
      <c r="U1146" s="52">
        <v>431498</v>
      </c>
      <c r="V1146">
        <v>39.799999999999997</v>
      </c>
      <c r="W1146">
        <v>0</v>
      </c>
      <c r="X1146">
        <v>5.8</v>
      </c>
      <c r="Y1146">
        <v>1.45</v>
      </c>
      <c r="Z1146" t="s">
        <v>4786</v>
      </c>
      <c r="AA1146" t="s">
        <v>1003</v>
      </c>
      <c r="AB1146" t="s">
        <v>3979</v>
      </c>
      <c r="AC1146" t="s">
        <v>4787</v>
      </c>
      <c r="AD1146" t="s">
        <v>2171</v>
      </c>
      <c r="AE1146" t="s">
        <v>4797</v>
      </c>
      <c r="AF1146">
        <v>7.0481350599999999</v>
      </c>
    </row>
    <row r="1147" spans="1:32" x14ac:dyDescent="0.25">
      <c r="A1147" s="56">
        <v>3499231</v>
      </c>
      <c r="B1147" s="56" t="s">
        <v>4812</v>
      </c>
      <c r="C1147" s="56" t="s">
        <v>4813</v>
      </c>
      <c r="D1147" s="56"/>
      <c r="E1147" s="57">
        <v>485.38299999999998</v>
      </c>
      <c r="F1147" s="57">
        <v>0.48538300000000001</v>
      </c>
      <c r="G1147" s="56" t="s">
        <v>392</v>
      </c>
      <c r="H1147" s="56" t="s">
        <v>4454</v>
      </c>
      <c r="I1147" s="56" t="s">
        <v>4455</v>
      </c>
      <c r="J1147" s="56"/>
      <c r="K1147" s="56"/>
      <c r="L1147" s="56"/>
      <c r="M1147" s="56"/>
      <c r="N1147" s="56" t="s">
        <v>37</v>
      </c>
      <c r="O1147" s="56">
        <v>47</v>
      </c>
      <c r="P1147" s="59" t="s">
        <v>2532</v>
      </c>
      <c r="Q1147" s="56" t="s">
        <v>11</v>
      </c>
      <c r="U1147" s="52">
        <v>3842022</v>
      </c>
      <c r="V1147">
        <v>39.799999999999997</v>
      </c>
      <c r="W1147">
        <v>0</v>
      </c>
      <c r="X1147">
        <v>5.8</v>
      </c>
      <c r="Y1147">
        <v>1.454</v>
      </c>
      <c r="Z1147" t="s">
        <v>4799</v>
      </c>
      <c r="AA1147" t="s">
        <v>1003</v>
      </c>
      <c r="AB1147" t="s">
        <v>3979</v>
      </c>
      <c r="AC1147" t="s">
        <v>4787</v>
      </c>
      <c r="AD1147" t="s">
        <v>2171</v>
      </c>
      <c r="AE1147" t="s">
        <v>4800</v>
      </c>
      <c r="AF1147">
        <v>7.0675781912</v>
      </c>
    </row>
    <row r="1148" spans="1:32" x14ac:dyDescent="0.25">
      <c r="A1148" s="56">
        <v>3499231</v>
      </c>
      <c r="B1148" s="56" t="s">
        <v>4812</v>
      </c>
      <c r="C1148" s="56" t="s">
        <v>4814</v>
      </c>
      <c r="D1148" s="56"/>
      <c r="E1148" s="57">
        <v>275</v>
      </c>
      <c r="F1148" s="57">
        <v>0.27500000000000002</v>
      </c>
      <c r="G1148" s="56" t="s">
        <v>392</v>
      </c>
      <c r="H1148" s="56" t="s">
        <v>4454</v>
      </c>
      <c r="I1148" s="56" t="s">
        <v>1834</v>
      </c>
      <c r="J1148" s="56"/>
      <c r="K1148" s="56"/>
      <c r="L1148" s="56"/>
      <c r="M1148" s="56"/>
      <c r="N1148" s="56" t="s">
        <v>37</v>
      </c>
      <c r="O1148" s="56">
        <v>144</v>
      </c>
      <c r="P1148" s="59" t="s">
        <v>2524</v>
      </c>
      <c r="Q1148" s="56" t="s">
        <v>11</v>
      </c>
      <c r="U1148" s="52">
        <v>349227</v>
      </c>
      <c r="V1148">
        <v>39.799999999999997</v>
      </c>
      <c r="W1148">
        <v>0</v>
      </c>
      <c r="X1148">
        <v>5.8</v>
      </c>
      <c r="Y1148">
        <v>1.5780000000000001</v>
      </c>
      <c r="Z1148" t="s">
        <v>2821</v>
      </c>
      <c r="AA1148" t="s">
        <v>1003</v>
      </c>
      <c r="AB1148" t="s">
        <v>3979</v>
      </c>
      <c r="AC1148" t="s">
        <v>4787</v>
      </c>
      <c r="AD1148" t="s">
        <v>2171</v>
      </c>
      <c r="AE1148" t="s">
        <v>4802</v>
      </c>
      <c r="AF1148">
        <v>7.6703152584000005</v>
      </c>
    </row>
    <row r="1149" spans="1:32" x14ac:dyDescent="0.25">
      <c r="A1149" s="56">
        <v>3499307</v>
      </c>
      <c r="B1149" s="56" t="s">
        <v>1384</v>
      </c>
      <c r="C1149" s="56" t="s">
        <v>4816</v>
      </c>
      <c r="D1149" s="56"/>
      <c r="E1149" s="57">
        <v>3118.288</v>
      </c>
      <c r="F1149" s="57">
        <v>3.1182880000000002</v>
      </c>
      <c r="G1149" s="56" t="s">
        <v>392</v>
      </c>
      <c r="H1149" s="56" t="s">
        <v>4454</v>
      </c>
      <c r="I1149" s="56" t="s">
        <v>1834</v>
      </c>
      <c r="J1149" s="56"/>
      <c r="K1149" s="56"/>
      <c r="L1149" s="56"/>
      <c r="M1149" s="56"/>
      <c r="N1149" s="56" t="s">
        <v>72</v>
      </c>
      <c r="O1149" s="56">
        <v>107</v>
      </c>
      <c r="P1149" s="59" t="s">
        <v>2524</v>
      </c>
      <c r="Q1149" s="56" t="s">
        <v>11</v>
      </c>
      <c r="U1149" s="52">
        <v>3501038</v>
      </c>
      <c r="V1149">
        <v>39.799999999999997</v>
      </c>
      <c r="W1149">
        <v>0</v>
      </c>
      <c r="X1149">
        <v>5.8</v>
      </c>
      <c r="Y1149">
        <v>6.6</v>
      </c>
      <c r="Z1149" t="s">
        <v>1914</v>
      </c>
      <c r="AA1149" t="s">
        <v>1003</v>
      </c>
      <c r="AB1149" t="s">
        <v>3979</v>
      </c>
      <c r="AC1149" t="s">
        <v>4787</v>
      </c>
      <c r="AD1149" t="s">
        <v>1838</v>
      </c>
      <c r="AE1149" t="s">
        <v>4804</v>
      </c>
      <c r="AF1149">
        <v>4.8607828</v>
      </c>
    </row>
    <row r="1150" spans="1:32" x14ac:dyDescent="0.25">
      <c r="A1150" s="56">
        <v>3499307</v>
      </c>
      <c r="B1150" s="56" t="s">
        <v>1384</v>
      </c>
      <c r="C1150" s="56" t="s">
        <v>4818</v>
      </c>
      <c r="D1150" s="56"/>
      <c r="E1150" s="57">
        <v>1445.662</v>
      </c>
      <c r="F1150" s="57">
        <v>1.445662</v>
      </c>
      <c r="G1150" s="56" t="s">
        <v>392</v>
      </c>
      <c r="H1150" s="56" t="s">
        <v>4454</v>
      </c>
      <c r="I1150" s="56" t="s">
        <v>1834</v>
      </c>
      <c r="J1150" s="56"/>
      <c r="K1150" s="56"/>
      <c r="L1150" s="56"/>
      <c r="M1150" s="56"/>
      <c r="N1150" s="56" t="s">
        <v>72</v>
      </c>
      <c r="O1150" s="56">
        <v>79</v>
      </c>
      <c r="P1150" s="59" t="s">
        <v>2579</v>
      </c>
      <c r="Q1150" s="56" t="s">
        <v>11</v>
      </c>
      <c r="U1150" s="52">
        <v>3501386</v>
      </c>
      <c r="V1150">
        <v>40</v>
      </c>
      <c r="W1150">
        <v>0</v>
      </c>
      <c r="X1150">
        <v>6</v>
      </c>
      <c r="Y1150">
        <v>5.1959999999999997</v>
      </c>
      <c r="Z1150" t="s">
        <v>1914</v>
      </c>
      <c r="AA1150" t="s">
        <v>1003</v>
      </c>
      <c r="AB1150" t="s">
        <v>3979</v>
      </c>
      <c r="AC1150" t="s">
        <v>4787</v>
      </c>
      <c r="AD1150" t="s">
        <v>1838</v>
      </c>
      <c r="AE1150" t="s">
        <v>4804</v>
      </c>
      <c r="AF1150">
        <v>5.0283959999999999</v>
      </c>
    </row>
    <row r="1151" spans="1:32" x14ac:dyDescent="0.25">
      <c r="A1151" s="56">
        <v>3499608</v>
      </c>
      <c r="B1151" s="56" t="s">
        <v>2351</v>
      </c>
      <c r="C1151" s="56" t="s">
        <v>4820</v>
      </c>
      <c r="D1151" s="56"/>
      <c r="E1151" s="57">
        <v>1135.51</v>
      </c>
      <c r="F1151" s="57">
        <v>1.13551</v>
      </c>
      <c r="G1151" s="56" t="s">
        <v>392</v>
      </c>
      <c r="H1151" s="56" t="s">
        <v>4454</v>
      </c>
      <c r="I1151" s="56" t="s">
        <v>4455</v>
      </c>
      <c r="J1151" s="56"/>
      <c r="K1151" s="56"/>
      <c r="L1151" s="56"/>
      <c r="M1151" s="56"/>
      <c r="N1151" s="56" t="s">
        <v>151</v>
      </c>
      <c r="O1151" s="56">
        <v>35</v>
      </c>
      <c r="P1151" s="59" t="s">
        <v>2532</v>
      </c>
      <c r="Q1151" s="56" t="s">
        <v>11</v>
      </c>
      <c r="U1151" s="507">
        <v>3938688</v>
      </c>
      <c r="V1151">
        <v>40</v>
      </c>
      <c r="W1151">
        <v>20</v>
      </c>
      <c r="X1151">
        <v>1.2</v>
      </c>
      <c r="Y1151">
        <v>9.5000000000000001E-2</v>
      </c>
      <c r="Z1151" t="s">
        <v>229</v>
      </c>
      <c r="AA1151" t="s">
        <v>963</v>
      </c>
      <c r="AB1151" t="s">
        <v>2520</v>
      </c>
      <c r="AC1151" t="s">
        <v>456</v>
      </c>
      <c r="AD1151" t="s">
        <v>2171</v>
      </c>
      <c r="AE1151" t="s">
        <v>2295</v>
      </c>
      <c r="AF1151">
        <v>0.10396157566056544</v>
      </c>
    </row>
    <row r="1152" spans="1:32" x14ac:dyDescent="0.25">
      <c r="A1152" s="56">
        <v>3499608</v>
      </c>
      <c r="B1152" s="56" t="s">
        <v>2351</v>
      </c>
      <c r="C1152" s="56" t="s">
        <v>4822</v>
      </c>
      <c r="D1152" s="56"/>
      <c r="E1152" s="57">
        <v>885.64</v>
      </c>
      <c r="F1152" s="57">
        <v>0.88563999999999998</v>
      </c>
      <c r="G1152" s="56" t="s">
        <v>392</v>
      </c>
      <c r="H1152" s="56" t="s">
        <v>4454</v>
      </c>
      <c r="I1152" s="56" t="s">
        <v>4455</v>
      </c>
      <c r="J1152" s="56"/>
      <c r="K1152" s="56"/>
      <c r="L1152" s="56"/>
      <c r="M1152" s="56"/>
      <c r="N1152" s="56" t="s">
        <v>151</v>
      </c>
      <c r="O1152" s="56">
        <v>44</v>
      </c>
      <c r="P1152" s="59" t="s">
        <v>2532</v>
      </c>
      <c r="Q1152" s="56" t="s">
        <v>11</v>
      </c>
      <c r="U1152" s="52">
        <v>3572046</v>
      </c>
      <c r="V1152">
        <v>40</v>
      </c>
      <c r="W1152">
        <v>20</v>
      </c>
      <c r="X1152">
        <v>1.2</v>
      </c>
      <c r="Y1152">
        <v>0.105</v>
      </c>
      <c r="Z1152" t="s">
        <v>229</v>
      </c>
      <c r="AA1152" t="s">
        <v>963</v>
      </c>
      <c r="AB1152" t="s">
        <v>2520</v>
      </c>
      <c r="AC1152" t="s">
        <v>456</v>
      </c>
      <c r="AD1152" t="s">
        <v>2171</v>
      </c>
      <c r="AE1152" t="s">
        <v>4808</v>
      </c>
      <c r="AF1152">
        <v>0.11490489941430916</v>
      </c>
    </row>
    <row r="1153" spans="1:32" x14ac:dyDescent="0.25">
      <c r="A1153" s="56">
        <v>3499608</v>
      </c>
      <c r="B1153" s="56" t="s">
        <v>2351</v>
      </c>
      <c r="C1153" s="56" t="s">
        <v>4824</v>
      </c>
      <c r="D1153" s="56"/>
      <c r="E1153" s="57">
        <v>2562.0300000000002</v>
      </c>
      <c r="F1153" s="57">
        <v>2.56203</v>
      </c>
      <c r="G1153" s="56" t="s">
        <v>392</v>
      </c>
      <c r="H1153" s="56" t="s">
        <v>4454</v>
      </c>
      <c r="I1153" s="56" t="s">
        <v>4455</v>
      </c>
      <c r="J1153" s="56"/>
      <c r="K1153" s="56"/>
      <c r="L1153" s="56"/>
      <c r="M1153" s="56"/>
      <c r="N1153" s="56" t="s">
        <v>151</v>
      </c>
      <c r="O1153" s="56">
        <v>86</v>
      </c>
      <c r="P1153" s="59" t="s">
        <v>2579</v>
      </c>
      <c r="Q1153" s="56" t="s">
        <v>11</v>
      </c>
      <c r="U1153" s="52">
        <v>3572047</v>
      </c>
      <c r="V1153">
        <v>40</v>
      </c>
      <c r="W1153">
        <v>20</v>
      </c>
      <c r="X1153">
        <v>1.2</v>
      </c>
      <c r="Y1153">
        <v>0.11</v>
      </c>
      <c r="Z1153" t="s">
        <v>229</v>
      </c>
      <c r="AA1153" t="s">
        <v>963</v>
      </c>
      <c r="AB1153" t="s">
        <v>2520</v>
      </c>
      <c r="AC1153" t="s">
        <v>456</v>
      </c>
      <c r="AD1153" t="s">
        <v>2171</v>
      </c>
      <c r="AE1153" t="s">
        <v>493</v>
      </c>
      <c r="AF1153">
        <v>0.12037656129118103</v>
      </c>
    </row>
    <row r="1154" spans="1:32" x14ac:dyDescent="0.25">
      <c r="A1154" s="56">
        <v>3499608</v>
      </c>
      <c r="B1154" s="56" t="s">
        <v>2351</v>
      </c>
      <c r="C1154" s="56" t="s">
        <v>4825</v>
      </c>
      <c r="D1154" s="56"/>
      <c r="E1154" s="57">
        <v>2530.4</v>
      </c>
      <c r="F1154" s="57">
        <v>2.5304000000000002</v>
      </c>
      <c r="G1154" s="56" t="s">
        <v>392</v>
      </c>
      <c r="H1154" s="56" t="s">
        <v>4454</v>
      </c>
      <c r="I1154" s="56" t="s">
        <v>4455</v>
      </c>
      <c r="J1154" s="56"/>
      <c r="K1154" s="56"/>
      <c r="L1154" s="56"/>
      <c r="M1154" s="56"/>
      <c r="N1154" s="56" t="s">
        <v>151</v>
      </c>
      <c r="O1154" s="56">
        <v>86</v>
      </c>
      <c r="P1154" s="59" t="s">
        <v>2579</v>
      </c>
      <c r="Q1154" s="56" t="s">
        <v>11</v>
      </c>
      <c r="U1154" s="52">
        <v>3584174</v>
      </c>
      <c r="V1154">
        <v>40</v>
      </c>
      <c r="W1154">
        <v>20</v>
      </c>
      <c r="X1154">
        <v>1.2</v>
      </c>
      <c r="Y1154">
        <v>0.113</v>
      </c>
      <c r="Z1154" t="s">
        <v>229</v>
      </c>
      <c r="AA1154" t="s">
        <v>963</v>
      </c>
      <c r="AB1154" t="s">
        <v>2520</v>
      </c>
      <c r="AC1154" t="s">
        <v>456</v>
      </c>
      <c r="AD1154" t="s">
        <v>2171</v>
      </c>
      <c r="AE1154" t="s">
        <v>4811</v>
      </c>
      <c r="AF1154">
        <v>0.12365955841730415</v>
      </c>
    </row>
    <row r="1155" spans="1:32" x14ac:dyDescent="0.25">
      <c r="A1155" s="56">
        <v>3499608</v>
      </c>
      <c r="B1155" s="56" t="s">
        <v>2351</v>
      </c>
      <c r="C1155" s="56" t="s">
        <v>4826</v>
      </c>
      <c r="D1155" s="56"/>
      <c r="E1155" s="57">
        <v>2245.73</v>
      </c>
      <c r="F1155" s="57">
        <v>2.24573</v>
      </c>
      <c r="G1155" s="56" t="s">
        <v>392</v>
      </c>
      <c r="H1155" s="56" t="s">
        <v>4454</v>
      </c>
      <c r="I1155" s="56" t="s">
        <v>4455</v>
      </c>
      <c r="J1155" s="56"/>
      <c r="K1155" s="56"/>
      <c r="L1155" s="56"/>
      <c r="M1155" s="56"/>
      <c r="N1155" s="56" t="s">
        <v>151</v>
      </c>
      <c r="O1155" s="56">
        <v>39</v>
      </c>
      <c r="P1155" s="59" t="s">
        <v>2532</v>
      </c>
      <c r="Q1155" s="56" t="s">
        <v>11</v>
      </c>
      <c r="U1155" s="52">
        <v>3230467</v>
      </c>
      <c r="V1155">
        <v>40</v>
      </c>
      <c r="W1155">
        <v>20</v>
      </c>
      <c r="X1155">
        <v>1.2</v>
      </c>
      <c r="Y1155">
        <v>0.12</v>
      </c>
      <c r="Z1155" t="s">
        <v>229</v>
      </c>
      <c r="AA1155" t="s">
        <v>963</v>
      </c>
      <c r="AB1155" t="s">
        <v>2520</v>
      </c>
      <c r="AC1155" t="s">
        <v>456</v>
      </c>
      <c r="AD1155" t="s">
        <v>2171</v>
      </c>
      <c r="AE1155" t="s">
        <v>491</v>
      </c>
      <c r="AF1155">
        <v>0.13131988504492476</v>
      </c>
    </row>
    <row r="1156" spans="1:32" x14ac:dyDescent="0.25">
      <c r="A1156" s="56">
        <v>3499608</v>
      </c>
      <c r="B1156" s="56" t="s">
        <v>2351</v>
      </c>
      <c r="C1156" s="56" t="s">
        <v>4828</v>
      </c>
      <c r="D1156" s="56"/>
      <c r="E1156" s="57">
        <v>1422</v>
      </c>
      <c r="F1156" s="57">
        <v>1.4219999999999999</v>
      </c>
      <c r="G1156" s="56" t="s">
        <v>392</v>
      </c>
      <c r="H1156" s="56" t="s">
        <v>4454</v>
      </c>
      <c r="I1156" s="56" t="s">
        <v>1834</v>
      </c>
      <c r="J1156" s="56"/>
      <c r="K1156" s="56"/>
      <c r="L1156" s="56"/>
      <c r="M1156" s="56"/>
      <c r="N1156" s="56" t="s">
        <v>151</v>
      </c>
      <c r="O1156" s="56">
        <v>27</v>
      </c>
      <c r="P1156" s="59" t="s">
        <v>2515</v>
      </c>
      <c r="Q1156" s="56" t="s">
        <v>11</v>
      </c>
      <c r="U1156" s="52">
        <v>3584171</v>
      </c>
      <c r="V1156">
        <v>40</v>
      </c>
      <c r="W1156">
        <v>20</v>
      </c>
      <c r="X1156">
        <v>1.2</v>
      </c>
      <c r="Y1156">
        <v>0.13</v>
      </c>
      <c r="Z1156" t="s">
        <v>229</v>
      </c>
      <c r="AA1156" t="s">
        <v>963</v>
      </c>
      <c r="AB1156" t="s">
        <v>2520</v>
      </c>
      <c r="AC1156" t="s">
        <v>456</v>
      </c>
      <c r="AD1156" t="s">
        <v>2171</v>
      </c>
      <c r="AE1156" t="s">
        <v>687</v>
      </c>
      <c r="AF1156">
        <v>0.14226320879866849</v>
      </c>
    </row>
    <row r="1157" spans="1:32" x14ac:dyDescent="0.25">
      <c r="A1157" s="56">
        <v>3499608</v>
      </c>
      <c r="B1157" s="56" t="s">
        <v>2351</v>
      </c>
      <c r="C1157" s="56" t="s">
        <v>4829</v>
      </c>
      <c r="D1157" s="56"/>
      <c r="E1157" s="57">
        <v>2256</v>
      </c>
      <c r="F1157" s="57">
        <v>2.2559999999999998</v>
      </c>
      <c r="G1157" s="56" t="s">
        <v>392</v>
      </c>
      <c r="H1157" s="56" t="s">
        <v>4454</v>
      </c>
      <c r="I1157" s="56" t="s">
        <v>1834</v>
      </c>
      <c r="J1157" s="56"/>
      <c r="K1157" s="56"/>
      <c r="L1157" s="56"/>
      <c r="M1157" s="56"/>
      <c r="N1157" s="56" t="s">
        <v>151</v>
      </c>
      <c r="O1157" s="56">
        <v>27</v>
      </c>
      <c r="P1157" s="59" t="s">
        <v>2515</v>
      </c>
      <c r="Q1157" s="56" t="s">
        <v>11</v>
      </c>
      <c r="U1157" s="52">
        <v>3572048</v>
      </c>
      <c r="V1157">
        <v>40</v>
      </c>
      <c r="W1157">
        <v>20</v>
      </c>
      <c r="X1157">
        <v>1.2</v>
      </c>
      <c r="Y1157">
        <v>0.14000000000000001</v>
      </c>
      <c r="Z1157" t="s">
        <v>229</v>
      </c>
      <c r="AA1157" t="s">
        <v>963</v>
      </c>
      <c r="AB1157" t="s">
        <v>2520</v>
      </c>
      <c r="AC1157" t="s">
        <v>456</v>
      </c>
      <c r="AD1157" t="s">
        <v>2171</v>
      </c>
      <c r="AE1157" t="s">
        <v>4815</v>
      </c>
      <c r="AF1157">
        <v>0.15320653255241223</v>
      </c>
    </row>
    <row r="1158" spans="1:32" x14ac:dyDescent="0.25">
      <c r="A1158" s="56">
        <v>3499608</v>
      </c>
      <c r="B1158" s="56" t="s">
        <v>2351</v>
      </c>
      <c r="C1158" s="56" t="s">
        <v>4831</v>
      </c>
      <c r="D1158" s="56"/>
      <c r="E1158" s="57">
        <v>1390</v>
      </c>
      <c r="F1158" s="57">
        <v>1.39</v>
      </c>
      <c r="G1158" s="56" t="s">
        <v>392</v>
      </c>
      <c r="H1158" s="56" t="s">
        <v>4454</v>
      </c>
      <c r="I1158" s="56" t="s">
        <v>1834</v>
      </c>
      <c r="J1158" s="56"/>
      <c r="K1158" s="56"/>
      <c r="L1158" s="56"/>
      <c r="M1158" s="56"/>
      <c r="N1158" s="56" t="s">
        <v>151</v>
      </c>
      <c r="O1158" s="56">
        <v>27</v>
      </c>
      <c r="P1158" s="59" t="s">
        <v>2515</v>
      </c>
      <c r="Q1158" s="56" t="s">
        <v>11</v>
      </c>
      <c r="U1158" s="52">
        <v>3675690</v>
      </c>
      <c r="V1158">
        <v>40</v>
      </c>
      <c r="W1158">
        <v>20</v>
      </c>
      <c r="X1158">
        <v>1.2</v>
      </c>
      <c r="Y1158">
        <v>0.24299999999999999</v>
      </c>
      <c r="Z1158" t="s">
        <v>3100</v>
      </c>
      <c r="AA1158" t="s">
        <v>963</v>
      </c>
      <c r="AB1158" t="s">
        <v>2520</v>
      </c>
      <c r="AC1158" t="s">
        <v>456</v>
      </c>
      <c r="AD1158" t="s">
        <v>2171</v>
      </c>
      <c r="AE1158" t="s">
        <v>4817</v>
      </c>
      <c r="AF1158">
        <v>0.26592276721597263</v>
      </c>
    </row>
    <row r="1159" spans="1:32" x14ac:dyDescent="0.25">
      <c r="A1159" s="56">
        <v>3499608</v>
      </c>
      <c r="B1159" s="56" t="s">
        <v>2351</v>
      </c>
      <c r="C1159" s="56" t="s">
        <v>4833</v>
      </c>
      <c r="D1159" s="56"/>
      <c r="E1159" s="57">
        <v>1871</v>
      </c>
      <c r="F1159" s="57">
        <v>1.871</v>
      </c>
      <c r="G1159" s="56" t="s">
        <v>392</v>
      </c>
      <c r="H1159" s="56" t="s">
        <v>4454</v>
      </c>
      <c r="I1159" s="56" t="s">
        <v>1834</v>
      </c>
      <c r="J1159" s="56"/>
      <c r="K1159" s="56"/>
      <c r="L1159" s="56"/>
      <c r="M1159" s="56"/>
      <c r="N1159" s="56" t="s">
        <v>151</v>
      </c>
      <c r="O1159" s="56">
        <v>27</v>
      </c>
      <c r="P1159" s="59" t="s">
        <v>2515</v>
      </c>
      <c r="Q1159" s="56" t="s">
        <v>11</v>
      </c>
      <c r="U1159" s="52">
        <v>3676011</v>
      </c>
      <c r="V1159">
        <v>40</v>
      </c>
      <c r="W1159">
        <v>20</v>
      </c>
      <c r="X1159">
        <v>1.2</v>
      </c>
      <c r="Y1159">
        <v>0.4</v>
      </c>
      <c r="Z1159" t="s">
        <v>3100</v>
      </c>
      <c r="AA1159" t="s">
        <v>963</v>
      </c>
      <c r="AB1159" t="s">
        <v>2520</v>
      </c>
      <c r="AC1159" t="s">
        <v>456</v>
      </c>
      <c r="AD1159" t="s">
        <v>2171</v>
      </c>
      <c r="AE1159" t="s">
        <v>4819</v>
      </c>
      <c r="AF1159">
        <v>0.43773295014974922</v>
      </c>
    </row>
    <row r="1160" spans="1:32" x14ac:dyDescent="0.25">
      <c r="A1160" s="56">
        <v>3499608</v>
      </c>
      <c r="B1160" s="56" t="s">
        <v>2351</v>
      </c>
      <c r="C1160" s="56" t="s">
        <v>4835</v>
      </c>
      <c r="D1160" s="56"/>
      <c r="E1160" s="57">
        <v>2256</v>
      </c>
      <c r="F1160" s="57">
        <v>2.2559999999999998</v>
      </c>
      <c r="G1160" s="56" t="s">
        <v>392</v>
      </c>
      <c r="H1160" s="56" t="s">
        <v>4454</v>
      </c>
      <c r="I1160" s="56" t="s">
        <v>1834</v>
      </c>
      <c r="J1160" s="56"/>
      <c r="K1160" s="56"/>
      <c r="L1160" s="56"/>
      <c r="M1160" s="56"/>
      <c r="N1160" s="56" t="s">
        <v>151</v>
      </c>
      <c r="O1160" s="56">
        <v>27</v>
      </c>
      <c r="P1160" s="59" t="s">
        <v>2515</v>
      </c>
      <c r="Q1160" s="56" t="s">
        <v>11</v>
      </c>
      <c r="U1160" s="52">
        <v>3676012</v>
      </c>
      <c r="V1160">
        <v>40</v>
      </c>
      <c r="W1160">
        <v>20</v>
      </c>
      <c r="X1160">
        <v>1.2</v>
      </c>
      <c r="Y1160">
        <v>0.62</v>
      </c>
      <c r="Z1160" t="s">
        <v>3100</v>
      </c>
      <c r="AA1160" t="s">
        <v>963</v>
      </c>
      <c r="AB1160" t="s">
        <v>2520</v>
      </c>
      <c r="AC1160" t="s">
        <v>456</v>
      </c>
      <c r="AD1160" t="s">
        <v>2171</v>
      </c>
      <c r="AE1160" t="s">
        <v>4821</v>
      </c>
      <c r="AF1160">
        <v>0.67848607273211126</v>
      </c>
    </row>
    <row r="1161" spans="1:32" x14ac:dyDescent="0.25">
      <c r="A1161" s="56">
        <v>3499608</v>
      </c>
      <c r="B1161" s="56" t="s">
        <v>2351</v>
      </c>
      <c r="C1161" s="56" t="s">
        <v>4837</v>
      </c>
      <c r="D1161" s="56"/>
      <c r="E1161" s="57">
        <v>2096</v>
      </c>
      <c r="F1161" s="57">
        <v>2.0960000000000001</v>
      </c>
      <c r="G1161" s="56" t="s">
        <v>392</v>
      </c>
      <c r="H1161" s="56" t="s">
        <v>4454</v>
      </c>
      <c r="I1161" s="56" t="s">
        <v>1834</v>
      </c>
      <c r="J1161" s="56"/>
      <c r="K1161" s="56"/>
      <c r="L1161" s="56"/>
      <c r="M1161" s="56"/>
      <c r="N1161" s="56" t="s">
        <v>151</v>
      </c>
      <c r="O1161" s="56">
        <v>27</v>
      </c>
      <c r="P1161" s="59" t="s">
        <v>2515</v>
      </c>
      <c r="Q1161" s="56" t="s">
        <v>11</v>
      </c>
      <c r="U1161" s="52">
        <v>3572049</v>
      </c>
      <c r="V1161">
        <v>40</v>
      </c>
      <c r="W1161">
        <v>20</v>
      </c>
      <c r="X1161">
        <v>1.2</v>
      </c>
      <c r="Y1161">
        <v>0.65</v>
      </c>
      <c r="Z1161" t="s">
        <v>229</v>
      </c>
      <c r="AA1161" t="s">
        <v>963</v>
      </c>
      <c r="AB1161" t="s">
        <v>2520</v>
      </c>
      <c r="AC1161" t="s">
        <v>456</v>
      </c>
      <c r="AD1161" t="s">
        <v>2171</v>
      </c>
      <c r="AE1161" t="s">
        <v>4823</v>
      </c>
      <c r="AF1161">
        <v>0.71131604399334247</v>
      </c>
    </row>
    <row r="1162" spans="1:32" x14ac:dyDescent="0.25">
      <c r="A1162" s="56">
        <v>3499828</v>
      </c>
      <c r="B1162" s="56" t="s">
        <v>4322</v>
      </c>
      <c r="C1162" s="56" t="s">
        <v>4839</v>
      </c>
      <c r="D1162" s="56"/>
      <c r="E1162" s="57">
        <v>2491.06</v>
      </c>
      <c r="F1162" s="57">
        <v>2.4910600000000001</v>
      </c>
      <c r="G1162" s="56" t="s">
        <v>392</v>
      </c>
      <c r="H1162" s="56" t="s">
        <v>4454</v>
      </c>
      <c r="I1162" s="56" t="s">
        <v>4455</v>
      </c>
      <c r="J1162" s="56"/>
      <c r="K1162" s="56"/>
      <c r="L1162" s="56"/>
      <c r="M1162" s="56"/>
      <c r="N1162" s="56" t="s">
        <v>76</v>
      </c>
      <c r="O1162" s="56">
        <v>77</v>
      </c>
      <c r="P1162" s="59" t="s">
        <v>2579</v>
      </c>
      <c r="Q1162" s="56" t="s">
        <v>2561</v>
      </c>
      <c r="U1162" s="52">
        <v>3572050</v>
      </c>
      <c r="V1162">
        <v>40</v>
      </c>
      <c r="W1162">
        <v>20</v>
      </c>
      <c r="X1162">
        <v>1.2</v>
      </c>
      <c r="Y1162">
        <v>0.71</v>
      </c>
      <c r="Z1162" t="s">
        <v>229</v>
      </c>
      <c r="AA1162" t="s">
        <v>963</v>
      </c>
      <c r="AB1162" t="s">
        <v>2520</v>
      </c>
      <c r="AC1162" t="s">
        <v>456</v>
      </c>
      <c r="AD1162" t="s">
        <v>2171</v>
      </c>
      <c r="AE1162" t="s">
        <v>2267</v>
      </c>
      <c r="AF1162">
        <v>0.7769759865158048</v>
      </c>
    </row>
    <row r="1163" spans="1:32" x14ac:dyDescent="0.25">
      <c r="A1163" s="56">
        <v>3499828</v>
      </c>
      <c r="B1163" s="56" t="s">
        <v>4322</v>
      </c>
      <c r="C1163" s="56" t="s">
        <v>4841</v>
      </c>
      <c r="D1163" s="56"/>
      <c r="E1163" s="57">
        <v>2491.06</v>
      </c>
      <c r="F1163" s="57">
        <v>2.4910600000000001</v>
      </c>
      <c r="G1163" s="56" t="s">
        <v>392</v>
      </c>
      <c r="H1163" s="56" t="s">
        <v>4454</v>
      </c>
      <c r="I1163" s="56" t="s">
        <v>4455</v>
      </c>
      <c r="J1163" s="56"/>
      <c r="K1163" s="56"/>
      <c r="L1163" s="56"/>
      <c r="M1163" s="56"/>
      <c r="N1163" s="56" t="s">
        <v>76</v>
      </c>
      <c r="O1163" s="56">
        <v>77</v>
      </c>
      <c r="P1163" s="59" t="s">
        <v>2579</v>
      </c>
      <c r="Q1163" s="56" t="s">
        <v>2561</v>
      </c>
      <c r="U1163">
        <v>4151472</v>
      </c>
      <c r="V1163">
        <v>40</v>
      </c>
      <c r="W1163">
        <v>20</v>
      </c>
      <c r="X1163">
        <v>1.2</v>
      </c>
      <c r="Y1163">
        <v>0.755</v>
      </c>
      <c r="Z1163" t="s">
        <v>229</v>
      </c>
      <c r="AA1163" t="s">
        <v>963</v>
      </c>
      <c r="AB1163" t="s">
        <v>2520</v>
      </c>
      <c r="AC1163" t="s">
        <v>456</v>
      </c>
      <c r="AD1163" t="s">
        <v>2171</v>
      </c>
      <c r="AE1163" t="s">
        <v>489</v>
      </c>
      <c r="AF1163">
        <v>0.82622094340765162</v>
      </c>
    </row>
    <row r="1164" spans="1:32" x14ac:dyDescent="0.25">
      <c r="A1164" s="56">
        <v>3499828</v>
      </c>
      <c r="B1164" s="56" t="s">
        <v>4322</v>
      </c>
      <c r="C1164" s="56" t="s">
        <v>4325</v>
      </c>
      <c r="D1164" s="56"/>
      <c r="E1164" s="57">
        <v>1532.96</v>
      </c>
      <c r="F1164" s="57">
        <v>1.5329600000000001</v>
      </c>
      <c r="G1164" s="56" t="s">
        <v>392</v>
      </c>
      <c r="H1164" s="56" t="s">
        <v>4454</v>
      </c>
      <c r="I1164" s="56" t="s">
        <v>4455</v>
      </c>
      <c r="J1164" s="56"/>
      <c r="K1164" s="56"/>
      <c r="L1164" s="56"/>
      <c r="M1164" s="56"/>
      <c r="N1164" s="56" t="s">
        <v>76</v>
      </c>
      <c r="O1164" s="56">
        <v>35</v>
      </c>
      <c r="P1164" s="59" t="s">
        <v>2532</v>
      </c>
      <c r="Q1164" s="56" t="s">
        <v>2561</v>
      </c>
      <c r="U1164" s="52">
        <v>3676013</v>
      </c>
      <c r="V1164">
        <v>40</v>
      </c>
      <c r="W1164">
        <v>20</v>
      </c>
      <c r="X1164">
        <v>1.2</v>
      </c>
      <c r="Y1164">
        <v>0.85799999999999998</v>
      </c>
      <c r="Z1164" t="s">
        <v>3100</v>
      </c>
      <c r="AA1164" t="s">
        <v>963</v>
      </c>
      <c r="AB1164" t="s">
        <v>2520</v>
      </c>
      <c r="AC1164" t="s">
        <v>456</v>
      </c>
      <c r="AD1164" t="s">
        <v>2171</v>
      </c>
      <c r="AE1164" t="s">
        <v>4827</v>
      </c>
      <c r="AF1164">
        <v>0.93893717807121202</v>
      </c>
    </row>
    <row r="1165" spans="1:32" x14ac:dyDescent="0.25">
      <c r="A1165" s="56">
        <v>3499828</v>
      </c>
      <c r="B1165" s="56" t="s">
        <v>4322</v>
      </c>
      <c r="C1165" s="56" t="s">
        <v>4843</v>
      </c>
      <c r="D1165" s="56"/>
      <c r="E1165" s="57">
        <v>297.17</v>
      </c>
      <c r="F1165" s="57">
        <v>0.29716999999999999</v>
      </c>
      <c r="G1165" s="56" t="s">
        <v>392</v>
      </c>
      <c r="H1165" s="56" t="s">
        <v>4454</v>
      </c>
      <c r="I1165" s="56" t="s">
        <v>4455</v>
      </c>
      <c r="J1165" s="56"/>
      <c r="K1165" s="56"/>
      <c r="L1165" s="56"/>
      <c r="M1165" s="56"/>
      <c r="N1165" s="56" t="s">
        <v>76</v>
      </c>
      <c r="O1165" s="56">
        <v>66</v>
      </c>
      <c r="P1165" s="59" t="s">
        <v>2579</v>
      </c>
      <c r="Q1165" s="56" t="s">
        <v>2561</v>
      </c>
      <c r="U1165" s="52">
        <v>3572051</v>
      </c>
      <c r="V1165">
        <v>40</v>
      </c>
      <c r="W1165">
        <v>20</v>
      </c>
      <c r="X1165">
        <v>1.2</v>
      </c>
      <c r="Y1165">
        <v>0.86</v>
      </c>
      <c r="Z1165" t="s">
        <v>229</v>
      </c>
      <c r="AA1165" t="s">
        <v>963</v>
      </c>
      <c r="AB1165" t="s">
        <v>2520</v>
      </c>
      <c r="AC1165" t="s">
        <v>456</v>
      </c>
      <c r="AD1165" t="s">
        <v>2171</v>
      </c>
      <c r="AE1165" t="s">
        <v>485</v>
      </c>
      <c r="AF1165">
        <v>0.94112584282196077</v>
      </c>
    </row>
    <row r="1166" spans="1:32" x14ac:dyDescent="0.25">
      <c r="A1166" s="56">
        <v>3499903</v>
      </c>
      <c r="B1166" s="56" t="s">
        <v>2475</v>
      </c>
      <c r="C1166" s="56" t="s">
        <v>4844</v>
      </c>
      <c r="D1166" s="56"/>
      <c r="E1166" s="57">
        <v>2172.6120000000001</v>
      </c>
      <c r="F1166" s="57">
        <v>2.172612</v>
      </c>
      <c r="G1166" s="56" t="s">
        <v>392</v>
      </c>
      <c r="H1166" s="56" t="s">
        <v>4454</v>
      </c>
      <c r="I1166" s="56" t="s">
        <v>4455</v>
      </c>
      <c r="J1166" s="56"/>
      <c r="K1166" s="56"/>
      <c r="L1166" s="56"/>
      <c r="M1166" s="56"/>
      <c r="N1166" s="56" t="s">
        <v>76</v>
      </c>
      <c r="O1166" s="56">
        <v>44</v>
      </c>
      <c r="P1166" s="59" t="s">
        <v>2532</v>
      </c>
      <c r="Q1166" s="56" t="s">
        <v>2561</v>
      </c>
      <c r="U1166" s="52">
        <v>3676014</v>
      </c>
      <c r="V1166">
        <v>40</v>
      </c>
      <c r="W1166">
        <v>20</v>
      </c>
      <c r="X1166">
        <v>1.2</v>
      </c>
      <c r="Y1166">
        <v>0.878</v>
      </c>
      <c r="Z1166" t="s">
        <v>3100</v>
      </c>
      <c r="AA1166" t="s">
        <v>963</v>
      </c>
      <c r="AB1166" t="s">
        <v>2520</v>
      </c>
      <c r="AC1166" t="s">
        <v>456</v>
      </c>
      <c r="AD1166" t="s">
        <v>2171</v>
      </c>
      <c r="AE1166" t="s">
        <v>4830</v>
      </c>
      <c r="AF1166">
        <v>0.9608238255786995</v>
      </c>
    </row>
    <row r="1167" spans="1:32" x14ac:dyDescent="0.25">
      <c r="A1167" s="56">
        <v>3499903</v>
      </c>
      <c r="B1167" s="56" t="s">
        <v>2475</v>
      </c>
      <c r="C1167" s="56" t="s">
        <v>4846</v>
      </c>
      <c r="D1167" s="56"/>
      <c r="E1167" s="57">
        <v>2158.6849999999999</v>
      </c>
      <c r="F1167" s="57">
        <v>2.1586849999999997</v>
      </c>
      <c r="G1167" s="56" t="s">
        <v>392</v>
      </c>
      <c r="H1167" s="56" t="s">
        <v>4454</v>
      </c>
      <c r="I1167" s="56" t="s">
        <v>4455</v>
      </c>
      <c r="J1167" s="56"/>
      <c r="K1167" s="56"/>
      <c r="L1167" s="56"/>
      <c r="M1167" s="56"/>
      <c r="N1167" s="56" t="s">
        <v>76</v>
      </c>
      <c r="O1167" s="56">
        <v>44</v>
      </c>
      <c r="P1167" s="59" t="s">
        <v>2532</v>
      </c>
      <c r="Q1167" s="56" t="s">
        <v>2561</v>
      </c>
      <c r="U1167" s="52">
        <v>3676015</v>
      </c>
      <c r="V1167">
        <v>40</v>
      </c>
      <c r="W1167">
        <v>20</v>
      </c>
      <c r="X1167">
        <v>1.2</v>
      </c>
      <c r="Y1167">
        <v>0.88100000000000001</v>
      </c>
      <c r="Z1167" t="s">
        <v>3100</v>
      </c>
      <c r="AA1167" t="s">
        <v>963</v>
      </c>
      <c r="AB1167" t="s">
        <v>2520</v>
      </c>
      <c r="AC1167" t="s">
        <v>456</v>
      </c>
      <c r="AD1167" t="s">
        <v>2171</v>
      </c>
      <c r="AE1167" t="s">
        <v>4832</v>
      </c>
      <c r="AF1167">
        <v>0.96410682270482262</v>
      </c>
    </row>
    <row r="1168" spans="1:32" x14ac:dyDescent="0.25">
      <c r="A1168" s="56">
        <v>3499903</v>
      </c>
      <c r="B1168" s="56" t="s">
        <v>2475</v>
      </c>
      <c r="C1168" s="56" t="s">
        <v>4847</v>
      </c>
      <c r="D1168" s="56"/>
      <c r="E1168" s="57">
        <v>2172.6120000000001</v>
      </c>
      <c r="F1168" s="57">
        <v>2.172612</v>
      </c>
      <c r="G1168" s="56" t="s">
        <v>392</v>
      </c>
      <c r="H1168" s="56" t="s">
        <v>4454</v>
      </c>
      <c r="I1168" s="56" t="s">
        <v>4455</v>
      </c>
      <c r="J1168" s="56"/>
      <c r="K1168" s="56"/>
      <c r="L1168" s="56"/>
      <c r="M1168" s="56"/>
      <c r="N1168" s="56" t="s">
        <v>76</v>
      </c>
      <c r="O1168" s="56">
        <v>44</v>
      </c>
      <c r="P1168" s="59" t="s">
        <v>2532</v>
      </c>
      <c r="Q1168" s="56" t="s">
        <v>2561</v>
      </c>
      <c r="U1168" s="52">
        <v>3572052</v>
      </c>
      <c r="V1168">
        <v>40</v>
      </c>
      <c r="W1168">
        <v>20</v>
      </c>
      <c r="X1168">
        <v>1.2</v>
      </c>
      <c r="Y1168">
        <v>0.89</v>
      </c>
      <c r="Z1168" t="s">
        <v>229</v>
      </c>
      <c r="AA1168" t="s">
        <v>963</v>
      </c>
      <c r="AB1168" t="s">
        <v>2520</v>
      </c>
      <c r="AC1168" t="s">
        <v>456</v>
      </c>
      <c r="AD1168" t="s">
        <v>2171</v>
      </c>
      <c r="AE1168" t="s">
        <v>4834</v>
      </c>
      <c r="AF1168">
        <v>0.97395581408319198</v>
      </c>
    </row>
    <row r="1169" spans="1:32" x14ac:dyDescent="0.25">
      <c r="A1169" s="56">
        <v>3499903</v>
      </c>
      <c r="B1169" s="56" t="s">
        <v>2475</v>
      </c>
      <c r="C1169" s="56" t="s">
        <v>4848</v>
      </c>
      <c r="D1169" s="56"/>
      <c r="E1169" s="57">
        <v>2172.6120000000001</v>
      </c>
      <c r="F1169" s="57">
        <v>2.172612</v>
      </c>
      <c r="G1169" s="56" t="s">
        <v>392</v>
      </c>
      <c r="H1169" s="56" t="s">
        <v>4454</v>
      </c>
      <c r="I1169" s="56" t="s">
        <v>4455</v>
      </c>
      <c r="J1169" s="56"/>
      <c r="K1169" s="56"/>
      <c r="L1169" s="56"/>
      <c r="M1169" s="56"/>
      <c r="N1169" s="56" t="s">
        <v>76</v>
      </c>
      <c r="O1169" s="56">
        <v>44</v>
      </c>
      <c r="P1169" s="59" t="s">
        <v>2532</v>
      </c>
      <c r="Q1169" s="56" t="s">
        <v>2561</v>
      </c>
      <c r="U1169" s="52">
        <v>3676016</v>
      </c>
      <c r="V1169">
        <v>40</v>
      </c>
      <c r="W1169">
        <v>20</v>
      </c>
      <c r="X1169">
        <v>1.2</v>
      </c>
      <c r="Y1169">
        <v>0.92</v>
      </c>
      <c r="Z1169" t="s">
        <v>3100</v>
      </c>
      <c r="AA1169" t="s">
        <v>963</v>
      </c>
      <c r="AB1169" t="s">
        <v>2520</v>
      </c>
      <c r="AC1169" t="s">
        <v>456</v>
      </c>
      <c r="AD1169" t="s">
        <v>2171</v>
      </c>
      <c r="AE1169" t="s">
        <v>4836</v>
      </c>
      <c r="AF1169">
        <v>1.0067857853444233</v>
      </c>
    </row>
    <row r="1170" spans="1:32" x14ac:dyDescent="0.25">
      <c r="A1170" s="56">
        <v>3499903</v>
      </c>
      <c r="B1170" s="56" t="s">
        <v>2475</v>
      </c>
      <c r="C1170" s="56" t="s">
        <v>4849</v>
      </c>
      <c r="D1170" s="56"/>
      <c r="E1170" s="57">
        <v>2172.6120000000001</v>
      </c>
      <c r="F1170" s="57">
        <v>2.172612</v>
      </c>
      <c r="G1170" s="56" t="s">
        <v>392</v>
      </c>
      <c r="H1170" s="56" t="s">
        <v>4454</v>
      </c>
      <c r="I1170" s="56" t="s">
        <v>4455</v>
      </c>
      <c r="J1170" s="56"/>
      <c r="K1170" s="56"/>
      <c r="L1170" s="56"/>
      <c r="M1170" s="56"/>
      <c r="N1170" s="56" t="s">
        <v>76</v>
      </c>
      <c r="O1170" s="56">
        <v>44</v>
      </c>
      <c r="P1170" s="59" t="s">
        <v>2532</v>
      </c>
      <c r="Q1170" s="56" t="s">
        <v>2561</v>
      </c>
      <c r="U1170" s="52">
        <v>3676017</v>
      </c>
      <c r="V1170">
        <v>40</v>
      </c>
      <c r="W1170">
        <v>20</v>
      </c>
      <c r="X1170">
        <v>1.2</v>
      </c>
      <c r="Y1170">
        <v>0.92800000000000005</v>
      </c>
      <c r="Z1170" t="s">
        <v>3100</v>
      </c>
      <c r="AA1170" t="s">
        <v>963</v>
      </c>
      <c r="AB1170" t="s">
        <v>2520</v>
      </c>
      <c r="AC1170" t="s">
        <v>456</v>
      </c>
      <c r="AD1170" t="s">
        <v>2171</v>
      </c>
      <c r="AE1170" t="s">
        <v>4838</v>
      </c>
      <c r="AF1170">
        <v>1.0155404443474183</v>
      </c>
    </row>
    <row r="1171" spans="1:32" x14ac:dyDescent="0.25">
      <c r="A1171" s="56">
        <v>3499903</v>
      </c>
      <c r="B1171" s="56" t="s">
        <v>2475</v>
      </c>
      <c r="C1171" s="56" t="s">
        <v>4850</v>
      </c>
      <c r="D1171" s="56"/>
      <c r="E1171" s="57">
        <v>2172.6120000000001</v>
      </c>
      <c r="F1171" s="57">
        <v>2.172612</v>
      </c>
      <c r="G1171" s="56" t="s">
        <v>392</v>
      </c>
      <c r="H1171" s="56" t="s">
        <v>4454</v>
      </c>
      <c r="I1171" s="56" t="s">
        <v>4455</v>
      </c>
      <c r="J1171" s="56"/>
      <c r="K1171" s="56"/>
      <c r="L1171" s="56"/>
      <c r="M1171" s="56"/>
      <c r="N1171" s="56" t="s">
        <v>76</v>
      </c>
      <c r="O1171" s="56">
        <v>44</v>
      </c>
      <c r="P1171" s="59" t="s">
        <v>2532</v>
      </c>
      <c r="Q1171" s="56" t="s">
        <v>2561</v>
      </c>
      <c r="U1171" s="52">
        <v>3572053</v>
      </c>
      <c r="V1171">
        <v>40</v>
      </c>
      <c r="W1171">
        <v>20</v>
      </c>
      <c r="X1171">
        <v>1.2</v>
      </c>
      <c r="Y1171">
        <v>0.93</v>
      </c>
      <c r="Z1171" t="s">
        <v>229</v>
      </c>
      <c r="AA1171" t="s">
        <v>963</v>
      </c>
      <c r="AB1171" t="s">
        <v>2520</v>
      </c>
      <c r="AC1171" t="s">
        <v>456</v>
      </c>
      <c r="AD1171" t="s">
        <v>2171</v>
      </c>
      <c r="AE1171" t="s">
        <v>4840</v>
      </c>
      <c r="AF1171">
        <v>1.0177291090981671</v>
      </c>
    </row>
    <row r="1172" spans="1:32" x14ac:dyDescent="0.25">
      <c r="A1172" s="56">
        <v>3499903</v>
      </c>
      <c r="B1172" s="56" t="s">
        <v>2475</v>
      </c>
      <c r="C1172" s="56" t="s">
        <v>4851</v>
      </c>
      <c r="D1172" s="56"/>
      <c r="E1172" s="57">
        <v>2172.6120000000001</v>
      </c>
      <c r="F1172" s="57">
        <v>2.172612</v>
      </c>
      <c r="G1172" s="56" t="s">
        <v>392</v>
      </c>
      <c r="H1172" s="56" t="s">
        <v>4454</v>
      </c>
      <c r="I1172" s="56" t="s">
        <v>4455</v>
      </c>
      <c r="J1172" s="56"/>
      <c r="K1172" s="56"/>
      <c r="L1172" s="56"/>
      <c r="M1172" s="56"/>
      <c r="N1172" s="56" t="s">
        <v>76</v>
      </c>
      <c r="O1172" s="56">
        <v>44</v>
      </c>
      <c r="P1172" s="59" t="s">
        <v>2532</v>
      </c>
      <c r="Q1172" s="56" t="s">
        <v>2561</v>
      </c>
      <c r="U1172" s="52">
        <v>3572054</v>
      </c>
      <c r="V1172">
        <v>40</v>
      </c>
      <c r="W1172">
        <v>20</v>
      </c>
      <c r="X1172">
        <v>1.2</v>
      </c>
      <c r="Y1172">
        <v>1.06</v>
      </c>
      <c r="Z1172" t="s">
        <v>229</v>
      </c>
      <c r="AA1172" t="s">
        <v>963</v>
      </c>
      <c r="AB1172" t="s">
        <v>2520</v>
      </c>
      <c r="AC1172" t="s">
        <v>456</v>
      </c>
      <c r="AD1172" t="s">
        <v>2171</v>
      </c>
      <c r="AE1172" t="s">
        <v>4842</v>
      </c>
      <c r="AF1172">
        <v>1.1599923178968354</v>
      </c>
    </row>
    <row r="1173" spans="1:32" x14ac:dyDescent="0.25">
      <c r="A1173" s="56">
        <v>3499903</v>
      </c>
      <c r="B1173" s="56" t="s">
        <v>2475</v>
      </c>
      <c r="C1173" s="56" t="s">
        <v>4852</v>
      </c>
      <c r="D1173" s="56"/>
      <c r="E1173" s="57">
        <v>1860.9880000000001</v>
      </c>
      <c r="F1173" s="57">
        <v>1.8609880000000001</v>
      </c>
      <c r="G1173" s="56" t="s">
        <v>392</v>
      </c>
      <c r="H1173" s="56" t="s">
        <v>4454</v>
      </c>
      <c r="I1173" s="56" t="s">
        <v>4455</v>
      </c>
      <c r="J1173" s="56"/>
      <c r="K1173" s="56"/>
      <c r="L1173" s="56"/>
      <c r="M1173" s="56"/>
      <c r="N1173" s="56" t="s">
        <v>76</v>
      </c>
      <c r="O1173" s="56">
        <v>5</v>
      </c>
      <c r="P1173" s="59" t="s">
        <v>2515</v>
      </c>
      <c r="Q1173" s="56" t="s">
        <v>2561</v>
      </c>
      <c r="U1173" s="52">
        <v>3230465</v>
      </c>
      <c r="V1173">
        <v>40</v>
      </c>
      <c r="W1173">
        <v>20</v>
      </c>
      <c r="X1173">
        <v>1.2</v>
      </c>
      <c r="Y1173">
        <v>1.1200000000000001</v>
      </c>
      <c r="Z1173" t="s">
        <v>229</v>
      </c>
      <c r="AA1173" t="s">
        <v>963</v>
      </c>
      <c r="AB1173" t="s">
        <v>2520</v>
      </c>
      <c r="AC1173" t="s">
        <v>456</v>
      </c>
      <c r="AD1173" t="s">
        <v>2171</v>
      </c>
      <c r="AE1173" t="s">
        <v>483</v>
      </c>
      <c r="AF1173">
        <v>1.2256522604192979</v>
      </c>
    </row>
    <row r="1174" spans="1:32" x14ac:dyDescent="0.25">
      <c r="A1174" s="56">
        <v>3500083</v>
      </c>
      <c r="B1174" s="56" t="s">
        <v>1628</v>
      </c>
      <c r="C1174" s="56" t="s">
        <v>4853</v>
      </c>
      <c r="D1174" s="56"/>
      <c r="E1174" s="57">
        <v>637.572</v>
      </c>
      <c r="F1174" s="57">
        <v>0.63757200000000003</v>
      </c>
      <c r="G1174" s="56" t="s">
        <v>392</v>
      </c>
      <c r="H1174" s="56" t="s">
        <v>4454</v>
      </c>
      <c r="I1174" s="56" t="s">
        <v>4455</v>
      </c>
      <c r="J1174" s="56"/>
      <c r="K1174" s="56"/>
      <c r="L1174" s="56"/>
      <c r="M1174" s="56"/>
      <c r="N1174" s="56" t="s">
        <v>101</v>
      </c>
      <c r="O1174" s="56">
        <v>59</v>
      </c>
      <c r="P1174" s="59" t="s">
        <v>2532</v>
      </c>
      <c r="Q1174" s="56" t="s">
        <v>192</v>
      </c>
      <c r="U1174" s="52">
        <v>3230470</v>
      </c>
      <c r="V1174">
        <v>40</v>
      </c>
      <c r="W1174">
        <v>20</v>
      </c>
      <c r="X1174">
        <v>1.2</v>
      </c>
      <c r="Y1174">
        <v>1.246</v>
      </c>
      <c r="Z1174" t="s">
        <v>229</v>
      </c>
      <c r="AA1174" t="s">
        <v>963</v>
      </c>
      <c r="AB1174" t="s">
        <v>2520</v>
      </c>
      <c r="AC1174" t="s">
        <v>456</v>
      </c>
      <c r="AD1174" t="s">
        <v>2171</v>
      </c>
      <c r="AE1174" t="s">
        <v>481</v>
      </c>
      <c r="AF1174">
        <v>1.3635381397164688</v>
      </c>
    </row>
    <row r="1175" spans="1:32" x14ac:dyDescent="0.25">
      <c r="A1175" s="56">
        <v>3500083</v>
      </c>
      <c r="B1175" s="56" t="s">
        <v>1628</v>
      </c>
      <c r="C1175" s="56" t="s">
        <v>4854</v>
      </c>
      <c r="D1175" s="56"/>
      <c r="E1175" s="57">
        <v>2064.9720000000002</v>
      </c>
      <c r="F1175" s="57">
        <v>2.064972</v>
      </c>
      <c r="G1175" s="56" t="s">
        <v>392</v>
      </c>
      <c r="H1175" s="56" t="s">
        <v>4454</v>
      </c>
      <c r="I1175" s="56" t="s">
        <v>4455</v>
      </c>
      <c r="J1175" s="56"/>
      <c r="K1175" s="56"/>
      <c r="L1175" s="56"/>
      <c r="M1175" s="56"/>
      <c r="N1175" s="56" t="s">
        <v>101</v>
      </c>
      <c r="O1175" s="56">
        <v>59</v>
      </c>
      <c r="P1175" s="59" t="s">
        <v>2532</v>
      </c>
      <c r="Q1175" s="56" t="s">
        <v>192</v>
      </c>
      <c r="U1175" s="52">
        <v>3676018</v>
      </c>
      <c r="V1175">
        <v>40</v>
      </c>
      <c r="W1175">
        <v>20</v>
      </c>
      <c r="X1175">
        <v>1.2</v>
      </c>
      <c r="Y1175">
        <v>1.2490000000000001</v>
      </c>
      <c r="Z1175" t="s">
        <v>3100</v>
      </c>
      <c r="AA1175" t="s">
        <v>963</v>
      </c>
      <c r="AB1175" t="s">
        <v>2520</v>
      </c>
      <c r="AC1175" t="s">
        <v>456</v>
      </c>
      <c r="AD1175" t="s">
        <v>2171</v>
      </c>
      <c r="AE1175" t="s">
        <v>4845</v>
      </c>
      <c r="AF1175">
        <v>1.366821136842592</v>
      </c>
    </row>
    <row r="1176" spans="1:32" x14ac:dyDescent="0.25">
      <c r="A1176" s="56">
        <v>3500083</v>
      </c>
      <c r="B1176" s="56" t="s">
        <v>1628</v>
      </c>
      <c r="C1176" s="56" t="s">
        <v>4856</v>
      </c>
      <c r="D1176" s="56"/>
      <c r="E1176" s="57">
        <v>2064.9720000000002</v>
      </c>
      <c r="F1176" s="57">
        <v>2.064972</v>
      </c>
      <c r="G1176" s="56" t="s">
        <v>392</v>
      </c>
      <c r="H1176" s="56" t="s">
        <v>4454</v>
      </c>
      <c r="I1176" s="56" t="s">
        <v>4455</v>
      </c>
      <c r="J1176" s="56"/>
      <c r="K1176" s="56"/>
      <c r="L1176" s="56"/>
      <c r="M1176" s="56"/>
      <c r="N1176" s="56" t="s">
        <v>101</v>
      </c>
      <c r="O1176" s="56">
        <v>59</v>
      </c>
      <c r="P1176" s="59" t="s">
        <v>2532</v>
      </c>
      <c r="Q1176" s="56" t="s">
        <v>192</v>
      </c>
      <c r="U1176" s="52">
        <v>3597713</v>
      </c>
      <c r="V1176">
        <v>40</v>
      </c>
      <c r="W1176">
        <v>20</v>
      </c>
      <c r="X1176">
        <v>1.2</v>
      </c>
      <c r="Y1176">
        <v>5.26</v>
      </c>
      <c r="Z1176" t="s">
        <v>229</v>
      </c>
      <c r="AA1176" t="s">
        <v>963</v>
      </c>
      <c r="AB1176" t="s">
        <v>2520</v>
      </c>
      <c r="AC1176" t="s">
        <v>456</v>
      </c>
      <c r="AD1176" t="s">
        <v>1838</v>
      </c>
      <c r="AE1176" t="s">
        <v>458</v>
      </c>
      <c r="AF1176">
        <v>1.094332375374373</v>
      </c>
    </row>
    <row r="1177" spans="1:32" x14ac:dyDescent="0.25">
      <c r="A1177" s="56">
        <v>3500083</v>
      </c>
      <c r="B1177" s="56" t="s">
        <v>1628</v>
      </c>
      <c r="C1177" s="56" t="s">
        <v>4858</v>
      </c>
      <c r="D1177" s="56"/>
      <c r="E1177" s="57">
        <v>2064.9720000000002</v>
      </c>
      <c r="F1177" s="57">
        <v>2.064972</v>
      </c>
      <c r="G1177" s="56" t="s">
        <v>392</v>
      </c>
      <c r="H1177" s="56" t="s">
        <v>4454</v>
      </c>
      <c r="I1177" s="56" t="s">
        <v>4455</v>
      </c>
      <c r="J1177" s="56"/>
      <c r="K1177" s="56"/>
      <c r="L1177" s="56"/>
      <c r="M1177" s="56"/>
      <c r="N1177" s="56" t="s">
        <v>101</v>
      </c>
      <c r="O1177" s="56">
        <v>59</v>
      </c>
      <c r="P1177" s="59" t="s">
        <v>2532</v>
      </c>
      <c r="Q1177" s="56" t="s">
        <v>192</v>
      </c>
      <c r="U1177" s="52">
        <v>3597714</v>
      </c>
      <c r="V1177">
        <v>40</v>
      </c>
      <c r="W1177">
        <v>20</v>
      </c>
      <c r="X1177">
        <v>1.2</v>
      </c>
      <c r="Y1177">
        <v>5.68</v>
      </c>
      <c r="Z1177" t="s">
        <v>229</v>
      </c>
      <c r="AA1177" t="s">
        <v>963</v>
      </c>
      <c r="AB1177" t="s">
        <v>2520</v>
      </c>
      <c r="AC1177" t="s">
        <v>456</v>
      </c>
      <c r="AD1177" t="s">
        <v>1838</v>
      </c>
      <c r="AE1177" t="s">
        <v>458</v>
      </c>
      <c r="AF1177">
        <v>1.094332375374373</v>
      </c>
    </row>
    <row r="1178" spans="1:32" x14ac:dyDescent="0.25">
      <c r="A1178" s="56">
        <v>3500083</v>
      </c>
      <c r="B1178" s="56" t="s">
        <v>1628</v>
      </c>
      <c r="C1178" s="56" t="s">
        <v>4859</v>
      </c>
      <c r="D1178" s="56"/>
      <c r="E1178" s="57">
        <v>2064.9720000000002</v>
      </c>
      <c r="F1178" s="57">
        <v>2.064972</v>
      </c>
      <c r="G1178" s="56" t="s">
        <v>392</v>
      </c>
      <c r="H1178" s="56" t="s">
        <v>4454</v>
      </c>
      <c r="I1178" s="56" t="s">
        <v>4455</v>
      </c>
      <c r="J1178" s="56"/>
      <c r="K1178" s="56"/>
      <c r="L1178" s="56"/>
      <c r="M1178" s="56"/>
      <c r="N1178" s="56" t="s">
        <v>101</v>
      </c>
      <c r="O1178" s="56">
        <v>59</v>
      </c>
      <c r="P1178" s="59" t="s">
        <v>2532</v>
      </c>
      <c r="Q1178" s="56" t="s">
        <v>192</v>
      </c>
      <c r="U1178" s="538">
        <v>111117590</v>
      </c>
      <c r="V1178">
        <v>40</v>
      </c>
      <c r="W1178">
        <v>20</v>
      </c>
      <c r="X1178">
        <v>1.2</v>
      </c>
      <c r="Y1178">
        <v>5.68</v>
      </c>
      <c r="Z1178" t="s">
        <v>229</v>
      </c>
      <c r="AA1178" t="s">
        <v>963</v>
      </c>
      <c r="AB1178" t="s">
        <v>2520</v>
      </c>
      <c r="AC1178" t="s">
        <v>456</v>
      </c>
      <c r="AD1178" t="s">
        <v>1838</v>
      </c>
      <c r="AE1178" t="s">
        <v>458</v>
      </c>
      <c r="AF1178">
        <v>1.094332375374373</v>
      </c>
    </row>
    <row r="1179" spans="1:32" x14ac:dyDescent="0.25">
      <c r="A1179" s="56">
        <v>3500083</v>
      </c>
      <c r="B1179" s="56" t="s">
        <v>1628</v>
      </c>
      <c r="C1179" s="56" t="s">
        <v>4861</v>
      </c>
      <c r="D1179" s="56"/>
      <c r="E1179" s="57">
        <v>2064.9720000000002</v>
      </c>
      <c r="F1179" s="57">
        <v>2.064972</v>
      </c>
      <c r="G1179" s="56" t="s">
        <v>392</v>
      </c>
      <c r="H1179" s="56" t="s">
        <v>4454</v>
      </c>
      <c r="I1179" s="56" t="s">
        <v>4455</v>
      </c>
      <c r="J1179" s="56"/>
      <c r="K1179" s="56"/>
      <c r="L1179" s="56"/>
      <c r="M1179" s="56"/>
      <c r="N1179" s="56" t="s">
        <v>101</v>
      </c>
      <c r="O1179" s="56">
        <v>59</v>
      </c>
      <c r="P1179" s="59" t="s">
        <v>2532</v>
      </c>
      <c r="Q1179" s="56" t="s">
        <v>192</v>
      </c>
      <c r="U1179" s="52">
        <v>111106758</v>
      </c>
      <c r="V1179">
        <v>40</v>
      </c>
      <c r="W1179">
        <v>20</v>
      </c>
      <c r="X1179">
        <v>1.2</v>
      </c>
      <c r="Y1179">
        <v>5.68</v>
      </c>
      <c r="Z1179" t="s">
        <v>229</v>
      </c>
      <c r="AA1179" t="s">
        <v>963</v>
      </c>
      <c r="AB1179" t="s">
        <v>2520</v>
      </c>
      <c r="AC1179" t="s">
        <v>456</v>
      </c>
      <c r="AD1179" t="s">
        <v>1838</v>
      </c>
      <c r="AF1179">
        <v>1.094332375374373</v>
      </c>
    </row>
    <row r="1180" spans="1:32" x14ac:dyDescent="0.25">
      <c r="A1180" s="56">
        <v>3500083</v>
      </c>
      <c r="B1180" s="56" t="s">
        <v>1628</v>
      </c>
      <c r="C1180" s="56" t="s">
        <v>4863</v>
      </c>
      <c r="D1180" s="56"/>
      <c r="E1180" s="57">
        <v>2064.9720000000002</v>
      </c>
      <c r="F1180" s="57">
        <v>2.064972</v>
      </c>
      <c r="G1180" s="56" t="s">
        <v>392</v>
      </c>
      <c r="H1180" s="56" t="s">
        <v>4454</v>
      </c>
      <c r="I1180" s="56" t="s">
        <v>4455</v>
      </c>
      <c r="J1180" s="56"/>
      <c r="K1180" s="56"/>
      <c r="L1180" s="56"/>
      <c r="M1180" s="56"/>
      <c r="N1180" s="56" t="s">
        <v>101</v>
      </c>
      <c r="O1180" s="56">
        <v>59</v>
      </c>
      <c r="P1180" s="59" t="s">
        <v>2532</v>
      </c>
      <c r="Q1180" s="56" t="s">
        <v>192</v>
      </c>
      <c r="U1180" s="52">
        <v>3577684</v>
      </c>
      <c r="V1180">
        <v>40</v>
      </c>
      <c r="W1180">
        <v>20</v>
      </c>
      <c r="X1180">
        <v>1.2</v>
      </c>
      <c r="Y1180">
        <v>6</v>
      </c>
      <c r="Z1180" t="s">
        <v>3100</v>
      </c>
      <c r="AA1180" t="s">
        <v>963</v>
      </c>
      <c r="AB1180" t="s">
        <v>2520</v>
      </c>
      <c r="AC1180" t="s">
        <v>456</v>
      </c>
      <c r="AD1180" t="s">
        <v>1838</v>
      </c>
      <c r="AE1180" t="s">
        <v>458</v>
      </c>
      <c r="AF1180">
        <v>1.094332375374373</v>
      </c>
    </row>
    <row r="1181" spans="1:32" x14ac:dyDescent="0.25">
      <c r="A1181" s="56">
        <v>3500083</v>
      </c>
      <c r="B1181" s="56" t="s">
        <v>1628</v>
      </c>
      <c r="C1181" s="56" t="s">
        <v>4865</v>
      </c>
      <c r="D1181" s="56"/>
      <c r="E1181" s="57">
        <v>2055.4560000000001</v>
      </c>
      <c r="F1181" s="57">
        <v>2.0554559999999999</v>
      </c>
      <c r="G1181" s="56" t="s">
        <v>392</v>
      </c>
      <c r="H1181" s="56" t="s">
        <v>4454</v>
      </c>
      <c r="I1181" s="56" t="s">
        <v>4455</v>
      </c>
      <c r="J1181" s="56"/>
      <c r="K1181" s="56"/>
      <c r="L1181" s="56"/>
      <c r="M1181" s="56"/>
      <c r="N1181" s="56" t="s">
        <v>101</v>
      </c>
      <c r="O1181" s="56">
        <v>59</v>
      </c>
      <c r="P1181" s="59" t="s">
        <v>2532</v>
      </c>
      <c r="Q1181" s="56" t="s">
        <v>192</v>
      </c>
      <c r="U1181" s="52">
        <v>1901169</v>
      </c>
      <c r="V1181">
        <v>40</v>
      </c>
      <c r="W1181">
        <v>20</v>
      </c>
      <c r="X1181">
        <v>1.2</v>
      </c>
      <c r="Y1181">
        <v>6</v>
      </c>
      <c r="Z1181" t="s">
        <v>229</v>
      </c>
      <c r="AA1181" t="s">
        <v>963</v>
      </c>
      <c r="AB1181" t="s">
        <v>3063</v>
      </c>
      <c r="AC1181" t="s">
        <v>456</v>
      </c>
      <c r="AD1181" t="s">
        <v>1838</v>
      </c>
      <c r="AF1181">
        <v>1.094332375374373</v>
      </c>
    </row>
    <row r="1182" spans="1:32" x14ac:dyDescent="0.25">
      <c r="A1182" s="56">
        <v>3500083</v>
      </c>
      <c r="B1182" s="56" t="s">
        <v>1628</v>
      </c>
      <c r="C1182" s="56" t="s">
        <v>4866</v>
      </c>
      <c r="D1182" s="56"/>
      <c r="E1182" s="57">
        <v>1779.492</v>
      </c>
      <c r="F1182" s="57">
        <v>1.7794919999999999</v>
      </c>
      <c r="G1182" s="56" t="s">
        <v>392</v>
      </c>
      <c r="H1182" s="56" t="s">
        <v>4454</v>
      </c>
      <c r="I1182" s="56" t="s">
        <v>4455</v>
      </c>
      <c r="J1182" s="56"/>
      <c r="K1182" s="56"/>
      <c r="L1182" s="56"/>
      <c r="M1182" s="56"/>
      <c r="N1182" s="56" t="s">
        <v>101</v>
      </c>
      <c r="O1182" s="56">
        <v>88</v>
      </c>
      <c r="P1182" s="59" t="s">
        <v>2579</v>
      </c>
      <c r="Q1182" s="56" t="s">
        <v>192</v>
      </c>
      <c r="U1182" s="538">
        <v>111116372</v>
      </c>
      <c r="V1182">
        <v>40</v>
      </c>
      <c r="W1182">
        <v>20</v>
      </c>
      <c r="X1182">
        <v>1.2</v>
      </c>
      <c r="Y1182">
        <v>6.31</v>
      </c>
      <c r="Z1182" t="s">
        <v>229</v>
      </c>
      <c r="AA1182" t="s">
        <v>963</v>
      </c>
      <c r="AB1182" t="s">
        <v>2520</v>
      </c>
      <c r="AC1182" t="s">
        <v>456</v>
      </c>
      <c r="AD1182" t="s">
        <v>1838</v>
      </c>
      <c r="AE1182" t="s">
        <v>458</v>
      </c>
      <c r="AF1182">
        <v>1.094332375374373</v>
      </c>
    </row>
    <row r="1183" spans="1:32" x14ac:dyDescent="0.25">
      <c r="A1183" s="56">
        <v>3500083</v>
      </c>
      <c r="B1183" s="56" t="s">
        <v>1628</v>
      </c>
      <c r="C1183" s="56" t="s">
        <v>4867</v>
      </c>
      <c r="D1183" s="56"/>
      <c r="E1183" s="57">
        <v>2064.9720000000002</v>
      </c>
      <c r="F1183" s="57">
        <v>2.064972</v>
      </c>
      <c r="G1183" s="56" t="s">
        <v>392</v>
      </c>
      <c r="H1183" s="56" t="s">
        <v>4454</v>
      </c>
      <c r="I1183" s="56" t="s">
        <v>4455</v>
      </c>
      <c r="J1183" s="56"/>
      <c r="K1183" s="56"/>
      <c r="L1183" s="56"/>
      <c r="M1183" s="56"/>
      <c r="N1183" s="56" t="s">
        <v>101</v>
      </c>
      <c r="O1183" s="56">
        <v>91</v>
      </c>
      <c r="P1183" s="59" t="s">
        <v>2524</v>
      </c>
      <c r="Q1183" s="56" t="s">
        <v>192</v>
      </c>
      <c r="U1183" s="52">
        <v>3233559</v>
      </c>
      <c r="V1183">
        <v>40</v>
      </c>
      <c r="W1183">
        <v>20</v>
      </c>
      <c r="X1183">
        <v>1.21</v>
      </c>
      <c r="Y1183">
        <v>0.12</v>
      </c>
      <c r="Z1183" t="s">
        <v>229</v>
      </c>
      <c r="AA1183" t="s">
        <v>963</v>
      </c>
      <c r="AB1183" t="s">
        <v>2520</v>
      </c>
      <c r="AC1183" t="s">
        <v>456</v>
      </c>
      <c r="AD1183" t="s">
        <v>2171</v>
      </c>
      <c r="AE1183" t="s">
        <v>491</v>
      </c>
      <c r="AF1183">
        <v>0.13237842707229913</v>
      </c>
    </row>
    <row r="1184" spans="1:32" x14ac:dyDescent="0.25">
      <c r="A1184" s="56">
        <v>3500083</v>
      </c>
      <c r="B1184" s="56" t="s">
        <v>1628</v>
      </c>
      <c r="C1184" s="56" t="s">
        <v>4869</v>
      </c>
      <c r="D1184" s="56"/>
      <c r="E1184" s="57">
        <v>2064.9720000000002</v>
      </c>
      <c r="F1184" s="57">
        <v>2.064972</v>
      </c>
      <c r="G1184" s="56" t="s">
        <v>392</v>
      </c>
      <c r="H1184" s="56" t="s">
        <v>4454</v>
      </c>
      <c r="I1184" s="56" t="s">
        <v>4455</v>
      </c>
      <c r="J1184" s="56"/>
      <c r="K1184" s="56"/>
      <c r="L1184" s="56"/>
      <c r="M1184" s="56"/>
      <c r="N1184" s="56" t="s">
        <v>101</v>
      </c>
      <c r="O1184" s="56">
        <v>91</v>
      </c>
      <c r="P1184" s="59" t="s">
        <v>2524</v>
      </c>
      <c r="Q1184" s="56" t="s">
        <v>192</v>
      </c>
      <c r="U1184" s="52">
        <v>3233558</v>
      </c>
      <c r="V1184">
        <v>40</v>
      </c>
      <c r="W1184">
        <v>20</v>
      </c>
      <c r="X1184">
        <v>1.21</v>
      </c>
      <c r="Y1184">
        <v>0.16800000000000001</v>
      </c>
      <c r="Z1184" t="s">
        <v>229</v>
      </c>
      <c r="AA1184" t="s">
        <v>963</v>
      </c>
      <c r="AB1184" t="s">
        <v>2520</v>
      </c>
      <c r="AC1184" t="s">
        <v>456</v>
      </c>
      <c r="AD1184" t="s">
        <v>2171</v>
      </c>
      <c r="AE1184" t="s">
        <v>4855</v>
      </c>
      <c r="AF1184">
        <v>0.18532979790121881</v>
      </c>
    </row>
    <row r="1185" spans="1:32" x14ac:dyDescent="0.25">
      <c r="A1185" s="56">
        <v>3500083</v>
      </c>
      <c r="B1185" s="56" t="s">
        <v>1628</v>
      </c>
      <c r="C1185" s="56" t="s">
        <v>4870</v>
      </c>
      <c r="D1185" s="56"/>
      <c r="E1185" s="57">
        <v>2064.9720000000002</v>
      </c>
      <c r="F1185" s="57">
        <v>2.064972</v>
      </c>
      <c r="G1185" s="56" t="s">
        <v>392</v>
      </c>
      <c r="H1185" s="56" t="s">
        <v>4454</v>
      </c>
      <c r="I1185" s="56" t="s">
        <v>4455</v>
      </c>
      <c r="J1185" s="56"/>
      <c r="K1185" s="56"/>
      <c r="L1185" s="56"/>
      <c r="M1185" s="56"/>
      <c r="N1185" s="56" t="s">
        <v>101</v>
      </c>
      <c r="O1185" s="56">
        <v>91</v>
      </c>
      <c r="P1185" s="59" t="s">
        <v>2524</v>
      </c>
      <c r="Q1185" s="56" t="s">
        <v>192</v>
      </c>
      <c r="U1185" s="52">
        <v>1940794</v>
      </c>
      <c r="V1185">
        <v>40</v>
      </c>
      <c r="W1185">
        <v>20</v>
      </c>
      <c r="X1185">
        <v>1.21</v>
      </c>
      <c r="Y1185">
        <v>0.33</v>
      </c>
      <c r="Z1185" t="s">
        <v>229</v>
      </c>
      <c r="AA1185" t="s">
        <v>963</v>
      </c>
      <c r="AB1185" t="s">
        <v>2520</v>
      </c>
      <c r="AC1185" t="s">
        <v>456</v>
      </c>
      <c r="AD1185" t="s">
        <v>2171</v>
      </c>
      <c r="AE1185" t="s">
        <v>4857</v>
      </c>
      <c r="AF1185">
        <v>0.36404067444882265</v>
      </c>
    </row>
    <row r="1186" spans="1:32" x14ac:dyDescent="0.25">
      <c r="A1186" s="56">
        <v>3500083</v>
      </c>
      <c r="B1186" s="56" t="s">
        <v>1628</v>
      </c>
      <c r="C1186" s="56" t="s">
        <v>4871</v>
      </c>
      <c r="D1186" s="56"/>
      <c r="E1186" s="57">
        <v>2064.9720000000002</v>
      </c>
      <c r="F1186" s="57">
        <v>2.064972</v>
      </c>
      <c r="G1186" s="56" t="s">
        <v>392</v>
      </c>
      <c r="H1186" s="56" t="s">
        <v>4454</v>
      </c>
      <c r="I1186" s="56" t="s">
        <v>4455</v>
      </c>
      <c r="J1186" s="56"/>
      <c r="K1186" s="56"/>
      <c r="L1186" s="56"/>
      <c r="M1186" s="56"/>
      <c r="N1186" s="56" t="s">
        <v>101</v>
      </c>
      <c r="O1186" s="56">
        <v>91</v>
      </c>
      <c r="P1186" s="59" t="s">
        <v>2524</v>
      </c>
      <c r="Q1186" s="56" t="s">
        <v>192</v>
      </c>
      <c r="U1186" s="52">
        <v>3233557</v>
      </c>
      <c r="V1186">
        <v>40</v>
      </c>
      <c r="W1186">
        <v>20</v>
      </c>
      <c r="X1186">
        <v>1.21</v>
      </c>
      <c r="Y1186">
        <v>0.8</v>
      </c>
      <c r="Z1186" t="s">
        <v>229</v>
      </c>
      <c r="AA1186" t="s">
        <v>963</v>
      </c>
      <c r="AB1186" t="s">
        <v>2520</v>
      </c>
      <c r="AC1186" t="s">
        <v>456</v>
      </c>
      <c r="AD1186" t="s">
        <v>2171</v>
      </c>
      <c r="AE1186" t="s">
        <v>611</v>
      </c>
      <c r="AF1186">
        <v>0.88252284714866092</v>
      </c>
    </row>
    <row r="1187" spans="1:32" x14ac:dyDescent="0.25">
      <c r="A1187" s="56">
        <v>3500083</v>
      </c>
      <c r="B1187" s="56" t="s">
        <v>1628</v>
      </c>
      <c r="C1187" s="56" t="s">
        <v>4872</v>
      </c>
      <c r="D1187" s="56"/>
      <c r="E1187" s="57">
        <v>2045.94</v>
      </c>
      <c r="F1187" s="57">
        <v>2.0459399999999999</v>
      </c>
      <c r="G1187" s="56" t="s">
        <v>392</v>
      </c>
      <c r="H1187" s="56" t="s">
        <v>4454</v>
      </c>
      <c r="I1187" s="56" t="s">
        <v>4455</v>
      </c>
      <c r="J1187" s="56"/>
      <c r="K1187" s="56"/>
      <c r="L1187" s="56"/>
      <c r="M1187" s="56"/>
      <c r="N1187" s="56" t="s">
        <v>101</v>
      </c>
      <c r="O1187" s="56">
        <v>91</v>
      </c>
      <c r="P1187" s="59" t="s">
        <v>2524</v>
      </c>
      <c r="Q1187" s="56" t="s">
        <v>192</v>
      </c>
      <c r="U1187" s="52">
        <v>1940795</v>
      </c>
      <c r="V1187">
        <v>40</v>
      </c>
      <c r="W1187">
        <v>20</v>
      </c>
      <c r="X1187">
        <v>1.21</v>
      </c>
      <c r="Y1187">
        <v>0.82699999999999996</v>
      </c>
      <c r="Z1187" t="s">
        <v>229</v>
      </c>
      <c r="AA1187" t="s">
        <v>963</v>
      </c>
      <c r="AB1187" t="s">
        <v>2520</v>
      </c>
      <c r="AC1187" t="s">
        <v>456</v>
      </c>
      <c r="AD1187" t="s">
        <v>2171</v>
      </c>
      <c r="AE1187" t="s">
        <v>4860</v>
      </c>
      <c r="AF1187">
        <v>0.91230799323992817</v>
      </c>
    </row>
    <row r="1188" spans="1:32" x14ac:dyDescent="0.25">
      <c r="A1188" s="56">
        <v>3500083</v>
      </c>
      <c r="B1188" s="56" t="s">
        <v>1628</v>
      </c>
      <c r="C1188" s="56" t="s">
        <v>4873</v>
      </c>
      <c r="D1188" s="56"/>
      <c r="E1188" s="57">
        <v>2064.9720000000002</v>
      </c>
      <c r="F1188" s="57">
        <v>2.064972</v>
      </c>
      <c r="G1188" s="56" t="s">
        <v>392</v>
      </c>
      <c r="H1188" s="56" t="s">
        <v>4454</v>
      </c>
      <c r="I1188" s="56" t="s">
        <v>4455</v>
      </c>
      <c r="J1188" s="56"/>
      <c r="K1188" s="56"/>
      <c r="L1188" s="56"/>
      <c r="M1188" s="56"/>
      <c r="N1188" s="56" t="s">
        <v>101</v>
      </c>
      <c r="O1188" s="56">
        <v>88</v>
      </c>
      <c r="P1188" s="59" t="s">
        <v>2579</v>
      </c>
      <c r="Q1188" s="56" t="s">
        <v>192</v>
      </c>
      <c r="U1188" s="52">
        <v>1940796</v>
      </c>
      <c r="V1188">
        <v>40</v>
      </c>
      <c r="W1188">
        <v>20</v>
      </c>
      <c r="X1188">
        <v>1.21</v>
      </c>
      <c r="Y1188">
        <v>0.85</v>
      </c>
      <c r="Z1188" t="s">
        <v>229</v>
      </c>
      <c r="AA1188" t="s">
        <v>963</v>
      </c>
      <c r="AB1188" t="s">
        <v>2520</v>
      </c>
      <c r="AC1188" t="s">
        <v>456</v>
      </c>
      <c r="AD1188" t="s">
        <v>2171</v>
      </c>
      <c r="AE1188" t="s">
        <v>4862</v>
      </c>
      <c r="AF1188">
        <v>0.93768052509545219</v>
      </c>
    </row>
    <row r="1189" spans="1:32" x14ac:dyDescent="0.25">
      <c r="A1189" s="56">
        <v>3500083</v>
      </c>
      <c r="B1189" s="56" t="s">
        <v>1628</v>
      </c>
      <c r="C1189" s="56" t="s">
        <v>4874</v>
      </c>
      <c r="D1189" s="56"/>
      <c r="E1189" s="57">
        <v>2055.4560000000001</v>
      </c>
      <c r="F1189" s="57">
        <v>2.0554559999999999</v>
      </c>
      <c r="G1189" s="56" t="s">
        <v>392</v>
      </c>
      <c r="H1189" s="56" t="s">
        <v>4454</v>
      </c>
      <c r="I1189" s="56" t="s">
        <v>4455</v>
      </c>
      <c r="J1189" s="56"/>
      <c r="K1189" s="56"/>
      <c r="L1189" s="56"/>
      <c r="M1189" s="56"/>
      <c r="N1189" s="56" t="s">
        <v>101</v>
      </c>
      <c r="O1189" s="56">
        <v>88</v>
      </c>
      <c r="P1189" s="59" t="s">
        <v>2579</v>
      </c>
      <c r="Q1189" s="56" t="s">
        <v>192</v>
      </c>
      <c r="U1189" s="555">
        <v>3233556</v>
      </c>
      <c r="V1189">
        <v>40</v>
      </c>
      <c r="W1189">
        <v>20</v>
      </c>
      <c r="X1189">
        <v>1.21</v>
      </c>
      <c r="Y1189">
        <v>0.94</v>
      </c>
      <c r="Z1189" t="s">
        <v>229</v>
      </c>
      <c r="AA1189" t="s">
        <v>963</v>
      </c>
      <c r="AB1189" t="s">
        <v>2520</v>
      </c>
      <c r="AC1189" t="s">
        <v>456</v>
      </c>
      <c r="AD1189" t="s">
        <v>2171</v>
      </c>
      <c r="AE1189" t="s">
        <v>4864</v>
      </c>
      <c r="AF1189">
        <v>1.0369643453996764</v>
      </c>
    </row>
    <row r="1190" spans="1:32" x14ac:dyDescent="0.25">
      <c r="A1190" s="56">
        <v>3500083</v>
      </c>
      <c r="B1190" s="56" t="s">
        <v>1628</v>
      </c>
      <c r="C1190" s="56" t="s">
        <v>4875</v>
      </c>
      <c r="D1190" s="56"/>
      <c r="E1190" s="57">
        <v>2084.0039999999999</v>
      </c>
      <c r="F1190" s="57">
        <v>2.0840039999999997</v>
      </c>
      <c r="G1190" s="56" t="s">
        <v>392</v>
      </c>
      <c r="H1190" s="56" t="s">
        <v>4454</v>
      </c>
      <c r="I1190" s="56" t="s">
        <v>4455</v>
      </c>
      <c r="J1190" s="56"/>
      <c r="K1190" s="56"/>
      <c r="L1190" s="56"/>
      <c r="M1190" s="56"/>
      <c r="N1190" s="56" t="s">
        <v>101</v>
      </c>
      <c r="O1190" s="56">
        <v>88</v>
      </c>
      <c r="P1190" s="59" t="s">
        <v>2579</v>
      </c>
      <c r="Q1190" s="56" t="s">
        <v>192</v>
      </c>
      <c r="U1190" s="555">
        <v>3233555</v>
      </c>
      <c r="V1190">
        <v>40</v>
      </c>
      <c r="W1190">
        <v>20</v>
      </c>
      <c r="X1190">
        <v>1.21</v>
      </c>
      <c r="Y1190">
        <v>1.1200000000000001</v>
      </c>
      <c r="Z1190" t="s">
        <v>229</v>
      </c>
      <c r="AA1190" t="s">
        <v>963</v>
      </c>
      <c r="AB1190" t="s">
        <v>2520</v>
      </c>
      <c r="AC1190" t="s">
        <v>456</v>
      </c>
      <c r="AD1190" t="s">
        <v>2171</v>
      </c>
      <c r="AE1190" t="s">
        <v>483</v>
      </c>
      <c r="AF1190">
        <v>1.2355319860081253</v>
      </c>
    </row>
    <row r="1191" spans="1:32" x14ac:dyDescent="0.25">
      <c r="A1191" s="56">
        <v>3500083</v>
      </c>
      <c r="B1191" s="56" t="s">
        <v>1628</v>
      </c>
      <c r="C1191" s="56" t="s">
        <v>4876</v>
      </c>
      <c r="D1191" s="56"/>
      <c r="E1191" s="57">
        <v>2064.9720000000002</v>
      </c>
      <c r="F1191" s="57">
        <v>2.064972</v>
      </c>
      <c r="G1191" s="56" t="s">
        <v>392</v>
      </c>
      <c r="H1191" s="56" t="s">
        <v>4454</v>
      </c>
      <c r="I1191" s="56" t="s">
        <v>4455</v>
      </c>
      <c r="J1191" s="56"/>
      <c r="K1191" s="56"/>
      <c r="L1191" s="56"/>
      <c r="M1191" s="56"/>
      <c r="N1191" s="56" t="s">
        <v>101</v>
      </c>
      <c r="O1191" s="56">
        <v>88</v>
      </c>
      <c r="P1191" s="59" t="s">
        <v>2579</v>
      </c>
      <c r="Q1191" s="56" t="s">
        <v>192</v>
      </c>
      <c r="U1191" s="555">
        <v>3233554</v>
      </c>
      <c r="V1191">
        <v>40</v>
      </c>
      <c r="W1191">
        <v>20</v>
      </c>
      <c r="X1191">
        <v>1.21</v>
      </c>
      <c r="Y1191">
        <v>1.246</v>
      </c>
      <c r="Z1191" t="s">
        <v>229</v>
      </c>
      <c r="AA1191" t="s">
        <v>963</v>
      </c>
      <c r="AB1191" t="s">
        <v>2520</v>
      </c>
      <c r="AC1191" t="s">
        <v>456</v>
      </c>
      <c r="AD1191" t="s">
        <v>2171</v>
      </c>
      <c r="AE1191" t="s">
        <v>481</v>
      </c>
      <c r="AF1191">
        <v>1.3745293344340392</v>
      </c>
    </row>
    <row r="1192" spans="1:32" x14ac:dyDescent="0.25">
      <c r="A1192" s="56">
        <v>3500083</v>
      </c>
      <c r="B1192" s="56" t="s">
        <v>1628</v>
      </c>
      <c r="C1192" s="56" t="s">
        <v>4877</v>
      </c>
      <c r="D1192" s="56"/>
      <c r="E1192" s="57">
        <v>1414.972</v>
      </c>
      <c r="F1192" s="57">
        <v>1.4149719999999999</v>
      </c>
      <c r="G1192" s="56" t="s">
        <v>392</v>
      </c>
      <c r="H1192" s="56" t="s">
        <v>4454</v>
      </c>
      <c r="I1192" s="56" t="s">
        <v>4455</v>
      </c>
      <c r="J1192" s="56"/>
      <c r="K1192" s="56"/>
      <c r="L1192" s="56"/>
      <c r="M1192" s="56"/>
      <c r="N1192" s="56" t="s">
        <v>101</v>
      </c>
      <c r="O1192" s="56">
        <v>70</v>
      </c>
      <c r="P1192" s="59" t="s">
        <v>2579</v>
      </c>
      <c r="Q1192" s="56" t="s">
        <v>192</v>
      </c>
      <c r="U1192" s="52">
        <v>3233553</v>
      </c>
      <c r="V1192">
        <v>40</v>
      </c>
      <c r="W1192">
        <v>20</v>
      </c>
      <c r="X1192">
        <v>1.21</v>
      </c>
      <c r="Y1192">
        <v>1.298</v>
      </c>
      <c r="Z1192" t="s">
        <v>229</v>
      </c>
      <c r="AA1192" t="s">
        <v>963</v>
      </c>
      <c r="AB1192" t="s">
        <v>2520</v>
      </c>
      <c r="AC1192" t="s">
        <v>456</v>
      </c>
      <c r="AD1192" t="s">
        <v>2171</v>
      </c>
      <c r="AE1192" t="s">
        <v>4868</v>
      </c>
      <c r="AF1192">
        <v>1.4318933194987022</v>
      </c>
    </row>
    <row r="1193" spans="1:32" x14ac:dyDescent="0.25">
      <c r="A1193" s="56">
        <v>3500083</v>
      </c>
      <c r="B1193" s="56" t="s">
        <v>1628</v>
      </c>
      <c r="C1193" s="56" t="s">
        <v>4878</v>
      </c>
      <c r="D1193" s="56"/>
      <c r="E1193" s="57">
        <v>2064.9720000000002</v>
      </c>
      <c r="F1193" s="57">
        <v>2.064972</v>
      </c>
      <c r="G1193" s="56" t="s">
        <v>392</v>
      </c>
      <c r="H1193" s="56" t="s">
        <v>4454</v>
      </c>
      <c r="I1193" s="56" t="s">
        <v>4455</v>
      </c>
      <c r="J1193" s="56"/>
      <c r="K1193" s="56"/>
      <c r="L1193" s="56"/>
      <c r="M1193" s="56"/>
      <c r="N1193" s="56" t="s">
        <v>101</v>
      </c>
      <c r="O1193" s="56">
        <v>88</v>
      </c>
      <c r="P1193" s="59" t="s">
        <v>2579</v>
      </c>
      <c r="Q1193" s="56" t="s">
        <v>192</v>
      </c>
      <c r="U1193" s="52">
        <v>1940801</v>
      </c>
      <c r="V1193">
        <v>40</v>
      </c>
      <c r="W1193">
        <v>20</v>
      </c>
      <c r="X1193">
        <v>1.21</v>
      </c>
      <c r="Y1193">
        <v>1.31</v>
      </c>
      <c r="Z1193" t="s">
        <v>229</v>
      </c>
      <c r="AA1193" t="s">
        <v>963</v>
      </c>
      <c r="AB1193" t="s">
        <v>2520</v>
      </c>
      <c r="AC1193" t="s">
        <v>456</v>
      </c>
      <c r="AD1193" t="s">
        <v>2171</v>
      </c>
      <c r="AE1193" t="s">
        <v>479</v>
      </c>
      <c r="AF1193">
        <v>1.4451311622059322</v>
      </c>
    </row>
    <row r="1194" spans="1:32" x14ac:dyDescent="0.25">
      <c r="A1194" s="56">
        <v>3500083</v>
      </c>
      <c r="B1194" s="56" t="s">
        <v>1628</v>
      </c>
      <c r="C1194" s="56" t="s">
        <v>4879</v>
      </c>
      <c r="D1194" s="56"/>
      <c r="E1194" s="57">
        <v>2064.9720000000002</v>
      </c>
      <c r="F1194" s="57">
        <v>2.064972</v>
      </c>
      <c r="G1194" s="56" t="s">
        <v>392</v>
      </c>
      <c r="H1194" s="56" t="s">
        <v>4454</v>
      </c>
      <c r="I1194" s="56" t="s">
        <v>4455</v>
      </c>
      <c r="J1194" s="56"/>
      <c r="K1194" s="56"/>
      <c r="L1194" s="56"/>
      <c r="M1194" s="56"/>
      <c r="N1194" s="56" t="s">
        <v>101</v>
      </c>
      <c r="O1194" s="56">
        <v>91</v>
      </c>
      <c r="P1194" s="59" t="s">
        <v>2524</v>
      </c>
      <c r="Q1194" s="56" t="s">
        <v>192</v>
      </c>
      <c r="U1194" s="538">
        <v>110102927</v>
      </c>
      <c r="V1194">
        <v>40</v>
      </c>
      <c r="W1194">
        <v>20</v>
      </c>
      <c r="X1194">
        <v>1.21</v>
      </c>
      <c r="Y1194">
        <v>5.31</v>
      </c>
      <c r="Z1194" t="s">
        <v>229</v>
      </c>
      <c r="AA1194" t="s">
        <v>963</v>
      </c>
      <c r="AB1194" t="s">
        <v>2520</v>
      </c>
      <c r="AC1194" t="s">
        <v>456</v>
      </c>
      <c r="AD1194" t="s">
        <v>1838</v>
      </c>
      <c r="AE1194" t="s">
        <v>458</v>
      </c>
      <c r="AF1194">
        <v>1.1031535589358261</v>
      </c>
    </row>
    <row r="1195" spans="1:32" x14ac:dyDescent="0.25">
      <c r="A1195" s="56">
        <v>3500083</v>
      </c>
      <c r="B1195" s="56" t="s">
        <v>1628</v>
      </c>
      <c r="C1195" s="56" t="s">
        <v>4880</v>
      </c>
      <c r="D1195" s="56"/>
      <c r="E1195" s="57">
        <v>2064.9720000000002</v>
      </c>
      <c r="F1195" s="57">
        <v>2.064972</v>
      </c>
      <c r="G1195" s="56" t="s">
        <v>392</v>
      </c>
      <c r="H1195" s="56" t="s">
        <v>4454</v>
      </c>
      <c r="I1195" s="56" t="s">
        <v>4455</v>
      </c>
      <c r="J1195" s="56"/>
      <c r="K1195" s="56"/>
      <c r="L1195" s="56"/>
      <c r="M1195" s="56"/>
      <c r="N1195" s="56" t="s">
        <v>101</v>
      </c>
      <c r="O1195" s="56">
        <v>88</v>
      </c>
      <c r="P1195" s="59" t="s">
        <v>2579</v>
      </c>
      <c r="Q1195" s="56" t="s">
        <v>192</v>
      </c>
      <c r="U1195" s="592">
        <v>3731692</v>
      </c>
      <c r="V1195">
        <v>40</v>
      </c>
      <c r="W1195">
        <v>20</v>
      </c>
      <c r="X1195">
        <v>1.21</v>
      </c>
      <c r="Y1195">
        <v>5.31</v>
      </c>
      <c r="Z1195" t="s">
        <v>229</v>
      </c>
      <c r="AA1195" t="s">
        <v>963</v>
      </c>
      <c r="AB1195" t="s">
        <v>2520</v>
      </c>
      <c r="AC1195" t="s">
        <v>456</v>
      </c>
      <c r="AD1195" t="s">
        <v>1838</v>
      </c>
      <c r="AE1195" t="s">
        <v>458</v>
      </c>
      <c r="AF1195" t="e">
        <f>IF([4]!buckets[[#This Row],[LL or CTL]]="LL",(3.14*([4]!buckets[[#This Row],[OD]]-[4]!buckets[[#This Row],[Thickness]])*[4]!buckets[[#This Row],[Thickness]]*1000*7.85)/1000000,(3.14*([4]!buckets[[#This Row],[OD]]-[4]!buckets[[#This Row],[Thickness]])*[4]!buckets[[#This Row],[Thickness]]*[4]!buckets[[#This Row],[Length]]*1000*7.85)/1000000)</f>
        <v>#REF!</v>
      </c>
    </row>
    <row r="1196" spans="1:32" x14ac:dyDescent="0.25">
      <c r="A1196" s="56">
        <v>3500083</v>
      </c>
      <c r="B1196" s="56" t="s">
        <v>1628</v>
      </c>
      <c r="C1196" s="56" t="s">
        <v>4882</v>
      </c>
      <c r="D1196" s="56"/>
      <c r="E1196" s="57">
        <v>2064.9720000000002</v>
      </c>
      <c r="F1196" s="57">
        <v>2.064972</v>
      </c>
      <c r="G1196" s="56" t="s">
        <v>392</v>
      </c>
      <c r="H1196" s="56" t="s">
        <v>4454</v>
      </c>
      <c r="I1196" s="56" t="s">
        <v>4455</v>
      </c>
      <c r="J1196" s="56"/>
      <c r="K1196" s="56"/>
      <c r="L1196" s="56"/>
      <c r="M1196" s="56"/>
      <c r="N1196" s="56" t="s">
        <v>101</v>
      </c>
      <c r="O1196" s="56">
        <v>88</v>
      </c>
      <c r="P1196" s="59" t="s">
        <v>2579</v>
      </c>
      <c r="Q1196" s="56" t="s">
        <v>192</v>
      </c>
      <c r="U1196" s="591">
        <v>111103595</v>
      </c>
      <c r="V1196">
        <v>40</v>
      </c>
      <c r="W1196">
        <v>20</v>
      </c>
      <c r="X1196">
        <v>1.21</v>
      </c>
      <c r="Y1196">
        <v>5.47</v>
      </c>
      <c r="Z1196" t="s">
        <v>229</v>
      </c>
      <c r="AA1196" t="s">
        <v>963</v>
      </c>
      <c r="AB1196" t="s">
        <v>2520</v>
      </c>
      <c r="AC1196" t="s">
        <v>456</v>
      </c>
      <c r="AD1196" t="s">
        <v>1838</v>
      </c>
      <c r="AE1196" t="s">
        <v>458</v>
      </c>
      <c r="AF1196">
        <v>1.1031535589358261</v>
      </c>
    </row>
    <row r="1197" spans="1:32" x14ac:dyDescent="0.25">
      <c r="A1197" s="56">
        <v>3500083</v>
      </c>
      <c r="B1197" s="56" t="s">
        <v>1628</v>
      </c>
      <c r="C1197" s="56" t="s">
        <v>4884</v>
      </c>
      <c r="D1197" s="56"/>
      <c r="E1197" s="57">
        <v>2055.4560000000001</v>
      </c>
      <c r="F1197" s="57">
        <v>2.0554559999999999</v>
      </c>
      <c r="G1197" s="56" t="s">
        <v>392</v>
      </c>
      <c r="H1197" s="56" t="s">
        <v>4454</v>
      </c>
      <c r="I1197" s="56" t="s">
        <v>4455</v>
      </c>
      <c r="J1197" s="56"/>
      <c r="K1197" s="56"/>
      <c r="L1197" s="56"/>
      <c r="M1197" s="56"/>
      <c r="N1197" s="56" t="s">
        <v>101</v>
      </c>
      <c r="O1197" s="56">
        <v>88</v>
      </c>
      <c r="P1197" s="59" t="s">
        <v>2579</v>
      </c>
      <c r="Q1197" s="56" t="s">
        <v>192</v>
      </c>
      <c r="U1197" s="591">
        <v>110102924</v>
      </c>
      <c r="V1197">
        <v>40</v>
      </c>
      <c r="W1197">
        <v>20</v>
      </c>
      <c r="X1197">
        <v>1.21</v>
      </c>
      <c r="Y1197">
        <v>5.7750000000000004</v>
      </c>
      <c r="Z1197" t="s">
        <v>229</v>
      </c>
      <c r="AA1197" t="s">
        <v>963</v>
      </c>
      <c r="AB1197" t="s">
        <v>2520</v>
      </c>
      <c r="AC1197" t="s">
        <v>456</v>
      </c>
      <c r="AD1197" t="s">
        <v>1838</v>
      </c>
      <c r="AE1197" t="s">
        <v>458</v>
      </c>
      <c r="AF1197">
        <v>1.1031535589358261</v>
      </c>
    </row>
    <row r="1198" spans="1:32" x14ac:dyDescent="0.25">
      <c r="A1198" s="56">
        <v>3500083</v>
      </c>
      <c r="B1198" s="56" t="s">
        <v>1628</v>
      </c>
      <c r="C1198" s="56" t="s">
        <v>4885</v>
      </c>
      <c r="D1198" s="56"/>
      <c r="E1198" s="57">
        <v>2064.9720000000002</v>
      </c>
      <c r="F1198" s="57">
        <v>2.064972</v>
      </c>
      <c r="G1198" s="56" t="s">
        <v>392</v>
      </c>
      <c r="H1198" s="56" t="s">
        <v>4454</v>
      </c>
      <c r="I1198" s="56" t="s">
        <v>4455</v>
      </c>
      <c r="J1198" s="56"/>
      <c r="K1198" s="56"/>
      <c r="L1198" s="56"/>
      <c r="M1198" s="56"/>
      <c r="N1198" s="56" t="s">
        <v>101</v>
      </c>
      <c r="O1198" s="56">
        <v>88</v>
      </c>
      <c r="P1198" s="59" t="s">
        <v>2579</v>
      </c>
      <c r="Q1198" s="56" t="s">
        <v>192</v>
      </c>
      <c r="U1198" s="52">
        <v>1940807</v>
      </c>
      <c r="V1198">
        <v>40</v>
      </c>
      <c r="W1198">
        <v>20</v>
      </c>
      <c r="X1198">
        <v>1.21</v>
      </c>
      <c r="Y1198">
        <v>6</v>
      </c>
      <c r="Z1198" t="s">
        <v>229</v>
      </c>
      <c r="AA1198" t="s">
        <v>963</v>
      </c>
      <c r="AB1198" t="s">
        <v>2520</v>
      </c>
      <c r="AC1198" t="s">
        <v>456</v>
      </c>
      <c r="AD1198" t="s">
        <v>1838</v>
      </c>
      <c r="AE1198" t="s">
        <v>458</v>
      </c>
      <c r="AF1198">
        <v>1.1031535589358261</v>
      </c>
    </row>
    <row r="1199" spans="1:32" x14ac:dyDescent="0.25">
      <c r="A1199" s="56">
        <v>3500083</v>
      </c>
      <c r="B1199" s="56" t="s">
        <v>1628</v>
      </c>
      <c r="C1199" s="56" t="s">
        <v>4886</v>
      </c>
      <c r="D1199" s="56"/>
      <c r="E1199" s="57">
        <v>1019.972</v>
      </c>
      <c r="F1199" s="57">
        <v>1.0199719999999999</v>
      </c>
      <c r="G1199" s="56" t="s">
        <v>392</v>
      </c>
      <c r="H1199" s="56" t="s">
        <v>4454</v>
      </c>
      <c r="I1199" s="56" t="s">
        <v>4455</v>
      </c>
      <c r="J1199" s="56"/>
      <c r="K1199" s="56"/>
      <c r="L1199" s="56"/>
      <c r="M1199" s="56"/>
      <c r="N1199" s="56" t="s">
        <v>101</v>
      </c>
      <c r="O1199" s="56">
        <v>70</v>
      </c>
      <c r="P1199" s="59" t="s">
        <v>2579</v>
      </c>
      <c r="Q1199" s="56" t="s">
        <v>192</v>
      </c>
      <c r="U1199" s="538">
        <v>110102922</v>
      </c>
      <c r="V1199">
        <v>40</v>
      </c>
      <c r="W1199">
        <v>20</v>
      </c>
      <c r="X1199">
        <v>1.21</v>
      </c>
      <c r="Y1199">
        <v>6.0350000000000001</v>
      </c>
      <c r="Z1199" t="s">
        <v>229</v>
      </c>
      <c r="AA1199" t="s">
        <v>963</v>
      </c>
      <c r="AB1199" t="s">
        <v>2520</v>
      </c>
      <c r="AC1199" t="s">
        <v>456</v>
      </c>
      <c r="AD1199" t="s">
        <v>1838</v>
      </c>
      <c r="AE1199" t="s">
        <v>458</v>
      </c>
      <c r="AF1199">
        <v>1.1031535589358261</v>
      </c>
    </row>
    <row r="1200" spans="1:32" x14ac:dyDescent="0.25">
      <c r="A1200" s="56">
        <v>3500083</v>
      </c>
      <c r="B1200" s="56" t="s">
        <v>1628</v>
      </c>
      <c r="C1200" s="56" t="s">
        <v>4889</v>
      </c>
      <c r="D1200" s="56"/>
      <c r="E1200" s="57">
        <v>2084.0039999999999</v>
      </c>
      <c r="F1200" s="57">
        <v>2.0840039999999997</v>
      </c>
      <c r="G1200" s="56" t="s">
        <v>392</v>
      </c>
      <c r="H1200" s="56" t="s">
        <v>4454</v>
      </c>
      <c r="I1200" s="56" t="s">
        <v>4455</v>
      </c>
      <c r="J1200" s="56"/>
      <c r="K1200" s="56"/>
      <c r="L1200" s="56"/>
      <c r="M1200" s="56"/>
      <c r="N1200" s="56" t="s">
        <v>101</v>
      </c>
      <c r="O1200" s="56">
        <v>91</v>
      </c>
      <c r="P1200" s="59" t="s">
        <v>2524</v>
      </c>
      <c r="Q1200" s="56" t="s">
        <v>192</v>
      </c>
      <c r="U1200" s="538">
        <v>111001341</v>
      </c>
      <c r="V1200">
        <v>40</v>
      </c>
      <c r="W1200">
        <v>20</v>
      </c>
      <c r="X1200">
        <v>1.21</v>
      </c>
      <c r="Y1200">
        <v>6.1</v>
      </c>
      <c r="Z1200" t="s">
        <v>1883</v>
      </c>
      <c r="AA1200" t="s">
        <v>963</v>
      </c>
      <c r="AB1200" t="s">
        <v>2517</v>
      </c>
      <c r="AC1200" t="s">
        <v>456</v>
      </c>
      <c r="AD1200" t="s">
        <v>1838</v>
      </c>
      <c r="AE1200" t="s">
        <v>458</v>
      </c>
      <c r="AF1200">
        <v>1.1031535589358261</v>
      </c>
    </row>
    <row r="1201" spans="1:32" x14ac:dyDescent="0.25">
      <c r="A1201" s="56">
        <v>3500083</v>
      </c>
      <c r="B1201" s="56" t="s">
        <v>1628</v>
      </c>
      <c r="C1201" s="56" t="s">
        <v>4892</v>
      </c>
      <c r="D1201" s="56"/>
      <c r="E1201" s="57">
        <v>2064.9720000000002</v>
      </c>
      <c r="F1201" s="57">
        <v>2.064972</v>
      </c>
      <c r="G1201" s="56" t="s">
        <v>392</v>
      </c>
      <c r="H1201" s="56" t="s">
        <v>4454</v>
      </c>
      <c r="I1201" s="56" t="s">
        <v>4455</v>
      </c>
      <c r="J1201" s="56"/>
      <c r="K1201" s="56"/>
      <c r="L1201" s="56"/>
      <c r="M1201" s="56"/>
      <c r="N1201" s="56" t="s">
        <v>101</v>
      </c>
      <c r="O1201" s="56">
        <v>88</v>
      </c>
      <c r="P1201" s="59" t="s">
        <v>2579</v>
      </c>
      <c r="Q1201" s="56" t="s">
        <v>192</v>
      </c>
      <c r="U1201" s="590">
        <v>4201127</v>
      </c>
      <c r="V1201">
        <v>40</v>
      </c>
      <c r="W1201">
        <v>20</v>
      </c>
      <c r="X1201">
        <v>1.21</v>
      </c>
      <c r="Y1201">
        <v>6.1</v>
      </c>
      <c r="Z1201" t="s">
        <v>229</v>
      </c>
      <c r="AA1201" t="s">
        <v>963</v>
      </c>
      <c r="AB1201" t="s">
        <v>2520</v>
      </c>
      <c r="AC1201" t="s">
        <v>456</v>
      </c>
      <c r="AD1201" t="s">
        <v>1838</v>
      </c>
      <c r="AE1201" t="s">
        <v>458</v>
      </c>
      <c r="AF1201">
        <v>1.1031535589358261</v>
      </c>
    </row>
    <row r="1202" spans="1:32" x14ac:dyDescent="0.25">
      <c r="A1202" s="56">
        <v>3500083</v>
      </c>
      <c r="B1202" s="56" t="s">
        <v>1628</v>
      </c>
      <c r="C1202" s="56" t="s">
        <v>4893</v>
      </c>
      <c r="D1202" s="56"/>
      <c r="E1202" s="57">
        <v>1537.5050000000001</v>
      </c>
      <c r="F1202" s="57">
        <v>1.5375050000000001</v>
      </c>
      <c r="G1202" s="56" t="s">
        <v>392</v>
      </c>
      <c r="H1202" s="56" t="s">
        <v>4454</v>
      </c>
      <c r="I1202" s="56" t="s">
        <v>4455</v>
      </c>
      <c r="J1202" s="56"/>
      <c r="K1202" s="56"/>
      <c r="L1202" s="56"/>
      <c r="M1202" s="56"/>
      <c r="N1202" s="56" t="s">
        <v>101</v>
      </c>
      <c r="O1202" s="56">
        <v>48</v>
      </c>
      <c r="P1202" s="59" t="s">
        <v>2532</v>
      </c>
      <c r="Q1202" s="56" t="s">
        <v>192</v>
      </c>
      <c r="U1202" s="589">
        <v>4100177</v>
      </c>
      <c r="V1202">
        <v>40</v>
      </c>
      <c r="W1202">
        <v>20</v>
      </c>
      <c r="X1202">
        <v>1.6</v>
      </c>
      <c r="Y1202">
        <v>0.35599999999999998</v>
      </c>
      <c r="Z1202" t="s">
        <v>1891</v>
      </c>
      <c r="AA1202" t="s">
        <v>2520</v>
      </c>
      <c r="AB1202" t="s">
        <v>1003</v>
      </c>
      <c r="AC1202" t="s">
        <v>661</v>
      </c>
      <c r="AD1202" t="s">
        <v>2171</v>
      </c>
      <c r="AE1202" t="s">
        <v>663</v>
      </c>
      <c r="AF1202">
        <v>0.513827072684369</v>
      </c>
    </row>
    <row r="1203" spans="1:32" x14ac:dyDescent="0.25">
      <c r="A1203" s="56">
        <v>3500083</v>
      </c>
      <c r="B1203" s="56" t="s">
        <v>1628</v>
      </c>
      <c r="C1203" s="56" t="s">
        <v>4894</v>
      </c>
      <c r="D1203" s="56"/>
      <c r="E1203" s="57">
        <v>125.765</v>
      </c>
      <c r="F1203" s="57">
        <v>0.12576499999999999</v>
      </c>
      <c r="G1203" s="56" t="s">
        <v>392</v>
      </c>
      <c r="H1203" s="56" t="s">
        <v>4454</v>
      </c>
      <c r="I1203" s="56" t="s">
        <v>4455</v>
      </c>
      <c r="J1203" s="56"/>
      <c r="K1203" s="56"/>
      <c r="L1203" s="56"/>
      <c r="M1203" s="56"/>
      <c r="N1203" s="56" t="s">
        <v>101</v>
      </c>
      <c r="O1203" s="56">
        <v>48</v>
      </c>
      <c r="P1203" s="59" t="s">
        <v>2532</v>
      </c>
      <c r="Q1203" s="56" t="s">
        <v>192</v>
      </c>
      <c r="U1203" s="590">
        <v>1940815</v>
      </c>
      <c r="V1203">
        <v>40</v>
      </c>
      <c r="W1203">
        <v>20</v>
      </c>
      <c r="X1203">
        <v>1.6</v>
      </c>
      <c r="Y1203">
        <v>0.48</v>
      </c>
      <c r="Z1203" t="s">
        <v>1891</v>
      </c>
      <c r="AA1203" t="s">
        <v>1003</v>
      </c>
      <c r="AB1203" t="s">
        <v>2520</v>
      </c>
      <c r="AC1203" t="s">
        <v>661</v>
      </c>
      <c r="AD1203" t="s">
        <v>2171</v>
      </c>
      <c r="AE1203" t="s">
        <v>791</v>
      </c>
      <c r="AF1203">
        <v>0.69280054743959874</v>
      </c>
    </row>
    <row r="1204" spans="1:32" x14ac:dyDescent="0.25">
      <c r="A1204" s="56">
        <v>3500223</v>
      </c>
      <c r="B1204" s="56" t="s">
        <v>4896</v>
      </c>
      <c r="C1204" s="56" t="s">
        <v>4897</v>
      </c>
      <c r="D1204" s="56"/>
      <c r="E1204" s="57">
        <v>2603.3490000000002</v>
      </c>
      <c r="F1204" s="57">
        <v>2.6033490000000001</v>
      </c>
      <c r="G1204" s="56" t="s">
        <v>392</v>
      </c>
      <c r="H1204" s="56" t="s">
        <v>4454</v>
      </c>
      <c r="I1204" s="56" t="s">
        <v>4455</v>
      </c>
      <c r="J1204" s="56"/>
      <c r="K1204" s="56"/>
      <c r="L1204" s="56"/>
      <c r="M1204" s="56"/>
      <c r="N1204" s="56" t="s">
        <v>101</v>
      </c>
      <c r="O1204" s="56">
        <v>54</v>
      </c>
      <c r="P1204" s="59" t="s">
        <v>2532</v>
      </c>
      <c r="Q1204" s="56" t="s">
        <v>192</v>
      </c>
      <c r="U1204" s="52">
        <v>1940816</v>
      </c>
      <c r="V1204">
        <v>40</v>
      </c>
      <c r="W1204">
        <v>20</v>
      </c>
      <c r="X1204">
        <v>1.6</v>
      </c>
      <c r="Y1204">
        <v>0.54500000000000004</v>
      </c>
      <c r="Z1204" t="s">
        <v>1891</v>
      </c>
      <c r="AA1204" t="s">
        <v>1003</v>
      </c>
      <c r="AB1204" t="s">
        <v>2520</v>
      </c>
      <c r="AC1204" t="s">
        <v>661</v>
      </c>
      <c r="AD1204" t="s">
        <v>2171</v>
      </c>
      <c r="AE1204" t="s">
        <v>4881</v>
      </c>
      <c r="AF1204">
        <v>0.78661728823871113</v>
      </c>
    </row>
    <row r="1205" spans="1:32" x14ac:dyDescent="0.25">
      <c r="A1205" s="56">
        <v>3500223</v>
      </c>
      <c r="B1205" s="56" t="s">
        <v>4896</v>
      </c>
      <c r="C1205" s="56" t="s">
        <v>4899</v>
      </c>
      <c r="D1205" s="56"/>
      <c r="E1205" s="57">
        <v>1439.64</v>
      </c>
      <c r="F1205" s="57">
        <v>1.43964</v>
      </c>
      <c r="G1205" s="56" t="s">
        <v>392</v>
      </c>
      <c r="H1205" s="56" t="s">
        <v>4454</v>
      </c>
      <c r="I1205" s="56" t="s">
        <v>4455</v>
      </c>
      <c r="J1205" s="56"/>
      <c r="K1205" s="56"/>
      <c r="L1205" s="56"/>
      <c r="M1205" s="56"/>
      <c r="N1205" s="56" t="s">
        <v>101</v>
      </c>
      <c r="O1205" s="56">
        <v>24</v>
      </c>
      <c r="P1205" s="59" t="s">
        <v>2515</v>
      </c>
      <c r="Q1205" s="56" t="s">
        <v>192</v>
      </c>
      <c r="U1205" s="52">
        <v>1940820</v>
      </c>
      <c r="V1205">
        <v>40</v>
      </c>
      <c r="W1205">
        <v>20</v>
      </c>
      <c r="X1205">
        <v>1.6</v>
      </c>
      <c r="Y1205">
        <v>0.60699999999999998</v>
      </c>
      <c r="Z1205" t="s">
        <v>1891</v>
      </c>
      <c r="AA1205" t="s">
        <v>1003</v>
      </c>
      <c r="AB1205" t="s">
        <v>2520</v>
      </c>
      <c r="AC1205" t="s">
        <v>661</v>
      </c>
      <c r="AD1205" t="s">
        <v>2171</v>
      </c>
      <c r="AE1205" t="s">
        <v>4883</v>
      </c>
      <c r="AF1205">
        <v>0.87610402561632583</v>
      </c>
    </row>
    <row r="1206" spans="1:32" x14ac:dyDescent="0.25">
      <c r="A1206" s="56">
        <v>3500223</v>
      </c>
      <c r="B1206" s="56" t="s">
        <v>4896</v>
      </c>
      <c r="C1206" s="56" t="s">
        <v>4900</v>
      </c>
      <c r="D1206" s="56"/>
      <c r="E1206" s="57">
        <v>2579.355</v>
      </c>
      <c r="F1206" s="57">
        <v>2.5793550000000001</v>
      </c>
      <c r="G1206" s="56" t="s">
        <v>392</v>
      </c>
      <c r="H1206" s="56" t="s">
        <v>4454</v>
      </c>
      <c r="I1206" s="56" t="s">
        <v>4455</v>
      </c>
      <c r="J1206" s="56"/>
      <c r="K1206" s="56"/>
      <c r="L1206" s="56"/>
      <c r="M1206" s="56"/>
      <c r="N1206" s="56" t="s">
        <v>101</v>
      </c>
      <c r="O1206" s="56">
        <v>54</v>
      </c>
      <c r="P1206" s="59" t="s">
        <v>2532</v>
      </c>
      <c r="Q1206" s="56" t="s">
        <v>192</v>
      </c>
      <c r="U1206">
        <v>3929636</v>
      </c>
      <c r="V1206">
        <v>40</v>
      </c>
      <c r="W1206">
        <v>20</v>
      </c>
      <c r="X1206">
        <v>1.6</v>
      </c>
      <c r="Y1206">
        <v>5.86</v>
      </c>
      <c r="Z1206" t="s">
        <v>1891</v>
      </c>
      <c r="AA1206" t="s">
        <v>1003</v>
      </c>
      <c r="AB1206" t="s">
        <v>2520</v>
      </c>
      <c r="AC1206" t="s">
        <v>661</v>
      </c>
      <c r="AD1206" t="s">
        <v>1838</v>
      </c>
      <c r="AE1206" t="s">
        <v>743</v>
      </c>
      <c r="AF1206">
        <v>1.4433344738324974</v>
      </c>
    </row>
    <row r="1207" spans="1:32" x14ac:dyDescent="0.25">
      <c r="A1207" s="56">
        <v>3500223</v>
      </c>
      <c r="B1207" s="56" t="s">
        <v>4896</v>
      </c>
      <c r="C1207" s="56" t="s">
        <v>4901</v>
      </c>
      <c r="D1207" s="56"/>
      <c r="E1207" s="57">
        <v>2603.3490000000002</v>
      </c>
      <c r="F1207" s="57">
        <v>2.6033490000000001</v>
      </c>
      <c r="G1207" s="56" t="s">
        <v>392</v>
      </c>
      <c r="H1207" s="56" t="s">
        <v>4454</v>
      </c>
      <c r="I1207" s="56" t="s">
        <v>4455</v>
      </c>
      <c r="J1207" s="56"/>
      <c r="K1207" s="56"/>
      <c r="L1207" s="56"/>
      <c r="M1207" s="56"/>
      <c r="N1207" s="56" t="s">
        <v>101</v>
      </c>
      <c r="O1207" s="56">
        <v>54</v>
      </c>
      <c r="P1207" s="59" t="s">
        <v>2532</v>
      </c>
      <c r="Q1207" s="56" t="s">
        <v>192</v>
      </c>
      <c r="U1207" s="538">
        <v>111116373</v>
      </c>
      <c r="V1207">
        <v>40</v>
      </c>
      <c r="W1207">
        <v>20</v>
      </c>
      <c r="X1207">
        <v>1.6</v>
      </c>
      <c r="Y1207">
        <v>5.86</v>
      </c>
      <c r="Z1207" t="s">
        <v>1891</v>
      </c>
      <c r="AA1207" t="s">
        <v>1003</v>
      </c>
      <c r="AB1207" t="s">
        <v>2520</v>
      </c>
      <c r="AC1207" t="s">
        <v>661</v>
      </c>
      <c r="AD1207" t="s">
        <v>1838</v>
      </c>
      <c r="AE1207" t="s">
        <v>743</v>
      </c>
      <c r="AF1207">
        <v>1.4433344738324974</v>
      </c>
    </row>
    <row r="1208" spans="1:32" x14ac:dyDescent="0.25">
      <c r="A1208" s="56">
        <v>3500223</v>
      </c>
      <c r="B1208" s="56" t="s">
        <v>4896</v>
      </c>
      <c r="C1208" s="56" t="s">
        <v>4902</v>
      </c>
      <c r="D1208" s="56"/>
      <c r="E1208" s="57">
        <v>1043.739</v>
      </c>
      <c r="F1208" s="57">
        <v>1.043739</v>
      </c>
      <c r="G1208" s="56" t="s">
        <v>392</v>
      </c>
      <c r="H1208" s="56" t="s">
        <v>4454</v>
      </c>
      <c r="I1208" s="56" t="s">
        <v>4455</v>
      </c>
      <c r="J1208" s="56"/>
      <c r="K1208" s="56"/>
      <c r="L1208" s="56"/>
      <c r="M1208" s="56"/>
      <c r="N1208" s="56" t="s">
        <v>101</v>
      </c>
      <c r="O1208" s="56">
        <v>6</v>
      </c>
      <c r="P1208" s="59" t="s">
        <v>2515</v>
      </c>
      <c r="Q1208" s="56" t="s">
        <v>192</v>
      </c>
      <c r="U1208">
        <v>1932159</v>
      </c>
      <c r="V1208">
        <v>40</v>
      </c>
      <c r="W1208">
        <v>20</v>
      </c>
      <c r="X1208">
        <v>1.6</v>
      </c>
      <c r="Y1208">
        <v>6</v>
      </c>
      <c r="Z1208" t="s">
        <v>1883</v>
      </c>
      <c r="AA1208" t="s">
        <v>963</v>
      </c>
      <c r="AB1208" t="s">
        <v>2520</v>
      </c>
      <c r="AC1208" t="s">
        <v>4887</v>
      </c>
      <c r="AD1208" t="s">
        <v>1838</v>
      </c>
      <c r="AE1208" t="s">
        <v>4888</v>
      </c>
      <c r="AF1208">
        <v>1.4433344738324974</v>
      </c>
    </row>
    <row r="1209" spans="1:32" x14ac:dyDescent="0.25">
      <c r="A1209" s="56">
        <v>3500233</v>
      </c>
      <c r="B1209" s="56" t="s">
        <v>2355</v>
      </c>
      <c r="C1209" s="56" t="s">
        <v>4903</v>
      </c>
      <c r="D1209" s="56"/>
      <c r="E1209" s="57">
        <v>1472.866</v>
      </c>
      <c r="F1209" s="57">
        <v>1.472866</v>
      </c>
      <c r="G1209" s="56" t="s">
        <v>392</v>
      </c>
      <c r="H1209" s="56" t="s">
        <v>4454</v>
      </c>
      <c r="I1209" s="56" t="s">
        <v>4455</v>
      </c>
      <c r="J1209" s="56"/>
      <c r="K1209" s="56"/>
      <c r="L1209" s="56"/>
      <c r="M1209" s="56"/>
      <c r="N1209" s="56" t="s">
        <v>151</v>
      </c>
      <c r="O1209" s="56">
        <v>14</v>
      </c>
      <c r="P1209" s="59" t="s">
        <v>2515</v>
      </c>
      <c r="Q1209" s="56" t="s">
        <v>11</v>
      </c>
      <c r="U1209">
        <v>3652441</v>
      </c>
      <c r="V1209">
        <v>40</v>
      </c>
      <c r="W1209">
        <v>20</v>
      </c>
      <c r="X1209">
        <v>1.6</v>
      </c>
      <c r="Y1209">
        <v>6</v>
      </c>
      <c r="Z1209" t="s">
        <v>229</v>
      </c>
      <c r="AA1209" t="s">
        <v>963</v>
      </c>
      <c r="AB1209" t="s">
        <v>3063</v>
      </c>
      <c r="AC1209" t="s">
        <v>4890</v>
      </c>
      <c r="AD1209" t="s">
        <v>1838</v>
      </c>
      <c r="AE1209" t="s">
        <v>4891</v>
      </c>
      <c r="AF1209">
        <v>1.4433344738324974</v>
      </c>
    </row>
    <row r="1210" spans="1:32" x14ac:dyDescent="0.25">
      <c r="A1210" s="56">
        <v>3500233</v>
      </c>
      <c r="B1210" s="56" t="s">
        <v>2355</v>
      </c>
      <c r="C1210" s="56" t="s">
        <v>4904</v>
      </c>
      <c r="D1210" s="56"/>
      <c r="E1210" s="57">
        <v>1472.866</v>
      </c>
      <c r="F1210" s="57">
        <v>1.472866</v>
      </c>
      <c r="G1210" s="56" t="s">
        <v>392</v>
      </c>
      <c r="H1210" s="56" t="s">
        <v>4454</v>
      </c>
      <c r="I1210" s="56" t="s">
        <v>4455</v>
      </c>
      <c r="J1210" s="56"/>
      <c r="K1210" s="56"/>
      <c r="L1210" s="56"/>
      <c r="M1210" s="56"/>
      <c r="N1210" s="56" t="s">
        <v>151</v>
      </c>
      <c r="O1210" s="56">
        <v>13</v>
      </c>
      <c r="P1210" s="59" t="s">
        <v>2515</v>
      </c>
      <c r="Q1210" s="56" t="s">
        <v>11</v>
      </c>
      <c r="U1210" s="52">
        <v>4190082</v>
      </c>
      <c r="V1210">
        <v>40</v>
      </c>
      <c r="W1210">
        <v>20</v>
      </c>
      <c r="X1210">
        <v>1.6</v>
      </c>
      <c r="Y1210">
        <v>6.1</v>
      </c>
      <c r="Z1210" t="s">
        <v>1891</v>
      </c>
      <c r="AA1210" t="s">
        <v>1003</v>
      </c>
      <c r="AB1210" t="s">
        <v>2520</v>
      </c>
      <c r="AC1210" t="s">
        <v>661</v>
      </c>
      <c r="AD1210" t="s">
        <v>1838</v>
      </c>
      <c r="AF1210">
        <v>1.4433344738324974</v>
      </c>
    </row>
    <row r="1211" spans="1:32" x14ac:dyDescent="0.25">
      <c r="A1211" s="56">
        <v>3500233</v>
      </c>
      <c r="B1211" s="56" t="s">
        <v>2355</v>
      </c>
      <c r="C1211" s="56" t="s">
        <v>4905</v>
      </c>
      <c r="D1211" s="56"/>
      <c r="E1211" s="57">
        <v>1472.866</v>
      </c>
      <c r="F1211" s="57">
        <v>1.472866</v>
      </c>
      <c r="G1211" s="56" t="s">
        <v>392</v>
      </c>
      <c r="H1211" s="56" t="s">
        <v>4454</v>
      </c>
      <c r="I1211" s="56" t="s">
        <v>4455</v>
      </c>
      <c r="J1211" s="56"/>
      <c r="K1211" s="56"/>
      <c r="L1211" s="56"/>
      <c r="M1211" s="56"/>
      <c r="N1211" s="56" t="s">
        <v>151</v>
      </c>
      <c r="O1211" s="56">
        <v>13</v>
      </c>
      <c r="P1211" s="59" t="s">
        <v>2515</v>
      </c>
      <c r="Q1211" s="56" t="s">
        <v>11</v>
      </c>
      <c r="U1211" s="538">
        <v>110102946</v>
      </c>
      <c r="V1211">
        <v>40</v>
      </c>
      <c r="W1211">
        <v>20</v>
      </c>
      <c r="X1211">
        <v>1.6</v>
      </c>
      <c r="Y1211">
        <v>6.17</v>
      </c>
      <c r="Z1211" t="s">
        <v>1891</v>
      </c>
      <c r="AA1211" t="s">
        <v>1003</v>
      </c>
      <c r="AB1211" t="s">
        <v>2520</v>
      </c>
      <c r="AC1211" t="s">
        <v>661</v>
      </c>
      <c r="AD1211" t="s">
        <v>1838</v>
      </c>
      <c r="AE1211" t="s">
        <v>743</v>
      </c>
      <c r="AF1211">
        <v>1.4433344738324974</v>
      </c>
    </row>
    <row r="1212" spans="1:32" x14ac:dyDescent="0.25">
      <c r="A1212" s="56">
        <v>3500233</v>
      </c>
      <c r="B1212" s="56" t="s">
        <v>2355</v>
      </c>
      <c r="C1212" s="56" t="s">
        <v>4906</v>
      </c>
      <c r="D1212" s="56"/>
      <c r="E1212" s="57">
        <v>1445.7159999999999</v>
      </c>
      <c r="F1212" s="57">
        <v>1.445716</v>
      </c>
      <c r="G1212" s="56" t="s">
        <v>392</v>
      </c>
      <c r="H1212" s="56" t="s">
        <v>4454</v>
      </c>
      <c r="I1212" s="56" t="s">
        <v>4455</v>
      </c>
      <c r="J1212" s="56"/>
      <c r="K1212" s="56"/>
      <c r="L1212" s="56"/>
      <c r="M1212" s="56"/>
      <c r="N1212" s="56" t="s">
        <v>151</v>
      </c>
      <c r="O1212" s="56">
        <v>13</v>
      </c>
      <c r="P1212" s="59" t="s">
        <v>2515</v>
      </c>
      <c r="Q1212" s="56" t="s">
        <v>11</v>
      </c>
      <c r="U1212" s="52">
        <v>2440971</v>
      </c>
      <c r="V1212">
        <v>40</v>
      </c>
      <c r="W1212">
        <v>25</v>
      </c>
      <c r="X1212">
        <v>1.6</v>
      </c>
      <c r="Y1212">
        <v>0.318</v>
      </c>
      <c r="Z1212" t="s">
        <v>1868</v>
      </c>
      <c r="AA1212" t="s">
        <v>1003</v>
      </c>
      <c r="AB1212" t="s">
        <v>2520</v>
      </c>
      <c r="AC1212" t="s">
        <v>428</v>
      </c>
      <c r="AD1212" t="s">
        <v>2171</v>
      </c>
      <c r="AE1212" t="s">
        <v>4895</v>
      </c>
      <c r="AF1212">
        <v>0.48159019007999998</v>
      </c>
    </row>
    <row r="1213" spans="1:32" x14ac:dyDescent="0.25">
      <c r="A1213" s="56">
        <v>3500233</v>
      </c>
      <c r="B1213" s="56" t="s">
        <v>2355</v>
      </c>
      <c r="C1213" s="56" t="s">
        <v>4907</v>
      </c>
      <c r="D1213" s="56"/>
      <c r="E1213" s="57">
        <v>1472.866</v>
      </c>
      <c r="F1213" s="57">
        <v>1.472866</v>
      </c>
      <c r="G1213" s="56" t="s">
        <v>392</v>
      </c>
      <c r="H1213" s="56" t="s">
        <v>4454</v>
      </c>
      <c r="I1213" s="56" t="s">
        <v>4455</v>
      </c>
      <c r="J1213" s="56"/>
      <c r="K1213" s="56"/>
      <c r="L1213" s="56"/>
      <c r="M1213" s="56"/>
      <c r="N1213" s="56" t="s">
        <v>151</v>
      </c>
      <c r="O1213" s="56">
        <v>18</v>
      </c>
      <c r="P1213" s="59" t="s">
        <v>2515</v>
      </c>
      <c r="Q1213" s="56" t="s">
        <v>11</v>
      </c>
      <c r="U1213" s="52">
        <v>3768905</v>
      </c>
      <c r="V1213">
        <v>40</v>
      </c>
      <c r="W1213">
        <v>25</v>
      </c>
      <c r="X1213">
        <v>1.6</v>
      </c>
      <c r="Y1213">
        <v>0.32200000000000001</v>
      </c>
      <c r="Z1213" t="s">
        <v>1874</v>
      </c>
      <c r="AA1213" t="s">
        <v>1003</v>
      </c>
      <c r="AB1213" t="s">
        <v>2520</v>
      </c>
      <c r="AC1213" t="s">
        <v>428</v>
      </c>
      <c r="AD1213" t="s">
        <v>2171</v>
      </c>
      <c r="AE1213" t="s">
        <v>4898</v>
      </c>
      <c r="AF1213">
        <v>0.48764792832000003</v>
      </c>
    </row>
    <row r="1214" spans="1:32" x14ac:dyDescent="0.25">
      <c r="A1214" s="56">
        <v>3500233</v>
      </c>
      <c r="B1214" s="56" t="s">
        <v>2355</v>
      </c>
      <c r="C1214" s="56" t="s">
        <v>4908</v>
      </c>
      <c r="D1214" s="56"/>
      <c r="E1214" s="57">
        <v>93.290999999999997</v>
      </c>
      <c r="F1214" s="57">
        <v>9.3290999999999999E-2</v>
      </c>
      <c r="G1214" s="56" t="s">
        <v>392</v>
      </c>
      <c r="H1214" s="56" t="s">
        <v>4454</v>
      </c>
      <c r="I1214" s="56" t="s">
        <v>4455</v>
      </c>
      <c r="J1214" s="56"/>
      <c r="K1214" s="56"/>
      <c r="L1214" s="56"/>
      <c r="M1214" s="56"/>
      <c r="N1214" s="56" t="s">
        <v>151</v>
      </c>
      <c r="O1214" s="56">
        <v>10</v>
      </c>
      <c r="P1214" s="59" t="s">
        <v>2515</v>
      </c>
      <c r="Q1214" s="56" t="s">
        <v>11</v>
      </c>
      <c r="U1214" s="52">
        <v>1940821</v>
      </c>
      <c r="V1214">
        <v>40</v>
      </c>
      <c r="W1214">
        <v>25</v>
      </c>
      <c r="X1214">
        <v>1.6</v>
      </c>
      <c r="Y1214">
        <v>0.51300000000000001</v>
      </c>
      <c r="Z1214" t="s">
        <v>1891</v>
      </c>
      <c r="AA1214" t="s">
        <v>1003</v>
      </c>
      <c r="AB1214" t="s">
        <v>2520</v>
      </c>
      <c r="AC1214" t="s">
        <v>428</v>
      </c>
      <c r="AD1214" t="s">
        <v>2171</v>
      </c>
      <c r="AE1214" t="s">
        <v>572</v>
      </c>
      <c r="AF1214">
        <v>0.77690492927999999</v>
      </c>
    </row>
    <row r="1215" spans="1:32" x14ac:dyDescent="0.25">
      <c r="A1215" s="56">
        <v>3500233</v>
      </c>
      <c r="B1215" s="56" t="s">
        <v>2355</v>
      </c>
      <c r="C1215" s="56" t="s">
        <v>4909</v>
      </c>
      <c r="D1215" s="56"/>
      <c r="E1215" s="57">
        <v>1466.078</v>
      </c>
      <c r="F1215" s="57">
        <v>1.466078</v>
      </c>
      <c r="G1215" s="56" t="s">
        <v>392</v>
      </c>
      <c r="H1215" s="56" t="s">
        <v>4454</v>
      </c>
      <c r="I1215" s="56" t="s">
        <v>4455</v>
      </c>
      <c r="J1215" s="56"/>
      <c r="K1215" s="56"/>
      <c r="L1215" s="56"/>
      <c r="M1215" s="56"/>
      <c r="N1215" s="56" t="s">
        <v>151</v>
      </c>
      <c r="O1215" s="56">
        <v>21</v>
      </c>
      <c r="P1215" s="59" t="s">
        <v>2515</v>
      </c>
      <c r="Q1215" s="56" t="s">
        <v>11</v>
      </c>
      <c r="U1215" s="52">
        <v>3438761</v>
      </c>
      <c r="V1215">
        <v>40</v>
      </c>
      <c r="W1215">
        <v>25</v>
      </c>
      <c r="X1215">
        <v>1.6</v>
      </c>
      <c r="Y1215">
        <v>0.51400000000000001</v>
      </c>
      <c r="Z1215" t="s">
        <v>1868</v>
      </c>
      <c r="AA1215" t="s">
        <v>1003</v>
      </c>
      <c r="AB1215" t="s">
        <v>2520</v>
      </c>
      <c r="AC1215" t="s">
        <v>428</v>
      </c>
      <c r="AD1215" t="s">
        <v>2171</v>
      </c>
      <c r="AE1215" t="s">
        <v>683</v>
      </c>
      <c r="AF1215">
        <v>0.77841936383999999</v>
      </c>
    </row>
    <row r="1216" spans="1:32" x14ac:dyDescent="0.25">
      <c r="A1216" s="56">
        <v>3500233</v>
      </c>
      <c r="B1216" s="56" t="s">
        <v>2355</v>
      </c>
      <c r="C1216" s="56" t="s">
        <v>4911</v>
      </c>
      <c r="D1216" s="56"/>
      <c r="E1216" s="57">
        <v>1466.078</v>
      </c>
      <c r="F1216" s="57">
        <v>1.466078</v>
      </c>
      <c r="G1216" s="56" t="s">
        <v>392</v>
      </c>
      <c r="H1216" s="56" t="s">
        <v>4454</v>
      </c>
      <c r="I1216" s="56" t="s">
        <v>4455</v>
      </c>
      <c r="J1216" s="56"/>
      <c r="K1216" s="56"/>
      <c r="L1216" s="56"/>
      <c r="M1216" s="56"/>
      <c r="N1216" s="56" t="s">
        <v>151</v>
      </c>
      <c r="O1216" s="56">
        <v>21</v>
      </c>
      <c r="P1216" s="59" t="s">
        <v>2515</v>
      </c>
      <c r="Q1216" s="56" t="s">
        <v>11</v>
      </c>
      <c r="U1216" s="52">
        <v>1940822</v>
      </c>
      <c r="V1216">
        <v>40</v>
      </c>
      <c r="W1216">
        <v>25</v>
      </c>
      <c r="X1216">
        <v>1.6</v>
      </c>
      <c r="Y1216">
        <v>0.53600000000000003</v>
      </c>
      <c r="Z1216" t="s">
        <v>1891</v>
      </c>
      <c r="AA1216" t="s">
        <v>1003</v>
      </c>
      <c r="AB1216" t="s">
        <v>2520</v>
      </c>
      <c r="AC1216" t="s">
        <v>428</v>
      </c>
      <c r="AD1216" t="s">
        <v>2171</v>
      </c>
      <c r="AE1216" t="s">
        <v>575</v>
      </c>
      <c r="AF1216">
        <v>0.8117369241600001</v>
      </c>
    </row>
    <row r="1217" spans="1:32" x14ac:dyDescent="0.25">
      <c r="A1217" s="56">
        <v>3500233</v>
      </c>
      <c r="B1217" s="56" t="s">
        <v>2355</v>
      </c>
      <c r="C1217" s="56" t="s">
        <v>4912</v>
      </c>
      <c r="D1217" s="56"/>
      <c r="E1217" s="57">
        <v>1472.866</v>
      </c>
      <c r="F1217" s="57">
        <v>1.472866</v>
      </c>
      <c r="G1217" s="56" t="s">
        <v>392</v>
      </c>
      <c r="H1217" s="56" t="s">
        <v>4454</v>
      </c>
      <c r="I1217" s="56" t="s">
        <v>4455</v>
      </c>
      <c r="J1217" s="56"/>
      <c r="K1217" s="56"/>
      <c r="L1217" s="56"/>
      <c r="M1217" s="56"/>
      <c r="N1217" s="56" t="s">
        <v>151</v>
      </c>
      <c r="O1217" s="56">
        <v>24</v>
      </c>
      <c r="P1217" s="59" t="s">
        <v>2515</v>
      </c>
      <c r="Q1217" s="56" t="s">
        <v>11</v>
      </c>
      <c r="U1217" s="52">
        <v>3786201</v>
      </c>
      <c r="V1217">
        <v>40</v>
      </c>
      <c r="W1217">
        <v>25</v>
      </c>
      <c r="X1217">
        <v>1.6</v>
      </c>
      <c r="Y1217">
        <v>0.53800000000000003</v>
      </c>
      <c r="Z1217" t="s">
        <v>1874</v>
      </c>
      <c r="AA1217" t="s">
        <v>1003</v>
      </c>
      <c r="AB1217" t="s">
        <v>2520</v>
      </c>
      <c r="AC1217" t="s">
        <v>428</v>
      </c>
      <c r="AD1217" t="s">
        <v>2171</v>
      </c>
      <c r="AE1217" t="s">
        <v>430</v>
      </c>
      <c r="AF1217">
        <v>0.81476579328000009</v>
      </c>
    </row>
    <row r="1218" spans="1:32" x14ac:dyDescent="0.25">
      <c r="A1218" s="56">
        <v>3500233</v>
      </c>
      <c r="B1218" s="56" t="s">
        <v>2355</v>
      </c>
      <c r="C1218" s="56" t="s">
        <v>4914</v>
      </c>
      <c r="D1218" s="56"/>
      <c r="E1218" s="57">
        <v>198.291</v>
      </c>
      <c r="F1218" s="57">
        <v>0.198291</v>
      </c>
      <c r="G1218" s="56" t="s">
        <v>392</v>
      </c>
      <c r="H1218" s="56" t="s">
        <v>4454</v>
      </c>
      <c r="I1218" s="56" t="s">
        <v>4455</v>
      </c>
      <c r="J1218" s="56"/>
      <c r="K1218" s="56"/>
      <c r="L1218" s="56"/>
      <c r="M1218" s="56"/>
      <c r="N1218" s="56" t="s">
        <v>151</v>
      </c>
      <c r="O1218" s="56">
        <v>3</v>
      </c>
      <c r="P1218" s="59" t="s">
        <v>2515</v>
      </c>
      <c r="Q1218" s="56" t="s">
        <v>11</v>
      </c>
      <c r="U1218" s="52">
        <v>1940823</v>
      </c>
      <c r="V1218">
        <v>40</v>
      </c>
      <c r="W1218">
        <v>25</v>
      </c>
      <c r="X1218">
        <v>1.6</v>
      </c>
      <c r="Y1218">
        <v>0.56000000000000005</v>
      </c>
      <c r="Z1218" t="s">
        <v>1891</v>
      </c>
      <c r="AA1218" t="s">
        <v>1003</v>
      </c>
      <c r="AB1218" t="s">
        <v>2520</v>
      </c>
      <c r="AC1218" t="s">
        <v>428</v>
      </c>
      <c r="AD1218" t="s">
        <v>2171</v>
      </c>
      <c r="AE1218" t="s">
        <v>577</v>
      </c>
      <c r="AF1218">
        <v>0.84808335360000009</v>
      </c>
    </row>
    <row r="1219" spans="1:32" x14ac:dyDescent="0.25">
      <c r="A1219" s="56">
        <v>3500233</v>
      </c>
      <c r="B1219" s="56" t="s">
        <v>2355</v>
      </c>
      <c r="C1219" s="56" t="s">
        <v>4915</v>
      </c>
      <c r="D1219" s="56"/>
      <c r="E1219" s="57">
        <v>201.078</v>
      </c>
      <c r="F1219" s="57">
        <v>0.20107800000000001</v>
      </c>
      <c r="G1219" s="56" t="s">
        <v>392</v>
      </c>
      <c r="H1219" s="56" t="s">
        <v>4454</v>
      </c>
      <c r="I1219" s="56" t="s">
        <v>4455</v>
      </c>
      <c r="J1219" s="56"/>
      <c r="K1219" s="56"/>
      <c r="L1219" s="56"/>
      <c r="M1219" s="56"/>
      <c r="N1219" s="56" t="s">
        <v>151</v>
      </c>
      <c r="O1219" s="56">
        <v>3</v>
      </c>
      <c r="P1219" s="59" t="s">
        <v>2515</v>
      </c>
      <c r="Q1219" s="56" t="s">
        <v>11</v>
      </c>
      <c r="U1219" s="52">
        <v>3801265</v>
      </c>
      <c r="V1219">
        <v>40</v>
      </c>
      <c r="W1219">
        <v>25</v>
      </c>
      <c r="X1219">
        <v>1.6</v>
      </c>
      <c r="Y1219">
        <v>0.56100000000000005</v>
      </c>
      <c r="Z1219" t="s">
        <v>2088</v>
      </c>
      <c r="AA1219" t="s">
        <v>1003</v>
      </c>
      <c r="AB1219" t="s">
        <v>2520</v>
      </c>
      <c r="AC1219" t="s">
        <v>428</v>
      </c>
      <c r="AD1219" t="s">
        <v>2171</v>
      </c>
      <c r="AE1219" t="s">
        <v>890</v>
      </c>
      <c r="AF1219">
        <v>0.84959778816000009</v>
      </c>
    </row>
    <row r="1220" spans="1:32" x14ac:dyDescent="0.25">
      <c r="A1220" s="56">
        <v>3500240</v>
      </c>
      <c r="B1220" s="56" t="s">
        <v>2358</v>
      </c>
      <c r="C1220" s="56" t="s">
        <v>4916</v>
      </c>
      <c r="D1220" s="56"/>
      <c r="E1220" s="57">
        <v>2399.538</v>
      </c>
      <c r="F1220" s="57">
        <v>2.3995380000000002</v>
      </c>
      <c r="G1220" s="56" t="s">
        <v>392</v>
      </c>
      <c r="H1220" s="56" t="s">
        <v>4454</v>
      </c>
      <c r="I1220" s="56" t="s">
        <v>4455</v>
      </c>
      <c r="J1220" s="56"/>
      <c r="K1220" s="56"/>
      <c r="L1220" s="56"/>
      <c r="M1220" s="56"/>
      <c r="N1220" s="56" t="s">
        <v>49</v>
      </c>
      <c r="O1220" s="56">
        <v>48</v>
      </c>
      <c r="P1220" s="59" t="s">
        <v>2532</v>
      </c>
      <c r="Q1220" s="56" t="s">
        <v>11</v>
      </c>
      <c r="U1220" s="52">
        <v>1940824</v>
      </c>
      <c r="V1220">
        <v>40</v>
      </c>
      <c r="W1220">
        <v>25</v>
      </c>
      <c r="X1220">
        <v>1.6</v>
      </c>
      <c r="Y1220">
        <v>0.56100000000000005</v>
      </c>
      <c r="Z1220" t="s">
        <v>1891</v>
      </c>
      <c r="AA1220" t="s">
        <v>1003</v>
      </c>
      <c r="AB1220" t="s">
        <v>2520</v>
      </c>
      <c r="AC1220" t="s">
        <v>428</v>
      </c>
      <c r="AD1220" t="s">
        <v>2171</v>
      </c>
      <c r="AE1220" t="s">
        <v>890</v>
      </c>
      <c r="AF1220">
        <v>0.84959778816000009</v>
      </c>
    </row>
    <row r="1221" spans="1:32" x14ac:dyDescent="0.25">
      <c r="A1221" s="56">
        <v>3500240</v>
      </c>
      <c r="B1221" s="56" t="s">
        <v>2358</v>
      </c>
      <c r="C1221" s="56" t="s">
        <v>4917</v>
      </c>
      <c r="D1221" s="56"/>
      <c r="E1221" s="57">
        <v>2590.5459999999998</v>
      </c>
      <c r="F1221" s="57">
        <v>2.5905459999999998</v>
      </c>
      <c r="G1221" s="56" t="s">
        <v>392</v>
      </c>
      <c r="H1221" s="56" t="s">
        <v>4454</v>
      </c>
      <c r="I1221" s="56" t="s">
        <v>4455</v>
      </c>
      <c r="J1221" s="56"/>
      <c r="K1221" s="56"/>
      <c r="L1221" s="56"/>
      <c r="M1221" s="56"/>
      <c r="N1221" s="56" t="s">
        <v>49</v>
      </c>
      <c r="O1221" s="56">
        <v>44</v>
      </c>
      <c r="P1221" s="59" t="s">
        <v>2532</v>
      </c>
      <c r="Q1221" s="56" t="s">
        <v>11</v>
      </c>
      <c r="U1221" s="52">
        <v>1940825</v>
      </c>
      <c r="V1221">
        <v>40</v>
      </c>
      <c r="W1221">
        <v>25</v>
      </c>
      <c r="X1221">
        <v>1.6</v>
      </c>
      <c r="Y1221">
        <v>0.58499999999999996</v>
      </c>
      <c r="Z1221" t="s">
        <v>1891</v>
      </c>
      <c r="AA1221" t="s">
        <v>1003</v>
      </c>
      <c r="AB1221" t="s">
        <v>2520</v>
      </c>
      <c r="AC1221" t="s">
        <v>428</v>
      </c>
      <c r="AD1221" t="s">
        <v>2171</v>
      </c>
      <c r="AE1221" t="s">
        <v>789</v>
      </c>
      <c r="AF1221">
        <v>0.88594421759999997</v>
      </c>
    </row>
    <row r="1222" spans="1:32" x14ac:dyDescent="0.25">
      <c r="A1222" s="56">
        <v>3500240</v>
      </c>
      <c r="B1222" s="56" t="s">
        <v>2358</v>
      </c>
      <c r="C1222" s="56" t="s">
        <v>4918</v>
      </c>
      <c r="D1222" s="56"/>
      <c r="E1222" s="57">
        <v>2566.67</v>
      </c>
      <c r="F1222" s="57">
        <v>2.5666700000000002</v>
      </c>
      <c r="G1222" s="56" t="s">
        <v>392</v>
      </c>
      <c r="H1222" s="56" t="s">
        <v>4454</v>
      </c>
      <c r="I1222" s="56" t="s">
        <v>4455</v>
      </c>
      <c r="J1222" s="56"/>
      <c r="K1222" s="56"/>
      <c r="L1222" s="56"/>
      <c r="M1222" s="56"/>
      <c r="N1222" s="56" t="s">
        <v>49</v>
      </c>
      <c r="O1222" s="56">
        <v>48</v>
      </c>
      <c r="P1222" s="59" t="s">
        <v>2532</v>
      </c>
      <c r="Q1222" s="56" t="s">
        <v>11</v>
      </c>
      <c r="U1222" s="52">
        <v>3786202</v>
      </c>
      <c r="V1222">
        <v>40</v>
      </c>
      <c r="W1222">
        <v>25</v>
      </c>
      <c r="X1222">
        <v>1.6</v>
      </c>
      <c r="Y1222">
        <v>0.58699999999999997</v>
      </c>
      <c r="Z1222" t="s">
        <v>1874</v>
      </c>
      <c r="AA1222" t="s">
        <v>1003</v>
      </c>
      <c r="AB1222" t="s">
        <v>2520</v>
      </c>
      <c r="AC1222" t="s">
        <v>428</v>
      </c>
      <c r="AD1222" t="s">
        <v>2171</v>
      </c>
      <c r="AE1222" t="s">
        <v>436</v>
      </c>
      <c r="AF1222">
        <v>0.88897308671999997</v>
      </c>
    </row>
    <row r="1223" spans="1:32" x14ac:dyDescent="0.25">
      <c r="A1223" s="56">
        <v>3500240</v>
      </c>
      <c r="B1223" s="56" t="s">
        <v>2358</v>
      </c>
      <c r="C1223" s="56" t="s">
        <v>4919</v>
      </c>
      <c r="D1223" s="56"/>
      <c r="E1223" s="57">
        <v>2578.6080000000002</v>
      </c>
      <c r="F1223" s="57">
        <v>2.578608</v>
      </c>
      <c r="G1223" s="56" t="s">
        <v>392</v>
      </c>
      <c r="H1223" s="56" t="s">
        <v>4454</v>
      </c>
      <c r="I1223" s="56" t="s">
        <v>4455</v>
      </c>
      <c r="J1223" s="56"/>
      <c r="K1223" s="56"/>
      <c r="L1223" s="56"/>
      <c r="M1223" s="56"/>
      <c r="N1223" s="56" t="s">
        <v>49</v>
      </c>
      <c r="O1223" s="56">
        <v>48</v>
      </c>
      <c r="P1223" s="59" t="s">
        <v>2532</v>
      </c>
      <c r="Q1223" s="56" t="s">
        <v>11</v>
      </c>
      <c r="U1223" s="52">
        <v>4229657</v>
      </c>
      <c r="V1223">
        <v>40</v>
      </c>
      <c r="W1223">
        <v>25</v>
      </c>
      <c r="X1223">
        <v>1.6</v>
      </c>
      <c r="Y1223">
        <v>0.64700000000000002</v>
      </c>
      <c r="Z1223" t="s">
        <v>1891</v>
      </c>
      <c r="AA1223" t="s">
        <v>1003</v>
      </c>
      <c r="AB1223" t="s">
        <v>2520</v>
      </c>
      <c r="AC1223" t="s">
        <v>428</v>
      </c>
      <c r="AD1223" t="s">
        <v>2171</v>
      </c>
      <c r="AE1223" t="s">
        <v>741</v>
      </c>
      <c r="AF1223">
        <v>0.97983916032000007</v>
      </c>
    </row>
    <row r="1224" spans="1:32" x14ac:dyDescent="0.25">
      <c r="A1224" s="56">
        <v>3500240</v>
      </c>
      <c r="B1224" s="56" t="s">
        <v>2358</v>
      </c>
      <c r="C1224" s="56" t="s">
        <v>4920</v>
      </c>
      <c r="D1224" s="56"/>
      <c r="E1224" s="57">
        <v>771.16</v>
      </c>
      <c r="F1224" s="57">
        <v>0.77115999999999996</v>
      </c>
      <c r="G1224" s="56" t="s">
        <v>392</v>
      </c>
      <c r="H1224" s="56" t="s">
        <v>4454</v>
      </c>
      <c r="I1224" s="56" t="s">
        <v>4455</v>
      </c>
      <c r="J1224" s="56"/>
      <c r="K1224" s="56"/>
      <c r="L1224" s="56"/>
      <c r="M1224" s="56"/>
      <c r="N1224" s="56" t="s">
        <v>49</v>
      </c>
      <c r="O1224" s="56">
        <v>3</v>
      </c>
      <c r="P1224" s="59" t="s">
        <v>2515</v>
      </c>
      <c r="Q1224" s="56" t="s">
        <v>11</v>
      </c>
      <c r="U1224" s="52">
        <v>3870804</v>
      </c>
      <c r="V1224">
        <v>40</v>
      </c>
      <c r="W1224">
        <v>25</v>
      </c>
      <c r="X1224">
        <v>1.6</v>
      </c>
      <c r="Y1224">
        <v>5.64</v>
      </c>
      <c r="Z1224" t="s">
        <v>2088</v>
      </c>
      <c r="AA1224" t="s">
        <v>1003</v>
      </c>
      <c r="AB1224" t="s">
        <v>2520</v>
      </c>
      <c r="AC1224" t="s">
        <v>1823</v>
      </c>
      <c r="AD1224" t="s">
        <v>1838</v>
      </c>
      <c r="AE1224" t="s">
        <v>4910</v>
      </c>
      <c r="AF1224">
        <v>1.51443456</v>
      </c>
    </row>
    <row r="1225" spans="1:32" x14ac:dyDescent="0.25">
      <c r="A1225" s="56">
        <v>3500240</v>
      </c>
      <c r="B1225" s="56" t="s">
        <v>2358</v>
      </c>
      <c r="C1225" s="56" t="s">
        <v>4921</v>
      </c>
      <c r="D1225" s="56"/>
      <c r="E1225" s="57">
        <v>2590.5459999999998</v>
      </c>
      <c r="F1225" s="57">
        <v>2.5905459999999998</v>
      </c>
      <c r="G1225" s="56" t="s">
        <v>392</v>
      </c>
      <c r="H1225" s="56" t="s">
        <v>4454</v>
      </c>
      <c r="I1225" s="56" t="s">
        <v>4455</v>
      </c>
      <c r="J1225" s="56"/>
      <c r="K1225" s="56"/>
      <c r="L1225" s="56"/>
      <c r="M1225" s="56"/>
      <c r="N1225" s="56" t="s">
        <v>49</v>
      </c>
      <c r="O1225" s="56">
        <v>44</v>
      </c>
      <c r="P1225" s="59" t="s">
        <v>2532</v>
      </c>
      <c r="Q1225" s="56" t="s">
        <v>11</v>
      </c>
      <c r="U1225" s="538">
        <v>111119554</v>
      </c>
      <c r="V1225">
        <v>40</v>
      </c>
      <c r="W1225">
        <v>25</v>
      </c>
      <c r="X1225">
        <v>1.6</v>
      </c>
      <c r="Y1225">
        <v>5.7</v>
      </c>
      <c r="Z1225" t="s">
        <v>2088</v>
      </c>
      <c r="AA1225" t="s">
        <v>1003</v>
      </c>
      <c r="AB1225" t="s">
        <v>2520</v>
      </c>
      <c r="AC1225" t="s">
        <v>1823</v>
      </c>
      <c r="AD1225" t="s">
        <v>1838</v>
      </c>
      <c r="AE1225" t="s">
        <v>4910</v>
      </c>
      <c r="AF1225">
        <v>1.51443456</v>
      </c>
    </row>
    <row r="1226" spans="1:32" x14ac:dyDescent="0.25">
      <c r="A1226" s="56">
        <v>3500240</v>
      </c>
      <c r="B1226" s="56" t="s">
        <v>2358</v>
      </c>
      <c r="C1226" s="56" t="s">
        <v>4922</v>
      </c>
      <c r="D1226" s="56"/>
      <c r="E1226" s="57">
        <v>2590.5459999999998</v>
      </c>
      <c r="F1226" s="57">
        <v>2.5905459999999998</v>
      </c>
      <c r="G1226" s="56" t="s">
        <v>392</v>
      </c>
      <c r="H1226" s="56" t="s">
        <v>4454</v>
      </c>
      <c r="I1226" s="56" t="s">
        <v>4455</v>
      </c>
      <c r="J1226" s="56"/>
      <c r="K1226" s="56"/>
      <c r="L1226" s="56"/>
      <c r="M1226" s="56"/>
      <c r="N1226" s="56" t="s">
        <v>49</v>
      </c>
      <c r="O1226" s="56">
        <v>44</v>
      </c>
      <c r="P1226" s="59" t="s">
        <v>2532</v>
      </c>
      <c r="Q1226" s="56" t="s">
        <v>11</v>
      </c>
      <c r="U1226" s="538">
        <v>111120634</v>
      </c>
      <c r="V1226">
        <v>40</v>
      </c>
      <c r="W1226">
        <v>25</v>
      </c>
      <c r="X1226">
        <v>1.6</v>
      </c>
      <c r="Y1226">
        <v>5.7</v>
      </c>
      <c r="Z1226" t="s">
        <v>1891</v>
      </c>
      <c r="AA1226" t="s">
        <v>1003</v>
      </c>
      <c r="AB1226" t="s">
        <v>2520</v>
      </c>
      <c r="AC1226" t="s">
        <v>428</v>
      </c>
      <c r="AD1226" t="s">
        <v>1838</v>
      </c>
      <c r="AE1226" t="s">
        <v>4913</v>
      </c>
      <c r="AF1226">
        <v>1.51443456</v>
      </c>
    </row>
    <row r="1227" spans="1:32" x14ac:dyDescent="0.25">
      <c r="A1227" s="56">
        <v>3500240</v>
      </c>
      <c r="B1227" s="56" t="s">
        <v>2358</v>
      </c>
      <c r="C1227" s="56" t="s">
        <v>4923</v>
      </c>
      <c r="D1227" s="56"/>
      <c r="E1227" s="57">
        <v>2590.5459999999998</v>
      </c>
      <c r="F1227" s="57">
        <v>2.5905459999999998</v>
      </c>
      <c r="G1227" s="56" t="s">
        <v>392</v>
      </c>
      <c r="H1227" s="56" t="s">
        <v>4454</v>
      </c>
      <c r="I1227" s="56" t="s">
        <v>4455</v>
      </c>
      <c r="J1227" s="56"/>
      <c r="K1227" s="56"/>
      <c r="L1227" s="56"/>
      <c r="M1227" s="56"/>
      <c r="N1227" s="56" t="s">
        <v>49</v>
      </c>
      <c r="O1227" s="56">
        <v>44</v>
      </c>
      <c r="P1227" s="59" t="s">
        <v>2532</v>
      </c>
      <c r="Q1227" s="56" t="s">
        <v>11</v>
      </c>
      <c r="U1227" s="538">
        <v>111116374</v>
      </c>
      <c r="V1227">
        <v>40</v>
      </c>
      <c r="W1227">
        <v>25</v>
      </c>
      <c r="X1227">
        <v>1.6</v>
      </c>
      <c r="Y1227">
        <v>5.74</v>
      </c>
      <c r="Z1227" t="s">
        <v>1891</v>
      </c>
      <c r="AA1227" t="s">
        <v>1003</v>
      </c>
      <c r="AB1227" t="s">
        <v>2520</v>
      </c>
      <c r="AC1227" t="s">
        <v>428</v>
      </c>
      <c r="AD1227" t="s">
        <v>1838</v>
      </c>
      <c r="AE1227" t="s">
        <v>4913</v>
      </c>
      <c r="AF1227">
        <v>1.51443456</v>
      </c>
    </row>
    <row r="1228" spans="1:32" x14ac:dyDescent="0.25">
      <c r="A1228" s="56">
        <v>3500240</v>
      </c>
      <c r="B1228" s="56" t="s">
        <v>2358</v>
      </c>
      <c r="C1228" s="56" t="s">
        <v>4925</v>
      </c>
      <c r="D1228" s="56"/>
      <c r="E1228" s="57">
        <v>2590.5459999999998</v>
      </c>
      <c r="F1228" s="57">
        <v>2.5905459999999998</v>
      </c>
      <c r="G1228" s="56" t="s">
        <v>392</v>
      </c>
      <c r="H1228" s="56" t="s">
        <v>4454</v>
      </c>
      <c r="I1228" s="56" t="s">
        <v>4455</v>
      </c>
      <c r="J1228" s="56"/>
      <c r="K1228" s="56"/>
      <c r="L1228" s="56"/>
      <c r="M1228" s="56"/>
      <c r="N1228" s="56" t="s">
        <v>49</v>
      </c>
      <c r="O1228" s="56">
        <v>44</v>
      </c>
      <c r="P1228" s="59" t="s">
        <v>2532</v>
      </c>
      <c r="Q1228" s="56" t="s">
        <v>11</v>
      </c>
      <c r="U1228" s="52">
        <v>4189323</v>
      </c>
      <c r="V1228">
        <v>40</v>
      </c>
      <c r="W1228">
        <v>25</v>
      </c>
      <c r="X1228">
        <v>1.6</v>
      </c>
      <c r="Y1228">
        <v>5.74</v>
      </c>
      <c r="Z1228" t="s">
        <v>1891</v>
      </c>
      <c r="AA1228" t="s">
        <v>1003</v>
      </c>
      <c r="AB1228" t="s">
        <v>2520</v>
      </c>
      <c r="AC1228" t="s">
        <v>428</v>
      </c>
      <c r="AD1228" t="s">
        <v>1838</v>
      </c>
      <c r="AE1228" t="s">
        <v>4913</v>
      </c>
      <c r="AF1228">
        <v>1.51443456</v>
      </c>
    </row>
    <row r="1229" spans="1:32" x14ac:dyDescent="0.25">
      <c r="A1229" s="56">
        <v>3500240</v>
      </c>
      <c r="B1229" s="56" t="s">
        <v>2358</v>
      </c>
      <c r="C1229" s="56" t="s">
        <v>4927</v>
      </c>
      <c r="D1229" s="56"/>
      <c r="E1229" s="57">
        <v>2590.5459999999998</v>
      </c>
      <c r="F1229" s="57">
        <v>2.5905459999999998</v>
      </c>
      <c r="G1229" s="56" t="s">
        <v>392</v>
      </c>
      <c r="H1229" s="56" t="s">
        <v>4454</v>
      </c>
      <c r="I1229" s="56" t="s">
        <v>4455</v>
      </c>
      <c r="J1229" s="56"/>
      <c r="K1229" s="56"/>
      <c r="L1229" s="56"/>
      <c r="M1229" s="56"/>
      <c r="N1229" s="56" t="s">
        <v>49</v>
      </c>
      <c r="O1229" s="56">
        <v>44</v>
      </c>
      <c r="P1229" s="59" t="s">
        <v>2532</v>
      </c>
      <c r="Q1229" s="56" t="s">
        <v>11</v>
      </c>
      <c r="U1229" s="52">
        <v>2430125</v>
      </c>
      <c r="V1229">
        <v>40</v>
      </c>
      <c r="W1229">
        <v>25</v>
      </c>
      <c r="X1229">
        <v>1.6</v>
      </c>
      <c r="Y1229">
        <v>5.75</v>
      </c>
      <c r="Z1229" t="s">
        <v>1868</v>
      </c>
      <c r="AA1229" t="s">
        <v>1003</v>
      </c>
      <c r="AB1229" t="s">
        <v>2520</v>
      </c>
      <c r="AC1229" t="s">
        <v>428</v>
      </c>
      <c r="AD1229" t="s">
        <v>1838</v>
      </c>
      <c r="AE1229" t="s">
        <v>4913</v>
      </c>
      <c r="AF1229">
        <v>1.51443456</v>
      </c>
    </row>
    <row r="1230" spans="1:32" x14ac:dyDescent="0.25">
      <c r="A1230" s="56">
        <v>3500240</v>
      </c>
      <c r="B1230" s="56" t="s">
        <v>2358</v>
      </c>
      <c r="C1230" s="56" t="s">
        <v>4929</v>
      </c>
      <c r="D1230" s="56"/>
      <c r="E1230" s="57">
        <v>741.64599999999996</v>
      </c>
      <c r="F1230" s="57">
        <v>0.74164599999999992</v>
      </c>
      <c r="G1230" s="56" t="s">
        <v>392</v>
      </c>
      <c r="H1230" s="56" t="s">
        <v>4454</v>
      </c>
      <c r="I1230" s="56" t="s">
        <v>4455</v>
      </c>
      <c r="J1230" s="56"/>
      <c r="K1230" s="56"/>
      <c r="L1230" s="56"/>
      <c r="M1230" s="56"/>
      <c r="N1230" s="56" t="s">
        <v>49</v>
      </c>
      <c r="O1230" s="56">
        <v>3</v>
      </c>
      <c r="P1230" s="59" t="s">
        <v>2515</v>
      </c>
      <c r="Q1230" s="56" t="s">
        <v>11</v>
      </c>
      <c r="U1230" s="538">
        <v>110102951</v>
      </c>
      <c r="V1230">
        <v>40</v>
      </c>
      <c r="W1230">
        <v>25</v>
      </c>
      <c r="X1230">
        <v>1.6</v>
      </c>
      <c r="Y1230">
        <v>5.95</v>
      </c>
      <c r="Z1230" t="s">
        <v>1891</v>
      </c>
      <c r="AA1230" t="s">
        <v>1003</v>
      </c>
      <c r="AB1230" t="s">
        <v>2520</v>
      </c>
      <c r="AC1230" t="s">
        <v>428</v>
      </c>
      <c r="AD1230" t="s">
        <v>1838</v>
      </c>
      <c r="AE1230" t="s">
        <v>4913</v>
      </c>
      <c r="AF1230">
        <v>1.51443456</v>
      </c>
    </row>
    <row r="1231" spans="1:32" x14ac:dyDescent="0.25">
      <c r="A1231" s="56">
        <v>3500240</v>
      </c>
      <c r="B1231" s="56" t="s">
        <v>2358</v>
      </c>
      <c r="C1231" s="56" t="s">
        <v>4930</v>
      </c>
      <c r="D1231" s="56"/>
      <c r="E1231" s="57">
        <v>2590.5459999999998</v>
      </c>
      <c r="F1231" s="57">
        <v>2.5905459999999998</v>
      </c>
      <c r="G1231" s="56" t="s">
        <v>392</v>
      </c>
      <c r="H1231" s="56" t="s">
        <v>4454</v>
      </c>
      <c r="I1231" s="56" t="s">
        <v>4455</v>
      </c>
      <c r="J1231" s="56"/>
      <c r="K1231" s="56"/>
      <c r="L1231" s="56"/>
      <c r="M1231" s="56"/>
      <c r="N1231" s="56" t="s">
        <v>49</v>
      </c>
      <c r="O1231" s="56">
        <v>48</v>
      </c>
      <c r="P1231" s="59" t="s">
        <v>2532</v>
      </c>
      <c r="Q1231" s="56" t="s">
        <v>11</v>
      </c>
      <c r="U1231" s="591">
        <v>111107160</v>
      </c>
      <c r="V1231">
        <v>40</v>
      </c>
      <c r="W1231">
        <v>25</v>
      </c>
      <c r="X1231">
        <v>1.6</v>
      </c>
      <c r="Y1231">
        <v>5.99</v>
      </c>
      <c r="Z1231" t="s">
        <v>1868</v>
      </c>
      <c r="AA1231" t="s">
        <v>1003</v>
      </c>
      <c r="AB1231" t="s">
        <v>2520</v>
      </c>
      <c r="AC1231" t="s">
        <v>428</v>
      </c>
      <c r="AD1231" t="s">
        <v>1838</v>
      </c>
      <c r="AE1231" t="s">
        <v>4913</v>
      </c>
      <c r="AF1231">
        <v>1.51443456</v>
      </c>
    </row>
    <row r="1232" spans="1:32" x14ac:dyDescent="0.25">
      <c r="A1232" s="56">
        <v>3500240</v>
      </c>
      <c r="B1232" s="56" t="s">
        <v>2358</v>
      </c>
      <c r="C1232" s="56" t="s">
        <v>4931</v>
      </c>
      <c r="D1232" s="56"/>
      <c r="E1232" s="57">
        <v>2590.5459999999998</v>
      </c>
      <c r="F1232" s="57">
        <v>2.5905459999999998</v>
      </c>
      <c r="G1232" s="56" t="s">
        <v>392</v>
      </c>
      <c r="H1232" s="56" t="s">
        <v>4454</v>
      </c>
      <c r="I1232" s="56" t="s">
        <v>4455</v>
      </c>
      <c r="J1232" s="56"/>
      <c r="K1232" s="56"/>
      <c r="L1232" s="56"/>
      <c r="M1232" s="56"/>
      <c r="N1232" s="56" t="s">
        <v>49</v>
      </c>
      <c r="O1232" s="56">
        <v>48</v>
      </c>
      <c r="P1232" s="59" t="s">
        <v>2532</v>
      </c>
      <c r="Q1232" s="56" t="s">
        <v>11</v>
      </c>
      <c r="U1232" s="590">
        <v>3597718</v>
      </c>
      <c r="V1232">
        <v>40</v>
      </c>
      <c r="W1232">
        <v>25</v>
      </c>
      <c r="X1232">
        <v>1.6</v>
      </c>
      <c r="Y1232">
        <v>5.99</v>
      </c>
      <c r="Z1232" t="s">
        <v>1868</v>
      </c>
      <c r="AA1232" t="s">
        <v>1003</v>
      </c>
      <c r="AB1232" t="s">
        <v>2520</v>
      </c>
      <c r="AC1232" t="s">
        <v>428</v>
      </c>
      <c r="AD1232" t="s">
        <v>1838</v>
      </c>
      <c r="AE1232" t="s">
        <v>4913</v>
      </c>
      <c r="AF1232" t="e">
        <f>IF([4]!buckets[[#This Row],[LL or CTL]]="LL",(3.14*([4]!buckets[[#This Row],[OD]]-[4]!buckets[[#This Row],[Thickness]])*[4]!buckets[[#This Row],[Thickness]]*1000*7.85)/1000000,(3.14*([4]!buckets[[#This Row],[OD]]-[4]!buckets[[#This Row],[Thickness]])*[4]!buckets[[#This Row],[Thickness]]*[4]!buckets[[#This Row],[Length]]*1000*7.85)/1000000)</f>
        <v>#REF!</v>
      </c>
    </row>
    <row r="1233" spans="1:32" x14ac:dyDescent="0.25">
      <c r="A1233" s="56">
        <v>3500240</v>
      </c>
      <c r="B1233" s="56" t="s">
        <v>2358</v>
      </c>
      <c r="C1233" s="56" t="s">
        <v>4933</v>
      </c>
      <c r="D1233" s="56"/>
      <c r="E1233" s="57">
        <v>2590.5459999999998</v>
      </c>
      <c r="F1233" s="57">
        <v>2.5905459999999998</v>
      </c>
      <c r="G1233" s="56" t="s">
        <v>392</v>
      </c>
      <c r="H1233" s="56" t="s">
        <v>4454</v>
      </c>
      <c r="I1233" s="56" t="s">
        <v>4455</v>
      </c>
      <c r="J1233" s="56"/>
      <c r="K1233" s="56"/>
      <c r="L1233" s="56"/>
      <c r="M1233" s="56"/>
      <c r="N1233" s="56" t="s">
        <v>49</v>
      </c>
      <c r="O1233" s="56">
        <v>44</v>
      </c>
      <c r="P1233" s="59" t="s">
        <v>2532</v>
      </c>
      <c r="Q1233" s="56" t="s">
        <v>11</v>
      </c>
      <c r="U1233" s="52">
        <v>1940826</v>
      </c>
      <c r="V1233">
        <v>40</v>
      </c>
      <c r="W1233">
        <v>25</v>
      </c>
      <c r="X1233">
        <v>1.6</v>
      </c>
      <c r="Y1233">
        <v>6</v>
      </c>
      <c r="Z1233" t="s">
        <v>1891</v>
      </c>
      <c r="AA1233" t="s">
        <v>1003</v>
      </c>
      <c r="AB1233" t="s">
        <v>2520</v>
      </c>
      <c r="AC1233" t="s">
        <v>428</v>
      </c>
      <c r="AD1233" t="s">
        <v>1838</v>
      </c>
      <c r="AE1233" t="s">
        <v>4913</v>
      </c>
      <c r="AF1233">
        <v>1.51443456</v>
      </c>
    </row>
    <row r="1234" spans="1:32" x14ac:dyDescent="0.25">
      <c r="A1234" s="56">
        <v>3500240</v>
      </c>
      <c r="B1234" s="56" t="s">
        <v>2358</v>
      </c>
      <c r="C1234" s="56" t="s">
        <v>4934</v>
      </c>
      <c r="D1234" s="56"/>
      <c r="E1234" s="57">
        <v>715.03399999999999</v>
      </c>
      <c r="F1234" s="57">
        <v>0.71503399999999995</v>
      </c>
      <c r="G1234" s="56" t="s">
        <v>392</v>
      </c>
      <c r="H1234" s="56" t="s">
        <v>4454</v>
      </c>
      <c r="I1234" s="56" t="s">
        <v>4455</v>
      </c>
      <c r="J1234" s="56"/>
      <c r="K1234" s="56"/>
      <c r="L1234" s="56"/>
      <c r="M1234" s="56"/>
      <c r="N1234" s="56" t="s">
        <v>49</v>
      </c>
      <c r="O1234" s="56">
        <v>13</v>
      </c>
      <c r="P1234" s="59" t="s">
        <v>2515</v>
      </c>
      <c r="Q1234" s="56" t="s">
        <v>11</v>
      </c>
      <c r="U1234" s="538">
        <v>111120633</v>
      </c>
      <c r="V1234">
        <v>40</v>
      </c>
      <c r="W1234">
        <v>25</v>
      </c>
      <c r="X1234">
        <v>1.6</v>
      </c>
      <c r="Y1234">
        <v>6.02</v>
      </c>
      <c r="Z1234" t="s">
        <v>1868</v>
      </c>
      <c r="AA1234" t="s">
        <v>1003</v>
      </c>
      <c r="AB1234" t="s">
        <v>2520</v>
      </c>
      <c r="AC1234" t="s">
        <v>428</v>
      </c>
      <c r="AD1234" t="s">
        <v>1838</v>
      </c>
      <c r="AE1234" t="s">
        <v>4913</v>
      </c>
      <c r="AF1234">
        <v>1.51443456</v>
      </c>
    </row>
    <row r="1235" spans="1:32" x14ac:dyDescent="0.25">
      <c r="A1235" s="56">
        <v>3500268</v>
      </c>
      <c r="B1235" s="56" t="s">
        <v>2360</v>
      </c>
      <c r="C1235" s="56" t="s">
        <v>4935</v>
      </c>
      <c r="D1235" s="56"/>
      <c r="E1235" s="57">
        <v>677.524</v>
      </c>
      <c r="F1235" s="57">
        <v>0.67752400000000002</v>
      </c>
      <c r="G1235" s="56" t="s">
        <v>392</v>
      </c>
      <c r="H1235" s="56" t="s">
        <v>4454</v>
      </c>
      <c r="I1235" s="56" t="s">
        <v>4455</v>
      </c>
      <c r="J1235" s="56"/>
      <c r="K1235" s="56"/>
      <c r="L1235" s="56"/>
      <c r="M1235" s="56"/>
      <c r="N1235" s="56" t="s">
        <v>151</v>
      </c>
      <c r="O1235" s="56">
        <v>32</v>
      </c>
      <c r="P1235" s="59" t="s">
        <v>2532</v>
      </c>
      <c r="Q1235" s="56" t="s">
        <v>11</v>
      </c>
      <c r="U1235" s="538">
        <v>111107161</v>
      </c>
      <c r="V1235">
        <v>40</v>
      </c>
      <c r="W1235">
        <v>25</v>
      </c>
      <c r="X1235">
        <v>1.6</v>
      </c>
      <c r="Y1235">
        <v>6.25</v>
      </c>
      <c r="Z1235" t="s">
        <v>1868</v>
      </c>
      <c r="AA1235" t="s">
        <v>1003</v>
      </c>
      <c r="AB1235" t="s">
        <v>2520</v>
      </c>
      <c r="AC1235" t="s">
        <v>428</v>
      </c>
      <c r="AD1235" t="s">
        <v>1838</v>
      </c>
      <c r="AE1235" t="s">
        <v>4913</v>
      </c>
      <c r="AF1235">
        <v>1.51443456</v>
      </c>
    </row>
    <row r="1236" spans="1:32" x14ac:dyDescent="0.25">
      <c r="A1236" s="56">
        <v>3500268</v>
      </c>
      <c r="B1236" s="56" t="s">
        <v>2360</v>
      </c>
      <c r="C1236" s="56" t="s">
        <v>4937</v>
      </c>
      <c r="D1236" s="56"/>
      <c r="E1236" s="57">
        <v>1285.1099999999999</v>
      </c>
      <c r="F1236" s="57">
        <v>1.28511</v>
      </c>
      <c r="G1236" s="56" t="s">
        <v>392</v>
      </c>
      <c r="H1236" s="56" t="s">
        <v>4454</v>
      </c>
      <c r="I1236" s="56" t="s">
        <v>4455</v>
      </c>
      <c r="J1236" s="56"/>
      <c r="K1236" s="56"/>
      <c r="L1236" s="56"/>
      <c r="M1236" s="56"/>
      <c r="N1236" s="56" t="s">
        <v>151</v>
      </c>
      <c r="O1236" s="56">
        <v>65</v>
      </c>
      <c r="P1236" s="59" t="s">
        <v>2579</v>
      </c>
      <c r="Q1236" s="56" t="s">
        <v>11</v>
      </c>
      <c r="U1236" s="52">
        <v>1932559</v>
      </c>
      <c r="V1236">
        <v>40</v>
      </c>
      <c r="W1236">
        <v>25</v>
      </c>
      <c r="X1236">
        <v>2</v>
      </c>
      <c r="Y1236">
        <v>6</v>
      </c>
      <c r="Z1236" t="s">
        <v>1883</v>
      </c>
      <c r="AA1236" t="s">
        <v>963</v>
      </c>
      <c r="AB1236" t="s">
        <v>2520</v>
      </c>
      <c r="AC1236" t="s">
        <v>1052</v>
      </c>
      <c r="AD1236" t="s">
        <v>1838</v>
      </c>
      <c r="AE1236" t="s">
        <v>4924</v>
      </c>
      <c r="AF1236">
        <v>1.873324</v>
      </c>
    </row>
    <row r="1237" spans="1:32" x14ac:dyDescent="0.25">
      <c r="A1237" s="56">
        <v>3500268</v>
      </c>
      <c r="B1237" s="56" t="s">
        <v>2360</v>
      </c>
      <c r="C1237" s="56" t="s">
        <v>4938</v>
      </c>
      <c r="D1237" s="56"/>
      <c r="E1237" s="57">
        <v>1427.9</v>
      </c>
      <c r="F1237" s="57">
        <v>1.4279000000000002</v>
      </c>
      <c r="G1237" s="56" t="s">
        <v>392</v>
      </c>
      <c r="H1237" s="56" t="s">
        <v>4454</v>
      </c>
      <c r="I1237" s="56" t="s">
        <v>4455</v>
      </c>
      <c r="J1237" s="56"/>
      <c r="K1237" s="56"/>
      <c r="L1237" s="56"/>
      <c r="M1237" s="56"/>
      <c r="N1237" s="56" t="s">
        <v>151</v>
      </c>
      <c r="O1237" s="56">
        <v>65</v>
      </c>
      <c r="P1237" s="59" t="s">
        <v>2579</v>
      </c>
      <c r="Q1237" s="56" t="s">
        <v>11</v>
      </c>
      <c r="U1237">
        <v>4174974</v>
      </c>
      <c r="V1237">
        <v>40</v>
      </c>
      <c r="W1237">
        <v>30</v>
      </c>
      <c r="X1237">
        <v>1.6</v>
      </c>
      <c r="Y1237">
        <v>0.26400000000000001</v>
      </c>
      <c r="Z1237" t="s">
        <v>1868</v>
      </c>
      <c r="AA1237" t="s">
        <v>1003</v>
      </c>
      <c r="AB1237" t="s">
        <v>2520</v>
      </c>
      <c r="AC1237" t="s">
        <v>586</v>
      </c>
      <c r="AD1237" t="s">
        <v>2171</v>
      </c>
      <c r="AE1237" t="s">
        <v>4926</v>
      </c>
      <c r="AF1237">
        <v>0.44732348130040922</v>
      </c>
    </row>
    <row r="1238" spans="1:32" x14ac:dyDescent="0.25">
      <c r="A1238" s="56">
        <v>3500268</v>
      </c>
      <c r="B1238" s="56" t="s">
        <v>2360</v>
      </c>
      <c r="C1238" s="56" t="s">
        <v>4939</v>
      </c>
      <c r="D1238" s="56"/>
      <c r="E1238" s="57">
        <v>66.959999999999994</v>
      </c>
      <c r="F1238" s="57">
        <v>6.6959999999999992E-2</v>
      </c>
      <c r="G1238" s="56" t="s">
        <v>392</v>
      </c>
      <c r="H1238" s="56" t="s">
        <v>4454</v>
      </c>
      <c r="I1238" s="56" t="s">
        <v>4455</v>
      </c>
      <c r="J1238" s="56"/>
      <c r="K1238" s="56"/>
      <c r="L1238" s="56"/>
      <c r="M1238" s="56"/>
      <c r="N1238" s="56" t="s">
        <v>151</v>
      </c>
      <c r="O1238" s="56">
        <v>25</v>
      </c>
      <c r="P1238" s="59" t="s">
        <v>2515</v>
      </c>
      <c r="Q1238" s="56" t="s">
        <v>11</v>
      </c>
      <c r="U1238" s="52">
        <v>1940829</v>
      </c>
      <c r="V1238">
        <v>40</v>
      </c>
      <c r="W1238">
        <v>30</v>
      </c>
      <c r="X1238">
        <v>1.6</v>
      </c>
      <c r="Y1238">
        <v>0.314</v>
      </c>
      <c r="Z1238" t="s">
        <v>1891</v>
      </c>
      <c r="AA1238" t="s">
        <v>1003</v>
      </c>
      <c r="AB1238" t="s">
        <v>2520</v>
      </c>
      <c r="AC1238" t="s">
        <v>586</v>
      </c>
      <c r="AD1238" t="s">
        <v>2171</v>
      </c>
      <c r="AE1238" t="s">
        <v>4928</v>
      </c>
      <c r="AF1238">
        <v>0.53204383760730489</v>
      </c>
    </row>
    <row r="1239" spans="1:32" x14ac:dyDescent="0.25">
      <c r="A1239" s="56">
        <v>3500308</v>
      </c>
      <c r="B1239" s="56" t="s">
        <v>4940</v>
      </c>
      <c r="C1239" s="56" t="s">
        <v>4941</v>
      </c>
      <c r="D1239" s="56"/>
      <c r="E1239" s="57">
        <v>1666.306</v>
      </c>
      <c r="F1239" s="57">
        <v>1.6663060000000001</v>
      </c>
      <c r="G1239" s="56" t="s">
        <v>392</v>
      </c>
      <c r="H1239" s="56" t="s">
        <v>4454</v>
      </c>
      <c r="I1239" s="56" t="s">
        <v>4455</v>
      </c>
      <c r="J1239" s="56"/>
      <c r="K1239" s="56"/>
      <c r="L1239" s="56"/>
      <c r="M1239" s="56"/>
      <c r="N1239" s="56" t="s">
        <v>101</v>
      </c>
      <c r="O1239" s="56">
        <v>24</v>
      </c>
      <c r="P1239" s="59" t="s">
        <v>2515</v>
      </c>
      <c r="Q1239" s="56" t="s">
        <v>192</v>
      </c>
      <c r="U1239" s="52">
        <v>1941860</v>
      </c>
      <c r="V1239">
        <v>40</v>
      </c>
      <c r="W1239">
        <v>30</v>
      </c>
      <c r="X1239">
        <v>1.6</v>
      </c>
      <c r="Y1239">
        <v>0.4</v>
      </c>
      <c r="Z1239" t="s">
        <v>1891</v>
      </c>
      <c r="AA1239" t="s">
        <v>1003</v>
      </c>
      <c r="AB1239" t="s">
        <v>2520</v>
      </c>
      <c r="AC1239" t="s">
        <v>586</v>
      </c>
      <c r="AD1239" t="s">
        <v>2171</v>
      </c>
      <c r="AE1239" t="s">
        <v>2216</v>
      </c>
      <c r="AF1239">
        <v>0.67776285045516549</v>
      </c>
    </row>
    <row r="1240" spans="1:32" x14ac:dyDescent="0.25">
      <c r="A1240" s="56">
        <v>3500308</v>
      </c>
      <c r="B1240" s="56" t="s">
        <v>4940</v>
      </c>
      <c r="C1240" s="56" t="s">
        <v>4942</v>
      </c>
      <c r="D1240" s="56"/>
      <c r="E1240" s="57">
        <v>958.69600000000003</v>
      </c>
      <c r="F1240" s="57">
        <v>0.95869599999999999</v>
      </c>
      <c r="G1240" s="56" t="s">
        <v>392</v>
      </c>
      <c r="H1240" s="56" t="s">
        <v>4454</v>
      </c>
      <c r="I1240" s="56" t="s">
        <v>4455</v>
      </c>
      <c r="J1240" s="56"/>
      <c r="K1240" s="56"/>
      <c r="L1240" s="56"/>
      <c r="M1240" s="56"/>
      <c r="N1240" s="56" t="s">
        <v>101</v>
      </c>
      <c r="O1240" s="56">
        <v>6</v>
      </c>
      <c r="P1240" s="59" t="s">
        <v>2515</v>
      </c>
      <c r="Q1240" s="56" t="s">
        <v>192</v>
      </c>
      <c r="U1240" s="52">
        <v>3712521</v>
      </c>
      <c r="V1240">
        <v>40</v>
      </c>
      <c r="W1240">
        <v>30</v>
      </c>
      <c r="X1240">
        <v>1.6</v>
      </c>
      <c r="Y1240">
        <v>0.83499999999999996</v>
      </c>
      <c r="Z1240" t="s">
        <v>1868</v>
      </c>
      <c r="AA1240" t="s">
        <v>1003</v>
      </c>
      <c r="AB1240" t="s">
        <v>2520</v>
      </c>
      <c r="AC1240" t="s">
        <v>586</v>
      </c>
      <c r="AD1240" t="s">
        <v>2171</v>
      </c>
      <c r="AE1240" t="s">
        <v>632</v>
      </c>
      <c r="AF1240">
        <v>1.4148299503251578</v>
      </c>
    </row>
    <row r="1241" spans="1:32" x14ac:dyDescent="0.25">
      <c r="A1241" s="56">
        <v>3500352</v>
      </c>
      <c r="B1241" s="56" t="s">
        <v>1611</v>
      </c>
      <c r="C1241" s="56" t="s">
        <v>4943</v>
      </c>
      <c r="D1241" s="56"/>
      <c r="E1241" s="57">
        <v>2178.4070000000002</v>
      </c>
      <c r="F1241" s="57">
        <v>2.178407</v>
      </c>
      <c r="G1241" s="56" t="s">
        <v>392</v>
      </c>
      <c r="H1241" s="56" t="s">
        <v>4454</v>
      </c>
      <c r="I1241" s="56" t="s">
        <v>4455</v>
      </c>
      <c r="J1241" s="56"/>
      <c r="K1241" s="56"/>
      <c r="L1241" s="56"/>
      <c r="M1241" s="56"/>
      <c r="N1241" s="56" t="s">
        <v>45</v>
      </c>
      <c r="O1241" s="56">
        <v>7</v>
      </c>
      <c r="P1241" s="59" t="s">
        <v>2515</v>
      </c>
      <c r="Q1241" s="56" t="s">
        <v>11</v>
      </c>
      <c r="U1241" s="52">
        <v>3616912</v>
      </c>
      <c r="V1241">
        <v>40</v>
      </c>
      <c r="W1241">
        <v>30</v>
      </c>
      <c r="X1241">
        <v>1.6</v>
      </c>
      <c r="Y1241">
        <v>0.85199999999999998</v>
      </c>
      <c r="Z1241" t="s">
        <v>1868</v>
      </c>
      <c r="AA1241" t="s">
        <v>1003</v>
      </c>
      <c r="AB1241" t="s">
        <v>2520</v>
      </c>
      <c r="AC1241" t="s">
        <v>586</v>
      </c>
      <c r="AD1241" t="s">
        <v>2171</v>
      </c>
      <c r="AE1241" t="s">
        <v>4932</v>
      </c>
      <c r="AF1241">
        <v>1.4436348714695024</v>
      </c>
    </row>
    <row r="1242" spans="1:32" x14ac:dyDescent="0.25">
      <c r="A1242" s="56">
        <v>3500352</v>
      </c>
      <c r="B1242" s="56" t="s">
        <v>1611</v>
      </c>
      <c r="C1242" s="56" t="s">
        <v>4944</v>
      </c>
      <c r="D1242" s="56"/>
      <c r="E1242" s="57">
        <v>2261.7910000000002</v>
      </c>
      <c r="F1242" s="57">
        <v>2.2617910000000001</v>
      </c>
      <c r="G1242" s="56" t="s">
        <v>392</v>
      </c>
      <c r="H1242" s="56" t="s">
        <v>4454</v>
      </c>
      <c r="I1242" s="56" t="s">
        <v>4455</v>
      </c>
      <c r="J1242" s="56"/>
      <c r="K1242" s="56"/>
      <c r="L1242" s="56"/>
      <c r="M1242" s="56"/>
      <c r="N1242" s="56" t="s">
        <v>45</v>
      </c>
      <c r="O1242" s="56">
        <v>13</v>
      </c>
      <c r="P1242" s="59" t="s">
        <v>2515</v>
      </c>
      <c r="Q1242" s="56" t="s">
        <v>11</v>
      </c>
      <c r="U1242" s="52">
        <v>1940830</v>
      </c>
      <c r="V1242">
        <v>40</v>
      </c>
      <c r="W1242">
        <v>30</v>
      </c>
      <c r="X1242">
        <v>1.6</v>
      </c>
      <c r="Y1242">
        <v>0.86</v>
      </c>
      <c r="Z1242" t="s">
        <v>1891</v>
      </c>
      <c r="AA1242" t="s">
        <v>1003</v>
      </c>
      <c r="AB1242" t="s">
        <v>2520</v>
      </c>
      <c r="AC1242" t="s">
        <v>586</v>
      </c>
      <c r="AD1242" t="s">
        <v>2171</v>
      </c>
      <c r="AE1242" t="s">
        <v>588</v>
      </c>
      <c r="AF1242">
        <v>1.4571901284786057</v>
      </c>
    </row>
    <row r="1243" spans="1:32" x14ac:dyDescent="0.25">
      <c r="A1243" s="56">
        <v>3500352</v>
      </c>
      <c r="B1243" s="56" t="s">
        <v>1611</v>
      </c>
      <c r="C1243" s="56" t="s">
        <v>4945</v>
      </c>
      <c r="D1243" s="56"/>
      <c r="E1243" s="57">
        <v>2251.3679999999999</v>
      </c>
      <c r="F1243" s="57">
        <v>2.2513679999999998</v>
      </c>
      <c r="G1243" s="56" t="s">
        <v>392</v>
      </c>
      <c r="H1243" s="56" t="s">
        <v>4454</v>
      </c>
      <c r="I1243" s="56" t="s">
        <v>4455</v>
      </c>
      <c r="J1243" s="56"/>
      <c r="K1243" s="56"/>
      <c r="L1243" s="56"/>
      <c r="M1243" s="56"/>
      <c r="N1243" s="56" t="s">
        <v>45</v>
      </c>
      <c r="O1243" s="56">
        <v>13</v>
      </c>
      <c r="P1243" s="59" t="s">
        <v>2515</v>
      </c>
      <c r="Q1243" s="56" t="s">
        <v>11</v>
      </c>
      <c r="U1243" s="52">
        <v>1940831</v>
      </c>
      <c r="V1243">
        <v>40</v>
      </c>
      <c r="W1243">
        <v>30</v>
      </c>
      <c r="X1243">
        <v>1.6</v>
      </c>
      <c r="Y1243">
        <v>0.88</v>
      </c>
      <c r="Z1243" t="s">
        <v>1891</v>
      </c>
      <c r="AA1243" t="s">
        <v>1003</v>
      </c>
      <c r="AB1243" t="s">
        <v>2520</v>
      </c>
      <c r="AC1243" t="s">
        <v>586</v>
      </c>
      <c r="AD1243" t="s">
        <v>2171</v>
      </c>
      <c r="AE1243" t="s">
        <v>658</v>
      </c>
      <c r="AF1243">
        <v>1.4910782710013641</v>
      </c>
    </row>
    <row r="1244" spans="1:32" x14ac:dyDescent="0.25">
      <c r="A1244" s="56">
        <v>3500352</v>
      </c>
      <c r="B1244" s="56" t="s">
        <v>1611</v>
      </c>
      <c r="C1244" s="56" t="s">
        <v>4946</v>
      </c>
      <c r="D1244" s="56"/>
      <c r="E1244" s="57">
        <v>1521.6569999999999</v>
      </c>
      <c r="F1244" s="57">
        <v>1.5216569999999998</v>
      </c>
      <c r="G1244" s="56" t="s">
        <v>392</v>
      </c>
      <c r="H1244" s="56" t="s">
        <v>4454</v>
      </c>
      <c r="I1244" s="56" t="s">
        <v>4455</v>
      </c>
      <c r="J1244" s="56"/>
      <c r="K1244" s="56"/>
      <c r="L1244" s="56"/>
      <c r="M1244" s="56"/>
      <c r="N1244" s="56" t="s">
        <v>45</v>
      </c>
      <c r="O1244" s="56">
        <v>9</v>
      </c>
      <c r="P1244" s="59" t="s">
        <v>2515</v>
      </c>
      <c r="Q1244" s="56" t="s">
        <v>11</v>
      </c>
      <c r="U1244" s="52">
        <v>4164767</v>
      </c>
      <c r="V1244">
        <v>40</v>
      </c>
      <c r="W1244">
        <v>30</v>
      </c>
      <c r="X1244">
        <v>1.6</v>
      </c>
      <c r="Y1244">
        <v>5.9</v>
      </c>
      <c r="Z1244" t="s">
        <v>1874</v>
      </c>
      <c r="AA1244" t="s">
        <v>1003</v>
      </c>
      <c r="AB1244" t="s">
        <v>2520</v>
      </c>
      <c r="AC1244" t="s">
        <v>586</v>
      </c>
      <c r="AD1244" t="s">
        <v>1838</v>
      </c>
      <c r="AE1244" t="s">
        <v>4936</v>
      </c>
      <c r="AF1244">
        <v>1.6944071261379137</v>
      </c>
    </row>
    <row r="1245" spans="1:32" x14ac:dyDescent="0.25">
      <c r="A1245" s="56">
        <v>3500554</v>
      </c>
      <c r="B1245" s="56" t="s">
        <v>1485</v>
      </c>
      <c r="C1245" s="56" t="s">
        <v>4947</v>
      </c>
      <c r="D1245" s="56"/>
      <c r="E1245" s="57">
        <v>2400</v>
      </c>
      <c r="F1245" s="57">
        <v>2.4</v>
      </c>
      <c r="G1245" s="56" t="s">
        <v>392</v>
      </c>
      <c r="H1245" s="56" t="s">
        <v>4454</v>
      </c>
      <c r="I1245" s="56" t="s">
        <v>1834</v>
      </c>
      <c r="J1245" s="56"/>
      <c r="K1245" s="56"/>
      <c r="L1245" s="56"/>
      <c r="M1245" s="56"/>
      <c r="N1245" s="56" t="s">
        <v>61</v>
      </c>
      <c r="O1245" s="56">
        <v>52</v>
      </c>
      <c r="P1245" s="59" t="s">
        <v>2532</v>
      </c>
      <c r="Q1245" s="56" t="s">
        <v>11</v>
      </c>
      <c r="U1245">
        <v>3925391</v>
      </c>
      <c r="V1245">
        <v>40</v>
      </c>
      <c r="W1245">
        <v>30</v>
      </c>
      <c r="X1245">
        <v>1.6</v>
      </c>
      <c r="Y1245">
        <v>5.93</v>
      </c>
      <c r="Z1245" t="s">
        <v>1874</v>
      </c>
      <c r="AA1245" t="s">
        <v>1003</v>
      </c>
      <c r="AB1245" t="s">
        <v>2520</v>
      </c>
      <c r="AC1245" t="s">
        <v>586</v>
      </c>
      <c r="AD1245" t="s">
        <v>1838</v>
      </c>
      <c r="AE1245" t="s">
        <v>2339</v>
      </c>
      <c r="AF1245">
        <v>1.6944071261379137</v>
      </c>
    </row>
    <row r="1246" spans="1:32" x14ac:dyDescent="0.25">
      <c r="A1246" s="56">
        <v>3500554</v>
      </c>
      <c r="B1246" s="56" t="s">
        <v>1485</v>
      </c>
      <c r="C1246" s="56" t="s">
        <v>4948</v>
      </c>
      <c r="D1246" s="56"/>
      <c r="E1246" s="57">
        <v>2400</v>
      </c>
      <c r="F1246" s="57">
        <v>2.4</v>
      </c>
      <c r="G1246" s="56" t="s">
        <v>392</v>
      </c>
      <c r="H1246" s="56" t="s">
        <v>4454</v>
      </c>
      <c r="I1246" s="56" t="s">
        <v>1834</v>
      </c>
      <c r="J1246" s="56"/>
      <c r="K1246" s="56"/>
      <c r="L1246" s="56"/>
      <c r="M1246" s="56"/>
      <c r="N1246" s="56" t="s">
        <v>61</v>
      </c>
      <c r="O1246" s="56">
        <v>52</v>
      </c>
      <c r="P1246" s="59" t="s">
        <v>2532</v>
      </c>
      <c r="Q1246" s="56" t="s">
        <v>11</v>
      </c>
      <c r="U1246" s="538">
        <v>111118043</v>
      </c>
      <c r="V1246">
        <v>40</v>
      </c>
      <c r="W1246">
        <v>30</v>
      </c>
      <c r="X1246">
        <v>1.6</v>
      </c>
      <c r="Y1246">
        <v>5.93</v>
      </c>
      <c r="Z1246" t="s">
        <v>1881</v>
      </c>
      <c r="AA1246" t="s">
        <v>1003</v>
      </c>
      <c r="AB1246" t="s">
        <v>2520</v>
      </c>
      <c r="AC1246" t="s">
        <v>586</v>
      </c>
      <c r="AD1246" t="s">
        <v>1838</v>
      </c>
      <c r="AE1246" t="s">
        <v>2339</v>
      </c>
      <c r="AF1246">
        <v>1.6944071261379137</v>
      </c>
    </row>
    <row r="1247" spans="1:32" x14ac:dyDescent="0.25">
      <c r="A1247" s="56">
        <v>3500554</v>
      </c>
      <c r="B1247" s="56" t="s">
        <v>1485</v>
      </c>
      <c r="C1247" s="56" t="s">
        <v>4950</v>
      </c>
      <c r="D1247" s="56"/>
      <c r="E1247" s="57">
        <v>1295</v>
      </c>
      <c r="F1247" s="57">
        <v>1.2949999999999999</v>
      </c>
      <c r="G1247" s="56" t="s">
        <v>392</v>
      </c>
      <c r="H1247" s="56" t="s">
        <v>4454</v>
      </c>
      <c r="I1247" s="56" t="s">
        <v>1834</v>
      </c>
      <c r="J1247" s="56"/>
      <c r="K1247" s="56"/>
      <c r="L1247" s="56"/>
      <c r="M1247" s="56"/>
      <c r="N1247" s="56" t="s">
        <v>61</v>
      </c>
      <c r="O1247" s="56">
        <v>52</v>
      </c>
      <c r="P1247" s="59" t="s">
        <v>2532</v>
      </c>
      <c r="Q1247" s="56" t="s">
        <v>11</v>
      </c>
      <c r="U1247" s="52">
        <v>3441727</v>
      </c>
      <c r="V1247">
        <v>40</v>
      </c>
      <c r="W1247">
        <v>30</v>
      </c>
      <c r="X1247">
        <v>1.6</v>
      </c>
      <c r="Y1247">
        <v>6</v>
      </c>
      <c r="Z1247" t="s">
        <v>1868</v>
      </c>
      <c r="AA1247" t="s">
        <v>1003</v>
      </c>
      <c r="AB1247" t="s">
        <v>2520</v>
      </c>
      <c r="AC1247" t="s">
        <v>586</v>
      </c>
      <c r="AD1247" t="s">
        <v>1838</v>
      </c>
      <c r="AE1247" t="s">
        <v>2339</v>
      </c>
      <c r="AF1247">
        <v>1.6944071261379137</v>
      </c>
    </row>
    <row r="1248" spans="1:32" x14ac:dyDescent="0.25">
      <c r="A1248" s="56">
        <v>3500554</v>
      </c>
      <c r="B1248" s="56" t="s">
        <v>1485</v>
      </c>
      <c r="C1248" s="56" t="s">
        <v>4951</v>
      </c>
      <c r="D1248" s="56"/>
      <c r="E1248" s="57">
        <v>2080.9639999999999</v>
      </c>
      <c r="F1248" s="57">
        <v>2.0809639999999998</v>
      </c>
      <c r="G1248" s="56" t="s">
        <v>392</v>
      </c>
      <c r="H1248" s="56" t="s">
        <v>4454</v>
      </c>
      <c r="I1248" s="56" t="s">
        <v>1834</v>
      </c>
      <c r="J1248" s="56"/>
      <c r="K1248" s="56"/>
      <c r="L1248" s="56"/>
      <c r="M1248" s="56"/>
      <c r="N1248" s="56" t="s">
        <v>61</v>
      </c>
      <c r="O1248" s="56">
        <v>96</v>
      </c>
      <c r="P1248" s="59" t="s">
        <v>2524</v>
      </c>
      <c r="Q1248" s="56" t="s">
        <v>11</v>
      </c>
      <c r="U1248" s="52">
        <v>1940832</v>
      </c>
      <c r="V1248">
        <v>40</v>
      </c>
      <c r="W1248">
        <v>30</v>
      </c>
      <c r="X1248">
        <v>1.6</v>
      </c>
      <c r="Y1248">
        <v>6.1</v>
      </c>
      <c r="Z1248" t="s">
        <v>1891</v>
      </c>
      <c r="AA1248" t="s">
        <v>1003</v>
      </c>
      <c r="AB1248" t="s">
        <v>2520</v>
      </c>
      <c r="AC1248" t="s">
        <v>586</v>
      </c>
      <c r="AD1248" t="s">
        <v>1838</v>
      </c>
      <c r="AE1248" t="s">
        <v>2339</v>
      </c>
      <c r="AF1248">
        <v>1.6944071261379137</v>
      </c>
    </row>
    <row r="1249" spans="1:32" x14ac:dyDescent="0.25">
      <c r="A1249" s="56">
        <v>3500554</v>
      </c>
      <c r="B1249" s="56" t="s">
        <v>1485</v>
      </c>
      <c r="C1249" s="56" t="s">
        <v>4952</v>
      </c>
      <c r="D1249" s="56"/>
      <c r="E1249" s="57">
        <v>2080.9639999999999</v>
      </c>
      <c r="F1249" s="57">
        <v>2.0809639999999998</v>
      </c>
      <c r="G1249" s="56" t="s">
        <v>392</v>
      </c>
      <c r="H1249" s="56" t="s">
        <v>4454</v>
      </c>
      <c r="I1249" s="56" t="s">
        <v>1834</v>
      </c>
      <c r="J1249" s="56"/>
      <c r="K1249" s="56"/>
      <c r="L1249" s="56"/>
      <c r="M1249" s="56"/>
      <c r="N1249" s="56" t="s">
        <v>61</v>
      </c>
      <c r="O1249" s="56">
        <v>96</v>
      </c>
      <c r="P1249" s="59" t="s">
        <v>2524</v>
      </c>
      <c r="Q1249" s="56" t="s">
        <v>11</v>
      </c>
      <c r="U1249" s="538">
        <v>110102958</v>
      </c>
      <c r="V1249">
        <v>40</v>
      </c>
      <c r="W1249">
        <v>30</v>
      </c>
      <c r="X1249">
        <v>1.6</v>
      </c>
      <c r="Y1249">
        <v>6.1</v>
      </c>
      <c r="Z1249" t="s">
        <v>1891</v>
      </c>
      <c r="AA1249" t="s">
        <v>1003</v>
      </c>
      <c r="AB1249" t="s">
        <v>2520</v>
      </c>
      <c r="AC1249" t="s">
        <v>586</v>
      </c>
      <c r="AD1249" t="s">
        <v>1838</v>
      </c>
      <c r="AE1249" t="s">
        <v>2339</v>
      </c>
      <c r="AF1249">
        <v>1.6944071261379137</v>
      </c>
    </row>
    <row r="1250" spans="1:32" x14ac:dyDescent="0.25">
      <c r="A1250" s="56">
        <v>3500554</v>
      </c>
      <c r="B1250" s="56" t="s">
        <v>1485</v>
      </c>
      <c r="C1250" s="56" t="s">
        <v>4954</v>
      </c>
      <c r="D1250" s="56"/>
      <c r="E1250" s="57">
        <v>2080.9639999999999</v>
      </c>
      <c r="F1250" s="57">
        <v>2.0809639999999998</v>
      </c>
      <c r="G1250" s="56" t="s">
        <v>392</v>
      </c>
      <c r="H1250" s="56" t="s">
        <v>4454</v>
      </c>
      <c r="I1250" s="56" t="s">
        <v>1834</v>
      </c>
      <c r="J1250" s="56"/>
      <c r="K1250" s="56"/>
      <c r="L1250" s="56"/>
      <c r="M1250" s="56"/>
      <c r="N1250" s="56" t="s">
        <v>61</v>
      </c>
      <c r="O1250" s="56">
        <v>96</v>
      </c>
      <c r="P1250" s="59" t="s">
        <v>2524</v>
      </c>
      <c r="Q1250" s="56" t="s">
        <v>11</v>
      </c>
      <c r="U1250" s="52">
        <v>1940833</v>
      </c>
      <c r="V1250">
        <v>40</v>
      </c>
      <c r="W1250">
        <v>30</v>
      </c>
      <c r="X1250">
        <v>1.6</v>
      </c>
      <c r="Y1250">
        <v>6.23</v>
      </c>
      <c r="Z1250" t="s">
        <v>1891</v>
      </c>
      <c r="AA1250" t="s">
        <v>1003</v>
      </c>
      <c r="AB1250" t="s">
        <v>2520</v>
      </c>
      <c r="AC1250" t="s">
        <v>586</v>
      </c>
      <c r="AD1250" t="s">
        <v>1838</v>
      </c>
      <c r="AE1250" t="s">
        <v>2339</v>
      </c>
      <c r="AF1250">
        <v>1.6944071261379137</v>
      </c>
    </row>
    <row r="1251" spans="1:32" x14ac:dyDescent="0.25">
      <c r="A1251" s="56">
        <v>3500554</v>
      </c>
      <c r="B1251" s="56" t="s">
        <v>1485</v>
      </c>
      <c r="C1251" s="56" t="s">
        <v>4955</v>
      </c>
      <c r="D1251" s="56"/>
      <c r="E1251" s="57">
        <v>2066.0639999999999</v>
      </c>
      <c r="F1251" s="57">
        <v>2.0660639999999999</v>
      </c>
      <c r="G1251" s="56" t="s">
        <v>392</v>
      </c>
      <c r="H1251" s="56" t="s">
        <v>4454</v>
      </c>
      <c r="I1251" s="56" t="s">
        <v>1834</v>
      </c>
      <c r="J1251" s="56"/>
      <c r="K1251" s="56"/>
      <c r="L1251" s="56"/>
      <c r="M1251" s="56"/>
      <c r="N1251" s="56" t="s">
        <v>61</v>
      </c>
      <c r="O1251" s="56">
        <v>96</v>
      </c>
      <c r="P1251" s="59" t="s">
        <v>2524</v>
      </c>
      <c r="Q1251" s="56" t="s">
        <v>11</v>
      </c>
      <c r="U1251" s="52">
        <v>3569651</v>
      </c>
      <c r="V1251">
        <v>40</v>
      </c>
      <c r="W1251">
        <v>30</v>
      </c>
      <c r="X1251">
        <v>1.6</v>
      </c>
      <c r="Y1251">
        <v>6.2450000000000001</v>
      </c>
      <c r="Z1251" t="s">
        <v>1868</v>
      </c>
      <c r="AA1251" t="s">
        <v>1003</v>
      </c>
      <c r="AB1251" t="s">
        <v>2520</v>
      </c>
      <c r="AC1251" t="s">
        <v>586</v>
      </c>
      <c r="AD1251" t="s">
        <v>1838</v>
      </c>
      <c r="AE1251" t="s">
        <v>2339</v>
      </c>
      <c r="AF1251">
        <v>1.6944071261379137</v>
      </c>
    </row>
    <row r="1252" spans="1:32" x14ac:dyDescent="0.25">
      <c r="A1252" s="56">
        <v>3500554</v>
      </c>
      <c r="B1252" s="56" t="s">
        <v>1485</v>
      </c>
      <c r="C1252" s="56" t="s">
        <v>4956</v>
      </c>
      <c r="D1252" s="56"/>
      <c r="E1252" s="57">
        <v>2085.9299999999998</v>
      </c>
      <c r="F1252" s="57">
        <v>2.0859299999999998</v>
      </c>
      <c r="G1252" s="56" t="s">
        <v>392</v>
      </c>
      <c r="H1252" s="56" t="s">
        <v>4454</v>
      </c>
      <c r="I1252" s="56" t="s">
        <v>1834</v>
      </c>
      <c r="J1252" s="56"/>
      <c r="K1252" s="56"/>
      <c r="L1252" s="56"/>
      <c r="M1252" s="56"/>
      <c r="N1252" s="56" t="s">
        <v>61</v>
      </c>
      <c r="O1252" s="56">
        <v>96</v>
      </c>
      <c r="P1252" s="59" t="s">
        <v>2524</v>
      </c>
      <c r="Q1252" s="56" t="s">
        <v>11</v>
      </c>
      <c r="U1252" s="538">
        <v>110102957</v>
      </c>
      <c r="V1252">
        <v>40</v>
      </c>
      <c r="W1252">
        <v>30</v>
      </c>
      <c r="X1252">
        <v>1.6</v>
      </c>
      <c r="Y1252">
        <v>6.2450000000000001</v>
      </c>
      <c r="Z1252" t="s">
        <v>1891</v>
      </c>
      <c r="AA1252" t="s">
        <v>1003</v>
      </c>
      <c r="AB1252" t="s">
        <v>2520</v>
      </c>
      <c r="AC1252" t="s">
        <v>586</v>
      </c>
      <c r="AD1252" t="s">
        <v>1838</v>
      </c>
      <c r="AE1252" t="s">
        <v>2339</v>
      </c>
      <c r="AF1252">
        <v>1.6944071261379137</v>
      </c>
    </row>
    <row r="1253" spans="1:32" x14ac:dyDescent="0.25">
      <c r="A1253" s="56">
        <v>3500554</v>
      </c>
      <c r="B1253" s="56" t="s">
        <v>1485</v>
      </c>
      <c r="C1253" s="56" t="s">
        <v>4535</v>
      </c>
      <c r="D1253" s="56"/>
      <c r="E1253" s="57">
        <v>725.70500000000004</v>
      </c>
      <c r="F1253" s="57">
        <v>0.72570500000000004</v>
      </c>
      <c r="G1253" s="56" t="s">
        <v>392</v>
      </c>
      <c r="H1253" s="56" t="s">
        <v>1914</v>
      </c>
      <c r="I1253" s="56" t="s">
        <v>1834</v>
      </c>
      <c r="J1253" s="56"/>
      <c r="K1253" s="56"/>
      <c r="L1253" s="56"/>
      <c r="M1253" s="56"/>
      <c r="N1253" s="56" t="s">
        <v>61</v>
      </c>
      <c r="O1253" s="56">
        <v>9</v>
      </c>
      <c r="P1253" s="59" t="s">
        <v>2515</v>
      </c>
      <c r="Q1253" s="56" t="s">
        <v>11</v>
      </c>
      <c r="U1253">
        <v>4098592</v>
      </c>
      <c r="V1253">
        <v>40</v>
      </c>
      <c r="W1253">
        <v>30</v>
      </c>
      <c r="X1253">
        <v>2</v>
      </c>
      <c r="Y1253">
        <v>0.14799999999999999</v>
      </c>
      <c r="Z1253" t="s">
        <v>1891</v>
      </c>
      <c r="AA1253" t="s">
        <v>2520</v>
      </c>
      <c r="AB1253" t="s">
        <v>1003</v>
      </c>
      <c r="AC1253" t="s">
        <v>578</v>
      </c>
      <c r="AD1253" t="s">
        <v>2171</v>
      </c>
      <c r="AE1253" t="s">
        <v>580</v>
      </c>
      <c r="AF1253">
        <v>0.31054687673551395</v>
      </c>
    </row>
    <row r="1254" spans="1:32" x14ac:dyDescent="0.25">
      <c r="A1254" s="56">
        <v>3500554</v>
      </c>
      <c r="B1254" s="56" t="s">
        <v>1485</v>
      </c>
      <c r="C1254" s="56" t="s">
        <v>4957</v>
      </c>
      <c r="D1254" s="56"/>
      <c r="E1254" s="57">
        <v>1868</v>
      </c>
      <c r="F1254" s="57">
        <v>1.8680000000000001</v>
      </c>
      <c r="G1254" s="56" t="s">
        <v>392</v>
      </c>
      <c r="H1254" s="56" t="s">
        <v>1914</v>
      </c>
      <c r="I1254" s="56" t="s">
        <v>1834</v>
      </c>
      <c r="J1254" s="56"/>
      <c r="K1254" s="56"/>
      <c r="L1254" s="56"/>
      <c r="M1254" s="56"/>
      <c r="N1254" s="56" t="s">
        <v>61</v>
      </c>
      <c r="O1254" s="56">
        <v>47</v>
      </c>
      <c r="P1254" s="59" t="s">
        <v>2532</v>
      </c>
      <c r="Q1254" s="56" t="s">
        <v>11</v>
      </c>
      <c r="U1254">
        <v>4098593</v>
      </c>
      <c r="V1254">
        <v>40</v>
      </c>
      <c r="W1254">
        <v>30</v>
      </c>
      <c r="X1254">
        <v>2</v>
      </c>
      <c r="Y1254">
        <v>0.16200000000000001</v>
      </c>
      <c r="Z1254" t="s">
        <v>1891</v>
      </c>
      <c r="AA1254" t="s">
        <v>2520</v>
      </c>
      <c r="AB1254" t="s">
        <v>1003</v>
      </c>
      <c r="AC1254" t="s">
        <v>578</v>
      </c>
      <c r="AD1254" t="s">
        <v>2171</v>
      </c>
      <c r="AE1254" t="s">
        <v>2308</v>
      </c>
      <c r="AF1254">
        <v>0.33992293264292744</v>
      </c>
    </row>
    <row r="1255" spans="1:32" x14ac:dyDescent="0.25">
      <c r="A1255" s="56">
        <v>3500554</v>
      </c>
      <c r="B1255" s="56" t="s">
        <v>1485</v>
      </c>
      <c r="C1255" s="56" t="s">
        <v>4958</v>
      </c>
      <c r="D1255" s="56"/>
      <c r="E1255" s="57">
        <v>2504</v>
      </c>
      <c r="F1255" s="57">
        <v>2.504</v>
      </c>
      <c r="G1255" s="56" t="s">
        <v>392</v>
      </c>
      <c r="H1255" s="56" t="s">
        <v>1914</v>
      </c>
      <c r="I1255" s="56" t="s">
        <v>1834</v>
      </c>
      <c r="J1255" s="56"/>
      <c r="K1255" s="56"/>
      <c r="L1255" s="56"/>
      <c r="M1255" s="56"/>
      <c r="N1255" s="56" t="s">
        <v>61</v>
      </c>
      <c r="O1255" s="56">
        <v>47</v>
      </c>
      <c r="P1255" s="59" t="s">
        <v>2532</v>
      </c>
      <c r="Q1255" s="56" t="s">
        <v>11</v>
      </c>
      <c r="U1255" s="52">
        <v>1940834</v>
      </c>
      <c r="V1255">
        <v>40</v>
      </c>
      <c r="W1255">
        <v>30</v>
      </c>
      <c r="X1255">
        <v>2</v>
      </c>
      <c r="Y1255">
        <v>0.254</v>
      </c>
      <c r="Z1255" t="s">
        <v>1891</v>
      </c>
      <c r="AA1255" t="s">
        <v>1003</v>
      </c>
      <c r="AB1255" t="s">
        <v>2520</v>
      </c>
      <c r="AC1255" t="s">
        <v>578</v>
      </c>
      <c r="AD1255" t="s">
        <v>2171</v>
      </c>
      <c r="AE1255" t="s">
        <v>4949</v>
      </c>
      <c r="AF1255">
        <v>0.5329655857487875</v>
      </c>
    </row>
    <row r="1256" spans="1:32" x14ac:dyDescent="0.25">
      <c r="A1256" s="56">
        <v>3500554</v>
      </c>
      <c r="B1256" s="56" t="s">
        <v>1485</v>
      </c>
      <c r="C1256" s="56" t="s">
        <v>4959</v>
      </c>
      <c r="D1256" s="56"/>
      <c r="E1256" s="57">
        <v>2207</v>
      </c>
      <c r="F1256" s="57">
        <v>2.2069999999999999</v>
      </c>
      <c r="G1256" s="56" t="s">
        <v>392</v>
      </c>
      <c r="H1256" s="56" t="s">
        <v>1914</v>
      </c>
      <c r="I1256" s="56" t="s">
        <v>1834</v>
      </c>
      <c r="J1256" s="56"/>
      <c r="K1256" s="56"/>
      <c r="L1256" s="56"/>
      <c r="M1256" s="56"/>
      <c r="N1256" s="56" t="s">
        <v>61</v>
      </c>
      <c r="O1256" s="56">
        <v>47</v>
      </c>
      <c r="P1256" s="59" t="s">
        <v>2532</v>
      </c>
      <c r="Q1256" s="56" t="s">
        <v>11</v>
      </c>
      <c r="U1256" s="52">
        <v>1940837</v>
      </c>
      <c r="V1256">
        <v>40</v>
      </c>
      <c r="W1256">
        <v>30</v>
      </c>
      <c r="X1256">
        <v>2</v>
      </c>
      <c r="Y1256">
        <v>0.87</v>
      </c>
      <c r="Z1256" t="s">
        <v>1891</v>
      </c>
      <c r="AA1256" t="s">
        <v>1003</v>
      </c>
      <c r="AB1256" t="s">
        <v>2520</v>
      </c>
      <c r="AC1256" t="s">
        <v>578</v>
      </c>
      <c r="AD1256" t="s">
        <v>2171</v>
      </c>
      <c r="AE1256" t="s">
        <v>594</v>
      </c>
      <c r="AF1256">
        <v>1.8255120456749807</v>
      </c>
    </row>
    <row r="1257" spans="1:32" x14ac:dyDescent="0.25">
      <c r="A1257" s="56">
        <v>3500554</v>
      </c>
      <c r="B1257" s="56" t="s">
        <v>1485</v>
      </c>
      <c r="C1257" s="56" t="s">
        <v>4533</v>
      </c>
      <c r="D1257" s="56"/>
      <c r="E1257" s="57">
        <v>182.62</v>
      </c>
      <c r="F1257" s="57">
        <v>0.18262</v>
      </c>
      <c r="G1257" s="56" t="s">
        <v>392</v>
      </c>
      <c r="H1257" s="56" t="s">
        <v>1914</v>
      </c>
      <c r="I1257" s="56" t="s">
        <v>1834</v>
      </c>
      <c r="J1257" s="56"/>
      <c r="K1257" s="56"/>
      <c r="L1257" s="56"/>
      <c r="M1257" s="56"/>
      <c r="N1257" s="56" t="s">
        <v>61</v>
      </c>
      <c r="O1257" s="56">
        <v>34</v>
      </c>
      <c r="P1257" s="59" t="s">
        <v>2532</v>
      </c>
      <c r="Q1257" s="56" t="s">
        <v>11</v>
      </c>
      <c r="U1257" s="52">
        <v>1940838</v>
      </c>
      <c r="V1257">
        <v>40</v>
      </c>
      <c r="W1257">
        <v>30</v>
      </c>
      <c r="X1257">
        <v>2</v>
      </c>
      <c r="Y1257">
        <v>0.88</v>
      </c>
      <c r="Z1257" t="s">
        <v>1891</v>
      </c>
      <c r="AA1257" t="s">
        <v>1003</v>
      </c>
      <c r="AB1257" t="s">
        <v>2520</v>
      </c>
      <c r="AC1257" t="s">
        <v>578</v>
      </c>
      <c r="AD1257" t="s">
        <v>2171</v>
      </c>
      <c r="AE1257" t="s">
        <v>660</v>
      </c>
      <c r="AF1257">
        <v>1.8464949427517046</v>
      </c>
    </row>
    <row r="1258" spans="1:32" x14ac:dyDescent="0.25">
      <c r="A1258" s="56">
        <v>3500641</v>
      </c>
      <c r="B1258" s="56" t="s">
        <v>3977</v>
      </c>
      <c r="C1258" s="56" t="s">
        <v>4960</v>
      </c>
      <c r="D1258" s="56"/>
      <c r="E1258" s="57">
        <v>83.912000000000006</v>
      </c>
      <c r="F1258" s="57">
        <v>8.3912E-2</v>
      </c>
      <c r="G1258" s="56" t="s">
        <v>392</v>
      </c>
      <c r="H1258" s="56" t="s">
        <v>4961</v>
      </c>
      <c r="I1258" s="56" t="s">
        <v>1834</v>
      </c>
      <c r="J1258" s="56"/>
      <c r="K1258" s="56"/>
      <c r="L1258" s="56"/>
      <c r="M1258" s="56"/>
      <c r="N1258" s="56" t="s">
        <v>151</v>
      </c>
      <c r="O1258" s="56">
        <v>25</v>
      </c>
      <c r="P1258" s="59" t="s">
        <v>2515</v>
      </c>
      <c r="Q1258" s="56" t="s">
        <v>11</v>
      </c>
      <c r="U1258" s="52">
        <v>1940840</v>
      </c>
      <c r="V1258">
        <v>40</v>
      </c>
      <c r="W1258">
        <v>30</v>
      </c>
      <c r="X1258">
        <v>2</v>
      </c>
      <c r="Y1258">
        <v>6</v>
      </c>
      <c r="Z1258" t="s">
        <v>1891</v>
      </c>
      <c r="AA1258" t="s">
        <v>1003</v>
      </c>
      <c r="AB1258" t="s">
        <v>2520</v>
      </c>
      <c r="AC1258" t="s">
        <v>578</v>
      </c>
      <c r="AD1258" t="s">
        <v>1838</v>
      </c>
      <c r="AE1258" t="s">
        <v>4953</v>
      </c>
      <c r="AF1258">
        <v>2.0982897076723916</v>
      </c>
    </row>
    <row r="1259" spans="1:32" x14ac:dyDescent="0.25">
      <c r="A1259" s="56">
        <v>3500641</v>
      </c>
      <c r="B1259" s="56" t="s">
        <v>3977</v>
      </c>
      <c r="C1259" s="56" t="s">
        <v>4962</v>
      </c>
      <c r="D1259" s="56"/>
      <c r="E1259" s="57">
        <v>2081</v>
      </c>
      <c r="F1259" s="57">
        <v>2.081</v>
      </c>
      <c r="G1259" s="56" t="s">
        <v>392</v>
      </c>
      <c r="H1259" s="56" t="s">
        <v>4961</v>
      </c>
      <c r="I1259" s="56" t="s">
        <v>1834</v>
      </c>
      <c r="J1259" s="56"/>
      <c r="K1259" s="56"/>
      <c r="L1259" s="56"/>
      <c r="M1259" s="56"/>
      <c r="N1259" s="56" t="s">
        <v>151</v>
      </c>
      <c r="O1259" s="56">
        <v>25</v>
      </c>
      <c r="P1259" s="59" t="s">
        <v>2515</v>
      </c>
      <c r="Q1259" s="56" t="s">
        <v>11</v>
      </c>
      <c r="U1259" s="538">
        <v>110102966</v>
      </c>
      <c r="V1259">
        <v>40</v>
      </c>
      <c r="W1259">
        <v>30</v>
      </c>
      <c r="X1259">
        <v>2</v>
      </c>
      <c r="Y1259">
        <v>6</v>
      </c>
      <c r="Z1259" t="s">
        <v>1891</v>
      </c>
      <c r="AA1259" t="s">
        <v>1003</v>
      </c>
      <c r="AB1259" t="s">
        <v>2520</v>
      </c>
      <c r="AC1259" t="s">
        <v>578</v>
      </c>
      <c r="AD1259" t="s">
        <v>1838</v>
      </c>
      <c r="AE1259" t="s">
        <v>4953</v>
      </c>
      <c r="AF1259">
        <v>2.0982897076723916</v>
      </c>
    </row>
    <row r="1260" spans="1:32" x14ac:dyDescent="0.25">
      <c r="A1260" s="56">
        <v>3500641</v>
      </c>
      <c r="B1260" s="56" t="s">
        <v>3977</v>
      </c>
      <c r="C1260" s="56" t="s">
        <v>4963</v>
      </c>
      <c r="D1260" s="56"/>
      <c r="E1260" s="57">
        <v>2081</v>
      </c>
      <c r="F1260" s="57">
        <v>2.081</v>
      </c>
      <c r="G1260" s="56" t="s">
        <v>392</v>
      </c>
      <c r="H1260" s="56" t="s">
        <v>4961</v>
      </c>
      <c r="I1260" s="56" t="s">
        <v>1834</v>
      </c>
      <c r="J1260" s="56"/>
      <c r="K1260" s="56"/>
      <c r="L1260" s="56"/>
      <c r="M1260" s="56"/>
      <c r="N1260" s="56" t="s">
        <v>151</v>
      </c>
      <c r="O1260" s="56">
        <v>25</v>
      </c>
      <c r="P1260" s="59" t="s">
        <v>2515</v>
      </c>
      <c r="Q1260" s="56" t="s">
        <v>11</v>
      </c>
      <c r="U1260" s="538">
        <v>111001353</v>
      </c>
      <c r="V1260">
        <v>40</v>
      </c>
      <c r="W1260">
        <v>30</v>
      </c>
      <c r="X1260">
        <v>2</v>
      </c>
      <c r="Y1260">
        <v>6.1</v>
      </c>
      <c r="Z1260" t="s">
        <v>1868</v>
      </c>
      <c r="AA1260" t="s">
        <v>1003</v>
      </c>
      <c r="AB1260" t="s">
        <v>2520</v>
      </c>
      <c r="AC1260" t="s">
        <v>578</v>
      </c>
      <c r="AD1260" t="s">
        <v>1838</v>
      </c>
      <c r="AE1260" t="s">
        <v>4953</v>
      </c>
      <c r="AF1260">
        <v>2.0982897076723916</v>
      </c>
    </row>
    <row r="1261" spans="1:32" x14ac:dyDescent="0.25">
      <c r="A1261" s="56">
        <v>3500641</v>
      </c>
      <c r="B1261" s="56" t="s">
        <v>3977</v>
      </c>
      <c r="C1261" s="56" t="s">
        <v>4965</v>
      </c>
      <c r="D1261" s="56"/>
      <c r="E1261" s="57">
        <v>1755</v>
      </c>
      <c r="F1261" s="57">
        <v>1.7549999999999999</v>
      </c>
      <c r="G1261" s="56" t="s">
        <v>392</v>
      </c>
      <c r="H1261" s="56" t="s">
        <v>4961</v>
      </c>
      <c r="I1261" s="56" t="s">
        <v>1834</v>
      </c>
      <c r="J1261" s="56"/>
      <c r="K1261" s="56"/>
      <c r="L1261" s="56"/>
      <c r="M1261" s="56"/>
      <c r="N1261" s="56" t="s">
        <v>151</v>
      </c>
      <c r="O1261" s="56">
        <v>25</v>
      </c>
      <c r="P1261" s="59" t="s">
        <v>2515</v>
      </c>
      <c r="Q1261" s="56" t="s">
        <v>11</v>
      </c>
      <c r="U1261" s="538">
        <v>111001352</v>
      </c>
      <c r="V1261">
        <v>40</v>
      </c>
      <c r="W1261">
        <v>30</v>
      </c>
      <c r="X1261">
        <v>2</v>
      </c>
      <c r="Y1261">
        <v>6.17</v>
      </c>
      <c r="Z1261" t="s">
        <v>1868</v>
      </c>
      <c r="AA1261" t="s">
        <v>1003</v>
      </c>
      <c r="AB1261" t="s">
        <v>2520</v>
      </c>
      <c r="AC1261" t="s">
        <v>578</v>
      </c>
      <c r="AD1261" t="s">
        <v>1838</v>
      </c>
      <c r="AE1261" t="s">
        <v>4953</v>
      </c>
      <c r="AF1261">
        <v>2.0982897076723916</v>
      </c>
    </row>
    <row r="1262" spans="1:32" x14ac:dyDescent="0.25">
      <c r="A1262" s="56">
        <v>3500641</v>
      </c>
      <c r="B1262" s="56" t="s">
        <v>3977</v>
      </c>
      <c r="C1262" s="56" t="s">
        <v>4966</v>
      </c>
      <c r="D1262" s="56"/>
      <c r="E1262" s="57">
        <v>2017</v>
      </c>
      <c r="F1262" s="57">
        <v>2.0169999999999999</v>
      </c>
      <c r="G1262" s="56" t="s">
        <v>392</v>
      </c>
      <c r="H1262" s="56" t="s">
        <v>4961</v>
      </c>
      <c r="I1262" s="56" t="s">
        <v>1834</v>
      </c>
      <c r="J1262" s="56"/>
      <c r="K1262" s="56"/>
      <c r="L1262" s="56"/>
      <c r="M1262" s="56"/>
      <c r="N1262" s="56" t="s">
        <v>151</v>
      </c>
      <c r="O1262" s="56">
        <v>25</v>
      </c>
      <c r="P1262" s="59" t="s">
        <v>2515</v>
      </c>
      <c r="Q1262" s="56" t="s">
        <v>11</v>
      </c>
      <c r="U1262" s="52">
        <v>3474555</v>
      </c>
      <c r="V1262">
        <v>40</v>
      </c>
      <c r="W1262">
        <v>30</v>
      </c>
      <c r="X1262">
        <v>2</v>
      </c>
      <c r="Y1262">
        <v>6.1749999999999998</v>
      </c>
      <c r="Z1262" t="s">
        <v>1868</v>
      </c>
      <c r="AA1262" t="s">
        <v>1003</v>
      </c>
      <c r="AB1262" t="s">
        <v>2520</v>
      </c>
      <c r="AC1262" t="s">
        <v>578</v>
      </c>
      <c r="AD1262" t="s">
        <v>1838</v>
      </c>
      <c r="AE1262" t="s">
        <v>4953</v>
      </c>
      <c r="AF1262">
        <v>2.0982897076723916</v>
      </c>
    </row>
    <row r="1263" spans="1:32" x14ac:dyDescent="0.25">
      <c r="A1263" s="56">
        <v>3500641</v>
      </c>
      <c r="B1263" s="56" t="s">
        <v>3977</v>
      </c>
      <c r="C1263" s="56" t="s">
        <v>4967</v>
      </c>
      <c r="D1263" s="56"/>
      <c r="E1263" s="57">
        <v>712</v>
      </c>
      <c r="F1263" s="57">
        <v>0.71199999999999997</v>
      </c>
      <c r="G1263" s="56" t="s">
        <v>392</v>
      </c>
      <c r="H1263" s="56" t="s">
        <v>4961</v>
      </c>
      <c r="I1263" s="56" t="s">
        <v>1834</v>
      </c>
      <c r="J1263" s="56"/>
      <c r="K1263" s="56"/>
      <c r="L1263" s="56"/>
      <c r="M1263" s="56"/>
      <c r="N1263" s="56" t="s">
        <v>151</v>
      </c>
      <c r="O1263" s="56">
        <v>25</v>
      </c>
      <c r="P1263" s="59" t="s">
        <v>2515</v>
      </c>
      <c r="Q1263" s="56" t="s">
        <v>11</v>
      </c>
      <c r="U1263" s="538">
        <v>110102963</v>
      </c>
      <c r="V1263">
        <v>40</v>
      </c>
      <c r="W1263">
        <v>30</v>
      </c>
      <c r="X1263">
        <v>2</v>
      </c>
      <c r="Y1263">
        <v>6.1749999999999998</v>
      </c>
      <c r="Z1263" t="s">
        <v>1891</v>
      </c>
      <c r="AA1263" t="s">
        <v>1003</v>
      </c>
      <c r="AB1263" t="s">
        <v>2520</v>
      </c>
      <c r="AC1263" t="s">
        <v>578</v>
      </c>
      <c r="AD1263" t="s">
        <v>1838</v>
      </c>
      <c r="AE1263" t="s">
        <v>4953</v>
      </c>
      <c r="AF1263">
        <v>2.0982897076723916</v>
      </c>
    </row>
    <row r="1264" spans="1:32" x14ac:dyDescent="0.25">
      <c r="A1264" s="56">
        <v>3500641</v>
      </c>
      <c r="B1264" s="56" t="s">
        <v>3977</v>
      </c>
      <c r="C1264" s="56" t="s">
        <v>4969</v>
      </c>
      <c r="D1264" s="56"/>
      <c r="E1264" s="57">
        <v>496.69</v>
      </c>
      <c r="F1264" s="57">
        <v>0.49669000000000002</v>
      </c>
      <c r="G1264" s="56" t="s">
        <v>392</v>
      </c>
      <c r="H1264" s="56" t="s">
        <v>1914</v>
      </c>
      <c r="I1264" s="56" t="s">
        <v>1834</v>
      </c>
      <c r="J1264" s="56"/>
      <c r="K1264" s="56"/>
      <c r="L1264" s="56"/>
      <c r="M1264" s="56"/>
      <c r="N1264" s="56" t="s">
        <v>151</v>
      </c>
      <c r="O1264" s="56">
        <v>34</v>
      </c>
      <c r="P1264" s="59" t="s">
        <v>2532</v>
      </c>
      <c r="Q1264" s="56" t="s">
        <v>11</v>
      </c>
      <c r="U1264" s="508">
        <v>1940843</v>
      </c>
      <c r="V1264">
        <v>40</v>
      </c>
      <c r="W1264">
        <v>30</v>
      </c>
      <c r="X1264">
        <v>2</v>
      </c>
      <c r="Y1264">
        <v>6.2</v>
      </c>
      <c r="Z1264" t="s">
        <v>1891</v>
      </c>
      <c r="AA1264" t="s">
        <v>1003</v>
      </c>
      <c r="AB1264" t="s">
        <v>2520</v>
      </c>
      <c r="AC1264" t="s">
        <v>578</v>
      </c>
      <c r="AD1264" t="s">
        <v>1838</v>
      </c>
      <c r="AE1264" t="s">
        <v>4953</v>
      </c>
      <c r="AF1264">
        <v>2.0982897076723916</v>
      </c>
    </row>
    <row r="1265" spans="1:32" x14ac:dyDescent="0.25">
      <c r="A1265" s="56">
        <v>3500650</v>
      </c>
      <c r="B1265" s="56" t="s">
        <v>1694</v>
      </c>
      <c r="C1265" s="56" t="s">
        <v>4970</v>
      </c>
      <c r="D1265" s="56"/>
      <c r="E1265" s="57">
        <v>2358</v>
      </c>
      <c r="F1265" s="57">
        <v>2.3580000000000001</v>
      </c>
      <c r="G1265" s="56" t="s">
        <v>392</v>
      </c>
      <c r="H1265" s="56" t="s">
        <v>4454</v>
      </c>
      <c r="I1265" s="56" t="s">
        <v>1834</v>
      </c>
      <c r="J1265" s="56"/>
      <c r="K1265" s="56"/>
      <c r="L1265" s="56"/>
      <c r="M1265" s="56"/>
      <c r="N1265" s="56" t="s">
        <v>151</v>
      </c>
      <c r="O1265" s="56">
        <v>53</v>
      </c>
      <c r="P1265" s="59" t="s">
        <v>2532</v>
      </c>
      <c r="Q1265" s="56" t="s">
        <v>11</v>
      </c>
      <c r="U1265" s="52">
        <v>3569652</v>
      </c>
      <c r="V1265">
        <v>40</v>
      </c>
      <c r="W1265">
        <v>30</v>
      </c>
      <c r="X1265">
        <v>2</v>
      </c>
      <c r="Y1265">
        <v>6.24</v>
      </c>
      <c r="Z1265" t="s">
        <v>1868</v>
      </c>
      <c r="AA1265" t="s">
        <v>1003</v>
      </c>
      <c r="AB1265" t="s">
        <v>2520</v>
      </c>
      <c r="AC1265" t="s">
        <v>578</v>
      </c>
      <c r="AD1265" t="s">
        <v>1838</v>
      </c>
      <c r="AE1265" t="s">
        <v>4953</v>
      </c>
      <c r="AF1265">
        <v>2.0982897076723916</v>
      </c>
    </row>
    <row r="1266" spans="1:32" x14ac:dyDescent="0.25">
      <c r="A1266" s="56">
        <v>3500650</v>
      </c>
      <c r="B1266" s="56" t="s">
        <v>1694</v>
      </c>
      <c r="C1266" s="56" t="s">
        <v>4971</v>
      </c>
      <c r="D1266" s="56"/>
      <c r="E1266" s="57">
        <v>2290</v>
      </c>
      <c r="F1266" s="57">
        <v>2.29</v>
      </c>
      <c r="G1266" s="56" t="s">
        <v>392</v>
      </c>
      <c r="H1266" s="56" t="s">
        <v>4454</v>
      </c>
      <c r="I1266" s="56" t="s">
        <v>1834</v>
      </c>
      <c r="J1266" s="56"/>
      <c r="K1266" s="56"/>
      <c r="L1266" s="56"/>
      <c r="M1266" s="56"/>
      <c r="N1266" s="56" t="s">
        <v>151</v>
      </c>
      <c r="O1266" s="56">
        <v>53</v>
      </c>
      <c r="P1266" s="59" t="s">
        <v>2532</v>
      </c>
      <c r="Q1266" s="56" t="s">
        <v>11</v>
      </c>
      <c r="U1266" s="538">
        <v>111116378</v>
      </c>
      <c r="V1266">
        <v>40</v>
      </c>
      <c r="W1266">
        <v>30</v>
      </c>
      <c r="X1266">
        <v>2</v>
      </c>
      <c r="Y1266">
        <v>6.24</v>
      </c>
      <c r="Z1266" t="s">
        <v>1891</v>
      </c>
      <c r="AA1266" t="s">
        <v>1003</v>
      </c>
      <c r="AB1266" t="s">
        <v>2520</v>
      </c>
      <c r="AC1266" t="s">
        <v>578</v>
      </c>
      <c r="AD1266" t="s">
        <v>1838</v>
      </c>
      <c r="AE1266" t="s">
        <v>4953</v>
      </c>
      <c r="AF1266">
        <v>2.0982897076723916</v>
      </c>
    </row>
    <row r="1267" spans="1:32" x14ac:dyDescent="0.25">
      <c r="A1267" s="56">
        <v>3500650</v>
      </c>
      <c r="B1267" s="56" t="s">
        <v>1694</v>
      </c>
      <c r="C1267" s="56" t="s">
        <v>4972</v>
      </c>
      <c r="D1267" s="56"/>
      <c r="E1267" s="57">
        <v>2455</v>
      </c>
      <c r="F1267" s="57">
        <v>2.4550000000000001</v>
      </c>
      <c r="G1267" s="56" t="s">
        <v>392</v>
      </c>
      <c r="H1267" s="56" t="s">
        <v>4454</v>
      </c>
      <c r="I1267" s="56" t="s">
        <v>1834</v>
      </c>
      <c r="J1267" s="56"/>
      <c r="K1267" s="56"/>
      <c r="L1267" s="56"/>
      <c r="M1267" s="56"/>
      <c r="N1267" s="56" t="s">
        <v>151</v>
      </c>
      <c r="O1267" s="56">
        <v>53</v>
      </c>
      <c r="P1267" s="59" t="s">
        <v>2532</v>
      </c>
      <c r="Q1267" s="56" t="s">
        <v>11</v>
      </c>
      <c r="U1267" s="507">
        <v>3938685</v>
      </c>
      <c r="V1267">
        <v>40</v>
      </c>
      <c r="W1267">
        <v>40</v>
      </c>
      <c r="X1267">
        <v>1.2</v>
      </c>
      <c r="Y1267">
        <v>8.5000000000000006E-2</v>
      </c>
      <c r="Z1267" t="s">
        <v>229</v>
      </c>
      <c r="AA1267" t="s">
        <v>963</v>
      </c>
      <c r="AB1267" t="s">
        <v>2520</v>
      </c>
      <c r="AC1267" t="s">
        <v>445</v>
      </c>
      <c r="AD1267" t="s">
        <v>2171</v>
      </c>
      <c r="AE1267" t="s">
        <v>2314</v>
      </c>
      <c r="AF1267">
        <v>0.12503001507576228</v>
      </c>
    </row>
    <row r="1268" spans="1:32" x14ac:dyDescent="0.25">
      <c r="A1268" s="56">
        <v>3500650</v>
      </c>
      <c r="B1268" s="56" t="s">
        <v>1694</v>
      </c>
      <c r="C1268" s="56" t="s">
        <v>4973</v>
      </c>
      <c r="D1268" s="56"/>
      <c r="E1268" s="57">
        <v>2319</v>
      </c>
      <c r="F1268" s="57">
        <v>2.319</v>
      </c>
      <c r="G1268" s="56" t="s">
        <v>392</v>
      </c>
      <c r="H1268" s="56" t="s">
        <v>4454</v>
      </c>
      <c r="I1268" s="56" t="s">
        <v>1834</v>
      </c>
      <c r="J1268" s="56"/>
      <c r="K1268" s="56"/>
      <c r="L1268" s="56"/>
      <c r="M1268" s="56"/>
      <c r="N1268" s="56" t="s">
        <v>151</v>
      </c>
      <c r="O1268" s="56">
        <v>53</v>
      </c>
      <c r="P1268" s="59" t="s">
        <v>2532</v>
      </c>
      <c r="Q1268" s="56" t="s">
        <v>11</v>
      </c>
      <c r="U1268">
        <v>4151471</v>
      </c>
      <c r="V1268">
        <v>40</v>
      </c>
      <c r="W1268">
        <v>40</v>
      </c>
      <c r="X1268">
        <v>1.2</v>
      </c>
      <c r="Y1268">
        <v>0.115</v>
      </c>
      <c r="Z1268" t="s">
        <v>229</v>
      </c>
      <c r="AA1268" t="s">
        <v>963</v>
      </c>
      <c r="AB1268" t="s">
        <v>2520</v>
      </c>
      <c r="AC1268" t="s">
        <v>445</v>
      </c>
      <c r="AD1268" t="s">
        <v>2171</v>
      </c>
      <c r="AE1268" t="s">
        <v>545</v>
      </c>
      <c r="AF1268">
        <v>0.1691582556907372</v>
      </c>
    </row>
    <row r="1269" spans="1:32" x14ac:dyDescent="0.25">
      <c r="A1269" s="56">
        <v>3500650</v>
      </c>
      <c r="B1269" s="56" t="s">
        <v>1694</v>
      </c>
      <c r="C1269" s="56" t="s">
        <v>4974</v>
      </c>
      <c r="D1269" s="56"/>
      <c r="E1269" s="57">
        <v>2263</v>
      </c>
      <c r="F1269" s="57">
        <v>2.2629999999999999</v>
      </c>
      <c r="G1269" s="56" t="s">
        <v>392</v>
      </c>
      <c r="H1269" s="56" t="s">
        <v>2511</v>
      </c>
      <c r="I1269" s="56" t="s">
        <v>1834</v>
      </c>
      <c r="J1269" s="56"/>
      <c r="K1269" s="56"/>
      <c r="L1269" s="56"/>
      <c r="M1269" s="56"/>
      <c r="N1269" s="56" t="s">
        <v>151</v>
      </c>
      <c r="O1269" s="56">
        <v>55</v>
      </c>
      <c r="P1269" s="59" t="s">
        <v>2532</v>
      </c>
      <c r="Q1269" s="56" t="s">
        <v>11</v>
      </c>
      <c r="U1269" s="590">
        <v>1940848</v>
      </c>
      <c r="V1269">
        <v>40</v>
      </c>
      <c r="W1269">
        <v>40</v>
      </c>
      <c r="X1269">
        <v>1.2</v>
      </c>
      <c r="Y1269">
        <v>0.12</v>
      </c>
      <c r="Z1269" t="s">
        <v>229</v>
      </c>
      <c r="AA1269" t="s">
        <v>963</v>
      </c>
      <c r="AB1269" t="s">
        <v>2520</v>
      </c>
      <c r="AC1269" t="s">
        <v>445</v>
      </c>
      <c r="AD1269" t="s">
        <v>2171</v>
      </c>
      <c r="AE1269" t="s">
        <v>4964</v>
      </c>
      <c r="AF1269">
        <v>0.17651296245989967</v>
      </c>
    </row>
    <row r="1270" spans="1:32" x14ac:dyDescent="0.25">
      <c r="A1270" s="56">
        <v>3500650</v>
      </c>
      <c r="B1270" s="56" t="s">
        <v>1694</v>
      </c>
      <c r="C1270" s="56" t="s">
        <v>4977</v>
      </c>
      <c r="D1270" s="56"/>
      <c r="E1270" s="57">
        <v>2368</v>
      </c>
      <c r="F1270" s="57">
        <v>2.3679999999999999</v>
      </c>
      <c r="G1270" s="56" t="s">
        <v>392</v>
      </c>
      <c r="H1270" s="56" t="s">
        <v>2511</v>
      </c>
      <c r="I1270" s="56" t="s">
        <v>1834</v>
      </c>
      <c r="J1270" s="56"/>
      <c r="K1270" s="56"/>
      <c r="L1270" s="56"/>
      <c r="M1270" s="56"/>
      <c r="N1270" s="56" t="s">
        <v>151</v>
      </c>
      <c r="O1270" s="56">
        <v>90</v>
      </c>
      <c r="P1270" s="59" t="s">
        <v>2579</v>
      </c>
      <c r="Q1270" s="56" t="s">
        <v>11</v>
      </c>
      <c r="U1270" s="52">
        <v>1940849</v>
      </c>
      <c r="V1270">
        <v>40</v>
      </c>
      <c r="W1270">
        <v>40</v>
      </c>
      <c r="X1270">
        <v>1.2</v>
      </c>
      <c r="Y1270">
        <v>0.125</v>
      </c>
      <c r="Z1270" t="s">
        <v>229</v>
      </c>
      <c r="AA1270" t="s">
        <v>963</v>
      </c>
      <c r="AB1270" t="s">
        <v>2520</v>
      </c>
      <c r="AC1270" t="s">
        <v>445</v>
      </c>
      <c r="AD1270" t="s">
        <v>2171</v>
      </c>
      <c r="AE1270" t="s">
        <v>691</v>
      </c>
      <c r="AF1270">
        <v>0.18386766922906217</v>
      </c>
    </row>
    <row r="1271" spans="1:32" x14ac:dyDescent="0.25">
      <c r="A1271" s="56">
        <v>3500650</v>
      </c>
      <c r="B1271" s="56" t="s">
        <v>1694</v>
      </c>
      <c r="C1271" s="56" t="s">
        <v>4978</v>
      </c>
      <c r="D1271" s="56"/>
      <c r="E1271" s="57">
        <v>2540</v>
      </c>
      <c r="F1271" s="57">
        <v>2.54</v>
      </c>
      <c r="G1271" s="56" t="s">
        <v>392</v>
      </c>
      <c r="H1271" s="56" t="s">
        <v>1914</v>
      </c>
      <c r="I1271" s="56" t="s">
        <v>1834</v>
      </c>
      <c r="J1271" s="56"/>
      <c r="K1271" s="56"/>
      <c r="L1271" s="56"/>
      <c r="M1271" s="56"/>
      <c r="N1271" s="56" t="s">
        <v>151</v>
      </c>
      <c r="O1271" s="56">
        <v>25</v>
      </c>
      <c r="P1271" s="59" t="s">
        <v>2515</v>
      </c>
      <c r="Q1271" s="56" t="s">
        <v>11</v>
      </c>
      <c r="U1271" s="52">
        <v>1940850</v>
      </c>
      <c r="V1271">
        <v>40</v>
      </c>
      <c r="W1271">
        <v>40</v>
      </c>
      <c r="X1271">
        <v>1.2</v>
      </c>
      <c r="Y1271">
        <v>0.14000000000000001</v>
      </c>
      <c r="Z1271" t="s">
        <v>229</v>
      </c>
      <c r="AA1271" t="s">
        <v>963</v>
      </c>
      <c r="AB1271" t="s">
        <v>2520</v>
      </c>
      <c r="AC1271" t="s">
        <v>445</v>
      </c>
      <c r="AD1271" t="s">
        <v>2171</v>
      </c>
      <c r="AE1271" t="s">
        <v>689</v>
      </c>
      <c r="AF1271">
        <v>0.20593178953654964</v>
      </c>
    </row>
    <row r="1272" spans="1:32" x14ac:dyDescent="0.25">
      <c r="A1272" s="56">
        <v>3500650</v>
      </c>
      <c r="B1272" s="56" t="s">
        <v>1694</v>
      </c>
      <c r="C1272" s="56" t="s">
        <v>4979</v>
      </c>
      <c r="D1272" s="56"/>
      <c r="E1272" s="57">
        <v>814.41499999999996</v>
      </c>
      <c r="F1272" s="57">
        <v>0.814415</v>
      </c>
      <c r="G1272" s="56" t="s">
        <v>392</v>
      </c>
      <c r="H1272" s="56" t="s">
        <v>1914</v>
      </c>
      <c r="I1272" s="56" t="s">
        <v>1834</v>
      </c>
      <c r="J1272" s="56"/>
      <c r="K1272" s="56"/>
      <c r="L1272" s="56"/>
      <c r="M1272" s="56"/>
      <c r="N1272" s="56" t="s">
        <v>151</v>
      </c>
      <c r="O1272" s="56">
        <v>4</v>
      </c>
      <c r="P1272" s="59" t="s">
        <v>2515</v>
      </c>
      <c r="Q1272" s="56" t="s">
        <v>11</v>
      </c>
      <c r="U1272" s="52">
        <v>3584172</v>
      </c>
      <c r="V1272">
        <v>40</v>
      </c>
      <c r="W1272">
        <v>40</v>
      </c>
      <c r="X1272">
        <v>1.2</v>
      </c>
      <c r="Y1272">
        <v>0.155</v>
      </c>
      <c r="Z1272" t="s">
        <v>229</v>
      </c>
      <c r="AA1272" t="s">
        <v>963</v>
      </c>
      <c r="AB1272" t="s">
        <v>2520</v>
      </c>
      <c r="AC1272" t="s">
        <v>445</v>
      </c>
      <c r="AD1272" t="s">
        <v>2171</v>
      </c>
      <c r="AE1272" t="s">
        <v>4968</v>
      </c>
      <c r="AF1272">
        <v>0.22799590984403709</v>
      </c>
    </row>
    <row r="1273" spans="1:32" x14ac:dyDescent="0.25">
      <c r="A1273" s="56">
        <v>3500650</v>
      </c>
      <c r="B1273" s="56" t="s">
        <v>1694</v>
      </c>
      <c r="C1273" s="56" t="s">
        <v>4789</v>
      </c>
      <c r="D1273" s="56"/>
      <c r="E1273" s="57">
        <v>80.492000000000004</v>
      </c>
      <c r="F1273" s="57">
        <v>8.0492000000000008E-2</v>
      </c>
      <c r="G1273" s="56" t="s">
        <v>392</v>
      </c>
      <c r="H1273" s="56" t="s">
        <v>1914</v>
      </c>
      <c r="I1273" s="56" t="s">
        <v>1834</v>
      </c>
      <c r="J1273" s="56"/>
      <c r="K1273" s="56"/>
      <c r="L1273" s="56"/>
      <c r="M1273" s="56"/>
      <c r="N1273" s="56" t="s">
        <v>151</v>
      </c>
      <c r="O1273" s="56">
        <v>9</v>
      </c>
      <c r="P1273" s="59" t="s">
        <v>2515</v>
      </c>
      <c r="Q1273" s="56" t="s">
        <v>11</v>
      </c>
      <c r="U1273" s="52">
        <v>3572055</v>
      </c>
      <c r="V1273">
        <v>40</v>
      </c>
      <c r="W1273">
        <v>40</v>
      </c>
      <c r="X1273">
        <v>1.2</v>
      </c>
      <c r="Y1273">
        <v>0.158</v>
      </c>
      <c r="Z1273" t="s">
        <v>229</v>
      </c>
      <c r="AA1273" t="s">
        <v>963</v>
      </c>
      <c r="AB1273" t="s">
        <v>2520</v>
      </c>
      <c r="AC1273" t="s">
        <v>445</v>
      </c>
      <c r="AD1273" t="s">
        <v>2171</v>
      </c>
      <c r="AE1273" t="s">
        <v>543</v>
      </c>
      <c r="AF1273">
        <v>0.2324087339055346</v>
      </c>
    </row>
    <row r="1274" spans="1:32" x14ac:dyDescent="0.25">
      <c r="A1274" s="56">
        <v>3500718</v>
      </c>
      <c r="B1274" s="56" t="s">
        <v>1657</v>
      </c>
      <c r="C1274" s="56" t="s">
        <v>4981</v>
      </c>
      <c r="D1274" s="56"/>
      <c r="E1274" s="57">
        <v>2076</v>
      </c>
      <c r="F1274" s="57">
        <v>2.0760000000000001</v>
      </c>
      <c r="G1274" s="56" t="s">
        <v>392</v>
      </c>
      <c r="H1274" s="56" t="s">
        <v>4454</v>
      </c>
      <c r="I1274" s="56" t="s">
        <v>4455</v>
      </c>
      <c r="J1274" s="56"/>
      <c r="K1274" s="56"/>
      <c r="L1274" s="56"/>
      <c r="M1274" s="56"/>
      <c r="N1274" s="56" t="s">
        <v>76</v>
      </c>
      <c r="O1274" s="56">
        <v>116</v>
      </c>
      <c r="P1274" s="59" t="s">
        <v>2524</v>
      </c>
      <c r="Q1274" s="56" t="s">
        <v>2561</v>
      </c>
      <c r="U1274" s="52">
        <v>3828833</v>
      </c>
      <c r="V1274">
        <v>40</v>
      </c>
      <c r="W1274">
        <v>40</v>
      </c>
      <c r="X1274">
        <v>1.2</v>
      </c>
      <c r="Y1274">
        <v>5.95</v>
      </c>
      <c r="Z1274" t="s">
        <v>229</v>
      </c>
      <c r="AA1274" t="s">
        <v>963</v>
      </c>
      <c r="AB1274" t="s">
        <v>2520</v>
      </c>
      <c r="AC1274" t="s">
        <v>445</v>
      </c>
      <c r="AD1274" t="s">
        <v>1838</v>
      </c>
      <c r="AE1274" t="s">
        <v>447</v>
      </c>
      <c r="AF1274">
        <v>1.4709413538324974</v>
      </c>
    </row>
    <row r="1275" spans="1:32" x14ac:dyDescent="0.25">
      <c r="A1275" s="56">
        <v>3500718</v>
      </c>
      <c r="B1275" s="56" t="s">
        <v>1657</v>
      </c>
      <c r="C1275" s="56" t="s">
        <v>4982</v>
      </c>
      <c r="D1275" s="56"/>
      <c r="E1275" s="57">
        <v>2082</v>
      </c>
      <c r="F1275" s="57">
        <v>2.0819999999999999</v>
      </c>
      <c r="G1275" s="56" t="s">
        <v>392</v>
      </c>
      <c r="H1275" s="56" t="s">
        <v>2511</v>
      </c>
      <c r="I1275" s="56" t="s">
        <v>1834</v>
      </c>
      <c r="J1275" s="56"/>
      <c r="K1275" s="56"/>
      <c r="L1275" s="56"/>
      <c r="M1275" s="56"/>
      <c r="N1275" s="56" t="s">
        <v>76</v>
      </c>
      <c r="O1275" s="56">
        <v>90</v>
      </c>
      <c r="P1275" s="59" t="s">
        <v>2579</v>
      </c>
      <c r="Q1275" s="56" t="s">
        <v>2561</v>
      </c>
      <c r="U1275" s="538">
        <v>111117555</v>
      </c>
      <c r="V1275">
        <v>40</v>
      </c>
      <c r="W1275">
        <v>40</v>
      </c>
      <c r="X1275">
        <v>1.2</v>
      </c>
      <c r="Y1275">
        <v>5.95</v>
      </c>
      <c r="Z1275" t="s">
        <v>229</v>
      </c>
      <c r="AA1275" t="s">
        <v>963</v>
      </c>
      <c r="AB1275" t="s">
        <v>2520</v>
      </c>
      <c r="AC1275" t="s">
        <v>445</v>
      </c>
      <c r="AD1275" t="s">
        <v>1838</v>
      </c>
      <c r="AE1275" t="s">
        <v>447</v>
      </c>
      <c r="AF1275">
        <v>1.4709413538324974</v>
      </c>
    </row>
    <row r="1276" spans="1:32" x14ac:dyDescent="0.25">
      <c r="A1276" s="56">
        <v>3500816</v>
      </c>
      <c r="B1276" s="56" t="s">
        <v>2365</v>
      </c>
      <c r="C1276" s="56" t="s">
        <v>4984</v>
      </c>
      <c r="D1276" s="56"/>
      <c r="E1276" s="57">
        <v>3424</v>
      </c>
      <c r="F1276" s="57">
        <v>3.4239999999999999</v>
      </c>
      <c r="G1276" s="56" t="s">
        <v>392</v>
      </c>
      <c r="H1276" s="56" t="s">
        <v>4454</v>
      </c>
      <c r="I1276" s="56" t="s">
        <v>1834</v>
      </c>
      <c r="J1276" s="56"/>
      <c r="K1276" s="56"/>
      <c r="L1276" s="56"/>
      <c r="M1276" s="56"/>
      <c r="N1276" s="56" t="s">
        <v>151</v>
      </c>
      <c r="O1276" s="56">
        <v>27</v>
      </c>
      <c r="P1276" s="59" t="s">
        <v>2515</v>
      </c>
      <c r="Q1276" s="56" t="s">
        <v>11</v>
      </c>
      <c r="U1276" s="538">
        <v>110102977</v>
      </c>
      <c r="V1276">
        <v>40</v>
      </c>
      <c r="W1276">
        <v>40</v>
      </c>
      <c r="X1276">
        <v>1.2</v>
      </c>
      <c r="Y1276">
        <v>5.97</v>
      </c>
      <c r="Z1276" t="s">
        <v>229</v>
      </c>
      <c r="AA1276" t="s">
        <v>963</v>
      </c>
      <c r="AB1276" t="s">
        <v>2520</v>
      </c>
      <c r="AC1276" t="s">
        <v>445</v>
      </c>
      <c r="AD1276" t="s">
        <v>1838</v>
      </c>
      <c r="AE1276" t="s">
        <v>447</v>
      </c>
      <c r="AF1276">
        <v>1.4709413538324974</v>
      </c>
    </row>
    <row r="1277" spans="1:32" x14ac:dyDescent="0.25">
      <c r="A1277" s="56">
        <v>3500816</v>
      </c>
      <c r="B1277" s="56" t="s">
        <v>2365</v>
      </c>
      <c r="C1277" s="56" t="s">
        <v>4985</v>
      </c>
      <c r="D1277" s="56"/>
      <c r="E1277" s="57">
        <v>3530</v>
      </c>
      <c r="F1277" s="57">
        <v>3.53</v>
      </c>
      <c r="G1277" s="56" t="s">
        <v>392</v>
      </c>
      <c r="H1277" s="56" t="s">
        <v>4454</v>
      </c>
      <c r="I1277" s="56" t="s">
        <v>1834</v>
      </c>
      <c r="J1277" s="56"/>
      <c r="K1277" s="56"/>
      <c r="L1277" s="56"/>
      <c r="M1277" s="56"/>
      <c r="N1277" s="56" t="s">
        <v>151</v>
      </c>
      <c r="O1277" s="56">
        <v>27</v>
      </c>
      <c r="P1277" s="59" t="s">
        <v>2515</v>
      </c>
      <c r="Q1277" s="56" t="s">
        <v>11</v>
      </c>
      <c r="U1277" s="52">
        <v>1940852</v>
      </c>
      <c r="V1277">
        <v>40</v>
      </c>
      <c r="W1277">
        <v>40</v>
      </c>
      <c r="X1277">
        <v>1.2</v>
      </c>
      <c r="Y1277">
        <v>6</v>
      </c>
      <c r="Z1277" t="s">
        <v>229</v>
      </c>
      <c r="AA1277" t="s">
        <v>963</v>
      </c>
      <c r="AB1277" t="s">
        <v>2520</v>
      </c>
      <c r="AC1277" t="s">
        <v>445</v>
      </c>
      <c r="AD1277" t="s">
        <v>1838</v>
      </c>
      <c r="AE1277" t="s">
        <v>447</v>
      </c>
      <c r="AF1277">
        <v>1.4709413538324974</v>
      </c>
    </row>
    <row r="1278" spans="1:32" x14ac:dyDescent="0.25">
      <c r="A1278" s="56">
        <v>3500816</v>
      </c>
      <c r="B1278" s="56" t="s">
        <v>2365</v>
      </c>
      <c r="C1278" s="56" t="s">
        <v>4986</v>
      </c>
      <c r="D1278" s="56"/>
      <c r="E1278" s="57">
        <v>2464</v>
      </c>
      <c r="F1278" s="57">
        <v>2.464</v>
      </c>
      <c r="G1278" s="56" t="s">
        <v>392</v>
      </c>
      <c r="H1278" s="56" t="s">
        <v>4454</v>
      </c>
      <c r="I1278" s="56" t="s">
        <v>1834</v>
      </c>
      <c r="J1278" s="56"/>
      <c r="K1278" s="56"/>
      <c r="L1278" s="56"/>
      <c r="M1278" s="56"/>
      <c r="N1278" s="56" t="s">
        <v>151</v>
      </c>
      <c r="O1278" s="56">
        <v>53</v>
      </c>
      <c r="P1278" s="59" t="s">
        <v>2532</v>
      </c>
      <c r="Q1278" s="56" t="s">
        <v>11</v>
      </c>
      <c r="U1278">
        <v>3542933</v>
      </c>
      <c r="V1278">
        <v>40</v>
      </c>
      <c r="W1278">
        <v>40</v>
      </c>
      <c r="X1278">
        <v>1.6</v>
      </c>
      <c r="Y1278">
        <v>6</v>
      </c>
      <c r="Z1278" t="s">
        <v>229</v>
      </c>
      <c r="AA1278" t="s">
        <v>963</v>
      </c>
      <c r="AB1278" t="s">
        <v>3063</v>
      </c>
      <c r="AC1278" t="s">
        <v>4975</v>
      </c>
      <c r="AD1278" t="s">
        <v>1838</v>
      </c>
      <c r="AE1278" t="s">
        <v>4976</v>
      </c>
      <c r="AF1278">
        <v>1.94547977844333</v>
      </c>
    </row>
    <row r="1279" spans="1:32" x14ac:dyDescent="0.25">
      <c r="A1279" s="56">
        <v>3500816</v>
      </c>
      <c r="B1279" s="56" t="s">
        <v>2365</v>
      </c>
      <c r="C1279" s="56" t="s">
        <v>4987</v>
      </c>
      <c r="D1279" s="56"/>
      <c r="E1279" s="57">
        <v>2816</v>
      </c>
      <c r="F1279" s="57">
        <v>2.8159999999999998</v>
      </c>
      <c r="G1279" s="56" t="s">
        <v>392</v>
      </c>
      <c r="H1279" s="56" t="s">
        <v>4454</v>
      </c>
      <c r="I1279" s="56" t="s">
        <v>1834</v>
      </c>
      <c r="J1279" s="56"/>
      <c r="K1279" s="56"/>
      <c r="L1279" s="56"/>
      <c r="M1279" s="56"/>
      <c r="N1279" s="56" t="s">
        <v>151</v>
      </c>
      <c r="O1279" s="56">
        <v>53</v>
      </c>
      <c r="P1279" s="59" t="s">
        <v>2532</v>
      </c>
      <c r="Q1279" s="56" t="s">
        <v>11</v>
      </c>
      <c r="U1279" s="52">
        <v>3466052</v>
      </c>
      <c r="V1279">
        <v>41</v>
      </c>
      <c r="W1279">
        <v>31.9</v>
      </c>
      <c r="X1279">
        <v>4.55</v>
      </c>
      <c r="Y1279">
        <v>6</v>
      </c>
      <c r="Z1279" t="s">
        <v>1874</v>
      </c>
      <c r="AA1279" t="s">
        <v>1003</v>
      </c>
      <c r="AB1279" t="s">
        <v>2517</v>
      </c>
      <c r="AC1279" t="s">
        <v>4583</v>
      </c>
      <c r="AD1279" t="s">
        <v>1838</v>
      </c>
      <c r="AE1279" t="s">
        <v>4592</v>
      </c>
      <c r="AF1279">
        <v>4.0879750274999997</v>
      </c>
    </row>
    <row r="1280" spans="1:32" x14ac:dyDescent="0.25">
      <c r="A1280" s="56">
        <v>3500816</v>
      </c>
      <c r="B1280" s="56" t="s">
        <v>2365</v>
      </c>
      <c r="C1280" s="56" t="s">
        <v>4988</v>
      </c>
      <c r="D1280" s="56"/>
      <c r="E1280" s="57">
        <v>3062</v>
      </c>
      <c r="F1280" s="57">
        <v>3.0619999999999998</v>
      </c>
      <c r="G1280" s="56" t="s">
        <v>392</v>
      </c>
      <c r="H1280" s="56" t="s">
        <v>4454</v>
      </c>
      <c r="I1280" s="56" t="s">
        <v>1834</v>
      </c>
      <c r="J1280" s="56"/>
      <c r="K1280" s="56"/>
      <c r="L1280" s="56"/>
      <c r="M1280" s="56"/>
      <c r="N1280" s="56" t="s">
        <v>151</v>
      </c>
      <c r="O1280" s="56">
        <v>80</v>
      </c>
      <c r="P1280" s="59" t="s">
        <v>2579</v>
      </c>
      <c r="Q1280" s="56" t="s">
        <v>11</v>
      </c>
      <c r="U1280" s="52">
        <v>3500639</v>
      </c>
      <c r="V1280">
        <v>41</v>
      </c>
      <c r="W1280">
        <v>31.9</v>
      </c>
      <c r="X1280">
        <v>4.55</v>
      </c>
      <c r="Y1280">
        <v>6</v>
      </c>
      <c r="Z1280" t="s">
        <v>1874</v>
      </c>
      <c r="AA1280" t="s">
        <v>1003</v>
      </c>
      <c r="AB1280" t="s">
        <v>2517</v>
      </c>
      <c r="AC1280" t="s">
        <v>4583</v>
      </c>
      <c r="AD1280" t="s">
        <v>1838</v>
      </c>
      <c r="AE1280" t="s">
        <v>4592</v>
      </c>
      <c r="AF1280">
        <v>4.0879750274999997</v>
      </c>
    </row>
    <row r="1281" spans="1:32" x14ac:dyDescent="0.25">
      <c r="A1281" s="56">
        <v>3500816</v>
      </c>
      <c r="B1281" s="56" t="s">
        <v>2365</v>
      </c>
      <c r="C1281" s="56" t="s">
        <v>4989</v>
      </c>
      <c r="D1281" s="56"/>
      <c r="E1281" s="57">
        <v>1584</v>
      </c>
      <c r="F1281" s="57">
        <v>1.5840000000000001</v>
      </c>
      <c r="G1281" s="56" t="s">
        <v>392</v>
      </c>
      <c r="H1281" s="56" t="s">
        <v>4454</v>
      </c>
      <c r="I1281" s="56" t="s">
        <v>1834</v>
      </c>
      <c r="J1281" s="56"/>
      <c r="K1281" s="56"/>
      <c r="L1281" s="56"/>
      <c r="M1281" s="56"/>
      <c r="N1281" s="56" t="s">
        <v>151</v>
      </c>
      <c r="O1281" s="56">
        <v>83</v>
      </c>
      <c r="P1281" s="59" t="s">
        <v>2579</v>
      </c>
      <c r="Q1281" s="56" t="s">
        <v>11</v>
      </c>
      <c r="U1281" s="52">
        <v>3087646</v>
      </c>
      <c r="V1281">
        <v>41.28</v>
      </c>
      <c r="W1281">
        <v>0</v>
      </c>
      <c r="X1281">
        <v>2.6</v>
      </c>
      <c r="Y1281">
        <v>0.84799999999999998</v>
      </c>
      <c r="Z1281" t="s">
        <v>1914</v>
      </c>
      <c r="AA1281" t="s">
        <v>1003</v>
      </c>
      <c r="AB1281" t="s">
        <v>2520</v>
      </c>
      <c r="AC1281" t="s">
        <v>886</v>
      </c>
      <c r="AD1281" t="s">
        <v>2171</v>
      </c>
      <c r="AE1281" t="s">
        <v>4980</v>
      </c>
      <c r="AF1281">
        <v>2.1021077359360003</v>
      </c>
    </row>
    <row r="1282" spans="1:32" x14ac:dyDescent="0.25">
      <c r="A1282" s="56">
        <v>3500816</v>
      </c>
      <c r="B1282" s="56" t="s">
        <v>2365</v>
      </c>
      <c r="C1282" s="56" t="s">
        <v>4990</v>
      </c>
      <c r="D1282" s="56"/>
      <c r="E1282" s="57">
        <v>1549</v>
      </c>
      <c r="F1282" s="57">
        <v>1.5489999999999999</v>
      </c>
      <c r="G1282" s="56" t="s">
        <v>392</v>
      </c>
      <c r="H1282" s="56" t="s">
        <v>4454</v>
      </c>
      <c r="I1282" s="56" t="s">
        <v>1834</v>
      </c>
      <c r="J1282" s="56"/>
      <c r="K1282" s="56"/>
      <c r="L1282" s="56"/>
      <c r="M1282" s="56"/>
      <c r="N1282" s="56" t="s">
        <v>151</v>
      </c>
      <c r="O1282" s="56">
        <v>83</v>
      </c>
      <c r="P1282" s="59" t="s">
        <v>2579</v>
      </c>
      <c r="Q1282" s="56" t="s">
        <v>11</v>
      </c>
      <c r="U1282" s="52">
        <v>3186831</v>
      </c>
      <c r="V1282">
        <v>41.28</v>
      </c>
      <c r="W1282">
        <v>0</v>
      </c>
      <c r="X1282">
        <v>2.6</v>
      </c>
      <c r="Y1282">
        <v>0.84799999999999998</v>
      </c>
      <c r="Z1282" t="s">
        <v>1868</v>
      </c>
      <c r="AA1282" t="s">
        <v>1003</v>
      </c>
      <c r="AB1282" t="s">
        <v>2520</v>
      </c>
      <c r="AC1282" t="s">
        <v>886</v>
      </c>
      <c r="AD1282" t="s">
        <v>2171</v>
      </c>
      <c r="AE1282" t="s">
        <v>4980</v>
      </c>
      <c r="AF1282">
        <v>2.1021077359360003</v>
      </c>
    </row>
    <row r="1283" spans="1:32" x14ac:dyDescent="0.25">
      <c r="A1283" s="56">
        <v>3500816</v>
      </c>
      <c r="B1283" s="56" t="s">
        <v>2365</v>
      </c>
      <c r="C1283" s="56" t="s">
        <v>4352</v>
      </c>
      <c r="D1283" s="56"/>
      <c r="E1283" s="57">
        <v>410</v>
      </c>
      <c r="F1283" s="57">
        <v>0.41</v>
      </c>
      <c r="G1283" s="56" t="s">
        <v>392</v>
      </c>
      <c r="H1283" s="56" t="s">
        <v>4454</v>
      </c>
      <c r="I1283" s="56" t="s">
        <v>1834</v>
      </c>
      <c r="J1283" s="56"/>
      <c r="K1283" s="56"/>
      <c r="L1283" s="56"/>
      <c r="M1283" s="56"/>
      <c r="N1283" s="56" t="s">
        <v>151</v>
      </c>
      <c r="O1283" s="56">
        <v>26</v>
      </c>
      <c r="P1283" s="59" t="s">
        <v>2515</v>
      </c>
      <c r="Q1283" s="56" t="s">
        <v>11</v>
      </c>
      <c r="U1283">
        <v>3910648</v>
      </c>
      <c r="V1283">
        <v>41.28</v>
      </c>
      <c r="W1283">
        <v>0</v>
      </c>
      <c r="X1283">
        <v>2.6</v>
      </c>
      <c r="Y1283">
        <v>0.85</v>
      </c>
      <c r="Z1283" t="s">
        <v>1952</v>
      </c>
      <c r="AA1283" t="s">
        <v>1003</v>
      </c>
      <c r="AB1283" t="s">
        <v>2520</v>
      </c>
      <c r="AC1283" t="s">
        <v>886</v>
      </c>
      <c r="AD1283" t="s">
        <v>2171</v>
      </c>
      <c r="AE1283" t="s">
        <v>888</v>
      </c>
      <c r="AF1283">
        <v>2.1070655372</v>
      </c>
    </row>
    <row r="1284" spans="1:32" x14ac:dyDescent="0.25">
      <c r="A1284" s="56">
        <v>3500816</v>
      </c>
      <c r="B1284" s="56" t="s">
        <v>2365</v>
      </c>
      <c r="C1284" s="56" t="s">
        <v>4993</v>
      </c>
      <c r="D1284" s="56"/>
      <c r="E1284" s="57">
        <v>1690</v>
      </c>
      <c r="F1284" s="57">
        <v>1.69</v>
      </c>
      <c r="G1284" s="56" t="s">
        <v>392</v>
      </c>
      <c r="H1284" s="56" t="s">
        <v>4454</v>
      </c>
      <c r="I1284" s="56" t="s">
        <v>1834</v>
      </c>
      <c r="J1284" s="56"/>
      <c r="K1284" s="56"/>
      <c r="L1284" s="56"/>
      <c r="M1284" s="56"/>
      <c r="N1284" s="56" t="s">
        <v>151</v>
      </c>
      <c r="O1284" s="56">
        <v>83</v>
      </c>
      <c r="P1284" s="59" t="s">
        <v>2579</v>
      </c>
      <c r="Q1284" s="56" t="s">
        <v>11</v>
      </c>
      <c r="U1284" s="52">
        <v>3509829</v>
      </c>
      <c r="V1284">
        <v>41.28</v>
      </c>
      <c r="W1284">
        <v>0</v>
      </c>
      <c r="X1284">
        <v>2.6</v>
      </c>
      <c r="Y1284">
        <v>0.86</v>
      </c>
      <c r="Z1284" t="s">
        <v>1914</v>
      </c>
      <c r="AA1284" t="s">
        <v>1003</v>
      </c>
      <c r="AB1284" t="s">
        <v>2520</v>
      </c>
      <c r="AC1284" t="s">
        <v>886</v>
      </c>
      <c r="AD1284" t="s">
        <v>2171</v>
      </c>
      <c r="AE1284" t="s">
        <v>4983</v>
      </c>
      <c r="AF1284">
        <v>2.1318545435200003</v>
      </c>
    </row>
    <row r="1285" spans="1:32" x14ac:dyDescent="0.25">
      <c r="A1285" s="56">
        <v>3500816</v>
      </c>
      <c r="B1285" s="56" t="s">
        <v>2365</v>
      </c>
      <c r="C1285" s="56" t="s">
        <v>4995</v>
      </c>
      <c r="D1285" s="56"/>
      <c r="E1285" s="57">
        <v>1760</v>
      </c>
      <c r="F1285" s="57">
        <v>1.76</v>
      </c>
      <c r="G1285" s="56" t="s">
        <v>392</v>
      </c>
      <c r="H1285" s="56" t="s">
        <v>4454</v>
      </c>
      <c r="I1285" s="56" t="s">
        <v>1834</v>
      </c>
      <c r="J1285" s="56"/>
      <c r="K1285" s="56"/>
      <c r="L1285" s="56"/>
      <c r="M1285" s="56"/>
      <c r="N1285" s="56" t="s">
        <v>151</v>
      </c>
      <c r="O1285" s="56">
        <v>83</v>
      </c>
      <c r="P1285" s="59" t="s">
        <v>2579</v>
      </c>
      <c r="Q1285" s="56" t="s">
        <v>11</v>
      </c>
      <c r="U1285" s="52">
        <v>3214495</v>
      </c>
      <c r="V1285">
        <v>41.28</v>
      </c>
      <c r="W1285">
        <v>0</v>
      </c>
      <c r="X1285">
        <v>2.6</v>
      </c>
      <c r="Y1285">
        <v>0.86</v>
      </c>
      <c r="Z1285" t="s">
        <v>1914</v>
      </c>
      <c r="AA1285" t="s">
        <v>1003</v>
      </c>
      <c r="AB1285" t="s">
        <v>2520</v>
      </c>
      <c r="AC1285" t="s">
        <v>886</v>
      </c>
      <c r="AD1285" t="s">
        <v>2171</v>
      </c>
      <c r="AE1285" t="s">
        <v>4983</v>
      </c>
      <c r="AF1285">
        <v>2.1318545435200003</v>
      </c>
    </row>
    <row r="1286" spans="1:32" x14ac:dyDescent="0.25">
      <c r="A1286" s="56">
        <v>3500816</v>
      </c>
      <c r="B1286" s="56" t="s">
        <v>2365</v>
      </c>
      <c r="C1286" s="56" t="s">
        <v>4996</v>
      </c>
      <c r="D1286" s="56"/>
      <c r="E1286" s="57">
        <v>1795</v>
      </c>
      <c r="F1286" s="57">
        <v>1.7949999999999999</v>
      </c>
      <c r="G1286" s="56" t="s">
        <v>392</v>
      </c>
      <c r="H1286" s="56" t="s">
        <v>4454</v>
      </c>
      <c r="I1286" s="56" t="s">
        <v>1834</v>
      </c>
      <c r="J1286" s="56"/>
      <c r="K1286" s="56"/>
      <c r="L1286" s="56"/>
      <c r="M1286" s="56"/>
      <c r="N1286" s="56" t="s">
        <v>151</v>
      </c>
      <c r="O1286" s="56">
        <v>83</v>
      </c>
      <c r="P1286" s="59" t="s">
        <v>2579</v>
      </c>
      <c r="Q1286" s="56" t="s">
        <v>11</v>
      </c>
      <c r="U1286">
        <v>3501716</v>
      </c>
      <c r="V1286">
        <v>41.28</v>
      </c>
      <c r="W1286">
        <v>0</v>
      </c>
      <c r="X1286">
        <v>2.6</v>
      </c>
      <c r="Y1286">
        <v>6</v>
      </c>
      <c r="Z1286" t="s">
        <v>1914</v>
      </c>
      <c r="AA1286" t="s">
        <v>1003</v>
      </c>
      <c r="AB1286" t="s">
        <v>2520</v>
      </c>
      <c r="AC1286" t="s">
        <v>886</v>
      </c>
      <c r="AD1286" t="s">
        <v>1838</v>
      </c>
      <c r="AE1286" t="s">
        <v>2396</v>
      </c>
      <c r="AF1286">
        <v>2.4789006320000002</v>
      </c>
    </row>
    <row r="1287" spans="1:32" x14ac:dyDescent="0.25">
      <c r="A1287" s="56">
        <v>3500816</v>
      </c>
      <c r="B1287" s="56" t="s">
        <v>2365</v>
      </c>
      <c r="C1287" s="56" t="s">
        <v>4998</v>
      </c>
      <c r="D1287" s="56"/>
      <c r="E1287" s="57">
        <v>1232</v>
      </c>
      <c r="F1287" s="57">
        <v>1.232</v>
      </c>
      <c r="G1287" s="56" t="s">
        <v>392</v>
      </c>
      <c r="H1287" s="56" t="s">
        <v>4454</v>
      </c>
      <c r="I1287" s="56" t="s">
        <v>1834</v>
      </c>
      <c r="J1287" s="56"/>
      <c r="K1287" s="56"/>
      <c r="L1287" s="56"/>
      <c r="M1287" s="56"/>
      <c r="N1287" s="56" t="s">
        <v>151</v>
      </c>
      <c r="O1287" s="56">
        <v>83</v>
      </c>
      <c r="P1287" s="59" t="s">
        <v>2579</v>
      </c>
      <c r="Q1287" s="56" t="s">
        <v>11</v>
      </c>
      <c r="U1287" s="538">
        <v>111122382</v>
      </c>
      <c r="V1287">
        <v>41.28</v>
      </c>
      <c r="W1287">
        <v>0</v>
      </c>
      <c r="X1287">
        <v>2.6</v>
      </c>
      <c r="Y1287">
        <v>6</v>
      </c>
      <c r="Z1287" t="s">
        <v>1868</v>
      </c>
      <c r="AA1287" t="s">
        <v>1003</v>
      </c>
      <c r="AB1287" t="s">
        <v>2520</v>
      </c>
      <c r="AC1287" t="s">
        <v>886</v>
      </c>
      <c r="AD1287" t="s">
        <v>1838</v>
      </c>
      <c r="AE1287" t="s">
        <v>2396</v>
      </c>
      <c r="AF1287">
        <v>2.4789006320000002</v>
      </c>
    </row>
    <row r="1288" spans="1:32" x14ac:dyDescent="0.25">
      <c r="A1288" s="56">
        <v>3500816</v>
      </c>
      <c r="B1288" s="56" t="s">
        <v>2365</v>
      </c>
      <c r="C1288" s="56" t="s">
        <v>4999</v>
      </c>
      <c r="D1288" s="56"/>
      <c r="E1288" s="57">
        <v>2570</v>
      </c>
      <c r="F1288" s="57">
        <v>2.57</v>
      </c>
      <c r="G1288" s="56" t="s">
        <v>392</v>
      </c>
      <c r="H1288" s="56" t="s">
        <v>4454</v>
      </c>
      <c r="I1288" s="56" t="s">
        <v>1834</v>
      </c>
      <c r="J1288" s="56"/>
      <c r="K1288" s="56"/>
      <c r="L1288" s="56"/>
      <c r="M1288" s="56"/>
      <c r="N1288" s="56" t="s">
        <v>151</v>
      </c>
      <c r="O1288" s="56">
        <v>80</v>
      </c>
      <c r="P1288" s="59" t="s">
        <v>2579</v>
      </c>
      <c r="Q1288" s="56" t="s">
        <v>11</v>
      </c>
      <c r="U1288">
        <v>3994149</v>
      </c>
      <c r="V1288">
        <v>41.28</v>
      </c>
      <c r="W1288">
        <v>0</v>
      </c>
      <c r="X1288">
        <v>2.6</v>
      </c>
      <c r="Y1288">
        <v>6.0010000000000003</v>
      </c>
      <c r="Z1288" t="s">
        <v>1891</v>
      </c>
      <c r="AA1288" t="s">
        <v>2520</v>
      </c>
      <c r="AB1288" t="s">
        <v>1003</v>
      </c>
      <c r="AC1288" t="s">
        <v>886</v>
      </c>
      <c r="AD1288" t="s">
        <v>1838</v>
      </c>
      <c r="AE1288" t="s">
        <v>2396</v>
      </c>
      <c r="AF1288">
        <v>2.4789006320000002</v>
      </c>
    </row>
    <row r="1289" spans="1:32" x14ac:dyDescent="0.25">
      <c r="A1289" s="56">
        <v>3500816</v>
      </c>
      <c r="B1289" s="56" t="s">
        <v>2365</v>
      </c>
      <c r="C1289" s="56" t="s">
        <v>5000</v>
      </c>
      <c r="D1289" s="56"/>
      <c r="E1289" s="57">
        <v>1725</v>
      </c>
      <c r="F1289" s="57">
        <v>1.7250000000000001</v>
      </c>
      <c r="G1289" s="56" t="s">
        <v>392</v>
      </c>
      <c r="H1289" s="56" t="s">
        <v>4454</v>
      </c>
      <c r="I1289" s="56" t="s">
        <v>1834</v>
      </c>
      <c r="J1289" s="56"/>
      <c r="K1289" s="56"/>
      <c r="L1289" s="56"/>
      <c r="M1289" s="56"/>
      <c r="N1289" s="56" t="s">
        <v>151</v>
      </c>
      <c r="O1289" s="56">
        <v>80</v>
      </c>
      <c r="P1289" s="59" t="s">
        <v>2579</v>
      </c>
      <c r="Q1289" s="56" t="s">
        <v>11</v>
      </c>
      <c r="U1289" s="538">
        <v>111100797</v>
      </c>
      <c r="V1289">
        <v>41.28</v>
      </c>
      <c r="W1289">
        <v>0</v>
      </c>
      <c r="X1289">
        <v>2.6</v>
      </c>
      <c r="Y1289">
        <v>6.02</v>
      </c>
      <c r="Z1289" t="s">
        <v>1868</v>
      </c>
      <c r="AA1289" t="s">
        <v>1003</v>
      </c>
      <c r="AB1289" t="s">
        <v>2520</v>
      </c>
      <c r="AC1289" t="s">
        <v>886</v>
      </c>
      <c r="AD1289" t="s">
        <v>1838</v>
      </c>
      <c r="AE1289" t="s">
        <v>2396</v>
      </c>
      <c r="AF1289">
        <v>2.4789006320000002</v>
      </c>
    </row>
    <row r="1290" spans="1:32" x14ac:dyDescent="0.25">
      <c r="A1290" s="56">
        <v>3500816</v>
      </c>
      <c r="B1290" s="56" t="s">
        <v>2365</v>
      </c>
      <c r="C1290" s="56" t="s">
        <v>5001</v>
      </c>
      <c r="D1290" s="56"/>
      <c r="E1290" s="57">
        <v>2006</v>
      </c>
      <c r="F1290" s="57">
        <v>2.0059999999999998</v>
      </c>
      <c r="G1290" s="56" t="s">
        <v>392</v>
      </c>
      <c r="H1290" s="56" t="s">
        <v>2511</v>
      </c>
      <c r="I1290" s="56" t="s">
        <v>1834</v>
      </c>
      <c r="J1290" s="56"/>
      <c r="K1290" s="56"/>
      <c r="L1290" s="56"/>
      <c r="M1290" s="56"/>
      <c r="N1290" s="56" t="s">
        <v>151</v>
      </c>
      <c r="O1290" s="56">
        <v>56</v>
      </c>
      <c r="P1290" s="59" t="s">
        <v>2532</v>
      </c>
      <c r="Q1290" s="56" t="s">
        <v>11</v>
      </c>
      <c r="U1290" s="588">
        <v>3457574</v>
      </c>
      <c r="V1290">
        <v>41.28</v>
      </c>
      <c r="W1290">
        <v>0</v>
      </c>
      <c r="X1290">
        <v>2.6</v>
      </c>
      <c r="Y1290">
        <v>6.02</v>
      </c>
      <c r="Z1290" t="s">
        <v>1868</v>
      </c>
      <c r="AA1290" t="s">
        <v>963</v>
      </c>
      <c r="AB1290" t="s">
        <v>2520</v>
      </c>
      <c r="AC1290" t="s">
        <v>886</v>
      </c>
      <c r="AD1290" t="s">
        <v>1838</v>
      </c>
      <c r="AE1290" t="s">
        <v>2396</v>
      </c>
      <c r="AF1290" t="e">
        <f>IF([4]!buckets[[#This Row],[LL or CTL]]="LL",(3.14*([4]!buckets[[#This Row],[OD]]-[4]!buckets[[#This Row],[Thickness]])*[4]!buckets[[#This Row],[Thickness]]*1000*7.85)/1000000,(3.14*([4]!buckets[[#This Row],[OD]]-[4]!buckets[[#This Row],[Thickness]])*[4]!buckets[[#This Row],[Thickness]]*[4]!buckets[[#This Row],[Length]]*1000*7.85)/1000000)</f>
        <v>#REF!</v>
      </c>
    </row>
    <row r="1291" spans="1:32" x14ac:dyDescent="0.25">
      <c r="A1291" s="56">
        <v>3500816</v>
      </c>
      <c r="B1291" s="56" t="s">
        <v>2365</v>
      </c>
      <c r="C1291" s="56" t="s">
        <v>5002</v>
      </c>
      <c r="D1291" s="56"/>
      <c r="E1291" s="57">
        <v>1614</v>
      </c>
      <c r="F1291" s="57">
        <v>1.6140000000000001</v>
      </c>
      <c r="G1291" s="56" t="s">
        <v>392</v>
      </c>
      <c r="H1291" s="56" t="s">
        <v>2511</v>
      </c>
      <c r="I1291" s="56" t="s">
        <v>1834</v>
      </c>
      <c r="J1291" s="56"/>
      <c r="K1291" s="56"/>
      <c r="L1291" s="56"/>
      <c r="M1291" s="56"/>
      <c r="N1291" s="56" t="s">
        <v>151</v>
      </c>
      <c r="O1291" s="56">
        <v>90</v>
      </c>
      <c r="P1291" s="59" t="s">
        <v>2579</v>
      </c>
      <c r="Q1291" s="56" t="s">
        <v>11</v>
      </c>
      <c r="U1291" s="52">
        <v>3502252</v>
      </c>
      <c r="V1291">
        <v>41.28</v>
      </c>
      <c r="W1291">
        <v>0</v>
      </c>
      <c r="X1291">
        <v>2.6</v>
      </c>
      <c r="Y1291">
        <v>6.08</v>
      </c>
      <c r="Z1291" t="s">
        <v>1914</v>
      </c>
      <c r="AA1291" t="s">
        <v>1003</v>
      </c>
      <c r="AB1291" t="s">
        <v>2520</v>
      </c>
      <c r="AC1291" t="s">
        <v>886</v>
      </c>
      <c r="AD1291" t="s">
        <v>1838</v>
      </c>
      <c r="AE1291" t="s">
        <v>2396</v>
      </c>
      <c r="AF1291">
        <v>2.4789006320000002</v>
      </c>
    </row>
    <row r="1292" spans="1:32" x14ac:dyDescent="0.25">
      <c r="A1292" s="56">
        <v>3500816</v>
      </c>
      <c r="B1292" s="56" t="s">
        <v>2365</v>
      </c>
      <c r="C1292" s="56" t="s">
        <v>5003</v>
      </c>
      <c r="D1292" s="56"/>
      <c r="E1292" s="57">
        <v>1403</v>
      </c>
      <c r="F1292" s="57">
        <v>1.403</v>
      </c>
      <c r="G1292" s="56" t="s">
        <v>392</v>
      </c>
      <c r="H1292" s="56" t="s">
        <v>2511</v>
      </c>
      <c r="I1292" s="56" t="s">
        <v>1834</v>
      </c>
      <c r="J1292" s="56"/>
      <c r="K1292" s="56"/>
      <c r="L1292" s="56"/>
      <c r="M1292" s="56"/>
      <c r="N1292" s="56" t="s">
        <v>151</v>
      </c>
      <c r="O1292" s="56">
        <v>90</v>
      </c>
      <c r="P1292" s="59" t="s">
        <v>2579</v>
      </c>
      <c r="Q1292" s="56" t="s">
        <v>11</v>
      </c>
      <c r="U1292" s="52">
        <v>3239889</v>
      </c>
      <c r="V1292">
        <v>41.28</v>
      </c>
      <c r="W1292">
        <v>0</v>
      </c>
      <c r="X1292">
        <v>2.6</v>
      </c>
      <c r="Y1292">
        <v>6.08</v>
      </c>
      <c r="Z1292" t="s">
        <v>1868</v>
      </c>
      <c r="AA1292" t="s">
        <v>1003</v>
      </c>
      <c r="AB1292" t="s">
        <v>2520</v>
      </c>
      <c r="AC1292" t="s">
        <v>886</v>
      </c>
      <c r="AD1292" t="s">
        <v>1838</v>
      </c>
      <c r="AE1292" t="s">
        <v>2396</v>
      </c>
      <c r="AF1292">
        <v>2.4789006320000002</v>
      </c>
    </row>
    <row r="1293" spans="1:32" x14ac:dyDescent="0.25">
      <c r="A1293" s="56">
        <v>3501133</v>
      </c>
      <c r="B1293" s="56" t="s">
        <v>5004</v>
      </c>
      <c r="C1293" s="56" t="s">
        <v>5005</v>
      </c>
      <c r="D1293" s="56"/>
      <c r="E1293" s="57">
        <v>1722.729</v>
      </c>
      <c r="F1293" s="57">
        <v>1.722729</v>
      </c>
      <c r="G1293" s="56" t="s">
        <v>392</v>
      </c>
      <c r="H1293" s="56" t="s">
        <v>4454</v>
      </c>
      <c r="I1293" s="56" t="s">
        <v>4455</v>
      </c>
      <c r="J1293" s="56"/>
      <c r="K1293" s="56"/>
      <c r="L1293" s="56"/>
      <c r="M1293" s="56"/>
      <c r="N1293" s="56" t="s">
        <v>151</v>
      </c>
      <c r="O1293" s="56">
        <v>59</v>
      </c>
      <c r="P1293" s="59" t="s">
        <v>2532</v>
      </c>
      <c r="Q1293" s="56" t="s">
        <v>11</v>
      </c>
      <c r="U1293" s="52">
        <v>3539418</v>
      </c>
      <c r="V1293">
        <v>41.28</v>
      </c>
      <c r="W1293">
        <v>0</v>
      </c>
      <c r="X1293">
        <v>2.9</v>
      </c>
      <c r="Y1293">
        <v>0.42</v>
      </c>
      <c r="Z1293" t="s">
        <v>1868</v>
      </c>
      <c r="AA1293" t="s">
        <v>963</v>
      </c>
      <c r="AB1293" t="s">
        <v>2520</v>
      </c>
      <c r="AC1293" t="s">
        <v>4991</v>
      </c>
      <c r="AD1293" t="s">
        <v>2171</v>
      </c>
      <c r="AE1293" t="s">
        <v>4992</v>
      </c>
      <c r="AF1293">
        <v>1.1522628591599999</v>
      </c>
    </row>
    <row r="1294" spans="1:32" x14ac:dyDescent="0.25">
      <c r="A1294" s="56">
        <v>3501264</v>
      </c>
      <c r="B1294" s="56" t="s">
        <v>2372</v>
      </c>
      <c r="C1294" s="56" t="s">
        <v>5007</v>
      </c>
      <c r="D1294" s="56"/>
      <c r="E1294" s="57">
        <v>1004.595</v>
      </c>
      <c r="F1294" s="57">
        <v>1.0045950000000001</v>
      </c>
      <c r="G1294" s="56" t="s">
        <v>392</v>
      </c>
      <c r="H1294" s="56" t="s">
        <v>4454</v>
      </c>
      <c r="I1294" s="56" t="s">
        <v>4455</v>
      </c>
      <c r="J1294" s="56"/>
      <c r="K1294" s="56"/>
      <c r="L1294" s="56"/>
      <c r="M1294" s="56"/>
      <c r="N1294" s="56" t="s">
        <v>72</v>
      </c>
      <c r="O1294" s="56">
        <v>5</v>
      </c>
      <c r="P1294" s="59" t="s">
        <v>2515</v>
      </c>
      <c r="Q1294" s="56" t="s">
        <v>11</v>
      </c>
      <c r="U1294" s="52">
        <v>2403433</v>
      </c>
      <c r="V1294">
        <v>41.28</v>
      </c>
      <c r="W1294">
        <v>0</v>
      </c>
      <c r="X1294">
        <v>3.15</v>
      </c>
      <c r="Y1294">
        <v>0.28799999999999998</v>
      </c>
      <c r="Z1294" t="s">
        <v>1868</v>
      </c>
      <c r="AA1294" t="s">
        <v>1003</v>
      </c>
      <c r="AB1294" t="s">
        <v>2520</v>
      </c>
      <c r="AC1294" t="s">
        <v>654</v>
      </c>
      <c r="AD1294" t="s">
        <v>2171</v>
      </c>
      <c r="AE1294" t="s">
        <v>4994</v>
      </c>
      <c r="AF1294">
        <v>0.85264677086399998</v>
      </c>
    </row>
    <row r="1295" spans="1:32" x14ac:dyDescent="0.25">
      <c r="A1295" s="56">
        <v>3501386</v>
      </c>
      <c r="B1295" s="56" t="s">
        <v>5008</v>
      </c>
      <c r="C1295" s="56" t="s">
        <v>5009</v>
      </c>
      <c r="D1295" s="56"/>
      <c r="E1295" s="57">
        <v>1620.742</v>
      </c>
      <c r="F1295" s="57">
        <v>1.6207419999999999</v>
      </c>
      <c r="G1295" s="56" t="s">
        <v>392</v>
      </c>
      <c r="H1295" s="56" t="s">
        <v>4454</v>
      </c>
      <c r="I1295" s="56" t="s">
        <v>4455</v>
      </c>
      <c r="J1295" s="56"/>
      <c r="K1295" s="56"/>
      <c r="L1295" s="56"/>
      <c r="M1295" s="56"/>
      <c r="N1295" s="56" t="s">
        <v>156</v>
      </c>
      <c r="O1295" s="56">
        <v>14</v>
      </c>
      <c r="P1295" s="59" t="s">
        <v>2515</v>
      </c>
      <c r="Q1295" s="56" t="s">
        <v>11</v>
      </c>
      <c r="U1295" s="52">
        <v>280076</v>
      </c>
      <c r="V1295">
        <v>41.28</v>
      </c>
      <c r="W1295">
        <v>0</v>
      </c>
      <c r="X1295">
        <v>3.15</v>
      </c>
      <c r="Y1295">
        <v>0.28799999999999998</v>
      </c>
      <c r="Z1295" t="s">
        <v>2821</v>
      </c>
      <c r="AA1295" t="s">
        <v>1003</v>
      </c>
      <c r="AB1295" t="s">
        <v>2520</v>
      </c>
      <c r="AC1295" t="s">
        <v>654</v>
      </c>
      <c r="AD1295" t="s">
        <v>2171</v>
      </c>
      <c r="AE1295" t="s">
        <v>4994</v>
      </c>
      <c r="AF1295">
        <v>0.85264677086399998</v>
      </c>
    </row>
    <row r="1296" spans="1:32" x14ac:dyDescent="0.25">
      <c r="A1296" s="56">
        <v>3502252</v>
      </c>
      <c r="B1296" s="56" t="s">
        <v>1688</v>
      </c>
      <c r="C1296" s="56" t="s">
        <v>5010</v>
      </c>
      <c r="D1296" s="56"/>
      <c r="E1296" s="57">
        <v>147.22800000000001</v>
      </c>
      <c r="F1296" s="57">
        <v>0.147228</v>
      </c>
      <c r="G1296" s="56" t="s">
        <v>392</v>
      </c>
      <c r="H1296" s="56" t="s">
        <v>4454</v>
      </c>
      <c r="I1296" s="56" t="s">
        <v>1834</v>
      </c>
      <c r="J1296" s="56"/>
      <c r="K1296" s="56"/>
      <c r="L1296" s="56"/>
      <c r="M1296" s="56"/>
      <c r="N1296" s="56" t="s">
        <v>72</v>
      </c>
      <c r="O1296" s="56">
        <v>67</v>
      </c>
      <c r="P1296" s="59" t="s">
        <v>2579</v>
      </c>
      <c r="Q1296" s="56" t="s">
        <v>11</v>
      </c>
      <c r="U1296" s="52">
        <v>3499828</v>
      </c>
      <c r="V1296">
        <v>41.28</v>
      </c>
      <c r="W1296">
        <v>0</v>
      </c>
      <c r="X1296">
        <v>3.15</v>
      </c>
      <c r="Y1296">
        <v>5.05</v>
      </c>
      <c r="Z1296" t="s">
        <v>2821</v>
      </c>
      <c r="AA1296" t="s">
        <v>1003</v>
      </c>
      <c r="AB1296" t="s">
        <v>2520</v>
      </c>
      <c r="AC1296" t="s">
        <v>654</v>
      </c>
      <c r="AD1296" t="s">
        <v>1838</v>
      </c>
      <c r="AE1296" t="s">
        <v>4997</v>
      </c>
      <c r="AF1296">
        <v>2.9605790655000002</v>
      </c>
    </row>
    <row r="1297" spans="1:32" x14ac:dyDescent="0.25">
      <c r="A1297" s="56">
        <v>3502422</v>
      </c>
      <c r="B1297" s="56" t="s">
        <v>2374</v>
      </c>
      <c r="C1297" s="56" t="s">
        <v>5011</v>
      </c>
      <c r="D1297" s="56"/>
      <c r="E1297" s="57">
        <v>2289</v>
      </c>
      <c r="F1297" s="57">
        <v>2.2890000000000001</v>
      </c>
      <c r="G1297" s="56" t="s">
        <v>392</v>
      </c>
      <c r="H1297" s="56" t="s">
        <v>4454</v>
      </c>
      <c r="I1297" s="56" t="s">
        <v>4455</v>
      </c>
      <c r="J1297" s="56"/>
      <c r="K1297" s="56"/>
      <c r="L1297" s="56"/>
      <c r="M1297" s="56"/>
      <c r="N1297" s="56" t="s">
        <v>39</v>
      </c>
      <c r="O1297" s="56">
        <v>34</v>
      </c>
      <c r="P1297" s="59" t="s">
        <v>2532</v>
      </c>
      <c r="Q1297" s="56" t="s">
        <v>2516</v>
      </c>
      <c r="U1297" s="52">
        <v>3673889</v>
      </c>
      <c r="V1297">
        <v>41.28</v>
      </c>
      <c r="W1297">
        <v>0</v>
      </c>
      <c r="X1297">
        <v>3.15</v>
      </c>
      <c r="Y1297">
        <v>5.86</v>
      </c>
      <c r="Z1297" t="s">
        <v>1914</v>
      </c>
      <c r="AA1297" t="s">
        <v>1003</v>
      </c>
      <c r="AB1297" t="s">
        <v>2520</v>
      </c>
      <c r="AC1297" t="s">
        <v>654</v>
      </c>
      <c r="AD1297" t="s">
        <v>1838</v>
      </c>
      <c r="AE1297" t="s">
        <v>4997</v>
      </c>
      <c r="AF1297">
        <v>2.9605790655000002</v>
      </c>
    </row>
    <row r="1298" spans="1:32" x14ac:dyDescent="0.25">
      <c r="A1298" s="56">
        <v>3502422</v>
      </c>
      <c r="B1298" s="56" t="s">
        <v>2374</v>
      </c>
      <c r="C1298" s="56" t="s">
        <v>5012</v>
      </c>
      <c r="D1298" s="56"/>
      <c r="E1298" s="57">
        <v>2379.7199999999998</v>
      </c>
      <c r="F1298" s="57">
        <v>2.3797199999999998</v>
      </c>
      <c r="G1298" s="56" t="s">
        <v>392</v>
      </c>
      <c r="H1298" s="56" t="s">
        <v>1914</v>
      </c>
      <c r="I1298" s="56" t="s">
        <v>1834</v>
      </c>
      <c r="J1298" s="56"/>
      <c r="K1298" s="56"/>
      <c r="L1298" s="56"/>
      <c r="M1298" s="56"/>
      <c r="N1298" s="56" t="s">
        <v>39</v>
      </c>
      <c r="O1298" s="56">
        <v>49</v>
      </c>
      <c r="P1298" s="59" t="s">
        <v>2532</v>
      </c>
      <c r="Q1298" s="56" t="s">
        <v>2516</v>
      </c>
      <c r="U1298" s="52">
        <v>3502334</v>
      </c>
      <c r="V1298">
        <v>41.28</v>
      </c>
      <c r="W1298">
        <v>0</v>
      </c>
      <c r="X1298">
        <v>3.15</v>
      </c>
      <c r="Y1298">
        <v>5.8810000000000002</v>
      </c>
      <c r="Z1298" t="s">
        <v>1914</v>
      </c>
      <c r="AA1298" t="s">
        <v>1003</v>
      </c>
      <c r="AB1298" t="s">
        <v>2520</v>
      </c>
      <c r="AC1298" t="s">
        <v>654</v>
      </c>
      <c r="AD1298" t="s">
        <v>1838</v>
      </c>
      <c r="AE1298" t="s">
        <v>4997</v>
      </c>
      <c r="AF1298">
        <v>2.9605790655000002</v>
      </c>
    </row>
    <row r="1299" spans="1:32" x14ac:dyDescent="0.25">
      <c r="A1299" s="56">
        <v>3502496</v>
      </c>
      <c r="B1299" s="56" t="s">
        <v>5013</v>
      </c>
      <c r="C1299" s="56" t="s">
        <v>5014</v>
      </c>
      <c r="D1299" s="56"/>
      <c r="E1299" s="57">
        <v>1908.606</v>
      </c>
      <c r="F1299" s="57">
        <v>1.908606</v>
      </c>
      <c r="G1299" s="56" t="s">
        <v>392</v>
      </c>
      <c r="H1299" s="56" t="s">
        <v>4454</v>
      </c>
      <c r="I1299" s="56" t="s">
        <v>4455</v>
      </c>
      <c r="J1299" s="56"/>
      <c r="K1299" s="56"/>
      <c r="L1299" s="56"/>
      <c r="M1299" s="56"/>
      <c r="N1299" s="56" t="s">
        <v>61</v>
      </c>
      <c r="O1299" s="56">
        <v>24</v>
      </c>
      <c r="P1299" s="59" t="s">
        <v>2515</v>
      </c>
      <c r="Q1299" s="56" t="s">
        <v>11</v>
      </c>
      <c r="U1299" s="52">
        <v>3597050</v>
      </c>
      <c r="V1299">
        <v>41.28</v>
      </c>
      <c r="W1299">
        <v>0</v>
      </c>
      <c r="X1299">
        <v>3.15</v>
      </c>
      <c r="Y1299">
        <v>5.94</v>
      </c>
      <c r="Z1299" t="s">
        <v>1868</v>
      </c>
      <c r="AA1299" t="s">
        <v>1003</v>
      </c>
      <c r="AB1299" t="s">
        <v>2520</v>
      </c>
      <c r="AC1299" t="s">
        <v>654</v>
      </c>
      <c r="AD1299" t="s">
        <v>1838</v>
      </c>
      <c r="AF1299">
        <v>2.9605790655000002</v>
      </c>
    </row>
    <row r="1300" spans="1:32" x14ac:dyDescent="0.25">
      <c r="A1300" s="56">
        <v>3502496</v>
      </c>
      <c r="B1300" s="56" t="s">
        <v>5013</v>
      </c>
      <c r="C1300" s="56" t="s">
        <v>5015</v>
      </c>
      <c r="D1300" s="56"/>
      <c r="E1300" s="57">
        <v>2204.3609999999999</v>
      </c>
      <c r="F1300" s="57">
        <v>2.204361</v>
      </c>
      <c r="G1300" s="56" t="s">
        <v>392</v>
      </c>
      <c r="H1300" s="56" t="s">
        <v>4454</v>
      </c>
      <c r="I1300" s="56" t="s">
        <v>4455</v>
      </c>
      <c r="J1300" s="56"/>
      <c r="K1300" s="56"/>
      <c r="L1300" s="56"/>
      <c r="M1300" s="56"/>
      <c r="N1300" s="56" t="s">
        <v>61</v>
      </c>
      <c r="O1300" s="56">
        <v>24</v>
      </c>
      <c r="P1300" s="59" t="s">
        <v>2515</v>
      </c>
      <c r="Q1300" s="56" t="s">
        <v>11</v>
      </c>
      <c r="U1300" s="590">
        <v>2415020</v>
      </c>
      <c r="V1300">
        <v>41.28</v>
      </c>
      <c r="W1300">
        <v>0</v>
      </c>
      <c r="X1300">
        <v>3.15</v>
      </c>
      <c r="Y1300">
        <v>5.99</v>
      </c>
      <c r="Z1300" t="s">
        <v>1891</v>
      </c>
      <c r="AA1300" t="s">
        <v>1003</v>
      </c>
      <c r="AB1300" t="s">
        <v>2520</v>
      </c>
      <c r="AC1300" t="s">
        <v>654</v>
      </c>
      <c r="AD1300" t="s">
        <v>1838</v>
      </c>
      <c r="AE1300" t="s">
        <v>4997</v>
      </c>
      <c r="AF1300">
        <v>2.9605790655000002</v>
      </c>
    </row>
    <row r="1301" spans="1:32" x14ac:dyDescent="0.25">
      <c r="A1301" s="56">
        <v>3502496</v>
      </c>
      <c r="B1301" s="56" t="s">
        <v>5013</v>
      </c>
      <c r="C1301" s="56" t="s">
        <v>5016</v>
      </c>
      <c r="D1301" s="56"/>
      <c r="E1301" s="57">
        <v>2208.3040000000001</v>
      </c>
      <c r="F1301" s="57">
        <v>2.208304</v>
      </c>
      <c r="G1301" s="56" t="s">
        <v>392</v>
      </c>
      <c r="H1301" s="56" t="s">
        <v>4454</v>
      </c>
      <c r="I1301" s="56" t="s">
        <v>4455</v>
      </c>
      <c r="J1301" s="56"/>
      <c r="K1301" s="56"/>
      <c r="L1301" s="56"/>
      <c r="M1301" s="56"/>
      <c r="N1301" s="56" t="s">
        <v>61</v>
      </c>
      <c r="O1301" s="56">
        <v>24</v>
      </c>
      <c r="P1301" s="59" t="s">
        <v>2515</v>
      </c>
      <c r="Q1301" s="56" t="s">
        <v>11</v>
      </c>
      <c r="U1301" s="52">
        <v>3514972</v>
      </c>
      <c r="V1301">
        <v>41.28</v>
      </c>
      <c r="W1301">
        <v>0</v>
      </c>
      <c r="X1301">
        <v>3.15</v>
      </c>
      <c r="Y1301">
        <v>6.71</v>
      </c>
      <c r="Z1301" t="s">
        <v>1914</v>
      </c>
      <c r="AA1301" t="s">
        <v>1003</v>
      </c>
      <c r="AB1301" t="s">
        <v>2520</v>
      </c>
      <c r="AC1301" t="s">
        <v>654</v>
      </c>
      <c r="AD1301" t="s">
        <v>1838</v>
      </c>
      <c r="AE1301" t="s">
        <v>4997</v>
      </c>
      <c r="AF1301">
        <v>2.9605790655000002</v>
      </c>
    </row>
    <row r="1302" spans="1:32" x14ac:dyDescent="0.25">
      <c r="A1302" s="56">
        <v>3502496</v>
      </c>
      <c r="B1302" s="56" t="s">
        <v>5013</v>
      </c>
      <c r="C1302" s="56" t="s">
        <v>5018</v>
      </c>
      <c r="D1302" s="56"/>
      <c r="E1302" s="57">
        <v>2208.3040000000001</v>
      </c>
      <c r="F1302" s="57">
        <v>2.208304</v>
      </c>
      <c r="G1302" s="56" t="s">
        <v>392</v>
      </c>
      <c r="H1302" s="56" t="s">
        <v>4454</v>
      </c>
      <c r="I1302" s="56" t="s">
        <v>4455</v>
      </c>
      <c r="J1302" s="56"/>
      <c r="K1302" s="56"/>
      <c r="L1302" s="56"/>
      <c r="M1302" s="56"/>
      <c r="N1302" s="56" t="s">
        <v>61</v>
      </c>
      <c r="O1302" s="56">
        <v>24</v>
      </c>
      <c r="P1302" s="59" t="s">
        <v>2515</v>
      </c>
      <c r="Q1302" s="56" t="s">
        <v>11</v>
      </c>
      <c r="U1302">
        <v>4010435</v>
      </c>
      <c r="V1302">
        <v>41.28</v>
      </c>
      <c r="W1302">
        <v>0</v>
      </c>
      <c r="X1302">
        <v>3.2</v>
      </c>
      <c r="Y1302">
        <v>0.23</v>
      </c>
      <c r="Z1302" t="s">
        <v>1881</v>
      </c>
      <c r="AA1302" t="s">
        <v>1003</v>
      </c>
      <c r="AB1302" t="s">
        <v>2520</v>
      </c>
      <c r="AC1302" t="s">
        <v>654</v>
      </c>
      <c r="AD1302" t="s">
        <v>2171</v>
      </c>
      <c r="AE1302" t="s">
        <v>879</v>
      </c>
      <c r="AF1302">
        <v>0.69083456512000008</v>
      </c>
    </row>
    <row r="1303" spans="1:32" x14ac:dyDescent="0.25">
      <c r="A1303" s="56">
        <v>3502496</v>
      </c>
      <c r="B1303" s="56" t="s">
        <v>5013</v>
      </c>
      <c r="C1303" s="56" t="s">
        <v>5021</v>
      </c>
      <c r="D1303" s="56"/>
      <c r="E1303" s="57">
        <v>2204.3609999999999</v>
      </c>
      <c r="F1303" s="57">
        <v>2.204361</v>
      </c>
      <c r="G1303" s="56" t="s">
        <v>392</v>
      </c>
      <c r="H1303" s="56" t="s">
        <v>4454</v>
      </c>
      <c r="I1303" s="56" t="s">
        <v>4455</v>
      </c>
      <c r="J1303" s="56"/>
      <c r="K1303" s="56"/>
      <c r="L1303" s="56"/>
      <c r="M1303" s="56"/>
      <c r="N1303" s="56" t="s">
        <v>61</v>
      </c>
      <c r="O1303" s="56">
        <v>24</v>
      </c>
      <c r="P1303" s="59" t="s">
        <v>2515</v>
      </c>
      <c r="Q1303" s="56" t="s">
        <v>11</v>
      </c>
      <c r="U1303" s="52">
        <v>3605867</v>
      </c>
      <c r="V1303">
        <v>41.28</v>
      </c>
      <c r="W1303">
        <v>0</v>
      </c>
      <c r="X1303">
        <v>3.2</v>
      </c>
      <c r="Y1303">
        <v>0.23499999999999999</v>
      </c>
      <c r="Z1303" t="s">
        <v>1881</v>
      </c>
      <c r="AA1303" t="s">
        <v>1003</v>
      </c>
      <c r="AB1303" t="s">
        <v>2520</v>
      </c>
      <c r="AC1303" t="s">
        <v>654</v>
      </c>
      <c r="AD1303" t="s">
        <v>2171</v>
      </c>
      <c r="AE1303" t="s">
        <v>5006</v>
      </c>
      <c r="AF1303">
        <v>0.70585270783999998</v>
      </c>
    </row>
    <row r="1304" spans="1:32" x14ac:dyDescent="0.25">
      <c r="A1304" s="56">
        <v>3502496</v>
      </c>
      <c r="B1304" s="56" t="s">
        <v>5013</v>
      </c>
      <c r="C1304" s="56" t="s">
        <v>5022</v>
      </c>
      <c r="D1304" s="56"/>
      <c r="E1304" s="57">
        <v>1573.4169999999999</v>
      </c>
      <c r="F1304" s="57">
        <v>1.5734169999999998</v>
      </c>
      <c r="G1304" s="56" t="s">
        <v>392</v>
      </c>
      <c r="H1304" s="56" t="s">
        <v>4454</v>
      </c>
      <c r="I1304" s="56" t="s">
        <v>4455</v>
      </c>
      <c r="J1304" s="56"/>
      <c r="K1304" s="56"/>
      <c r="L1304" s="56"/>
      <c r="M1304" s="56"/>
      <c r="N1304" s="56" t="s">
        <v>61</v>
      </c>
      <c r="O1304" s="56">
        <v>24</v>
      </c>
      <c r="P1304" s="59" t="s">
        <v>2515</v>
      </c>
      <c r="Q1304" s="56" t="s">
        <v>11</v>
      </c>
      <c r="U1304" s="52">
        <v>3768907</v>
      </c>
      <c r="V1304">
        <v>41.28</v>
      </c>
      <c r="W1304">
        <v>0</v>
      </c>
      <c r="X1304">
        <v>3.2</v>
      </c>
      <c r="Y1304">
        <v>0.246</v>
      </c>
      <c r="Z1304" t="s">
        <v>1952</v>
      </c>
      <c r="AA1304" t="s">
        <v>1003</v>
      </c>
      <c r="AB1304" t="s">
        <v>2520</v>
      </c>
      <c r="AC1304" t="s">
        <v>654</v>
      </c>
      <c r="AD1304" t="s">
        <v>2171</v>
      </c>
      <c r="AE1304" t="s">
        <v>656</v>
      </c>
      <c r="AF1304">
        <v>0.73889262182400006</v>
      </c>
    </row>
    <row r="1305" spans="1:32" x14ac:dyDescent="0.25">
      <c r="A1305" s="56">
        <v>3515987</v>
      </c>
      <c r="B1305" s="56" t="s">
        <v>1537</v>
      </c>
      <c r="C1305" s="56" t="s">
        <v>5023</v>
      </c>
      <c r="D1305" s="56"/>
      <c r="E1305" s="57">
        <v>262.2</v>
      </c>
      <c r="F1305" s="57">
        <v>0.26219999999999999</v>
      </c>
      <c r="G1305" s="56" t="s">
        <v>392</v>
      </c>
      <c r="H1305" s="56" t="s">
        <v>4454</v>
      </c>
      <c r="I1305" s="56" t="s">
        <v>1834</v>
      </c>
      <c r="J1305" s="56"/>
      <c r="K1305" s="56"/>
      <c r="L1305" s="56"/>
      <c r="M1305" s="56"/>
      <c r="N1305" s="56" t="s">
        <v>76</v>
      </c>
      <c r="O1305" s="56">
        <v>10</v>
      </c>
      <c r="P1305" s="59" t="s">
        <v>2515</v>
      </c>
      <c r="Q1305" s="56" t="s">
        <v>2561</v>
      </c>
      <c r="U1305" s="538">
        <v>111122744</v>
      </c>
      <c r="V1305">
        <v>41.28</v>
      </c>
      <c r="W1305">
        <v>0</v>
      </c>
      <c r="X1305">
        <v>3.2</v>
      </c>
      <c r="Y1305">
        <v>5.9</v>
      </c>
      <c r="Z1305" t="s">
        <v>1952</v>
      </c>
      <c r="AA1305" t="s">
        <v>1003</v>
      </c>
      <c r="AB1305" t="s">
        <v>2520</v>
      </c>
      <c r="AC1305" t="s">
        <v>654</v>
      </c>
      <c r="AD1305" t="s">
        <v>1838</v>
      </c>
      <c r="AE1305" t="s">
        <v>4997</v>
      </c>
      <c r="AF1305">
        <v>3.0036285440000001</v>
      </c>
    </row>
    <row r="1306" spans="1:32" x14ac:dyDescent="0.25">
      <c r="A1306" s="56">
        <v>3516769</v>
      </c>
      <c r="B1306" s="56" t="s">
        <v>1650</v>
      </c>
      <c r="C1306" s="56" t="s">
        <v>5024</v>
      </c>
      <c r="D1306" s="56"/>
      <c r="E1306" s="57">
        <v>188.36</v>
      </c>
      <c r="F1306" s="57">
        <v>0.18836000000000003</v>
      </c>
      <c r="G1306" s="56" t="s">
        <v>392</v>
      </c>
      <c r="H1306" s="56" t="s">
        <v>4454</v>
      </c>
      <c r="I1306" s="56" t="s">
        <v>4455</v>
      </c>
      <c r="J1306" s="56"/>
      <c r="K1306" s="56"/>
      <c r="L1306" s="56"/>
      <c r="M1306" s="56"/>
      <c r="N1306" s="56" t="s">
        <v>52</v>
      </c>
      <c r="O1306" s="56">
        <v>62</v>
      </c>
      <c r="P1306" s="59" t="s">
        <v>2579</v>
      </c>
      <c r="Q1306" s="56" t="s">
        <v>2516</v>
      </c>
      <c r="U1306" s="52">
        <v>3411430</v>
      </c>
      <c r="V1306">
        <v>41.28</v>
      </c>
      <c r="W1306">
        <v>0</v>
      </c>
      <c r="X1306">
        <v>3.2</v>
      </c>
      <c r="Y1306">
        <v>5.9</v>
      </c>
      <c r="Z1306" t="s">
        <v>1952</v>
      </c>
      <c r="AA1306" t="s">
        <v>1003</v>
      </c>
      <c r="AB1306" t="s">
        <v>2520</v>
      </c>
      <c r="AC1306" t="s">
        <v>654</v>
      </c>
      <c r="AD1306" t="s">
        <v>1838</v>
      </c>
      <c r="AF1306">
        <v>3.0036285440000001</v>
      </c>
    </row>
    <row r="1307" spans="1:32" x14ac:dyDescent="0.25">
      <c r="A1307" s="56">
        <v>3531650</v>
      </c>
      <c r="B1307" s="56" t="s">
        <v>1717</v>
      </c>
      <c r="C1307" s="56" t="s">
        <v>3340</v>
      </c>
      <c r="D1307" s="56"/>
      <c r="E1307" s="57">
        <v>195.18199999999999</v>
      </c>
      <c r="F1307" s="57">
        <v>0.19518199999999999</v>
      </c>
      <c r="G1307" s="56" t="s">
        <v>392</v>
      </c>
      <c r="H1307" s="56" t="s">
        <v>4454</v>
      </c>
      <c r="I1307" s="56" t="s">
        <v>1834</v>
      </c>
      <c r="J1307" s="56"/>
      <c r="K1307" s="56"/>
      <c r="L1307" s="56"/>
      <c r="M1307" s="56"/>
      <c r="N1307" s="56" t="s">
        <v>39</v>
      </c>
      <c r="O1307" s="56">
        <v>49</v>
      </c>
      <c r="P1307" s="59" t="s">
        <v>2532</v>
      </c>
      <c r="Q1307" s="56" t="s">
        <v>2516</v>
      </c>
      <c r="U1307" s="538">
        <v>111118634</v>
      </c>
      <c r="V1307">
        <v>41.28</v>
      </c>
      <c r="W1307">
        <v>0</v>
      </c>
      <c r="X1307">
        <v>3.2</v>
      </c>
      <c r="Y1307">
        <v>6.2850000000000001</v>
      </c>
      <c r="Z1307" t="s">
        <v>1881</v>
      </c>
      <c r="AA1307" t="s">
        <v>1003</v>
      </c>
      <c r="AB1307" t="s">
        <v>2520</v>
      </c>
      <c r="AC1307" t="s">
        <v>654</v>
      </c>
      <c r="AD1307" t="s">
        <v>1838</v>
      </c>
      <c r="AE1307" t="s">
        <v>4997</v>
      </c>
      <c r="AF1307">
        <v>3.0036285440000001</v>
      </c>
    </row>
    <row r="1308" spans="1:32" x14ac:dyDescent="0.25">
      <c r="A1308" s="56">
        <v>3545373</v>
      </c>
      <c r="B1308" s="56" t="s">
        <v>5026</v>
      </c>
      <c r="C1308" s="56" t="s">
        <v>5027</v>
      </c>
      <c r="D1308" s="56"/>
      <c r="E1308" s="57">
        <v>1577</v>
      </c>
      <c r="F1308" s="57">
        <v>1.577</v>
      </c>
      <c r="G1308" s="56" t="s">
        <v>392</v>
      </c>
      <c r="H1308" s="56" t="s">
        <v>4454</v>
      </c>
      <c r="I1308" s="56" t="s">
        <v>1834</v>
      </c>
      <c r="J1308" s="56"/>
      <c r="K1308" s="56"/>
      <c r="L1308" s="56"/>
      <c r="M1308" s="56"/>
      <c r="N1308" s="60" t="s">
        <v>151</v>
      </c>
      <c r="O1308" s="56">
        <v>2</v>
      </c>
      <c r="P1308" s="59" t="s">
        <v>2515</v>
      </c>
      <c r="Q1308" s="56" t="s">
        <v>11</v>
      </c>
      <c r="U1308">
        <v>2426341</v>
      </c>
      <c r="V1308">
        <v>42.7</v>
      </c>
      <c r="W1308">
        <v>0</v>
      </c>
      <c r="X1308">
        <v>3.5</v>
      </c>
      <c r="Y1308">
        <v>0.20200000000000001</v>
      </c>
      <c r="Z1308" t="s">
        <v>1874</v>
      </c>
      <c r="AA1308" t="s">
        <v>1003</v>
      </c>
      <c r="AB1308" t="s">
        <v>2572</v>
      </c>
      <c r="AC1308" t="s">
        <v>875</v>
      </c>
      <c r="AD1308" t="s">
        <v>2171</v>
      </c>
      <c r="AE1308" t="s">
        <v>5017</v>
      </c>
      <c r="AF1308">
        <v>0.68313224560000019</v>
      </c>
    </row>
    <row r="1309" spans="1:32" x14ac:dyDescent="0.25">
      <c r="A1309" s="56">
        <v>3548921</v>
      </c>
      <c r="B1309" s="56" t="s">
        <v>1927</v>
      </c>
      <c r="C1309" s="56" t="s">
        <v>5028</v>
      </c>
      <c r="D1309" s="56"/>
      <c r="E1309" s="57">
        <v>53.969000000000001</v>
      </c>
      <c r="F1309" s="57">
        <v>5.3969000000000003E-2</v>
      </c>
      <c r="G1309" s="56" t="s">
        <v>392</v>
      </c>
      <c r="H1309" s="56" t="s">
        <v>4454</v>
      </c>
      <c r="I1309" s="56" t="s">
        <v>1834</v>
      </c>
      <c r="J1309" s="56"/>
      <c r="K1309" s="56"/>
      <c r="L1309" s="56"/>
      <c r="M1309" s="56"/>
      <c r="N1309" s="56" t="s">
        <v>114</v>
      </c>
      <c r="O1309" s="56">
        <v>84</v>
      </c>
      <c r="P1309" s="59" t="s">
        <v>2579</v>
      </c>
      <c r="Q1309" s="56" t="s">
        <v>192</v>
      </c>
      <c r="U1309" s="52">
        <v>1496408</v>
      </c>
      <c r="V1309">
        <v>42.7</v>
      </c>
      <c r="W1309">
        <v>0</v>
      </c>
      <c r="X1309">
        <v>3.5</v>
      </c>
      <c r="Y1309">
        <v>0.20300000000000001</v>
      </c>
      <c r="Z1309" t="s">
        <v>1914</v>
      </c>
      <c r="AA1309" t="s">
        <v>1003</v>
      </c>
      <c r="AB1309" t="s">
        <v>5019</v>
      </c>
      <c r="AC1309" t="s">
        <v>875</v>
      </c>
      <c r="AD1309" t="s">
        <v>2171</v>
      </c>
      <c r="AE1309" t="s">
        <v>5020</v>
      </c>
      <c r="AF1309">
        <v>0.68651408840000017</v>
      </c>
    </row>
    <row r="1310" spans="1:32" x14ac:dyDescent="0.25">
      <c r="A1310" s="56">
        <v>3549718</v>
      </c>
      <c r="B1310" s="56" t="s">
        <v>5029</v>
      </c>
      <c r="C1310" s="56" t="s">
        <v>5030</v>
      </c>
      <c r="D1310" s="56"/>
      <c r="E1310" s="57">
        <v>2352</v>
      </c>
      <c r="F1310" s="57">
        <v>2.3519999999999999</v>
      </c>
      <c r="G1310" s="56" t="s">
        <v>392</v>
      </c>
      <c r="H1310" s="56" t="s">
        <v>4454</v>
      </c>
      <c r="I1310" s="56" t="s">
        <v>1834</v>
      </c>
      <c r="J1310" s="56"/>
      <c r="K1310" s="56"/>
      <c r="L1310" s="56"/>
      <c r="M1310" s="56"/>
      <c r="N1310" s="56" t="s">
        <v>52</v>
      </c>
      <c r="O1310" s="56">
        <v>53</v>
      </c>
      <c r="P1310" s="59" t="s">
        <v>2532</v>
      </c>
      <c r="Q1310" s="56" t="s">
        <v>2516</v>
      </c>
      <c r="U1310">
        <v>364978</v>
      </c>
      <c r="V1310">
        <v>42.7</v>
      </c>
      <c r="W1310">
        <v>0</v>
      </c>
      <c r="X1310">
        <v>3.5</v>
      </c>
      <c r="Y1310">
        <v>0.20300000000000001</v>
      </c>
      <c r="Z1310" t="s">
        <v>2821</v>
      </c>
      <c r="AA1310" t="s">
        <v>1003</v>
      </c>
      <c r="AB1310" t="s">
        <v>3979</v>
      </c>
      <c r="AC1310" t="s">
        <v>875</v>
      </c>
      <c r="AD1310" t="s">
        <v>2171</v>
      </c>
      <c r="AE1310" t="s">
        <v>5020</v>
      </c>
      <c r="AF1310">
        <v>0.68651408840000017</v>
      </c>
    </row>
    <row r="1311" spans="1:32" x14ac:dyDescent="0.25">
      <c r="A1311" s="56">
        <v>3586648</v>
      </c>
      <c r="B1311" s="56" t="s">
        <v>1603</v>
      </c>
      <c r="C1311" s="56" t="s">
        <v>5032</v>
      </c>
      <c r="D1311" s="56"/>
      <c r="E1311" s="57">
        <v>1769.511</v>
      </c>
      <c r="F1311" s="57">
        <v>1.7695110000000001</v>
      </c>
      <c r="G1311" s="56" t="s">
        <v>392</v>
      </c>
      <c r="H1311" s="56" t="s">
        <v>2511</v>
      </c>
      <c r="I1311" s="56" t="s">
        <v>4455</v>
      </c>
      <c r="J1311" s="56"/>
      <c r="K1311" s="56"/>
      <c r="L1311" s="56"/>
      <c r="M1311" s="56"/>
      <c r="N1311" s="56" t="s">
        <v>72</v>
      </c>
      <c r="O1311" s="56">
        <v>7</v>
      </c>
      <c r="P1311" s="59" t="s">
        <v>2515</v>
      </c>
      <c r="Q1311" s="56" t="s">
        <v>11</v>
      </c>
      <c r="U1311">
        <v>4114991</v>
      </c>
      <c r="V1311">
        <v>42.7</v>
      </c>
      <c r="W1311">
        <v>0</v>
      </c>
      <c r="X1311">
        <v>3.5</v>
      </c>
      <c r="Y1311">
        <v>0.20499999999999999</v>
      </c>
      <c r="Z1311" t="s">
        <v>1874</v>
      </c>
      <c r="AA1311" t="s">
        <v>1003</v>
      </c>
      <c r="AB1311" t="s">
        <v>5019</v>
      </c>
      <c r="AC1311" t="s">
        <v>875</v>
      </c>
      <c r="AD1311" t="s">
        <v>2171</v>
      </c>
      <c r="AE1311" t="s">
        <v>899</v>
      </c>
      <c r="AF1311">
        <v>0.69327777400000012</v>
      </c>
    </row>
    <row r="1312" spans="1:32" x14ac:dyDescent="0.25">
      <c r="A1312" s="56">
        <v>3586648</v>
      </c>
      <c r="B1312" s="56" t="s">
        <v>1603</v>
      </c>
      <c r="C1312" s="56" t="s">
        <v>5033</v>
      </c>
      <c r="D1312" s="56"/>
      <c r="E1312" s="57">
        <v>1813.8720000000001</v>
      </c>
      <c r="F1312" s="57">
        <v>1.8138720000000002</v>
      </c>
      <c r="G1312" s="56" t="s">
        <v>392</v>
      </c>
      <c r="H1312" s="56" t="s">
        <v>2511</v>
      </c>
      <c r="I1312" s="56" t="s">
        <v>4455</v>
      </c>
      <c r="J1312" s="56"/>
      <c r="K1312" s="56"/>
      <c r="L1312" s="56"/>
      <c r="M1312" s="56"/>
      <c r="N1312" s="56" t="s">
        <v>72</v>
      </c>
      <c r="O1312" s="56">
        <v>7</v>
      </c>
      <c r="P1312" s="59" t="s">
        <v>2515</v>
      </c>
      <c r="Q1312" s="56" t="s">
        <v>11</v>
      </c>
      <c r="U1312" s="52">
        <v>3722021</v>
      </c>
      <c r="V1312">
        <v>42.7</v>
      </c>
      <c r="W1312">
        <v>0</v>
      </c>
      <c r="X1312">
        <v>3.5</v>
      </c>
      <c r="Y1312">
        <v>0.20799999999999999</v>
      </c>
      <c r="Z1312" t="s">
        <v>1874</v>
      </c>
      <c r="AA1312" t="s">
        <v>1914</v>
      </c>
      <c r="AB1312" t="s">
        <v>2572</v>
      </c>
      <c r="AC1312" t="s">
        <v>875</v>
      </c>
      <c r="AD1312" t="s">
        <v>2171</v>
      </c>
      <c r="AE1312" t="s">
        <v>885</v>
      </c>
      <c r="AF1312">
        <v>0.70342330240000006</v>
      </c>
    </row>
    <row r="1313" spans="1:32" x14ac:dyDescent="0.25">
      <c r="A1313" s="56">
        <v>3586648</v>
      </c>
      <c r="B1313" s="56" t="s">
        <v>1603</v>
      </c>
      <c r="C1313" s="56" t="s">
        <v>5034</v>
      </c>
      <c r="D1313" s="56"/>
      <c r="E1313" s="57">
        <v>1458.9839999999999</v>
      </c>
      <c r="F1313" s="57">
        <v>1.4589839999999998</v>
      </c>
      <c r="G1313" s="56" t="s">
        <v>392</v>
      </c>
      <c r="H1313" s="56" t="s">
        <v>2511</v>
      </c>
      <c r="I1313" s="56" t="s">
        <v>4455</v>
      </c>
      <c r="J1313" s="56"/>
      <c r="K1313" s="56"/>
      <c r="L1313" s="56"/>
      <c r="M1313" s="56"/>
      <c r="N1313" s="56" t="s">
        <v>72</v>
      </c>
      <c r="O1313" s="56">
        <v>7</v>
      </c>
      <c r="P1313" s="59" t="s">
        <v>2515</v>
      </c>
      <c r="Q1313" s="56" t="s">
        <v>11</v>
      </c>
      <c r="U1313" s="52">
        <v>2417649</v>
      </c>
      <c r="V1313">
        <v>42.7</v>
      </c>
      <c r="W1313">
        <v>0</v>
      </c>
      <c r="X1313">
        <v>3.5</v>
      </c>
      <c r="Y1313">
        <v>0.20960000000000001</v>
      </c>
      <c r="Z1313" t="s">
        <v>1874</v>
      </c>
      <c r="AA1313" t="s">
        <v>1914</v>
      </c>
      <c r="AB1313" t="s">
        <v>2572</v>
      </c>
      <c r="AC1313" t="s">
        <v>875</v>
      </c>
      <c r="AD1313" t="s">
        <v>2171</v>
      </c>
      <c r="AE1313" t="s">
        <v>5025</v>
      </c>
      <c r="AF1313">
        <v>0.70883425088000018</v>
      </c>
    </row>
    <row r="1314" spans="1:32" x14ac:dyDescent="0.25">
      <c r="A1314" s="56">
        <v>3586648</v>
      </c>
      <c r="B1314" s="56" t="s">
        <v>1603</v>
      </c>
      <c r="C1314" s="56" t="s">
        <v>5035</v>
      </c>
      <c r="D1314" s="56"/>
      <c r="E1314" s="57">
        <v>1069.5930000000001</v>
      </c>
      <c r="F1314" s="57">
        <v>1.069593</v>
      </c>
      <c r="G1314" s="56" t="s">
        <v>392</v>
      </c>
      <c r="H1314" s="56" t="s">
        <v>2511</v>
      </c>
      <c r="I1314" s="56" t="s">
        <v>4455</v>
      </c>
      <c r="J1314" s="56"/>
      <c r="K1314" s="56"/>
      <c r="L1314" s="56"/>
      <c r="M1314" s="56"/>
      <c r="N1314" s="56" t="s">
        <v>72</v>
      </c>
      <c r="O1314" s="56">
        <v>7</v>
      </c>
      <c r="P1314" s="59" t="s">
        <v>2515</v>
      </c>
      <c r="Q1314" s="56" t="s">
        <v>11</v>
      </c>
      <c r="U1314" s="52">
        <v>2417648</v>
      </c>
      <c r="V1314">
        <v>42.7</v>
      </c>
      <c r="W1314">
        <v>0</v>
      </c>
      <c r="X1314">
        <v>3.5</v>
      </c>
      <c r="Y1314">
        <v>0.21</v>
      </c>
      <c r="Z1314" t="s">
        <v>1874</v>
      </c>
      <c r="AA1314" t="s">
        <v>1914</v>
      </c>
      <c r="AB1314" t="s">
        <v>2572</v>
      </c>
      <c r="AC1314" t="s">
        <v>875</v>
      </c>
      <c r="AD1314" t="s">
        <v>2171</v>
      </c>
      <c r="AE1314" t="s">
        <v>877</v>
      </c>
      <c r="AF1314">
        <v>0.71018698800000013</v>
      </c>
    </row>
    <row r="1315" spans="1:32" x14ac:dyDescent="0.25">
      <c r="A1315" s="56">
        <v>3586648</v>
      </c>
      <c r="B1315" s="56" t="s">
        <v>1603</v>
      </c>
      <c r="C1315" s="56" t="s">
        <v>5036</v>
      </c>
      <c r="D1315" s="56"/>
      <c r="E1315" s="57">
        <v>1838.5170000000001</v>
      </c>
      <c r="F1315" s="57">
        <v>1.838517</v>
      </c>
      <c r="G1315" s="56" t="s">
        <v>392</v>
      </c>
      <c r="H1315" s="56" t="s">
        <v>2511</v>
      </c>
      <c r="I1315" s="56" t="s">
        <v>4455</v>
      </c>
      <c r="J1315" s="56"/>
      <c r="K1315" s="56"/>
      <c r="L1315" s="56"/>
      <c r="M1315" s="56"/>
      <c r="N1315" s="56" t="s">
        <v>72</v>
      </c>
      <c r="O1315" s="56">
        <v>7</v>
      </c>
      <c r="P1315" s="59" t="s">
        <v>2515</v>
      </c>
      <c r="Q1315" s="56" t="s">
        <v>11</v>
      </c>
      <c r="U1315" s="52">
        <v>1310731</v>
      </c>
      <c r="V1315">
        <v>42.7</v>
      </c>
      <c r="W1315">
        <v>0</v>
      </c>
      <c r="X1315">
        <v>3.5</v>
      </c>
      <c r="Y1315">
        <v>0.21</v>
      </c>
      <c r="Z1315" t="s">
        <v>1914</v>
      </c>
      <c r="AA1315" t="s">
        <v>1003</v>
      </c>
      <c r="AB1315" t="s">
        <v>3979</v>
      </c>
      <c r="AC1315" t="s">
        <v>875</v>
      </c>
      <c r="AD1315" t="s">
        <v>2171</v>
      </c>
      <c r="AE1315" t="s">
        <v>877</v>
      </c>
      <c r="AF1315">
        <v>0.71018698800000013</v>
      </c>
    </row>
    <row r="1316" spans="1:32" x14ac:dyDescent="0.25">
      <c r="A1316" s="56">
        <v>3617058</v>
      </c>
      <c r="B1316" s="56" t="s">
        <v>817</v>
      </c>
      <c r="C1316" s="56" t="s">
        <v>4609</v>
      </c>
      <c r="D1316" s="56"/>
      <c r="E1316" s="57">
        <v>324.41300000000001</v>
      </c>
      <c r="F1316" s="57">
        <v>0.32441300000000001</v>
      </c>
      <c r="G1316" s="56" t="s">
        <v>392</v>
      </c>
      <c r="H1316" s="56" t="s">
        <v>4454</v>
      </c>
      <c r="I1316" s="56" t="s">
        <v>1834</v>
      </c>
      <c r="J1316" s="56"/>
      <c r="K1316" s="56"/>
      <c r="L1316" s="56"/>
      <c r="M1316" s="56"/>
      <c r="N1316" s="56" t="s">
        <v>101</v>
      </c>
      <c r="O1316" s="56">
        <v>2</v>
      </c>
      <c r="P1316" s="59" t="s">
        <v>2515</v>
      </c>
      <c r="Q1316" s="56" t="s">
        <v>192</v>
      </c>
      <c r="U1316">
        <v>3690546</v>
      </c>
      <c r="V1316">
        <v>42.7</v>
      </c>
      <c r="W1316">
        <v>0</v>
      </c>
      <c r="X1316">
        <v>3.5</v>
      </c>
      <c r="Y1316">
        <v>0.21</v>
      </c>
      <c r="Z1316" t="s">
        <v>1891</v>
      </c>
      <c r="AA1316" t="s">
        <v>1003</v>
      </c>
      <c r="AB1316" t="s">
        <v>3979</v>
      </c>
      <c r="AC1316" t="s">
        <v>875</v>
      </c>
      <c r="AD1316" t="s">
        <v>2171</v>
      </c>
      <c r="AE1316" t="s">
        <v>877</v>
      </c>
      <c r="AF1316">
        <v>0.71018698800000013</v>
      </c>
    </row>
    <row r="1317" spans="1:32" x14ac:dyDescent="0.25">
      <c r="A1317" s="56">
        <v>3682063</v>
      </c>
      <c r="B1317" s="56" t="s">
        <v>2381</v>
      </c>
      <c r="C1317" s="56" t="s">
        <v>5038</v>
      </c>
      <c r="D1317" s="56"/>
      <c r="E1317" s="57">
        <v>2188.4450000000002</v>
      </c>
      <c r="F1317" s="57">
        <v>2.1884450000000002</v>
      </c>
      <c r="G1317" s="56" t="s">
        <v>392</v>
      </c>
      <c r="H1317" s="56" t="s">
        <v>4454</v>
      </c>
      <c r="I1317" s="56" t="s">
        <v>4455</v>
      </c>
      <c r="J1317" s="56"/>
      <c r="K1317" s="56"/>
      <c r="L1317" s="56"/>
      <c r="M1317" s="56"/>
      <c r="N1317" s="56" t="s">
        <v>151</v>
      </c>
      <c r="O1317" s="56">
        <v>44</v>
      </c>
      <c r="P1317" s="59" t="s">
        <v>2532</v>
      </c>
      <c r="Q1317" s="56" t="s">
        <v>11</v>
      </c>
      <c r="U1317" s="52">
        <v>3433148</v>
      </c>
      <c r="V1317">
        <v>42.7</v>
      </c>
      <c r="W1317">
        <v>0</v>
      </c>
      <c r="X1317">
        <v>3.5</v>
      </c>
      <c r="Y1317">
        <v>0.247</v>
      </c>
      <c r="Z1317" t="s">
        <v>1914</v>
      </c>
      <c r="AA1317" t="s">
        <v>1003</v>
      </c>
      <c r="AB1317" t="s">
        <v>5019</v>
      </c>
      <c r="AC1317" t="s">
        <v>875</v>
      </c>
      <c r="AD1317" t="s">
        <v>2171</v>
      </c>
      <c r="AE1317" t="s">
        <v>5031</v>
      </c>
      <c r="AF1317">
        <v>0.83531517160000013</v>
      </c>
    </row>
    <row r="1318" spans="1:32" x14ac:dyDescent="0.25">
      <c r="A1318" s="56">
        <v>3682063</v>
      </c>
      <c r="B1318" s="56" t="s">
        <v>2381</v>
      </c>
      <c r="C1318" s="56" t="s">
        <v>5039</v>
      </c>
      <c r="D1318" s="56"/>
      <c r="E1318" s="57">
        <v>650.44500000000005</v>
      </c>
      <c r="F1318" s="57">
        <v>0.65044500000000005</v>
      </c>
      <c r="G1318" s="56" t="s">
        <v>392</v>
      </c>
      <c r="H1318" s="56" t="s">
        <v>4454</v>
      </c>
      <c r="I1318" s="56" t="s">
        <v>4455</v>
      </c>
      <c r="J1318" s="56"/>
      <c r="K1318" s="56"/>
      <c r="L1318" s="56"/>
      <c r="M1318" s="56"/>
      <c r="N1318" s="56" t="s">
        <v>151</v>
      </c>
      <c r="O1318" s="56">
        <v>30</v>
      </c>
      <c r="P1318" s="59" t="s">
        <v>2515</v>
      </c>
      <c r="Q1318" s="56" t="s">
        <v>11</v>
      </c>
      <c r="U1318">
        <v>3781687</v>
      </c>
      <c r="V1318">
        <v>42.7</v>
      </c>
      <c r="W1318">
        <v>0</v>
      </c>
      <c r="X1318">
        <v>3.5</v>
      </c>
      <c r="Y1318">
        <v>0.247</v>
      </c>
      <c r="Z1318" t="s">
        <v>2821</v>
      </c>
      <c r="AA1318" t="s">
        <v>1003</v>
      </c>
      <c r="AB1318" t="s">
        <v>5019</v>
      </c>
      <c r="AC1318" t="s">
        <v>875</v>
      </c>
      <c r="AD1318" t="s">
        <v>2171</v>
      </c>
      <c r="AE1318" t="s">
        <v>5031</v>
      </c>
      <c r="AF1318">
        <v>0.83531517160000013</v>
      </c>
    </row>
    <row r="1319" spans="1:32" x14ac:dyDescent="0.25">
      <c r="A1319" s="56">
        <v>3682063</v>
      </c>
      <c r="B1319" s="56" t="s">
        <v>2381</v>
      </c>
      <c r="C1319" s="56" t="s">
        <v>5040</v>
      </c>
      <c r="D1319" s="56"/>
      <c r="E1319" s="57">
        <v>713.44500000000005</v>
      </c>
      <c r="F1319" s="57">
        <v>0.713445</v>
      </c>
      <c r="G1319" s="56" t="s">
        <v>392</v>
      </c>
      <c r="H1319" s="56" t="s">
        <v>4454</v>
      </c>
      <c r="I1319" s="56" t="s">
        <v>4455</v>
      </c>
      <c r="J1319" s="56"/>
      <c r="K1319" s="56"/>
      <c r="L1319" s="56"/>
      <c r="M1319" s="56"/>
      <c r="N1319" s="56" t="s">
        <v>151</v>
      </c>
      <c r="O1319" s="56">
        <v>30</v>
      </c>
      <c r="P1319" s="59" t="s">
        <v>2515</v>
      </c>
      <c r="Q1319" s="56" t="s">
        <v>11</v>
      </c>
      <c r="U1319" s="52">
        <v>3502013</v>
      </c>
      <c r="V1319">
        <v>42.7</v>
      </c>
      <c r="W1319">
        <v>0</v>
      </c>
      <c r="X1319">
        <v>3.5</v>
      </c>
      <c r="Y1319">
        <v>5.9</v>
      </c>
      <c r="Z1319" t="s">
        <v>1914</v>
      </c>
      <c r="AA1319" t="s">
        <v>1003</v>
      </c>
      <c r="AB1319" t="s">
        <v>5019</v>
      </c>
      <c r="AC1319" t="s">
        <v>875</v>
      </c>
      <c r="AD1319" t="s">
        <v>1838</v>
      </c>
      <c r="AE1319" t="s">
        <v>2363</v>
      </c>
      <c r="AF1319">
        <v>3.3818428000000007</v>
      </c>
    </row>
    <row r="1320" spans="1:32" x14ac:dyDescent="0.25">
      <c r="A1320" s="56">
        <v>3682118</v>
      </c>
      <c r="B1320" s="56" t="s">
        <v>2387</v>
      </c>
      <c r="C1320" s="56" t="s">
        <v>5041</v>
      </c>
      <c r="D1320" s="56"/>
      <c r="E1320" s="57">
        <v>2610.7199999999998</v>
      </c>
      <c r="F1320" s="57">
        <v>2.6107199999999997</v>
      </c>
      <c r="G1320" s="56" t="s">
        <v>392</v>
      </c>
      <c r="H1320" s="56" t="s">
        <v>4454</v>
      </c>
      <c r="I1320" s="56" t="s">
        <v>4455</v>
      </c>
      <c r="J1320" s="56"/>
      <c r="K1320" s="56"/>
      <c r="L1320" s="56"/>
      <c r="M1320" s="56"/>
      <c r="N1320" s="56" t="s">
        <v>72</v>
      </c>
      <c r="O1320" s="56">
        <v>18</v>
      </c>
      <c r="P1320" s="59" t="s">
        <v>2515</v>
      </c>
      <c r="Q1320" s="56" t="s">
        <v>11</v>
      </c>
      <c r="U1320" s="52">
        <v>3500650</v>
      </c>
      <c r="V1320">
        <v>42.7</v>
      </c>
      <c r="W1320">
        <v>0</v>
      </c>
      <c r="X1320">
        <v>3.5</v>
      </c>
      <c r="Y1320">
        <v>6</v>
      </c>
      <c r="Z1320" t="s">
        <v>1874</v>
      </c>
      <c r="AA1320" t="s">
        <v>1003</v>
      </c>
      <c r="AB1320" t="s">
        <v>5019</v>
      </c>
      <c r="AC1320" t="s">
        <v>875</v>
      </c>
      <c r="AD1320" t="s">
        <v>1838</v>
      </c>
      <c r="AE1320" t="s">
        <v>2363</v>
      </c>
      <c r="AF1320">
        <v>3.3818428000000007</v>
      </c>
    </row>
    <row r="1321" spans="1:32" x14ac:dyDescent="0.25">
      <c r="A1321" s="56">
        <v>3682118</v>
      </c>
      <c r="B1321" s="56" t="s">
        <v>2387</v>
      </c>
      <c r="C1321" s="56" t="s">
        <v>5043</v>
      </c>
      <c r="D1321" s="56"/>
      <c r="E1321" s="57">
        <v>2631.44</v>
      </c>
      <c r="F1321" s="57">
        <v>2.63144</v>
      </c>
      <c r="G1321" s="56" t="s">
        <v>392</v>
      </c>
      <c r="H1321" s="56" t="s">
        <v>4454</v>
      </c>
      <c r="I1321" s="56" t="s">
        <v>4455</v>
      </c>
      <c r="J1321" s="56"/>
      <c r="K1321" s="56"/>
      <c r="L1321" s="56"/>
      <c r="M1321" s="56"/>
      <c r="N1321" s="56" t="s">
        <v>72</v>
      </c>
      <c r="O1321" s="56">
        <v>18</v>
      </c>
      <c r="P1321" s="59" t="s">
        <v>2515</v>
      </c>
      <c r="Q1321" s="56" t="s">
        <v>11</v>
      </c>
      <c r="U1321" s="52">
        <v>2396465</v>
      </c>
      <c r="V1321">
        <v>42.7</v>
      </c>
      <c r="W1321">
        <v>0</v>
      </c>
      <c r="X1321">
        <v>3.5</v>
      </c>
      <c r="Y1321">
        <v>6</v>
      </c>
      <c r="Z1321" t="s">
        <v>1874</v>
      </c>
      <c r="AA1321" t="s">
        <v>1003</v>
      </c>
      <c r="AB1321" t="s">
        <v>2572</v>
      </c>
      <c r="AC1321" t="s">
        <v>875</v>
      </c>
      <c r="AD1321" t="s">
        <v>1838</v>
      </c>
      <c r="AE1321" t="s">
        <v>2363</v>
      </c>
      <c r="AF1321">
        <v>3.3818428000000007</v>
      </c>
    </row>
    <row r="1322" spans="1:32" x14ac:dyDescent="0.25">
      <c r="A1322" s="56">
        <v>3682118</v>
      </c>
      <c r="B1322" s="56" t="s">
        <v>2387</v>
      </c>
      <c r="C1322" s="56" t="s">
        <v>5045</v>
      </c>
      <c r="D1322" s="56"/>
      <c r="E1322" s="57">
        <v>2631.44</v>
      </c>
      <c r="F1322" s="57">
        <v>2.63144</v>
      </c>
      <c r="G1322" s="56" t="s">
        <v>392</v>
      </c>
      <c r="H1322" s="56" t="s">
        <v>4454</v>
      </c>
      <c r="I1322" s="56" t="s">
        <v>4455</v>
      </c>
      <c r="J1322" s="56"/>
      <c r="K1322" s="56"/>
      <c r="L1322" s="56"/>
      <c r="M1322" s="56"/>
      <c r="N1322" s="56" t="s">
        <v>72</v>
      </c>
      <c r="O1322" s="56">
        <v>13</v>
      </c>
      <c r="P1322" s="59" t="s">
        <v>2515</v>
      </c>
      <c r="Q1322" s="56" t="s">
        <v>11</v>
      </c>
      <c r="U1322" s="52">
        <v>3549718</v>
      </c>
      <c r="V1322">
        <v>42.7</v>
      </c>
      <c r="W1322">
        <v>0</v>
      </c>
      <c r="X1322">
        <v>3.5</v>
      </c>
      <c r="Y1322">
        <v>6</v>
      </c>
      <c r="Z1322" t="s">
        <v>1914</v>
      </c>
      <c r="AA1322" t="s">
        <v>1003</v>
      </c>
      <c r="AB1322" t="s">
        <v>2520</v>
      </c>
      <c r="AC1322" t="s">
        <v>875</v>
      </c>
      <c r="AD1322" t="s">
        <v>1838</v>
      </c>
      <c r="AE1322" t="s">
        <v>2363</v>
      </c>
      <c r="AF1322">
        <v>3.3818428000000007</v>
      </c>
    </row>
    <row r="1323" spans="1:32" x14ac:dyDescent="0.25">
      <c r="A1323" s="56">
        <v>3682118</v>
      </c>
      <c r="B1323" s="56" t="s">
        <v>2387</v>
      </c>
      <c r="C1323" s="56" t="s">
        <v>5046</v>
      </c>
      <c r="D1323" s="56"/>
      <c r="E1323" s="57">
        <v>2631.44</v>
      </c>
      <c r="F1323" s="57">
        <v>2.63144</v>
      </c>
      <c r="G1323" s="56" t="s">
        <v>392</v>
      </c>
      <c r="H1323" s="56" t="s">
        <v>4454</v>
      </c>
      <c r="I1323" s="56" t="s">
        <v>4455</v>
      </c>
      <c r="J1323" s="56"/>
      <c r="K1323" s="56"/>
      <c r="L1323" s="56"/>
      <c r="M1323" s="56"/>
      <c r="N1323" s="56" t="s">
        <v>72</v>
      </c>
      <c r="O1323" s="56">
        <v>18</v>
      </c>
      <c r="P1323" s="59" t="s">
        <v>2515</v>
      </c>
      <c r="Q1323" s="56" t="s">
        <v>11</v>
      </c>
      <c r="U1323" s="52">
        <v>1511515</v>
      </c>
      <c r="V1323">
        <v>42.7</v>
      </c>
      <c r="W1323">
        <v>0</v>
      </c>
      <c r="X1323">
        <v>4</v>
      </c>
      <c r="Y1323">
        <v>0.20799999999999999</v>
      </c>
      <c r="Z1323" t="s">
        <v>1914</v>
      </c>
      <c r="AA1323" t="s">
        <v>1003</v>
      </c>
      <c r="AB1323" t="s">
        <v>5019</v>
      </c>
      <c r="AC1323" t="s">
        <v>891</v>
      </c>
      <c r="AD1323" t="s">
        <v>2171</v>
      </c>
      <c r="AE1323" t="s">
        <v>5037</v>
      </c>
      <c r="AF1323">
        <v>0.79365836160000003</v>
      </c>
    </row>
    <row r="1324" spans="1:32" x14ac:dyDescent="0.25">
      <c r="A1324" s="56">
        <v>3682118</v>
      </c>
      <c r="B1324" s="56" t="s">
        <v>2387</v>
      </c>
      <c r="C1324" s="56" t="s">
        <v>5047</v>
      </c>
      <c r="D1324" s="56"/>
      <c r="E1324" s="57">
        <v>1926.96</v>
      </c>
      <c r="F1324" s="57">
        <v>1.92696</v>
      </c>
      <c r="G1324" s="56" t="s">
        <v>392</v>
      </c>
      <c r="H1324" s="56" t="s">
        <v>4454</v>
      </c>
      <c r="I1324" s="56" t="s">
        <v>4455</v>
      </c>
      <c r="J1324" s="56"/>
      <c r="K1324" s="56"/>
      <c r="L1324" s="56"/>
      <c r="M1324" s="56"/>
      <c r="N1324" s="56" t="s">
        <v>72</v>
      </c>
      <c r="O1324" s="56">
        <v>18</v>
      </c>
      <c r="P1324" s="59" t="s">
        <v>2515</v>
      </c>
      <c r="Q1324" s="56" t="s">
        <v>11</v>
      </c>
      <c r="U1324" s="52">
        <v>2422135</v>
      </c>
      <c r="V1324">
        <v>42.7</v>
      </c>
      <c r="W1324">
        <v>0</v>
      </c>
      <c r="X1324">
        <v>4</v>
      </c>
      <c r="Y1324">
        <v>0.20799999999999999</v>
      </c>
      <c r="Z1324" t="s">
        <v>1874</v>
      </c>
      <c r="AA1324" t="s">
        <v>1003</v>
      </c>
      <c r="AB1324" t="s">
        <v>2572</v>
      </c>
      <c r="AC1324" t="s">
        <v>891</v>
      </c>
      <c r="AD1324" t="s">
        <v>2171</v>
      </c>
      <c r="AE1324" t="s">
        <v>5037</v>
      </c>
      <c r="AF1324">
        <v>0.79365836160000003</v>
      </c>
    </row>
    <row r="1325" spans="1:32" x14ac:dyDescent="0.25">
      <c r="A1325" s="56">
        <v>3682118</v>
      </c>
      <c r="B1325" s="56" t="s">
        <v>2387</v>
      </c>
      <c r="C1325" s="56" t="s">
        <v>5048</v>
      </c>
      <c r="D1325" s="56"/>
      <c r="E1325" s="57">
        <v>2631.44</v>
      </c>
      <c r="F1325" s="57">
        <v>2.63144</v>
      </c>
      <c r="G1325" s="56" t="s">
        <v>392</v>
      </c>
      <c r="H1325" s="56" t="s">
        <v>4454</v>
      </c>
      <c r="I1325" s="56" t="s">
        <v>4455</v>
      </c>
      <c r="J1325" s="56"/>
      <c r="K1325" s="56"/>
      <c r="L1325" s="56"/>
      <c r="M1325" s="56"/>
      <c r="N1325" s="56" t="s">
        <v>72</v>
      </c>
      <c r="O1325" s="56">
        <v>18</v>
      </c>
      <c r="P1325" s="59" t="s">
        <v>2515</v>
      </c>
      <c r="Q1325" s="56" t="s">
        <v>11</v>
      </c>
      <c r="U1325" s="52">
        <v>3784469</v>
      </c>
      <c r="V1325">
        <v>42.7</v>
      </c>
      <c r="W1325">
        <v>0</v>
      </c>
      <c r="X1325">
        <v>4</v>
      </c>
      <c r="Y1325">
        <v>0.20799999999999999</v>
      </c>
      <c r="Z1325" t="s">
        <v>1952</v>
      </c>
      <c r="AA1325" t="s">
        <v>1003</v>
      </c>
      <c r="AB1325" t="s">
        <v>5019</v>
      </c>
      <c r="AC1325" t="s">
        <v>891</v>
      </c>
      <c r="AD1325" t="s">
        <v>2171</v>
      </c>
      <c r="AE1325" t="s">
        <v>5037</v>
      </c>
      <c r="AF1325">
        <v>0.79365836160000003</v>
      </c>
    </row>
    <row r="1326" spans="1:32" x14ac:dyDescent="0.25">
      <c r="A1326" s="56">
        <v>3682118</v>
      </c>
      <c r="B1326" s="56" t="s">
        <v>2387</v>
      </c>
      <c r="C1326" s="56" t="s">
        <v>5049</v>
      </c>
      <c r="D1326" s="56"/>
      <c r="E1326" s="57">
        <v>2652.16</v>
      </c>
      <c r="F1326" s="57">
        <v>2.6521599999999999</v>
      </c>
      <c r="G1326" s="56" t="s">
        <v>392</v>
      </c>
      <c r="H1326" s="56" t="s">
        <v>4454</v>
      </c>
      <c r="I1326" s="56" t="s">
        <v>4455</v>
      </c>
      <c r="J1326" s="56"/>
      <c r="K1326" s="56"/>
      <c r="L1326" s="56"/>
      <c r="M1326" s="56"/>
      <c r="N1326" s="56" t="s">
        <v>72</v>
      </c>
      <c r="O1326" s="56">
        <v>18</v>
      </c>
      <c r="P1326" s="59" t="s">
        <v>2515</v>
      </c>
      <c r="Q1326" s="56" t="s">
        <v>11</v>
      </c>
      <c r="U1326" s="52">
        <v>3901714</v>
      </c>
      <c r="V1326">
        <v>42.7</v>
      </c>
      <c r="W1326">
        <v>0</v>
      </c>
      <c r="X1326">
        <v>4</v>
      </c>
      <c r="Y1326">
        <v>0.215</v>
      </c>
      <c r="Z1326" t="s">
        <v>1874</v>
      </c>
      <c r="AA1326" t="s">
        <v>1003</v>
      </c>
      <c r="AB1326" t="s">
        <v>2572</v>
      </c>
      <c r="AC1326" t="s">
        <v>891</v>
      </c>
      <c r="AD1326" t="s">
        <v>2171</v>
      </c>
      <c r="AE1326" t="s">
        <v>903</v>
      </c>
      <c r="AF1326">
        <v>0.82036801800000003</v>
      </c>
    </row>
    <row r="1327" spans="1:32" x14ac:dyDescent="0.25">
      <c r="A1327" s="56">
        <v>3682118</v>
      </c>
      <c r="B1327" s="56" t="s">
        <v>2387</v>
      </c>
      <c r="C1327" s="56" t="s">
        <v>5051</v>
      </c>
      <c r="D1327" s="56"/>
      <c r="E1327" s="57">
        <v>2631.44</v>
      </c>
      <c r="F1327" s="57">
        <v>2.63144</v>
      </c>
      <c r="G1327" s="56" t="s">
        <v>392</v>
      </c>
      <c r="H1327" s="56" t="s">
        <v>4454</v>
      </c>
      <c r="I1327" s="56" t="s">
        <v>4455</v>
      </c>
      <c r="J1327" s="56"/>
      <c r="K1327" s="56"/>
      <c r="L1327" s="56"/>
      <c r="M1327" s="56"/>
      <c r="N1327" s="56" t="s">
        <v>72</v>
      </c>
      <c r="O1327" s="56">
        <v>18</v>
      </c>
      <c r="P1327" s="59" t="s">
        <v>2515</v>
      </c>
      <c r="Q1327" s="56" t="s">
        <v>11</v>
      </c>
      <c r="U1327" s="52">
        <v>3187964</v>
      </c>
      <c r="V1327">
        <v>42.7</v>
      </c>
      <c r="W1327">
        <v>0</v>
      </c>
      <c r="X1327">
        <v>4</v>
      </c>
      <c r="Y1327">
        <v>0.219</v>
      </c>
      <c r="Z1327" t="s">
        <v>1914</v>
      </c>
      <c r="AA1327" t="s">
        <v>1003</v>
      </c>
      <c r="AB1327" t="s">
        <v>5019</v>
      </c>
      <c r="AC1327" t="s">
        <v>891</v>
      </c>
      <c r="AD1327" t="s">
        <v>2171</v>
      </c>
      <c r="AE1327" t="s">
        <v>5042</v>
      </c>
      <c r="AF1327">
        <v>0.83563067880000008</v>
      </c>
    </row>
    <row r="1328" spans="1:32" x14ac:dyDescent="0.25">
      <c r="A1328" s="56">
        <v>3682118</v>
      </c>
      <c r="B1328" s="56" t="s">
        <v>2387</v>
      </c>
      <c r="C1328" s="56" t="s">
        <v>5054</v>
      </c>
      <c r="D1328" s="56"/>
      <c r="E1328" s="57">
        <v>2631.44</v>
      </c>
      <c r="F1328" s="57">
        <v>2.63144</v>
      </c>
      <c r="G1328" s="56" t="s">
        <v>392</v>
      </c>
      <c r="H1328" s="56" t="s">
        <v>4454</v>
      </c>
      <c r="I1328" s="56" t="s">
        <v>4455</v>
      </c>
      <c r="J1328" s="56"/>
      <c r="K1328" s="56"/>
      <c r="L1328" s="56"/>
      <c r="M1328" s="56"/>
      <c r="N1328" s="56" t="s">
        <v>72</v>
      </c>
      <c r="O1328" s="56">
        <v>18</v>
      </c>
      <c r="P1328" s="59" t="s">
        <v>2515</v>
      </c>
      <c r="Q1328" s="56" t="s">
        <v>11</v>
      </c>
      <c r="U1328" s="52">
        <v>1310732</v>
      </c>
      <c r="V1328">
        <v>42.7</v>
      </c>
      <c r="W1328">
        <v>0</v>
      </c>
      <c r="X1328">
        <v>4</v>
      </c>
      <c r="Y1328">
        <v>0.23300000000000001</v>
      </c>
      <c r="Z1328" t="s">
        <v>1914</v>
      </c>
      <c r="AA1328" t="s">
        <v>1003</v>
      </c>
      <c r="AB1328" t="s">
        <v>3979</v>
      </c>
      <c r="AC1328" t="s">
        <v>891</v>
      </c>
      <c r="AD1328" t="s">
        <v>2171</v>
      </c>
      <c r="AE1328" t="s">
        <v>5044</v>
      </c>
      <c r="AF1328">
        <v>0.88904999160000009</v>
      </c>
    </row>
    <row r="1329" spans="1:32" x14ac:dyDescent="0.25">
      <c r="A1329" s="56">
        <v>3682118</v>
      </c>
      <c r="B1329" s="56" t="s">
        <v>2387</v>
      </c>
      <c r="C1329" s="56" t="s">
        <v>5055</v>
      </c>
      <c r="D1329" s="56"/>
      <c r="E1329" s="57">
        <v>2631.44</v>
      </c>
      <c r="F1329" s="57">
        <v>2.63144</v>
      </c>
      <c r="G1329" s="56" t="s">
        <v>392</v>
      </c>
      <c r="H1329" s="56" t="s">
        <v>4454</v>
      </c>
      <c r="I1329" s="56" t="s">
        <v>4455</v>
      </c>
      <c r="J1329" s="56"/>
      <c r="K1329" s="56"/>
      <c r="L1329" s="56"/>
      <c r="M1329" s="56"/>
      <c r="N1329" s="56" t="s">
        <v>72</v>
      </c>
      <c r="O1329" s="56">
        <v>18</v>
      </c>
      <c r="P1329" s="59" t="s">
        <v>2515</v>
      </c>
      <c r="Q1329" s="56" t="s">
        <v>11</v>
      </c>
      <c r="U1329" s="52">
        <v>2428441</v>
      </c>
      <c r="V1329">
        <v>42.7</v>
      </c>
      <c r="W1329">
        <v>0</v>
      </c>
      <c r="X1329">
        <v>4</v>
      </c>
      <c r="Y1329">
        <v>0.23499999999999999</v>
      </c>
      <c r="Z1329" t="s">
        <v>1874</v>
      </c>
      <c r="AA1329" t="s">
        <v>1003</v>
      </c>
      <c r="AB1329" t="s">
        <v>2572</v>
      </c>
      <c r="AC1329" t="s">
        <v>891</v>
      </c>
      <c r="AD1329" t="s">
        <v>2171</v>
      </c>
      <c r="AE1329" t="s">
        <v>2348</v>
      </c>
      <c r="AF1329">
        <v>0.89668132199999995</v>
      </c>
    </row>
    <row r="1330" spans="1:32" x14ac:dyDescent="0.25">
      <c r="A1330" s="56">
        <v>3682118</v>
      </c>
      <c r="B1330" s="56" t="s">
        <v>2387</v>
      </c>
      <c r="C1330" s="56" t="s">
        <v>5057</v>
      </c>
      <c r="D1330" s="56"/>
      <c r="E1330" s="57">
        <v>2631.44</v>
      </c>
      <c r="F1330" s="57">
        <v>2.63144</v>
      </c>
      <c r="G1330" s="56" t="s">
        <v>392</v>
      </c>
      <c r="H1330" s="56" t="s">
        <v>4454</v>
      </c>
      <c r="I1330" s="56" t="s">
        <v>4455</v>
      </c>
      <c r="J1330" s="56"/>
      <c r="K1330" s="56"/>
      <c r="L1330" s="56"/>
      <c r="M1330" s="56"/>
      <c r="N1330" s="56" t="s">
        <v>72</v>
      </c>
      <c r="O1330" s="56">
        <v>18</v>
      </c>
      <c r="P1330" s="59" t="s">
        <v>2515</v>
      </c>
      <c r="Q1330" s="56" t="s">
        <v>11</v>
      </c>
      <c r="U1330" s="52">
        <v>1399335</v>
      </c>
      <c r="V1330">
        <v>42.7</v>
      </c>
      <c r="W1330">
        <v>0</v>
      </c>
      <c r="X1330">
        <v>4</v>
      </c>
      <c r="Y1330">
        <v>0.23499999999999999</v>
      </c>
      <c r="Z1330" t="s">
        <v>1914</v>
      </c>
      <c r="AA1330" t="s">
        <v>1003</v>
      </c>
      <c r="AB1330" t="s">
        <v>5019</v>
      </c>
      <c r="AC1330" t="s">
        <v>891</v>
      </c>
      <c r="AD1330" t="s">
        <v>2171</v>
      </c>
      <c r="AE1330" t="s">
        <v>2348</v>
      </c>
      <c r="AF1330">
        <v>0.89668132199999995</v>
      </c>
    </row>
    <row r="1331" spans="1:32" x14ac:dyDescent="0.25">
      <c r="A1331" s="56">
        <v>3682118</v>
      </c>
      <c r="B1331" s="56" t="s">
        <v>2387</v>
      </c>
      <c r="C1331" s="56" t="s">
        <v>5058</v>
      </c>
      <c r="D1331" s="56"/>
      <c r="E1331" s="57">
        <v>2631.44</v>
      </c>
      <c r="F1331" s="57">
        <v>2.63144</v>
      </c>
      <c r="G1331" s="56" t="s">
        <v>392</v>
      </c>
      <c r="H1331" s="56" t="s">
        <v>4454</v>
      </c>
      <c r="I1331" s="56" t="s">
        <v>4455</v>
      </c>
      <c r="J1331" s="56"/>
      <c r="K1331" s="56"/>
      <c r="L1331" s="56"/>
      <c r="M1331" s="56"/>
      <c r="N1331" s="56" t="s">
        <v>72</v>
      </c>
      <c r="O1331" s="56">
        <v>18</v>
      </c>
      <c r="P1331" s="59" t="s">
        <v>2515</v>
      </c>
      <c r="Q1331" s="56" t="s">
        <v>11</v>
      </c>
      <c r="U1331" s="52">
        <v>1938358</v>
      </c>
      <c r="V1331">
        <v>42.7</v>
      </c>
      <c r="W1331">
        <v>0</v>
      </c>
      <c r="X1331">
        <v>4</v>
      </c>
      <c r="Y1331">
        <v>0.254</v>
      </c>
      <c r="Z1331" t="s">
        <v>1874</v>
      </c>
      <c r="AA1331" t="s">
        <v>1003</v>
      </c>
      <c r="AB1331" t="s">
        <v>2572</v>
      </c>
      <c r="AC1331" t="s">
        <v>891</v>
      </c>
      <c r="AD1331" t="s">
        <v>2171</v>
      </c>
      <c r="AE1331" t="s">
        <v>893</v>
      </c>
      <c r="AF1331">
        <v>0.9691789608000001</v>
      </c>
    </row>
    <row r="1332" spans="1:32" x14ac:dyDescent="0.25">
      <c r="A1332" s="56">
        <v>3682118</v>
      </c>
      <c r="B1332" s="56" t="s">
        <v>2387</v>
      </c>
      <c r="C1332" s="56" t="s">
        <v>5059</v>
      </c>
      <c r="D1332" s="56"/>
      <c r="E1332" s="57">
        <v>2569.2800000000002</v>
      </c>
      <c r="F1332" s="57">
        <v>2.56928</v>
      </c>
      <c r="G1332" s="56" t="s">
        <v>392</v>
      </c>
      <c r="H1332" s="56" t="s">
        <v>4454</v>
      </c>
      <c r="I1332" s="56" t="s">
        <v>4455</v>
      </c>
      <c r="J1332" s="56"/>
      <c r="K1332" s="56"/>
      <c r="L1332" s="56"/>
      <c r="M1332" s="56"/>
      <c r="N1332" s="56" t="s">
        <v>72</v>
      </c>
      <c r="O1332" s="56">
        <v>18</v>
      </c>
      <c r="P1332" s="59" t="s">
        <v>2515</v>
      </c>
      <c r="Q1332" s="56" t="s">
        <v>11</v>
      </c>
      <c r="U1332" s="52">
        <v>1311453</v>
      </c>
      <c r="V1332">
        <v>42.7</v>
      </c>
      <c r="W1332">
        <v>0</v>
      </c>
      <c r="X1332">
        <v>4</v>
      </c>
      <c r="Y1332">
        <v>0.254</v>
      </c>
      <c r="Z1332" t="s">
        <v>1914</v>
      </c>
      <c r="AA1332" t="s">
        <v>1003</v>
      </c>
      <c r="AB1332" t="s">
        <v>3979</v>
      </c>
      <c r="AC1332" t="s">
        <v>891</v>
      </c>
      <c r="AD1332" t="s">
        <v>2171</v>
      </c>
      <c r="AE1332" t="s">
        <v>893</v>
      </c>
      <c r="AF1332">
        <v>0.9691789608000001</v>
      </c>
    </row>
    <row r="1333" spans="1:32" x14ac:dyDescent="0.25">
      <c r="A1333" s="56">
        <v>3682118</v>
      </c>
      <c r="B1333" s="56" t="s">
        <v>2387</v>
      </c>
      <c r="C1333" s="56" t="s">
        <v>5060</v>
      </c>
      <c r="D1333" s="56"/>
      <c r="E1333" s="57">
        <v>2631.44</v>
      </c>
      <c r="F1333" s="57">
        <v>2.63144</v>
      </c>
      <c r="G1333" s="56" t="s">
        <v>392</v>
      </c>
      <c r="H1333" s="56" t="s">
        <v>4454</v>
      </c>
      <c r="I1333" s="56" t="s">
        <v>4455</v>
      </c>
      <c r="J1333" s="56"/>
      <c r="K1333" s="56"/>
      <c r="L1333" s="56"/>
      <c r="M1333" s="56"/>
      <c r="N1333" s="56" t="s">
        <v>72</v>
      </c>
      <c r="O1333" s="56">
        <v>18</v>
      </c>
      <c r="P1333" s="59" t="s">
        <v>2515</v>
      </c>
      <c r="Q1333" s="56" t="s">
        <v>11</v>
      </c>
      <c r="U1333" s="52">
        <v>3439767</v>
      </c>
      <c r="V1333">
        <v>42.7</v>
      </c>
      <c r="W1333">
        <v>0</v>
      </c>
      <c r="X1333">
        <v>4</v>
      </c>
      <c r="Y1333">
        <v>0.26600000000000001</v>
      </c>
      <c r="Z1333" t="s">
        <v>1874</v>
      </c>
      <c r="AA1333" t="s">
        <v>1003</v>
      </c>
      <c r="AB1333" t="s">
        <v>2572</v>
      </c>
      <c r="AC1333" t="s">
        <v>891</v>
      </c>
      <c r="AD1333" t="s">
        <v>2171</v>
      </c>
      <c r="AE1333" t="s">
        <v>5050</v>
      </c>
      <c r="AF1333">
        <v>1.0149669432000001</v>
      </c>
    </row>
    <row r="1334" spans="1:32" x14ac:dyDescent="0.25">
      <c r="A1334" s="56">
        <v>3682118</v>
      </c>
      <c r="B1334" s="56" t="s">
        <v>2387</v>
      </c>
      <c r="C1334" s="56" t="s">
        <v>5063</v>
      </c>
      <c r="D1334" s="56"/>
      <c r="E1334" s="57">
        <v>2631.44</v>
      </c>
      <c r="F1334" s="57">
        <v>2.63144</v>
      </c>
      <c r="G1334" s="56" t="s">
        <v>392</v>
      </c>
      <c r="H1334" s="56" t="s">
        <v>4454</v>
      </c>
      <c r="I1334" s="56" t="s">
        <v>4455</v>
      </c>
      <c r="J1334" s="56"/>
      <c r="K1334" s="56"/>
      <c r="L1334" s="56"/>
      <c r="M1334" s="56"/>
      <c r="N1334" s="56" t="s">
        <v>72</v>
      </c>
      <c r="O1334" s="56">
        <v>18</v>
      </c>
      <c r="P1334" s="59" t="s">
        <v>2515</v>
      </c>
      <c r="Q1334" s="56" t="s">
        <v>11</v>
      </c>
      <c r="U1334" s="52">
        <v>3499121</v>
      </c>
      <c r="V1334">
        <v>42.7</v>
      </c>
      <c r="W1334">
        <v>0</v>
      </c>
      <c r="X1334">
        <v>4</v>
      </c>
      <c r="Y1334">
        <v>0.28999999999999998</v>
      </c>
      <c r="Z1334" t="s">
        <v>1914</v>
      </c>
      <c r="AA1334" t="s">
        <v>1003</v>
      </c>
      <c r="AB1334" t="s">
        <v>5019</v>
      </c>
      <c r="AC1334" t="s">
        <v>5052</v>
      </c>
      <c r="AD1334" t="s">
        <v>2171</v>
      </c>
      <c r="AE1334" t="s">
        <v>5053</v>
      </c>
      <c r="AF1334">
        <v>1.106542908</v>
      </c>
    </row>
    <row r="1335" spans="1:32" x14ac:dyDescent="0.25">
      <c r="A1335" s="56">
        <v>3682118</v>
      </c>
      <c r="B1335" s="56" t="s">
        <v>2387</v>
      </c>
      <c r="C1335" s="56" t="s">
        <v>5065</v>
      </c>
      <c r="D1335" s="56"/>
      <c r="E1335" s="57">
        <v>2631.44</v>
      </c>
      <c r="F1335" s="57">
        <v>2.63144</v>
      </c>
      <c r="G1335" s="56" t="s">
        <v>392</v>
      </c>
      <c r="H1335" s="56" t="s">
        <v>4454</v>
      </c>
      <c r="I1335" s="56" t="s">
        <v>4455</v>
      </c>
      <c r="J1335" s="56"/>
      <c r="K1335" s="56"/>
      <c r="L1335" s="56"/>
      <c r="M1335" s="56"/>
      <c r="N1335" s="56" t="s">
        <v>72</v>
      </c>
      <c r="O1335" s="56">
        <v>13</v>
      </c>
      <c r="P1335" s="59" t="s">
        <v>2515</v>
      </c>
      <c r="Q1335" s="56" t="s">
        <v>11</v>
      </c>
      <c r="U1335">
        <v>3781701</v>
      </c>
      <c r="V1335">
        <v>42.7</v>
      </c>
      <c r="W1335">
        <v>0</v>
      </c>
      <c r="X1335">
        <v>4</v>
      </c>
      <c r="Y1335">
        <v>0.28999999999999998</v>
      </c>
      <c r="Z1335" t="s">
        <v>2821</v>
      </c>
      <c r="AA1335" t="s">
        <v>1003</v>
      </c>
      <c r="AB1335" t="s">
        <v>5019</v>
      </c>
      <c r="AC1335" t="s">
        <v>891</v>
      </c>
      <c r="AD1335" t="s">
        <v>2171</v>
      </c>
      <c r="AE1335" t="s">
        <v>908</v>
      </c>
      <c r="AF1335">
        <v>1.106542908</v>
      </c>
    </row>
    <row r="1336" spans="1:32" x14ac:dyDescent="0.25">
      <c r="A1336" s="56">
        <v>3682118</v>
      </c>
      <c r="B1336" s="56" t="s">
        <v>2387</v>
      </c>
      <c r="C1336" s="56" t="s">
        <v>5066</v>
      </c>
      <c r="D1336" s="56"/>
      <c r="E1336" s="57">
        <v>2631.44</v>
      </c>
      <c r="F1336" s="57">
        <v>2.63144</v>
      </c>
      <c r="G1336" s="56" t="s">
        <v>392</v>
      </c>
      <c r="H1336" s="56" t="s">
        <v>4454</v>
      </c>
      <c r="I1336" s="56" t="s">
        <v>4455</v>
      </c>
      <c r="J1336" s="56"/>
      <c r="K1336" s="56"/>
      <c r="L1336" s="56"/>
      <c r="M1336" s="56"/>
      <c r="N1336" s="56" t="s">
        <v>72</v>
      </c>
      <c r="O1336" s="56">
        <v>13</v>
      </c>
      <c r="P1336" s="59" t="s">
        <v>2515</v>
      </c>
      <c r="Q1336" s="56" t="s">
        <v>11</v>
      </c>
      <c r="U1336">
        <v>4071780</v>
      </c>
      <c r="V1336">
        <v>42.7</v>
      </c>
      <c r="W1336">
        <v>0</v>
      </c>
      <c r="X1336">
        <v>4</v>
      </c>
      <c r="Y1336">
        <v>1.1100000000000001</v>
      </c>
      <c r="Z1336" t="s">
        <v>1952</v>
      </c>
      <c r="AA1336" t="s">
        <v>1003</v>
      </c>
      <c r="AB1336" t="s">
        <v>5019</v>
      </c>
      <c r="AC1336" t="s">
        <v>891</v>
      </c>
      <c r="AD1336" t="s">
        <v>2171</v>
      </c>
      <c r="AE1336" t="s">
        <v>5056</v>
      </c>
      <c r="AF1336">
        <v>4.235388372000001</v>
      </c>
    </row>
    <row r="1337" spans="1:32" x14ac:dyDescent="0.25">
      <c r="A1337" s="56">
        <v>3682118</v>
      </c>
      <c r="B1337" s="56" t="s">
        <v>2387</v>
      </c>
      <c r="C1337" s="56" t="s">
        <v>5067</v>
      </c>
      <c r="D1337" s="56"/>
      <c r="E1337" s="57">
        <v>2631.44</v>
      </c>
      <c r="F1337" s="57">
        <v>2.63144</v>
      </c>
      <c r="G1337" s="56" t="s">
        <v>392</v>
      </c>
      <c r="H1337" s="56" t="s">
        <v>4454</v>
      </c>
      <c r="I1337" s="56" t="s">
        <v>4455</v>
      </c>
      <c r="J1337" s="56"/>
      <c r="K1337" s="56"/>
      <c r="L1337" s="56"/>
      <c r="M1337" s="56"/>
      <c r="N1337" s="56" t="s">
        <v>72</v>
      </c>
      <c r="O1337" s="56">
        <v>18</v>
      </c>
      <c r="P1337" s="59" t="s">
        <v>2515</v>
      </c>
      <c r="Q1337" s="56" t="s">
        <v>11</v>
      </c>
      <c r="U1337" s="52">
        <v>3500714</v>
      </c>
      <c r="V1337">
        <v>42.7</v>
      </c>
      <c r="W1337">
        <v>0</v>
      </c>
      <c r="X1337">
        <v>4</v>
      </c>
      <c r="Y1337">
        <v>5.5</v>
      </c>
      <c r="Z1337" t="s">
        <v>1874</v>
      </c>
      <c r="AA1337" t="s">
        <v>1003</v>
      </c>
      <c r="AB1337" t="s">
        <v>5019</v>
      </c>
      <c r="AC1337" t="s">
        <v>891</v>
      </c>
      <c r="AD1337" t="s">
        <v>1838</v>
      </c>
      <c r="AE1337" t="s">
        <v>2364</v>
      </c>
      <c r="AF1337">
        <v>3.8156652000000002</v>
      </c>
    </row>
    <row r="1338" spans="1:32" x14ac:dyDescent="0.25">
      <c r="A1338" s="56">
        <v>3682118</v>
      </c>
      <c r="B1338" s="56" t="s">
        <v>2387</v>
      </c>
      <c r="C1338" s="56" t="s">
        <v>5068</v>
      </c>
      <c r="D1338" s="56"/>
      <c r="E1338" s="57">
        <v>2631.44</v>
      </c>
      <c r="F1338" s="57">
        <v>2.63144</v>
      </c>
      <c r="G1338" s="56" t="s">
        <v>392</v>
      </c>
      <c r="H1338" s="56" t="s">
        <v>4454</v>
      </c>
      <c r="I1338" s="56" t="s">
        <v>4455</v>
      </c>
      <c r="J1338" s="56"/>
      <c r="K1338" s="56"/>
      <c r="L1338" s="56"/>
      <c r="M1338" s="56"/>
      <c r="N1338" s="56" t="s">
        <v>72</v>
      </c>
      <c r="O1338" s="56">
        <v>13</v>
      </c>
      <c r="P1338" s="59" t="s">
        <v>2515</v>
      </c>
      <c r="Q1338" s="56" t="s">
        <v>11</v>
      </c>
      <c r="U1338" s="52">
        <v>2426233</v>
      </c>
      <c r="V1338">
        <v>42.7</v>
      </c>
      <c r="W1338">
        <v>0</v>
      </c>
      <c r="X1338">
        <v>4</v>
      </c>
      <c r="Y1338">
        <v>5.73</v>
      </c>
      <c r="Z1338" t="s">
        <v>1874</v>
      </c>
      <c r="AA1338" t="s">
        <v>1003</v>
      </c>
      <c r="AB1338" t="s">
        <v>2572</v>
      </c>
      <c r="AC1338" t="s">
        <v>891</v>
      </c>
      <c r="AD1338" t="s">
        <v>1838</v>
      </c>
      <c r="AE1338" t="s">
        <v>2364</v>
      </c>
      <c r="AF1338">
        <v>3.8156652000000002</v>
      </c>
    </row>
    <row r="1339" spans="1:32" x14ac:dyDescent="0.25">
      <c r="A1339" s="56">
        <v>3682118</v>
      </c>
      <c r="B1339" s="56" t="s">
        <v>2387</v>
      </c>
      <c r="C1339" s="56" t="s">
        <v>5069</v>
      </c>
      <c r="D1339" s="56"/>
      <c r="E1339" s="57">
        <v>2631.44</v>
      </c>
      <c r="F1339" s="57">
        <v>2.63144</v>
      </c>
      <c r="G1339" s="56" t="s">
        <v>392</v>
      </c>
      <c r="H1339" s="56" t="s">
        <v>4454</v>
      </c>
      <c r="I1339" s="56" t="s">
        <v>4455</v>
      </c>
      <c r="J1339" s="56"/>
      <c r="K1339" s="56"/>
      <c r="L1339" s="56"/>
      <c r="M1339" s="56"/>
      <c r="N1339" s="56" t="s">
        <v>72</v>
      </c>
      <c r="O1339" s="56">
        <v>18</v>
      </c>
      <c r="P1339" s="59" t="s">
        <v>2515</v>
      </c>
      <c r="Q1339" s="56" t="s">
        <v>11</v>
      </c>
      <c r="U1339" s="52">
        <v>3501985</v>
      </c>
      <c r="V1339">
        <v>42.7</v>
      </c>
      <c r="W1339">
        <v>0</v>
      </c>
      <c r="X1339">
        <v>4</v>
      </c>
      <c r="Y1339">
        <v>6</v>
      </c>
      <c r="Z1339" t="s">
        <v>1914</v>
      </c>
      <c r="AA1339" t="s">
        <v>1003</v>
      </c>
      <c r="AB1339" t="s">
        <v>5019</v>
      </c>
      <c r="AC1339" t="s">
        <v>891</v>
      </c>
      <c r="AD1339" t="s">
        <v>1838</v>
      </c>
      <c r="AE1339" t="s">
        <v>2364</v>
      </c>
      <c r="AF1339">
        <v>3.8156652000000002</v>
      </c>
    </row>
    <row r="1340" spans="1:32" x14ac:dyDescent="0.25">
      <c r="A1340" s="56">
        <v>3682118</v>
      </c>
      <c r="B1340" s="56" t="s">
        <v>2387</v>
      </c>
      <c r="C1340" s="56" t="s">
        <v>5070</v>
      </c>
      <c r="D1340" s="56"/>
      <c r="E1340" s="57">
        <v>2631.44</v>
      </c>
      <c r="F1340" s="57">
        <v>2.63144</v>
      </c>
      <c r="G1340" s="56" t="s">
        <v>392</v>
      </c>
      <c r="H1340" s="56" t="s">
        <v>4454</v>
      </c>
      <c r="I1340" s="56" t="s">
        <v>4455</v>
      </c>
      <c r="J1340" s="56"/>
      <c r="K1340" s="56"/>
      <c r="L1340" s="56"/>
      <c r="M1340" s="56"/>
      <c r="N1340" s="56" t="s">
        <v>72</v>
      </c>
      <c r="O1340" s="56">
        <v>18</v>
      </c>
      <c r="P1340" s="59" t="s">
        <v>2515</v>
      </c>
      <c r="Q1340" s="56" t="s">
        <v>11</v>
      </c>
      <c r="U1340" s="52">
        <v>1490699</v>
      </c>
      <c r="V1340">
        <v>45</v>
      </c>
      <c r="W1340">
        <v>0</v>
      </c>
      <c r="X1340">
        <v>1.4</v>
      </c>
      <c r="Y1340">
        <v>1.06</v>
      </c>
      <c r="Z1340" t="s">
        <v>1914</v>
      </c>
      <c r="AA1340" t="s">
        <v>1003</v>
      </c>
      <c r="AB1340" t="s">
        <v>2520</v>
      </c>
      <c r="AC1340" t="s">
        <v>5061</v>
      </c>
      <c r="AD1340" t="s">
        <v>2171</v>
      </c>
      <c r="AE1340" t="s">
        <v>5062</v>
      </c>
      <c r="AF1340">
        <v>1.5948494576000001</v>
      </c>
    </row>
    <row r="1341" spans="1:32" x14ac:dyDescent="0.25">
      <c r="A1341" s="56">
        <v>3682118</v>
      </c>
      <c r="B1341" s="56" t="s">
        <v>2387</v>
      </c>
      <c r="C1341" s="56" t="s">
        <v>5073</v>
      </c>
      <c r="D1341" s="56"/>
      <c r="E1341" s="57">
        <v>2631.44</v>
      </c>
      <c r="F1341" s="57">
        <v>2.63144</v>
      </c>
      <c r="G1341" s="56" t="s">
        <v>392</v>
      </c>
      <c r="H1341" s="56" t="s">
        <v>4454</v>
      </c>
      <c r="I1341" s="56" t="s">
        <v>4455</v>
      </c>
      <c r="J1341" s="56"/>
      <c r="K1341" s="56"/>
      <c r="L1341" s="56"/>
      <c r="M1341" s="56"/>
      <c r="N1341" s="56" t="s">
        <v>72</v>
      </c>
      <c r="O1341" s="56">
        <v>18</v>
      </c>
      <c r="P1341" s="59" t="s">
        <v>2515</v>
      </c>
      <c r="Q1341" s="56" t="s">
        <v>11</v>
      </c>
      <c r="U1341" s="52">
        <v>2420077</v>
      </c>
      <c r="V1341">
        <v>45</v>
      </c>
      <c r="W1341">
        <v>0</v>
      </c>
      <c r="X1341">
        <v>1.4</v>
      </c>
      <c r="Y1341">
        <v>5.375</v>
      </c>
      <c r="Z1341" t="s">
        <v>2088</v>
      </c>
      <c r="AA1341" t="s">
        <v>1003</v>
      </c>
      <c r="AB1341" t="s">
        <v>2520</v>
      </c>
      <c r="AC1341" t="s">
        <v>5061</v>
      </c>
      <c r="AD1341" t="s">
        <v>1838</v>
      </c>
      <c r="AE1341" t="s">
        <v>5064</v>
      </c>
      <c r="AF1341">
        <v>1.50457496</v>
      </c>
    </row>
    <row r="1342" spans="1:32" x14ac:dyDescent="0.25">
      <c r="A1342" s="56">
        <v>3682118</v>
      </c>
      <c r="B1342" s="56" t="s">
        <v>2387</v>
      </c>
      <c r="C1342" s="56" t="s">
        <v>5074</v>
      </c>
      <c r="D1342" s="56"/>
      <c r="E1342" s="57">
        <v>1036</v>
      </c>
      <c r="F1342" s="57">
        <v>1.036</v>
      </c>
      <c r="G1342" s="56" t="s">
        <v>392</v>
      </c>
      <c r="H1342" s="56" t="s">
        <v>4454</v>
      </c>
      <c r="I1342" s="56" t="s">
        <v>4455</v>
      </c>
      <c r="J1342" s="56"/>
      <c r="K1342" s="56"/>
      <c r="L1342" s="56"/>
      <c r="M1342" s="56"/>
      <c r="N1342" s="56" t="s">
        <v>72</v>
      </c>
      <c r="O1342" s="56">
        <v>18</v>
      </c>
      <c r="P1342" s="59" t="s">
        <v>2515</v>
      </c>
      <c r="Q1342" s="56" t="s">
        <v>11</v>
      </c>
      <c r="U1342" s="52">
        <v>3545558</v>
      </c>
      <c r="V1342">
        <v>45</v>
      </c>
      <c r="W1342">
        <v>0</v>
      </c>
      <c r="X1342">
        <v>1.4</v>
      </c>
      <c r="Y1342">
        <v>5.7</v>
      </c>
      <c r="Z1342" t="s">
        <v>1914</v>
      </c>
      <c r="AA1342" t="s">
        <v>1003</v>
      </c>
      <c r="AB1342" t="s">
        <v>2520</v>
      </c>
      <c r="AC1342" t="s">
        <v>2379</v>
      </c>
      <c r="AD1342" t="s">
        <v>1838</v>
      </c>
      <c r="AE1342" t="s">
        <v>2380</v>
      </c>
      <c r="AF1342">
        <v>1.50457496</v>
      </c>
    </row>
    <row r="1343" spans="1:32" x14ac:dyDescent="0.25">
      <c r="A1343" s="56">
        <v>3682118</v>
      </c>
      <c r="B1343" s="56" t="s">
        <v>2387</v>
      </c>
      <c r="C1343" s="56" t="s">
        <v>5076</v>
      </c>
      <c r="D1343" s="56"/>
      <c r="E1343" s="57">
        <v>2610.7199999999998</v>
      </c>
      <c r="F1343" s="57">
        <v>2.6107199999999997</v>
      </c>
      <c r="G1343" s="56" t="s">
        <v>392</v>
      </c>
      <c r="H1343" s="56" t="s">
        <v>4454</v>
      </c>
      <c r="I1343" s="56" t="s">
        <v>4455</v>
      </c>
      <c r="J1343" s="56"/>
      <c r="K1343" s="56"/>
      <c r="L1343" s="56"/>
      <c r="M1343" s="56"/>
      <c r="N1343" s="56" t="s">
        <v>72</v>
      </c>
      <c r="O1343" s="56">
        <v>18</v>
      </c>
      <c r="P1343" s="59" t="s">
        <v>2515</v>
      </c>
      <c r="Q1343" s="56" t="s">
        <v>11</v>
      </c>
      <c r="U1343" s="52">
        <v>3514971</v>
      </c>
      <c r="V1343">
        <v>45</v>
      </c>
      <c r="W1343">
        <v>0</v>
      </c>
      <c r="X1343">
        <v>1.4</v>
      </c>
      <c r="Y1343">
        <v>6.4</v>
      </c>
      <c r="Z1343" t="s">
        <v>1914</v>
      </c>
      <c r="AA1343" t="s">
        <v>1003</v>
      </c>
      <c r="AB1343" t="s">
        <v>2520</v>
      </c>
      <c r="AC1343" t="s">
        <v>5061</v>
      </c>
      <c r="AD1343" t="s">
        <v>1838</v>
      </c>
      <c r="AE1343" t="s">
        <v>5064</v>
      </c>
      <c r="AF1343">
        <v>1.50457496</v>
      </c>
    </row>
    <row r="1344" spans="1:32" x14ac:dyDescent="0.25">
      <c r="A1344" s="56">
        <v>3682122</v>
      </c>
      <c r="B1344" s="56" t="s">
        <v>5077</v>
      </c>
      <c r="C1344" s="56" t="s">
        <v>5078</v>
      </c>
      <c r="D1344" s="56"/>
      <c r="E1344" s="57">
        <v>1159.7639999999999</v>
      </c>
      <c r="F1344" s="57">
        <v>1.1597639999999998</v>
      </c>
      <c r="G1344" s="56" t="s">
        <v>392</v>
      </c>
      <c r="H1344" s="56" t="s">
        <v>4454</v>
      </c>
      <c r="I1344" s="56" t="s">
        <v>4455</v>
      </c>
      <c r="J1344" s="56"/>
      <c r="K1344" s="56"/>
      <c r="L1344" s="56"/>
      <c r="M1344" s="56"/>
      <c r="N1344" s="56" t="s">
        <v>52</v>
      </c>
      <c r="O1344" s="56">
        <v>14</v>
      </c>
      <c r="P1344" s="59" t="s">
        <v>2515</v>
      </c>
      <c r="Q1344" s="56" t="s">
        <v>2516</v>
      </c>
      <c r="U1344" s="52">
        <v>3502343</v>
      </c>
      <c r="V1344">
        <v>45</v>
      </c>
      <c r="W1344">
        <v>0</v>
      </c>
      <c r="X1344">
        <v>1.4</v>
      </c>
      <c r="Y1344">
        <v>6.42</v>
      </c>
      <c r="Z1344" t="s">
        <v>1914</v>
      </c>
      <c r="AA1344" t="s">
        <v>1003</v>
      </c>
      <c r="AB1344" t="s">
        <v>2520</v>
      </c>
      <c r="AC1344" t="s">
        <v>5061</v>
      </c>
      <c r="AD1344" t="s">
        <v>1838</v>
      </c>
      <c r="AE1344" t="s">
        <v>5064</v>
      </c>
      <c r="AF1344">
        <v>1.50457496</v>
      </c>
    </row>
    <row r="1345" spans="1:32" x14ac:dyDescent="0.25">
      <c r="A1345" s="56">
        <v>3682122</v>
      </c>
      <c r="B1345" s="56" t="s">
        <v>5077</v>
      </c>
      <c r="C1345" s="56" t="s">
        <v>5079</v>
      </c>
      <c r="D1345" s="56"/>
      <c r="E1345" s="57">
        <v>1138.7729999999999</v>
      </c>
      <c r="F1345" s="57">
        <v>1.1387729999999998</v>
      </c>
      <c r="G1345" s="56" t="s">
        <v>392</v>
      </c>
      <c r="H1345" s="56" t="s">
        <v>4454</v>
      </c>
      <c r="I1345" s="56" t="s">
        <v>4455</v>
      </c>
      <c r="J1345" s="56"/>
      <c r="K1345" s="56"/>
      <c r="L1345" s="56"/>
      <c r="M1345" s="56"/>
      <c r="N1345" s="56" t="s">
        <v>52</v>
      </c>
      <c r="O1345" s="56">
        <v>14</v>
      </c>
      <c r="P1345" s="59" t="s">
        <v>2515</v>
      </c>
      <c r="Q1345" s="56" t="s">
        <v>2516</v>
      </c>
      <c r="U1345">
        <v>3502189</v>
      </c>
      <c r="V1345">
        <v>45</v>
      </c>
      <c r="W1345">
        <v>0</v>
      </c>
      <c r="X1345">
        <v>1.4</v>
      </c>
      <c r="Y1345">
        <v>6.46</v>
      </c>
      <c r="Z1345" t="s">
        <v>1914</v>
      </c>
      <c r="AA1345" t="s">
        <v>1003</v>
      </c>
      <c r="AB1345" t="s">
        <v>2520</v>
      </c>
      <c r="AC1345" t="s">
        <v>5061</v>
      </c>
      <c r="AD1345" t="s">
        <v>1838</v>
      </c>
      <c r="AE1345" t="s">
        <v>5064</v>
      </c>
      <c r="AF1345">
        <v>1.50457496</v>
      </c>
    </row>
    <row r="1346" spans="1:32" x14ac:dyDescent="0.25">
      <c r="A1346" s="56">
        <v>3682122</v>
      </c>
      <c r="B1346" s="56" t="s">
        <v>5077</v>
      </c>
      <c r="C1346" s="56" t="s">
        <v>5081</v>
      </c>
      <c r="D1346" s="56"/>
      <c r="E1346" s="57">
        <v>368.77300000000002</v>
      </c>
      <c r="F1346" s="57">
        <v>0.36877300000000002</v>
      </c>
      <c r="G1346" s="56" t="s">
        <v>392</v>
      </c>
      <c r="H1346" s="56" t="s">
        <v>4454</v>
      </c>
      <c r="I1346" s="56" t="s">
        <v>4455</v>
      </c>
      <c r="J1346" s="56"/>
      <c r="K1346" s="56"/>
      <c r="L1346" s="56"/>
      <c r="M1346" s="56"/>
      <c r="N1346" s="56" t="s">
        <v>52</v>
      </c>
      <c r="O1346" s="56">
        <v>4</v>
      </c>
      <c r="P1346" s="59" t="s">
        <v>2515</v>
      </c>
      <c r="Q1346" s="56" t="s">
        <v>2516</v>
      </c>
      <c r="U1346" s="52">
        <v>3501095</v>
      </c>
      <c r="V1346">
        <v>45</v>
      </c>
      <c r="W1346">
        <v>0</v>
      </c>
      <c r="X1346">
        <v>1.4</v>
      </c>
      <c r="Y1346">
        <v>6.47</v>
      </c>
      <c r="Z1346" t="s">
        <v>1914</v>
      </c>
      <c r="AA1346" t="s">
        <v>1003</v>
      </c>
      <c r="AB1346" t="s">
        <v>2520</v>
      </c>
      <c r="AC1346" t="s">
        <v>5061</v>
      </c>
      <c r="AD1346" t="s">
        <v>1838</v>
      </c>
      <c r="AE1346" t="s">
        <v>5064</v>
      </c>
      <c r="AF1346">
        <v>1.50457496</v>
      </c>
    </row>
    <row r="1347" spans="1:32" x14ac:dyDescent="0.25">
      <c r="A1347" s="56">
        <v>3682122</v>
      </c>
      <c r="B1347" s="56" t="s">
        <v>5077</v>
      </c>
      <c r="C1347" s="56" t="s">
        <v>5082</v>
      </c>
      <c r="D1347" s="56"/>
      <c r="E1347" s="57">
        <v>401.80200000000002</v>
      </c>
      <c r="F1347" s="57">
        <v>0.40180200000000005</v>
      </c>
      <c r="G1347" s="56" t="s">
        <v>392</v>
      </c>
      <c r="H1347" s="56" t="s">
        <v>4454</v>
      </c>
      <c r="I1347" s="56" t="s">
        <v>4455</v>
      </c>
      <c r="J1347" s="56"/>
      <c r="K1347" s="56"/>
      <c r="L1347" s="56"/>
      <c r="M1347" s="56"/>
      <c r="N1347" s="56" t="s">
        <v>52</v>
      </c>
      <c r="O1347" s="56">
        <v>4</v>
      </c>
      <c r="P1347" s="59" t="s">
        <v>2515</v>
      </c>
      <c r="Q1347" s="56" t="s">
        <v>2516</v>
      </c>
      <c r="U1347" s="52">
        <v>1490698</v>
      </c>
      <c r="V1347">
        <v>45</v>
      </c>
      <c r="W1347">
        <v>0</v>
      </c>
      <c r="X1347">
        <v>1.6</v>
      </c>
      <c r="Y1347">
        <v>1.06</v>
      </c>
      <c r="Z1347" t="s">
        <v>1914</v>
      </c>
      <c r="AA1347" t="s">
        <v>963</v>
      </c>
      <c r="AB1347" t="s">
        <v>2520</v>
      </c>
      <c r="AC1347" t="s">
        <v>5071</v>
      </c>
      <c r="AD1347" t="s">
        <v>2171</v>
      </c>
      <c r="AE1347" t="s">
        <v>5072</v>
      </c>
      <c r="AF1347">
        <v>1.8143241536000001</v>
      </c>
    </row>
    <row r="1348" spans="1:32" x14ac:dyDescent="0.25">
      <c r="A1348" s="56">
        <v>3682122</v>
      </c>
      <c r="B1348" s="56" t="s">
        <v>5077</v>
      </c>
      <c r="C1348" s="56" t="s">
        <v>5083</v>
      </c>
      <c r="D1348" s="56"/>
      <c r="E1348" s="57">
        <v>459.77300000000002</v>
      </c>
      <c r="F1348" s="57">
        <v>0.45977300000000004</v>
      </c>
      <c r="G1348" s="56" t="s">
        <v>392</v>
      </c>
      <c r="H1348" s="56" t="s">
        <v>4454</v>
      </c>
      <c r="I1348" s="56" t="s">
        <v>4455</v>
      </c>
      <c r="J1348" s="56"/>
      <c r="K1348" s="56"/>
      <c r="L1348" s="56"/>
      <c r="M1348" s="56"/>
      <c r="N1348" s="56" t="s">
        <v>52</v>
      </c>
      <c r="O1348" s="56">
        <v>2</v>
      </c>
      <c r="P1348" s="59" t="s">
        <v>2515</v>
      </c>
      <c r="Q1348" s="56" t="s">
        <v>2516</v>
      </c>
      <c r="U1348" s="52">
        <v>2420078</v>
      </c>
      <c r="V1348">
        <v>45</v>
      </c>
      <c r="W1348">
        <v>0</v>
      </c>
      <c r="X1348">
        <v>1.6</v>
      </c>
      <c r="Y1348">
        <v>5.375</v>
      </c>
      <c r="Z1348" t="s">
        <v>2088</v>
      </c>
      <c r="AA1348" t="s">
        <v>1003</v>
      </c>
      <c r="AB1348" t="s">
        <v>2520</v>
      </c>
      <c r="AC1348" t="s">
        <v>5071</v>
      </c>
      <c r="AD1348" t="s">
        <v>1838</v>
      </c>
      <c r="AF1348">
        <v>1.71162656</v>
      </c>
    </row>
    <row r="1349" spans="1:32" x14ac:dyDescent="0.25">
      <c r="A1349" s="56">
        <v>3682122</v>
      </c>
      <c r="B1349" s="56" t="s">
        <v>5077</v>
      </c>
      <c r="C1349" s="56" t="s">
        <v>5084</v>
      </c>
      <c r="D1349" s="56"/>
      <c r="E1349" s="57">
        <v>1133.5250000000001</v>
      </c>
      <c r="F1349" s="57">
        <v>1.1335250000000001</v>
      </c>
      <c r="G1349" s="56" t="s">
        <v>392</v>
      </c>
      <c r="H1349" s="56" t="s">
        <v>4454</v>
      </c>
      <c r="I1349" s="56" t="s">
        <v>4455</v>
      </c>
      <c r="J1349" s="56"/>
      <c r="K1349" s="56"/>
      <c r="L1349" s="56"/>
      <c r="M1349" s="56"/>
      <c r="N1349" s="56" t="s">
        <v>52</v>
      </c>
      <c r="O1349" s="56">
        <v>13</v>
      </c>
      <c r="P1349" s="59" t="s">
        <v>2515</v>
      </c>
      <c r="Q1349" s="56" t="s">
        <v>2516</v>
      </c>
      <c r="U1349" s="590">
        <v>3514380</v>
      </c>
      <c r="V1349">
        <v>45</v>
      </c>
      <c r="W1349">
        <v>0</v>
      </c>
      <c r="X1349">
        <v>1.6</v>
      </c>
      <c r="Y1349">
        <v>6.4</v>
      </c>
      <c r="Z1349" t="s">
        <v>1914</v>
      </c>
      <c r="AA1349" t="s">
        <v>963</v>
      </c>
      <c r="AB1349" t="s">
        <v>2520</v>
      </c>
      <c r="AC1349" t="s">
        <v>5071</v>
      </c>
      <c r="AD1349" t="s">
        <v>1838</v>
      </c>
      <c r="AE1349" t="s">
        <v>5075</v>
      </c>
      <c r="AF1349">
        <v>1.71162656</v>
      </c>
    </row>
    <row r="1350" spans="1:32" x14ac:dyDescent="0.25">
      <c r="A1350" s="56">
        <v>3682122</v>
      </c>
      <c r="B1350" s="56" t="s">
        <v>5077</v>
      </c>
      <c r="C1350" s="56" t="s">
        <v>5085</v>
      </c>
      <c r="D1350" s="56"/>
      <c r="E1350" s="57">
        <v>1133.5250000000001</v>
      </c>
      <c r="F1350" s="57">
        <v>1.1335250000000001</v>
      </c>
      <c r="G1350" s="56" t="s">
        <v>392</v>
      </c>
      <c r="H1350" s="56" t="s">
        <v>4454</v>
      </c>
      <c r="I1350" s="56" t="s">
        <v>4455</v>
      </c>
      <c r="J1350" s="56"/>
      <c r="K1350" s="56"/>
      <c r="L1350" s="56"/>
      <c r="M1350" s="56"/>
      <c r="N1350" s="56" t="s">
        <v>52</v>
      </c>
      <c r="O1350" s="56">
        <v>14</v>
      </c>
      <c r="P1350" s="59" t="s">
        <v>2515</v>
      </c>
      <c r="Q1350" s="56" t="s">
        <v>2516</v>
      </c>
      <c r="U1350" s="52">
        <v>3502388</v>
      </c>
      <c r="V1350">
        <v>45</v>
      </c>
      <c r="W1350">
        <v>0</v>
      </c>
      <c r="X1350">
        <v>1.6</v>
      </c>
      <c r="Y1350">
        <v>6.42</v>
      </c>
      <c r="Z1350" t="s">
        <v>1914</v>
      </c>
      <c r="AA1350" t="s">
        <v>963</v>
      </c>
      <c r="AB1350" t="s">
        <v>2520</v>
      </c>
      <c r="AC1350" t="s">
        <v>5071</v>
      </c>
      <c r="AD1350" t="s">
        <v>1838</v>
      </c>
      <c r="AE1350" t="s">
        <v>5075</v>
      </c>
      <c r="AF1350">
        <v>1.71162656</v>
      </c>
    </row>
    <row r="1351" spans="1:32" x14ac:dyDescent="0.25">
      <c r="A1351" s="56">
        <v>3682122</v>
      </c>
      <c r="B1351" s="56" t="s">
        <v>5077</v>
      </c>
      <c r="C1351" s="56" t="s">
        <v>5087</v>
      </c>
      <c r="D1351" s="56"/>
      <c r="E1351" s="57">
        <v>1138.7729999999999</v>
      </c>
      <c r="F1351" s="57">
        <v>1.1387729999999998</v>
      </c>
      <c r="G1351" s="56" t="s">
        <v>392</v>
      </c>
      <c r="H1351" s="56" t="s">
        <v>4454</v>
      </c>
      <c r="I1351" s="56" t="s">
        <v>4455</v>
      </c>
      <c r="J1351" s="56"/>
      <c r="K1351" s="56"/>
      <c r="L1351" s="56"/>
      <c r="M1351" s="56"/>
      <c r="N1351" s="56" t="s">
        <v>52</v>
      </c>
      <c r="O1351" s="56">
        <v>13</v>
      </c>
      <c r="P1351" s="59" t="s">
        <v>2515</v>
      </c>
      <c r="Q1351" s="56" t="s">
        <v>2516</v>
      </c>
      <c r="U1351" s="52">
        <v>3500635</v>
      </c>
      <c r="V1351">
        <v>47.63</v>
      </c>
      <c r="W1351">
        <v>0</v>
      </c>
      <c r="X1351">
        <v>4</v>
      </c>
      <c r="Y1351">
        <v>6</v>
      </c>
      <c r="Z1351" t="s">
        <v>1874</v>
      </c>
      <c r="AA1351" t="s">
        <v>1003</v>
      </c>
      <c r="AB1351" t="s">
        <v>5019</v>
      </c>
      <c r="AC1351" t="s">
        <v>3361</v>
      </c>
      <c r="AD1351" t="s">
        <v>1838</v>
      </c>
      <c r="AE1351" t="s">
        <v>3362</v>
      </c>
      <c r="AF1351">
        <v>4.3017434800000007</v>
      </c>
    </row>
    <row r="1352" spans="1:32" x14ac:dyDescent="0.25">
      <c r="A1352" s="56">
        <v>3682122</v>
      </c>
      <c r="B1352" s="56" t="s">
        <v>5077</v>
      </c>
      <c r="C1352" s="56" t="s">
        <v>5088</v>
      </c>
      <c r="D1352" s="56"/>
      <c r="E1352" s="57">
        <v>1138.7729999999999</v>
      </c>
      <c r="F1352" s="57">
        <v>1.1387729999999998</v>
      </c>
      <c r="G1352" s="56" t="s">
        <v>392</v>
      </c>
      <c r="H1352" s="56" t="s">
        <v>4454</v>
      </c>
      <c r="I1352" s="56" t="s">
        <v>4455</v>
      </c>
      <c r="J1352" s="56"/>
      <c r="K1352" s="56"/>
      <c r="L1352" s="56"/>
      <c r="M1352" s="56"/>
      <c r="N1352" s="56" t="s">
        <v>52</v>
      </c>
      <c r="O1352" s="56">
        <v>13</v>
      </c>
      <c r="P1352" s="59" t="s">
        <v>2515</v>
      </c>
      <c r="Q1352" s="56" t="s">
        <v>2516</v>
      </c>
      <c r="U1352" s="52">
        <v>2397072</v>
      </c>
      <c r="V1352">
        <v>48</v>
      </c>
      <c r="W1352">
        <v>0</v>
      </c>
      <c r="X1352">
        <v>1.2</v>
      </c>
      <c r="Y1352">
        <v>0.62</v>
      </c>
      <c r="Z1352" t="s">
        <v>1881</v>
      </c>
      <c r="AA1352" t="s">
        <v>1003</v>
      </c>
      <c r="AB1352" t="s">
        <v>2520</v>
      </c>
      <c r="AC1352" t="s">
        <v>2250</v>
      </c>
      <c r="AD1352" t="s">
        <v>2171</v>
      </c>
      <c r="AE1352" t="s">
        <v>5080</v>
      </c>
      <c r="AF1352">
        <v>0.85825846080000001</v>
      </c>
    </row>
    <row r="1353" spans="1:32" x14ac:dyDescent="0.25">
      <c r="A1353" s="56">
        <v>3682122</v>
      </c>
      <c r="B1353" s="56" t="s">
        <v>5077</v>
      </c>
      <c r="C1353" s="56" t="s">
        <v>5090</v>
      </c>
      <c r="D1353" s="56"/>
      <c r="E1353" s="57">
        <v>1154.5170000000001</v>
      </c>
      <c r="F1353" s="57">
        <v>1.154517</v>
      </c>
      <c r="G1353" s="56" t="s">
        <v>392</v>
      </c>
      <c r="H1353" s="56" t="s">
        <v>4454</v>
      </c>
      <c r="I1353" s="56" t="s">
        <v>4455</v>
      </c>
      <c r="J1353" s="56"/>
      <c r="K1353" s="56"/>
      <c r="L1353" s="56"/>
      <c r="M1353" s="56"/>
      <c r="N1353" s="56" t="s">
        <v>52</v>
      </c>
      <c r="O1353" s="56">
        <v>14</v>
      </c>
      <c r="P1353" s="59" t="s">
        <v>2515</v>
      </c>
      <c r="Q1353" s="56" t="s">
        <v>2516</v>
      </c>
      <c r="U1353" s="52">
        <v>3649700</v>
      </c>
      <c r="V1353">
        <v>48</v>
      </c>
      <c r="W1353">
        <v>0</v>
      </c>
      <c r="X1353">
        <v>1.2</v>
      </c>
      <c r="Y1353">
        <v>0.7</v>
      </c>
      <c r="Z1353" t="s">
        <v>1881</v>
      </c>
      <c r="AA1353" t="s">
        <v>1003</v>
      </c>
      <c r="AB1353" t="s">
        <v>2520</v>
      </c>
      <c r="AC1353" t="s">
        <v>2250</v>
      </c>
      <c r="AD1353" t="s">
        <v>2171</v>
      </c>
      <c r="AE1353" t="s">
        <v>2277</v>
      </c>
      <c r="AF1353">
        <v>0.96900148799999997</v>
      </c>
    </row>
    <row r="1354" spans="1:32" x14ac:dyDescent="0.25">
      <c r="A1354" s="56">
        <v>3682122</v>
      </c>
      <c r="B1354" s="56" t="s">
        <v>5077</v>
      </c>
      <c r="C1354" s="56" t="s">
        <v>5091</v>
      </c>
      <c r="D1354" s="56"/>
      <c r="E1354" s="57">
        <v>1138.7729999999999</v>
      </c>
      <c r="F1354" s="57">
        <v>1.1387729999999998</v>
      </c>
      <c r="G1354" s="56" t="s">
        <v>392</v>
      </c>
      <c r="H1354" s="56" t="s">
        <v>4454</v>
      </c>
      <c r="I1354" s="56" t="s">
        <v>4455</v>
      </c>
      <c r="J1354" s="56"/>
      <c r="K1354" s="56"/>
      <c r="L1354" s="56"/>
      <c r="M1354" s="56"/>
      <c r="N1354" s="56" t="s">
        <v>52</v>
      </c>
      <c r="O1354" s="56">
        <v>13</v>
      </c>
      <c r="P1354" s="59" t="s">
        <v>2515</v>
      </c>
      <c r="Q1354" s="56" t="s">
        <v>2516</v>
      </c>
      <c r="U1354" s="52">
        <v>2397327</v>
      </c>
      <c r="V1354">
        <v>48</v>
      </c>
      <c r="W1354">
        <v>0</v>
      </c>
      <c r="X1354">
        <v>1.2</v>
      </c>
      <c r="Y1354">
        <v>5.01</v>
      </c>
      <c r="Z1354" t="s">
        <v>1881</v>
      </c>
      <c r="AA1354" t="s">
        <v>1003</v>
      </c>
      <c r="AB1354" t="s">
        <v>2520</v>
      </c>
      <c r="AC1354" t="s">
        <v>2250</v>
      </c>
      <c r="AD1354" t="s">
        <v>1838</v>
      </c>
      <c r="AE1354" t="s">
        <v>2251</v>
      </c>
      <c r="AF1354">
        <v>1.38428784</v>
      </c>
    </row>
    <row r="1355" spans="1:32" x14ac:dyDescent="0.25">
      <c r="A1355" s="56">
        <v>3682122</v>
      </c>
      <c r="B1355" s="56" t="s">
        <v>5077</v>
      </c>
      <c r="C1355" s="56" t="s">
        <v>5092</v>
      </c>
      <c r="D1355" s="56"/>
      <c r="E1355" s="57">
        <v>1138.7729999999999</v>
      </c>
      <c r="F1355" s="57">
        <v>1.1387729999999998</v>
      </c>
      <c r="G1355" s="56" t="s">
        <v>392</v>
      </c>
      <c r="H1355" s="56" t="s">
        <v>4454</v>
      </c>
      <c r="I1355" s="56" t="s">
        <v>4455</v>
      </c>
      <c r="J1355" s="56"/>
      <c r="K1355" s="56"/>
      <c r="L1355" s="56"/>
      <c r="M1355" s="56"/>
      <c r="N1355" s="56" t="s">
        <v>52</v>
      </c>
      <c r="O1355" s="56">
        <v>14</v>
      </c>
      <c r="P1355" s="59" t="s">
        <v>2515</v>
      </c>
      <c r="Q1355" s="56" t="s">
        <v>2516</v>
      </c>
      <c r="U1355" s="52">
        <v>3460088</v>
      </c>
      <c r="V1355">
        <v>48</v>
      </c>
      <c r="W1355">
        <v>0</v>
      </c>
      <c r="X1355">
        <v>1.2</v>
      </c>
      <c r="Y1355">
        <v>5.67</v>
      </c>
      <c r="Z1355" t="s">
        <v>1881</v>
      </c>
      <c r="AA1355" t="s">
        <v>1003</v>
      </c>
      <c r="AB1355" t="s">
        <v>2520</v>
      </c>
      <c r="AC1355" t="s">
        <v>2250</v>
      </c>
      <c r="AD1355" t="s">
        <v>1838</v>
      </c>
      <c r="AE1355" t="s">
        <v>2251</v>
      </c>
      <c r="AF1355">
        <v>1.38428784</v>
      </c>
    </row>
    <row r="1356" spans="1:32" x14ac:dyDescent="0.25">
      <c r="A1356" s="56">
        <v>3682122</v>
      </c>
      <c r="B1356" s="56" t="s">
        <v>5077</v>
      </c>
      <c r="C1356" s="56" t="s">
        <v>5093</v>
      </c>
      <c r="D1356" s="56"/>
      <c r="E1356" s="57">
        <v>1133.5250000000001</v>
      </c>
      <c r="F1356" s="57">
        <v>1.1335250000000001</v>
      </c>
      <c r="G1356" s="56" t="s">
        <v>392</v>
      </c>
      <c r="H1356" s="56" t="s">
        <v>4454</v>
      </c>
      <c r="I1356" s="56" t="s">
        <v>4455</v>
      </c>
      <c r="J1356" s="56"/>
      <c r="K1356" s="56"/>
      <c r="L1356" s="56"/>
      <c r="M1356" s="56"/>
      <c r="N1356" s="56" t="s">
        <v>52</v>
      </c>
      <c r="O1356" s="56">
        <v>13</v>
      </c>
      <c r="P1356" s="59" t="s">
        <v>2515</v>
      </c>
      <c r="Q1356" s="56" t="s">
        <v>2516</v>
      </c>
      <c r="U1356" s="52">
        <v>2325421</v>
      </c>
      <c r="V1356">
        <v>48.6</v>
      </c>
      <c r="W1356">
        <v>0</v>
      </c>
      <c r="X1356">
        <v>1.2</v>
      </c>
      <c r="Y1356">
        <v>0.33600000000000002</v>
      </c>
      <c r="Z1356" t="s">
        <v>1881</v>
      </c>
      <c r="AA1356" t="s">
        <v>1003</v>
      </c>
      <c r="AB1356" t="s">
        <v>2520</v>
      </c>
      <c r="AC1356" t="s">
        <v>794</v>
      </c>
      <c r="AD1356" t="s">
        <v>2171</v>
      </c>
      <c r="AE1356" t="s">
        <v>796</v>
      </c>
      <c r="AF1356">
        <v>0.47108380031999997</v>
      </c>
    </row>
    <row r="1357" spans="1:32" x14ac:dyDescent="0.25">
      <c r="A1357" s="56">
        <v>3682122</v>
      </c>
      <c r="B1357" s="56" t="s">
        <v>5077</v>
      </c>
      <c r="C1357" s="56" t="s">
        <v>5094</v>
      </c>
      <c r="D1357" s="56"/>
      <c r="E1357" s="57">
        <v>1138.7729999999999</v>
      </c>
      <c r="F1357" s="57">
        <v>1.1387729999999998</v>
      </c>
      <c r="G1357" s="56" t="s">
        <v>392</v>
      </c>
      <c r="H1357" s="56" t="s">
        <v>4454</v>
      </c>
      <c r="I1357" s="56" t="s">
        <v>4455</v>
      </c>
      <c r="J1357" s="56"/>
      <c r="K1357" s="56"/>
      <c r="L1357" s="56"/>
      <c r="M1357" s="56"/>
      <c r="N1357" s="56" t="s">
        <v>52</v>
      </c>
      <c r="O1357" s="56">
        <v>13</v>
      </c>
      <c r="P1357" s="59" t="s">
        <v>2515</v>
      </c>
      <c r="Q1357" s="56" t="s">
        <v>2516</v>
      </c>
      <c r="U1357" s="538">
        <v>111106621</v>
      </c>
      <c r="V1357">
        <v>48.6</v>
      </c>
      <c r="W1357">
        <v>0</v>
      </c>
      <c r="X1357">
        <v>1.2</v>
      </c>
      <c r="Y1357">
        <v>5.82</v>
      </c>
      <c r="Z1357" t="s">
        <v>1881</v>
      </c>
      <c r="AA1357" t="s">
        <v>1003</v>
      </c>
      <c r="AB1357" t="s">
        <v>2520</v>
      </c>
      <c r="AC1357" t="s">
        <v>794</v>
      </c>
      <c r="AD1357" t="s">
        <v>1838</v>
      </c>
      <c r="AE1357" t="s">
        <v>5086</v>
      </c>
      <c r="AF1357">
        <v>1.4020351199999999</v>
      </c>
    </row>
    <row r="1358" spans="1:32" x14ac:dyDescent="0.25">
      <c r="A1358" s="56">
        <v>3682122</v>
      </c>
      <c r="B1358" s="56" t="s">
        <v>5077</v>
      </c>
      <c r="C1358" s="56" t="s">
        <v>5095</v>
      </c>
      <c r="D1358" s="56"/>
      <c r="E1358" s="57">
        <v>407.05</v>
      </c>
      <c r="F1358" s="57">
        <v>0.40705000000000002</v>
      </c>
      <c r="G1358" s="56" t="s">
        <v>392</v>
      </c>
      <c r="H1358" s="56" t="s">
        <v>4454</v>
      </c>
      <c r="I1358" s="56" t="s">
        <v>4455</v>
      </c>
      <c r="J1358" s="56"/>
      <c r="K1358" s="56"/>
      <c r="L1358" s="56"/>
      <c r="M1358" s="56"/>
      <c r="N1358" s="56" t="s">
        <v>52</v>
      </c>
      <c r="O1358" s="56">
        <v>10</v>
      </c>
      <c r="P1358" s="59" t="s">
        <v>2515</v>
      </c>
      <c r="Q1358" s="56" t="s">
        <v>2516</v>
      </c>
      <c r="U1358" s="52">
        <v>3575647</v>
      </c>
      <c r="V1358">
        <v>48.6</v>
      </c>
      <c r="W1358">
        <v>0</v>
      </c>
      <c r="X1358">
        <v>1.2</v>
      </c>
      <c r="Y1358">
        <v>5.82</v>
      </c>
      <c r="Z1358" t="s">
        <v>1881</v>
      </c>
      <c r="AA1358" t="s">
        <v>1003</v>
      </c>
      <c r="AB1358" t="s">
        <v>2520</v>
      </c>
      <c r="AC1358" t="s">
        <v>794</v>
      </c>
      <c r="AD1358" t="s">
        <v>1838</v>
      </c>
      <c r="AE1358" t="s">
        <v>5086</v>
      </c>
      <c r="AF1358" t="e">
        <f>IF([4]!buckets[[#This Row],[LL or CTL]]="LL",(3.14*([4]!buckets[[#This Row],[OD]]-[4]!buckets[[#This Row],[Thickness]])*[4]!buckets[[#This Row],[Thickness]]*1000*7.85)/1000000,(3.14*([4]!buckets[[#This Row],[OD]]-[4]!buckets[[#This Row],[Thickness]])*[4]!buckets[[#This Row],[Thickness]]*[4]!buckets[[#This Row],[Length]]*1000*7.85)/1000000)</f>
        <v>#REF!</v>
      </c>
    </row>
    <row r="1359" spans="1:32" x14ac:dyDescent="0.25">
      <c r="A1359" s="56">
        <v>3682122</v>
      </c>
      <c r="B1359" s="56" t="s">
        <v>5077</v>
      </c>
      <c r="C1359" s="56" t="s">
        <v>5097</v>
      </c>
      <c r="D1359" s="56"/>
      <c r="E1359" s="57">
        <v>586.79200000000003</v>
      </c>
      <c r="F1359" s="57">
        <v>0.58679199999999998</v>
      </c>
      <c r="G1359" s="56" t="s">
        <v>392</v>
      </c>
      <c r="H1359" s="56" t="s">
        <v>4454</v>
      </c>
      <c r="I1359" s="56" t="s">
        <v>4455</v>
      </c>
      <c r="J1359" s="56"/>
      <c r="K1359" s="56"/>
      <c r="L1359" s="56"/>
      <c r="M1359" s="56"/>
      <c r="N1359" s="56" t="s">
        <v>52</v>
      </c>
      <c r="O1359" s="56">
        <v>10</v>
      </c>
      <c r="P1359" s="59" t="s">
        <v>2515</v>
      </c>
      <c r="Q1359" s="56" t="s">
        <v>2516</v>
      </c>
      <c r="U1359" s="52">
        <v>3453634</v>
      </c>
      <c r="V1359">
        <v>48.6</v>
      </c>
      <c r="W1359">
        <v>0</v>
      </c>
      <c r="X1359">
        <v>2</v>
      </c>
      <c r="Y1359">
        <v>0.54500000000000004</v>
      </c>
      <c r="Z1359" t="s">
        <v>1914</v>
      </c>
      <c r="AA1359" t="s">
        <v>1003</v>
      </c>
      <c r="AB1359" t="s">
        <v>2520</v>
      </c>
      <c r="AC1359" t="s">
        <v>2401</v>
      </c>
      <c r="AD1359" t="s">
        <v>2171</v>
      </c>
      <c r="AE1359" t="s">
        <v>5089</v>
      </c>
      <c r="AF1359">
        <v>1.2520213060000003</v>
      </c>
    </row>
    <row r="1360" spans="1:32" x14ac:dyDescent="0.25">
      <c r="A1360" s="56">
        <v>3682123</v>
      </c>
      <c r="B1360" s="56" t="s">
        <v>5098</v>
      </c>
      <c r="C1360" s="56" t="s">
        <v>5099</v>
      </c>
      <c r="D1360" s="56"/>
      <c r="E1360" s="57">
        <v>569.60599999999999</v>
      </c>
      <c r="F1360" s="57">
        <v>0.56960599999999995</v>
      </c>
      <c r="G1360" s="56" t="s">
        <v>392</v>
      </c>
      <c r="H1360" s="56" t="s">
        <v>4454</v>
      </c>
      <c r="I1360" s="56" t="s">
        <v>4455</v>
      </c>
      <c r="J1360" s="56"/>
      <c r="K1360" s="56"/>
      <c r="L1360" s="56"/>
      <c r="M1360" s="56"/>
      <c r="N1360" s="56" t="s">
        <v>72</v>
      </c>
      <c r="O1360" s="56">
        <v>7</v>
      </c>
      <c r="P1360" s="59" t="s">
        <v>2515</v>
      </c>
      <c r="Q1360" s="56" t="s">
        <v>11</v>
      </c>
      <c r="U1360" s="52">
        <v>2404863</v>
      </c>
      <c r="V1360">
        <v>48.6</v>
      </c>
      <c r="W1360">
        <v>0</v>
      </c>
      <c r="X1360">
        <v>2</v>
      </c>
      <c r="Y1360">
        <v>6.01</v>
      </c>
      <c r="Z1360" t="s">
        <v>2088</v>
      </c>
      <c r="AA1360" t="s">
        <v>1003</v>
      </c>
      <c r="AB1360" t="s">
        <v>2520</v>
      </c>
      <c r="AC1360" t="s">
        <v>2401</v>
      </c>
      <c r="AD1360" t="s">
        <v>1838</v>
      </c>
      <c r="AF1360">
        <v>2.2972868000000002</v>
      </c>
    </row>
    <row r="1361" spans="1:32" x14ac:dyDescent="0.25">
      <c r="A1361" s="56">
        <v>3682124</v>
      </c>
      <c r="B1361" s="56" t="s">
        <v>5100</v>
      </c>
      <c r="C1361" s="56" t="s">
        <v>5101</v>
      </c>
      <c r="D1361" s="56"/>
      <c r="E1361" s="57">
        <v>2125.578</v>
      </c>
      <c r="F1361" s="57">
        <v>2.125578</v>
      </c>
      <c r="G1361" s="56" t="s">
        <v>392</v>
      </c>
      <c r="H1361" s="56" t="s">
        <v>2511</v>
      </c>
      <c r="I1361" s="56" t="s">
        <v>4455</v>
      </c>
      <c r="J1361" s="56"/>
      <c r="K1361" s="56"/>
      <c r="L1361" s="56"/>
      <c r="M1361" s="56"/>
      <c r="N1361" s="60" t="s">
        <v>151</v>
      </c>
      <c r="O1361" s="56">
        <v>2</v>
      </c>
      <c r="P1361" s="59" t="s">
        <v>2515</v>
      </c>
      <c r="Q1361" s="56" t="s">
        <v>11</v>
      </c>
      <c r="U1361" s="52">
        <v>3545559</v>
      </c>
      <c r="V1361">
        <v>48.6</v>
      </c>
      <c r="W1361">
        <v>0</v>
      </c>
      <c r="X1361">
        <v>2</v>
      </c>
      <c r="Y1361">
        <v>6.05</v>
      </c>
      <c r="Z1361" t="s">
        <v>1914</v>
      </c>
      <c r="AA1361" t="s">
        <v>1003</v>
      </c>
      <c r="AB1361" t="s">
        <v>2520</v>
      </c>
      <c r="AC1361" t="s">
        <v>2401</v>
      </c>
      <c r="AD1361" t="s">
        <v>1838</v>
      </c>
      <c r="AE1361" t="s">
        <v>2402</v>
      </c>
      <c r="AF1361">
        <v>2.2972868000000002</v>
      </c>
    </row>
    <row r="1362" spans="1:32" x14ac:dyDescent="0.25">
      <c r="A1362" s="56">
        <v>3682124</v>
      </c>
      <c r="B1362" s="56" t="s">
        <v>5100</v>
      </c>
      <c r="C1362" s="56" t="s">
        <v>5102</v>
      </c>
      <c r="D1362" s="56"/>
      <c r="E1362" s="57">
        <v>2125.578</v>
      </c>
      <c r="F1362" s="57">
        <v>2.125578</v>
      </c>
      <c r="G1362" s="56" t="s">
        <v>392</v>
      </c>
      <c r="H1362" s="56" t="s">
        <v>2511</v>
      </c>
      <c r="I1362" s="56" t="s">
        <v>4455</v>
      </c>
      <c r="J1362" s="56"/>
      <c r="K1362" s="56"/>
      <c r="L1362" s="56"/>
      <c r="M1362" s="56"/>
      <c r="N1362" s="60" t="s">
        <v>151</v>
      </c>
      <c r="O1362" s="56">
        <v>2</v>
      </c>
      <c r="P1362" s="59" t="s">
        <v>2515</v>
      </c>
      <c r="Q1362" s="56" t="s">
        <v>11</v>
      </c>
      <c r="U1362" s="52">
        <v>3502301</v>
      </c>
      <c r="V1362">
        <v>48.6</v>
      </c>
      <c r="W1362">
        <v>0</v>
      </c>
      <c r="X1362">
        <v>2</v>
      </c>
      <c r="Y1362">
        <v>6.27</v>
      </c>
      <c r="Z1362" t="s">
        <v>1914</v>
      </c>
      <c r="AA1362" t="s">
        <v>1003</v>
      </c>
      <c r="AB1362" t="s">
        <v>2520</v>
      </c>
      <c r="AC1362" t="s">
        <v>2401</v>
      </c>
      <c r="AD1362" t="s">
        <v>1838</v>
      </c>
      <c r="AE1362" t="s">
        <v>2402</v>
      </c>
      <c r="AF1362">
        <v>2.2972868000000002</v>
      </c>
    </row>
    <row r="1363" spans="1:32" x14ac:dyDescent="0.25">
      <c r="A1363" s="56">
        <v>3682124</v>
      </c>
      <c r="B1363" s="56" t="s">
        <v>5100</v>
      </c>
      <c r="C1363" s="56" t="s">
        <v>5103</v>
      </c>
      <c r="D1363" s="56"/>
      <c r="E1363" s="57">
        <v>2125.578</v>
      </c>
      <c r="F1363" s="57">
        <v>2.125578</v>
      </c>
      <c r="G1363" s="56" t="s">
        <v>392</v>
      </c>
      <c r="H1363" s="56" t="s">
        <v>2511</v>
      </c>
      <c r="I1363" s="56" t="s">
        <v>4455</v>
      </c>
      <c r="J1363" s="56"/>
      <c r="K1363" s="56"/>
      <c r="L1363" s="56"/>
      <c r="M1363" s="56"/>
      <c r="N1363" s="60" t="s">
        <v>151</v>
      </c>
      <c r="O1363" s="56">
        <v>2</v>
      </c>
      <c r="P1363" s="59" t="s">
        <v>2515</v>
      </c>
      <c r="Q1363" s="56" t="s">
        <v>11</v>
      </c>
      <c r="U1363" s="52">
        <v>3597587</v>
      </c>
      <c r="V1363">
        <v>48.6</v>
      </c>
      <c r="W1363">
        <v>0</v>
      </c>
      <c r="X1363">
        <v>2</v>
      </c>
      <c r="Y1363">
        <v>6.55</v>
      </c>
      <c r="Z1363" t="s">
        <v>2088</v>
      </c>
      <c r="AA1363" t="s">
        <v>1003</v>
      </c>
      <c r="AB1363" t="s">
        <v>2520</v>
      </c>
      <c r="AC1363" t="s">
        <v>2401</v>
      </c>
      <c r="AD1363" t="s">
        <v>1838</v>
      </c>
      <c r="AE1363" t="s">
        <v>2402</v>
      </c>
      <c r="AF1363">
        <v>2.2972868000000002</v>
      </c>
    </row>
    <row r="1364" spans="1:32" x14ac:dyDescent="0.25">
      <c r="A1364" s="56">
        <v>3682124</v>
      </c>
      <c r="B1364" s="56" t="s">
        <v>5100</v>
      </c>
      <c r="C1364" s="56" t="s">
        <v>5104</v>
      </c>
      <c r="D1364" s="56"/>
      <c r="E1364" s="57">
        <v>2120.5169999999998</v>
      </c>
      <c r="F1364" s="57">
        <v>2.120517</v>
      </c>
      <c r="G1364" s="56" t="s">
        <v>392</v>
      </c>
      <c r="H1364" s="56" t="s">
        <v>2511</v>
      </c>
      <c r="I1364" s="56" t="s">
        <v>4455</v>
      </c>
      <c r="J1364" s="56"/>
      <c r="K1364" s="56"/>
      <c r="L1364" s="56"/>
      <c r="M1364" s="56"/>
      <c r="N1364" s="60" t="s">
        <v>151</v>
      </c>
      <c r="O1364" s="56">
        <v>2</v>
      </c>
      <c r="P1364" s="59" t="s">
        <v>2515</v>
      </c>
      <c r="Q1364" s="56" t="s">
        <v>11</v>
      </c>
      <c r="U1364" s="52">
        <v>3514379</v>
      </c>
      <c r="V1364">
        <v>48.6</v>
      </c>
      <c r="W1364">
        <v>0</v>
      </c>
      <c r="X1364">
        <v>2</v>
      </c>
      <c r="Y1364">
        <v>6.55</v>
      </c>
      <c r="Z1364" t="s">
        <v>1914</v>
      </c>
      <c r="AA1364" t="s">
        <v>1003</v>
      </c>
      <c r="AB1364" t="s">
        <v>2520</v>
      </c>
      <c r="AC1364" t="s">
        <v>2401</v>
      </c>
      <c r="AD1364" t="s">
        <v>1838</v>
      </c>
      <c r="AE1364" t="s">
        <v>2402</v>
      </c>
      <c r="AF1364">
        <v>2.2972868000000002</v>
      </c>
    </row>
    <row r="1365" spans="1:32" x14ac:dyDescent="0.25">
      <c r="A1365" s="56">
        <v>3682124</v>
      </c>
      <c r="B1365" s="56" t="s">
        <v>5100</v>
      </c>
      <c r="C1365" s="56" t="s">
        <v>5105</v>
      </c>
      <c r="D1365" s="56"/>
      <c r="E1365" s="57">
        <v>2120.5169999999998</v>
      </c>
      <c r="F1365" s="57">
        <v>2.120517</v>
      </c>
      <c r="G1365" s="56" t="s">
        <v>392</v>
      </c>
      <c r="H1365" s="56" t="s">
        <v>2511</v>
      </c>
      <c r="I1365" s="56" t="s">
        <v>4455</v>
      </c>
      <c r="J1365" s="56"/>
      <c r="K1365" s="56"/>
      <c r="L1365" s="56"/>
      <c r="M1365" s="56"/>
      <c r="N1365" s="60" t="s">
        <v>151</v>
      </c>
      <c r="O1365" s="56">
        <v>2</v>
      </c>
      <c r="P1365" s="59" t="s">
        <v>2515</v>
      </c>
      <c r="Q1365" s="56" t="s">
        <v>11</v>
      </c>
      <c r="U1365" s="52">
        <v>1325388</v>
      </c>
      <c r="V1365">
        <v>48.6</v>
      </c>
      <c r="W1365">
        <v>0</v>
      </c>
      <c r="X1365">
        <v>2.2999999999999998</v>
      </c>
      <c r="Y1365">
        <v>0.308</v>
      </c>
      <c r="Z1365" t="s">
        <v>1914</v>
      </c>
      <c r="AA1365" t="s">
        <v>1003</v>
      </c>
      <c r="AB1365" t="s">
        <v>2520</v>
      </c>
      <c r="AC1365" t="s">
        <v>2243</v>
      </c>
      <c r="AD1365" t="s">
        <v>2171</v>
      </c>
      <c r="AE1365" t="s">
        <v>5096</v>
      </c>
      <c r="AF1365">
        <v>0.80846057907999991</v>
      </c>
    </row>
    <row r="1366" spans="1:32" x14ac:dyDescent="0.25">
      <c r="A1366" s="56">
        <v>3682124</v>
      </c>
      <c r="B1366" s="56" t="s">
        <v>5100</v>
      </c>
      <c r="C1366" s="56" t="s">
        <v>5107</v>
      </c>
      <c r="D1366" s="56"/>
      <c r="E1366" s="57">
        <v>2125.578</v>
      </c>
      <c r="F1366" s="57">
        <v>2.125578</v>
      </c>
      <c r="G1366" s="56" t="s">
        <v>392</v>
      </c>
      <c r="H1366" s="56" t="s">
        <v>2511</v>
      </c>
      <c r="I1366" s="56" t="s">
        <v>4455</v>
      </c>
      <c r="J1366" s="56"/>
      <c r="K1366" s="56"/>
      <c r="L1366" s="56"/>
      <c r="M1366" s="56"/>
      <c r="N1366" s="60" t="s">
        <v>151</v>
      </c>
      <c r="O1366" s="56">
        <v>2</v>
      </c>
      <c r="P1366" s="59" t="s">
        <v>2515</v>
      </c>
      <c r="Q1366" s="56" t="s">
        <v>11</v>
      </c>
      <c r="U1366" s="52">
        <v>3508060</v>
      </c>
      <c r="V1366">
        <v>48.6</v>
      </c>
      <c r="W1366">
        <v>0</v>
      </c>
      <c r="X1366">
        <v>2.2999999999999998</v>
      </c>
      <c r="Y1366">
        <v>0.308</v>
      </c>
      <c r="Z1366" t="s">
        <v>1914</v>
      </c>
      <c r="AA1366" t="s">
        <v>1003</v>
      </c>
      <c r="AB1366" t="s">
        <v>2520</v>
      </c>
      <c r="AC1366" t="s">
        <v>2243</v>
      </c>
      <c r="AD1366" t="s">
        <v>2171</v>
      </c>
      <c r="AE1366" t="s">
        <v>5096</v>
      </c>
      <c r="AF1366">
        <v>0.80846057907999991</v>
      </c>
    </row>
    <row r="1367" spans="1:32" x14ac:dyDescent="0.25">
      <c r="A1367" s="56">
        <v>3682124</v>
      </c>
      <c r="B1367" s="56" t="s">
        <v>5100</v>
      </c>
      <c r="C1367" s="56" t="s">
        <v>5108</v>
      </c>
      <c r="D1367" s="56"/>
      <c r="E1367" s="57">
        <v>2125.578</v>
      </c>
      <c r="F1367" s="57">
        <v>2.125578</v>
      </c>
      <c r="G1367" s="56" t="s">
        <v>392</v>
      </c>
      <c r="H1367" s="56" t="s">
        <v>2511</v>
      </c>
      <c r="I1367" s="56" t="s">
        <v>4455</v>
      </c>
      <c r="J1367" s="56"/>
      <c r="K1367" s="56"/>
      <c r="L1367" s="56"/>
      <c r="M1367" s="56"/>
      <c r="N1367" s="60" t="s">
        <v>151</v>
      </c>
      <c r="O1367" s="56">
        <v>2</v>
      </c>
      <c r="P1367" s="59" t="s">
        <v>2515</v>
      </c>
      <c r="Q1367" s="56" t="s">
        <v>11</v>
      </c>
      <c r="U1367" s="52">
        <v>3501092</v>
      </c>
      <c r="V1367">
        <v>48.6</v>
      </c>
      <c r="W1367">
        <v>0</v>
      </c>
      <c r="X1367">
        <v>2.2999999999999998</v>
      </c>
      <c r="Y1367">
        <v>5.9450000000000003</v>
      </c>
      <c r="Z1367" t="s">
        <v>1914</v>
      </c>
      <c r="AA1367" t="s">
        <v>1003</v>
      </c>
      <c r="AB1367" t="s">
        <v>2520</v>
      </c>
      <c r="AC1367" t="s">
        <v>2243</v>
      </c>
      <c r="AD1367" t="s">
        <v>1838</v>
      </c>
      <c r="AE1367" t="s">
        <v>2244</v>
      </c>
      <c r="AF1367">
        <v>2.6248720099999998</v>
      </c>
    </row>
    <row r="1368" spans="1:32" x14ac:dyDescent="0.25">
      <c r="A1368" s="56">
        <v>3682124</v>
      </c>
      <c r="B1368" s="56" t="s">
        <v>5100</v>
      </c>
      <c r="C1368" s="56" t="s">
        <v>5109</v>
      </c>
      <c r="D1368" s="56"/>
      <c r="E1368" s="57">
        <v>2120.5169999999998</v>
      </c>
      <c r="F1368" s="57">
        <v>2.120517</v>
      </c>
      <c r="G1368" s="56" t="s">
        <v>392</v>
      </c>
      <c r="H1368" s="56" t="s">
        <v>2511</v>
      </c>
      <c r="I1368" s="56" t="s">
        <v>4455</v>
      </c>
      <c r="J1368" s="56"/>
      <c r="K1368" s="56"/>
      <c r="L1368" s="56"/>
      <c r="M1368" s="56"/>
      <c r="N1368" s="60" t="s">
        <v>151</v>
      </c>
      <c r="O1368" s="56">
        <v>2</v>
      </c>
      <c r="P1368" s="59" t="s">
        <v>2515</v>
      </c>
      <c r="Q1368" s="56" t="s">
        <v>11</v>
      </c>
      <c r="U1368" s="52">
        <v>3230505</v>
      </c>
      <c r="V1368">
        <v>48.6</v>
      </c>
      <c r="W1368">
        <v>0</v>
      </c>
      <c r="X1368">
        <v>2.2999999999999998</v>
      </c>
      <c r="Y1368">
        <v>5.97</v>
      </c>
      <c r="Z1368" t="s">
        <v>2088</v>
      </c>
      <c r="AA1368" t="s">
        <v>1003</v>
      </c>
      <c r="AB1368" t="s">
        <v>2520</v>
      </c>
      <c r="AC1368" t="s">
        <v>2243</v>
      </c>
      <c r="AD1368" t="s">
        <v>1838</v>
      </c>
      <c r="AE1368" t="s">
        <v>2244</v>
      </c>
      <c r="AF1368">
        <v>2.6248720099999998</v>
      </c>
    </row>
    <row r="1369" spans="1:32" x14ac:dyDescent="0.25">
      <c r="A1369" s="56">
        <v>3682124</v>
      </c>
      <c r="B1369" s="56" t="s">
        <v>5100</v>
      </c>
      <c r="C1369" s="56" t="s">
        <v>5111</v>
      </c>
      <c r="D1369" s="56"/>
      <c r="E1369" s="57">
        <v>2125.578</v>
      </c>
      <c r="F1369" s="57">
        <v>2.125578</v>
      </c>
      <c r="G1369" s="56" t="s">
        <v>392</v>
      </c>
      <c r="H1369" s="56" t="s">
        <v>2511</v>
      </c>
      <c r="I1369" s="56" t="s">
        <v>4455</v>
      </c>
      <c r="J1369" s="56"/>
      <c r="K1369" s="56"/>
      <c r="L1369" s="56"/>
      <c r="M1369" s="56"/>
      <c r="N1369" s="60" t="s">
        <v>151</v>
      </c>
      <c r="O1369" s="56">
        <v>2</v>
      </c>
      <c r="P1369" s="59" t="s">
        <v>2515</v>
      </c>
      <c r="Q1369" s="56" t="s">
        <v>11</v>
      </c>
      <c r="U1369" s="52">
        <v>2404864</v>
      </c>
      <c r="V1369">
        <v>48.6</v>
      </c>
      <c r="W1369">
        <v>0</v>
      </c>
      <c r="X1369">
        <v>2.2999999999999998</v>
      </c>
      <c r="Y1369">
        <v>6.01</v>
      </c>
      <c r="Z1369" t="s">
        <v>2088</v>
      </c>
      <c r="AA1369" t="s">
        <v>1003</v>
      </c>
      <c r="AB1369" t="s">
        <v>2520</v>
      </c>
      <c r="AC1369" t="s">
        <v>2243</v>
      </c>
      <c r="AD1369" t="s">
        <v>1838</v>
      </c>
      <c r="AE1369" t="s">
        <v>2244</v>
      </c>
      <c r="AF1369">
        <v>2.6248720099999998</v>
      </c>
    </row>
    <row r="1370" spans="1:32" x14ac:dyDescent="0.25">
      <c r="A1370" s="56">
        <v>3682124</v>
      </c>
      <c r="B1370" s="56" t="s">
        <v>5100</v>
      </c>
      <c r="C1370" s="56" t="s">
        <v>5113</v>
      </c>
      <c r="D1370" s="56"/>
      <c r="E1370" s="57">
        <v>2105.3339999999998</v>
      </c>
      <c r="F1370" s="57">
        <v>2.105334</v>
      </c>
      <c r="G1370" s="56" t="s">
        <v>392</v>
      </c>
      <c r="H1370" s="56" t="s">
        <v>2511</v>
      </c>
      <c r="I1370" s="56" t="s">
        <v>4455</v>
      </c>
      <c r="J1370" s="56"/>
      <c r="K1370" s="56"/>
      <c r="L1370" s="56"/>
      <c r="M1370" s="56"/>
      <c r="N1370" s="60" t="s">
        <v>151</v>
      </c>
      <c r="O1370" s="56">
        <v>2</v>
      </c>
      <c r="P1370" s="59" t="s">
        <v>2515</v>
      </c>
      <c r="Q1370" s="56" t="s">
        <v>11</v>
      </c>
      <c r="U1370" s="52">
        <v>3549720</v>
      </c>
      <c r="V1370">
        <v>48.6</v>
      </c>
      <c r="W1370">
        <v>0</v>
      </c>
      <c r="X1370">
        <v>2.2999999999999998</v>
      </c>
      <c r="Y1370">
        <v>6.27</v>
      </c>
      <c r="Z1370" t="s">
        <v>1914</v>
      </c>
      <c r="AA1370" t="s">
        <v>1003</v>
      </c>
      <c r="AB1370" t="s">
        <v>2520</v>
      </c>
      <c r="AC1370" t="s">
        <v>2243</v>
      </c>
      <c r="AD1370" t="s">
        <v>1838</v>
      </c>
      <c r="AE1370" t="s">
        <v>2244</v>
      </c>
      <c r="AF1370">
        <v>2.6248720099999998</v>
      </c>
    </row>
    <row r="1371" spans="1:32" x14ac:dyDescent="0.25">
      <c r="A1371" s="56">
        <v>3682124</v>
      </c>
      <c r="B1371" s="56" t="s">
        <v>5100</v>
      </c>
      <c r="C1371" s="56" t="s">
        <v>5114</v>
      </c>
      <c r="D1371" s="56"/>
      <c r="E1371" s="57">
        <v>2120.5169999999998</v>
      </c>
      <c r="F1371" s="57">
        <v>2.120517</v>
      </c>
      <c r="G1371" s="56" t="s">
        <v>392</v>
      </c>
      <c r="H1371" s="56" t="s">
        <v>2511</v>
      </c>
      <c r="I1371" s="56" t="s">
        <v>4455</v>
      </c>
      <c r="J1371" s="56"/>
      <c r="K1371" s="56"/>
      <c r="L1371" s="56"/>
      <c r="M1371" s="56"/>
      <c r="N1371" s="60" t="s">
        <v>151</v>
      </c>
      <c r="O1371" s="56">
        <v>2</v>
      </c>
      <c r="P1371" s="59" t="s">
        <v>2515</v>
      </c>
      <c r="Q1371" s="56" t="s">
        <v>11</v>
      </c>
      <c r="U1371" s="52">
        <v>3238860</v>
      </c>
      <c r="V1371">
        <v>48.6</v>
      </c>
      <c r="W1371">
        <v>0</v>
      </c>
      <c r="X1371">
        <v>3.4</v>
      </c>
      <c r="Y1371">
        <v>0.185</v>
      </c>
      <c r="Z1371" t="s">
        <v>1952</v>
      </c>
      <c r="AA1371" t="s">
        <v>1003</v>
      </c>
      <c r="AB1371" t="s">
        <v>2520</v>
      </c>
      <c r="AC1371" t="s">
        <v>712</v>
      </c>
      <c r="AD1371" t="s">
        <v>2171</v>
      </c>
      <c r="AE1371" t="s">
        <v>2376</v>
      </c>
      <c r="AF1371">
        <v>0.70079078920000004</v>
      </c>
    </row>
    <row r="1372" spans="1:32" x14ac:dyDescent="0.25">
      <c r="A1372" s="56">
        <v>3682124</v>
      </c>
      <c r="B1372" s="56" t="s">
        <v>5100</v>
      </c>
      <c r="C1372" s="56" t="s">
        <v>5115</v>
      </c>
      <c r="D1372" s="56"/>
      <c r="E1372" s="57">
        <v>101.178</v>
      </c>
      <c r="F1372" s="57">
        <v>0.101178</v>
      </c>
      <c r="G1372" s="56" t="s">
        <v>392</v>
      </c>
      <c r="H1372" s="56" t="s">
        <v>2511</v>
      </c>
      <c r="I1372" s="56" t="s">
        <v>4455</v>
      </c>
      <c r="J1372" s="56"/>
      <c r="K1372" s="56"/>
      <c r="L1372" s="56"/>
      <c r="M1372" s="56"/>
      <c r="N1372" s="60" t="s">
        <v>151</v>
      </c>
      <c r="O1372" s="56">
        <v>2</v>
      </c>
      <c r="P1372" s="59" t="s">
        <v>2515</v>
      </c>
      <c r="Q1372" s="56" t="s">
        <v>11</v>
      </c>
      <c r="U1372" s="52">
        <v>3770753</v>
      </c>
      <c r="V1372">
        <v>48.6</v>
      </c>
      <c r="W1372">
        <v>0</v>
      </c>
      <c r="X1372">
        <v>3.4</v>
      </c>
      <c r="Y1372">
        <v>3.0350000000000001</v>
      </c>
      <c r="Z1372" t="s">
        <v>1868</v>
      </c>
      <c r="AA1372" t="s">
        <v>1003</v>
      </c>
      <c r="AB1372" t="s">
        <v>2520</v>
      </c>
      <c r="AC1372" t="s">
        <v>712</v>
      </c>
      <c r="AD1372" t="s">
        <v>2171</v>
      </c>
      <c r="AE1372" t="s">
        <v>5106</v>
      </c>
      <c r="AF1372">
        <v>11.496757001200001</v>
      </c>
    </row>
    <row r="1373" spans="1:32" x14ac:dyDescent="0.25">
      <c r="A1373" s="56">
        <v>3682960</v>
      </c>
      <c r="B1373" s="56" t="s">
        <v>5116</v>
      </c>
      <c r="C1373" s="56" t="s">
        <v>5117</v>
      </c>
      <c r="D1373" s="56"/>
      <c r="E1373" s="57">
        <v>1095.3810000000001</v>
      </c>
      <c r="F1373" s="57">
        <v>1.0953810000000002</v>
      </c>
      <c r="G1373" s="56" t="s">
        <v>392</v>
      </c>
      <c r="H1373" s="56" t="s">
        <v>4454</v>
      </c>
      <c r="I1373" s="56" t="s">
        <v>4455</v>
      </c>
      <c r="J1373" s="56"/>
      <c r="K1373" s="56"/>
      <c r="L1373" s="56"/>
      <c r="M1373" s="56"/>
      <c r="N1373" s="56" t="s">
        <v>72</v>
      </c>
      <c r="O1373" s="56">
        <v>42</v>
      </c>
      <c r="P1373" s="59" t="s">
        <v>2532</v>
      </c>
      <c r="Q1373" s="56" t="s">
        <v>11</v>
      </c>
      <c r="U1373" s="52">
        <v>3742593</v>
      </c>
      <c r="V1373">
        <v>48.6</v>
      </c>
      <c r="W1373">
        <v>0</v>
      </c>
      <c r="X1373">
        <v>3.4</v>
      </c>
      <c r="Y1373">
        <v>4.5</v>
      </c>
      <c r="Z1373" t="s">
        <v>1952</v>
      </c>
      <c r="AA1373" t="s">
        <v>1003</v>
      </c>
      <c r="AB1373" t="s">
        <v>2520</v>
      </c>
      <c r="AC1373" t="s">
        <v>712</v>
      </c>
      <c r="AD1373" t="s">
        <v>1838</v>
      </c>
      <c r="AE1373" t="s">
        <v>2178</v>
      </c>
      <c r="AF1373">
        <v>3.7880583200000002</v>
      </c>
    </row>
    <row r="1374" spans="1:32" x14ac:dyDescent="0.25">
      <c r="A1374" s="56">
        <v>3682960</v>
      </c>
      <c r="B1374" s="56" t="s">
        <v>5116</v>
      </c>
      <c r="C1374" s="56" t="s">
        <v>5118</v>
      </c>
      <c r="D1374" s="56"/>
      <c r="E1374" s="57">
        <v>1773.4739999999999</v>
      </c>
      <c r="F1374" s="57">
        <v>1.773474</v>
      </c>
      <c r="G1374" s="56" t="s">
        <v>392</v>
      </c>
      <c r="H1374" s="56" t="s">
        <v>4454</v>
      </c>
      <c r="I1374" s="56" t="s">
        <v>4455</v>
      </c>
      <c r="J1374" s="56"/>
      <c r="K1374" s="56"/>
      <c r="L1374" s="56"/>
      <c r="M1374" s="56"/>
      <c r="N1374" s="56" t="s">
        <v>72</v>
      </c>
      <c r="O1374" s="56">
        <v>42</v>
      </c>
      <c r="P1374" s="59" t="s">
        <v>2532</v>
      </c>
      <c r="Q1374" s="56" t="s">
        <v>11</v>
      </c>
      <c r="U1374" s="52">
        <v>2356445</v>
      </c>
      <c r="V1374">
        <v>48.6</v>
      </c>
      <c r="W1374">
        <v>0</v>
      </c>
      <c r="X1374">
        <v>3.4</v>
      </c>
      <c r="Y1374">
        <v>6.05</v>
      </c>
      <c r="Z1374" t="s">
        <v>1868</v>
      </c>
      <c r="AA1374" t="s">
        <v>963</v>
      </c>
      <c r="AB1374" t="s">
        <v>2520</v>
      </c>
      <c r="AC1374" t="s">
        <v>712</v>
      </c>
      <c r="AD1374" t="s">
        <v>1838</v>
      </c>
      <c r="AE1374" t="s">
        <v>2178</v>
      </c>
      <c r="AF1374">
        <v>3.7880583200000002</v>
      </c>
    </row>
    <row r="1375" spans="1:32" x14ac:dyDescent="0.25">
      <c r="A1375" s="56">
        <v>3682960</v>
      </c>
      <c r="B1375" s="56" t="s">
        <v>5116</v>
      </c>
      <c r="C1375" s="56" t="s">
        <v>5119</v>
      </c>
      <c r="D1375" s="56"/>
      <c r="E1375" s="57">
        <v>1721.3130000000001</v>
      </c>
      <c r="F1375" s="57">
        <v>1.7213130000000001</v>
      </c>
      <c r="G1375" s="56" t="s">
        <v>392</v>
      </c>
      <c r="H1375" s="56" t="s">
        <v>4454</v>
      </c>
      <c r="I1375" s="56" t="s">
        <v>4455</v>
      </c>
      <c r="J1375" s="56"/>
      <c r="K1375" s="56"/>
      <c r="L1375" s="56"/>
      <c r="M1375" s="56"/>
      <c r="N1375" s="56" t="s">
        <v>72</v>
      </c>
      <c r="O1375" s="56">
        <v>30</v>
      </c>
      <c r="P1375" s="59" t="s">
        <v>2515</v>
      </c>
      <c r="Q1375" s="56" t="s">
        <v>11</v>
      </c>
      <c r="U1375" s="52">
        <v>3239049</v>
      </c>
      <c r="V1375">
        <v>48.6</v>
      </c>
      <c r="W1375">
        <v>0</v>
      </c>
      <c r="X1375">
        <v>3.5</v>
      </c>
      <c r="Y1375">
        <v>0.17199999999999999</v>
      </c>
      <c r="Z1375" t="s">
        <v>1868</v>
      </c>
      <c r="AA1375" t="s">
        <v>1003</v>
      </c>
      <c r="AB1375" t="s">
        <v>2520</v>
      </c>
      <c r="AC1375" t="s">
        <v>712</v>
      </c>
      <c r="AD1375" t="s">
        <v>2171</v>
      </c>
      <c r="AE1375" t="s">
        <v>5110</v>
      </c>
      <c r="AF1375">
        <v>0.66922527979999991</v>
      </c>
    </row>
    <row r="1376" spans="1:32" x14ac:dyDescent="0.25">
      <c r="A1376" s="56">
        <v>3682960</v>
      </c>
      <c r="B1376" s="56" t="s">
        <v>5116</v>
      </c>
      <c r="C1376" s="56" t="s">
        <v>5120</v>
      </c>
      <c r="D1376" s="56"/>
      <c r="E1376" s="57">
        <v>1721.3130000000001</v>
      </c>
      <c r="F1376" s="57">
        <v>1.7213130000000001</v>
      </c>
      <c r="G1376" s="56" t="s">
        <v>392</v>
      </c>
      <c r="H1376" s="56" t="s">
        <v>4454</v>
      </c>
      <c r="I1376" s="56" t="s">
        <v>4455</v>
      </c>
      <c r="J1376" s="56"/>
      <c r="K1376" s="56"/>
      <c r="L1376" s="56"/>
      <c r="M1376" s="56"/>
      <c r="N1376" s="56" t="s">
        <v>72</v>
      </c>
      <c r="O1376" s="56">
        <v>24</v>
      </c>
      <c r="P1376" s="59" t="s">
        <v>2515</v>
      </c>
      <c r="Q1376" s="56" t="s">
        <v>11</v>
      </c>
      <c r="U1376" s="52">
        <v>282519</v>
      </c>
      <c r="V1376">
        <v>48.6</v>
      </c>
      <c r="W1376">
        <v>0</v>
      </c>
      <c r="X1376">
        <v>3.5</v>
      </c>
      <c r="Y1376">
        <v>0.184</v>
      </c>
      <c r="Z1376" t="s">
        <v>2821</v>
      </c>
      <c r="AA1376" t="s">
        <v>1003</v>
      </c>
      <c r="AB1376" t="s">
        <v>2520</v>
      </c>
      <c r="AC1376" t="s">
        <v>712</v>
      </c>
      <c r="AD1376" t="s">
        <v>2171</v>
      </c>
      <c r="AE1376" t="s">
        <v>5112</v>
      </c>
      <c r="AF1376">
        <v>0.71591541559999994</v>
      </c>
    </row>
    <row r="1377" spans="1:32" x14ac:dyDescent="0.25">
      <c r="A1377" s="56">
        <v>3682960</v>
      </c>
      <c r="B1377" s="56" t="s">
        <v>5116</v>
      </c>
      <c r="C1377" s="56" t="s">
        <v>5122</v>
      </c>
      <c r="D1377" s="56"/>
      <c r="E1377" s="57">
        <v>1721.3130000000001</v>
      </c>
      <c r="F1377" s="57">
        <v>1.7213130000000001</v>
      </c>
      <c r="G1377" s="56" t="s">
        <v>392</v>
      </c>
      <c r="H1377" s="56" t="s">
        <v>4454</v>
      </c>
      <c r="I1377" s="56" t="s">
        <v>4455</v>
      </c>
      <c r="J1377" s="56"/>
      <c r="K1377" s="56"/>
      <c r="L1377" s="56"/>
      <c r="M1377" s="56"/>
      <c r="N1377" s="56" t="s">
        <v>72</v>
      </c>
      <c r="O1377" s="56">
        <v>30</v>
      </c>
      <c r="P1377" s="59" t="s">
        <v>2515</v>
      </c>
      <c r="Q1377" s="56" t="s">
        <v>11</v>
      </c>
      <c r="U1377" s="52">
        <v>3531650</v>
      </c>
      <c r="V1377">
        <v>48.6</v>
      </c>
      <c r="W1377">
        <v>0</v>
      </c>
      <c r="X1377">
        <v>3.5</v>
      </c>
      <c r="Y1377">
        <v>0.185</v>
      </c>
      <c r="Z1377" t="s">
        <v>1868</v>
      </c>
      <c r="AA1377" t="s">
        <v>4127</v>
      </c>
      <c r="AB1377" t="s">
        <v>2520</v>
      </c>
      <c r="AC1377" t="s">
        <v>712</v>
      </c>
      <c r="AD1377" t="s">
        <v>2171</v>
      </c>
      <c r="AE1377" t="s">
        <v>2376</v>
      </c>
      <c r="AF1377">
        <v>0.71980626024999994</v>
      </c>
    </row>
    <row r="1378" spans="1:32" x14ac:dyDescent="0.25">
      <c r="A1378" s="56">
        <v>3682960</v>
      </c>
      <c r="B1378" s="56" t="s">
        <v>5116</v>
      </c>
      <c r="C1378" s="56" t="s">
        <v>5124</v>
      </c>
      <c r="D1378" s="56"/>
      <c r="E1378" s="57">
        <v>1721.3130000000001</v>
      </c>
      <c r="F1378" s="57">
        <v>1.7213130000000001</v>
      </c>
      <c r="G1378" s="56" t="s">
        <v>392</v>
      </c>
      <c r="H1378" s="56" t="s">
        <v>4454</v>
      </c>
      <c r="I1378" s="56" t="s">
        <v>4455</v>
      </c>
      <c r="J1378" s="56"/>
      <c r="K1378" s="56"/>
      <c r="L1378" s="56"/>
      <c r="M1378" s="56"/>
      <c r="N1378" s="56" t="s">
        <v>72</v>
      </c>
      <c r="O1378" s="56">
        <v>42</v>
      </c>
      <c r="P1378" s="59" t="s">
        <v>2532</v>
      </c>
      <c r="Q1378" s="56" t="s">
        <v>11</v>
      </c>
      <c r="U1378" s="52">
        <v>1568170</v>
      </c>
      <c r="V1378">
        <v>48.6</v>
      </c>
      <c r="W1378">
        <v>0</v>
      </c>
      <c r="X1378">
        <v>3.5</v>
      </c>
      <c r="Y1378">
        <v>0.19600000000000001</v>
      </c>
      <c r="Z1378" t="s">
        <v>1914</v>
      </c>
      <c r="AA1378" t="s">
        <v>1003</v>
      </c>
      <c r="AB1378" t="s">
        <v>5019</v>
      </c>
      <c r="AC1378" t="s">
        <v>712</v>
      </c>
      <c r="AD1378" t="s">
        <v>2171</v>
      </c>
      <c r="AE1378" t="s">
        <v>714</v>
      </c>
      <c r="AF1378">
        <v>0.76260555140000008</v>
      </c>
    </row>
    <row r="1379" spans="1:32" x14ac:dyDescent="0.25">
      <c r="A1379" s="56">
        <v>3682960</v>
      </c>
      <c r="B1379" s="56" t="s">
        <v>5116</v>
      </c>
      <c r="C1379" s="56" t="s">
        <v>5125</v>
      </c>
      <c r="D1379" s="56"/>
      <c r="E1379" s="57">
        <v>1669.152</v>
      </c>
      <c r="F1379" s="57">
        <v>1.669152</v>
      </c>
      <c r="G1379" s="56" t="s">
        <v>392</v>
      </c>
      <c r="H1379" s="56" t="s">
        <v>4454</v>
      </c>
      <c r="I1379" s="56" t="s">
        <v>4455</v>
      </c>
      <c r="J1379" s="56"/>
      <c r="K1379" s="56"/>
      <c r="L1379" s="56"/>
      <c r="M1379" s="56"/>
      <c r="N1379" s="56" t="s">
        <v>72</v>
      </c>
      <c r="O1379" s="56">
        <v>42</v>
      </c>
      <c r="P1379" s="59" t="s">
        <v>2532</v>
      </c>
      <c r="Q1379" s="56" t="s">
        <v>11</v>
      </c>
      <c r="U1379" s="52">
        <v>281785</v>
      </c>
      <c r="V1379">
        <v>48.6</v>
      </c>
      <c r="W1379">
        <v>0</v>
      </c>
      <c r="X1379">
        <v>3.5</v>
      </c>
      <c r="Y1379">
        <v>0.19600000000000001</v>
      </c>
      <c r="Z1379" t="s">
        <v>2821</v>
      </c>
      <c r="AA1379" t="s">
        <v>1003</v>
      </c>
      <c r="AB1379" t="s">
        <v>2520</v>
      </c>
      <c r="AC1379" t="s">
        <v>712</v>
      </c>
      <c r="AD1379" t="s">
        <v>2171</v>
      </c>
      <c r="AE1379" t="s">
        <v>714</v>
      </c>
      <c r="AF1379">
        <v>0.76260555140000008</v>
      </c>
    </row>
    <row r="1380" spans="1:32" x14ac:dyDescent="0.25">
      <c r="A1380" s="56">
        <v>3682960</v>
      </c>
      <c r="B1380" s="56" t="s">
        <v>5116</v>
      </c>
      <c r="C1380" s="56" t="s">
        <v>5126</v>
      </c>
      <c r="D1380" s="56"/>
      <c r="E1380" s="57">
        <v>1721.3130000000001</v>
      </c>
      <c r="F1380" s="57">
        <v>1.7213130000000001</v>
      </c>
      <c r="G1380" s="56" t="s">
        <v>392</v>
      </c>
      <c r="H1380" s="56" t="s">
        <v>4454</v>
      </c>
      <c r="I1380" s="56" t="s">
        <v>4455</v>
      </c>
      <c r="J1380" s="56"/>
      <c r="K1380" s="56"/>
      <c r="L1380" s="56"/>
      <c r="M1380" s="56"/>
      <c r="N1380" s="56" t="s">
        <v>72</v>
      </c>
      <c r="O1380" s="56">
        <v>42</v>
      </c>
      <c r="P1380" s="59" t="s">
        <v>2532</v>
      </c>
      <c r="Q1380" s="56" t="s">
        <v>11</v>
      </c>
      <c r="U1380">
        <v>3677062</v>
      </c>
      <c r="V1380">
        <v>48.6</v>
      </c>
      <c r="W1380">
        <v>0</v>
      </c>
      <c r="X1380">
        <v>3.5</v>
      </c>
      <c r="Y1380">
        <v>0.19600000000000001</v>
      </c>
      <c r="Z1380" t="s">
        <v>1891</v>
      </c>
      <c r="AA1380" t="s">
        <v>1003</v>
      </c>
      <c r="AB1380" t="s">
        <v>5019</v>
      </c>
      <c r="AC1380" t="s">
        <v>712</v>
      </c>
      <c r="AD1380" t="s">
        <v>2171</v>
      </c>
      <c r="AE1380" t="s">
        <v>714</v>
      </c>
      <c r="AF1380">
        <v>0.76260555140000008</v>
      </c>
    </row>
    <row r="1381" spans="1:32" x14ac:dyDescent="0.25">
      <c r="A1381" s="56">
        <v>3682960</v>
      </c>
      <c r="B1381" s="56" t="s">
        <v>5116</v>
      </c>
      <c r="C1381" s="56" t="s">
        <v>5127</v>
      </c>
      <c r="D1381" s="56"/>
      <c r="E1381" s="57">
        <v>1721.3130000000001</v>
      </c>
      <c r="F1381" s="57">
        <v>1.7213130000000001</v>
      </c>
      <c r="G1381" s="56" t="s">
        <v>392</v>
      </c>
      <c r="H1381" s="56" t="s">
        <v>4454</v>
      </c>
      <c r="I1381" s="56" t="s">
        <v>4455</v>
      </c>
      <c r="J1381" s="56"/>
      <c r="K1381" s="56"/>
      <c r="L1381" s="56"/>
      <c r="M1381" s="56"/>
      <c r="N1381" s="56" t="s">
        <v>72</v>
      </c>
      <c r="O1381" s="56">
        <v>42</v>
      </c>
      <c r="P1381" s="59" t="s">
        <v>2532</v>
      </c>
      <c r="Q1381" s="56" t="s">
        <v>11</v>
      </c>
      <c r="U1381" s="52">
        <v>3781677</v>
      </c>
      <c r="V1381">
        <v>48.6</v>
      </c>
      <c r="W1381">
        <v>0</v>
      </c>
      <c r="X1381">
        <v>3.5</v>
      </c>
      <c r="Y1381">
        <v>0.19600000000000001</v>
      </c>
      <c r="Z1381" t="s">
        <v>2821</v>
      </c>
      <c r="AA1381" t="s">
        <v>1003</v>
      </c>
      <c r="AB1381" t="s">
        <v>5019</v>
      </c>
      <c r="AC1381" t="s">
        <v>712</v>
      </c>
      <c r="AD1381" t="s">
        <v>2171</v>
      </c>
      <c r="AE1381" t="s">
        <v>714</v>
      </c>
      <c r="AF1381">
        <v>0.76260555140000008</v>
      </c>
    </row>
    <row r="1382" spans="1:32" x14ac:dyDescent="0.25">
      <c r="A1382" s="56">
        <v>3682960</v>
      </c>
      <c r="B1382" s="56" t="s">
        <v>5116</v>
      </c>
      <c r="C1382" s="56" t="s">
        <v>5128</v>
      </c>
      <c r="D1382" s="56"/>
      <c r="E1382" s="57">
        <v>1721.3130000000001</v>
      </c>
      <c r="F1382" s="57">
        <v>1.7213130000000001</v>
      </c>
      <c r="G1382" s="56" t="s">
        <v>392</v>
      </c>
      <c r="H1382" s="56" t="s">
        <v>4454</v>
      </c>
      <c r="I1382" s="56" t="s">
        <v>4455</v>
      </c>
      <c r="J1382" s="56"/>
      <c r="K1382" s="56"/>
      <c r="L1382" s="56"/>
      <c r="M1382" s="56"/>
      <c r="N1382" s="56" t="s">
        <v>72</v>
      </c>
      <c r="O1382" s="56">
        <v>42</v>
      </c>
      <c r="P1382" s="59" t="s">
        <v>2532</v>
      </c>
      <c r="Q1382" s="56" t="s">
        <v>11</v>
      </c>
      <c r="U1382" s="52">
        <v>3781594</v>
      </c>
      <c r="V1382">
        <v>48.6</v>
      </c>
      <c r="W1382">
        <v>0</v>
      </c>
      <c r="X1382">
        <v>3.5</v>
      </c>
      <c r="Y1382">
        <v>0.19600000000000001</v>
      </c>
      <c r="Z1382" t="s">
        <v>2821</v>
      </c>
      <c r="AA1382" t="s">
        <v>1003</v>
      </c>
      <c r="AB1382" t="s">
        <v>2520</v>
      </c>
      <c r="AC1382" t="s">
        <v>712</v>
      </c>
      <c r="AD1382" t="s">
        <v>2171</v>
      </c>
      <c r="AE1382" t="s">
        <v>714</v>
      </c>
      <c r="AF1382">
        <v>0.76260555140000008</v>
      </c>
    </row>
    <row r="1383" spans="1:32" x14ac:dyDescent="0.25">
      <c r="A1383" s="56">
        <v>3682960</v>
      </c>
      <c r="B1383" s="56" t="s">
        <v>5116</v>
      </c>
      <c r="C1383" s="56" t="s">
        <v>5129</v>
      </c>
      <c r="D1383" s="56"/>
      <c r="E1383" s="57">
        <v>1721.3130000000001</v>
      </c>
      <c r="F1383" s="57">
        <v>1.7213130000000001</v>
      </c>
      <c r="G1383" s="56" t="s">
        <v>392</v>
      </c>
      <c r="H1383" s="56" t="s">
        <v>4454</v>
      </c>
      <c r="I1383" s="56" t="s">
        <v>4455</v>
      </c>
      <c r="J1383" s="56"/>
      <c r="K1383" s="56"/>
      <c r="L1383" s="56"/>
      <c r="M1383" s="56"/>
      <c r="N1383" s="56" t="s">
        <v>72</v>
      </c>
      <c r="O1383" s="56">
        <v>51</v>
      </c>
      <c r="P1383" s="59" t="s">
        <v>2532</v>
      </c>
      <c r="Q1383" s="56" t="s">
        <v>11</v>
      </c>
      <c r="U1383" s="52">
        <v>3718726</v>
      </c>
      <c r="V1383">
        <v>48.6</v>
      </c>
      <c r="W1383">
        <v>0</v>
      </c>
      <c r="X1383">
        <v>3.5</v>
      </c>
      <c r="Y1383">
        <v>0.20399999999999999</v>
      </c>
      <c r="Z1383" t="s">
        <v>1952</v>
      </c>
      <c r="AA1383" t="s">
        <v>1003</v>
      </c>
      <c r="AB1383" t="s">
        <v>2520</v>
      </c>
      <c r="AC1383" t="s">
        <v>712</v>
      </c>
      <c r="AD1383" t="s">
        <v>2171</v>
      </c>
      <c r="AE1383" t="s">
        <v>5121</v>
      </c>
      <c r="AF1383">
        <v>0.79373230859999999</v>
      </c>
    </row>
    <row r="1384" spans="1:32" x14ac:dyDescent="0.25">
      <c r="A1384" s="56">
        <v>3682960</v>
      </c>
      <c r="B1384" s="56" t="s">
        <v>5116</v>
      </c>
      <c r="C1384" s="56" t="s">
        <v>5130</v>
      </c>
      <c r="D1384" s="56"/>
      <c r="E1384" s="57">
        <v>1721.3130000000001</v>
      </c>
      <c r="F1384" s="57">
        <v>1.7213130000000001</v>
      </c>
      <c r="G1384" s="56" t="s">
        <v>392</v>
      </c>
      <c r="H1384" s="56" t="s">
        <v>4454</v>
      </c>
      <c r="I1384" s="56" t="s">
        <v>4455</v>
      </c>
      <c r="J1384" s="56"/>
      <c r="K1384" s="56"/>
      <c r="L1384" s="56"/>
      <c r="M1384" s="56"/>
      <c r="N1384" s="56" t="s">
        <v>72</v>
      </c>
      <c r="O1384" s="56">
        <v>51</v>
      </c>
      <c r="P1384" s="59" t="s">
        <v>2532</v>
      </c>
      <c r="Q1384" s="56" t="s">
        <v>11</v>
      </c>
      <c r="U1384" s="52">
        <v>3548921</v>
      </c>
      <c r="V1384">
        <v>48.6</v>
      </c>
      <c r="W1384">
        <v>0</v>
      </c>
      <c r="X1384">
        <v>3.5</v>
      </c>
      <c r="Y1384">
        <v>0.59499999999999997</v>
      </c>
      <c r="Z1384" t="s">
        <v>1891</v>
      </c>
      <c r="AA1384" t="s">
        <v>1003</v>
      </c>
      <c r="AB1384" t="s">
        <v>2520</v>
      </c>
      <c r="AC1384" t="s">
        <v>712</v>
      </c>
      <c r="AD1384" t="s">
        <v>2171</v>
      </c>
      <c r="AE1384" t="s">
        <v>5123</v>
      </c>
      <c r="AF1384">
        <v>2.3150525667499999</v>
      </c>
    </row>
    <row r="1385" spans="1:32" x14ac:dyDescent="0.25">
      <c r="A1385" s="56">
        <v>3682960</v>
      </c>
      <c r="B1385" s="56" t="s">
        <v>5116</v>
      </c>
      <c r="C1385" s="56" t="s">
        <v>5132</v>
      </c>
      <c r="D1385" s="56"/>
      <c r="E1385" s="57">
        <v>1721.3130000000001</v>
      </c>
      <c r="F1385" s="57">
        <v>1.7213130000000001</v>
      </c>
      <c r="G1385" s="56" t="s">
        <v>392</v>
      </c>
      <c r="H1385" s="56" t="s">
        <v>4454</v>
      </c>
      <c r="I1385" s="56" t="s">
        <v>4455</v>
      </c>
      <c r="J1385" s="56"/>
      <c r="K1385" s="56"/>
      <c r="L1385" s="56"/>
      <c r="M1385" s="56"/>
      <c r="N1385" s="56" t="s">
        <v>72</v>
      </c>
      <c r="O1385" s="56">
        <v>51</v>
      </c>
      <c r="P1385" s="59" t="s">
        <v>2532</v>
      </c>
      <c r="Q1385" s="56" t="s">
        <v>11</v>
      </c>
      <c r="U1385" s="52">
        <v>3909479</v>
      </c>
      <c r="V1385">
        <v>48.6</v>
      </c>
      <c r="W1385">
        <v>0</v>
      </c>
      <c r="X1385">
        <v>3.5</v>
      </c>
      <c r="Y1385">
        <v>4.6500000000000004</v>
      </c>
      <c r="Z1385" t="s">
        <v>1868</v>
      </c>
      <c r="AA1385" t="s">
        <v>1003</v>
      </c>
      <c r="AB1385" t="s">
        <v>2520</v>
      </c>
      <c r="AC1385" t="s">
        <v>712</v>
      </c>
      <c r="AD1385" t="s">
        <v>1838</v>
      </c>
      <c r="AE1385" t="s">
        <v>2178</v>
      </c>
      <c r="AF1385">
        <v>3.89084465</v>
      </c>
    </row>
    <row r="1386" spans="1:32" x14ac:dyDescent="0.25">
      <c r="A1386" s="56">
        <v>3682960</v>
      </c>
      <c r="B1386" s="56" t="s">
        <v>5116</v>
      </c>
      <c r="C1386" s="56" t="s">
        <v>5134</v>
      </c>
      <c r="D1386" s="56"/>
      <c r="E1386" s="57">
        <v>1773.4739999999999</v>
      </c>
      <c r="F1386" s="57">
        <v>1.773474</v>
      </c>
      <c r="G1386" s="56" t="s">
        <v>392</v>
      </c>
      <c r="H1386" s="56" t="s">
        <v>4454</v>
      </c>
      <c r="I1386" s="56" t="s">
        <v>4455</v>
      </c>
      <c r="J1386" s="56"/>
      <c r="K1386" s="56"/>
      <c r="L1386" s="56"/>
      <c r="M1386" s="56"/>
      <c r="N1386" s="56" t="s">
        <v>72</v>
      </c>
      <c r="O1386" s="56">
        <v>51</v>
      </c>
      <c r="P1386" s="59" t="s">
        <v>2532</v>
      </c>
      <c r="Q1386" s="56" t="s">
        <v>11</v>
      </c>
      <c r="U1386" s="52">
        <v>3500540</v>
      </c>
      <c r="V1386">
        <v>48.6</v>
      </c>
      <c r="W1386">
        <v>0</v>
      </c>
      <c r="X1386">
        <v>3.5</v>
      </c>
      <c r="Y1386">
        <v>5.6</v>
      </c>
      <c r="Z1386" t="s">
        <v>1914</v>
      </c>
      <c r="AA1386" t="s">
        <v>1003</v>
      </c>
      <c r="AB1386" t="s">
        <v>2520</v>
      </c>
      <c r="AC1386" t="s">
        <v>712</v>
      </c>
      <c r="AD1386" t="s">
        <v>1838</v>
      </c>
      <c r="AE1386" t="s">
        <v>2178</v>
      </c>
      <c r="AF1386">
        <v>3.89084465</v>
      </c>
    </row>
    <row r="1387" spans="1:32" x14ac:dyDescent="0.25">
      <c r="A1387" s="56">
        <v>3682960</v>
      </c>
      <c r="B1387" s="56" t="s">
        <v>5116</v>
      </c>
      <c r="C1387" s="56" t="s">
        <v>5136</v>
      </c>
      <c r="D1387" s="56"/>
      <c r="E1387" s="57">
        <v>1721.3130000000001</v>
      </c>
      <c r="F1387" s="57">
        <v>1.7213130000000001</v>
      </c>
      <c r="G1387" s="56" t="s">
        <v>392</v>
      </c>
      <c r="H1387" s="56" t="s">
        <v>4454</v>
      </c>
      <c r="I1387" s="56" t="s">
        <v>4455</v>
      </c>
      <c r="J1387" s="56"/>
      <c r="K1387" s="56"/>
      <c r="L1387" s="56"/>
      <c r="M1387" s="56"/>
      <c r="N1387" s="56" t="s">
        <v>72</v>
      </c>
      <c r="O1387" s="56">
        <v>51</v>
      </c>
      <c r="P1387" s="59" t="s">
        <v>2532</v>
      </c>
      <c r="Q1387" s="56" t="s">
        <v>11</v>
      </c>
      <c r="U1387" s="52">
        <v>3501438</v>
      </c>
      <c r="V1387">
        <v>48.6</v>
      </c>
      <c r="W1387">
        <v>0</v>
      </c>
      <c r="X1387">
        <v>3.5</v>
      </c>
      <c r="Y1387">
        <v>6</v>
      </c>
      <c r="Z1387" t="s">
        <v>1914</v>
      </c>
      <c r="AA1387" t="s">
        <v>1003</v>
      </c>
      <c r="AB1387" t="s">
        <v>5019</v>
      </c>
      <c r="AC1387" t="s">
        <v>712</v>
      </c>
      <c r="AD1387" t="s">
        <v>1838</v>
      </c>
      <c r="AE1387" t="s">
        <v>2178</v>
      </c>
      <c r="AF1387">
        <v>3.89084465</v>
      </c>
    </row>
    <row r="1388" spans="1:32" x14ac:dyDescent="0.25">
      <c r="A1388" s="56">
        <v>3682960</v>
      </c>
      <c r="B1388" s="56" t="s">
        <v>5116</v>
      </c>
      <c r="C1388" s="56" t="s">
        <v>5139</v>
      </c>
      <c r="D1388" s="56"/>
      <c r="E1388" s="57">
        <v>1721.3130000000001</v>
      </c>
      <c r="F1388" s="57">
        <v>1.7213130000000001</v>
      </c>
      <c r="G1388" s="56" t="s">
        <v>392</v>
      </c>
      <c r="H1388" s="56" t="s">
        <v>4454</v>
      </c>
      <c r="I1388" s="56" t="s">
        <v>4455</v>
      </c>
      <c r="J1388" s="56"/>
      <c r="K1388" s="56"/>
      <c r="L1388" s="56"/>
      <c r="M1388" s="56"/>
      <c r="N1388" s="56" t="s">
        <v>72</v>
      </c>
      <c r="O1388" s="56">
        <v>56</v>
      </c>
      <c r="P1388" s="59" t="s">
        <v>2532</v>
      </c>
      <c r="Q1388" s="56" t="s">
        <v>11</v>
      </c>
      <c r="U1388" s="52">
        <v>3502422</v>
      </c>
      <c r="V1388">
        <v>48.6</v>
      </c>
      <c r="W1388">
        <v>0</v>
      </c>
      <c r="X1388">
        <v>3.5</v>
      </c>
      <c r="Y1388">
        <v>6.05</v>
      </c>
      <c r="Z1388" t="s">
        <v>1914</v>
      </c>
      <c r="AA1388" t="s">
        <v>1003</v>
      </c>
      <c r="AB1388" t="s">
        <v>2520</v>
      </c>
      <c r="AC1388" t="s">
        <v>712</v>
      </c>
      <c r="AD1388" t="s">
        <v>1838</v>
      </c>
      <c r="AE1388" t="s">
        <v>2178</v>
      </c>
      <c r="AF1388">
        <v>3.89084465</v>
      </c>
    </row>
    <row r="1389" spans="1:32" x14ac:dyDescent="0.25">
      <c r="A1389" s="56">
        <v>3682960</v>
      </c>
      <c r="B1389" s="56" t="s">
        <v>5116</v>
      </c>
      <c r="C1389" s="56" t="s">
        <v>5140</v>
      </c>
      <c r="D1389" s="56"/>
      <c r="E1389" s="57">
        <v>1721.3130000000001</v>
      </c>
      <c r="F1389" s="57">
        <v>1.7213130000000001</v>
      </c>
      <c r="G1389" s="56" t="s">
        <v>392</v>
      </c>
      <c r="H1389" s="56" t="s">
        <v>4454</v>
      </c>
      <c r="I1389" s="56" t="s">
        <v>4455</v>
      </c>
      <c r="J1389" s="56"/>
      <c r="K1389" s="56"/>
      <c r="L1389" s="56"/>
      <c r="M1389" s="56"/>
      <c r="N1389" s="56" t="s">
        <v>72</v>
      </c>
      <c r="O1389" s="56">
        <v>56</v>
      </c>
      <c r="P1389" s="59" t="s">
        <v>2532</v>
      </c>
      <c r="Q1389" s="56" t="s">
        <v>11</v>
      </c>
      <c r="U1389" s="52">
        <v>3702679</v>
      </c>
      <c r="V1389">
        <v>48.6</v>
      </c>
      <c r="W1389">
        <v>0</v>
      </c>
      <c r="X1389">
        <v>3.5</v>
      </c>
      <c r="Y1389">
        <v>6.05</v>
      </c>
      <c r="Z1389" t="s">
        <v>1881</v>
      </c>
      <c r="AA1389" t="s">
        <v>1003</v>
      </c>
      <c r="AB1389" t="s">
        <v>2801</v>
      </c>
      <c r="AC1389" t="s">
        <v>712</v>
      </c>
      <c r="AD1389" t="s">
        <v>1838</v>
      </c>
      <c r="AE1389" t="s">
        <v>2178</v>
      </c>
      <c r="AF1389">
        <v>3.89084465</v>
      </c>
    </row>
    <row r="1390" spans="1:32" x14ac:dyDescent="0.25">
      <c r="A1390" s="56">
        <v>3682960</v>
      </c>
      <c r="B1390" s="56" t="s">
        <v>5116</v>
      </c>
      <c r="C1390" s="56" t="s">
        <v>5141</v>
      </c>
      <c r="D1390" s="56"/>
      <c r="E1390" s="57">
        <v>1721.3130000000001</v>
      </c>
      <c r="F1390" s="57">
        <v>1.7213130000000001</v>
      </c>
      <c r="G1390" s="56" t="s">
        <v>392</v>
      </c>
      <c r="H1390" s="56" t="s">
        <v>4454</v>
      </c>
      <c r="I1390" s="56" t="s">
        <v>4455</v>
      </c>
      <c r="J1390" s="56"/>
      <c r="K1390" s="56"/>
      <c r="L1390" s="56"/>
      <c r="M1390" s="56"/>
      <c r="N1390" s="56" t="s">
        <v>72</v>
      </c>
      <c r="O1390" s="56">
        <v>51</v>
      </c>
      <c r="P1390" s="59" t="s">
        <v>2532</v>
      </c>
      <c r="Q1390" s="56" t="s">
        <v>11</v>
      </c>
      <c r="U1390">
        <v>4079374</v>
      </c>
      <c r="V1390">
        <v>48.6</v>
      </c>
      <c r="W1390">
        <v>0</v>
      </c>
      <c r="X1390">
        <v>4</v>
      </c>
      <c r="Y1390">
        <v>0.55700000000000005</v>
      </c>
      <c r="Z1390" t="s">
        <v>1881</v>
      </c>
      <c r="AA1390" t="s">
        <v>1003</v>
      </c>
      <c r="AB1390" t="s">
        <v>2520</v>
      </c>
      <c r="AC1390" t="s">
        <v>917</v>
      </c>
      <c r="AD1390" t="s">
        <v>2171</v>
      </c>
      <c r="AE1390" t="s">
        <v>919</v>
      </c>
      <c r="AF1390">
        <v>2.4493415512000003</v>
      </c>
    </row>
    <row r="1391" spans="1:32" x14ac:dyDescent="0.25">
      <c r="A1391" s="56">
        <v>3682960</v>
      </c>
      <c r="B1391" s="56" t="s">
        <v>5116</v>
      </c>
      <c r="C1391" s="56" t="s">
        <v>5143</v>
      </c>
      <c r="D1391" s="56"/>
      <c r="E1391" s="57">
        <v>1721.3130000000001</v>
      </c>
      <c r="F1391" s="57">
        <v>1.7213130000000001</v>
      </c>
      <c r="G1391" s="56" t="s">
        <v>392</v>
      </c>
      <c r="H1391" s="56" t="s">
        <v>4454</v>
      </c>
      <c r="I1391" s="56" t="s">
        <v>4455</v>
      </c>
      <c r="J1391" s="56"/>
      <c r="K1391" s="56"/>
      <c r="L1391" s="56"/>
      <c r="M1391" s="56"/>
      <c r="N1391" s="56" t="s">
        <v>72</v>
      </c>
      <c r="O1391" s="56">
        <v>51</v>
      </c>
      <c r="P1391" s="59" t="s">
        <v>2532</v>
      </c>
      <c r="Q1391" s="56" t="s">
        <v>11</v>
      </c>
      <c r="U1391" s="52">
        <v>3472304</v>
      </c>
      <c r="V1391">
        <v>48.6</v>
      </c>
      <c r="W1391">
        <v>0</v>
      </c>
      <c r="X1391">
        <v>4</v>
      </c>
      <c r="Y1391">
        <v>0.56499999999999995</v>
      </c>
      <c r="Z1391" t="s">
        <v>1914</v>
      </c>
      <c r="AA1391" t="s">
        <v>1003</v>
      </c>
      <c r="AB1391" t="s">
        <v>2520</v>
      </c>
      <c r="AC1391" t="s">
        <v>917</v>
      </c>
      <c r="AD1391" t="s">
        <v>2171</v>
      </c>
      <c r="AE1391" t="s">
        <v>5131</v>
      </c>
      <c r="AF1391">
        <v>2.4845206039999996</v>
      </c>
    </row>
    <row r="1392" spans="1:32" x14ac:dyDescent="0.25">
      <c r="A1392" s="56">
        <v>3682960</v>
      </c>
      <c r="B1392" s="56" t="s">
        <v>5116</v>
      </c>
      <c r="C1392" s="56" t="s">
        <v>5144</v>
      </c>
      <c r="D1392" s="56"/>
      <c r="E1392" s="57">
        <v>1686.539</v>
      </c>
      <c r="F1392" s="57">
        <v>1.686539</v>
      </c>
      <c r="G1392" s="56" t="s">
        <v>392</v>
      </c>
      <c r="H1392" s="56" t="s">
        <v>4454</v>
      </c>
      <c r="I1392" s="56" t="s">
        <v>4455</v>
      </c>
      <c r="J1392" s="56"/>
      <c r="K1392" s="56"/>
      <c r="L1392" s="56"/>
      <c r="M1392" s="56"/>
      <c r="N1392" s="56" t="s">
        <v>72</v>
      </c>
      <c r="O1392" s="56">
        <v>42</v>
      </c>
      <c r="P1392" s="59" t="s">
        <v>2532</v>
      </c>
      <c r="Q1392" s="56" t="s">
        <v>11</v>
      </c>
      <c r="U1392" s="52">
        <v>3545983</v>
      </c>
      <c r="V1392">
        <v>48.6</v>
      </c>
      <c r="W1392">
        <v>0</v>
      </c>
      <c r="X1392">
        <v>4</v>
      </c>
      <c r="Y1392">
        <v>0.59499999999999997</v>
      </c>
      <c r="Z1392" t="s">
        <v>1891</v>
      </c>
      <c r="AA1392" t="s">
        <v>1003</v>
      </c>
      <c r="AB1392" t="s">
        <v>2520</v>
      </c>
      <c r="AC1392" t="s">
        <v>917</v>
      </c>
      <c r="AD1392" t="s">
        <v>2171</v>
      </c>
      <c r="AE1392" t="s">
        <v>5133</v>
      </c>
      <c r="AF1392">
        <v>2.616442052</v>
      </c>
    </row>
    <row r="1393" spans="1:32" x14ac:dyDescent="0.25">
      <c r="A1393" s="56">
        <v>3682960</v>
      </c>
      <c r="B1393" s="56" t="s">
        <v>5116</v>
      </c>
      <c r="C1393" s="56" t="s">
        <v>5145</v>
      </c>
      <c r="D1393" s="56"/>
      <c r="E1393" s="57">
        <v>1686.539</v>
      </c>
      <c r="F1393" s="57">
        <v>1.686539</v>
      </c>
      <c r="G1393" s="56" t="s">
        <v>392</v>
      </c>
      <c r="H1393" s="56" t="s">
        <v>4454</v>
      </c>
      <c r="I1393" s="56" t="s">
        <v>4455</v>
      </c>
      <c r="J1393" s="56"/>
      <c r="K1393" s="56"/>
      <c r="L1393" s="56"/>
      <c r="M1393" s="56"/>
      <c r="N1393" s="56" t="s">
        <v>72</v>
      </c>
      <c r="O1393" s="56">
        <v>51</v>
      </c>
      <c r="P1393" s="59" t="s">
        <v>2532</v>
      </c>
      <c r="Q1393" s="56" t="s">
        <v>11</v>
      </c>
      <c r="U1393" s="52">
        <v>3502487</v>
      </c>
      <c r="V1393">
        <v>48.6</v>
      </c>
      <c r="W1393">
        <v>0</v>
      </c>
      <c r="X1393">
        <v>4</v>
      </c>
      <c r="Y1393">
        <v>6.0030000000000001</v>
      </c>
      <c r="Z1393" t="s">
        <v>1914</v>
      </c>
      <c r="AA1393" t="s">
        <v>1003</v>
      </c>
      <c r="AB1393" t="s">
        <v>2520</v>
      </c>
      <c r="AC1393" t="s">
        <v>917</v>
      </c>
      <c r="AD1393" t="s">
        <v>1838</v>
      </c>
      <c r="AE1393" t="s">
        <v>5135</v>
      </c>
      <c r="AF1393">
        <v>4.3973816000000001</v>
      </c>
    </row>
    <row r="1394" spans="1:32" x14ac:dyDescent="0.25">
      <c r="A1394" s="56">
        <v>3682960</v>
      </c>
      <c r="B1394" s="56" t="s">
        <v>5116</v>
      </c>
      <c r="C1394" s="56" t="s">
        <v>5146</v>
      </c>
      <c r="D1394" s="56"/>
      <c r="E1394" s="57">
        <v>1721.3130000000001</v>
      </c>
      <c r="F1394" s="57">
        <v>1.7213130000000001</v>
      </c>
      <c r="G1394" s="56" t="s">
        <v>392</v>
      </c>
      <c r="H1394" s="56" t="s">
        <v>4454</v>
      </c>
      <c r="I1394" s="56" t="s">
        <v>4455</v>
      </c>
      <c r="J1394" s="56"/>
      <c r="K1394" s="56"/>
      <c r="L1394" s="56"/>
      <c r="M1394" s="56"/>
      <c r="N1394" s="56" t="s">
        <v>72</v>
      </c>
      <c r="O1394" s="56">
        <v>56</v>
      </c>
      <c r="P1394" s="59" t="s">
        <v>2532</v>
      </c>
      <c r="Q1394" s="56" t="s">
        <v>11</v>
      </c>
      <c r="U1394" s="52">
        <v>3502725</v>
      </c>
      <c r="V1394">
        <v>50</v>
      </c>
      <c r="W1394">
        <v>0</v>
      </c>
      <c r="X1394">
        <v>6</v>
      </c>
      <c r="Y1394">
        <v>4.7750000000000004</v>
      </c>
      <c r="Z1394" t="s">
        <v>1914</v>
      </c>
      <c r="AA1394" t="s">
        <v>1003</v>
      </c>
      <c r="AB1394" t="s">
        <v>3979</v>
      </c>
      <c r="AC1394" t="s">
        <v>5137</v>
      </c>
      <c r="AD1394" t="s">
        <v>1838</v>
      </c>
      <c r="AE1394" t="s">
        <v>5138</v>
      </c>
      <c r="AF1394">
        <v>6.5073360000000005</v>
      </c>
    </row>
    <row r="1395" spans="1:32" x14ac:dyDescent="0.25">
      <c r="A1395" s="56">
        <v>3702200</v>
      </c>
      <c r="B1395" s="56" t="s">
        <v>1876</v>
      </c>
      <c r="C1395" s="56" t="s">
        <v>5147</v>
      </c>
      <c r="D1395" s="56"/>
      <c r="E1395" s="57">
        <v>180</v>
      </c>
      <c r="F1395" s="57">
        <v>0.18</v>
      </c>
      <c r="G1395" s="56" t="s">
        <v>392</v>
      </c>
      <c r="H1395" s="56" t="s">
        <v>4454</v>
      </c>
      <c r="I1395" s="56" t="s">
        <v>1834</v>
      </c>
      <c r="J1395" s="56"/>
      <c r="K1395" s="56"/>
      <c r="L1395" s="56"/>
      <c r="M1395" s="56"/>
      <c r="N1395" s="56" t="s">
        <v>101</v>
      </c>
      <c r="O1395" s="56">
        <v>86</v>
      </c>
      <c r="P1395" s="59" t="s">
        <v>2579</v>
      </c>
      <c r="Q1395" s="56" t="s">
        <v>192</v>
      </c>
      <c r="U1395" s="52">
        <v>3499123</v>
      </c>
      <c r="V1395">
        <v>50</v>
      </c>
      <c r="W1395">
        <v>0</v>
      </c>
      <c r="X1395">
        <v>6</v>
      </c>
      <c r="Y1395">
        <v>5.92</v>
      </c>
      <c r="Z1395" t="s">
        <v>1914</v>
      </c>
      <c r="AA1395" t="s">
        <v>1003</v>
      </c>
      <c r="AB1395" t="s">
        <v>3979</v>
      </c>
      <c r="AC1395" t="s">
        <v>5137</v>
      </c>
      <c r="AD1395" t="s">
        <v>1838</v>
      </c>
      <c r="AE1395" t="s">
        <v>5138</v>
      </c>
      <c r="AF1395">
        <v>6.5073360000000005</v>
      </c>
    </row>
    <row r="1396" spans="1:32" x14ac:dyDescent="0.25">
      <c r="A1396" s="56">
        <v>3702200</v>
      </c>
      <c r="B1396" s="56" t="s">
        <v>1876</v>
      </c>
      <c r="C1396" s="56" t="s">
        <v>5149</v>
      </c>
      <c r="D1396" s="56"/>
      <c r="E1396" s="57">
        <v>628</v>
      </c>
      <c r="F1396" s="57">
        <v>0.628</v>
      </c>
      <c r="G1396" s="56" t="s">
        <v>392</v>
      </c>
      <c r="H1396" s="56" t="s">
        <v>4454</v>
      </c>
      <c r="I1396" s="56" t="s">
        <v>1834</v>
      </c>
      <c r="J1396" s="56"/>
      <c r="K1396" s="56"/>
      <c r="L1396" s="56"/>
      <c r="M1396" s="56"/>
      <c r="N1396" s="56" t="s">
        <v>101</v>
      </c>
      <c r="O1396" s="56">
        <v>86</v>
      </c>
      <c r="P1396" s="59" t="s">
        <v>2579</v>
      </c>
      <c r="Q1396" s="56" t="s">
        <v>192</v>
      </c>
      <c r="U1396" s="52">
        <v>3772811</v>
      </c>
      <c r="V1396">
        <v>50</v>
      </c>
      <c r="W1396">
        <v>0</v>
      </c>
      <c r="X1396">
        <v>6</v>
      </c>
      <c r="Y1396">
        <v>6.25</v>
      </c>
      <c r="Z1396" t="s">
        <v>1914</v>
      </c>
      <c r="AA1396" t="s">
        <v>1003</v>
      </c>
      <c r="AB1396" t="s">
        <v>3979</v>
      </c>
      <c r="AC1396" t="s">
        <v>5137</v>
      </c>
      <c r="AD1396" t="s">
        <v>1838</v>
      </c>
      <c r="AE1396" t="s">
        <v>5138</v>
      </c>
      <c r="AF1396">
        <v>6.5073360000000005</v>
      </c>
    </row>
    <row r="1397" spans="1:32" x14ac:dyDescent="0.25">
      <c r="A1397" s="56">
        <v>3702200</v>
      </c>
      <c r="B1397" s="56" t="s">
        <v>1876</v>
      </c>
      <c r="C1397" s="56" t="s">
        <v>5150</v>
      </c>
      <c r="D1397" s="56"/>
      <c r="E1397" s="57">
        <v>2564.5</v>
      </c>
      <c r="F1397" s="57">
        <v>2.5644999999999998</v>
      </c>
      <c r="G1397" s="56" t="s">
        <v>392</v>
      </c>
      <c r="H1397" s="56" t="s">
        <v>4454</v>
      </c>
      <c r="I1397" s="56" t="s">
        <v>1834</v>
      </c>
      <c r="J1397" s="56"/>
      <c r="K1397" s="56"/>
      <c r="L1397" s="56"/>
      <c r="M1397" s="56"/>
      <c r="N1397" s="56" t="s">
        <v>101</v>
      </c>
      <c r="O1397" s="56">
        <v>102</v>
      </c>
      <c r="P1397" s="59" t="s">
        <v>2524</v>
      </c>
      <c r="Q1397" s="56" t="s">
        <v>192</v>
      </c>
      <c r="U1397" s="52">
        <v>3798864</v>
      </c>
      <c r="V1397">
        <v>50</v>
      </c>
      <c r="W1397">
        <v>25</v>
      </c>
      <c r="X1397">
        <v>1.6</v>
      </c>
      <c r="Y1397">
        <v>6</v>
      </c>
      <c r="Z1397" t="s">
        <v>229</v>
      </c>
      <c r="AA1397" t="s">
        <v>3063</v>
      </c>
      <c r="AB1397" t="s">
        <v>963</v>
      </c>
      <c r="AC1397" t="s">
        <v>5142</v>
      </c>
      <c r="AD1397" t="s">
        <v>1838</v>
      </c>
      <c r="AF1397">
        <v>1.9088185600000001</v>
      </c>
    </row>
    <row r="1398" spans="1:32" x14ac:dyDescent="0.25">
      <c r="A1398" s="56">
        <v>3702200</v>
      </c>
      <c r="B1398" s="56" t="s">
        <v>1876</v>
      </c>
      <c r="C1398" s="56" t="s">
        <v>5151</v>
      </c>
      <c r="D1398" s="56"/>
      <c r="E1398" s="57">
        <v>1922.5</v>
      </c>
      <c r="F1398" s="57">
        <v>1.9225000000000001</v>
      </c>
      <c r="G1398" s="56" t="s">
        <v>392</v>
      </c>
      <c r="H1398" s="56" t="s">
        <v>4454</v>
      </c>
      <c r="I1398" s="56" t="s">
        <v>1834</v>
      </c>
      <c r="J1398" s="56"/>
      <c r="K1398" s="56"/>
      <c r="L1398" s="56"/>
      <c r="M1398" s="56"/>
      <c r="N1398" s="56" t="s">
        <v>101</v>
      </c>
      <c r="O1398" s="56">
        <v>102</v>
      </c>
      <c r="P1398" s="59" t="s">
        <v>2524</v>
      </c>
      <c r="Q1398" s="56" t="s">
        <v>192</v>
      </c>
      <c r="U1398" s="52">
        <v>2427158</v>
      </c>
      <c r="V1398">
        <v>50</v>
      </c>
      <c r="W1398">
        <v>30</v>
      </c>
      <c r="X1398">
        <v>1.6</v>
      </c>
      <c r="Y1398">
        <v>0.60399999999999998</v>
      </c>
      <c r="Z1398" t="s">
        <v>1868</v>
      </c>
      <c r="AA1398" t="s">
        <v>1003</v>
      </c>
      <c r="AB1398" t="s">
        <v>2520</v>
      </c>
      <c r="AC1398" t="s">
        <v>474</v>
      </c>
      <c r="AD1398" t="s">
        <v>2171</v>
      </c>
      <c r="AE1398" t="s">
        <v>672</v>
      </c>
      <c r="AF1398">
        <v>1.1750697861797712</v>
      </c>
    </row>
    <row r="1399" spans="1:32" x14ac:dyDescent="0.25">
      <c r="A1399" s="56">
        <v>3702200</v>
      </c>
      <c r="B1399" s="56" t="s">
        <v>1876</v>
      </c>
      <c r="C1399" s="56" t="s">
        <v>5153</v>
      </c>
      <c r="D1399" s="56"/>
      <c r="E1399" s="57">
        <v>755.5</v>
      </c>
      <c r="F1399" s="57">
        <v>0.75549999999999995</v>
      </c>
      <c r="G1399" s="56" t="s">
        <v>392</v>
      </c>
      <c r="H1399" s="56" t="s">
        <v>4454</v>
      </c>
      <c r="I1399" s="56" t="s">
        <v>1834</v>
      </c>
      <c r="J1399" s="56"/>
      <c r="K1399" s="56"/>
      <c r="L1399" s="56"/>
      <c r="M1399" s="56"/>
      <c r="N1399" s="56" t="s">
        <v>101</v>
      </c>
      <c r="O1399" s="56">
        <v>102</v>
      </c>
      <c r="P1399" s="59" t="s">
        <v>2524</v>
      </c>
      <c r="Q1399" s="56" t="s">
        <v>192</v>
      </c>
      <c r="U1399" s="52">
        <v>3780004</v>
      </c>
      <c r="V1399">
        <v>50</v>
      </c>
      <c r="W1399">
        <v>30</v>
      </c>
      <c r="X1399">
        <v>1.6</v>
      </c>
      <c r="Y1399">
        <v>0.60699999999999998</v>
      </c>
      <c r="Z1399" t="s">
        <v>2088</v>
      </c>
      <c r="AA1399" t="s">
        <v>1003</v>
      </c>
      <c r="AB1399" t="s">
        <v>2520</v>
      </c>
      <c r="AC1399" t="s">
        <v>1824</v>
      </c>
      <c r="AD1399" t="s">
        <v>2171</v>
      </c>
      <c r="AE1399" t="s">
        <v>2311</v>
      </c>
      <c r="AF1399">
        <v>1.1809062255151013</v>
      </c>
    </row>
    <row r="1400" spans="1:32" x14ac:dyDescent="0.25">
      <c r="A1400" s="56">
        <v>3702200</v>
      </c>
      <c r="B1400" s="56" t="s">
        <v>1876</v>
      </c>
      <c r="C1400" s="56" t="s">
        <v>5154</v>
      </c>
      <c r="D1400" s="56"/>
      <c r="E1400" s="57">
        <v>1550.5</v>
      </c>
      <c r="F1400" s="57">
        <v>1.5505</v>
      </c>
      <c r="G1400" s="56" t="s">
        <v>392</v>
      </c>
      <c r="H1400" s="56" t="s">
        <v>4454</v>
      </c>
      <c r="I1400" s="56" t="s">
        <v>1834</v>
      </c>
      <c r="J1400" s="56"/>
      <c r="K1400" s="56"/>
      <c r="L1400" s="56"/>
      <c r="M1400" s="56"/>
      <c r="N1400" s="56" t="s">
        <v>101</v>
      </c>
      <c r="O1400" s="56">
        <v>102</v>
      </c>
      <c r="P1400" s="59" t="s">
        <v>2524</v>
      </c>
      <c r="Q1400" s="56" t="s">
        <v>192</v>
      </c>
      <c r="U1400" s="52">
        <v>3775637</v>
      </c>
      <c r="V1400">
        <v>50</v>
      </c>
      <c r="W1400">
        <v>30</v>
      </c>
      <c r="X1400">
        <v>1.6</v>
      </c>
      <c r="Y1400">
        <v>0.60699999999999998</v>
      </c>
      <c r="Z1400" t="s">
        <v>1891</v>
      </c>
      <c r="AA1400" t="s">
        <v>963</v>
      </c>
      <c r="AB1400" t="s">
        <v>2520</v>
      </c>
      <c r="AC1400" t="s">
        <v>474</v>
      </c>
      <c r="AD1400" t="s">
        <v>2171</v>
      </c>
      <c r="AE1400" t="s">
        <v>930</v>
      </c>
      <c r="AF1400">
        <v>1.1809062255151013</v>
      </c>
    </row>
    <row r="1401" spans="1:32" x14ac:dyDescent="0.25">
      <c r="A1401" s="56">
        <v>3702200</v>
      </c>
      <c r="B1401" s="56" t="s">
        <v>1876</v>
      </c>
      <c r="C1401" s="56" t="s">
        <v>5155</v>
      </c>
      <c r="D1401" s="56"/>
      <c r="E1401" s="57">
        <v>1773.5</v>
      </c>
      <c r="F1401" s="57">
        <v>1.7735000000000001</v>
      </c>
      <c r="G1401" s="56" t="s">
        <v>392</v>
      </c>
      <c r="H1401" s="56" t="s">
        <v>4454</v>
      </c>
      <c r="I1401" s="56" t="s">
        <v>1834</v>
      </c>
      <c r="J1401" s="56"/>
      <c r="K1401" s="56"/>
      <c r="L1401" s="56"/>
      <c r="M1401" s="56"/>
      <c r="N1401" s="56" t="s">
        <v>101</v>
      </c>
      <c r="O1401" s="56">
        <v>102</v>
      </c>
      <c r="P1401" s="59" t="s">
        <v>2524</v>
      </c>
      <c r="Q1401" s="56" t="s">
        <v>192</v>
      </c>
      <c r="U1401" s="52">
        <v>1940879</v>
      </c>
      <c r="V1401">
        <v>50</v>
      </c>
      <c r="W1401">
        <v>30</v>
      </c>
      <c r="X1401">
        <v>1.6</v>
      </c>
      <c r="Y1401">
        <v>0.63600000000000001</v>
      </c>
      <c r="Z1401" t="s">
        <v>1891</v>
      </c>
      <c r="AA1401" t="s">
        <v>963</v>
      </c>
      <c r="AB1401" t="s">
        <v>2520</v>
      </c>
      <c r="AC1401" t="s">
        <v>474</v>
      </c>
      <c r="AD1401" t="s">
        <v>2171</v>
      </c>
      <c r="AE1401" t="s">
        <v>677</v>
      </c>
      <c r="AF1401">
        <v>1.2373251390899578</v>
      </c>
    </row>
    <row r="1402" spans="1:32" x14ac:dyDescent="0.25">
      <c r="A1402" s="56">
        <v>3702200</v>
      </c>
      <c r="B1402" s="56" t="s">
        <v>1876</v>
      </c>
      <c r="C1402" s="56" t="s">
        <v>5156</v>
      </c>
      <c r="D1402" s="56"/>
      <c r="E1402" s="57">
        <v>528</v>
      </c>
      <c r="F1402" s="57">
        <v>0.52800000000000002</v>
      </c>
      <c r="G1402" s="56" t="s">
        <v>392</v>
      </c>
      <c r="H1402" s="56" t="s">
        <v>4454</v>
      </c>
      <c r="I1402" s="56" t="s">
        <v>1834</v>
      </c>
      <c r="J1402" s="56"/>
      <c r="K1402" s="56"/>
      <c r="L1402" s="56"/>
      <c r="M1402" s="56"/>
      <c r="N1402" s="56" t="s">
        <v>101</v>
      </c>
      <c r="O1402" s="56">
        <v>102</v>
      </c>
      <c r="P1402" s="59" t="s">
        <v>2524</v>
      </c>
      <c r="Q1402" s="56" t="s">
        <v>192</v>
      </c>
      <c r="U1402" s="52">
        <v>3780005</v>
      </c>
      <c r="V1402">
        <v>50</v>
      </c>
      <c r="W1402">
        <v>30</v>
      </c>
      <c r="X1402">
        <v>1.6</v>
      </c>
      <c r="Y1402">
        <v>0.63800000000000001</v>
      </c>
      <c r="Z1402" t="s">
        <v>2088</v>
      </c>
      <c r="AA1402" t="s">
        <v>1003</v>
      </c>
      <c r="AB1402" t="s">
        <v>2520</v>
      </c>
      <c r="AC1402" t="s">
        <v>1824</v>
      </c>
      <c r="AD1402" t="s">
        <v>2171</v>
      </c>
      <c r="AE1402" t="s">
        <v>5148</v>
      </c>
      <c r="AF1402">
        <v>1.2412160986468446</v>
      </c>
    </row>
    <row r="1403" spans="1:32" x14ac:dyDescent="0.25">
      <c r="A1403" s="56">
        <v>3702200</v>
      </c>
      <c r="B1403" s="56" t="s">
        <v>1876</v>
      </c>
      <c r="C1403" s="56" t="s">
        <v>5157</v>
      </c>
      <c r="D1403" s="56"/>
      <c r="E1403" s="57">
        <v>506.5</v>
      </c>
      <c r="F1403" s="57">
        <v>0.50649999999999995</v>
      </c>
      <c r="G1403" s="56" t="s">
        <v>392</v>
      </c>
      <c r="H1403" s="56" t="s">
        <v>4454</v>
      </c>
      <c r="I1403" s="56" t="s">
        <v>1834</v>
      </c>
      <c r="J1403" s="56"/>
      <c r="K1403" s="56"/>
      <c r="L1403" s="56"/>
      <c r="M1403" s="56"/>
      <c r="N1403" s="56" t="s">
        <v>101</v>
      </c>
      <c r="O1403" s="56">
        <v>102</v>
      </c>
      <c r="P1403" s="59" t="s">
        <v>2524</v>
      </c>
      <c r="Q1403" s="56" t="s">
        <v>192</v>
      </c>
      <c r="U1403" s="52">
        <v>3775638</v>
      </c>
      <c r="V1403">
        <v>50</v>
      </c>
      <c r="W1403">
        <v>30</v>
      </c>
      <c r="X1403">
        <v>1.6</v>
      </c>
      <c r="Y1403">
        <v>0.63800000000000001</v>
      </c>
      <c r="Z1403" t="s">
        <v>1891</v>
      </c>
      <c r="AA1403" t="s">
        <v>963</v>
      </c>
      <c r="AB1403" t="s">
        <v>2520</v>
      </c>
      <c r="AC1403" t="s">
        <v>1824</v>
      </c>
      <c r="AD1403" t="s">
        <v>2171</v>
      </c>
      <c r="AE1403" t="s">
        <v>5148</v>
      </c>
      <c r="AF1403">
        <v>1.2412160986468446</v>
      </c>
    </row>
    <row r="1404" spans="1:32" x14ac:dyDescent="0.25">
      <c r="A1404" s="56">
        <v>3702200</v>
      </c>
      <c r="B1404" s="56" t="s">
        <v>1876</v>
      </c>
      <c r="C1404" s="56" t="s">
        <v>5158</v>
      </c>
      <c r="D1404" s="56"/>
      <c r="E1404" s="57">
        <v>1643</v>
      </c>
      <c r="F1404" s="57">
        <v>1.643</v>
      </c>
      <c r="G1404" s="56" t="s">
        <v>392</v>
      </c>
      <c r="H1404" s="56" t="s">
        <v>4454</v>
      </c>
      <c r="I1404" s="56" t="s">
        <v>1834</v>
      </c>
      <c r="J1404" s="56"/>
      <c r="K1404" s="56"/>
      <c r="L1404" s="56"/>
      <c r="M1404" s="56"/>
      <c r="N1404" s="56" t="s">
        <v>101</v>
      </c>
      <c r="O1404" s="56">
        <v>86</v>
      </c>
      <c r="P1404" s="59" t="s">
        <v>2579</v>
      </c>
      <c r="Q1404" s="56" t="s">
        <v>192</v>
      </c>
      <c r="U1404" s="52">
        <v>2430128</v>
      </c>
      <c r="V1404">
        <v>50</v>
      </c>
      <c r="W1404">
        <v>30</v>
      </c>
      <c r="X1404">
        <v>1.6</v>
      </c>
      <c r="Y1404">
        <v>1.1000000000000001</v>
      </c>
      <c r="Z1404" t="s">
        <v>1868</v>
      </c>
      <c r="AA1404" t="s">
        <v>1003</v>
      </c>
      <c r="AB1404" t="s">
        <v>2520</v>
      </c>
      <c r="AC1404" t="s">
        <v>474</v>
      </c>
      <c r="AD1404" t="s">
        <v>2171</v>
      </c>
      <c r="AE1404" t="s">
        <v>476</v>
      </c>
      <c r="AF1404">
        <v>2.1400277562876631</v>
      </c>
    </row>
    <row r="1405" spans="1:32" x14ac:dyDescent="0.25">
      <c r="A1405" s="56">
        <v>3702200</v>
      </c>
      <c r="B1405" s="56" t="s">
        <v>1876</v>
      </c>
      <c r="C1405" s="56" t="s">
        <v>5159</v>
      </c>
      <c r="D1405" s="56"/>
      <c r="E1405" s="57">
        <v>1650</v>
      </c>
      <c r="F1405" s="57">
        <v>1.65</v>
      </c>
      <c r="G1405" s="56" t="s">
        <v>392</v>
      </c>
      <c r="H1405" s="56" t="s">
        <v>4454</v>
      </c>
      <c r="I1405" s="56" t="s">
        <v>1834</v>
      </c>
      <c r="J1405" s="56"/>
      <c r="K1405" s="56"/>
      <c r="L1405" s="56"/>
      <c r="M1405" s="56"/>
      <c r="N1405" s="56" t="s">
        <v>101</v>
      </c>
      <c r="O1405" s="56">
        <v>86</v>
      </c>
      <c r="P1405" s="59" t="s">
        <v>2579</v>
      </c>
      <c r="Q1405" s="56" t="s">
        <v>192</v>
      </c>
      <c r="U1405" s="538">
        <v>111002411</v>
      </c>
      <c r="V1405">
        <v>50</v>
      </c>
      <c r="W1405">
        <v>30</v>
      </c>
      <c r="X1405">
        <v>1.6</v>
      </c>
      <c r="Y1405">
        <v>5.5250000000000004</v>
      </c>
      <c r="Z1405" t="s">
        <v>1868</v>
      </c>
      <c r="AA1405" t="s">
        <v>1003</v>
      </c>
      <c r="AB1405" t="s">
        <v>2520</v>
      </c>
      <c r="AC1405" t="s">
        <v>474</v>
      </c>
      <c r="AD1405" t="s">
        <v>1838</v>
      </c>
      <c r="AE1405" t="s">
        <v>5152</v>
      </c>
      <c r="AF1405">
        <v>1.94547977844333</v>
      </c>
    </row>
    <row r="1406" spans="1:32" x14ac:dyDescent="0.25">
      <c r="A1406" s="56">
        <v>3702200</v>
      </c>
      <c r="B1406" s="56" t="s">
        <v>1876</v>
      </c>
      <c r="C1406" s="56" t="s">
        <v>5160</v>
      </c>
      <c r="D1406" s="56"/>
      <c r="E1406" s="57">
        <v>1630.57</v>
      </c>
      <c r="F1406" s="57">
        <v>1.6305699999999999</v>
      </c>
      <c r="G1406" s="56" t="s">
        <v>392</v>
      </c>
      <c r="H1406" s="56" t="s">
        <v>4454</v>
      </c>
      <c r="I1406" s="56" t="s">
        <v>1834</v>
      </c>
      <c r="J1406" s="56"/>
      <c r="K1406" s="56"/>
      <c r="L1406" s="56"/>
      <c r="M1406" s="56"/>
      <c r="N1406" s="56" t="s">
        <v>101</v>
      </c>
      <c r="O1406" s="56">
        <v>90</v>
      </c>
      <c r="P1406" s="59" t="s">
        <v>2579</v>
      </c>
      <c r="Q1406" s="56" t="s">
        <v>192</v>
      </c>
      <c r="U1406" s="538">
        <v>111002503</v>
      </c>
      <c r="V1406">
        <v>50</v>
      </c>
      <c r="W1406">
        <v>30</v>
      </c>
      <c r="X1406">
        <v>1.6</v>
      </c>
      <c r="Y1406">
        <v>5.5750000000000002</v>
      </c>
      <c r="Z1406" t="s">
        <v>1868</v>
      </c>
      <c r="AA1406" t="s">
        <v>1003</v>
      </c>
      <c r="AB1406" t="s">
        <v>2520</v>
      </c>
      <c r="AC1406" t="s">
        <v>474</v>
      </c>
      <c r="AD1406" t="s">
        <v>1838</v>
      </c>
      <c r="AE1406" t="s">
        <v>5152</v>
      </c>
      <c r="AF1406">
        <v>1.94547977844333</v>
      </c>
    </row>
    <row r="1407" spans="1:32" x14ac:dyDescent="0.25">
      <c r="A1407" s="56">
        <v>3702200</v>
      </c>
      <c r="B1407" s="56" t="s">
        <v>1876</v>
      </c>
      <c r="C1407" s="56" t="s">
        <v>5162</v>
      </c>
      <c r="D1407" s="56"/>
      <c r="E1407" s="57">
        <v>275</v>
      </c>
      <c r="F1407" s="57">
        <v>0.27500000000000002</v>
      </c>
      <c r="G1407" s="56" t="s">
        <v>392</v>
      </c>
      <c r="H1407" s="56" t="s">
        <v>4454</v>
      </c>
      <c r="I1407" s="56" t="s">
        <v>1834</v>
      </c>
      <c r="J1407" s="56"/>
      <c r="K1407" s="56"/>
      <c r="L1407" s="56"/>
      <c r="M1407" s="56"/>
      <c r="N1407" s="56" t="s">
        <v>101</v>
      </c>
      <c r="O1407" s="56">
        <v>102</v>
      </c>
      <c r="P1407" s="59" t="s">
        <v>2524</v>
      </c>
      <c r="Q1407" s="56" t="s">
        <v>192</v>
      </c>
      <c r="U1407" s="538">
        <v>110103004</v>
      </c>
      <c r="V1407">
        <v>50</v>
      </c>
      <c r="W1407">
        <v>30</v>
      </c>
      <c r="X1407">
        <v>1.6</v>
      </c>
      <c r="Y1407">
        <v>5.819</v>
      </c>
      <c r="Z1407" t="s">
        <v>1891</v>
      </c>
      <c r="AA1407" t="s">
        <v>1003</v>
      </c>
      <c r="AB1407" t="s">
        <v>2520</v>
      </c>
      <c r="AC1407" t="s">
        <v>474</v>
      </c>
      <c r="AD1407" t="s">
        <v>1838</v>
      </c>
      <c r="AE1407" t="s">
        <v>5152</v>
      </c>
      <c r="AF1407">
        <v>1.94547977844333</v>
      </c>
    </row>
    <row r="1408" spans="1:32" x14ac:dyDescent="0.25">
      <c r="A1408" s="56">
        <v>3702200</v>
      </c>
      <c r="B1408" s="56" t="s">
        <v>1876</v>
      </c>
      <c r="C1408" s="56" t="s">
        <v>4503</v>
      </c>
      <c r="D1408" s="56"/>
      <c r="E1408" s="57">
        <v>70.102999999999994</v>
      </c>
      <c r="F1408" s="57">
        <v>7.0102999999999999E-2</v>
      </c>
      <c r="G1408" s="56" t="s">
        <v>392</v>
      </c>
      <c r="H1408" s="56" t="s">
        <v>1914</v>
      </c>
      <c r="I1408" s="56" t="s">
        <v>1834</v>
      </c>
      <c r="J1408" s="56"/>
      <c r="K1408" s="56"/>
      <c r="L1408" s="56"/>
      <c r="M1408" s="56"/>
      <c r="N1408" s="56" t="s">
        <v>101</v>
      </c>
      <c r="O1408" s="56">
        <v>21</v>
      </c>
      <c r="P1408" s="59" t="s">
        <v>2515</v>
      </c>
      <c r="Q1408" s="56" t="s">
        <v>192</v>
      </c>
      <c r="U1408" s="52">
        <v>3929509</v>
      </c>
      <c r="V1408">
        <v>50</v>
      </c>
      <c r="W1408">
        <v>30</v>
      </c>
      <c r="X1408">
        <v>1.6</v>
      </c>
      <c r="Y1408">
        <v>5.819</v>
      </c>
      <c r="Z1408" t="s">
        <v>1891</v>
      </c>
      <c r="AA1408" t="s">
        <v>1003</v>
      </c>
      <c r="AB1408" t="s">
        <v>2520</v>
      </c>
      <c r="AC1408" t="s">
        <v>474</v>
      </c>
      <c r="AD1408" t="s">
        <v>1838</v>
      </c>
      <c r="AF1408">
        <v>1.94547977844333</v>
      </c>
    </row>
    <row r="1409" spans="1:32" x14ac:dyDescent="0.25">
      <c r="A1409" s="56">
        <v>3702200</v>
      </c>
      <c r="B1409" s="56" t="s">
        <v>1876</v>
      </c>
      <c r="C1409" s="56" t="s">
        <v>5164</v>
      </c>
      <c r="D1409" s="56"/>
      <c r="E1409" s="57">
        <v>517.9</v>
      </c>
      <c r="F1409" s="57">
        <v>0.51790000000000003</v>
      </c>
      <c r="G1409" s="56" t="s">
        <v>392</v>
      </c>
      <c r="H1409" s="56" t="s">
        <v>1914</v>
      </c>
      <c r="I1409" s="56" t="s">
        <v>1834</v>
      </c>
      <c r="J1409" s="56"/>
      <c r="K1409" s="56"/>
      <c r="L1409" s="56"/>
      <c r="M1409" s="56"/>
      <c r="N1409" s="56" t="s">
        <v>101</v>
      </c>
      <c r="O1409" s="56">
        <v>55</v>
      </c>
      <c r="P1409" s="59" t="s">
        <v>2532</v>
      </c>
      <c r="Q1409" s="56" t="s">
        <v>192</v>
      </c>
      <c r="U1409" s="52">
        <v>3569429</v>
      </c>
      <c r="V1409">
        <v>50</v>
      </c>
      <c r="W1409">
        <v>30</v>
      </c>
      <c r="X1409">
        <v>1.6</v>
      </c>
      <c r="Y1409">
        <v>5.82</v>
      </c>
      <c r="Z1409" t="s">
        <v>1868</v>
      </c>
      <c r="AA1409" t="s">
        <v>1003</v>
      </c>
      <c r="AB1409" t="s">
        <v>2520</v>
      </c>
      <c r="AC1409" t="s">
        <v>474</v>
      </c>
      <c r="AD1409" t="s">
        <v>1838</v>
      </c>
      <c r="AE1409" t="s">
        <v>5152</v>
      </c>
      <c r="AF1409">
        <v>1.94547977844333</v>
      </c>
    </row>
    <row r="1410" spans="1:32" x14ac:dyDescent="0.25">
      <c r="A1410" s="56">
        <v>3702200</v>
      </c>
      <c r="B1410" s="56" t="s">
        <v>1876</v>
      </c>
      <c r="C1410" s="56" t="s">
        <v>5166</v>
      </c>
      <c r="D1410" s="56"/>
      <c r="E1410" s="57">
        <v>93.819000000000003</v>
      </c>
      <c r="F1410" s="57">
        <v>9.3819E-2</v>
      </c>
      <c r="G1410" s="56" t="s">
        <v>392</v>
      </c>
      <c r="H1410" s="56" t="s">
        <v>1914</v>
      </c>
      <c r="I1410" s="56" t="s">
        <v>1834</v>
      </c>
      <c r="J1410" s="56"/>
      <c r="K1410" s="56"/>
      <c r="L1410" s="56"/>
      <c r="M1410" s="56"/>
      <c r="N1410" s="56" t="s">
        <v>101</v>
      </c>
      <c r="O1410" s="56">
        <v>3</v>
      </c>
      <c r="P1410" s="59" t="s">
        <v>2515</v>
      </c>
      <c r="Q1410" s="56" t="s">
        <v>192</v>
      </c>
      <c r="U1410" s="52">
        <v>4189623</v>
      </c>
      <c r="V1410">
        <v>50</v>
      </c>
      <c r="W1410">
        <v>30</v>
      </c>
      <c r="X1410">
        <v>1.6</v>
      </c>
      <c r="Y1410">
        <v>6.09</v>
      </c>
      <c r="Z1410" t="s">
        <v>2088</v>
      </c>
      <c r="AA1410" t="s">
        <v>1003</v>
      </c>
      <c r="AB1410" t="s">
        <v>2520</v>
      </c>
      <c r="AC1410" t="s">
        <v>474</v>
      </c>
      <c r="AD1410" t="s">
        <v>1838</v>
      </c>
      <c r="AE1410" t="s">
        <v>5152</v>
      </c>
      <c r="AF1410">
        <v>1.94547977844333</v>
      </c>
    </row>
    <row r="1411" spans="1:32" x14ac:dyDescent="0.25">
      <c r="A1411" s="56">
        <v>3702201</v>
      </c>
      <c r="B1411" s="56" t="s">
        <v>1968</v>
      </c>
      <c r="C1411" s="56" t="s">
        <v>5167</v>
      </c>
      <c r="D1411" s="56"/>
      <c r="E1411" s="57">
        <v>60.204000000000001</v>
      </c>
      <c r="F1411" s="57">
        <v>6.0204000000000001E-2</v>
      </c>
      <c r="G1411" s="56" t="s">
        <v>392</v>
      </c>
      <c r="H1411" s="56" t="s">
        <v>4454</v>
      </c>
      <c r="I1411" s="56" t="s">
        <v>1834</v>
      </c>
      <c r="J1411" s="56"/>
      <c r="K1411" s="56"/>
      <c r="L1411" s="56"/>
      <c r="M1411" s="56"/>
      <c r="N1411" s="56" t="s">
        <v>101</v>
      </c>
      <c r="O1411" s="56">
        <v>54</v>
      </c>
      <c r="P1411" s="59" t="s">
        <v>2532</v>
      </c>
      <c r="Q1411" s="56" t="s">
        <v>192</v>
      </c>
      <c r="U1411" s="52">
        <v>3870803</v>
      </c>
      <c r="V1411">
        <v>50</v>
      </c>
      <c r="W1411">
        <v>30</v>
      </c>
      <c r="X1411">
        <v>1.6</v>
      </c>
      <c r="Y1411">
        <v>6.1</v>
      </c>
      <c r="Z1411" t="s">
        <v>2088</v>
      </c>
      <c r="AA1411" t="s">
        <v>1003</v>
      </c>
      <c r="AB1411" t="s">
        <v>2520</v>
      </c>
      <c r="AC1411" t="s">
        <v>1824</v>
      </c>
      <c r="AD1411" t="s">
        <v>1838</v>
      </c>
      <c r="AE1411" t="s">
        <v>2394</v>
      </c>
      <c r="AF1411">
        <v>1.94547977844333</v>
      </c>
    </row>
    <row r="1412" spans="1:32" x14ac:dyDescent="0.25">
      <c r="A1412" s="56">
        <v>3702201</v>
      </c>
      <c r="B1412" s="56" t="s">
        <v>1968</v>
      </c>
      <c r="C1412" s="56" t="s">
        <v>5168</v>
      </c>
      <c r="D1412" s="56"/>
      <c r="E1412" s="57">
        <v>2146.5700000000002</v>
      </c>
      <c r="F1412" s="57">
        <v>2.1465700000000001</v>
      </c>
      <c r="G1412" s="56" t="s">
        <v>392</v>
      </c>
      <c r="H1412" s="56" t="s">
        <v>4454</v>
      </c>
      <c r="I1412" s="56" t="s">
        <v>1834</v>
      </c>
      <c r="J1412" s="56"/>
      <c r="K1412" s="56"/>
      <c r="L1412" s="56"/>
      <c r="M1412" s="56"/>
      <c r="N1412" s="56" t="s">
        <v>101</v>
      </c>
      <c r="O1412" s="56">
        <v>90</v>
      </c>
      <c r="P1412" s="59" t="s">
        <v>2579</v>
      </c>
      <c r="Q1412" s="56" t="s">
        <v>192</v>
      </c>
      <c r="U1412" s="538">
        <v>111119453</v>
      </c>
      <c r="V1412">
        <v>50</v>
      </c>
      <c r="W1412">
        <v>30</v>
      </c>
      <c r="X1412">
        <v>1.6</v>
      </c>
      <c r="Y1412">
        <v>6.16</v>
      </c>
      <c r="Z1412" t="s">
        <v>2088</v>
      </c>
      <c r="AA1412" t="s">
        <v>1003</v>
      </c>
      <c r="AB1412" t="s">
        <v>2520</v>
      </c>
      <c r="AC1412" t="s">
        <v>1824</v>
      </c>
      <c r="AD1412" t="s">
        <v>1838</v>
      </c>
      <c r="AE1412" t="s">
        <v>2394</v>
      </c>
      <c r="AF1412">
        <v>1.94547977844333</v>
      </c>
    </row>
    <row r="1413" spans="1:32" x14ac:dyDescent="0.25">
      <c r="A1413" s="56">
        <v>3702201</v>
      </c>
      <c r="B1413" s="56" t="s">
        <v>1968</v>
      </c>
      <c r="C1413" s="56" t="s">
        <v>5170</v>
      </c>
      <c r="D1413" s="56"/>
      <c r="E1413" s="57">
        <v>2041.57</v>
      </c>
      <c r="F1413" s="57">
        <v>2.0415700000000001</v>
      </c>
      <c r="G1413" s="56" t="s">
        <v>392</v>
      </c>
      <c r="H1413" s="56" t="s">
        <v>4454</v>
      </c>
      <c r="I1413" s="56" t="s">
        <v>1834</v>
      </c>
      <c r="J1413" s="56"/>
      <c r="K1413" s="56"/>
      <c r="L1413" s="56"/>
      <c r="M1413" s="56"/>
      <c r="N1413" s="56" t="s">
        <v>101</v>
      </c>
      <c r="O1413" s="56">
        <v>90</v>
      </c>
      <c r="P1413" s="59" t="s">
        <v>2579</v>
      </c>
      <c r="Q1413" s="56" t="s">
        <v>192</v>
      </c>
      <c r="U1413" s="52">
        <v>2325414</v>
      </c>
      <c r="V1413">
        <v>50</v>
      </c>
      <c r="W1413">
        <v>30</v>
      </c>
      <c r="X1413">
        <v>2</v>
      </c>
      <c r="Y1413">
        <v>0.14000000000000001</v>
      </c>
      <c r="Z1413" t="s">
        <v>1868</v>
      </c>
      <c r="AA1413" t="s">
        <v>1003</v>
      </c>
      <c r="AB1413" t="s">
        <v>2520</v>
      </c>
      <c r="AC1413" t="s">
        <v>841</v>
      </c>
      <c r="AD1413" t="s">
        <v>2171</v>
      </c>
      <c r="AE1413" t="s">
        <v>5161</v>
      </c>
      <c r="AF1413">
        <v>0.33769827322758278</v>
      </c>
    </row>
    <row r="1414" spans="1:32" x14ac:dyDescent="0.25">
      <c r="A1414" s="56">
        <v>3702207</v>
      </c>
      <c r="B1414" s="56" t="s">
        <v>5171</v>
      </c>
      <c r="C1414" s="56" t="s">
        <v>5172</v>
      </c>
      <c r="D1414" s="56"/>
      <c r="E1414" s="57">
        <v>362.15600000000001</v>
      </c>
      <c r="F1414" s="57">
        <v>0.36215600000000003</v>
      </c>
      <c r="G1414" s="56" t="s">
        <v>392</v>
      </c>
      <c r="H1414" s="56" t="s">
        <v>4454</v>
      </c>
      <c r="I1414" s="56" t="s">
        <v>1834</v>
      </c>
      <c r="J1414" s="56"/>
      <c r="K1414" s="56"/>
      <c r="L1414" s="56"/>
      <c r="M1414" s="56"/>
      <c r="N1414" s="56" t="s">
        <v>76</v>
      </c>
      <c r="O1414" s="56">
        <v>114</v>
      </c>
      <c r="P1414" s="59" t="s">
        <v>2524</v>
      </c>
      <c r="Q1414" s="56" t="s">
        <v>2561</v>
      </c>
      <c r="U1414" s="52">
        <v>3219709</v>
      </c>
      <c r="V1414">
        <v>50</v>
      </c>
      <c r="W1414">
        <v>30</v>
      </c>
      <c r="X1414">
        <v>2</v>
      </c>
      <c r="Y1414">
        <v>0.56499999999999995</v>
      </c>
      <c r="Z1414" t="s">
        <v>1868</v>
      </c>
      <c r="AA1414" t="s">
        <v>1003</v>
      </c>
      <c r="AB1414" t="s">
        <v>2520</v>
      </c>
      <c r="AC1414" t="s">
        <v>841</v>
      </c>
      <c r="AD1414" t="s">
        <v>2171</v>
      </c>
      <c r="AE1414" t="s">
        <v>5163</v>
      </c>
      <c r="AF1414">
        <v>1.3628537455256018</v>
      </c>
    </row>
    <row r="1415" spans="1:32" x14ac:dyDescent="0.25">
      <c r="A1415" s="56">
        <v>3702207</v>
      </c>
      <c r="B1415" s="56" t="s">
        <v>5171</v>
      </c>
      <c r="C1415" s="56" t="s">
        <v>5173</v>
      </c>
      <c r="D1415" s="56"/>
      <c r="E1415" s="57">
        <v>510.69299999999998</v>
      </c>
      <c r="F1415" s="57">
        <v>0.51069299999999995</v>
      </c>
      <c r="G1415" s="56" t="s">
        <v>392</v>
      </c>
      <c r="H1415" s="56" t="s">
        <v>4454</v>
      </c>
      <c r="I1415" s="56" t="s">
        <v>1834</v>
      </c>
      <c r="J1415" s="56"/>
      <c r="K1415" s="56"/>
      <c r="L1415" s="56"/>
      <c r="M1415" s="56"/>
      <c r="N1415" s="56" t="s">
        <v>76</v>
      </c>
      <c r="O1415" s="56">
        <v>63</v>
      </c>
      <c r="P1415" s="59" t="s">
        <v>2579</v>
      </c>
      <c r="Q1415" s="56" t="s">
        <v>2561</v>
      </c>
      <c r="U1415" s="52">
        <v>1940881</v>
      </c>
      <c r="V1415">
        <v>50</v>
      </c>
      <c r="W1415">
        <v>30</v>
      </c>
      <c r="X1415">
        <v>2</v>
      </c>
      <c r="Y1415">
        <v>0.73</v>
      </c>
      <c r="Z1415" t="s">
        <v>1891</v>
      </c>
      <c r="AA1415" t="s">
        <v>1003</v>
      </c>
      <c r="AB1415" t="s">
        <v>2520</v>
      </c>
      <c r="AC1415" t="s">
        <v>841</v>
      </c>
      <c r="AD1415" t="s">
        <v>2171</v>
      </c>
      <c r="AE1415" t="s">
        <v>843</v>
      </c>
      <c r="AF1415">
        <v>1.7608552818295387</v>
      </c>
    </row>
    <row r="1416" spans="1:32" x14ac:dyDescent="0.25">
      <c r="A1416" s="56">
        <v>3702207</v>
      </c>
      <c r="B1416" s="56" t="s">
        <v>5171</v>
      </c>
      <c r="C1416" s="56" t="s">
        <v>5175</v>
      </c>
      <c r="D1416" s="56"/>
      <c r="E1416" s="57">
        <v>362.00200000000001</v>
      </c>
      <c r="F1416" s="57">
        <v>0.36200199999999999</v>
      </c>
      <c r="G1416" s="56" t="s">
        <v>392</v>
      </c>
      <c r="H1416" s="56" t="s">
        <v>4454</v>
      </c>
      <c r="I1416" s="56" t="s">
        <v>1834</v>
      </c>
      <c r="J1416" s="56"/>
      <c r="K1416" s="56"/>
      <c r="L1416" s="56"/>
      <c r="M1416" s="56"/>
      <c r="N1416" s="56" t="s">
        <v>76</v>
      </c>
      <c r="O1416" s="56">
        <v>142</v>
      </c>
      <c r="P1416" s="59" t="s">
        <v>2524</v>
      </c>
      <c r="Q1416" s="56" t="s">
        <v>2561</v>
      </c>
      <c r="U1416" s="538">
        <v>110103007</v>
      </c>
      <c r="V1416">
        <v>50</v>
      </c>
      <c r="W1416">
        <v>30</v>
      </c>
      <c r="X1416">
        <v>2</v>
      </c>
      <c r="Y1416">
        <v>5.93</v>
      </c>
      <c r="Z1416" t="s">
        <v>1891</v>
      </c>
      <c r="AA1416" t="s">
        <v>1003</v>
      </c>
      <c r="AB1416" t="s">
        <v>2520</v>
      </c>
      <c r="AC1416" t="s">
        <v>841</v>
      </c>
      <c r="AD1416" t="s">
        <v>1838</v>
      </c>
      <c r="AE1416" t="s">
        <v>5165</v>
      </c>
      <c r="AF1416">
        <v>2.4121305230541625</v>
      </c>
    </row>
    <row r="1417" spans="1:32" x14ac:dyDescent="0.25">
      <c r="A1417" s="56">
        <v>3702863</v>
      </c>
      <c r="B1417" s="56" t="s">
        <v>2000</v>
      </c>
      <c r="C1417" s="56" t="s">
        <v>5178</v>
      </c>
      <c r="D1417" s="56"/>
      <c r="E1417" s="57">
        <v>2000</v>
      </c>
      <c r="F1417" s="57">
        <v>2</v>
      </c>
      <c r="G1417" s="56" t="s">
        <v>392</v>
      </c>
      <c r="H1417" s="56" t="s">
        <v>4454</v>
      </c>
      <c r="I1417" s="56" t="s">
        <v>4455</v>
      </c>
      <c r="J1417" s="56"/>
      <c r="K1417" s="56"/>
      <c r="L1417" s="56"/>
      <c r="M1417" s="56"/>
      <c r="N1417" s="56" t="s">
        <v>151</v>
      </c>
      <c r="O1417" s="56">
        <v>111</v>
      </c>
      <c r="P1417" s="59" t="s">
        <v>2524</v>
      </c>
      <c r="Q1417" s="56" t="s">
        <v>11</v>
      </c>
      <c r="U1417" s="52">
        <v>1931545</v>
      </c>
      <c r="V1417">
        <v>50</v>
      </c>
      <c r="W1417">
        <v>30</v>
      </c>
      <c r="X1417">
        <v>2</v>
      </c>
      <c r="Y1417">
        <v>6</v>
      </c>
      <c r="Z1417" t="s">
        <v>1883</v>
      </c>
      <c r="AA1417" t="s">
        <v>1003</v>
      </c>
      <c r="AB1417" t="s">
        <v>2520</v>
      </c>
      <c r="AC1417" t="s">
        <v>841</v>
      </c>
      <c r="AD1417" t="s">
        <v>1838</v>
      </c>
      <c r="AE1417" t="s">
        <v>5165</v>
      </c>
      <c r="AF1417">
        <v>2.4121305230541625</v>
      </c>
    </row>
    <row r="1418" spans="1:32" x14ac:dyDescent="0.25">
      <c r="A1418" s="56">
        <v>3702863</v>
      </c>
      <c r="B1418" s="56" t="s">
        <v>2000</v>
      </c>
      <c r="C1418" s="56" t="s">
        <v>5179</v>
      </c>
      <c r="D1418" s="56"/>
      <c r="E1418" s="57">
        <v>1827</v>
      </c>
      <c r="F1418" s="57">
        <v>1.827</v>
      </c>
      <c r="G1418" s="56" t="s">
        <v>392</v>
      </c>
      <c r="H1418" s="56" t="s">
        <v>4454</v>
      </c>
      <c r="I1418" s="56" t="s">
        <v>4455</v>
      </c>
      <c r="J1418" s="56"/>
      <c r="K1418" s="56"/>
      <c r="L1418" s="56"/>
      <c r="M1418" s="56"/>
      <c r="N1418" s="56" t="s">
        <v>151</v>
      </c>
      <c r="O1418" s="56">
        <v>111</v>
      </c>
      <c r="P1418" s="59" t="s">
        <v>2524</v>
      </c>
      <c r="Q1418" s="56" t="s">
        <v>11</v>
      </c>
      <c r="U1418">
        <v>3702123</v>
      </c>
      <c r="V1418">
        <v>50</v>
      </c>
      <c r="W1418">
        <v>30</v>
      </c>
      <c r="X1418">
        <v>2</v>
      </c>
      <c r="Y1418">
        <v>6</v>
      </c>
      <c r="Z1418" t="s">
        <v>1874</v>
      </c>
      <c r="AA1418" t="s">
        <v>1003</v>
      </c>
      <c r="AB1418" t="s">
        <v>2520</v>
      </c>
      <c r="AC1418" t="s">
        <v>841</v>
      </c>
      <c r="AD1418" t="s">
        <v>1838</v>
      </c>
      <c r="AE1418" t="s">
        <v>5165</v>
      </c>
      <c r="AF1418">
        <v>2.4121305230541625</v>
      </c>
    </row>
    <row r="1419" spans="1:32" x14ac:dyDescent="0.25">
      <c r="A1419" s="56">
        <v>3702863</v>
      </c>
      <c r="B1419" s="56" t="s">
        <v>2000</v>
      </c>
      <c r="C1419" s="56" t="s">
        <v>5180</v>
      </c>
      <c r="D1419" s="56"/>
      <c r="E1419" s="57">
        <v>1708</v>
      </c>
      <c r="F1419" s="57">
        <v>1.708</v>
      </c>
      <c r="G1419" s="56" t="s">
        <v>392</v>
      </c>
      <c r="H1419" s="56" t="s">
        <v>4454</v>
      </c>
      <c r="I1419" s="56" t="s">
        <v>4455</v>
      </c>
      <c r="J1419" s="56"/>
      <c r="K1419" s="56"/>
      <c r="L1419" s="56"/>
      <c r="M1419" s="56"/>
      <c r="N1419" s="56" t="s">
        <v>151</v>
      </c>
      <c r="O1419" s="56">
        <v>111</v>
      </c>
      <c r="P1419" s="59" t="s">
        <v>2524</v>
      </c>
      <c r="Q1419" s="56" t="s">
        <v>11</v>
      </c>
      <c r="U1419" s="588">
        <v>4229654</v>
      </c>
      <c r="V1419">
        <v>50</v>
      </c>
      <c r="W1419">
        <v>30</v>
      </c>
      <c r="X1419">
        <v>2.5</v>
      </c>
      <c r="Y1419">
        <v>0.76500000000000001</v>
      </c>
      <c r="Z1419" t="s">
        <v>1891</v>
      </c>
      <c r="AA1419" t="s">
        <v>1003</v>
      </c>
      <c r="AB1419" t="s">
        <v>2520</v>
      </c>
      <c r="AC1419" t="s">
        <v>1064</v>
      </c>
      <c r="AD1419" t="s">
        <v>2171</v>
      </c>
      <c r="AE1419" t="s">
        <v>6606</v>
      </c>
      <c r="AF1419" t="e">
        <f>IF([4]!buckets[[#This Row],[LL or CTL]]="LL",(3.14*([4]!buckets[[#This Row],[OD]]-[4]!buckets[[#This Row],[Thickness]])*[4]!buckets[[#This Row],[Thickness]]*1000*7.85)/1000000,(3.14*([4]!buckets[[#This Row],[OD]]-[4]!buckets[[#This Row],[Thickness]])*[4]!buckets[[#This Row],[Thickness]]*[4]!buckets[[#This Row],[Length]]*1000*7.85)/1000000)</f>
        <v>#REF!</v>
      </c>
    </row>
    <row r="1420" spans="1:32" x14ac:dyDescent="0.25">
      <c r="A1420" s="56">
        <v>3702863</v>
      </c>
      <c r="B1420" s="56" t="s">
        <v>2000</v>
      </c>
      <c r="C1420" s="56" t="s">
        <v>5181</v>
      </c>
      <c r="D1420" s="56"/>
      <c r="E1420" s="57">
        <v>317.54000000000002</v>
      </c>
      <c r="F1420" s="57">
        <v>0.31754000000000004</v>
      </c>
      <c r="G1420" s="56" t="s">
        <v>392</v>
      </c>
      <c r="H1420" s="56" t="s">
        <v>4454</v>
      </c>
      <c r="I1420" s="56" t="s">
        <v>4455</v>
      </c>
      <c r="J1420" s="56"/>
      <c r="K1420" s="56"/>
      <c r="L1420" s="56"/>
      <c r="M1420" s="56"/>
      <c r="N1420" s="56" t="s">
        <v>151</v>
      </c>
      <c r="O1420" s="56">
        <v>13</v>
      </c>
      <c r="P1420" s="59" t="s">
        <v>2515</v>
      </c>
      <c r="Q1420" s="56" t="s">
        <v>11</v>
      </c>
      <c r="U1420" s="588">
        <v>4141595</v>
      </c>
      <c r="V1420">
        <v>50</v>
      </c>
      <c r="W1420">
        <v>30</v>
      </c>
      <c r="X1420">
        <v>2.5</v>
      </c>
      <c r="Y1420">
        <v>0.77</v>
      </c>
      <c r="Z1420" t="s">
        <v>1891</v>
      </c>
      <c r="AA1420" t="s">
        <v>1003</v>
      </c>
      <c r="AB1420" t="s">
        <v>2520</v>
      </c>
      <c r="AC1420" t="s">
        <v>1064</v>
      </c>
      <c r="AD1420" t="s">
        <v>2171</v>
      </c>
      <c r="AE1420" t="s">
        <v>6607</v>
      </c>
      <c r="AF1420" t="e">
        <f>IF([4]!buckets[[#This Row],[LL or CTL]]="LL",(3.14*([4]!buckets[[#This Row],[OD]]-[4]!buckets[[#This Row],[Thickness]])*[4]!buckets[[#This Row],[Thickness]]*1000*7.85)/1000000,(3.14*([4]!buckets[[#This Row],[OD]]-[4]!buckets[[#This Row],[Thickness]])*[4]!buckets[[#This Row],[Thickness]]*[4]!buckets[[#This Row],[Length]]*1000*7.85)/1000000)</f>
        <v>#REF!</v>
      </c>
    </row>
    <row r="1421" spans="1:32" x14ac:dyDescent="0.25">
      <c r="A1421" s="56">
        <v>3702863</v>
      </c>
      <c r="B1421" s="56" t="s">
        <v>2000</v>
      </c>
      <c r="C1421" s="56" t="s">
        <v>5182</v>
      </c>
      <c r="D1421" s="56"/>
      <c r="E1421" s="57">
        <v>1462.18</v>
      </c>
      <c r="F1421" s="57">
        <v>1.46218</v>
      </c>
      <c r="G1421" s="56" t="s">
        <v>392</v>
      </c>
      <c r="H1421" s="56" t="s">
        <v>4454</v>
      </c>
      <c r="I1421" s="56" t="s">
        <v>4455</v>
      </c>
      <c r="J1421" s="56"/>
      <c r="K1421" s="56"/>
      <c r="L1421" s="56"/>
      <c r="M1421" s="56"/>
      <c r="N1421" s="56" t="s">
        <v>151</v>
      </c>
      <c r="O1421" s="56">
        <v>87</v>
      </c>
      <c r="P1421" s="59" t="s">
        <v>2579</v>
      </c>
      <c r="Q1421" s="56" t="s">
        <v>11</v>
      </c>
      <c r="U1421" s="588">
        <v>4265906</v>
      </c>
      <c r="V1421">
        <v>50</v>
      </c>
      <c r="W1421">
        <v>30</v>
      </c>
      <c r="X1421">
        <v>2.5</v>
      </c>
      <c r="Y1421">
        <v>6.1929999999999996</v>
      </c>
      <c r="Z1421" t="s">
        <v>1891</v>
      </c>
      <c r="AA1421" t="s">
        <v>1003</v>
      </c>
      <c r="AB1421" t="s">
        <v>2520</v>
      </c>
      <c r="AC1421" t="s">
        <v>1064</v>
      </c>
      <c r="AD1421" t="s">
        <v>1838</v>
      </c>
      <c r="AE1421" t="s">
        <v>6605</v>
      </c>
      <c r="AF1421" t="e">
        <f>IF([4]!buckets[[#This Row],[LL or CTL]]="LL",(3.14*([4]!buckets[[#This Row],[OD]]-[4]!buckets[[#This Row],[Thickness]])*[4]!buckets[[#This Row],[Thickness]]*1000*7.85)/1000000,(3.14*([4]!buckets[[#This Row],[OD]]-[4]!buckets[[#This Row],[Thickness]])*[4]!buckets[[#This Row],[Thickness]]*[4]!buckets[[#This Row],[Length]]*1000*7.85)/1000000)</f>
        <v>#REF!</v>
      </c>
    </row>
    <row r="1422" spans="1:32" x14ac:dyDescent="0.25">
      <c r="A1422" s="56">
        <v>3702863</v>
      </c>
      <c r="B1422" s="56" t="s">
        <v>2000</v>
      </c>
      <c r="C1422" s="56" t="s">
        <v>5184</v>
      </c>
      <c r="D1422" s="56"/>
      <c r="E1422" s="57">
        <v>1486</v>
      </c>
      <c r="F1422" s="57">
        <v>1.486</v>
      </c>
      <c r="G1422" s="56" t="s">
        <v>392</v>
      </c>
      <c r="H1422" s="56" t="s">
        <v>4454</v>
      </c>
      <c r="I1422" s="56" t="s">
        <v>4455</v>
      </c>
      <c r="J1422" s="56"/>
      <c r="K1422" s="56"/>
      <c r="L1422" s="56"/>
      <c r="M1422" s="56"/>
      <c r="N1422" s="56" t="s">
        <v>151</v>
      </c>
      <c r="O1422" s="56">
        <v>111</v>
      </c>
      <c r="P1422" s="59" t="s">
        <v>2524</v>
      </c>
      <c r="Q1422" s="56" t="s">
        <v>11</v>
      </c>
      <c r="U1422" s="52">
        <v>3191790</v>
      </c>
      <c r="V1422">
        <v>50</v>
      </c>
      <c r="W1422">
        <v>50</v>
      </c>
      <c r="X1422">
        <v>1.6</v>
      </c>
      <c r="Y1422">
        <v>0.54200000000000004</v>
      </c>
      <c r="Z1422" t="s">
        <v>1881</v>
      </c>
      <c r="AA1422" t="s">
        <v>963</v>
      </c>
      <c r="AB1422" t="s">
        <v>2520</v>
      </c>
      <c r="AC1422" t="s">
        <v>895</v>
      </c>
      <c r="AD1422" t="s">
        <v>2171</v>
      </c>
      <c r="AE1422" t="s">
        <v>5169</v>
      </c>
      <c r="AF1422">
        <v>1.3266127950153559</v>
      </c>
    </row>
    <row r="1423" spans="1:32" x14ac:dyDescent="0.25">
      <c r="A1423" s="56">
        <v>3702863</v>
      </c>
      <c r="B1423" s="56" t="s">
        <v>2000</v>
      </c>
      <c r="C1423" s="56" t="s">
        <v>5186</v>
      </c>
      <c r="D1423" s="56"/>
      <c r="E1423" s="57">
        <v>1742</v>
      </c>
      <c r="F1423" s="57">
        <v>1.742</v>
      </c>
      <c r="G1423" s="56" t="s">
        <v>392</v>
      </c>
      <c r="H1423" s="56" t="s">
        <v>4454</v>
      </c>
      <c r="I1423" s="56" t="s">
        <v>4455</v>
      </c>
      <c r="J1423" s="56"/>
      <c r="K1423" s="56"/>
      <c r="L1423" s="56"/>
      <c r="M1423" s="56"/>
      <c r="N1423" s="56" t="s">
        <v>151</v>
      </c>
      <c r="O1423" s="56">
        <v>87</v>
      </c>
      <c r="P1423" s="59" t="s">
        <v>2579</v>
      </c>
      <c r="Q1423" s="56" t="s">
        <v>11</v>
      </c>
      <c r="U1423" s="52">
        <v>1938127</v>
      </c>
      <c r="V1423">
        <v>50</v>
      </c>
      <c r="W1423">
        <v>50</v>
      </c>
      <c r="X1423">
        <v>1.6</v>
      </c>
      <c r="Y1423">
        <v>0.84699999999999998</v>
      </c>
      <c r="Z1423" t="s">
        <v>1883</v>
      </c>
      <c r="AA1423" t="s">
        <v>963</v>
      </c>
      <c r="AB1423" t="s">
        <v>2520</v>
      </c>
      <c r="AC1423" t="s">
        <v>895</v>
      </c>
      <c r="AD1423" t="s">
        <v>2171</v>
      </c>
      <c r="AE1423" t="s">
        <v>897</v>
      </c>
      <c r="AF1423">
        <v>2.0731384453468751</v>
      </c>
    </row>
    <row r="1424" spans="1:32" x14ac:dyDescent="0.25">
      <c r="A1424" s="56">
        <v>3702863</v>
      </c>
      <c r="B1424" s="56" t="s">
        <v>2000</v>
      </c>
      <c r="C1424" s="56" t="s">
        <v>5187</v>
      </c>
      <c r="D1424" s="56"/>
      <c r="E1424" s="57">
        <v>505.21300000000002</v>
      </c>
      <c r="F1424" s="57">
        <v>0.50521300000000002</v>
      </c>
      <c r="G1424" s="56" t="s">
        <v>392</v>
      </c>
      <c r="H1424" s="56" t="s">
        <v>4454</v>
      </c>
      <c r="I1424" s="56" t="s">
        <v>4455</v>
      </c>
      <c r="J1424" s="56"/>
      <c r="K1424" s="56"/>
      <c r="L1424" s="56"/>
      <c r="M1424" s="56"/>
      <c r="N1424" s="56" t="s">
        <v>151</v>
      </c>
      <c r="O1424" s="56">
        <v>77</v>
      </c>
      <c r="P1424" s="59" t="s">
        <v>2579</v>
      </c>
      <c r="Q1424" s="56" t="s">
        <v>11</v>
      </c>
      <c r="U1424" s="52">
        <v>468843</v>
      </c>
      <c r="V1424">
        <v>50</v>
      </c>
      <c r="W1424">
        <v>50</v>
      </c>
      <c r="X1424">
        <v>1.6</v>
      </c>
      <c r="Y1424">
        <v>0.84699999999999998</v>
      </c>
      <c r="Z1424" t="s">
        <v>1914</v>
      </c>
      <c r="AA1424" t="s">
        <v>963</v>
      </c>
      <c r="AB1424" t="s">
        <v>2520</v>
      </c>
      <c r="AC1424" t="s">
        <v>895</v>
      </c>
      <c r="AD1424" t="s">
        <v>2171</v>
      </c>
      <c r="AE1424" t="s">
        <v>897</v>
      </c>
      <c r="AF1424">
        <v>2.0731384453468751</v>
      </c>
    </row>
    <row r="1425" spans="1:32" x14ac:dyDescent="0.25">
      <c r="A1425" s="56">
        <v>3702863</v>
      </c>
      <c r="B1425" s="56" t="s">
        <v>2000</v>
      </c>
      <c r="C1425" s="56" t="s">
        <v>5188</v>
      </c>
      <c r="D1425" s="56"/>
      <c r="E1425" s="57">
        <v>966.822</v>
      </c>
      <c r="F1425" s="57">
        <v>0.96682199999999996</v>
      </c>
      <c r="G1425" s="56" t="s">
        <v>392</v>
      </c>
      <c r="H1425" s="56" t="s">
        <v>4454</v>
      </c>
      <c r="I1425" s="56" t="s">
        <v>4455</v>
      </c>
      <c r="J1425" s="56"/>
      <c r="K1425" s="56"/>
      <c r="L1425" s="56"/>
      <c r="M1425" s="56"/>
      <c r="N1425" s="56" t="s">
        <v>151</v>
      </c>
      <c r="O1425" s="56">
        <v>80</v>
      </c>
      <c r="P1425" s="59" t="s">
        <v>2579</v>
      </c>
      <c r="Q1425" s="56" t="s">
        <v>11</v>
      </c>
      <c r="U1425">
        <v>3781664</v>
      </c>
      <c r="V1425">
        <v>50</v>
      </c>
      <c r="W1425">
        <v>50</v>
      </c>
      <c r="X1425">
        <v>1.6</v>
      </c>
      <c r="Y1425">
        <v>0.84699999999999998</v>
      </c>
      <c r="Z1425" t="s">
        <v>5174</v>
      </c>
      <c r="AA1425" t="s">
        <v>963</v>
      </c>
      <c r="AB1425" t="s">
        <v>2520</v>
      </c>
      <c r="AC1425" t="s">
        <v>895</v>
      </c>
      <c r="AD1425" t="s">
        <v>2171</v>
      </c>
      <c r="AE1425" t="s">
        <v>897</v>
      </c>
      <c r="AF1425">
        <v>2.0731384453468751</v>
      </c>
    </row>
    <row r="1426" spans="1:32" x14ac:dyDescent="0.25">
      <c r="A1426" s="56">
        <v>3702863</v>
      </c>
      <c r="B1426" s="56" t="s">
        <v>2000</v>
      </c>
      <c r="C1426" s="56" t="s">
        <v>5186</v>
      </c>
      <c r="D1426" s="56"/>
      <c r="E1426" s="57">
        <v>111</v>
      </c>
      <c r="F1426" s="57">
        <v>0.111</v>
      </c>
      <c r="G1426" s="56" t="s">
        <v>392</v>
      </c>
      <c r="H1426" s="56" t="s">
        <v>4454</v>
      </c>
      <c r="I1426" s="56" t="s">
        <v>1834</v>
      </c>
      <c r="J1426" s="56"/>
      <c r="K1426" s="56"/>
      <c r="L1426" s="56"/>
      <c r="M1426" s="56"/>
      <c r="N1426" s="56" t="s">
        <v>151</v>
      </c>
      <c r="O1426" s="56">
        <v>91</v>
      </c>
      <c r="P1426" s="59" t="s">
        <v>2524</v>
      </c>
      <c r="Q1426" s="56" t="s">
        <v>11</v>
      </c>
      <c r="U1426" s="52">
        <v>1931849</v>
      </c>
      <c r="V1426">
        <v>50</v>
      </c>
      <c r="W1426">
        <v>50</v>
      </c>
      <c r="X1426">
        <v>1.6</v>
      </c>
      <c r="Y1426">
        <v>6</v>
      </c>
      <c r="Z1426" t="s">
        <v>1883</v>
      </c>
      <c r="AA1426" t="s">
        <v>963</v>
      </c>
      <c r="AB1426" t="s">
        <v>2520</v>
      </c>
      <c r="AC1426" t="s">
        <v>5176</v>
      </c>
      <c r="AD1426" t="s">
        <v>1838</v>
      </c>
      <c r="AE1426" t="s">
        <v>5177</v>
      </c>
      <c r="AF1426">
        <v>2.4476250830541622</v>
      </c>
    </row>
    <row r="1427" spans="1:32" x14ac:dyDescent="0.25">
      <c r="A1427" s="56">
        <v>3702875</v>
      </c>
      <c r="B1427" s="56" t="s">
        <v>2007</v>
      </c>
      <c r="C1427" s="56" t="s">
        <v>5189</v>
      </c>
      <c r="D1427" s="56"/>
      <c r="E1427" s="57">
        <v>466.48</v>
      </c>
      <c r="F1427" s="57">
        <v>0.46648000000000001</v>
      </c>
      <c r="G1427" s="56" t="s">
        <v>392</v>
      </c>
      <c r="H1427" s="56" t="s">
        <v>4454</v>
      </c>
      <c r="I1427" s="56" t="s">
        <v>4455</v>
      </c>
      <c r="J1427" s="56"/>
      <c r="K1427" s="56"/>
      <c r="L1427" s="56"/>
      <c r="M1427" s="56"/>
      <c r="N1427" s="56" t="s">
        <v>39</v>
      </c>
      <c r="O1427" s="56">
        <v>12</v>
      </c>
      <c r="P1427" s="59" t="s">
        <v>2515</v>
      </c>
      <c r="Q1427" s="56" t="s">
        <v>2516</v>
      </c>
      <c r="U1427" s="52">
        <v>3500268</v>
      </c>
      <c r="V1427">
        <v>50</v>
      </c>
      <c r="W1427">
        <v>50</v>
      </c>
      <c r="X1427">
        <v>1.6</v>
      </c>
      <c r="Y1427">
        <v>6</v>
      </c>
      <c r="Z1427" t="s">
        <v>1914</v>
      </c>
      <c r="AA1427" t="s">
        <v>963</v>
      </c>
      <c r="AB1427" t="s">
        <v>2520</v>
      </c>
      <c r="AC1427" t="s">
        <v>895</v>
      </c>
      <c r="AD1427" t="s">
        <v>1838</v>
      </c>
      <c r="AE1427" t="s">
        <v>2361</v>
      </c>
      <c r="AF1427">
        <v>2.4476250830541622</v>
      </c>
    </row>
    <row r="1428" spans="1:32" x14ac:dyDescent="0.25">
      <c r="A1428" s="56">
        <v>3711330</v>
      </c>
      <c r="B1428" s="56" t="s">
        <v>925</v>
      </c>
      <c r="C1428" s="56" t="s">
        <v>5191</v>
      </c>
      <c r="D1428" s="56"/>
      <c r="E1428" s="57">
        <v>179.71600000000001</v>
      </c>
      <c r="F1428" s="57">
        <v>0.17971600000000001</v>
      </c>
      <c r="G1428" s="56" t="s">
        <v>392</v>
      </c>
      <c r="H1428" s="56" t="s">
        <v>4454</v>
      </c>
      <c r="I1428" s="56" t="s">
        <v>1834</v>
      </c>
      <c r="J1428" s="56"/>
      <c r="K1428" s="56"/>
      <c r="L1428" s="56"/>
      <c r="M1428" s="56"/>
      <c r="N1428" s="56" t="s">
        <v>151</v>
      </c>
      <c r="O1428" s="56">
        <v>117</v>
      </c>
      <c r="P1428" s="59" t="s">
        <v>2524</v>
      </c>
      <c r="Q1428" s="56" t="s">
        <v>11</v>
      </c>
      <c r="U1428" s="52">
        <v>3500641</v>
      </c>
      <c r="V1428">
        <v>50</v>
      </c>
      <c r="W1428">
        <v>50</v>
      </c>
      <c r="X1428">
        <v>1.6</v>
      </c>
      <c r="Y1428">
        <v>6.1</v>
      </c>
      <c r="Z1428" t="s">
        <v>1883</v>
      </c>
      <c r="AA1428" t="s">
        <v>1003</v>
      </c>
      <c r="AB1428" t="s">
        <v>2520</v>
      </c>
      <c r="AC1428" t="s">
        <v>5176</v>
      </c>
      <c r="AD1428" t="s">
        <v>1838</v>
      </c>
      <c r="AE1428" t="s">
        <v>5177</v>
      </c>
      <c r="AF1428">
        <v>2.4476250830541622</v>
      </c>
    </row>
    <row r="1429" spans="1:32" x14ac:dyDescent="0.25">
      <c r="A1429" s="56">
        <v>3715133</v>
      </c>
      <c r="B1429" s="56" t="s">
        <v>2084</v>
      </c>
      <c r="C1429" s="56" t="s">
        <v>5192</v>
      </c>
      <c r="D1429" s="56"/>
      <c r="E1429" s="57">
        <v>159.29599999999999</v>
      </c>
      <c r="F1429" s="57">
        <v>0.15929599999999999</v>
      </c>
      <c r="G1429" s="56" t="s">
        <v>392</v>
      </c>
      <c r="H1429" s="56" t="s">
        <v>4454</v>
      </c>
      <c r="I1429" s="56" t="s">
        <v>4455</v>
      </c>
      <c r="J1429" s="56"/>
      <c r="K1429" s="56"/>
      <c r="L1429" s="56"/>
      <c r="M1429" s="56"/>
      <c r="N1429" s="56" t="s">
        <v>52</v>
      </c>
      <c r="O1429" s="56">
        <v>19</v>
      </c>
      <c r="P1429" s="59" t="s">
        <v>2515</v>
      </c>
      <c r="Q1429" s="56" t="s">
        <v>2516</v>
      </c>
      <c r="U1429" s="52">
        <v>3502322</v>
      </c>
      <c r="V1429">
        <v>50</v>
      </c>
      <c r="W1429">
        <v>50</v>
      </c>
      <c r="X1429">
        <v>1.6</v>
      </c>
      <c r="Y1429">
        <v>6.25</v>
      </c>
      <c r="Z1429" t="s">
        <v>1914</v>
      </c>
      <c r="AA1429" t="s">
        <v>963</v>
      </c>
      <c r="AB1429" t="s">
        <v>2520</v>
      </c>
      <c r="AC1429" t="s">
        <v>895</v>
      </c>
      <c r="AD1429" t="s">
        <v>1838</v>
      </c>
      <c r="AE1429" t="s">
        <v>2361</v>
      </c>
      <c r="AF1429">
        <v>2.4476250830541622</v>
      </c>
    </row>
    <row r="1430" spans="1:32" x14ac:dyDescent="0.25">
      <c r="A1430" s="56">
        <v>3722021</v>
      </c>
      <c r="B1430" s="56" t="s">
        <v>884</v>
      </c>
      <c r="C1430" s="56" t="s">
        <v>5193</v>
      </c>
      <c r="D1430" s="56"/>
      <c r="E1430" s="57">
        <v>335.75400000000002</v>
      </c>
      <c r="F1430" s="57">
        <v>0.335754</v>
      </c>
      <c r="G1430" s="56" t="s">
        <v>392</v>
      </c>
      <c r="H1430" s="56" t="s">
        <v>4454</v>
      </c>
      <c r="I1430" s="56" t="s">
        <v>1834</v>
      </c>
      <c r="J1430" s="56"/>
      <c r="K1430" s="56"/>
      <c r="L1430" s="56"/>
      <c r="M1430" s="56"/>
      <c r="N1430" s="56" t="s">
        <v>52</v>
      </c>
      <c r="O1430" s="56">
        <v>6</v>
      </c>
      <c r="P1430" s="59" t="s">
        <v>2515</v>
      </c>
      <c r="Q1430" s="56" t="s">
        <v>2516</v>
      </c>
      <c r="U1430" s="52">
        <v>3531648</v>
      </c>
      <c r="V1430">
        <v>50.8</v>
      </c>
      <c r="W1430">
        <v>0</v>
      </c>
      <c r="X1430">
        <v>1.4</v>
      </c>
      <c r="Y1430">
        <v>0.73899999999999999</v>
      </c>
      <c r="Z1430" t="s">
        <v>2088</v>
      </c>
      <c r="AA1430" t="s">
        <v>1003</v>
      </c>
      <c r="AB1430" t="s">
        <v>2520</v>
      </c>
      <c r="AC1430" t="s">
        <v>2305</v>
      </c>
      <c r="AD1430" t="s">
        <v>2171</v>
      </c>
      <c r="AE1430" t="s">
        <v>2306</v>
      </c>
      <c r="AF1430">
        <v>1.2597916567599998</v>
      </c>
    </row>
    <row r="1431" spans="1:32" x14ac:dyDescent="0.25">
      <c r="A1431" s="56">
        <v>3722021</v>
      </c>
      <c r="B1431" s="56" t="s">
        <v>884</v>
      </c>
      <c r="C1431" s="56" t="s">
        <v>4979</v>
      </c>
      <c r="D1431" s="56"/>
      <c r="E1431" s="57">
        <v>689.94200000000001</v>
      </c>
      <c r="F1431" s="57">
        <v>0.68994200000000006</v>
      </c>
      <c r="G1431" s="56" t="s">
        <v>392</v>
      </c>
      <c r="H1431" s="56" t="s">
        <v>4454</v>
      </c>
      <c r="I1431" s="56" t="s">
        <v>1834</v>
      </c>
      <c r="J1431" s="56"/>
      <c r="K1431" s="56"/>
      <c r="L1431" s="56"/>
      <c r="M1431" s="56"/>
      <c r="N1431" s="56" t="s">
        <v>52</v>
      </c>
      <c r="O1431" s="56">
        <v>4</v>
      </c>
      <c r="P1431" s="59" t="s">
        <v>2515</v>
      </c>
      <c r="Q1431" s="56" t="s">
        <v>2516</v>
      </c>
      <c r="U1431" s="52">
        <v>3501133</v>
      </c>
      <c r="V1431">
        <v>50.8</v>
      </c>
      <c r="W1431">
        <v>0</v>
      </c>
      <c r="X1431">
        <v>1.4</v>
      </c>
      <c r="Y1431">
        <v>5.9539999999999997</v>
      </c>
      <c r="Z1431" t="s">
        <v>1914</v>
      </c>
      <c r="AA1431" t="s">
        <v>1003</v>
      </c>
      <c r="AB1431" t="s">
        <v>4343</v>
      </c>
      <c r="AC1431" t="s">
        <v>2305</v>
      </c>
      <c r="AD1431" t="s">
        <v>1838</v>
      </c>
      <c r="AE1431" t="s">
        <v>5183</v>
      </c>
      <c r="AF1431">
        <v>1.7047248399999999</v>
      </c>
    </row>
    <row r="1432" spans="1:32" x14ac:dyDescent="0.25">
      <c r="A1432" s="56">
        <v>3722021</v>
      </c>
      <c r="B1432" s="56" t="s">
        <v>884</v>
      </c>
      <c r="C1432" s="56" t="s">
        <v>5194</v>
      </c>
      <c r="D1432" s="56"/>
      <c r="E1432" s="57">
        <v>1017.5549999999999</v>
      </c>
      <c r="F1432" s="57">
        <v>1.017555</v>
      </c>
      <c r="G1432" s="56" t="s">
        <v>392</v>
      </c>
      <c r="H1432" s="56" t="s">
        <v>4454</v>
      </c>
      <c r="I1432" s="56" t="s">
        <v>1834</v>
      </c>
      <c r="J1432" s="56"/>
      <c r="K1432" s="56"/>
      <c r="L1432" s="56"/>
      <c r="M1432" s="56"/>
      <c r="N1432" s="56" t="s">
        <v>52</v>
      </c>
      <c r="O1432" s="56">
        <v>4</v>
      </c>
      <c r="P1432" s="59" t="s">
        <v>2515</v>
      </c>
      <c r="Q1432" s="56" t="s">
        <v>2516</v>
      </c>
      <c r="U1432" s="52">
        <v>1932730</v>
      </c>
      <c r="V1432">
        <v>50.8</v>
      </c>
      <c r="W1432">
        <v>0</v>
      </c>
      <c r="X1432">
        <v>1.42</v>
      </c>
      <c r="Y1432">
        <v>0.73699999999999999</v>
      </c>
      <c r="Z1432" t="s">
        <v>2088</v>
      </c>
      <c r="AA1432" t="s">
        <v>1003</v>
      </c>
      <c r="AB1432" t="s">
        <v>2520</v>
      </c>
      <c r="AC1432" t="s">
        <v>2305</v>
      </c>
      <c r="AD1432" t="s">
        <v>2171</v>
      </c>
      <c r="AE1432" t="s">
        <v>5185</v>
      </c>
      <c r="AF1432">
        <v>1.2738146010347999</v>
      </c>
    </row>
    <row r="1433" spans="1:32" x14ac:dyDescent="0.25">
      <c r="A1433" s="56">
        <v>3746291</v>
      </c>
      <c r="B1433" s="56" t="s">
        <v>880</v>
      </c>
      <c r="C1433" s="56" t="s">
        <v>5195</v>
      </c>
      <c r="D1433" s="56"/>
      <c r="E1433" s="57">
        <v>591.69200000000001</v>
      </c>
      <c r="F1433" s="57">
        <v>0.591692</v>
      </c>
      <c r="G1433" s="56" t="s">
        <v>392</v>
      </c>
      <c r="H1433" s="56" t="s">
        <v>4454</v>
      </c>
      <c r="I1433" s="56" t="s">
        <v>1834</v>
      </c>
      <c r="J1433" s="56"/>
      <c r="K1433" s="56"/>
      <c r="L1433" s="56"/>
      <c r="M1433" s="56"/>
      <c r="N1433" s="56" t="s">
        <v>151</v>
      </c>
      <c r="O1433" s="56">
        <v>13</v>
      </c>
      <c r="P1433" s="59" t="s">
        <v>2515</v>
      </c>
      <c r="Q1433" s="56" t="s">
        <v>11</v>
      </c>
      <c r="U1433" s="590">
        <v>3545373</v>
      </c>
      <c r="V1433">
        <v>50.8</v>
      </c>
      <c r="W1433">
        <v>0</v>
      </c>
      <c r="X1433">
        <v>1.42</v>
      </c>
      <c r="Y1433">
        <v>5.9859999999999998</v>
      </c>
      <c r="Z1433" t="s">
        <v>2088</v>
      </c>
      <c r="AA1433" t="s">
        <v>1003</v>
      </c>
      <c r="AB1433" t="s">
        <v>2520</v>
      </c>
      <c r="AC1433" t="s">
        <v>2305</v>
      </c>
      <c r="AD1433" t="s">
        <v>1838</v>
      </c>
      <c r="AE1433" t="s">
        <v>5183</v>
      </c>
      <c r="AF1433">
        <v>1.7283780203999999</v>
      </c>
    </row>
    <row r="1434" spans="1:32" x14ac:dyDescent="0.25">
      <c r="A1434" s="56">
        <v>3769066</v>
      </c>
      <c r="B1434" s="56" t="s">
        <v>2449</v>
      </c>
      <c r="C1434" s="56" t="s">
        <v>5196</v>
      </c>
      <c r="D1434" s="56"/>
      <c r="E1434" s="57">
        <v>457</v>
      </c>
      <c r="F1434" s="57">
        <v>0.45700000000000002</v>
      </c>
      <c r="G1434" s="56" t="s">
        <v>392</v>
      </c>
      <c r="H1434" s="56" t="s">
        <v>4454</v>
      </c>
      <c r="I1434" s="56" t="s">
        <v>1834</v>
      </c>
      <c r="J1434" s="56"/>
      <c r="K1434" s="56"/>
      <c r="L1434" s="56"/>
      <c r="M1434" s="56"/>
      <c r="N1434" s="56" t="s">
        <v>151</v>
      </c>
      <c r="O1434" s="56">
        <v>48</v>
      </c>
      <c r="P1434" s="59" t="s">
        <v>2532</v>
      </c>
      <c r="Q1434" s="56" t="s">
        <v>11</v>
      </c>
      <c r="U1434" s="52">
        <v>3508740</v>
      </c>
      <c r="V1434">
        <v>50.8</v>
      </c>
      <c r="W1434">
        <v>0</v>
      </c>
      <c r="X1434">
        <v>1.6</v>
      </c>
      <c r="Y1434">
        <v>0.38500000000000001</v>
      </c>
      <c r="Z1434" t="s">
        <v>1914</v>
      </c>
      <c r="AA1434" t="s">
        <v>963</v>
      </c>
      <c r="AB1434" t="s">
        <v>2520</v>
      </c>
      <c r="AC1434" t="s">
        <v>1065</v>
      </c>
      <c r="AD1434" t="s">
        <v>2171</v>
      </c>
      <c r="AE1434" t="s">
        <v>2191</v>
      </c>
      <c r="AF1434">
        <v>0.74704217280000007</v>
      </c>
    </row>
    <row r="1435" spans="1:32" x14ac:dyDescent="0.25">
      <c r="A1435" s="56">
        <v>3769066</v>
      </c>
      <c r="B1435" s="56" t="s">
        <v>2449</v>
      </c>
      <c r="C1435" s="56" t="s">
        <v>5197</v>
      </c>
      <c r="D1435" s="56"/>
      <c r="E1435" s="57">
        <v>1314</v>
      </c>
      <c r="F1435" s="57">
        <v>1.3140000000000001</v>
      </c>
      <c r="G1435" s="56" t="s">
        <v>392</v>
      </c>
      <c r="H1435" s="56" t="s">
        <v>4454</v>
      </c>
      <c r="I1435" s="56" t="s">
        <v>1834</v>
      </c>
      <c r="J1435" s="56"/>
      <c r="K1435" s="56"/>
      <c r="L1435" s="56"/>
      <c r="M1435" s="56"/>
      <c r="N1435" s="56" t="s">
        <v>151</v>
      </c>
      <c r="O1435" s="56">
        <v>48</v>
      </c>
      <c r="P1435" s="59" t="s">
        <v>2532</v>
      </c>
      <c r="Q1435" s="56" t="s">
        <v>11</v>
      </c>
      <c r="U1435" s="52">
        <v>2353927</v>
      </c>
      <c r="V1435">
        <v>50.8</v>
      </c>
      <c r="W1435">
        <v>0</v>
      </c>
      <c r="X1435">
        <v>1.6</v>
      </c>
      <c r="Y1435">
        <v>0.38500000000000001</v>
      </c>
      <c r="Z1435" t="s">
        <v>1868</v>
      </c>
      <c r="AA1435" t="s">
        <v>1914</v>
      </c>
      <c r="AB1435" t="s">
        <v>2520</v>
      </c>
      <c r="AC1435" t="s">
        <v>1065</v>
      </c>
      <c r="AD1435" t="s">
        <v>2171</v>
      </c>
      <c r="AE1435" t="s">
        <v>2191</v>
      </c>
      <c r="AF1435">
        <v>0.74704217280000007</v>
      </c>
    </row>
    <row r="1436" spans="1:32" x14ac:dyDescent="0.25">
      <c r="A1436" s="56">
        <v>3769066</v>
      </c>
      <c r="B1436" s="56" t="s">
        <v>2449</v>
      </c>
      <c r="C1436" s="56" t="s">
        <v>5198</v>
      </c>
      <c r="D1436" s="56"/>
      <c r="E1436" s="57">
        <v>341</v>
      </c>
      <c r="F1436" s="57">
        <v>0.34100000000000003</v>
      </c>
      <c r="G1436" s="56" t="s">
        <v>392</v>
      </c>
      <c r="H1436" s="56" t="s">
        <v>2511</v>
      </c>
      <c r="I1436" s="56" t="s">
        <v>1834</v>
      </c>
      <c r="J1436" s="56"/>
      <c r="K1436" s="56"/>
      <c r="L1436" s="56"/>
      <c r="M1436" s="56"/>
      <c r="N1436" s="56" t="s">
        <v>151</v>
      </c>
      <c r="O1436" s="56">
        <v>31</v>
      </c>
      <c r="P1436" s="59" t="s">
        <v>2532</v>
      </c>
      <c r="Q1436" s="56" t="s">
        <v>11</v>
      </c>
      <c r="U1436" s="52">
        <v>1399336</v>
      </c>
      <c r="V1436">
        <v>50.8</v>
      </c>
      <c r="W1436">
        <v>0</v>
      </c>
      <c r="X1436">
        <v>1.6</v>
      </c>
      <c r="Y1436">
        <v>0.38500000000000001</v>
      </c>
      <c r="Z1436" t="s">
        <v>1914</v>
      </c>
      <c r="AA1436" t="s">
        <v>963</v>
      </c>
      <c r="AB1436" t="s">
        <v>2520</v>
      </c>
      <c r="AC1436" t="s">
        <v>1065</v>
      </c>
      <c r="AD1436" t="s">
        <v>2171</v>
      </c>
      <c r="AE1436" t="s">
        <v>2191</v>
      </c>
      <c r="AF1436">
        <v>0.74704217280000007</v>
      </c>
    </row>
    <row r="1437" spans="1:32" x14ac:dyDescent="0.25">
      <c r="A1437" s="56">
        <v>3769066</v>
      </c>
      <c r="B1437" s="56" t="s">
        <v>2449</v>
      </c>
      <c r="C1437" s="56" t="s">
        <v>5199</v>
      </c>
      <c r="D1437" s="56"/>
      <c r="E1437" s="57">
        <v>463</v>
      </c>
      <c r="F1437" s="57">
        <v>0.46300000000000002</v>
      </c>
      <c r="G1437" s="56" t="s">
        <v>392</v>
      </c>
      <c r="H1437" s="56" t="s">
        <v>2511</v>
      </c>
      <c r="I1437" s="56" t="s">
        <v>1834</v>
      </c>
      <c r="J1437" s="56"/>
      <c r="K1437" s="56"/>
      <c r="L1437" s="56"/>
      <c r="M1437" s="56"/>
      <c r="N1437" s="56" t="s">
        <v>151</v>
      </c>
      <c r="O1437" s="56">
        <v>31</v>
      </c>
      <c r="P1437" s="59" t="s">
        <v>2532</v>
      </c>
      <c r="Q1437" s="56" t="s">
        <v>11</v>
      </c>
      <c r="U1437" s="538">
        <v>111117697</v>
      </c>
      <c r="V1437">
        <v>50.8</v>
      </c>
      <c r="W1437">
        <v>0</v>
      </c>
      <c r="X1437">
        <v>1.6</v>
      </c>
      <c r="Y1437">
        <v>5.95</v>
      </c>
      <c r="Z1437" t="s">
        <v>1868</v>
      </c>
      <c r="AA1437" t="s">
        <v>1003</v>
      </c>
      <c r="AB1437" t="s">
        <v>2520</v>
      </c>
      <c r="AC1437" t="s">
        <v>1065</v>
      </c>
      <c r="AD1437" t="s">
        <v>1838</v>
      </c>
      <c r="AE1437" t="s">
        <v>5190</v>
      </c>
      <c r="AF1437">
        <v>1.9403692800000001</v>
      </c>
    </row>
    <row r="1438" spans="1:32" x14ac:dyDescent="0.25">
      <c r="A1438" s="56">
        <v>3770391</v>
      </c>
      <c r="B1438" s="56" t="s">
        <v>2343</v>
      </c>
      <c r="C1438" s="56" t="s">
        <v>5201</v>
      </c>
      <c r="D1438" s="56"/>
      <c r="E1438" s="57">
        <v>2445</v>
      </c>
      <c r="F1438" s="57">
        <v>2.4449999999999998</v>
      </c>
      <c r="G1438" s="56" t="s">
        <v>392</v>
      </c>
      <c r="H1438" s="56" t="s">
        <v>4454</v>
      </c>
      <c r="I1438" s="56" t="s">
        <v>1834</v>
      </c>
      <c r="J1438" s="56"/>
      <c r="K1438" s="56"/>
      <c r="L1438" s="56"/>
      <c r="M1438" s="56"/>
      <c r="N1438" s="56" t="s">
        <v>30</v>
      </c>
      <c r="O1438" s="56">
        <v>21</v>
      </c>
      <c r="P1438" s="59" t="s">
        <v>2515</v>
      </c>
      <c r="Q1438" s="56" t="s">
        <v>11</v>
      </c>
      <c r="U1438" s="590">
        <v>3569247</v>
      </c>
      <c r="V1438">
        <v>50.8</v>
      </c>
      <c r="W1438">
        <v>0</v>
      </c>
      <c r="X1438">
        <v>1.6</v>
      </c>
      <c r="Y1438">
        <v>5.9880000000000004</v>
      </c>
      <c r="Z1438" t="s">
        <v>1868</v>
      </c>
      <c r="AA1438" t="s">
        <v>1003</v>
      </c>
      <c r="AB1438" t="s">
        <v>2520</v>
      </c>
      <c r="AC1438" t="s">
        <v>1065</v>
      </c>
      <c r="AD1438" t="s">
        <v>1838</v>
      </c>
      <c r="AE1438" t="s">
        <v>5190</v>
      </c>
      <c r="AF1438">
        <v>1.9403692800000001</v>
      </c>
    </row>
    <row r="1439" spans="1:32" x14ac:dyDescent="0.25">
      <c r="A1439" s="56">
        <v>3770391</v>
      </c>
      <c r="B1439" s="56" t="s">
        <v>2343</v>
      </c>
      <c r="C1439" s="56" t="s">
        <v>5202</v>
      </c>
      <c r="D1439" s="56"/>
      <c r="E1439" s="57">
        <v>1737</v>
      </c>
      <c r="F1439" s="57">
        <v>1.7370000000000001</v>
      </c>
      <c r="G1439" s="56" t="s">
        <v>392</v>
      </c>
      <c r="H1439" s="56" t="s">
        <v>4454</v>
      </c>
      <c r="I1439" s="56" t="s">
        <v>1834</v>
      </c>
      <c r="J1439" s="56"/>
      <c r="K1439" s="56"/>
      <c r="L1439" s="56"/>
      <c r="M1439" s="56"/>
      <c r="N1439" s="56" t="s">
        <v>30</v>
      </c>
      <c r="O1439" s="56">
        <v>21</v>
      </c>
      <c r="P1439" s="59" t="s">
        <v>2515</v>
      </c>
      <c r="Q1439" s="56" t="s">
        <v>11</v>
      </c>
      <c r="U1439" s="52">
        <v>1940890</v>
      </c>
      <c r="V1439">
        <v>50.8</v>
      </c>
      <c r="W1439">
        <v>0</v>
      </c>
      <c r="X1439">
        <v>1.6</v>
      </c>
      <c r="Y1439">
        <v>6</v>
      </c>
      <c r="Z1439" t="s">
        <v>1891</v>
      </c>
      <c r="AA1439" t="s">
        <v>1003</v>
      </c>
      <c r="AB1439" t="s">
        <v>2520</v>
      </c>
      <c r="AC1439" t="s">
        <v>1065</v>
      </c>
      <c r="AD1439" t="s">
        <v>1838</v>
      </c>
      <c r="AE1439" t="s">
        <v>5190</v>
      </c>
      <c r="AF1439">
        <v>1.9403692800000001</v>
      </c>
    </row>
    <row r="1440" spans="1:32" x14ac:dyDescent="0.25">
      <c r="A1440" s="56">
        <v>3770391</v>
      </c>
      <c r="B1440" s="56" t="s">
        <v>2343</v>
      </c>
      <c r="C1440" s="56" t="s">
        <v>5204</v>
      </c>
      <c r="D1440" s="56"/>
      <c r="E1440" s="57">
        <v>1822</v>
      </c>
      <c r="F1440" s="57">
        <v>1.8220000000000001</v>
      </c>
      <c r="G1440" s="56" t="s">
        <v>392</v>
      </c>
      <c r="H1440" s="56" t="s">
        <v>4454</v>
      </c>
      <c r="I1440" s="56" t="s">
        <v>1834</v>
      </c>
      <c r="J1440" s="56"/>
      <c r="K1440" s="56"/>
      <c r="L1440" s="56"/>
      <c r="M1440" s="56"/>
      <c r="N1440" s="56" t="s">
        <v>30</v>
      </c>
      <c r="O1440" s="56">
        <v>21</v>
      </c>
      <c r="P1440" s="59" t="s">
        <v>2515</v>
      </c>
      <c r="Q1440" s="56" t="s">
        <v>11</v>
      </c>
      <c r="U1440" s="52">
        <v>2396464</v>
      </c>
      <c r="V1440">
        <v>54</v>
      </c>
      <c r="W1440">
        <v>0</v>
      </c>
      <c r="X1440">
        <v>3</v>
      </c>
      <c r="Y1440">
        <v>1.1399999999999999</v>
      </c>
      <c r="Z1440" t="s">
        <v>2088</v>
      </c>
      <c r="AA1440" t="s">
        <v>1003</v>
      </c>
      <c r="AB1440" t="s">
        <v>2572</v>
      </c>
      <c r="AC1440" t="s">
        <v>920</v>
      </c>
      <c r="AD1440" t="s">
        <v>2171</v>
      </c>
      <c r="AE1440" t="s">
        <v>922</v>
      </c>
      <c r="AF1440">
        <v>4.2992785800000002</v>
      </c>
    </row>
    <row r="1441" spans="1:32" x14ac:dyDescent="0.25">
      <c r="A1441" s="56">
        <v>3770391</v>
      </c>
      <c r="B1441" s="56" t="s">
        <v>2343</v>
      </c>
      <c r="C1441" s="56" t="s">
        <v>5206</v>
      </c>
      <c r="D1441" s="56"/>
      <c r="E1441" s="57">
        <v>1515</v>
      </c>
      <c r="F1441" s="57">
        <v>1.5149999999999999</v>
      </c>
      <c r="G1441" s="56" t="s">
        <v>392</v>
      </c>
      <c r="H1441" s="56" t="s">
        <v>4454</v>
      </c>
      <c r="I1441" s="56" t="s">
        <v>1834</v>
      </c>
      <c r="J1441" s="56"/>
      <c r="K1441" s="56"/>
      <c r="L1441" s="56"/>
      <c r="M1441" s="56"/>
      <c r="N1441" s="56" t="s">
        <v>30</v>
      </c>
      <c r="O1441" s="56">
        <v>21</v>
      </c>
      <c r="P1441" s="59" t="s">
        <v>2515</v>
      </c>
      <c r="Q1441" s="56" t="s">
        <v>11</v>
      </c>
      <c r="U1441" s="52">
        <v>3711330</v>
      </c>
      <c r="V1441">
        <v>54</v>
      </c>
      <c r="W1441">
        <v>0</v>
      </c>
      <c r="X1441">
        <v>3</v>
      </c>
      <c r="Y1441">
        <v>1.1399999999999999</v>
      </c>
      <c r="Z1441" t="s">
        <v>3100</v>
      </c>
      <c r="AA1441" t="s">
        <v>1003</v>
      </c>
      <c r="AB1441" t="s">
        <v>2520</v>
      </c>
      <c r="AC1441" t="s">
        <v>920</v>
      </c>
      <c r="AD1441" t="s">
        <v>2171</v>
      </c>
      <c r="AE1441" t="s">
        <v>922</v>
      </c>
      <c r="AF1441">
        <v>4.2992785800000002</v>
      </c>
    </row>
    <row r="1442" spans="1:32" x14ac:dyDescent="0.25">
      <c r="A1442" s="56">
        <v>3770391</v>
      </c>
      <c r="B1442" s="56" t="s">
        <v>2343</v>
      </c>
      <c r="C1442" s="56" t="s">
        <v>5207</v>
      </c>
      <c r="D1442" s="56"/>
      <c r="E1442" s="57">
        <v>1685</v>
      </c>
      <c r="F1442" s="57">
        <v>1.6850000000000001</v>
      </c>
      <c r="G1442" s="56" t="s">
        <v>392</v>
      </c>
      <c r="H1442" s="56" t="s">
        <v>4454</v>
      </c>
      <c r="I1442" s="56" t="s">
        <v>1834</v>
      </c>
      <c r="J1442" s="56"/>
      <c r="K1442" s="56"/>
      <c r="L1442" s="56"/>
      <c r="M1442" s="56"/>
      <c r="N1442" s="56" t="s">
        <v>30</v>
      </c>
      <c r="O1442" s="56">
        <v>21</v>
      </c>
      <c r="P1442" s="59" t="s">
        <v>2515</v>
      </c>
      <c r="Q1442" s="56" t="s">
        <v>11</v>
      </c>
      <c r="U1442" s="52">
        <v>1474091</v>
      </c>
      <c r="V1442">
        <v>54</v>
      </c>
      <c r="W1442">
        <v>0</v>
      </c>
      <c r="X1442">
        <v>3</v>
      </c>
      <c r="Y1442">
        <v>1.1399999999999999</v>
      </c>
      <c r="Z1442" t="s">
        <v>1914</v>
      </c>
      <c r="AA1442" t="s">
        <v>1003</v>
      </c>
      <c r="AB1442" t="s">
        <v>5019</v>
      </c>
      <c r="AC1442" t="s">
        <v>920</v>
      </c>
      <c r="AD1442" t="s">
        <v>2171</v>
      </c>
      <c r="AE1442" t="s">
        <v>922</v>
      </c>
      <c r="AF1442">
        <v>4.2992785800000002</v>
      </c>
    </row>
    <row r="1443" spans="1:32" x14ac:dyDescent="0.25">
      <c r="A1443" s="56">
        <v>3770391</v>
      </c>
      <c r="B1443" s="56" t="s">
        <v>2343</v>
      </c>
      <c r="C1443" s="56" t="s">
        <v>5208</v>
      </c>
      <c r="D1443" s="56"/>
      <c r="E1443" s="57">
        <v>1651</v>
      </c>
      <c r="F1443" s="57">
        <v>1.651</v>
      </c>
      <c r="G1443" s="56" t="s">
        <v>392</v>
      </c>
      <c r="H1443" s="56" t="s">
        <v>4454</v>
      </c>
      <c r="I1443" s="56" t="s">
        <v>1834</v>
      </c>
      <c r="J1443" s="56"/>
      <c r="K1443" s="56"/>
      <c r="L1443" s="56"/>
      <c r="M1443" s="56"/>
      <c r="N1443" s="56" t="s">
        <v>30</v>
      </c>
      <c r="O1443" s="56">
        <v>21</v>
      </c>
      <c r="P1443" s="59" t="s">
        <v>2515</v>
      </c>
      <c r="Q1443" s="56" t="s">
        <v>11</v>
      </c>
      <c r="U1443" s="52">
        <v>277172</v>
      </c>
      <c r="V1443">
        <v>54</v>
      </c>
      <c r="W1443">
        <v>0</v>
      </c>
      <c r="X1443">
        <v>3</v>
      </c>
      <c r="Y1443">
        <v>1.1399999999999999</v>
      </c>
      <c r="Z1443" t="s">
        <v>4540</v>
      </c>
      <c r="AA1443" t="s">
        <v>963</v>
      </c>
      <c r="AB1443" t="s">
        <v>2572</v>
      </c>
      <c r="AC1443" t="s">
        <v>920</v>
      </c>
      <c r="AD1443" t="s">
        <v>2171</v>
      </c>
      <c r="AE1443" t="s">
        <v>922</v>
      </c>
      <c r="AF1443">
        <v>4.2992785800000002</v>
      </c>
    </row>
    <row r="1444" spans="1:32" x14ac:dyDescent="0.25">
      <c r="A1444" s="56">
        <v>3770391</v>
      </c>
      <c r="B1444" s="56" t="s">
        <v>2343</v>
      </c>
      <c r="C1444" s="56" t="s">
        <v>5209</v>
      </c>
      <c r="D1444" s="56"/>
      <c r="E1444" s="57">
        <v>1614</v>
      </c>
      <c r="F1444" s="57">
        <v>1.6140000000000001</v>
      </c>
      <c r="G1444" s="56" t="s">
        <v>392</v>
      </c>
      <c r="H1444" s="56" t="s">
        <v>4454</v>
      </c>
      <c r="I1444" s="56" t="s">
        <v>1834</v>
      </c>
      <c r="J1444" s="56"/>
      <c r="K1444" s="56"/>
      <c r="L1444" s="56"/>
      <c r="M1444" s="56"/>
      <c r="N1444" s="56" t="s">
        <v>30</v>
      </c>
      <c r="O1444" s="56">
        <v>38</v>
      </c>
      <c r="P1444" s="59" t="s">
        <v>2532</v>
      </c>
      <c r="Q1444" s="56" t="s">
        <v>11</v>
      </c>
      <c r="U1444" s="52">
        <v>2397139</v>
      </c>
      <c r="V1444">
        <v>54</v>
      </c>
      <c r="W1444">
        <v>0</v>
      </c>
      <c r="X1444">
        <v>3</v>
      </c>
      <c r="Y1444">
        <v>5.75</v>
      </c>
      <c r="Z1444" t="s">
        <v>2088</v>
      </c>
      <c r="AA1444" t="s">
        <v>1003</v>
      </c>
      <c r="AB1444" t="s">
        <v>2572</v>
      </c>
      <c r="AC1444" t="s">
        <v>920</v>
      </c>
      <c r="AD1444" t="s">
        <v>1838</v>
      </c>
      <c r="AE1444" t="s">
        <v>2392</v>
      </c>
      <c r="AF1444">
        <v>3.7712970000000001</v>
      </c>
    </row>
    <row r="1445" spans="1:32" x14ac:dyDescent="0.25">
      <c r="A1445" s="56">
        <v>3770391</v>
      </c>
      <c r="B1445" s="56" t="s">
        <v>2343</v>
      </c>
      <c r="C1445" s="56" t="s">
        <v>5210</v>
      </c>
      <c r="D1445" s="56"/>
      <c r="E1445" s="57">
        <v>1059</v>
      </c>
      <c r="F1445" s="57">
        <v>1.0589999999999999</v>
      </c>
      <c r="G1445" s="56" t="s">
        <v>392</v>
      </c>
      <c r="H1445" s="56" t="s">
        <v>4454</v>
      </c>
      <c r="I1445" s="56" t="s">
        <v>1834</v>
      </c>
      <c r="J1445" s="56"/>
      <c r="K1445" s="56"/>
      <c r="L1445" s="56"/>
      <c r="M1445" s="56"/>
      <c r="N1445" s="56" t="s">
        <v>30</v>
      </c>
      <c r="O1445" s="56">
        <v>38</v>
      </c>
      <c r="P1445" s="59" t="s">
        <v>2532</v>
      </c>
      <c r="Q1445" s="56" t="s">
        <v>11</v>
      </c>
      <c r="U1445" s="52">
        <v>3777563</v>
      </c>
      <c r="V1445">
        <v>54</v>
      </c>
      <c r="W1445">
        <v>0</v>
      </c>
      <c r="X1445">
        <v>3</v>
      </c>
      <c r="Y1445">
        <v>5.79</v>
      </c>
      <c r="Z1445" t="s">
        <v>2088</v>
      </c>
      <c r="AA1445" t="s">
        <v>1003</v>
      </c>
      <c r="AB1445" t="s">
        <v>2520</v>
      </c>
      <c r="AC1445" t="s">
        <v>920</v>
      </c>
      <c r="AD1445" t="s">
        <v>1838</v>
      </c>
      <c r="AE1445" t="s">
        <v>2392</v>
      </c>
      <c r="AF1445">
        <v>3.7712970000000001</v>
      </c>
    </row>
    <row r="1446" spans="1:32" x14ac:dyDescent="0.25">
      <c r="A1446" s="56">
        <v>3770391</v>
      </c>
      <c r="B1446" s="56" t="s">
        <v>2343</v>
      </c>
      <c r="C1446" s="56" t="s">
        <v>5211</v>
      </c>
      <c r="D1446" s="56"/>
      <c r="E1446" s="57">
        <v>1738</v>
      </c>
      <c r="F1446" s="57">
        <v>1.738</v>
      </c>
      <c r="G1446" s="56" t="s">
        <v>392</v>
      </c>
      <c r="H1446" s="56" t="s">
        <v>4454</v>
      </c>
      <c r="I1446" s="56" t="s">
        <v>1834</v>
      </c>
      <c r="J1446" s="56"/>
      <c r="K1446" s="56"/>
      <c r="L1446" s="56"/>
      <c r="M1446" s="56"/>
      <c r="N1446" s="56" t="s">
        <v>30</v>
      </c>
      <c r="O1446" s="56">
        <v>44</v>
      </c>
      <c r="P1446" s="59" t="s">
        <v>2532</v>
      </c>
      <c r="Q1446" s="56" t="s">
        <v>11</v>
      </c>
      <c r="U1446" s="28">
        <v>3500391</v>
      </c>
      <c r="V1446">
        <v>54</v>
      </c>
      <c r="W1446">
        <v>0</v>
      </c>
      <c r="X1446">
        <v>3</v>
      </c>
      <c r="Y1446">
        <v>5.91</v>
      </c>
      <c r="Z1446" t="s">
        <v>1914</v>
      </c>
      <c r="AA1446" t="s">
        <v>1003</v>
      </c>
      <c r="AB1446" t="s">
        <v>2520</v>
      </c>
      <c r="AC1446" t="s">
        <v>2398</v>
      </c>
      <c r="AD1446" t="s">
        <v>1838</v>
      </c>
      <c r="AE1446" t="s">
        <v>2392</v>
      </c>
      <c r="AF1446">
        <v>3.7712970000000001</v>
      </c>
    </row>
    <row r="1447" spans="1:32" x14ac:dyDescent="0.25">
      <c r="A1447" s="56">
        <v>3770391</v>
      </c>
      <c r="B1447" s="56" t="s">
        <v>2343</v>
      </c>
      <c r="C1447" s="56" t="s">
        <v>5212</v>
      </c>
      <c r="D1447" s="56"/>
      <c r="E1447" s="57">
        <v>1729</v>
      </c>
      <c r="F1447" s="57">
        <v>1.7290000000000001</v>
      </c>
      <c r="G1447" s="56" t="s">
        <v>392</v>
      </c>
      <c r="H1447" s="56" t="s">
        <v>4454</v>
      </c>
      <c r="I1447" s="56" t="s">
        <v>1834</v>
      </c>
      <c r="J1447" s="56"/>
      <c r="K1447" s="56"/>
      <c r="L1447" s="56"/>
      <c r="M1447" s="56"/>
      <c r="N1447" s="56" t="s">
        <v>30</v>
      </c>
      <c r="O1447" s="56">
        <v>44</v>
      </c>
      <c r="P1447" s="59" t="s">
        <v>2532</v>
      </c>
      <c r="Q1447" s="56" t="s">
        <v>11</v>
      </c>
      <c r="U1447" s="52">
        <v>2427938</v>
      </c>
      <c r="V1447">
        <v>57.15</v>
      </c>
      <c r="W1447">
        <v>0</v>
      </c>
      <c r="X1447">
        <v>2</v>
      </c>
      <c r="Y1447">
        <v>0.375</v>
      </c>
      <c r="Z1447" t="s">
        <v>1868</v>
      </c>
      <c r="AA1447" t="s">
        <v>1003</v>
      </c>
      <c r="AB1447" t="s">
        <v>2520</v>
      </c>
      <c r="AC1447" t="s">
        <v>909</v>
      </c>
      <c r="AD1447" t="s">
        <v>2171</v>
      </c>
      <c r="AE1447" t="s">
        <v>5200</v>
      </c>
      <c r="AF1447">
        <v>1.0195442625</v>
      </c>
    </row>
    <row r="1448" spans="1:32" x14ac:dyDescent="0.25">
      <c r="A1448" s="56">
        <v>3770391</v>
      </c>
      <c r="B1448" s="56" t="s">
        <v>2343</v>
      </c>
      <c r="C1448" s="56" t="s">
        <v>5213</v>
      </c>
      <c r="D1448" s="56"/>
      <c r="E1448" s="57">
        <v>1635</v>
      </c>
      <c r="F1448" s="57">
        <v>1.635</v>
      </c>
      <c r="G1448" s="56" t="s">
        <v>392</v>
      </c>
      <c r="H1448" s="56" t="s">
        <v>4454</v>
      </c>
      <c r="I1448" s="56" t="s">
        <v>1834</v>
      </c>
      <c r="J1448" s="56"/>
      <c r="K1448" s="56"/>
      <c r="L1448" s="56"/>
      <c r="M1448" s="56"/>
      <c r="N1448" s="56" t="s">
        <v>30</v>
      </c>
      <c r="O1448" s="56">
        <v>44</v>
      </c>
      <c r="P1448" s="59" t="s">
        <v>2532</v>
      </c>
      <c r="Q1448" s="56" t="s">
        <v>11</v>
      </c>
      <c r="U1448">
        <v>4020857</v>
      </c>
      <c r="V1448">
        <v>57.15</v>
      </c>
      <c r="W1448">
        <v>0</v>
      </c>
      <c r="X1448">
        <v>2</v>
      </c>
      <c r="Y1448">
        <v>0.40899999999999997</v>
      </c>
      <c r="Z1448" t="s">
        <v>1952</v>
      </c>
      <c r="AA1448" t="s">
        <v>1003</v>
      </c>
      <c r="AB1448" t="s">
        <v>2520</v>
      </c>
      <c r="AC1448" t="s">
        <v>909</v>
      </c>
      <c r="AD1448" t="s">
        <v>2171</v>
      </c>
      <c r="AE1448" t="s">
        <v>911</v>
      </c>
      <c r="AF1448">
        <v>1.1119829423000001</v>
      </c>
    </row>
    <row r="1449" spans="1:32" x14ac:dyDescent="0.25">
      <c r="A1449" s="56">
        <v>3770391</v>
      </c>
      <c r="B1449" s="56" t="s">
        <v>2343</v>
      </c>
      <c r="C1449" s="56" t="s">
        <v>5214</v>
      </c>
      <c r="D1449" s="56"/>
      <c r="E1449" s="57">
        <v>1738</v>
      </c>
      <c r="F1449" s="57">
        <v>1.738</v>
      </c>
      <c r="G1449" s="56" t="s">
        <v>392</v>
      </c>
      <c r="H1449" s="56" t="s">
        <v>4454</v>
      </c>
      <c r="I1449" s="56" t="s">
        <v>1834</v>
      </c>
      <c r="J1449" s="56"/>
      <c r="K1449" s="56"/>
      <c r="L1449" s="56"/>
      <c r="M1449" s="56"/>
      <c r="N1449" s="56" t="s">
        <v>30</v>
      </c>
      <c r="O1449" s="56">
        <v>44</v>
      </c>
      <c r="P1449" s="59" t="s">
        <v>2532</v>
      </c>
      <c r="Q1449" s="56" t="s">
        <v>11</v>
      </c>
      <c r="U1449" s="52">
        <v>3727461</v>
      </c>
      <c r="V1449">
        <v>57.15</v>
      </c>
      <c r="W1449">
        <v>0</v>
      </c>
      <c r="X1449">
        <v>2</v>
      </c>
      <c r="Y1449">
        <v>0.41299999999999998</v>
      </c>
      <c r="Z1449" t="s">
        <v>2821</v>
      </c>
      <c r="AA1449" t="s">
        <v>1003</v>
      </c>
      <c r="AB1449" t="s">
        <v>2520</v>
      </c>
      <c r="AC1449" t="s">
        <v>909</v>
      </c>
      <c r="AD1449" t="s">
        <v>2171</v>
      </c>
      <c r="AE1449" t="s">
        <v>5203</v>
      </c>
      <c r="AF1449">
        <v>1.1228580811</v>
      </c>
    </row>
    <row r="1450" spans="1:32" x14ac:dyDescent="0.25">
      <c r="A1450" s="56">
        <v>3770391</v>
      </c>
      <c r="B1450" s="56" t="s">
        <v>2343</v>
      </c>
      <c r="C1450" s="56" t="s">
        <v>5215</v>
      </c>
      <c r="D1450" s="56"/>
      <c r="E1450" s="57">
        <v>147</v>
      </c>
      <c r="F1450" s="57">
        <v>0.14699999999999999</v>
      </c>
      <c r="G1450" s="56" t="s">
        <v>392</v>
      </c>
      <c r="H1450" s="56" t="s">
        <v>4454</v>
      </c>
      <c r="I1450" s="56" t="s">
        <v>1834</v>
      </c>
      <c r="J1450" s="56"/>
      <c r="K1450" s="56"/>
      <c r="L1450" s="56"/>
      <c r="M1450" s="56"/>
      <c r="N1450" s="56" t="s">
        <v>30</v>
      </c>
      <c r="O1450" s="56">
        <v>81</v>
      </c>
      <c r="P1450" s="59" t="s">
        <v>2579</v>
      </c>
      <c r="Q1450" s="56" t="s">
        <v>11</v>
      </c>
      <c r="U1450" s="52">
        <v>3616160</v>
      </c>
      <c r="V1450">
        <v>57.15</v>
      </c>
      <c r="W1450">
        <v>0</v>
      </c>
      <c r="X1450">
        <v>2</v>
      </c>
      <c r="Y1450">
        <v>0.41499999999999998</v>
      </c>
      <c r="Z1450" t="s">
        <v>1868</v>
      </c>
      <c r="AA1450" t="s">
        <v>1003</v>
      </c>
      <c r="AB1450" t="s">
        <v>2520</v>
      </c>
      <c r="AC1450" t="s">
        <v>909</v>
      </c>
      <c r="AD1450" t="s">
        <v>2171</v>
      </c>
      <c r="AE1450" t="s">
        <v>5205</v>
      </c>
      <c r="AF1450">
        <v>1.1282956504999999</v>
      </c>
    </row>
    <row r="1451" spans="1:32" x14ac:dyDescent="0.25">
      <c r="A1451" s="56">
        <v>3770391</v>
      </c>
      <c r="B1451" s="56" t="s">
        <v>2343</v>
      </c>
      <c r="C1451" s="56" t="s">
        <v>5216</v>
      </c>
      <c r="D1451" s="56"/>
      <c r="E1451" s="57">
        <v>1570.537</v>
      </c>
      <c r="F1451" s="57">
        <v>1.5705370000000001</v>
      </c>
      <c r="G1451" s="56" t="s">
        <v>392</v>
      </c>
      <c r="H1451" s="56" t="s">
        <v>4454</v>
      </c>
      <c r="I1451" s="56" t="s">
        <v>1834</v>
      </c>
      <c r="J1451" s="56"/>
      <c r="K1451" s="56"/>
      <c r="L1451" s="56"/>
      <c r="M1451" s="56"/>
      <c r="N1451" s="56" t="s">
        <v>30</v>
      </c>
      <c r="O1451" s="56">
        <v>93</v>
      </c>
      <c r="P1451" s="59" t="s">
        <v>2524</v>
      </c>
      <c r="Q1451" s="56" t="s">
        <v>11</v>
      </c>
      <c r="U1451" s="52">
        <v>460176</v>
      </c>
      <c r="V1451">
        <v>57.15</v>
      </c>
      <c r="W1451">
        <v>0</v>
      </c>
      <c r="X1451">
        <v>2</v>
      </c>
      <c r="Y1451">
        <v>0.71299999999999997</v>
      </c>
      <c r="Z1451" t="s">
        <v>2821</v>
      </c>
      <c r="AA1451" t="s">
        <v>1895</v>
      </c>
      <c r="AB1451" t="s">
        <v>3979</v>
      </c>
      <c r="AC1451" t="s">
        <v>909</v>
      </c>
      <c r="AD1451" t="s">
        <v>2171</v>
      </c>
      <c r="AE1451" t="s">
        <v>913</v>
      </c>
      <c r="AF1451">
        <v>1.9384934911</v>
      </c>
    </row>
    <row r="1452" spans="1:32" x14ac:dyDescent="0.25">
      <c r="A1452" s="56">
        <v>3770391</v>
      </c>
      <c r="B1452" s="56" t="s">
        <v>2343</v>
      </c>
      <c r="C1452" s="56" t="s">
        <v>5217</v>
      </c>
      <c r="D1452" s="56"/>
      <c r="E1452" s="57">
        <v>1561</v>
      </c>
      <c r="F1452" s="57">
        <v>1.5609999999999999</v>
      </c>
      <c r="G1452" s="56" t="s">
        <v>392</v>
      </c>
      <c r="H1452" s="56" t="s">
        <v>2511</v>
      </c>
      <c r="I1452" s="56" t="s">
        <v>1834</v>
      </c>
      <c r="J1452" s="56"/>
      <c r="K1452" s="56"/>
      <c r="L1452" s="56"/>
      <c r="M1452" s="56"/>
      <c r="N1452" s="56" t="s">
        <v>30</v>
      </c>
      <c r="O1452" s="56">
        <v>31</v>
      </c>
      <c r="P1452" s="59" t="s">
        <v>2532</v>
      </c>
      <c r="Q1452" s="56" t="s">
        <v>11</v>
      </c>
      <c r="U1452" s="52">
        <v>1940908</v>
      </c>
      <c r="V1452">
        <v>57.15</v>
      </c>
      <c r="W1452">
        <v>0</v>
      </c>
      <c r="X1452">
        <v>2</v>
      </c>
      <c r="Y1452">
        <v>0.71299999999999997</v>
      </c>
      <c r="Z1452" t="s">
        <v>1891</v>
      </c>
      <c r="AA1452" t="s">
        <v>1003</v>
      </c>
      <c r="AB1452" t="s">
        <v>2520</v>
      </c>
      <c r="AC1452" t="s">
        <v>909</v>
      </c>
      <c r="AD1452" t="s">
        <v>2171</v>
      </c>
      <c r="AE1452" t="s">
        <v>913</v>
      </c>
      <c r="AF1452">
        <v>1.9384934911</v>
      </c>
    </row>
    <row r="1453" spans="1:32" x14ac:dyDescent="0.25">
      <c r="A1453" s="56">
        <v>3770391</v>
      </c>
      <c r="B1453" s="56" t="s">
        <v>2343</v>
      </c>
      <c r="C1453" s="56" t="s">
        <v>5218</v>
      </c>
      <c r="D1453" s="56"/>
      <c r="E1453" s="57">
        <v>1635.5</v>
      </c>
      <c r="F1453" s="57">
        <v>1.6355</v>
      </c>
      <c r="G1453" s="56" t="s">
        <v>392</v>
      </c>
      <c r="H1453" s="56" t="s">
        <v>2511</v>
      </c>
      <c r="I1453" s="56" t="s">
        <v>1834</v>
      </c>
      <c r="J1453" s="56"/>
      <c r="K1453" s="56"/>
      <c r="L1453" s="56"/>
      <c r="M1453" s="56"/>
      <c r="N1453" s="56" t="s">
        <v>30</v>
      </c>
      <c r="O1453" s="56">
        <v>41</v>
      </c>
      <c r="P1453" s="59" t="s">
        <v>2532</v>
      </c>
      <c r="Q1453" s="56" t="s">
        <v>11</v>
      </c>
      <c r="U1453">
        <v>3783938</v>
      </c>
      <c r="V1453">
        <v>57.15</v>
      </c>
      <c r="W1453">
        <v>0</v>
      </c>
      <c r="X1453">
        <v>2</v>
      </c>
      <c r="Y1453">
        <v>0.71299999999999997</v>
      </c>
      <c r="Z1453" t="s">
        <v>1952</v>
      </c>
      <c r="AA1453" t="s">
        <v>1895</v>
      </c>
      <c r="AB1453" t="s">
        <v>3979</v>
      </c>
      <c r="AC1453" t="s">
        <v>909</v>
      </c>
      <c r="AD1453" t="s">
        <v>2171</v>
      </c>
      <c r="AE1453" t="s">
        <v>913</v>
      </c>
      <c r="AF1453">
        <v>1.9384934911</v>
      </c>
    </row>
    <row r="1454" spans="1:32" x14ac:dyDescent="0.25">
      <c r="A1454" s="56">
        <v>3770391</v>
      </c>
      <c r="B1454" s="56" t="s">
        <v>2343</v>
      </c>
      <c r="C1454" s="56" t="s">
        <v>5220</v>
      </c>
      <c r="D1454" s="56"/>
      <c r="E1454" s="57">
        <v>677</v>
      </c>
      <c r="F1454" s="57">
        <v>0.67700000000000005</v>
      </c>
      <c r="G1454" s="56" t="s">
        <v>392</v>
      </c>
      <c r="H1454" s="56" t="s">
        <v>2511</v>
      </c>
      <c r="I1454" s="56" t="s">
        <v>1834</v>
      </c>
      <c r="J1454" s="56"/>
      <c r="K1454" s="56"/>
      <c r="L1454" s="56"/>
      <c r="M1454" s="56"/>
      <c r="N1454" s="56" t="s">
        <v>30</v>
      </c>
      <c r="O1454" s="56">
        <v>31</v>
      </c>
      <c r="P1454" s="59" t="s">
        <v>2532</v>
      </c>
      <c r="Q1454" s="56" t="s">
        <v>11</v>
      </c>
      <c r="U1454" s="538">
        <v>110103034</v>
      </c>
      <c r="V1454">
        <v>57.15</v>
      </c>
      <c r="W1454">
        <v>0</v>
      </c>
      <c r="X1454">
        <v>2</v>
      </c>
      <c r="Y1454">
        <v>5.8</v>
      </c>
      <c r="Z1454" t="s">
        <v>1891</v>
      </c>
      <c r="AA1454" t="s">
        <v>1003</v>
      </c>
      <c r="AB1454" t="s">
        <v>2520</v>
      </c>
      <c r="AC1454" t="s">
        <v>909</v>
      </c>
      <c r="AD1454" t="s">
        <v>1838</v>
      </c>
      <c r="AE1454" t="s">
        <v>2373</v>
      </c>
      <c r="AF1454">
        <v>2.7187847000000001</v>
      </c>
    </row>
    <row r="1455" spans="1:32" x14ac:dyDescent="0.25">
      <c r="A1455" s="56">
        <v>3770391</v>
      </c>
      <c r="B1455" s="56" t="s">
        <v>2343</v>
      </c>
      <c r="C1455" s="56" t="s">
        <v>5222</v>
      </c>
      <c r="D1455" s="56"/>
      <c r="E1455" s="57">
        <v>1464.5</v>
      </c>
      <c r="F1455" s="57">
        <v>1.4644999999999999</v>
      </c>
      <c r="G1455" s="56" t="s">
        <v>392</v>
      </c>
      <c r="H1455" s="56" t="s">
        <v>2511</v>
      </c>
      <c r="I1455" s="56" t="s">
        <v>1834</v>
      </c>
      <c r="J1455" s="56"/>
      <c r="K1455" s="56"/>
      <c r="L1455" s="56"/>
      <c r="M1455" s="56"/>
      <c r="N1455" s="56" t="s">
        <v>30</v>
      </c>
      <c r="O1455" s="56">
        <v>41</v>
      </c>
      <c r="P1455" s="59" t="s">
        <v>2532</v>
      </c>
      <c r="Q1455" s="56" t="s">
        <v>11</v>
      </c>
      <c r="U1455" s="538">
        <v>111122833</v>
      </c>
      <c r="V1455">
        <v>57.15</v>
      </c>
      <c r="W1455">
        <v>0</v>
      </c>
      <c r="X1455">
        <v>2</v>
      </c>
      <c r="Y1455">
        <v>5.85</v>
      </c>
      <c r="Z1455" t="s">
        <v>1891</v>
      </c>
      <c r="AA1455" t="s">
        <v>1003</v>
      </c>
      <c r="AB1455" t="s">
        <v>2520</v>
      </c>
      <c r="AC1455" t="s">
        <v>909</v>
      </c>
      <c r="AD1455" t="s">
        <v>1838</v>
      </c>
      <c r="AE1455" t="s">
        <v>2373</v>
      </c>
      <c r="AF1455">
        <v>2.7187847000000001</v>
      </c>
    </row>
    <row r="1456" spans="1:32" x14ac:dyDescent="0.25">
      <c r="A1456" s="56">
        <v>3770391</v>
      </c>
      <c r="B1456" s="56" t="s">
        <v>2343</v>
      </c>
      <c r="C1456" s="56" t="s">
        <v>5224</v>
      </c>
      <c r="D1456" s="56"/>
      <c r="E1456" s="57">
        <v>1533.5</v>
      </c>
      <c r="F1456" s="57">
        <v>1.5335000000000001</v>
      </c>
      <c r="G1456" s="56" t="s">
        <v>392</v>
      </c>
      <c r="H1456" s="56" t="s">
        <v>2511</v>
      </c>
      <c r="I1456" s="56" t="s">
        <v>1834</v>
      </c>
      <c r="J1456" s="56"/>
      <c r="K1456" s="56"/>
      <c r="L1456" s="56"/>
      <c r="M1456" s="56"/>
      <c r="N1456" s="56" t="s">
        <v>30</v>
      </c>
      <c r="O1456" s="56">
        <v>41</v>
      </c>
      <c r="P1456" s="59" t="s">
        <v>2532</v>
      </c>
      <c r="Q1456" s="56" t="s">
        <v>11</v>
      </c>
      <c r="U1456" s="52">
        <v>3929638</v>
      </c>
      <c r="V1456">
        <v>57.15</v>
      </c>
      <c r="W1456">
        <v>0</v>
      </c>
      <c r="X1456">
        <v>2</v>
      </c>
      <c r="Y1456">
        <v>5.91</v>
      </c>
      <c r="Z1456" t="s">
        <v>1868</v>
      </c>
      <c r="AA1456" t="s">
        <v>1003</v>
      </c>
      <c r="AB1456" t="s">
        <v>2520</v>
      </c>
      <c r="AC1456" t="s">
        <v>909</v>
      </c>
      <c r="AD1456" t="s">
        <v>1838</v>
      </c>
      <c r="AF1456">
        <v>2.7187847000000001</v>
      </c>
    </row>
    <row r="1457" spans="1:32" x14ac:dyDescent="0.25">
      <c r="A1457" s="56">
        <v>3770391</v>
      </c>
      <c r="B1457" s="56" t="s">
        <v>2343</v>
      </c>
      <c r="C1457" s="56" t="s">
        <v>5226</v>
      </c>
      <c r="D1457" s="56"/>
      <c r="E1457" s="57">
        <v>1601.5</v>
      </c>
      <c r="F1457" s="57">
        <v>1.6014999999999999</v>
      </c>
      <c r="G1457" s="56" t="s">
        <v>392</v>
      </c>
      <c r="H1457" s="56" t="s">
        <v>2511</v>
      </c>
      <c r="I1457" s="56" t="s">
        <v>1834</v>
      </c>
      <c r="J1457" s="56"/>
      <c r="K1457" s="56"/>
      <c r="L1457" s="56"/>
      <c r="M1457" s="56"/>
      <c r="N1457" s="56" t="s">
        <v>30</v>
      </c>
      <c r="O1457" s="56">
        <v>41</v>
      </c>
      <c r="P1457" s="59" t="s">
        <v>2532</v>
      </c>
      <c r="Q1457" s="56" t="s">
        <v>11</v>
      </c>
      <c r="U1457" s="52">
        <v>3501264</v>
      </c>
      <c r="V1457">
        <v>57.15</v>
      </c>
      <c r="W1457">
        <v>0</v>
      </c>
      <c r="X1457">
        <v>2</v>
      </c>
      <c r="Y1457">
        <v>6</v>
      </c>
      <c r="Z1457" t="s">
        <v>1914</v>
      </c>
      <c r="AA1457" t="s">
        <v>1003</v>
      </c>
      <c r="AB1457" t="s">
        <v>2520</v>
      </c>
      <c r="AC1457" t="s">
        <v>909</v>
      </c>
      <c r="AD1457" t="s">
        <v>1838</v>
      </c>
      <c r="AE1457" t="s">
        <v>2373</v>
      </c>
      <c r="AF1457">
        <v>2.7187847000000001</v>
      </c>
    </row>
    <row r="1458" spans="1:32" x14ac:dyDescent="0.25">
      <c r="A1458" s="56">
        <v>3770391</v>
      </c>
      <c r="B1458" s="56" t="s">
        <v>2343</v>
      </c>
      <c r="C1458" s="56" t="s">
        <v>5228</v>
      </c>
      <c r="D1458" s="56"/>
      <c r="E1458" s="57">
        <v>1208.5</v>
      </c>
      <c r="F1458" s="57">
        <v>1.2084999999999999</v>
      </c>
      <c r="G1458" s="56" t="s">
        <v>392</v>
      </c>
      <c r="H1458" s="56" t="s">
        <v>2511</v>
      </c>
      <c r="I1458" s="56" t="s">
        <v>1834</v>
      </c>
      <c r="J1458" s="56"/>
      <c r="K1458" s="56"/>
      <c r="L1458" s="56"/>
      <c r="M1458" s="56"/>
      <c r="N1458" s="56" t="s">
        <v>30</v>
      </c>
      <c r="O1458" s="56">
        <v>41</v>
      </c>
      <c r="P1458" s="59" t="s">
        <v>2532</v>
      </c>
      <c r="Q1458" s="56" t="s">
        <v>11</v>
      </c>
      <c r="U1458" s="52">
        <v>3682960</v>
      </c>
      <c r="V1458">
        <v>57.15</v>
      </c>
      <c r="W1458">
        <v>0</v>
      </c>
      <c r="X1458">
        <v>2</v>
      </c>
      <c r="Y1458">
        <v>6.55</v>
      </c>
      <c r="Z1458" t="s">
        <v>1914</v>
      </c>
      <c r="AA1458" t="s">
        <v>1003</v>
      </c>
      <c r="AB1458" t="s">
        <v>3979</v>
      </c>
      <c r="AC1458" t="s">
        <v>909</v>
      </c>
      <c r="AD1458" t="s">
        <v>1838</v>
      </c>
      <c r="AE1458" t="s">
        <v>2373</v>
      </c>
      <c r="AF1458">
        <v>2.7187847000000001</v>
      </c>
    </row>
    <row r="1459" spans="1:32" x14ac:dyDescent="0.25">
      <c r="A1459" s="56">
        <v>3770391</v>
      </c>
      <c r="B1459" s="56" t="s">
        <v>2343</v>
      </c>
      <c r="C1459" s="56" t="s">
        <v>5230</v>
      </c>
      <c r="D1459" s="56"/>
      <c r="E1459" s="57">
        <v>439.47500000000002</v>
      </c>
      <c r="F1459" s="57">
        <v>0.439475</v>
      </c>
      <c r="G1459" s="56" t="s">
        <v>392</v>
      </c>
      <c r="H1459" s="56" t="s">
        <v>1914</v>
      </c>
      <c r="I1459" s="56" t="s">
        <v>1834</v>
      </c>
      <c r="J1459" s="56"/>
      <c r="K1459" s="56"/>
      <c r="L1459" s="56"/>
      <c r="M1459" s="56"/>
      <c r="N1459" s="56" t="s">
        <v>30</v>
      </c>
      <c r="O1459" s="56">
        <v>13</v>
      </c>
      <c r="P1459" s="59" t="s">
        <v>2515</v>
      </c>
      <c r="Q1459" s="56" t="s">
        <v>11</v>
      </c>
      <c r="U1459" s="590">
        <v>3182342</v>
      </c>
      <c r="V1459">
        <v>57.15</v>
      </c>
      <c r="W1459">
        <v>0</v>
      </c>
      <c r="X1459">
        <v>2.2999999999999998</v>
      </c>
      <c r="Y1459">
        <v>1.365</v>
      </c>
      <c r="Z1459" t="s">
        <v>1914</v>
      </c>
      <c r="AA1459" t="s">
        <v>1003</v>
      </c>
      <c r="AB1459" t="s">
        <v>2520</v>
      </c>
      <c r="AC1459" t="s">
        <v>904</v>
      </c>
      <c r="AD1459" t="s">
        <v>2171</v>
      </c>
      <c r="AE1459" t="s">
        <v>906</v>
      </c>
      <c r="AF1459">
        <v>4.244596622175</v>
      </c>
    </row>
    <row r="1460" spans="1:32" x14ac:dyDescent="0.25">
      <c r="A1460" s="56">
        <v>3770394</v>
      </c>
      <c r="B1460" s="56" t="s">
        <v>2353</v>
      </c>
      <c r="C1460" s="56" t="s">
        <v>5232</v>
      </c>
      <c r="D1460" s="56"/>
      <c r="E1460" s="57">
        <v>105.77800000000001</v>
      </c>
      <c r="F1460" s="57">
        <v>0.10577800000000001</v>
      </c>
      <c r="G1460" s="56" t="s">
        <v>392</v>
      </c>
      <c r="H1460" s="56" t="s">
        <v>1914</v>
      </c>
      <c r="I1460" s="56" t="s">
        <v>1834</v>
      </c>
      <c r="J1460" s="56"/>
      <c r="K1460" s="56"/>
      <c r="L1460" s="56"/>
      <c r="M1460" s="56"/>
      <c r="N1460" s="56" t="s">
        <v>71</v>
      </c>
      <c r="O1460" s="56">
        <v>13</v>
      </c>
      <c r="P1460" s="59" t="s">
        <v>2515</v>
      </c>
      <c r="Q1460" s="56" t="s">
        <v>2516</v>
      </c>
      <c r="U1460" s="590">
        <v>3157631</v>
      </c>
      <c r="V1460">
        <v>57.15</v>
      </c>
      <c r="W1460">
        <v>0</v>
      </c>
      <c r="X1460">
        <v>2.2999999999999998</v>
      </c>
      <c r="Y1460">
        <v>1.365</v>
      </c>
      <c r="Z1460" t="s">
        <v>1924</v>
      </c>
      <c r="AA1460" t="s">
        <v>1003</v>
      </c>
      <c r="AB1460" t="s">
        <v>2520</v>
      </c>
      <c r="AC1460" t="s">
        <v>904</v>
      </c>
      <c r="AD1460" t="s">
        <v>2171</v>
      </c>
      <c r="AE1460" t="s">
        <v>906</v>
      </c>
      <c r="AF1460">
        <v>4.244596622175</v>
      </c>
    </row>
    <row r="1461" spans="1:32" x14ac:dyDescent="0.25">
      <c r="A1461" s="56">
        <v>3770398</v>
      </c>
      <c r="B1461" s="56" t="s">
        <v>2357</v>
      </c>
      <c r="C1461" s="56" t="s">
        <v>5233</v>
      </c>
      <c r="D1461" s="56"/>
      <c r="E1461" s="57">
        <v>561</v>
      </c>
      <c r="F1461" s="57">
        <v>0.56100000000000005</v>
      </c>
      <c r="G1461" s="56" t="s">
        <v>392</v>
      </c>
      <c r="H1461" s="56" t="s">
        <v>4454</v>
      </c>
      <c r="I1461" s="56" t="s">
        <v>1834</v>
      </c>
      <c r="J1461" s="56"/>
      <c r="K1461" s="56"/>
      <c r="L1461" s="56"/>
      <c r="M1461" s="56"/>
      <c r="N1461" s="56" t="s">
        <v>30</v>
      </c>
      <c r="O1461" s="56">
        <v>25</v>
      </c>
      <c r="P1461" s="59" t="s">
        <v>2515</v>
      </c>
      <c r="Q1461" s="56" t="s">
        <v>11</v>
      </c>
      <c r="U1461" s="589">
        <v>3781680</v>
      </c>
      <c r="V1461">
        <v>57.15</v>
      </c>
      <c r="W1461">
        <v>0</v>
      </c>
      <c r="X1461">
        <v>2.2999999999999998</v>
      </c>
      <c r="Y1461">
        <v>1.365</v>
      </c>
      <c r="Z1461" t="s">
        <v>2821</v>
      </c>
      <c r="AA1461" t="s">
        <v>1003</v>
      </c>
      <c r="AB1461" t="s">
        <v>2520</v>
      </c>
      <c r="AC1461" t="s">
        <v>904</v>
      </c>
      <c r="AD1461" t="s">
        <v>2171</v>
      </c>
      <c r="AE1461" t="s">
        <v>906</v>
      </c>
      <c r="AF1461">
        <v>4.244596622175</v>
      </c>
    </row>
    <row r="1462" spans="1:32" x14ac:dyDescent="0.25">
      <c r="A1462" s="56">
        <v>3770398</v>
      </c>
      <c r="B1462" s="56" t="s">
        <v>2357</v>
      </c>
      <c r="C1462" s="56" t="s">
        <v>5234</v>
      </c>
      <c r="D1462" s="56"/>
      <c r="E1462" s="57">
        <v>952</v>
      </c>
      <c r="F1462" s="57">
        <v>0.95199999999999996</v>
      </c>
      <c r="G1462" s="56" t="s">
        <v>392</v>
      </c>
      <c r="H1462" s="56" t="s">
        <v>2511</v>
      </c>
      <c r="I1462" s="56" t="s">
        <v>1834</v>
      </c>
      <c r="J1462" s="56"/>
      <c r="K1462" s="56"/>
      <c r="L1462" s="56"/>
      <c r="M1462" s="56"/>
      <c r="N1462" s="56" t="s">
        <v>30</v>
      </c>
      <c r="O1462" s="56">
        <v>26</v>
      </c>
      <c r="P1462" s="59" t="s">
        <v>2515</v>
      </c>
      <c r="Q1462" s="56" t="s">
        <v>11</v>
      </c>
      <c r="U1462" s="52">
        <v>3682118</v>
      </c>
      <c r="V1462">
        <v>57.15</v>
      </c>
      <c r="W1462">
        <v>0</v>
      </c>
      <c r="X1462">
        <v>2.2999999999999998</v>
      </c>
      <c r="Y1462">
        <v>6.95</v>
      </c>
      <c r="Z1462" t="s">
        <v>1914</v>
      </c>
      <c r="AA1462" t="s">
        <v>1003</v>
      </c>
      <c r="AB1462" t="s">
        <v>2520</v>
      </c>
      <c r="AC1462" t="s">
        <v>904</v>
      </c>
      <c r="AD1462" t="s">
        <v>1838</v>
      </c>
      <c r="AE1462" t="s">
        <v>2388</v>
      </c>
      <c r="AF1462">
        <v>3.1095945949999999</v>
      </c>
    </row>
    <row r="1463" spans="1:32" x14ac:dyDescent="0.25">
      <c r="A1463" s="56">
        <v>3770398</v>
      </c>
      <c r="B1463" s="56" t="s">
        <v>2357</v>
      </c>
      <c r="C1463" s="56" t="s">
        <v>5235</v>
      </c>
      <c r="D1463" s="56"/>
      <c r="E1463" s="57">
        <v>1677</v>
      </c>
      <c r="F1463" s="57">
        <v>1.677</v>
      </c>
      <c r="G1463" s="56" t="s">
        <v>392</v>
      </c>
      <c r="H1463" s="56" t="s">
        <v>2511</v>
      </c>
      <c r="I1463" s="56" t="s">
        <v>1834</v>
      </c>
      <c r="J1463" s="56"/>
      <c r="K1463" s="56"/>
      <c r="L1463" s="56"/>
      <c r="M1463" s="56"/>
      <c r="N1463" s="56" t="s">
        <v>30</v>
      </c>
      <c r="O1463" s="56">
        <v>35</v>
      </c>
      <c r="P1463" s="59" t="s">
        <v>2532</v>
      </c>
      <c r="Q1463" s="56" t="s">
        <v>11</v>
      </c>
      <c r="U1463" s="52">
        <v>3732177</v>
      </c>
      <c r="V1463">
        <v>57.15</v>
      </c>
      <c r="W1463">
        <v>0</v>
      </c>
      <c r="X1463">
        <v>2.5</v>
      </c>
      <c r="Y1463">
        <v>0.32600000000000001</v>
      </c>
      <c r="Z1463" t="s">
        <v>1952</v>
      </c>
      <c r="AA1463" t="s">
        <v>1895</v>
      </c>
      <c r="AB1463" t="s">
        <v>2520</v>
      </c>
      <c r="AC1463" t="s">
        <v>926</v>
      </c>
      <c r="AD1463" t="s">
        <v>2171</v>
      </c>
      <c r="AE1463" t="s">
        <v>5219</v>
      </c>
      <c r="AF1463">
        <v>1.09786029775</v>
      </c>
    </row>
    <row r="1464" spans="1:32" x14ac:dyDescent="0.25">
      <c r="A1464" s="56">
        <v>3770398</v>
      </c>
      <c r="B1464" s="56" t="s">
        <v>2357</v>
      </c>
      <c r="C1464" s="56" t="s">
        <v>5237</v>
      </c>
      <c r="D1464" s="56"/>
      <c r="E1464" s="57">
        <v>1677</v>
      </c>
      <c r="F1464" s="57">
        <v>1.677</v>
      </c>
      <c r="G1464" s="56" t="s">
        <v>392</v>
      </c>
      <c r="H1464" s="56" t="s">
        <v>2511</v>
      </c>
      <c r="I1464" s="56" t="s">
        <v>1834</v>
      </c>
      <c r="J1464" s="56"/>
      <c r="K1464" s="56"/>
      <c r="L1464" s="56"/>
      <c r="M1464" s="56"/>
      <c r="N1464" s="56" t="s">
        <v>30</v>
      </c>
      <c r="O1464" s="56">
        <v>35</v>
      </c>
      <c r="P1464" s="59" t="s">
        <v>2532</v>
      </c>
      <c r="Q1464" s="56" t="s">
        <v>11</v>
      </c>
      <c r="U1464" s="52">
        <v>3768906</v>
      </c>
      <c r="V1464">
        <v>57.15</v>
      </c>
      <c r="W1464">
        <v>0</v>
      </c>
      <c r="X1464">
        <v>2.5</v>
      </c>
      <c r="Y1464">
        <v>0.34599999999999997</v>
      </c>
      <c r="Z1464" t="s">
        <v>1952</v>
      </c>
      <c r="AA1464" t="s">
        <v>1895</v>
      </c>
      <c r="AB1464" t="s">
        <v>2520</v>
      </c>
      <c r="AC1464" t="s">
        <v>926</v>
      </c>
      <c r="AD1464" t="s">
        <v>2171</v>
      </c>
      <c r="AE1464" t="s">
        <v>5221</v>
      </c>
      <c r="AF1464">
        <v>1.1652136902499999</v>
      </c>
    </row>
    <row r="1465" spans="1:32" x14ac:dyDescent="0.25">
      <c r="A1465" s="56">
        <v>3770398</v>
      </c>
      <c r="B1465" s="56" t="s">
        <v>2357</v>
      </c>
      <c r="C1465" s="56" t="s">
        <v>4560</v>
      </c>
      <c r="D1465" s="56"/>
      <c r="E1465" s="57">
        <v>703.58699999999999</v>
      </c>
      <c r="F1465" s="57">
        <v>0.70358699999999996</v>
      </c>
      <c r="G1465" s="56" t="s">
        <v>392</v>
      </c>
      <c r="H1465" s="56" t="s">
        <v>1914</v>
      </c>
      <c r="I1465" s="56" t="s">
        <v>1834</v>
      </c>
      <c r="J1465" s="56"/>
      <c r="K1465" s="56"/>
      <c r="L1465" s="56"/>
      <c r="M1465" s="56"/>
      <c r="N1465" s="56" t="s">
        <v>30</v>
      </c>
      <c r="O1465" s="56">
        <v>33</v>
      </c>
      <c r="P1465" s="59" t="s">
        <v>2532</v>
      </c>
      <c r="Q1465" s="56" t="s">
        <v>11</v>
      </c>
      <c r="U1465" s="52">
        <v>2440972</v>
      </c>
      <c r="V1465">
        <v>57.15</v>
      </c>
      <c r="W1465">
        <v>0</v>
      </c>
      <c r="X1465">
        <v>2.5</v>
      </c>
      <c r="Y1465">
        <v>0.375</v>
      </c>
      <c r="Z1465" t="s">
        <v>1868</v>
      </c>
      <c r="AA1465" t="s">
        <v>1003</v>
      </c>
      <c r="AB1465" t="s">
        <v>2520</v>
      </c>
      <c r="AC1465" t="s">
        <v>926</v>
      </c>
      <c r="AD1465" t="s">
        <v>2171</v>
      </c>
      <c r="AE1465" t="s">
        <v>5223</v>
      </c>
      <c r="AF1465">
        <v>1.2628761093750001</v>
      </c>
    </row>
    <row r="1466" spans="1:32" x14ac:dyDescent="0.25">
      <c r="A1466" s="56">
        <v>3770398</v>
      </c>
      <c r="B1466" s="56" t="s">
        <v>2357</v>
      </c>
      <c r="C1466" s="56" t="s">
        <v>5241</v>
      </c>
      <c r="D1466" s="56"/>
      <c r="E1466" s="57">
        <v>108.194</v>
      </c>
      <c r="F1466" s="57">
        <v>0.108194</v>
      </c>
      <c r="G1466" s="56" t="s">
        <v>392</v>
      </c>
      <c r="H1466" s="56" t="s">
        <v>1914</v>
      </c>
      <c r="I1466" s="56" t="s">
        <v>1834</v>
      </c>
      <c r="J1466" s="56"/>
      <c r="K1466" s="56"/>
      <c r="L1466" s="56"/>
      <c r="M1466" s="56"/>
      <c r="N1466" s="56" t="s">
        <v>30</v>
      </c>
      <c r="O1466" s="56">
        <v>31</v>
      </c>
      <c r="P1466" s="59" t="s">
        <v>2532</v>
      </c>
      <c r="Q1466" s="56" t="s">
        <v>11</v>
      </c>
      <c r="U1466">
        <v>4020859</v>
      </c>
      <c r="V1466">
        <v>57.15</v>
      </c>
      <c r="W1466">
        <v>0</v>
      </c>
      <c r="X1466">
        <v>2.5</v>
      </c>
      <c r="Y1466">
        <v>0.376</v>
      </c>
      <c r="Z1466" t="s">
        <v>1952</v>
      </c>
      <c r="AA1466" t="s">
        <v>1895</v>
      </c>
      <c r="AB1466" t="s">
        <v>2520</v>
      </c>
      <c r="AC1466" t="s">
        <v>926</v>
      </c>
      <c r="AD1466" t="s">
        <v>2171</v>
      </c>
      <c r="AE1466" t="s">
        <v>5225</v>
      </c>
      <c r="AF1466">
        <v>1.2662437790000001</v>
      </c>
    </row>
    <row r="1467" spans="1:32" x14ac:dyDescent="0.25">
      <c r="A1467" s="56">
        <v>3770398</v>
      </c>
      <c r="B1467" s="56" t="s">
        <v>2357</v>
      </c>
      <c r="C1467" s="56" t="s">
        <v>5243</v>
      </c>
      <c r="D1467" s="56"/>
      <c r="E1467" s="57">
        <v>86.906999999999996</v>
      </c>
      <c r="F1467" s="57">
        <v>8.6906999999999998E-2</v>
      </c>
      <c r="G1467" s="56" t="s">
        <v>392</v>
      </c>
      <c r="H1467" s="56" t="s">
        <v>1914</v>
      </c>
      <c r="I1467" s="56" t="s">
        <v>1834</v>
      </c>
      <c r="J1467" s="56"/>
      <c r="K1467" s="56"/>
      <c r="L1467" s="56"/>
      <c r="M1467" s="56"/>
      <c r="N1467" s="56" t="s">
        <v>30</v>
      </c>
      <c r="O1467" s="56">
        <v>88</v>
      </c>
      <c r="P1467" s="59" t="s">
        <v>2579</v>
      </c>
      <c r="Q1467" s="56" t="s">
        <v>11</v>
      </c>
      <c r="U1467" s="52">
        <v>2320566</v>
      </c>
      <c r="V1467">
        <v>57.15</v>
      </c>
      <c r="W1467">
        <v>0</v>
      </c>
      <c r="X1467">
        <v>2.5</v>
      </c>
      <c r="Y1467">
        <v>0.379</v>
      </c>
      <c r="Z1467" t="s">
        <v>4431</v>
      </c>
      <c r="AA1467" t="s">
        <v>1003</v>
      </c>
      <c r="AB1467" t="s">
        <v>2520</v>
      </c>
      <c r="AC1467" t="s">
        <v>926</v>
      </c>
      <c r="AD1467" t="s">
        <v>2171</v>
      </c>
      <c r="AE1467" t="s">
        <v>5227</v>
      </c>
      <c r="AF1467">
        <v>1.2763467878750001</v>
      </c>
    </row>
    <row r="1468" spans="1:32" x14ac:dyDescent="0.25">
      <c r="A1468" s="56">
        <v>3770405</v>
      </c>
      <c r="B1468" s="56" t="s">
        <v>1767</v>
      </c>
      <c r="C1468" s="56" t="s">
        <v>5244</v>
      </c>
      <c r="D1468" s="56"/>
      <c r="E1468" s="57">
        <v>69.171999999999997</v>
      </c>
      <c r="F1468" s="57">
        <v>6.9171999999999997E-2</v>
      </c>
      <c r="G1468" s="56" t="s">
        <v>392</v>
      </c>
      <c r="H1468" s="56" t="s">
        <v>4454</v>
      </c>
      <c r="I1468" s="56" t="s">
        <v>1834</v>
      </c>
      <c r="J1468" s="56"/>
      <c r="K1468" s="56"/>
      <c r="L1468" s="56"/>
      <c r="M1468" s="56"/>
      <c r="N1468" s="56" t="s">
        <v>76</v>
      </c>
      <c r="O1468" s="56">
        <v>89</v>
      </c>
      <c r="P1468" s="59" t="s">
        <v>2579</v>
      </c>
      <c r="Q1468" s="56" t="s">
        <v>2561</v>
      </c>
      <c r="U1468" s="52">
        <v>2440970</v>
      </c>
      <c r="V1468">
        <v>57.15</v>
      </c>
      <c r="W1468">
        <v>0</v>
      </c>
      <c r="X1468">
        <v>2.5</v>
      </c>
      <c r="Y1468">
        <v>0.51200000000000001</v>
      </c>
      <c r="Z1468" t="s">
        <v>1868</v>
      </c>
      <c r="AA1468" t="s">
        <v>1003</v>
      </c>
      <c r="AB1468" t="s">
        <v>2520</v>
      </c>
      <c r="AC1468" t="s">
        <v>926</v>
      </c>
      <c r="AD1468" t="s">
        <v>2171</v>
      </c>
      <c r="AE1468" t="s">
        <v>5229</v>
      </c>
      <c r="AF1468">
        <v>1.7242468479999999</v>
      </c>
    </row>
    <row r="1469" spans="1:32" x14ac:dyDescent="0.25">
      <c r="A1469" s="56">
        <v>3770405</v>
      </c>
      <c r="B1469" s="56" t="s">
        <v>1767</v>
      </c>
      <c r="C1469" s="56" t="s">
        <v>5246</v>
      </c>
      <c r="D1469" s="56"/>
      <c r="E1469" s="57">
        <v>173.69800000000001</v>
      </c>
      <c r="F1469" s="57">
        <v>0.17369800000000002</v>
      </c>
      <c r="G1469" s="56" t="s">
        <v>392</v>
      </c>
      <c r="H1469" s="56" t="s">
        <v>4454</v>
      </c>
      <c r="I1469" s="56" t="s">
        <v>1834</v>
      </c>
      <c r="J1469" s="56"/>
      <c r="K1469" s="56"/>
      <c r="L1469" s="56"/>
      <c r="M1469" s="56"/>
      <c r="N1469" s="56" t="s">
        <v>76</v>
      </c>
      <c r="O1469" s="56">
        <v>105</v>
      </c>
      <c r="P1469" s="59" t="s">
        <v>2524</v>
      </c>
      <c r="Q1469" s="56" t="s">
        <v>2561</v>
      </c>
      <c r="U1469" s="52">
        <v>3731697</v>
      </c>
      <c r="V1469">
        <v>57.15</v>
      </c>
      <c r="W1469">
        <v>0</v>
      </c>
      <c r="X1469">
        <v>2.5</v>
      </c>
      <c r="Y1469">
        <v>0.52600000000000002</v>
      </c>
      <c r="Z1469" t="s">
        <v>1952</v>
      </c>
      <c r="AA1469" t="s">
        <v>1895</v>
      </c>
      <c r="AB1469" t="s">
        <v>2520</v>
      </c>
      <c r="AC1469" t="s">
        <v>926</v>
      </c>
      <c r="AD1469" t="s">
        <v>2171</v>
      </c>
      <c r="AE1469" t="s">
        <v>5231</v>
      </c>
      <c r="AF1469">
        <v>1.7713942227500001</v>
      </c>
    </row>
    <row r="1470" spans="1:32" x14ac:dyDescent="0.25">
      <c r="A1470" s="56">
        <v>3770405</v>
      </c>
      <c r="B1470" s="56" t="s">
        <v>1767</v>
      </c>
      <c r="C1470" s="56" t="s">
        <v>5247</v>
      </c>
      <c r="D1470" s="56"/>
      <c r="E1470" s="57">
        <v>55.188000000000002</v>
      </c>
      <c r="F1470" s="57">
        <v>5.5188000000000001E-2</v>
      </c>
      <c r="G1470" s="56" t="s">
        <v>392</v>
      </c>
      <c r="H1470" s="56" t="s">
        <v>4454</v>
      </c>
      <c r="I1470" s="56" t="s">
        <v>1834</v>
      </c>
      <c r="J1470" s="56"/>
      <c r="K1470" s="56"/>
      <c r="L1470" s="56"/>
      <c r="M1470" s="56"/>
      <c r="N1470" s="56" t="s">
        <v>76</v>
      </c>
      <c r="O1470" s="56">
        <v>163</v>
      </c>
      <c r="P1470" s="59" t="s">
        <v>2524</v>
      </c>
      <c r="Q1470" s="56" t="s">
        <v>2561</v>
      </c>
      <c r="U1470" s="52">
        <v>1174860</v>
      </c>
      <c r="V1470">
        <v>57.15</v>
      </c>
      <c r="W1470">
        <v>0</v>
      </c>
      <c r="X1470">
        <v>2.5</v>
      </c>
      <c r="Y1470">
        <v>0.77200000000000002</v>
      </c>
      <c r="Z1470" t="s">
        <v>1914</v>
      </c>
      <c r="AA1470" t="s">
        <v>963</v>
      </c>
      <c r="AB1470" t="s">
        <v>2520</v>
      </c>
      <c r="AC1470" t="s">
        <v>926</v>
      </c>
      <c r="AD1470" t="s">
        <v>2171</v>
      </c>
      <c r="AE1470" t="s">
        <v>928</v>
      </c>
      <c r="AF1470">
        <v>2.5998409505</v>
      </c>
    </row>
    <row r="1471" spans="1:32" x14ac:dyDescent="0.25">
      <c r="A1471" s="56">
        <v>3770405</v>
      </c>
      <c r="B1471" s="56" t="s">
        <v>1767</v>
      </c>
      <c r="C1471" s="56" t="s">
        <v>5248</v>
      </c>
      <c r="D1471" s="56"/>
      <c r="E1471" s="57">
        <v>320.60899999999998</v>
      </c>
      <c r="F1471" s="57">
        <v>0.32060899999999998</v>
      </c>
      <c r="G1471" s="56" t="s">
        <v>392</v>
      </c>
      <c r="H1471" s="56" t="s">
        <v>4454</v>
      </c>
      <c r="I1471" s="56" t="s">
        <v>1834</v>
      </c>
      <c r="J1471" s="56"/>
      <c r="K1471" s="56"/>
      <c r="L1471" s="56"/>
      <c r="M1471" s="56"/>
      <c r="N1471" s="56" t="s">
        <v>76</v>
      </c>
      <c r="O1471" s="56">
        <v>119</v>
      </c>
      <c r="P1471" s="59" t="s">
        <v>2524</v>
      </c>
      <c r="Q1471" s="56" t="s">
        <v>2561</v>
      </c>
      <c r="U1471" s="52">
        <v>1940911</v>
      </c>
      <c r="V1471">
        <v>57.15</v>
      </c>
      <c r="W1471">
        <v>0</v>
      </c>
      <c r="X1471">
        <v>2.5</v>
      </c>
      <c r="Y1471">
        <v>0.77200000000000002</v>
      </c>
      <c r="Z1471" t="s">
        <v>4431</v>
      </c>
      <c r="AA1471" t="s">
        <v>1895</v>
      </c>
      <c r="AB1471" t="s">
        <v>2520</v>
      </c>
      <c r="AC1471" t="s">
        <v>926</v>
      </c>
      <c r="AD1471" t="s">
        <v>2171</v>
      </c>
      <c r="AE1471" t="s">
        <v>928</v>
      </c>
      <c r="AF1471">
        <v>2.5998409505</v>
      </c>
    </row>
    <row r="1472" spans="1:32" x14ac:dyDescent="0.25">
      <c r="A1472" s="56">
        <v>3770405</v>
      </c>
      <c r="B1472" s="56" t="s">
        <v>1767</v>
      </c>
      <c r="C1472" s="56" t="s">
        <v>5249</v>
      </c>
      <c r="D1472" s="56"/>
      <c r="E1472" s="57">
        <v>430.13099999999997</v>
      </c>
      <c r="F1472" s="57">
        <v>0.43013099999999999</v>
      </c>
      <c r="G1472" s="56" t="s">
        <v>392</v>
      </c>
      <c r="H1472" s="56" t="s">
        <v>4454</v>
      </c>
      <c r="I1472" s="56" t="s">
        <v>1834</v>
      </c>
      <c r="J1472" s="56"/>
      <c r="K1472" s="56"/>
      <c r="L1472" s="56"/>
      <c r="M1472" s="56"/>
      <c r="N1472" s="56" t="s">
        <v>76</v>
      </c>
      <c r="O1472" s="56">
        <v>17</v>
      </c>
      <c r="P1472" s="59" t="s">
        <v>2515</v>
      </c>
      <c r="Q1472" s="56" t="s">
        <v>2561</v>
      </c>
      <c r="U1472">
        <v>3784472</v>
      </c>
      <c r="V1472">
        <v>57.15</v>
      </c>
      <c r="W1472">
        <v>0</v>
      </c>
      <c r="X1472">
        <v>2.5</v>
      </c>
      <c r="Y1472">
        <v>0.77200000000000002</v>
      </c>
      <c r="Z1472" t="s">
        <v>1952</v>
      </c>
      <c r="AA1472" t="s">
        <v>963</v>
      </c>
      <c r="AB1472" t="s">
        <v>2520</v>
      </c>
      <c r="AC1472" t="s">
        <v>926</v>
      </c>
      <c r="AD1472" t="s">
        <v>2171</v>
      </c>
      <c r="AE1472" t="s">
        <v>928</v>
      </c>
      <c r="AF1472">
        <v>2.5998409505</v>
      </c>
    </row>
    <row r="1473" spans="1:32" x14ac:dyDescent="0.25">
      <c r="A1473" s="56">
        <v>3770405</v>
      </c>
      <c r="B1473" s="56" t="s">
        <v>1767</v>
      </c>
      <c r="C1473" s="56" t="s">
        <v>5250</v>
      </c>
      <c r="D1473" s="56"/>
      <c r="E1473" s="57">
        <v>384.96100000000001</v>
      </c>
      <c r="F1473" s="57">
        <v>0.384961</v>
      </c>
      <c r="G1473" s="56" t="s">
        <v>392</v>
      </c>
      <c r="H1473" s="56" t="s">
        <v>4454</v>
      </c>
      <c r="I1473" s="56" t="s">
        <v>1834</v>
      </c>
      <c r="J1473" s="56"/>
      <c r="K1473" s="56"/>
      <c r="L1473" s="56"/>
      <c r="M1473" s="56"/>
      <c r="N1473" s="56" t="s">
        <v>76</v>
      </c>
      <c r="O1473" s="56">
        <v>68</v>
      </c>
      <c r="P1473" s="59" t="s">
        <v>2579</v>
      </c>
      <c r="Q1473" s="56" t="s">
        <v>2561</v>
      </c>
      <c r="U1473" s="52">
        <v>3542858</v>
      </c>
      <c r="V1473">
        <v>57.15</v>
      </c>
      <c r="W1473">
        <v>0</v>
      </c>
      <c r="X1473">
        <v>2.5</v>
      </c>
      <c r="Y1473">
        <v>0.77800000000000002</v>
      </c>
      <c r="Z1473" t="s">
        <v>1868</v>
      </c>
      <c r="AA1473" t="s">
        <v>1895</v>
      </c>
      <c r="AB1473" t="s">
        <v>2520</v>
      </c>
      <c r="AC1473" t="s">
        <v>926</v>
      </c>
      <c r="AD1473" t="s">
        <v>2171</v>
      </c>
      <c r="AE1473" t="s">
        <v>5236</v>
      </c>
      <c r="AF1473">
        <v>2.6200469682500001</v>
      </c>
    </row>
    <row r="1474" spans="1:32" x14ac:dyDescent="0.25">
      <c r="A1474" s="56">
        <v>3770405</v>
      </c>
      <c r="B1474" s="56" t="s">
        <v>1767</v>
      </c>
      <c r="C1474" s="56" t="s">
        <v>5251</v>
      </c>
      <c r="D1474" s="56"/>
      <c r="E1474" s="57">
        <v>112.44</v>
      </c>
      <c r="F1474" s="57">
        <v>0.11244</v>
      </c>
      <c r="G1474" s="56" t="s">
        <v>392</v>
      </c>
      <c r="H1474" s="56" t="s">
        <v>4454</v>
      </c>
      <c r="I1474" s="56" t="s">
        <v>1834</v>
      </c>
      <c r="J1474" s="56"/>
      <c r="K1474" s="56"/>
      <c r="L1474" s="56"/>
      <c r="M1474" s="56"/>
      <c r="N1474" s="56" t="s">
        <v>76</v>
      </c>
      <c r="O1474" s="56">
        <v>87</v>
      </c>
      <c r="P1474" s="59" t="s">
        <v>2579</v>
      </c>
      <c r="Q1474" s="56" t="s">
        <v>2561</v>
      </c>
      <c r="U1474" s="52">
        <v>1342334</v>
      </c>
      <c r="V1474">
        <v>57.15</v>
      </c>
      <c r="W1474">
        <v>0</v>
      </c>
      <c r="X1474">
        <v>2.5</v>
      </c>
      <c r="Y1474">
        <v>0.8</v>
      </c>
      <c r="Z1474" t="s">
        <v>1914</v>
      </c>
      <c r="AA1474" t="s">
        <v>963</v>
      </c>
      <c r="AB1474" t="s">
        <v>2520</v>
      </c>
      <c r="AC1474" t="s">
        <v>5238</v>
      </c>
      <c r="AD1474" t="s">
        <v>2171</v>
      </c>
      <c r="AE1474" t="s">
        <v>5239</v>
      </c>
      <c r="AF1474">
        <v>2.6941357000000004</v>
      </c>
    </row>
    <row r="1475" spans="1:32" x14ac:dyDescent="0.25">
      <c r="A1475" s="56">
        <v>3770405</v>
      </c>
      <c r="B1475" s="56" t="s">
        <v>1767</v>
      </c>
      <c r="C1475" s="56" t="s">
        <v>5252</v>
      </c>
      <c r="D1475" s="56"/>
      <c r="E1475" s="57">
        <v>717</v>
      </c>
      <c r="F1475" s="57">
        <v>0.71699999999999997</v>
      </c>
      <c r="G1475" s="56" t="s">
        <v>392</v>
      </c>
      <c r="H1475" s="56" t="s">
        <v>4454</v>
      </c>
      <c r="I1475" s="56" t="s">
        <v>1834</v>
      </c>
      <c r="J1475" s="56"/>
      <c r="K1475" s="56"/>
      <c r="L1475" s="56"/>
      <c r="M1475" s="56"/>
      <c r="N1475" s="56" t="s">
        <v>76</v>
      </c>
      <c r="O1475" s="56">
        <v>83</v>
      </c>
      <c r="P1475" s="59" t="s">
        <v>2579</v>
      </c>
      <c r="Q1475" s="56" t="s">
        <v>2561</v>
      </c>
      <c r="U1475" s="52">
        <v>1248570</v>
      </c>
      <c r="V1475">
        <v>57.15</v>
      </c>
      <c r="W1475">
        <v>0</v>
      </c>
      <c r="X1475">
        <v>2.5</v>
      </c>
      <c r="Y1475">
        <v>0.81100000000000005</v>
      </c>
      <c r="Z1475" t="s">
        <v>1914</v>
      </c>
      <c r="AA1475" t="s">
        <v>963</v>
      </c>
      <c r="AB1475" t="s">
        <v>2520</v>
      </c>
      <c r="AC1475" t="s">
        <v>5238</v>
      </c>
      <c r="AD1475" t="s">
        <v>2171</v>
      </c>
      <c r="AE1475" t="s">
        <v>5240</v>
      </c>
      <c r="AF1475">
        <v>2.7311800658750003</v>
      </c>
    </row>
    <row r="1476" spans="1:32" x14ac:dyDescent="0.25">
      <c r="A1476" s="56">
        <v>3770405</v>
      </c>
      <c r="B1476" s="56" t="s">
        <v>1767</v>
      </c>
      <c r="C1476" s="56" t="s">
        <v>5253</v>
      </c>
      <c r="D1476" s="56"/>
      <c r="E1476" s="57">
        <v>94.457999999999998</v>
      </c>
      <c r="F1476" s="57">
        <v>9.4458E-2</v>
      </c>
      <c r="G1476" s="56" t="s">
        <v>392</v>
      </c>
      <c r="H1476" s="56" t="s">
        <v>2511</v>
      </c>
      <c r="I1476" s="56" t="s">
        <v>1834</v>
      </c>
      <c r="J1476" s="56"/>
      <c r="K1476" s="56"/>
      <c r="L1476" s="56"/>
      <c r="M1476" s="56"/>
      <c r="N1476" s="56" t="s">
        <v>76</v>
      </c>
      <c r="O1476" s="56">
        <v>172</v>
      </c>
      <c r="P1476" s="59" t="s">
        <v>2524</v>
      </c>
      <c r="Q1476" s="56" t="s">
        <v>2561</v>
      </c>
      <c r="U1476" s="52">
        <v>3542857</v>
      </c>
      <c r="V1476">
        <v>57.15</v>
      </c>
      <c r="W1476">
        <v>0</v>
      </c>
      <c r="X1476">
        <v>2.5</v>
      </c>
      <c r="Y1476">
        <v>0.81200000000000006</v>
      </c>
      <c r="Z1476" t="s">
        <v>1868</v>
      </c>
      <c r="AA1476" t="s">
        <v>1895</v>
      </c>
      <c r="AB1476" t="s">
        <v>2520</v>
      </c>
      <c r="AC1476" t="s">
        <v>926</v>
      </c>
      <c r="AD1476" t="s">
        <v>2171</v>
      </c>
      <c r="AE1476" t="s">
        <v>5242</v>
      </c>
      <c r="AF1476">
        <v>2.7345477355000001</v>
      </c>
    </row>
    <row r="1477" spans="1:32" x14ac:dyDescent="0.25">
      <c r="A1477" s="56">
        <v>3770405</v>
      </c>
      <c r="B1477" s="56" t="s">
        <v>1767</v>
      </c>
      <c r="C1477" s="56" t="s">
        <v>5254</v>
      </c>
      <c r="D1477" s="56"/>
      <c r="E1477" s="57">
        <v>98.314999999999998</v>
      </c>
      <c r="F1477" s="57">
        <v>9.8315E-2</v>
      </c>
      <c r="G1477" s="56" t="s">
        <v>392</v>
      </c>
      <c r="H1477" s="56" t="s">
        <v>2511</v>
      </c>
      <c r="I1477" s="56" t="s">
        <v>1834</v>
      </c>
      <c r="J1477" s="56"/>
      <c r="K1477" s="56"/>
      <c r="L1477" s="56"/>
      <c r="M1477" s="56"/>
      <c r="N1477" s="56" t="s">
        <v>76</v>
      </c>
      <c r="O1477" s="56">
        <v>110</v>
      </c>
      <c r="P1477" s="59" t="s">
        <v>2524</v>
      </c>
      <c r="Q1477" s="56" t="s">
        <v>2561</v>
      </c>
      <c r="U1477" s="52">
        <v>1940913</v>
      </c>
      <c r="V1477">
        <v>57.15</v>
      </c>
      <c r="W1477">
        <v>0</v>
      </c>
      <c r="X1477">
        <v>2.5</v>
      </c>
      <c r="Y1477">
        <v>0.81200000000000006</v>
      </c>
      <c r="Z1477" t="s">
        <v>4431</v>
      </c>
      <c r="AA1477" t="s">
        <v>1003</v>
      </c>
      <c r="AB1477" t="s">
        <v>2520</v>
      </c>
      <c r="AC1477" t="s">
        <v>926</v>
      </c>
      <c r="AD1477" t="s">
        <v>2171</v>
      </c>
      <c r="AE1477" t="s">
        <v>5242</v>
      </c>
      <c r="AF1477">
        <v>2.7345477355000001</v>
      </c>
    </row>
    <row r="1478" spans="1:32" x14ac:dyDescent="0.25">
      <c r="A1478" s="56">
        <v>3770405</v>
      </c>
      <c r="B1478" s="56" t="s">
        <v>1767</v>
      </c>
      <c r="C1478" s="56" t="s">
        <v>5255</v>
      </c>
      <c r="D1478" s="56"/>
      <c r="E1478" s="57">
        <v>908</v>
      </c>
      <c r="F1478" s="57">
        <v>0.90800000000000003</v>
      </c>
      <c r="G1478" s="56" t="s">
        <v>392</v>
      </c>
      <c r="H1478" s="56" t="s">
        <v>2511</v>
      </c>
      <c r="I1478" s="56" t="s">
        <v>1834</v>
      </c>
      <c r="J1478" s="56"/>
      <c r="K1478" s="56"/>
      <c r="L1478" s="56"/>
      <c r="M1478" s="56"/>
      <c r="N1478" s="56" t="s">
        <v>76</v>
      </c>
      <c r="O1478" s="56">
        <v>31</v>
      </c>
      <c r="P1478" s="59" t="s">
        <v>2532</v>
      </c>
      <c r="Q1478" s="56" t="s">
        <v>2561</v>
      </c>
      <c r="U1478" s="52">
        <v>3500277</v>
      </c>
      <c r="V1478">
        <v>57.15</v>
      </c>
      <c r="W1478">
        <v>0</v>
      </c>
      <c r="X1478">
        <v>2.5</v>
      </c>
      <c r="Y1478">
        <v>5.6</v>
      </c>
      <c r="Z1478" t="s">
        <v>1914</v>
      </c>
      <c r="AA1478" t="s">
        <v>963</v>
      </c>
      <c r="AB1478" t="s">
        <v>2520</v>
      </c>
      <c r="AC1478" t="s">
        <v>5238</v>
      </c>
      <c r="AD1478" t="s">
        <v>1838</v>
      </c>
      <c r="AE1478" t="s">
        <v>5245</v>
      </c>
      <c r="AF1478">
        <v>3.367669625</v>
      </c>
    </row>
    <row r="1479" spans="1:32" x14ac:dyDescent="0.25">
      <c r="A1479" s="56">
        <v>3770405</v>
      </c>
      <c r="B1479" s="56" t="s">
        <v>1767</v>
      </c>
      <c r="C1479" s="56" t="s">
        <v>5256</v>
      </c>
      <c r="D1479" s="56"/>
      <c r="E1479" s="57">
        <v>844</v>
      </c>
      <c r="F1479" s="57">
        <v>0.84399999999999997</v>
      </c>
      <c r="G1479" s="56" t="s">
        <v>392</v>
      </c>
      <c r="H1479" s="56" t="s">
        <v>2511</v>
      </c>
      <c r="I1479" s="56" t="s">
        <v>1834</v>
      </c>
      <c r="J1479" s="56"/>
      <c r="K1479" s="56"/>
      <c r="L1479" s="56"/>
      <c r="M1479" s="56"/>
      <c r="N1479" s="56" t="s">
        <v>76</v>
      </c>
      <c r="O1479" s="56">
        <v>31</v>
      </c>
      <c r="P1479" s="59" t="s">
        <v>2532</v>
      </c>
      <c r="Q1479" s="56" t="s">
        <v>2561</v>
      </c>
      <c r="U1479" s="52">
        <v>3500955</v>
      </c>
      <c r="V1479">
        <v>57.15</v>
      </c>
      <c r="W1479">
        <v>0</v>
      </c>
      <c r="X1479">
        <v>2.5</v>
      </c>
      <c r="Y1479">
        <v>5.6</v>
      </c>
      <c r="Z1479" t="s">
        <v>1914</v>
      </c>
      <c r="AA1479" t="s">
        <v>1003</v>
      </c>
      <c r="AB1479" t="s">
        <v>2520</v>
      </c>
      <c r="AC1479" t="s">
        <v>926</v>
      </c>
      <c r="AD1479" t="s">
        <v>1838</v>
      </c>
      <c r="AE1479" t="s">
        <v>2316</v>
      </c>
      <c r="AF1479">
        <v>3.367669625</v>
      </c>
    </row>
    <row r="1480" spans="1:32" x14ac:dyDescent="0.25">
      <c r="A1480" s="56">
        <v>3770405</v>
      </c>
      <c r="B1480" s="56" t="s">
        <v>1767</v>
      </c>
      <c r="C1480" s="56" t="s">
        <v>5257</v>
      </c>
      <c r="D1480" s="56"/>
      <c r="E1480" s="57">
        <v>759</v>
      </c>
      <c r="F1480" s="57">
        <v>0.75900000000000001</v>
      </c>
      <c r="G1480" s="56" t="s">
        <v>392</v>
      </c>
      <c r="H1480" s="56" t="s">
        <v>2511</v>
      </c>
      <c r="I1480" s="56" t="s">
        <v>1834</v>
      </c>
      <c r="J1480" s="56"/>
      <c r="K1480" s="56"/>
      <c r="L1480" s="56"/>
      <c r="M1480" s="56"/>
      <c r="N1480" s="56" t="s">
        <v>76</v>
      </c>
      <c r="O1480" s="56">
        <v>31</v>
      </c>
      <c r="P1480" s="59" t="s">
        <v>2532</v>
      </c>
      <c r="Q1480" s="56" t="s">
        <v>2561</v>
      </c>
      <c r="U1480">
        <v>3907863</v>
      </c>
      <c r="V1480">
        <v>57.15</v>
      </c>
      <c r="W1480">
        <v>0</v>
      </c>
      <c r="X1480">
        <v>2.5</v>
      </c>
      <c r="Y1480">
        <v>5.7110000000000003</v>
      </c>
      <c r="Z1480" t="s">
        <v>1914</v>
      </c>
      <c r="AA1480" t="s">
        <v>1003</v>
      </c>
      <c r="AB1480" t="s">
        <v>2520</v>
      </c>
      <c r="AC1480" t="s">
        <v>926</v>
      </c>
      <c r="AD1480" t="s">
        <v>1838</v>
      </c>
      <c r="AE1480" t="s">
        <v>2316</v>
      </c>
      <c r="AF1480">
        <v>3.367669625</v>
      </c>
    </row>
    <row r="1481" spans="1:32" x14ac:dyDescent="0.25">
      <c r="A1481" s="56">
        <v>3770405</v>
      </c>
      <c r="B1481" s="56" t="s">
        <v>1767</v>
      </c>
      <c r="C1481" s="56" t="s">
        <v>5258</v>
      </c>
      <c r="D1481" s="56"/>
      <c r="E1481" s="57">
        <v>614</v>
      </c>
      <c r="F1481" s="57">
        <v>0.61399999999999999</v>
      </c>
      <c r="G1481" s="56" t="s">
        <v>392</v>
      </c>
      <c r="H1481" s="56" t="s">
        <v>2511</v>
      </c>
      <c r="I1481" s="56" t="s">
        <v>1834</v>
      </c>
      <c r="J1481" s="56"/>
      <c r="K1481" s="56"/>
      <c r="L1481" s="56"/>
      <c r="M1481" s="56"/>
      <c r="N1481" s="56" t="s">
        <v>76</v>
      </c>
      <c r="O1481" s="56">
        <v>31</v>
      </c>
      <c r="P1481" s="59" t="s">
        <v>2532</v>
      </c>
      <c r="Q1481" s="56" t="s">
        <v>2561</v>
      </c>
      <c r="U1481" s="538">
        <v>111122472</v>
      </c>
      <c r="V1481">
        <v>57.15</v>
      </c>
      <c r="W1481">
        <v>0</v>
      </c>
      <c r="X1481">
        <v>2.5</v>
      </c>
      <c r="Y1481">
        <v>5.7110000000000003</v>
      </c>
      <c r="Z1481" t="s">
        <v>1868</v>
      </c>
      <c r="AA1481" t="s">
        <v>1003</v>
      </c>
      <c r="AB1481" t="s">
        <v>2520</v>
      </c>
      <c r="AC1481" t="s">
        <v>926</v>
      </c>
      <c r="AD1481" t="s">
        <v>1838</v>
      </c>
      <c r="AE1481" t="s">
        <v>2316</v>
      </c>
      <c r="AF1481">
        <v>3.367669625</v>
      </c>
    </row>
    <row r="1482" spans="1:32" x14ac:dyDescent="0.25">
      <c r="A1482" s="56">
        <v>3770405</v>
      </c>
      <c r="B1482" s="56" t="s">
        <v>1767</v>
      </c>
      <c r="C1482" s="56" t="s">
        <v>5259</v>
      </c>
      <c r="D1482" s="56"/>
      <c r="E1482" s="57">
        <v>486.726</v>
      </c>
      <c r="F1482" s="57">
        <v>0.48672599999999999</v>
      </c>
      <c r="G1482" s="56" t="s">
        <v>392</v>
      </c>
      <c r="H1482" s="56" t="s">
        <v>2511</v>
      </c>
      <c r="I1482" s="56" t="s">
        <v>1834</v>
      </c>
      <c r="J1482" s="56"/>
      <c r="K1482" s="56"/>
      <c r="L1482" s="56"/>
      <c r="M1482" s="56"/>
      <c r="N1482" s="56" t="s">
        <v>76</v>
      </c>
      <c r="O1482" s="56">
        <v>16</v>
      </c>
      <c r="P1482" s="59" t="s">
        <v>2515</v>
      </c>
      <c r="Q1482" s="56" t="s">
        <v>2561</v>
      </c>
      <c r="U1482" s="52">
        <v>3497967</v>
      </c>
      <c r="V1482">
        <v>57.15</v>
      </c>
      <c r="W1482">
        <v>0</v>
      </c>
      <c r="X1482">
        <v>2.5</v>
      </c>
      <c r="Y1482">
        <v>5.73</v>
      </c>
      <c r="Z1482" t="s">
        <v>1868</v>
      </c>
      <c r="AA1482" t="s">
        <v>1003</v>
      </c>
      <c r="AB1482" t="s">
        <v>2520</v>
      </c>
      <c r="AC1482" t="s">
        <v>926</v>
      </c>
      <c r="AD1482" t="s">
        <v>1838</v>
      </c>
      <c r="AE1482" t="s">
        <v>2316</v>
      </c>
      <c r="AF1482">
        <v>3.367669625</v>
      </c>
    </row>
    <row r="1483" spans="1:32" x14ac:dyDescent="0.25">
      <c r="A1483" s="56">
        <v>3775569</v>
      </c>
      <c r="B1483" s="56" t="s">
        <v>595</v>
      </c>
      <c r="C1483" s="56" t="s">
        <v>4512</v>
      </c>
      <c r="D1483" s="56"/>
      <c r="E1483" s="57">
        <v>130.12200000000001</v>
      </c>
      <c r="F1483" s="57">
        <v>0.13012200000000002</v>
      </c>
      <c r="G1483" s="56" t="s">
        <v>392</v>
      </c>
      <c r="H1483" s="56" t="s">
        <v>1914</v>
      </c>
      <c r="I1483" s="56" t="s">
        <v>1834</v>
      </c>
      <c r="J1483" s="56"/>
      <c r="K1483" s="56"/>
      <c r="L1483" s="56"/>
      <c r="M1483" s="56"/>
      <c r="N1483" s="56" t="s">
        <v>72</v>
      </c>
      <c r="O1483" s="56">
        <v>24</v>
      </c>
      <c r="P1483" s="59" t="s">
        <v>2515</v>
      </c>
      <c r="Q1483" s="56" t="s">
        <v>11</v>
      </c>
      <c r="U1483" s="52">
        <v>3501047</v>
      </c>
      <c r="V1483">
        <v>57.15</v>
      </c>
      <c r="W1483">
        <v>0</v>
      </c>
      <c r="X1483">
        <v>2.5</v>
      </c>
      <c r="Y1483">
        <v>5.75</v>
      </c>
      <c r="Z1483" t="s">
        <v>1914</v>
      </c>
      <c r="AA1483" t="s">
        <v>1003</v>
      </c>
      <c r="AB1483" t="s">
        <v>2520</v>
      </c>
      <c r="AC1483" t="s">
        <v>926</v>
      </c>
      <c r="AD1483" t="s">
        <v>1838</v>
      </c>
      <c r="AE1483" t="s">
        <v>2316</v>
      </c>
      <c r="AF1483">
        <v>3.367669625</v>
      </c>
    </row>
    <row r="1484" spans="1:32" x14ac:dyDescent="0.25">
      <c r="A1484" s="56">
        <v>3775631</v>
      </c>
      <c r="B1484" s="56" t="s">
        <v>2385</v>
      </c>
      <c r="C1484" s="56" t="s">
        <v>5260</v>
      </c>
      <c r="D1484" s="56"/>
      <c r="E1484" s="57">
        <v>2004</v>
      </c>
      <c r="F1484" s="57">
        <v>2.004</v>
      </c>
      <c r="G1484" s="56" t="s">
        <v>392</v>
      </c>
      <c r="H1484" s="56" t="s">
        <v>4454</v>
      </c>
      <c r="I1484" s="56" t="s">
        <v>1834</v>
      </c>
      <c r="J1484" s="56"/>
      <c r="K1484" s="56"/>
      <c r="L1484" s="56"/>
      <c r="M1484" s="56"/>
      <c r="N1484" s="56" t="s">
        <v>24</v>
      </c>
      <c r="O1484" s="56">
        <v>88</v>
      </c>
      <c r="P1484" s="59" t="s">
        <v>2579</v>
      </c>
      <c r="Q1484" s="56" t="s">
        <v>2516</v>
      </c>
      <c r="U1484" s="52">
        <v>2356405</v>
      </c>
      <c r="V1484">
        <v>57.15</v>
      </c>
      <c r="W1484">
        <v>0</v>
      </c>
      <c r="X1484">
        <v>2.5</v>
      </c>
      <c r="Y1484">
        <v>5.75</v>
      </c>
      <c r="Z1484" t="s">
        <v>1868</v>
      </c>
      <c r="AA1484" t="s">
        <v>963</v>
      </c>
      <c r="AB1484" t="s">
        <v>2520</v>
      </c>
      <c r="AC1484" t="s">
        <v>5238</v>
      </c>
      <c r="AD1484" t="s">
        <v>1838</v>
      </c>
      <c r="AE1484" t="s">
        <v>5245</v>
      </c>
      <c r="AF1484">
        <v>3.367669625</v>
      </c>
    </row>
    <row r="1485" spans="1:32" x14ac:dyDescent="0.25">
      <c r="A1485" s="56">
        <v>3775788</v>
      </c>
      <c r="B1485" s="56" t="s">
        <v>5261</v>
      </c>
      <c r="C1485" s="56" t="s">
        <v>5262</v>
      </c>
      <c r="D1485" s="56"/>
      <c r="E1485" s="57">
        <v>2232.44</v>
      </c>
      <c r="F1485" s="57">
        <v>2.23244</v>
      </c>
      <c r="G1485" s="56" t="s">
        <v>392</v>
      </c>
      <c r="H1485" s="56" t="s">
        <v>4454</v>
      </c>
      <c r="I1485" s="56" t="s">
        <v>4455</v>
      </c>
      <c r="J1485" s="56"/>
      <c r="K1485" s="56"/>
      <c r="L1485" s="56"/>
      <c r="M1485" s="56"/>
      <c r="N1485" s="56" t="s">
        <v>76</v>
      </c>
      <c r="O1485" s="56">
        <v>26</v>
      </c>
      <c r="P1485" s="59" t="s">
        <v>2515</v>
      </c>
      <c r="Q1485" s="56" t="s">
        <v>2561</v>
      </c>
      <c r="U1485" s="52">
        <v>3500626</v>
      </c>
      <c r="V1485">
        <v>57.15</v>
      </c>
      <c r="W1485">
        <v>0</v>
      </c>
      <c r="X1485">
        <v>2.5</v>
      </c>
      <c r="Y1485">
        <v>5.75</v>
      </c>
      <c r="Z1485" t="s">
        <v>1914</v>
      </c>
      <c r="AA1485" t="s">
        <v>963</v>
      </c>
      <c r="AB1485" t="s">
        <v>2520</v>
      </c>
      <c r="AC1485" t="s">
        <v>5238</v>
      </c>
      <c r="AD1485" t="s">
        <v>1838</v>
      </c>
      <c r="AE1485" t="s">
        <v>5245</v>
      </c>
      <c r="AF1485">
        <v>3.367669625</v>
      </c>
    </row>
    <row r="1486" spans="1:32" x14ac:dyDescent="0.25">
      <c r="A1486" s="56">
        <v>3775788</v>
      </c>
      <c r="B1486" s="56" t="s">
        <v>5261</v>
      </c>
      <c r="C1486" s="56" t="s">
        <v>5263</v>
      </c>
      <c r="D1486" s="56"/>
      <c r="E1486" s="57">
        <v>2281.6849999999999</v>
      </c>
      <c r="F1486" s="57">
        <v>2.281685</v>
      </c>
      <c r="G1486" s="56" t="s">
        <v>392</v>
      </c>
      <c r="H1486" s="56" t="s">
        <v>4454</v>
      </c>
      <c r="I1486" s="56" t="s">
        <v>4455</v>
      </c>
      <c r="J1486" s="56"/>
      <c r="K1486" s="56"/>
      <c r="L1486" s="56"/>
      <c r="M1486" s="56"/>
      <c r="N1486" s="56" t="s">
        <v>76</v>
      </c>
      <c r="O1486" s="56">
        <v>26</v>
      </c>
      <c r="P1486" s="59" t="s">
        <v>2515</v>
      </c>
      <c r="Q1486" s="56" t="s">
        <v>2561</v>
      </c>
      <c r="U1486" s="538">
        <v>111000782</v>
      </c>
      <c r="V1486">
        <v>57.15</v>
      </c>
      <c r="W1486">
        <v>0</v>
      </c>
      <c r="X1486">
        <v>2.5</v>
      </c>
      <c r="Y1486">
        <v>5.75</v>
      </c>
      <c r="Z1486" t="s">
        <v>1868</v>
      </c>
      <c r="AA1486" t="s">
        <v>963</v>
      </c>
      <c r="AB1486" t="s">
        <v>2520</v>
      </c>
      <c r="AC1486" t="s">
        <v>926</v>
      </c>
      <c r="AD1486" t="s">
        <v>1838</v>
      </c>
      <c r="AE1486" t="s">
        <v>2316</v>
      </c>
      <c r="AF1486">
        <v>3.367669625</v>
      </c>
    </row>
    <row r="1487" spans="1:32" x14ac:dyDescent="0.25">
      <c r="A1487" s="56">
        <v>3775788</v>
      </c>
      <c r="B1487" s="56" t="s">
        <v>5261</v>
      </c>
      <c r="C1487" s="56" t="s">
        <v>5264</v>
      </c>
      <c r="D1487" s="56"/>
      <c r="E1487" s="57">
        <v>1214.71</v>
      </c>
      <c r="F1487" s="57">
        <v>1.21471</v>
      </c>
      <c r="G1487" s="56" t="s">
        <v>392</v>
      </c>
      <c r="H1487" s="56" t="s">
        <v>4454</v>
      </c>
      <c r="I1487" s="56" t="s">
        <v>4455</v>
      </c>
      <c r="J1487" s="56"/>
      <c r="K1487" s="56"/>
      <c r="L1487" s="56"/>
      <c r="M1487" s="56"/>
      <c r="N1487" s="56" t="s">
        <v>76</v>
      </c>
      <c r="O1487" s="56">
        <v>26</v>
      </c>
      <c r="P1487" s="59" t="s">
        <v>2515</v>
      </c>
      <c r="Q1487" s="56" t="s">
        <v>2561</v>
      </c>
      <c r="U1487" s="508">
        <v>1940915</v>
      </c>
      <c r="V1487">
        <v>57.15</v>
      </c>
      <c r="W1487">
        <v>0</v>
      </c>
      <c r="X1487">
        <v>2.5</v>
      </c>
      <c r="Y1487">
        <v>5.82</v>
      </c>
      <c r="Z1487" t="s">
        <v>4431</v>
      </c>
      <c r="AA1487" t="s">
        <v>1003</v>
      </c>
      <c r="AB1487" t="s">
        <v>2520</v>
      </c>
      <c r="AC1487" t="s">
        <v>926</v>
      </c>
      <c r="AD1487" t="s">
        <v>1838</v>
      </c>
      <c r="AE1487" t="s">
        <v>2316</v>
      </c>
      <c r="AF1487">
        <v>3.367669625</v>
      </c>
    </row>
    <row r="1488" spans="1:32" x14ac:dyDescent="0.25">
      <c r="A1488" s="56">
        <v>3775788</v>
      </c>
      <c r="B1488" s="56" t="s">
        <v>5261</v>
      </c>
      <c r="C1488" s="56" t="s">
        <v>5266</v>
      </c>
      <c r="D1488" s="56"/>
      <c r="E1488" s="57">
        <v>1920.5550000000001</v>
      </c>
      <c r="F1488" s="57">
        <v>1.920555</v>
      </c>
      <c r="G1488" s="56" t="s">
        <v>392</v>
      </c>
      <c r="H1488" s="56" t="s">
        <v>4454</v>
      </c>
      <c r="I1488" s="56" t="s">
        <v>4455</v>
      </c>
      <c r="J1488" s="56"/>
      <c r="K1488" s="56"/>
      <c r="L1488" s="56"/>
      <c r="M1488" s="56"/>
      <c r="N1488" s="56" t="s">
        <v>76</v>
      </c>
      <c r="O1488" s="56">
        <v>26</v>
      </c>
      <c r="P1488" s="59" t="s">
        <v>2515</v>
      </c>
      <c r="Q1488" s="56" t="s">
        <v>2561</v>
      </c>
      <c r="U1488" s="52">
        <v>3520581</v>
      </c>
      <c r="V1488">
        <v>57.15</v>
      </c>
      <c r="W1488">
        <v>0</v>
      </c>
      <c r="X1488">
        <v>2.5</v>
      </c>
      <c r="Y1488">
        <v>5.9</v>
      </c>
      <c r="Z1488" t="s">
        <v>1868</v>
      </c>
      <c r="AA1488" t="s">
        <v>1003</v>
      </c>
      <c r="AB1488" t="s">
        <v>239</v>
      </c>
      <c r="AC1488" t="s">
        <v>926</v>
      </c>
      <c r="AD1488" t="s">
        <v>1838</v>
      </c>
      <c r="AE1488" t="s">
        <v>2316</v>
      </c>
      <c r="AF1488">
        <v>3.367669625</v>
      </c>
    </row>
    <row r="1489" spans="1:32" x14ac:dyDescent="0.25">
      <c r="A1489" s="56">
        <v>3777563</v>
      </c>
      <c r="B1489" s="56" t="s">
        <v>2391</v>
      </c>
      <c r="C1489" s="56" t="s">
        <v>5267</v>
      </c>
      <c r="D1489" s="56"/>
      <c r="E1489" s="57">
        <v>475.73399999999998</v>
      </c>
      <c r="F1489" s="57">
        <v>0.47573399999999999</v>
      </c>
      <c r="G1489" s="56" t="s">
        <v>392</v>
      </c>
      <c r="H1489" s="56" t="s">
        <v>4454</v>
      </c>
      <c r="I1489" s="56" t="s">
        <v>1834</v>
      </c>
      <c r="J1489" s="56"/>
      <c r="K1489" s="56"/>
      <c r="L1489" s="56"/>
      <c r="M1489" s="56"/>
      <c r="N1489" s="56" t="s">
        <v>151</v>
      </c>
      <c r="O1489" s="56">
        <v>76</v>
      </c>
      <c r="P1489" s="59" t="s">
        <v>2579</v>
      </c>
      <c r="Q1489" s="56" t="s">
        <v>11</v>
      </c>
      <c r="U1489">
        <v>4045220</v>
      </c>
      <c r="V1489">
        <v>57.15</v>
      </c>
      <c r="W1489">
        <v>0</v>
      </c>
      <c r="X1489">
        <v>2.5</v>
      </c>
      <c r="Y1489">
        <v>5.95</v>
      </c>
      <c r="Z1489" t="s">
        <v>1881</v>
      </c>
      <c r="AA1489" t="s">
        <v>1003</v>
      </c>
      <c r="AB1489" t="s">
        <v>2520</v>
      </c>
      <c r="AC1489" t="s">
        <v>926</v>
      </c>
      <c r="AD1489" t="s">
        <v>1838</v>
      </c>
      <c r="AE1489" t="s">
        <v>2316</v>
      </c>
      <c r="AF1489">
        <v>3.367669625</v>
      </c>
    </row>
    <row r="1490" spans="1:32" x14ac:dyDescent="0.25">
      <c r="A1490" s="56">
        <v>3777563</v>
      </c>
      <c r="B1490" s="56" t="s">
        <v>2391</v>
      </c>
      <c r="C1490" s="56" t="s">
        <v>5268</v>
      </c>
      <c r="D1490" s="56"/>
      <c r="E1490" s="57">
        <v>197</v>
      </c>
      <c r="F1490" s="57">
        <v>0.19700000000000001</v>
      </c>
      <c r="G1490" s="56" t="s">
        <v>392</v>
      </c>
      <c r="H1490" s="56" t="s">
        <v>2511</v>
      </c>
      <c r="I1490" s="56" t="s">
        <v>1834</v>
      </c>
      <c r="J1490" s="56"/>
      <c r="K1490" s="56"/>
      <c r="L1490" s="56"/>
      <c r="M1490" s="56"/>
      <c r="N1490" s="56" t="s">
        <v>151</v>
      </c>
      <c r="O1490" s="56">
        <v>56</v>
      </c>
      <c r="P1490" s="59" t="s">
        <v>2532</v>
      </c>
      <c r="Q1490" s="56" t="s">
        <v>11</v>
      </c>
      <c r="U1490">
        <v>4054700</v>
      </c>
      <c r="V1490">
        <v>57.15</v>
      </c>
      <c r="W1490">
        <v>0</v>
      </c>
      <c r="X1490">
        <v>2.5</v>
      </c>
      <c r="Y1490">
        <v>5.95</v>
      </c>
      <c r="Z1490" t="s">
        <v>1952</v>
      </c>
      <c r="AA1490" t="s">
        <v>1003</v>
      </c>
      <c r="AB1490" t="s">
        <v>2520</v>
      </c>
      <c r="AC1490" t="s">
        <v>926</v>
      </c>
      <c r="AD1490" t="s">
        <v>1838</v>
      </c>
      <c r="AE1490" t="s">
        <v>2316</v>
      </c>
      <c r="AF1490">
        <v>3.367669625</v>
      </c>
    </row>
    <row r="1491" spans="1:32" x14ac:dyDescent="0.25">
      <c r="A1491" s="56">
        <v>3777563</v>
      </c>
      <c r="B1491" s="56" t="s">
        <v>2391</v>
      </c>
      <c r="C1491" s="56" t="s">
        <v>5269</v>
      </c>
      <c r="D1491" s="56"/>
      <c r="E1491" s="57">
        <v>1332</v>
      </c>
      <c r="F1491" s="57">
        <v>1.3320000000000001</v>
      </c>
      <c r="G1491" s="56" t="s">
        <v>392</v>
      </c>
      <c r="H1491" s="56" t="s">
        <v>2511</v>
      </c>
      <c r="I1491" s="56" t="s">
        <v>1834</v>
      </c>
      <c r="J1491" s="56"/>
      <c r="K1491" s="56"/>
      <c r="L1491" s="56"/>
      <c r="M1491" s="56"/>
      <c r="N1491" s="56" t="s">
        <v>151</v>
      </c>
      <c r="O1491" s="56">
        <v>56</v>
      </c>
      <c r="P1491" s="59" t="s">
        <v>2532</v>
      </c>
      <c r="Q1491" s="56" t="s">
        <v>11</v>
      </c>
      <c r="U1491" s="52">
        <v>3515489</v>
      </c>
      <c r="V1491">
        <v>57.15</v>
      </c>
      <c r="W1491">
        <v>0</v>
      </c>
      <c r="X1491">
        <v>2.5</v>
      </c>
      <c r="Y1491">
        <v>6</v>
      </c>
      <c r="Z1491" t="s">
        <v>1868</v>
      </c>
      <c r="AA1491" t="s">
        <v>1003</v>
      </c>
      <c r="AB1491" t="s">
        <v>2801</v>
      </c>
      <c r="AC1491" t="s">
        <v>926</v>
      </c>
      <c r="AD1491" t="s">
        <v>1838</v>
      </c>
      <c r="AE1491" t="s">
        <v>2316</v>
      </c>
      <c r="AF1491">
        <v>3.367669625</v>
      </c>
    </row>
    <row r="1492" spans="1:32" x14ac:dyDescent="0.25">
      <c r="A1492" s="56">
        <v>3777563</v>
      </c>
      <c r="B1492" s="56" t="s">
        <v>2391</v>
      </c>
      <c r="C1492" s="56" t="s">
        <v>5270</v>
      </c>
      <c r="D1492" s="56"/>
      <c r="E1492" s="57">
        <v>1791</v>
      </c>
      <c r="F1492" s="57">
        <v>1.7909999999999999</v>
      </c>
      <c r="G1492" s="56" t="s">
        <v>392</v>
      </c>
      <c r="H1492" s="56" t="s">
        <v>2511</v>
      </c>
      <c r="I1492" s="56" t="s">
        <v>1834</v>
      </c>
      <c r="J1492" s="56"/>
      <c r="K1492" s="56"/>
      <c r="L1492" s="56"/>
      <c r="M1492" s="56"/>
      <c r="N1492" s="56" t="s">
        <v>151</v>
      </c>
      <c r="O1492" s="56">
        <v>56</v>
      </c>
      <c r="P1492" s="59" t="s">
        <v>2532</v>
      </c>
      <c r="Q1492" s="56" t="s">
        <v>11</v>
      </c>
      <c r="U1492" s="52">
        <v>3520439</v>
      </c>
      <c r="V1492">
        <v>57.15</v>
      </c>
      <c r="W1492">
        <v>0</v>
      </c>
      <c r="X1492">
        <v>2.5</v>
      </c>
      <c r="Y1492">
        <v>6.02</v>
      </c>
      <c r="Z1492" t="s">
        <v>1868</v>
      </c>
      <c r="AA1492" t="s">
        <v>1003</v>
      </c>
      <c r="AB1492" t="s">
        <v>239</v>
      </c>
      <c r="AC1492" t="s">
        <v>926</v>
      </c>
      <c r="AD1492" t="s">
        <v>1838</v>
      </c>
      <c r="AE1492" t="s">
        <v>2316</v>
      </c>
      <c r="AF1492">
        <v>3.367669625</v>
      </c>
    </row>
    <row r="1493" spans="1:32" x14ac:dyDescent="0.25">
      <c r="A1493" s="56">
        <v>3777563</v>
      </c>
      <c r="B1493" s="56" t="s">
        <v>2391</v>
      </c>
      <c r="C1493" s="56" t="s">
        <v>5271</v>
      </c>
      <c r="D1493" s="56"/>
      <c r="E1493" s="57">
        <v>1944</v>
      </c>
      <c r="F1493" s="57">
        <v>1.944</v>
      </c>
      <c r="G1493" s="56" t="s">
        <v>392</v>
      </c>
      <c r="H1493" s="56" t="s">
        <v>2511</v>
      </c>
      <c r="I1493" s="56" t="s">
        <v>1834</v>
      </c>
      <c r="J1493" s="56"/>
      <c r="K1493" s="56"/>
      <c r="L1493" s="56"/>
      <c r="M1493" s="56"/>
      <c r="N1493" s="56" t="s">
        <v>151</v>
      </c>
      <c r="O1493" s="56">
        <v>56</v>
      </c>
      <c r="P1493" s="59" t="s">
        <v>2532</v>
      </c>
      <c r="Q1493" s="56" t="s">
        <v>11</v>
      </c>
      <c r="U1493" s="538">
        <v>111002101</v>
      </c>
      <c r="V1493">
        <v>57.15</v>
      </c>
      <c r="W1493">
        <v>0</v>
      </c>
      <c r="X1493">
        <v>2.5</v>
      </c>
      <c r="Y1493">
        <v>6.02</v>
      </c>
      <c r="Z1493" t="s">
        <v>1891</v>
      </c>
      <c r="AA1493" t="s">
        <v>1003</v>
      </c>
      <c r="AB1493" t="s">
        <v>2520</v>
      </c>
      <c r="AC1493" t="s">
        <v>926</v>
      </c>
      <c r="AD1493" t="s">
        <v>1838</v>
      </c>
      <c r="AE1493" t="s">
        <v>2316</v>
      </c>
      <c r="AF1493">
        <v>3.367669625</v>
      </c>
    </row>
    <row r="1494" spans="1:32" x14ac:dyDescent="0.25">
      <c r="A1494" s="56">
        <v>3777563</v>
      </c>
      <c r="B1494" s="56" t="s">
        <v>2391</v>
      </c>
      <c r="C1494" s="56" t="s">
        <v>5272</v>
      </c>
      <c r="D1494" s="56"/>
      <c r="E1494" s="57">
        <v>1791</v>
      </c>
      <c r="F1494" s="57">
        <v>1.7909999999999999</v>
      </c>
      <c r="G1494" s="56" t="s">
        <v>392</v>
      </c>
      <c r="H1494" s="56" t="s">
        <v>2511</v>
      </c>
      <c r="I1494" s="56" t="s">
        <v>1834</v>
      </c>
      <c r="J1494" s="56"/>
      <c r="K1494" s="56"/>
      <c r="L1494" s="56"/>
      <c r="M1494" s="56"/>
      <c r="N1494" s="56" t="s">
        <v>151</v>
      </c>
      <c r="O1494" s="56">
        <v>56</v>
      </c>
      <c r="P1494" s="59" t="s">
        <v>2532</v>
      </c>
      <c r="Q1494" s="56" t="s">
        <v>11</v>
      </c>
      <c r="U1494">
        <v>3910001</v>
      </c>
      <c r="V1494">
        <v>57.15</v>
      </c>
      <c r="W1494">
        <v>0</v>
      </c>
      <c r="X1494">
        <v>2.5</v>
      </c>
      <c r="Y1494">
        <v>6.1</v>
      </c>
      <c r="Z1494" t="s">
        <v>1914</v>
      </c>
      <c r="AA1494" t="s">
        <v>1003</v>
      </c>
      <c r="AB1494" t="s">
        <v>2520</v>
      </c>
      <c r="AC1494" t="s">
        <v>926</v>
      </c>
      <c r="AD1494" t="s">
        <v>1838</v>
      </c>
      <c r="AE1494" t="s">
        <v>2316</v>
      </c>
      <c r="AF1494">
        <v>3.367669625</v>
      </c>
    </row>
    <row r="1495" spans="1:32" x14ac:dyDescent="0.25">
      <c r="A1495" s="56">
        <v>3777563</v>
      </c>
      <c r="B1495" s="56" t="s">
        <v>2391</v>
      </c>
      <c r="C1495" s="56" t="s">
        <v>5274</v>
      </c>
      <c r="D1495" s="56"/>
      <c r="E1495" s="57">
        <v>1638</v>
      </c>
      <c r="F1495" s="57">
        <v>1.6379999999999999</v>
      </c>
      <c r="G1495" s="56" t="s">
        <v>392</v>
      </c>
      <c r="H1495" s="56" t="s">
        <v>2511</v>
      </c>
      <c r="I1495" s="56" t="s">
        <v>1834</v>
      </c>
      <c r="J1495" s="56"/>
      <c r="K1495" s="56"/>
      <c r="L1495" s="56"/>
      <c r="M1495" s="56"/>
      <c r="N1495" s="56" t="s">
        <v>151</v>
      </c>
      <c r="O1495" s="56">
        <v>56</v>
      </c>
      <c r="P1495" s="59" t="s">
        <v>2532</v>
      </c>
      <c r="Q1495" s="56" t="s">
        <v>11</v>
      </c>
      <c r="U1495" s="538">
        <v>111106755</v>
      </c>
      <c r="V1495">
        <v>57.15</v>
      </c>
      <c r="W1495">
        <v>0</v>
      </c>
      <c r="X1495">
        <v>2.5</v>
      </c>
      <c r="Y1495">
        <v>6.1</v>
      </c>
      <c r="Z1495" t="s">
        <v>1868</v>
      </c>
      <c r="AA1495" t="s">
        <v>1895</v>
      </c>
      <c r="AB1495" t="s">
        <v>2520</v>
      </c>
      <c r="AC1495" t="s">
        <v>926</v>
      </c>
      <c r="AD1495" t="s">
        <v>1838</v>
      </c>
      <c r="AE1495" t="s">
        <v>2316</v>
      </c>
      <c r="AF1495">
        <v>3.367669625</v>
      </c>
    </row>
    <row r="1496" spans="1:32" x14ac:dyDescent="0.25">
      <c r="A1496" s="56">
        <v>3777563</v>
      </c>
      <c r="B1496" s="56" t="s">
        <v>2391</v>
      </c>
      <c r="C1496" s="56" t="s">
        <v>5275</v>
      </c>
      <c r="D1496" s="56"/>
      <c r="E1496" s="57">
        <v>1747</v>
      </c>
      <c r="F1496" s="57">
        <v>1.7470000000000001</v>
      </c>
      <c r="G1496" s="56" t="s">
        <v>392</v>
      </c>
      <c r="H1496" s="56" t="s">
        <v>2511</v>
      </c>
      <c r="I1496" s="56" t="s">
        <v>1834</v>
      </c>
      <c r="J1496" s="56"/>
      <c r="K1496" s="56"/>
      <c r="L1496" s="56"/>
      <c r="M1496" s="56"/>
      <c r="N1496" s="56" t="s">
        <v>151</v>
      </c>
      <c r="O1496" s="56">
        <v>56</v>
      </c>
      <c r="P1496" s="59" t="s">
        <v>2532</v>
      </c>
      <c r="Q1496" s="56" t="s">
        <v>11</v>
      </c>
      <c r="U1496" s="52">
        <v>3893101</v>
      </c>
      <c r="V1496">
        <v>57.15</v>
      </c>
      <c r="W1496">
        <v>0</v>
      </c>
      <c r="X1496">
        <v>2.5</v>
      </c>
      <c r="Y1496">
        <v>6.5</v>
      </c>
      <c r="Z1496" t="s">
        <v>1952</v>
      </c>
      <c r="AA1496" t="s">
        <v>1003</v>
      </c>
      <c r="AB1496" t="s">
        <v>2520</v>
      </c>
      <c r="AC1496" t="s">
        <v>926</v>
      </c>
      <c r="AD1496" t="s">
        <v>1838</v>
      </c>
      <c r="AE1496" t="s">
        <v>2316</v>
      </c>
      <c r="AF1496">
        <v>3.367669625</v>
      </c>
    </row>
    <row r="1497" spans="1:32" x14ac:dyDescent="0.25">
      <c r="A1497" s="56">
        <v>3777563</v>
      </c>
      <c r="B1497" s="56" t="s">
        <v>2391</v>
      </c>
      <c r="C1497" s="56" t="s">
        <v>5276</v>
      </c>
      <c r="D1497" s="56"/>
      <c r="E1497" s="57">
        <v>1660</v>
      </c>
      <c r="F1497" s="57">
        <v>1.66</v>
      </c>
      <c r="G1497" s="56" t="s">
        <v>392</v>
      </c>
      <c r="H1497" s="56" t="s">
        <v>2511</v>
      </c>
      <c r="I1497" s="56" t="s">
        <v>1834</v>
      </c>
      <c r="J1497" s="56"/>
      <c r="K1497" s="56"/>
      <c r="L1497" s="56"/>
      <c r="M1497" s="56"/>
      <c r="N1497" s="56" t="s">
        <v>151</v>
      </c>
      <c r="O1497" s="56">
        <v>56</v>
      </c>
      <c r="P1497" s="59" t="s">
        <v>2532</v>
      </c>
      <c r="Q1497" s="56" t="s">
        <v>11</v>
      </c>
      <c r="U1497" s="52">
        <v>3136139</v>
      </c>
      <c r="V1497">
        <v>57.15</v>
      </c>
      <c r="W1497">
        <v>0</v>
      </c>
      <c r="X1497">
        <v>3</v>
      </c>
      <c r="Y1497">
        <v>0.46</v>
      </c>
      <c r="Z1497" t="s">
        <v>1868</v>
      </c>
      <c r="AA1497" t="s">
        <v>1003</v>
      </c>
      <c r="AB1497" t="s">
        <v>2520</v>
      </c>
      <c r="AC1497" t="s">
        <v>2403</v>
      </c>
      <c r="AD1497" t="s">
        <v>2171</v>
      </c>
      <c r="AE1497" t="s">
        <v>5265</v>
      </c>
      <c r="AF1497">
        <v>1.8419458229999999</v>
      </c>
    </row>
    <row r="1498" spans="1:32" x14ac:dyDescent="0.25">
      <c r="A1498" s="56">
        <v>3777563</v>
      </c>
      <c r="B1498" s="56" t="s">
        <v>2391</v>
      </c>
      <c r="C1498" s="56" t="s">
        <v>5278</v>
      </c>
      <c r="D1498" s="56"/>
      <c r="E1498" s="57">
        <v>1832</v>
      </c>
      <c r="F1498" s="57">
        <v>1.8320000000000001</v>
      </c>
      <c r="G1498" s="56" t="s">
        <v>392</v>
      </c>
      <c r="H1498" s="56" t="s">
        <v>2511</v>
      </c>
      <c r="I1498" s="56" t="s">
        <v>1834</v>
      </c>
      <c r="J1498" s="56"/>
      <c r="K1498" s="56"/>
      <c r="L1498" s="56"/>
      <c r="M1498" s="56"/>
      <c r="N1498" s="56" t="s">
        <v>151</v>
      </c>
      <c r="O1498" s="56">
        <v>56</v>
      </c>
      <c r="P1498" s="59" t="s">
        <v>2532</v>
      </c>
      <c r="Q1498" s="56" t="s">
        <v>11</v>
      </c>
      <c r="U1498" s="52">
        <v>3597590</v>
      </c>
      <c r="V1498">
        <v>57.15</v>
      </c>
      <c r="W1498">
        <v>0</v>
      </c>
      <c r="X1498">
        <v>3</v>
      </c>
      <c r="Y1498">
        <v>5.12</v>
      </c>
      <c r="Z1498" t="s">
        <v>1881</v>
      </c>
      <c r="AA1498" t="s">
        <v>1003</v>
      </c>
      <c r="AB1498" t="s">
        <v>2520</v>
      </c>
      <c r="AC1498" t="s">
        <v>2403</v>
      </c>
      <c r="AD1498" t="s">
        <v>1838</v>
      </c>
      <c r="AE1498" t="s">
        <v>2404</v>
      </c>
      <c r="AF1498">
        <v>4.0042300499999994</v>
      </c>
    </row>
    <row r="1499" spans="1:32" x14ac:dyDescent="0.25">
      <c r="A1499" s="56">
        <v>3777563</v>
      </c>
      <c r="B1499" s="56" t="s">
        <v>2391</v>
      </c>
      <c r="C1499" s="56" t="s">
        <v>5280</v>
      </c>
      <c r="D1499" s="56"/>
      <c r="E1499" s="57">
        <v>1179</v>
      </c>
      <c r="F1499" s="57">
        <v>1.179</v>
      </c>
      <c r="G1499" s="56" t="s">
        <v>392</v>
      </c>
      <c r="H1499" s="56" t="s">
        <v>2511</v>
      </c>
      <c r="I1499" s="56" t="s">
        <v>1834</v>
      </c>
      <c r="J1499" s="56"/>
      <c r="K1499" s="56"/>
      <c r="L1499" s="56"/>
      <c r="M1499" s="56"/>
      <c r="N1499" s="56" t="s">
        <v>151</v>
      </c>
      <c r="O1499" s="56">
        <v>56</v>
      </c>
      <c r="P1499" s="59" t="s">
        <v>2532</v>
      </c>
      <c r="Q1499" s="56" t="s">
        <v>11</v>
      </c>
      <c r="U1499" s="52">
        <v>3702886</v>
      </c>
      <c r="V1499">
        <v>57.15</v>
      </c>
      <c r="W1499">
        <v>0</v>
      </c>
      <c r="X1499">
        <v>3</v>
      </c>
      <c r="Y1499">
        <v>5.12</v>
      </c>
      <c r="Z1499" t="s">
        <v>1881</v>
      </c>
      <c r="AA1499" t="s">
        <v>1003</v>
      </c>
      <c r="AB1499" t="s">
        <v>2520</v>
      </c>
      <c r="AC1499" t="s">
        <v>2403</v>
      </c>
      <c r="AD1499" t="s">
        <v>1838</v>
      </c>
      <c r="AE1499" t="s">
        <v>2404</v>
      </c>
      <c r="AF1499">
        <v>4.0042300499999994</v>
      </c>
    </row>
    <row r="1500" spans="1:32" x14ac:dyDescent="0.25">
      <c r="A1500" s="56">
        <v>3777563</v>
      </c>
      <c r="B1500" s="56" t="s">
        <v>2391</v>
      </c>
      <c r="C1500" s="56" t="s">
        <v>5281</v>
      </c>
      <c r="D1500" s="56"/>
      <c r="E1500" s="57">
        <v>1594</v>
      </c>
      <c r="F1500" s="57">
        <v>1.5940000000000001</v>
      </c>
      <c r="G1500" s="56" t="s">
        <v>392</v>
      </c>
      <c r="H1500" s="56" t="s">
        <v>2511</v>
      </c>
      <c r="I1500" s="56" t="s">
        <v>1834</v>
      </c>
      <c r="J1500" s="56"/>
      <c r="K1500" s="56"/>
      <c r="L1500" s="56"/>
      <c r="M1500" s="56"/>
      <c r="N1500" s="56" t="s">
        <v>151</v>
      </c>
      <c r="O1500" s="56">
        <v>56</v>
      </c>
      <c r="P1500" s="59" t="s">
        <v>2532</v>
      </c>
      <c r="Q1500" s="56" t="s">
        <v>11</v>
      </c>
      <c r="U1500" s="52">
        <v>3501105</v>
      </c>
      <c r="V1500">
        <v>57.15</v>
      </c>
      <c r="W1500">
        <v>0</v>
      </c>
      <c r="X1500">
        <v>3</v>
      </c>
      <c r="Y1500">
        <v>5.65</v>
      </c>
      <c r="Z1500" t="s">
        <v>1914</v>
      </c>
      <c r="AA1500" t="s">
        <v>1003</v>
      </c>
      <c r="AB1500" t="s">
        <v>2520</v>
      </c>
      <c r="AC1500" t="s">
        <v>2403</v>
      </c>
      <c r="AD1500" t="s">
        <v>1838</v>
      </c>
      <c r="AE1500" t="s">
        <v>2404</v>
      </c>
      <c r="AF1500">
        <v>4.0042300499999994</v>
      </c>
    </row>
    <row r="1501" spans="1:32" x14ac:dyDescent="0.25">
      <c r="A1501" s="56">
        <v>3777563</v>
      </c>
      <c r="B1501" s="56" t="s">
        <v>2391</v>
      </c>
      <c r="C1501" s="56" t="s">
        <v>5282</v>
      </c>
      <c r="D1501" s="56"/>
      <c r="E1501" s="57">
        <v>1791</v>
      </c>
      <c r="F1501" s="57">
        <v>1.7909999999999999</v>
      </c>
      <c r="G1501" s="56" t="s">
        <v>392</v>
      </c>
      <c r="H1501" s="56" t="s">
        <v>2511</v>
      </c>
      <c r="I1501" s="56" t="s">
        <v>1834</v>
      </c>
      <c r="J1501" s="56"/>
      <c r="K1501" s="56"/>
      <c r="L1501" s="56"/>
      <c r="M1501" s="56"/>
      <c r="N1501" s="56" t="s">
        <v>151</v>
      </c>
      <c r="O1501" s="56">
        <v>56</v>
      </c>
      <c r="P1501" s="59" t="s">
        <v>2532</v>
      </c>
      <c r="Q1501" s="56" t="s">
        <v>11</v>
      </c>
      <c r="U1501" s="52">
        <v>2412743</v>
      </c>
      <c r="V1501">
        <v>57.15</v>
      </c>
      <c r="W1501">
        <v>0</v>
      </c>
      <c r="X1501">
        <v>3</v>
      </c>
      <c r="Y1501">
        <v>5.7</v>
      </c>
      <c r="Z1501" t="s">
        <v>1891</v>
      </c>
      <c r="AA1501" t="s">
        <v>1003</v>
      </c>
      <c r="AB1501" t="s">
        <v>2520</v>
      </c>
      <c r="AC1501" t="s">
        <v>2403</v>
      </c>
      <c r="AD1501" t="s">
        <v>1838</v>
      </c>
      <c r="AE1501" t="s">
        <v>2404</v>
      </c>
      <c r="AF1501">
        <v>4.0042300499999994</v>
      </c>
    </row>
    <row r="1502" spans="1:32" x14ac:dyDescent="0.25">
      <c r="A1502" s="56">
        <v>3777563</v>
      </c>
      <c r="B1502" s="56" t="s">
        <v>2391</v>
      </c>
      <c r="C1502" s="56" t="s">
        <v>5283</v>
      </c>
      <c r="D1502" s="56"/>
      <c r="E1502" s="57">
        <v>1245</v>
      </c>
      <c r="F1502" s="57">
        <v>1.2450000000000001</v>
      </c>
      <c r="G1502" s="56" t="s">
        <v>392</v>
      </c>
      <c r="H1502" s="56" t="s">
        <v>2511</v>
      </c>
      <c r="I1502" s="56" t="s">
        <v>1834</v>
      </c>
      <c r="J1502" s="56"/>
      <c r="K1502" s="56"/>
      <c r="L1502" s="56"/>
      <c r="M1502" s="56"/>
      <c r="N1502" s="56" t="s">
        <v>151</v>
      </c>
      <c r="O1502" s="56">
        <v>56</v>
      </c>
      <c r="P1502" s="59" t="s">
        <v>2532</v>
      </c>
      <c r="Q1502" s="56" t="s">
        <v>11</v>
      </c>
      <c r="U1502" s="52">
        <v>3502342</v>
      </c>
      <c r="V1502">
        <v>57.15</v>
      </c>
      <c r="W1502">
        <v>0</v>
      </c>
      <c r="X1502">
        <v>3</v>
      </c>
      <c r="Y1502">
        <v>5.7140000000000004</v>
      </c>
      <c r="Z1502" t="s">
        <v>1914</v>
      </c>
      <c r="AA1502" t="s">
        <v>1003</v>
      </c>
      <c r="AB1502" t="s">
        <v>2520</v>
      </c>
      <c r="AC1502" t="s">
        <v>2403</v>
      </c>
      <c r="AD1502" t="s">
        <v>1838</v>
      </c>
      <c r="AE1502" t="s">
        <v>2404</v>
      </c>
      <c r="AF1502">
        <v>4.0042300499999994</v>
      </c>
    </row>
    <row r="1503" spans="1:32" x14ac:dyDescent="0.25">
      <c r="A1503" s="56">
        <v>3777563</v>
      </c>
      <c r="B1503" s="56" t="s">
        <v>2391</v>
      </c>
      <c r="C1503" s="56" t="s">
        <v>5284</v>
      </c>
      <c r="D1503" s="56"/>
      <c r="E1503" s="57">
        <v>1985</v>
      </c>
      <c r="F1503" s="57">
        <v>1.9850000000000001</v>
      </c>
      <c r="G1503" s="56" t="s">
        <v>392</v>
      </c>
      <c r="H1503" s="56" t="s">
        <v>2511</v>
      </c>
      <c r="I1503" s="56" t="s">
        <v>1834</v>
      </c>
      <c r="J1503" s="56"/>
      <c r="K1503" s="56"/>
      <c r="L1503" s="56"/>
      <c r="M1503" s="56"/>
      <c r="N1503" s="56" t="s">
        <v>151</v>
      </c>
      <c r="O1503" s="56">
        <v>56</v>
      </c>
      <c r="P1503" s="59" t="s">
        <v>2532</v>
      </c>
      <c r="Q1503" s="56" t="s">
        <v>11</v>
      </c>
      <c r="U1503" s="52">
        <v>3781647</v>
      </c>
      <c r="V1503">
        <v>59</v>
      </c>
      <c r="W1503">
        <v>30</v>
      </c>
      <c r="X1503">
        <v>1.6</v>
      </c>
      <c r="Y1503">
        <v>0.57199999999999995</v>
      </c>
      <c r="Z1503" t="s">
        <v>1868</v>
      </c>
      <c r="AA1503" t="s">
        <v>1003</v>
      </c>
      <c r="AB1503" t="s">
        <v>2520</v>
      </c>
      <c r="AC1503" t="s">
        <v>568</v>
      </c>
      <c r="AD1503" t="s">
        <v>2171</v>
      </c>
      <c r="AE1503" t="s">
        <v>2280</v>
      </c>
      <c r="AF1503">
        <v>1.2420666346764129</v>
      </c>
    </row>
    <row r="1504" spans="1:32" x14ac:dyDescent="0.25">
      <c r="A1504" s="56">
        <v>3777563</v>
      </c>
      <c r="B1504" s="56" t="s">
        <v>2391</v>
      </c>
      <c r="C1504" s="56" t="s">
        <v>5285</v>
      </c>
      <c r="D1504" s="56"/>
      <c r="E1504" s="57">
        <v>1532.26</v>
      </c>
      <c r="F1504" s="57">
        <v>1.53226</v>
      </c>
      <c r="G1504" s="56" t="s">
        <v>392</v>
      </c>
      <c r="H1504" s="56" t="s">
        <v>1914</v>
      </c>
      <c r="I1504" s="56" t="s">
        <v>1834</v>
      </c>
      <c r="J1504" s="56"/>
      <c r="K1504" s="56"/>
      <c r="L1504" s="56"/>
      <c r="M1504" s="56"/>
      <c r="N1504" s="56" t="s">
        <v>151</v>
      </c>
      <c r="O1504" s="56">
        <v>83</v>
      </c>
      <c r="P1504" s="59" t="s">
        <v>2579</v>
      </c>
      <c r="Q1504" s="56" t="s">
        <v>11</v>
      </c>
      <c r="U1504" s="52">
        <v>2420716</v>
      </c>
      <c r="V1504">
        <v>59</v>
      </c>
      <c r="W1504">
        <v>30</v>
      </c>
      <c r="X1504">
        <v>1.6</v>
      </c>
      <c r="Y1504">
        <v>0.57250000000000001</v>
      </c>
      <c r="Z1504" t="s">
        <v>1891</v>
      </c>
      <c r="AA1504" t="s">
        <v>1003</v>
      </c>
      <c r="AB1504" t="s">
        <v>2520</v>
      </c>
      <c r="AC1504" t="s">
        <v>568</v>
      </c>
      <c r="AD1504" t="s">
        <v>2171</v>
      </c>
      <c r="AE1504" t="s">
        <v>5273</v>
      </c>
      <c r="AF1504">
        <v>1.2431523572591721</v>
      </c>
    </row>
    <row r="1505" spans="1:32" x14ac:dyDescent="0.25">
      <c r="A1505" s="56">
        <v>3780004</v>
      </c>
      <c r="B1505" s="56" t="s">
        <v>1730</v>
      </c>
      <c r="C1505" s="56" t="s">
        <v>5286</v>
      </c>
      <c r="D1505" s="56"/>
      <c r="E1505" s="57">
        <v>1366.973</v>
      </c>
      <c r="F1505" s="57">
        <v>1.366973</v>
      </c>
      <c r="G1505" s="56" t="s">
        <v>392</v>
      </c>
      <c r="H1505" s="56" t="s">
        <v>4454</v>
      </c>
      <c r="I1505" s="56" t="s">
        <v>1834</v>
      </c>
      <c r="J1505" s="56"/>
      <c r="K1505" s="56"/>
      <c r="L1505" s="56"/>
      <c r="M1505" s="56"/>
      <c r="N1505" s="60" t="s">
        <v>52</v>
      </c>
      <c r="O1505" s="56">
        <v>0</v>
      </c>
      <c r="P1505" s="59" t="s">
        <v>2515</v>
      </c>
      <c r="Q1505" s="56" t="s">
        <v>2516</v>
      </c>
      <c r="U1505" s="52">
        <v>3164112</v>
      </c>
      <c r="V1505">
        <v>59</v>
      </c>
      <c r="W1505">
        <v>30</v>
      </c>
      <c r="X1505">
        <v>1.6</v>
      </c>
      <c r="Y1505">
        <v>0.64100000000000001</v>
      </c>
      <c r="Z1505" t="s">
        <v>1868</v>
      </c>
      <c r="AA1505" t="s">
        <v>1003</v>
      </c>
      <c r="AB1505" t="s">
        <v>2520</v>
      </c>
      <c r="AC1505" t="s">
        <v>568</v>
      </c>
      <c r="AD1505" t="s">
        <v>2171</v>
      </c>
      <c r="AE1505" t="s">
        <v>570</v>
      </c>
      <c r="AF1505">
        <v>1.3918963510971689</v>
      </c>
    </row>
    <row r="1506" spans="1:32" x14ac:dyDescent="0.25">
      <c r="A1506" s="56">
        <v>3780004</v>
      </c>
      <c r="B1506" s="56" t="s">
        <v>1730</v>
      </c>
      <c r="C1506" s="56" t="s">
        <v>5287</v>
      </c>
      <c r="D1506" s="56"/>
      <c r="E1506" s="57">
        <v>1451.2190000000001</v>
      </c>
      <c r="F1506" s="57">
        <v>1.451219</v>
      </c>
      <c r="G1506" s="56" t="s">
        <v>392</v>
      </c>
      <c r="H1506" s="56" t="s">
        <v>4454</v>
      </c>
      <c r="I1506" s="56" t="s">
        <v>1834</v>
      </c>
      <c r="J1506" s="56"/>
      <c r="K1506" s="56"/>
      <c r="L1506" s="56"/>
      <c r="M1506" s="56"/>
      <c r="N1506" s="60" t="s">
        <v>52</v>
      </c>
      <c r="O1506" s="56">
        <v>0</v>
      </c>
      <c r="P1506" s="59" t="s">
        <v>2515</v>
      </c>
      <c r="Q1506" s="56" t="s">
        <v>2516</v>
      </c>
      <c r="U1506" s="52">
        <v>3781649</v>
      </c>
      <c r="V1506">
        <v>59</v>
      </c>
      <c r="W1506">
        <v>30</v>
      </c>
      <c r="X1506">
        <v>1.6</v>
      </c>
      <c r="Y1506">
        <v>0.64100000000000001</v>
      </c>
      <c r="Z1506" t="s">
        <v>1868</v>
      </c>
      <c r="AA1506" t="s">
        <v>1003</v>
      </c>
      <c r="AB1506" t="s">
        <v>2520</v>
      </c>
      <c r="AC1506" t="s">
        <v>568</v>
      </c>
      <c r="AD1506" t="s">
        <v>2171</v>
      </c>
      <c r="AE1506" t="s">
        <v>570</v>
      </c>
      <c r="AF1506">
        <v>1.3918963510971689</v>
      </c>
    </row>
    <row r="1507" spans="1:32" x14ac:dyDescent="0.25">
      <c r="A1507" s="56">
        <v>3780004</v>
      </c>
      <c r="B1507" s="56" t="s">
        <v>1730</v>
      </c>
      <c r="C1507" s="56" t="s">
        <v>5289</v>
      </c>
      <c r="D1507" s="56"/>
      <c r="E1507" s="57">
        <v>615.38400000000001</v>
      </c>
      <c r="F1507" s="57">
        <v>0.61538400000000004</v>
      </c>
      <c r="G1507" s="56" t="s">
        <v>392</v>
      </c>
      <c r="H1507" s="56" t="s">
        <v>4454</v>
      </c>
      <c r="I1507" s="56" t="s">
        <v>1834</v>
      </c>
      <c r="J1507" s="56"/>
      <c r="K1507" s="56"/>
      <c r="L1507" s="56"/>
      <c r="M1507" s="56"/>
      <c r="N1507" s="60" t="s">
        <v>52</v>
      </c>
      <c r="O1507" s="56">
        <v>0</v>
      </c>
      <c r="P1507" s="59" t="s">
        <v>2515</v>
      </c>
      <c r="Q1507" s="56" t="s">
        <v>2516</v>
      </c>
      <c r="U1507">
        <v>2256692</v>
      </c>
      <c r="V1507">
        <v>59</v>
      </c>
      <c r="W1507">
        <v>30</v>
      </c>
      <c r="X1507">
        <v>1.6</v>
      </c>
      <c r="Y1507">
        <v>0.64500000000000002</v>
      </c>
      <c r="Z1507" t="s">
        <v>1874</v>
      </c>
      <c r="AA1507" t="s">
        <v>1003</v>
      </c>
      <c r="AB1507" t="s">
        <v>239</v>
      </c>
      <c r="AC1507" t="s">
        <v>568</v>
      </c>
      <c r="AD1507" t="s">
        <v>2171</v>
      </c>
      <c r="AE1507" t="s">
        <v>5277</v>
      </c>
      <c r="AF1507">
        <v>1.4005821317592417</v>
      </c>
    </row>
    <row r="1508" spans="1:32" x14ac:dyDescent="0.25">
      <c r="A1508" s="56">
        <v>3780005</v>
      </c>
      <c r="B1508" s="56" t="s">
        <v>1731</v>
      </c>
      <c r="C1508" s="56" t="s">
        <v>5291</v>
      </c>
      <c r="D1508" s="56"/>
      <c r="E1508" s="57">
        <v>171.547</v>
      </c>
      <c r="F1508" s="57">
        <v>0.17154700000000001</v>
      </c>
      <c r="G1508" s="56" t="s">
        <v>392</v>
      </c>
      <c r="H1508" s="56" t="s">
        <v>4454</v>
      </c>
      <c r="I1508" s="56" t="s">
        <v>1834</v>
      </c>
      <c r="J1508" s="56"/>
      <c r="K1508" s="56"/>
      <c r="L1508" s="56"/>
      <c r="M1508" s="56"/>
      <c r="N1508" s="56" t="s">
        <v>53</v>
      </c>
      <c r="O1508" s="56">
        <v>5</v>
      </c>
      <c r="P1508" s="59" t="s">
        <v>2515</v>
      </c>
      <c r="Q1508" s="56" t="s">
        <v>2516</v>
      </c>
      <c r="U1508" s="52">
        <v>2424885</v>
      </c>
      <c r="V1508">
        <v>59</v>
      </c>
      <c r="W1508">
        <v>30</v>
      </c>
      <c r="X1508">
        <v>1.6</v>
      </c>
      <c r="Y1508">
        <v>5.81</v>
      </c>
      <c r="Z1508" t="s">
        <v>1868</v>
      </c>
      <c r="AA1508" t="s">
        <v>1003</v>
      </c>
      <c r="AB1508" t="s">
        <v>2520</v>
      </c>
      <c r="AC1508" t="s">
        <v>568</v>
      </c>
      <c r="AD1508" t="s">
        <v>1838</v>
      </c>
      <c r="AE1508" t="s">
        <v>5279</v>
      </c>
      <c r="AF1508">
        <v>2.1714451655182043</v>
      </c>
    </row>
    <row r="1509" spans="1:32" x14ac:dyDescent="0.25">
      <c r="A1509" s="56">
        <v>3781637</v>
      </c>
      <c r="B1509" s="56" t="s">
        <v>5292</v>
      </c>
      <c r="C1509" s="56" t="s">
        <v>5293</v>
      </c>
      <c r="D1509" s="56"/>
      <c r="E1509" s="57">
        <v>417.68400000000003</v>
      </c>
      <c r="F1509" s="57">
        <v>0.417684</v>
      </c>
      <c r="G1509" s="56" t="s">
        <v>392</v>
      </c>
      <c r="H1509" s="56" t="s">
        <v>4454</v>
      </c>
      <c r="I1509" s="56" t="s">
        <v>1834</v>
      </c>
      <c r="J1509" s="56"/>
      <c r="K1509" s="56"/>
      <c r="L1509" s="56"/>
      <c r="M1509" s="56"/>
      <c r="N1509" s="56" t="s">
        <v>61</v>
      </c>
      <c r="O1509" s="56">
        <v>35</v>
      </c>
      <c r="P1509" s="59" t="s">
        <v>2532</v>
      </c>
      <c r="Q1509" s="56" t="s">
        <v>11</v>
      </c>
      <c r="U1509" s="538">
        <v>110103048</v>
      </c>
      <c r="V1509">
        <v>59</v>
      </c>
      <c r="W1509">
        <v>30</v>
      </c>
      <c r="X1509">
        <v>1.6</v>
      </c>
      <c r="Y1509">
        <v>5.81</v>
      </c>
      <c r="Z1509" t="s">
        <v>1891</v>
      </c>
      <c r="AA1509" t="s">
        <v>1003</v>
      </c>
      <c r="AB1509" t="s">
        <v>2520</v>
      </c>
      <c r="AC1509" t="s">
        <v>568</v>
      </c>
      <c r="AD1509" t="s">
        <v>1838</v>
      </c>
      <c r="AE1509" t="s">
        <v>5279</v>
      </c>
      <c r="AF1509">
        <v>2.1714451655182043</v>
      </c>
    </row>
    <row r="1510" spans="1:32" x14ac:dyDescent="0.25">
      <c r="A1510" s="56">
        <v>3781637</v>
      </c>
      <c r="B1510" s="56" t="s">
        <v>5292</v>
      </c>
      <c r="C1510" s="56" t="s">
        <v>4459</v>
      </c>
      <c r="D1510" s="56"/>
      <c r="E1510" s="57">
        <v>51.241</v>
      </c>
      <c r="F1510" s="57">
        <v>5.1241000000000002E-2</v>
      </c>
      <c r="G1510" s="56" t="s">
        <v>392</v>
      </c>
      <c r="H1510" s="56" t="s">
        <v>4454</v>
      </c>
      <c r="I1510" s="56" t="s">
        <v>1834</v>
      </c>
      <c r="J1510" s="56"/>
      <c r="K1510" s="56"/>
      <c r="L1510" s="56"/>
      <c r="M1510" s="56"/>
      <c r="N1510" s="56" t="s">
        <v>61</v>
      </c>
      <c r="O1510" s="56">
        <v>35</v>
      </c>
      <c r="P1510" s="59" t="s">
        <v>2532</v>
      </c>
      <c r="Q1510" s="56" t="s">
        <v>11</v>
      </c>
      <c r="U1510" s="52">
        <v>3444065</v>
      </c>
      <c r="V1510">
        <v>59</v>
      </c>
      <c r="W1510">
        <v>30</v>
      </c>
      <c r="X1510">
        <v>1.6</v>
      </c>
      <c r="Y1510">
        <v>5.89</v>
      </c>
      <c r="Z1510" t="s">
        <v>1868</v>
      </c>
      <c r="AA1510" t="s">
        <v>1003</v>
      </c>
      <c r="AB1510" t="s">
        <v>2520</v>
      </c>
      <c r="AC1510" t="s">
        <v>568</v>
      </c>
      <c r="AD1510" t="s">
        <v>1838</v>
      </c>
      <c r="AE1510" t="s">
        <v>5279</v>
      </c>
      <c r="AF1510">
        <v>2.1714451655182043</v>
      </c>
    </row>
    <row r="1511" spans="1:32" x14ac:dyDescent="0.25">
      <c r="A1511" s="56">
        <v>3781637</v>
      </c>
      <c r="B1511" s="56" t="s">
        <v>5292</v>
      </c>
      <c r="C1511" s="56" t="s">
        <v>5294</v>
      </c>
      <c r="D1511" s="56"/>
      <c r="E1511" s="57">
        <v>242.72</v>
      </c>
      <c r="F1511" s="57">
        <v>0.24271999999999999</v>
      </c>
      <c r="G1511" s="56" t="s">
        <v>392</v>
      </c>
      <c r="H1511" s="56" t="s">
        <v>4454</v>
      </c>
      <c r="I1511" s="56" t="s">
        <v>1834</v>
      </c>
      <c r="J1511" s="56"/>
      <c r="K1511" s="56"/>
      <c r="L1511" s="56"/>
      <c r="M1511" s="56"/>
      <c r="N1511" s="56" t="s">
        <v>61</v>
      </c>
      <c r="O1511" s="56">
        <v>35</v>
      </c>
      <c r="P1511" s="59" t="s">
        <v>2532</v>
      </c>
      <c r="Q1511" s="56" t="s">
        <v>11</v>
      </c>
      <c r="U1511" s="538">
        <v>111118812</v>
      </c>
      <c r="V1511">
        <v>59</v>
      </c>
      <c r="W1511">
        <v>30</v>
      </c>
      <c r="X1511">
        <v>1.6</v>
      </c>
      <c r="Y1511">
        <v>5.89</v>
      </c>
      <c r="Z1511" t="s">
        <v>1868</v>
      </c>
      <c r="AA1511" t="s">
        <v>1003</v>
      </c>
      <c r="AB1511" t="s">
        <v>2520</v>
      </c>
      <c r="AC1511" t="s">
        <v>568</v>
      </c>
      <c r="AD1511" t="s">
        <v>1838</v>
      </c>
      <c r="AE1511" t="s">
        <v>5279</v>
      </c>
      <c r="AF1511">
        <v>2.1714451655182043</v>
      </c>
    </row>
    <row r="1512" spans="1:32" x14ac:dyDescent="0.25">
      <c r="A1512" s="56">
        <v>3781637</v>
      </c>
      <c r="B1512" s="56" t="s">
        <v>5292</v>
      </c>
      <c r="C1512" s="56" t="s">
        <v>5295</v>
      </c>
      <c r="D1512" s="56"/>
      <c r="E1512" s="57">
        <v>123.518</v>
      </c>
      <c r="F1512" s="57">
        <v>0.123518</v>
      </c>
      <c r="G1512" s="56" t="s">
        <v>392</v>
      </c>
      <c r="H1512" s="56" t="s">
        <v>4454</v>
      </c>
      <c r="I1512" s="56" t="s">
        <v>1834</v>
      </c>
      <c r="J1512" s="56"/>
      <c r="K1512" s="56"/>
      <c r="L1512" s="56"/>
      <c r="M1512" s="56"/>
      <c r="N1512" s="56" t="s">
        <v>61</v>
      </c>
      <c r="O1512" s="56">
        <v>35</v>
      </c>
      <c r="P1512" s="59" t="s">
        <v>2532</v>
      </c>
      <c r="Q1512" s="56" t="s">
        <v>11</v>
      </c>
      <c r="U1512" s="52">
        <v>1940925</v>
      </c>
      <c r="V1512">
        <v>59</v>
      </c>
      <c r="W1512">
        <v>30</v>
      </c>
      <c r="X1512">
        <v>1.6</v>
      </c>
      <c r="Y1512">
        <v>6</v>
      </c>
      <c r="Z1512" t="s">
        <v>1891</v>
      </c>
      <c r="AA1512" t="s">
        <v>1003</v>
      </c>
      <c r="AB1512" t="s">
        <v>2520</v>
      </c>
      <c r="AC1512" t="s">
        <v>568</v>
      </c>
      <c r="AD1512" t="s">
        <v>1838</v>
      </c>
      <c r="AE1512" t="s">
        <v>5279</v>
      </c>
      <c r="AF1512">
        <v>2.1714451655182043</v>
      </c>
    </row>
    <row r="1513" spans="1:32" x14ac:dyDescent="0.25">
      <c r="A1513" s="56">
        <v>3781637</v>
      </c>
      <c r="B1513" s="56" t="s">
        <v>5292</v>
      </c>
      <c r="C1513" s="56" t="s">
        <v>5296</v>
      </c>
      <c r="D1513" s="56"/>
      <c r="E1513" s="57">
        <v>2801.3739999999998</v>
      </c>
      <c r="F1513" s="57">
        <v>2.8013739999999996</v>
      </c>
      <c r="G1513" s="56" t="s">
        <v>392</v>
      </c>
      <c r="H1513" s="56" t="s">
        <v>4454</v>
      </c>
      <c r="I1513" s="56" t="s">
        <v>1834</v>
      </c>
      <c r="J1513" s="56"/>
      <c r="K1513" s="56"/>
      <c r="L1513" s="56"/>
      <c r="M1513" s="56"/>
      <c r="N1513" s="56" t="s">
        <v>61</v>
      </c>
      <c r="O1513" s="56">
        <v>35</v>
      </c>
      <c r="P1513" s="59" t="s">
        <v>2532</v>
      </c>
      <c r="Q1513" s="56" t="s">
        <v>11</v>
      </c>
      <c r="U1513" s="52">
        <v>1931843</v>
      </c>
      <c r="V1513">
        <v>60</v>
      </c>
      <c r="W1513">
        <v>30</v>
      </c>
      <c r="X1513">
        <v>1.6</v>
      </c>
      <c r="Y1513">
        <v>6</v>
      </c>
      <c r="Z1513" t="s">
        <v>1883</v>
      </c>
      <c r="AA1513" t="s">
        <v>1003</v>
      </c>
      <c r="AB1513" t="s">
        <v>2520</v>
      </c>
      <c r="AC1513" t="s">
        <v>4742</v>
      </c>
      <c r="AD1513" t="s">
        <v>1838</v>
      </c>
      <c r="AE1513" t="s">
        <v>4747</v>
      </c>
      <c r="AF1513">
        <v>2.1965524307487461</v>
      </c>
    </row>
    <row r="1514" spans="1:32" x14ac:dyDescent="0.25">
      <c r="A1514" s="56">
        <v>3784469</v>
      </c>
      <c r="B1514" s="56" t="s">
        <v>5297</v>
      </c>
      <c r="C1514" s="56" t="s">
        <v>4467</v>
      </c>
      <c r="D1514" s="56"/>
      <c r="E1514" s="57">
        <v>2745</v>
      </c>
      <c r="F1514" s="57">
        <v>2.7450000000000001</v>
      </c>
      <c r="G1514" s="56" t="s">
        <v>392</v>
      </c>
      <c r="H1514" s="56" t="s">
        <v>4454</v>
      </c>
      <c r="I1514" s="56" t="s">
        <v>1834</v>
      </c>
      <c r="J1514" s="56"/>
      <c r="K1514" s="56"/>
      <c r="L1514" s="56"/>
      <c r="M1514" s="56"/>
      <c r="N1514" s="56" t="s">
        <v>72</v>
      </c>
      <c r="O1514" s="56">
        <v>10</v>
      </c>
      <c r="P1514" s="59" t="s">
        <v>2515</v>
      </c>
      <c r="Q1514" s="56" t="s">
        <v>11</v>
      </c>
      <c r="U1514" s="52">
        <v>3702207</v>
      </c>
      <c r="V1514">
        <v>60</v>
      </c>
      <c r="W1514">
        <v>30</v>
      </c>
      <c r="X1514">
        <v>1.6</v>
      </c>
      <c r="Y1514">
        <v>6</v>
      </c>
      <c r="Z1514" t="s">
        <v>1874</v>
      </c>
      <c r="AA1514" t="s">
        <v>1003</v>
      </c>
      <c r="AB1514" t="s">
        <v>2520</v>
      </c>
      <c r="AC1514" t="s">
        <v>4742</v>
      </c>
      <c r="AD1514" t="s">
        <v>1838</v>
      </c>
      <c r="AE1514" t="s">
        <v>4747</v>
      </c>
      <c r="AF1514">
        <v>2.1965524307487461</v>
      </c>
    </row>
    <row r="1515" spans="1:32" x14ac:dyDescent="0.25">
      <c r="A1515" s="56">
        <v>3788034</v>
      </c>
      <c r="B1515" s="56" t="s">
        <v>1655</v>
      </c>
      <c r="C1515" s="56" t="s">
        <v>5298</v>
      </c>
      <c r="D1515" s="56"/>
      <c r="E1515" s="57">
        <v>99.135999999999996</v>
      </c>
      <c r="F1515" s="57">
        <v>9.9136000000000002E-2</v>
      </c>
      <c r="G1515" s="56" t="s">
        <v>392</v>
      </c>
      <c r="H1515" s="56" t="s">
        <v>4454</v>
      </c>
      <c r="I1515" s="56" t="s">
        <v>4455</v>
      </c>
      <c r="J1515" s="56"/>
      <c r="K1515" s="56"/>
      <c r="L1515" s="56"/>
      <c r="M1515" s="56"/>
      <c r="N1515" s="56" t="s">
        <v>39</v>
      </c>
      <c r="O1515" s="56">
        <v>9</v>
      </c>
      <c r="P1515" s="59" t="s">
        <v>2515</v>
      </c>
      <c r="Q1515" s="56" t="s">
        <v>2516</v>
      </c>
      <c r="U1515" s="555">
        <v>4200975</v>
      </c>
      <c r="V1515">
        <v>60.3</v>
      </c>
      <c r="W1515">
        <v>0</v>
      </c>
      <c r="X1515">
        <v>2</v>
      </c>
      <c r="Y1515">
        <v>0.49099999999999999</v>
      </c>
      <c r="Z1515" t="s">
        <v>1881</v>
      </c>
      <c r="AA1515" t="s">
        <v>1003</v>
      </c>
      <c r="AB1515" t="s">
        <v>2520</v>
      </c>
      <c r="AC1515" t="s">
        <v>1070</v>
      </c>
      <c r="AD1515" t="s">
        <v>2171</v>
      </c>
      <c r="AE1515" t="s">
        <v>6623</v>
      </c>
      <c r="AF1515">
        <v>1.4111700394</v>
      </c>
    </row>
    <row r="1516" spans="1:32" x14ac:dyDescent="0.25">
      <c r="A1516" s="56">
        <v>3801265</v>
      </c>
      <c r="B1516" s="56" t="s">
        <v>889</v>
      </c>
      <c r="C1516" s="56" t="s">
        <v>5299</v>
      </c>
      <c r="D1516" s="56"/>
      <c r="E1516" s="57">
        <v>1077.6179999999999</v>
      </c>
      <c r="F1516" s="57">
        <v>1.077618</v>
      </c>
      <c r="G1516" s="56" t="s">
        <v>392</v>
      </c>
      <c r="H1516" s="56" t="s">
        <v>4454</v>
      </c>
      <c r="I1516" s="56" t="s">
        <v>1834</v>
      </c>
      <c r="J1516" s="56"/>
      <c r="K1516" s="56"/>
      <c r="L1516" s="56"/>
      <c r="M1516" s="56"/>
      <c r="N1516" s="56" t="s">
        <v>52</v>
      </c>
      <c r="O1516" s="56">
        <v>0</v>
      </c>
      <c r="P1516" s="59" t="s">
        <v>2515</v>
      </c>
      <c r="Q1516" s="56" t="s">
        <v>2516</v>
      </c>
      <c r="U1516" s="52">
        <v>3662752</v>
      </c>
      <c r="V1516">
        <v>60.3</v>
      </c>
      <c r="W1516">
        <v>0</v>
      </c>
      <c r="X1516">
        <v>2</v>
      </c>
      <c r="Y1516">
        <v>0.49299999999999999</v>
      </c>
      <c r="Z1516" t="s">
        <v>1881</v>
      </c>
      <c r="AA1516" t="s">
        <v>1003</v>
      </c>
      <c r="AB1516" t="s">
        <v>2520</v>
      </c>
      <c r="AC1516" t="s">
        <v>1070</v>
      </c>
      <c r="AD1516" t="s">
        <v>2171</v>
      </c>
      <c r="AE1516" t="s">
        <v>5288</v>
      </c>
      <c r="AF1516">
        <v>1.4169181862</v>
      </c>
    </row>
    <row r="1517" spans="1:32" x14ac:dyDescent="0.25">
      <c r="A1517" s="56">
        <v>3801265</v>
      </c>
      <c r="B1517" s="56" t="s">
        <v>889</v>
      </c>
      <c r="C1517" s="56" t="s">
        <v>5301</v>
      </c>
      <c r="D1517" s="56"/>
      <c r="E1517" s="57">
        <v>1276.144</v>
      </c>
      <c r="F1517" s="57">
        <v>1.2761439999999999</v>
      </c>
      <c r="G1517" s="56" t="s">
        <v>392</v>
      </c>
      <c r="H1517" s="56" t="s">
        <v>4454</v>
      </c>
      <c r="I1517" s="56" t="s">
        <v>1834</v>
      </c>
      <c r="J1517" s="56"/>
      <c r="K1517" s="56"/>
      <c r="L1517" s="56"/>
      <c r="M1517" s="56"/>
      <c r="N1517" s="56" t="s">
        <v>52</v>
      </c>
      <c r="O1517" s="56">
        <v>0</v>
      </c>
      <c r="P1517" s="59" t="s">
        <v>2515</v>
      </c>
      <c r="Q1517" s="56" t="s">
        <v>2516</v>
      </c>
      <c r="U1517" s="52">
        <v>3768903</v>
      </c>
      <c r="V1517">
        <v>60.3</v>
      </c>
      <c r="W1517">
        <v>0</v>
      </c>
      <c r="X1517">
        <v>2</v>
      </c>
      <c r="Y1517">
        <v>0.52500000000000002</v>
      </c>
      <c r="Z1517" t="s">
        <v>1952</v>
      </c>
      <c r="AA1517" t="s">
        <v>1003</v>
      </c>
      <c r="AB1517" t="s">
        <v>2520</v>
      </c>
      <c r="AC1517" t="s">
        <v>1070</v>
      </c>
      <c r="AD1517" t="s">
        <v>2171</v>
      </c>
      <c r="AE1517" t="s">
        <v>5290</v>
      </c>
      <c r="AF1517">
        <v>1.5088885350000001</v>
      </c>
    </row>
    <row r="1518" spans="1:32" x14ac:dyDescent="0.25">
      <c r="A1518" s="56">
        <v>3801265</v>
      </c>
      <c r="B1518" s="56" t="s">
        <v>889</v>
      </c>
      <c r="C1518" s="56" t="s">
        <v>5302</v>
      </c>
      <c r="D1518" s="56"/>
      <c r="E1518" s="57">
        <v>178.345</v>
      </c>
      <c r="F1518" s="57">
        <v>0.178345</v>
      </c>
      <c r="G1518" s="56" t="s">
        <v>392</v>
      </c>
      <c r="H1518" s="56" t="s">
        <v>4454</v>
      </c>
      <c r="I1518" s="56" t="s">
        <v>1834</v>
      </c>
      <c r="J1518" s="56"/>
      <c r="K1518" s="56"/>
      <c r="L1518" s="56"/>
      <c r="M1518" s="56"/>
      <c r="N1518" s="56" t="s">
        <v>52</v>
      </c>
      <c r="O1518" s="56">
        <v>5</v>
      </c>
      <c r="P1518" s="59" t="s">
        <v>2515</v>
      </c>
      <c r="Q1518" s="56" t="s">
        <v>2516</v>
      </c>
      <c r="U1518">
        <v>3905049</v>
      </c>
      <c r="V1518">
        <v>60.3</v>
      </c>
      <c r="W1518">
        <v>0</v>
      </c>
      <c r="X1518">
        <v>2</v>
      </c>
      <c r="Y1518">
        <v>5.9</v>
      </c>
      <c r="Z1518" t="s">
        <v>1952</v>
      </c>
      <c r="AA1518" t="s">
        <v>1003</v>
      </c>
      <c r="AB1518" t="s">
        <v>2520</v>
      </c>
      <c r="AC1518" t="s">
        <v>1070</v>
      </c>
      <c r="AD1518" t="s">
        <v>1838</v>
      </c>
      <c r="AE1518" t="s">
        <v>2389</v>
      </c>
      <c r="AF1518">
        <v>2.8740733999999999</v>
      </c>
    </row>
    <row r="1519" spans="1:32" x14ac:dyDescent="0.25">
      <c r="A1519" s="56">
        <v>3806599</v>
      </c>
      <c r="B1519" s="56" t="s">
        <v>5303</v>
      </c>
      <c r="C1519" s="56" t="s">
        <v>5304</v>
      </c>
      <c r="D1519" s="56"/>
      <c r="E1519" s="57">
        <v>1790</v>
      </c>
      <c r="F1519" s="57">
        <v>1.79</v>
      </c>
      <c r="G1519" s="56" t="s">
        <v>392</v>
      </c>
      <c r="H1519" s="56" t="s">
        <v>2511</v>
      </c>
      <c r="I1519" s="56" t="s">
        <v>1834</v>
      </c>
      <c r="J1519" s="56"/>
      <c r="K1519" s="56"/>
      <c r="L1519" s="56"/>
      <c r="M1519" s="56"/>
      <c r="N1519" s="56" t="s">
        <v>76</v>
      </c>
      <c r="O1519" s="56">
        <v>96</v>
      </c>
      <c r="P1519" s="59" t="s">
        <v>2524</v>
      </c>
      <c r="Q1519" s="56" t="s">
        <v>2561</v>
      </c>
      <c r="U1519" s="52">
        <v>3702875</v>
      </c>
      <c r="V1519">
        <v>60.3</v>
      </c>
      <c r="W1519">
        <v>0</v>
      </c>
      <c r="X1519">
        <v>2</v>
      </c>
      <c r="Y1519">
        <v>6</v>
      </c>
      <c r="Z1519" t="s">
        <v>1881</v>
      </c>
      <c r="AA1519" t="s">
        <v>1003</v>
      </c>
      <c r="AB1519" t="s">
        <v>2520</v>
      </c>
      <c r="AC1519" t="s">
        <v>1070</v>
      </c>
      <c r="AD1519" t="s">
        <v>1838</v>
      </c>
      <c r="AE1519" t="s">
        <v>2389</v>
      </c>
      <c r="AF1519">
        <v>2.8740733999999999</v>
      </c>
    </row>
    <row r="1520" spans="1:32" x14ac:dyDescent="0.25">
      <c r="A1520" s="56">
        <v>3870803</v>
      </c>
      <c r="B1520" s="56" t="s">
        <v>2393</v>
      </c>
      <c r="C1520" s="56" t="s">
        <v>5305</v>
      </c>
      <c r="D1520" s="56"/>
      <c r="E1520" s="57">
        <v>1440</v>
      </c>
      <c r="F1520" s="57">
        <v>1.44</v>
      </c>
      <c r="G1520" s="56" t="s">
        <v>392</v>
      </c>
      <c r="H1520" s="56" t="s">
        <v>4454</v>
      </c>
      <c r="I1520" s="56" t="s">
        <v>1834</v>
      </c>
      <c r="J1520" s="56"/>
      <c r="K1520" s="56"/>
      <c r="L1520" s="56"/>
      <c r="M1520" s="56"/>
      <c r="N1520" s="56" t="s">
        <v>151</v>
      </c>
      <c r="O1520" s="56">
        <v>2</v>
      </c>
      <c r="P1520" s="59" t="s">
        <v>2515</v>
      </c>
      <c r="Q1520" s="56" t="s">
        <v>11</v>
      </c>
      <c r="U1520" s="52">
        <v>3594528</v>
      </c>
      <c r="V1520">
        <v>60.3</v>
      </c>
      <c r="W1520">
        <v>0</v>
      </c>
      <c r="X1520">
        <v>2</v>
      </c>
      <c r="Y1520">
        <v>6</v>
      </c>
      <c r="Z1520" t="s">
        <v>1881</v>
      </c>
      <c r="AA1520" t="s">
        <v>1003</v>
      </c>
      <c r="AB1520" t="s">
        <v>2520</v>
      </c>
      <c r="AC1520" t="s">
        <v>1070</v>
      </c>
      <c r="AD1520" t="s">
        <v>1838</v>
      </c>
      <c r="AE1520" t="s">
        <v>2389</v>
      </c>
      <c r="AF1520">
        <v>2.8740733999999999</v>
      </c>
    </row>
    <row r="1521" spans="1:32" x14ac:dyDescent="0.25">
      <c r="A1521" s="56">
        <v>3870803</v>
      </c>
      <c r="B1521" s="56" t="s">
        <v>2393</v>
      </c>
      <c r="C1521" s="56" t="s">
        <v>5306</v>
      </c>
      <c r="D1521" s="56"/>
      <c r="E1521" s="57">
        <v>1432</v>
      </c>
      <c r="F1521" s="57">
        <v>1.4319999999999999</v>
      </c>
      <c r="G1521" s="56" t="s">
        <v>392</v>
      </c>
      <c r="H1521" s="56" t="s">
        <v>4454</v>
      </c>
      <c r="I1521" s="56" t="s">
        <v>1834</v>
      </c>
      <c r="J1521" s="56"/>
      <c r="K1521" s="56"/>
      <c r="L1521" s="56"/>
      <c r="M1521" s="56"/>
      <c r="N1521" s="56" t="s">
        <v>151</v>
      </c>
      <c r="O1521" s="56">
        <v>2</v>
      </c>
      <c r="P1521" s="59" t="s">
        <v>2515</v>
      </c>
      <c r="Q1521" s="56" t="s">
        <v>11</v>
      </c>
      <c r="U1521" s="52">
        <v>3746291</v>
      </c>
      <c r="V1521">
        <v>63.5</v>
      </c>
      <c r="W1521">
        <v>0</v>
      </c>
      <c r="X1521">
        <v>4</v>
      </c>
      <c r="Y1521">
        <v>0.23400000000000001</v>
      </c>
      <c r="Z1521" t="s">
        <v>1891</v>
      </c>
      <c r="AA1521" t="s">
        <v>1003</v>
      </c>
      <c r="AB1521" t="s">
        <v>5019</v>
      </c>
      <c r="AC1521" t="s">
        <v>872</v>
      </c>
      <c r="AD1521" t="s">
        <v>2171</v>
      </c>
      <c r="AE1521" t="s">
        <v>881</v>
      </c>
      <c r="AF1521">
        <v>1.3727521080000002</v>
      </c>
    </row>
    <row r="1522" spans="1:32" x14ac:dyDescent="0.25">
      <c r="A1522" s="56">
        <v>3870803</v>
      </c>
      <c r="B1522" s="56" t="s">
        <v>2393</v>
      </c>
      <c r="C1522" s="56" t="s">
        <v>5307</v>
      </c>
      <c r="D1522" s="56"/>
      <c r="E1522" s="57">
        <v>1597</v>
      </c>
      <c r="F1522" s="57">
        <v>1.597</v>
      </c>
      <c r="G1522" s="56" t="s">
        <v>392</v>
      </c>
      <c r="H1522" s="56" t="s">
        <v>4454</v>
      </c>
      <c r="I1522" s="56" t="s">
        <v>1834</v>
      </c>
      <c r="J1522" s="56"/>
      <c r="K1522" s="56"/>
      <c r="L1522" s="56"/>
      <c r="M1522" s="56"/>
      <c r="N1522" s="56" t="s">
        <v>151</v>
      </c>
      <c r="O1522" s="56">
        <v>2</v>
      </c>
      <c r="P1522" s="59" t="s">
        <v>2515</v>
      </c>
      <c r="Q1522" s="56" t="s">
        <v>11</v>
      </c>
      <c r="U1522" s="590">
        <v>1470103</v>
      </c>
      <c r="V1522">
        <v>63.5</v>
      </c>
      <c r="W1522">
        <v>0</v>
      </c>
      <c r="X1522">
        <v>4</v>
      </c>
      <c r="Y1522">
        <v>0.23599999999999999</v>
      </c>
      <c r="Z1522" t="s">
        <v>1914</v>
      </c>
      <c r="AA1522" t="s">
        <v>1003</v>
      </c>
      <c r="AB1522" t="s">
        <v>5019</v>
      </c>
      <c r="AC1522" t="s">
        <v>872</v>
      </c>
      <c r="AD1522" t="s">
        <v>2171</v>
      </c>
      <c r="AE1522" t="s">
        <v>874</v>
      </c>
      <c r="AF1522">
        <v>1.3844850319999999</v>
      </c>
    </row>
    <row r="1523" spans="1:32" x14ac:dyDescent="0.25">
      <c r="A1523" s="56">
        <v>3870803</v>
      </c>
      <c r="B1523" s="56" t="s">
        <v>2393</v>
      </c>
      <c r="C1523" s="56" t="s">
        <v>5308</v>
      </c>
      <c r="D1523" s="56"/>
      <c r="E1523" s="57">
        <v>1421</v>
      </c>
      <c r="F1523" s="57">
        <v>1.421</v>
      </c>
      <c r="G1523" s="56" t="s">
        <v>392</v>
      </c>
      <c r="H1523" s="56" t="s">
        <v>4454</v>
      </c>
      <c r="I1523" s="56" t="s">
        <v>1834</v>
      </c>
      <c r="J1523" s="56"/>
      <c r="K1523" s="56"/>
      <c r="L1523" s="56"/>
      <c r="M1523" s="56"/>
      <c r="N1523" s="56" t="s">
        <v>151</v>
      </c>
      <c r="O1523" s="56">
        <v>2</v>
      </c>
      <c r="P1523" s="59" t="s">
        <v>2515</v>
      </c>
      <c r="Q1523" s="56" t="s">
        <v>11</v>
      </c>
      <c r="U1523" s="52">
        <v>2429059</v>
      </c>
      <c r="V1523">
        <v>63.5</v>
      </c>
      <c r="W1523">
        <v>0</v>
      </c>
      <c r="X1523">
        <v>4</v>
      </c>
      <c r="Y1523">
        <v>0.23599999999999999</v>
      </c>
      <c r="Z1523" t="s">
        <v>1881</v>
      </c>
      <c r="AA1523" t="s">
        <v>1003</v>
      </c>
      <c r="AB1523" t="s">
        <v>2572</v>
      </c>
      <c r="AC1523" t="s">
        <v>872</v>
      </c>
      <c r="AD1523" t="s">
        <v>2171</v>
      </c>
      <c r="AE1523" t="s">
        <v>874</v>
      </c>
      <c r="AF1523">
        <v>1.3844850319999999</v>
      </c>
    </row>
    <row r="1524" spans="1:32" x14ac:dyDescent="0.25">
      <c r="A1524" s="56">
        <v>3870803</v>
      </c>
      <c r="B1524" s="56" t="s">
        <v>2393</v>
      </c>
      <c r="C1524" s="56" t="s">
        <v>5309</v>
      </c>
      <c r="D1524" s="56"/>
      <c r="E1524" s="57">
        <v>1633</v>
      </c>
      <c r="F1524" s="57">
        <v>1.633</v>
      </c>
      <c r="G1524" s="56" t="s">
        <v>392</v>
      </c>
      <c r="H1524" s="56" t="s">
        <v>4454</v>
      </c>
      <c r="I1524" s="56" t="s">
        <v>1834</v>
      </c>
      <c r="J1524" s="56"/>
      <c r="K1524" s="56"/>
      <c r="L1524" s="56"/>
      <c r="M1524" s="56"/>
      <c r="N1524" s="56" t="s">
        <v>151</v>
      </c>
      <c r="O1524" s="56">
        <v>2</v>
      </c>
      <c r="P1524" s="59" t="s">
        <v>2515</v>
      </c>
      <c r="Q1524" s="56" t="s">
        <v>11</v>
      </c>
      <c r="U1524" s="52">
        <v>3784473</v>
      </c>
      <c r="V1524">
        <v>63.5</v>
      </c>
      <c r="W1524">
        <v>0</v>
      </c>
      <c r="X1524">
        <v>4</v>
      </c>
      <c r="Y1524">
        <v>0.23599999999999999</v>
      </c>
      <c r="Z1524" t="s">
        <v>1952</v>
      </c>
      <c r="AA1524" t="s">
        <v>1003</v>
      </c>
      <c r="AB1524" t="s">
        <v>5019</v>
      </c>
      <c r="AC1524" t="s">
        <v>872</v>
      </c>
      <c r="AD1524" t="s">
        <v>2171</v>
      </c>
      <c r="AE1524" t="s">
        <v>874</v>
      </c>
      <c r="AF1524">
        <v>1.3844850319999999</v>
      </c>
    </row>
    <row r="1525" spans="1:32" x14ac:dyDescent="0.25">
      <c r="A1525" s="56">
        <v>3870803</v>
      </c>
      <c r="B1525" s="56" t="s">
        <v>2393</v>
      </c>
      <c r="C1525" s="56" t="s">
        <v>5310</v>
      </c>
      <c r="D1525" s="56"/>
      <c r="E1525" s="57">
        <v>1633</v>
      </c>
      <c r="F1525" s="57">
        <v>1.633</v>
      </c>
      <c r="G1525" s="56" t="s">
        <v>392</v>
      </c>
      <c r="H1525" s="56" t="s">
        <v>4454</v>
      </c>
      <c r="I1525" s="56" t="s">
        <v>1834</v>
      </c>
      <c r="J1525" s="56"/>
      <c r="K1525" s="56"/>
      <c r="L1525" s="56"/>
      <c r="M1525" s="56"/>
      <c r="N1525" s="56" t="s">
        <v>151</v>
      </c>
      <c r="O1525" s="56">
        <v>2</v>
      </c>
      <c r="P1525" s="59" t="s">
        <v>2515</v>
      </c>
      <c r="Q1525" s="56" t="s">
        <v>11</v>
      </c>
      <c r="U1525" s="52">
        <v>4196298</v>
      </c>
      <c r="V1525">
        <v>63.5</v>
      </c>
      <c r="W1525">
        <v>0</v>
      </c>
      <c r="X1525">
        <v>4</v>
      </c>
      <c r="Y1525">
        <v>0.26300000000000001</v>
      </c>
      <c r="Z1525" t="s">
        <v>1874</v>
      </c>
      <c r="AA1525" t="s">
        <v>1003</v>
      </c>
      <c r="AB1525" t="s">
        <v>5019</v>
      </c>
      <c r="AC1525" t="s">
        <v>872</v>
      </c>
      <c r="AD1525" t="s">
        <v>2171</v>
      </c>
      <c r="AE1525" t="s">
        <v>883</v>
      </c>
      <c r="AF1525">
        <v>1.5428795060000002</v>
      </c>
    </row>
    <row r="1526" spans="1:32" x14ac:dyDescent="0.25">
      <c r="A1526" s="56">
        <v>3870804</v>
      </c>
      <c r="B1526" s="56" t="s">
        <v>2481</v>
      </c>
      <c r="C1526" s="56" t="s">
        <v>5311</v>
      </c>
      <c r="D1526" s="56"/>
      <c r="E1526" s="57">
        <v>2485</v>
      </c>
      <c r="F1526" s="57">
        <v>2.4849999999999999</v>
      </c>
      <c r="G1526" s="56" t="s">
        <v>392</v>
      </c>
      <c r="H1526" s="56" t="s">
        <v>4454</v>
      </c>
      <c r="I1526" s="56" t="s">
        <v>1834</v>
      </c>
      <c r="J1526" s="56"/>
      <c r="K1526" s="56"/>
      <c r="L1526" s="56"/>
      <c r="M1526" s="56"/>
      <c r="N1526" s="56" t="s">
        <v>101</v>
      </c>
      <c r="O1526" s="56">
        <v>48</v>
      </c>
      <c r="P1526" s="59" t="s">
        <v>2532</v>
      </c>
      <c r="Q1526" s="56" t="s">
        <v>192</v>
      </c>
      <c r="U1526" s="52">
        <v>3775122</v>
      </c>
      <c r="V1526">
        <v>63.5</v>
      </c>
      <c r="W1526">
        <v>0</v>
      </c>
      <c r="X1526">
        <v>4</v>
      </c>
      <c r="Y1526">
        <v>0.26500000000000001</v>
      </c>
      <c r="Z1526" t="s">
        <v>1874</v>
      </c>
      <c r="AA1526" t="s">
        <v>1003</v>
      </c>
      <c r="AB1526" t="s">
        <v>5019</v>
      </c>
      <c r="AC1526" t="s">
        <v>872</v>
      </c>
      <c r="AD1526" t="s">
        <v>2171</v>
      </c>
      <c r="AE1526" t="s">
        <v>5300</v>
      </c>
      <c r="AF1526">
        <v>1.5546124300000002</v>
      </c>
    </row>
    <row r="1527" spans="1:32" x14ac:dyDescent="0.25">
      <c r="A1527" s="56">
        <v>3870804</v>
      </c>
      <c r="B1527" s="56" t="s">
        <v>2481</v>
      </c>
      <c r="C1527" s="56" t="s">
        <v>5313</v>
      </c>
      <c r="D1527" s="56"/>
      <c r="E1527" s="57">
        <v>1196</v>
      </c>
      <c r="F1527" s="57">
        <v>1.196</v>
      </c>
      <c r="G1527" s="56" t="s">
        <v>392</v>
      </c>
      <c r="H1527" s="56" t="s">
        <v>4454</v>
      </c>
      <c r="I1527" s="56" t="s">
        <v>1834</v>
      </c>
      <c r="J1527" s="56"/>
      <c r="K1527" s="56"/>
      <c r="L1527" s="56"/>
      <c r="M1527" s="56"/>
      <c r="N1527" s="56" t="s">
        <v>101</v>
      </c>
      <c r="O1527" s="56">
        <v>48</v>
      </c>
      <c r="P1527" s="59" t="s">
        <v>2532</v>
      </c>
      <c r="Q1527" s="56" t="s">
        <v>192</v>
      </c>
      <c r="U1527">
        <v>2429289</v>
      </c>
      <c r="V1527">
        <v>63.5</v>
      </c>
      <c r="W1527">
        <v>0</v>
      </c>
      <c r="X1527">
        <v>4</v>
      </c>
      <c r="Y1527">
        <v>5.0599999999999996</v>
      </c>
      <c r="Z1527" t="s">
        <v>1881</v>
      </c>
      <c r="AA1527" t="s">
        <v>1003</v>
      </c>
      <c r="AB1527" t="s">
        <v>2572</v>
      </c>
      <c r="AC1527" t="s">
        <v>872</v>
      </c>
      <c r="AD1527" t="s">
        <v>1838</v>
      </c>
      <c r="AE1527" t="s">
        <v>2366</v>
      </c>
      <c r="AF1527">
        <v>5.8664620000000003</v>
      </c>
    </row>
    <row r="1528" spans="1:32" x14ac:dyDescent="0.25">
      <c r="A1528" s="56">
        <v>3870804</v>
      </c>
      <c r="B1528" s="56" t="s">
        <v>2481</v>
      </c>
      <c r="C1528" s="56" t="s">
        <v>5314</v>
      </c>
      <c r="D1528" s="56"/>
      <c r="E1528" s="57">
        <v>1318</v>
      </c>
      <c r="F1528" s="57">
        <v>1.3180000000000001</v>
      </c>
      <c r="G1528" s="56" t="s">
        <v>392</v>
      </c>
      <c r="H1528" s="56" t="s">
        <v>4454</v>
      </c>
      <c r="I1528" s="56" t="s">
        <v>1834</v>
      </c>
      <c r="J1528" s="56"/>
      <c r="K1528" s="56"/>
      <c r="L1528" s="56"/>
      <c r="M1528" s="56"/>
      <c r="N1528" s="56" t="s">
        <v>101</v>
      </c>
      <c r="O1528" s="56">
        <v>48</v>
      </c>
      <c r="P1528" s="59" t="s">
        <v>2532</v>
      </c>
      <c r="Q1528" s="56" t="s">
        <v>192</v>
      </c>
      <c r="U1528" s="52">
        <v>3500816</v>
      </c>
      <c r="V1528">
        <v>63.5</v>
      </c>
      <c r="W1528">
        <v>0</v>
      </c>
      <c r="X1528">
        <v>4</v>
      </c>
      <c r="Y1528">
        <v>6</v>
      </c>
      <c r="Z1528" t="s">
        <v>1874</v>
      </c>
      <c r="AA1528" t="s">
        <v>1003</v>
      </c>
      <c r="AB1528" t="s">
        <v>5019</v>
      </c>
      <c r="AC1528" t="s">
        <v>872</v>
      </c>
      <c r="AD1528" t="s">
        <v>1838</v>
      </c>
      <c r="AE1528" t="s">
        <v>2366</v>
      </c>
      <c r="AF1528">
        <v>5.8664620000000003</v>
      </c>
    </row>
    <row r="1529" spans="1:32" x14ac:dyDescent="0.25">
      <c r="A1529" s="56">
        <v>3870804</v>
      </c>
      <c r="B1529" s="56" t="s">
        <v>2481</v>
      </c>
      <c r="C1529" s="56" t="s">
        <v>5315</v>
      </c>
      <c r="D1529" s="56"/>
      <c r="E1529" s="57">
        <v>1205</v>
      </c>
      <c r="F1529" s="57">
        <v>1.2050000000000001</v>
      </c>
      <c r="G1529" s="56" t="s">
        <v>392</v>
      </c>
      <c r="H1529" s="56" t="s">
        <v>4454</v>
      </c>
      <c r="I1529" s="56" t="s">
        <v>1834</v>
      </c>
      <c r="J1529" s="56"/>
      <c r="K1529" s="56"/>
      <c r="L1529" s="56"/>
      <c r="M1529" s="56"/>
      <c r="N1529" s="56" t="s">
        <v>101</v>
      </c>
      <c r="O1529" s="56">
        <v>48</v>
      </c>
      <c r="P1529" s="59" t="s">
        <v>2532</v>
      </c>
      <c r="Q1529" s="56" t="s">
        <v>192</v>
      </c>
      <c r="U1529">
        <v>3899138</v>
      </c>
      <c r="V1529">
        <v>63.5</v>
      </c>
      <c r="W1529">
        <v>0</v>
      </c>
      <c r="X1529">
        <v>4.0599999999999996</v>
      </c>
      <c r="Y1529">
        <v>5.3</v>
      </c>
      <c r="Z1529" t="s">
        <v>1874</v>
      </c>
      <c r="AA1529" t="s">
        <v>1003</v>
      </c>
      <c r="AB1529" t="s">
        <v>2572</v>
      </c>
      <c r="AC1529" t="s">
        <v>872</v>
      </c>
      <c r="AD1529" t="s">
        <v>1838</v>
      </c>
      <c r="AE1529" t="s">
        <v>2366</v>
      </c>
      <c r="AF1529">
        <v>5.9484544335999994</v>
      </c>
    </row>
    <row r="1530" spans="1:32" x14ac:dyDescent="0.25">
      <c r="A1530" s="56">
        <v>3870804</v>
      </c>
      <c r="B1530" s="56" t="s">
        <v>2481</v>
      </c>
      <c r="C1530" s="56" t="s">
        <v>5316</v>
      </c>
      <c r="D1530" s="56"/>
      <c r="E1530" s="57">
        <v>1173</v>
      </c>
      <c r="F1530" s="57">
        <v>1.173</v>
      </c>
      <c r="G1530" s="56" t="s">
        <v>392</v>
      </c>
      <c r="H1530" s="56" t="s">
        <v>4454</v>
      </c>
      <c r="I1530" s="56" t="s">
        <v>1834</v>
      </c>
      <c r="J1530" s="56"/>
      <c r="K1530" s="56"/>
      <c r="L1530" s="56"/>
      <c r="M1530" s="56"/>
      <c r="N1530" s="56" t="s">
        <v>101</v>
      </c>
      <c r="O1530" s="56">
        <v>53</v>
      </c>
      <c r="P1530" s="59" t="s">
        <v>2532</v>
      </c>
      <c r="Q1530" s="56" t="s">
        <v>192</v>
      </c>
      <c r="U1530">
        <v>3899139</v>
      </c>
      <c r="V1530">
        <v>63.5</v>
      </c>
      <c r="W1530">
        <v>0</v>
      </c>
      <c r="X1530">
        <v>4.0599999999999996</v>
      </c>
      <c r="Y1530">
        <v>6.4</v>
      </c>
      <c r="Z1530" t="s">
        <v>1874</v>
      </c>
      <c r="AA1530" t="s">
        <v>1003</v>
      </c>
      <c r="AB1530" t="s">
        <v>2572</v>
      </c>
      <c r="AC1530" t="s">
        <v>872</v>
      </c>
      <c r="AD1530" t="s">
        <v>1838</v>
      </c>
      <c r="AE1530" t="s">
        <v>2366</v>
      </c>
      <c r="AF1530">
        <v>5.9484544335999994</v>
      </c>
    </row>
    <row r="1531" spans="1:32" x14ac:dyDescent="0.25">
      <c r="A1531" s="56">
        <v>3870804</v>
      </c>
      <c r="B1531" s="56" t="s">
        <v>2481</v>
      </c>
      <c r="C1531" s="56" t="s">
        <v>5317</v>
      </c>
      <c r="D1531" s="56"/>
      <c r="E1531" s="57">
        <v>2151</v>
      </c>
      <c r="F1531" s="57">
        <v>2.1509999999999998</v>
      </c>
      <c r="G1531" s="56" t="s">
        <v>392</v>
      </c>
      <c r="H1531" s="56" t="s">
        <v>4454</v>
      </c>
      <c r="I1531" s="56" t="s">
        <v>1834</v>
      </c>
      <c r="J1531" s="56"/>
      <c r="K1531" s="56"/>
      <c r="L1531" s="56"/>
      <c r="M1531" s="56"/>
      <c r="N1531" s="56" t="s">
        <v>101</v>
      </c>
      <c r="O1531" s="56">
        <v>40</v>
      </c>
      <c r="P1531" s="59" t="s">
        <v>2532</v>
      </c>
      <c r="Q1531" s="56" t="s">
        <v>192</v>
      </c>
      <c r="U1531">
        <v>3899140</v>
      </c>
      <c r="V1531">
        <v>63.5</v>
      </c>
      <c r="W1531">
        <v>0</v>
      </c>
      <c r="X1531">
        <v>4.0599999999999996</v>
      </c>
      <c r="Y1531">
        <v>6.9</v>
      </c>
      <c r="Z1531" t="s">
        <v>1874</v>
      </c>
      <c r="AA1531" t="s">
        <v>1003</v>
      </c>
      <c r="AB1531" t="s">
        <v>2572</v>
      </c>
      <c r="AC1531" t="s">
        <v>872</v>
      </c>
      <c r="AD1531" t="s">
        <v>1838</v>
      </c>
      <c r="AE1531" t="s">
        <v>2366</v>
      </c>
      <c r="AF1531">
        <v>5.9484544335999994</v>
      </c>
    </row>
    <row r="1532" spans="1:32" x14ac:dyDescent="0.25">
      <c r="A1532" s="56">
        <v>3870804</v>
      </c>
      <c r="B1532" s="56" t="s">
        <v>2481</v>
      </c>
      <c r="C1532" s="56" t="s">
        <v>5299</v>
      </c>
      <c r="D1532" s="56"/>
      <c r="E1532" s="57">
        <v>113.595</v>
      </c>
      <c r="F1532" s="57">
        <v>0.113595</v>
      </c>
      <c r="G1532" s="56" t="s">
        <v>392</v>
      </c>
      <c r="H1532" s="56" t="s">
        <v>1914</v>
      </c>
      <c r="I1532" s="56" t="s">
        <v>1834</v>
      </c>
      <c r="J1532" s="56"/>
      <c r="K1532" s="56"/>
      <c r="L1532" s="56"/>
      <c r="M1532" s="56"/>
      <c r="N1532" s="56" t="s">
        <v>101</v>
      </c>
      <c r="O1532" s="56">
        <v>0</v>
      </c>
      <c r="P1532" s="59" t="s">
        <v>2515</v>
      </c>
      <c r="Q1532" s="56" t="s">
        <v>192</v>
      </c>
      <c r="U1532" s="589">
        <v>3899137</v>
      </c>
      <c r="V1532">
        <v>63.5</v>
      </c>
      <c r="W1532">
        <v>0</v>
      </c>
      <c r="X1532">
        <v>4.0599999999999996</v>
      </c>
      <c r="Y1532">
        <v>7.4</v>
      </c>
      <c r="Z1532" t="s">
        <v>1874</v>
      </c>
      <c r="AA1532" t="s">
        <v>1003</v>
      </c>
      <c r="AB1532" t="s">
        <v>2572</v>
      </c>
      <c r="AC1532" t="s">
        <v>872</v>
      </c>
      <c r="AD1532" t="s">
        <v>1838</v>
      </c>
      <c r="AE1532" t="s">
        <v>2366</v>
      </c>
      <c r="AF1532">
        <v>5.9484544335999994</v>
      </c>
    </row>
    <row r="1533" spans="1:32" x14ac:dyDescent="0.25">
      <c r="A1533" s="56">
        <v>3870804</v>
      </c>
      <c r="B1533" s="56" t="s">
        <v>2481</v>
      </c>
      <c r="C1533" s="56" t="s">
        <v>5302</v>
      </c>
      <c r="D1533" s="56"/>
      <c r="E1533" s="57">
        <v>190.25700000000001</v>
      </c>
      <c r="F1533" s="57">
        <v>0.19025700000000001</v>
      </c>
      <c r="G1533" s="56" t="s">
        <v>392</v>
      </c>
      <c r="H1533" s="56" t="s">
        <v>1914</v>
      </c>
      <c r="I1533" s="56" t="s">
        <v>1834</v>
      </c>
      <c r="J1533" s="56"/>
      <c r="K1533" s="56"/>
      <c r="L1533" s="56"/>
      <c r="M1533" s="56"/>
      <c r="N1533" s="56" t="s">
        <v>101</v>
      </c>
      <c r="O1533" s="56">
        <v>5</v>
      </c>
      <c r="P1533" s="59" t="s">
        <v>2515</v>
      </c>
      <c r="Q1533" s="56" t="s">
        <v>192</v>
      </c>
      <c r="U1533" s="52">
        <v>424601</v>
      </c>
      <c r="V1533">
        <v>70</v>
      </c>
      <c r="W1533">
        <v>0</v>
      </c>
      <c r="X1533">
        <v>3.2</v>
      </c>
      <c r="Y1533">
        <v>0.49</v>
      </c>
      <c r="Z1533" t="s">
        <v>4540</v>
      </c>
      <c r="AA1533" t="s">
        <v>1895</v>
      </c>
      <c r="AB1533" t="s">
        <v>2572</v>
      </c>
      <c r="AC1533" t="s">
        <v>914</v>
      </c>
      <c r="AD1533" t="s">
        <v>2171</v>
      </c>
      <c r="AE1533" t="s">
        <v>916</v>
      </c>
      <c r="AF1533">
        <v>2.5817954176</v>
      </c>
    </row>
    <row r="1534" spans="1:32" x14ac:dyDescent="0.25">
      <c r="A1534" s="56">
        <v>3901714</v>
      </c>
      <c r="B1534" s="56" t="s">
        <v>902</v>
      </c>
      <c r="C1534" s="56" t="s">
        <v>5318</v>
      </c>
      <c r="D1534" s="56"/>
      <c r="E1534" s="57">
        <v>442.04599999999999</v>
      </c>
      <c r="F1534" s="57">
        <v>0.44204599999999999</v>
      </c>
      <c r="G1534" s="56" t="s">
        <v>392</v>
      </c>
      <c r="H1534" s="56" t="s">
        <v>4454</v>
      </c>
      <c r="I1534" s="56" t="s">
        <v>1834</v>
      </c>
      <c r="J1534" s="56"/>
      <c r="K1534" s="56"/>
      <c r="L1534" s="56"/>
      <c r="M1534" s="56"/>
      <c r="N1534" s="56" t="s">
        <v>52</v>
      </c>
      <c r="O1534" s="56">
        <v>5</v>
      </c>
      <c r="P1534" s="59" t="s">
        <v>2515</v>
      </c>
      <c r="Q1534" s="56" t="s">
        <v>2516</v>
      </c>
      <c r="U1534">
        <v>3781610</v>
      </c>
      <c r="V1534">
        <v>70</v>
      </c>
      <c r="W1534">
        <v>0</v>
      </c>
      <c r="X1534">
        <v>3.2</v>
      </c>
      <c r="Y1534">
        <v>0.49</v>
      </c>
      <c r="Z1534" t="s">
        <v>4540</v>
      </c>
      <c r="AA1534" t="s">
        <v>1895</v>
      </c>
      <c r="AB1534" t="s">
        <v>2572</v>
      </c>
      <c r="AC1534" t="s">
        <v>914</v>
      </c>
      <c r="AD1534" t="s">
        <v>2171</v>
      </c>
      <c r="AE1534" t="s">
        <v>916</v>
      </c>
      <c r="AF1534">
        <v>2.5817954176</v>
      </c>
    </row>
    <row r="1535" spans="1:32" x14ac:dyDescent="0.25">
      <c r="A1535" s="56">
        <v>3901714</v>
      </c>
      <c r="B1535" s="56" t="s">
        <v>902</v>
      </c>
      <c r="C1535" s="56" t="s">
        <v>5319</v>
      </c>
      <c r="D1535" s="56"/>
      <c r="E1535" s="57">
        <v>97.733999999999995</v>
      </c>
      <c r="F1535" s="57">
        <v>9.7734000000000001E-2</v>
      </c>
      <c r="G1535" s="56" t="s">
        <v>392</v>
      </c>
      <c r="H1535" s="56" t="s">
        <v>4454</v>
      </c>
      <c r="I1535" s="56" t="s">
        <v>1834</v>
      </c>
      <c r="J1535" s="56"/>
      <c r="K1535" s="56"/>
      <c r="L1535" s="56"/>
      <c r="M1535" s="56"/>
      <c r="N1535" s="56" t="s">
        <v>52</v>
      </c>
      <c r="O1535" s="56">
        <v>0</v>
      </c>
      <c r="P1535" s="59" t="s">
        <v>2515</v>
      </c>
      <c r="Q1535" s="56" t="s">
        <v>2516</v>
      </c>
      <c r="U1535">
        <v>3801263</v>
      </c>
      <c r="V1535">
        <v>70</v>
      </c>
      <c r="W1535">
        <v>0</v>
      </c>
      <c r="X1535">
        <v>3.2</v>
      </c>
      <c r="Y1535">
        <v>0.51200000000000001</v>
      </c>
      <c r="Z1535" t="s">
        <v>2088</v>
      </c>
      <c r="AA1535" t="s">
        <v>1003</v>
      </c>
      <c r="AB1535" t="s">
        <v>2572</v>
      </c>
      <c r="AC1535" t="s">
        <v>914</v>
      </c>
      <c r="AD1535" t="s">
        <v>2171</v>
      </c>
      <c r="AE1535" t="s">
        <v>924</v>
      </c>
      <c r="AF1535">
        <v>2.6977127628800002</v>
      </c>
    </row>
    <row r="1536" spans="1:32" x14ac:dyDescent="0.25">
      <c r="A1536" s="56">
        <v>3901714</v>
      </c>
      <c r="B1536" s="56" t="s">
        <v>902</v>
      </c>
      <c r="C1536" s="56" t="s">
        <v>5320</v>
      </c>
      <c r="D1536" s="56"/>
      <c r="E1536" s="57">
        <v>918.67600000000004</v>
      </c>
      <c r="F1536" s="57">
        <v>0.91867600000000005</v>
      </c>
      <c r="G1536" s="56" t="s">
        <v>392</v>
      </c>
      <c r="H1536" s="56" t="s">
        <v>4454</v>
      </c>
      <c r="I1536" s="56" t="s">
        <v>1834</v>
      </c>
      <c r="J1536" s="56"/>
      <c r="K1536" s="56"/>
      <c r="L1536" s="56"/>
      <c r="M1536" s="56"/>
      <c r="N1536" s="56" t="s">
        <v>52</v>
      </c>
      <c r="O1536" s="56">
        <v>0</v>
      </c>
      <c r="P1536" s="59" t="s">
        <v>2515</v>
      </c>
      <c r="Q1536" s="56" t="s">
        <v>2516</v>
      </c>
      <c r="U1536" s="52">
        <v>1931860</v>
      </c>
      <c r="V1536">
        <v>70</v>
      </c>
      <c r="W1536">
        <v>0</v>
      </c>
      <c r="X1536">
        <v>3.2</v>
      </c>
      <c r="Y1536">
        <v>0.51300000000000001</v>
      </c>
      <c r="Z1536" t="s">
        <v>2088</v>
      </c>
      <c r="AA1536" t="s">
        <v>1895</v>
      </c>
      <c r="AB1536" t="s">
        <v>2572</v>
      </c>
      <c r="AC1536" t="s">
        <v>914</v>
      </c>
      <c r="AD1536" t="s">
        <v>2171</v>
      </c>
      <c r="AE1536" t="s">
        <v>5312</v>
      </c>
      <c r="AF1536">
        <v>2.7029817331200001</v>
      </c>
    </row>
    <row r="1537" spans="1:32" x14ac:dyDescent="0.25">
      <c r="A1537" s="56">
        <v>3901714</v>
      </c>
      <c r="B1537" s="56" t="s">
        <v>902</v>
      </c>
      <c r="C1537" s="56" t="s">
        <v>5321</v>
      </c>
      <c r="D1537" s="56"/>
      <c r="E1537" s="57">
        <v>1356.4380000000001</v>
      </c>
      <c r="F1537" s="57">
        <v>1.356438</v>
      </c>
      <c r="G1537" s="56" t="s">
        <v>392</v>
      </c>
      <c r="H1537" s="56" t="s">
        <v>4454</v>
      </c>
      <c r="I1537" s="56" t="s">
        <v>1834</v>
      </c>
      <c r="J1537" s="56"/>
      <c r="K1537" s="56"/>
      <c r="L1537" s="56"/>
      <c r="M1537" s="56"/>
      <c r="N1537" s="56" t="s">
        <v>52</v>
      </c>
      <c r="O1537" s="56">
        <v>0</v>
      </c>
      <c r="P1537" s="59" t="s">
        <v>2515</v>
      </c>
      <c r="Q1537" s="56" t="s">
        <v>2516</v>
      </c>
      <c r="U1537" s="52">
        <v>3499608</v>
      </c>
      <c r="V1537">
        <v>70</v>
      </c>
      <c r="W1537">
        <v>0</v>
      </c>
      <c r="X1537">
        <v>3.2</v>
      </c>
      <c r="Y1537">
        <v>6</v>
      </c>
      <c r="Z1537" t="s">
        <v>2088</v>
      </c>
      <c r="AA1537" t="s">
        <v>963</v>
      </c>
      <c r="AB1537" t="s">
        <v>2572</v>
      </c>
      <c r="AC1537" t="s">
        <v>914</v>
      </c>
      <c r="AD1537" t="s">
        <v>1838</v>
      </c>
      <c r="AE1537" t="s">
        <v>2352</v>
      </c>
      <c r="AF1537">
        <v>5.2689702399999998</v>
      </c>
    </row>
    <row r="1538" spans="1:32" x14ac:dyDescent="0.25">
      <c r="A1538" s="56">
        <v>3901714</v>
      </c>
      <c r="B1538" s="56" t="s">
        <v>902</v>
      </c>
      <c r="C1538" s="56" t="s">
        <v>5322</v>
      </c>
      <c r="D1538" s="56"/>
      <c r="E1538" s="57">
        <v>492.46699999999998</v>
      </c>
      <c r="F1538" s="57">
        <v>0.49246699999999999</v>
      </c>
      <c r="G1538" s="56" t="s">
        <v>392</v>
      </c>
      <c r="H1538" s="56" t="s">
        <v>4454</v>
      </c>
      <c r="I1538" s="56" t="s">
        <v>1834</v>
      </c>
      <c r="J1538" s="56"/>
      <c r="K1538" s="56"/>
      <c r="L1538" s="56"/>
      <c r="M1538" s="56"/>
      <c r="N1538" s="56" t="s">
        <v>52</v>
      </c>
      <c r="O1538" s="56">
        <v>4</v>
      </c>
      <c r="P1538" s="59" t="s">
        <v>2515</v>
      </c>
      <c r="Q1538" s="56" t="s">
        <v>2516</v>
      </c>
      <c r="U1538" s="52">
        <v>3536019</v>
      </c>
      <c r="V1538">
        <v>70</v>
      </c>
      <c r="W1538">
        <v>0</v>
      </c>
      <c r="X1538">
        <v>3.2</v>
      </c>
      <c r="Y1538">
        <v>6.06</v>
      </c>
      <c r="Z1538" t="s">
        <v>2088</v>
      </c>
      <c r="AA1538" t="s">
        <v>1003</v>
      </c>
      <c r="AB1538" t="s">
        <v>2572</v>
      </c>
      <c r="AC1538" t="s">
        <v>914</v>
      </c>
      <c r="AD1538" t="s">
        <v>1838</v>
      </c>
      <c r="AE1538" t="s">
        <v>2352</v>
      </c>
      <c r="AF1538">
        <v>5.2689702399999998</v>
      </c>
    </row>
    <row r="1539" spans="1:32" x14ac:dyDescent="0.25">
      <c r="A1539" s="56">
        <v>3682960</v>
      </c>
      <c r="B1539" s="56" t="s">
        <v>5116</v>
      </c>
      <c r="C1539" s="56" t="s">
        <v>5323</v>
      </c>
      <c r="D1539" s="57">
        <v>99</v>
      </c>
      <c r="E1539" s="57">
        <v>1721.3130000000001</v>
      </c>
      <c r="F1539" s="57">
        <v>1.7213130000000001</v>
      </c>
      <c r="G1539" s="56" t="s">
        <v>392</v>
      </c>
      <c r="H1539" s="60" t="s">
        <v>2511</v>
      </c>
      <c r="I1539" s="56" t="s">
        <v>4455</v>
      </c>
      <c r="J1539" s="56"/>
      <c r="K1539" s="56"/>
      <c r="L1539" s="56"/>
      <c r="M1539" s="56"/>
      <c r="N1539" s="60" t="s">
        <v>124</v>
      </c>
      <c r="O1539" s="56">
        <v>6</v>
      </c>
      <c r="P1539" s="59" t="s">
        <v>2515</v>
      </c>
      <c r="Q1539" s="56" t="s">
        <v>124</v>
      </c>
      <c r="U1539" s="590">
        <v>3702863</v>
      </c>
      <c r="V1539">
        <f>VLOOKUP(buckets[[#This Row],[Material Codes]],[6]!zmat[#All],10,0)</f>
        <v>70</v>
      </c>
      <c r="W1539">
        <f>VLOOKUP(buckets[[#This Row],[Material Codes]],[6]!zmat[#All],11,0)</f>
        <v>0</v>
      </c>
      <c r="X1539">
        <f>VLOOKUP(buckets[[#This Row],[Material Codes]],[6]!zmat[#All],12,0)</f>
        <v>3.2</v>
      </c>
      <c r="Y1539">
        <f>VLOOKUP(buckets[[#This Row],[Material Codes]],[6]!zmat[#All],13,0)</f>
        <v>6.4550000000000001</v>
      </c>
      <c r="Z1539" t="str">
        <f>VLOOKUP(buckets[[#This Row],[Material Codes]],[6]!zmat[#All],9,0)</f>
        <v>SAE1020</v>
      </c>
      <c r="AA1539" t="str">
        <f>VLOOKUP(buckets[[#This Row],[Material Codes]],[6]!zmat[#All],22,0)</f>
        <v>FC</v>
      </c>
      <c r="AB1539" t="str">
        <f>VLOOKUP(buckets[[#This Row],[Material Codes]],[6]!zmat[#All],23,0)</f>
        <v>AN</v>
      </c>
      <c r="AC1539" t="s">
        <v>914</v>
      </c>
      <c r="AD1539" t="s">
        <v>1838</v>
      </c>
      <c r="AE1539" t="s">
        <v>2352</v>
      </c>
      <c r="AF1539">
        <f>((buckets[[#This Row],[OD]]-buckets[[#This Row],[Thickness]])*buckets[[#This Row],[Thickness]]*0.024649*IF(AD1539="LL",1,buckets[[#This Row],[Length]]))</f>
        <v>5.2689702399999998</v>
      </c>
    </row>
    <row r="1540" spans="1:32" x14ac:dyDescent="0.25">
      <c r="A1540" s="56">
        <v>3682960</v>
      </c>
      <c r="B1540" s="56" t="s">
        <v>5116</v>
      </c>
      <c r="C1540" s="56" t="s">
        <v>5324</v>
      </c>
      <c r="D1540" s="57">
        <v>15</v>
      </c>
      <c r="E1540" s="57">
        <v>260.80500000000001</v>
      </c>
      <c r="F1540" s="57">
        <v>0.26080500000000001</v>
      </c>
      <c r="G1540" s="56" t="s">
        <v>392</v>
      </c>
      <c r="H1540" s="60" t="s">
        <v>2511</v>
      </c>
      <c r="I1540" s="56" t="s">
        <v>4455</v>
      </c>
      <c r="J1540" s="56"/>
      <c r="K1540" s="56"/>
      <c r="L1540" s="56"/>
      <c r="M1540" s="56"/>
      <c r="N1540" s="60" t="s">
        <v>124</v>
      </c>
      <c r="O1540" s="56">
        <v>6</v>
      </c>
      <c r="P1540" s="59" t="s">
        <v>2515</v>
      </c>
      <c r="Q1540" s="56" t="s">
        <v>124</v>
      </c>
      <c r="U1540" s="52"/>
    </row>
    <row r="1541" spans="1:32" x14ac:dyDescent="0.25">
      <c r="A1541" s="56">
        <v>3682960</v>
      </c>
      <c r="B1541" s="56" t="s">
        <v>5116</v>
      </c>
      <c r="C1541" s="56" t="s">
        <v>5325</v>
      </c>
      <c r="D1541" s="57">
        <v>99</v>
      </c>
      <c r="E1541" s="57">
        <v>1721.3130000000001</v>
      </c>
      <c r="F1541" s="57">
        <v>1.7213130000000001</v>
      </c>
      <c r="G1541" s="56" t="s">
        <v>392</v>
      </c>
      <c r="H1541" s="60" t="s">
        <v>2511</v>
      </c>
      <c r="I1541" s="56" t="s">
        <v>4455</v>
      </c>
      <c r="J1541" s="56"/>
      <c r="K1541" s="56"/>
      <c r="L1541" s="56"/>
      <c r="M1541" s="56"/>
      <c r="N1541" s="60" t="s">
        <v>124</v>
      </c>
      <c r="O1541" s="56">
        <v>6</v>
      </c>
      <c r="P1541" s="59" t="s">
        <v>2515</v>
      </c>
      <c r="Q1541" s="56" t="s">
        <v>124</v>
      </c>
      <c r="U1541" s="52"/>
    </row>
    <row r="1542" spans="1:32" x14ac:dyDescent="0.25">
      <c r="A1542" s="56">
        <v>3498972</v>
      </c>
      <c r="B1542" s="56" t="s">
        <v>4795</v>
      </c>
      <c r="C1542" s="56" t="s">
        <v>5326</v>
      </c>
      <c r="D1542" s="57">
        <v>223</v>
      </c>
      <c r="E1542" s="57">
        <v>805.34199999999998</v>
      </c>
      <c r="F1542" s="57">
        <v>0.805342</v>
      </c>
      <c r="G1542" s="56" t="s">
        <v>392</v>
      </c>
      <c r="H1542" s="60" t="s">
        <v>2511</v>
      </c>
      <c r="I1542" s="56" t="s">
        <v>4455</v>
      </c>
      <c r="J1542" s="56"/>
      <c r="K1542" s="56"/>
      <c r="L1542" s="56"/>
      <c r="M1542" s="56"/>
      <c r="N1542" s="60" t="s">
        <v>124</v>
      </c>
      <c r="O1542" s="56">
        <v>6</v>
      </c>
      <c r="P1542" s="59" t="s">
        <v>2515</v>
      </c>
      <c r="Q1542" s="56" t="s">
        <v>124</v>
      </c>
      <c r="U1542" s="52"/>
    </row>
    <row r="1543" spans="1:32" x14ac:dyDescent="0.25">
      <c r="A1543" s="56">
        <v>3500308</v>
      </c>
      <c r="B1543" s="56" t="s">
        <v>4940</v>
      </c>
      <c r="C1543" s="56" t="s">
        <v>5327</v>
      </c>
      <c r="D1543" s="57">
        <v>121</v>
      </c>
      <c r="E1543" s="57">
        <v>920.65300000000002</v>
      </c>
      <c r="F1543" s="57">
        <v>0.92065300000000005</v>
      </c>
      <c r="G1543" s="56" t="s">
        <v>392</v>
      </c>
      <c r="H1543" s="60" t="s">
        <v>2511</v>
      </c>
      <c r="I1543" s="56" t="s">
        <v>4455</v>
      </c>
      <c r="J1543" s="56"/>
      <c r="K1543" s="56"/>
      <c r="L1543" s="56"/>
      <c r="M1543" s="56"/>
      <c r="N1543" s="60" t="s">
        <v>124</v>
      </c>
      <c r="O1543" s="56">
        <v>6</v>
      </c>
      <c r="P1543" s="59" t="s">
        <v>2515</v>
      </c>
      <c r="Q1543" s="56" t="s">
        <v>124</v>
      </c>
      <c r="U1543" s="52"/>
    </row>
    <row r="1544" spans="1:32" x14ac:dyDescent="0.25">
      <c r="A1544" s="56">
        <v>3500308</v>
      </c>
      <c r="B1544" s="56" t="s">
        <v>4940</v>
      </c>
      <c r="C1544" s="56" t="s">
        <v>5328</v>
      </c>
      <c r="D1544" s="57">
        <v>217</v>
      </c>
      <c r="E1544" s="57">
        <v>1651.088</v>
      </c>
      <c r="F1544" s="57">
        <v>1.6510879999999999</v>
      </c>
      <c r="G1544" s="56" t="s">
        <v>392</v>
      </c>
      <c r="H1544" s="60" t="s">
        <v>2511</v>
      </c>
      <c r="I1544" s="56" t="s">
        <v>4455</v>
      </c>
      <c r="J1544" s="56"/>
      <c r="K1544" s="56"/>
      <c r="L1544" s="56"/>
      <c r="M1544" s="56"/>
      <c r="N1544" s="60" t="s">
        <v>124</v>
      </c>
      <c r="O1544" s="56">
        <v>6</v>
      </c>
      <c r="P1544" s="59" t="s">
        <v>2515</v>
      </c>
      <c r="Q1544" s="56" t="s">
        <v>124</v>
      </c>
      <c r="U1544" s="52"/>
    </row>
    <row r="1545" spans="1:32" x14ac:dyDescent="0.25">
      <c r="A1545" s="56">
        <v>3498972</v>
      </c>
      <c r="B1545" s="56" t="s">
        <v>4795</v>
      </c>
      <c r="C1545" s="56" t="s">
        <v>5329</v>
      </c>
      <c r="D1545" s="57">
        <v>420</v>
      </c>
      <c r="E1545" s="57">
        <v>1516.788</v>
      </c>
      <c r="F1545" s="57">
        <v>1.516788</v>
      </c>
      <c r="G1545" s="56" t="s">
        <v>392</v>
      </c>
      <c r="H1545" s="60" t="s">
        <v>2511</v>
      </c>
      <c r="I1545" s="56" t="s">
        <v>4455</v>
      </c>
      <c r="J1545" s="56"/>
      <c r="K1545" s="56"/>
      <c r="L1545" s="56"/>
      <c r="M1545" s="56"/>
      <c r="N1545" s="60" t="s">
        <v>124</v>
      </c>
      <c r="O1545" s="56">
        <v>6</v>
      </c>
      <c r="P1545" s="59" t="s">
        <v>2515</v>
      </c>
      <c r="Q1545" s="56" t="s">
        <v>124</v>
      </c>
      <c r="U1545" s="52"/>
    </row>
    <row r="1546" spans="1:32" x14ac:dyDescent="0.25">
      <c r="A1546" s="56">
        <v>3499903</v>
      </c>
      <c r="B1546" s="56" t="s">
        <v>2475</v>
      </c>
      <c r="C1546" s="56" t="s">
        <v>5330</v>
      </c>
      <c r="D1546" s="57">
        <v>156</v>
      </c>
      <c r="E1546" s="57">
        <v>2172.6120000000001</v>
      </c>
      <c r="F1546" s="57">
        <v>2.172612</v>
      </c>
      <c r="G1546" s="56" t="s">
        <v>392</v>
      </c>
      <c r="H1546" s="60" t="s">
        <v>2511</v>
      </c>
      <c r="I1546" s="56" t="s">
        <v>4455</v>
      </c>
      <c r="J1546" s="56"/>
      <c r="K1546" s="56"/>
      <c r="L1546" s="56"/>
      <c r="M1546" s="56"/>
      <c r="N1546" s="60" t="s">
        <v>124</v>
      </c>
      <c r="O1546" s="56">
        <v>6</v>
      </c>
      <c r="P1546" s="59" t="s">
        <v>2515</v>
      </c>
      <c r="Q1546" s="56" t="s">
        <v>124</v>
      </c>
      <c r="U1546" s="52"/>
    </row>
    <row r="1547" spans="1:32" x14ac:dyDescent="0.25">
      <c r="A1547" s="56">
        <v>3682122</v>
      </c>
      <c r="B1547" s="56" t="s">
        <v>5077</v>
      </c>
      <c r="C1547" s="56" t="s">
        <v>5331</v>
      </c>
      <c r="D1547" s="57">
        <v>64</v>
      </c>
      <c r="E1547" s="57">
        <v>335.85899999999998</v>
      </c>
      <c r="F1547" s="57">
        <v>0.33585899999999996</v>
      </c>
      <c r="G1547" s="56" t="s">
        <v>392</v>
      </c>
      <c r="H1547" s="60" t="s">
        <v>2511</v>
      </c>
      <c r="I1547" s="56" t="s">
        <v>4455</v>
      </c>
      <c r="J1547" s="56"/>
      <c r="K1547" s="56"/>
      <c r="L1547" s="56"/>
      <c r="M1547" s="56"/>
      <c r="N1547" s="60" t="s">
        <v>124</v>
      </c>
      <c r="O1547" s="56">
        <v>6</v>
      </c>
      <c r="P1547" s="59" t="s">
        <v>2515</v>
      </c>
      <c r="Q1547" s="56" t="s">
        <v>124</v>
      </c>
      <c r="U1547" s="52"/>
    </row>
    <row r="1548" spans="1:32" x14ac:dyDescent="0.25">
      <c r="A1548" s="56">
        <v>3682122</v>
      </c>
      <c r="B1548" s="56" t="s">
        <v>5077</v>
      </c>
      <c r="C1548" s="56" t="s">
        <v>5332</v>
      </c>
      <c r="D1548" s="57">
        <v>217</v>
      </c>
      <c r="E1548" s="57">
        <v>1138.7729999999999</v>
      </c>
      <c r="F1548" s="57">
        <v>1.1387729999999998</v>
      </c>
      <c r="G1548" s="56" t="s">
        <v>392</v>
      </c>
      <c r="H1548" s="60" t="s">
        <v>2511</v>
      </c>
      <c r="I1548" s="56" t="s">
        <v>4455</v>
      </c>
      <c r="J1548" s="56"/>
      <c r="K1548" s="56"/>
      <c r="L1548" s="56"/>
      <c r="M1548" s="56"/>
      <c r="N1548" s="60" t="s">
        <v>124</v>
      </c>
      <c r="O1548" s="56">
        <v>6</v>
      </c>
      <c r="P1548" s="59" t="s">
        <v>2515</v>
      </c>
      <c r="Q1548" s="56" t="s">
        <v>124</v>
      </c>
      <c r="U1548" s="52"/>
    </row>
    <row r="1549" spans="1:32" x14ac:dyDescent="0.25">
      <c r="A1549" s="56">
        <v>3682122</v>
      </c>
      <c r="B1549" s="56" t="s">
        <v>5077</v>
      </c>
      <c r="C1549" s="56" t="s">
        <v>5333</v>
      </c>
      <c r="D1549" s="57">
        <v>120</v>
      </c>
      <c r="E1549" s="57">
        <v>629.73599999999999</v>
      </c>
      <c r="F1549" s="57">
        <v>0.62973599999999996</v>
      </c>
      <c r="G1549" s="56" t="s">
        <v>392</v>
      </c>
      <c r="H1549" s="60" t="s">
        <v>2511</v>
      </c>
      <c r="I1549" s="56" t="s">
        <v>4455</v>
      </c>
      <c r="J1549" s="56"/>
      <c r="K1549" s="56"/>
      <c r="L1549" s="56"/>
      <c r="M1549" s="56"/>
      <c r="N1549" s="60" t="s">
        <v>124</v>
      </c>
      <c r="O1549" s="56">
        <v>6</v>
      </c>
      <c r="P1549" s="59" t="s">
        <v>2515</v>
      </c>
      <c r="Q1549" s="56" t="s">
        <v>124</v>
      </c>
      <c r="U1549" s="52"/>
    </row>
    <row r="1550" spans="1:32" x14ac:dyDescent="0.25">
      <c r="A1550" s="56">
        <v>3682122</v>
      </c>
      <c r="B1550" s="56" t="s">
        <v>5077</v>
      </c>
      <c r="C1550" s="56" t="s">
        <v>5334</v>
      </c>
      <c r="D1550" s="57">
        <v>217</v>
      </c>
      <c r="E1550" s="57">
        <v>1138.7729999999999</v>
      </c>
      <c r="F1550" s="57">
        <v>1.1387729999999998</v>
      </c>
      <c r="G1550" s="56" t="s">
        <v>392</v>
      </c>
      <c r="H1550" s="60" t="s">
        <v>2511</v>
      </c>
      <c r="I1550" s="56" t="s">
        <v>4455</v>
      </c>
      <c r="J1550" s="56"/>
      <c r="K1550" s="56"/>
      <c r="L1550" s="56"/>
      <c r="M1550" s="56"/>
      <c r="N1550" s="60" t="s">
        <v>124</v>
      </c>
      <c r="O1550" s="56">
        <v>6</v>
      </c>
      <c r="P1550" s="59" t="s">
        <v>2515</v>
      </c>
      <c r="Q1550" s="56" t="s">
        <v>124</v>
      </c>
      <c r="U1550" s="52"/>
    </row>
    <row r="1551" spans="1:32" x14ac:dyDescent="0.25">
      <c r="A1551" s="56">
        <v>3682122</v>
      </c>
      <c r="B1551" s="56" t="s">
        <v>5077</v>
      </c>
      <c r="C1551" s="56" t="s">
        <v>5335</v>
      </c>
      <c r="D1551" s="57">
        <v>217</v>
      </c>
      <c r="E1551" s="57">
        <v>1138.7729999999999</v>
      </c>
      <c r="F1551" s="57">
        <v>1.1387729999999998</v>
      </c>
      <c r="G1551" s="56" t="s">
        <v>392</v>
      </c>
      <c r="H1551" s="60" t="s">
        <v>2511</v>
      </c>
      <c r="I1551" s="56" t="s">
        <v>4455</v>
      </c>
      <c r="J1551" s="56"/>
      <c r="K1551" s="56"/>
      <c r="L1551" s="56"/>
      <c r="M1551" s="56"/>
      <c r="N1551" s="60" t="s">
        <v>124</v>
      </c>
      <c r="O1551" s="56">
        <v>6</v>
      </c>
      <c r="P1551" s="59" t="s">
        <v>2515</v>
      </c>
      <c r="Q1551" s="56" t="s">
        <v>124</v>
      </c>
      <c r="U1551" s="52"/>
    </row>
    <row r="1552" spans="1:32" x14ac:dyDescent="0.25">
      <c r="A1552" s="56">
        <v>3682122</v>
      </c>
      <c r="B1552" s="56" t="s">
        <v>5077</v>
      </c>
      <c r="C1552" s="56" t="s">
        <v>5336</v>
      </c>
      <c r="D1552" s="57">
        <v>217</v>
      </c>
      <c r="E1552" s="57">
        <v>1138.7729999999999</v>
      </c>
      <c r="F1552" s="57">
        <v>1.1387729999999998</v>
      </c>
      <c r="G1552" s="56" t="s">
        <v>392</v>
      </c>
      <c r="H1552" s="60" t="s">
        <v>2511</v>
      </c>
      <c r="I1552" s="56" t="s">
        <v>4455</v>
      </c>
      <c r="J1552" s="56"/>
      <c r="K1552" s="56"/>
      <c r="L1552" s="56"/>
      <c r="M1552" s="56"/>
      <c r="N1552" s="60" t="s">
        <v>124</v>
      </c>
      <c r="O1552" s="56">
        <v>6</v>
      </c>
      <c r="P1552" s="59" t="s">
        <v>2515</v>
      </c>
      <c r="Q1552" s="56" t="s">
        <v>124</v>
      </c>
      <c r="U1552" s="52"/>
    </row>
    <row r="1553" spans="1:21" x14ac:dyDescent="0.25">
      <c r="A1553" s="56">
        <v>3682122</v>
      </c>
      <c r="B1553" s="56" t="s">
        <v>5077</v>
      </c>
      <c r="C1553" s="56" t="s">
        <v>5337</v>
      </c>
      <c r="D1553" s="57">
        <v>217</v>
      </c>
      <c r="E1553" s="57">
        <v>1138.7729999999999</v>
      </c>
      <c r="F1553" s="57">
        <v>1.1387729999999998</v>
      </c>
      <c r="G1553" s="56" t="s">
        <v>392</v>
      </c>
      <c r="H1553" s="60" t="s">
        <v>2511</v>
      </c>
      <c r="I1553" s="56" t="s">
        <v>4455</v>
      </c>
      <c r="J1553" s="56"/>
      <c r="K1553" s="56"/>
      <c r="L1553" s="56"/>
      <c r="M1553" s="56"/>
      <c r="N1553" s="60" t="s">
        <v>124</v>
      </c>
      <c r="O1553" s="56">
        <v>6</v>
      </c>
      <c r="P1553" s="59" t="s">
        <v>2515</v>
      </c>
      <c r="Q1553" s="56" t="s">
        <v>124</v>
      </c>
      <c r="U1553" s="52"/>
    </row>
    <row r="1554" spans="1:21" x14ac:dyDescent="0.25">
      <c r="A1554" s="56">
        <v>3682122</v>
      </c>
      <c r="B1554" s="56" t="s">
        <v>5077</v>
      </c>
      <c r="C1554" s="56" t="s">
        <v>5338</v>
      </c>
      <c r="D1554" s="57">
        <v>217</v>
      </c>
      <c r="E1554" s="57">
        <v>1138.7729999999999</v>
      </c>
      <c r="F1554" s="57">
        <v>1.1387729999999998</v>
      </c>
      <c r="G1554" s="56" t="s">
        <v>392</v>
      </c>
      <c r="H1554" s="60" t="s">
        <v>2511</v>
      </c>
      <c r="I1554" s="56" t="s">
        <v>4455</v>
      </c>
      <c r="J1554" s="56"/>
      <c r="K1554" s="56"/>
      <c r="L1554" s="56"/>
      <c r="M1554" s="56"/>
      <c r="N1554" s="60" t="s">
        <v>124</v>
      </c>
      <c r="O1554" s="56">
        <v>6</v>
      </c>
      <c r="P1554" s="59" t="s">
        <v>2515</v>
      </c>
      <c r="Q1554" s="56" t="s">
        <v>124</v>
      </c>
      <c r="U1554" s="52"/>
    </row>
    <row r="1555" spans="1:21" x14ac:dyDescent="0.25">
      <c r="A1555" s="56">
        <v>3682122</v>
      </c>
      <c r="B1555" s="56" t="s">
        <v>5077</v>
      </c>
      <c r="C1555" s="56" t="s">
        <v>5339</v>
      </c>
      <c r="D1555" s="57">
        <v>216</v>
      </c>
      <c r="E1555" s="57">
        <v>1133.5250000000001</v>
      </c>
      <c r="F1555" s="57">
        <v>1.1335250000000001</v>
      </c>
      <c r="G1555" s="56" t="s">
        <v>392</v>
      </c>
      <c r="H1555" s="60" t="s">
        <v>2511</v>
      </c>
      <c r="I1555" s="56" t="s">
        <v>4455</v>
      </c>
      <c r="J1555" s="56"/>
      <c r="K1555" s="56"/>
      <c r="L1555" s="56"/>
      <c r="M1555" s="56"/>
      <c r="N1555" s="60" t="s">
        <v>124</v>
      </c>
      <c r="O1555" s="56">
        <v>6</v>
      </c>
      <c r="P1555" s="59" t="s">
        <v>2515</v>
      </c>
      <c r="Q1555" s="56" t="s">
        <v>124</v>
      </c>
      <c r="U1555" s="52"/>
    </row>
    <row r="1556" spans="1:21" x14ac:dyDescent="0.25">
      <c r="A1556" s="56">
        <v>3682122</v>
      </c>
      <c r="B1556" s="56" t="s">
        <v>5077</v>
      </c>
      <c r="C1556" s="56" t="s">
        <v>5340</v>
      </c>
      <c r="D1556" s="57">
        <v>216</v>
      </c>
      <c r="E1556" s="57">
        <v>1133.5250000000001</v>
      </c>
      <c r="F1556" s="57">
        <v>1.1335250000000001</v>
      </c>
      <c r="G1556" s="56" t="s">
        <v>392</v>
      </c>
      <c r="H1556" s="60" t="s">
        <v>2511</v>
      </c>
      <c r="I1556" s="56" t="s">
        <v>4455</v>
      </c>
      <c r="J1556" s="56"/>
      <c r="K1556" s="56"/>
      <c r="L1556" s="56"/>
      <c r="M1556" s="56"/>
      <c r="N1556" s="60" t="s">
        <v>124</v>
      </c>
      <c r="O1556" s="56">
        <v>6</v>
      </c>
      <c r="P1556" s="59" t="s">
        <v>2515</v>
      </c>
      <c r="Q1556" s="56" t="s">
        <v>124</v>
      </c>
      <c r="U1556" s="52"/>
    </row>
    <row r="1557" spans="1:21" x14ac:dyDescent="0.25">
      <c r="A1557" s="56">
        <v>3682122</v>
      </c>
      <c r="B1557" s="56" t="s">
        <v>5077</v>
      </c>
      <c r="C1557" s="56" t="s">
        <v>5341</v>
      </c>
      <c r="D1557" s="57">
        <v>216</v>
      </c>
      <c r="E1557" s="57">
        <v>1133.5250000000001</v>
      </c>
      <c r="F1557" s="57">
        <v>1.1335250000000001</v>
      </c>
      <c r="G1557" s="56" t="s">
        <v>392</v>
      </c>
      <c r="H1557" s="60" t="s">
        <v>2511</v>
      </c>
      <c r="I1557" s="56" t="s">
        <v>4455</v>
      </c>
      <c r="J1557" s="56"/>
      <c r="K1557" s="56"/>
      <c r="L1557" s="56"/>
      <c r="M1557" s="56"/>
      <c r="N1557" s="60" t="s">
        <v>124</v>
      </c>
      <c r="O1557" s="56">
        <v>6</v>
      </c>
      <c r="P1557" s="59" t="s">
        <v>2515</v>
      </c>
      <c r="Q1557" s="56" t="s">
        <v>124</v>
      </c>
      <c r="U1557" s="52"/>
    </row>
    <row r="1558" spans="1:21" x14ac:dyDescent="0.25">
      <c r="A1558" s="56">
        <v>3682122</v>
      </c>
      <c r="B1558" s="56" t="s">
        <v>5077</v>
      </c>
      <c r="C1558" s="56" t="s">
        <v>5342</v>
      </c>
      <c r="D1558" s="57">
        <v>216</v>
      </c>
      <c r="E1558" s="57">
        <v>1133.5250000000001</v>
      </c>
      <c r="F1558" s="57">
        <v>1.1335250000000001</v>
      </c>
      <c r="G1558" s="56" t="s">
        <v>392</v>
      </c>
      <c r="H1558" s="60" t="s">
        <v>2511</v>
      </c>
      <c r="I1558" s="56" t="s">
        <v>4455</v>
      </c>
      <c r="J1558" s="56"/>
      <c r="K1558" s="56"/>
      <c r="L1558" s="56"/>
      <c r="M1558" s="56"/>
      <c r="N1558" s="60" t="s">
        <v>124</v>
      </c>
      <c r="O1558" s="56">
        <v>6</v>
      </c>
      <c r="P1558" s="59" t="s">
        <v>2515</v>
      </c>
      <c r="Q1558" s="56" t="s">
        <v>124</v>
      </c>
      <c r="U1558" s="52"/>
    </row>
    <row r="1559" spans="1:21" x14ac:dyDescent="0.25">
      <c r="A1559" s="56">
        <v>3682122</v>
      </c>
      <c r="B1559" s="56" t="s">
        <v>5077</v>
      </c>
      <c r="C1559" s="56" t="s">
        <v>5343</v>
      </c>
      <c r="D1559" s="57">
        <v>183</v>
      </c>
      <c r="E1559" s="57">
        <v>960.34900000000005</v>
      </c>
      <c r="F1559" s="57">
        <v>0.96034900000000001</v>
      </c>
      <c r="G1559" s="56" t="s">
        <v>392</v>
      </c>
      <c r="H1559" s="60" t="s">
        <v>2511</v>
      </c>
      <c r="I1559" s="56" t="s">
        <v>4455</v>
      </c>
      <c r="J1559" s="56"/>
      <c r="K1559" s="56"/>
      <c r="L1559" s="56"/>
      <c r="M1559" s="56"/>
      <c r="N1559" s="60" t="s">
        <v>124</v>
      </c>
      <c r="O1559" s="56">
        <v>6</v>
      </c>
      <c r="P1559" s="59" t="s">
        <v>2515</v>
      </c>
      <c r="Q1559" s="56" t="s">
        <v>124</v>
      </c>
    </row>
    <row r="1560" spans="1:21" x14ac:dyDescent="0.25">
      <c r="A1560" s="56">
        <v>3682124</v>
      </c>
      <c r="B1560" s="56" t="s">
        <v>5100</v>
      </c>
      <c r="C1560" s="56" t="s">
        <v>5344</v>
      </c>
      <c r="D1560" s="57">
        <v>420</v>
      </c>
      <c r="E1560" s="57">
        <v>2125.578</v>
      </c>
      <c r="F1560" s="57">
        <v>2.125578</v>
      </c>
      <c r="G1560" s="56" t="s">
        <v>392</v>
      </c>
      <c r="H1560" s="60" t="s">
        <v>2511</v>
      </c>
      <c r="I1560" s="56" t="s">
        <v>4455</v>
      </c>
      <c r="J1560" s="56"/>
      <c r="K1560" s="56"/>
      <c r="L1560" s="56"/>
      <c r="M1560" s="56"/>
      <c r="N1560" s="60" t="s">
        <v>124</v>
      </c>
      <c r="O1560" s="56">
        <v>6</v>
      </c>
      <c r="P1560" s="59" t="s">
        <v>2515</v>
      </c>
      <c r="Q1560" s="56" t="s">
        <v>124</v>
      </c>
    </row>
    <row r="1561" spans="1:21" x14ac:dyDescent="0.25">
      <c r="A1561" s="56">
        <v>3514379</v>
      </c>
      <c r="B1561" s="56" t="s">
        <v>2400</v>
      </c>
      <c r="C1561" s="56" t="s">
        <v>5345</v>
      </c>
      <c r="D1561" s="57">
        <v>125</v>
      </c>
      <c r="E1561" s="57">
        <v>1836.75</v>
      </c>
      <c r="F1561" s="57">
        <v>1.8367500000000001</v>
      </c>
      <c r="G1561" s="56" t="s">
        <v>392</v>
      </c>
      <c r="H1561" s="60" t="s">
        <v>2511</v>
      </c>
      <c r="I1561" s="56" t="s">
        <v>1835</v>
      </c>
      <c r="J1561" s="56"/>
      <c r="K1561" s="56"/>
      <c r="L1561" s="56"/>
      <c r="M1561" s="56"/>
      <c r="N1561" s="60" t="s">
        <v>124</v>
      </c>
      <c r="O1561" s="56">
        <v>5</v>
      </c>
      <c r="P1561" s="59" t="s">
        <v>2515</v>
      </c>
      <c r="Q1561" s="56" t="s">
        <v>124</v>
      </c>
    </row>
    <row r="1562" spans="1:21" x14ac:dyDescent="0.25">
      <c r="A1562" s="56">
        <v>3514379</v>
      </c>
      <c r="B1562" s="56" t="s">
        <v>2400</v>
      </c>
      <c r="C1562" s="56" t="s">
        <v>5346</v>
      </c>
      <c r="D1562" s="57">
        <v>127</v>
      </c>
      <c r="E1562" s="57">
        <v>1866.1379999999999</v>
      </c>
      <c r="F1562" s="57">
        <v>1.8661379999999999</v>
      </c>
      <c r="G1562" s="56" t="s">
        <v>392</v>
      </c>
      <c r="H1562" s="60" t="s">
        <v>2511</v>
      </c>
      <c r="I1562" s="56" t="s">
        <v>1835</v>
      </c>
      <c r="J1562" s="56"/>
      <c r="K1562" s="56"/>
      <c r="L1562" s="56"/>
      <c r="M1562" s="56"/>
      <c r="N1562" s="60" t="s">
        <v>124</v>
      </c>
      <c r="O1562" s="56">
        <v>5</v>
      </c>
      <c r="P1562" s="59" t="s">
        <v>2515</v>
      </c>
      <c r="Q1562" s="56" t="s">
        <v>124</v>
      </c>
    </row>
    <row r="1563" spans="1:21" x14ac:dyDescent="0.25">
      <c r="A1563" s="56">
        <v>3682124</v>
      </c>
      <c r="B1563" s="56" t="s">
        <v>5100</v>
      </c>
      <c r="C1563" s="56" t="s">
        <v>5347</v>
      </c>
      <c r="D1563" s="57">
        <v>420</v>
      </c>
      <c r="E1563" s="57">
        <v>2125.578</v>
      </c>
      <c r="F1563" s="57">
        <v>2.125578</v>
      </c>
      <c r="G1563" s="56" t="s">
        <v>392</v>
      </c>
      <c r="H1563" s="60" t="s">
        <v>2511</v>
      </c>
      <c r="I1563" s="56" t="s">
        <v>4455</v>
      </c>
      <c r="J1563" s="56"/>
      <c r="K1563" s="56"/>
      <c r="L1563" s="56"/>
      <c r="M1563" s="56"/>
      <c r="N1563" s="60" t="s">
        <v>124</v>
      </c>
      <c r="O1563" s="56">
        <v>5</v>
      </c>
      <c r="P1563" s="59" t="s">
        <v>2515</v>
      </c>
      <c r="Q1563" s="56" t="s">
        <v>124</v>
      </c>
    </row>
    <row r="1564" spans="1:21" x14ac:dyDescent="0.25">
      <c r="A1564" s="56">
        <v>3682124</v>
      </c>
      <c r="B1564" s="56" t="s">
        <v>5100</v>
      </c>
      <c r="C1564" s="56" t="s">
        <v>5348</v>
      </c>
      <c r="D1564" s="57">
        <v>420</v>
      </c>
      <c r="E1564" s="57">
        <v>2125.578</v>
      </c>
      <c r="F1564" s="57">
        <v>2.125578</v>
      </c>
      <c r="G1564" s="56" t="s">
        <v>392</v>
      </c>
      <c r="H1564" s="60" t="s">
        <v>2511</v>
      </c>
      <c r="I1564" s="56" t="s">
        <v>4455</v>
      </c>
      <c r="J1564" s="56"/>
      <c r="K1564" s="56"/>
      <c r="L1564" s="56"/>
      <c r="M1564" s="56"/>
      <c r="N1564" s="60" t="s">
        <v>124</v>
      </c>
      <c r="O1564" s="56">
        <v>5</v>
      </c>
      <c r="P1564" s="59" t="s">
        <v>2515</v>
      </c>
      <c r="Q1564" s="56" t="s">
        <v>124</v>
      </c>
    </row>
    <row r="1565" spans="1:21" x14ac:dyDescent="0.25">
      <c r="A1565" s="56">
        <v>3682124</v>
      </c>
      <c r="B1565" s="56" t="s">
        <v>5100</v>
      </c>
      <c r="C1565" s="56" t="s">
        <v>5349</v>
      </c>
      <c r="D1565" s="57">
        <v>420</v>
      </c>
      <c r="E1565" s="57">
        <v>2125.578</v>
      </c>
      <c r="F1565" s="57">
        <v>2.125578</v>
      </c>
      <c r="G1565" s="56" t="s">
        <v>392</v>
      </c>
      <c r="H1565" s="60" t="s">
        <v>2511</v>
      </c>
      <c r="I1565" s="56" t="s">
        <v>4455</v>
      </c>
      <c r="J1565" s="56"/>
      <c r="K1565" s="56"/>
      <c r="L1565" s="56"/>
      <c r="M1565" s="56"/>
      <c r="N1565" s="60" t="s">
        <v>124</v>
      </c>
      <c r="O1565" s="56">
        <v>5</v>
      </c>
      <c r="P1565" s="59" t="s">
        <v>2515</v>
      </c>
      <c r="Q1565" s="56" t="s">
        <v>124</v>
      </c>
    </row>
    <row r="1566" spans="1:21" x14ac:dyDescent="0.25">
      <c r="A1566" s="56">
        <v>3682124</v>
      </c>
      <c r="B1566" s="56" t="s">
        <v>5100</v>
      </c>
      <c r="C1566" s="56" t="s">
        <v>5350</v>
      </c>
      <c r="D1566" s="57">
        <v>420</v>
      </c>
      <c r="E1566" s="57">
        <v>2125.578</v>
      </c>
      <c r="F1566" s="57">
        <v>2.125578</v>
      </c>
      <c r="G1566" s="56" t="s">
        <v>392</v>
      </c>
      <c r="H1566" s="60" t="s">
        <v>2511</v>
      </c>
      <c r="I1566" s="56" t="s">
        <v>4455</v>
      </c>
      <c r="J1566" s="56"/>
      <c r="K1566" s="56"/>
      <c r="L1566" s="56"/>
      <c r="M1566" s="56"/>
      <c r="N1566" s="60" t="s">
        <v>124</v>
      </c>
      <c r="O1566" s="56">
        <v>5</v>
      </c>
      <c r="P1566" s="59" t="s">
        <v>2515</v>
      </c>
      <c r="Q1566" s="56" t="s">
        <v>124</v>
      </c>
    </row>
    <row r="1567" spans="1:21" x14ac:dyDescent="0.25">
      <c r="A1567" s="56">
        <v>3682124</v>
      </c>
      <c r="B1567" s="56" t="s">
        <v>5100</v>
      </c>
      <c r="C1567" s="56" t="s">
        <v>5351</v>
      </c>
      <c r="D1567" s="57">
        <v>419</v>
      </c>
      <c r="E1567" s="57">
        <v>2120.5169999999998</v>
      </c>
      <c r="F1567" s="57">
        <v>2.120517</v>
      </c>
      <c r="G1567" s="56" t="s">
        <v>392</v>
      </c>
      <c r="H1567" s="60" t="s">
        <v>2511</v>
      </c>
      <c r="I1567" s="56" t="s">
        <v>4455</v>
      </c>
      <c r="J1567" s="56"/>
      <c r="K1567" s="56"/>
      <c r="L1567" s="56"/>
      <c r="M1567" s="56"/>
      <c r="N1567" s="60" t="s">
        <v>124</v>
      </c>
      <c r="O1567" s="56">
        <v>5</v>
      </c>
      <c r="P1567" s="59" t="s">
        <v>2515</v>
      </c>
      <c r="Q1567" s="56" t="s">
        <v>124</v>
      </c>
    </row>
    <row r="1568" spans="1:21" x14ac:dyDescent="0.25">
      <c r="A1568" s="56">
        <v>3502487</v>
      </c>
      <c r="B1568" s="56" t="s">
        <v>5352</v>
      </c>
      <c r="C1568" s="56" t="s">
        <v>5353</v>
      </c>
      <c r="D1568" s="57">
        <v>93</v>
      </c>
      <c r="E1568" s="57">
        <v>2348.5279999999998</v>
      </c>
      <c r="F1568" s="57">
        <v>2.3485279999999999</v>
      </c>
      <c r="G1568" s="56" t="s">
        <v>392</v>
      </c>
      <c r="H1568" s="60" t="s">
        <v>2511</v>
      </c>
      <c r="I1568" s="56" t="s">
        <v>4455</v>
      </c>
      <c r="J1568" s="56"/>
      <c r="K1568" s="56"/>
      <c r="L1568" s="56"/>
      <c r="M1568" s="56"/>
      <c r="N1568" s="60" t="s">
        <v>124</v>
      </c>
      <c r="O1568" s="56">
        <v>5</v>
      </c>
      <c r="P1568" s="59" t="s">
        <v>2515</v>
      </c>
      <c r="Q1568" s="56" t="s">
        <v>124</v>
      </c>
    </row>
    <row r="1569" spans="1:17" x14ac:dyDescent="0.25">
      <c r="A1569" s="56">
        <v>3502487</v>
      </c>
      <c r="B1569" s="56" t="s">
        <v>5352</v>
      </c>
      <c r="C1569" s="56" t="s">
        <v>5354</v>
      </c>
      <c r="D1569" s="57">
        <v>93</v>
      </c>
      <c r="E1569" s="57">
        <v>2348.5279999999998</v>
      </c>
      <c r="F1569" s="57">
        <v>2.3485279999999999</v>
      </c>
      <c r="G1569" s="56" t="s">
        <v>392</v>
      </c>
      <c r="H1569" s="60" t="s">
        <v>2511</v>
      </c>
      <c r="I1569" s="56" t="s">
        <v>4455</v>
      </c>
      <c r="J1569" s="56"/>
      <c r="K1569" s="56"/>
      <c r="L1569" s="56"/>
      <c r="M1569" s="56"/>
      <c r="N1569" s="60" t="s">
        <v>124</v>
      </c>
      <c r="O1569" s="56">
        <v>5</v>
      </c>
      <c r="P1569" s="59" t="s">
        <v>2515</v>
      </c>
      <c r="Q1569" s="56" t="s">
        <v>124</v>
      </c>
    </row>
    <row r="1570" spans="1:17" x14ac:dyDescent="0.25">
      <c r="A1570" s="56">
        <v>3682070</v>
      </c>
      <c r="B1570" s="56" t="s">
        <v>2448</v>
      </c>
      <c r="C1570" s="56" t="s">
        <v>5355</v>
      </c>
      <c r="D1570" s="57">
        <v>449</v>
      </c>
      <c r="E1570" s="57">
        <v>2483.3739999999998</v>
      </c>
      <c r="F1570" s="57">
        <v>2.483374</v>
      </c>
      <c r="G1570" s="56" t="s">
        <v>392</v>
      </c>
      <c r="H1570" s="60" t="s">
        <v>2511</v>
      </c>
      <c r="I1570" s="56" t="s">
        <v>4455</v>
      </c>
      <c r="J1570" s="56"/>
      <c r="K1570" s="56"/>
      <c r="L1570" s="56"/>
      <c r="M1570" s="56"/>
      <c r="N1570" s="60" t="s">
        <v>124</v>
      </c>
      <c r="O1570" s="56">
        <v>4</v>
      </c>
      <c r="P1570" s="59" t="s">
        <v>2515</v>
      </c>
      <c r="Q1570" s="56" t="s">
        <v>124</v>
      </c>
    </row>
    <row r="1571" spans="1:17" x14ac:dyDescent="0.25">
      <c r="A1571" s="56">
        <v>3682070</v>
      </c>
      <c r="B1571" s="56" t="s">
        <v>2448</v>
      </c>
      <c r="C1571" s="56" t="s">
        <v>5356</v>
      </c>
      <c r="D1571" s="57">
        <v>450</v>
      </c>
      <c r="E1571" s="57">
        <v>2488.9050000000002</v>
      </c>
      <c r="F1571" s="57">
        <v>2.4889050000000004</v>
      </c>
      <c r="G1571" s="56" t="s">
        <v>392</v>
      </c>
      <c r="H1571" s="60" t="s">
        <v>2511</v>
      </c>
      <c r="I1571" s="56" t="s">
        <v>4455</v>
      </c>
      <c r="J1571" s="56"/>
      <c r="K1571" s="56"/>
      <c r="L1571" s="56"/>
      <c r="M1571" s="56"/>
      <c r="N1571" s="60" t="s">
        <v>124</v>
      </c>
      <c r="O1571" s="56">
        <v>4</v>
      </c>
      <c r="P1571" s="59" t="s">
        <v>2515</v>
      </c>
      <c r="Q1571" s="56" t="s">
        <v>124</v>
      </c>
    </row>
    <row r="1572" spans="1:17" x14ac:dyDescent="0.25">
      <c r="A1572" s="56">
        <v>3682070</v>
      </c>
      <c r="B1572" s="56" t="s">
        <v>2448</v>
      </c>
      <c r="C1572" s="56" t="s">
        <v>5357</v>
      </c>
      <c r="D1572" s="57">
        <v>450</v>
      </c>
      <c r="E1572" s="57">
        <v>2488.9050000000002</v>
      </c>
      <c r="F1572" s="57">
        <v>2.4889050000000004</v>
      </c>
      <c r="G1572" s="56" t="s">
        <v>392</v>
      </c>
      <c r="H1572" s="60" t="s">
        <v>2511</v>
      </c>
      <c r="I1572" s="56" t="s">
        <v>4455</v>
      </c>
      <c r="J1572" s="56"/>
      <c r="K1572" s="56"/>
      <c r="L1572" s="56"/>
      <c r="M1572" s="56"/>
      <c r="N1572" s="60" t="s">
        <v>124</v>
      </c>
      <c r="O1572" s="56">
        <v>4</v>
      </c>
      <c r="P1572" s="59" t="s">
        <v>2515</v>
      </c>
      <c r="Q1572" s="56" t="s">
        <v>124</v>
      </c>
    </row>
    <row r="1573" spans="1:17" x14ac:dyDescent="0.25">
      <c r="A1573" s="56">
        <v>3682070</v>
      </c>
      <c r="B1573" s="56" t="s">
        <v>2448</v>
      </c>
      <c r="C1573" s="56" t="s">
        <v>5358</v>
      </c>
      <c r="D1573" s="57">
        <v>448</v>
      </c>
      <c r="E1573" s="57">
        <v>2477.8429999999998</v>
      </c>
      <c r="F1573" s="57">
        <v>2.477843</v>
      </c>
      <c r="G1573" s="56" t="s">
        <v>392</v>
      </c>
      <c r="H1573" s="60" t="s">
        <v>2511</v>
      </c>
      <c r="I1573" s="56" t="s">
        <v>4455</v>
      </c>
      <c r="J1573" s="56"/>
      <c r="K1573" s="56"/>
      <c r="L1573" s="56"/>
      <c r="M1573" s="56"/>
      <c r="N1573" s="60" t="s">
        <v>124</v>
      </c>
      <c r="O1573" s="56">
        <v>4</v>
      </c>
      <c r="P1573" s="59" t="s">
        <v>2515</v>
      </c>
      <c r="Q1573" s="56" t="s">
        <v>124</v>
      </c>
    </row>
    <row r="1574" spans="1:17" x14ac:dyDescent="0.25">
      <c r="A1574" s="56">
        <v>3682070</v>
      </c>
      <c r="B1574" s="56" t="s">
        <v>2448</v>
      </c>
      <c r="C1574" s="56" t="s">
        <v>5359</v>
      </c>
      <c r="D1574" s="57">
        <v>467</v>
      </c>
      <c r="E1574" s="57">
        <v>2582.9299999999998</v>
      </c>
      <c r="F1574" s="57">
        <v>2.5829299999999997</v>
      </c>
      <c r="G1574" s="56" t="s">
        <v>392</v>
      </c>
      <c r="H1574" s="60" t="s">
        <v>2511</v>
      </c>
      <c r="I1574" s="56" t="s">
        <v>4455</v>
      </c>
      <c r="J1574" s="56"/>
      <c r="K1574" s="56"/>
      <c r="L1574" s="56"/>
      <c r="M1574" s="56"/>
      <c r="N1574" s="60" t="s">
        <v>124</v>
      </c>
      <c r="O1574" s="56">
        <v>4</v>
      </c>
      <c r="P1574" s="59" t="s">
        <v>2515</v>
      </c>
      <c r="Q1574" s="56" t="s">
        <v>124</v>
      </c>
    </row>
    <row r="1575" spans="1:17" x14ac:dyDescent="0.25">
      <c r="A1575" s="56">
        <v>3682124</v>
      </c>
      <c r="B1575" s="56" t="s">
        <v>5100</v>
      </c>
      <c r="C1575" s="56" t="s">
        <v>5360</v>
      </c>
      <c r="D1575" s="57">
        <v>420</v>
      </c>
      <c r="E1575" s="57">
        <v>2125.578</v>
      </c>
      <c r="F1575" s="57">
        <v>2.125578</v>
      </c>
      <c r="G1575" s="56" t="s">
        <v>392</v>
      </c>
      <c r="H1575" s="60" t="s">
        <v>2511</v>
      </c>
      <c r="I1575" s="56" t="s">
        <v>4455</v>
      </c>
      <c r="J1575" s="56"/>
      <c r="K1575" s="56"/>
      <c r="L1575" s="56"/>
      <c r="M1575" s="56"/>
      <c r="N1575" s="60" t="s">
        <v>124</v>
      </c>
      <c r="O1575" s="56">
        <v>4</v>
      </c>
      <c r="P1575" s="59" t="s">
        <v>2515</v>
      </c>
      <c r="Q1575" s="56" t="s">
        <v>124</v>
      </c>
    </row>
    <row r="1576" spans="1:17" x14ac:dyDescent="0.25">
      <c r="A1576" s="56">
        <v>3682124</v>
      </c>
      <c r="B1576" s="56" t="s">
        <v>5100</v>
      </c>
      <c r="C1576" s="56" t="s">
        <v>5361</v>
      </c>
      <c r="D1576" s="57">
        <v>420</v>
      </c>
      <c r="E1576" s="57">
        <v>2125.578</v>
      </c>
      <c r="F1576" s="57">
        <v>2.125578</v>
      </c>
      <c r="G1576" s="56" t="s">
        <v>392</v>
      </c>
      <c r="H1576" s="60" t="s">
        <v>2511</v>
      </c>
      <c r="I1576" s="56" t="s">
        <v>4455</v>
      </c>
      <c r="J1576" s="56"/>
      <c r="K1576" s="56"/>
      <c r="L1576" s="56"/>
      <c r="M1576" s="56"/>
      <c r="N1576" s="60" t="s">
        <v>124</v>
      </c>
      <c r="O1576" s="56">
        <v>4</v>
      </c>
      <c r="P1576" s="59" t="s">
        <v>2515</v>
      </c>
      <c r="Q1576" s="56" t="s">
        <v>124</v>
      </c>
    </row>
    <row r="1577" spans="1:17" x14ac:dyDescent="0.25">
      <c r="A1577" s="56">
        <v>3682124</v>
      </c>
      <c r="B1577" s="56" t="s">
        <v>5100</v>
      </c>
      <c r="C1577" s="56" t="s">
        <v>5362</v>
      </c>
      <c r="D1577" s="57">
        <v>420</v>
      </c>
      <c r="E1577" s="57">
        <v>2125.578</v>
      </c>
      <c r="F1577" s="57">
        <v>2.125578</v>
      </c>
      <c r="G1577" s="56" t="s">
        <v>392</v>
      </c>
      <c r="H1577" s="60" t="s">
        <v>2511</v>
      </c>
      <c r="I1577" s="56" t="s">
        <v>4455</v>
      </c>
      <c r="J1577" s="56"/>
      <c r="K1577" s="56"/>
      <c r="L1577" s="56"/>
      <c r="M1577" s="56"/>
      <c r="N1577" s="60" t="s">
        <v>124</v>
      </c>
      <c r="O1577" s="56">
        <v>4</v>
      </c>
      <c r="P1577" s="59" t="s">
        <v>2515</v>
      </c>
      <c r="Q1577" s="56" t="s">
        <v>124</v>
      </c>
    </row>
    <row r="1578" spans="1:17" x14ac:dyDescent="0.25">
      <c r="A1578" s="56">
        <v>3682124</v>
      </c>
      <c r="B1578" s="56" t="s">
        <v>5100</v>
      </c>
      <c r="C1578" s="56" t="s">
        <v>5363</v>
      </c>
      <c r="D1578" s="57">
        <v>420</v>
      </c>
      <c r="E1578" s="57">
        <v>2125.578</v>
      </c>
      <c r="F1578" s="57">
        <v>2.125578</v>
      </c>
      <c r="G1578" s="56" t="s">
        <v>392</v>
      </c>
      <c r="H1578" s="60" t="s">
        <v>2511</v>
      </c>
      <c r="I1578" s="56" t="s">
        <v>4455</v>
      </c>
      <c r="J1578" s="56"/>
      <c r="K1578" s="56"/>
      <c r="L1578" s="56"/>
      <c r="M1578" s="56"/>
      <c r="N1578" s="60" t="s">
        <v>124</v>
      </c>
      <c r="O1578" s="56">
        <v>4</v>
      </c>
      <c r="P1578" s="59" t="s">
        <v>2515</v>
      </c>
      <c r="Q1578" s="56" t="s">
        <v>124</v>
      </c>
    </row>
    <row r="1579" spans="1:17" x14ac:dyDescent="0.25">
      <c r="A1579" s="56">
        <v>3682124</v>
      </c>
      <c r="B1579" s="56" t="s">
        <v>5100</v>
      </c>
      <c r="C1579" s="56" t="s">
        <v>5364</v>
      </c>
      <c r="D1579" s="57">
        <v>420</v>
      </c>
      <c r="E1579" s="57">
        <v>2125.578</v>
      </c>
      <c r="F1579" s="57">
        <v>2.125578</v>
      </c>
      <c r="G1579" s="56" t="s">
        <v>392</v>
      </c>
      <c r="H1579" s="60" t="s">
        <v>2511</v>
      </c>
      <c r="I1579" s="56" t="s">
        <v>4455</v>
      </c>
      <c r="J1579" s="56"/>
      <c r="K1579" s="56"/>
      <c r="L1579" s="56"/>
      <c r="M1579" s="56"/>
      <c r="N1579" s="60" t="s">
        <v>124</v>
      </c>
      <c r="O1579" s="56">
        <v>4</v>
      </c>
      <c r="P1579" s="59" t="s">
        <v>2515</v>
      </c>
      <c r="Q1579" s="56" t="s">
        <v>124</v>
      </c>
    </row>
    <row r="1580" spans="1:17" x14ac:dyDescent="0.25">
      <c r="A1580" s="56">
        <v>3682124</v>
      </c>
      <c r="B1580" s="56" t="s">
        <v>5100</v>
      </c>
      <c r="C1580" s="56" t="s">
        <v>5365</v>
      </c>
      <c r="D1580" s="57">
        <v>419</v>
      </c>
      <c r="E1580" s="57">
        <v>2120.5169999999998</v>
      </c>
      <c r="F1580" s="57">
        <v>2.120517</v>
      </c>
      <c r="G1580" s="56" t="s">
        <v>392</v>
      </c>
      <c r="H1580" s="60" t="s">
        <v>2511</v>
      </c>
      <c r="I1580" s="56" t="s">
        <v>4455</v>
      </c>
      <c r="J1580" s="56"/>
      <c r="K1580" s="56"/>
      <c r="L1580" s="56"/>
      <c r="M1580" s="56"/>
      <c r="N1580" s="60" t="s">
        <v>124</v>
      </c>
      <c r="O1580" s="56">
        <v>4</v>
      </c>
      <c r="P1580" s="59" t="s">
        <v>2515</v>
      </c>
      <c r="Q1580" s="56" t="s">
        <v>124</v>
      </c>
    </row>
    <row r="1581" spans="1:17" x14ac:dyDescent="0.25">
      <c r="A1581" s="56">
        <v>3682070</v>
      </c>
      <c r="B1581" s="56" t="s">
        <v>2448</v>
      </c>
      <c r="C1581" s="56" t="s">
        <v>5366</v>
      </c>
      <c r="D1581" s="57">
        <v>450</v>
      </c>
      <c r="E1581" s="57">
        <v>2488.9050000000002</v>
      </c>
      <c r="F1581" s="57">
        <v>2.4889050000000004</v>
      </c>
      <c r="G1581" s="56" t="s">
        <v>392</v>
      </c>
      <c r="H1581" s="60" t="s">
        <v>2511</v>
      </c>
      <c r="I1581" s="56" t="s">
        <v>4455</v>
      </c>
      <c r="J1581" s="56"/>
      <c r="K1581" s="56"/>
      <c r="L1581" s="56"/>
      <c r="M1581" s="56"/>
      <c r="N1581" s="60" t="s">
        <v>124</v>
      </c>
      <c r="O1581" s="56">
        <v>4</v>
      </c>
      <c r="P1581" s="59" t="s">
        <v>2515</v>
      </c>
      <c r="Q1581" s="56" t="s">
        <v>124</v>
      </c>
    </row>
    <row r="1582" spans="1:17" x14ac:dyDescent="0.25">
      <c r="A1582" s="56">
        <v>3682070</v>
      </c>
      <c r="B1582" s="56" t="s">
        <v>2448</v>
      </c>
      <c r="C1582" s="56" t="s">
        <v>5367</v>
      </c>
      <c r="D1582" s="57">
        <v>450</v>
      </c>
      <c r="E1582" s="57">
        <v>2488.9050000000002</v>
      </c>
      <c r="F1582" s="57">
        <v>2.4889050000000004</v>
      </c>
      <c r="G1582" s="56" t="s">
        <v>392</v>
      </c>
      <c r="H1582" s="60" t="s">
        <v>2511</v>
      </c>
      <c r="I1582" s="56" t="s">
        <v>4455</v>
      </c>
      <c r="J1582" s="56"/>
      <c r="K1582" s="56"/>
      <c r="L1582" s="56"/>
      <c r="M1582" s="56"/>
      <c r="N1582" s="60" t="s">
        <v>124</v>
      </c>
      <c r="O1582" s="56">
        <v>4</v>
      </c>
      <c r="P1582" s="59" t="s">
        <v>2515</v>
      </c>
      <c r="Q1582" s="56" t="s">
        <v>124</v>
      </c>
    </row>
    <row r="1583" spans="1:17" x14ac:dyDescent="0.25">
      <c r="A1583" s="56">
        <v>3682070</v>
      </c>
      <c r="B1583" s="56" t="s">
        <v>2448</v>
      </c>
      <c r="C1583" s="56" t="s">
        <v>5368</v>
      </c>
      <c r="D1583" s="57">
        <v>449</v>
      </c>
      <c r="E1583" s="57">
        <v>2483.3739999999998</v>
      </c>
      <c r="F1583" s="57">
        <v>2.483374</v>
      </c>
      <c r="G1583" s="56" t="s">
        <v>392</v>
      </c>
      <c r="H1583" s="60" t="s">
        <v>2511</v>
      </c>
      <c r="I1583" s="56" t="s">
        <v>4455</v>
      </c>
      <c r="J1583" s="56"/>
      <c r="K1583" s="56"/>
      <c r="L1583" s="56"/>
      <c r="M1583" s="56"/>
      <c r="N1583" s="60" t="s">
        <v>124</v>
      </c>
      <c r="O1583" s="56">
        <v>4</v>
      </c>
      <c r="P1583" s="59" t="s">
        <v>2515</v>
      </c>
      <c r="Q1583" s="56" t="s">
        <v>124</v>
      </c>
    </row>
    <row r="1584" spans="1:17" x14ac:dyDescent="0.25">
      <c r="A1584" s="56">
        <v>3682070</v>
      </c>
      <c r="B1584" s="56" t="s">
        <v>2448</v>
      </c>
      <c r="C1584" s="56" t="s">
        <v>5369</v>
      </c>
      <c r="D1584" s="57">
        <v>449</v>
      </c>
      <c r="E1584" s="57">
        <v>2483.3739999999998</v>
      </c>
      <c r="F1584" s="57">
        <v>2.483374</v>
      </c>
      <c r="G1584" s="56" t="s">
        <v>392</v>
      </c>
      <c r="H1584" s="60" t="s">
        <v>2511</v>
      </c>
      <c r="I1584" s="56" t="s">
        <v>4455</v>
      </c>
      <c r="J1584" s="56"/>
      <c r="K1584" s="56"/>
      <c r="L1584" s="56"/>
      <c r="M1584" s="56"/>
      <c r="N1584" s="60" t="s">
        <v>124</v>
      </c>
      <c r="O1584" s="56">
        <v>4</v>
      </c>
      <c r="P1584" s="59" t="s">
        <v>2515</v>
      </c>
      <c r="Q1584" s="56" t="s">
        <v>124</v>
      </c>
    </row>
    <row r="1585" spans="1:17" x14ac:dyDescent="0.25">
      <c r="A1585" s="56">
        <v>3682070</v>
      </c>
      <c r="B1585" s="56" t="s">
        <v>2448</v>
      </c>
      <c r="C1585" s="56" t="s">
        <v>5370</v>
      </c>
      <c r="D1585" s="57">
        <v>449</v>
      </c>
      <c r="E1585" s="57">
        <v>2483.3739999999998</v>
      </c>
      <c r="F1585" s="57">
        <v>2.483374</v>
      </c>
      <c r="G1585" s="56" t="s">
        <v>392</v>
      </c>
      <c r="H1585" s="60" t="s">
        <v>2511</v>
      </c>
      <c r="I1585" s="56" t="s">
        <v>4455</v>
      </c>
      <c r="J1585" s="56"/>
      <c r="K1585" s="56"/>
      <c r="L1585" s="56"/>
      <c r="M1585" s="56"/>
      <c r="N1585" s="60" t="s">
        <v>124</v>
      </c>
      <c r="O1585" s="56">
        <v>4</v>
      </c>
      <c r="P1585" s="59" t="s">
        <v>2515</v>
      </c>
      <c r="Q1585" s="56" t="s">
        <v>124</v>
      </c>
    </row>
    <row r="1586" spans="1:17" x14ac:dyDescent="0.25">
      <c r="A1586" s="56">
        <v>3682070</v>
      </c>
      <c r="B1586" s="56" t="s">
        <v>2448</v>
      </c>
      <c r="C1586" s="56" t="s">
        <v>5371</v>
      </c>
      <c r="D1586" s="57">
        <v>449</v>
      </c>
      <c r="E1586" s="57">
        <v>2483.3739999999998</v>
      </c>
      <c r="F1586" s="57">
        <v>2.483374</v>
      </c>
      <c r="G1586" s="56" t="s">
        <v>392</v>
      </c>
      <c r="H1586" s="60" t="s">
        <v>2511</v>
      </c>
      <c r="I1586" s="56" t="s">
        <v>4455</v>
      </c>
      <c r="J1586" s="56"/>
      <c r="K1586" s="56"/>
      <c r="L1586" s="56"/>
      <c r="M1586" s="56"/>
      <c r="N1586" s="60" t="s">
        <v>124</v>
      </c>
      <c r="O1586" s="56">
        <v>4</v>
      </c>
      <c r="P1586" s="59" t="s">
        <v>2515</v>
      </c>
      <c r="Q1586" s="56" t="s">
        <v>124</v>
      </c>
    </row>
    <row r="1587" spans="1:17" x14ac:dyDescent="0.25">
      <c r="A1587" s="56">
        <v>3682070</v>
      </c>
      <c r="B1587" s="56" t="s">
        <v>2448</v>
      </c>
      <c r="C1587" s="56" t="s">
        <v>5372</v>
      </c>
      <c r="D1587" s="57">
        <v>452</v>
      </c>
      <c r="E1587" s="57">
        <v>2499.9670000000001</v>
      </c>
      <c r="F1587" s="57">
        <v>2.4999670000000003</v>
      </c>
      <c r="G1587" s="56" t="s">
        <v>392</v>
      </c>
      <c r="H1587" s="60" t="s">
        <v>2511</v>
      </c>
      <c r="I1587" s="56" t="s">
        <v>4455</v>
      </c>
      <c r="J1587" s="56"/>
      <c r="K1587" s="56"/>
      <c r="L1587" s="56"/>
      <c r="M1587" s="56"/>
      <c r="N1587" s="60" t="s">
        <v>124</v>
      </c>
      <c r="O1587" s="56">
        <v>4</v>
      </c>
      <c r="P1587" s="59" t="s">
        <v>2515</v>
      </c>
      <c r="Q1587" s="56" t="s">
        <v>124</v>
      </c>
    </row>
    <row r="1588" spans="1:17" x14ac:dyDescent="0.25">
      <c r="A1588" s="56">
        <v>3682070</v>
      </c>
      <c r="B1588" s="56" t="s">
        <v>2448</v>
      </c>
      <c r="C1588" s="56" t="s">
        <v>5373</v>
      </c>
      <c r="D1588" s="57">
        <v>451</v>
      </c>
      <c r="E1588" s="57">
        <v>2494.4360000000001</v>
      </c>
      <c r="F1588" s="57">
        <v>2.4944360000000003</v>
      </c>
      <c r="G1588" s="56" t="s">
        <v>392</v>
      </c>
      <c r="H1588" s="60" t="s">
        <v>2511</v>
      </c>
      <c r="I1588" s="56" t="s">
        <v>4455</v>
      </c>
      <c r="J1588" s="56"/>
      <c r="K1588" s="56"/>
      <c r="L1588" s="56"/>
      <c r="M1588" s="56"/>
      <c r="N1588" s="60" t="s">
        <v>124</v>
      </c>
      <c r="O1588" s="56">
        <v>4</v>
      </c>
      <c r="P1588" s="59" t="s">
        <v>2515</v>
      </c>
      <c r="Q1588" s="56" t="s">
        <v>124</v>
      </c>
    </row>
    <row r="1589" spans="1:17" x14ac:dyDescent="0.25">
      <c r="A1589" s="56">
        <v>3682070</v>
      </c>
      <c r="B1589" s="56" t="s">
        <v>2448</v>
      </c>
      <c r="C1589" s="56" t="s">
        <v>5374</v>
      </c>
      <c r="D1589" s="57">
        <v>449</v>
      </c>
      <c r="E1589" s="57">
        <v>2483.3739999999998</v>
      </c>
      <c r="F1589" s="57">
        <v>2.483374</v>
      </c>
      <c r="G1589" s="56" t="s">
        <v>392</v>
      </c>
      <c r="H1589" s="60" t="s">
        <v>2511</v>
      </c>
      <c r="I1589" s="56" t="s">
        <v>4455</v>
      </c>
      <c r="J1589" s="56"/>
      <c r="K1589" s="56"/>
      <c r="L1589" s="56"/>
      <c r="M1589" s="56"/>
      <c r="N1589" s="60" t="s">
        <v>124</v>
      </c>
      <c r="O1589" s="56">
        <v>4</v>
      </c>
      <c r="P1589" s="59" t="s">
        <v>2515</v>
      </c>
      <c r="Q1589" s="56" t="s">
        <v>124</v>
      </c>
    </row>
    <row r="1590" spans="1:17" x14ac:dyDescent="0.25">
      <c r="A1590" s="56">
        <v>3498972</v>
      </c>
      <c r="B1590" s="56" t="s">
        <v>4795</v>
      </c>
      <c r="C1590" s="56" t="s">
        <v>5375</v>
      </c>
      <c r="D1590" s="57">
        <v>420</v>
      </c>
      <c r="E1590" s="57">
        <v>1516.788</v>
      </c>
      <c r="F1590" s="57">
        <v>1.516788</v>
      </c>
      <c r="G1590" s="56" t="s">
        <v>392</v>
      </c>
      <c r="H1590" s="60" t="s">
        <v>2511</v>
      </c>
      <c r="I1590" s="56" t="s">
        <v>4455</v>
      </c>
      <c r="J1590" s="56"/>
      <c r="K1590" s="56"/>
      <c r="L1590" s="56"/>
      <c r="M1590" s="56"/>
      <c r="N1590" s="60" t="s">
        <v>124</v>
      </c>
      <c r="O1590" s="56">
        <v>4</v>
      </c>
      <c r="P1590" s="59" t="s">
        <v>2515</v>
      </c>
      <c r="Q1590" s="56" t="s">
        <v>124</v>
      </c>
    </row>
    <row r="1591" spans="1:17" x14ac:dyDescent="0.25">
      <c r="A1591" s="56">
        <v>3498972</v>
      </c>
      <c r="B1591" s="56" t="s">
        <v>4795</v>
      </c>
      <c r="C1591" s="56" t="s">
        <v>5376</v>
      </c>
      <c r="D1591" s="57">
        <v>419</v>
      </c>
      <c r="E1591" s="57">
        <v>1513.1769999999999</v>
      </c>
      <c r="F1591" s="57">
        <v>1.513177</v>
      </c>
      <c r="G1591" s="56" t="s">
        <v>392</v>
      </c>
      <c r="H1591" s="60" t="s">
        <v>2511</v>
      </c>
      <c r="I1591" s="56" t="s">
        <v>4455</v>
      </c>
      <c r="J1591" s="56"/>
      <c r="K1591" s="56"/>
      <c r="L1591" s="56"/>
      <c r="M1591" s="56"/>
      <c r="N1591" s="60" t="s">
        <v>124</v>
      </c>
      <c r="O1591" s="56">
        <v>4</v>
      </c>
      <c r="P1591" s="59" t="s">
        <v>2515</v>
      </c>
      <c r="Q1591" s="56" t="s">
        <v>124</v>
      </c>
    </row>
    <row r="1592" spans="1:17" x14ac:dyDescent="0.25">
      <c r="A1592" s="56">
        <v>3682070</v>
      </c>
      <c r="B1592" s="56" t="s">
        <v>2448</v>
      </c>
      <c r="C1592" s="56" t="s">
        <v>5377</v>
      </c>
      <c r="D1592" s="57">
        <v>500</v>
      </c>
      <c r="E1592" s="57">
        <v>2765.45</v>
      </c>
      <c r="F1592" s="57">
        <v>2.76545</v>
      </c>
      <c r="G1592" s="56" t="s">
        <v>392</v>
      </c>
      <c r="H1592" s="60" t="s">
        <v>2511</v>
      </c>
      <c r="I1592" s="56" t="s">
        <v>4455</v>
      </c>
      <c r="J1592" s="56"/>
      <c r="K1592" s="56"/>
      <c r="L1592" s="56"/>
      <c r="M1592" s="56"/>
      <c r="N1592" s="60" t="s">
        <v>124</v>
      </c>
      <c r="O1592" s="56">
        <v>4</v>
      </c>
      <c r="P1592" s="59" t="s">
        <v>2515</v>
      </c>
      <c r="Q1592" s="56" t="s">
        <v>124</v>
      </c>
    </row>
    <row r="1593" spans="1:17" x14ac:dyDescent="0.25">
      <c r="A1593" s="56">
        <v>3682070</v>
      </c>
      <c r="B1593" s="56" t="s">
        <v>2448</v>
      </c>
      <c r="C1593" s="56" t="s">
        <v>5378</v>
      </c>
      <c r="D1593" s="57">
        <v>450</v>
      </c>
      <c r="E1593" s="57">
        <v>2488.9050000000002</v>
      </c>
      <c r="F1593" s="57">
        <v>2.4889050000000004</v>
      </c>
      <c r="G1593" s="56" t="s">
        <v>392</v>
      </c>
      <c r="H1593" s="60" t="s">
        <v>2511</v>
      </c>
      <c r="I1593" s="56" t="s">
        <v>4455</v>
      </c>
      <c r="J1593" s="56"/>
      <c r="K1593" s="56"/>
      <c r="L1593" s="56"/>
      <c r="M1593" s="56"/>
      <c r="N1593" s="60" t="s">
        <v>124</v>
      </c>
      <c r="O1593" s="56">
        <v>4</v>
      </c>
      <c r="P1593" s="59" t="s">
        <v>2515</v>
      </c>
      <c r="Q1593" s="56" t="s">
        <v>124</v>
      </c>
    </row>
    <row r="1594" spans="1:17" x14ac:dyDescent="0.25">
      <c r="A1594" s="56">
        <v>3682070</v>
      </c>
      <c r="B1594" s="56" t="s">
        <v>2448</v>
      </c>
      <c r="C1594" s="56" t="s">
        <v>5379</v>
      </c>
      <c r="D1594" s="57">
        <v>450</v>
      </c>
      <c r="E1594" s="57">
        <v>2488.9050000000002</v>
      </c>
      <c r="F1594" s="57">
        <v>2.4889050000000004</v>
      </c>
      <c r="G1594" s="56" t="s">
        <v>392</v>
      </c>
      <c r="H1594" s="60" t="s">
        <v>2511</v>
      </c>
      <c r="I1594" s="56" t="s">
        <v>4455</v>
      </c>
      <c r="J1594" s="56"/>
      <c r="K1594" s="56"/>
      <c r="L1594" s="56"/>
      <c r="M1594" s="56"/>
      <c r="N1594" s="60" t="s">
        <v>124</v>
      </c>
      <c r="O1594" s="56">
        <v>4</v>
      </c>
      <c r="P1594" s="59" t="s">
        <v>2515</v>
      </c>
      <c r="Q1594" s="56" t="s">
        <v>124</v>
      </c>
    </row>
    <row r="1595" spans="1:17" x14ac:dyDescent="0.25">
      <c r="A1595" s="56">
        <v>3682070</v>
      </c>
      <c r="B1595" s="56" t="s">
        <v>2448</v>
      </c>
      <c r="C1595" s="56" t="s">
        <v>5380</v>
      </c>
      <c r="D1595" s="57">
        <v>450</v>
      </c>
      <c r="E1595" s="57">
        <v>2488.9050000000002</v>
      </c>
      <c r="F1595" s="57">
        <v>2.4889050000000004</v>
      </c>
      <c r="G1595" s="56" t="s">
        <v>392</v>
      </c>
      <c r="H1595" s="60" t="s">
        <v>2511</v>
      </c>
      <c r="I1595" s="56" t="s">
        <v>4455</v>
      </c>
      <c r="J1595" s="56"/>
      <c r="K1595" s="56"/>
      <c r="L1595" s="56"/>
      <c r="M1595" s="56"/>
      <c r="N1595" s="60" t="s">
        <v>124</v>
      </c>
      <c r="O1595" s="56">
        <v>4</v>
      </c>
      <c r="P1595" s="59" t="s">
        <v>2515</v>
      </c>
      <c r="Q1595" s="56" t="s">
        <v>124</v>
      </c>
    </row>
    <row r="1596" spans="1:17" x14ac:dyDescent="0.25">
      <c r="A1596" s="56">
        <v>3682070</v>
      </c>
      <c r="B1596" s="56" t="s">
        <v>2448</v>
      </c>
      <c r="C1596" s="56" t="s">
        <v>5381</v>
      </c>
      <c r="D1596" s="57">
        <v>450</v>
      </c>
      <c r="E1596" s="57">
        <v>2488.9050000000002</v>
      </c>
      <c r="F1596" s="57">
        <v>2.4889050000000004</v>
      </c>
      <c r="G1596" s="56" t="s">
        <v>392</v>
      </c>
      <c r="H1596" s="60" t="s">
        <v>2511</v>
      </c>
      <c r="I1596" s="56" t="s">
        <v>4455</v>
      </c>
      <c r="J1596" s="56"/>
      <c r="K1596" s="56"/>
      <c r="L1596" s="56"/>
      <c r="M1596" s="56"/>
      <c r="N1596" s="60" t="s">
        <v>124</v>
      </c>
      <c r="O1596" s="56">
        <v>4</v>
      </c>
      <c r="P1596" s="59" t="s">
        <v>2515</v>
      </c>
      <c r="Q1596" s="56" t="s">
        <v>124</v>
      </c>
    </row>
    <row r="1597" spans="1:17" x14ac:dyDescent="0.25">
      <c r="A1597" s="56">
        <v>3682070</v>
      </c>
      <c r="B1597" s="56" t="s">
        <v>2448</v>
      </c>
      <c r="C1597" s="56" t="s">
        <v>5382</v>
      </c>
      <c r="D1597" s="57">
        <v>450</v>
      </c>
      <c r="E1597" s="57">
        <v>2488.9050000000002</v>
      </c>
      <c r="F1597" s="57">
        <v>2.4889050000000004</v>
      </c>
      <c r="G1597" s="56" t="s">
        <v>392</v>
      </c>
      <c r="H1597" s="60" t="s">
        <v>2511</v>
      </c>
      <c r="I1597" s="56" t="s">
        <v>4455</v>
      </c>
      <c r="J1597" s="56"/>
      <c r="K1597" s="56"/>
      <c r="L1597" s="56"/>
      <c r="M1597" s="56"/>
      <c r="N1597" s="60" t="s">
        <v>124</v>
      </c>
      <c r="O1597" s="56">
        <v>4</v>
      </c>
      <c r="P1597" s="59" t="s">
        <v>2515</v>
      </c>
      <c r="Q1597" s="56" t="s">
        <v>124</v>
      </c>
    </row>
    <row r="1598" spans="1:17" x14ac:dyDescent="0.25">
      <c r="A1598" s="56">
        <v>3682070</v>
      </c>
      <c r="B1598" s="56" t="s">
        <v>2448</v>
      </c>
      <c r="C1598" s="56" t="s">
        <v>5383</v>
      </c>
      <c r="D1598" s="57">
        <v>450</v>
      </c>
      <c r="E1598" s="57">
        <v>2488.9050000000002</v>
      </c>
      <c r="F1598" s="57">
        <v>2.4889050000000004</v>
      </c>
      <c r="G1598" s="56" t="s">
        <v>392</v>
      </c>
      <c r="H1598" s="60" t="s">
        <v>2511</v>
      </c>
      <c r="I1598" s="56" t="s">
        <v>4455</v>
      </c>
      <c r="J1598" s="56"/>
      <c r="K1598" s="56"/>
      <c r="L1598" s="56"/>
      <c r="M1598" s="56"/>
      <c r="N1598" s="60" t="s">
        <v>124</v>
      </c>
      <c r="O1598" s="56">
        <v>4</v>
      </c>
      <c r="P1598" s="59" t="s">
        <v>2515</v>
      </c>
      <c r="Q1598" s="56" t="s">
        <v>124</v>
      </c>
    </row>
    <row r="1599" spans="1:17" x14ac:dyDescent="0.25">
      <c r="A1599" s="56">
        <v>3682070</v>
      </c>
      <c r="B1599" s="56" t="s">
        <v>2448</v>
      </c>
      <c r="C1599" s="56" t="s">
        <v>5384</v>
      </c>
      <c r="D1599" s="57">
        <v>486</v>
      </c>
      <c r="E1599" s="57">
        <v>2688.0169999999998</v>
      </c>
      <c r="F1599" s="57">
        <v>2.6880169999999999</v>
      </c>
      <c r="G1599" s="56" t="s">
        <v>392</v>
      </c>
      <c r="H1599" s="60" t="s">
        <v>2511</v>
      </c>
      <c r="I1599" s="56" t="s">
        <v>4455</v>
      </c>
      <c r="J1599" s="56"/>
      <c r="K1599" s="56"/>
      <c r="L1599" s="56"/>
      <c r="M1599" s="56"/>
      <c r="N1599" s="60" t="s">
        <v>124</v>
      </c>
      <c r="O1599" s="56">
        <v>4</v>
      </c>
      <c r="P1599" s="59" t="s">
        <v>2515</v>
      </c>
      <c r="Q1599" s="56" t="s">
        <v>124</v>
      </c>
    </row>
    <row r="1600" spans="1:17" x14ac:dyDescent="0.25">
      <c r="A1600" s="56">
        <v>3682070</v>
      </c>
      <c r="B1600" s="56" t="s">
        <v>2448</v>
      </c>
      <c r="C1600" s="56" t="s">
        <v>5385</v>
      </c>
      <c r="D1600" s="57">
        <v>458</v>
      </c>
      <c r="E1600" s="57">
        <v>2533.152</v>
      </c>
      <c r="F1600" s="57">
        <v>2.5331519999999998</v>
      </c>
      <c r="G1600" s="56" t="s">
        <v>392</v>
      </c>
      <c r="H1600" s="60" t="s">
        <v>2511</v>
      </c>
      <c r="I1600" s="56" t="s">
        <v>4455</v>
      </c>
      <c r="J1600" s="56"/>
      <c r="K1600" s="56"/>
      <c r="L1600" s="56"/>
      <c r="M1600" s="56"/>
      <c r="N1600" s="60" t="s">
        <v>124</v>
      </c>
      <c r="O1600" s="56">
        <v>4</v>
      </c>
      <c r="P1600" s="59" t="s">
        <v>2515</v>
      </c>
      <c r="Q1600" s="56" t="s">
        <v>124</v>
      </c>
    </row>
    <row r="1601" spans="1:17" x14ac:dyDescent="0.25">
      <c r="A1601" s="56">
        <v>3682070</v>
      </c>
      <c r="B1601" s="56" t="s">
        <v>2448</v>
      </c>
      <c r="C1601" s="56" t="s">
        <v>5386</v>
      </c>
      <c r="D1601" s="57">
        <v>460</v>
      </c>
      <c r="E1601" s="57">
        <v>2544.2139999999999</v>
      </c>
      <c r="F1601" s="57">
        <v>2.5442139999999998</v>
      </c>
      <c r="G1601" s="56" t="s">
        <v>392</v>
      </c>
      <c r="H1601" s="60" t="s">
        <v>2511</v>
      </c>
      <c r="I1601" s="56" t="s">
        <v>4455</v>
      </c>
      <c r="J1601" s="56"/>
      <c r="K1601" s="56"/>
      <c r="L1601" s="56"/>
      <c r="M1601" s="56"/>
      <c r="N1601" s="60" t="s">
        <v>124</v>
      </c>
      <c r="O1601" s="56">
        <v>4</v>
      </c>
      <c r="P1601" s="59" t="s">
        <v>2515</v>
      </c>
      <c r="Q1601" s="56" t="s">
        <v>124</v>
      </c>
    </row>
    <row r="1602" spans="1:17" x14ac:dyDescent="0.25">
      <c r="A1602" s="56">
        <v>3514379</v>
      </c>
      <c r="B1602" s="56" t="s">
        <v>2400</v>
      </c>
      <c r="C1602" s="56" t="s">
        <v>5387</v>
      </c>
      <c r="D1602" s="57">
        <v>61</v>
      </c>
      <c r="E1602" s="57">
        <v>896.33399999999995</v>
      </c>
      <c r="F1602" s="57">
        <v>0.89633399999999996</v>
      </c>
      <c r="G1602" s="56" t="s">
        <v>392</v>
      </c>
      <c r="H1602" s="60" t="s">
        <v>2511</v>
      </c>
      <c r="I1602" s="56" t="s">
        <v>1835</v>
      </c>
      <c r="J1602" s="56"/>
      <c r="K1602" s="56"/>
      <c r="L1602" s="56"/>
      <c r="M1602" s="56"/>
      <c r="N1602" s="60" t="s">
        <v>124</v>
      </c>
      <c r="O1602" s="56">
        <v>4</v>
      </c>
      <c r="P1602" s="59" t="s">
        <v>2515</v>
      </c>
      <c r="Q1602" s="56" t="s">
        <v>124</v>
      </c>
    </row>
    <row r="1603" spans="1:17" x14ac:dyDescent="0.25">
      <c r="A1603" s="56">
        <v>3514379</v>
      </c>
      <c r="B1603" s="56" t="s">
        <v>2400</v>
      </c>
      <c r="C1603" s="56" t="s">
        <v>5388</v>
      </c>
      <c r="D1603" s="57">
        <v>113</v>
      </c>
      <c r="E1603" s="57">
        <v>1660.422</v>
      </c>
      <c r="F1603" s="57">
        <v>1.6604220000000001</v>
      </c>
      <c r="G1603" s="56" t="s">
        <v>392</v>
      </c>
      <c r="H1603" s="60" t="s">
        <v>2511</v>
      </c>
      <c r="I1603" s="56" t="s">
        <v>1835</v>
      </c>
      <c r="J1603" s="56"/>
      <c r="K1603" s="56"/>
      <c r="L1603" s="56"/>
      <c r="M1603" s="56"/>
      <c r="N1603" s="60" t="s">
        <v>124</v>
      </c>
      <c r="O1603" s="56">
        <v>4</v>
      </c>
      <c r="P1603" s="59" t="s">
        <v>2515</v>
      </c>
      <c r="Q1603" s="56" t="s">
        <v>124</v>
      </c>
    </row>
    <row r="1604" spans="1:17" x14ac:dyDescent="0.25">
      <c r="A1604" s="56">
        <v>3514379</v>
      </c>
      <c r="B1604" s="56" t="s">
        <v>2400</v>
      </c>
      <c r="C1604" s="56" t="s">
        <v>5389</v>
      </c>
      <c r="D1604" s="57">
        <v>98</v>
      </c>
      <c r="E1604" s="57">
        <v>1440.0119999999999</v>
      </c>
      <c r="F1604" s="57">
        <v>1.4400119999999998</v>
      </c>
      <c r="G1604" s="56" t="s">
        <v>392</v>
      </c>
      <c r="H1604" s="60" t="s">
        <v>2511</v>
      </c>
      <c r="I1604" s="56" t="s">
        <v>1835</v>
      </c>
      <c r="J1604" s="56"/>
      <c r="K1604" s="56"/>
      <c r="L1604" s="56"/>
      <c r="M1604" s="56"/>
      <c r="N1604" s="60" t="s">
        <v>124</v>
      </c>
      <c r="O1604" s="56">
        <v>4</v>
      </c>
      <c r="P1604" s="59" t="s">
        <v>2515</v>
      </c>
      <c r="Q1604" s="56" t="s">
        <v>124</v>
      </c>
    </row>
    <row r="1605" spans="1:17" x14ac:dyDescent="0.25">
      <c r="A1605" s="56">
        <v>3514379</v>
      </c>
      <c r="B1605" s="56" t="s">
        <v>2400</v>
      </c>
      <c r="C1605" s="56" t="s">
        <v>5390</v>
      </c>
      <c r="D1605" s="57">
        <v>110</v>
      </c>
      <c r="E1605" s="57">
        <v>1616.34</v>
      </c>
      <c r="F1605" s="57">
        <v>1.6163399999999999</v>
      </c>
      <c r="G1605" s="56" t="s">
        <v>392</v>
      </c>
      <c r="H1605" s="60" t="s">
        <v>2511</v>
      </c>
      <c r="I1605" s="56" t="s">
        <v>1835</v>
      </c>
      <c r="J1605" s="56"/>
      <c r="K1605" s="56"/>
      <c r="L1605" s="56"/>
      <c r="M1605" s="56"/>
      <c r="N1605" s="60" t="s">
        <v>124</v>
      </c>
      <c r="O1605" s="56">
        <v>4</v>
      </c>
      <c r="P1605" s="59" t="s">
        <v>2515</v>
      </c>
      <c r="Q1605" s="56" t="s">
        <v>124</v>
      </c>
    </row>
    <row r="1606" spans="1:17" x14ac:dyDescent="0.25">
      <c r="A1606" s="56">
        <v>3499307</v>
      </c>
      <c r="B1606" s="56" t="s">
        <v>1384</v>
      </c>
      <c r="C1606" s="56" t="s">
        <v>5391</v>
      </c>
      <c r="D1606" s="57">
        <v>273</v>
      </c>
      <c r="E1606" s="57">
        <v>1346.982</v>
      </c>
      <c r="F1606" s="57">
        <v>1.3469819999999999</v>
      </c>
      <c r="G1606" s="56" t="s">
        <v>392</v>
      </c>
      <c r="H1606" s="60" t="s">
        <v>2511</v>
      </c>
      <c r="I1606" s="56" t="s">
        <v>4455</v>
      </c>
      <c r="J1606" s="56"/>
      <c r="K1606" s="56"/>
      <c r="L1606" s="56"/>
      <c r="M1606" s="56"/>
      <c r="N1606" s="60" t="s">
        <v>124</v>
      </c>
      <c r="O1606" s="56">
        <v>4</v>
      </c>
      <c r="P1606" s="59" t="s">
        <v>2515</v>
      </c>
      <c r="Q1606" s="56" t="s">
        <v>124</v>
      </c>
    </row>
    <row r="1607" spans="1:17" x14ac:dyDescent="0.25">
      <c r="A1607" s="56">
        <v>3502487</v>
      </c>
      <c r="B1607" s="56" t="s">
        <v>5352</v>
      </c>
      <c r="C1607" s="56" t="s">
        <v>5392</v>
      </c>
      <c r="D1607" s="57">
        <v>90</v>
      </c>
      <c r="E1607" s="57">
        <v>2268.27</v>
      </c>
      <c r="F1607" s="57">
        <v>2.2682699999999998</v>
      </c>
      <c r="G1607" s="56" t="s">
        <v>392</v>
      </c>
      <c r="H1607" s="60" t="s">
        <v>2511</v>
      </c>
      <c r="I1607" s="56" t="s">
        <v>4455</v>
      </c>
      <c r="J1607" s="56"/>
      <c r="K1607" s="56"/>
      <c r="L1607" s="56"/>
      <c r="M1607" s="56"/>
      <c r="N1607" s="60" t="s">
        <v>124</v>
      </c>
      <c r="O1607" s="56">
        <v>4</v>
      </c>
      <c r="P1607" s="59" t="s">
        <v>2515</v>
      </c>
      <c r="Q1607" s="56" t="s">
        <v>124</v>
      </c>
    </row>
    <row r="1608" spans="1:17" x14ac:dyDescent="0.25">
      <c r="A1608" s="56">
        <v>3502487</v>
      </c>
      <c r="B1608" s="56" t="s">
        <v>5352</v>
      </c>
      <c r="C1608" s="56" t="s">
        <v>5393</v>
      </c>
      <c r="D1608" s="57">
        <v>90</v>
      </c>
      <c r="E1608" s="57">
        <v>2268.27</v>
      </c>
      <c r="F1608" s="57">
        <v>2.2682699999999998</v>
      </c>
      <c r="G1608" s="56" t="s">
        <v>392</v>
      </c>
      <c r="H1608" s="60" t="s">
        <v>2511</v>
      </c>
      <c r="I1608" s="56" t="s">
        <v>4455</v>
      </c>
      <c r="J1608" s="56"/>
      <c r="K1608" s="56"/>
      <c r="L1608" s="56"/>
      <c r="M1608" s="56"/>
      <c r="N1608" s="60" t="s">
        <v>124</v>
      </c>
      <c r="O1608" s="56">
        <v>4</v>
      </c>
      <c r="P1608" s="59" t="s">
        <v>2515</v>
      </c>
      <c r="Q1608" s="56" t="s">
        <v>124</v>
      </c>
    </row>
    <row r="1609" spans="1:17" x14ac:dyDescent="0.25">
      <c r="A1609" s="56">
        <v>3502487</v>
      </c>
      <c r="B1609" s="56" t="s">
        <v>5352</v>
      </c>
      <c r="C1609" s="56" t="s">
        <v>5394</v>
      </c>
      <c r="D1609" s="57">
        <v>93</v>
      </c>
      <c r="E1609" s="57">
        <v>2348.5279999999998</v>
      </c>
      <c r="F1609" s="57">
        <v>2.3485279999999999</v>
      </c>
      <c r="G1609" s="56" t="s">
        <v>392</v>
      </c>
      <c r="H1609" s="60" t="s">
        <v>2511</v>
      </c>
      <c r="I1609" s="56" t="s">
        <v>4455</v>
      </c>
      <c r="J1609" s="56"/>
      <c r="K1609" s="56"/>
      <c r="L1609" s="56"/>
      <c r="M1609" s="56"/>
      <c r="N1609" s="60" t="s">
        <v>124</v>
      </c>
      <c r="O1609" s="56">
        <v>4</v>
      </c>
      <c r="P1609" s="59" t="s">
        <v>2515</v>
      </c>
      <c r="Q1609" s="56" t="s">
        <v>124</v>
      </c>
    </row>
    <row r="1610" spans="1:17" x14ac:dyDescent="0.25">
      <c r="A1610" s="56">
        <v>3502487</v>
      </c>
      <c r="B1610" s="56" t="s">
        <v>5352</v>
      </c>
      <c r="C1610" s="56" t="s">
        <v>5395</v>
      </c>
      <c r="D1610" s="57">
        <v>93</v>
      </c>
      <c r="E1610" s="57">
        <v>2348.5279999999998</v>
      </c>
      <c r="F1610" s="57">
        <v>2.3485279999999999</v>
      </c>
      <c r="G1610" s="56" t="s">
        <v>392</v>
      </c>
      <c r="H1610" s="60" t="s">
        <v>2511</v>
      </c>
      <c r="I1610" s="56" t="s">
        <v>4455</v>
      </c>
      <c r="J1610" s="56"/>
      <c r="K1610" s="56"/>
      <c r="L1610" s="56"/>
      <c r="M1610" s="56"/>
      <c r="N1610" s="60" t="s">
        <v>124</v>
      </c>
      <c r="O1610" s="56">
        <v>4</v>
      </c>
      <c r="P1610" s="59" t="s">
        <v>2515</v>
      </c>
      <c r="Q1610" s="56" t="s">
        <v>124</v>
      </c>
    </row>
    <row r="1611" spans="1:17" x14ac:dyDescent="0.25">
      <c r="A1611" s="56">
        <v>3502487</v>
      </c>
      <c r="B1611" s="56" t="s">
        <v>5352</v>
      </c>
      <c r="C1611" s="56" t="s">
        <v>5396</v>
      </c>
      <c r="D1611" s="57">
        <v>88</v>
      </c>
      <c r="E1611" s="57">
        <v>2219.4879999999998</v>
      </c>
      <c r="F1611" s="57">
        <v>2.2194879999999997</v>
      </c>
      <c r="G1611" s="56" t="s">
        <v>392</v>
      </c>
      <c r="H1611" s="60" t="s">
        <v>2511</v>
      </c>
      <c r="I1611" s="56" t="s">
        <v>4455</v>
      </c>
      <c r="J1611" s="56"/>
      <c r="K1611" s="56"/>
      <c r="L1611" s="56"/>
      <c r="M1611" s="56"/>
      <c r="N1611" s="60" t="s">
        <v>124</v>
      </c>
      <c r="O1611" s="56">
        <v>4</v>
      </c>
      <c r="P1611" s="59" t="s">
        <v>2515</v>
      </c>
      <c r="Q1611" s="56" t="s">
        <v>124</v>
      </c>
    </row>
    <row r="1612" spans="1:17" x14ac:dyDescent="0.25">
      <c r="A1612" s="56">
        <v>3502487</v>
      </c>
      <c r="B1612" s="56" t="s">
        <v>5352</v>
      </c>
      <c r="C1612" s="56" t="s">
        <v>5397</v>
      </c>
      <c r="D1612" s="57">
        <v>59</v>
      </c>
      <c r="E1612" s="57">
        <v>1486.9770000000001</v>
      </c>
      <c r="F1612" s="57">
        <v>1.486977</v>
      </c>
      <c r="G1612" s="56" t="s">
        <v>392</v>
      </c>
      <c r="H1612" s="60" t="s">
        <v>2511</v>
      </c>
      <c r="I1612" s="56" t="s">
        <v>4455</v>
      </c>
      <c r="J1612" s="56"/>
      <c r="K1612" s="56"/>
      <c r="L1612" s="56"/>
      <c r="M1612" s="56"/>
      <c r="N1612" s="60" t="s">
        <v>124</v>
      </c>
      <c r="O1612" s="56">
        <v>4</v>
      </c>
      <c r="P1612" s="59" t="s">
        <v>2515</v>
      </c>
      <c r="Q1612" s="56" t="s">
        <v>124</v>
      </c>
    </row>
    <row r="1613" spans="1:17" x14ac:dyDescent="0.25">
      <c r="A1613" s="56">
        <v>3502487</v>
      </c>
      <c r="B1613" s="56" t="s">
        <v>5352</v>
      </c>
      <c r="C1613" s="56" t="s">
        <v>5398</v>
      </c>
      <c r="D1613" s="57">
        <v>58</v>
      </c>
      <c r="E1613" s="57">
        <v>1461.7739999999999</v>
      </c>
      <c r="F1613" s="57">
        <v>1.4617739999999999</v>
      </c>
      <c r="G1613" s="56" t="s">
        <v>392</v>
      </c>
      <c r="H1613" s="60" t="s">
        <v>2511</v>
      </c>
      <c r="I1613" s="56" t="s">
        <v>4455</v>
      </c>
      <c r="J1613" s="56"/>
      <c r="K1613" s="56"/>
      <c r="L1613" s="56"/>
      <c r="M1613" s="56"/>
      <c r="N1613" s="60" t="s">
        <v>124</v>
      </c>
      <c r="O1613" s="56">
        <v>4</v>
      </c>
      <c r="P1613" s="59" t="s">
        <v>2515</v>
      </c>
      <c r="Q1613" s="56" t="s">
        <v>124</v>
      </c>
    </row>
    <row r="1614" spans="1:17" x14ac:dyDescent="0.25">
      <c r="A1614" s="56">
        <v>3498972</v>
      </c>
      <c r="B1614" s="56" t="s">
        <v>4795</v>
      </c>
      <c r="C1614" s="56" t="s">
        <v>5399</v>
      </c>
      <c r="D1614" s="57">
        <v>413</v>
      </c>
      <c r="E1614" s="57">
        <v>1491.508</v>
      </c>
      <c r="F1614" s="57">
        <v>1.4915080000000001</v>
      </c>
      <c r="G1614" s="56" t="s">
        <v>392</v>
      </c>
      <c r="H1614" s="60" t="s">
        <v>2511</v>
      </c>
      <c r="I1614" s="56" t="s">
        <v>4455</v>
      </c>
      <c r="J1614" s="56"/>
      <c r="K1614" s="56"/>
      <c r="L1614" s="56"/>
      <c r="M1614" s="56"/>
      <c r="N1614" s="60" t="s">
        <v>124</v>
      </c>
      <c r="O1614" s="56">
        <v>4</v>
      </c>
      <c r="P1614" s="59" t="s">
        <v>2515</v>
      </c>
      <c r="Q1614" s="56" t="s">
        <v>124</v>
      </c>
    </row>
    <row r="1615" spans="1:17" x14ac:dyDescent="0.25">
      <c r="A1615" s="56">
        <v>3498972</v>
      </c>
      <c r="B1615" s="56" t="s">
        <v>4795</v>
      </c>
      <c r="C1615" s="56" t="s">
        <v>5400</v>
      </c>
      <c r="D1615" s="57">
        <v>420</v>
      </c>
      <c r="E1615" s="57">
        <v>1516.788</v>
      </c>
      <c r="F1615" s="57">
        <v>1.516788</v>
      </c>
      <c r="G1615" s="56" t="s">
        <v>392</v>
      </c>
      <c r="H1615" s="60" t="s">
        <v>2511</v>
      </c>
      <c r="I1615" s="56" t="s">
        <v>4455</v>
      </c>
      <c r="J1615" s="56"/>
      <c r="K1615" s="56"/>
      <c r="L1615" s="56"/>
      <c r="M1615" s="56"/>
      <c r="N1615" s="60" t="s">
        <v>124</v>
      </c>
      <c r="O1615" s="56">
        <v>4</v>
      </c>
      <c r="P1615" s="59" t="s">
        <v>2515</v>
      </c>
      <c r="Q1615" s="56" t="s">
        <v>124</v>
      </c>
    </row>
    <row r="1616" spans="1:17" x14ac:dyDescent="0.25">
      <c r="A1616" s="56">
        <v>3502322</v>
      </c>
      <c r="B1616" s="56" t="s">
        <v>5401</v>
      </c>
      <c r="C1616" s="56" t="s">
        <v>5402</v>
      </c>
      <c r="D1616" s="57">
        <v>100</v>
      </c>
      <c r="E1616" s="57">
        <v>1487.5</v>
      </c>
      <c r="F1616" s="57">
        <v>1.4875</v>
      </c>
      <c r="G1616" s="56" t="s">
        <v>392</v>
      </c>
      <c r="H1616" s="60" t="s">
        <v>2511</v>
      </c>
      <c r="I1616" s="56" t="s">
        <v>4455</v>
      </c>
      <c r="J1616" s="56"/>
      <c r="K1616" s="56"/>
      <c r="L1616" s="56"/>
      <c r="M1616" s="56"/>
      <c r="N1616" s="60" t="s">
        <v>124</v>
      </c>
      <c r="O1616" s="56">
        <v>3</v>
      </c>
      <c r="P1616" s="59" t="s">
        <v>2515</v>
      </c>
      <c r="Q1616" s="56" t="s">
        <v>124</v>
      </c>
    </row>
    <row r="1617" spans="1:17" x14ac:dyDescent="0.25">
      <c r="A1617" s="56">
        <v>3502322</v>
      </c>
      <c r="B1617" s="56" t="s">
        <v>5401</v>
      </c>
      <c r="C1617" s="56" t="s">
        <v>5403</v>
      </c>
      <c r="D1617" s="57">
        <v>100</v>
      </c>
      <c r="E1617" s="57">
        <v>1487.5</v>
      </c>
      <c r="F1617" s="57">
        <v>1.4875</v>
      </c>
      <c r="G1617" s="56" t="s">
        <v>392</v>
      </c>
      <c r="H1617" s="60" t="s">
        <v>2511</v>
      </c>
      <c r="I1617" s="56" t="s">
        <v>4455</v>
      </c>
      <c r="J1617" s="56"/>
      <c r="K1617" s="56"/>
      <c r="L1617" s="56"/>
      <c r="M1617" s="56"/>
      <c r="N1617" s="60" t="s">
        <v>124</v>
      </c>
      <c r="O1617" s="56">
        <v>3</v>
      </c>
      <c r="P1617" s="59" t="s">
        <v>2515</v>
      </c>
      <c r="Q1617" s="56" t="s">
        <v>124</v>
      </c>
    </row>
    <row r="1618" spans="1:17" x14ac:dyDescent="0.25">
      <c r="A1618" s="56">
        <v>3502322</v>
      </c>
      <c r="B1618" s="56" t="s">
        <v>5401</v>
      </c>
      <c r="C1618" s="56" t="s">
        <v>5404</v>
      </c>
      <c r="D1618" s="57">
        <v>100</v>
      </c>
      <c r="E1618" s="57">
        <v>1487.5</v>
      </c>
      <c r="F1618" s="57">
        <v>1.4875</v>
      </c>
      <c r="G1618" s="56" t="s">
        <v>392</v>
      </c>
      <c r="H1618" s="60" t="s">
        <v>2511</v>
      </c>
      <c r="I1618" s="56" t="s">
        <v>4455</v>
      </c>
      <c r="J1618" s="56"/>
      <c r="K1618" s="56"/>
      <c r="L1618" s="56"/>
      <c r="M1618" s="56"/>
      <c r="N1618" s="60" t="s">
        <v>124</v>
      </c>
      <c r="O1618" s="56">
        <v>3</v>
      </c>
      <c r="P1618" s="59" t="s">
        <v>2515</v>
      </c>
      <c r="Q1618" s="56" t="s">
        <v>124</v>
      </c>
    </row>
    <row r="1619" spans="1:17" x14ac:dyDescent="0.25">
      <c r="A1619" s="56">
        <v>3502322</v>
      </c>
      <c r="B1619" s="56" t="s">
        <v>5401</v>
      </c>
      <c r="C1619" s="56" t="s">
        <v>5405</v>
      </c>
      <c r="D1619" s="57">
        <v>100</v>
      </c>
      <c r="E1619" s="57">
        <v>1487.5</v>
      </c>
      <c r="F1619" s="57">
        <v>1.4875</v>
      </c>
      <c r="G1619" s="56" t="s">
        <v>392</v>
      </c>
      <c r="H1619" s="60" t="s">
        <v>2511</v>
      </c>
      <c r="I1619" s="56" t="s">
        <v>4455</v>
      </c>
      <c r="J1619" s="56"/>
      <c r="K1619" s="56"/>
      <c r="L1619" s="56"/>
      <c r="M1619" s="56"/>
      <c r="N1619" s="60" t="s">
        <v>124</v>
      </c>
      <c r="O1619" s="56">
        <v>3</v>
      </c>
      <c r="P1619" s="59" t="s">
        <v>2515</v>
      </c>
      <c r="Q1619" s="56" t="s">
        <v>124</v>
      </c>
    </row>
    <row r="1620" spans="1:17" x14ac:dyDescent="0.25">
      <c r="A1620" s="56">
        <v>3502322</v>
      </c>
      <c r="B1620" s="56" t="s">
        <v>5401</v>
      </c>
      <c r="C1620" s="56" t="s">
        <v>5406</v>
      </c>
      <c r="D1620" s="57">
        <v>100</v>
      </c>
      <c r="E1620" s="57">
        <v>1487.5</v>
      </c>
      <c r="F1620" s="57">
        <v>1.4875</v>
      </c>
      <c r="G1620" s="56" t="s">
        <v>392</v>
      </c>
      <c r="H1620" s="60" t="s">
        <v>2511</v>
      </c>
      <c r="I1620" s="56" t="s">
        <v>4455</v>
      </c>
      <c r="J1620" s="56"/>
      <c r="K1620" s="56"/>
      <c r="L1620" s="56"/>
      <c r="M1620" s="56"/>
      <c r="N1620" s="60" t="s">
        <v>124</v>
      </c>
      <c r="O1620" s="56">
        <v>3</v>
      </c>
      <c r="P1620" s="59" t="s">
        <v>2515</v>
      </c>
      <c r="Q1620" s="56" t="s">
        <v>124</v>
      </c>
    </row>
    <row r="1621" spans="1:17" x14ac:dyDescent="0.25">
      <c r="A1621" s="56">
        <v>3502322</v>
      </c>
      <c r="B1621" s="56" t="s">
        <v>5401</v>
      </c>
      <c r="C1621" s="56" t="s">
        <v>5407</v>
      </c>
      <c r="D1621" s="57">
        <v>100</v>
      </c>
      <c r="E1621" s="57">
        <v>1487.5</v>
      </c>
      <c r="F1621" s="57">
        <v>1.4875</v>
      </c>
      <c r="G1621" s="56" t="s">
        <v>392</v>
      </c>
      <c r="H1621" s="60" t="s">
        <v>2511</v>
      </c>
      <c r="I1621" s="56" t="s">
        <v>4455</v>
      </c>
      <c r="J1621" s="56"/>
      <c r="K1621" s="56"/>
      <c r="L1621" s="56"/>
      <c r="M1621" s="56"/>
      <c r="N1621" s="60" t="s">
        <v>124</v>
      </c>
      <c r="O1621" s="56">
        <v>3</v>
      </c>
      <c r="P1621" s="59" t="s">
        <v>2515</v>
      </c>
      <c r="Q1621" s="56" t="s">
        <v>124</v>
      </c>
    </row>
    <row r="1622" spans="1:17" x14ac:dyDescent="0.25">
      <c r="A1622" s="56">
        <v>3502322</v>
      </c>
      <c r="B1622" s="56" t="s">
        <v>5401</v>
      </c>
      <c r="C1622" s="56" t="s">
        <v>5408</v>
      </c>
      <c r="D1622" s="57">
        <v>100</v>
      </c>
      <c r="E1622" s="57">
        <v>1487.5</v>
      </c>
      <c r="F1622" s="57">
        <v>1.4875</v>
      </c>
      <c r="G1622" s="56" t="s">
        <v>392</v>
      </c>
      <c r="H1622" s="60" t="s">
        <v>2511</v>
      </c>
      <c r="I1622" s="56" t="s">
        <v>4455</v>
      </c>
      <c r="J1622" s="56"/>
      <c r="K1622" s="56"/>
      <c r="L1622" s="56"/>
      <c r="M1622" s="56"/>
      <c r="N1622" s="60" t="s">
        <v>124</v>
      </c>
      <c r="O1622" s="56">
        <v>3</v>
      </c>
      <c r="P1622" s="59" t="s">
        <v>2515</v>
      </c>
      <c r="Q1622" s="56" t="s">
        <v>124</v>
      </c>
    </row>
    <row r="1623" spans="1:17" x14ac:dyDescent="0.25">
      <c r="A1623" s="56">
        <v>3502322</v>
      </c>
      <c r="B1623" s="56" t="s">
        <v>5401</v>
      </c>
      <c r="C1623" s="56" t="s">
        <v>5409</v>
      </c>
      <c r="D1623" s="57">
        <v>100</v>
      </c>
      <c r="E1623" s="57">
        <v>1487.5</v>
      </c>
      <c r="F1623" s="57">
        <v>1.4875</v>
      </c>
      <c r="G1623" s="56" t="s">
        <v>392</v>
      </c>
      <c r="H1623" s="60" t="s">
        <v>2511</v>
      </c>
      <c r="I1623" s="56" t="s">
        <v>4455</v>
      </c>
      <c r="J1623" s="56"/>
      <c r="K1623" s="56"/>
      <c r="L1623" s="56"/>
      <c r="M1623" s="56"/>
      <c r="N1623" s="60" t="s">
        <v>124</v>
      </c>
      <c r="O1623" s="56">
        <v>3</v>
      </c>
      <c r="P1623" s="59" t="s">
        <v>2515</v>
      </c>
      <c r="Q1623" s="56" t="s">
        <v>124</v>
      </c>
    </row>
    <row r="1624" spans="1:17" x14ac:dyDescent="0.25">
      <c r="A1624" s="56">
        <v>3502322</v>
      </c>
      <c r="B1624" s="56" t="s">
        <v>5401</v>
      </c>
      <c r="C1624" s="56" t="s">
        <v>5410</v>
      </c>
      <c r="D1624" s="57">
        <v>100</v>
      </c>
      <c r="E1624" s="57">
        <v>1487.5</v>
      </c>
      <c r="F1624" s="57">
        <v>1.4875</v>
      </c>
      <c r="G1624" s="56" t="s">
        <v>392</v>
      </c>
      <c r="H1624" s="60" t="s">
        <v>2511</v>
      </c>
      <c r="I1624" s="56" t="s">
        <v>4455</v>
      </c>
      <c r="J1624" s="56"/>
      <c r="K1624" s="56"/>
      <c r="L1624" s="56"/>
      <c r="M1624" s="56"/>
      <c r="N1624" s="60" t="s">
        <v>124</v>
      </c>
      <c r="O1624" s="56">
        <v>3</v>
      </c>
      <c r="P1624" s="59" t="s">
        <v>2515</v>
      </c>
      <c r="Q1624" s="56" t="s">
        <v>124</v>
      </c>
    </row>
    <row r="1625" spans="1:17" x14ac:dyDescent="0.25">
      <c r="A1625" s="56">
        <v>3502322</v>
      </c>
      <c r="B1625" s="56" t="s">
        <v>5401</v>
      </c>
      <c r="C1625" s="56" t="s">
        <v>5411</v>
      </c>
      <c r="D1625" s="57">
        <v>85</v>
      </c>
      <c r="E1625" s="57">
        <v>1264.375</v>
      </c>
      <c r="F1625" s="57">
        <v>1.264375</v>
      </c>
      <c r="G1625" s="56" t="s">
        <v>392</v>
      </c>
      <c r="H1625" s="60" t="s">
        <v>2511</v>
      </c>
      <c r="I1625" s="56" t="s">
        <v>4455</v>
      </c>
      <c r="J1625" s="56"/>
      <c r="K1625" s="56"/>
      <c r="L1625" s="56"/>
      <c r="M1625" s="56"/>
      <c r="N1625" s="60" t="s">
        <v>124</v>
      </c>
      <c r="O1625" s="56">
        <v>3</v>
      </c>
      <c r="P1625" s="59" t="s">
        <v>2515</v>
      </c>
      <c r="Q1625" s="56" t="s">
        <v>124</v>
      </c>
    </row>
    <row r="1626" spans="1:17" x14ac:dyDescent="0.25">
      <c r="A1626" s="56">
        <v>3502322</v>
      </c>
      <c r="B1626" s="56" t="s">
        <v>5401</v>
      </c>
      <c r="C1626" s="56" t="s">
        <v>5412</v>
      </c>
      <c r="D1626" s="57">
        <v>62</v>
      </c>
      <c r="E1626" s="57">
        <v>922.25</v>
      </c>
      <c r="F1626" s="57">
        <v>0.92225000000000001</v>
      </c>
      <c r="G1626" s="56" t="s">
        <v>392</v>
      </c>
      <c r="H1626" s="60" t="s">
        <v>2511</v>
      </c>
      <c r="I1626" s="56" t="s">
        <v>4455</v>
      </c>
      <c r="J1626" s="56"/>
      <c r="K1626" s="56"/>
      <c r="L1626" s="56"/>
      <c r="M1626" s="56"/>
      <c r="N1626" s="60" t="s">
        <v>124</v>
      </c>
      <c r="O1626" s="56">
        <v>3</v>
      </c>
      <c r="P1626" s="59" t="s">
        <v>2515</v>
      </c>
      <c r="Q1626" s="56" t="s">
        <v>124</v>
      </c>
    </row>
    <row r="1627" spans="1:17" x14ac:dyDescent="0.25">
      <c r="A1627" s="56">
        <v>3682070</v>
      </c>
      <c r="B1627" s="56" t="s">
        <v>2448</v>
      </c>
      <c r="C1627" s="56" t="s">
        <v>5413</v>
      </c>
      <c r="D1627" s="57">
        <v>450</v>
      </c>
      <c r="E1627" s="57">
        <v>2488.9050000000002</v>
      </c>
      <c r="F1627" s="57">
        <v>2.4889050000000004</v>
      </c>
      <c r="G1627" s="56" t="s">
        <v>392</v>
      </c>
      <c r="H1627" s="60" t="s">
        <v>2511</v>
      </c>
      <c r="I1627" s="56" t="s">
        <v>4455</v>
      </c>
      <c r="J1627" s="56"/>
      <c r="K1627" s="56"/>
      <c r="L1627" s="56"/>
      <c r="M1627" s="56"/>
      <c r="N1627" s="60" t="s">
        <v>124</v>
      </c>
      <c r="O1627" s="56">
        <v>3</v>
      </c>
      <c r="P1627" s="59" t="s">
        <v>2515</v>
      </c>
      <c r="Q1627" s="56" t="s">
        <v>124</v>
      </c>
    </row>
    <row r="1628" spans="1:17" x14ac:dyDescent="0.25">
      <c r="A1628" s="56">
        <v>3682070</v>
      </c>
      <c r="B1628" s="56" t="s">
        <v>2448</v>
      </c>
      <c r="C1628" s="56" t="s">
        <v>5414</v>
      </c>
      <c r="D1628" s="57">
        <v>450</v>
      </c>
      <c r="E1628" s="57">
        <v>2488.9050000000002</v>
      </c>
      <c r="F1628" s="57">
        <v>2.4889050000000004</v>
      </c>
      <c r="G1628" s="56" t="s">
        <v>392</v>
      </c>
      <c r="H1628" s="60" t="s">
        <v>2511</v>
      </c>
      <c r="I1628" s="56" t="s">
        <v>4455</v>
      </c>
      <c r="J1628" s="56"/>
      <c r="K1628" s="56"/>
      <c r="L1628" s="56"/>
      <c r="M1628" s="56"/>
      <c r="N1628" s="60" t="s">
        <v>124</v>
      </c>
      <c r="O1628" s="56">
        <v>3</v>
      </c>
      <c r="P1628" s="59" t="s">
        <v>2515</v>
      </c>
      <c r="Q1628" s="56" t="s">
        <v>124</v>
      </c>
    </row>
    <row r="1629" spans="1:17" x14ac:dyDescent="0.25">
      <c r="A1629" s="56">
        <v>3682070</v>
      </c>
      <c r="B1629" s="56" t="s">
        <v>2448</v>
      </c>
      <c r="C1629" s="56" t="s">
        <v>5415</v>
      </c>
      <c r="D1629" s="57">
        <v>434</v>
      </c>
      <c r="E1629" s="57">
        <v>2400.4110000000001</v>
      </c>
      <c r="F1629" s="57">
        <v>2.4004110000000001</v>
      </c>
      <c r="G1629" s="56" t="s">
        <v>392</v>
      </c>
      <c r="H1629" s="60" t="s">
        <v>2511</v>
      </c>
      <c r="I1629" s="56" t="s">
        <v>4455</v>
      </c>
      <c r="J1629" s="56"/>
      <c r="K1629" s="56"/>
      <c r="L1629" s="56"/>
      <c r="M1629" s="56"/>
      <c r="N1629" s="60" t="s">
        <v>124</v>
      </c>
      <c r="O1629" s="56">
        <v>3</v>
      </c>
      <c r="P1629" s="59" t="s">
        <v>2515</v>
      </c>
      <c r="Q1629" s="56" t="s">
        <v>124</v>
      </c>
    </row>
    <row r="1630" spans="1:17" x14ac:dyDescent="0.25">
      <c r="A1630" s="56">
        <v>3682070</v>
      </c>
      <c r="B1630" s="56" t="s">
        <v>2448</v>
      </c>
      <c r="C1630" s="56" t="s">
        <v>5416</v>
      </c>
      <c r="D1630" s="57">
        <v>448</v>
      </c>
      <c r="E1630" s="57">
        <v>2477.8429999999998</v>
      </c>
      <c r="F1630" s="57">
        <v>2.477843</v>
      </c>
      <c r="G1630" s="56" t="s">
        <v>392</v>
      </c>
      <c r="H1630" s="60" t="s">
        <v>2511</v>
      </c>
      <c r="I1630" s="56" t="s">
        <v>4455</v>
      </c>
      <c r="J1630" s="56"/>
      <c r="K1630" s="56"/>
      <c r="L1630" s="56"/>
      <c r="M1630" s="56"/>
      <c r="N1630" s="60" t="s">
        <v>124</v>
      </c>
      <c r="O1630" s="56">
        <v>3</v>
      </c>
      <c r="P1630" s="59" t="s">
        <v>2515</v>
      </c>
      <c r="Q1630" s="56" t="s">
        <v>124</v>
      </c>
    </row>
    <row r="1631" spans="1:17" x14ac:dyDescent="0.25">
      <c r="A1631" s="56">
        <v>3682070</v>
      </c>
      <c r="B1631" s="56" t="s">
        <v>2448</v>
      </c>
      <c r="C1631" s="56" t="s">
        <v>5417</v>
      </c>
      <c r="D1631" s="57">
        <v>448</v>
      </c>
      <c r="E1631" s="57">
        <v>2477.8429999999998</v>
      </c>
      <c r="F1631" s="57">
        <v>2.477843</v>
      </c>
      <c r="G1631" s="56" t="s">
        <v>392</v>
      </c>
      <c r="H1631" s="60" t="s">
        <v>2511</v>
      </c>
      <c r="I1631" s="56" t="s">
        <v>4455</v>
      </c>
      <c r="J1631" s="56"/>
      <c r="K1631" s="56"/>
      <c r="L1631" s="56"/>
      <c r="M1631" s="56"/>
      <c r="N1631" s="60" t="s">
        <v>124</v>
      </c>
      <c r="O1631" s="56">
        <v>3</v>
      </c>
      <c r="P1631" s="59" t="s">
        <v>2515</v>
      </c>
      <c r="Q1631" s="56" t="s">
        <v>124</v>
      </c>
    </row>
    <row r="1632" spans="1:17" x14ac:dyDescent="0.25">
      <c r="A1632" s="56">
        <v>3682070</v>
      </c>
      <c r="B1632" s="56" t="s">
        <v>2448</v>
      </c>
      <c r="C1632" s="56" t="s">
        <v>5418</v>
      </c>
      <c r="D1632" s="57">
        <v>449</v>
      </c>
      <c r="E1632" s="57">
        <v>2483.3739999999998</v>
      </c>
      <c r="F1632" s="57">
        <v>2.483374</v>
      </c>
      <c r="G1632" s="56" t="s">
        <v>392</v>
      </c>
      <c r="H1632" s="60" t="s">
        <v>2511</v>
      </c>
      <c r="I1632" s="56" t="s">
        <v>4455</v>
      </c>
      <c r="J1632" s="56"/>
      <c r="K1632" s="56"/>
      <c r="L1632" s="56"/>
      <c r="M1632" s="56"/>
      <c r="N1632" s="60" t="s">
        <v>124</v>
      </c>
      <c r="O1632" s="56">
        <v>3</v>
      </c>
      <c r="P1632" s="59" t="s">
        <v>2515</v>
      </c>
      <c r="Q1632" s="56" t="s">
        <v>124</v>
      </c>
    </row>
    <row r="1633" spans="1:17" x14ac:dyDescent="0.25">
      <c r="A1633" s="56">
        <v>3682070</v>
      </c>
      <c r="B1633" s="56" t="s">
        <v>2448</v>
      </c>
      <c r="C1633" s="56" t="s">
        <v>5419</v>
      </c>
      <c r="D1633" s="57">
        <v>450</v>
      </c>
      <c r="E1633" s="57">
        <v>2488.9050000000002</v>
      </c>
      <c r="F1633" s="57">
        <v>2.4889050000000004</v>
      </c>
      <c r="G1633" s="56" t="s">
        <v>392</v>
      </c>
      <c r="H1633" s="60" t="s">
        <v>2511</v>
      </c>
      <c r="I1633" s="56" t="s">
        <v>4455</v>
      </c>
      <c r="J1633" s="56"/>
      <c r="K1633" s="56"/>
      <c r="L1633" s="56"/>
      <c r="M1633" s="56"/>
      <c r="N1633" s="60" t="s">
        <v>124</v>
      </c>
      <c r="O1633" s="56">
        <v>2</v>
      </c>
      <c r="P1633" s="59" t="s">
        <v>2515</v>
      </c>
      <c r="Q1633" s="56" t="s">
        <v>124</v>
      </c>
    </row>
    <row r="1634" spans="1:17" x14ac:dyDescent="0.25">
      <c r="A1634" s="56">
        <v>3682070</v>
      </c>
      <c r="B1634" s="56" t="s">
        <v>2448</v>
      </c>
      <c r="C1634" s="56" t="s">
        <v>5420</v>
      </c>
      <c r="D1634" s="57">
        <v>450</v>
      </c>
      <c r="E1634" s="57">
        <v>2488.9050000000002</v>
      </c>
      <c r="F1634" s="57">
        <v>2.4889050000000004</v>
      </c>
      <c r="G1634" s="56" t="s">
        <v>392</v>
      </c>
      <c r="H1634" s="60" t="s">
        <v>2511</v>
      </c>
      <c r="I1634" s="56" t="s">
        <v>4455</v>
      </c>
      <c r="J1634" s="56"/>
      <c r="K1634" s="56"/>
      <c r="L1634" s="56"/>
      <c r="M1634" s="56"/>
      <c r="N1634" s="60" t="s">
        <v>124</v>
      </c>
      <c r="O1634" s="56">
        <v>2</v>
      </c>
      <c r="P1634" s="59" t="s">
        <v>2515</v>
      </c>
      <c r="Q1634" s="56" t="s">
        <v>124</v>
      </c>
    </row>
    <row r="1635" spans="1:17" x14ac:dyDescent="0.25">
      <c r="A1635" s="56">
        <v>3682070</v>
      </c>
      <c r="B1635" s="56" t="s">
        <v>2448</v>
      </c>
      <c r="C1635" s="56" t="s">
        <v>5421</v>
      </c>
      <c r="D1635" s="57">
        <v>450</v>
      </c>
      <c r="E1635" s="57">
        <v>2488.9050000000002</v>
      </c>
      <c r="F1635" s="57">
        <v>2.4889050000000004</v>
      </c>
      <c r="G1635" s="56" t="s">
        <v>392</v>
      </c>
      <c r="H1635" s="60" t="s">
        <v>2511</v>
      </c>
      <c r="I1635" s="56" t="s">
        <v>4455</v>
      </c>
      <c r="J1635" s="56"/>
      <c r="K1635" s="56"/>
      <c r="L1635" s="56"/>
      <c r="M1635" s="56"/>
      <c r="N1635" s="60" t="s">
        <v>124</v>
      </c>
      <c r="O1635" s="56">
        <v>2</v>
      </c>
      <c r="P1635" s="59" t="s">
        <v>2515</v>
      </c>
      <c r="Q1635" s="56" t="s">
        <v>124</v>
      </c>
    </row>
    <row r="1636" spans="1:17" x14ac:dyDescent="0.25">
      <c r="A1636" s="56">
        <v>3682070</v>
      </c>
      <c r="B1636" s="56" t="s">
        <v>2448</v>
      </c>
      <c r="C1636" s="56" t="s">
        <v>5422</v>
      </c>
      <c r="D1636" s="57">
        <v>450</v>
      </c>
      <c r="E1636" s="57">
        <v>2488.9050000000002</v>
      </c>
      <c r="F1636" s="57">
        <v>2.4889050000000004</v>
      </c>
      <c r="G1636" s="56" t="s">
        <v>392</v>
      </c>
      <c r="H1636" s="60" t="s">
        <v>2511</v>
      </c>
      <c r="I1636" s="56" t="s">
        <v>4455</v>
      </c>
      <c r="J1636" s="56"/>
      <c r="K1636" s="56"/>
      <c r="L1636" s="56"/>
      <c r="M1636" s="56"/>
      <c r="N1636" s="60" t="s">
        <v>124</v>
      </c>
      <c r="O1636" s="56">
        <v>2</v>
      </c>
      <c r="P1636" s="59" t="s">
        <v>2515</v>
      </c>
      <c r="Q1636" s="56" t="s">
        <v>124</v>
      </c>
    </row>
    <row r="1637" spans="1:17" x14ac:dyDescent="0.25">
      <c r="A1637" s="56">
        <v>3682070</v>
      </c>
      <c r="B1637" s="56" t="s">
        <v>2448</v>
      </c>
      <c r="C1637" s="56" t="s">
        <v>5423</v>
      </c>
      <c r="D1637" s="57">
        <v>450</v>
      </c>
      <c r="E1637" s="57">
        <v>2488.9050000000002</v>
      </c>
      <c r="F1637" s="57">
        <v>2.4889050000000004</v>
      </c>
      <c r="G1637" s="56" t="s">
        <v>392</v>
      </c>
      <c r="H1637" s="60" t="s">
        <v>2511</v>
      </c>
      <c r="I1637" s="56" t="s">
        <v>4455</v>
      </c>
      <c r="J1637" s="56"/>
      <c r="K1637" s="56"/>
      <c r="L1637" s="56"/>
      <c r="M1637" s="56"/>
      <c r="N1637" s="60" t="s">
        <v>124</v>
      </c>
      <c r="O1637" s="56">
        <v>2</v>
      </c>
      <c r="P1637" s="59" t="s">
        <v>2515</v>
      </c>
      <c r="Q1637" s="56" t="s">
        <v>124</v>
      </c>
    </row>
    <row r="1638" spans="1:17" x14ac:dyDescent="0.25">
      <c r="A1638" s="56">
        <v>3682070</v>
      </c>
      <c r="B1638" s="56" t="s">
        <v>2448</v>
      </c>
      <c r="C1638" s="56" t="s">
        <v>5424</v>
      </c>
      <c r="D1638" s="57">
        <v>450</v>
      </c>
      <c r="E1638" s="57">
        <v>2488.9050000000002</v>
      </c>
      <c r="F1638" s="57">
        <v>2.4889050000000004</v>
      </c>
      <c r="G1638" s="56" t="s">
        <v>392</v>
      </c>
      <c r="H1638" s="60" t="s">
        <v>2511</v>
      </c>
      <c r="I1638" s="56" t="s">
        <v>4455</v>
      </c>
      <c r="J1638" s="56"/>
      <c r="K1638" s="56"/>
      <c r="L1638" s="56"/>
      <c r="M1638" s="56"/>
      <c r="N1638" s="60" t="s">
        <v>124</v>
      </c>
      <c r="O1638" s="56">
        <v>2</v>
      </c>
      <c r="P1638" s="59" t="s">
        <v>2515</v>
      </c>
      <c r="Q1638" s="56" t="s">
        <v>124</v>
      </c>
    </row>
    <row r="1639" spans="1:17" x14ac:dyDescent="0.25">
      <c r="A1639" s="56">
        <v>3682070</v>
      </c>
      <c r="B1639" s="56" t="s">
        <v>2448</v>
      </c>
      <c r="C1639" s="56" t="s">
        <v>5425</v>
      </c>
      <c r="D1639" s="57">
        <v>452</v>
      </c>
      <c r="E1639" s="57">
        <v>2499.9670000000001</v>
      </c>
      <c r="F1639" s="57">
        <v>2.4999670000000003</v>
      </c>
      <c r="G1639" s="56" t="s">
        <v>392</v>
      </c>
      <c r="H1639" s="60" t="s">
        <v>2511</v>
      </c>
      <c r="I1639" s="56" t="s">
        <v>4455</v>
      </c>
      <c r="J1639" s="56"/>
      <c r="K1639" s="56"/>
      <c r="L1639" s="56"/>
      <c r="M1639" s="56"/>
      <c r="N1639" s="60" t="s">
        <v>124</v>
      </c>
      <c r="O1639" s="56">
        <v>2</v>
      </c>
      <c r="P1639" s="59" t="s">
        <v>2515</v>
      </c>
      <c r="Q1639" s="56" t="s">
        <v>124</v>
      </c>
    </row>
    <row r="1640" spans="1:17" x14ac:dyDescent="0.25">
      <c r="A1640" s="56">
        <v>3682070</v>
      </c>
      <c r="B1640" s="56" t="s">
        <v>2448</v>
      </c>
      <c r="C1640" s="56" t="s">
        <v>5426</v>
      </c>
      <c r="D1640" s="57">
        <v>258</v>
      </c>
      <c r="E1640" s="57">
        <v>1426.972</v>
      </c>
      <c r="F1640" s="57">
        <v>1.4269719999999999</v>
      </c>
      <c r="G1640" s="56" t="s">
        <v>392</v>
      </c>
      <c r="H1640" s="60" t="s">
        <v>2511</v>
      </c>
      <c r="I1640" s="56" t="s">
        <v>4455</v>
      </c>
      <c r="J1640" s="56"/>
      <c r="K1640" s="56"/>
      <c r="L1640" s="56"/>
      <c r="M1640" s="56"/>
      <c r="N1640" s="60" t="s">
        <v>124</v>
      </c>
      <c r="O1640" s="56">
        <v>2</v>
      </c>
      <c r="P1640" s="59" t="s">
        <v>2515</v>
      </c>
      <c r="Q1640" s="56" t="s">
        <v>124</v>
      </c>
    </row>
    <row r="1641" spans="1:17" x14ac:dyDescent="0.25">
      <c r="A1641" s="56">
        <v>3682070</v>
      </c>
      <c r="B1641" s="56" t="s">
        <v>2448</v>
      </c>
      <c r="C1641" s="56" t="s">
        <v>5427</v>
      </c>
      <c r="D1641" s="57">
        <v>449</v>
      </c>
      <c r="E1641" s="57">
        <v>2483.3739999999998</v>
      </c>
      <c r="F1641" s="57">
        <v>2.483374</v>
      </c>
      <c r="G1641" s="56" t="s">
        <v>392</v>
      </c>
      <c r="H1641" s="60" t="s">
        <v>2511</v>
      </c>
      <c r="I1641" s="56" t="s">
        <v>4455</v>
      </c>
      <c r="J1641" s="56"/>
      <c r="K1641" s="56"/>
      <c r="L1641" s="56"/>
      <c r="M1641" s="56"/>
      <c r="N1641" s="60" t="s">
        <v>124</v>
      </c>
      <c r="O1641" s="56">
        <v>2</v>
      </c>
      <c r="P1641" s="59" t="s">
        <v>2515</v>
      </c>
      <c r="Q1641" s="56" t="s">
        <v>124</v>
      </c>
    </row>
    <row r="1642" spans="1:17" x14ac:dyDescent="0.25">
      <c r="A1642" s="56">
        <v>3682070</v>
      </c>
      <c r="B1642" s="56" t="s">
        <v>2448</v>
      </c>
      <c r="C1642" s="56" t="s">
        <v>5428</v>
      </c>
      <c r="D1642" s="57">
        <v>449</v>
      </c>
      <c r="E1642" s="57">
        <v>2483.3739999999998</v>
      </c>
      <c r="F1642" s="57">
        <v>2.483374</v>
      </c>
      <c r="G1642" s="56" t="s">
        <v>392</v>
      </c>
      <c r="H1642" s="60" t="s">
        <v>2511</v>
      </c>
      <c r="I1642" s="56" t="s">
        <v>4455</v>
      </c>
      <c r="J1642" s="56"/>
      <c r="K1642" s="56"/>
      <c r="L1642" s="56"/>
      <c r="M1642" s="56"/>
      <c r="N1642" s="60" t="s">
        <v>124</v>
      </c>
      <c r="O1642" s="56">
        <v>2</v>
      </c>
      <c r="P1642" s="59" t="s">
        <v>2515</v>
      </c>
      <c r="Q1642" s="56" t="s">
        <v>124</v>
      </c>
    </row>
    <row r="1643" spans="1:17" x14ac:dyDescent="0.25">
      <c r="A1643" s="56">
        <v>3682070</v>
      </c>
      <c r="B1643" s="56" t="s">
        <v>2448</v>
      </c>
      <c r="C1643" s="56" t="s">
        <v>5429</v>
      </c>
      <c r="D1643" s="57">
        <v>299</v>
      </c>
      <c r="E1643" s="57">
        <v>1653.739</v>
      </c>
      <c r="F1643" s="57">
        <v>1.6537390000000001</v>
      </c>
      <c r="G1643" s="56" t="s">
        <v>392</v>
      </c>
      <c r="H1643" s="60" t="s">
        <v>2511</v>
      </c>
      <c r="I1643" s="56" t="s">
        <v>4455</v>
      </c>
      <c r="J1643" s="56"/>
      <c r="K1643" s="56"/>
      <c r="L1643" s="56"/>
      <c r="M1643" s="56"/>
      <c r="N1643" s="60" t="s">
        <v>124</v>
      </c>
      <c r="O1643" s="56">
        <v>2</v>
      </c>
      <c r="P1643" s="59" t="s">
        <v>2515</v>
      </c>
      <c r="Q1643" s="56" t="s">
        <v>124</v>
      </c>
    </row>
    <row r="1644" spans="1:17" x14ac:dyDescent="0.25">
      <c r="A1644" s="56">
        <v>3636656</v>
      </c>
      <c r="B1644" s="56" t="s">
        <v>5430</v>
      </c>
      <c r="C1644" s="56" t="s">
        <v>5431</v>
      </c>
      <c r="D1644" s="57">
        <v>220</v>
      </c>
      <c r="E1644" s="57">
        <v>2117.346</v>
      </c>
      <c r="F1644" s="57">
        <v>2.117346</v>
      </c>
      <c r="G1644" s="56" t="s">
        <v>392</v>
      </c>
      <c r="H1644" s="60" t="s">
        <v>2511</v>
      </c>
      <c r="I1644" s="56" t="s">
        <v>4455</v>
      </c>
      <c r="J1644" s="56"/>
      <c r="K1644" s="56"/>
      <c r="L1644" s="56"/>
      <c r="M1644" s="56"/>
      <c r="N1644" s="60" t="s">
        <v>124</v>
      </c>
      <c r="O1644" s="56">
        <v>1</v>
      </c>
      <c r="P1644" s="59" t="s">
        <v>2515</v>
      </c>
      <c r="Q1644" s="56" t="s">
        <v>124</v>
      </c>
    </row>
    <row r="1645" spans="1:17" x14ac:dyDescent="0.25">
      <c r="A1645" s="56">
        <v>3636656</v>
      </c>
      <c r="B1645" s="56" t="s">
        <v>5430</v>
      </c>
      <c r="C1645" s="56" t="s">
        <v>5432</v>
      </c>
      <c r="D1645" s="57">
        <v>218</v>
      </c>
      <c r="E1645" s="57">
        <v>2098.0970000000002</v>
      </c>
      <c r="F1645" s="57">
        <v>2.0980970000000001</v>
      </c>
      <c r="G1645" s="56" t="s">
        <v>392</v>
      </c>
      <c r="H1645" s="60" t="s">
        <v>2511</v>
      </c>
      <c r="I1645" s="56" t="s">
        <v>4455</v>
      </c>
      <c r="J1645" s="56"/>
      <c r="K1645" s="56"/>
      <c r="L1645" s="56"/>
      <c r="M1645" s="56"/>
      <c r="N1645" s="60" t="s">
        <v>124</v>
      </c>
      <c r="O1645" s="56">
        <v>1</v>
      </c>
      <c r="P1645" s="59" t="s">
        <v>2515</v>
      </c>
      <c r="Q1645" s="56" t="s">
        <v>124</v>
      </c>
    </row>
    <row r="1646" spans="1:17" x14ac:dyDescent="0.25">
      <c r="A1646" s="56">
        <v>3636656</v>
      </c>
      <c r="B1646" s="56" t="s">
        <v>5430</v>
      </c>
      <c r="C1646" s="56" t="s">
        <v>5433</v>
      </c>
      <c r="D1646" s="57">
        <v>217</v>
      </c>
      <c r="E1646" s="57">
        <v>2088.473</v>
      </c>
      <c r="F1646" s="57">
        <v>2.088473</v>
      </c>
      <c r="G1646" s="56" t="s">
        <v>392</v>
      </c>
      <c r="H1646" s="60" t="s">
        <v>2511</v>
      </c>
      <c r="I1646" s="56" t="s">
        <v>4455</v>
      </c>
      <c r="J1646" s="56"/>
      <c r="K1646" s="56"/>
      <c r="L1646" s="56"/>
      <c r="M1646" s="56"/>
      <c r="N1646" s="60" t="s">
        <v>124</v>
      </c>
      <c r="O1646" s="56">
        <v>1</v>
      </c>
      <c r="P1646" s="59" t="s">
        <v>2515</v>
      </c>
      <c r="Q1646" s="56" t="s">
        <v>124</v>
      </c>
    </row>
    <row r="1647" spans="1:17" x14ac:dyDescent="0.25">
      <c r="A1647" s="56">
        <v>3636656</v>
      </c>
      <c r="B1647" s="56" t="s">
        <v>5430</v>
      </c>
      <c r="C1647" s="56" t="s">
        <v>5434</v>
      </c>
      <c r="D1647" s="57">
        <v>217</v>
      </c>
      <c r="E1647" s="57">
        <v>2088.473</v>
      </c>
      <c r="F1647" s="57">
        <v>2.088473</v>
      </c>
      <c r="G1647" s="56" t="s">
        <v>392</v>
      </c>
      <c r="H1647" s="60" t="s">
        <v>2511</v>
      </c>
      <c r="I1647" s="56" t="s">
        <v>4455</v>
      </c>
      <c r="J1647" s="56"/>
      <c r="K1647" s="56"/>
      <c r="L1647" s="56"/>
      <c r="M1647" s="56"/>
      <c r="N1647" s="60" t="s">
        <v>124</v>
      </c>
      <c r="O1647" s="56">
        <v>1</v>
      </c>
      <c r="P1647" s="59" t="s">
        <v>2515</v>
      </c>
      <c r="Q1647" s="56" t="s">
        <v>124</v>
      </c>
    </row>
    <row r="1648" spans="1:17" x14ac:dyDescent="0.25">
      <c r="A1648" s="56">
        <v>3636656</v>
      </c>
      <c r="B1648" s="56" t="s">
        <v>5430</v>
      </c>
      <c r="C1648" s="56" t="s">
        <v>5435</v>
      </c>
      <c r="D1648" s="57">
        <v>215</v>
      </c>
      <c r="E1648" s="57">
        <v>2069.2240000000002</v>
      </c>
      <c r="F1648" s="57">
        <v>2.0692240000000002</v>
      </c>
      <c r="G1648" s="56" t="s">
        <v>392</v>
      </c>
      <c r="H1648" s="60" t="s">
        <v>2511</v>
      </c>
      <c r="I1648" s="56" t="s">
        <v>4455</v>
      </c>
      <c r="J1648" s="56"/>
      <c r="K1648" s="56"/>
      <c r="L1648" s="56"/>
      <c r="M1648" s="56"/>
      <c r="N1648" s="60" t="s">
        <v>124</v>
      </c>
      <c r="O1648" s="56">
        <v>1</v>
      </c>
      <c r="P1648" s="59" t="s">
        <v>2515</v>
      </c>
      <c r="Q1648" s="56" t="s">
        <v>124</v>
      </c>
    </row>
    <row r="1649" spans="1:17" x14ac:dyDescent="0.25">
      <c r="A1649" s="56">
        <v>3636656</v>
      </c>
      <c r="B1649" s="56" t="s">
        <v>5430</v>
      </c>
      <c r="C1649" s="56" t="s">
        <v>5436</v>
      </c>
      <c r="D1649" s="57">
        <v>214</v>
      </c>
      <c r="E1649" s="57">
        <v>2059.6</v>
      </c>
      <c r="F1649" s="57">
        <v>2.0596000000000001</v>
      </c>
      <c r="G1649" s="56" t="s">
        <v>392</v>
      </c>
      <c r="H1649" s="60" t="s">
        <v>2511</v>
      </c>
      <c r="I1649" s="56" t="s">
        <v>4455</v>
      </c>
      <c r="J1649" s="56"/>
      <c r="K1649" s="56"/>
      <c r="L1649" s="56"/>
      <c r="M1649" s="56"/>
      <c r="N1649" s="60" t="s">
        <v>124</v>
      </c>
      <c r="O1649" s="56">
        <v>1</v>
      </c>
      <c r="P1649" s="59" t="s">
        <v>2515</v>
      </c>
      <c r="Q1649" s="56" t="s">
        <v>124</v>
      </c>
    </row>
    <row r="1650" spans="1:17" x14ac:dyDescent="0.25">
      <c r="A1650" s="56">
        <v>3636656</v>
      </c>
      <c r="B1650" s="56" t="s">
        <v>5430</v>
      </c>
      <c r="C1650" s="56" t="s">
        <v>5437</v>
      </c>
      <c r="D1650" s="57">
        <v>216</v>
      </c>
      <c r="E1650" s="57">
        <v>2078.8490000000002</v>
      </c>
      <c r="F1650" s="57">
        <v>2.0788489999999999</v>
      </c>
      <c r="G1650" s="56" t="s">
        <v>392</v>
      </c>
      <c r="H1650" s="60" t="s">
        <v>2511</v>
      </c>
      <c r="I1650" s="56" t="s">
        <v>4455</v>
      </c>
      <c r="J1650" s="56"/>
      <c r="K1650" s="56"/>
      <c r="L1650" s="56"/>
      <c r="M1650" s="56"/>
      <c r="N1650" s="60" t="s">
        <v>124</v>
      </c>
      <c r="O1650" s="56">
        <v>1</v>
      </c>
      <c r="P1650" s="59" t="s">
        <v>2515</v>
      </c>
      <c r="Q1650" s="56" t="s">
        <v>124</v>
      </c>
    </row>
    <row r="1651" spans="1:17" x14ac:dyDescent="0.25">
      <c r="A1651" s="56">
        <v>3499307</v>
      </c>
      <c r="B1651" s="56" t="s">
        <v>1384</v>
      </c>
      <c r="C1651" s="56" t="s">
        <v>5438</v>
      </c>
      <c r="D1651" s="57">
        <v>559</v>
      </c>
      <c r="E1651" s="57">
        <v>2758.1060000000002</v>
      </c>
      <c r="F1651" s="57">
        <v>2.7581060000000002</v>
      </c>
      <c r="G1651" s="56" t="s">
        <v>392</v>
      </c>
      <c r="H1651" s="60" t="s">
        <v>2511</v>
      </c>
      <c r="I1651" s="56" t="s">
        <v>4455</v>
      </c>
      <c r="J1651" s="56"/>
      <c r="K1651" s="56"/>
      <c r="L1651" s="56"/>
      <c r="M1651" s="56"/>
      <c r="N1651" s="60" t="s">
        <v>124</v>
      </c>
      <c r="O1651" s="56">
        <v>1</v>
      </c>
      <c r="P1651" s="59" t="s">
        <v>2515</v>
      </c>
      <c r="Q1651" s="56" t="s">
        <v>124</v>
      </c>
    </row>
    <row r="1652" spans="1:17" x14ac:dyDescent="0.25">
      <c r="A1652" s="56">
        <v>3499307</v>
      </c>
      <c r="B1652" s="56" t="s">
        <v>1384</v>
      </c>
      <c r="C1652" s="56" t="s">
        <v>5439</v>
      </c>
      <c r="D1652" s="57">
        <v>563</v>
      </c>
      <c r="E1652" s="57">
        <v>2777.8420000000001</v>
      </c>
      <c r="F1652" s="57">
        <v>2.7778420000000001</v>
      </c>
      <c r="G1652" s="56" t="s">
        <v>392</v>
      </c>
      <c r="H1652" s="60" t="s">
        <v>2511</v>
      </c>
      <c r="I1652" s="56" t="s">
        <v>4455</v>
      </c>
      <c r="J1652" s="56"/>
      <c r="K1652" s="56"/>
      <c r="L1652" s="56"/>
      <c r="M1652" s="56"/>
      <c r="N1652" s="60" t="s">
        <v>124</v>
      </c>
      <c r="O1652" s="56">
        <v>1</v>
      </c>
      <c r="P1652" s="59" t="s">
        <v>2515</v>
      </c>
      <c r="Q1652" s="56" t="s">
        <v>124</v>
      </c>
    </row>
    <row r="1653" spans="1:17" x14ac:dyDescent="0.25">
      <c r="A1653" s="56">
        <v>3499307</v>
      </c>
      <c r="B1653" s="56" t="s">
        <v>1384</v>
      </c>
      <c r="C1653" s="56" t="s">
        <v>5440</v>
      </c>
      <c r="D1653" s="57">
        <v>560</v>
      </c>
      <c r="E1653" s="57">
        <v>2763.04</v>
      </c>
      <c r="F1653" s="57">
        <v>2.7630400000000002</v>
      </c>
      <c r="G1653" s="56" t="s">
        <v>392</v>
      </c>
      <c r="H1653" s="60" t="s">
        <v>2511</v>
      </c>
      <c r="I1653" s="56" t="s">
        <v>4455</v>
      </c>
      <c r="J1653" s="56"/>
      <c r="K1653" s="56"/>
      <c r="L1653" s="56"/>
      <c r="M1653" s="56"/>
      <c r="N1653" s="60" t="s">
        <v>124</v>
      </c>
      <c r="O1653" s="56">
        <v>1</v>
      </c>
      <c r="P1653" s="59" t="s">
        <v>2515</v>
      </c>
      <c r="Q1653" s="56" t="s">
        <v>124</v>
      </c>
    </row>
    <row r="1654" spans="1:17" x14ac:dyDescent="0.25">
      <c r="A1654" s="56">
        <v>3499307</v>
      </c>
      <c r="B1654" s="56" t="s">
        <v>1384</v>
      </c>
      <c r="C1654" s="56" t="s">
        <v>5441</v>
      </c>
      <c r="D1654" s="57">
        <v>450</v>
      </c>
      <c r="E1654" s="57">
        <v>2220.3000000000002</v>
      </c>
      <c r="F1654" s="57">
        <v>2.2203000000000004</v>
      </c>
      <c r="G1654" s="56" t="s">
        <v>392</v>
      </c>
      <c r="H1654" s="60" t="s">
        <v>2511</v>
      </c>
      <c r="I1654" s="56" t="s">
        <v>4455</v>
      </c>
      <c r="J1654" s="56"/>
      <c r="K1654" s="56"/>
      <c r="L1654" s="56"/>
      <c r="M1654" s="56"/>
      <c r="N1654" s="60" t="s">
        <v>124</v>
      </c>
      <c r="O1654" s="56">
        <v>1</v>
      </c>
      <c r="P1654" s="59" t="s">
        <v>2515</v>
      </c>
      <c r="Q1654" s="56" t="s">
        <v>124</v>
      </c>
    </row>
    <row r="1655" spans="1:17" x14ac:dyDescent="0.25">
      <c r="A1655" s="56">
        <v>3499307</v>
      </c>
      <c r="B1655" s="56" t="s">
        <v>1384</v>
      </c>
      <c r="C1655" s="56" t="s">
        <v>5442</v>
      </c>
      <c r="D1655" s="57">
        <v>559</v>
      </c>
      <c r="E1655" s="57">
        <v>2758.1060000000002</v>
      </c>
      <c r="F1655" s="57">
        <v>2.7581060000000002</v>
      </c>
      <c r="G1655" s="56" t="s">
        <v>392</v>
      </c>
      <c r="H1655" s="60" t="s">
        <v>2511</v>
      </c>
      <c r="I1655" s="56" t="s">
        <v>4455</v>
      </c>
      <c r="J1655" s="56"/>
      <c r="K1655" s="56"/>
      <c r="L1655" s="56"/>
      <c r="M1655" s="56"/>
      <c r="N1655" s="60" t="s">
        <v>124</v>
      </c>
      <c r="O1655" s="56">
        <v>1</v>
      </c>
      <c r="P1655" s="59" t="s">
        <v>2515</v>
      </c>
      <c r="Q1655" s="56" t="s">
        <v>124</v>
      </c>
    </row>
    <row r="1656" spans="1:17" x14ac:dyDescent="0.25">
      <c r="A1656" s="56">
        <v>3499307</v>
      </c>
      <c r="B1656" s="56" t="s">
        <v>1384</v>
      </c>
      <c r="C1656" s="56" t="s">
        <v>5443</v>
      </c>
      <c r="D1656" s="57">
        <v>559</v>
      </c>
      <c r="E1656" s="57">
        <v>2758.1060000000002</v>
      </c>
      <c r="F1656" s="57">
        <v>2.7581060000000002</v>
      </c>
      <c r="G1656" s="56" t="s">
        <v>392</v>
      </c>
      <c r="H1656" s="60" t="s">
        <v>2511</v>
      </c>
      <c r="I1656" s="56" t="s">
        <v>4455</v>
      </c>
      <c r="J1656" s="56"/>
      <c r="K1656" s="56"/>
      <c r="L1656" s="56"/>
      <c r="M1656" s="56"/>
      <c r="N1656" s="60" t="s">
        <v>124</v>
      </c>
      <c r="O1656" s="56">
        <v>1</v>
      </c>
      <c r="P1656" s="59" t="s">
        <v>2515</v>
      </c>
      <c r="Q1656" s="56" t="s">
        <v>124</v>
      </c>
    </row>
    <row r="1657" spans="1:17" x14ac:dyDescent="0.25">
      <c r="A1657" s="56">
        <v>3499307</v>
      </c>
      <c r="B1657" s="56" t="s">
        <v>1384</v>
      </c>
      <c r="C1657" s="56" t="s">
        <v>5444</v>
      </c>
      <c r="D1657" s="57">
        <v>560</v>
      </c>
      <c r="E1657" s="57">
        <v>2763.04</v>
      </c>
      <c r="F1657" s="57">
        <v>2.7630400000000002</v>
      </c>
      <c r="G1657" s="56" t="s">
        <v>392</v>
      </c>
      <c r="H1657" s="60" t="s">
        <v>2511</v>
      </c>
      <c r="I1657" s="56" t="s">
        <v>4455</v>
      </c>
      <c r="J1657" s="56"/>
      <c r="K1657" s="56"/>
      <c r="L1657" s="56"/>
      <c r="M1657" s="56"/>
      <c r="N1657" s="60" t="s">
        <v>124</v>
      </c>
      <c r="O1657" s="56">
        <v>1</v>
      </c>
      <c r="P1657" s="59" t="s">
        <v>2515</v>
      </c>
      <c r="Q1657" s="56" t="s">
        <v>124</v>
      </c>
    </row>
    <row r="1658" spans="1:17" x14ac:dyDescent="0.25">
      <c r="A1658" s="56">
        <v>3499307</v>
      </c>
      <c r="B1658" s="56" t="s">
        <v>1384</v>
      </c>
      <c r="C1658" s="56" t="s">
        <v>5445</v>
      </c>
      <c r="D1658" s="57">
        <v>560</v>
      </c>
      <c r="E1658" s="57">
        <v>2763.04</v>
      </c>
      <c r="F1658" s="57">
        <v>2.7630400000000002</v>
      </c>
      <c r="G1658" s="56" t="s">
        <v>392</v>
      </c>
      <c r="H1658" s="60" t="s">
        <v>2511</v>
      </c>
      <c r="I1658" s="56" t="s">
        <v>4455</v>
      </c>
      <c r="J1658" s="56"/>
      <c r="K1658" s="56"/>
      <c r="L1658" s="56"/>
      <c r="M1658" s="56"/>
      <c r="N1658" s="60" t="s">
        <v>124</v>
      </c>
      <c r="O1658" s="56">
        <v>1</v>
      </c>
      <c r="P1658" s="59" t="s">
        <v>2515</v>
      </c>
      <c r="Q1658" s="56" t="s">
        <v>124</v>
      </c>
    </row>
    <row r="1659" spans="1:17" x14ac:dyDescent="0.25">
      <c r="A1659" s="56">
        <v>3499307</v>
      </c>
      <c r="B1659" s="56" t="s">
        <v>1384</v>
      </c>
      <c r="C1659" s="56" t="s">
        <v>5446</v>
      </c>
      <c r="D1659" s="57">
        <v>560</v>
      </c>
      <c r="E1659" s="57">
        <v>2763.04</v>
      </c>
      <c r="F1659" s="57">
        <v>2.7630400000000002</v>
      </c>
      <c r="G1659" s="56" t="s">
        <v>392</v>
      </c>
      <c r="H1659" s="60" t="s">
        <v>2511</v>
      </c>
      <c r="I1659" s="56" t="s">
        <v>4455</v>
      </c>
      <c r="J1659" s="56"/>
      <c r="K1659" s="56"/>
      <c r="L1659" s="56"/>
      <c r="M1659" s="56"/>
      <c r="N1659" s="60" t="s">
        <v>124</v>
      </c>
      <c r="O1659" s="56">
        <v>1</v>
      </c>
      <c r="P1659" s="59" t="s">
        <v>2515</v>
      </c>
      <c r="Q1659" s="56" t="s">
        <v>124</v>
      </c>
    </row>
    <row r="1660" spans="1:17" x14ac:dyDescent="0.25">
      <c r="A1660" s="56">
        <v>3499307</v>
      </c>
      <c r="B1660" s="56" t="s">
        <v>1384</v>
      </c>
      <c r="C1660" s="56" t="s">
        <v>5447</v>
      </c>
      <c r="D1660" s="57">
        <v>560</v>
      </c>
      <c r="E1660" s="57">
        <v>2763.04</v>
      </c>
      <c r="F1660" s="57">
        <v>2.7630400000000002</v>
      </c>
      <c r="G1660" s="56" t="s">
        <v>392</v>
      </c>
      <c r="H1660" s="60" t="s">
        <v>2511</v>
      </c>
      <c r="I1660" s="56" t="s">
        <v>4455</v>
      </c>
      <c r="J1660" s="56"/>
      <c r="K1660" s="56"/>
      <c r="L1660" s="56"/>
      <c r="M1660" s="56"/>
      <c r="N1660" s="60" t="s">
        <v>124</v>
      </c>
      <c r="O1660" s="56">
        <v>1</v>
      </c>
      <c r="P1660" s="59" t="s">
        <v>2515</v>
      </c>
      <c r="Q1660" s="56" t="s">
        <v>124</v>
      </c>
    </row>
    <row r="1661" spans="1:17" x14ac:dyDescent="0.25">
      <c r="A1661" s="56">
        <v>3499307</v>
      </c>
      <c r="B1661" s="56" t="s">
        <v>1384</v>
      </c>
      <c r="C1661" s="56" t="s">
        <v>5448</v>
      </c>
      <c r="D1661" s="57">
        <v>560</v>
      </c>
      <c r="E1661" s="57">
        <v>2763.04</v>
      </c>
      <c r="F1661" s="57">
        <v>2.7630400000000002</v>
      </c>
      <c r="G1661" s="56" t="s">
        <v>392</v>
      </c>
      <c r="H1661" s="60" t="s">
        <v>2511</v>
      </c>
      <c r="I1661" s="56" t="s">
        <v>4455</v>
      </c>
      <c r="J1661" s="56"/>
      <c r="K1661" s="56"/>
      <c r="L1661" s="56"/>
      <c r="M1661" s="56"/>
      <c r="N1661" s="60" t="s">
        <v>124</v>
      </c>
      <c r="O1661" s="56">
        <v>1</v>
      </c>
      <c r="P1661" s="59" t="s">
        <v>2515</v>
      </c>
      <c r="Q1661" s="56" t="s">
        <v>124</v>
      </c>
    </row>
    <row r="1662" spans="1:17" x14ac:dyDescent="0.25">
      <c r="A1662" s="56">
        <v>3499307</v>
      </c>
      <c r="B1662" s="56" t="s">
        <v>1384</v>
      </c>
      <c r="C1662" s="56" t="s">
        <v>5449</v>
      </c>
      <c r="D1662" s="57">
        <v>558</v>
      </c>
      <c r="E1662" s="57">
        <v>2753.172</v>
      </c>
      <c r="F1662" s="57">
        <v>2.7531720000000002</v>
      </c>
      <c r="G1662" s="56" t="s">
        <v>392</v>
      </c>
      <c r="H1662" s="60" t="s">
        <v>2511</v>
      </c>
      <c r="I1662" s="56" t="s">
        <v>4455</v>
      </c>
      <c r="J1662" s="56"/>
      <c r="K1662" s="56"/>
      <c r="L1662" s="56"/>
      <c r="M1662" s="56"/>
      <c r="N1662" s="60" t="s">
        <v>124</v>
      </c>
      <c r="O1662" s="56">
        <v>1</v>
      </c>
      <c r="P1662" s="59" t="s">
        <v>2515</v>
      </c>
      <c r="Q1662" s="56" t="s">
        <v>124</v>
      </c>
    </row>
    <row r="1663" spans="1:17" x14ac:dyDescent="0.25">
      <c r="A1663" s="56">
        <v>3499307</v>
      </c>
      <c r="B1663" s="56" t="s">
        <v>1384</v>
      </c>
      <c r="C1663" s="56" t="s">
        <v>5450</v>
      </c>
      <c r="D1663" s="57">
        <v>555</v>
      </c>
      <c r="E1663" s="57">
        <v>2738.37</v>
      </c>
      <c r="F1663" s="57">
        <v>2.7383699999999997</v>
      </c>
      <c r="G1663" s="56" t="s">
        <v>392</v>
      </c>
      <c r="H1663" s="60" t="s">
        <v>2511</v>
      </c>
      <c r="I1663" s="56" t="s">
        <v>4455</v>
      </c>
      <c r="J1663" s="56"/>
      <c r="K1663" s="56"/>
      <c r="L1663" s="56"/>
      <c r="M1663" s="56"/>
      <c r="N1663" s="60" t="s">
        <v>124</v>
      </c>
      <c r="O1663" s="56">
        <v>1</v>
      </c>
      <c r="P1663" s="59" t="s">
        <v>2515</v>
      </c>
      <c r="Q1663" s="56" t="s">
        <v>124</v>
      </c>
    </row>
    <row r="1664" spans="1:17" x14ac:dyDescent="0.25">
      <c r="A1664" s="56">
        <v>3499307</v>
      </c>
      <c r="B1664" s="56" t="s">
        <v>1384</v>
      </c>
      <c r="C1664" s="56" t="s">
        <v>5451</v>
      </c>
      <c r="D1664" s="57">
        <v>575</v>
      </c>
      <c r="E1664" s="57">
        <v>2837.05</v>
      </c>
      <c r="F1664" s="57">
        <v>2.8370500000000001</v>
      </c>
      <c r="G1664" s="56" t="s">
        <v>392</v>
      </c>
      <c r="H1664" s="60" t="s">
        <v>2511</v>
      </c>
      <c r="I1664" s="56" t="s">
        <v>4455</v>
      </c>
      <c r="J1664" s="56"/>
      <c r="K1664" s="56"/>
      <c r="L1664" s="56"/>
      <c r="M1664" s="56"/>
      <c r="N1664" s="60" t="s">
        <v>124</v>
      </c>
      <c r="O1664" s="56">
        <v>1</v>
      </c>
      <c r="P1664" s="59" t="s">
        <v>2515</v>
      </c>
      <c r="Q1664" s="56" t="s">
        <v>124</v>
      </c>
    </row>
    <row r="1665" spans="1:17" x14ac:dyDescent="0.25">
      <c r="A1665" s="56">
        <v>3499307</v>
      </c>
      <c r="B1665" s="56" t="s">
        <v>1384</v>
      </c>
      <c r="C1665" s="56" t="s">
        <v>5452</v>
      </c>
      <c r="D1665" s="57">
        <v>219</v>
      </c>
      <c r="E1665" s="57">
        <v>1080.546</v>
      </c>
      <c r="F1665" s="57">
        <v>1.080546</v>
      </c>
      <c r="G1665" s="56" t="s">
        <v>392</v>
      </c>
      <c r="H1665" s="60" t="s">
        <v>2511</v>
      </c>
      <c r="I1665" s="56" t="s">
        <v>4455</v>
      </c>
      <c r="J1665" s="56"/>
      <c r="K1665" s="56"/>
      <c r="L1665" s="56"/>
      <c r="M1665" s="56"/>
      <c r="N1665" s="60" t="s">
        <v>124</v>
      </c>
      <c r="O1665" s="56">
        <v>1</v>
      </c>
      <c r="P1665" s="59" t="s">
        <v>2515</v>
      </c>
      <c r="Q1665" s="56" t="s">
        <v>124</v>
      </c>
    </row>
    <row r="1666" spans="1:17" x14ac:dyDescent="0.25">
      <c r="A1666" s="56">
        <v>3500308</v>
      </c>
      <c r="B1666" s="56" t="s">
        <v>4940</v>
      </c>
      <c r="C1666" s="56" t="s">
        <v>5453</v>
      </c>
      <c r="D1666" s="57">
        <v>185</v>
      </c>
      <c r="E1666" s="57">
        <v>1407.61</v>
      </c>
      <c r="F1666" s="57">
        <v>1.4076099999999998</v>
      </c>
      <c r="G1666" s="56" t="s">
        <v>392</v>
      </c>
      <c r="H1666" s="60" t="s">
        <v>2511</v>
      </c>
      <c r="I1666" s="56" t="s">
        <v>4455</v>
      </c>
      <c r="J1666" s="56"/>
      <c r="K1666" s="56"/>
      <c r="L1666" s="56"/>
      <c r="M1666" s="56"/>
      <c r="N1666" s="60" t="s">
        <v>124</v>
      </c>
      <c r="O1666" s="56">
        <v>1</v>
      </c>
      <c r="P1666" s="59" t="s">
        <v>2515</v>
      </c>
      <c r="Q1666" s="56" t="s">
        <v>124</v>
      </c>
    </row>
    <row r="1667" spans="1:17" x14ac:dyDescent="0.25">
      <c r="A1667" s="56">
        <v>3702717</v>
      </c>
      <c r="B1667" s="56" t="s">
        <v>4383</v>
      </c>
      <c r="C1667" s="56" t="s">
        <v>5454</v>
      </c>
      <c r="D1667" s="57">
        <v>171</v>
      </c>
      <c r="E1667" s="57">
        <v>1078</v>
      </c>
      <c r="F1667" s="57">
        <v>1.0780000000000001</v>
      </c>
      <c r="G1667" s="56" t="s">
        <v>392</v>
      </c>
      <c r="H1667" s="60" t="s">
        <v>2511</v>
      </c>
      <c r="I1667" s="56" t="s">
        <v>1834</v>
      </c>
      <c r="J1667" s="56"/>
      <c r="K1667" s="56"/>
      <c r="L1667" s="56"/>
      <c r="M1667" s="56"/>
      <c r="N1667" s="60" t="s">
        <v>124</v>
      </c>
      <c r="O1667" s="56">
        <v>6</v>
      </c>
      <c r="P1667" s="59" t="s">
        <v>2515</v>
      </c>
      <c r="Q1667" s="56" t="s">
        <v>124</v>
      </c>
    </row>
    <row r="1668" spans="1:17" x14ac:dyDescent="0.25">
      <c r="A1668" s="56">
        <v>3702717</v>
      </c>
      <c r="B1668" s="56" t="s">
        <v>4383</v>
      </c>
      <c r="C1668" s="56" t="s">
        <v>5455</v>
      </c>
      <c r="D1668" s="57">
        <v>307</v>
      </c>
      <c r="E1668" s="57">
        <v>1932</v>
      </c>
      <c r="F1668" s="57">
        <v>1.9319999999999999</v>
      </c>
      <c r="G1668" s="56" t="s">
        <v>392</v>
      </c>
      <c r="H1668" s="60" t="s">
        <v>2511</v>
      </c>
      <c r="I1668" s="56" t="s">
        <v>1834</v>
      </c>
      <c r="J1668" s="56"/>
      <c r="K1668" s="56"/>
      <c r="L1668" s="56"/>
      <c r="M1668" s="56"/>
      <c r="N1668" s="60" t="s">
        <v>124</v>
      </c>
      <c r="O1668" s="56">
        <v>6</v>
      </c>
      <c r="P1668" s="59" t="s">
        <v>2515</v>
      </c>
      <c r="Q1668" s="56" t="s">
        <v>124</v>
      </c>
    </row>
    <row r="1669" spans="1:17" x14ac:dyDescent="0.25">
      <c r="A1669" s="56">
        <v>3702717</v>
      </c>
      <c r="B1669" s="56" t="s">
        <v>4383</v>
      </c>
      <c r="C1669" s="56" t="s">
        <v>5456</v>
      </c>
      <c r="D1669" s="57">
        <v>347</v>
      </c>
      <c r="E1669" s="57">
        <v>2184</v>
      </c>
      <c r="F1669" s="57">
        <v>2.1840000000000002</v>
      </c>
      <c r="G1669" s="56" t="s">
        <v>392</v>
      </c>
      <c r="H1669" s="60" t="s">
        <v>2511</v>
      </c>
      <c r="I1669" s="56" t="s">
        <v>1834</v>
      </c>
      <c r="J1669" s="56"/>
      <c r="K1669" s="56"/>
      <c r="L1669" s="56"/>
      <c r="M1669" s="56"/>
      <c r="N1669" s="60" t="s">
        <v>124</v>
      </c>
      <c r="O1669" s="56">
        <v>6</v>
      </c>
      <c r="P1669" s="59" t="s">
        <v>2515</v>
      </c>
      <c r="Q1669" s="56" t="s">
        <v>124</v>
      </c>
    </row>
    <row r="1670" spans="1:17" x14ac:dyDescent="0.25">
      <c r="A1670" s="56">
        <v>2411624</v>
      </c>
      <c r="B1670" s="56" t="s">
        <v>1432</v>
      </c>
      <c r="C1670" s="56" t="s">
        <v>5457</v>
      </c>
      <c r="D1670" s="57">
        <v>39</v>
      </c>
      <c r="E1670" s="57">
        <v>220</v>
      </c>
      <c r="F1670" s="57">
        <v>0.22</v>
      </c>
      <c r="G1670" s="56" t="s">
        <v>392</v>
      </c>
      <c r="H1670" s="60" t="s">
        <v>2511</v>
      </c>
      <c r="I1670" s="56" t="s">
        <v>1834</v>
      </c>
      <c r="J1670" s="56"/>
      <c r="K1670" s="56"/>
      <c r="L1670" s="56"/>
      <c r="M1670" s="56"/>
      <c r="N1670" s="60" t="s">
        <v>124</v>
      </c>
      <c r="O1670" s="56">
        <v>5</v>
      </c>
      <c r="P1670" s="59" t="s">
        <v>2515</v>
      </c>
      <c r="Q1670" s="56" t="s">
        <v>124</v>
      </c>
    </row>
    <row r="1671" spans="1:17" x14ac:dyDescent="0.25">
      <c r="A1671" s="56">
        <v>2411624</v>
      </c>
      <c r="B1671" s="56" t="s">
        <v>1432</v>
      </c>
      <c r="C1671" s="56" t="s">
        <v>5458</v>
      </c>
      <c r="D1671" s="57">
        <v>222</v>
      </c>
      <c r="E1671" s="57">
        <v>1251</v>
      </c>
      <c r="F1671" s="57">
        <v>1.2509999999999999</v>
      </c>
      <c r="G1671" s="56" t="s">
        <v>392</v>
      </c>
      <c r="H1671" s="60" t="s">
        <v>2511</v>
      </c>
      <c r="I1671" s="56" t="s">
        <v>1834</v>
      </c>
      <c r="J1671" s="56"/>
      <c r="K1671" s="56"/>
      <c r="L1671" s="56"/>
      <c r="M1671" s="56"/>
      <c r="N1671" s="60" t="s">
        <v>124</v>
      </c>
      <c r="O1671" s="56">
        <v>5</v>
      </c>
      <c r="P1671" s="59" t="s">
        <v>2515</v>
      </c>
      <c r="Q1671" s="56" t="s">
        <v>124</v>
      </c>
    </row>
    <row r="1672" spans="1:17" x14ac:dyDescent="0.25">
      <c r="A1672" s="56">
        <v>2418610</v>
      </c>
      <c r="B1672" s="56" t="s">
        <v>1964</v>
      </c>
      <c r="C1672" s="56" t="s">
        <v>5459</v>
      </c>
      <c r="D1672" s="57">
        <v>26</v>
      </c>
      <c r="E1672" s="57">
        <v>223</v>
      </c>
      <c r="F1672" s="57">
        <v>0.223</v>
      </c>
      <c r="G1672" s="56" t="s">
        <v>392</v>
      </c>
      <c r="H1672" s="60" t="s">
        <v>2511</v>
      </c>
      <c r="I1672" s="56" t="s">
        <v>1834</v>
      </c>
      <c r="J1672" s="56"/>
      <c r="K1672" s="56"/>
      <c r="L1672" s="56"/>
      <c r="M1672" s="56"/>
      <c r="N1672" s="60" t="s">
        <v>124</v>
      </c>
      <c r="O1672" s="56">
        <v>5</v>
      </c>
      <c r="P1672" s="59" t="s">
        <v>2515</v>
      </c>
      <c r="Q1672" s="56" t="s">
        <v>124</v>
      </c>
    </row>
    <row r="1673" spans="1:17" x14ac:dyDescent="0.25">
      <c r="A1673" s="56">
        <v>2418610</v>
      </c>
      <c r="B1673" s="56" t="s">
        <v>1964</v>
      </c>
      <c r="C1673" s="56" t="s">
        <v>5460</v>
      </c>
      <c r="D1673" s="57">
        <v>26</v>
      </c>
      <c r="E1673" s="57">
        <v>219</v>
      </c>
      <c r="F1673" s="57">
        <v>0.219</v>
      </c>
      <c r="G1673" s="56" t="s">
        <v>392</v>
      </c>
      <c r="H1673" s="60" t="s">
        <v>2511</v>
      </c>
      <c r="I1673" s="56" t="s">
        <v>1834</v>
      </c>
      <c r="J1673" s="56"/>
      <c r="K1673" s="56"/>
      <c r="L1673" s="56"/>
      <c r="M1673" s="56"/>
      <c r="N1673" s="60" t="s">
        <v>124</v>
      </c>
      <c r="O1673" s="56">
        <v>5</v>
      </c>
      <c r="P1673" s="59" t="s">
        <v>2515</v>
      </c>
      <c r="Q1673" s="56" t="s">
        <v>124</v>
      </c>
    </row>
    <row r="1674" spans="1:17" x14ac:dyDescent="0.25">
      <c r="A1674" s="56">
        <v>2410994</v>
      </c>
      <c r="B1674" s="56" t="s">
        <v>1949</v>
      </c>
      <c r="C1674" s="56" t="s">
        <v>5461</v>
      </c>
      <c r="D1674" s="57">
        <v>333</v>
      </c>
      <c r="E1674" s="57">
        <v>2359</v>
      </c>
      <c r="F1674" s="57">
        <v>2.359</v>
      </c>
      <c r="G1674" s="56" t="s">
        <v>392</v>
      </c>
      <c r="H1674" s="60" t="s">
        <v>2511</v>
      </c>
      <c r="I1674" s="56" t="s">
        <v>1834</v>
      </c>
      <c r="J1674" s="56"/>
      <c r="K1674" s="56"/>
      <c r="L1674" s="56"/>
      <c r="M1674" s="56"/>
      <c r="N1674" s="60" t="s">
        <v>124</v>
      </c>
      <c r="O1674" s="56">
        <v>5</v>
      </c>
      <c r="P1674" s="59" t="s">
        <v>2515</v>
      </c>
      <c r="Q1674" s="56" t="s">
        <v>124</v>
      </c>
    </row>
    <row r="1675" spans="1:17" x14ac:dyDescent="0.25">
      <c r="A1675" s="56">
        <v>2439536</v>
      </c>
      <c r="B1675" s="56" t="s">
        <v>1428</v>
      </c>
      <c r="C1675" s="56" t="s">
        <v>5462</v>
      </c>
      <c r="D1675" s="57">
        <v>133</v>
      </c>
      <c r="E1675" s="57">
        <v>911</v>
      </c>
      <c r="F1675" s="57">
        <v>0.91100000000000003</v>
      </c>
      <c r="G1675" s="56" t="s">
        <v>392</v>
      </c>
      <c r="H1675" s="60" t="s">
        <v>2511</v>
      </c>
      <c r="I1675" s="56" t="s">
        <v>1834</v>
      </c>
      <c r="J1675" s="56"/>
      <c r="K1675" s="56"/>
      <c r="L1675" s="56"/>
      <c r="M1675" s="56"/>
      <c r="N1675" s="60" t="s">
        <v>124</v>
      </c>
      <c r="O1675" s="56">
        <v>5</v>
      </c>
      <c r="P1675" s="59" t="s">
        <v>2515</v>
      </c>
      <c r="Q1675" s="56" t="s">
        <v>124</v>
      </c>
    </row>
    <row r="1676" spans="1:17" x14ac:dyDescent="0.25">
      <c r="A1676" s="56">
        <v>2439536</v>
      </c>
      <c r="B1676" s="56" t="s">
        <v>1428</v>
      </c>
      <c r="C1676" s="56" t="s">
        <v>5463</v>
      </c>
      <c r="D1676" s="57">
        <v>145</v>
      </c>
      <c r="E1676" s="57">
        <v>989</v>
      </c>
      <c r="F1676" s="57">
        <v>0.98899999999999999</v>
      </c>
      <c r="G1676" s="56" t="s">
        <v>392</v>
      </c>
      <c r="H1676" s="60" t="s">
        <v>2511</v>
      </c>
      <c r="I1676" s="56" t="s">
        <v>1834</v>
      </c>
      <c r="J1676" s="56"/>
      <c r="K1676" s="56"/>
      <c r="L1676" s="56"/>
      <c r="M1676" s="56"/>
      <c r="N1676" s="60" t="s">
        <v>124</v>
      </c>
      <c r="O1676" s="56">
        <v>5</v>
      </c>
      <c r="P1676" s="59" t="s">
        <v>2515</v>
      </c>
      <c r="Q1676" s="56" t="s">
        <v>124</v>
      </c>
    </row>
    <row r="1677" spans="1:17" x14ac:dyDescent="0.25">
      <c r="A1677" s="56">
        <v>2439536</v>
      </c>
      <c r="B1677" s="56" t="s">
        <v>1428</v>
      </c>
      <c r="C1677" s="56" t="s">
        <v>5464</v>
      </c>
      <c r="D1677" s="57">
        <v>255</v>
      </c>
      <c r="E1677" s="57">
        <v>1746</v>
      </c>
      <c r="F1677" s="57">
        <v>1.746</v>
      </c>
      <c r="G1677" s="56" t="s">
        <v>392</v>
      </c>
      <c r="H1677" s="60" t="s">
        <v>2511</v>
      </c>
      <c r="I1677" s="56" t="s">
        <v>1834</v>
      </c>
      <c r="J1677" s="56"/>
      <c r="K1677" s="56"/>
      <c r="L1677" s="56"/>
      <c r="M1677" s="56"/>
      <c r="N1677" s="60" t="s">
        <v>124</v>
      </c>
      <c r="O1677" s="56">
        <v>5</v>
      </c>
      <c r="P1677" s="59" t="s">
        <v>2515</v>
      </c>
      <c r="Q1677" s="56" t="s">
        <v>124</v>
      </c>
    </row>
    <row r="1678" spans="1:17" x14ac:dyDescent="0.25">
      <c r="A1678" s="56">
        <v>2439536</v>
      </c>
      <c r="B1678" s="56" t="s">
        <v>1428</v>
      </c>
      <c r="C1678" s="56" t="s">
        <v>5465</v>
      </c>
      <c r="D1678" s="57">
        <v>255</v>
      </c>
      <c r="E1678" s="57">
        <v>1746</v>
      </c>
      <c r="F1678" s="57">
        <v>1.746</v>
      </c>
      <c r="G1678" s="56" t="s">
        <v>392</v>
      </c>
      <c r="H1678" s="60" t="s">
        <v>2511</v>
      </c>
      <c r="I1678" s="56" t="s">
        <v>1834</v>
      </c>
      <c r="J1678" s="56"/>
      <c r="K1678" s="56"/>
      <c r="L1678" s="56"/>
      <c r="M1678" s="56"/>
      <c r="N1678" s="60" t="s">
        <v>124</v>
      </c>
      <c r="O1678" s="56">
        <v>5</v>
      </c>
      <c r="P1678" s="59" t="s">
        <v>2515</v>
      </c>
      <c r="Q1678" s="56" t="s">
        <v>124</v>
      </c>
    </row>
    <row r="1679" spans="1:17" x14ac:dyDescent="0.25">
      <c r="A1679" s="56">
        <v>3500635</v>
      </c>
      <c r="B1679" s="56" t="s">
        <v>5466</v>
      </c>
      <c r="C1679" s="56" t="s">
        <v>5467</v>
      </c>
      <c r="D1679" s="57">
        <v>87</v>
      </c>
      <c r="E1679" s="57">
        <v>2246</v>
      </c>
      <c r="F1679" s="57">
        <v>2.246</v>
      </c>
      <c r="G1679" s="56" t="s">
        <v>392</v>
      </c>
      <c r="H1679" s="60" t="s">
        <v>2511</v>
      </c>
      <c r="I1679" s="56" t="s">
        <v>1834</v>
      </c>
      <c r="J1679" s="56"/>
      <c r="K1679" s="56"/>
      <c r="L1679" s="56"/>
      <c r="M1679" s="56"/>
      <c r="N1679" s="60" t="s">
        <v>124</v>
      </c>
      <c r="O1679" s="56">
        <v>5</v>
      </c>
      <c r="P1679" s="59" t="s">
        <v>2515</v>
      </c>
      <c r="Q1679" s="56" t="s">
        <v>124</v>
      </c>
    </row>
    <row r="1680" spans="1:17" x14ac:dyDescent="0.25">
      <c r="A1680" s="56">
        <v>3500635</v>
      </c>
      <c r="B1680" s="56" t="s">
        <v>5466</v>
      </c>
      <c r="C1680" s="56" t="s">
        <v>5468</v>
      </c>
      <c r="D1680" s="57">
        <v>98</v>
      </c>
      <c r="E1680" s="57">
        <v>2530</v>
      </c>
      <c r="F1680" s="57">
        <v>2.5299999999999998</v>
      </c>
      <c r="G1680" s="56" t="s">
        <v>392</v>
      </c>
      <c r="H1680" s="60" t="s">
        <v>2511</v>
      </c>
      <c r="I1680" s="56" t="s">
        <v>1834</v>
      </c>
      <c r="J1680" s="56"/>
      <c r="K1680" s="56"/>
      <c r="L1680" s="56"/>
      <c r="M1680" s="56"/>
      <c r="N1680" s="60" t="s">
        <v>124</v>
      </c>
      <c r="O1680" s="56">
        <v>5</v>
      </c>
      <c r="P1680" s="59" t="s">
        <v>2515</v>
      </c>
      <c r="Q1680" s="56" t="s">
        <v>124</v>
      </c>
    </row>
    <row r="1681" spans="1:17" x14ac:dyDescent="0.25">
      <c r="A1681" s="56">
        <v>3500635</v>
      </c>
      <c r="B1681" s="56" t="s">
        <v>5466</v>
      </c>
      <c r="C1681" s="56" t="s">
        <v>5469</v>
      </c>
      <c r="D1681" s="57">
        <v>107</v>
      </c>
      <c r="E1681" s="57">
        <v>2762</v>
      </c>
      <c r="F1681" s="57">
        <v>2.762</v>
      </c>
      <c r="G1681" s="56" t="s">
        <v>392</v>
      </c>
      <c r="H1681" s="60" t="s">
        <v>2511</v>
      </c>
      <c r="I1681" s="56" t="s">
        <v>1834</v>
      </c>
      <c r="J1681" s="56"/>
      <c r="K1681" s="56"/>
      <c r="L1681" s="56"/>
      <c r="M1681" s="56"/>
      <c r="N1681" s="60" t="s">
        <v>124</v>
      </c>
      <c r="O1681" s="56">
        <v>5</v>
      </c>
      <c r="P1681" s="59" t="s">
        <v>2515</v>
      </c>
      <c r="Q1681" s="56" t="s">
        <v>124</v>
      </c>
    </row>
    <row r="1682" spans="1:17" x14ac:dyDescent="0.25">
      <c r="A1682" s="56">
        <v>3500635</v>
      </c>
      <c r="B1682" s="56" t="s">
        <v>5466</v>
      </c>
      <c r="C1682" s="56" t="s">
        <v>5470</v>
      </c>
      <c r="D1682" s="57">
        <v>81</v>
      </c>
      <c r="E1682" s="57">
        <v>2091</v>
      </c>
      <c r="F1682" s="57">
        <v>2.0910000000000002</v>
      </c>
      <c r="G1682" s="56" t="s">
        <v>392</v>
      </c>
      <c r="H1682" s="60" t="s">
        <v>2511</v>
      </c>
      <c r="I1682" s="56" t="s">
        <v>1834</v>
      </c>
      <c r="J1682" s="56"/>
      <c r="K1682" s="56"/>
      <c r="L1682" s="56"/>
      <c r="M1682" s="56"/>
      <c r="N1682" s="60" t="s">
        <v>124</v>
      </c>
      <c r="O1682" s="56">
        <v>5</v>
      </c>
      <c r="P1682" s="59" t="s">
        <v>2515</v>
      </c>
      <c r="Q1682" s="56" t="s">
        <v>124</v>
      </c>
    </row>
    <row r="1683" spans="1:17" x14ac:dyDescent="0.25">
      <c r="A1683" s="56">
        <v>3500635</v>
      </c>
      <c r="B1683" s="56" t="s">
        <v>5466</v>
      </c>
      <c r="C1683" s="56" t="s">
        <v>5471</v>
      </c>
      <c r="D1683" s="57">
        <v>88</v>
      </c>
      <c r="E1683" s="57">
        <v>2271</v>
      </c>
      <c r="F1683" s="57">
        <v>2.2709999999999999</v>
      </c>
      <c r="G1683" s="56" t="s">
        <v>392</v>
      </c>
      <c r="H1683" s="60" t="s">
        <v>2511</v>
      </c>
      <c r="I1683" s="56" t="s">
        <v>1834</v>
      </c>
      <c r="J1683" s="56"/>
      <c r="K1683" s="56"/>
      <c r="L1683" s="56"/>
      <c r="M1683" s="56"/>
      <c r="N1683" s="60" t="s">
        <v>124</v>
      </c>
      <c r="O1683" s="56">
        <v>5</v>
      </c>
      <c r="P1683" s="59" t="s">
        <v>2515</v>
      </c>
      <c r="Q1683" s="56" t="s">
        <v>124</v>
      </c>
    </row>
    <row r="1684" spans="1:17" x14ac:dyDescent="0.25">
      <c r="A1684" s="56">
        <v>3500635</v>
      </c>
      <c r="B1684" s="56" t="s">
        <v>5466</v>
      </c>
      <c r="C1684" s="56" t="s">
        <v>5472</v>
      </c>
      <c r="D1684" s="57">
        <v>86</v>
      </c>
      <c r="E1684" s="57">
        <v>2220</v>
      </c>
      <c r="F1684" s="57">
        <v>2.2200000000000002</v>
      </c>
      <c r="G1684" s="56" t="s">
        <v>392</v>
      </c>
      <c r="H1684" s="60" t="s">
        <v>2511</v>
      </c>
      <c r="I1684" s="56" t="s">
        <v>1834</v>
      </c>
      <c r="J1684" s="56"/>
      <c r="K1684" s="56"/>
      <c r="L1684" s="56"/>
      <c r="M1684" s="56"/>
      <c r="N1684" s="60" t="s">
        <v>124</v>
      </c>
      <c r="O1684" s="56">
        <v>5</v>
      </c>
      <c r="P1684" s="59" t="s">
        <v>2515</v>
      </c>
      <c r="Q1684" s="56" t="s">
        <v>124</v>
      </c>
    </row>
    <row r="1685" spans="1:17" x14ac:dyDescent="0.25">
      <c r="A1685" s="56">
        <v>3770391</v>
      </c>
      <c r="B1685" s="56" t="s">
        <v>2343</v>
      </c>
      <c r="C1685" s="56" t="s">
        <v>5473</v>
      </c>
      <c r="D1685" s="57">
        <v>159</v>
      </c>
      <c r="E1685" s="57">
        <v>1358</v>
      </c>
      <c r="F1685" s="57">
        <v>1.3580000000000001</v>
      </c>
      <c r="G1685" s="56" t="s">
        <v>392</v>
      </c>
      <c r="H1685" s="60" t="s">
        <v>2511</v>
      </c>
      <c r="I1685" s="56" t="s">
        <v>1834</v>
      </c>
      <c r="J1685" s="56"/>
      <c r="K1685" s="56"/>
      <c r="L1685" s="56"/>
      <c r="M1685" s="56"/>
      <c r="N1685" s="60" t="s">
        <v>124</v>
      </c>
      <c r="O1685" s="56">
        <v>5</v>
      </c>
      <c r="P1685" s="59" t="s">
        <v>2515</v>
      </c>
      <c r="Q1685" s="56" t="s">
        <v>124</v>
      </c>
    </row>
    <row r="1686" spans="1:17" x14ac:dyDescent="0.25">
      <c r="A1686" s="56">
        <v>3770391</v>
      </c>
      <c r="B1686" s="56" t="s">
        <v>2343</v>
      </c>
      <c r="C1686" s="56" t="s">
        <v>5474</v>
      </c>
      <c r="D1686" s="57">
        <v>180</v>
      </c>
      <c r="E1686" s="57">
        <v>1537</v>
      </c>
      <c r="F1686" s="57">
        <v>1.5369999999999999</v>
      </c>
      <c r="G1686" s="56" t="s">
        <v>392</v>
      </c>
      <c r="H1686" s="60" t="s">
        <v>2511</v>
      </c>
      <c r="I1686" s="56" t="s">
        <v>1834</v>
      </c>
      <c r="J1686" s="56"/>
      <c r="K1686" s="56"/>
      <c r="L1686" s="56"/>
      <c r="M1686" s="56"/>
      <c r="N1686" s="60" t="s">
        <v>124</v>
      </c>
      <c r="O1686" s="56">
        <v>5</v>
      </c>
      <c r="P1686" s="59" t="s">
        <v>2515</v>
      </c>
      <c r="Q1686" s="56" t="s">
        <v>124</v>
      </c>
    </row>
    <row r="1687" spans="1:17" x14ac:dyDescent="0.25">
      <c r="A1687" s="56">
        <v>3770391</v>
      </c>
      <c r="B1687" s="56" t="s">
        <v>2343</v>
      </c>
      <c r="C1687" s="56" t="s">
        <v>5475</v>
      </c>
      <c r="D1687" s="57">
        <v>180</v>
      </c>
      <c r="E1687" s="57">
        <v>1537</v>
      </c>
      <c r="F1687" s="57">
        <v>1.5369999999999999</v>
      </c>
      <c r="G1687" s="56" t="s">
        <v>392</v>
      </c>
      <c r="H1687" s="60" t="s">
        <v>2511</v>
      </c>
      <c r="I1687" s="56" t="s">
        <v>1834</v>
      </c>
      <c r="J1687" s="56"/>
      <c r="K1687" s="56"/>
      <c r="L1687" s="56"/>
      <c r="M1687" s="56"/>
      <c r="N1687" s="60" t="s">
        <v>124</v>
      </c>
      <c r="O1687" s="56">
        <v>5</v>
      </c>
      <c r="P1687" s="59" t="s">
        <v>2515</v>
      </c>
      <c r="Q1687" s="56" t="s">
        <v>124</v>
      </c>
    </row>
    <row r="1688" spans="1:17" x14ac:dyDescent="0.25">
      <c r="A1688" s="56">
        <v>3770405</v>
      </c>
      <c r="B1688" s="56" t="s">
        <v>1767</v>
      </c>
      <c r="C1688" s="56" t="s">
        <v>5476</v>
      </c>
      <c r="D1688" s="57">
        <v>139</v>
      </c>
      <c r="E1688" s="57">
        <v>1488</v>
      </c>
      <c r="F1688" s="57">
        <v>1.488</v>
      </c>
      <c r="G1688" s="56" t="s">
        <v>392</v>
      </c>
      <c r="H1688" s="60" t="s">
        <v>2511</v>
      </c>
      <c r="I1688" s="56" t="s">
        <v>1834</v>
      </c>
      <c r="J1688" s="56"/>
      <c r="K1688" s="56"/>
      <c r="L1688" s="56"/>
      <c r="M1688" s="56"/>
      <c r="N1688" s="60" t="s">
        <v>124</v>
      </c>
      <c r="O1688" s="56">
        <v>5</v>
      </c>
      <c r="P1688" s="59" t="s">
        <v>2515</v>
      </c>
      <c r="Q1688" s="56" t="s">
        <v>124</v>
      </c>
    </row>
    <row r="1689" spans="1:17" x14ac:dyDescent="0.25">
      <c r="A1689" s="56">
        <v>1930116</v>
      </c>
      <c r="B1689" s="56" t="s">
        <v>1932</v>
      </c>
      <c r="C1689" s="56" t="s">
        <v>5477</v>
      </c>
      <c r="D1689" s="57">
        <v>36</v>
      </c>
      <c r="E1689" s="57">
        <v>369</v>
      </c>
      <c r="F1689" s="57">
        <v>0.36899999999999999</v>
      </c>
      <c r="G1689" s="56" t="s">
        <v>392</v>
      </c>
      <c r="H1689" s="60" t="s">
        <v>2511</v>
      </c>
      <c r="I1689" s="56" t="s">
        <v>1834</v>
      </c>
      <c r="J1689" s="56"/>
      <c r="K1689" s="56"/>
      <c r="L1689" s="56"/>
      <c r="M1689" s="56"/>
      <c r="N1689" s="60" t="s">
        <v>124</v>
      </c>
      <c r="O1689" s="56">
        <v>5</v>
      </c>
      <c r="P1689" s="59" t="s">
        <v>2515</v>
      </c>
      <c r="Q1689" s="56" t="s">
        <v>124</v>
      </c>
    </row>
    <row r="1690" spans="1:17" x14ac:dyDescent="0.25">
      <c r="A1690" s="56">
        <v>3770394</v>
      </c>
      <c r="B1690" s="56" t="s">
        <v>2353</v>
      </c>
      <c r="C1690" s="56" t="s">
        <v>5478</v>
      </c>
      <c r="D1690" s="57">
        <v>55</v>
      </c>
      <c r="E1690" s="57">
        <v>838</v>
      </c>
      <c r="F1690" s="57">
        <v>0.83799999999999997</v>
      </c>
      <c r="G1690" s="56" t="s">
        <v>392</v>
      </c>
      <c r="H1690" s="60" t="s">
        <v>2511</v>
      </c>
      <c r="I1690" s="56" t="s">
        <v>1834</v>
      </c>
      <c r="J1690" s="56"/>
      <c r="K1690" s="56"/>
      <c r="L1690" s="56"/>
      <c r="M1690" s="56"/>
      <c r="N1690" s="60" t="s">
        <v>124</v>
      </c>
      <c r="O1690" s="56">
        <v>4</v>
      </c>
      <c r="P1690" s="59" t="s">
        <v>2515</v>
      </c>
      <c r="Q1690" s="56" t="s">
        <v>124</v>
      </c>
    </row>
    <row r="1691" spans="1:17" x14ac:dyDescent="0.25">
      <c r="A1691" s="56">
        <v>3770394</v>
      </c>
      <c r="B1691" s="56" t="s">
        <v>2353</v>
      </c>
      <c r="C1691" s="56" t="s">
        <v>5479</v>
      </c>
      <c r="D1691" s="57">
        <v>151</v>
      </c>
      <c r="E1691" s="57">
        <v>2319</v>
      </c>
      <c r="F1691" s="57">
        <v>2.319</v>
      </c>
      <c r="G1691" s="56" t="s">
        <v>392</v>
      </c>
      <c r="H1691" s="60" t="s">
        <v>2511</v>
      </c>
      <c r="I1691" s="56" t="s">
        <v>1834</v>
      </c>
      <c r="J1691" s="56"/>
      <c r="K1691" s="56"/>
      <c r="L1691" s="56"/>
      <c r="M1691" s="56"/>
      <c r="N1691" s="60" t="s">
        <v>124</v>
      </c>
      <c r="O1691" s="56">
        <v>4</v>
      </c>
      <c r="P1691" s="59" t="s">
        <v>2515</v>
      </c>
      <c r="Q1691" s="56" t="s">
        <v>124</v>
      </c>
    </row>
    <row r="1692" spans="1:17" x14ac:dyDescent="0.25">
      <c r="A1692" s="56">
        <v>3770394</v>
      </c>
      <c r="B1692" s="56" t="s">
        <v>2353</v>
      </c>
      <c r="C1692" s="56" t="s">
        <v>5480</v>
      </c>
      <c r="D1692" s="57">
        <v>52</v>
      </c>
      <c r="E1692" s="57">
        <v>804</v>
      </c>
      <c r="F1692" s="57">
        <v>0.80400000000000005</v>
      </c>
      <c r="G1692" s="56" t="s">
        <v>392</v>
      </c>
      <c r="H1692" s="60" t="s">
        <v>2511</v>
      </c>
      <c r="I1692" s="56" t="s">
        <v>1834</v>
      </c>
      <c r="J1692" s="56"/>
      <c r="K1692" s="56"/>
      <c r="L1692" s="56"/>
      <c r="M1692" s="56"/>
      <c r="N1692" s="60" t="s">
        <v>124</v>
      </c>
      <c r="O1692" s="56">
        <v>4</v>
      </c>
      <c r="P1692" s="59" t="s">
        <v>2515</v>
      </c>
      <c r="Q1692" s="56" t="s">
        <v>124</v>
      </c>
    </row>
    <row r="1693" spans="1:17" x14ac:dyDescent="0.25">
      <c r="A1693" s="56">
        <v>3770394</v>
      </c>
      <c r="B1693" s="56" t="s">
        <v>2353</v>
      </c>
      <c r="C1693" s="56" t="s">
        <v>5481</v>
      </c>
      <c r="D1693" s="57">
        <v>127</v>
      </c>
      <c r="E1693" s="57">
        <v>1951</v>
      </c>
      <c r="F1693" s="57">
        <v>1.9510000000000001</v>
      </c>
      <c r="G1693" s="56" t="s">
        <v>392</v>
      </c>
      <c r="H1693" s="60" t="s">
        <v>2511</v>
      </c>
      <c r="I1693" s="56" t="s">
        <v>1834</v>
      </c>
      <c r="J1693" s="56"/>
      <c r="K1693" s="56"/>
      <c r="L1693" s="56"/>
      <c r="M1693" s="56"/>
      <c r="N1693" s="60" t="s">
        <v>124</v>
      </c>
      <c r="O1693" s="56">
        <v>4</v>
      </c>
      <c r="P1693" s="59" t="s">
        <v>2515</v>
      </c>
      <c r="Q1693" s="56" t="s">
        <v>124</v>
      </c>
    </row>
    <row r="1694" spans="1:17" x14ac:dyDescent="0.25">
      <c r="A1694" s="56">
        <v>3770394</v>
      </c>
      <c r="B1694" s="56" t="s">
        <v>2353</v>
      </c>
      <c r="C1694" s="56" t="s">
        <v>5482</v>
      </c>
      <c r="D1694" s="57">
        <v>134</v>
      </c>
      <c r="E1694" s="57">
        <v>2059</v>
      </c>
      <c r="F1694" s="57">
        <v>2.0590000000000002</v>
      </c>
      <c r="G1694" s="56" t="s">
        <v>392</v>
      </c>
      <c r="H1694" s="60" t="s">
        <v>2511</v>
      </c>
      <c r="I1694" s="56" t="s">
        <v>1834</v>
      </c>
      <c r="J1694" s="56"/>
      <c r="K1694" s="56"/>
      <c r="L1694" s="56"/>
      <c r="M1694" s="56"/>
      <c r="N1694" s="60" t="s">
        <v>124</v>
      </c>
      <c r="O1694" s="56">
        <v>4</v>
      </c>
      <c r="P1694" s="59" t="s">
        <v>2515</v>
      </c>
      <c r="Q1694" s="56" t="s">
        <v>124</v>
      </c>
    </row>
    <row r="1695" spans="1:17" x14ac:dyDescent="0.25">
      <c r="A1695" s="56">
        <v>3770394</v>
      </c>
      <c r="B1695" s="56" t="s">
        <v>2353</v>
      </c>
      <c r="C1695" s="56" t="s">
        <v>5483</v>
      </c>
      <c r="D1695" s="57">
        <v>120</v>
      </c>
      <c r="E1695" s="57">
        <v>1844</v>
      </c>
      <c r="F1695" s="57">
        <v>1.8440000000000001</v>
      </c>
      <c r="G1695" s="56" t="s">
        <v>392</v>
      </c>
      <c r="H1695" s="60" t="s">
        <v>2511</v>
      </c>
      <c r="I1695" s="56" t="s">
        <v>1834</v>
      </c>
      <c r="J1695" s="56"/>
      <c r="K1695" s="56"/>
      <c r="L1695" s="56"/>
      <c r="M1695" s="56"/>
      <c r="N1695" s="60" t="s">
        <v>124</v>
      </c>
      <c r="O1695" s="56">
        <v>4</v>
      </c>
      <c r="P1695" s="59" t="s">
        <v>2515</v>
      </c>
      <c r="Q1695" s="56" t="s">
        <v>124</v>
      </c>
    </row>
    <row r="1696" spans="1:17" x14ac:dyDescent="0.25">
      <c r="A1696" s="56">
        <v>3770394</v>
      </c>
      <c r="B1696" s="56" t="s">
        <v>2353</v>
      </c>
      <c r="C1696" s="56" t="s">
        <v>5484</v>
      </c>
      <c r="D1696" s="57">
        <v>107</v>
      </c>
      <c r="E1696" s="57">
        <v>1645</v>
      </c>
      <c r="F1696" s="57">
        <v>1.645</v>
      </c>
      <c r="G1696" s="56" t="s">
        <v>392</v>
      </c>
      <c r="H1696" s="60" t="s">
        <v>2511</v>
      </c>
      <c r="I1696" s="56" t="s">
        <v>1834</v>
      </c>
      <c r="J1696" s="56"/>
      <c r="K1696" s="56"/>
      <c r="L1696" s="56"/>
      <c r="M1696" s="56"/>
      <c r="N1696" s="60" t="s">
        <v>124</v>
      </c>
      <c r="O1696" s="56">
        <v>4</v>
      </c>
      <c r="P1696" s="59" t="s">
        <v>2515</v>
      </c>
      <c r="Q1696" s="56" t="s">
        <v>124</v>
      </c>
    </row>
    <row r="1697" spans="1:17" x14ac:dyDescent="0.25">
      <c r="A1697" s="56">
        <v>3770394</v>
      </c>
      <c r="B1697" s="56" t="s">
        <v>2353</v>
      </c>
      <c r="C1697" s="56" t="s">
        <v>5485</v>
      </c>
      <c r="D1697" s="57">
        <v>113</v>
      </c>
      <c r="E1697" s="57">
        <v>1737</v>
      </c>
      <c r="F1697" s="57">
        <v>1.7370000000000001</v>
      </c>
      <c r="G1697" s="56" t="s">
        <v>392</v>
      </c>
      <c r="H1697" s="60" t="s">
        <v>2511</v>
      </c>
      <c r="I1697" s="56" t="s">
        <v>1834</v>
      </c>
      <c r="J1697" s="56"/>
      <c r="K1697" s="56"/>
      <c r="L1697" s="56"/>
      <c r="M1697" s="56"/>
      <c r="N1697" s="60" t="s">
        <v>124</v>
      </c>
      <c r="O1697" s="56">
        <v>4</v>
      </c>
      <c r="P1697" s="59" t="s">
        <v>2515</v>
      </c>
      <c r="Q1697" s="56" t="s">
        <v>124</v>
      </c>
    </row>
    <row r="1698" spans="1:17" x14ac:dyDescent="0.25">
      <c r="A1698" s="56">
        <v>3770394</v>
      </c>
      <c r="B1698" s="56" t="s">
        <v>2353</v>
      </c>
      <c r="C1698" s="56" t="s">
        <v>5486</v>
      </c>
      <c r="D1698" s="57">
        <v>126</v>
      </c>
      <c r="E1698" s="57">
        <v>1936</v>
      </c>
      <c r="F1698" s="57">
        <v>1.9359999999999999</v>
      </c>
      <c r="G1698" s="56" t="s">
        <v>392</v>
      </c>
      <c r="H1698" s="60" t="s">
        <v>2511</v>
      </c>
      <c r="I1698" s="56" t="s">
        <v>1834</v>
      </c>
      <c r="J1698" s="56"/>
      <c r="K1698" s="56"/>
      <c r="L1698" s="56"/>
      <c r="M1698" s="56"/>
      <c r="N1698" s="60" t="s">
        <v>124</v>
      </c>
      <c r="O1698" s="56">
        <v>4</v>
      </c>
      <c r="P1698" s="59" t="s">
        <v>2515</v>
      </c>
      <c r="Q1698" s="56" t="s">
        <v>124</v>
      </c>
    </row>
    <row r="1699" spans="1:17" x14ac:dyDescent="0.25">
      <c r="A1699" s="56">
        <v>3770394</v>
      </c>
      <c r="B1699" s="56" t="s">
        <v>2353</v>
      </c>
      <c r="C1699" s="56" t="s">
        <v>5487</v>
      </c>
      <c r="D1699" s="57">
        <v>119</v>
      </c>
      <c r="E1699" s="57">
        <v>1829</v>
      </c>
      <c r="F1699" s="57">
        <v>1.829</v>
      </c>
      <c r="G1699" s="56" t="s">
        <v>392</v>
      </c>
      <c r="H1699" s="60" t="s">
        <v>2511</v>
      </c>
      <c r="I1699" s="56" t="s">
        <v>1834</v>
      </c>
      <c r="J1699" s="56"/>
      <c r="K1699" s="56"/>
      <c r="L1699" s="56"/>
      <c r="M1699" s="56"/>
      <c r="N1699" s="60" t="s">
        <v>124</v>
      </c>
      <c r="O1699" s="56">
        <v>4</v>
      </c>
      <c r="P1699" s="59" t="s">
        <v>2515</v>
      </c>
      <c r="Q1699" s="56" t="s">
        <v>124</v>
      </c>
    </row>
    <row r="1700" spans="1:17" x14ac:dyDescent="0.25">
      <c r="A1700" s="56">
        <v>3770394</v>
      </c>
      <c r="B1700" s="56" t="s">
        <v>2353</v>
      </c>
      <c r="C1700" s="56" t="s">
        <v>5488</v>
      </c>
      <c r="D1700" s="57">
        <v>122</v>
      </c>
      <c r="E1700" s="57">
        <v>1875</v>
      </c>
      <c r="F1700" s="57">
        <v>1.875</v>
      </c>
      <c r="G1700" s="56" t="s">
        <v>392</v>
      </c>
      <c r="H1700" s="60" t="s">
        <v>2511</v>
      </c>
      <c r="I1700" s="56" t="s">
        <v>1834</v>
      </c>
      <c r="J1700" s="56"/>
      <c r="K1700" s="56"/>
      <c r="L1700" s="56"/>
      <c r="M1700" s="56"/>
      <c r="N1700" s="60" t="s">
        <v>124</v>
      </c>
      <c r="O1700" s="56">
        <v>4</v>
      </c>
      <c r="P1700" s="59" t="s">
        <v>2515</v>
      </c>
      <c r="Q1700" s="56" t="s">
        <v>124</v>
      </c>
    </row>
    <row r="1701" spans="1:17" x14ac:dyDescent="0.25">
      <c r="A1701" s="56">
        <v>3770394</v>
      </c>
      <c r="B1701" s="56" t="s">
        <v>2353</v>
      </c>
      <c r="C1701" s="56" t="s">
        <v>5489</v>
      </c>
      <c r="D1701" s="57">
        <v>136</v>
      </c>
      <c r="E1701" s="57">
        <v>2089</v>
      </c>
      <c r="F1701" s="57">
        <v>2.089</v>
      </c>
      <c r="G1701" s="56" t="s">
        <v>392</v>
      </c>
      <c r="H1701" s="60" t="s">
        <v>2511</v>
      </c>
      <c r="I1701" s="56" t="s">
        <v>1834</v>
      </c>
      <c r="J1701" s="56"/>
      <c r="K1701" s="56"/>
      <c r="L1701" s="56"/>
      <c r="M1701" s="56"/>
      <c r="N1701" s="60" t="s">
        <v>124</v>
      </c>
      <c r="O1701" s="56">
        <v>4</v>
      </c>
      <c r="P1701" s="59" t="s">
        <v>2515</v>
      </c>
      <c r="Q1701" s="56" t="s">
        <v>124</v>
      </c>
    </row>
    <row r="1702" spans="1:17" x14ac:dyDescent="0.25">
      <c r="A1702" s="56">
        <v>3770394</v>
      </c>
      <c r="B1702" s="56" t="s">
        <v>2353</v>
      </c>
      <c r="C1702" s="56" t="s">
        <v>5490</v>
      </c>
      <c r="D1702" s="57">
        <v>121</v>
      </c>
      <c r="E1702" s="57">
        <v>1860</v>
      </c>
      <c r="F1702" s="57">
        <v>1.86</v>
      </c>
      <c r="G1702" s="56" t="s">
        <v>392</v>
      </c>
      <c r="H1702" s="60" t="s">
        <v>2511</v>
      </c>
      <c r="I1702" s="56" t="s">
        <v>1834</v>
      </c>
      <c r="J1702" s="56"/>
      <c r="K1702" s="56"/>
      <c r="L1702" s="56"/>
      <c r="M1702" s="56"/>
      <c r="N1702" s="60" t="s">
        <v>124</v>
      </c>
      <c r="O1702" s="56">
        <v>4</v>
      </c>
      <c r="P1702" s="59" t="s">
        <v>2515</v>
      </c>
      <c r="Q1702" s="56" t="s">
        <v>124</v>
      </c>
    </row>
    <row r="1703" spans="1:17" x14ac:dyDescent="0.25">
      <c r="A1703" s="56">
        <v>3770394</v>
      </c>
      <c r="B1703" s="56" t="s">
        <v>2353</v>
      </c>
      <c r="C1703" s="56" t="s">
        <v>5491</v>
      </c>
      <c r="D1703" s="57">
        <v>133</v>
      </c>
      <c r="E1703" s="57">
        <v>2043</v>
      </c>
      <c r="F1703" s="57">
        <v>2.0430000000000001</v>
      </c>
      <c r="G1703" s="56" t="s">
        <v>392</v>
      </c>
      <c r="H1703" s="60" t="s">
        <v>2511</v>
      </c>
      <c r="I1703" s="56" t="s">
        <v>1834</v>
      </c>
      <c r="J1703" s="56"/>
      <c r="K1703" s="56"/>
      <c r="L1703" s="56"/>
      <c r="M1703" s="56"/>
      <c r="N1703" s="60" t="s">
        <v>124</v>
      </c>
      <c r="O1703" s="56">
        <v>4</v>
      </c>
      <c r="P1703" s="59" t="s">
        <v>2515</v>
      </c>
      <c r="Q1703" s="56" t="s">
        <v>124</v>
      </c>
    </row>
    <row r="1704" spans="1:17" x14ac:dyDescent="0.25">
      <c r="A1704" s="56">
        <v>3770394</v>
      </c>
      <c r="B1704" s="56" t="s">
        <v>2353</v>
      </c>
      <c r="C1704" s="56" t="s">
        <v>5492</v>
      </c>
      <c r="D1704" s="57">
        <v>133</v>
      </c>
      <c r="E1704" s="57">
        <v>2043</v>
      </c>
      <c r="F1704" s="57">
        <v>2.0430000000000001</v>
      </c>
      <c r="G1704" s="56" t="s">
        <v>392</v>
      </c>
      <c r="H1704" s="60" t="s">
        <v>2511</v>
      </c>
      <c r="I1704" s="56" t="s">
        <v>1834</v>
      </c>
      <c r="J1704" s="56"/>
      <c r="K1704" s="56"/>
      <c r="L1704" s="56"/>
      <c r="M1704" s="56"/>
      <c r="N1704" s="60" t="s">
        <v>124</v>
      </c>
      <c r="O1704" s="56">
        <v>4</v>
      </c>
      <c r="P1704" s="59" t="s">
        <v>2515</v>
      </c>
      <c r="Q1704" s="56" t="s">
        <v>124</v>
      </c>
    </row>
    <row r="1705" spans="1:17" x14ac:dyDescent="0.25">
      <c r="A1705" s="56">
        <v>3770394</v>
      </c>
      <c r="B1705" s="56" t="s">
        <v>2353</v>
      </c>
      <c r="C1705" s="56" t="s">
        <v>5493</v>
      </c>
      <c r="D1705" s="57">
        <v>127</v>
      </c>
      <c r="E1705" s="57">
        <v>1951</v>
      </c>
      <c r="F1705" s="57">
        <v>1.9510000000000001</v>
      </c>
      <c r="G1705" s="56" t="s">
        <v>392</v>
      </c>
      <c r="H1705" s="60" t="s">
        <v>2511</v>
      </c>
      <c r="I1705" s="56" t="s">
        <v>1834</v>
      </c>
      <c r="J1705" s="56"/>
      <c r="K1705" s="56"/>
      <c r="L1705" s="56"/>
      <c r="M1705" s="56"/>
      <c r="N1705" s="60" t="s">
        <v>124</v>
      </c>
      <c r="O1705" s="56">
        <v>4</v>
      </c>
      <c r="P1705" s="59" t="s">
        <v>2515</v>
      </c>
      <c r="Q1705" s="56" t="s">
        <v>124</v>
      </c>
    </row>
    <row r="1706" spans="1:17" x14ac:dyDescent="0.25">
      <c r="A1706" s="56">
        <v>3770394</v>
      </c>
      <c r="B1706" s="56" t="s">
        <v>2353</v>
      </c>
      <c r="C1706" s="56" t="s">
        <v>5494</v>
      </c>
      <c r="D1706" s="57">
        <v>117</v>
      </c>
      <c r="E1706" s="57">
        <v>1798</v>
      </c>
      <c r="F1706" s="57">
        <v>1.798</v>
      </c>
      <c r="G1706" s="56" t="s">
        <v>392</v>
      </c>
      <c r="H1706" s="60" t="s">
        <v>2511</v>
      </c>
      <c r="I1706" s="56" t="s">
        <v>1834</v>
      </c>
      <c r="J1706" s="56"/>
      <c r="K1706" s="56"/>
      <c r="L1706" s="56"/>
      <c r="M1706" s="56"/>
      <c r="N1706" s="60" t="s">
        <v>124</v>
      </c>
      <c r="O1706" s="56">
        <v>4</v>
      </c>
      <c r="P1706" s="59" t="s">
        <v>2515</v>
      </c>
      <c r="Q1706" s="56" t="s">
        <v>124</v>
      </c>
    </row>
    <row r="1707" spans="1:17" x14ac:dyDescent="0.25">
      <c r="A1707" s="56">
        <v>3770394</v>
      </c>
      <c r="B1707" s="56" t="s">
        <v>2353</v>
      </c>
      <c r="C1707" s="56" t="s">
        <v>5495</v>
      </c>
      <c r="D1707" s="57">
        <v>12</v>
      </c>
      <c r="E1707" s="57">
        <v>179</v>
      </c>
      <c r="F1707" s="57">
        <v>0.17899999999999999</v>
      </c>
      <c r="G1707" s="56" t="s">
        <v>392</v>
      </c>
      <c r="H1707" s="60" t="s">
        <v>2511</v>
      </c>
      <c r="I1707" s="56" t="s">
        <v>1834</v>
      </c>
      <c r="J1707" s="56"/>
      <c r="K1707" s="56"/>
      <c r="L1707" s="56"/>
      <c r="M1707" s="56"/>
      <c r="N1707" s="60" t="s">
        <v>124</v>
      </c>
      <c r="O1707" s="56">
        <v>4</v>
      </c>
      <c r="P1707" s="59" t="s">
        <v>2515</v>
      </c>
      <c r="Q1707" s="56" t="s">
        <v>124</v>
      </c>
    </row>
    <row r="1708" spans="1:17" x14ac:dyDescent="0.25">
      <c r="A1708" s="56">
        <v>2411624</v>
      </c>
      <c r="B1708" s="56" t="s">
        <v>1432</v>
      </c>
      <c r="C1708" s="56" t="s">
        <v>5496</v>
      </c>
      <c r="D1708" s="57">
        <v>32</v>
      </c>
      <c r="E1708" s="57">
        <v>180</v>
      </c>
      <c r="F1708" s="57">
        <v>0.18</v>
      </c>
      <c r="G1708" s="56" t="s">
        <v>392</v>
      </c>
      <c r="H1708" s="60" t="s">
        <v>2511</v>
      </c>
      <c r="I1708" s="56" t="s">
        <v>1834</v>
      </c>
      <c r="J1708" s="56"/>
      <c r="K1708" s="56"/>
      <c r="L1708" s="56"/>
      <c r="M1708" s="56"/>
      <c r="N1708" s="60" t="s">
        <v>124</v>
      </c>
      <c r="O1708" s="56">
        <v>1</v>
      </c>
      <c r="P1708" s="59" t="s">
        <v>2515</v>
      </c>
      <c r="Q1708" s="56" t="s">
        <v>124</v>
      </c>
    </row>
    <row r="1709" spans="1:17" x14ac:dyDescent="0.25">
      <c r="A1709" s="56">
        <v>2411624</v>
      </c>
      <c r="B1709" s="56" t="s">
        <v>1432</v>
      </c>
      <c r="C1709" s="56" t="s">
        <v>5497</v>
      </c>
      <c r="D1709" s="57">
        <v>284</v>
      </c>
      <c r="E1709" s="57">
        <v>1602</v>
      </c>
      <c r="F1709" s="57">
        <v>1.6020000000000001</v>
      </c>
      <c r="G1709" s="56" t="s">
        <v>392</v>
      </c>
      <c r="H1709" s="60" t="s">
        <v>2511</v>
      </c>
      <c r="I1709" s="56" t="s">
        <v>1834</v>
      </c>
      <c r="J1709" s="56"/>
      <c r="K1709" s="56"/>
      <c r="L1709" s="56"/>
      <c r="M1709" s="56"/>
      <c r="N1709" s="60" t="s">
        <v>124</v>
      </c>
      <c r="O1709" s="56">
        <v>1</v>
      </c>
      <c r="P1709" s="59" t="s">
        <v>2515</v>
      </c>
      <c r="Q1709" s="56" t="s">
        <v>124</v>
      </c>
    </row>
    <row r="1710" spans="1:17" x14ac:dyDescent="0.25">
      <c r="A1710" s="56">
        <v>2411624</v>
      </c>
      <c r="B1710" s="56" t="s">
        <v>1432</v>
      </c>
      <c r="C1710" s="56" t="s">
        <v>5498</v>
      </c>
      <c r="D1710" s="57">
        <v>180</v>
      </c>
      <c r="E1710" s="57">
        <v>1012</v>
      </c>
      <c r="F1710" s="57">
        <v>1.012</v>
      </c>
      <c r="G1710" s="56" t="s">
        <v>392</v>
      </c>
      <c r="H1710" s="60" t="s">
        <v>2511</v>
      </c>
      <c r="I1710" s="56" t="s">
        <v>1834</v>
      </c>
      <c r="J1710" s="56"/>
      <c r="K1710" s="56"/>
      <c r="L1710" s="56"/>
      <c r="M1710" s="56"/>
      <c r="N1710" s="60" t="s">
        <v>124</v>
      </c>
      <c r="O1710" s="56">
        <v>1</v>
      </c>
      <c r="P1710" s="59" t="s">
        <v>2515</v>
      </c>
      <c r="Q1710" s="56" t="s">
        <v>124</v>
      </c>
    </row>
    <row r="1711" spans="1:17" x14ac:dyDescent="0.25">
      <c r="A1711" s="56">
        <v>2411624</v>
      </c>
      <c r="B1711" s="56" t="s">
        <v>1432</v>
      </c>
      <c r="C1711" s="56" t="s">
        <v>5499</v>
      </c>
      <c r="D1711" s="57">
        <v>47</v>
      </c>
      <c r="E1711" s="57">
        <v>266</v>
      </c>
      <c r="F1711" s="57">
        <v>0.26600000000000001</v>
      </c>
      <c r="G1711" s="56" t="s">
        <v>392</v>
      </c>
      <c r="H1711" s="60" t="s">
        <v>2511</v>
      </c>
      <c r="I1711" s="56" t="s">
        <v>1834</v>
      </c>
      <c r="J1711" s="56"/>
      <c r="K1711" s="56"/>
      <c r="L1711" s="56"/>
      <c r="M1711" s="56"/>
      <c r="N1711" s="60" t="s">
        <v>124</v>
      </c>
      <c r="O1711" s="56">
        <v>1</v>
      </c>
      <c r="P1711" s="59" t="s">
        <v>2515</v>
      </c>
      <c r="Q1711" s="56" t="s">
        <v>124</v>
      </c>
    </row>
    <row r="1712" spans="1:17" x14ac:dyDescent="0.25">
      <c r="A1712" s="56">
        <v>2439535</v>
      </c>
      <c r="B1712" s="56" t="s">
        <v>1430</v>
      </c>
      <c r="C1712" s="56" t="s">
        <v>5500</v>
      </c>
      <c r="D1712" s="57">
        <v>261</v>
      </c>
      <c r="E1712" s="57">
        <v>2022</v>
      </c>
      <c r="F1712" s="57">
        <v>2.0219999999999998</v>
      </c>
      <c r="G1712" s="56" t="s">
        <v>392</v>
      </c>
      <c r="H1712" s="60" t="s">
        <v>2511</v>
      </c>
      <c r="I1712" s="56" t="s">
        <v>1834</v>
      </c>
      <c r="J1712" s="56"/>
      <c r="K1712" s="56"/>
      <c r="L1712" s="56"/>
      <c r="M1712" s="56"/>
      <c r="N1712" s="60" t="s">
        <v>124</v>
      </c>
      <c r="O1712" s="56">
        <v>1</v>
      </c>
      <c r="P1712" s="59" t="s">
        <v>2515</v>
      </c>
      <c r="Q1712" s="56" t="s">
        <v>124</v>
      </c>
    </row>
    <row r="1713" spans="1:17" x14ac:dyDescent="0.25">
      <c r="A1713" s="56">
        <v>2439535</v>
      </c>
      <c r="B1713" s="56" t="s">
        <v>1430</v>
      </c>
      <c r="C1713" s="56" t="s">
        <v>5501</v>
      </c>
      <c r="D1713" s="57">
        <v>120</v>
      </c>
      <c r="E1713" s="57">
        <v>929</v>
      </c>
      <c r="F1713" s="57">
        <v>0.92900000000000005</v>
      </c>
      <c r="G1713" s="56" t="s">
        <v>392</v>
      </c>
      <c r="H1713" s="60" t="s">
        <v>2511</v>
      </c>
      <c r="I1713" s="56" t="s">
        <v>1834</v>
      </c>
      <c r="J1713" s="56"/>
      <c r="K1713" s="56"/>
      <c r="L1713" s="56"/>
      <c r="M1713" s="56"/>
      <c r="N1713" s="60" t="s">
        <v>124</v>
      </c>
      <c r="O1713" s="56">
        <v>1</v>
      </c>
      <c r="P1713" s="59" t="s">
        <v>2515</v>
      </c>
      <c r="Q1713" s="56" t="s">
        <v>124</v>
      </c>
    </row>
    <row r="1714" spans="1:17" x14ac:dyDescent="0.25">
      <c r="A1714" s="56">
        <v>3774983</v>
      </c>
      <c r="B1714" s="56" t="s">
        <v>5502</v>
      </c>
      <c r="C1714" s="56" t="s">
        <v>5503</v>
      </c>
      <c r="D1714" s="57">
        <v>125</v>
      </c>
      <c r="E1714" s="57">
        <v>2000</v>
      </c>
      <c r="F1714" s="57">
        <v>2</v>
      </c>
      <c r="G1714" s="56" t="s">
        <v>392</v>
      </c>
      <c r="H1714" s="60" t="s">
        <v>2511</v>
      </c>
      <c r="I1714" s="56" t="s">
        <v>1834</v>
      </c>
      <c r="J1714" s="56"/>
      <c r="K1714" s="56"/>
      <c r="L1714" s="56"/>
      <c r="M1714" s="56"/>
      <c r="N1714" s="60" t="s">
        <v>124</v>
      </c>
      <c r="O1714" s="56">
        <v>1</v>
      </c>
      <c r="P1714" s="59" t="s">
        <v>2515</v>
      </c>
      <c r="Q1714" s="56" t="s">
        <v>124</v>
      </c>
    </row>
    <row r="1715" spans="1:17" x14ac:dyDescent="0.25">
      <c r="A1715" s="56">
        <v>3770405</v>
      </c>
      <c r="B1715" s="56" t="s">
        <v>1767</v>
      </c>
      <c r="C1715" s="56" t="s">
        <v>5504</v>
      </c>
      <c r="D1715" s="57">
        <v>107</v>
      </c>
      <c r="E1715" s="57">
        <v>1150</v>
      </c>
      <c r="F1715" s="57">
        <v>1.1499999999999999</v>
      </c>
      <c r="G1715" s="56" t="s">
        <v>392</v>
      </c>
      <c r="H1715" s="60" t="s">
        <v>2511</v>
      </c>
      <c r="I1715" s="56" t="s">
        <v>1834</v>
      </c>
      <c r="J1715" s="56"/>
      <c r="K1715" s="56"/>
      <c r="L1715" s="56"/>
      <c r="M1715" s="56"/>
      <c r="N1715" s="60" t="s">
        <v>124</v>
      </c>
      <c r="O1715" s="56">
        <v>1</v>
      </c>
      <c r="P1715" s="59" t="s">
        <v>2515</v>
      </c>
      <c r="Q1715" s="56" t="s">
        <v>124</v>
      </c>
    </row>
    <row r="1716" spans="1:17" x14ac:dyDescent="0.25">
      <c r="A1716" s="56">
        <v>3770405</v>
      </c>
      <c r="B1716" s="56" t="s">
        <v>1767</v>
      </c>
      <c r="C1716" s="56" t="s">
        <v>5505</v>
      </c>
      <c r="D1716" s="57">
        <v>84</v>
      </c>
      <c r="E1716" s="57">
        <v>904</v>
      </c>
      <c r="F1716" s="57">
        <v>0.90400000000000003</v>
      </c>
      <c r="G1716" s="56" t="s">
        <v>392</v>
      </c>
      <c r="H1716" s="60" t="s">
        <v>2511</v>
      </c>
      <c r="I1716" s="56" t="s">
        <v>1834</v>
      </c>
      <c r="J1716" s="56"/>
      <c r="K1716" s="56"/>
      <c r="L1716" s="56"/>
      <c r="M1716" s="56"/>
      <c r="N1716" s="60" t="s">
        <v>124</v>
      </c>
      <c r="O1716" s="56">
        <v>1</v>
      </c>
      <c r="P1716" s="59" t="s">
        <v>2515</v>
      </c>
      <c r="Q1716" s="56" t="s">
        <v>124</v>
      </c>
    </row>
    <row r="1717" spans="1:17" x14ac:dyDescent="0.25">
      <c r="A1717" s="56">
        <v>3770405</v>
      </c>
      <c r="B1717" s="56" t="s">
        <v>1767</v>
      </c>
      <c r="C1717" s="56" t="s">
        <v>5506</v>
      </c>
      <c r="D1717" s="57">
        <v>109</v>
      </c>
      <c r="E1717" s="57">
        <v>1171</v>
      </c>
      <c r="F1717" s="57">
        <v>1.171</v>
      </c>
      <c r="G1717" s="56" t="s">
        <v>392</v>
      </c>
      <c r="H1717" s="60" t="s">
        <v>2511</v>
      </c>
      <c r="I1717" s="56" t="s">
        <v>1834</v>
      </c>
      <c r="J1717" s="56"/>
      <c r="K1717" s="56"/>
      <c r="L1717" s="56"/>
      <c r="M1717" s="56"/>
      <c r="N1717" s="60" t="s">
        <v>124</v>
      </c>
      <c r="O1717" s="56">
        <v>1</v>
      </c>
      <c r="P1717" s="59" t="s">
        <v>2515</v>
      </c>
      <c r="Q1717" s="56" t="s">
        <v>124</v>
      </c>
    </row>
    <row r="1718" spans="1:17" x14ac:dyDescent="0.25">
      <c r="A1718" s="56">
        <v>3770405</v>
      </c>
      <c r="B1718" s="56" t="s">
        <v>1767</v>
      </c>
      <c r="C1718" s="56" t="s">
        <v>5507</v>
      </c>
      <c r="D1718" s="57">
        <v>79</v>
      </c>
      <c r="E1718" s="57">
        <v>850</v>
      </c>
      <c r="F1718" s="57">
        <v>0.85</v>
      </c>
      <c r="G1718" s="56" t="s">
        <v>392</v>
      </c>
      <c r="H1718" s="60" t="s">
        <v>2511</v>
      </c>
      <c r="I1718" s="56" t="s">
        <v>1834</v>
      </c>
      <c r="J1718" s="56"/>
      <c r="K1718" s="56"/>
      <c r="L1718" s="56"/>
      <c r="M1718" s="56"/>
      <c r="N1718" s="60" t="s">
        <v>124</v>
      </c>
      <c r="O1718" s="56">
        <v>1</v>
      </c>
      <c r="P1718" s="59" t="s">
        <v>2515</v>
      </c>
      <c r="Q1718" s="56" t="s">
        <v>124</v>
      </c>
    </row>
    <row r="1719" spans="1:17" x14ac:dyDescent="0.25">
      <c r="A1719" s="56">
        <v>3770405</v>
      </c>
      <c r="B1719" s="56" t="s">
        <v>1767</v>
      </c>
      <c r="C1719" s="56" t="s">
        <v>5508</v>
      </c>
      <c r="D1719" s="57">
        <v>79</v>
      </c>
      <c r="E1719" s="57">
        <v>850</v>
      </c>
      <c r="F1719" s="57">
        <v>0.85</v>
      </c>
      <c r="G1719" s="56" t="s">
        <v>392</v>
      </c>
      <c r="H1719" s="60" t="s">
        <v>2511</v>
      </c>
      <c r="I1719" s="56" t="s">
        <v>1834</v>
      </c>
      <c r="J1719" s="56"/>
      <c r="K1719" s="56"/>
      <c r="L1719" s="56"/>
      <c r="M1719" s="56"/>
      <c r="N1719" s="60" t="s">
        <v>124</v>
      </c>
      <c r="O1719" s="56">
        <v>1</v>
      </c>
      <c r="P1719" s="59" t="s">
        <v>2515</v>
      </c>
      <c r="Q1719" s="56" t="s">
        <v>124</v>
      </c>
    </row>
    <row r="1720" spans="1:17" x14ac:dyDescent="0.25">
      <c r="A1720" s="56">
        <v>3855139</v>
      </c>
      <c r="B1720" s="56" t="s">
        <v>2468</v>
      </c>
      <c r="C1720" s="56" t="s">
        <v>5509</v>
      </c>
      <c r="D1720" s="57">
        <v>103</v>
      </c>
      <c r="E1720" s="57">
        <v>1393</v>
      </c>
      <c r="F1720" s="57">
        <v>1.393</v>
      </c>
      <c r="G1720" s="56" t="s">
        <v>392</v>
      </c>
      <c r="H1720" s="60" t="s">
        <v>2511</v>
      </c>
      <c r="I1720" s="56" t="s">
        <v>1834</v>
      </c>
      <c r="J1720" s="56"/>
      <c r="K1720" s="56"/>
      <c r="L1720" s="56"/>
      <c r="M1720" s="56"/>
      <c r="N1720" s="60" t="s">
        <v>124</v>
      </c>
      <c r="O1720" s="56">
        <v>1</v>
      </c>
      <c r="P1720" s="59" t="s">
        <v>2515</v>
      </c>
      <c r="Q1720" s="56" t="s">
        <v>124</v>
      </c>
    </row>
    <row r="1721" spans="1:17" x14ac:dyDescent="0.25">
      <c r="A1721" s="56">
        <v>3855139</v>
      </c>
      <c r="B1721" s="56" t="s">
        <v>2468</v>
      </c>
      <c r="C1721" s="56" t="s">
        <v>5510</v>
      </c>
      <c r="D1721" s="57">
        <v>121</v>
      </c>
      <c r="E1721" s="57">
        <v>1642</v>
      </c>
      <c r="F1721" s="57">
        <v>1.6419999999999999</v>
      </c>
      <c r="G1721" s="56" t="s">
        <v>392</v>
      </c>
      <c r="H1721" s="60" t="s">
        <v>2511</v>
      </c>
      <c r="I1721" s="56" t="s">
        <v>1834</v>
      </c>
      <c r="J1721" s="56"/>
      <c r="K1721" s="56"/>
      <c r="L1721" s="56"/>
      <c r="M1721" s="56"/>
      <c r="N1721" s="60" t="s">
        <v>124</v>
      </c>
      <c r="O1721" s="56">
        <v>1</v>
      </c>
      <c r="P1721" s="59" t="s">
        <v>2515</v>
      </c>
      <c r="Q1721" s="56" t="s">
        <v>124</v>
      </c>
    </row>
    <row r="1722" spans="1:17" x14ac:dyDescent="0.25">
      <c r="A1722" s="56">
        <v>3855139</v>
      </c>
      <c r="B1722" s="56" t="s">
        <v>2468</v>
      </c>
      <c r="C1722" s="56" t="s">
        <v>5511</v>
      </c>
      <c r="D1722" s="57">
        <v>123</v>
      </c>
      <c r="E1722" s="57">
        <v>1667</v>
      </c>
      <c r="F1722" s="57">
        <v>1.667</v>
      </c>
      <c r="G1722" s="56" t="s">
        <v>392</v>
      </c>
      <c r="H1722" s="60" t="s">
        <v>2511</v>
      </c>
      <c r="I1722" s="56" t="s">
        <v>1834</v>
      </c>
      <c r="J1722" s="56"/>
      <c r="K1722" s="56"/>
      <c r="L1722" s="56"/>
      <c r="M1722" s="56"/>
      <c r="N1722" s="60" t="s">
        <v>124</v>
      </c>
      <c r="O1722" s="56">
        <v>1</v>
      </c>
      <c r="P1722" s="59" t="s">
        <v>2515</v>
      </c>
      <c r="Q1722" s="56" t="s">
        <v>124</v>
      </c>
    </row>
    <row r="1723" spans="1:17" x14ac:dyDescent="0.25">
      <c r="A1723" s="56">
        <v>3855139</v>
      </c>
      <c r="B1723" s="56" t="s">
        <v>2468</v>
      </c>
      <c r="C1723" s="56" t="s">
        <v>5512</v>
      </c>
      <c r="D1723" s="57">
        <v>149</v>
      </c>
      <c r="E1723" s="57">
        <v>2015</v>
      </c>
      <c r="F1723" s="57">
        <v>2.0150000000000001</v>
      </c>
      <c r="G1723" s="56" t="s">
        <v>392</v>
      </c>
      <c r="H1723" s="60" t="s">
        <v>2511</v>
      </c>
      <c r="I1723" s="56" t="s">
        <v>1834</v>
      </c>
      <c r="J1723" s="56"/>
      <c r="K1723" s="56"/>
      <c r="L1723" s="56"/>
      <c r="M1723" s="56"/>
      <c r="N1723" s="60" t="s">
        <v>124</v>
      </c>
      <c r="O1723" s="56">
        <v>1</v>
      </c>
      <c r="P1723" s="59" t="s">
        <v>2515</v>
      </c>
      <c r="Q1723" s="56" t="s">
        <v>124</v>
      </c>
    </row>
    <row r="1724" spans="1:17" x14ac:dyDescent="0.25">
      <c r="A1724" s="56">
        <v>3855139</v>
      </c>
      <c r="B1724" s="56" t="s">
        <v>2468</v>
      </c>
      <c r="C1724" s="56" t="s">
        <v>5513</v>
      </c>
      <c r="D1724" s="57">
        <v>139</v>
      </c>
      <c r="E1724" s="57">
        <v>1878</v>
      </c>
      <c r="F1724" s="57">
        <v>1.8779999999999999</v>
      </c>
      <c r="G1724" s="56" t="s">
        <v>392</v>
      </c>
      <c r="H1724" s="60" t="s">
        <v>2511</v>
      </c>
      <c r="I1724" s="56" t="s">
        <v>1834</v>
      </c>
      <c r="J1724" s="56"/>
      <c r="K1724" s="56"/>
      <c r="L1724" s="56"/>
      <c r="M1724" s="56"/>
      <c r="N1724" s="60" t="s">
        <v>124</v>
      </c>
      <c r="O1724" s="56">
        <v>1</v>
      </c>
      <c r="P1724" s="59" t="s">
        <v>2515</v>
      </c>
      <c r="Q1724" s="56" t="s">
        <v>124</v>
      </c>
    </row>
    <row r="1725" spans="1:17" x14ac:dyDescent="0.25">
      <c r="A1725" s="56">
        <v>3855139</v>
      </c>
      <c r="B1725" s="56" t="s">
        <v>2468</v>
      </c>
      <c r="C1725" s="56" t="s">
        <v>5514</v>
      </c>
      <c r="D1725" s="57">
        <v>138</v>
      </c>
      <c r="E1725" s="57">
        <v>1866</v>
      </c>
      <c r="F1725" s="57">
        <v>1.8660000000000001</v>
      </c>
      <c r="G1725" s="56" t="s">
        <v>392</v>
      </c>
      <c r="H1725" s="60" t="s">
        <v>2511</v>
      </c>
      <c r="I1725" s="56" t="s">
        <v>1834</v>
      </c>
      <c r="J1725" s="56"/>
      <c r="K1725" s="56"/>
      <c r="L1725" s="56"/>
      <c r="M1725" s="56"/>
      <c r="N1725" s="60" t="s">
        <v>124</v>
      </c>
      <c r="O1725" s="56">
        <v>1</v>
      </c>
      <c r="P1725" s="59" t="s">
        <v>2515</v>
      </c>
      <c r="Q1725" s="56" t="s">
        <v>124</v>
      </c>
    </row>
    <row r="1726" spans="1:17" x14ac:dyDescent="0.25">
      <c r="A1726" s="56">
        <v>3855139</v>
      </c>
      <c r="B1726" s="56" t="s">
        <v>2468</v>
      </c>
      <c r="C1726" s="56" t="s">
        <v>5515</v>
      </c>
      <c r="D1726" s="57">
        <v>137</v>
      </c>
      <c r="E1726" s="57">
        <v>1853</v>
      </c>
      <c r="F1726" s="57">
        <v>1.853</v>
      </c>
      <c r="G1726" s="56" t="s">
        <v>392</v>
      </c>
      <c r="H1726" s="60" t="s">
        <v>2511</v>
      </c>
      <c r="I1726" s="56" t="s">
        <v>1834</v>
      </c>
      <c r="J1726" s="56"/>
      <c r="K1726" s="56"/>
      <c r="L1726" s="56"/>
      <c r="M1726" s="56"/>
      <c r="N1726" s="60" t="s">
        <v>124</v>
      </c>
      <c r="O1726" s="56">
        <v>1</v>
      </c>
      <c r="P1726" s="59" t="s">
        <v>2515</v>
      </c>
      <c r="Q1726" s="56" t="s">
        <v>124</v>
      </c>
    </row>
    <row r="1727" spans="1:17" x14ac:dyDescent="0.25">
      <c r="A1727" s="56">
        <v>3855139</v>
      </c>
      <c r="B1727" s="56" t="s">
        <v>2468</v>
      </c>
      <c r="C1727" s="56" t="s">
        <v>5516</v>
      </c>
      <c r="D1727" s="57">
        <v>134</v>
      </c>
      <c r="E1727" s="57">
        <v>1816</v>
      </c>
      <c r="F1727" s="57">
        <v>1.8160000000000001</v>
      </c>
      <c r="G1727" s="56" t="s">
        <v>392</v>
      </c>
      <c r="H1727" s="60" t="s">
        <v>2511</v>
      </c>
      <c r="I1727" s="56" t="s">
        <v>1834</v>
      </c>
      <c r="J1727" s="56"/>
      <c r="K1727" s="56"/>
      <c r="L1727" s="56"/>
      <c r="M1727" s="56"/>
      <c r="N1727" s="60" t="s">
        <v>124</v>
      </c>
      <c r="O1727" s="56">
        <v>1</v>
      </c>
      <c r="P1727" s="59" t="s">
        <v>2515</v>
      </c>
      <c r="Q1727" s="56" t="s">
        <v>124</v>
      </c>
    </row>
    <row r="1728" spans="1:17" x14ac:dyDescent="0.25">
      <c r="A1728" s="56">
        <v>3855139</v>
      </c>
      <c r="B1728" s="56" t="s">
        <v>2468</v>
      </c>
      <c r="C1728" s="56" t="s">
        <v>5517</v>
      </c>
      <c r="D1728" s="57">
        <v>116</v>
      </c>
      <c r="E1728" s="57">
        <v>1567</v>
      </c>
      <c r="F1728" s="57">
        <v>1.5669999999999999</v>
      </c>
      <c r="G1728" s="56" t="s">
        <v>392</v>
      </c>
      <c r="H1728" s="60" t="s">
        <v>2511</v>
      </c>
      <c r="I1728" s="56" t="s">
        <v>1834</v>
      </c>
      <c r="J1728" s="56"/>
      <c r="K1728" s="56"/>
      <c r="L1728" s="56"/>
      <c r="M1728" s="56"/>
      <c r="N1728" s="60" t="s">
        <v>124</v>
      </c>
      <c r="O1728" s="56">
        <v>1</v>
      </c>
      <c r="P1728" s="59" t="s">
        <v>2515</v>
      </c>
      <c r="Q1728" s="56" t="s">
        <v>124</v>
      </c>
    </row>
    <row r="1729" spans="1:17" x14ac:dyDescent="0.25">
      <c r="A1729" s="56">
        <v>3855139</v>
      </c>
      <c r="B1729" s="56" t="s">
        <v>2468</v>
      </c>
      <c r="C1729" s="56" t="s">
        <v>5518</v>
      </c>
      <c r="D1729" s="57">
        <v>126</v>
      </c>
      <c r="E1729" s="57">
        <v>1707</v>
      </c>
      <c r="F1729" s="57">
        <v>1.7070000000000001</v>
      </c>
      <c r="G1729" s="56" t="s">
        <v>392</v>
      </c>
      <c r="H1729" s="60" t="s">
        <v>2511</v>
      </c>
      <c r="I1729" s="56" t="s">
        <v>1834</v>
      </c>
      <c r="J1729" s="56"/>
      <c r="K1729" s="56"/>
      <c r="L1729" s="56"/>
      <c r="M1729" s="56"/>
      <c r="N1729" s="60" t="s">
        <v>124</v>
      </c>
      <c r="O1729" s="56">
        <v>1</v>
      </c>
      <c r="P1729" s="59" t="s">
        <v>2515</v>
      </c>
      <c r="Q1729" s="56" t="s">
        <v>124</v>
      </c>
    </row>
    <row r="1730" spans="1:17" x14ac:dyDescent="0.25">
      <c r="A1730" s="56">
        <v>3545373</v>
      </c>
      <c r="B1730" s="56" t="s">
        <v>5026</v>
      </c>
      <c r="C1730" s="56" t="s">
        <v>5519</v>
      </c>
      <c r="D1730" s="57">
        <v>97</v>
      </c>
      <c r="E1730" s="57">
        <v>1004.5</v>
      </c>
      <c r="F1730" s="57">
        <v>1.0044999999999999</v>
      </c>
      <c r="G1730" s="56" t="s">
        <v>392</v>
      </c>
      <c r="H1730" s="60" t="s">
        <v>2511</v>
      </c>
      <c r="I1730" s="56" t="s">
        <v>1834</v>
      </c>
      <c r="J1730" s="56"/>
      <c r="K1730" s="56"/>
      <c r="L1730" s="56"/>
      <c r="M1730" s="56"/>
      <c r="N1730" s="60" t="s">
        <v>124</v>
      </c>
      <c r="O1730" s="56">
        <v>1</v>
      </c>
      <c r="P1730" s="59" t="s">
        <v>2515</v>
      </c>
      <c r="Q1730" s="56" t="s">
        <v>124</v>
      </c>
    </row>
    <row r="1731" spans="1:17" x14ac:dyDescent="0.25">
      <c r="A1731" s="56">
        <v>3545373</v>
      </c>
      <c r="B1731" s="56" t="s">
        <v>5026</v>
      </c>
      <c r="C1731" s="56" t="s">
        <v>5520</v>
      </c>
      <c r="D1731" s="57">
        <v>99</v>
      </c>
      <c r="E1731" s="57">
        <v>1025.5</v>
      </c>
      <c r="F1731" s="57">
        <v>1.0255000000000001</v>
      </c>
      <c r="G1731" s="56" t="s">
        <v>392</v>
      </c>
      <c r="H1731" s="60" t="s">
        <v>2511</v>
      </c>
      <c r="I1731" s="56" t="s">
        <v>1834</v>
      </c>
      <c r="J1731" s="56"/>
      <c r="K1731" s="56"/>
      <c r="L1731" s="56"/>
      <c r="M1731" s="56"/>
      <c r="N1731" s="60" t="s">
        <v>124</v>
      </c>
      <c r="O1731" s="56">
        <v>1</v>
      </c>
      <c r="P1731" s="59" t="s">
        <v>2515</v>
      </c>
      <c r="Q1731" s="56" t="s">
        <v>124</v>
      </c>
    </row>
    <row r="1732" spans="1:17" x14ac:dyDescent="0.25">
      <c r="A1732" s="56">
        <v>3545373</v>
      </c>
      <c r="B1732" s="56" t="s">
        <v>5026</v>
      </c>
      <c r="C1732" s="56" t="s">
        <v>5521</v>
      </c>
      <c r="D1732" s="57">
        <v>108</v>
      </c>
      <c r="E1732" s="57">
        <v>1117.5</v>
      </c>
      <c r="F1732" s="57">
        <v>1.1174999999999999</v>
      </c>
      <c r="G1732" s="56" t="s">
        <v>392</v>
      </c>
      <c r="H1732" s="60" t="s">
        <v>2511</v>
      </c>
      <c r="I1732" s="56" t="s">
        <v>1834</v>
      </c>
      <c r="J1732" s="56"/>
      <c r="K1732" s="56"/>
      <c r="L1732" s="56"/>
      <c r="M1732" s="56"/>
      <c r="N1732" s="60" t="s">
        <v>124</v>
      </c>
      <c r="O1732" s="56">
        <v>1</v>
      </c>
      <c r="P1732" s="59" t="s">
        <v>2515</v>
      </c>
      <c r="Q1732" s="56" t="s">
        <v>124</v>
      </c>
    </row>
    <row r="1733" spans="1:17" x14ac:dyDescent="0.25">
      <c r="A1733" s="56">
        <v>3545373</v>
      </c>
      <c r="B1733" s="56" t="s">
        <v>5026</v>
      </c>
      <c r="C1733" s="56" t="s">
        <v>5522</v>
      </c>
      <c r="D1733" s="57">
        <v>98</v>
      </c>
      <c r="E1733" s="57">
        <v>1014.5</v>
      </c>
      <c r="F1733" s="57">
        <v>1.0145</v>
      </c>
      <c r="G1733" s="56" t="s">
        <v>392</v>
      </c>
      <c r="H1733" s="60" t="s">
        <v>2511</v>
      </c>
      <c r="I1733" s="56" t="s">
        <v>1834</v>
      </c>
      <c r="J1733" s="56"/>
      <c r="K1733" s="56"/>
      <c r="L1733" s="56"/>
      <c r="M1733" s="56"/>
      <c r="N1733" s="60" t="s">
        <v>124</v>
      </c>
      <c r="O1733" s="56">
        <v>1</v>
      </c>
      <c r="P1733" s="59" t="s">
        <v>2515</v>
      </c>
      <c r="Q1733" s="56" t="s">
        <v>124</v>
      </c>
    </row>
    <row r="1734" spans="1:17" x14ac:dyDescent="0.25">
      <c r="A1734" s="56">
        <v>3545373</v>
      </c>
      <c r="B1734" s="56" t="s">
        <v>5026</v>
      </c>
      <c r="C1734" s="56" t="s">
        <v>5523</v>
      </c>
      <c r="D1734" s="57">
        <v>99</v>
      </c>
      <c r="E1734" s="57">
        <v>1029.5</v>
      </c>
      <c r="F1734" s="57">
        <v>1.0295000000000001</v>
      </c>
      <c r="G1734" s="56" t="s">
        <v>392</v>
      </c>
      <c r="H1734" s="60" t="s">
        <v>2511</v>
      </c>
      <c r="I1734" s="56" t="s">
        <v>1834</v>
      </c>
      <c r="J1734" s="56"/>
      <c r="K1734" s="56"/>
      <c r="L1734" s="56"/>
      <c r="M1734" s="56"/>
      <c r="N1734" s="60" t="s">
        <v>124</v>
      </c>
      <c r="O1734" s="56">
        <v>1</v>
      </c>
      <c r="P1734" s="59" t="s">
        <v>2515</v>
      </c>
      <c r="Q1734" s="56" t="s">
        <v>124</v>
      </c>
    </row>
    <row r="1735" spans="1:17" x14ac:dyDescent="0.25">
      <c r="A1735" s="56">
        <v>3545373</v>
      </c>
      <c r="B1735" s="56" t="s">
        <v>5026</v>
      </c>
      <c r="C1735" s="56" t="s">
        <v>5524</v>
      </c>
      <c r="D1735" s="57">
        <v>108</v>
      </c>
      <c r="E1735" s="57">
        <v>1117.5</v>
      </c>
      <c r="F1735" s="57">
        <v>1.1174999999999999</v>
      </c>
      <c r="G1735" s="56" t="s">
        <v>392</v>
      </c>
      <c r="H1735" s="60" t="s">
        <v>2511</v>
      </c>
      <c r="I1735" s="56" t="s">
        <v>1834</v>
      </c>
      <c r="J1735" s="56"/>
      <c r="K1735" s="56"/>
      <c r="L1735" s="56"/>
      <c r="M1735" s="56"/>
      <c r="N1735" s="60" t="s">
        <v>124</v>
      </c>
      <c r="O1735" s="56">
        <v>1</v>
      </c>
      <c r="P1735" s="59" t="s">
        <v>2515</v>
      </c>
      <c r="Q1735" s="56" t="s">
        <v>124</v>
      </c>
    </row>
    <row r="1736" spans="1:17" x14ac:dyDescent="0.25">
      <c r="A1736" s="56">
        <v>3545373</v>
      </c>
      <c r="B1736" s="56" t="s">
        <v>5026</v>
      </c>
      <c r="C1736" s="56" t="s">
        <v>5525</v>
      </c>
      <c r="D1736" s="57">
        <v>103</v>
      </c>
      <c r="E1736" s="57">
        <v>1066.5</v>
      </c>
      <c r="F1736" s="57">
        <v>1.0665</v>
      </c>
      <c r="G1736" s="56" t="s">
        <v>392</v>
      </c>
      <c r="H1736" s="60" t="s">
        <v>2511</v>
      </c>
      <c r="I1736" s="56" t="s">
        <v>1834</v>
      </c>
      <c r="J1736" s="56"/>
      <c r="K1736" s="56"/>
      <c r="L1736" s="56"/>
      <c r="M1736" s="56"/>
      <c r="N1736" s="60" t="s">
        <v>124</v>
      </c>
      <c r="O1736" s="56">
        <v>1</v>
      </c>
      <c r="P1736" s="59" t="s">
        <v>2515</v>
      </c>
      <c r="Q1736" s="56" t="s">
        <v>124</v>
      </c>
    </row>
    <row r="1737" spans="1:17" x14ac:dyDescent="0.25">
      <c r="A1737" s="56">
        <v>3545373</v>
      </c>
      <c r="B1737" s="56" t="s">
        <v>5026</v>
      </c>
      <c r="C1737" s="56" t="s">
        <v>5526</v>
      </c>
      <c r="D1737" s="57">
        <v>109</v>
      </c>
      <c r="E1737" s="57">
        <v>1132.5</v>
      </c>
      <c r="F1737" s="57">
        <v>1.1325000000000001</v>
      </c>
      <c r="G1737" s="56" t="s">
        <v>392</v>
      </c>
      <c r="H1737" s="60" t="s">
        <v>2511</v>
      </c>
      <c r="I1737" s="56" t="s">
        <v>1834</v>
      </c>
      <c r="J1737" s="56"/>
      <c r="K1737" s="56"/>
      <c r="L1737" s="56"/>
      <c r="M1737" s="56"/>
      <c r="N1737" s="60" t="s">
        <v>124</v>
      </c>
      <c r="O1737" s="56">
        <v>1</v>
      </c>
      <c r="P1737" s="59" t="s">
        <v>2515</v>
      </c>
      <c r="Q1737" s="56" t="s">
        <v>124</v>
      </c>
    </row>
    <row r="1738" spans="1:17" x14ac:dyDescent="0.25">
      <c r="A1738" s="56">
        <v>3545373</v>
      </c>
      <c r="B1738" s="56" t="s">
        <v>5026</v>
      </c>
      <c r="C1738" s="56" t="s">
        <v>5527</v>
      </c>
      <c r="D1738" s="57">
        <v>93</v>
      </c>
      <c r="E1738" s="57">
        <v>963.5</v>
      </c>
      <c r="F1738" s="57">
        <v>0.96350000000000002</v>
      </c>
      <c r="G1738" s="56" t="s">
        <v>392</v>
      </c>
      <c r="H1738" s="60" t="s">
        <v>2511</v>
      </c>
      <c r="I1738" s="56" t="s">
        <v>1834</v>
      </c>
      <c r="J1738" s="56"/>
      <c r="K1738" s="56"/>
      <c r="L1738" s="56"/>
      <c r="M1738" s="56"/>
      <c r="N1738" s="60" t="s">
        <v>124</v>
      </c>
      <c r="O1738" s="56">
        <v>1</v>
      </c>
      <c r="P1738" s="59" t="s">
        <v>2515</v>
      </c>
      <c r="Q1738" s="56" t="s">
        <v>124</v>
      </c>
    </row>
    <row r="1739" spans="1:17" x14ac:dyDescent="0.25">
      <c r="A1739" s="56">
        <v>3702207</v>
      </c>
      <c r="B1739" s="56" t="s">
        <v>5171</v>
      </c>
      <c r="C1739" s="56" t="s">
        <v>5528</v>
      </c>
      <c r="D1739" s="57">
        <v>244</v>
      </c>
      <c r="E1739" s="57">
        <v>2936.5</v>
      </c>
      <c r="F1739" s="57">
        <v>2.9365000000000001</v>
      </c>
      <c r="G1739" s="56" t="s">
        <v>392</v>
      </c>
      <c r="H1739" s="60" t="s">
        <v>2511</v>
      </c>
      <c r="I1739" s="56" t="s">
        <v>1834</v>
      </c>
      <c r="J1739" s="56"/>
      <c r="K1739" s="56"/>
      <c r="L1739" s="56"/>
      <c r="M1739" s="56"/>
      <c r="N1739" s="60" t="s">
        <v>124</v>
      </c>
      <c r="O1739" s="56">
        <v>1</v>
      </c>
      <c r="P1739" s="59" t="s">
        <v>2515</v>
      </c>
      <c r="Q1739" s="56" t="s">
        <v>124</v>
      </c>
    </row>
    <row r="1740" spans="1:17" x14ac:dyDescent="0.25">
      <c r="A1740" s="56">
        <v>3702207</v>
      </c>
      <c r="B1740" s="56" t="s">
        <v>5171</v>
      </c>
      <c r="C1740" s="56" t="s">
        <v>5529</v>
      </c>
      <c r="D1740" s="57">
        <v>146</v>
      </c>
      <c r="E1740" s="57">
        <v>1758.5</v>
      </c>
      <c r="F1740" s="57">
        <v>1.7585</v>
      </c>
      <c r="G1740" s="56" t="s">
        <v>392</v>
      </c>
      <c r="H1740" s="60" t="s">
        <v>2511</v>
      </c>
      <c r="I1740" s="56" t="s">
        <v>1834</v>
      </c>
      <c r="J1740" s="56"/>
      <c r="K1740" s="56"/>
      <c r="L1740" s="56"/>
      <c r="M1740" s="56"/>
      <c r="N1740" s="60" t="s">
        <v>124</v>
      </c>
      <c r="O1740" s="56">
        <v>1</v>
      </c>
      <c r="P1740" s="59" t="s">
        <v>2515</v>
      </c>
      <c r="Q1740" s="56" t="s">
        <v>124</v>
      </c>
    </row>
    <row r="1741" spans="1:17" x14ac:dyDescent="0.25">
      <c r="A1741" s="56">
        <v>3702207</v>
      </c>
      <c r="B1741" s="56" t="s">
        <v>5171</v>
      </c>
      <c r="C1741" s="56" t="s">
        <v>5530</v>
      </c>
      <c r="D1741" s="57">
        <v>155</v>
      </c>
      <c r="E1741" s="57">
        <v>1863.5</v>
      </c>
      <c r="F1741" s="57">
        <v>1.8634999999999999</v>
      </c>
      <c r="G1741" s="56" t="s">
        <v>392</v>
      </c>
      <c r="H1741" s="60" t="s">
        <v>2511</v>
      </c>
      <c r="I1741" s="56" t="s">
        <v>1834</v>
      </c>
      <c r="J1741" s="56"/>
      <c r="K1741" s="56"/>
      <c r="L1741" s="56"/>
      <c r="M1741" s="56"/>
      <c r="N1741" s="60" t="s">
        <v>124</v>
      </c>
      <c r="O1741" s="56">
        <v>1</v>
      </c>
      <c r="P1741" s="59" t="s">
        <v>2515</v>
      </c>
      <c r="Q1741" s="56" t="s">
        <v>124</v>
      </c>
    </row>
    <row r="1742" spans="1:17" x14ac:dyDescent="0.25">
      <c r="A1742" s="56">
        <v>2410997</v>
      </c>
      <c r="B1742" s="56" t="s">
        <v>814</v>
      </c>
      <c r="C1742" s="56" t="s">
        <v>5531</v>
      </c>
      <c r="D1742" s="57">
        <v>92</v>
      </c>
      <c r="E1742" s="57">
        <v>725</v>
      </c>
      <c r="F1742" s="57">
        <v>0.72499999999999998</v>
      </c>
      <c r="G1742" s="56" t="s">
        <v>392</v>
      </c>
      <c r="H1742" s="60" t="s">
        <v>2511</v>
      </c>
      <c r="I1742" s="56" t="s">
        <v>1834</v>
      </c>
      <c r="J1742" s="56"/>
      <c r="K1742" s="56"/>
      <c r="L1742" s="56"/>
      <c r="M1742" s="56"/>
      <c r="N1742" s="60" t="s">
        <v>124</v>
      </c>
      <c r="O1742" s="56">
        <v>1</v>
      </c>
      <c r="P1742" s="59" t="s">
        <v>2515</v>
      </c>
      <c r="Q1742" s="56" t="s">
        <v>124</v>
      </c>
    </row>
    <row r="1743" spans="1:17" x14ac:dyDescent="0.25">
      <c r="A1743" s="56">
        <v>2410997</v>
      </c>
      <c r="B1743" s="56" t="s">
        <v>814</v>
      </c>
      <c r="C1743" s="56" t="s">
        <v>5532</v>
      </c>
      <c r="D1743" s="57">
        <v>100</v>
      </c>
      <c r="E1743" s="57">
        <v>788</v>
      </c>
      <c r="F1743" s="57">
        <v>0.78800000000000003</v>
      </c>
      <c r="G1743" s="56" t="s">
        <v>392</v>
      </c>
      <c r="H1743" s="60" t="s">
        <v>2511</v>
      </c>
      <c r="I1743" s="56" t="s">
        <v>1834</v>
      </c>
      <c r="J1743" s="56"/>
      <c r="K1743" s="56"/>
      <c r="L1743" s="56"/>
      <c r="M1743" s="56"/>
      <c r="N1743" s="60" t="s">
        <v>124</v>
      </c>
      <c r="O1743" s="56">
        <v>1</v>
      </c>
      <c r="P1743" s="59" t="s">
        <v>2515</v>
      </c>
      <c r="Q1743" s="56" t="s">
        <v>124</v>
      </c>
    </row>
    <row r="1744" spans="1:17" x14ac:dyDescent="0.25">
      <c r="A1744" s="56">
        <v>2439535</v>
      </c>
      <c r="B1744" s="56" t="s">
        <v>1430</v>
      </c>
      <c r="C1744" s="56" t="s">
        <v>5533</v>
      </c>
      <c r="D1744" s="57">
        <v>22</v>
      </c>
      <c r="E1744" s="57">
        <v>174</v>
      </c>
      <c r="F1744" s="57">
        <v>0.17399999999999999</v>
      </c>
      <c r="G1744" s="56" t="s">
        <v>392</v>
      </c>
      <c r="H1744" s="60" t="s">
        <v>2511</v>
      </c>
      <c r="I1744" s="56" t="s">
        <v>1834</v>
      </c>
      <c r="J1744" s="56"/>
      <c r="K1744" s="56"/>
      <c r="L1744" s="56"/>
      <c r="M1744" s="56"/>
      <c r="N1744" s="60" t="s">
        <v>124</v>
      </c>
      <c r="O1744" s="56">
        <v>1</v>
      </c>
      <c r="P1744" s="59" t="s">
        <v>2515</v>
      </c>
      <c r="Q1744" s="56" t="s">
        <v>124</v>
      </c>
    </row>
    <row r="1745" spans="1:17" x14ac:dyDescent="0.25">
      <c r="A1745" s="56">
        <v>2439535</v>
      </c>
      <c r="B1745" s="56" t="s">
        <v>1430</v>
      </c>
      <c r="C1745" s="56" t="s">
        <v>5534</v>
      </c>
      <c r="D1745" s="57">
        <v>115</v>
      </c>
      <c r="E1745" s="57">
        <v>887</v>
      </c>
      <c r="F1745" s="57">
        <v>0.88700000000000001</v>
      </c>
      <c r="G1745" s="56" t="s">
        <v>392</v>
      </c>
      <c r="H1745" s="60" t="s">
        <v>2511</v>
      </c>
      <c r="I1745" s="56" t="s">
        <v>1834</v>
      </c>
      <c r="J1745" s="56"/>
      <c r="K1745" s="56"/>
      <c r="L1745" s="56"/>
      <c r="M1745" s="56"/>
      <c r="N1745" s="60" t="s">
        <v>124</v>
      </c>
      <c r="O1745" s="56">
        <v>1</v>
      </c>
      <c r="P1745" s="59" t="s">
        <v>2515</v>
      </c>
      <c r="Q1745" s="56" t="s">
        <v>124</v>
      </c>
    </row>
    <row r="1746" spans="1:17" x14ac:dyDescent="0.25">
      <c r="A1746" s="56">
        <v>2439535</v>
      </c>
      <c r="B1746" s="56" t="s">
        <v>1430</v>
      </c>
      <c r="C1746" s="56" t="s">
        <v>5535</v>
      </c>
      <c r="D1746" s="57">
        <v>111</v>
      </c>
      <c r="E1746" s="57">
        <v>858</v>
      </c>
      <c r="F1746" s="57">
        <v>0.85799999999999998</v>
      </c>
      <c r="G1746" s="56" t="s">
        <v>392</v>
      </c>
      <c r="H1746" s="60" t="s">
        <v>2511</v>
      </c>
      <c r="I1746" s="56" t="s">
        <v>1834</v>
      </c>
      <c r="J1746" s="56"/>
      <c r="K1746" s="56"/>
      <c r="L1746" s="56"/>
      <c r="M1746" s="56"/>
      <c r="N1746" s="60" t="s">
        <v>124</v>
      </c>
      <c r="O1746" s="56">
        <v>1</v>
      </c>
      <c r="P1746" s="59" t="s">
        <v>2515</v>
      </c>
      <c r="Q1746" s="56" t="s">
        <v>124</v>
      </c>
    </row>
    <row r="1747" spans="1:17" x14ac:dyDescent="0.25">
      <c r="A1747" s="56">
        <v>2439535</v>
      </c>
      <c r="B1747" s="56" t="s">
        <v>1430</v>
      </c>
      <c r="C1747" s="56" t="s">
        <v>5536</v>
      </c>
      <c r="D1747" s="57">
        <v>271</v>
      </c>
      <c r="E1747" s="57">
        <v>2102</v>
      </c>
      <c r="F1747" s="57">
        <v>2.1019999999999999</v>
      </c>
      <c r="G1747" s="56" t="s">
        <v>392</v>
      </c>
      <c r="H1747" s="60" t="s">
        <v>2511</v>
      </c>
      <c r="I1747" s="56" t="s">
        <v>1834</v>
      </c>
      <c r="J1747" s="56"/>
      <c r="K1747" s="56"/>
      <c r="L1747" s="56"/>
      <c r="M1747" s="56"/>
      <c r="N1747" s="60" t="s">
        <v>124</v>
      </c>
      <c r="O1747" s="56">
        <v>1</v>
      </c>
      <c r="P1747" s="59" t="s">
        <v>2515</v>
      </c>
      <c r="Q1747" s="56" t="s">
        <v>124</v>
      </c>
    </row>
    <row r="1748" spans="1:17" x14ac:dyDescent="0.25">
      <c r="A1748" s="56">
        <v>2439535</v>
      </c>
      <c r="B1748" s="56" t="s">
        <v>1430</v>
      </c>
      <c r="C1748" s="56" t="s">
        <v>5537</v>
      </c>
      <c r="D1748" s="57">
        <v>132</v>
      </c>
      <c r="E1748" s="57">
        <v>1021</v>
      </c>
      <c r="F1748" s="57">
        <v>1.0209999999999999</v>
      </c>
      <c r="G1748" s="56" t="s">
        <v>392</v>
      </c>
      <c r="H1748" s="60" t="s">
        <v>2511</v>
      </c>
      <c r="I1748" s="56" t="s">
        <v>1834</v>
      </c>
      <c r="J1748" s="56"/>
      <c r="K1748" s="56"/>
      <c r="L1748" s="56"/>
      <c r="M1748" s="56"/>
      <c r="N1748" s="60" t="s">
        <v>124</v>
      </c>
      <c r="O1748" s="56">
        <v>1</v>
      </c>
      <c r="P1748" s="59" t="s">
        <v>2515</v>
      </c>
      <c r="Q1748" s="56" t="s">
        <v>124</v>
      </c>
    </row>
    <row r="1749" spans="1:17" x14ac:dyDescent="0.25">
      <c r="A1749" s="56">
        <v>2439535</v>
      </c>
      <c r="B1749" s="56" t="s">
        <v>1430</v>
      </c>
      <c r="C1749" s="56" t="s">
        <v>5538</v>
      </c>
      <c r="D1749" s="57">
        <v>134</v>
      </c>
      <c r="E1749" s="57">
        <v>1035</v>
      </c>
      <c r="F1749" s="57">
        <v>1.0349999999999999</v>
      </c>
      <c r="G1749" s="56" t="s">
        <v>392</v>
      </c>
      <c r="H1749" s="60" t="s">
        <v>2511</v>
      </c>
      <c r="I1749" s="56" t="s">
        <v>1834</v>
      </c>
      <c r="J1749" s="56"/>
      <c r="K1749" s="56"/>
      <c r="L1749" s="56"/>
      <c r="M1749" s="56"/>
      <c r="N1749" s="60" t="s">
        <v>124</v>
      </c>
      <c r="O1749" s="56">
        <v>1</v>
      </c>
      <c r="P1749" s="59" t="s">
        <v>2515</v>
      </c>
      <c r="Q1749" s="56" t="s">
        <v>124</v>
      </c>
    </row>
    <row r="1750" spans="1:17" x14ac:dyDescent="0.25">
      <c r="A1750" s="56">
        <v>2439536</v>
      </c>
      <c r="B1750" s="56" t="s">
        <v>1428</v>
      </c>
      <c r="C1750" s="56" t="s">
        <v>5539</v>
      </c>
      <c r="D1750" s="57">
        <v>211</v>
      </c>
      <c r="E1750" s="57">
        <v>1442</v>
      </c>
      <c r="F1750" s="57">
        <v>1.4419999999999999</v>
      </c>
      <c r="G1750" s="56" t="s">
        <v>392</v>
      </c>
      <c r="H1750" s="60" t="s">
        <v>2511</v>
      </c>
      <c r="I1750" s="56" t="s">
        <v>1834</v>
      </c>
      <c r="J1750" s="56"/>
      <c r="K1750" s="56"/>
      <c r="L1750" s="56"/>
      <c r="M1750" s="56"/>
      <c r="N1750" s="60" t="s">
        <v>124</v>
      </c>
      <c r="O1750" s="56">
        <v>1</v>
      </c>
      <c r="P1750" s="59" t="s">
        <v>2515</v>
      </c>
      <c r="Q1750" s="56" t="s">
        <v>124</v>
      </c>
    </row>
    <row r="1751" spans="1:17" x14ac:dyDescent="0.25">
      <c r="A1751" s="56">
        <v>3502026</v>
      </c>
      <c r="B1751" s="56" t="s">
        <v>2369</v>
      </c>
      <c r="C1751" s="56" t="s">
        <v>5540</v>
      </c>
      <c r="D1751" s="57">
        <v>147</v>
      </c>
      <c r="E1751" s="57">
        <v>2283</v>
      </c>
      <c r="F1751" s="57">
        <v>2.2829999999999999</v>
      </c>
      <c r="G1751" s="56" t="s">
        <v>392</v>
      </c>
      <c r="H1751" s="60" t="s">
        <v>2511</v>
      </c>
      <c r="I1751" s="56" t="s">
        <v>1834</v>
      </c>
      <c r="J1751" s="56"/>
      <c r="K1751" s="56"/>
      <c r="L1751" s="56"/>
      <c r="M1751" s="56"/>
      <c r="N1751" s="60" t="s">
        <v>124</v>
      </c>
      <c r="O1751" s="56">
        <v>1</v>
      </c>
      <c r="P1751" s="59" t="s">
        <v>2515</v>
      </c>
      <c r="Q1751" s="56" t="s">
        <v>124</v>
      </c>
    </row>
    <row r="1752" spans="1:17" x14ac:dyDescent="0.25">
      <c r="A1752" s="56">
        <v>3502026</v>
      </c>
      <c r="B1752" s="56" t="s">
        <v>2369</v>
      </c>
      <c r="C1752" s="56" t="s">
        <v>5541</v>
      </c>
      <c r="D1752" s="57">
        <v>151</v>
      </c>
      <c r="E1752" s="57">
        <v>2345</v>
      </c>
      <c r="F1752" s="57">
        <v>2.3450000000000002</v>
      </c>
      <c r="G1752" s="56" t="s">
        <v>392</v>
      </c>
      <c r="H1752" s="60" t="s">
        <v>2511</v>
      </c>
      <c r="I1752" s="56" t="s">
        <v>1834</v>
      </c>
      <c r="J1752" s="56"/>
      <c r="K1752" s="56"/>
      <c r="L1752" s="56"/>
      <c r="M1752" s="56"/>
      <c r="N1752" s="60" t="s">
        <v>124</v>
      </c>
      <c r="O1752" s="56">
        <v>1</v>
      </c>
      <c r="P1752" s="59" t="s">
        <v>2515</v>
      </c>
      <c r="Q1752" s="56" t="s">
        <v>124</v>
      </c>
    </row>
  </sheetData>
  <phoneticPr fontId="13" type="noConversion"/>
  <conditionalFormatting sqref="C2:C1752">
    <cfRule type="duplicateValues" dxfId="73" priority="499"/>
  </conditionalFormatting>
  <conditionalFormatting sqref="U1:U1048576">
    <cfRule type="duplicateValues" dxfId="72" priority="1"/>
  </conditionalFormatting>
  <conditionalFormatting sqref="U1515 U3:U1510">
    <cfRule type="duplicateValues" dxfId="71" priority="513"/>
    <cfRule type="duplicateValues" dxfId="70" priority="514"/>
  </conditionalFormatting>
  <conditionalFormatting sqref="U1268">
    <cfRule type="duplicateValues" dxfId="69" priority="3"/>
    <cfRule type="duplicateValues" dxfId="68" priority="4"/>
  </conditionalFormatting>
  <conditionalFormatting sqref="U1270:U1441">
    <cfRule type="duplicateValues" dxfId="0" priority="525"/>
  </conditionalFormatting>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C6C5-F51C-4C04-914F-845CE34BBD2A}">
  <dimension ref="A1:A9"/>
  <sheetViews>
    <sheetView workbookViewId="0">
      <selection activeCell="A2" sqref="A2:A3"/>
    </sheetView>
  </sheetViews>
  <sheetFormatPr defaultRowHeight="15" x14ac:dyDescent="0.25"/>
  <sheetData>
    <row r="1" spans="1:1" x14ac:dyDescent="0.25">
      <c r="A1">
        <v>3702439</v>
      </c>
    </row>
    <row r="2" spans="1:1" x14ac:dyDescent="0.25">
      <c r="A2">
        <v>3882110</v>
      </c>
    </row>
    <row r="3" spans="1:1" x14ac:dyDescent="0.25">
      <c r="A3">
        <v>3230758</v>
      </c>
    </row>
    <row r="4" spans="1:1" x14ac:dyDescent="0.25">
      <c r="A4">
        <v>3702196</v>
      </c>
    </row>
    <row r="5" spans="1:1" x14ac:dyDescent="0.25">
      <c r="A5">
        <v>4072797</v>
      </c>
    </row>
    <row r="6" spans="1:1" x14ac:dyDescent="0.25">
      <c r="A6">
        <v>4140303</v>
      </c>
    </row>
    <row r="7" spans="1:1" x14ac:dyDescent="0.25">
      <c r="A7">
        <v>4160603</v>
      </c>
    </row>
    <row r="8" spans="1:1" x14ac:dyDescent="0.25">
      <c r="A8">
        <v>3575647</v>
      </c>
    </row>
    <row r="9" spans="1:1" x14ac:dyDescent="0.25">
      <c r="A9">
        <v>3597718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1"/>
  <dimension ref="A1:N415"/>
  <sheetViews>
    <sheetView topLeftCell="H1" workbookViewId="0">
      <selection activeCell="J512" sqref="J512"/>
    </sheetView>
  </sheetViews>
  <sheetFormatPr defaultRowHeight="15" x14ac:dyDescent="0.25"/>
  <cols>
    <col min="1" max="1" width="17.85546875" bestFit="1" customWidth="1"/>
    <col min="2" max="2" width="16" bestFit="1" customWidth="1"/>
    <col min="3" max="3" width="32.85546875" bestFit="1" customWidth="1"/>
    <col min="4" max="4" width="17.5703125" bestFit="1" customWidth="1"/>
    <col min="5" max="5" width="13" bestFit="1" customWidth="1"/>
    <col min="6" max="6" width="12.140625" bestFit="1" customWidth="1"/>
    <col min="7" max="7" width="14.85546875" bestFit="1" customWidth="1"/>
    <col min="8" max="8" width="19.28515625" bestFit="1" customWidth="1"/>
    <col min="9" max="9" width="38.42578125" bestFit="1" customWidth="1"/>
    <col min="10" max="10" width="17.42578125" bestFit="1" customWidth="1"/>
    <col min="11" max="11" width="38.85546875" bestFit="1" customWidth="1"/>
    <col min="12" max="12" width="7.5703125" bestFit="1" customWidth="1"/>
    <col min="13" max="13" width="25.85546875" bestFit="1" customWidth="1"/>
    <col min="14" max="14" width="31.28515625" bestFit="1" customWidth="1"/>
  </cols>
  <sheetData>
    <row r="1" spans="1:14" x14ac:dyDescent="0.25">
      <c r="A1" t="s">
        <v>5542</v>
      </c>
      <c r="B1" t="s">
        <v>5543</v>
      </c>
      <c r="C1" t="s">
        <v>5544</v>
      </c>
      <c r="D1" t="s">
        <v>5545</v>
      </c>
      <c r="E1" t="s">
        <v>5546</v>
      </c>
      <c r="F1" t="s">
        <v>5547</v>
      </c>
      <c r="G1" t="s">
        <v>5548</v>
      </c>
      <c r="H1" t="s">
        <v>5549</v>
      </c>
      <c r="I1" t="s">
        <v>5550</v>
      </c>
      <c r="J1" t="s">
        <v>5551</v>
      </c>
      <c r="K1" t="s">
        <v>5552</v>
      </c>
      <c r="L1" t="s">
        <v>2</v>
      </c>
      <c r="M1" t="s">
        <v>261</v>
      </c>
      <c r="N1" t="s">
        <v>1850</v>
      </c>
    </row>
    <row r="2" spans="1:14" hidden="1" x14ac:dyDescent="0.25">
      <c r="A2" t="s">
        <v>5553</v>
      </c>
      <c r="B2">
        <v>244</v>
      </c>
      <c r="C2" t="s">
        <v>159</v>
      </c>
      <c r="D2">
        <v>2</v>
      </c>
      <c r="E2">
        <v>15.88</v>
      </c>
      <c r="F2">
        <v>0</v>
      </c>
      <c r="G2">
        <v>0.29100000000000004</v>
      </c>
      <c r="H2" t="s">
        <v>5554</v>
      </c>
      <c r="I2" t="s">
        <v>5555</v>
      </c>
      <c r="J2">
        <v>3506797</v>
      </c>
      <c r="K2" t="s">
        <v>2070</v>
      </c>
      <c r="L2" t="s">
        <v>10</v>
      </c>
      <c r="M2" t="s">
        <v>537</v>
      </c>
      <c r="N2" t="s">
        <v>539</v>
      </c>
    </row>
    <row r="3" spans="1:14" hidden="1" x14ac:dyDescent="0.25">
      <c r="A3" t="s">
        <v>5553</v>
      </c>
      <c r="B3">
        <v>337</v>
      </c>
      <c r="C3" t="s">
        <v>151</v>
      </c>
      <c r="D3">
        <v>1.02</v>
      </c>
      <c r="E3">
        <v>19.05</v>
      </c>
      <c r="F3">
        <v>0</v>
      </c>
      <c r="G3">
        <v>1.095</v>
      </c>
      <c r="H3" t="s">
        <v>5556</v>
      </c>
      <c r="I3" t="s">
        <v>5557</v>
      </c>
      <c r="J3">
        <v>3518158</v>
      </c>
      <c r="K3" t="s">
        <v>1311</v>
      </c>
      <c r="L3" t="s">
        <v>10</v>
      </c>
      <c r="M3" t="s">
        <v>648</v>
      </c>
      <c r="N3" t="s">
        <v>2264</v>
      </c>
    </row>
    <row r="4" spans="1:14" hidden="1" x14ac:dyDescent="0.25">
      <c r="A4" t="s">
        <v>5553</v>
      </c>
      <c r="B4">
        <v>589</v>
      </c>
      <c r="C4" t="s">
        <v>151</v>
      </c>
      <c r="D4">
        <v>1.02</v>
      </c>
      <c r="E4">
        <v>19.05</v>
      </c>
      <c r="F4">
        <v>0</v>
      </c>
      <c r="G4">
        <v>1.095</v>
      </c>
      <c r="H4" t="s">
        <v>5556</v>
      </c>
      <c r="I4" t="s">
        <v>5557</v>
      </c>
      <c r="J4">
        <v>3518158</v>
      </c>
      <c r="K4" t="s">
        <v>1311</v>
      </c>
      <c r="L4" t="s">
        <v>10</v>
      </c>
      <c r="M4" t="s">
        <v>648</v>
      </c>
      <c r="N4" t="s">
        <v>2264</v>
      </c>
    </row>
    <row r="5" spans="1:14" hidden="1" x14ac:dyDescent="0.25">
      <c r="A5" t="s">
        <v>5553</v>
      </c>
      <c r="B5">
        <v>1520</v>
      </c>
      <c r="C5" t="s">
        <v>151</v>
      </c>
      <c r="D5">
        <v>1.02</v>
      </c>
      <c r="E5">
        <v>19.05</v>
      </c>
      <c r="F5">
        <v>0</v>
      </c>
      <c r="G5">
        <v>1.095</v>
      </c>
      <c r="H5" t="s">
        <v>5556</v>
      </c>
      <c r="I5" t="s">
        <v>5557</v>
      </c>
      <c r="J5">
        <v>3518158</v>
      </c>
      <c r="K5" t="s">
        <v>1311</v>
      </c>
      <c r="L5" t="s">
        <v>10</v>
      </c>
      <c r="M5" t="s">
        <v>648</v>
      </c>
      <c r="N5" t="s">
        <v>2264</v>
      </c>
    </row>
    <row r="6" spans="1:14" hidden="1" x14ac:dyDescent="0.25">
      <c r="A6" t="s">
        <v>5553</v>
      </c>
      <c r="B6">
        <v>1265</v>
      </c>
      <c r="C6" t="s">
        <v>151</v>
      </c>
      <c r="D6">
        <v>1.02</v>
      </c>
      <c r="E6">
        <v>19.05</v>
      </c>
      <c r="F6">
        <v>0</v>
      </c>
      <c r="G6">
        <v>1.095</v>
      </c>
      <c r="H6" t="s">
        <v>5556</v>
      </c>
      <c r="I6" t="s">
        <v>5557</v>
      </c>
      <c r="J6">
        <v>3518158</v>
      </c>
      <c r="K6" t="s">
        <v>1311</v>
      </c>
      <c r="L6" t="s">
        <v>10</v>
      </c>
      <c r="M6" t="s">
        <v>648</v>
      </c>
      <c r="N6" t="s">
        <v>2264</v>
      </c>
    </row>
    <row r="7" spans="1:14" hidden="1" x14ac:dyDescent="0.25">
      <c r="A7" t="s">
        <v>5553</v>
      </c>
      <c r="B7">
        <v>570</v>
      </c>
      <c r="C7" t="s">
        <v>151</v>
      </c>
      <c r="D7">
        <v>1.02</v>
      </c>
      <c r="E7">
        <v>19.05</v>
      </c>
      <c r="F7">
        <v>0</v>
      </c>
      <c r="G7">
        <v>1.095</v>
      </c>
      <c r="H7" t="s">
        <v>5556</v>
      </c>
      <c r="I7" t="s">
        <v>5557</v>
      </c>
      <c r="J7">
        <v>3518158</v>
      </c>
      <c r="K7" t="s">
        <v>1311</v>
      </c>
      <c r="L7" t="s">
        <v>10</v>
      </c>
      <c r="M7" t="s">
        <v>648</v>
      </c>
      <c r="N7" t="s">
        <v>2264</v>
      </c>
    </row>
    <row r="8" spans="1:14" hidden="1" x14ac:dyDescent="0.25">
      <c r="A8" t="s">
        <v>5553</v>
      </c>
      <c r="B8">
        <v>1370</v>
      </c>
      <c r="C8" t="s">
        <v>151</v>
      </c>
      <c r="D8">
        <v>1.02</v>
      </c>
      <c r="E8">
        <v>19.05</v>
      </c>
      <c r="F8">
        <v>0</v>
      </c>
      <c r="G8">
        <v>1.095</v>
      </c>
      <c r="H8" t="s">
        <v>5556</v>
      </c>
      <c r="I8" t="s">
        <v>5557</v>
      </c>
      <c r="J8">
        <v>3518158</v>
      </c>
      <c r="K8" t="s">
        <v>1311</v>
      </c>
      <c r="L8" t="s">
        <v>10</v>
      </c>
      <c r="M8" t="s">
        <v>648</v>
      </c>
      <c r="N8" t="s">
        <v>2264</v>
      </c>
    </row>
    <row r="9" spans="1:14" hidden="1" x14ac:dyDescent="0.25">
      <c r="A9" t="s">
        <v>5553</v>
      </c>
      <c r="B9">
        <v>665</v>
      </c>
      <c r="C9" t="s">
        <v>151</v>
      </c>
      <c r="D9">
        <v>1.02</v>
      </c>
      <c r="E9">
        <v>19.05</v>
      </c>
      <c r="F9">
        <v>0</v>
      </c>
      <c r="G9">
        <v>1.095</v>
      </c>
      <c r="H9" t="s">
        <v>5556</v>
      </c>
      <c r="I9" t="s">
        <v>5557</v>
      </c>
      <c r="J9">
        <v>3518158</v>
      </c>
      <c r="K9" t="s">
        <v>1311</v>
      </c>
      <c r="L9" t="s">
        <v>10</v>
      </c>
      <c r="M9" t="s">
        <v>648</v>
      </c>
      <c r="N9" t="s">
        <v>2264</v>
      </c>
    </row>
    <row r="10" spans="1:14" hidden="1" x14ac:dyDescent="0.25">
      <c r="A10" t="s">
        <v>5553</v>
      </c>
      <c r="B10">
        <v>998</v>
      </c>
      <c r="C10" t="s">
        <v>46</v>
      </c>
      <c r="D10">
        <v>1.6</v>
      </c>
      <c r="E10">
        <v>19.05</v>
      </c>
      <c r="F10">
        <v>0</v>
      </c>
      <c r="G10">
        <v>0.39400000000000002</v>
      </c>
      <c r="H10" t="s">
        <v>5558</v>
      </c>
      <c r="I10" t="s">
        <v>5559</v>
      </c>
      <c r="J10">
        <v>3122347</v>
      </c>
      <c r="K10" t="s">
        <v>1347</v>
      </c>
      <c r="L10" t="s">
        <v>10</v>
      </c>
      <c r="M10" t="s">
        <v>986</v>
      </c>
      <c r="N10" t="s">
        <v>2282</v>
      </c>
    </row>
    <row r="11" spans="1:14" hidden="1" x14ac:dyDescent="0.25">
      <c r="A11" t="s">
        <v>5553</v>
      </c>
      <c r="B11">
        <v>1988</v>
      </c>
      <c r="C11" t="s">
        <v>46</v>
      </c>
      <c r="D11">
        <v>1.6</v>
      </c>
      <c r="E11">
        <v>19.05</v>
      </c>
      <c r="F11">
        <v>0</v>
      </c>
      <c r="G11">
        <v>0.39400000000000002</v>
      </c>
      <c r="H11" t="s">
        <v>5558</v>
      </c>
      <c r="I11" t="s">
        <v>5559</v>
      </c>
      <c r="J11">
        <v>3122347</v>
      </c>
      <c r="K11" t="s">
        <v>1347</v>
      </c>
      <c r="L11" t="s">
        <v>10</v>
      </c>
      <c r="M11" t="s">
        <v>986</v>
      </c>
      <c r="N11" t="s">
        <v>2282</v>
      </c>
    </row>
    <row r="12" spans="1:14" hidden="1" x14ac:dyDescent="0.25">
      <c r="A12" t="s">
        <v>5553</v>
      </c>
      <c r="B12">
        <v>218</v>
      </c>
      <c r="C12" t="s">
        <v>151</v>
      </c>
      <c r="D12">
        <v>1.6</v>
      </c>
      <c r="E12">
        <v>12.7</v>
      </c>
      <c r="F12">
        <v>0</v>
      </c>
      <c r="G12">
        <v>0.14500000000000002</v>
      </c>
      <c r="H12" t="s">
        <v>5560</v>
      </c>
      <c r="I12" t="s">
        <v>5561</v>
      </c>
      <c r="J12">
        <v>1939991</v>
      </c>
      <c r="K12" t="s">
        <v>1147</v>
      </c>
      <c r="L12" t="s">
        <v>10</v>
      </c>
      <c r="M12" t="s">
        <v>416</v>
      </c>
      <c r="N12" t="s">
        <v>2580</v>
      </c>
    </row>
    <row r="13" spans="1:14" hidden="1" x14ac:dyDescent="0.25">
      <c r="A13" t="s">
        <v>5553</v>
      </c>
      <c r="B13">
        <v>275</v>
      </c>
      <c r="C13" t="s">
        <v>9</v>
      </c>
      <c r="D13">
        <v>1.2</v>
      </c>
      <c r="E13">
        <v>15.88</v>
      </c>
      <c r="F13">
        <v>0</v>
      </c>
      <c r="G13">
        <v>1.1299999999999999</v>
      </c>
      <c r="H13" t="s">
        <v>5562</v>
      </c>
      <c r="I13" t="s">
        <v>5563</v>
      </c>
      <c r="J13">
        <v>1940045</v>
      </c>
      <c r="K13" t="s">
        <v>1190</v>
      </c>
      <c r="L13" t="s">
        <v>10</v>
      </c>
      <c r="M13" t="s">
        <v>463</v>
      </c>
      <c r="N13" t="s">
        <v>2205</v>
      </c>
    </row>
    <row r="14" spans="1:14" hidden="1" x14ac:dyDescent="0.25">
      <c r="A14" t="s">
        <v>5553</v>
      </c>
      <c r="B14">
        <v>1447</v>
      </c>
      <c r="C14" t="s">
        <v>9</v>
      </c>
      <c r="D14">
        <v>1.2</v>
      </c>
      <c r="E14">
        <v>15.88</v>
      </c>
      <c r="F14">
        <v>0</v>
      </c>
      <c r="G14">
        <v>1.1299999999999999</v>
      </c>
      <c r="H14" t="s">
        <v>5564</v>
      </c>
      <c r="I14" t="s">
        <v>5565</v>
      </c>
      <c r="J14">
        <v>1940045</v>
      </c>
      <c r="K14" t="s">
        <v>1190</v>
      </c>
      <c r="L14" t="s">
        <v>10</v>
      </c>
      <c r="M14" t="s">
        <v>463</v>
      </c>
      <c r="N14" t="s">
        <v>2205</v>
      </c>
    </row>
    <row r="15" spans="1:14" hidden="1" x14ac:dyDescent="0.25">
      <c r="A15" t="s">
        <v>5553</v>
      </c>
      <c r="B15">
        <v>266</v>
      </c>
      <c r="C15" t="s">
        <v>46</v>
      </c>
      <c r="D15">
        <v>1.6</v>
      </c>
      <c r="E15">
        <v>12.7</v>
      </c>
      <c r="F15">
        <v>0</v>
      </c>
      <c r="G15">
        <v>0.25</v>
      </c>
      <c r="H15" t="s">
        <v>5566</v>
      </c>
      <c r="I15" t="s">
        <v>5567</v>
      </c>
      <c r="J15">
        <v>1939993</v>
      </c>
      <c r="K15" t="s">
        <v>420</v>
      </c>
      <c r="L15" t="s">
        <v>10</v>
      </c>
      <c r="M15" t="s">
        <v>416</v>
      </c>
      <c r="N15" t="s">
        <v>421</v>
      </c>
    </row>
    <row r="16" spans="1:14" hidden="1" x14ac:dyDescent="0.25">
      <c r="A16" t="s">
        <v>5553</v>
      </c>
      <c r="B16">
        <v>321</v>
      </c>
      <c r="C16" t="s">
        <v>166</v>
      </c>
      <c r="D16">
        <v>1.6</v>
      </c>
      <c r="E16">
        <v>12.7</v>
      </c>
      <c r="F16">
        <v>0</v>
      </c>
      <c r="G16">
        <v>0.26</v>
      </c>
      <c r="H16" t="s">
        <v>5570</v>
      </c>
      <c r="I16" t="s">
        <v>5571</v>
      </c>
      <c r="J16">
        <v>1932848</v>
      </c>
      <c r="K16" t="s">
        <v>426</v>
      </c>
      <c r="L16" t="s">
        <v>10</v>
      </c>
      <c r="M16" t="s">
        <v>416</v>
      </c>
      <c r="N16" t="s">
        <v>427</v>
      </c>
    </row>
    <row r="17" spans="1:14" hidden="1" x14ac:dyDescent="0.25">
      <c r="A17" t="s">
        <v>5553</v>
      </c>
      <c r="B17">
        <v>170</v>
      </c>
      <c r="C17" t="s">
        <v>166</v>
      </c>
      <c r="D17">
        <v>2</v>
      </c>
      <c r="E17">
        <v>19.05</v>
      </c>
      <c r="F17">
        <v>0</v>
      </c>
      <c r="G17">
        <v>0.81500000000000006</v>
      </c>
      <c r="H17" t="s">
        <v>5574</v>
      </c>
      <c r="I17" t="s">
        <v>5575</v>
      </c>
      <c r="J17">
        <v>1940287</v>
      </c>
      <c r="K17" t="s">
        <v>605</v>
      </c>
      <c r="L17" t="s">
        <v>10</v>
      </c>
      <c r="M17" t="s">
        <v>604</v>
      </c>
      <c r="N17" t="s">
        <v>606</v>
      </c>
    </row>
    <row r="18" spans="1:14" hidden="1" x14ac:dyDescent="0.25">
      <c r="A18" t="s">
        <v>5576</v>
      </c>
      <c r="B18">
        <v>1460</v>
      </c>
      <c r="C18" t="s">
        <v>166</v>
      </c>
      <c r="D18">
        <v>2</v>
      </c>
      <c r="E18">
        <v>19.05</v>
      </c>
      <c r="F18">
        <v>0</v>
      </c>
      <c r="G18">
        <v>0.81500000000000006</v>
      </c>
      <c r="H18" t="s">
        <v>1839</v>
      </c>
      <c r="I18" t="s">
        <v>1839</v>
      </c>
      <c r="J18">
        <v>1940287</v>
      </c>
      <c r="K18" t="s">
        <v>605</v>
      </c>
      <c r="L18" t="s">
        <v>10</v>
      </c>
      <c r="M18" t="s">
        <v>604</v>
      </c>
      <c r="N18" t="s">
        <v>606</v>
      </c>
    </row>
    <row r="19" spans="1:14" hidden="1" x14ac:dyDescent="0.25">
      <c r="A19" t="s">
        <v>5576</v>
      </c>
      <c r="B19">
        <v>2914</v>
      </c>
      <c r="C19" t="s">
        <v>166</v>
      </c>
      <c r="D19">
        <v>2</v>
      </c>
      <c r="E19">
        <v>19.05</v>
      </c>
      <c r="F19">
        <v>0</v>
      </c>
      <c r="G19">
        <v>0.81500000000000006</v>
      </c>
      <c r="H19" t="s">
        <v>1839</v>
      </c>
      <c r="I19" t="s">
        <v>1839</v>
      </c>
      <c r="J19">
        <v>1940287</v>
      </c>
      <c r="K19" t="s">
        <v>605</v>
      </c>
      <c r="L19" t="s">
        <v>10</v>
      </c>
      <c r="M19" t="s">
        <v>604</v>
      </c>
      <c r="N19" t="s">
        <v>606</v>
      </c>
    </row>
    <row r="20" spans="1:14" hidden="1" x14ac:dyDescent="0.25">
      <c r="A20" t="s">
        <v>5576</v>
      </c>
      <c r="B20">
        <v>2356</v>
      </c>
      <c r="C20" t="s">
        <v>166</v>
      </c>
      <c r="D20">
        <v>2</v>
      </c>
      <c r="E20">
        <v>19.05</v>
      </c>
      <c r="F20">
        <v>0</v>
      </c>
      <c r="G20">
        <v>0.81500000000000006</v>
      </c>
      <c r="H20" t="s">
        <v>1839</v>
      </c>
      <c r="I20" t="s">
        <v>1839</v>
      </c>
      <c r="J20">
        <v>1940287</v>
      </c>
      <c r="K20" t="s">
        <v>605</v>
      </c>
      <c r="L20" t="s">
        <v>10</v>
      </c>
      <c r="M20" t="s">
        <v>604</v>
      </c>
      <c r="N20" t="s">
        <v>606</v>
      </c>
    </row>
    <row r="21" spans="1:14" hidden="1" x14ac:dyDescent="0.25">
      <c r="A21" t="s">
        <v>5553</v>
      </c>
      <c r="B21">
        <v>730</v>
      </c>
      <c r="C21" t="s">
        <v>166</v>
      </c>
      <c r="D21">
        <v>1.6</v>
      </c>
      <c r="E21">
        <v>12.7</v>
      </c>
      <c r="F21">
        <v>0</v>
      </c>
      <c r="G21">
        <v>0.28000000000000003</v>
      </c>
      <c r="H21" t="s">
        <v>5572</v>
      </c>
      <c r="I21" t="s">
        <v>5573</v>
      </c>
      <c r="J21">
        <v>1939994</v>
      </c>
      <c r="K21" t="s">
        <v>431</v>
      </c>
      <c r="L21" t="s">
        <v>10</v>
      </c>
      <c r="M21" t="s">
        <v>416</v>
      </c>
      <c r="N21" t="s">
        <v>432</v>
      </c>
    </row>
    <row r="22" spans="1:14" hidden="1" x14ac:dyDescent="0.25">
      <c r="A22" t="s">
        <v>5553</v>
      </c>
      <c r="B22">
        <v>1246</v>
      </c>
      <c r="C22" t="s">
        <v>46</v>
      </c>
      <c r="D22">
        <v>2</v>
      </c>
      <c r="E22">
        <v>19.05</v>
      </c>
      <c r="F22">
        <v>0</v>
      </c>
      <c r="G22">
        <v>0.35800000000000004</v>
      </c>
      <c r="H22" t="s">
        <v>5577</v>
      </c>
      <c r="I22" t="s">
        <v>5578</v>
      </c>
      <c r="J22">
        <v>2403386</v>
      </c>
      <c r="K22" t="s">
        <v>2016</v>
      </c>
      <c r="L22" t="s">
        <v>10</v>
      </c>
      <c r="M22" t="s">
        <v>604</v>
      </c>
      <c r="N22" t="s">
        <v>2241</v>
      </c>
    </row>
    <row r="23" spans="1:14" hidden="1" x14ac:dyDescent="0.25">
      <c r="A23" t="s">
        <v>5553</v>
      </c>
      <c r="B23">
        <v>1800</v>
      </c>
      <c r="C23" t="s">
        <v>46</v>
      </c>
      <c r="D23">
        <v>1.6</v>
      </c>
      <c r="E23">
        <v>12.7</v>
      </c>
      <c r="F23">
        <v>0</v>
      </c>
      <c r="G23">
        <v>0.29500000000000004</v>
      </c>
      <c r="H23" t="s">
        <v>5566</v>
      </c>
      <c r="I23" t="s">
        <v>5567</v>
      </c>
      <c r="J23">
        <v>1939996</v>
      </c>
      <c r="K23" t="s">
        <v>433</v>
      </c>
      <c r="L23" t="s">
        <v>10</v>
      </c>
      <c r="M23" t="s">
        <v>416</v>
      </c>
      <c r="N23" t="s">
        <v>434</v>
      </c>
    </row>
    <row r="24" spans="1:14" hidden="1" x14ac:dyDescent="0.25">
      <c r="A24" t="s">
        <v>5553</v>
      </c>
      <c r="B24">
        <v>1825</v>
      </c>
      <c r="C24" t="s">
        <v>46</v>
      </c>
      <c r="D24">
        <v>1.6</v>
      </c>
      <c r="E24">
        <v>12.7</v>
      </c>
      <c r="F24">
        <v>0</v>
      </c>
      <c r="G24">
        <v>0.29500000000000004</v>
      </c>
      <c r="H24" t="s">
        <v>5566</v>
      </c>
      <c r="I24" t="s">
        <v>5567</v>
      </c>
      <c r="J24">
        <v>1939996</v>
      </c>
      <c r="K24" t="s">
        <v>433</v>
      </c>
      <c r="L24" t="s">
        <v>10</v>
      </c>
      <c r="M24" t="s">
        <v>416</v>
      </c>
      <c r="N24" t="s">
        <v>434</v>
      </c>
    </row>
    <row r="25" spans="1:14" hidden="1" x14ac:dyDescent="0.25">
      <c r="A25" t="s">
        <v>5553</v>
      </c>
      <c r="B25">
        <v>1112</v>
      </c>
      <c r="C25" t="s">
        <v>46</v>
      </c>
      <c r="D25">
        <v>2</v>
      </c>
      <c r="E25">
        <v>19.05</v>
      </c>
      <c r="F25">
        <v>0</v>
      </c>
      <c r="G25">
        <v>0.47499999999999998</v>
      </c>
      <c r="H25" t="s">
        <v>5579</v>
      </c>
      <c r="I25" t="s">
        <v>5580</v>
      </c>
      <c r="J25">
        <v>2403383</v>
      </c>
      <c r="K25" t="s">
        <v>2018</v>
      </c>
      <c r="L25" t="s">
        <v>10</v>
      </c>
      <c r="M25" t="s">
        <v>604</v>
      </c>
      <c r="N25" t="s">
        <v>2217</v>
      </c>
    </row>
    <row r="26" spans="1:14" hidden="1" x14ac:dyDescent="0.25">
      <c r="A26" t="s">
        <v>5553</v>
      </c>
      <c r="B26">
        <v>28</v>
      </c>
      <c r="C26" t="s">
        <v>164</v>
      </c>
      <c r="D26">
        <v>1.6</v>
      </c>
      <c r="E26">
        <v>12.7</v>
      </c>
      <c r="F26">
        <v>0</v>
      </c>
      <c r="G26">
        <v>0.90700000000000003</v>
      </c>
      <c r="H26" t="s">
        <v>5581</v>
      </c>
      <c r="I26" t="s">
        <v>5582</v>
      </c>
      <c r="J26">
        <v>4151968</v>
      </c>
      <c r="K26" t="s">
        <v>1879</v>
      </c>
      <c r="L26" t="s">
        <v>10</v>
      </c>
      <c r="M26" t="s">
        <v>416</v>
      </c>
      <c r="N26" t="s">
        <v>5583</v>
      </c>
    </row>
    <row r="27" spans="1:14" hidden="1" x14ac:dyDescent="0.25">
      <c r="A27" t="s">
        <v>5553</v>
      </c>
      <c r="B27">
        <v>1159</v>
      </c>
      <c r="C27" t="s">
        <v>170</v>
      </c>
      <c r="D27">
        <v>1.6</v>
      </c>
      <c r="E27">
        <v>12.7</v>
      </c>
      <c r="F27">
        <v>0</v>
      </c>
      <c r="G27">
        <v>0.95</v>
      </c>
      <c r="H27" t="s">
        <v>5572</v>
      </c>
      <c r="I27" t="s">
        <v>5573</v>
      </c>
      <c r="J27">
        <v>3620427</v>
      </c>
      <c r="K27" t="s">
        <v>438</v>
      </c>
      <c r="L27" t="s">
        <v>10</v>
      </c>
      <c r="M27" t="s">
        <v>416</v>
      </c>
      <c r="N27" t="s">
        <v>439</v>
      </c>
    </row>
    <row r="28" spans="1:14" hidden="1" x14ac:dyDescent="0.25">
      <c r="A28" t="s">
        <v>5553</v>
      </c>
      <c r="B28">
        <v>320</v>
      </c>
      <c r="C28" t="s">
        <v>171</v>
      </c>
      <c r="D28">
        <v>1.01</v>
      </c>
      <c r="E28">
        <v>19</v>
      </c>
      <c r="F28">
        <v>19</v>
      </c>
      <c r="G28">
        <v>0.871</v>
      </c>
      <c r="H28" t="s">
        <v>5586</v>
      </c>
      <c r="I28" t="s">
        <v>5587</v>
      </c>
      <c r="J28">
        <v>3605739</v>
      </c>
      <c r="K28" t="s">
        <v>620</v>
      </c>
      <c r="L28" t="s">
        <v>10</v>
      </c>
      <c r="M28" t="s">
        <v>450</v>
      </c>
      <c r="N28" t="s">
        <v>621</v>
      </c>
    </row>
    <row r="29" spans="1:14" hidden="1" x14ac:dyDescent="0.25">
      <c r="A29" t="s">
        <v>5553</v>
      </c>
      <c r="B29">
        <v>226</v>
      </c>
      <c r="C29" t="s">
        <v>171</v>
      </c>
      <c r="D29">
        <v>1.01</v>
      </c>
      <c r="E29">
        <v>19</v>
      </c>
      <c r="F29">
        <v>19</v>
      </c>
      <c r="G29">
        <v>0.871</v>
      </c>
      <c r="H29" t="s">
        <v>5588</v>
      </c>
      <c r="I29" t="s">
        <v>5589</v>
      </c>
      <c r="J29">
        <v>3605739</v>
      </c>
      <c r="K29" t="s">
        <v>620</v>
      </c>
      <c r="L29" t="s">
        <v>10</v>
      </c>
      <c r="M29" t="s">
        <v>450</v>
      </c>
      <c r="N29" t="s">
        <v>621</v>
      </c>
    </row>
    <row r="30" spans="1:14" hidden="1" x14ac:dyDescent="0.25">
      <c r="A30" t="s">
        <v>5576</v>
      </c>
      <c r="B30">
        <v>2639</v>
      </c>
      <c r="C30" t="s">
        <v>166</v>
      </c>
      <c r="D30">
        <v>1.6</v>
      </c>
      <c r="E30">
        <v>12.7</v>
      </c>
      <c r="F30">
        <v>0</v>
      </c>
      <c r="G30">
        <v>6</v>
      </c>
      <c r="H30" t="s">
        <v>5570</v>
      </c>
      <c r="I30" t="s">
        <v>5571</v>
      </c>
      <c r="J30">
        <v>1940014</v>
      </c>
      <c r="K30" t="s">
        <v>448</v>
      </c>
      <c r="L30" t="s">
        <v>10</v>
      </c>
      <c r="M30" t="s">
        <v>416</v>
      </c>
      <c r="N30" t="s">
        <v>449</v>
      </c>
    </row>
    <row r="31" spans="1:14" hidden="1" x14ac:dyDescent="0.25">
      <c r="A31" t="s">
        <v>5553</v>
      </c>
      <c r="B31">
        <v>601</v>
      </c>
      <c r="C31" t="s">
        <v>9</v>
      </c>
      <c r="D31">
        <v>1.2</v>
      </c>
      <c r="E31">
        <v>19.05</v>
      </c>
      <c r="F31">
        <v>0</v>
      </c>
      <c r="G31">
        <v>0.51300000000000001</v>
      </c>
      <c r="H31" t="s">
        <v>5590</v>
      </c>
      <c r="I31" t="s">
        <v>5591</v>
      </c>
      <c r="J31">
        <v>2409616</v>
      </c>
      <c r="K31" t="s">
        <v>1317</v>
      </c>
      <c r="L31" t="s">
        <v>10</v>
      </c>
      <c r="M31" t="s">
        <v>471</v>
      </c>
      <c r="N31" t="s">
        <v>2271</v>
      </c>
    </row>
    <row r="32" spans="1:14" hidden="1" x14ac:dyDescent="0.25">
      <c r="A32" t="s">
        <v>5553</v>
      </c>
      <c r="B32">
        <v>2070</v>
      </c>
      <c r="C32" t="s">
        <v>9</v>
      </c>
      <c r="D32">
        <v>1</v>
      </c>
      <c r="E32">
        <v>19.05</v>
      </c>
      <c r="F32">
        <v>0</v>
      </c>
      <c r="G32">
        <v>1.2</v>
      </c>
      <c r="H32" t="s">
        <v>5594</v>
      </c>
      <c r="I32" t="s">
        <v>5595</v>
      </c>
      <c r="J32">
        <v>3635694</v>
      </c>
      <c r="K32" t="s">
        <v>649</v>
      </c>
      <c r="L32" t="s">
        <v>10</v>
      </c>
      <c r="M32" t="s">
        <v>648</v>
      </c>
      <c r="N32" t="s">
        <v>650</v>
      </c>
    </row>
    <row r="33" spans="1:14" hidden="1" x14ac:dyDescent="0.25">
      <c r="A33" t="s">
        <v>5553</v>
      </c>
      <c r="B33">
        <v>371</v>
      </c>
      <c r="C33" t="s">
        <v>171</v>
      </c>
      <c r="D33">
        <v>1</v>
      </c>
      <c r="E33">
        <v>19.05</v>
      </c>
      <c r="F33">
        <v>0</v>
      </c>
      <c r="G33">
        <v>1.2</v>
      </c>
      <c r="H33" t="s">
        <v>5594</v>
      </c>
      <c r="I33" t="s">
        <v>5595</v>
      </c>
      <c r="J33">
        <v>3635694</v>
      </c>
      <c r="K33" t="s">
        <v>649</v>
      </c>
      <c r="L33" t="s">
        <v>10</v>
      </c>
      <c r="M33" t="s">
        <v>648</v>
      </c>
      <c r="N33" t="s">
        <v>650</v>
      </c>
    </row>
    <row r="34" spans="1:14" hidden="1" x14ac:dyDescent="0.25">
      <c r="A34" t="s">
        <v>5553</v>
      </c>
      <c r="B34">
        <v>1619</v>
      </c>
      <c r="C34" t="s">
        <v>171</v>
      </c>
      <c r="D34">
        <v>1</v>
      </c>
      <c r="E34">
        <v>19.05</v>
      </c>
      <c r="F34">
        <v>0</v>
      </c>
      <c r="G34">
        <v>1.2</v>
      </c>
      <c r="H34" t="s">
        <v>5556</v>
      </c>
      <c r="I34" t="s">
        <v>5557</v>
      </c>
      <c r="J34">
        <v>3635694</v>
      </c>
      <c r="K34" t="s">
        <v>649</v>
      </c>
      <c r="L34" t="s">
        <v>10</v>
      </c>
      <c r="M34" t="s">
        <v>648</v>
      </c>
      <c r="N34" t="s">
        <v>650</v>
      </c>
    </row>
    <row r="35" spans="1:14" hidden="1" x14ac:dyDescent="0.25">
      <c r="A35" t="s">
        <v>5553</v>
      </c>
      <c r="B35">
        <v>2442</v>
      </c>
      <c r="C35" t="s">
        <v>9</v>
      </c>
      <c r="D35">
        <v>1</v>
      </c>
      <c r="E35">
        <v>19.05</v>
      </c>
      <c r="F35">
        <v>0</v>
      </c>
      <c r="G35">
        <v>1.2</v>
      </c>
      <c r="H35" t="s">
        <v>5594</v>
      </c>
      <c r="I35" t="s">
        <v>5595</v>
      </c>
      <c r="J35">
        <v>3635694</v>
      </c>
      <c r="K35" t="s">
        <v>649</v>
      </c>
      <c r="L35" t="s">
        <v>10</v>
      </c>
      <c r="M35" t="s">
        <v>648</v>
      </c>
      <c r="N35" t="s">
        <v>650</v>
      </c>
    </row>
    <row r="36" spans="1:14" hidden="1" x14ac:dyDescent="0.25">
      <c r="A36" t="s">
        <v>5553</v>
      </c>
      <c r="B36">
        <v>1836</v>
      </c>
      <c r="C36" t="s">
        <v>171</v>
      </c>
      <c r="D36">
        <v>1</v>
      </c>
      <c r="E36">
        <v>19.05</v>
      </c>
      <c r="F36">
        <v>0</v>
      </c>
      <c r="G36">
        <v>1.2</v>
      </c>
      <c r="H36" t="s">
        <v>5594</v>
      </c>
      <c r="I36" t="s">
        <v>5595</v>
      </c>
      <c r="J36">
        <v>3635694</v>
      </c>
      <c r="K36" t="s">
        <v>649</v>
      </c>
      <c r="L36" t="s">
        <v>10</v>
      </c>
      <c r="M36" t="s">
        <v>648</v>
      </c>
      <c r="N36" t="s">
        <v>650</v>
      </c>
    </row>
    <row r="37" spans="1:14" hidden="1" x14ac:dyDescent="0.25">
      <c r="A37" t="s">
        <v>5553</v>
      </c>
      <c r="B37">
        <v>1840</v>
      </c>
      <c r="C37" t="s">
        <v>171</v>
      </c>
      <c r="D37">
        <v>1</v>
      </c>
      <c r="E37">
        <v>19.05</v>
      </c>
      <c r="F37">
        <v>0</v>
      </c>
      <c r="G37">
        <v>1.2</v>
      </c>
      <c r="H37" t="s">
        <v>5594</v>
      </c>
      <c r="I37" t="s">
        <v>5595</v>
      </c>
      <c r="J37">
        <v>3635694</v>
      </c>
      <c r="K37" t="s">
        <v>649</v>
      </c>
      <c r="L37" t="s">
        <v>10</v>
      </c>
      <c r="M37" t="s">
        <v>648</v>
      </c>
      <c r="N37" t="s">
        <v>650</v>
      </c>
    </row>
    <row r="38" spans="1:14" hidden="1" x14ac:dyDescent="0.25">
      <c r="A38" t="s">
        <v>5553</v>
      </c>
      <c r="B38">
        <v>1830</v>
      </c>
      <c r="C38" t="s">
        <v>171</v>
      </c>
      <c r="D38">
        <v>1</v>
      </c>
      <c r="E38">
        <v>19.05</v>
      </c>
      <c r="F38">
        <v>0</v>
      </c>
      <c r="G38">
        <v>1.2</v>
      </c>
      <c r="H38" t="s">
        <v>5594</v>
      </c>
      <c r="I38" t="s">
        <v>5595</v>
      </c>
      <c r="J38">
        <v>3635694</v>
      </c>
      <c r="K38" t="s">
        <v>649</v>
      </c>
      <c r="L38" t="s">
        <v>10</v>
      </c>
      <c r="M38" t="s">
        <v>648</v>
      </c>
      <c r="N38" t="s">
        <v>650</v>
      </c>
    </row>
    <row r="39" spans="1:14" hidden="1" x14ac:dyDescent="0.25">
      <c r="A39" t="s">
        <v>5553</v>
      </c>
      <c r="B39">
        <v>167</v>
      </c>
      <c r="C39" t="s">
        <v>9</v>
      </c>
      <c r="D39">
        <v>1.2</v>
      </c>
      <c r="E39">
        <v>19.05</v>
      </c>
      <c r="F39">
        <v>0</v>
      </c>
      <c r="G39">
        <v>1.2749999999999999</v>
      </c>
      <c r="H39" t="s">
        <v>5596</v>
      </c>
      <c r="I39" t="s">
        <v>5597</v>
      </c>
      <c r="J39">
        <v>3409367</v>
      </c>
      <c r="K39" t="s">
        <v>667</v>
      </c>
      <c r="L39" t="s">
        <v>10</v>
      </c>
      <c r="M39" t="s">
        <v>471</v>
      </c>
      <c r="N39" t="s">
        <v>668</v>
      </c>
    </row>
    <row r="40" spans="1:14" hidden="1" x14ac:dyDescent="0.25">
      <c r="A40" t="s">
        <v>5553</v>
      </c>
      <c r="B40">
        <v>569</v>
      </c>
      <c r="C40" t="s">
        <v>9</v>
      </c>
      <c r="D40">
        <v>1.2</v>
      </c>
      <c r="E40">
        <v>19.05</v>
      </c>
      <c r="F40">
        <v>0</v>
      </c>
      <c r="G40">
        <v>1.2749999999999999</v>
      </c>
      <c r="H40" t="s">
        <v>5596</v>
      </c>
      <c r="I40" t="s">
        <v>5597</v>
      </c>
      <c r="J40">
        <v>3409367</v>
      </c>
      <c r="K40" t="s">
        <v>667</v>
      </c>
      <c r="L40" t="s">
        <v>10</v>
      </c>
      <c r="M40" t="s">
        <v>471</v>
      </c>
      <c r="N40" t="s">
        <v>668</v>
      </c>
    </row>
    <row r="41" spans="1:14" hidden="1" x14ac:dyDescent="0.25">
      <c r="A41" t="s">
        <v>5553</v>
      </c>
      <c r="B41">
        <v>2945</v>
      </c>
      <c r="C41" t="s">
        <v>9</v>
      </c>
      <c r="D41">
        <v>1.2</v>
      </c>
      <c r="E41">
        <v>19.05</v>
      </c>
      <c r="F41">
        <v>0</v>
      </c>
      <c r="G41">
        <v>1.2749999999999999</v>
      </c>
      <c r="H41" t="s">
        <v>5596</v>
      </c>
      <c r="I41" t="s">
        <v>5597</v>
      </c>
      <c r="J41">
        <v>3409367</v>
      </c>
      <c r="K41" t="s">
        <v>667</v>
      </c>
      <c r="L41" t="s">
        <v>10</v>
      </c>
      <c r="M41" t="s">
        <v>471</v>
      </c>
      <c r="N41" t="s">
        <v>668</v>
      </c>
    </row>
    <row r="42" spans="1:14" hidden="1" x14ac:dyDescent="0.25">
      <c r="A42" t="s">
        <v>5553</v>
      </c>
      <c r="B42">
        <v>132</v>
      </c>
      <c r="C42" t="s">
        <v>9</v>
      </c>
      <c r="D42">
        <v>1.2</v>
      </c>
      <c r="E42">
        <v>19.05</v>
      </c>
      <c r="F42">
        <v>0</v>
      </c>
      <c r="G42">
        <v>0.109</v>
      </c>
      <c r="H42" t="s">
        <v>5598</v>
      </c>
      <c r="I42" t="s">
        <v>5599</v>
      </c>
      <c r="J42">
        <v>3409366</v>
      </c>
      <c r="K42" t="s">
        <v>1313</v>
      </c>
      <c r="L42" t="s">
        <v>10</v>
      </c>
      <c r="M42" t="s">
        <v>471</v>
      </c>
      <c r="N42" t="s">
        <v>2266</v>
      </c>
    </row>
    <row r="43" spans="1:14" hidden="1" x14ac:dyDescent="0.25">
      <c r="A43" t="s">
        <v>5553</v>
      </c>
      <c r="B43">
        <v>1191</v>
      </c>
      <c r="C43" t="s">
        <v>60</v>
      </c>
      <c r="D43">
        <v>1.2</v>
      </c>
      <c r="E43">
        <v>19.05</v>
      </c>
      <c r="F43">
        <v>0</v>
      </c>
      <c r="G43">
        <v>0.33</v>
      </c>
      <c r="H43" t="s">
        <v>5602</v>
      </c>
      <c r="I43" t="s">
        <v>5591</v>
      </c>
      <c r="J43">
        <v>3935313</v>
      </c>
      <c r="K43" t="s">
        <v>560</v>
      </c>
      <c r="L43" t="s">
        <v>10</v>
      </c>
      <c r="M43" t="s">
        <v>532</v>
      </c>
      <c r="N43" t="s">
        <v>561</v>
      </c>
    </row>
    <row r="44" spans="1:14" hidden="1" x14ac:dyDescent="0.25">
      <c r="A44" t="s">
        <v>5553</v>
      </c>
      <c r="B44">
        <v>2296</v>
      </c>
      <c r="C44" t="s">
        <v>60</v>
      </c>
      <c r="D44">
        <v>1.2</v>
      </c>
      <c r="E44">
        <v>19.05</v>
      </c>
      <c r="F44">
        <v>0</v>
      </c>
      <c r="G44">
        <v>0.33</v>
      </c>
      <c r="H44" t="s">
        <v>5602</v>
      </c>
      <c r="I44" t="s">
        <v>5591</v>
      </c>
      <c r="J44">
        <v>3935313</v>
      </c>
      <c r="K44" t="s">
        <v>560</v>
      </c>
      <c r="L44" t="s">
        <v>10</v>
      </c>
      <c r="M44" t="s">
        <v>532</v>
      </c>
      <c r="N44" t="s">
        <v>561</v>
      </c>
    </row>
    <row r="45" spans="1:14" hidden="1" x14ac:dyDescent="0.25">
      <c r="A45" t="s">
        <v>5553</v>
      </c>
      <c r="B45">
        <v>129</v>
      </c>
      <c r="C45" t="s">
        <v>151</v>
      </c>
      <c r="D45">
        <v>1.2</v>
      </c>
      <c r="E45">
        <v>19.05</v>
      </c>
      <c r="F45">
        <v>0</v>
      </c>
      <c r="G45">
        <v>0.63100000000000001</v>
      </c>
      <c r="H45" t="s">
        <v>5605</v>
      </c>
      <c r="I45" t="s">
        <v>5606</v>
      </c>
      <c r="J45">
        <v>1940188</v>
      </c>
      <c r="K45" t="s">
        <v>1976</v>
      </c>
      <c r="L45" t="s">
        <v>10</v>
      </c>
      <c r="M45" t="s">
        <v>471</v>
      </c>
      <c r="N45" t="s">
        <v>2272</v>
      </c>
    </row>
    <row r="46" spans="1:14" hidden="1" x14ac:dyDescent="0.25">
      <c r="A46" t="s">
        <v>5553</v>
      </c>
      <c r="B46">
        <v>2060</v>
      </c>
      <c r="C46" t="s">
        <v>151</v>
      </c>
      <c r="D46">
        <v>1.2</v>
      </c>
      <c r="E46">
        <v>19.05</v>
      </c>
      <c r="F46">
        <v>0</v>
      </c>
      <c r="G46">
        <v>0.63100000000000001</v>
      </c>
      <c r="H46" t="s">
        <v>5605</v>
      </c>
      <c r="I46" t="s">
        <v>5606</v>
      </c>
      <c r="J46">
        <v>1940188</v>
      </c>
      <c r="K46" t="s">
        <v>1976</v>
      </c>
      <c r="L46" t="s">
        <v>10</v>
      </c>
      <c r="M46" t="s">
        <v>471</v>
      </c>
      <c r="N46" t="s">
        <v>2272</v>
      </c>
    </row>
    <row r="47" spans="1:14" hidden="1" x14ac:dyDescent="0.25">
      <c r="A47" t="s">
        <v>5553</v>
      </c>
      <c r="B47">
        <v>2070</v>
      </c>
      <c r="C47" t="s">
        <v>151</v>
      </c>
      <c r="D47">
        <v>1.2</v>
      </c>
      <c r="E47">
        <v>19.05</v>
      </c>
      <c r="F47">
        <v>0</v>
      </c>
      <c r="G47">
        <v>0.63100000000000001</v>
      </c>
      <c r="H47" t="s">
        <v>5605</v>
      </c>
      <c r="I47" t="s">
        <v>5606</v>
      </c>
      <c r="J47">
        <v>1940188</v>
      </c>
      <c r="K47" t="s">
        <v>1976</v>
      </c>
      <c r="L47" t="s">
        <v>10</v>
      </c>
      <c r="M47" t="s">
        <v>471</v>
      </c>
      <c r="N47" t="s">
        <v>2272</v>
      </c>
    </row>
    <row r="48" spans="1:14" hidden="1" x14ac:dyDescent="0.25">
      <c r="A48" t="s">
        <v>5553</v>
      </c>
      <c r="B48">
        <v>508</v>
      </c>
      <c r="C48" t="s">
        <v>9</v>
      </c>
      <c r="D48">
        <v>1.2</v>
      </c>
      <c r="E48">
        <v>15.88</v>
      </c>
      <c r="F48">
        <v>0</v>
      </c>
      <c r="G48">
        <v>0.54</v>
      </c>
      <c r="H48" t="s">
        <v>5600</v>
      </c>
      <c r="I48" t="s">
        <v>5601</v>
      </c>
      <c r="J48">
        <v>1940034</v>
      </c>
      <c r="K48" t="s">
        <v>464</v>
      </c>
      <c r="L48" t="s">
        <v>10</v>
      </c>
      <c r="M48" t="s">
        <v>463</v>
      </c>
      <c r="N48" t="s">
        <v>465</v>
      </c>
    </row>
    <row r="49" spans="1:14" hidden="1" x14ac:dyDescent="0.25">
      <c r="A49" t="s">
        <v>5553</v>
      </c>
      <c r="B49">
        <v>488</v>
      </c>
      <c r="C49" t="s">
        <v>9</v>
      </c>
      <c r="D49">
        <v>1.2</v>
      </c>
      <c r="E49">
        <v>15.88</v>
      </c>
      <c r="F49">
        <v>0</v>
      </c>
      <c r="G49">
        <v>0.68</v>
      </c>
      <c r="H49" t="s">
        <v>5600</v>
      </c>
      <c r="I49" t="s">
        <v>5601</v>
      </c>
      <c r="J49">
        <v>1940038</v>
      </c>
      <c r="K49" t="s">
        <v>1185</v>
      </c>
      <c r="L49" t="s">
        <v>10</v>
      </c>
      <c r="M49" t="s">
        <v>463</v>
      </c>
      <c r="N49" t="s">
        <v>2727</v>
      </c>
    </row>
    <row r="50" spans="1:14" hidden="1" x14ac:dyDescent="0.25">
      <c r="A50" t="s">
        <v>5553</v>
      </c>
      <c r="B50">
        <v>418</v>
      </c>
      <c r="C50" t="s">
        <v>9</v>
      </c>
      <c r="D50">
        <v>1.2</v>
      </c>
      <c r="E50">
        <v>15.88</v>
      </c>
      <c r="F50">
        <v>0</v>
      </c>
      <c r="G50">
        <v>0.68</v>
      </c>
      <c r="H50" t="s">
        <v>5600</v>
      </c>
      <c r="I50" t="s">
        <v>5601</v>
      </c>
      <c r="J50">
        <v>1940038</v>
      </c>
      <c r="K50" t="s">
        <v>1185</v>
      </c>
      <c r="L50" t="s">
        <v>10</v>
      </c>
      <c r="M50" t="s">
        <v>463</v>
      </c>
      <c r="N50" t="s">
        <v>2727</v>
      </c>
    </row>
    <row r="51" spans="1:14" hidden="1" x14ac:dyDescent="0.25">
      <c r="A51" t="s">
        <v>5553</v>
      </c>
      <c r="B51">
        <v>432</v>
      </c>
      <c r="C51" t="s">
        <v>9</v>
      </c>
      <c r="D51">
        <v>1.2</v>
      </c>
      <c r="E51">
        <v>15.88</v>
      </c>
      <c r="F51">
        <v>0</v>
      </c>
      <c r="G51">
        <v>0.68</v>
      </c>
      <c r="H51" t="s">
        <v>5600</v>
      </c>
      <c r="I51" t="s">
        <v>5601</v>
      </c>
      <c r="J51">
        <v>1940038</v>
      </c>
      <c r="K51" t="s">
        <v>1185</v>
      </c>
      <c r="L51" t="s">
        <v>10</v>
      </c>
      <c r="M51" t="s">
        <v>463</v>
      </c>
      <c r="N51" t="s">
        <v>2727</v>
      </c>
    </row>
    <row r="52" spans="1:14" hidden="1" x14ac:dyDescent="0.25">
      <c r="A52" t="s">
        <v>5553</v>
      </c>
      <c r="B52">
        <v>1288</v>
      </c>
      <c r="C52" t="s">
        <v>9</v>
      </c>
      <c r="D52">
        <v>1.2</v>
      </c>
      <c r="E52">
        <v>15.88</v>
      </c>
      <c r="F52">
        <v>0</v>
      </c>
      <c r="G52">
        <v>0.755</v>
      </c>
      <c r="H52" t="s">
        <v>5562</v>
      </c>
      <c r="I52" t="s">
        <v>5563</v>
      </c>
      <c r="J52">
        <v>3715199</v>
      </c>
      <c r="K52" t="s">
        <v>1187</v>
      </c>
      <c r="L52" t="s">
        <v>10</v>
      </c>
      <c r="M52" t="s">
        <v>463</v>
      </c>
      <c r="N52" t="s">
        <v>2204</v>
      </c>
    </row>
    <row r="53" spans="1:14" hidden="1" x14ac:dyDescent="0.25">
      <c r="A53" t="s">
        <v>5553</v>
      </c>
      <c r="B53">
        <v>1493</v>
      </c>
      <c r="C53" t="s">
        <v>166</v>
      </c>
      <c r="D53">
        <v>1.6</v>
      </c>
      <c r="E53">
        <v>15.88</v>
      </c>
      <c r="F53">
        <v>0</v>
      </c>
      <c r="G53">
        <v>0.435</v>
      </c>
      <c r="H53" t="s">
        <v>5607</v>
      </c>
      <c r="I53" t="s">
        <v>5608</v>
      </c>
      <c r="J53">
        <v>3620428</v>
      </c>
      <c r="K53" t="s">
        <v>507</v>
      </c>
      <c r="L53" t="s">
        <v>10</v>
      </c>
      <c r="M53" t="s">
        <v>506</v>
      </c>
      <c r="N53" t="s">
        <v>508</v>
      </c>
    </row>
    <row r="54" spans="1:14" hidden="1" x14ac:dyDescent="0.25">
      <c r="A54" t="s">
        <v>5553</v>
      </c>
      <c r="B54">
        <v>16</v>
      </c>
      <c r="C54" t="s">
        <v>166</v>
      </c>
      <c r="D54">
        <v>1.6</v>
      </c>
      <c r="E54">
        <v>15.88</v>
      </c>
      <c r="F54">
        <v>0</v>
      </c>
      <c r="G54">
        <v>0.435</v>
      </c>
      <c r="H54" t="s">
        <v>5607</v>
      </c>
      <c r="I54" t="s">
        <v>5608</v>
      </c>
      <c r="J54">
        <v>3620428</v>
      </c>
      <c r="K54" t="s">
        <v>507</v>
      </c>
      <c r="L54" t="s">
        <v>10</v>
      </c>
      <c r="M54" t="s">
        <v>506</v>
      </c>
      <c r="N54" t="s">
        <v>508</v>
      </c>
    </row>
    <row r="55" spans="1:14" hidden="1" x14ac:dyDescent="0.25">
      <c r="A55" t="s">
        <v>5553</v>
      </c>
      <c r="B55">
        <v>2379</v>
      </c>
      <c r="C55" t="s">
        <v>166</v>
      </c>
      <c r="D55">
        <v>1.6</v>
      </c>
      <c r="E55">
        <v>15.88</v>
      </c>
      <c r="F55">
        <v>0</v>
      </c>
      <c r="G55">
        <v>0.435</v>
      </c>
      <c r="H55" t="s">
        <v>5607</v>
      </c>
      <c r="I55" t="s">
        <v>5608</v>
      </c>
      <c r="J55">
        <v>3620428</v>
      </c>
      <c r="K55" t="s">
        <v>507</v>
      </c>
      <c r="L55" t="s">
        <v>10</v>
      </c>
      <c r="M55" t="s">
        <v>506</v>
      </c>
      <c r="N55" t="s">
        <v>508</v>
      </c>
    </row>
    <row r="56" spans="1:14" hidden="1" x14ac:dyDescent="0.25">
      <c r="A56" t="s">
        <v>5553</v>
      </c>
      <c r="B56">
        <v>590</v>
      </c>
      <c r="C56" t="s">
        <v>9</v>
      </c>
      <c r="D56">
        <v>1.2</v>
      </c>
      <c r="E56">
        <v>15.88</v>
      </c>
      <c r="F56">
        <v>0</v>
      </c>
      <c r="G56">
        <v>1.31</v>
      </c>
      <c r="H56" t="s">
        <v>5603</v>
      </c>
      <c r="I56" t="s">
        <v>5604</v>
      </c>
      <c r="J56">
        <v>1940046</v>
      </c>
      <c r="K56" t="s">
        <v>466</v>
      </c>
      <c r="L56" t="s">
        <v>10</v>
      </c>
      <c r="M56" t="s">
        <v>463</v>
      </c>
      <c r="N56" t="s">
        <v>467</v>
      </c>
    </row>
    <row r="57" spans="1:14" hidden="1" x14ac:dyDescent="0.25">
      <c r="A57" t="s">
        <v>5553</v>
      </c>
      <c r="B57">
        <v>1940</v>
      </c>
      <c r="C57" t="s">
        <v>9</v>
      </c>
      <c r="D57">
        <v>1.2</v>
      </c>
      <c r="E57">
        <v>15.88</v>
      </c>
      <c r="F57">
        <v>0</v>
      </c>
      <c r="G57">
        <v>1.31</v>
      </c>
      <c r="H57" t="s">
        <v>5603</v>
      </c>
      <c r="I57" t="s">
        <v>5604</v>
      </c>
      <c r="J57">
        <v>1940046</v>
      </c>
      <c r="K57" t="s">
        <v>466</v>
      </c>
      <c r="L57" t="s">
        <v>10</v>
      </c>
      <c r="M57" t="s">
        <v>463</v>
      </c>
      <c r="N57" t="s">
        <v>467</v>
      </c>
    </row>
    <row r="58" spans="1:14" hidden="1" x14ac:dyDescent="0.25">
      <c r="A58" t="s">
        <v>5553</v>
      </c>
      <c r="B58">
        <v>282</v>
      </c>
      <c r="C58" t="s">
        <v>60</v>
      </c>
      <c r="D58">
        <v>1</v>
      </c>
      <c r="E58">
        <v>19</v>
      </c>
      <c r="F58">
        <v>19</v>
      </c>
      <c r="G58">
        <v>0.83500000000000008</v>
      </c>
      <c r="H58" t="s">
        <v>5618</v>
      </c>
      <c r="I58" t="s">
        <v>5619</v>
      </c>
      <c r="J58">
        <v>4151425</v>
      </c>
      <c r="K58" t="s">
        <v>523</v>
      </c>
      <c r="L58" t="s">
        <v>10</v>
      </c>
      <c r="M58" t="s">
        <v>450</v>
      </c>
      <c r="N58" t="s">
        <v>524</v>
      </c>
    </row>
    <row r="59" spans="1:14" hidden="1" x14ac:dyDescent="0.25">
      <c r="A59" t="s">
        <v>5553</v>
      </c>
      <c r="B59">
        <v>1160</v>
      </c>
      <c r="C59" t="s">
        <v>60</v>
      </c>
      <c r="D59">
        <v>1</v>
      </c>
      <c r="E59">
        <v>19</v>
      </c>
      <c r="F59">
        <v>19</v>
      </c>
      <c r="G59">
        <v>0.83500000000000008</v>
      </c>
      <c r="H59" t="s">
        <v>5618</v>
      </c>
      <c r="I59" t="s">
        <v>5619</v>
      </c>
      <c r="J59">
        <v>4151425</v>
      </c>
      <c r="K59" t="s">
        <v>523</v>
      </c>
      <c r="L59" t="s">
        <v>10</v>
      </c>
      <c r="M59" t="s">
        <v>450</v>
      </c>
      <c r="N59" t="s">
        <v>524</v>
      </c>
    </row>
    <row r="60" spans="1:14" hidden="1" x14ac:dyDescent="0.25">
      <c r="A60" t="s">
        <v>5553</v>
      </c>
      <c r="B60">
        <v>1630</v>
      </c>
      <c r="C60" t="s">
        <v>60</v>
      </c>
      <c r="D60">
        <v>1</v>
      </c>
      <c r="E60">
        <v>19</v>
      </c>
      <c r="F60">
        <v>19</v>
      </c>
      <c r="G60">
        <v>0.83500000000000008</v>
      </c>
      <c r="H60" t="s">
        <v>5618</v>
      </c>
      <c r="I60" t="s">
        <v>5619</v>
      </c>
      <c r="J60">
        <v>4151425</v>
      </c>
      <c r="K60" t="s">
        <v>523</v>
      </c>
      <c r="L60" t="s">
        <v>10</v>
      </c>
      <c r="M60" t="s">
        <v>450</v>
      </c>
      <c r="N60" t="s">
        <v>524</v>
      </c>
    </row>
    <row r="61" spans="1:14" hidden="1" x14ac:dyDescent="0.25">
      <c r="A61" t="s">
        <v>5553</v>
      </c>
      <c r="B61">
        <v>1750</v>
      </c>
      <c r="C61" t="s">
        <v>60</v>
      </c>
      <c r="D61">
        <v>1</v>
      </c>
      <c r="E61">
        <v>19</v>
      </c>
      <c r="F61">
        <v>19</v>
      </c>
      <c r="G61">
        <v>0.83500000000000008</v>
      </c>
      <c r="H61" t="s">
        <v>5618</v>
      </c>
      <c r="I61" t="s">
        <v>5619</v>
      </c>
      <c r="J61">
        <v>4151425</v>
      </c>
      <c r="K61" t="s">
        <v>523</v>
      </c>
      <c r="L61" t="s">
        <v>10</v>
      </c>
      <c r="M61" t="s">
        <v>450</v>
      </c>
      <c r="N61" t="s">
        <v>524</v>
      </c>
    </row>
    <row r="62" spans="1:14" hidden="1" x14ac:dyDescent="0.25">
      <c r="A62" t="s">
        <v>5553</v>
      </c>
      <c r="B62">
        <v>1987</v>
      </c>
      <c r="C62" t="s">
        <v>60</v>
      </c>
      <c r="D62">
        <v>1</v>
      </c>
      <c r="E62">
        <v>19</v>
      </c>
      <c r="F62">
        <v>19</v>
      </c>
      <c r="G62">
        <v>0.47</v>
      </c>
      <c r="H62" t="s">
        <v>5613</v>
      </c>
      <c r="I62" t="s">
        <v>5614</v>
      </c>
      <c r="J62">
        <v>3230488</v>
      </c>
      <c r="K62" t="s">
        <v>496</v>
      </c>
      <c r="L62" t="s">
        <v>10</v>
      </c>
      <c r="M62" t="s">
        <v>450</v>
      </c>
      <c r="N62" t="s">
        <v>497</v>
      </c>
    </row>
    <row r="63" spans="1:14" hidden="1" x14ac:dyDescent="0.25">
      <c r="A63" t="s">
        <v>5553</v>
      </c>
      <c r="B63">
        <v>1623</v>
      </c>
      <c r="C63" t="s">
        <v>60</v>
      </c>
      <c r="D63">
        <v>1</v>
      </c>
      <c r="E63">
        <v>19</v>
      </c>
      <c r="F63">
        <v>19</v>
      </c>
      <c r="G63">
        <v>0.1</v>
      </c>
      <c r="H63" t="s">
        <v>5754</v>
      </c>
      <c r="I63" t="s">
        <v>5614</v>
      </c>
      <c r="J63">
        <v>3931834</v>
      </c>
      <c r="K63" t="s">
        <v>500</v>
      </c>
      <c r="L63" t="s">
        <v>10</v>
      </c>
      <c r="M63" t="s">
        <v>450</v>
      </c>
      <c r="N63" t="s">
        <v>501</v>
      </c>
    </row>
    <row r="64" spans="1:14" hidden="1" x14ac:dyDescent="0.25">
      <c r="A64" t="s">
        <v>5553</v>
      </c>
      <c r="B64">
        <v>1634</v>
      </c>
      <c r="C64" t="s">
        <v>60</v>
      </c>
      <c r="D64">
        <v>1</v>
      </c>
      <c r="E64">
        <v>19</v>
      </c>
      <c r="F64">
        <v>19</v>
      </c>
      <c r="G64">
        <v>0.54</v>
      </c>
      <c r="H64" t="s">
        <v>5624</v>
      </c>
      <c r="I64" t="s">
        <v>5625</v>
      </c>
      <c r="J64">
        <v>3571870</v>
      </c>
      <c r="K64" t="s">
        <v>525</v>
      </c>
      <c r="L64" t="s">
        <v>10</v>
      </c>
      <c r="M64" t="s">
        <v>450</v>
      </c>
      <c r="N64" t="s">
        <v>526</v>
      </c>
    </row>
    <row r="65" spans="1:14" hidden="1" x14ac:dyDescent="0.25">
      <c r="A65" t="s">
        <v>5553</v>
      </c>
      <c r="B65">
        <v>1970</v>
      </c>
      <c r="C65" t="s">
        <v>9</v>
      </c>
      <c r="D65">
        <v>1.2</v>
      </c>
      <c r="E65">
        <v>19.05</v>
      </c>
      <c r="F65">
        <v>0</v>
      </c>
      <c r="G65">
        <v>0.33</v>
      </c>
      <c r="H65" t="s">
        <v>5592</v>
      </c>
      <c r="I65" t="s">
        <v>5593</v>
      </c>
      <c r="J65">
        <v>3239890</v>
      </c>
      <c r="K65" t="s">
        <v>1315</v>
      </c>
      <c r="L65" t="s">
        <v>10</v>
      </c>
      <c r="M65" t="s">
        <v>471</v>
      </c>
      <c r="N65" t="s">
        <v>2265</v>
      </c>
    </row>
    <row r="66" spans="1:14" hidden="1" x14ac:dyDescent="0.25">
      <c r="A66" t="s">
        <v>5553</v>
      </c>
      <c r="B66">
        <v>517</v>
      </c>
      <c r="C66" t="s">
        <v>166</v>
      </c>
      <c r="D66">
        <v>1.6</v>
      </c>
      <c r="E66">
        <v>19.05</v>
      </c>
      <c r="F66">
        <v>0</v>
      </c>
      <c r="G66">
        <v>0.26800000000000002</v>
      </c>
      <c r="H66" t="s">
        <v>5609</v>
      </c>
      <c r="I66" t="s">
        <v>5610</v>
      </c>
      <c r="J66">
        <v>3850310</v>
      </c>
      <c r="K66" t="s">
        <v>1339</v>
      </c>
      <c r="L66" t="s">
        <v>10</v>
      </c>
      <c r="M66" t="s">
        <v>983</v>
      </c>
      <c r="N66" t="s">
        <v>3377</v>
      </c>
    </row>
    <row r="67" spans="1:14" hidden="1" x14ac:dyDescent="0.25">
      <c r="A67" t="s">
        <v>5553</v>
      </c>
      <c r="B67">
        <v>596</v>
      </c>
      <c r="C67" t="s">
        <v>151</v>
      </c>
      <c r="D67">
        <v>1.2</v>
      </c>
      <c r="E67">
        <v>19.05</v>
      </c>
      <c r="F67">
        <v>0</v>
      </c>
      <c r="G67">
        <v>0.68</v>
      </c>
      <c r="H67" t="s">
        <v>5598</v>
      </c>
      <c r="I67" t="s">
        <v>5599</v>
      </c>
      <c r="J67">
        <v>1940189</v>
      </c>
      <c r="K67" t="s">
        <v>1977</v>
      </c>
      <c r="L67" t="s">
        <v>10</v>
      </c>
      <c r="M67" t="s">
        <v>471</v>
      </c>
      <c r="N67" t="s">
        <v>2274</v>
      </c>
    </row>
    <row r="68" spans="1:14" hidden="1" x14ac:dyDescent="0.25">
      <c r="A68" t="s">
        <v>5553</v>
      </c>
      <c r="B68">
        <v>930</v>
      </c>
      <c r="C68" t="s">
        <v>151</v>
      </c>
      <c r="D68">
        <v>1.2</v>
      </c>
      <c r="E68">
        <v>19.05</v>
      </c>
      <c r="F68">
        <v>0</v>
      </c>
      <c r="G68">
        <v>0.68</v>
      </c>
      <c r="H68" t="s">
        <v>5598</v>
      </c>
      <c r="I68" t="s">
        <v>5599</v>
      </c>
      <c r="J68">
        <v>1940189</v>
      </c>
      <c r="K68" t="s">
        <v>1977</v>
      </c>
      <c r="L68" t="s">
        <v>10</v>
      </c>
      <c r="M68" t="s">
        <v>471</v>
      </c>
      <c r="N68" t="s">
        <v>2274</v>
      </c>
    </row>
    <row r="69" spans="1:14" hidden="1" x14ac:dyDescent="0.25">
      <c r="A69" t="s">
        <v>5553</v>
      </c>
      <c r="B69">
        <v>1540</v>
      </c>
      <c r="C69" t="s">
        <v>151</v>
      </c>
      <c r="D69">
        <v>1.2</v>
      </c>
      <c r="E69">
        <v>19.05</v>
      </c>
      <c r="F69">
        <v>0</v>
      </c>
      <c r="G69">
        <v>0.68</v>
      </c>
      <c r="H69" t="s">
        <v>5598</v>
      </c>
      <c r="I69" t="s">
        <v>5599</v>
      </c>
      <c r="J69">
        <v>1940189</v>
      </c>
      <c r="K69" t="s">
        <v>1977</v>
      </c>
      <c r="L69" t="s">
        <v>10</v>
      </c>
      <c r="M69" t="s">
        <v>471</v>
      </c>
      <c r="N69" t="s">
        <v>2274</v>
      </c>
    </row>
    <row r="70" spans="1:14" hidden="1" x14ac:dyDescent="0.25">
      <c r="A70" t="s">
        <v>5553</v>
      </c>
      <c r="B70">
        <v>920</v>
      </c>
      <c r="C70" t="s">
        <v>151</v>
      </c>
      <c r="D70">
        <v>1.2</v>
      </c>
      <c r="E70">
        <v>19.05</v>
      </c>
      <c r="F70">
        <v>0</v>
      </c>
      <c r="G70">
        <v>0.68</v>
      </c>
      <c r="H70" t="s">
        <v>5598</v>
      </c>
      <c r="I70" t="s">
        <v>5599</v>
      </c>
      <c r="J70">
        <v>1940189</v>
      </c>
      <c r="K70" t="s">
        <v>1977</v>
      </c>
      <c r="L70" t="s">
        <v>10</v>
      </c>
      <c r="M70" t="s">
        <v>471</v>
      </c>
      <c r="N70" t="s">
        <v>2274</v>
      </c>
    </row>
    <row r="71" spans="1:14" hidden="1" x14ac:dyDescent="0.25">
      <c r="A71" t="s">
        <v>5553</v>
      </c>
      <c r="B71">
        <v>518</v>
      </c>
      <c r="C71" t="s">
        <v>9</v>
      </c>
      <c r="D71">
        <v>1.2</v>
      </c>
      <c r="E71">
        <v>19.05</v>
      </c>
      <c r="F71">
        <v>0</v>
      </c>
      <c r="G71">
        <v>0.40300000000000002</v>
      </c>
      <c r="H71" t="s">
        <v>5615</v>
      </c>
      <c r="I71" t="s">
        <v>5616</v>
      </c>
      <c r="J71">
        <v>3929662</v>
      </c>
      <c r="K71" t="s">
        <v>1870</v>
      </c>
      <c r="L71" t="s">
        <v>10</v>
      </c>
      <c r="M71" t="s">
        <v>471</v>
      </c>
      <c r="N71" t="s">
        <v>3216</v>
      </c>
    </row>
    <row r="72" spans="1:14" hidden="1" x14ac:dyDescent="0.25">
      <c r="A72" t="s">
        <v>5553</v>
      </c>
      <c r="B72">
        <v>655</v>
      </c>
      <c r="C72" t="s">
        <v>60</v>
      </c>
      <c r="D72">
        <v>1</v>
      </c>
      <c r="E72">
        <v>19</v>
      </c>
      <c r="F72">
        <v>19</v>
      </c>
      <c r="G72">
        <v>0.4</v>
      </c>
      <c r="H72" t="s">
        <v>5617</v>
      </c>
      <c r="I72" t="s">
        <v>5614</v>
      </c>
      <c r="J72">
        <v>3230487</v>
      </c>
      <c r="K72" t="s">
        <v>498</v>
      </c>
      <c r="L72" t="s">
        <v>10</v>
      </c>
      <c r="M72" t="s">
        <v>450</v>
      </c>
      <c r="N72" t="s">
        <v>499</v>
      </c>
    </row>
    <row r="73" spans="1:14" hidden="1" x14ac:dyDescent="0.25">
      <c r="A73" t="s">
        <v>5553</v>
      </c>
      <c r="B73">
        <v>662</v>
      </c>
      <c r="C73" t="s">
        <v>60</v>
      </c>
      <c r="D73">
        <v>1</v>
      </c>
      <c r="E73">
        <v>19</v>
      </c>
      <c r="F73">
        <v>19</v>
      </c>
      <c r="G73">
        <v>0.4</v>
      </c>
      <c r="H73" t="s">
        <v>5617</v>
      </c>
      <c r="I73" t="s">
        <v>5614</v>
      </c>
      <c r="J73">
        <v>3230487</v>
      </c>
      <c r="K73" t="s">
        <v>498</v>
      </c>
      <c r="L73" t="s">
        <v>10</v>
      </c>
      <c r="M73" t="s">
        <v>450</v>
      </c>
      <c r="N73" t="s">
        <v>499</v>
      </c>
    </row>
    <row r="74" spans="1:14" hidden="1" x14ac:dyDescent="0.25">
      <c r="A74" t="s">
        <v>5553</v>
      </c>
      <c r="B74">
        <v>1691</v>
      </c>
      <c r="C74" t="s">
        <v>171</v>
      </c>
      <c r="D74">
        <v>1</v>
      </c>
      <c r="E74">
        <v>19</v>
      </c>
      <c r="F74">
        <v>19</v>
      </c>
      <c r="G74">
        <v>0.4</v>
      </c>
      <c r="H74" t="s">
        <v>5617</v>
      </c>
      <c r="I74" t="s">
        <v>5614</v>
      </c>
      <c r="J74">
        <v>3230487</v>
      </c>
      <c r="K74" t="s">
        <v>498</v>
      </c>
      <c r="L74" t="s">
        <v>10</v>
      </c>
      <c r="M74" t="s">
        <v>450</v>
      </c>
      <c r="N74" t="s">
        <v>499</v>
      </c>
    </row>
    <row r="75" spans="1:14" hidden="1" x14ac:dyDescent="0.25">
      <c r="A75" t="s">
        <v>5553</v>
      </c>
      <c r="B75">
        <v>2061</v>
      </c>
      <c r="C75" t="s">
        <v>171</v>
      </c>
      <c r="D75">
        <v>1</v>
      </c>
      <c r="E75">
        <v>19</v>
      </c>
      <c r="F75">
        <v>19</v>
      </c>
      <c r="G75">
        <v>0.4</v>
      </c>
      <c r="H75" t="s">
        <v>5617</v>
      </c>
      <c r="I75" t="s">
        <v>5614</v>
      </c>
      <c r="J75">
        <v>3230487</v>
      </c>
      <c r="K75" t="s">
        <v>498</v>
      </c>
      <c r="L75" t="s">
        <v>10</v>
      </c>
      <c r="M75" t="s">
        <v>450</v>
      </c>
      <c r="N75" t="s">
        <v>499</v>
      </c>
    </row>
    <row r="76" spans="1:14" hidden="1" x14ac:dyDescent="0.25">
      <c r="A76" t="s">
        <v>5553</v>
      </c>
      <c r="B76">
        <v>1873</v>
      </c>
      <c r="C76" t="s">
        <v>171</v>
      </c>
      <c r="D76">
        <v>1</v>
      </c>
      <c r="E76">
        <v>19</v>
      </c>
      <c r="F76">
        <v>19</v>
      </c>
      <c r="G76">
        <v>0.4</v>
      </c>
      <c r="H76" t="s">
        <v>5617</v>
      </c>
      <c r="I76" t="s">
        <v>5614</v>
      </c>
      <c r="J76">
        <v>3230487</v>
      </c>
      <c r="K76" t="s">
        <v>498</v>
      </c>
      <c r="L76" t="s">
        <v>10</v>
      </c>
      <c r="M76" t="s">
        <v>450</v>
      </c>
      <c r="N76" t="s">
        <v>499</v>
      </c>
    </row>
    <row r="77" spans="1:14" hidden="1" x14ac:dyDescent="0.25">
      <c r="A77" t="s">
        <v>5553</v>
      </c>
      <c r="B77">
        <v>1243</v>
      </c>
      <c r="C77" t="s">
        <v>171</v>
      </c>
      <c r="D77">
        <v>1</v>
      </c>
      <c r="E77">
        <v>19</v>
      </c>
      <c r="F77">
        <v>19</v>
      </c>
      <c r="G77">
        <v>0.4</v>
      </c>
      <c r="H77" t="s">
        <v>5617</v>
      </c>
      <c r="I77" t="s">
        <v>5614</v>
      </c>
      <c r="J77">
        <v>3230487</v>
      </c>
      <c r="K77" t="s">
        <v>498</v>
      </c>
      <c r="L77" t="s">
        <v>10</v>
      </c>
      <c r="M77" t="s">
        <v>450</v>
      </c>
      <c r="N77" t="s">
        <v>499</v>
      </c>
    </row>
    <row r="78" spans="1:14" hidden="1" x14ac:dyDescent="0.25">
      <c r="A78" t="s">
        <v>5553</v>
      </c>
      <c r="B78">
        <v>1878</v>
      </c>
      <c r="C78" t="s">
        <v>171</v>
      </c>
      <c r="D78">
        <v>1</v>
      </c>
      <c r="E78">
        <v>19</v>
      </c>
      <c r="F78">
        <v>19</v>
      </c>
      <c r="G78">
        <v>0.4</v>
      </c>
      <c r="H78" t="s">
        <v>5617</v>
      </c>
      <c r="I78" t="s">
        <v>5614</v>
      </c>
      <c r="J78">
        <v>3230487</v>
      </c>
      <c r="K78" t="s">
        <v>498</v>
      </c>
      <c r="L78" t="s">
        <v>10</v>
      </c>
      <c r="M78" t="s">
        <v>450</v>
      </c>
      <c r="N78" t="s">
        <v>499</v>
      </c>
    </row>
    <row r="79" spans="1:14" hidden="1" x14ac:dyDescent="0.25">
      <c r="A79" t="s">
        <v>5553</v>
      </c>
      <c r="B79">
        <v>665</v>
      </c>
      <c r="C79" t="s">
        <v>60</v>
      </c>
      <c r="D79">
        <v>1</v>
      </c>
      <c r="E79">
        <v>19</v>
      </c>
      <c r="F79">
        <v>19</v>
      </c>
      <c r="G79">
        <v>0.96299999999999997</v>
      </c>
      <c r="H79" t="s">
        <v>5588</v>
      </c>
      <c r="I79" t="s">
        <v>5589</v>
      </c>
      <c r="J79">
        <v>4151427</v>
      </c>
      <c r="K79" t="s">
        <v>509</v>
      </c>
      <c r="L79" t="s">
        <v>10</v>
      </c>
      <c r="M79" t="s">
        <v>450</v>
      </c>
      <c r="N79" t="s">
        <v>510</v>
      </c>
    </row>
    <row r="80" spans="1:14" hidden="1" x14ac:dyDescent="0.25">
      <c r="A80" t="s">
        <v>5553</v>
      </c>
      <c r="B80">
        <v>590</v>
      </c>
      <c r="C80" t="s">
        <v>60</v>
      </c>
      <c r="D80">
        <v>1</v>
      </c>
      <c r="E80">
        <v>19</v>
      </c>
      <c r="F80">
        <v>19</v>
      </c>
      <c r="G80">
        <v>0.96299999999999997</v>
      </c>
      <c r="H80" t="s">
        <v>5588</v>
      </c>
      <c r="I80" t="s">
        <v>5589</v>
      </c>
      <c r="J80">
        <v>4151427</v>
      </c>
      <c r="K80" t="s">
        <v>509</v>
      </c>
      <c r="L80" t="s">
        <v>10</v>
      </c>
      <c r="M80" t="s">
        <v>450</v>
      </c>
      <c r="N80" t="s">
        <v>510</v>
      </c>
    </row>
    <row r="81" spans="1:14" hidden="1" x14ac:dyDescent="0.25">
      <c r="A81" t="s">
        <v>5553</v>
      </c>
      <c r="B81">
        <v>2480</v>
      </c>
      <c r="C81" t="s">
        <v>60</v>
      </c>
      <c r="D81">
        <v>1</v>
      </c>
      <c r="E81">
        <v>19</v>
      </c>
      <c r="F81">
        <v>19</v>
      </c>
      <c r="G81">
        <v>0.96299999999999997</v>
      </c>
      <c r="H81" t="s">
        <v>5588</v>
      </c>
      <c r="I81" t="s">
        <v>5589</v>
      </c>
      <c r="J81">
        <v>4151427</v>
      </c>
      <c r="K81" t="s">
        <v>509</v>
      </c>
      <c r="L81" t="s">
        <v>10</v>
      </c>
      <c r="M81" t="s">
        <v>450</v>
      </c>
      <c r="N81" t="s">
        <v>510</v>
      </c>
    </row>
    <row r="82" spans="1:14" hidden="1" x14ac:dyDescent="0.25">
      <c r="A82" t="s">
        <v>5553</v>
      </c>
      <c r="B82">
        <v>558</v>
      </c>
      <c r="C82" t="s">
        <v>60</v>
      </c>
      <c r="D82">
        <v>1</v>
      </c>
      <c r="E82">
        <v>19</v>
      </c>
      <c r="F82">
        <v>19</v>
      </c>
      <c r="G82">
        <v>1.0069999999999999</v>
      </c>
      <c r="H82" t="s">
        <v>5613</v>
      </c>
      <c r="I82" t="s">
        <v>5614</v>
      </c>
      <c r="J82">
        <v>4100796</v>
      </c>
      <c r="K82" t="s">
        <v>552</v>
      </c>
      <c r="L82" t="s">
        <v>10</v>
      </c>
      <c r="M82" t="s">
        <v>450</v>
      </c>
      <c r="N82" t="s">
        <v>553</v>
      </c>
    </row>
    <row r="83" spans="1:14" hidden="1" x14ac:dyDescent="0.25">
      <c r="A83" t="s">
        <v>5553</v>
      </c>
      <c r="B83">
        <v>1040</v>
      </c>
      <c r="C83" t="s">
        <v>166</v>
      </c>
      <c r="D83">
        <v>1.6</v>
      </c>
      <c r="E83">
        <v>19.05</v>
      </c>
      <c r="F83">
        <v>0</v>
      </c>
      <c r="G83">
        <v>0.25800000000000001</v>
      </c>
      <c r="H83" t="s">
        <v>5620</v>
      </c>
      <c r="I83" t="s">
        <v>5621</v>
      </c>
      <c r="J83">
        <v>3838038</v>
      </c>
      <c r="K83" t="s">
        <v>1335</v>
      </c>
      <c r="L83" t="s">
        <v>10</v>
      </c>
      <c r="M83" t="s">
        <v>983</v>
      </c>
      <c r="N83" t="s">
        <v>3373</v>
      </c>
    </row>
    <row r="84" spans="1:14" hidden="1" x14ac:dyDescent="0.25">
      <c r="A84" t="s">
        <v>5553</v>
      </c>
      <c r="B84">
        <v>1329</v>
      </c>
      <c r="C84" t="s">
        <v>160</v>
      </c>
      <c r="D84">
        <v>1.6</v>
      </c>
      <c r="E84">
        <v>19.05</v>
      </c>
      <c r="F84">
        <v>0</v>
      </c>
      <c r="G84">
        <v>0.59499999999999997</v>
      </c>
      <c r="H84" t="s">
        <v>5622</v>
      </c>
      <c r="I84" t="s">
        <v>5623</v>
      </c>
      <c r="J84">
        <v>1940247</v>
      </c>
      <c r="K84" t="s">
        <v>1349</v>
      </c>
      <c r="L84" t="s">
        <v>10</v>
      </c>
      <c r="M84" t="s">
        <v>983</v>
      </c>
      <c r="N84" t="s">
        <v>2200</v>
      </c>
    </row>
    <row r="85" spans="1:14" hidden="1" x14ac:dyDescent="0.25">
      <c r="A85" t="s">
        <v>5553</v>
      </c>
      <c r="B85">
        <v>1851</v>
      </c>
      <c r="C85" t="s">
        <v>60</v>
      </c>
      <c r="D85">
        <v>1</v>
      </c>
      <c r="E85">
        <v>19</v>
      </c>
      <c r="F85">
        <v>19</v>
      </c>
      <c r="G85">
        <v>0.35500000000000004</v>
      </c>
      <c r="H85" t="s">
        <v>5613</v>
      </c>
      <c r="I85" t="s">
        <v>5614</v>
      </c>
      <c r="J85">
        <v>3230490</v>
      </c>
      <c r="K85" t="s">
        <v>515</v>
      </c>
      <c r="L85" t="s">
        <v>10</v>
      </c>
      <c r="M85" t="s">
        <v>450</v>
      </c>
      <c r="N85" t="s">
        <v>516</v>
      </c>
    </row>
    <row r="86" spans="1:14" hidden="1" x14ac:dyDescent="0.25">
      <c r="A86" t="s">
        <v>5553</v>
      </c>
      <c r="B86">
        <v>1851</v>
      </c>
      <c r="C86" t="s">
        <v>60</v>
      </c>
      <c r="D86">
        <v>1</v>
      </c>
      <c r="E86">
        <v>19</v>
      </c>
      <c r="F86">
        <v>19</v>
      </c>
      <c r="G86">
        <v>0.35500000000000004</v>
      </c>
      <c r="H86" t="s">
        <v>5613</v>
      </c>
      <c r="I86" t="s">
        <v>5614</v>
      </c>
      <c r="J86">
        <v>3230490</v>
      </c>
      <c r="K86" t="s">
        <v>515</v>
      </c>
      <c r="L86" t="s">
        <v>10</v>
      </c>
      <c r="M86" t="s">
        <v>450</v>
      </c>
      <c r="N86" t="s">
        <v>516</v>
      </c>
    </row>
    <row r="87" spans="1:14" hidden="1" x14ac:dyDescent="0.25">
      <c r="A87" t="s">
        <v>5553</v>
      </c>
      <c r="B87">
        <v>1868</v>
      </c>
      <c r="C87" t="s">
        <v>60</v>
      </c>
      <c r="D87">
        <v>1</v>
      </c>
      <c r="E87">
        <v>19</v>
      </c>
      <c r="F87">
        <v>19</v>
      </c>
      <c r="G87">
        <v>0.755</v>
      </c>
      <c r="H87" t="s">
        <v>5613</v>
      </c>
      <c r="I87" t="s">
        <v>5614</v>
      </c>
      <c r="J87">
        <v>4151426</v>
      </c>
      <c r="K87" t="s">
        <v>511</v>
      </c>
      <c r="L87" t="s">
        <v>10</v>
      </c>
      <c r="M87" t="s">
        <v>450</v>
      </c>
      <c r="N87" t="s">
        <v>512</v>
      </c>
    </row>
    <row r="88" spans="1:14" hidden="1" x14ac:dyDescent="0.25">
      <c r="A88" t="s">
        <v>5553</v>
      </c>
      <c r="B88">
        <v>1274</v>
      </c>
      <c r="C88" t="s">
        <v>60</v>
      </c>
      <c r="D88">
        <v>1</v>
      </c>
      <c r="E88">
        <v>19</v>
      </c>
      <c r="F88">
        <v>19</v>
      </c>
      <c r="G88">
        <v>0.755</v>
      </c>
      <c r="H88" t="s">
        <v>5613</v>
      </c>
      <c r="I88" t="s">
        <v>5614</v>
      </c>
      <c r="J88">
        <v>4151426</v>
      </c>
      <c r="K88" t="s">
        <v>511</v>
      </c>
      <c r="L88" t="s">
        <v>10</v>
      </c>
      <c r="M88" t="s">
        <v>450</v>
      </c>
      <c r="N88" t="s">
        <v>512</v>
      </c>
    </row>
    <row r="89" spans="1:14" hidden="1" x14ac:dyDescent="0.25">
      <c r="A89" t="s">
        <v>5553</v>
      </c>
      <c r="B89">
        <v>1712</v>
      </c>
      <c r="C89" t="s">
        <v>60</v>
      </c>
      <c r="D89">
        <v>1</v>
      </c>
      <c r="E89">
        <v>19</v>
      </c>
      <c r="F89">
        <v>19</v>
      </c>
      <c r="G89">
        <v>0.755</v>
      </c>
      <c r="H89" t="s">
        <v>5613</v>
      </c>
      <c r="I89" t="s">
        <v>5614</v>
      </c>
      <c r="J89">
        <v>4151426</v>
      </c>
      <c r="K89" t="s">
        <v>511</v>
      </c>
      <c r="L89" t="s">
        <v>10</v>
      </c>
      <c r="M89" t="s">
        <v>450</v>
      </c>
      <c r="N89" t="s">
        <v>512</v>
      </c>
    </row>
    <row r="90" spans="1:14" hidden="1" x14ac:dyDescent="0.25">
      <c r="A90" t="s">
        <v>5553</v>
      </c>
      <c r="B90">
        <v>2455</v>
      </c>
      <c r="C90" t="s">
        <v>60</v>
      </c>
      <c r="D90">
        <v>1</v>
      </c>
      <c r="E90">
        <v>19</v>
      </c>
      <c r="F90">
        <v>19</v>
      </c>
      <c r="G90">
        <v>0.755</v>
      </c>
      <c r="H90" t="s">
        <v>5613</v>
      </c>
      <c r="I90" t="s">
        <v>5614</v>
      </c>
      <c r="J90">
        <v>4151426</v>
      </c>
      <c r="K90" t="s">
        <v>511</v>
      </c>
      <c r="L90" t="s">
        <v>10</v>
      </c>
      <c r="M90" t="s">
        <v>450</v>
      </c>
      <c r="N90" t="s">
        <v>512</v>
      </c>
    </row>
    <row r="91" spans="1:14" hidden="1" x14ac:dyDescent="0.25">
      <c r="A91" t="s">
        <v>5553</v>
      </c>
      <c r="B91">
        <v>1931</v>
      </c>
      <c r="C91" t="s">
        <v>170</v>
      </c>
      <c r="D91">
        <v>2</v>
      </c>
      <c r="E91">
        <v>19.05</v>
      </c>
      <c r="F91">
        <v>0</v>
      </c>
      <c r="G91">
        <v>0.78500000000000003</v>
      </c>
      <c r="H91" t="s">
        <v>5626</v>
      </c>
      <c r="I91" t="s">
        <v>5627</v>
      </c>
      <c r="J91">
        <v>1940284</v>
      </c>
      <c r="K91" t="s">
        <v>1373</v>
      </c>
      <c r="L91" t="s">
        <v>10</v>
      </c>
      <c r="M91" t="s">
        <v>604</v>
      </c>
      <c r="N91" t="s">
        <v>3550</v>
      </c>
    </row>
    <row r="92" spans="1:14" hidden="1" x14ac:dyDescent="0.25">
      <c r="A92" t="s">
        <v>5553</v>
      </c>
      <c r="B92">
        <v>1733</v>
      </c>
      <c r="C92" t="s">
        <v>60</v>
      </c>
      <c r="D92">
        <v>1</v>
      </c>
      <c r="E92">
        <v>19</v>
      </c>
      <c r="F92">
        <v>19</v>
      </c>
      <c r="G92">
        <v>1.304</v>
      </c>
      <c r="H92" t="s">
        <v>5611</v>
      </c>
      <c r="I92" t="s">
        <v>5612</v>
      </c>
      <c r="J92">
        <v>3572039</v>
      </c>
      <c r="K92" t="s">
        <v>519</v>
      </c>
      <c r="L92" t="s">
        <v>10</v>
      </c>
      <c r="M92" t="s">
        <v>450</v>
      </c>
      <c r="N92" t="s">
        <v>520</v>
      </c>
    </row>
    <row r="93" spans="1:14" hidden="1" x14ac:dyDescent="0.25">
      <c r="A93" t="s">
        <v>5553</v>
      </c>
      <c r="B93">
        <v>1713</v>
      </c>
      <c r="C93" t="s">
        <v>60</v>
      </c>
      <c r="D93">
        <v>1</v>
      </c>
      <c r="E93">
        <v>19</v>
      </c>
      <c r="F93">
        <v>19</v>
      </c>
      <c r="G93">
        <v>1.304</v>
      </c>
      <c r="H93" t="s">
        <v>5611</v>
      </c>
      <c r="I93" t="s">
        <v>5612</v>
      </c>
      <c r="J93">
        <v>3572039</v>
      </c>
      <c r="K93" t="s">
        <v>519</v>
      </c>
      <c r="L93" t="s">
        <v>10</v>
      </c>
      <c r="M93" t="s">
        <v>450</v>
      </c>
      <c r="N93" t="s">
        <v>520</v>
      </c>
    </row>
    <row r="94" spans="1:14" hidden="1" x14ac:dyDescent="0.25">
      <c r="A94" t="s">
        <v>5553</v>
      </c>
      <c r="B94">
        <v>1170</v>
      </c>
      <c r="C94" t="s">
        <v>60</v>
      </c>
      <c r="D94">
        <v>1</v>
      </c>
      <c r="E94">
        <v>19</v>
      </c>
      <c r="F94">
        <v>19</v>
      </c>
      <c r="G94">
        <v>1.304</v>
      </c>
      <c r="H94" t="s">
        <v>5611</v>
      </c>
      <c r="I94" t="s">
        <v>5612</v>
      </c>
      <c r="J94">
        <v>3572039</v>
      </c>
      <c r="K94" t="s">
        <v>519</v>
      </c>
      <c r="L94" t="s">
        <v>10</v>
      </c>
      <c r="M94" t="s">
        <v>450</v>
      </c>
      <c r="N94" t="s">
        <v>520</v>
      </c>
    </row>
    <row r="95" spans="1:14" hidden="1" x14ac:dyDescent="0.25">
      <c r="A95" t="s">
        <v>5553</v>
      </c>
      <c r="B95">
        <v>1170</v>
      </c>
      <c r="C95" t="s">
        <v>60</v>
      </c>
      <c r="D95">
        <v>1</v>
      </c>
      <c r="E95">
        <v>19</v>
      </c>
      <c r="F95">
        <v>19</v>
      </c>
      <c r="G95">
        <v>1.304</v>
      </c>
      <c r="H95" t="s">
        <v>5611</v>
      </c>
      <c r="I95" t="s">
        <v>5612</v>
      </c>
      <c r="J95">
        <v>3572039</v>
      </c>
      <c r="K95" t="s">
        <v>519</v>
      </c>
      <c r="L95" t="s">
        <v>10</v>
      </c>
      <c r="M95" t="s">
        <v>450</v>
      </c>
      <c r="N95" t="s">
        <v>520</v>
      </c>
    </row>
    <row r="96" spans="1:14" hidden="1" x14ac:dyDescent="0.25">
      <c r="A96" t="s">
        <v>5553</v>
      </c>
      <c r="B96">
        <v>1138</v>
      </c>
      <c r="C96" t="s">
        <v>9</v>
      </c>
      <c r="D96">
        <v>1.2</v>
      </c>
      <c r="E96">
        <v>19.05</v>
      </c>
      <c r="F96">
        <v>0</v>
      </c>
      <c r="G96">
        <v>1.145</v>
      </c>
      <c r="H96" t="s">
        <v>5634</v>
      </c>
      <c r="I96" t="s">
        <v>5635</v>
      </c>
      <c r="J96">
        <v>4110464</v>
      </c>
      <c r="K96" t="s">
        <v>477</v>
      </c>
      <c r="L96" t="s">
        <v>10</v>
      </c>
      <c r="M96" t="s">
        <v>471</v>
      </c>
    </row>
    <row r="97" spans="1:14" hidden="1" x14ac:dyDescent="0.25">
      <c r="A97" t="s">
        <v>5553</v>
      </c>
      <c r="B97">
        <v>1036</v>
      </c>
      <c r="C97" t="s">
        <v>160</v>
      </c>
      <c r="D97">
        <v>1.2</v>
      </c>
      <c r="E97">
        <v>19.05</v>
      </c>
      <c r="F97">
        <v>0</v>
      </c>
      <c r="G97">
        <v>0.65</v>
      </c>
      <c r="H97" t="s">
        <v>5628</v>
      </c>
      <c r="I97" t="s">
        <v>5629</v>
      </c>
      <c r="J97">
        <v>1937022</v>
      </c>
      <c r="K97" t="s">
        <v>1321</v>
      </c>
      <c r="L97" t="s">
        <v>10</v>
      </c>
      <c r="M97" t="s">
        <v>471</v>
      </c>
      <c r="N97" t="s">
        <v>2273</v>
      </c>
    </row>
    <row r="98" spans="1:14" hidden="1" x14ac:dyDescent="0.25">
      <c r="A98" t="s">
        <v>5553</v>
      </c>
      <c r="B98">
        <v>1553</v>
      </c>
      <c r="C98" t="s">
        <v>160</v>
      </c>
      <c r="D98">
        <v>1.2</v>
      </c>
      <c r="E98">
        <v>19.05</v>
      </c>
      <c r="F98">
        <v>0</v>
      </c>
      <c r="G98">
        <v>0.65</v>
      </c>
      <c r="H98" t="s">
        <v>5628</v>
      </c>
      <c r="I98" t="s">
        <v>5629</v>
      </c>
      <c r="J98">
        <v>1937022</v>
      </c>
      <c r="K98" t="s">
        <v>1321</v>
      </c>
      <c r="L98" t="s">
        <v>10</v>
      </c>
      <c r="M98" t="s">
        <v>471</v>
      </c>
      <c r="N98" t="s">
        <v>2273</v>
      </c>
    </row>
    <row r="99" spans="1:14" hidden="1" x14ac:dyDescent="0.25">
      <c r="A99" t="s">
        <v>5553</v>
      </c>
      <c r="B99">
        <v>1714</v>
      </c>
      <c r="C99" t="s">
        <v>9</v>
      </c>
      <c r="D99">
        <v>1.2</v>
      </c>
      <c r="E99">
        <v>19.05</v>
      </c>
      <c r="F99">
        <v>0</v>
      </c>
      <c r="G99">
        <v>1.075</v>
      </c>
      <c r="H99" t="s">
        <v>5632</v>
      </c>
      <c r="I99" t="s">
        <v>5633</v>
      </c>
      <c r="J99">
        <v>3229740</v>
      </c>
      <c r="K99" t="s">
        <v>472</v>
      </c>
      <c r="L99" t="s">
        <v>10</v>
      </c>
      <c r="M99" t="s">
        <v>471</v>
      </c>
      <c r="N99" t="s">
        <v>473</v>
      </c>
    </row>
    <row r="100" spans="1:14" hidden="1" x14ac:dyDescent="0.25">
      <c r="A100" t="s">
        <v>5553</v>
      </c>
      <c r="B100">
        <v>1775</v>
      </c>
      <c r="C100" t="s">
        <v>171</v>
      </c>
      <c r="D100">
        <v>1.2</v>
      </c>
      <c r="E100">
        <v>19.05</v>
      </c>
      <c r="F100">
        <v>0</v>
      </c>
      <c r="G100">
        <v>0.68200000000000005</v>
      </c>
      <c r="H100" t="s">
        <v>5630</v>
      </c>
      <c r="I100" t="s">
        <v>5631</v>
      </c>
      <c r="J100">
        <v>3929540</v>
      </c>
      <c r="K100" t="s">
        <v>627</v>
      </c>
      <c r="L100" t="s">
        <v>10</v>
      </c>
      <c r="M100" t="s">
        <v>626</v>
      </c>
      <c r="N100" t="s">
        <v>628</v>
      </c>
    </row>
    <row r="101" spans="1:14" hidden="1" x14ac:dyDescent="0.25">
      <c r="A101" t="s">
        <v>5553</v>
      </c>
      <c r="B101">
        <v>1690</v>
      </c>
      <c r="C101" t="s">
        <v>171</v>
      </c>
      <c r="D101">
        <v>1.2</v>
      </c>
      <c r="E101">
        <v>19.05</v>
      </c>
      <c r="F101">
        <v>0</v>
      </c>
      <c r="G101">
        <v>0.68200000000000005</v>
      </c>
      <c r="H101" t="s">
        <v>5630</v>
      </c>
      <c r="I101" t="s">
        <v>5631</v>
      </c>
      <c r="J101">
        <v>3929540</v>
      </c>
      <c r="K101" t="s">
        <v>627</v>
      </c>
      <c r="L101" t="s">
        <v>10</v>
      </c>
      <c r="M101" t="s">
        <v>626</v>
      </c>
      <c r="N101" t="s">
        <v>628</v>
      </c>
    </row>
    <row r="102" spans="1:14" hidden="1" x14ac:dyDescent="0.25">
      <c r="A102" t="s">
        <v>5553</v>
      </c>
      <c r="B102">
        <v>1670</v>
      </c>
      <c r="C102" t="s">
        <v>60</v>
      </c>
      <c r="D102">
        <v>1.2</v>
      </c>
      <c r="E102">
        <v>19.05</v>
      </c>
      <c r="F102">
        <v>0</v>
      </c>
      <c r="G102">
        <v>1.23</v>
      </c>
      <c r="H102" t="s">
        <v>5630</v>
      </c>
      <c r="I102" t="s">
        <v>5631</v>
      </c>
      <c r="J102">
        <v>3929692</v>
      </c>
      <c r="K102" t="s">
        <v>533</v>
      </c>
      <c r="L102" t="s">
        <v>10</v>
      </c>
      <c r="M102" t="s">
        <v>532</v>
      </c>
      <c r="N102" t="s">
        <v>534</v>
      </c>
    </row>
    <row r="103" spans="1:14" hidden="1" x14ac:dyDescent="0.25">
      <c r="A103" t="s">
        <v>5553</v>
      </c>
      <c r="B103">
        <v>2310</v>
      </c>
      <c r="C103" t="s">
        <v>60</v>
      </c>
      <c r="D103">
        <v>1.2</v>
      </c>
      <c r="E103">
        <v>19.05</v>
      </c>
      <c r="F103">
        <v>0</v>
      </c>
      <c r="G103">
        <v>1.23</v>
      </c>
      <c r="H103" t="s">
        <v>5630</v>
      </c>
      <c r="I103" t="s">
        <v>5631</v>
      </c>
      <c r="J103">
        <v>3929692</v>
      </c>
      <c r="K103" t="s">
        <v>533</v>
      </c>
      <c r="L103" t="s">
        <v>10</v>
      </c>
      <c r="M103" t="s">
        <v>532</v>
      </c>
      <c r="N103" t="s">
        <v>534</v>
      </c>
    </row>
    <row r="104" spans="1:14" hidden="1" x14ac:dyDescent="0.25">
      <c r="A104" t="s">
        <v>5553</v>
      </c>
      <c r="B104">
        <v>2283</v>
      </c>
      <c r="C104" t="s">
        <v>60</v>
      </c>
      <c r="D104">
        <v>1.2</v>
      </c>
      <c r="E104">
        <v>19.05</v>
      </c>
      <c r="F104">
        <v>0</v>
      </c>
      <c r="G104">
        <v>1.23</v>
      </c>
      <c r="H104" t="s">
        <v>5630</v>
      </c>
      <c r="I104" t="s">
        <v>5631</v>
      </c>
      <c r="J104">
        <v>3929692</v>
      </c>
      <c r="K104" t="s">
        <v>533</v>
      </c>
      <c r="L104" t="s">
        <v>10</v>
      </c>
      <c r="M104" t="s">
        <v>532</v>
      </c>
      <c r="N104" t="s">
        <v>534</v>
      </c>
    </row>
    <row r="105" spans="1:14" hidden="1" x14ac:dyDescent="0.25">
      <c r="A105" t="s">
        <v>5553</v>
      </c>
      <c r="B105">
        <v>2270</v>
      </c>
      <c r="C105" t="s">
        <v>60</v>
      </c>
      <c r="D105">
        <v>1.2</v>
      </c>
      <c r="E105">
        <v>19.05</v>
      </c>
      <c r="F105">
        <v>0</v>
      </c>
      <c r="G105">
        <v>1.23</v>
      </c>
      <c r="H105" t="s">
        <v>5630</v>
      </c>
      <c r="I105" t="s">
        <v>5631</v>
      </c>
      <c r="J105">
        <v>3929692</v>
      </c>
      <c r="K105" t="s">
        <v>533</v>
      </c>
      <c r="L105" t="s">
        <v>10</v>
      </c>
      <c r="M105" t="s">
        <v>532</v>
      </c>
      <c r="N105" t="s">
        <v>534</v>
      </c>
    </row>
    <row r="106" spans="1:14" hidden="1" x14ac:dyDescent="0.25">
      <c r="A106" t="s">
        <v>5553</v>
      </c>
      <c r="B106">
        <v>1694</v>
      </c>
      <c r="C106" t="s">
        <v>60</v>
      </c>
      <c r="D106">
        <v>1.2</v>
      </c>
      <c r="E106">
        <v>19.05</v>
      </c>
      <c r="F106">
        <v>0</v>
      </c>
      <c r="G106">
        <v>1.23</v>
      </c>
      <c r="H106" t="s">
        <v>5630</v>
      </c>
      <c r="I106" t="s">
        <v>5631</v>
      </c>
      <c r="J106">
        <v>3929692</v>
      </c>
      <c r="K106" t="s">
        <v>533</v>
      </c>
      <c r="L106" t="s">
        <v>10</v>
      </c>
      <c r="M106" t="s">
        <v>532</v>
      </c>
      <c r="N106" t="s">
        <v>534</v>
      </c>
    </row>
    <row r="107" spans="1:14" hidden="1" x14ac:dyDescent="0.25">
      <c r="A107" t="s">
        <v>5553</v>
      </c>
      <c r="B107">
        <v>2372</v>
      </c>
      <c r="C107" t="s">
        <v>60</v>
      </c>
      <c r="D107">
        <v>1.2</v>
      </c>
      <c r="E107">
        <v>19.05</v>
      </c>
      <c r="F107">
        <v>0</v>
      </c>
      <c r="G107">
        <v>1.23</v>
      </c>
      <c r="H107" t="s">
        <v>5602</v>
      </c>
      <c r="I107" t="s">
        <v>5591</v>
      </c>
      <c r="J107">
        <v>3929692</v>
      </c>
      <c r="K107" t="s">
        <v>533</v>
      </c>
      <c r="L107" t="s">
        <v>10</v>
      </c>
      <c r="M107" t="s">
        <v>532</v>
      </c>
      <c r="N107" t="s">
        <v>534</v>
      </c>
    </row>
    <row r="108" spans="1:14" hidden="1" x14ac:dyDescent="0.25">
      <c r="A108" t="s">
        <v>5553</v>
      </c>
      <c r="B108">
        <v>1922</v>
      </c>
      <c r="C108" t="s">
        <v>166</v>
      </c>
      <c r="D108">
        <v>2.3000000000000003</v>
      </c>
      <c r="E108">
        <v>19.05</v>
      </c>
      <c r="F108">
        <v>0</v>
      </c>
      <c r="G108">
        <v>0.23599999999999999</v>
      </c>
      <c r="H108" t="s">
        <v>5584</v>
      </c>
      <c r="I108" t="s">
        <v>5585</v>
      </c>
      <c r="J108">
        <v>1940306</v>
      </c>
      <c r="K108" t="s">
        <v>454</v>
      </c>
      <c r="L108" t="s">
        <v>10</v>
      </c>
      <c r="M108" t="s">
        <v>407</v>
      </c>
      <c r="N108" t="s">
        <v>455</v>
      </c>
    </row>
    <row r="109" spans="1:14" hidden="1" x14ac:dyDescent="0.25">
      <c r="A109" t="s">
        <v>5553</v>
      </c>
      <c r="B109">
        <v>171</v>
      </c>
      <c r="C109" t="s">
        <v>166</v>
      </c>
      <c r="D109">
        <v>2.3000000000000003</v>
      </c>
      <c r="E109">
        <v>19.05</v>
      </c>
      <c r="F109">
        <v>0</v>
      </c>
      <c r="G109">
        <v>0.26500000000000001</v>
      </c>
      <c r="H109" t="s">
        <v>5584</v>
      </c>
      <c r="I109" t="s">
        <v>5585</v>
      </c>
      <c r="J109">
        <v>1940309</v>
      </c>
      <c r="K109" t="s">
        <v>703</v>
      </c>
      <c r="L109" t="s">
        <v>10</v>
      </c>
      <c r="M109" t="s">
        <v>407</v>
      </c>
      <c r="N109" t="s">
        <v>704</v>
      </c>
    </row>
    <row r="110" spans="1:14" hidden="1" x14ac:dyDescent="0.25">
      <c r="A110" t="s">
        <v>5553</v>
      </c>
      <c r="B110">
        <v>1027</v>
      </c>
      <c r="C110" t="s">
        <v>166</v>
      </c>
      <c r="D110">
        <v>2.3000000000000003</v>
      </c>
      <c r="E110">
        <v>19.05</v>
      </c>
      <c r="F110">
        <v>0</v>
      </c>
      <c r="G110">
        <v>0.26500000000000001</v>
      </c>
      <c r="H110" t="s">
        <v>5584</v>
      </c>
      <c r="I110" t="s">
        <v>5585</v>
      </c>
      <c r="J110">
        <v>1940309</v>
      </c>
      <c r="K110" t="s">
        <v>703</v>
      </c>
      <c r="L110" t="s">
        <v>10</v>
      </c>
      <c r="M110" t="s">
        <v>407</v>
      </c>
      <c r="N110" t="s">
        <v>704</v>
      </c>
    </row>
    <row r="111" spans="1:14" hidden="1" x14ac:dyDescent="0.25">
      <c r="A111" t="s">
        <v>5553</v>
      </c>
      <c r="B111">
        <v>356</v>
      </c>
      <c r="C111" t="s">
        <v>164</v>
      </c>
      <c r="D111">
        <v>2.3000000000000003</v>
      </c>
      <c r="E111">
        <v>19.05</v>
      </c>
      <c r="F111">
        <v>0</v>
      </c>
      <c r="G111">
        <v>0.28500000000000003</v>
      </c>
      <c r="H111" t="s">
        <v>5568</v>
      </c>
      <c r="I111" t="s">
        <v>5569</v>
      </c>
      <c r="J111">
        <v>2427711</v>
      </c>
      <c r="K111" t="s">
        <v>705</v>
      </c>
      <c r="L111" t="s">
        <v>10</v>
      </c>
      <c r="M111" t="s">
        <v>407</v>
      </c>
      <c r="N111" t="s">
        <v>706</v>
      </c>
    </row>
    <row r="112" spans="1:14" hidden="1" x14ac:dyDescent="0.25">
      <c r="A112" t="s">
        <v>5553</v>
      </c>
      <c r="B112">
        <v>1166</v>
      </c>
      <c r="C112" t="s">
        <v>166</v>
      </c>
      <c r="D112">
        <v>2.3000000000000003</v>
      </c>
      <c r="E112">
        <v>19.05</v>
      </c>
      <c r="F112">
        <v>0</v>
      </c>
      <c r="G112">
        <v>0.29500000000000004</v>
      </c>
      <c r="H112" t="s">
        <v>5584</v>
      </c>
      <c r="I112" t="s">
        <v>5585</v>
      </c>
      <c r="J112">
        <v>1940312</v>
      </c>
      <c r="K112" t="s">
        <v>410</v>
      </c>
      <c r="L112" t="s">
        <v>10</v>
      </c>
      <c r="M112" t="s">
        <v>407</v>
      </c>
      <c r="N112" t="s">
        <v>411</v>
      </c>
    </row>
    <row r="113" spans="1:14" hidden="1" x14ac:dyDescent="0.25">
      <c r="A113" t="s">
        <v>5553</v>
      </c>
      <c r="B113">
        <v>375</v>
      </c>
      <c r="C113" t="s">
        <v>164</v>
      </c>
      <c r="D113">
        <v>2.3000000000000003</v>
      </c>
      <c r="E113">
        <v>19.05</v>
      </c>
      <c r="F113">
        <v>0</v>
      </c>
      <c r="G113">
        <v>0.30299999999999999</v>
      </c>
      <c r="H113" t="s">
        <v>5584</v>
      </c>
      <c r="I113" t="s">
        <v>5585</v>
      </c>
      <c r="J113">
        <v>1940313</v>
      </c>
      <c r="K113" t="s">
        <v>707</v>
      </c>
      <c r="L113" t="s">
        <v>10</v>
      </c>
      <c r="M113" t="s">
        <v>407</v>
      </c>
      <c r="N113" t="s">
        <v>708</v>
      </c>
    </row>
    <row r="114" spans="1:14" hidden="1" x14ac:dyDescent="0.25">
      <c r="A114" t="s">
        <v>5553</v>
      </c>
      <c r="B114">
        <v>452</v>
      </c>
      <c r="C114" t="s">
        <v>166</v>
      </c>
      <c r="D114">
        <v>2.3000000000000003</v>
      </c>
      <c r="E114">
        <v>19.05</v>
      </c>
      <c r="F114">
        <v>0</v>
      </c>
      <c r="G114">
        <v>0.57000000000000006</v>
      </c>
      <c r="H114" t="s">
        <v>5568</v>
      </c>
      <c r="I114" t="s">
        <v>5569</v>
      </c>
      <c r="J114">
        <v>1940325</v>
      </c>
      <c r="K114" t="s">
        <v>715</v>
      </c>
      <c r="L114" t="s">
        <v>10</v>
      </c>
      <c r="M114" t="s">
        <v>407</v>
      </c>
      <c r="N114" t="s">
        <v>716</v>
      </c>
    </row>
    <row r="115" spans="1:14" hidden="1" x14ac:dyDescent="0.25">
      <c r="A115" t="s">
        <v>5553</v>
      </c>
      <c r="B115">
        <v>546</v>
      </c>
      <c r="C115" t="s">
        <v>166</v>
      </c>
      <c r="D115">
        <v>2.3000000000000003</v>
      </c>
      <c r="E115">
        <v>19.05</v>
      </c>
      <c r="F115">
        <v>0</v>
      </c>
      <c r="G115">
        <v>0.57000000000000006</v>
      </c>
      <c r="H115" t="s">
        <v>5568</v>
      </c>
      <c r="I115" t="s">
        <v>5569</v>
      </c>
      <c r="J115">
        <v>1940325</v>
      </c>
      <c r="K115" t="s">
        <v>715</v>
      </c>
      <c r="L115" t="s">
        <v>10</v>
      </c>
      <c r="M115" t="s">
        <v>407</v>
      </c>
      <c r="N115" t="s">
        <v>716</v>
      </c>
    </row>
    <row r="116" spans="1:14" hidden="1" x14ac:dyDescent="0.25">
      <c r="A116" t="s">
        <v>5553</v>
      </c>
      <c r="B116">
        <v>195</v>
      </c>
      <c r="C116" t="s">
        <v>160</v>
      </c>
      <c r="D116">
        <v>1.2</v>
      </c>
      <c r="E116">
        <v>22.2</v>
      </c>
      <c r="F116">
        <v>0</v>
      </c>
      <c r="G116">
        <v>0.67300000000000004</v>
      </c>
      <c r="H116" t="s">
        <v>5636</v>
      </c>
      <c r="I116" t="s">
        <v>5637</v>
      </c>
      <c r="J116">
        <v>3667938</v>
      </c>
      <c r="K116" t="s">
        <v>639</v>
      </c>
      <c r="L116" t="s">
        <v>10</v>
      </c>
      <c r="M116" t="s">
        <v>607</v>
      </c>
      <c r="N116" t="s">
        <v>640</v>
      </c>
    </row>
    <row r="117" spans="1:14" hidden="1" x14ac:dyDescent="0.25">
      <c r="A117" t="s">
        <v>5553</v>
      </c>
      <c r="B117">
        <v>374</v>
      </c>
      <c r="C117" t="s">
        <v>160</v>
      </c>
      <c r="D117">
        <v>1.2</v>
      </c>
      <c r="E117">
        <v>22.2</v>
      </c>
      <c r="F117">
        <v>0</v>
      </c>
      <c r="G117">
        <v>0.67300000000000004</v>
      </c>
      <c r="H117" t="s">
        <v>5636</v>
      </c>
      <c r="I117" t="s">
        <v>5637</v>
      </c>
      <c r="J117">
        <v>3667938</v>
      </c>
      <c r="K117" t="s">
        <v>639</v>
      </c>
      <c r="L117" t="s">
        <v>10</v>
      </c>
      <c r="M117" t="s">
        <v>607</v>
      </c>
      <c r="N117" t="s">
        <v>640</v>
      </c>
    </row>
    <row r="118" spans="1:14" hidden="1" x14ac:dyDescent="0.25">
      <c r="A118" t="s">
        <v>5553</v>
      </c>
      <c r="B118">
        <v>715</v>
      </c>
      <c r="C118" t="s">
        <v>151</v>
      </c>
      <c r="D118">
        <v>1.2</v>
      </c>
      <c r="E118">
        <v>22.23</v>
      </c>
      <c r="F118">
        <v>0</v>
      </c>
      <c r="G118">
        <v>0.14000000000000001</v>
      </c>
      <c r="H118" t="s">
        <v>5638</v>
      </c>
      <c r="I118" t="s">
        <v>5639</v>
      </c>
      <c r="J118">
        <v>1940357</v>
      </c>
      <c r="K118" t="s">
        <v>1980</v>
      </c>
      <c r="L118" t="s">
        <v>10</v>
      </c>
      <c r="M118" t="s">
        <v>607</v>
      </c>
      <c r="N118" t="s">
        <v>3992</v>
      </c>
    </row>
    <row r="119" spans="1:14" hidden="1" x14ac:dyDescent="0.25">
      <c r="A119" t="s">
        <v>5553</v>
      </c>
      <c r="B119">
        <v>728</v>
      </c>
      <c r="C119" t="s">
        <v>151</v>
      </c>
      <c r="D119">
        <v>1.2</v>
      </c>
      <c r="E119">
        <v>22.23</v>
      </c>
      <c r="F119">
        <v>0</v>
      </c>
      <c r="G119">
        <v>0.14000000000000001</v>
      </c>
      <c r="H119" t="s">
        <v>5638</v>
      </c>
      <c r="I119" t="s">
        <v>5639</v>
      </c>
      <c r="J119">
        <v>1940357</v>
      </c>
      <c r="K119" t="s">
        <v>1980</v>
      </c>
      <c r="L119" t="s">
        <v>10</v>
      </c>
      <c r="M119" t="s">
        <v>607</v>
      </c>
      <c r="N119" t="s">
        <v>3992</v>
      </c>
    </row>
    <row r="120" spans="1:14" hidden="1" x14ac:dyDescent="0.25">
      <c r="A120" t="s">
        <v>5553</v>
      </c>
      <c r="B120">
        <v>817</v>
      </c>
      <c r="C120" t="s">
        <v>170</v>
      </c>
      <c r="D120">
        <v>1.2</v>
      </c>
      <c r="E120">
        <v>22.23</v>
      </c>
      <c r="F120">
        <v>0</v>
      </c>
      <c r="G120">
        <v>1.1619999999999999</v>
      </c>
      <c r="H120" t="s">
        <v>5640</v>
      </c>
      <c r="I120" t="s">
        <v>5641</v>
      </c>
      <c r="J120">
        <v>1940363</v>
      </c>
      <c r="K120" t="s">
        <v>1500</v>
      </c>
      <c r="L120" t="s">
        <v>10</v>
      </c>
      <c r="M120" t="s">
        <v>607</v>
      </c>
      <c r="N120" t="s">
        <v>933</v>
      </c>
    </row>
    <row r="121" spans="1:14" hidden="1" x14ac:dyDescent="0.25">
      <c r="A121" t="s">
        <v>5553</v>
      </c>
      <c r="B121">
        <v>275</v>
      </c>
      <c r="C121" t="s">
        <v>166</v>
      </c>
      <c r="D121">
        <v>1.2</v>
      </c>
      <c r="E121">
        <v>22.23</v>
      </c>
      <c r="F121">
        <v>0</v>
      </c>
      <c r="G121">
        <v>1.3080000000000001</v>
      </c>
      <c r="H121" t="s">
        <v>5642</v>
      </c>
      <c r="I121" t="s">
        <v>5643</v>
      </c>
      <c r="J121">
        <v>3747393</v>
      </c>
      <c r="K121" t="s">
        <v>608</v>
      </c>
      <c r="L121" t="s">
        <v>10</v>
      </c>
      <c r="M121" t="s">
        <v>607</v>
      </c>
      <c r="N121" t="s">
        <v>609</v>
      </c>
    </row>
    <row r="122" spans="1:14" hidden="1" x14ac:dyDescent="0.25">
      <c r="A122" t="s">
        <v>5553</v>
      </c>
      <c r="B122">
        <v>2713</v>
      </c>
      <c r="C122" t="s">
        <v>159</v>
      </c>
      <c r="D122">
        <v>2</v>
      </c>
      <c r="E122">
        <v>22.23</v>
      </c>
      <c r="F122">
        <v>0</v>
      </c>
      <c r="G122">
        <v>0.71500000000000008</v>
      </c>
      <c r="H122" t="s">
        <v>5644</v>
      </c>
      <c r="I122" t="s">
        <v>5645</v>
      </c>
      <c r="J122">
        <v>3910020</v>
      </c>
      <c r="K122" t="s">
        <v>563</v>
      </c>
      <c r="L122" t="s">
        <v>10</v>
      </c>
      <c r="M122" t="s">
        <v>562</v>
      </c>
      <c r="N122" t="s">
        <v>564</v>
      </c>
    </row>
    <row r="123" spans="1:14" hidden="1" x14ac:dyDescent="0.25">
      <c r="A123" t="s">
        <v>5553</v>
      </c>
      <c r="B123">
        <v>1110</v>
      </c>
      <c r="C123" t="s">
        <v>151</v>
      </c>
      <c r="D123">
        <v>2</v>
      </c>
      <c r="E123">
        <v>22.23</v>
      </c>
      <c r="F123">
        <v>0</v>
      </c>
      <c r="G123">
        <v>0.80900000000000005</v>
      </c>
      <c r="H123" t="s">
        <v>5644</v>
      </c>
      <c r="I123" t="s">
        <v>5645</v>
      </c>
      <c r="J123">
        <v>1940466</v>
      </c>
      <c r="K123" t="s">
        <v>764</v>
      </c>
      <c r="L123" t="s">
        <v>10</v>
      </c>
      <c r="M123" t="s">
        <v>633</v>
      </c>
      <c r="N123" t="s">
        <v>765</v>
      </c>
    </row>
    <row r="124" spans="1:14" hidden="1" x14ac:dyDescent="0.25">
      <c r="A124" t="s">
        <v>5553</v>
      </c>
      <c r="B124">
        <v>519</v>
      </c>
      <c r="C124" t="s">
        <v>151</v>
      </c>
      <c r="D124">
        <v>2</v>
      </c>
      <c r="E124">
        <v>22.23</v>
      </c>
      <c r="F124">
        <v>0</v>
      </c>
      <c r="G124">
        <v>0.81500000000000006</v>
      </c>
      <c r="H124" t="s">
        <v>5646</v>
      </c>
      <c r="I124" t="s">
        <v>5647</v>
      </c>
      <c r="J124">
        <v>2413708</v>
      </c>
      <c r="K124" t="s">
        <v>634</v>
      </c>
      <c r="L124" t="s">
        <v>10</v>
      </c>
      <c r="M124" t="s">
        <v>633</v>
      </c>
      <c r="N124" t="s">
        <v>635</v>
      </c>
    </row>
    <row r="125" spans="1:14" hidden="1" x14ac:dyDescent="0.25">
      <c r="A125" t="s">
        <v>5553</v>
      </c>
      <c r="B125">
        <v>677</v>
      </c>
      <c r="C125" t="s">
        <v>167</v>
      </c>
      <c r="D125">
        <v>2</v>
      </c>
      <c r="E125">
        <v>22.23</v>
      </c>
      <c r="F125">
        <v>0</v>
      </c>
      <c r="G125">
        <v>0.86299999999999999</v>
      </c>
      <c r="H125" t="s">
        <v>5648</v>
      </c>
      <c r="I125" t="s">
        <v>5649</v>
      </c>
      <c r="J125">
        <v>3910649</v>
      </c>
      <c r="K125" t="s">
        <v>773</v>
      </c>
      <c r="L125" t="s">
        <v>10</v>
      </c>
      <c r="M125" t="s">
        <v>770</v>
      </c>
      <c r="N125" t="s">
        <v>774</v>
      </c>
    </row>
    <row r="126" spans="1:14" hidden="1" x14ac:dyDescent="0.25">
      <c r="A126" t="s">
        <v>5553</v>
      </c>
      <c r="B126">
        <v>2103</v>
      </c>
      <c r="C126" t="s">
        <v>167</v>
      </c>
      <c r="D126">
        <v>2</v>
      </c>
      <c r="E126">
        <v>22.23</v>
      </c>
      <c r="F126">
        <v>0</v>
      </c>
      <c r="G126">
        <v>0.86299999999999999</v>
      </c>
      <c r="H126" t="s">
        <v>5648</v>
      </c>
      <c r="I126" t="s">
        <v>5649</v>
      </c>
      <c r="J126">
        <v>3910649</v>
      </c>
      <c r="K126" t="s">
        <v>773</v>
      </c>
      <c r="L126" t="s">
        <v>10</v>
      </c>
      <c r="M126" t="s">
        <v>770</v>
      </c>
      <c r="N126" t="s">
        <v>774</v>
      </c>
    </row>
    <row r="127" spans="1:14" hidden="1" x14ac:dyDescent="0.25">
      <c r="A127" t="s">
        <v>5553</v>
      </c>
      <c r="B127">
        <v>2662</v>
      </c>
      <c r="C127" t="s">
        <v>167</v>
      </c>
      <c r="D127">
        <v>2</v>
      </c>
      <c r="E127">
        <v>22.23</v>
      </c>
      <c r="F127">
        <v>0</v>
      </c>
      <c r="G127">
        <v>0.86299999999999999</v>
      </c>
      <c r="H127" t="s">
        <v>5648</v>
      </c>
      <c r="I127" t="s">
        <v>5649</v>
      </c>
      <c r="J127">
        <v>3910649</v>
      </c>
      <c r="K127" t="s">
        <v>773</v>
      </c>
      <c r="L127" t="s">
        <v>10</v>
      </c>
      <c r="M127" t="s">
        <v>770</v>
      </c>
      <c r="N127" t="s">
        <v>774</v>
      </c>
    </row>
    <row r="128" spans="1:14" hidden="1" x14ac:dyDescent="0.25">
      <c r="A128" t="s">
        <v>5553</v>
      </c>
      <c r="B128">
        <v>2189</v>
      </c>
      <c r="C128" t="s">
        <v>167</v>
      </c>
      <c r="D128">
        <v>2</v>
      </c>
      <c r="E128">
        <v>22.23</v>
      </c>
      <c r="F128">
        <v>0</v>
      </c>
      <c r="G128">
        <v>0.86299999999999999</v>
      </c>
      <c r="H128" t="s">
        <v>5648</v>
      </c>
      <c r="I128" t="s">
        <v>5649</v>
      </c>
      <c r="J128">
        <v>3910649</v>
      </c>
      <c r="K128" t="s">
        <v>773</v>
      </c>
      <c r="L128" t="s">
        <v>10</v>
      </c>
      <c r="M128" t="s">
        <v>770</v>
      </c>
      <c r="N128" t="s">
        <v>774</v>
      </c>
    </row>
    <row r="129" spans="1:14" hidden="1" x14ac:dyDescent="0.25">
      <c r="A129" t="s">
        <v>5553</v>
      </c>
      <c r="B129">
        <v>1027</v>
      </c>
      <c r="C129" t="s">
        <v>167</v>
      </c>
      <c r="D129">
        <v>2</v>
      </c>
      <c r="E129">
        <v>22.23</v>
      </c>
      <c r="F129">
        <v>0</v>
      </c>
      <c r="G129">
        <v>0.86299999999999999</v>
      </c>
      <c r="H129" t="s">
        <v>5648</v>
      </c>
      <c r="I129" t="s">
        <v>5649</v>
      </c>
      <c r="J129">
        <v>3910649</v>
      </c>
      <c r="K129" t="s">
        <v>773</v>
      </c>
      <c r="L129" t="s">
        <v>10</v>
      </c>
      <c r="M129" t="s">
        <v>770</v>
      </c>
      <c r="N129" t="s">
        <v>774</v>
      </c>
    </row>
    <row r="130" spans="1:14" hidden="1" x14ac:dyDescent="0.25">
      <c r="A130" t="s">
        <v>5553</v>
      </c>
      <c r="B130">
        <v>2521</v>
      </c>
      <c r="C130" t="s">
        <v>167</v>
      </c>
      <c r="D130">
        <v>2</v>
      </c>
      <c r="E130">
        <v>22.23</v>
      </c>
      <c r="F130">
        <v>0</v>
      </c>
      <c r="G130">
        <v>0.86299999999999999</v>
      </c>
      <c r="H130" t="s">
        <v>5648</v>
      </c>
      <c r="I130" t="s">
        <v>5649</v>
      </c>
      <c r="J130">
        <v>3910649</v>
      </c>
      <c r="K130" t="s">
        <v>773</v>
      </c>
      <c r="L130" t="s">
        <v>10</v>
      </c>
      <c r="M130" t="s">
        <v>770</v>
      </c>
      <c r="N130" t="s">
        <v>774</v>
      </c>
    </row>
    <row r="131" spans="1:14" hidden="1" x14ac:dyDescent="0.25">
      <c r="A131" t="s">
        <v>5553</v>
      </c>
      <c r="B131">
        <v>2589</v>
      </c>
      <c r="C131" t="s">
        <v>167</v>
      </c>
      <c r="D131">
        <v>2</v>
      </c>
      <c r="E131">
        <v>22.23</v>
      </c>
      <c r="F131">
        <v>0</v>
      </c>
      <c r="G131">
        <v>0.86299999999999999</v>
      </c>
      <c r="H131" t="s">
        <v>5648</v>
      </c>
      <c r="I131" t="s">
        <v>5649</v>
      </c>
      <c r="J131">
        <v>3910649</v>
      </c>
      <c r="K131" t="s">
        <v>773</v>
      </c>
      <c r="L131" t="s">
        <v>10</v>
      </c>
      <c r="M131" t="s">
        <v>770</v>
      </c>
      <c r="N131" t="s">
        <v>774</v>
      </c>
    </row>
    <row r="132" spans="1:14" hidden="1" x14ac:dyDescent="0.25">
      <c r="A132" t="s">
        <v>5553</v>
      </c>
      <c r="B132">
        <v>1442</v>
      </c>
      <c r="C132" t="s">
        <v>167</v>
      </c>
      <c r="D132">
        <v>2</v>
      </c>
      <c r="E132">
        <v>22.23</v>
      </c>
      <c r="F132">
        <v>0</v>
      </c>
      <c r="G132">
        <v>0.86299999999999999</v>
      </c>
      <c r="H132" t="s">
        <v>5648</v>
      </c>
      <c r="I132" t="s">
        <v>5649</v>
      </c>
      <c r="J132">
        <v>3910649</v>
      </c>
      <c r="K132" t="s">
        <v>773</v>
      </c>
      <c r="L132" t="s">
        <v>10</v>
      </c>
      <c r="M132" t="s">
        <v>770</v>
      </c>
      <c r="N132" t="s">
        <v>774</v>
      </c>
    </row>
    <row r="133" spans="1:14" hidden="1" x14ac:dyDescent="0.25">
      <c r="A133" t="s">
        <v>5553</v>
      </c>
      <c r="B133">
        <v>1247</v>
      </c>
      <c r="C133" t="s">
        <v>164</v>
      </c>
      <c r="D133">
        <v>2.3000000000000003</v>
      </c>
      <c r="E133">
        <v>22.23</v>
      </c>
      <c r="F133">
        <v>0</v>
      </c>
      <c r="G133">
        <v>0.37</v>
      </c>
      <c r="H133" t="s">
        <v>5650</v>
      </c>
      <c r="I133" t="s">
        <v>5651</v>
      </c>
      <c r="J133">
        <v>3926424</v>
      </c>
      <c r="K133" t="s">
        <v>783</v>
      </c>
      <c r="L133" t="s">
        <v>10</v>
      </c>
      <c r="M133" t="s">
        <v>645</v>
      </c>
      <c r="N133" t="s">
        <v>784</v>
      </c>
    </row>
    <row r="134" spans="1:14" hidden="1" x14ac:dyDescent="0.25">
      <c r="A134" t="s">
        <v>5553</v>
      </c>
      <c r="B134">
        <v>344</v>
      </c>
      <c r="C134" t="s">
        <v>60</v>
      </c>
      <c r="D134">
        <v>1.2</v>
      </c>
      <c r="E134">
        <v>25</v>
      </c>
      <c r="F134">
        <v>25</v>
      </c>
      <c r="G134">
        <v>0.64</v>
      </c>
      <c r="H134" t="s">
        <v>5652</v>
      </c>
      <c r="I134" t="s">
        <v>5653</v>
      </c>
      <c r="J134">
        <v>4151430</v>
      </c>
      <c r="K134" t="s">
        <v>530</v>
      </c>
      <c r="L134" t="s">
        <v>10</v>
      </c>
      <c r="M134" t="s">
        <v>529</v>
      </c>
      <c r="N134" t="s">
        <v>531</v>
      </c>
    </row>
    <row r="135" spans="1:14" hidden="1" x14ac:dyDescent="0.25">
      <c r="A135" t="s">
        <v>5553</v>
      </c>
      <c r="B135">
        <v>1745</v>
      </c>
      <c r="C135" t="s">
        <v>60</v>
      </c>
      <c r="D135">
        <v>1.2</v>
      </c>
      <c r="E135">
        <v>25</v>
      </c>
      <c r="F135">
        <v>25</v>
      </c>
      <c r="G135">
        <v>0.64</v>
      </c>
      <c r="H135" t="s">
        <v>5652</v>
      </c>
      <c r="I135" t="s">
        <v>5653</v>
      </c>
      <c r="J135">
        <v>4151430</v>
      </c>
      <c r="K135" t="s">
        <v>530</v>
      </c>
      <c r="L135" t="s">
        <v>10</v>
      </c>
      <c r="M135" t="s">
        <v>529</v>
      </c>
      <c r="N135" t="s">
        <v>531</v>
      </c>
    </row>
    <row r="136" spans="1:14" hidden="1" x14ac:dyDescent="0.25">
      <c r="A136" t="s">
        <v>5553</v>
      </c>
      <c r="B136">
        <v>1751</v>
      </c>
      <c r="C136" t="s">
        <v>60</v>
      </c>
      <c r="D136">
        <v>1.2</v>
      </c>
      <c r="E136">
        <v>25</v>
      </c>
      <c r="F136">
        <v>25</v>
      </c>
      <c r="G136">
        <v>0.64</v>
      </c>
      <c r="H136" t="s">
        <v>5652</v>
      </c>
      <c r="I136" t="s">
        <v>5653</v>
      </c>
      <c r="J136">
        <v>4151430</v>
      </c>
      <c r="K136" t="s">
        <v>530</v>
      </c>
      <c r="L136" t="s">
        <v>10</v>
      </c>
      <c r="M136" t="s">
        <v>529</v>
      </c>
      <c r="N136" t="s">
        <v>531</v>
      </c>
    </row>
    <row r="137" spans="1:14" hidden="1" x14ac:dyDescent="0.25">
      <c r="A137" t="s">
        <v>5553</v>
      </c>
      <c r="B137">
        <v>1703</v>
      </c>
      <c r="C137" t="s">
        <v>60</v>
      </c>
      <c r="D137">
        <v>1.2</v>
      </c>
      <c r="E137">
        <v>25</v>
      </c>
      <c r="F137">
        <v>25</v>
      </c>
      <c r="G137">
        <v>0.64</v>
      </c>
      <c r="H137" t="s">
        <v>5652</v>
      </c>
      <c r="I137" t="s">
        <v>5653</v>
      </c>
      <c r="J137">
        <v>4151430</v>
      </c>
      <c r="K137" t="s">
        <v>530</v>
      </c>
      <c r="L137" t="s">
        <v>10</v>
      </c>
      <c r="M137" t="s">
        <v>529</v>
      </c>
      <c r="N137" t="s">
        <v>531</v>
      </c>
    </row>
    <row r="138" spans="1:14" hidden="1" x14ac:dyDescent="0.25">
      <c r="A138" t="s">
        <v>5553</v>
      </c>
      <c r="B138">
        <v>1925</v>
      </c>
      <c r="C138" t="s">
        <v>60</v>
      </c>
      <c r="D138">
        <v>1.2</v>
      </c>
      <c r="E138">
        <v>25</v>
      </c>
      <c r="F138">
        <v>25</v>
      </c>
      <c r="G138">
        <v>0.64</v>
      </c>
      <c r="H138" t="s">
        <v>5652</v>
      </c>
      <c r="I138" t="s">
        <v>5653</v>
      </c>
      <c r="J138">
        <v>4151430</v>
      </c>
      <c r="K138" t="s">
        <v>530</v>
      </c>
      <c r="L138" t="s">
        <v>10</v>
      </c>
      <c r="M138" t="s">
        <v>529</v>
      </c>
      <c r="N138" t="s">
        <v>531</v>
      </c>
    </row>
    <row r="139" spans="1:14" hidden="1" x14ac:dyDescent="0.25">
      <c r="A139" t="s">
        <v>5553</v>
      </c>
      <c r="B139">
        <v>1900</v>
      </c>
      <c r="C139" t="s">
        <v>60</v>
      </c>
      <c r="D139">
        <v>1.2</v>
      </c>
      <c r="E139">
        <v>25</v>
      </c>
      <c r="F139">
        <v>25</v>
      </c>
      <c r="G139">
        <v>0.64</v>
      </c>
      <c r="H139" t="s">
        <v>5652</v>
      </c>
      <c r="I139" t="s">
        <v>5653</v>
      </c>
      <c r="J139">
        <v>4151430</v>
      </c>
      <c r="K139" t="s">
        <v>530</v>
      </c>
      <c r="L139" t="s">
        <v>10</v>
      </c>
      <c r="M139" t="s">
        <v>529</v>
      </c>
      <c r="N139" t="s">
        <v>531</v>
      </c>
    </row>
    <row r="140" spans="1:14" hidden="1" x14ac:dyDescent="0.25">
      <c r="A140" t="s">
        <v>5553</v>
      </c>
      <c r="B140">
        <v>985</v>
      </c>
      <c r="C140" t="s">
        <v>60</v>
      </c>
      <c r="D140">
        <v>1.2</v>
      </c>
      <c r="E140">
        <v>25</v>
      </c>
      <c r="F140">
        <v>25</v>
      </c>
      <c r="G140">
        <v>0.64</v>
      </c>
      <c r="H140" t="s">
        <v>5652</v>
      </c>
      <c r="I140" t="s">
        <v>5653</v>
      </c>
      <c r="J140">
        <v>4151430</v>
      </c>
      <c r="K140" t="s">
        <v>530</v>
      </c>
      <c r="L140" t="s">
        <v>10</v>
      </c>
      <c r="M140" t="s">
        <v>529</v>
      </c>
      <c r="N140" t="s">
        <v>531</v>
      </c>
    </row>
    <row r="141" spans="1:14" hidden="1" x14ac:dyDescent="0.25">
      <c r="A141" t="s">
        <v>5553</v>
      </c>
      <c r="B141">
        <v>1930</v>
      </c>
      <c r="C141" t="s">
        <v>60</v>
      </c>
      <c r="D141">
        <v>1.2</v>
      </c>
      <c r="E141">
        <v>25</v>
      </c>
      <c r="F141">
        <v>25</v>
      </c>
      <c r="G141">
        <v>0.64</v>
      </c>
      <c r="H141" t="s">
        <v>5652</v>
      </c>
      <c r="I141" t="s">
        <v>5653</v>
      </c>
      <c r="J141">
        <v>4151430</v>
      </c>
      <c r="K141" t="s">
        <v>530</v>
      </c>
      <c r="L141" t="s">
        <v>10</v>
      </c>
      <c r="M141" t="s">
        <v>529</v>
      </c>
      <c r="N141" t="s">
        <v>531</v>
      </c>
    </row>
    <row r="142" spans="1:14" hidden="1" x14ac:dyDescent="0.25">
      <c r="A142" t="s">
        <v>5553</v>
      </c>
      <c r="B142">
        <v>1865</v>
      </c>
      <c r="C142" t="s">
        <v>60</v>
      </c>
      <c r="D142">
        <v>1.2</v>
      </c>
      <c r="E142">
        <v>25</v>
      </c>
      <c r="F142">
        <v>25</v>
      </c>
      <c r="G142">
        <v>0.64</v>
      </c>
      <c r="H142" t="s">
        <v>5652</v>
      </c>
      <c r="I142" t="s">
        <v>5653</v>
      </c>
      <c r="J142">
        <v>4151430</v>
      </c>
      <c r="K142" t="s">
        <v>530</v>
      </c>
      <c r="L142" t="s">
        <v>10</v>
      </c>
      <c r="M142" t="s">
        <v>529</v>
      </c>
      <c r="N142" t="s">
        <v>531</v>
      </c>
    </row>
    <row r="143" spans="1:14" hidden="1" x14ac:dyDescent="0.25">
      <c r="A143" t="s">
        <v>5553</v>
      </c>
      <c r="B143">
        <v>1900</v>
      </c>
      <c r="C143" t="s">
        <v>60</v>
      </c>
      <c r="D143">
        <v>1.2</v>
      </c>
      <c r="E143">
        <v>25</v>
      </c>
      <c r="F143">
        <v>25</v>
      </c>
      <c r="G143">
        <v>0.64</v>
      </c>
      <c r="H143" t="s">
        <v>5652</v>
      </c>
      <c r="I143" t="s">
        <v>5653</v>
      </c>
      <c r="J143">
        <v>4151430</v>
      </c>
      <c r="K143" t="s">
        <v>530</v>
      </c>
      <c r="L143" t="s">
        <v>10</v>
      </c>
      <c r="M143" t="s">
        <v>529</v>
      </c>
      <c r="N143" t="s">
        <v>531</v>
      </c>
    </row>
    <row r="144" spans="1:14" hidden="1" x14ac:dyDescent="0.25">
      <c r="A144" t="s">
        <v>5553</v>
      </c>
      <c r="B144">
        <v>1870</v>
      </c>
      <c r="C144" t="s">
        <v>60</v>
      </c>
      <c r="D144">
        <v>1.2</v>
      </c>
      <c r="E144">
        <v>25</v>
      </c>
      <c r="F144">
        <v>25</v>
      </c>
      <c r="G144">
        <v>0.64</v>
      </c>
      <c r="H144" t="s">
        <v>5652</v>
      </c>
      <c r="I144" t="s">
        <v>5653</v>
      </c>
      <c r="J144">
        <v>4151430</v>
      </c>
      <c r="K144" t="s">
        <v>530</v>
      </c>
      <c r="L144" t="s">
        <v>10</v>
      </c>
      <c r="M144" t="s">
        <v>529</v>
      </c>
      <c r="N144" t="s">
        <v>531</v>
      </c>
    </row>
    <row r="145" spans="1:14" hidden="1" x14ac:dyDescent="0.25">
      <c r="A145" t="s">
        <v>5553</v>
      </c>
      <c r="B145">
        <v>371</v>
      </c>
      <c r="C145" t="s">
        <v>60</v>
      </c>
      <c r="D145">
        <v>1.2</v>
      </c>
      <c r="E145">
        <v>25</v>
      </c>
      <c r="F145">
        <v>25</v>
      </c>
      <c r="G145">
        <v>0.64200000000000002</v>
      </c>
      <c r="H145" t="s">
        <v>5652</v>
      </c>
      <c r="I145" t="s">
        <v>5653</v>
      </c>
      <c r="J145">
        <v>3572043</v>
      </c>
      <c r="K145" t="s">
        <v>1544</v>
      </c>
      <c r="L145" t="s">
        <v>10</v>
      </c>
      <c r="M145" t="s">
        <v>529</v>
      </c>
      <c r="N145" t="s">
        <v>2315</v>
      </c>
    </row>
    <row r="146" spans="1:14" hidden="1" x14ac:dyDescent="0.25">
      <c r="A146" t="s">
        <v>5553</v>
      </c>
      <c r="B146">
        <v>1750</v>
      </c>
      <c r="C146" t="s">
        <v>171</v>
      </c>
      <c r="D146">
        <v>1.2</v>
      </c>
      <c r="E146">
        <v>25</v>
      </c>
      <c r="F146">
        <v>25</v>
      </c>
      <c r="G146">
        <v>0.78700000000000003</v>
      </c>
      <c r="H146" t="s">
        <v>5654</v>
      </c>
      <c r="I146" t="s">
        <v>5655</v>
      </c>
      <c r="J146">
        <v>3230482</v>
      </c>
      <c r="K146" t="s">
        <v>624</v>
      </c>
      <c r="L146" t="s">
        <v>10</v>
      </c>
      <c r="M146" t="s">
        <v>529</v>
      </c>
      <c r="N146" t="s">
        <v>625</v>
      </c>
    </row>
    <row r="147" spans="1:14" hidden="1" x14ac:dyDescent="0.25">
      <c r="A147" t="s">
        <v>5553</v>
      </c>
      <c r="B147">
        <v>1000</v>
      </c>
      <c r="C147" t="s">
        <v>171</v>
      </c>
      <c r="D147">
        <v>1.2</v>
      </c>
      <c r="E147">
        <v>25</v>
      </c>
      <c r="F147">
        <v>25</v>
      </c>
      <c r="G147">
        <v>0.78700000000000003</v>
      </c>
      <c r="H147" t="s">
        <v>5654</v>
      </c>
      <c r="I147" t="s">
        <v>5655</v>
      </c>
      <c r="J147">
        <v>3230482</v>
      </c>
      <c r="K147" t="s">
        <v>624</v>
      </c>
      <c r="L147" t="s">
        <v>10</v>
      </c>
      <c r="M147" t="s">
        <v>529</v>
      </c>
      <c r="N147" t="s">
        <v>625</v>
      </c>
    </row>
    <row r="148" spans="1:14" hidden="1" x14ac:dyDescent="0.25">
      <c r="A148" t="s">
        <v>5553</v>
      </c>
      <c r="B148">
        <v>1815</v>
      </c>
      <c r="C148" t="s">
        <v>171</v>
      </c>
      <c r="D148">
        <v>1.2</v>
      </c>
      <c r="E148">
        <v>25</v>
      </c>
      <c r="F148">
        <v>25</v>
      </c>
      <c r="G148">
        <v>0.78700000000000003</v>
      </c>
      <c r="H148" t="s">
        <v>5654</v>
      </c>
      <c r="I148" t="s">
        <v>5655</v>
      </c>
      <c r="J148">
        <v>3230482</v>
      </c>
      <c r="K148" t="s">
        <v>624</v>
      </c>
      <c r="L148" t="s">
        <v>10</v>
      </c>
      <c r="M148" t="s">
        <v>529</v>
      </c>
      <c r="N148" t="s">
        <v>625</v>
      </c>
    </row>
    <row r="149" spans="1:14" hidden="1" x14ac:dyDescent="0.25">
      <c r="A149" t="s">
        <v>5553</v>
      </c>
      <c r="B149">
        <v>1915</v>
      </c>
      <c r="C149" t="s">
        <v>60</v>
      </c>
      <c r="D149">
        <v>1.2</v>
      </c>
      <c r="E149">
        <v>25</v>
      </c>
      <c r="F149">
        <v>25</v>
      </c>
      <c r="G149">
        <v>1.298</v>
      </c>
      <c r="H149" t="s">
        <v>5656</v>
      </c>
      <c r="I149" t="s">
        <v>5657</v>
      </c>
      <c r="J149">
        <v>3935311</v>
      </c>
      <c r="K149" t="s">
        <v>622</v>
      </c>
      <c r="L149" t="s">
        <v>10</v>
      </c>
      <c r="M149" t="s">
        <v>529</v>
      </c>
      <c r="N149" t="s">
        <v>623</v>
      </c>
    </row>
    <row r="150" spans="1:14" hidden="1" x14ac:dyDescent="0.25">
      <c r="A150" t="s">
        <v>5553</v>
      </c>
      <c r="B150">
        <v>960</v>
      </c>
      <c r="C150" t="s">
        <v>60</v>
      </c>
      <c r="D150">
        <v>1.2</v>
      </c>
      <c r="E150">
        <v>25</v>
      </c>
      <c r="F150">
        <v>25</v>
      </c>
      <c r="G150">
        <v>1.298</v>
      </c>
      <c r="H150" t="s">
        <v>5656</v>
      </c>
      <c r="I150" t="s">
        <v>5657</v>
      </c>
      <c r="J150">
        <v>3935311</v>
      </c>
      <c r="K150" t="s">
        <v>622</v>
      </c>
      <c r="L150" t="s">
        <v>10</v>
      </c>
      <c r="M150" t="s">
        <v>529</v>
      </c>
      <c r="N150" t="s">
        <v>623</v>
      </c>
    </row>
    <row r="151" spans="1:14" hidden="1" x14ac:dyDescent="0.25">
      <c r="A151" t="s">
        <v>5553</v>
      </c>
      <c r="B151">
        <v>1620</v>
      </c>
      <c r="C151" t="s">
        <v>151</v>
      </c>
      <c r="D151">
        <v>1.2</v>
      </c>
      <c r="E151">
        <v>25.4</v>
      </c>
      <c r="F151">
        <v>0</v>
      </c>
      <c r="G151">
        <v>0.84500000000000008</v>
      </c>
      <c r="H151" t="s">
        <v>5658</v>
      </c>
      <c r="I151" t="s">
        <v>5659</v>
      </c>
      <c r="J151">
        <v>1940538</v>
      </c>
      <c r="K151" t="s">
        <v>1553</v>
      </c>
      <c r="L151" t="s">
        <v>10</v>
      </c>
      <c r="M151" t="s">
        <v>785</v>
      </c>
      <c r="N151" t="s">
        <v>2263</v>
      </c>
    </row>
    <row r="152" spans="1:14" hidden="1" x14ac:dyDescent="0.25">
      <c r="A152" t="s">
        <v>5553</v>
      </c>
      <c r="B152">
        <v>1600</v>
      </c>
      <c r="C152" t="s">
        <v>151</v>
      </c>
      <c r="D152">
        <v>1.2</v>
      </c>
      <c r="E152">
        <v>25.4</v>
      </c>
      <c r="F152">
        <v>0</v>
      </c>
      <c r="G152">
        <v>0.84500000000000008</v>
      </c>
      <c r="H152" t="s">
        <v>5658</v>
      </c>
      <c r="I152" t="s">
        <v>5659</v>
      </c>
      <c r="J152">
        <v>1940538</v>
      </c>
      <c r="K152" t="s">
        <v>1553</v>
      </c>
      <c r="L152" t="s">
        <v>10</v>
      </c>
      <c r="M152" t="s">
        <v>785</v>
      </c>
      <c r="N152" t="s">
        <v>2263</v>
      </c>
    </row>
    <row r="153" spans="1:14" hidden="1" x14ac:dyDescent="0.25">
      <c r="A153" t="s">
        <v>5553</v>
      </c>
      <c r="B153">
        <v>1700</v>
      </c>
      <c r="C153" t="s">
        <v>151</v>
      </c>
      <c r="D153">
        <v>1.2</v>
      </c>
      <c r="E153">
        <v>25.4</v>
      </c>
      <c r="F153">
        <v>0</v>
      </c>
      <c r="G153">
        <v>0.84500000000000008</v>
      </c>
      <c r="H153" t="s">
        <v>5658</v>
      </c>
      <c r="I153" t="s">
        <v>5659</v>
      </c>
      <c r="J153">
        <v>1940538</v>
      </c>
      <c r="K153" t="s">
        <v>1553</v>
      </c>
      <c r="L153" t="s">
        <v>10</v>
      </c>
      <c r="M153" t="s">
        <v>785</v>
      </c>
      <c r="N153" t="s">
        <v>2263</v>
      </c>
    </row>
    <row r="154" spans="1:14" hidden="1" x14ac:dyDescent="0.25">
      <c r="A154" t="s">
        <v>5553</v>
      </c>
      <c r="B154">
        <v>1680</v>
      </c>
      <c r="C154" t="s">
        <v>151</v>
      </c>
      <c r="D154">
        <v>1.2</v>
      </c>
      <c r="E154">
        <v>25.4</v>
      </c>
      <c r="F154">
        <v>0</v>
      </c>
      <c r="G154">
        <v>0.84500000000000008</v>
      </c>
      <c r="H154" t="s">
        <v>5658</v>
      </c>
      <c r="I154" t="s">
        <v>5659</v>
      </c>
      <c r="J154">
        <v>1940538</v>
      </c>
      <c r="K154" t="s">
        <v>1553</v>
      </c>
      <c r="L154" t="s">
        <v>10</v>
      </c>
      <c r="M154" t="s">
        <v>785</v>
      </c>
      <c r="N154" t="s">
        <v>2263</v>
      </c>
    </row>
    <row r="155" spans="1:14" hidden="1" x14ac:dyDescent="0.25">
      <c r="A155" t="s">
        <v>5553</v>
      </c>
      <c r="B155">
        <v>760</v>
      </c>
      <c r="C155" t="s">
        <v>151</v>
      </c>
      <c r="D155">
        <v>1.2</v>
      </c>
      <c r="E155">
        <v>25.4</v>
      </c>
      <c r="F155">
        <v>0</v>
      </c>
      <c r="G155">
        <v>0.84500000000000008</v>
      </c>
      <c r="H155" t="s">
        <v>5658</v>
      </c>
      <c r="I155" t="s">
        <v>5659</v>
      </c>
      <c r="J155">
        <v>1940538</v>
      </c>
      <c r="K155" t="s">
        <v>1553</v>
      </c>
      <c r="L155" t="s">
        <v>10</v>
      </c>
      <c r="M155" t="s">
        <v>785</v>
      </c>
      <c r="N155" t="s">
        <v>2263</v>
      </c>
    </row>
    <row r="156" spans="1:14" hidden="1" x14ac:dyDescent="0.25">
      <c r="A156" t="s">
        <v>5553</v>
      </c>
      <c r="B156">
        <v>460</v>
      </c>
      <c r="C156" t="s">
        <v>171</v>
      </c>
      <c r="D156">
        <v>1.2</v>
      </c>
      <c r="E156">
        <v>25.4</v>
      </c>
      <c r="F156">
        <v>0</v>
      </c>
      <c r="G156">
        <v>2.585</v>
      </c>
      <c r="H156" t="s">
        <v>5660</v>
      </c>
      <c r="I156" t="s">
        <v>5661</v>
      </c>
      <c r="J156">
        <v>3672610</v>
      </c>
      <c r="K156" t="s">
        <v>1943</v>
      </c>
      <c r="L156" t="s">
        <v>10</v>
      </c>
      <c r="M156" t="s">
        <v>785</v>
      </c>
      <c r="N156" t="s">
        <v>2278</v>
      </c>
    </row>
    <row r="157" spans="1:14" hidden="1" x14ac:dyDescent="0.25">
      <c r="A157" t="s">
        <v>5553</v>
      </c>
      <c r="B157">
        <v>296</v>
      </c>
      <c r="C157" t="s">
        <v>171</v>
      </c>
      <c r="D157">
        <v>1.2</v>
      </c>
      <c r="E157">
        <v>25.4</v>
      </c>
      <c r="F157">
        <v>0</v>
      </c>
      <c r="G157">
        <v>2.585</v>
      </c>
      <c r="H157" t="s">
        <v>5660</v>
      </c>
      <c r="I157" t="s">
        <v>5661</v>
      </c>
      <c r="J157">
        <v>3672610</v>
      </c>
      <c r="K157" t="s">
        <v>1943</v>
      </c>
      <c r="L157" t="s">
        <v>10</v>
      </c>
      <c r="M157" t="s">
        <v>785</v>
      </c>
      <c r="N157" t="s">
        <v>2278</v>
      </c>
    </row>
    <row r="158" spans="1:14" hidden="1" x14ac:dyDescent="0.25">
      <c r="A158" t="s">
        <v>5553</v>
      </c>
      <c r="B158">
        <v>1352</v>
      </c>
      <c r="C158" t="s">
        <v>171</v>
      </c>
      <c r="D158">
        <v>1.2</v>
      </c>
      <c r="E158">
        <v>25.4</v>
      </c>
      <c r="F158">
        <v>0</v>
      </c>
      <c r="G158">
        <v>2.585</v>
      </c>
      <c r="H158" t="s">
        <v>5660</v>
      </c>
      <c r="I158" t="s">
        <v>5661</v>
      </c>
      <c r="J158">
        <v>3672610</v>
      </c>
      <c r="K158" t="s">
        <v>1943</v>
      </c>
      <c r="L158" t="s">
        <v>10</v>
      </c>
      <c r="M158" t="s">
        <v>785</v>
      </c>
      <c r="N158" t="s">
        <v>2278</v>
      </c>
    </row>
    <row r="159" spans="1:14" hidden="1" x14ac:dyDescent="0.25">
      <c r="A159" t="s">
        <v>5553</v>
      </c>
      <c r="B159">
        <v>1457</v>
      </c>
      <c r="C159" t="s">
        <v>171</v>
      </c>
      <c r="D159">
        <v>1.2</v>
      </c>
      <c r="E159">
        <v>25.4</v>
      </c>
      <c r="F159">
        <v>0</v>
      </c>
      <c r="G159">
        <v>2.585</v>
      </c>
      <c r="H159" t="s">
        <v>5660</v>
      </c>
      <c r="I159" t="s">
        <v>5661</v>
      </c>
      <c r="J159">
        <v>3672610</v>
      </c>
      <c r="K159" t="s">
        <v>1943</v>
      </c>
      <c r="L159" t="s">
        <v>10</v>
      </c>
      <c r="M159" t="s">
        <v>785</v>
      </c>
      <c r="N159" t="s">
        <v>2278</v>
      </c>
    </row>
    <row r="160" spans="1:14" hidden="1" x14ac:dyDescent="0.25">
      <c r="A160" t="s">
        <v>5553</v>
      </c>
      <c r="B160">
        <v>1319</v>
      </c>
      <c r="C160" t="s">
        <v>171</v>
      </c>
      <c r="D160">
        <v>1.2</v>
      </c>
      <c r="E160">
        <v>25.4</v>
      </c>
      <c r="F160">
        <v>0</v>
      </c>
      <c r="G160">
        <v>2.585</v>
      </c>
      <c r="H160" t="s">
        <v>5660</v>
      </c>
      <c r="I160" t="s">
        <v>5661</v>
      </c>
      <c r="J160">
        <v>3672610</v>
      </c>
      <c r="K160" t="s">
        <v>1943</v>
      </c>
      <c r="L160" t="s">
        <v>10</v>
      </c>
      <c r="M160" t="s">
        <v>785</v>
      </c>
      <c r="N160" t="s">
        <v>2278</v>
      </c>
    </row>
    <row r="161" spans="1:14" hidden="1" x14ac:dyDescent="0.25">
      <c r="A161" t="s">
        <v>5553</v>
      </c>
      <c r="B161">
        <v>1518</v>
      </c>
      <c r="C161" t="s">
        <v>171</v>
      </c>
      <c r="D161">
        <v>1.2</v>
      </c>
      <c r="E161">
        <v>25.4</v>
      </c>
      <c r="F161">
        <v>0</v>
      </c>
      <c r="G161">
        <v>2.585</v>
      </c>
      <c r="H161" t="s">
        <v>5660</v>
      </c>
      <c r="I161" t="s">
        <v>5661</v>
      </c>
      <c r="J161">
        <v>3672610</v>
      </c>
      <c r="K161" t="s">
        <v>1943</v>
      </c>
      <c r="L161" t="s">
        <v>10</v>
      </c>
      <c r="M161" t="s">
        <v>785</v>
      </c>
      <c r="N161" t="s">
        <v>2278</v>
      </c>
    </row>
    <row r="162" spans="1:14" hidden="1" x14ac:dyDescent="0.25">
      <c r="A162" t="s">
        <v>5553</v>
      </c>
      <c r="B162">
        <v>1537</v>
      </c>
      <c r="C162" t="s">
        <v>171</v>
      </c>
      <c r="D162">
        <v>1.2</v>
      </c>
      <c r="E162">
        <v>25.4</v>
      </c>
      <c r="F162">
        <v>0</v>
      </c>
      <c r="G162">
        <v>2.585</v>
      </c>
      <c r="H162" t="s">
        <v>5660</v>
      </c>
      <c r="I162" t="s">
        <v>5661</v>
      </c>
      <c r="J162">
        <v>3672610</v>
      </c>
      <c r="K162" t="s">
        <v>1943</v>
      </c>
      <c r="L162" t="s">
        <v>10</v>
      </c>
      <c r="M162" t="s">
        <v>785</v>
      </c>
      <c r="N162" t="s">
        <v>2278</v>
      </c>
    </row>
    <row r="163" spans="1:14" hidden="1" x14ac:dyDescent="0.25">
      <c r="A163" t="s">
        <v>5553</v>
      </c>
      <c r="B163">
        <v>1635</v>
      </c>
      <c r="C163" t="s">
        <v>171</v>
      </c>
      <c r="D163">
        <v>1.2</v>
      </c>
      <c r="E163">
        <v>25.4</v>
      </c>
      <c r="F163">
        <v>0</v>
      </c>
      <c r="G163">
        <v>2.585</v>
      </c>
      <c r="H163" t="s">
        <v>5660</v>
      </c>
      <c r="I163" t="s">
        <v>5661</v>
      </c>
      <c r="J163">
        <v>3672610</v>
      </c>
      <c r="K163" t="s">
        <v>1943</v>
      </c>
      <c r="L163" t="s">
        <v>10</v>
      </c>
      <c r="M163" t="s">
        <v>785</v>
      </c>
      <c r="N163" t="s">
        <v>2278</v>
      </c>
    </row>
    <row r="164" spans="1:14" hidden="1" x14ac:dyDescent="0.25">
      <c r="A164" t="s">
        <v>5553</v>
      </c>
      <c r="B164">
        <v>1630</v>
      </c>
      <c r="C164" t="s">
        <v>171</v>
      </c>
      <c r="D164">
        <v>1.2</v>
      </c>
      <c r="E164">
        <v>25.4</v>
      </c>
      <c r="F164">
        <v>0</v>
      </c>
      <c r="G164">
        <v>2.585</v>
      </c>
      <c r="H164" t="s">
        <v>5660</v>
      </c>
      <c r="I164" t="s">
        <v>5661</v>
      </c>
      <c r="J164">
        <v>3672610</v>
      </c>
      <c r="K164" t="s">
        <v>1943</v>
      </c>
      <c r="L164" t="s">
        <v>10</v>
      </c>
      <c r="M164" t="s">
        <v>785</v>
      </c>
      <c r="N164" t="s">
        <v>2278</v>
      </c>
    </row>
    <row r="165" spans="1:14" x14ac:dyDescent="0.25">
      <c r="A165" t="s">
        <v>5553</v>
      </c>
      <c r="B165">
        <v>2412</v>
      </c>
      <c r="C165" t="s">
        <v>9</v>
      </c>
      <c r="D165">
        <v>1.6</v>
      </c>
      <c r="E165">
        <v>25.4</v>
      </c>
      <c r="F165">
        <v>0</v>
      </c>
      <c r="G165">
        <v>2.59</v>
      </c>
      <c r="H165" t="s">
        <v>5662</v>
      </c>
      <c r="I165" t="s">
        <v>5663</v>
      </c>
      <c r="J165">
        <v>2409618</v>
      </c>
      <c r="K165" t="s">
        <v>469</v>
      </c>
      <c r="L165" t="s">
        <v>10</v>
      </c>
      <c r="M165" t="s">
        <v>468</v>
      </c>
      <c r="N165" t="s">
        <v>470</v>
      </c>
    </row>
    <row r="166" spans="1:14" hidden="1" x14ac:dyDescent="0.25">
      <c r="A166" t="s">
        <v>5553</v>
      </c>
      <c r="B166">
        <v>477</v>
      </c>
      <c r="C166" t="s">
        <v>171</v>
      </c>
      <c r="D166">
        <v>1.63</v>
      </c>
      <c r="E166">
        <v>25.4</v>
      </c>
      <c r="F166">
        <v>0</v>
      </c>
      <c r="G166">
        <v>2.58</v>
      </c>
      <c r="H166" t="s">
        <v>5664</v>
      </c>
      <c r="I166" t="s">
        <v>5665</v>
      </c>
      <c r="J166">
        <v>3605861</v>
      </c>
      <c r="K166" t="s">
        <v>792</v>
      </c>
      <c r="L166" t="s">
        <v>10</v>
      </c>
      <c r="M166" t="s">
        <v>468</v>
      </c>
      <c r="N166" t="s">
        <v>793</v>
      </c>
    </row>
    <row r="167" spans="1:14" x14ac:dyDescent="0.25">
      <c r="A167" t="s">
        <v>5553</v>
      </c>
      <c r="B167">
        <v>757</v>
      </c>
      <c r="C167" t="s">
        <v>171</v>
      </c>
      <c r="D167">
        <v>1.63</v>
      </c>
      <c r="E167">
        <v>25.4</v>
      </c>
      <c r="F167">
        <v>0</v>
      </c>
      <c r="G167">
        <v>2.58</v>
      </c>
      <c r="H167" t="s">
        <v>5662</v>
      </c>
      <c r="I167" t="s">
        <v>5663</v>
      </c>
      <c r="J167">
        <v>3605861</v>
      </c>
      <c r="K167" t="s">
        <v>792</v>
      </c>
      <c r="L167" t="s">
        <v>10</v>
      </c>
      <c r="M167" t="s">
        <v>468</v>
      </c>
      <c r="N167" t="s">
        <v>793</v>
      </c>
    </row>
    <row r="168" spans="1:14" hidden="1" x14ac:dyDescent="0.25">
      <c r="A168" t="s">
        <v>5553</v>
      </c>
      <c r="B168">
        <v>613</v>
      </c>
      <c r="C168" t="s">
        <v>46</v>
      </c>
      <c r="D168">
        <v>2</v>
      </c>
      <c r="E168">
        <v>25.4</v>
      </c>
      <c r="F168">
        <v>0</v>
      </c>
      <c r="G168">
        <v>0.21299999999999999</v>
      </c>
      <c r="H168" t="s">
        <v>5666</v>
      </c>
      <c r="I168" t="s">
        <v>5667</v>
      </c>
      <c r="J168">
        <v>4229656</v>
      </c>
      <c r="K168" t="s">
        <v>5668</v>
      </c>
      <c r="L168" t="s">
        <v>10</v>
      </c>
      <c r="M168" t="s">
        <v>737</v>
      </c>
      <c r="N168" t="s">
        <v>4332</v>
      </c>
    </row>
    <row r="169" spans="1:14" hidden="1" x14ac:dyDescent="0.25">
      <c r="A169" t="s">
        <v>5553</v>
      </c>
      <c r="B169">
        <v>1279</v>
      </c>
      <c r="C169" t="s">
        <v>46</v>
      </c>
      <c r="D169">
        <v>2</v>
      </c>
      <c r="E169">
        <v>25.4</v>
      </c>
      <c r="F169">
        <v>0</v>
      </c>
      <c r="G169">
        <v>0.21299999999999999</v>
      </c>
      <c r="H169" t="s">
        <v>5666</v>
      </c>
      <c r="I169" t="s">
        <v>5667</v>
      </c>
      <c r="J169">
        <v>4229656</v>
      </c>
      <c r="K169" t="s">
        <v>5668</v>
      </c>
      <c r="L169" t="s">
        <v>10</v>
      </c>
      <c r="M169" t="s">
        <v>737</v>
      </c>
      <c r="N169" t="s">
        <v>4332</v>
      </c>
    </row>
    <row r="170" spans="1:14" hidden="1" x14ac:dyDescent="0.25">
      <c r="A170" t="s">
        <v>5553</v>
      </c>
      <c r="B170">
        <v>543</v>
      </c>
      <c r="C170" t="s">
        <v>166</v>
      </c>
      <c r="D170">
        <v>2</v>
      </c>
      <c r="E170">
        <v>25.4</v>
      </c>
      <c r="F170">
        <v>0</v>
      </c>
      <c r="G170">
        <v>0.28100000000000003</v>
      </c>
      <c r="H170" t="s">
        <v>5669</v>
      </c>
      <c r="I170" t="s">
        <v>5670</v>
      </c>
      <c r="J170">
        <v>1940584</v>
      </c>
      <c r="K170" t="s">
        <v>779</v>
      </c>
      <c r="L170" t="s">
        <v>10</v>
      </c>
      <c r="M170" t="s">
        <v>737</v>
      </c>
      <c r="N170" t="s">
        <v>780</v>
      </c>
    </row>
    <row r="171" spans="1:14" hidden="1" x14ac:dyDescent="0.25">
      <c r="A171" t="s">
        <v>5553</v>
      </c>
      <c r="B171">
        <v>325</v>
      </c>
      <c r="C171" t="s">
        <v>166</v>
      </c>
      <c r="D171">
        <v>2</v>
      </c>
      <c r="E171">
        <v>25.4</v>
      </c>
      <c r="F171">
        <v>0</v>
      </c>
      <c r="G171">
        <v>0.28100000000000003</v>
      </c>
      <c r="H171" t="s">
        <v>5669</v>
      </c>
      <c r="I171" t="s">
        <v>5670</v>
      </c>
      <c r="J171">
        <v>1940584</v>
      </c>
      <c r="K171" t="s">
        <v>779</v>
      </c>
      <c r="L171" t="s">
        <v>10</v>
      </c>
      <c r="M171" t="s">
        <v>737</v>
      </c>
      <c r="N171" t="s">
        <v>780</v>
      </c>
    </row>
    <row r="172" spans="1:14" hidden="1" x14ac:dyDescent="0.25">
      <c r="A172" t="s">
        <v>5553</v>
      </c>
      <c r="B172">
        <v>331</v>
      </c>
      <c r="C172" t="s">
        <v>166</v>
      </c>
      <c r="D172">
        <v>2</v>
      </c>
      <c r="E172">
        <v>25.4</v>
      </c>
      <c r="F172">
        <v>0</v>
      </c>
      <c r="G172">
        <v>0.28100000000000003</v>
      </c>
      <c r="H172" t="s">
        <v>5669</v>
      </c>
      <c r="I172" t="s">
        <v>5670</v>
      </c>
      <c r="J172">
        <v>1940584</v>
      </c>
      <c r="K172" t="s">
        <v>779</v>
      </c>
      <c r="L172" t="s">
        <v>10</v>
      </c>
      <c r="M172" t="s">
        <v>737</v>
      </c>
      <c r="N172" t="s">
        <v>780</v>
      </c>
    </row>
    <row r="173" spans="1:14" hidden="1" x14ac:dyDescent="0.25">
      <c r="A173" t="s">
        <v>5553</v>
      </c>
      <c r="B173">
        <v>2459</v>
      </c>
      <c r="C173" t="s">
        <v>166</v>
      </c>
      <c r="D173">
        <v>2</v>
      </c>
      <c r="E173">
        <v>25.4</v>
      </c>
      <c r="F173">
        <v>0</v>
      </c>
      <c r="G173">
        <v>0.28100000000000003</v>
      </c>
      <c r="H173" t="s">
        <v>5669</v>
      </c>
      <c r="I173" t="s">
        <v>5670</v>
      </c>
      <c r="J173">
        <v>1940584</v>
      </c>
      <c r="K173" t="s">
        <v>779</v>
      </c>
      <c r="L173" t="s">
        <v>10</v>
      </c>
      <c r="M173" t="s">
        <v>737</v>
      </c>
      <c r="N173" t="s">
        <v>780</v>
      </c>
    </row>
    <row r="174" spans="1:14" hidden="1" x14ac:dyDescent="0.25">
      <c r="A174" t="s">
        <v>5553</v>
      </c>
      <c r="B174">
        <v>2519</v>
      </c>
      <c r="C174" t="s">
        <v>166</v>
      </c>
      <c r="D174">
        <v>2</v>
      </c>
      <c r="E174">
        <v>25.4</v>
      </c>
      <c r="F174">
        <v>0</v>
      </c>
      <c r="G174">
        <v>0.28100000000000003</v>
      </c>
      <c r="H174" t="s">
        <v>5669</v>
      </c>
      <c r="I174" t="s">
        <v>5670</v>
      </c>
      <c r="J174">
        <v>1940584</v>
      </c>
      <c r="K174" t="s">
        <v>779</v>
      </c>
      <c r="L174" t="s">
        <v>10</v>
      </c>
      <c r="M174" t="s">
        <v>737</v>
      </c>
      <c r="N174" t="s">
        <v>780</v>
      </c>
    </row>
    <row r="175" spans="1:14" hidden="1" x14ac:dyDescent="0.25">
      <c r="A175" t="s">
        <v>5553</v>
      </c>
      <c r="B175">
        <v>2980</v>
      </c>
      <c r="C175" t="s">
        <v>171</v>
      </c>
      <c r="D175">
        <v>2</v>
      </c>
      <c r="E175">
        <v>25.4</v>
      </c>
      <c r="F175">
        <v>0</v>
      </c>
      <c r="G175">
        <v>0.28999999999999998</v>
      </c>
      <c r="H175" t="s">
        <v>5671</v>
      </c>
      <c r="I175" t="s">
        <v>5672</v>
      </c>
      <c r="J175">
        <v>4095223</v>
      </c>
      <c r="K175" t="s">
        <v>2317</v>
      </c>
      <c r="L175" t="s">
        <v>10</v>
      </c>
      <c r="M175" t="s">
        <v>1008</v>
      </c>
      <c r="N175" t="s">
        <v>2318</v>
      </c>
    </row>
    <row r="176" spans="1:14" hidden="1" x14ac:dyDescent="0.25">
      <c r="A176" t="s">
        <v>5553</v>
      </c>
      <c r="B176">
        <v>2580</v>
      </c>
      <c r="C176" t="s">
        <v>46</v>
      </c>
      <c r="D176">
        <v>2</v>
      </c>
      <c r="E176">
        <v>25.4</v>
      </c>
      <c r="F176">
        <v>0</v>
      </c>
      <c r="G176">
        <v>0.31</v>
      </c>
      <c r="H176" t="s">
        <v>5673</v>
      </c>
      <c r="I176" t="s">
        <v>5674</v>
      </c>
      <c r="J176">
        <v>4229655</v>
      </c>
      <c r="K176" t="s">
        <v>5675</v>
      </c>
      <c r="L176" t="s">
        <v>10</v>
      </c>
      <c r="M176" t="s">
        <v>1008</v>
      </c>
      <c r="N176" t="s">
        <v>4341</v>
      </c>
    </row>
    <row r="177" spans="1:14" hidden="1" x14ac:dyDescent="0.25">
      <c r="A177" t="s">
        <v>5553</v>
      </c>
      <c r="B177">
        <v>880</v>
      </c>
      <c r="C177" t="s">
        <v>159</v>
      </c>
      <c r="D177">
        <v>2</v>
      </c>
      <c r="E177">
        <v>25.4</v>
      </c>
      <c r="F177">
        <v>0</v>
      </c>
      <c r="G177">
        <v>0.35000000000000003</v>
      </c>
      <c r="H177" t="s">
        <v>5676</v>
      </c>
      <c r="I177" t="s">
        <v>5677</v>
      </c>
      <c r="J177">
        <v>3616911</v>
      </c>
      <c r="K177" t="s">
        <v>738</v>
      </c>
      <c r="L177" t="s">
        <v>10</v>
      </c>
      <c r="M177" t="s">
        <v>737</v>
      </c>
      <c r="N177" t="s">
        <v>739</v>
      </c>
    </row>
    <row r="178" spans="1:14" hidden="1" x14ac:dyDescent="0.25">
      <c r="A178" t="s">
        <v>5553</v>
      </c>
      <c r="B178">
        <v>422</v>
      </c>
      <c r="C178" t="s">
        <v>160</v>
      </c>
      <c r="D178">
        <v>2</v>
      </c>
      <c r="E178">
        <v>25.4</v>
      </c>
      <c r="F178">
        <v>0</v>
      </c>
      <c r="G178">
        <v>0.35500000000000004</v>
      </c>
      <c r="H178" t="s">
        <v>5678</v>
      </c>
      <c r="I178" t="s">
        <v>5679</v>
      </c>
      <c r="J178">
        <v>1940588</v>
      </c>
      <c r="K178" t="s">
        <v>797</v>
      </c>
      <c r="L178" t="s">
        <v>10</v>
      </c>
      <c r="M178" t="s">
        <v>737</v>
      </c>
      <c r="N178" t="s">
        <v>798</v>
      </c>
    </row>
    <row r="179" spans="1:14" hidden="1" x14ac:dyDescent="0.25">
      <c r="A179" t="s">
        <v>5553</v>
      </c>
      <c r="B179">
        <v>653</v>
      </c>
      <c r="C179" t="s">
        <v>46</v>
      </c>
      <c r="D179">
        <v>2</v>
      </c>
      <c r="E179">
        <v>25.4</v>
      </c>
      <c r="F179">
        <v>0</v>
      </c>
      <c r="G179">
        <v>0.35500000000000004</v>
      </c>
      <c r="H179" t="s">
        <v>5678</v>
      </c>
      <c r="I179" t="s">
        <v>5679</v>
      </c>
      <c r="J179">
        <v>1940588</v>
      </c>
      <c r="K179" t="s">
        <v>797</v>
      </c>
      <c r="L179" t="s">
        <v>10</v>
      </c>
      <c r="M179" t="s">
        <v>737</v>
      </c>
      <c r="N179" t="s">
        <v>798</v>
      </c>
    </row>
    <row r="180" spans="1:14" hidden="1" x14ac:dyDescent="0.25">
      <c r="A180" t="s">
        <v>5553</v>
      </c>
      <c r="B180">
        <v>2596</v>
      </c>
      <c r="C180" t="s">
        <v>170</v>
      </c>
      <c r="D180">
        <v>2</v>
      </c>
      <c r="E180">
        <v>25.4</v>
      </c>
      <c r="F180">
        <v>0</v>
      </c>
      <c r="G180">
        <v>0.35500000000000004</v>
      </c>
      <c r="H180" t="s">
        <v>5678</v>
      </c>
      <c r="I180" t="s">
        <v>5679</v>
      </c>
      <c r="J180">
        <v>1940588</v>
      </c>
      <c r="K180" t="s">
        <v>797</v>
      </c>
      <c r="L180" t="s">
        <v>10</v>
      </c>
      <c r="M180" t="s">
        <v>737</v>
      </c>
      <c r="N180" t="s">
        <v>798</v>
      </c>
    </row>
    <row r="181" spans="1:14" hidden="1" x14ac:dyDescent="0.25">
      <c r="A181" t="s">
        <v>5553</v>
      </c>
      <c r="B181">
        <v>3208</v>
      </c>
      <c r="C181" t="s">
        <v>160</v>
      </c>
      <c r="D181">
        <v>2</v>
      </c>
      <c r="E181">
        <v>25.4</v>
      </c>
      <c r="F181">
        <v>0</v>
      </c>
      <c r="G181">
        <v>0.35500000000000004</v>
      </c>
      <c r="H181" t="s">
        <v>5678</v>
      </c>
      <c r="I181" t="s">
        <v>5679</v>
      </c>
      <c r="J181">
        <v>1940588</v>
      </c>
      <c r="K181" t="s">
        <v>797</v>
      </c>
      <c r="L181" t="s">
        <v>10</v>
      </c>
      <c r="M181" t="s">
        <v>737</v>
      </c>
      <c r="N181" t="s">
        <v>798</v>
      </c>
    </row>
    <row r="182" spans="1:14" hidden="1" x14ac:dyDescent="0.25">
      <c r="A182" t="s">
        <v>5553</v>
      </c>
      <c r="B182">
        <v>1272</v>
      </c>
      <c r="C182" t="s">
        <v>46</v>
      </c>
      <c r="D182">
        <v>2</v>
      </c>
      <c r="E182">
        <v>25.4</v>
      </c>
      <c r="F182">
        <v>0</v>
      </c>
      <c r="G182">
        <v>0.35500000000000004</v>
      </c>
      <c r="H182" t="s">
        <v>5678</v>
      </c>
      <c r="I182" t="s">
        <v>5679</v>
      </c>
      <c r="J182">
        <v>1940588</v>
      </c>
      <c r="K182" t="s">
        <v>797</v>
      </c>
      <c r="L182" t="s">
        <v>10</v>
      </c>
      <c r="M182" t="s">
        <v>737</v>
      </c>
      <c r="N182" t="s">
        <v>798</v>
      </c>
    </row>
    <row r="183" spans="1:14" hidden="1" x14ac:dyDescent="0.25">
      <c r="A183" t="s">
        <v>5553</v>
      </c>
      <c r="B183">
        <v>1276</v>
      </c>
      <c r="C183" t="s">
        <v>46</v>
      </c>
      <c r="D183">
        <v>2</v>
      </c>
      <c r="E183">
        <v>25.4</v>
      </c>
      <c r="F183">
        <v>0</v>
      </c>
      <c r="G183">
        <v>0.35500000000000004</v>
      </c>
      <c r="H183" t="s">
        <v>5678</v>
      </c>
      <c r="I183" t="s">
        <v>5679</v>
      </c>
      <c r="J183">
        <v>1940588</v>
      </c>
      <c r="K183" t="s">
        <v>797</v>
      </c>
      <c r="L183" t="s">
        <v>10</v>
      </c>
      <c r="M183" t="s">
        <v>737</v>
      </c>
      <c r="N183" t="s">
        <v>798</v>
      </c>
    </row>
    <row r="184" spans="1:14" hidden="1" x14ac:dyDescent="0.25">
      <c r="A184" t="s">
        <v>5553</v>
      </c>
      <c r="B184">
        <v>1158</v>
      </c>
      <c r="C184" t="s">
        <v>46</v>
      </c>
      <c r="D184">
        <v>2</v>
      </c>
      <c r="E184">
        <v>25.4</v>
      </c>
      <c r="F184">
        <v>0</v>
      </c>
      <c r="G184">
        <v>0.35500000000000004</v>
      </c>
      <c r="H184" t="s">
        <v>5678</v>
      </c>
      <c r="I184" t="s">
        <v>5679</v>
      </c>
      <c r="J184">
        <v>1940588</v>
      </c>
      <c r="K184" t="s">
        <v>797</v>
      </c>
      <c r="L184" t="s">
        <v>10</v>
      </c>
      <c r="M184" t="s">
        <v>737</v>
      </c>
      <c r="N184" t="s">
        <v>798</v>
      </c>
    </row>
    <row r="185" spans="1:14" hidden="1" x14ac:dyDescent="0.25">
      <c r="A185" t="s">
        <v>5553</v>
      </c>
      <c r="B185">
        <v>712</v>
      </c>
      <c r="C185" t="s">
        <v>151</v>
      </c>
      <c r="D185">
        <v>2</v>
      </c>
      <c r="E185">
        <v>25.4</v>
      </c>
      <c r="F185">
        <v>0</v>
      </c>
      <c r="G185">
        <v>0.41199999999999998</v>
      </c>
      <c r="H185" t="s">
        <v>5671</v>
      </c>
      <c r="I185" t="s">
        <v>5672</v>
      </c>
      <c r="J185">
        <v>3863819</v>
      </c>
      <c r="K185" t="s">
        <v>802</v>
      </c>
      <c r="L185" t="s">
        <v>10</v>
      </c>
      <c r="M185" t="s">
        <v>737</v>
      </c>
      <c r="N185" t="s">
        <v>803</v>
      </c>
    </row>
    <row r="186" spans="1:14" hidden="1" x14ac:dyDescent="0.25">
      <c r="A186" t="s">
        <v>5553</v>
      </c>
      <c r="B186">
        <v>608</v>
      </c>
      <c r="C186" t="s">
        <v>151</v>
      </c>
      <c r="D186">
        <v>2</v>
      </c>
      <c r="E186">
        <v>25.4</v>
      </c>
      <c r="F186">
        <v>0</v>
      </c>
      <c r="G186">
        <v>0.41199999999999998</v>
      </c>
      <c r="H186" t="s">
        <v>5671</v>
      </c>
      <c r="I186" t="s">
        <v>5672</v>
      </c>
      <c r="J186">
        <v>3863819</v>
      </c>
      <c r="K186" t="s">
        <v>802</v>
      </c>
      <c r="L186" t="s">
        <v>10</v>
      </c>
      <c r="M186" t="s">
        <v>737</v>
      </c>
      <c r="N186" t="s">
        <v>803</v>
      </c>
    </row>
    <row r="187" spans="1:14" hidden="1" x14ac:dyDescent="0.25">
      <c r="A187" t="s">
        <v>5553</v>
      </c>
      <c r="B187">
        <v>1346</v>
      </c>
      <c r="C187" t="s">
        <v>151</v>
      </c>
      <c r="D187">
        <v>2</v>
      </c>
      <c r="E187">
        <v>25.4</v>
      </c>
      <c r="F187">
        <v>0</v>
      </c>
      <c r="G187">
        <v>0.41199999999999998</v>
      </c>
      <c r="H187" t="s">
        <v>5671</v>
      </c>
      <c r="I187" t="s">
        <v>5672</v>
      </c>
      <c r="J187">
        <v>3863819</v>
      </c>
      <c r="K187" t="s">
        <v>802</v>
      </c>
      <c r="L187" t="s">
        <v>10</v>
      </c>
      <c r="M187" t="s">
        <v>737</v>
      </c>
      <c r="N187" t="s">
        <v>803</v>
      </c>
    </row>
    <row r="188" spans="1:14" hidden="1" x14ac:dyDescent="0.25">
      <c r="A188" t="s">
        <v>5553</v>
      </c>
      <c r="B188">
        <v>766</v>
      </c>
      <c r="C188" t="s">
        <v>151</v>
      </c>
      <c r="D188">
        <v>2</v>
      </c>
      <c r="E188">
        <v>25.4</v>
      </c>
      <c r="F188">
        <v>0</v>
      </c>
      <c r="G188">
        <v>0.41199999999999998</v>
      </c>
      <c r="H188" t="s">
        <v>5671</v>
      </c>
      <c r="I188" t="s">
        <v>5672</v>
      </c>
      <c r="J188">
        <v>3863819</v>
      </c>
      <c r="K188" t="s">
        <v>802</v>
      </c>
      <c r="L188" t="s">
        <v>10</v>
      </c>
      <c r="M188" t="s">
        <v>737</v>
      </c>
      <c r="N188" t="s">
        <v>803</v>
      </c>
    </row>
    <row r="189" spans="1:14" hidden="1" x14ac:dyDescent="0.25">
      <c r="A189" t="s">
        <v>5553</v>
      </c>
      <c r="B189">
        <v>1360</v>
      </c>
      <c r="C189" t="s">
        <v>151</v>
      </c>
      <c r="D189">
        <v>2</v>
      </c>
      <c r="E189">
        <v>25.4</v>
      </c>
      <c r="F189">
        <v>0</v>
      </c>
      <c r="G189">
        <v>0.41199999999999998</v>
      </c>
      <c r="H189" t="s">
        <v>5671</v>
      </c>
      <c r="I189" t="s">
        <v>5672</v>
      </c>
      <c r="J189">
        <v>3863819</v>
      </c>
      <c r="K189" t="s">
        <v>802</v>
      </c>
      <c r="L189" t="s">
        <v>10</v>
      </c>
      <c r="M189" t="s">
        <v>737</v>
      </c>
      <c r="N189" t="s">
        <v>803</v>
      </c>
    </row>
    <row r="190" spans="1:14" hidden="1" x14ac:dyDescent="0.25">
      <c r="A190" t="s">
        <v>5553</v>
      </c>
      <c r="B190">
        <v>1605</v>
      </c>
      <c r="C190" t="s">
        <v>167</v>
      </c>
      <c r="D190">
        <v>2</v>
      </c>
      <c r="E190">
        <v>25.4</v>
      </c>
      <c r="F190">
        <v>0</v>
      </c>
      <c r="G190">
        <v>0.41799999999999998</v>
      </c>
      <c r="H190" t="s">
        <v>5680</v>
      </c>
      <c r="I190" t="s">
        <v>5681</v>
      </c>
      <c r="J190">
        <v>3926270</v>
      </c>
      <c r="K190" t="s">
        <v>804</v>
      </c>
      <c r="L190" t="s">
        <v>10</v>
      </c>
      <c r="M190" t="s">
        <v>737</v>
      </c>
      <c r="N190" t="s">
        <v>805</v>
      </c>
    </row>
    <row r="191" spans="1:14" hidden="1" x14ac:dyDescent="0.25">
      <c r="A191" t="s">
        <v>5553</v>
      </c>
      <c r="B191">
        <v>847</v>
      </c>
      <c r="C191" t="s">
        <v>164</v>
      </c>
      <c r="D191">
        <v>2.5</v>
      </c>
      <c r="E191">
        <v>25.4</v>
      </c>
      <c r="F191">
        <v>0</v>
      </c>
      <c r="G191">
        <v>0.27300000000000002</v>
      </c>
      <c r="H191" t="s">
        <v>5682</v>
      </c>
      <c r="I191" t="s">
        <v>5683</v>
      </c>
      <c r="J191">
        <v>4095196</v>
      </c>
      <c r="K191" t="s">
        <v>2230</v>
      </c>
      <c r="L191" t="s">
        <v>10</v>
      </c>
      <c r="M191" t="s">
        <v>810</v>
      </c>
      <c r="N191" t="s">
        <v>2231</v>
      </c>
    </row>
    <row r="192" spans="1:14" hidden="1" x14ac:dyDescent="0.25">
      <c r="A192" t="s">
        <v>5553</v>
      </c>
      <c r="B192">
        <v>435</v>
      </c>
      <c r="C192" t="s">
        <v>164</v>
      </c>
      <c r="D192">
        <v>2.5</v>
      </c>
      <c r="E192">
        <v>25.4</v>
      </c>
      <c r="F192">
        <v>0</v>
      </c>
      <c r="G192">
        <v>0.27300000000000002</v>
      </c>
      <c r="H192" t="s">
        <v>5682</v>
      </c>
      <c r="I192" t="s">
        <v>5683</v>
      </c>
      <c r="J192">
        <v>4095196</v>
      </c>
      <c r="K192" t="s">
        <v>2230</v>
      </c>
      <c r="L192" t="s">
        <v>10</v>
      </c>
      <c r="M192" t="s">
        <v>810</v>
      </c>
      <c r="N192" t="s">
        <v>2231</v>
      </c>
    </row>
    <row r="193" spans="1:14" hidden="1" x14ac:dyDescent="0.25">
      <c r="A193" t="s">
        <v>5553</v>
      </c>
      <c r="B193">
        <v>204</v>
      </c>
      <c r="C193" t="s">
        <v>167</v>
      </c>
      <c r="D193">
        <v>2.5</v>
      </c>
      <c r="E193">
        <v>25.4</v>
      </c>
      <c r="F193">
        <v>0</v>
      </c>
      <c r="G193">
        <v>0.78300000000000003</v>
      </c>
      <c r="H193" t="s">
        <v>5684</v>
      </c>
      <c r="I193" t="s">
        <v>5685</v>
      </c>
      <c r="J193">
        <v>3775636</v>
      </c>
      <c r="K193" t="s">
        <v>811</v>
      </c>
      <c r="L193" t="s">
        <v>10</v>
      </c>
      <c r="M193" t="s">
        <v>810</v>
      </c>
      <c r="N193" t="s">
        <v>812</v>
      </c>
    </row>
    <row r="194" spans="1:14" hidden="1" x14ac:dyDescent="0.25">
      <c r="A194" t="s">
        <v>5553</v>
      </c>
      <c r="B194">
        <v>1100</v>
      </c>
      <c r="C194" t="s">
        <v>167</v>
      </c>
      <c r="D194">
        <v>2.5</v>
      </c>
      <c r="E194">
        <v>25.4</v>
      </c>
      <c r="F194">
        <v>0</v>
      </c>
      <c r="G194">
        <v>0.78300000000000003</v>
      </c>
      <c r="H194" t="s">
        <v>5684</v>
      </c>
      <c r="I194" t="s">
        <v>5685</v>
      </c>
      <c r="J194">
        <v>3775636</v>
      </c>
      <c r="K194" t="s">
        <v>811</v>
      </c>
      <c r="L194" t="s">
        <v>10</v>
      </c>
      <c r="M194" t="s">
        <v>810</v>
      </c>
      <c r="N194" t="s">
        <v>812</v>
      </c>
    </row>
    <row r="195" spans="1:14" hidden="1" x14ac:dyDescent="0.25">
      <c r="A195" t="s">
        <v>5553</v>
      </c>
      <c r="B195">
        <v>700</v>
      </c>
      <c r="C195" t="s">
        <v>167</v>
      </c>
      <c r="D195">
        <v>2.5</v>
      </c>
      <c r="E195">
        <v>25.4</v>
      </c>
      <c r="F195">
        <v>0</v>
      </c>
      <c r="G195">
        <v>0.78300000000000003</v>
      </c>
      <c r="H195" t="s">
        <v>5684</v>
      </c>
      <c r="I195" t="s">
        <v>5685</v>
      </c>
      <c r="J195">
        <v>3775636</v>
      </c>
      <c r="K195" t="s">
        <v>811</v>
      </c>
      <c r="L195" t="s">
        <v>10</v>
      </c>
      <c r="M195" t="s">
        <v>810</v>
      </c>
      <c r="N195" t="s">
        <v>812</v>
      </c>
    </row>
    <row r="196" spans="1:14" hidden="1" x14ac:dyDescent="0.25">
      <c r="A196" t="s">
        <v>5553</v>
      </c>
      <c r="B196">
        <v>2340</v>
      </c>
      <c r="C196" t="s">
        <v>167</v>
      </c>
      <c r="D196">
        <v>2.5</v>
      </c>
      <c r="E196">
        <v>25.4</v>
      </c>
      <c r="F196">
        <v>0</v>
      </c>
      <c r="G196">
        <v>0.78300000000000003</v>
      </c>
      <c r="H196" t="s">
        <v>5684</v>
      </c>
      <c r="I196" t="s">
        <v>5685</v>
      </c>
      <c r="J196">
        <v>3775636</v>
      </c>
      <c r="K196" t="s">
        <v>811</v>
      </c>
      <c r="L196" t="s">
        <v>10</v>
      </c>
      <c r="M196" t="s">
        <v>810</v>
      </c>
      <c r="N196" t="s">
        <v>812</v>
      </c>
    </row>
    <row r="197" spans="1:14" hidden="1" x14ac:dyDescent="0.25">
      <c r="A197" t="s">
        <v>5553</v>
      </c>
      <c r="B197">
        <v>2591</v>
      </c>
      <c r="C197" t="s">
        <v>167</v>
      </c>
      <c r="D197">
        <v>2.5</v>
      </c>
      <c r="E197">
        <v>25.4</v>
      </c>
      <c r="F197">
        <v>0</v>
      </c>
      <c r="G197">
        <v>0.78300000000000003</v>
      </c>
      <c r="H197" t="s">
        <v>5684</v>
      </c>
      <c r="I197" t="s">
        <v>5685</v>
      </c>
      <c r="J197">
        <v>3775636</v>
      </c>
      <c r="K197" t="s">
        <v>811</v>
      </c>
      <c r="L197" t="s">
        <v>10</v>
      </c>
      <c r="M197" t="s">
        <v>810</v>
      </c>
      <c r="N197" t="s">
        <v>812</v>
      </c>
    </row>
    <row r="198" spans="1:14" hidden="1" x14ac:dyDescent="0.25">
      <c r="A198" t="s">
        <v>5553</v>
      </c>
      <c r="B198">
        <v>2546</v>
      </c>
      <c r="C198" t="s">
        <v>167</v>
      </c>
      <c r="D198">
        <v>2.5</v>
      </c>
      <c r="E198">
        <v>25.4</v>
      </c>
      <c r="F198">
        <v>0</v>
      </c>
      <c r="G198">
        <v>0.78300000000000003</v>
      </c>
      <c r="H198" t="s">
        <v>5684</v>
      </c>
      <c r="I198" t="s">
        <v>5685</v>
      </c>
      <c r="J198">
        <v>3775636</v>
      </c>
      <c r="K198" t="s">
        <v>811</v>
      </c>
      <c r="L198" t="s">
        <v>10</v>
      </c>
      <c r="M198" t="s">
        <v>810</v>
      </c>
      <c r="N198" t="s">
        <v>812</v>
      </c>
    </row>
    <row r="199" spans="1:14" hidden="1" x14ac:dyDescent="0.25">
      <c r="A199" t="s">
        <v>5553</v>
      </c>
      <c r="B199">
        <v>565</v>
      </c>
      <c r="C199" t="s">
        <v>167</v>
      </c>
      <c r="D199">
        <v>2.5</v>
      </c>
      <c r="E199">
        <v>25.4</v>
      </c>
      <c r="F199">
        <v>0</v>
      </c>
      <c r="G199">
        <v>0.78300000000000003</v>
      </c>
      <c r="H199" t="s">
        <v>5684</v>
      </c>
      <c r="I199" t="s">
        <v>5685</v>
      </c>
      <c r="J199">
        <v>3775636</v>
      </c>
      <c r="K199" t="s">
        <v>811</v>
      </c>
      <c r="L199" t="s">
        <v>10</v>
      </c>
      <c r="M199" t="s">
        <v>810</v>
      </c>
      <c r="N199" t="s">
        <v>812</v>
      </c>
    </row>
    <row r="200" spans="1:14" hidden="1" x14ac:dyDescent="0.25">
      <c r="A200" t="s">
        <v>5553</v>
      </c>
      <c r="B200">
        <v>583</v>
      </c>
      <c r="C200" t="s">
        <v>46</v>
      </c>
      <c r="D200">
        <v>2.6</v>
      </c>
      <c r="E200">
        <v>25.4</v>
      </c>
      <c r="F200">
        <v>0</v>
      </c>
      <c r="G200">
        <v>0.36</v>
      </c>
      <c r="H200" t="s">
        <v>5682</v>
      </c>
      <c r="I200" t="s">
        <v>5683</v>
      </c>
      <c r="J200">
        <v>1940603</v>
      </c>
      <c r="K200" t="s">
        <v>2066</v>
      </c>
      <c r="L200" t="s">
        <v>10</v>
      </c>
      <c r="M200" t="s">
        <v>810</v>
      </c>
      <c r="N200" t="s">
        <v>4432</v>
      </c>
    </row>
    <row r="201" spans="1:14" hidden="1" x14ac:dyDescent="0.25">
      <c r="A201" t="s">
        <v>5553</v>
      </c>
      <c r="B201">
        <v>650</v>
      </c>
      <c r="C201" t="s">
        <v>160</v>
      </c>
      <c r="D201">
        <v>1.2</v>
      </c>
      <c r="E201">
        <v>28.58</v>
      </c>
      <c r="F201">
        <v>0</v>
      </c>
      <c r="G201">
        <v>0.59499999999999997</v>
      </c>
      <c r="H201" t="s">
        <v>5686</v>
      </c>
      <c r="I201" t="s">
        <v>5687</v>
      </c>
      <c r="J201">
        <v>1940614</v>
      </c>
      <c r="K201" t="s">
        <v>693</v>
      </c>
      <c r="L201" t="s">
        <v>10</v>
      </c>
      <c r="M201" t="s">
        <v>692</v>
      </c>
      <c r="N201" t="s">
        <v>694</v>
      </c>
    </row>
    <row r="202" spans="1:14" hidden="1" x14ac:dyDescent="0.25">
      <c r="A202" t="s">
        <v>5553</v>
      </c>
      <c r="B202">
        <v>2300</v>
      </c>
      <c r="C202" t="s">
        <v>160</v>
      </c>
      <c r="D202">
        <v>1.2</v>
      </c>
      <c r="E202">
        <v>28.58</v>
      </c>
      <c r="F202">
        <v>0</v>
      </c>
      <c r="G202">
        <v>0.59499999999999997</v>
      </c>
      <c r="H202" t="s">
        <v>5686</v>
      </c>
      <c r="I202" t="s">
        <v>5687</v>
      </c>
      <c r="J202">
        <v>1940614</v>
      </c>
      <c r="K202" t="s">
        <v>693</v>
      </c>
      <c r="L202" t="s">
        <v>10</v>
      </c>
      <c r="M202" t="s">
        <v>692</v>
      </c>
      <c r="N202" t="s">
        <v>694</v>
      </c>
    </row>
    <row r="203" spans="1:14" hidden="1" x14ac:dyDescent="0.25">
      <c r="A203" t="s">
        <v>5553</v>
      </c>
      <c r="B203">
        <v>2320</v>
      </c>
      <c r="C203" t="s">
        <v>160</v>
      </c>
      <c r="D203">
        <v>1.2</v>
      </c>
      <c r="E203">
        <v>28.58</v>
      </c>
      <c r="F203">
        <v>0</v>
      </c>
      <c r="G203">
        <v>0.59499999999999997</v>
      </c>
      <c r="H203" t="s">
        <v>5686</v>
      </c>
      <c r="I203" t="s">
        <v>5687</v>
      </c>
      <c r="J203">
        <v>1940614</v>
      </c>
      <c r="K203" t="s">
        <v>693</v>
      </c>
      <c r="L203" t="s">
        <v>10</v>
      </c>
      <c r="M203" t="s">
        <v>692</v>
      </c>
      <c r="N203" t="s">
        <v>694</v>
      </c>
    </row>
    <row r="204" spans="1:14" hidden="1" x14ac:dyDescent="0.25">
      <c r="A204" t="s">
        <v>5553</v>
      </c>
      <c r="B204">
        <v>618</v>
      </c>
      <c r="C204" t="s">
        <v>151</v>
      </c>
      <c r="D204">
        <v>1.2</v>
      </c>
      <c r="E204">
        <v>28.58</v>
      </c>
      <c r="F204">
        <v>0</v>
      </c>
      <c r="G204">
        <v>0.61</v>
      </c>
      <c r="H204" t="s">
        <v>5688</v>
      </c>
      <c r="I204" t="s">
        <v>5689</v>
      </c>
      <c r="J204">
        <v>2331952</v>
      </c>
      <c r="K204" t="s">
        <v>2326</v>
      </c>
      <c r="L204" t="s">
        <v>10</v>
      </c>
      <c r="M204" t="s">
        <v>692</v>
      </c>
      <c r="N204" t="s">
        <v>2327</v>
      </c>
    </row>
    <row r="205" spans="1:14" hidden="1" x14ac:dyDescent="0.25">
      <c r="A205" t="s">
        <v>5553</v>
      </c>
      <c r="B205">
        <v>291</v>
      </c>
      <c r="C205" t="s">
        <v>170</v>
      </c>
      <c r="D205">
        <v>1.6</v>
      </c>
      <c r="E205">
        <v>28.58</v>
      </c>
      <c r="F205">
        <v>0</v>
      </c>
      <c r="G205">
        <v>0.215</v>
      </c>
      <c r="H205" t="s">
        <v>5690</v>
      </c>
      <c r="I205" t="s">
        <v>5691</v>
      </c>
      <c r="J205">
        <v>3727212</v>
      </c>
      <c r="K205" t="s">
        <v>669</v>
      </c>
      <c r="L205" t="s">
        <v>10</v>
      </c>
      <c r="M205" t="s">
        <v>664</v>
      </c>
      <c r="N205" t="s">
        <v>670</v>
      </c>
    </row>
    <row r="206" spans="1:14" hidden="1" x14ac:dyDescent="0.25">
      <c r="A206" t="s">
        <v>5553</v>
      </c>
      <c r="B206">
        <v>1666</v>
      </c>
      <c r="C206" t="s">
        <v>170</v>
      </c>
      <c r="D206">
        <v>1.6</v>
      </c>
      <c r="E206">
        <v>28.58</v>
      </c>
      <c r="F206">
        <v>0</v>
      </c>
      <c r="G206">
        <v>0.215</v>
      </c>
      <c r="H206" t="s">
        <v>5690</v>
      </c>
      <c r="I206" t="s">
        <v>5691</v>
      </c>
      <c r="J206">
        <v>3727212</v>
      </c>
      <c r="K206" t="s">
        <v>669</v>
      </c>
      <c r="L206" t="s">
        <v>10</v>
      </c>
      <c r="M206" t="s">
        <v>664</v>
      </c>
      <c r="N206" t="s">
        <v>670</v>
      </c>
    </row>
    <row r="207" spans="1:14" hidden="1" x14ac:dyDescent="0.25">
      <c r="A207" t="s">
        <v>5553</v>
      </c>
      <c r="B207">
        <v>1790</v>
      </c>
      <c r="C207" t="s">
        <v>170</v>
      </c>
      <c r="D207">
        <v>1.6</v>
      </c>
      <c r="E207">
        <v>28.58</v>
      </c>
      <c r="F207">
        <v>0</v>
      </c>
      <c r="G207">
        <v>0.215</v>
      </c>
      <c r="H207" t="s">
        <v>5690</v>
      </c>
      <c r="I207" t="s">
        <v>5691</v>
      </c>
      <c r="J207">
        <v>3727212</v>
      </c>
      <c r="K207" t="s">
        <v>669</v>
      </c>
      <c r="L207" t="s">
        <v>10</v>
      </c>
      <c r="M207" t="s">
        <v>664</v>
      </c>
      <c r="N207" t="s">
        <v>670</v>
      </c>
    </row>
    <row r="208" spans="1:14" hidden="1" x14ac:dyDescent="0.25">
      <c r="A208" t="s">
        <v>5553</v>
      </c>
      <c r="B208">
        <v>1451</v>
      </c>
      <c r="C208" t="s">
        <v>170</v>
      </c>
      <c r="D208">
        <v>1.6</v>
      </c>
      <c r="E208">
        <v>28.58</v>
      </c>
      <c r="F208">
        <v>0</v>
      </c>
      <c r="G208">
        <v>0.41399999999999998</v>
      </c>
      <c r="H208" t="s">
        <v>5692</v>
      </c>
      <c r="I208" t="s">
        <v>5693</v>
      </c>
      <c r="J208">
        <v>3598957</v>
      </c>
      <c r="K208" t="s">
        <v>665</v>
      </c>
      <c r="L208" t="s">
        <v>10</v>
      </c>
      <c r="M208" t="s">
        <v>664</v>
      </c>
      <c r="N208" t="s">
        <v>666</v>
      </c>
    </row>
    <row r="209" spans="1:14" hidden="1" x14ac:dyDescent="0.25">
      <c r="A209" t="s">
        <v>5553</v>
      </c>
      <c r="B209">
        <v>1558</v>
      </c>
      <c r="C209" t="s">
        <v>170</v>
      </c>
      <c r="D209">
        <v>1.6</v>
      </c>
      <c r="E209">
        <v>28.58</v>
      </c>
      <c r="F209">
        <v>0</v>
      </c>
      <c r="G209">
        <v>0.41399999999999998</v>
      </c>
      <c r="H209" t="s">
        <v>5692</v>
      </c>
      <c r="I209" t="s">
        <v>5693</v>
      </c>
      <c r="J209">
        <v>3598957</v>
      </c>
      <c r="K209" t="s">
        <v>665</v>
      </c>
      <c r="L209" t="s">
        <v>10</v>
      </c>
      <c r="M209" t="s">
        <v>664</v>
      </c>
      <c r="N209" t="s">
        <v>666</v>
      </c>
    </row>
    <row r="210" spans="1:14" hidden="1" x14ac:dyDescent="0.25">
      <c r="A210" t="s">
        <v>5553</v>
      </c>
      <c r="B210">
        <v>1774</v>
      </c>
      <c r="C210" t="s">
        <v>170</v>
      </c>
      <c r="D210">
        <v>1.6</v>
      </c>
      <c r="E210">
        <v>28.58</v>
      </c>
      <c r="F210">
        <v>0</v>
      </c>
      <c r="G210">
        <v>0.41399999999999998</v>
      </c>
      <c r="H210" t="s">
        <v>5692</v>
      </c>
      <c r="I210" t="s">
        <v>5693</v>
      </c>
      <c r="J210">
        <v>3598957</v>
      </c>
      <c r="K210" t="s">
        <v>665</v>
      </c>
      <c r="L210" t="s">
        <v>10</v>
      </c>
      <c r="M210" t="s">
        <v>664</v>
      </c>
      <c r="N210" t="s">
        <v>666</v>
      </c>
    </row>
    <row r="211" spans="1:14" hidden="1" x14ac:dyDescent="0.25">
      <c r="A211" t="s">
        <v>5553</v>
      </c>
      <c r="B211">
        <v>1766</v>
      </c>
      <c r="C211" t="s">
        <v>170</v>
      </c>
      <c r="D211">
        <v>1.6</v>
      </c>
      <c r="E211">
        <v>28.58</v>
      </c>
      <c r="F211">
        <v>0</v>
      </c>
      <c r="G211">
        <v>0.41399999999999998</v>
      </c>
      <c r="H211" t="s">
        <v>5692</v>
      </c>
      <c r="I211" t="s">
        <v>5693</v>
      </c>
      <c r="J211">
        <v>3598957</v>
      </c>
      <c r="K211" t="s">
        <v>665</v>
      </c>
      <c r="L211" t="s">
        <v>10</v>
      </c>
      <c r="M211" t="s">
        <v>664</v>
      </c>
      <c r="N211" t="s">
        <v>666</v>
      </c>
    </row>
    <row r="212" spans="1:14" hidden="1" x14ac:dyDescent="0.25">
      <c r="A212" t="s">
        <v>5553</v>
      </c>
      <c r="B212">
        <v>1694</v>
      </c>
      <c r="C212" t="s">
        <v>170</v>
      </c>
      <c r="D212">
        <v>1.6</v>
      </c>
      <c r="E212">
        <v>28.58</v>
      </c>
      <c r="F212">
        <v>0</v>
      </c>
      <c r="G212">
        <v>0.41399999999999998</v>
      </c>
      <c r="H212" t="s">
        <v>5692</v>
      </c>
      <c r="I212" t="s">
        <v>5693</v>
      </c>
      <c r="J212">
        <v>3598957</v>
      </c>
      <c r="K212" t="s">
        <v>665</v>
      </c>
      <c r="L212" t="s">
        <v>10</v>
      </c>
      <c r="M212" t="s">
        <v>664</v>
      </c>
      <c r="N212" t="s">
        <v>666</v>
      </c>
    </row>
    <row r="213" spans="1:14" hidden="1" x14ac:dyDescent="0.25">
      <c r="A213" t="s">
        <v>5553</v>
      </c>
      <c r="B213">
        <v>2920</v>
      </c>
      <c r="C213" t="s">
        <v>164</v>
      </c>
      <c r="D213">
        <v>2</v>
      </c>
      <c r="E213">
        <v>28.58</v>
      </c>
      <c r="F213">
        <v>0</v>
      </c>
      <c r="G213">
        <v>0.47499999999999998</v>
      </c>
      <c r="H213" t="s">
        <v>5694</v>
      </c>
      <c r="I213" t="s">
        <v>5695</v>
      </c>
      <c r="J213">
        <v>1940626</v>
      </c>
      <c r="K213" t="s">
        <v>583</v>
      </c>
      <c r="L213" t="s">
        <v>10</v>
      </c>
      <c r="M213" t="s">
        <v>582</v>
      </c>
      <c r="N213" t="s">
        <v>584</v>
      </c>
    </row>
    <row r="214" spans="1:14" hidden="1" x14ac:dyDescent="0.25">
      <c r="A214" t="s">
        <v>5553</v>
      </c>
      <c r="B214">
        <v>2890</v>
      </c>
      <c r="C214" t="s">
        <v>164</v>
      </c>
      <c r="D214">
        <v>2</v>
      </c>
      <c r="E214">
        <v>28.58</v>
      </c>
      <c r="F214">
        <v>0</v>
      </c>
      <c r="G214">
        <v>0.47499999999999998</v>
      </c>
      <c r="H214" t="s">
        <v>5694</v>
      </c>
      <c r="I214" t="s">
        <v>5695</v>
      </c>
      <c r="J214">
        <v>1940626</v>
      </c>
      <c r="K214" t="s">
        <v>583</v>
      </c>
      <c r="L214" t="s">
        <v>10</v>
      </c>
      <c r="M214" t="s">
        <v>582</v>
      </c>
      <c r="N214" t="s">
        <v>584</v>
      </c>
    </row>
    <row r="215" spans="1:14" hidden="1" x14ac:dyDescent="0.25">
      <c r="A215" t="s">
        <v>5553</v>
      </c>
      <c r="B215">
        <v>715</v>
      </c>
      <c r="C215" t="s">
        <v>164</v>
      </c>
      <c r="D215">
        <v>2</v>
      </c>
      <c r="E215">
        <v>28.58</v>
      </c>
      <c r="F215">
        <v>0</v>
      </c>
      <c r="G215">
        <v>0.47499999999999998</v>
      </c>
      <c r="H215" t="s">
        <v>5694</v>
      </c>
      <c r="I215" t="s">
        <v>5695</v>
      </c>
      <c r="J215">
        <v>1940626</v>
      </c>
      <c r="K215" t="s">
        <v>583</v>
      </c>
      <c r="L215" t="s">
        <v>10</v>
      </c>
      <c r="M215" t="s">
        <v>582</v>
      </c>
      <c r="N215" t="s">
        <v>584</v>
      </c>
    </row>
    <row r="216" spans="1:14" hidden="1" x14ac:dyDescent="0.25">
      <c r="A216" t="s">
        <v>5553</v>
      </c>
      <c r="B216">
        <v>1345</v>
      </c>
      <c r="C216" t="s">
        <v>164</v>
      </c>
      <c r="D216">
        <v>2</v>
      </c>
      <c r="E216">
        <v>28.58</v>
      </c>
      <c r="F216">
        <v>0</v>
      </c>
      <c r="G216">
        <v>0.47499999999999998</v>
      </c>
      <c r="H216" t="s">
        <v>5694</v>
      </c>
      <c r="I216" t="s">
        <v>5695</v>
      </c>
      <c r="J216">
        <v>1940626</v>
      </c>
      <c r="K216" t="s">
        <v>583</v>
      </c>
      <c r="L216" t="s">
        <v>10</v>
      </c>
      <c r="M216" t="s">
        <v>582</v>
      </c>
      <c r="N216" t="s">
        <v>584</v>
      </c>
    </row>
    <row r="217" spans="1:14" hidden="1" x14ac:dyDescent="0.25">
      <c r="A217" t="s">
        <v>5553</v>
      </c>
      <c r="B217">
        <v>1210</v>
      </c>
      <c r="C217" t="s">
        <v>60</v>
      </c>
      <c r="D217">
        <v>1.2</v>
      </c>
      <c r="E217">
        <v>30</v>
      </c>
      <c r="F217">
        <v>30</v>
      </c>
      <c r="G217">
        <v>0.14000000000000001</v>
      </c>
      <c r="H217" t="s">
        <v>5696</v>
      </c>
      <c r="I217" t="s">
        <v>5697</v>
      </c>
      <c r="J217">
        <v>3572045</v>
      </c>
      <c r="K217" t="s">
        <v>1592</v>
      </c>
      <c r="L217" t="s">
        <v>10</v>
      </c>
      <c r="M217" t="s">
        <v>549</v>
      </c>
      <c r="N217" t="s">
        <v>2333</v>
      </c>
    </row>
    <row r="218" spans="1:14" hidden="1" x14ac:dyDescent="0.25">
      <c r="A218" t="s">
        <v>5553</v>
      </c>
      <c r="B218">
        <v>530</v>
      </c>
      <c r="C218" t="s">
        <v>171</v>
      </c>
      <c r="D218">
        <v>1.2</v>
      </c>
      <c r="E218">
        <v>30</v>
      </c>
      <c r="F218">
        <v>30</v>
      </c>
      <c r="G218">
        <v>0.19</v>
      </c>
      <c r="H218" t="s">
        <v>5696</v>
      </c>
      <c r="I218" t="s">
        <v>5697</v>
      </c>
      <c r="J218">
        <v>4151424</v>
      </c>
      <c r="K218" t="s">
        <v>550</v>
      </c>
      <c r="L218" t="s">
        <v>10</v>
      </c>
      <c r="M218" t="s">
        <v>549</v>
      </c>
      <c r="N218" t="s">
        <v>551</v>
      </c>
    </row>
    <row r="219" spans="1:14" hidden="1" x14ac:dyDescent="0.25">
      <c r="A219" t="s">
        <v>5553</v>
      </c>
      <c r="B219">
        <v>1232</v>
      </c>
      <c r="C219" t="s">
        <v>60</v>
      </c>
      <c r="D219">
        <v>1.2</v>
      </c>
      <c r="E219">
        <v>30</v>
      </c>
      <c r="F219">
        <v>30</v>
      </c>
      <c r="G219">
        <v>0.19</v>
      </c>
      <c r="H219" t="s">
        <v>5696</v>
      </c>
      <c r="I219" t="s">
        <v>5697</v>
      </c>
      <c r="J219">
        <v>4151424</v>
      </c>
      <c r="K219" t="s">
        <v>550</v>
      </c>
      <c r="L219" t="s">
        <v>10</v>
      </c>
      <c r="M219" t="s">
        <v>549</v>
      </c>
      <c r="N219" t="s">
        <v>551</v>
      </c>
    </row>
    <row r="220" spans="1:14" hidden="1" x14ac:dyDescent="0.25">
      <c r="A220" t="s">
        <v>5553</v>
      </c>
      <c r="B220">
        <v>1245</v>
      </c>
      <c r="C220" t="s">
        <v>60</v>
      </c>
      <c r="D220">
        <v>1.2</v>
      </c>
      <c r="E220">
        <v>30</v>
      </c>
      <c r="F220">
        <v>30</v>
      </c>
      <c r="G220">
        <v>0.19</v>
      </c>
      <c r="H220" t="s">
        <v>5696</v>
      </c>
      <c r="I220" t="s">
        <v>5697</v>
      </c>
      <c r="J220">
        <v>4151424</v>
      </c>
      <c r="K220" t="s">
        <v>550</v>
      </c>
      <c r="L220" t="s">
        <v>10</v>
      </c>
      <c r="M220" t="s">
        <v>549</v>
      </c>
      <c r="N220" t="s">
        <v>551</v>
      </c>
    </row>
    <row r="221" spans="1:14" hidden="1" x14ac:dyDescent="0.25">
      <c r="A221" t="s">
        <v>5553</v>
      </c>
      <c r="B221">
        <v>1238</v>
      </c>
      <c r="C221" t="s">
        <v>60</v>
      </c>
      <c r="D221">
        <v>1.2</v>
      </c>
      <c r="E221">
        <v>30</v>
      </c>
      <c r="F221">
        <v>30</v>
      </c>
      <c r="G221">
        <v>0.19</v>
      </c>
      <c r="H221" t="s">
        <v>5696</v>
      </c>
      <c r="I221" t="s">
        <v>5697</v>
      </c>
      <c r="J221">
        <v>4151424</v>
      </c>
      <c r="K221" t="s">
        <v>550</v>
      </c>
      <c r="L221" t="s">
        <v>10</v>
      </c>
      <c r="M221" t="s">
        <v>549</v>
      </c>
      <c r="N221" t="s">
        <v>551</v>
      </c>
    </row>
    <row r="222" spans="1:14" hidden="1" x14ac:dyDescent="0.25">
      <c r="A222" t="s">
        <v>5553</v>
      </c>
      <c r="B222">
        <v>1245</v>
      </c>
      <c r="C222" t="s">
        <v>60</v>
      </c>
      <c r="D222">
        <v>1.2</v>
      </c>
      <c r="E222">
        <v>30</v>
      </c>
      <c r="F222">
        <v>30</v>
      </c>
      <c r="G222">
        <v>0.19</v>
      </c>
      <c r="H222" t="s">
        <v>5696</v>
      </c>
      <c r="I222" t="s">
        <v>5697</v>
      </c>
      <c r="J222">
        <v>4151424</v>
      </c>
      <c r="K222" t="s">
        <v>550</v>
      </c>
      <c r="L222" t="s">
        <v>10</v>
      </c>
      <c r="M222" t="s">
        <v>549</v>
      </c>
      <c r="N222" t="s">
        <v>551</v>
      </c>
    </row>
    <row r="223" spans="1:14" hidden="1" x14ac:dyDescent="0.25">
      <c r="A223" t="s">
        <v>5553</v>
      </c>
      <c r="B223">
        <v>1251</v>
      </c>
      <c r="C223" t="s">
        <v>60</v>
      </c>
      <c r="D223">
        <v>1.2</v>
      </c>
      <c r="E223">
        <v>30</v>
      </c>
      <c r="F223">
        <v>30</v>
      </c>
      <c r="G223">
        <v>0.19</v>
      </c>
      <c r="H223" t="s">
        <v>5696</v>
      </c>
      <c r="I223" t="s">
        <v>5697</v>
      </c>
      <c r="J223">
        <v>4151424</v>
      </c>
      <c r="K223" t="s">
        <v>550</v>
      </c>
      <c r="L223" t="s">
        <v>10</v>
      </c>
      <c r="M223" t="s">
        <v>549</v>
      </c>
      <c r="N223" t="s">
        <v>551</v>
      </c>
    </row>
    <row r="224" spans="1:14" hidden="1" x14ac:dyDescent="0.25">
      <c r="A224" t="s">
        <v>5553</v>
      </c>
      <c r="B224">
        <v>1245</v>
      </c>
      <c r="C224" t="s">
        <v>60</v>
      </c>
      <c r="D224">
        <v>1.2</v>
      </c>
      <c r="E224">
        <v>30</v>
      </c>
      <c r="F224">
        <v>30</v>
      </c>
      <c r="G224">
        <v>0.19</v>
      </c>
      <c r="H224" t="s">
        <v>5696</v>
      </c>
      <c r="I224" t="s">
        <v>5697</v>
      </c>
      <c r="J224">
        <v>4151424</v>
      </c>
      <c r="K224" t="s">
        <v>550</v>
      </c>
      <c r="L224" t="s">
        <v>10</v>
      </c>
      <c r="M224" t="s">
        <v>549</v>
      </c>
      <c r="N224" t="s">
        <v>551</v>
      </c>
    </row>
    <row r="225" spans="1:14" hidden="1" x14ac:dyDescent="0.25">
      <c r="A225" t="s">
        <v>5553</v>
      </c>
      <c r="B225">
        <v>1245</v>
      </c>
      <c r="C225" t="s">
        <v>60</v>
      </c>
      <c r="D225">
        <v>1.2</v>
      </c>
      <c r="E225">
        <v>30</v>
      </c>
      <c r="F225">
        <v>30</v>
      </c>
      <c r="G225">
        <v>0.19</v>
      </c>
      <c r="H225" t="s">
        <v>5696</v>
      </c>
      <c r="I225" t="s">
        <v>5697</v>
      </c>
      <c r="J225">
        <v>4151424</v>
      </c>
      <c r="K225" t="s">
        <v>550</v>
      </c>
      <c r="L225" t="s">
        <v>10</v>
      </c>
      <c r="M225" t="s">
        <v>549</v>
      </c>
      <c r="N225" t="s">
        <v>551</v>
      </c>
    </row>
    <row r="226" spans="1:14" hidden="1" x14ac:dyDescent="0.25">
      <c r="A226" t="s">
        <v>5553</v>
      </c>
      <c r="B226">
        <v>1214</v>
      </c>
      <c r="C226" t="s">
        <v>60</v>
      </c>
      <c r="D226">
        <v>1.2</v>
      </c>
      <c r="E226">
        <v>30</v>
      </c>
      <c r="F226">
        <v>30</v>
      </c>
      <c r="G226">
        <v>0.19</v>
      </c>
      <c r="H226" t="s">
        <v>5696</v>
      </c>
      <c r="I226" t="s">
        <v>5697</v>
      </c>
      <c r="J226">
        <v>4151424</v>
      </c>
      <c r="K226" t="s">
        <v>550</v>
      </c>
      <c r="L226" t="s">
        <v>10</v>
      </c>
      <c r="M226" t="s">
        <v>549</v>
      </c>
      <c r="N226" t="s">
        <v>551</v>
      </c>
    </row>
    <row r="227" spans="1:14" hidden="1" x14ac:dyDescent="0.25">
      <c r="A227" t="s">
        <v>5553</v>
      </c>
      <c r="B227">
        <v>1210</v>
      </c>
      <c r="C227" t="s">
        <v>60</v>
      </c>
      <c r="D227">
        <v>1.2</v>
      </c>
      <c r="E227">
        <v>30</v>
      </c>
      <c r="F227">
        <v>30</v>
      </c>
      <c r="G227">
        <v>0.19</v>
      </c>
      <c r="H227" t="s">
        <v>5696</v>
      </c>
      <c r="I227" t="s">
        <v>5697</v>
      </c>
      <c r="J227">
        <v>4151424</v>
      </c>
      <c r="K227" t="s">
        <v>550</v>
      </c>
      <c r="L227" t="s">
        <v>10</v>
      </c>
      <c r="M227" t="s">
        <v>549</v>
      </c>
      <c r="N227" t="s">
        <v>551</v>
      </c>
    </row>
    <row r="228" spans="1:14" hidden="1" x14ac:dyDescent="0.25">
      <c r="A228" t="s">
        <v>5553</v>
      </c>
      <c r="B228">
        <v>936</v>
      </c>
      <c r="C228" t="s">
        <v>171</v>
      </c>
      <c r="D228">
        <v>1.2</v>
      </c>
      <c r="E228">
        <v>30</v>
      </c>
      <c r="F228">
        <v>30</v>
      </c>
      <c r="G228">
        <v>0.22</v>
      </c>
      <c r="H228" t="s">
        <v>5696</v>
      </c>
      <c r="I228" t="s">
        <v>5697</v>
      </c>
      <c r="J228">
        <v>3230495</v>
      </c>
      <c r="K228" t="s">
        <v>629</v>
      </c>
      <c r="L228" t="s">
        <v>10</v>
      </c>
      <c r="M228" t="s">
        <v>549</v>
      </c>
      <c r="N228" t="s">
        <v>630</v>
      </c>
    </row>
    <row r="229" spans="1:14" hidden="1" x14ac:dyDescent="0.25">
      <c r="A229" t="s">
        <v>5553</v>
      </c>
      <c r="B229">
        <v>2325</v>
      </c>
      <c r="C229" t="s">
        <v>171</v>
      </c>
      <c r="D229">
        <v>1.2</v>
      </c>
      <c r="E229">
        <v>30</v>
      </c>
      <c r="F229">
        <v>30</v>
      </c>
      <c r="G229">
        <v>0.22</v>
      </c>
      <c r="H229" t="s">
        <v>5696</v>
      </c>
      <c r="I229" t="s">
        <v>5697</v>
      </c>
      <c r="J229">
        <v>3230495</v>
      </c>
      <c r="K229" t="s">
        <v>629</v>
      </c>
      <c r="L229" t="s">
        <v>10</v>
      </c>
      <c r="M229" t="s">
        <v>549</v>
      </c>
      <c r="N229" t="s">
        <v>630</v>
      </c>
    </row>
    <row r="230" spans="1:14" hidden="1" x14ac:dyDescent="0.25">
      <c r="A230" t="s">
        <v>5553</v>
      </c>
      <c r="B230">
        <v>1235</v>
      </c>
      <c r="C230" t="s">
        <v>171</v>
      </c>
      <c r="D230">
        <v>1.2</v>
      </c>
      <c r="E230">
        <v>30</v>
      </c>
      <c r="F230">
        <v>30</v>
      </c>
      <c r="G230">
        <v>0.22</v>
      </c>
      <c r="H230" t="s">
        <v>5696</v>
      </c>
      <c r="I230" t="s">
        <v>5697</v>
      </c>
      <c r="J230">
        <v>3230495</v>
      </c>
      <c r="K230" t="s">
        <v>629</v>
      </c>
      <c r="L230" t="s">
        <v>10</v>
      </c>
      <c r="M230" t="s">
        <v>549</v>
      </c>
      <c r="N230" t="s">
        <v>630</v>
      </c>
    </row>
    <row r="231" spans="1:14" hidden="1" x14ac:dyDescent="0.25">
      <c r="A231" t="s">
        <v>5553</v>
      </c>
      <c r="B231">
        <v>1190</v>
      </c>
      <c r="C231" t="s">
        <v>171</v>
      </c>
      <c r="D231">
        <v>1.2</v>
      </c>
      <c r="E231">
        <v>30</v>
      </c>
      <c r="F231">
        <v>30</v>
      </c>
      <c r="G231">
        <v>0.22</v>
      </c>
      <c r="H231" t="s">
        <v>5696</v>
      </c>
      <c r="I231" t="s">
        <v>5697</v>
      </c>
      <c r="J231">
        <v>3230495</v>
      </c>
      <c r="K231" t="s">
        <v>629</v>
      </c>
      <c r="L231" t="s">
        <v>10</v>
      </c>
      <c r="M231" t="s">
        <v>549</v>
      </c>
      <c r="N231" t="s">
        <v>630</v>
      </c>
    </row>
    <row r="232" spans="1:14" hidden="1" x14ac:dyDescent="0.25">
      <c r="A232" t="s">
        <v>5553</v>
      </c>
      <c r="B232">
        <v>1200</v>
      </c>
      <c r="C232" t="s">
        <v>171</v>
      </c>
      <c r="D232">
        <v>1.2</v>
      </c>
      <c r="E232">
        <v>30</v>
      </c>
      <c r="F232">
        <v>30</v>
      </c>
      <c r="G232">
        <v>0.22</v>
      </c>
      <c r="H232" t="s">
        <v>5696</v>
      </c>
      <c r="I232" t="s">
        <v>5697</v>
      </c>
      <c r="J232">
        <v>3230495</v>
      </c>
      <c r="K232" t="s">
        <v>629</v>
      </c>
      <c r="L232" t="s">
        <v>10</v>
      </c>
      <c r="M232" t="s">
        <v>549</v>
      </c>
      <c r="N232" t="s">
        <v>630</v>
      </c>
    </row>
    <row r="233" spans="1:14" hidden="1" x14ac:dyDescent="0.25">
      <c r="A233" t="s">
        <v>5553</v>
      </c>
      <c r="B233">
        <v>1041</v>
      </c>
      <c r="C233" t="s">
        <v>171</v>
      </c>
      <c r="D233">
        <v>1.2</v>
      </c>
      <c r="E233">
        <v>30</v>
      </c>
      <c r="F233">
        <v>30</v>
      </c>
      <c r="G233">
        <v>0.22</v>
      </c>
      <c r="H233" t="s">
        <v>5696</v>
      </c>
      <c r="I233" t="s">
        <v>5697</v>
      </c>
      <c r="J233">
        <v>3230495</v>
      </c>
      <c r="K233" t="s">
        <v>629</v>
      </c>
      <c r="L233" t="s">
        <v>10</v>
      </c>
      <c r="M233" t="s">
        <v>549</v>
      </c>
      <c r="N233" t="s">
        <v>630</v>
      </c>
    </row>
    <row r="234" spans="1:14" hidden="1" x14ac:dyDescent="0.25">
      <c r="A234" t="s">
        <v>5553</v>
      </c>
      <c r="B234">
        <v>1110</v>
      </c>
      <c r="C234" t="s">
        <v>171</v>
      </c>
      <c r="D234">
        <v>1.2</v>
      </c>
      <c r="E234">
        <v>30</v>
      </c>
      <c r="F234">
        <v>30</v>
      </c>
      <c r="G234">
        <v>0.22</v>
      </c>
      <c r="H234" t="s">
        <v>5696</v>
      </c>
      <c r="I234" t="s">
        <v>5697</v>
      </c>
      <c r="J234">
        <v>3230495</v>
      </c>
      <c r="K234" t="s">
        <v>629</v>
      </c>
      <c r="L234" t="s">
        <v>10</v>
      </c>
      <c r="M234" t="s">
        <v>549</v>
      </c>
      <c r="N234" t="s">
        <v>630</v>
      </c>
    </row>
    <row r="235" spans="1:14" hidden="1" x14ac:dyDescent="0.25">
      <c r="A235" t="s">
        <v>5553</v>
      </c>
      <c r="B235">
        <v>1040</v>
      </c>
      <c r="C235" t="s">
        <v>171</v>
      </c>
      <c r="D235">
        <v>1.2</v>
      </c>
      <c r="E235">
        <v>30</v>
      </c>
      <c r="F235">
        <v>30</v>
      </c>
      <c r="G235">
        <v>0.22</v>
      </c>
      <c r="H235" t="s">
        <v>5696</v>
      </c>
      <c r="I235" t="s">
        <v>5697</v>
      </c>
      <c r="J235">
        <v>3230495</v>
      </c>
      <c r="K235" t="s">
        <v>629</v>
      </c>
      <c r="L235" t="s">
        <v>10</v>
      </c>
      <c r="M235" t="s">
        <v>549</v>
      </c>
      <c r="N235" t="s">
        <v>630</v>
      </c>
    </row>
    <row r="236" spans="1:14" hidden="1" x14ac:dyDescent="0.25">
      <c r="A236" t="s">
        <v>5553</v>
      </c>
      <c r="B236">
        <v>1030</v>
      </c>
      <c r="C236" t="s">
        <v>160</v>
      </c>
      <c r="D236">
        <v>1.6</v>
      </c>
      <c r="E236">
        <v>31.75</v>
      </c>
      <c r="F236">
        <v>0</v>
      </c>
      <c r="G236">
        <v>0.65800000000000003</v>
      </c>
      <c r="H236" t="s">
        <v>5698</v>
      </c>
      <c r="I236" t="s">
        <v>5699</v>
      </c>
      <c r="J236">
        <v>3715133</v>
      </c>
      <c r="K236" t="s">
        <v>2084</v>
      </c>
      <c r="L236" t="s">
        <v>10</v>
      </c>
      <c r="M236" t="s">
        <v>1028</v>
      </c>
      <c r="N236" t="s">
        <v>2325</v>
      </c>
    </row>
    <row r="237" spans="1:14" hidden="1" x14ac:dyDescent="0.25">
      <c r="A237" t="s">
        <v>5553</v>
      </c>
      <c r="B237">
        <v>931</v>
      </c>
      <c r="C237" t="s">
        <v>160</v>
      </c>
      <c r="D237">
        <v>1.6</v>
      </c>
      <c r="E237">
        <v>31.75</v>
      </c>
      <c r="F237">
        <v>0</v>
      </c>
      <c r="G237">
        <v>0.65800000000000003</v>
      </c>
      <c r="H237" t="s">
        <v>5698</v>
      </c>
      <c r="I237" t="s">
        <v>5699</v>
      </c>
      <c r="J237">
        <v>3715133</v>
      </c>
      <c r="K237" t="s">
        <v>2084</v>
      </c>
      <c r="L237" t="s">
        <v>10</v>
      </c>
      <c r="M237" t="s">
        <v>1028</v>
      </c>
      <c r="N237" t="s">
        <v>2325</v>
      </c>
    </row>
    <row r="238" spans="1:14" hidden="1" x14ac:dyDescent="0.25">
      <c r="A238" t="s">
        <v>5553</v>
      </c>
      <c r="B238">
        <v>1145</v>
      </c>
      <c r="C238" t="s">
        <v>39</v>
      </c>
      <c r="D238">
        <v>1.6</v>
      </c>
      <c r="E238">
        <v>38.1</v>
      </c>
      <c r="F238">
        <v>0</v>
      </c>
      <c r="G238">
        <v>0.878</v>
      </c>
      <c r="H238" t="s">
        <v>5700</v>
      </c>
      <c r="I238" t="s">
        <v>5701</v>
      </c>
      <c r="J238">
        <v>3768904</v>
      </c>
      <c r="K238" t="s">
        <v>1644</v>
      </c>
      <c r="L238" t="s">
        <v>10</v>
      </c>
      <c r="M238" t="s">
        <v>1045</v>
      </c>
      <c r="N238" t="s">
        <v>4695</v>
      </c>
    </row>
    <row r="239" spans="1:14" hidden="1" x14ac:dyDescent="0.25">
      <c r="A239" t="s">
        <v>5553</v>
      </c>
      <c r="B239">
        <v>1159</v>
      </c>
      <c r="C239" t="s">
        <v>39</v>
      </c>
      <c r="D239">
        <v>1.6</v>
      </c>
      <c r="E239">
        <v>38.1</v>
      </c>
      <c r="F239">
        <v>0</v>
      </c>
      <c r="G239">
        <v>0.878</v>
      </c>
      <c r="H239" t="s">
        <v>5700</v>
      </c>
      <c r="I239" t="s">
        <v>5701</v>
      </c>
      <c r="J239">
        <v>3768904</v>
      </c>
      <c r="K239" t="s">
        <v>1644</v>
      </c>
      <c r="L239" t="s">
        <v>10</v>
      </c>
      <c r="M239" t="s">
        <v>1045</v>
      </c>
      <c r="N239" t="s">
        <v>4695</v>
      </c>
    </row>
    <row r="240" spans="1:14" hidden="1" x14ac:dyDescent="0.25">
      <c r="A240" t="s">
        <v>5553</v>
      </c>
      <c r="B240">
        <v>838</v>
      </c>
      <c r="C240" t="s">
        <v>39</v>
      </c>
      <c r="D240">
        <v>1.6</v>
      </c>
      <c r="E240">
        <v>38.1</v>
      </c>
      <c r="F240">
        <v>0</v>
      </c>
      <c r="G240">
        <v>0.878</v>
      </c>
      <c r="H240" t="s">
        <v>5700</v>
      </c>
      <c r="I240" t="s">
        <v>5701</v>
      </c>
      <c r="J240">
        <v>3768904</v>
      </c>
      <c r="K240" t="s">
        <v>1644</v>
      </c>
      <c r="L240" t="s">
        <v>10</v>
      </c>
      <c r="M240" t="s">
        <v>1045</v>
      </c>
      <c r="N240" t="s">
        <v>4695</v>
      </c>
    </row>
    <row r="241" spans="1:14" hidden="1" x14ac:dyDescent="0.25">
      <c r="A241" t="s">
        <v>5553</v>
      </c>
      <c r="B241">
        <v>515</v>
      </c>
      <c r="C241" t="s">
        <v>151</v>
      </c>
      <c r="D241">
        <v>2</v>
      </c>
      <c r="E241">
        <v>38.1</v>
      </c>
      <c r="F241">
        <v>0</v>
      </c>
      <c r="G241">
        <v>0.40600000000000003</v>
      </c>
      <c r="H241" t="s">
        <v>5702</v>
      </c>
      <c r="I241" t="s">
        <v>5703</v>
      </c>
      <c r="J241">
        <v>3509030</v>
      </c>
      <c r="K241" t="s">
        <v>1991</v>
      </c>
      <c r="L241" t="s">
        <v>10</v>
      </c>
      <c r="M241" t="s">
        <v>860</v>
      </c>
      <c r="N241" t="s">
        <v>2375</v>
      </c>
    </row>
    <row r="242" spans="1:14" hidden="1" x14ac:dyDescent="0.25">
      <c r="A242" t="s">
        <v>5553</v>
      </c>
      <c r="B242">
        <v>1272</v>
      </c>
      <c r="C242" t="s">
        <v>167</v>
      </c>
      <c r="D242">
        <v>2</v>
      </c>
      <c r="E242">
        <v>38.1</v>
      </c>
      <c r="F242">
        <v>0</v>
      </c>
      <c r="G242">
        <v>0.41</v>
      </c>
      <c r="H242" t="s">
        <v>5704</v>
      </c>
      <c r="I242" t="s">
        <v>5705</v>
      </c>
      <c r="J242">
        <v>3508742</v>
      </c>
      <c r="K242" t="s">
        <v>861</v>
      </c>
      <c r="L242" t="s">
        <v>10</v>
      </c>
      <c r="M242" t="s">
        <v>860</v>
      </c>
      <c r="N242" t="s">
        <v>862</v>
      </c>
    </row>
    <row r="243" spans="1:14" hidden="1" x14ac:dyDescent="0.25">
      <c r="A243" t="s">
        <v>5553</v>
      </c>
      <c r="B243">
        <v>208</v>
      </c>
      <c r="C243" t="s">
        <v>160</v>
      </c>
      <c r="D243">
        <v>2</v>
      </c>
      <c r="E243">
        <v>38.1</v>
      </c>
      <c r="F243">
        <v>0</v>
      </c>
      <c r="G243">
        <v>0.432</v>
      </c>
      <c r="H243" t="s">
        <v>5706</v>
      </c>
      <c r="I243" t="s">
        <v>5707</v>
      </c>
      <c r="J243">
        <v>1903849</v>
      </c>
      <c r="K243" t="s">
        <v>865</v>
      </c>
      <c r="L243" t="s">
        <v>10</v>
      </c>
      <c r="M243" t="s">
        <v>860</v>
      </c>
      <c r="N243" t="s">
        <v>866</v>
      </c>
    </row>
    <row r="244" spans="1:14" hidden="1" x14ac:dyDescent="0.25">
      <c r="A244" t="s">
        <v>5553</v>
      </c>
      <c r="B244">
        <v>141</v>
      </c>
      <c r="C244" t="s">
        <v>39</v>
      </c>
      <c r="D244">
        <v>2</v>
      </c>
      <c r="E244">
        <v>38.1</v>
      </c>
      <c r="F244">
        <v>0</v>
      </c>
      <c r="G244">
        <v>0.93</v>
      </c>
      <c r="H244" t="s">
        <v>5708</v>
      </c>
      <c r="I244" t="s">
        <v>5709</v>
      </c>
      <c r="J244">
        <v>3191748</v>
      </c>
      <c r="K244" t="s">
        <v>1961</v>
      </c>
      <c r="L244" t="s">
        <v>10</v>
      </c>
      <c r="M244" t="s">
        <v>4742</v>
      </c>
      <c r="N244" t="s">
        <v>4743</v>
      </c>
    </row>
    <row r="245" spans="1:14" hidden="1" x14ac:dyDescent="0.25">
      <c r="A245" t="s">
        <v>5553</v>
      </c>
      <c r="B245">
        <v>142</v>
      </c>
      <c r="C245" t="s">
        <v>39</v>
      </c>
      <c r="D245">
        <v>2</v>
      </c>
      <c r="E245">
        <v>38.1</v>
      </c>
      <c r="F245">
        <v>0</v>
      </c>
      <c r="G245">
        <v>0.93</v>
      </c>
      <c r="H245" t="s">
        <v>5708</v>
      </c>
      <c r="I245" t="s">
        <v>5709</v>
      </c>
      <c r="J245">
        <v>3191748</v>
      </c>
      <c r="K245" t="s">
        <v>1961</v>
      </c>
      <c r="L245" t="s">
        <v>10</v>
      </c>
      <c r="M245" t="s">
        <v>4742</v>
      </c>
      <c r="N245" t="s">
        <v>4743</v>
      </c>
    </row>
    <row r="246" spans="1:14" hidden="1" x14ac:dyDescent="0.25">
      <c r="A246" t="s">
        <v>5553</v>
      </c>
      <c r="B246">
        <v>959</v>
      </c>
      <c r="C246" t="s">
        <v>60</v>
      </c>
      <c r="D246">
        <v>1.2</v>
      </c>
      <c r="E246">
        <v>40</v>
      </c>
      <c r="F246">
        <v>20</v>
      </c>
      <c r="G246">
        <v>9.5000000000000001E-2</v>
      </c>
      <c r="H246" t="s">
        <v>5710</v>
      </c>
      <c r="I246" t="s">
        <v>5711</v>
      </c>
      <c r="J246">
        <v>3938688</v>
      </c>
      <c r="K246" t="s">
        <v>2294</v>
      </c>
      <c r="L246" t="s">
        <v>10</v>
      </c>
      <c r="M246" t="s">
        <v>456</v>
      </c>
      <c r="N246" t="s">
        <v>2295</v>
      </c>
    </row>
    <row r="247" spans="1:14" hidden="1" x14ac:dyDescent="0.25">
      <c r="A247" t="s">
        <v>5553</v>
      </c>
      <c r="B247">
        <v>689</v>
      </c>
      <c r="C247" t="s">
        <v>60</v>
      </c>
      <c r="D247">
        <v>1.2</v>
      </c>
      <c r="E247">
        <v>40</v>
      </c>
      <c r="F247">
        <v>20</v>
      </c>
      <c r="G247">
        <v>0.11</v>
      </c>
      <c r="H247" t="s">
        <v>5712</v>
      </c>
      <c r="I247" t="s">
        <v>5713</v>
      </c>
      <c r="J247">
        <v>3572047</v>
      </c>
      <c r="K247" t="s">
        <v>492</v>
      </c>
      <c r="L247" t="s">
        <v>10</v>
      </c>
      <c r="M247" t="s">
        <v>456</v>
      </c>
      <c r="N247" t="s">
        <v>493</v>
      </c>
    </row>
    <row r="248" spans="1:14" hidden="1" x14ac:dyDescent="0.25">
      <c r="A248" t="s">
        <v>5553</v>
      </c>
      <c r="B248">
        <v>806</v>
      </c>
      <c r="C248" t="s">
        <v>60</v>
      </c>
      <c r="D248">
        <v>1.2</v>
      </c>
      <c r="E248">
        <v>40</v>
      </c>
      <c r="F248">
        <v>20</v>
      </c>
      <c r="G248">
        <v>0.11</v>
      </c>
      <c r="H248" t="s">
        <v>5712</v>
      </c>
      <c r="I248" t="s">
        <v>5713</v>
      </c>
      <c r="J248">
        <v>3572047</v>
      </c>
      <c r="K248" t="s">
        <v>492</v>
      </c>
      <c r="L248" t="s">
        <v>10</v>
      </c>
      <c r="M248" t="s">
        <v>456</v>
      </c>
      <c r="N248" t="s">
        <v>493</v>
      </c>
    </row>
    <row r="249" spans="1:14" hidden="1" x14ac:dyDescent="0.25">
      <c r="A249" t="s">
        <v>5553</v>
      </c>
      <c r="B249">
        <v>1123</v>
      </c>
      <c r="C249" t="s">
        <v>60</v>
      </c>
      <c r="D249">
        <v>1.2</v>
      </c>
      <c r="E249">
        <v>40</v>
      </c>
      <c r="F249">
        <v>20</v>
      </c>
      <c r="G249">
        <v>0.755</v>
      </c>
      <c r="H249" t="s">
        <v>5714</v>
      </c>
      <c r="I249" t="s">
        <v>5715</v>
      </c>
      <c r="J249">
        <v>4151472</v>
      </c>
      <c r="K249" t="s">
        <v>488</v>
      </c>
      <c r="L249" t="s">
        <v>10</v>
      </c>
      <c r="M249" t="s">
        <v>456</v>
      </c>
      <c r="N249" t="s">
        <v>489</v>
      </c>
    </row>
    <row r="250" spans="1:14" hidden="1" x14ac:dyDescent="0.25">
      <c r="A250" t="s">
        <v>5553</v>
      </c>
      <c r="B250">
        <v>1236</v>
      </c>
      <c r="C250" t="s">
        <v>60</v>
      </c>
      <c r="D250">
        <v>1.2</v>
      </c>
      <c r="E250">
        <v>40</v>
      </c>
      <c r="F250">
        <v>20</v>
      </c>
      <c r="G250">
        <v>0.755</v>
      </c>
      <c r="H250" t="s">
        <v>5714</v>
      </c>
      <c r="I250" t="s">
        <v>5715</v>
      </c>
      <c r="J250">
        <v>4151472</v>
      </c>
      <c r="K250" t="s">
        <v>488</v>
      </c>
      <c r="L250" t="s">
        <v>10</v>
      </c>
      <c r="M250" t="s">
        <v>456</v>
      </c>
      <c r="N250" t="s">
        <v>489</v>
      </c>
    </row>
    <row r="251" spans="1:14" hidden="1" x14ac:dyDescent="0.25">
      <c r="A251" t="s">
        <v>5553</v>
      </c>
      <c r="B251">
        <v>2340</v>
      </c>
      <c r="C251" t="s">
        <v>60</v>
      </c>
      <c r="D251">
        <v>1.2</v>
      </c>
      <c r="E251">
        <v>40</v>
      </c>
      <c r="F251">
        <v>20</v>
      </c>
      <c r="G251">
        <v>0.755</v>
      </c>
      <c r="H251" t="s">
        <v>5714</v>
      </c>
      <c r="I251" t="s">
        <v>5715</v>
      </c>
      <c r="J251">
        <v>4151472</v>
      </c>
      <c r="K251" t="s">
        <v>488</v>
      </c>
      <c r="L251" t="s">
        <v>10</v>
      </c>
      <c r="M251" t="s">
        <v>456</v>
      </c>
      <c r="N251" t="s">
        <v>489</v>
      </c>
    </row>
    <row r="252" spans="1:14" hidden="1" x14ac:dyDescent="0.25">
      <c r="A252" t="s">
        <v>5553</v>
      </c>
      <c r="B252">
        <v>2426</v>
      </c>
      <c r="C252" t="s">
        <v>60</v>
      </c>
      <c r="D252">
        <v>1.2</v>
      </c>
      <c r="E252">
        <v>40</v>
      </c>
      <c r="F252">
        <v>20</v>
      </c>
      <c r="G252">
        <v>0.755</v>
      </c>
      <c r="H252" t="s">
        <v>5714</v>
      </c>
      <c r="I252" t="s">
        <v>5715</v>
      </c>
      <c r="J252">
        <v>4151472</v>
      </c>
      <c r="K252" t="s">
        <v>488</v>
      </c>
      <c r="L252" t="s">
        <v>10</v>
      </c>
      <c r="M252" t="s">
        <v>456</v>
      </c>
      <c r="N252" t="s">
        <v>489</v>
      </c>
    </row>
    <row r="253" spans="1:14" hidden="1" x14ac:dyDescent="0.25">
      <c r="A253" t="s">
        <v>5553</v>
      </c>
      <c r="B253">
        <v>2372</v>
      </c>
      <c r="C253" t="s">
        <v>60</v>
      </c>
      <c r="D253">
        <v>1.2</v>
      </c>
      <c r="E253">
        <v>40</v>
      </c>
      <c r="F253">
        <v>20</v>
      </c>
      <c r="G253">
        <v>0.755</v>
      </c>
      <c r="H253" t="s">
        <v>5714</v>
      </c>
      <c r="I253" t="s">
        <v>5715</v>
      </c>
      <c r="J253">
        <v>4151472</v>
      </c>
      <c r="K253" t="s">
        <v>488</v>
      </c>
      <c r="L253" t="s">
        <v>10</v>
      </c>
      <c r="M253" t="s">
        <v>456</v>
      </c>
      <c r="N253" t="s">
        <v>489</v>
      </c>
    </row>
    <row r="254" spans="1:14" hidden="1" x14ac:dyDescent="0.25">
      <c r="A254" t="s">
        <v>5553</v>
      </c>
      <c r="B254">
        <v>2372</v>
      </c>
      <c r="C254" t="s">
        <v>60</v>
      </c>
      <c r="D254">
        <v>1.2</v>
      </c>
      <c r="E254">
        <v>40</v>
      </c>
      <c r="F254">
        <v>20</v>
      </c>
      <c r="G254">
        <v>0.755</v>
      </c>
      <c r="H254" t="s">
        <v>5714</v>
      </c>
      <c r="I254" t="s">
        <v>5715</v>
      </c>
      <c r="J254">
        <v>4151472</v>
      </c>
      <c r="K254" t="s">
        <v>488</v>
      </c>
      <c r="L254" t="s">
        <v>10</v>
      </c>
      <c r="M254" t="s">
        <v>456</v>
      </c>
      <c r="N254" t="s">
        <v>489</v>
      </c>
    </row>
    <row r="255" spans="1:14" hidden="1" x14ac:dyDescent="0.25">
      <c r="A255" t="s">
        <v>5553</v>
      </c>
      <c r="B255">
        <v>2339</v>
      </c>
      <c r="C255" t="s">
        <v>60</v>
      </c>
      <c r="D255">
        <v>1.2</v>
      </c>
      <c r="E255">
        <v>40</v>
      </c>
      <c r="F255">
        <v>20</v>
      </c>
      <c r="G255">
        <v>0.755</v>
      </c>
      <c r="H255" t="s">
        <v>5714</v>
      </c>
      <c r="I255" t="s">
        <v>5715</v>
      </c>
      <c r="J255">
        <v>4151472</v>
      </c>
      <c r="K255" t="s">
        <v>488</v>
      </c>
      <c r="L255" t="s">
        <v>10</v>
      </c>
      <c r="M255" t="s">
        <v>456</v>
      </c>
      <c r="N255" t="s">
        <v>489</v>
      </c>
    </row>
    <row r="256" spans="1:14" hidden="1" x14ac:dyDescent="0.25">
      <c r="A256" t="s">
        <v>5553</v>
      </c>
      <c r="B256">
        <v>1270</v>
      </c>
      <c r="C256" t="s">
        <v>60</v>
      </c>
      <c r="D256">
        <v>1.2</v>
      </c>
      <c r="E256">
        <v>40</v>
      </c>
      <c r="F256">
        <v>20</v>
      </c>
      <c r="G256">
        <v>0.755</v>
      </c>
      <c r="H256" t="s">
        <v>5714</v>
      </c>
      <c r="I256" t="s">
        <v>5715</v>
      </c>
      <c r="J256">
        <v>4151472</v>
      </c>
      <c r="K256" t="s">
        <v>488</v>
      </c>
      <c r="L256" t="s">
        <v>10</v>
      </c>
      <c r="M256" t="s">
        <v>456</v>
      </c>
      <c r="N256" t="s">
        <v>489</v>
      </c>
    </row>
    <row r="257" spans="1:14" hidden="1" x14ac:dyDescent="0.25">
      <c r="A257" t="s">
        <v>5553</v>
      </c>
      <c r="B257">
        <v>1270</v>
      </c>
      <c r="C257" t="s">
        <v>60</v>
      </c>
      <c r="D257">
        <v>1.2</v>
      </c>
      <c r="E257">
        <v>40</v>
      </c>
      <c r="F257">
        <v>20</v>
      </c>
      <c r="G257">
        <v>0.755</v>
      </c>
      <c r="H257" t="s">
        <v>5714</v>
      </c>
      <c r="I257" t="s">
        <v>5715</v>
      </c>
      <c r="J257">
        <v>4151472</v>
      </c>
      <c r="K257" t="s">
        <v>488</v>
      </c>
      <c r="L257" t="s">
        <v>10</v>
      </c>
      <c r="M257" t="s">
        <v>456</v>
      </c>
      <c r="N257" t="s">
        <v>489</v>
      </c>
    </row>
    <row r="258" spans="1:14" hidden="1" x14ac:dyDescent="0.25">
      <c r="A258" t="s">
        <v>5553</v>
      </c>
      <c r="B258">
        <v>1283</v>
      </c>
      <c r="C258" t="s">
        <v>60</v>
      </c>
      <c r="D258">
        <v>1.2</v>
      </c>
      <c r="E258">
        <v>40</v>
      </c>
      <c r="F258">
        <v>20</v>
      </c>
      <c r="G258">
        <v>0.755</v>
      </c>
      <c r="H258" t="s">
        <v>5714</v>
      </c>
      <c r="I258" t="s">
        <v>5715</v>
      </c>
      <c r="J258">
        <v>4151472</v>
      </c>
      <c r="K258" t="s">
        <v>488</v>
      </c>
      <c r="L258" t="s">
        <v>10</v>
      </c>
      <c r="M258" t="s">
        <v>456</v>
      </c>
      <c r="N258" t="s">
        <v>489</v>
      </c>
    </row>
    <row r="259" spans="1:14" hidden="1" x14ac:dyDescent="0.25">
      <c r="A259" t="s">
        <v>5553</v>
      </c>
      <c r="B259">
        <v>2180</v>
      </c>
      <c r="C259" t="s">
        <v>60</v>
      </c>
      <c r="D259">
        <v>1.2</v>
      </c>
      <c r="E259">
        <v>40</v>
      </c>
      <c r="F259">
        <v>20</v>
      </c>
      <c r="G259">
        <v>0.755</v>
      </c>
      <c r="H259" t="s">
        <v>5714</v>
      </c>
      <c r="I259" t="s">
        <v>5715</v>
      </c>
      <c r="J259">
        <v>4151472</v>
      </c>
      <c r="K259" t="s">
        <v>488</v>
      </c>
      <c r="L259" t="s">
        <v>10</v>
      </c>
      <c r="M259" t="s">
        <v>456</v>
      </c>
      <c r="N259" t="s">
        <v>489</v>
      </c>
    </row>
    <row r="260" spans="1:14" hidden="1" x14ac:dyDescent="0.25">
      <c r="A260" t="s">
        <v>5553</v>
      </c>
      <c r="B260">
        <v>1857</v>
      </c>
      <c r="C260" t="s">
        <v>60</v>
      </c>
      <c r="D260">
        <v>1.2</v>
      </c>
      <c r="E260">
        <v>40</v>
      </c>
      <c r="F260">
        <v>20</v>
      </c>
      <c r="G260">
        <v>0.755</v>
      </c>
      <c r="H260" t="s">
        <v>5714</v>
      </c>
      <c r="I260" t="s">
        <v>5715</v>
      </c>
      <c r="J260">
        <v>4151472</v>
      </c>
      <c r="K260" t="s">
        <v>488</v>
      </c>
      <c r="L260" t="s">
        <v>10</v>
      </c>
      <c r="M260" t="s">
        <v>456</v>
      </c>
      <c r="N260" t="s">
        <v>489</v>
      </c>
    </row>
    <row r="261" spans="1:14" hidden="1" x14ac:dyDescent="0.25">
      <c r="A261" t="s">
        <v>5553</v>
      </c>
      <c r="B261">
        <v>1800</v>
      </c>
      <c r="C261" t="s">
        <v>60</v>
      </c>
      <c r="D261">
        <v>1.2</v>
      </c>
      <c r="E261">
        <v>40</v>
      </c>
      <c r="F261">
        <v>20</v>
      </c>
      <c r="G261">
        <v>0.755</v>
      </c>
      <c r="H261" t="s">
        <v>5714</v>
      </c>
      <c r="I261" t="s">
        <v>5715</v>
      </c>
      <c r="J261">
        <v>4151472</v>
      </c>
      <c r="K261" t="s">
        <v>488</v>
      </c>
      <c r="L261" t="s">
        <v>10</v>
      </c>
      <c r="M261" t="s">
        <v>456</v>
      </c>
      <c r="N261" t="s">
        <v>489</v>
      </c>
    </row>
    <row r="262" spans="1:14" hidden="1" x14ac:dyDescent="0.25">
      <c r="A262" t="s">
        <v>5553</v>
      </c>
      <c r="B262">
        <v>5</v>
      </c>
      <c r="C262" t="s">
        <v>171</v>
      </c>
      <c r="D262">
        <v>1.2</v>
      </c>
      <c r="E262">
        <v>40</v>
      </c>
      <c r="F262">
        <v>20</v>
      </c>
      <c r="G262">
        <v>0.86</v>
      </c>
      <c r="H262" t="s">
        <v>5714</v>
      </c>
      <c r="I262" t="s">
        <v>5715</v>
      </c>
      <c r="J262">
        <v>3572051</v>
      </c>
      <c r="K262" t="s">
        <v>484</v>
      </c>
      <c r="L262" t="s">
        <v>10</v>
      </c>
      <c r="M262" t="s">
        <v>456</v>
      </c>
      <c r="N262" t="s">
        <v>485</v>
      </c>
    </row>
    <row r="263" spans="1:14" hidden="1" x14ac:dyDescent="0.25">
      <c r="A263" t="s">
        <v>5553</v>
      </c>
      <c r="B263">
        <v>2002</v>
      </c>
      <c r="C263" t="s">
        <v>60</v>
      </c>
      <c r="D263">
        <v>1.2</v>
      </c>
      <c r="E263">
        <v>40</v>
      </c>
      <c r="F263">
        <v>20</v>
      </c>
      <c r="G263">
        <v>0.86</v>
      </c>
      <c r="H263" t="s">
        <v>5714</v>
      </c>
      <c r="I263" t="s">
        <v>5715</v>
      </c>
      <c r="J263">
        <v>3572051</v>
      </c>
      <c r="K263" t="s">
        <v>484</v>
      </c>
      <c r="L263" t="s">
        <v>10</v>
      </c>
      <c r="M263" t="s">
        <v>456</v>
      </c>
      <c r="N263" t="s">
        <v>485</v>
      </c>
    </row>
    <row r="264" spans="1:14" hidden="1" x14ac:dyDescent="0.25">
      <c r="A264" t="s">
        <v>5553</v>
      </c>
      <c r="B264">
        <v>2212</v>
      </c>
      <c r="C264" t="s">
        <v>60</v>
      </c>
      <c r="D264">
        <v>1.2</v>
      </c>
      <c r="E264">
        <v>40</v>
      </c>
      <c r="F264">
        <v>20</v>
      </c>
      <c r="G264">
        <v>0.86</v>
      </c>
      <c r="H264" t="s">
        <v>5714</v>
      </c>
      <c r="I264" t="s">
        <v>5715</v>
      </c>
      <c r="J264">
        <v>3572051</v>
      </c>
      <c r="K264" t="s">
        <v>484</v>
      </c>
      <c r="L264" t="s">
        <v>10</v>
      </c>
      <c r="M264" t="s">
        <v>456</v>
      </c>
      <c r="N264" t="s">
        <v>485</v>
      </c>
    </row>
    <row r="265" spans="1:14" hidden="1" x14ac:dyDescent="0.25">
      <c r="A265" t="s">
        <v>5553</v>
      </c>
      <c r="B265">
        <v>2098</v>
      </c>
      <c r="C265" t="s">
        <v>60</v>
      </c>
      <c r="D265">
        <v>1.2</v>
      </c>
      <c r="E265">
        <v>40</v>
      </c>
      <c r="F265">
        <v>20</v>
      </c>
      <c r="G265">
        <v>0.86</v>
      </c>
      <c r="H265" t="s">
        <v>5714</v>
      </c>
      <c r="I265" t="s">
        <v>5715</v>
      </c>
      <c r="J265">
        <v>3572051</v>
      </c>
      <c r="K265" t="s">
        <v>484</v>
      </c>
      <c r="L265" t="s">
        <v>10</v>
      </c>
      <c r="M265" t="s">
        <v>456</v>
      </c>
      <c r="N265" t="s">
        <v>485</v>
      </c>
    </row>
    <row r="266" spans="1:14" hidden="1" x14ac:dyDescent="0.25">
      <c r="A266" t="s">
        <v>5553</v>
      </c>
      <c r="B266">
        <v>2046</v>
      </c>
      <c r="C266" t="s">
        <v>60</v>
      </c>
      <c r="D266">
        <v>1.2</v>
      </c>
      <c r="E266">
        <v>40</v>
      </c>
      <c r="F266">
        <v>20</v>
      </c>
      <c r="G266">
        <v>0.86</v>
      </c>
      <c r="H266" t="s">
        <v>5714</v>
      </c>
      <c r="I266" t="s">
        <v>5715</v>
      </c>
      <c r="J266">
        <v>3572051</v>
      </c>
      <c r="K266" t="s">
        <v>484</v>
      </c>
      <c r="L266" t="s">
        <v>10</v>
      </c>
      <c r="M266" t="s">
        <v>456</v>
      </c>
      <c r="N266" t="s">
        <v>485</v>
      </c>
    </row>
    <row r="267" spans="1:14" hidden="1" x14ac:dyDescent="0.25">
      <c r="A267" t="s">
        <v>5553</v>
      </c>
      <c r="B267">
        <v>1950</v>
      </c>
      <c r="C267" t="s">
        <v>60</v>
      </c>
      <c r="D267">
        <v>1.2</v>
      </c>
      <c r="E267">
        <v>40</v>
      </c>
      <c r="F267">
        <v>20</v>
      </c>
      <c r="G267">
        <v>0.86</v>
      </c>
      <c r="H267" t="s">
        <v>5714</v>
      </c>
      <c r="I267" t="s">
        <v>5715</v>
      </c>
      <c r="J267">
        <v>3572051</v>
      </c>
      <c r="K267" t="s">
        <v>484</v>
      </c>
      <c r="L267" t="s">
        <v>10</v>
      </c>
      <c r="M267" t="s">
        <v>456</v>
      </c>
      <c r="N267" t="s">
        <v>485</v>
      </c>
    </row>
    <row r="268" spans="1:14" hidden="1" x14ac:dyDescent="0.25">
      <c r="A268" t="s">
        <v>5553</v>
      </c>
      <c r="B268">
        <v>1907</v>
      </c>
      <c r="C268" t="s">
        <v>60</v>
      </c>
      <c r="D268">
        <v>1.2</v>
      </c>
      <c r="E268">
        <v>40</v>
      </c>
      <c r="F268">
        <v>20</v>
      </c>
      <c r="G268">
        <v>0.86</v>
      </c>
      <c r="H268" t="s">
        <v>5714</v>
      </c>
      <c r="I268" t="s">
        <v>5715</v>
      </c>
      <c r="J268">
        <v>3572051</v>
      </c>
      <c r="K268" t="s">
        <v>484</v>
      </c>
      <c r="L268" t="s">
        <v>10</v>
      </c>
      <c r="M268" t="s">
        <v>456</v>
      </c>
      <c r="N268" t="s">
        <v>485</v>
      </c>
    </row>
    <row r="269" spans="1:14" hidden="1" x14ac:dyDescent="0.25">
      <c r="A269" t="s">
        <v>5553</v>
      </c>
      <c r="B269">
        <v>1850</v>
      </c>
      <c r="C269" t="s">
        <v>60</v>
      </c>
      <c r="D269">
        <v>1.2</v>
      </c>
      <c r="E269">
        <v>40</v>
      </c>
      <c r="F269">
        <v>20</v>
      </c>
      <c r="G269">
        <v>0.86</v>
      </c>
      <c r="H269" t="s">
        <v>5714</v>
      </c>
      <c r="I269" t="s">
        <v>5715</v>
      </c>
      <c r="J269">
        <v>3572051</v>
      </c>
      <c r="K269" t="s">
        <v>484</v>
      </c>
      <c r="L269" t="s">
        <v>10</v>
      </c>
      <c r="M269" t="s">
        <v>456</v>
      </c>
      <c r="N269" t="s">
        <v>485</v>
      </c>
    </row>
    <row r="270" spans="1:14" hidden="1" x14ac:dyDescent="0.25">
      <c r="A270" t="s">
        <v>5553</v>
      </c>
      <c r="B270">
        <v>1849</v>
      </c>
      <c r="C270" t="s">
        <v>60</v>
      </c>
      <c r="D270">
        <v>1.2</v>
      </c>
      <c r="E270">
        <v>40</v>
      </c>
      <c r="F270">
        <v>20</v>
      </c>
      <c r="G270">
        <v>0.86</v>
      </c>
      <c r="H270" t="s">
        <v>5714</v>
      </c>
      <c r="I270" t="s">
        <v>5715</v>
      </c>
      <c r="J270">
        <v>3572051</v>
      </c>
      <c r="K270" t="s">
        <v>484</v>
      </c>
      <c r="L270" t="s">
        <v>10</v>
      </c>
      <c r="M270" t="s">
        <v>456</v>
      </c>
      <c r="N270" t="s">
        <v>485</v>
      </c>
    </row>
    <row r="271" spans="1:14" hidden="1" x14ac:dyDescent="0.25">
      <c r="A271" t="s">
        <v>5553</v>
      </c>
      <c r="B271">
        <v>1912</v>
      </c>
      <c r="C271" t="s">
        <v>60</v>
      </c>
      <c r="D271">
        <v>1.2</v>
      </c>
      <c r="E271">
        <v>40</v>
      </c>
      <c r="F271">
        <v>20</v>
      </c>
      <c r="G271">
        <v>0.86</v>
      </c>
      <c r="H271" t="s">
        <v>5714</v>
      </c>
      <c r="I271" t="s">
        <v>5715</v>
      </c>
      <c r="J271">
        <v>3572051</v>
      </c>
      <c r="K271" t="s">
        <v>484</v>
      </c>
      <c r="L271" t="s">
        <v>10</v>
      </c>
      <c r="M271" t="s">
        <v>456</v>
      </c>
      <c r="N271" t="s">
        <v>485</v>
      </c>
    </row>
    <row r="272" spans="1:14" hidden="1" x14ac:dyDescent="0.25">
      <c r="A272" t="s">
        <v>5553</v>
      </c>
      <c r="B272">
        <v>400</v>
      </c>
      <c r="C272" t="s">
        <v>171</v>
      </c>
      <c r="D272">
        <v>1.21</v>
      </c>
      <c r="E272">
        <v>40</v>
      </c>
      <c r="F272">
        <v>20</v>
      </c>
      <c r="G272">
        <v>0.8</v>
      </c>
      <c r="H272" t="s">
        <v>5716</v>
      </c>
      <c r="I272" t="s">
        <v>5717</v>
      </c>
      <c r="J272">
        <v>3233557</v>
      </c>
      <c r="K272" t="s">
        <v>610</v>
      </c>
      <c r="L272" t="s">
        <v>10</v>
      </c>
      <c r="M272" t="s">
        <v>456</v>
      </c>
      <c r="N272" t="s">
        <v>611</v>
      </c>
    </row>
    <row r="273" spans="1:14" hidden="1" x14ac:dyDescent="0.25">
      <c r="A273" t="s">
        <v>5553</v>
      </c>
      <c r="B273">
        <v>2364</v>
      </c>
      <c r="C273" t="s">
        <v>171</v>
      </c>
      <c r="D273">
        <v>1.21</v>
      </c>
      <c r="E273">
        <v>40</v>
      </c>
      <c r="F273">
        <v>20</v>
      </c>
      <c r="G273">
        <v>0.8</v>
      </c>
      <c r="H273" t="s">
        <v>5716</v>
      </c>
      <c r="I273" t="s">
        <v>5717</v>
      </c>
      <c r="J273">
        <v>3233557</v>
      </c>
      <c r="K273" t="s">
        <v>610</v>
      </c>
      <c r="L273" t="s">
        <v>10</v>
      </c>
      <c r="M273" t="s">
        <v>456</v>
      </c>
      <c r="N273" t="s">
        <v>611</v>
      </c>
    </row>
    <row r="274" spans="1:14" hidden="1" x14ac:dyDescent="0.25">
      <c r="A274" t="s">
        <v>5553</v>
      </c>
      <c r="B274">
        <v>2314</v>
      </c>
      <c r="C274" t="s">
        <v>171</v>
      </c>
      <c r="D274">
        <v>1.21</v>
      </c>
      <c r="E274">
        <v>40</v>
      </c>
      <c r="F274">
        <v>20</v>
      </c>
      <c r="G274">
        <v>0.8</v>
      </c>
      <c r="H274" t="s">
        <v>5716</v>
      </c>
      <c r="I274" t="s">
        <v>5717</v>
      </c>
      <c r="J274">
        <v>3233557</v>
      </c>
      <c r="K274" t="s">
        <v>610</v>
      </c>
      <c r="L274" t="s">
        <v>10</v>
      </c>
      <c r="M274" t="s">
        <v>456</v>
      </c>
      <c r="N274" t="s">
        <v>611</v>
      </c>
    </row>
    <row r="275" spans="1:14" hidden="1" x14ac:dyDescent="0.25">
      <c r="A275" t="s">
        <v>5553</v>
      </c>
      <c r="B275">
        <v>2035</v>
      </c>
      <c r="C275" t="s">
        <v>60</v>
      </c>
      <c r="D275">
        <v>1.21</v>
      </c>
      <c r="E275">
        <v>40</v>
      </c>
      <c r="F275">
        <v>20</v>
      </c>
      <c r="G275">
        <v>1.1200000000000001</v>
      </c>
      <c r="H275" t="s">
        <v>5716</v>
      </c>
      <c r="I275" t="s">
        <v>5717</v>
      </c>
      <c r="J275">
        <v>3233555</v>
      </c>
      <c r="K275" t="s">
        <v>482</v>
      </c>
      <c r="L275" t="s">
        <v>10</v>
      </c>
      <c r="M275" t="s">
        <v>456</v>
      </c>
      <c r="N275" t="s">
        <v>483</v>
      </c>
    </row>
    <row r="276" spans="1:14" hidden="1" x14ac:dyDescent="0.25">
      <c r="A276" t="s">
        <v>5553</v>
      </c>
      <c r="B276">
        <v>2100</v>
      </c>
      <c r="C276" t="s">
        <v>60</v>
      </c>
      <c r="D276">
        <v>1.21</v>
      </c>
      <c r="E276">
        <v>40</v>
      </c>
      <c r="F276">
        <v>20</v>
      </c>
      <c r="G276">
        <v>1.1200000000000001</v>
      </c>
      <c r="H276" t="s">
        <v>5716</v>
      </c>
      <c r="I276" t="s">
        <v>5717</v>
      </c>
      <c r="J276">
        <v>3233555</v>
      </c>
      <c r="K276" t="s">
        <v>482</v>
      </c>
      <c r="L276" t="s">
        <v>10</v>
      </c>
      <c r="M276" t="s">
        <v>456</v>
      </c>
      <c r="N276" t="s">
        <v>483</v>
      </c>
    </row>
    <row r="277" spans="1:14" hidden="1" x14ac:dyDescent="0.25">
      <c r="A277" t="s">
        <v>5553</v>
      </c>
      <c r="B277">
        <v>2076</v>
      </c>
      <c r="C277" t="s">
        <v>60</v>
      </c>
      <c r="D277">
        <v>1.21</v>
      </c>
      <c r="E277">
        <v>40</v>
      </c>
      <c r="F277">
        <v>20</v>
      </c>
      <c r="G277">
        <v>1.1200000000000001</v>
      </c>
      <c r="H277" t="s">
        <v>5716</v>
      </c>
      <c r="I277" t="s">
        <v>5717</v>
      </c>
      <c r="J277">
        <v>3233555</v>
      </c>
      <c r="K277" t="s">
        <v>482</v>
      </c>
      <c r="L277" t="s">
        <v>10</v>
      </c>
      <c r="M277" t="s">
        <v>456</v>
      </c>
      <c r="N277" t="s">
        <v>483</v>
      </c>
    </row>
    <row r="278" spans="1:14" hidden="1" x14ac:dyDescent="0.25">
      <c r="A278" t="s">
        <v>5553</v>
      </c>
      <c r="B278">
        <v>2027</v>
      </c>
      <c r="C278" t="s">
        <v>60</v>
      </c>
      <c r="D278">
        <v>1.21</v>
      </c>
      <c r="E278">
        <v>40</v>
      </c>
      <c r="F278">
        <v>20</v>
      </c>
      <c r="G278">
        <v>1.1200000000000001</v>
      </c>
      <c r="H278" t="s">
        <v>5716</v>
      </c>
      <c r="I278" t="s">
        <v>5717</v>
      </c>
      <c r="J278">
        <v>3233555</v>
      </c>
      <c r="K278" t="s">
        <v>482</v>
      </c>
      <c r="L278" t="s">
        <v>10</v>
      </c>
      <c r="M278" t="s">
        <v>456</v>
      </c>
      <c r="N278" t="s">
        <v>483</v>
      </c>
    </row>
    <row r="279" spans="1:14" hidden="1" x14ac:dyDescent="0.25">
      <c r="A279" t="s">
        <v>5553</v>
      </c>
      <c r="B279">
        <v>1870</v>
      </c>
      <c r="C279" t="s">
        <v>60</v>
      </c>
      <c r="D279">
        <v>1.21</v>
      </c>
      <c r="E279">
        <v>40</v>
      </c>
      <c r="F279">
        <v>20</v>
      </c>
      <c r="G279">
        <v>1.1200000000000001</v>
      </c>
      <c r="H279" t="s">
        <v>5716</v>
      </c>
      <c r="I279" t="s">
        <v>5717</v>
      </c>
      <c r="J279">
        <v>3233555</v>
      </c>
      <c r="K279" t="s">
        <v>482</v>
      </c>
      <c r="L279" t="s">
        <v>10</v>
      </c>
      <c r="M279" t="s">
        <v>456</v>
      </c>
      <c r="N279" t="s">
        <v>483</v>
      </c>
    </row>
    <row r="280" spans="1:14" hidden="1" x14ac:dyDescent="0.25">
      <c r="A280" t="s">
        <v>5553</v>
      </c>
      <c r="B280">
        <v>930</v>
      </c>
      <c r="C280" t="s">
        <v>60</v>
      </c>
      <c r="D280">
        <v>1.21</v>
      </c>
      <c r="E280">
        <v>40</v>
      </c>
      <c r="F280">
        <v>20</v>
      </c>
      <c r="G280">
        <v>1.1200000000000001</v>
      </c>
      <c r="H280" t="s">
        <v>5716</v>
      </c>
      <c r="I280" t="s">
        <v>5717</v>
      </c>
      <c r="J280">
        <v>3233555</v>
      </c>
      <c r="K280" t="s">
        <v>482</v>
      </c>
      <c r="L280" t="s">
        <v>10</v>
      </c>
      <c r="M280" t="s">
        <v>456</v>
      </c>
      <c r="N280" t="s">
        <v>483</v>
      </c>
    </row>
    <row r="281" spans="1:14" hidden="1" x14ac:dyDescent="0.25">
      <c r="A281" t="s">
        <v>5553</v>
      </c>
      <c r="B281">
        <v>2034</v>
      </c>
      <c r="C281" t="s">
        <v>60</v>
      </c>
      <c r="D281">
        <v>1.21</v>
      </c>
      <c r="E281">
        <v>40</v>
      </c>
      <c r="F281">
        <v>20</v>
      </c>
      <c r="G281">
        <v>1.1200000000000001</v>
      </c>
      <c r="H281" t="s">
        <v>5716</v>
      </c>
      <c r="I281" t="s">
        <v>5717</v>
      </c>
      <c r="J281">
        <v>3233555</v>
      </c>
      <c r="K281" t="s">
        <v>482</v>
      </c>
      <c r="L281" t="s">
        <v>10</v>
      </c>
      <c r="M281" t="s">
        <v>456</v>
      </c>
      <c r="N281" t="s">
        <v>483</v>
      </c>
    </row>
    <row r="282" spans="1:14" hidden="1" x14ac:dyDescent="0.25">
      <c r="A282" t="s">
        <v>5553</v>
      </c>
      <c r="B282">
        <v>1926</v>
      </c>
      <c r="C282" t="s">
        <v>60</v>
      </c>
      <c r="D282">
        <v>1.21</v>
      </c>
      <c r="E282">
        <v>40</v>
      </c>
      <c r="F282">
        <v>20</v>
      </c>
      <c r="G282">
        <v>1.1200000000000001</v>
      </c>
      <c r="H282" t="s">
        <v>5716</v>
      </c>
      <c r="I282" t="s">
        <v>5717</v>
      </c>
      <c r="J282">
        <v>3233555</v>
      </c>
      <c r="K282" t="s">
        <v>482</v>
      </c>
      <c r="L282" t="s">
        <v>10</v>
      </c>
      <c r="M282" t="s">
        <v>456</v>
      </c>
      <c r="N282" t="s">
        <v>483</v>
      </c>
    </row>
    <row r="283" spans="1:14" hidden="1" x14ac:dyDescent="0.25">
      <c r="A283" t="s">
        <v>5553</v>
      </c>
      <c r="B283">
        <v>1876</v>
      </c>
      <c r="C283" t="s">
        <v>60</v>
      </c>
      <c r="D283">
        <v>1.21</v>
      </c>
      <c r="E283">
        <v>40</v>
      </c>
      <c r="F283">
        <v>20</v>
      </c>
      <c r="G283">
        <v>1.1200000000000001</v>
      </c>
      <c r="H283" t="s">
        <v>5716</v>
      </c>
      <c r="I283" t="s">
        <v>5717</v>
      </c>
      <c r="J283">
        <v>3233555</v>
      </c>
      <c r="K283" t="s">
        <v>482</v>
      </c>
      <c r="L283" t="s">
        <v>10</v>
      </c>
      <c r="M283" t="s">
        <v>456</v>
      </c>
      <c r="N283" t="s">
        <v>483</v>
      </c>
    </row>
    <row r="284" spans="1:14" hidden="1" x14ac:dyDescent="0.25">
      <c r="A284" t="s">
        <v>5553</v>
      </c>
      <c r="B284">
        <v>1901</v>
      </c>
      <c r="C284" t="s">
        <v>60</v>
      </c>
      <c r="D284">
        <v>1.21</v>
      </c>
      <c r="E284">
        <v>40</v>
      </c>
      <c r="F284">
        <v>20</v>
      </c>
      <c r="G284">
        <v>1.1200000000000001</v>
      </c>
      <c r="H284" t="s">
        <v>5716</v>
      </c>
      <c r="I284" t="s">
        <v>5717</v>
      </c>
      <c r="J284">
        <v>3233555</v>
      </c>
      <c r="K284" t="s">
        <v>482</v>
      </c>
      <c r="L284" t="s">
        <v>10</v>
      </c>
      <c r="M284" t="s">
        <v>456</v>
      </c>
      <c r="N284" t="s">
        <v>483</v>
      </c>
    </row>
    <row r="285" spans="1:14" hidden="1" x14ac:dyDescent="0.25">
      <c r="A285" t="s">
        <v>5553</v>
      </c>
      <c r="B285">
        <v>932</v>
      </c>
      <c r="C285" t="s">
        <v>60</v>
      </c>
      <c r="D285">
        <v>1.21</v>
      </c>
      <c r="E285">
        <v>40</v>
      </c>
      <c r="F285">
        <v>20</v>
      </c>
      <c r="G285">
        <v>1.1200000000000001</v>
      </c>
      <c r="H285" t="s">
        <v>5716</v>
      </c>
      <c r="I285" t="s">
        <v>5717</v>
      </c>
      <c r="J285">
        <v>3233555</v>
      </c>
      <c r="K285" t="s">
        <v>482</v>
      </c>
      <c r="L285" t="s">
        <v>10</v>
      </c>
      <c r="M285" t="s">
        <v>456</v>
      </c>
      <c r="N285" t="s">
        <v>483</v>
      </c>
    </row>
    <row r="286" spans="1:14" hidden="1" x14ac:dyDescent="0.25">
      <c r="A286" t="s">
        <v>5553</v>
      </c>
      <c r="B286">
        <v>1892</v>
      </c>
      <c r="C286" t="s">
        <v>60</v>
      </c>
      <c r="D286">
        <v>1.21</v>
      </c>
      <c r="E286">
        <v>40</v>
      </c>
      <c r="F286">
        <v>20</v>
      </c>
      <c r="G286">
        <v>1.1200000000000001</v>
      </c>
      <c r="H286" t="s">
        <v>5716</v>
      </c>
      <c r="I286" t="s">
        <v>5717</v>
      </c>
      <c r="J286">
        <v>3233555</v>
      </c>
      <c r="K286" t="s">
        <v>482</v>
      </c>
      <c r="L286" t="s">
        <v>10</v>
      </c>
      <c r="M286" t="s">
        <v>456</v>
      </c>
      <c r="N286" t="s">
        <v>483</v>
      </c>
    </row>
    <row r="287" spans="1:14" hidden="1" x14ac:dyDescent="0.25">
      <c r="A287" t="s">
        <v>5553</v>
      </c>
      <c r="B287">
        <v>1276</v>
      </c>
      <c r="C287" t="s">
        <v>60</v>
      </c>
      <c r="D287">
        <v>1.21</v>
      </c>
      <c r="E287">
        <v>40</v>
      </c>
      <c r="F287">
        <v>20</v>
      </c>
      <c r="G287">
        <v>1.1200000000000001</v>
      </c>
      <c r="H287" t="s">
        <v>5716</v>
      </c>
      <c r="I287" t="s">
        <v>5717</v>
      </c>
      <c r="J287">
        <v>3233555</v>
      </c>
      <c r="K287" t="s">
        <v>482</v>
      </c>
      <c r="L287" t="s">
        <v>10</v>
      </c>
      <c r="M287" t="s">
        <v>456</v>
      </c>
      <c r="N287" t="s">
        <v>483</v>
      </c>
    </row>
    <row r="288" spans="1:14" hidden="1" x14ac:dyDescent="0.25">
      <c r="A288" t="s">
        <v>5553</v>
      </c>
      <c r="B288">
        <v>1309</v>
      </c>
      <c r="C288" t="s">
        <v>60</v>
      </c>
      <c r="D288">
        <v>1.21</v>
      </c>
      <c r="E288">
        <v>40</v>
      </c>
      <c r="F288">
        <v>20</v>
      </c>
      <c r="G288">
        <v>1.1200000000000001</v>
      </c>
      <c r="H288" t="s">
        <v>5716</v>
      </c>
      <c r="I288" t="s">
        <v>5717</v>
      </c>
      <c r="J288">
        <v>3233555</v>
      </c>
      <c r="K288" t="s">
        <v>482</v>
      </c>
      <c r="L288" t="s">
        <v>10</v>
      </c>
      <c r="M288" t="s">
        <v>456</v>
      </c>
      <c r="N288" t="s">
        <v>483</v>
      </c>
    </row>
    <row r="289" spans="1:14" hidden="1" x14ac:dyDescent="0.25">
      <c r="A289" t="s">
        <v>5553</v>
      </c>
      <c r="B289">
        <v>1309</v>
      </c>
      <c r="C289" t="s">
        <v>60</v>
      </c>
      <c r="D289">
        <v>1.21</v>
      </c>
      <c r="E289">
        <v>40</v>
      </c>
      <c r="F289">
        <v>20</v>
      </c>
      <c r="G289">
        <v>1.1200000000000001</v>
      </c>
      <c r="H289" t="s">
        <v>5716</v>
      </c>
      <c r="I289" t="s">
        <v>5717</v>
      </c>
      <c r="J289">
        <v>3233555</v>
      </c>
      <c r="K289" t="s">
        <v>482</v>
      </c>
      <c r="L289" t="s">
        <v>10</v>
      </c>
      <c r="M289" t="s">
        <v>456</v>
      </c>
      <c r="N289" t="s">
        <v>483</v>
      </c>
    </row>
    <row r="290" spans="1:14" hidden="1" x14ac:dyDescent="0.25">
      <c r="A290" t="s">
        <v>5553</v>
      </c>
      <c r="B290">
        <v>1329</v>
      </c>
      <c r="C290" t="s">
        <v>60</v>
      </c>
      <c r="D290">
        <v>1.21</v>
      </c>
      <c r="E290">
        <v>40</v>
      </c>
      <c r="F290">
        <v>20</v>
      </c>
      <c r="G290">
        <v>1.1200000000000001</v>
      </c>
      <c r="H290" t="s">
        <v>5716</v>
      </c>
      <c r="I290" t="s">
        <v>5717</v>
      </c>
      <c r="J290">
        <v>3233555</v>
      </c>
      <c r="K290" t="s">
        <v>482</v>
      </c>
      <c r="L290" t="s">
        <v>10</v>
      </c>
      <c r="M290" t="s">
        <v>456</v>
      </c>
      <c r="N290" t="s">
        <v>483</v>
      </c>
    </row>
    <row r="291" spans="1:14" hidden="1" x14ac:dyDescent="0.25">
      <c r="A291" t="s">
        <v>5553</v>
      </c>
      <c r="B291">
        <v>1871</v>
      </c>
      <c r="C291" t="s">
        <v>60</v>
      </c>
      <c r="D291">
        <v>1.21</v>
      </c>
      <c r="E291">
        <v>40</v>
      </c>
      <c r="F291">
        <v>20</v>
      </c>
      <c r="G291">
        <v>1.1200000000000001</v>
      </c>
      <c r="H291" t="s">
        <v>5716</v>
      </c>
      <c r="I291" t="s">
        <v>5717</v>
      </c>
      <c r="J291">
        <v>3233555</v>
      </c>
      <c r="K291" t="s">
        <v>482</v>
      </c>
      <c r="L291" t="s">
        <v>10</v>
      </c>
      <c r="M291" t="s">
        <v>456</v>
      </c>
      <c r="N291" t="s">
        <v>483</v>
      </c>
    </row>
    <row r="292" spans="1:14" hidden="1" x14ac:dyDescent="0.25">
      <c r="A292" t="s">
        <v>5553</v>
      </c>
      <c r="B292">
        <v>1155</v>
      </c>
      <c r="C292" t="s">
        <v>60</v>
      </c>
      <c r="D292">
        <v>1.21</v>
      </c>
      <c r="E292">
        <v>40</v>
      </c>
      <c r="F292">
        <v>20</v>
      </c>
      <c r="G292">
        <v>1.246</v>
      </c>
      <c r="H292" t="s">
        <v>5712</v>
      </c>
      <c r="I292" t="s">
        <v>5713</v>
      </c>
      <c r="J292">
        <v>3233554</v>
      </c>
      <c r="K292" t="s">
        <v>480</v>
      </c>
      <c r="L292" t="s">
        <v>10</v>
      </c>
      <c r="M292" t="s">
        <v>456</v>
      </c>
      <c r="N292" t="s">
        <v>481</v>
      </c>
    </row>
    <row r="293" spans="1:14" hidden="1" x14ac:dyDescent="0.25">
      <c r="A293" t="s">
        <v>5553</v>
      </c>
      <c r="B293">
        <v>1725</v>
      </c>
      <c r="C293" t="s">
        <v>60</v>
      </c>
      <c r="D293">
        <v>1.21</v>
      </c>
      <c r="E293">
        <v>40</v>
      </c>
      <c r="F293">
        <v>20</v>
      </c>
      <c r="G293">
        <v>1.246</v>
      </c>
      <c r="H293" t="s">
        <v>5712</v>
      </c>
      <c r="I293" t="s">
        <v>5713</v>
      </c>
      <c r="J293">
        <v>3233554</v>
      </c>
      <c r="K293" t="s">
        <v>480</v>
      </c>
      <c r="L293" t="s">
        <v>10</v>
      </c>
      <c r="M293" t="s">
        <v>456</v>
      </c>
      <c r="N293" t="s">
        <v>481</v>
      </c>
    </row>
    <row r="294" spans="1:14" hidden="1" x14ac:dyDescent="0.25">
      <c r="A294" t="s">
        <v>5553</v>
      </c>
      <c r="B294">
        <v>1820</v>
      </c>
      <c r="C294" t="s">
        <v>60</v>
      </c>
      <c r="D294">
        <v>1.21</v>
      </c>
      <c r="E294">
        <v>40</v>
      </c>
      <c r="F294">
        <v>20</v>
      </c>
      <c r="G294">
        <v>1.246</v>
      </c>
      <c r="H294" t="s">
        <v>5712</v>
      </c>
      <c r="I294" t="s">
        <v>5713</v>
      </c>
      <c r="J294">
        <v>3233554</v>
      </c>
      <c r="K294" t="s">
        <v>480</v>
      </c>
      <c r="L294" t="s">
        <v>10</v>
      </c>
      <c r="M294" t="s">
        <v>456</v>
      </c>
      <c r="N294" t="s">
        <v>481</v>
      </c>
    </row>
    <row r="295" spans="1:14" hidden="1" x14ac:dyDescent="0.25">
      <c r="A295" t="s">
        <v>5553</v>
      </c>
      <c r="B295">
        <v>1860</v>
      </c>
      <c r="C295" t="s">
        <v>60</v>
      </c>
      <c r="D295">
        <v>1.21</v>
      </c>
      <c r="E295">
        <v>40</v>
      </c>
      <c r="F295">
        <v>20</v>
      </c>
      <c r="G295">
        <v>1.246</v>
      </c>
      <c r="H295" t="s">
        <v>5712</v>
      </c>
      <c r="I295" t="s">
        <v>5713</v>
      </c>
      <c r="J295">
        <v>3233554</v>
      </c>
      <c r="K295" t="s">
        <v>480</v>
      </c>
      <c r="L295" t="s">
        <v>10</v>
      </c>
      <c r="M295" t="s">
        <v>456</v>
      </c>
      <c r="N295" t="s">
        <v>481</v>
      </c>
    </row>
    <row r="296" spans="1:14" hidden="1" x14ac:dyDescent="0.25">
      <c r="A296" t="s">
        <v>5553</v>
      </c>
      <c r="B296">
        <v>1924</v>
      </c>
      <c r="C296" t="s">
        <v>60</v>
      </c>
      <c r="D296">
        <v>1.21</v>
      </c>
      <c r="E296">
        <v>40</v>
      </c>
      <c r="F296">
        <v>20</v>
      </c>
      <c r="G296">
        <v>1.246</v>
      </c>
      <c r="H296" t="s">
        <v>5712</v>
      </c>
      <c r="I296" t="s">
        <v>5713</v>
      </c>
      <c r="J296">
        <v>3233554</v>
      </c>
      <c r="K296" t="s">
        <v>480</v>
      </c>
      <c r="L296" t="s">
        <v>10</v>
      </c>
      <c r="M296" t="s">
        <v>456</v>
      </c>
      <c r="N296" t="s">
        <v>481</v>
      </c>
    </row>
    <row r="297" spans="1:14" hidden="1" x14ac:dyDescent="0.25">
      <c r="A297" t="s">
        <v>5553</v>
      </c>
      <c r="B297">
        <v>1921</v>
      </c>
      <c r="C297" t="s">
        <v>60</v>
      </c>
      <c r="D297">
        <v>1.21</v>
      </c>
      <c r="E297">
        <v>40</v>
      </c>
      <c r="F297">
        <v>20</v>
      </c>
      <c r="G297">
        <v>1.246</v>
      </c>
      <c r="H297" t="s">
        <v>5712</v>
      </c>
      <c r="I297" t="s">
        <v>5713</v>
      </c>
      <c r="J297">
        <v>3233554</v>
      </c>
      <c r="K297" t="s">
        <v>480</v>
      </c>
      <c r="L297" t="s">
        <v>10</v>
      </c>
      <c r="M297" t="s">
        <v>456</v>
      </c>
      <c r="N297" t="s">
        <v>481</v>
      </c>
    </row>
    <row r="298" spans="1:14" hidden="1" x14ac:dyDescent="0.25">
      <c r="A298" t="s">
        <v>5553</v>
      </c>
      <c r="B298">
        <v>1200</v>
      </c>
      <c r="C298" t="s">
        <v>60</v>
      </c>
      <c r="D298">
        <v>1.21</v>
      </c>
      <c r="E298">
        <v>40</v>
      </c>
      <c r="F298">
        <v>20</v>
      </c>
      <c r="G298">
        <v>1.31</v>
      </c>
      <c r="H298" t="s">
        <v>5718</v>
      </c>
      <c r="I298" t="s">
        <v>5719</v>
      </c>
      <c r="J298">
        <v>1940801</v>
      </c>
      <c r="K298" t="s">
        <v>478</v>
      </c>
      <c r="L298" t="s">
        <v>10</v>
      </c>
      <c r="M298" t="s">
        <v>456</v>
      </c>
      <c r="N298" t="s">
        <v>479</v>
      </c>
    </row>
    <row r="299" spans="1:14" hidden="1" x14ac:dyDescent="0.25">
      <c r="A299" t="s">
        <v>5553</v>
      </c>
      <c r="B299">
        <v>1234</v>
      </c>
      <c r="C299" t="s">
        <v>60</v>
      </c>
      <c r="D299">
        <v>1.21</v>
      </c>
      <c r="E299">
        <v>40</v>
      </c>
      <c r="F299">
        <v>20</v>
      </c>
      <c r="G299">
        <v>1.31</v>
      </c>
      <c r="H299" t="s">
        <v>5718</v>
      </c>
      <c r="I299" t="s">
        <v>5719</v>
      </c>
      <c r="J299">
        <v>1940801</v>
      </c>
      <c r="K299" t="s">
        <v>478</v>
      </c>
      <c r="L299" t="s">
        <v>10</v>
      </c>
      <c r="M299" t="s">
        <v>456</v>
      </c>
      <c r="N299" t="s">
        <v>479</v>
      </c>
    </row>
    <row r="300" spans="1:14" hidden="1" x14ac:dyDescent="0.25">
      <c r="A300" t="s">
        <v>5553</v>
      </c>
      <c r="B300">
        <v>1333</v>
      </c>
      <c r="C300" t="s">
        <v>60</v>
      </c>
      <c r="D300">
        <v>1.21</v>
      </c>
      <c r="E300">
        <v>40</v>
      </c>
      <c r="F300">
        <v>20</v>
      </c>
      <c r="G300">
        <v>1.31</v>
      </c>
      <c r="H300" t="s">
        <v>5718</v>
      </c>
      <c r="I300" t="s">
        <v>5719</v>
      </c>
      <c r="J300">
        <v>1940801</v>
      </c>
      <c r="K300" t="s">
        <v>478</v>
      </c>
      <c r="L300" t="s">
        <v>10</v>
      </c>
      <c r="M300" t="s">
        <v>456</v>
      </c>
      <c r="N300" t="s">
        <v>479</v>
      </c>
    </row>
    <row r="301" spans="1:14" hidden="1" x14ac:dyDescent="0.25">
      <c r="A301" t="s">
        <v>5553</v>
      </c>
      <c r="B301">
        <v>1281</v>
      </c>
      <c r="C301" t="s">
        <v>60</v>
      </c>
      <c r="D301">
        <v>1.21</v>
      </c>
      <c r="E301">
        <v>40</v>
      </c>
      <c r="F301">
        <v>20</v>
      </c>
      <c r="G301">
        <v>1.31</v>
      </c>
      <c r="H301" t="s">
        <v>5718</v>
      </c>
      <c r="I301" t="s">
        <v>5719</v>
      </c>
      <c r="J301">
        <v>1940801</v>
      </c>
      <c r="K301" t="s">
        <v>478</v>
      </c>
      <c r="L301" t="s">
        <v>10</v>
      </c>
      <c r="M301" t="s">
        <v>456</v>
      </c>
      <c r="N301" t="s">
        <v>479</v>
      </c>
    </row>
    <row r="302" spans="1:14" hidden="1" x14ac:dyDescent="0.25">
      <c r="A302" t="s">
        <v>5553</v>
      </c>
      <c r="B302">
        <v>1303</v>
      </c>
      <c r="C302" t="s">
        <v>60</v>
      </c>
      <c r="D302">
        <v>1.21</v>
      </c>
      <c r="E302">
        <v>40</v>
      </c>
      <c r="F302">
        <v>20</v>
      </c>
      <c r="G302">
        <v>1.31</v>
      </c>
      <c r="H302" t="s">
        <v>5718</v>
      </c>
      <c r="I302" t="s">
        <v>5719</v>
      </c>
      <c r="J302">
        <v>1940801</v>
      </c>
      <c r="K302" t="s">
        <v>478</v>
      </c>
      <c r="L302" t="s">
        <v>10</v>
      </c>
      <c r="M302" t="s">
        <v>456</v>
      </c>
      <c r="N302" t="s">
        <v>479</v>
      </c>
    </row>
    <row r="303" spans="1:14" hidden="1" x14ac:dyDescent="0.25">
      <c r="A303" t="s">
        <v>5553</v>
      </c>
      <c r="B303">
        <v>1110</v>
      </c>
      <c r="C303" t="s">
        <v>60</v>
      </c>
      <c r="D303">
        <v>1.21</v>
      </c>
      <c r="E303">
        <v>40</v>
      </c>
      <c r="F303">
        <v>20</v>
      </c>
      <c r="G303">
        <v>1.31</v>
      </c>
      <c r="H303" t="s">
        <v>5718</v>
      </c>
      <c r="I303" t="s">
        <v>5719</v>
      </c>
      <c r="J303">
        <v>1940801</v>
      </c>
      <c r="K303" t="s">
        <v>478</v>
      </c>
      <c r="L303" t="s">
        <v>10</v>
      </c>
      <c r="M303" t="s">
        <v>456</v>
      </c>
      <c r="N303" t="s">
        <v>479</v>
      </c>
    </row>
    <row r="304" spans="1:14" hidden="1" x14ac:dyDescent="0.25">
      <c r="A304" t="s">
        <v>5553</v>
      </c>
      <c r="B304">
        <v>1210</v>
      </c>
      <c r="C304" t="s">
        <v>60</v>
      </c>
      <c r="D304">
        <v>1.21</v>
      </c>
      <c r="E304">
        <v>40</v>
      </c>
      <c r="F304">
        <v>20</v>
      </c>
      <c r="G304">
        <v>1.31</v>
      </c>
      <c r="H304" t="s">
        <v>5718</v>
      </c>
      <c r="I304" t="s">
        <v>5719</v>
      </c>
      <c r="J304">
        <v>1940801</v>
      </c>
      <c r="K304" t="s">
        <v>478</v>
      </c>
      <c r="L304" t="s">
        <v>10</v>
      </c>
      <c r="M304" t="s">
        <v>456</v>
      </c>
      <c r="N304" t="s">
        <v>479</v>
      </c>
    </row>
    <row r="305" spans="1:14" hidden="1" x14ac:dyDescent="0.25">
      <c r="A305" t="s">
        <v>5553</v>
      </c>
      <c r="B305">
        <v>1185</v>
      </c>
      <c r="C305" t="s">
        <v>60</v>
      </c>
      <c r="D305">
        <v>1.21</v>
      </c>
      <c r="E305">
        <v>40</v>
      </c>
      <c r="F305">
        <v>20</v>
      </c>
      <c r="G305">
        <v>1.31</v>
      </c>
      <c r="H305" t="s">
        <v>5718</v>
      </c>
      <c r="I305" t="s">
        <v>5719</v>
      </c>
      <c r="J305">
        <v>1940801</v>
      </c>
      <c r="K305" t="s">
        <v>478</v>
      </c>
      <c r="L305" t="s">
        <v>10</v>
      </c>
      <c r="M305" t="s">
        <v>456</v>
      </c>
      <c r="N305" t="s">
        <v>479</v>
      </c>
    </row>
    <row r="306" spans="1:14" hidden="1" x14ac:dyDescent="0.25">
      <c r="A306" t="s">
        <v>5553</v>
      </c>
      <c r="B306">
        <v>1185</v>
      </c>
      <c r="C306" t="s">
        <v>60</v>
      </c>
      <c r="D306">
        <v>1.21</v>
      </c>
      <c r="E306">
        <v>40</v>
      </c>
      <c r="F306">
        <v>20</v>
      </c>
      <c r="G306">
        <v>1.31</v>
      </c>
      <c r="H306" t="s">
        <v>5718</v>
      </c>
      <c r="I306" t="s">
        <v>5719</v>
      </c>
      <c r="J306">
        <v>1940801</v>
      </c>
      <c r="K306" t="s">
        <v>478</v>
      </c>
      <c r="L306" t="s">
        <v>10</v>
      </c>
      <c r="M306" t="s">
        <v>456</v>
      </c>
      <c r="N306" t="s">
        <v>479</v>
      </c>
    </row>
    <row r="307" spans="1:14" hidden="1" x14ac:dyDescent="0.25">
      <c r="A307" t="s">
        <v>5553</v>
      </c>
      <c r="B307">
        <v>1150</v>
      </c>
      <c r="C307" t="s">
        <v>60</v>
      </c>
      <c r="D307">
        <v>1.21</v>
      </c>
      <c r="E307">
        <v>40</v>
      </c>
      <c r="F307">
        <v>20</v>
      </c>
      <c r="G307">
        <v>1.31</v>
      </c>
      <c r="H307" t="s">
        <v>5718</v>
      </c>
      <c r="I307" t="s">
        <v>5719</v>
      </c>
      <c r="J307">
        <v>1940801</v>
      </c>
      <c r="K307" t="s">
        <v>478</v>
      </c>
      <c r="L307" t="s">
        <v>10</v>
      </c>
      <c r="M307" t="s">
        <v>456</v>
      </c>
      <c r="N307" t="s">
        <v>479</v>
      </c>
    </row>
    <row r="308" spans="1:14" hidden="1" x14ac:dyDescent="0.25">
      <c r="A308" t="s">
        <v>5553</v>
      </c>
      <c r="B308">
        <v>1650</v>
      </c>
      <c r="C308" t="s">
        <v>60</v>
      </c>
      <c r="D308">
        <v>1.21</v>
      </c>
      <c r="E308">
        <v>40</v>
      </c>
      <c r="F308">
        <v>20</v>
      </c>
      <c r="G308">
        <v>1.31</v>
      </c>
      <c r="H308" t="s">
        <v>5718</v>
      </c>
      <c r="I308" t="s">
        <v>5719</v>
      </c>
      <c r="J308">
        <v>1940801</v>
      </c>
      <c r="K308" t="s">
        <v>478</v>
      </c>
      <c r="L308" t="s">
        <v>10</v>
      </c>
      <c r="M308" t="s">
        <v>456</v>
      </c>
      <c r="N308" t="s">
        <v>479</v>
      </c>
    </row>
    <row r="309" spans="1:14" hidden="1" x14ac:dyDescent="0.25">
      <c r="A309" t="s">
        <v>5553</v>
      </c>
      <c r="B309">
        <v>1660</v>
      </c>
      <c r="C309" t="s">
        <v>60</v>
      </c>
      <c r="D309">
        <v>1.21</v>
      </c>
      <c r="E309">
        <v>40</v>
      </c>
      <c r="F309">
        <v>20</v>
      </c>
      <c r="G309">
        <v>1.31</v>
      </c>
      <c r="H309" t="s">
        <v>5718</v>
      </c>
      <c r="I309" t="s">
        <v>5719</v>
      </c>
      <c r="J309">
        <v>1940801</v>
      </c>
      <c r="K309" t="s">
        <v>478</v>
      </c>
      <c r="L309" t="s">
        <v>10</v>
      </c>
      <c r="M309" t="s">
        <v>456</v>
      </c>
      <c r="N309" t="s">
        <v>479</v>
      </c>
    </row>
    <row r="310" spans="1:14" hidden="1" x14ac:dyDescent="0.25">
      <c r="A310" t="s">
        <v>5553</v>
      </c>
      <c r="B310">
        <v>1640</v>
      </c>
      <c r="C310" t="s">
        <v>60</v>
      </c>
      <c r="D310">
        <v>1.21</v>
      </c>
      <c r="E310">
        <v>40</v>
      </c>
      <c r="F310">
        <v>20</v>
      </c>
      <c r="G310">
        <v>1.31</v>
      </c>
      <c r="H310" t="s">
        <v>5718</v>
      </c>
      <c r="I310" t="s">
        <v>5719</v>
      </c>
      <c r="J310">
        <v>1940801</v>
      </c>
      <c r="K310" t="s">
        <v>478</v>
      </c>
      <c r="L310" t="s">
        <v>10</v>
      </c>
      <c r="M310" t="s">
        <v>456</v>
      </c>
      <c r="N310" t="s">
        <v>479</v>
      </c>
    </row>
    <row r="311" spans="1:14" hidden="1" x14ac:dyDescent="0.25">
      <c r="A311" t="s">
        <v>5553</v>
      </c>
      <c r="B311">
        <v>1640</v>
      </c>
      <c r="C311" t="s">
        <v>60</v>
      </c>
      <c r="D311">
        <v>1.21</v>
      </c>
      <c r="E311">
        <v>40</v>
      </c>
      <c r="F311">
        <v>20</v>
      </c>
      <c r="G311">
        <v>1.31</v>
      </c>
      <c r="H311" t="s">
        <v>5718</v>
      </c>
      <c r="I311" t="s">
        <v>5719</v>
      </c>
      <c r="J311">
        <v>1940801</v>
      </c>
      <c r="K311" t="s">
        <v>478</v>
      </c>
      <c r="L311" t="s">
        <v>10</v>
      </c>
      <c r="M311" t="s">
        <v>456</v>
      </c>
      <c r="N311" t="s">
        <v>479</v>
      </c>
    </row>
    <row r="312" spans="1:14" hidden="1" x14ac:dyDescent="0.25">
      <c r="A312" t="s">
        <v>5553</v>
      </c>
      <c r="B312">
        <v>1836</v>
      </c>
      <c r="C312" t="s">
        <v>60</v>
      </c>
      <c r="D312">
        <v>1.21</v>
      </c>
      <c r="E312">
        <v>40</v>
      </c>
      <c r="F312">
        <v>20</v>
      </c>
      <c r="G312">
        <v>1.31</v>
      </c>
      <c r="H312" t="s">
        <v>5718</v>
      </c>
      <c r="I312" t="s">
        <v>5719</v>
      </c>
      <c r="J312">
        <v>1940801</v>
      </c>
      <c r="K312" t="s">
        <v>478</v>
      </c>
      <c r="L312" t="s">
        <v>10</v>
      </c>
      <c r="M312" t="s">
        <v>456</v>
      </c>
      <c r="N312" t="s">
        <v>479</v>
      </c>
    </row>
    <row r="313" spans="1:14" hidden="1" x14ac:dyDescent="0.25">
      <c r="A313" t="s">
        <v>5553</v>
      </c>
      <c r="B313">
        <v>1960</v>
      </c>
      <c r="C313" t="s">
        <v>60</v>
      </c>
      <c r="D313">
        <v>1.21</v>
      </c>
      <c r="E313">
        <v>40</v>
      </c>
      <c r="F313">
        <v>20</v>
      </c>
      <c r="G313">
        <v>1.31</v>
      </c>
      <c r="H313" t="s">
        <v>5718</v>
      </c>
      <c r="I313" t="s">
        <v>5719</v>
      </c>
      <c r="J313">
        <v>1940801</v>
      </c>
      <c r="K313" t="s">
        <v>478</v>
      </c>
      <c r="L313" t="s">
        <v>10</v>
      </c>
      <c r="M313" t="s">
        <v>456</v>
      </c>
      <c r="N313" t="s">
        <v>479</v>
      </c>
    </row>
    <row r="314" spans="1:14" hidden="1" x14ac:dyDescent="0.25">
      <c r="A314" t="s">
        <v>5553</v>
      </c>
      <c r="B314">
        <v>2150</v>
      </c>
      <c r="C314" t="s">
        <v>60</v>
      </c>
      <c r="D314">
        <v>1.21</v>
      </c>
      <c r="E314">
        <v>40</v>
      </c>
      <c r="F314">
        <v>20</v>
      </c>
      <c r="G314">
        <v>1.31</v>
      </c>
      <c r="H314" t="s">
        <v>5718</v>
      </c>
      <c r="I314" t="s">
        <v>5719</v>
      </c>
      <c r="J314">
        <v>1940801</v>
      </c>
      <c r="K314" t="s">
        <v>478</v>
      </c>
      <c r="L314" t="s">
        <v>10</v>
      </c>
      <c r="M314" t="s">
        <v>456</v>
      </c>
      <c r="N314" t="s">
        <v>479</v>
      </c>
    </row>
    <row r="315" spans="1:14" hidden="1" x14ac:dyDescent="0.25">
      <c r="A315" t="s">
        <v>5553</v>
      </c>
      <c r="B315">
        <v>1715</v>
      </c>
      <c r="C315" t="s">
        <v>60</v>
      </c>
      <c r="D315">
        <v>1.21</v>
      </c>
      <c r="E315">
        <v>40</v>
      </c>
      <c r="F315">
        <v>20</v>
      </c>
      <c r="G315">
        <v>1.31</v>
      </c>
      <c r="H315" t="s">
        <v>5718</v>
      </c>
      <c r="I315" t="s">
        <v>5719</v>
      </c>
      <c r="J315">
        <v>1940801</v>
      </c>
      <c r="K315" t="s">
        <v>478</v>
      </c>
      <c r="L315" t="s">
        <v>10</v>
      </c>
      <c r="M315" t="s">
        <v>456</v>
      </c>
      <c r="N315" t="s">
        <v>479</v>
      </c>
    </row>
    <row r="316" spans="1:14" hidden="1" x14ac:dyDescent="0.25">
      <c r="A316" t="s">
        <v>5553</v>
      </c>
      <c r="B316">
        <v>2185</v>
      </c>
      <c r="C316" t="s">
        <v>60</v>
      </c>
      <c r="D316">
        <v>1.21</v>
      </c>
      <c r="E316">
        <v>40</v>
      </c>
      <c r="F316">
        <v>20</v>
      </c>
      <c r="G316">
        <v>1.31</v>
      </c>
      <c r="H316" t="s">
        <v>5718</v>
      </c>
      <c r="I316" t="s">
        <v>5719</v>
      </c>
      <c r="J316">
        <v>1940801</v>
      </c>
      <c r="K316" t="s">
        <v>478</v>
      </c>
      <c r="L316" t="s">
        <v>10</v>
      </c>
      <c r="M316" t="s">
        <v>456</v>
      </c>
      <c r="N316" t="s">
        <v>479</v>
      </c>
    </row>
    <row r="317" spans="1:14" hidden="1" x14ac:dyDescent="0.25">
      <c r="A317" t="s">
        <v>5576</v>
      </c>
      <c r="B317">
        <v>1789</v>
      </c>
      <c r="C317" t="s">
        <v>60</v>
      </c>
      <c r="D317">
        <v>1.21</v>
      </c>
      <c r="E317">
        <v>40</v>
      </c>
      <c r="F317">
        <v>20</v>
      </c>
      <c r="G317">
        <v>5.3100000000000005</v>
      </c>
      <c r="H317" t="s">
        <v>5718</v>
      </c>
      <c r="I317" t="s">
        <v>5719</v>
      </c>
      <c r="J317">
        <v>3731692</v>
      </c>
      <c r="K317" t="s">
        <v>462</v>
      </c>
      <c r="L317" t="s">
        <v>10</v>
      </c>
      <c r="M317" t="s">
        <v>456</v>
      </c>
    </row>
    <row r="318" spans="1:14" hidden="1" x14ac:dyDescent="0.25">
      <c r="A318" t="s">
        <v>5576</v>
      </c>
      <c r="B318">
        <v>1677</v>
      </c>
      <c r="C318" t="s">
        <v>60</v>
      </c>
      <c r="D318">
        <v>1.21</v>
      </c>
      <c r="E318">
        <v>40</v>
      </c>
      <c r="F318">
        <v>20</v>
      </c>
      <c r="G318">
        <v>5.3100000000000005</v>
      </c>
      <c r="H318" t="s">
        <v>5718</v>
      </c>
      <c r="I318" t="s">
        <v>5719</v>
      </c>
      <c r="J318">
        <v>3731692</v>
      </c>
      <c r="K318" t="s">
        <v>462</v>
      </c>
      <c r="L318" t="s">
        <v>10</v>
      </c>
      <c r="M318" t="s">
        <v>456</v>
      </c>
    </row>
    <row r="319" spans="1:14" hidden="1" x14ac:dyDescent="0.25">
      <c r="A319" t="s">
        <v>5576</v>
      </c>
      <c r="B319">
        <v>1810</v>
      </c>
      <c r="C319" t="s">
        <v>60</v>
      </c>
      <c r="D319">
        <v>1.21</v>
      </c>
      <c r="E319">
        <v>40</v>
      </c>
      <c r="F319">
        <v>20</v>
      </c>
      <c r="G319">
        <v>5.3100000000000005</v>
      </c>
      <c r="H319" t="s">
        <v>5718</v>
      </c>
      <c r="I319" t="s">
        <v>5719</v>
      </c>
      <c r="J319">
        <v>3731692</v>
      </c>
      <c r="K319" t="s">
        <v>462</v>
      </c>
      <c r="L319" t="s">
        <v>10</v>
      </c>
      <c r="M319" t="s">
        <v>456</v>
      </c>
    </row>
    <row r="320" spans="1:14" hidden="1" x14ac:dyDescent="0.25">
      <c r="A320" t="s">
        <v>5576</v>
      </c>
      <c r="B320">
        <v>1800</v>
      </c>
      <c r="C320" t="s">
        <v>60</v>
      </c>
      <c r="D320">
        <v>1.21</v>
      </c>
      <c r="E320">
        <v>40</v>
      </c>
      <c r="F320">
        <v>20</v>
      </c>
      <c r="G320">
        <v>5.3100000000000005</v>
      </c>
      <c r="H320" t="s">
        <v>5718</v>
      </c>
      <c r="I320" t="s">
        <v>5719</v>
      </c>
      <c r="J320">
        <v>3731692</v>
      </c>
      <c r="K320" t="s">
        <v>462</v>
      </c>
      <c r="L320" t="s">
        <v>10</v>
      </c>
      <c r="M320" t="s">
        <v>456</v>
      </c>
    </row>
    <row r="321" spans="1:14" hidden="1" x14ac:dyDescent="0.25">
      <c r="A321" t="s">
        <v>5576</v>
      </c>
      <c r="B321">
        <v>1820</v>
      </c>
      <c r="C321" t="s">
        <v>60</v>
      </c>
      <c r="D321">
        <v>1.21</v>
      </c>
      <c r="E321">
        <v>40</v>
      </c>
      <c r="F321">
        <v>20</v>
      </c>
      <c r="G321">
        <v>5.3100000000000005</v>
      </c>
      <c r="H321" t="s">
        <v>5718</v>
      </c>
      <c r="I321" t="s">
        <v>5719</v>
      </c>
      <c r="J321">
        <v>3731692</v>
      </c>
      <c r="K321" t="s">
        <v>462</v>
      </c>
      <c r="L321" t="s">
        <v>10</v>
      </c>
      <c r="M321" t="s">
        <v>456</v>
      </c>
    </row>
    <row r="322" spans="1:14" hidden="1" x14ac:dyDescent="0.25">
      <c r="A322" t="s">
        <v>5576</v>
      </c>
      <c r="B322">
        <v>1680</v>
      </c>
      <c r="C322" t="s">
        <v>60</v>
      </c>
      <c r="D322">
        <v>1.21</v>
      </c>
      <c r="E322">
        <v>40</v>
      </c>
      <c r="F322">
        <v>20</v>
      </c>
      <c r="G322">
        <v>5.3100000000000005</v>
      </c>
      <c r="H322" t="s">
        <v>5718</v>
      </c>
      <c r="I322" t="s">
        <v>5719</v>
      </c>
      <c r="J322">
        <v>3731692</v>
      </c>
      <c r="K322" t="s">
        <v>462</v>
      </c>
      <c r="L322" t="s">
        <v>10</v>
      </c>
      <c r="M322" t="s">
        <v>456</v>
      </c>
    </row>
    <row r="323" spans="1:14" hidden="1" x14ac:dyDescent="0.25">
      <c r="A323" t="s">
        <v>5576</v>
      </c>
      <c r="B323">
        <v>1620</v>
      </c>
      <c r="C323" t="s">
        <v>60</v>
      </c>
      <c r="D323">
        <v>1.21</v>
      </c>
      <c r="E323">
        <v>40</v>
      </c>
      <c r="F323">
        <v>20</v>
      </c>
      <c r="G323">
        <v>6.1000000000000005</v>
      </c>
      <c r="H323" t="s">
        <v>5714</v>
      </c>
      <c r="I323" t="s">
        <v>5715</v>
      </c>
      <c r="J323">
        <v>4201127</v>
      </c>
      <c r="K323" t="s">
        <v>457</v>
      </c>
      <c r="L323" t="s">
        <v>10</v>
      </c>
      <c r="M323" t="s">
        <v>456</v>
      </c>
      <c r="N323" t="s">
        <v>458</v>
      </c>
    </row>
    <row r="324" spans="1:14" hidden="1" x14ac:dyDescent="0.25">
      <c r="A324" t="s">
        <v>5553</v>
      </c>
      <c r="B324">
        <v>1010</v>
      </c>
      <c r="C324" t="s">
        <v>170</v>
      </c>
      <c r="D324">
        <v>1.6</v>
      </c>
      <c r="E324">
        <v>40</v>
      </c>
      <c r="F324">
        <v>20</v>
      </c>
      <c r="G324">
        <v>0.48</v>
      </c>
      <c r="H324" t="s">
        <v>5720</v>
      </c>
      <c r="I324" t="s">
        <v>5721</v>
      </c>
      <c r="J324">
        <v>1940815</v>
      </c>
      <c r="K324" t="s">
        <v>790</v>
      </c>
      <c r="L324" t="s">
        <v>10</v>
      </c>
      <c r="M324" t="s">
        <v>661</v>
      </c>
      <c r="N324" t="s">
        <v>791</v>
      </c>
    </row>
    <row r="325" spans="1:14" hidden="1" x14ac:dyDescent="0.25">
      <c r="A325" t="s">
        <v>5553</v>
      </c>
      <c r="B325">
        <v>73</v>
      </c>
      <c r="C325" t="s">
        <v>170</v>
      </c>
      <c r="D325">
        <v>1.6</v>
      </c>
      <c r="E325">
        <v>40</v>
      </c>
      <c r="F325">
        <v>20</v>
      </c>
      <c r="G325">
        <v>0.48</v>
      </c>
      <c r="H325" t="s">
        <v>5720</v>
      </c>
      <c r="I325" t="s">
        <v>5721</v>
      </c>
      <c r="J325">
        <v>1940815</v>
      </c>
      <c r="K325" t="s">
        <v>790</v>
      </c>
      <c r="L325" t="s">
        <v>10</v>
      </c>
      <c r="M325" t="s">
        <v>661</v>
      </c>
      <c r="N325" t="s">
        <v>791</v>
      </c>
    </row>
    <row r="326" spans="1:14" hidden="1" x14ac:dyDescent="0.25">
      <c r="A326" t="s">
        <v>5553</v>
      </c>
      <c r="B326">
        <v>187</v>
      </c>
      <c r="C326" t="s">
        <v>170</v>
      </c>
      <c r="D326">
        <v>1.6</v>
      </c>
      <c r="E326">
        <v>40</v>
      </c>
      <c r="F326">
        <v>20</v>
      </c>
      <c r="G326">
        <v>0.48</v>
      </c>
      <c r="H326" t="s">
        <v>5720</v>
      </c>
      <c r="I326" t="s">
        <v>5721</v>
      </c>
      <c r="J326">
        <v>1940815</v>
      </c>
      <c r="K326" t="s">
        <v>790</v>
      </c>
      <c r="L326" t="s">
        <v>10</v>
      </c>
      <c r="M326" t="s">
        <v>661</v>
      </c>
      <c r="N326" t="s">
        <v>791</v>
      </c>
    </row>
    <row r="327" spans="1:14" hidden="1" x14ac:dyDescent="0.25">
      <c r="A327" t="s">
        <v>5553</v>
      </c>
      <c r="B327">
        <v>2500</v>
      </c>
      <c r="C327" t="s">
        <v>170</v>
      </c>
      <c r="D327">
        <v>2</v>
      </c>
      <c r="E327">
        <v>40</v>
      </c>
      <c r="F327">
        <v>30</v>
      </c>
      <c r="G327">
        <v>0.14800000000000002</v>
      </c>
      <c r="H327" t="s">
        <v>5722</v>
      </c>
      <c r="I327" t="s">
        <v>5723</v>
      </c>
      <c r="J327">
        <v>4098592</v>
      </c>
      <c r="K327" t="s">
        <v>579</v>
      </c>
      <c r="L327" t="s">
        <v>10</v>
      </c>
      <c r="M327" t="s">
        <v>578</v>
      </c>
      <c r="N327" t="s">
        <v>580</v>
      </c>
    </row>
    <row r="328" spans="1:14" hidden="1" x14ac:dyDescent="0.25">
      <c r="A328" t="s">
        <v>5553</v>
      </c>
      <c r="B328">
        <v>2945</v>
      </c>
      <c r="C328" t="s">
        <v>170</v>
      </c>
      <c r="D328">
        <v>2</v>
      </c>
      <c r="E328">
        <v>40</v>
      </c>
      <c r="F328">
        <v>30</v>
      </c>
      <c r="G328">
        <v>0.14800000000000002</v>
      </c>
      <c r="H328" t="s">
        <v>5722</v>
      </c>
      <c r="I328" t="s">
        <v>5723</v>
      </c>
      <c r="J328">
        <v>4098592</v>
      </c>
      <c r="K328" t="s">
        <v>579</v>
      </c>
      <c r="L328" t="s">
        <v>10</v>
      </c>
      <c r="M328" t="s">
        <v>578</v>
      </c>
      <c r="N328" t="s">
        <v>580</v>
      </c>
    </row>
    <row r="329" spans="1:14" hidden="1" x14ac:dyDescent="0.25">
      <c r="A329" t="s">
        <v>5553</v>
      </c>
      <c r="B329">
        <v>1600</v>
      </c>
      <c r="C329" t="s">
        <v>170</v>
      </c>
      <c r="D329">
        <v>2</v>
      </c>
      <c r="E329">
        <v>40</v>
      </c>
      <c r="F329">
        <v>30</v>
      </c>
      <c r="G329">
        <v>0.16200000000000001</v>
      </c>
      <c r="H329" t="s">
        <v>5724</v>
      </c>
      <c r="I329" t="s">
        <v>5725</v>
      </c>
      <c r="J329">
        <v>4098593</v>
      </c>
      <c r="K329" t="s">
        <v>1896</v>
      </c>
      <c r="L329" t="s">
        <v>10</v>
      </c>
      <c r="M329" t="s">
        <v>578</v>
      </c>
      <c r="N329" t="s">
        <v>2308</v>
      </c>
    </row>
    <row r="330" spans="1:14" hidden="1" x14ac:dyDescent="0.25">
      <c r="A330" t="s">
        <v>5553</v>
      </c>
      <c r="B330">
        <v>2202</v>
      </c>
      <c r="C330" t="s">
        <v>170</v>
      </c>
      <c r="D330">
        <v>2</v>
      </c>
      <c r="E330">
        <v>40</v>
      </c>
      <c r="F330">
        <v>30</v>
      </c>
      <c r="G330">
        <v>0.16200000000000001</v>
      </c>
      <c r="H330" t="s">
        <v>5724</v>
      </c>
      <c r="I330" t="s">
        <v>5725</v>
      </c>
      <c r="J330">
        <v>4098593</v>
      </c>
      <c r="K330" t="s">
        <v>1896</v>
      </c>
      <c r="L330" t="s">
        <v>10</v>
      </c>
      <c r="M330" t="s">
        <v>578</v>
      </c>
      <c r="N330" t="s">
        <v>2308</v>
      </c>
    </row>
    <row r="331" spans="1:14" hidden="1" x14ac:dyDescent="0.25">
      <c r="A331" t="s">
        <v>5553</v>
      </c>
      <c r="B331">
        <v>2096</v>
      </c>
      <c r="C331" t="s">
        <v>170</v>
      </c>
      <c r="D331">
        <v>2</v>
      </c>
      <c r="E331">
        <v>40</v>
      </c>
      <c r="F331">
        <v>30</v>
      </c>
      <c r="G331">
        <v>0.16200000000000001</v>
      </c>
      <c r="H331" t="s">
        <v>5726</v>
      </c>
      <c r="I331" t="s">
        <v>5727</v>
      </c>
      <c r="J331">
        <v>4098593</v>
      </c>
      <c r="K331" t="s">
        <v>1896</v>
      </c>
      <c r="L331" t="s">
        <v>10</v>
      </c>
      <c r="M331" t="s">
        <v>578</v>
      </c>
      <c r="N331" t="s">
        <v>2308</v>
      </c>
    </row>
    <row r="332" spans="1:14" hidden="1" x14ac:dyDescent="0.25">
      <c r="A332" t="s">
        <v>5553</v>
      </c>
      <c r="B332">
        <v>2000</v>
      </c>
      <c r="C332" t="s">
        <v>170</v>
      </c>
      <c r="D332">
        <v>2</v>
      </c>
      <c r="E332">
        <v>40</v>
      </c>
      <c r="F332">
        <v>30</v>
      </c>
      <c r="G332">
        <v>0.16200000000000001</v>
      </c>
      <c r="H332" t="s">
        <v>5726</v>
      </c>
      <c r="I332" t="s">
        <v>5727</v>
      </c>
      <c r="J332">
        <v>4098593</v>
      </c>
      <c r="K332" t="s">
        <v>1896</v>
      </c>
      <c r="L332" t="s">
        <v>10</v>
      </c>
      <c r="M332" t="s">
        <v>578</v>
      </c>
      <c r="N332" t="s">
        <v>2308</v>
      </c>
    </row>
    <row r="333" spans="1:14" hidden="1" x14ac:dyDescent="0.25">
      <c r="A333" t="s">
        <v>5553</v>
      </c>
      <c r="B333">
        <v>3209</v>
      </c>
      <c r="C333" t="s">
        <v>170</v>
      </c>
      <c r="D333">
        <v>2</v>
      </c>
      <c r="E333">
        <v>40</v>
      </c>
      <c r="F333">
        <v>30</v>
      </c>
      <c r="G333">
        <v>0.16200000000000001</v>
      </c>
      <c r="H333" t="s">
        <v>5726</v>
      </c>
      <c r="I333" t="s">
        <v>5727</v>
      </c>
      <c r="J333">
        <v>4098593</v>
      </c>
      <c r="K333" t="s">
        <v>1896</v>
      </c>
      <c r="L333" t="s">
        <v>10</v>
      </c>
      <c r="M333" t="s">
        <v>578</v>
      </c>
      <c r="N333" t="s">
        <v>2308</v>
      </c>
    </row>
    <row r="334" spans="1:14" hidden="1" x14ac:dyDescent="0.25">
      <c r="A334" t="s">
        <v>5553</v>
      </c>
      <c r="B334">
        <v>357</v>
      </c>
      <c r="C334" t="s">
        <v>46</v>
      </c>
      <c r="D334">
        <v>2</v>
      </c>
      <c r="E334">
        <v>40</v>
      </c>
      <c r="F334">
        <v>30</v>
      </c>
      <c r="G334">
        <v>0.87</v>
      </c>
      <c r="H334" t="s">
        <v>5726</v>
      </c>
      <c r="I334" t="s">
        <v>5727</v>
      </c>
      <c r="J334">
        <v>1940837</v>
      </c>
      <c r="K334" t="s">
        <v>593</v>
      </c>
      <c r="L334" t="s">
        <v>10</v>
      </c>
      <c r="M334" t="s">
        <v>578</v>
      </c>
      <c r="N334" t="s">
        <v>594</v>
      </c>
    </row>
    <row r="335" spans="1:14" hidden="1" x14ac:dyDescent="0.25">
      <c r="A335" t="s">
        <v>5553</v>
      </c>
      <c r="B335">
        <v>2335</v>
      </c>
      <c r="C335" t="s">
        <v>46</v>
      </c>
      <c r="D335">
        <v>2</v>
      </c>
      <c r="E335">
        <v>40</v>
      </c>
      <c r="F335">
        <v>30</v>
      </c>
      <c r="G335">
        <v>0.87</v>
      </c>
      <c r="H335" t="s">
        <v>5726</v>
      </c>
      <c r="I335" t="s">
        <v>5727</v>
      </c>
      <c r="J335">
        <v>1940837</v>
      </c>
      <c r="K335" t="s">
        <v>593</v>
      </c>
      <c r="L335" t="s">
        <v>10</v>
      </c>
      <c r="M335" t="s">
        <v>578</v>
      </c>
      <c r="N335" t="s">
        <v>594</v>
      </c>
    </row>
    <row r="336" spans="1:14" hidden="1" x14ac:dyDescent="0.25">
      <c r="A336" t="s">
        <v>5553</v>
      </c>
      <c r="B336">
        <v>2320</v>
      </c>
      <c r="C336" t="s">
        <v>46</v>
      </c>
      <c r="D336">
        <v>2</v>
      </c>
      <c r="E336">
        <v>40</v>
      </c>
      <c r="F336">
        <v>30</v>
      </c>
      <c r="G336">
        <v>0.87</v>
      </c>
      <c r="H336" t="s">
        <v>5726</v>
      </c>
      <c r="I336" t="s">
        <v>5727</v>
      </c>
      <c r="J336">
        <v>1940837</v>
      </c>
      <c r="K336" t="s">
        <v>593</v>
      </c>
      <c r="L336" t="s">
        <v>10</v>
      </c>
      <c r="M336" t="s">
        <v>578</v>
      </c>
      <c r="N336" t="s">
        <v>594</v>
      </c>
    </row>
    <row r="337" spans="1:14" hidden="1" x14ac:dyDescent="0.25">
      <c r="A337" t="s">
        <v>5553</v>
      </c>
      <c r="B337">
        <v>2280</v>
      </c>
      <c r="C337" t="s">
        <v>46</v>
      </c>
      <c r="D337">
        <v>2</v>
      </c>
      <c r="E337">
        <v>40</v>
      </c>
      <c r="F337">
        <v>30</v>
      </c>
      <c r="G337">
        <v>0.87</v>
      </c>
      <c r="H337" t="s">
        <v>5726</v>
      </c>
      <c r="I337" t="s">
        <v>5727</v>
      </c>
      <c r="J337">
        <v>1940837</v>
      </c>
      <c r="K337" t="s">
        <v>593</v>
      </c>
      <c r="L337" t="s">
        <v>10</v>
      </c>
      <c r="M337" t="s">
        <v>578</v>
      </c>
      <c r="N337" t="s">
        <v>594</v>
      </c>
    </row>
    <row r="338" spans="1:14" hidden="1" x14ac:dyDescent="0.25">
      <c r="A338" t="s">
        <v>5553</v>
      </c>
      <c r="B338">
        <v>2300</v>
      </c>
      <c r="C338" t="s">
        <v>46</v>
      </c>
      <c r="D338">
        <v>2</v>
      </c>
      <c r="E338">
        <v>40</v>
      </c>
      <c r="F338">
        <v>30</v>
      </c>
      <c r="G338">
        <v>0.87</v>
      </c>
      <c r="H338" t="s">
        <v>5726</v>
      </c>
      <c r="I338" t="s">
        <v>5727</v>
      </c>
      <c r="J338">
        <v>1940837</v>
      </c>
      <c r="K338" t="s">
        <v>593</v>
      </c>
      <c r="L338" t="s">
        <v>10</v>
      </c>
      <c r="M338" t="s">
        <v>578</v>
      </c>
      <c r="N338" t="s">
        <v>594</v>
      </c>
    </row>
    <row r="339" spans="1:14" hidden="1" x14ac:dyDescent="0.25">
      <c r="A339" t="s">
        <v>5553</v>
      </c>
      <c r="B339">
        <v>492</v>
      </c>
      <c r="C339" t="s">
        <v>39</v>
      </c>
      <c r="D339">
        <v>2</v>
      </c>
      <c r="E339">
        <v>40</v>
      </c>
      <c r="F339">
        <v>30</v>
      </c>
      <c r="G339">
        <v>0.88</v>
      </c>
      <c r="H339" t="s">
        <v>5724</v>
      </c>
      <c r="I339" t="s">
        <v>5725</v>
      </c>
      <c r="J339">
        <v>1940838</v>
      </c>
      <c r="K339" t="s">
        <v>659</v>
      </c>
      <c r="L339" t="s">
        <v>10</v>
      </c>
      <c r="M339" t="s">
        <v>578</v>
      </c>
      <c r="N339" t="s">
        <v>660</v>
      </c>
    </row>
    <row r="340" spans="1:14" hidden="1" x14ac:dyDescent="0.25">
      <c r="A340" t="s">
        <v>5553</v>
      </c>
      <c r="B340">
        <v>1657</v>
      </c>
      <c r="C340" t="s">
        <v>60</v>
      </c>
      <c r="D340">
        <v>1.2</v>
      </c>
      <c r="E340">
        <v>40</v>
      </c>
      <c r="F340">
        <v>40</v>
      </c>
      <c r="G340">
        <v>8.5000000000000006E-2</v>
      </c>
      <c r="H340" t="s">
        <v>5728</v>
      </c>
      <c r="I340" t="s">
        <v>5729</v>
      </c>
      <c r="J340">
        <v>3938685</v>
      </c>
      <c r="K340" t="s">
        <v>2313</v>
      </c>
      <c r="L340" t="s">
        <v>10</v>
      </c>
      <c r="M340" t="s">
        <v>445</v>
      </c>
      <c r="N340" t="s">
        <v>2314</v>
      </c>
    </row>
    <row r="341" spans="1:14" hidden="1" x14ac:dyDescent="0.25">
      <c r="A341" t="s">
        <v>5553</v>
      </c>
      <c r="B341">
        <v>750</v>
      </c>
      <c r="C341" t="s">
        <v>60</v>
      </c>
      <c r="D341">
        <v>1.2</v>
      </c>
      <c r="E341">
        <v>40</v>
      </c>
      <c r="F341">
        <v>40</v>
      </c>
      <c r="G341">
        <v>0.115</v>
      </c>
      <c r="H341" t="s">
        <v>5730</v>
      </c>
      <c r="I341" t="s">
        <v>5731</v>
      </c>
      <c r="J341">
        <v>4151471</v>
      </c>
      <c r="K341" t="s">
        <v>544</v>
      </c>
      <c r="L341" t="s">
        <v>10</v>
      </c>
      <c r="M341" t="s">
        <v>445</v>
      </c>
      <c r="N341" t="s">
        <v>545</v>
      </c>
    </row>
    <row r="342" spans="1:14" hidden="1" x14ac:dyDescent="0.25">
      <c r="A342" t="s">
        <v>5553</v>
      </c>
      <c r="B342">
        <v>1508</v>
      </c>
      <c r="C342" t="s">
        <v>60</v>
      </c>
      <c r="D342">
        <v>1.2</v>
      </c>
      <c r="E342">
        <v>40</v>
      </c>
      <c r="F342">
        <v>40</v>
      </c>
      <c r="G342">
        <v>0.115</v>
      </c>
      <c r="H342" t="s">
        <v>5730</v>
      </c>
      <c r="I342" t="s">
        <v>5731</v>
      </c>
      <c r="J342">
        <v>4151471</v>
      </c>
      <c r="K342" t="s">
        <v>544</v>
      </c>
      <c r="L342" t="s">
        <v>10</v>
      </c>
      <c r="M342" t="s">
        <v>445</v>
      </c>
      <c r="N342" t="s">
        <v>545</v>
      </c>
    </row>
    <row r="343" spans="1:14" hidden="1" x14ac:dyDescent="0.25">
      <c r="A343" t="s">
        <v>5553</v>
      </c>
      <c r="B343">
        <v>952</v>
      </c>
      <c r="C343" t="s">
        <v>60</v>
      </c>
      <c r="D343">
        <v>1.2</v>
      </c>
      <c r="E343">
        <v>40</v>
      </c>
      <c r="F343">
        <v>40</v>
      </c>
      <c r="G343">
        <v>0.125</v>
      </c>
      <c r="H343" t="s">
        <v>5732</v>
      </c>
      <c r="I343" t="s">
        <v>5733</v>
      </c>
      <c r="J343">
        <v>1940849</v>
      </c>
      <c r="K343" t="s">
        <v>690</v>
      </c>
      <c r="L343" t="s">
        <v>10</v>
      </c>
      <c r="M343" t="s">
        <v>445</v>
      </c>
      <c r="N343" t="s">
        <v>691</v>
      </c>
    </row>
    <row r="344" spans="1:14" hidden="1" x14ac:dyDescent="0.25">
      <c r="A344" t="s">
        <v>5553</v>
      </c>
      <c r="B344">
        <v>1448</v>
      </c>
      <c r="C344" t="s">
        <v>60</v>
      </c>
      <c r="D344">
        <v>1.2</v>
      </c>
      <c r="E344">
        <v>40</v>
      </c>
      <c r="F344">
        <v>40</v>
      </c>
      <c r="G344">
        <v>0.125</v>
      </c>
      <c r="H344" t="s">
        <v>5732</v>
      </c>
      <c r="I344" t="s">
        <v>5733</v>
      </c>
      <c r="J344">
        <v>1940849</v>
      </c>
      <c r="K344" t="s">
        <v>690</v>
      </c>
      <c r="L344" t="s">
        <v>10</v>
      </c>
      <c r="M344" t="s">
        <v>445</v>
      </c>
      <c r="N344" t="s">
        <v>691</v>
      </c>
    </row>
    <row r="345" spans="1:14" hidden="1" x14ac:dyDescent="0.25">
      <c r="A345" t="s">
        <v>5553</v>
      </c>
      <c r="B345">
        <v>1241</v>
      </c>
      <c r="C345" t="s">
        <v>60</v>
      </c>
      <c r="D345">
        <v>1.2</v>
      </c>
      <c r="E345">
        <v>40</v>
      </c>
      <c r="F345">
        <v>40</v>
      </c>
      <c r="G345">
        <v>0.14000000000000001</v>
      </c>
      <c r="H345" t="s">
        <v>5730</v>
      </c>
      <c r="I345" t="s">
        <v>5731</v>
      </c>
      <c r="J345">
        <v>1940850</v>
      </c>
      <c r="K345" t="s">
        <v>688</v>
      </c>
      <c r="L345" t="s">
        <v>10</v>
      </c>
      <c r="M345" t="s">
        <v>445</v>
      </c>
      <c r="N345" t="s">
        <v>689</v>
      </c>
    </row>
    <row r="346" spans="1:14" hidden="1" x14ac:dyDescent="0.25">
      <c r="A346" t="s">
        <v>5553</v>
      </c>
      <c r="B346">
        <v>1436</v>
      </c>
      <c r="C346" t="s">
        <v>60</v>
      </c>
      <c r="D346">
        <v>1.2</v>
      </c>
      <c r="E346">
        <v>40</v>
      </c>
      <c r="F346">
        <v>40</v>
      </c>
      <c r="G346">
        <v>0.14000000000000001</v>
      </c>
      <c r="H346" t="s">
        <v>5730</v>
      </c>
      <c r="I346" t="s">
        <v>5731</v>
      </c>
      <c r="J346">
        <v>1940850</v>
      </c>
      <c r="K346" t="s">
        <v>688</v>
      </c>
      <c r="L346" t="s">
        <v>10</v>
      </c>
      <c r="M346" t="s">
        <v>445</v>
      </c>
      <c r="N346" t="s">
        <v>689</v>
      </c>
    </row>
    <row r="347" spans="1:14" hidden="1" x14ac:dyDescent="0.25">
      <c r="A347" t="s">
        <v>5553</v>
      </c>
      <c r="B347">
        <v>1459</v>
      </c>
      <c r="C347" t="s">
        <v>60</v>
      </c>
      <c r="D347">
        <v>1.2</v>
      </c>
      <c r="E347">
        <v>40</v>
      </c>
      <c r="F347">
        <v>40</v>
      </c>
      <c r="G347">
        <v>0.158</v>
      </c>
      <c r="H347" t="s">
        <v>5730</v>
      </c>
      <c r="I347" t="s">
        <v>5731</v>
      </c>
      <c r="J347">
        <v>3572055</v>
      </c>
      <c r="K347" t="s">
        <v>542</v>
      </c>
      <c r="L347" t="s">
        <v>10</v>
      </c>
      <c r="M347" t="s">
        <v>445</v>
      </c>
      <c r="N347" t="s">
        <v>543</v>
      </c>
    </row>
    <row r="348" spans="1:14" hidden="1" x14ac:dyDescent="0.25">
      <c r="A348" t="s">
        <v>5553</v>
      </c>
      <c r="B348">
        <v>2100</v>
      </c>
      <c r="C348" t="s">
        <v>46</v>
      </c>
      <c r="D348">
        <v>3.2</v>
      </c>
      <c r="E348">
        <v>41.28</v>
      </c>
      <c r="F348">
        <v>0</v>
      </c>
      <c r="G348">
        <v>0.23</v>
      </c>
      <c r="H348" t="s">
        <v>5734</v>
      </c>
      <c r="I348" t="s">
        <v>5735</v>
      </c>
      <c r="J348">
        <v>4010435</v>
      </c>
      <c r="K348" t="s">
        <v>878</v>
      </c>
      <c r="L348" t="s">
        <v>10</v>
      </c>
      <c r="M348" t="s">
        <v>654</v>
      </c>
      <c r="N348" t="s">
        <v>879</v>
      </c>
    </row>
    <row r="349" spans="1:14" hidden="1" x14ac:dyDescent="0.25">
      <c r="A349" t="s">
        <v>5553</v>
      </c>
      <c r="B349">
        <v>2043</v>
      </c>
      <c r="C349" t="s">
        <v>46</v>
      </c>
      <c r="D349">
        <v>3.2</v>
      </c>
      <c r="E349">
        <v>41.28</v>
      </c>
      <c r="F349">
        <v>0</v>
      </c>
      <c r="G349">
        <v>0.23</v>
      </c>
      <c r="H349" t="s">
        <v>5734</v>
      </c>
      <c r="I349" t="s">
        <v>5735</v>
      </c>
      <c r="J349">
        <v>4010435</v>
      </c>
      <c r="K349" t="s">
        <v>878</v>
      </c>
      <c r="L349" t="s">
        <v>10</v>
      </c>
      <c r="M349" t="s">
        <v>654</v>
      </c>
      <c r="N349" t="s">
        <v>879</v>
      </c>
    </row>
    <row r="350" spans="1:14" hidden="1" x14ac:dyDescent="0.25">
      <c r="A350" t="s">
        <v>5553</v>
      </c>
      <c r="B350">
        <v>859</v>
      </c>
      <c r="C350" t="s">
        <v>46</v>
      </c>
      <c r="D350">
        <v>3.2</v>
      </c>
      <c r="E350">
        <v>41.28</v>
      </c>
      <c r="F350">
        <v>0</v>
      </c>
      <c r="G350">
        <v>0.23</v>
      </c>
      <c r="H350" t="s">
        <v>5734</v>
      </c>
      <c r="I350" t="s">
        <v>5735</v>
      </c>
      <c r="J350">
        <v>4010435</v>
      </c>
      <c r="K350" t="s">
        <v>878</v>
      </c>
      <c r="L350" t="s">
        <v>10</v>
      </c>
      <c r="M350" t="s">
        <v>654</v>
      </c>
      <c r="N350" t="s">
        <v>879</v>
      </c>
    </row>
    <row r="351" spans="1:14" hidden="1" x14ac:dyDescent="0.25">
      <c r="A351" t="s">
        <v>5553</v>
      </c>
      <c r="B351">
        <v>500</v>
      </c>
      <c r="C351" t="s">
        <v>39</v>
      </c>
      <c r="D351">
        <v>3.2</v>
      </c>
      <c r="E351">
        <v>41.28</v>
      </c>
      <c r="F351">
        <v>0</v>
      </c>
      <c r="G351">
        <v>0.246</v>
      </c>
      <c r="H351" t="s">
        <v>5736</v>
      </c>
      <c r="I351" t="s">
        <v>5737</v>
      </c>
      <c r="J351">
        <v>3768907</v>
      </c>
      <c r="K351" t="s">
        <v>655</v>
      </c>
      <c r="L351" t="s">
        <v>10</v>
      </c>
      <c r="M351" t="s">
        <v>654</v>
      </c>
      <c r="N351" t="s">
        <v>656</v>
      </c>
    </row>
    <row r="352" spans="1:14" hidden="1" x14ac:dyDescent="0.25">
      <c r="A352" t="s">
        <v>5553</v>
      </c>
      <c r="B352">
        <v>1639</v>
      </c>
      <c r="C352" t="s">
        <v>39</v>
      </c>
      <c r="D352">
        <v>3.2</v>
      </c>
      <c r="E352">
        <v>41.28</v>
      </c>
      <c r="F352">
        <v>0</v>
      </c>
      <c r="G352">
        <v>0.246</v>
      </c>
      <c r="H352" t="s">
        <v>5736</v>
      </c>
      <c r="I352" t="s">
        <v>5737</v>
      </c>
      <c r="J352">
        <v>3768907</v>
      </c>
      <c r="K352" t="s">
        <v>655</v>
      </c>
      <c r="L352" t="s">
        <v>10</v>
      </c>
      <c r="M352" t="s">
        <v>654</v>
      </c>
      <c r="N352" t="s">
        <v>656</v>
      </c>
    </row>
    <row r="353" spans="1:14" hidden="1" x14ac:dyDescent="0.25">
      <c r="A353" t="s">
        <v>5553</v>
      </c>
      <c r="B353">
        <v>368</v>
      </c>
      <c r="C353" t="s">
        <v>39</v>
      </c>
      <c r="D353">
        <v>1.2</v>
      </c>
      <c r="E353">
        <v>48.6</v>
      </c>
      <c r="F353">
        <v>0</v>
      </c>
      <c r="G353">
        <v>0.33600000000000002</v>
      </c>
      <c r="H353" t="s">
        <v>5738</v>
      </c>
      <c r="I353" t="s">
        <v>5739</v>
      </c>
      <c r="J353">
        <v>2325421</v>
      </c>
      <c r="K353" t="s">
        <v>795</v>
      </c>
      <c r="L353" t="s">
        <v>10</v>
      </c>
      <c r="M353" t="s">
        <v>794</v>
      </c>
      <c r="N353" t="s">
        <v>796</v>
      </c>
    </row>
    <row r="354" spans="1:14" hidden="1" x14ac:dyDescent="0.25">
      <c r="A354" t="s">
        <v>5553</v>
      </c>
      <c r="B354">
        <v>213</v>
      </c>
      <c r="C354" t="s">
        <v>160</v>
      </c>
      <c r="D354">
        <v>1.2</v>
      </c>
      <c r="E354">
        <v>48.6</v>
      </c>
      <c r="F354">
        <v>0</v>
      </c>
      <c r="G354">
        <v>0.33600000000000002</v>
      </c>
      <c r="H354" t="s">
        <v>5738</v>
      </c>
      <c r="I354" t="s">
        <v>5739</v>
      </c>
      <c r="J354">
        <v>2325421</v>
      </c>
      <c r="K354" t="s">
        <v>795</v>
      </c>
      <c r="L354" t="s">
        <v>10</v>
      </c>
      <c r="M354" t="s">
        <v>794</v>
      </c>
      <c r="N354" t="s">
        <v>796</v>
      </c>
    </row>
    <row r="355" spans="1:14" hidden="1" x14ac:dyDescent="0.25">
      <c r="A355" t="s">
        <v>5553</v>
      </c>
      <c r="B355">
        <v>523</v>
      </c>
      <c r="C355" t="s">
        <v>39</v>
      </c>
      <c r="D355">
        <v>1.2</v>
      </c>
      <c r="E355">
        <v>48.6</v>
      </c>
      <c r="F355">
        <v>0</v>
      </c>
      <c r="G355">
        <v>0.33600000000000002</v>
      </c>
      <c r="H355" t="s">
        <v>5738</v>
      </c>
      <c r="I355" t="s">
        <v>5739</v>
      </c>
      <c r="J355">
        <v>2325421</v>
      </c>
      <c r="K355" t="s">
        <v>795</v>
      </c>
      <c r="L355" t="s">
        <v>10</v>
      </c>
      <c r="M355" t="s">
        <v>794</v>
      </c>
      <c r="N355" t="s">
        <v>796</v>
      </c>
    </row>
    <row r="356" spans="1:14" hidden="1" x14ac:dyDescent="0.25">
      <c r="A356" t="s">
        <v>5553</v>
      </c>
      <c r="B356">
        <v>1576</v>
      </c>
      <c r="C356" t="s">
        <v>160</v>
      </c>
      <c r="D356">
        <v>1.2</v>
      </c>
      <c r="E356">
        <v>48.6</v>
      </c>
      <c r="F356">
        <v>0</v>
      </c>
      <c r="G356">
        <v>0.33600000000000002</v>
      </c>
      <c r="H356" t="s">
        <v>5738</v>
      </c>
      <c r="I356" t="s">
        <v>5739</v>
      </c>
      <c r="J356">
        <v>2325421</v>
      </c>
      <c r="K356" t="s">
        <v>795</v>
      </c>
      <c r="L356" t="s">
        <v>10</v>
      </c>
      <c r="M356" t="s">
        <v>794</v>
      </c>
      <c r="N356" t="s">
        <v>796</v>
      </c>
    </row>
    <row r="357" spans="1:14" hidden="1" x14ac:dyDescent="0.25">
      <c r="A357" t="s">
        <v>5553</v>
      </c>
      <c r="B357">
        <v>1584</v>
      </c>
      <c r="C357" t="s">
        <v>160</v>
      </c>
      <c r="D357">
        <v>1.2</v>
      </c>
      <c r="E357">
        <v>48.6</v>
      </c>
      <c r="F357">
        <v>0</v>
      </c>
      <c r="G357">
        <v>0.33600000000000002</v>
      </c>
      <c r="H357" t="s">
        <v>5738</v>
      </c>
      <c r="I357" t="s">
        <v>5739</v>
      </c>
      <c r="J357">
        <v>2325421</v>
      </c>
      <c r="K357" t="s">
        <v>795</v>
      </c>
      <c r="L357" t="s">
        <v>10</v>
      </c>
      <c r="M357" t="s">
        <v>794</v>
      </c>
      <c r="N357" t="s">
        <v>796</v>
      </c>
    </row>
    <row r="358" spans="1:14" hidden="1" x14ac:dyDescent="0.25">
      <c r="A358" t="s">
        <v>5553</v>
      </c>
      <c r="B358">
        <v>1617</v>
      </c>
      <c r="C358" t="s">
        <v>39</v>
      </c>
      <c r="D358">
        <v>1.2</v>
      </c>
      <c r="E358">
        <v>48.6</v>
      </c>
      <c r="F358">
        <v>0</v>
      </c>
      <c r="G358">
        <v>0.33600000000000002</v>
      </c>
      <c r="H358" t="s">
        <v>5738</v>
      </c>
      <c r="I358" t="s">
        <v>5739</v>
      </c>
      <c r="J358">
        <v>2325421</v>
      </c>
      <c r="K358" t="s">
        <v>795</v>
      </c>
      <c r="L358" t="s">
        <v>10</v>
      </c>
      <c r="M358" t="s">
        <v>794</v>
      </c>
      <c r="N358" t="s">
        <v>796</v>
      </c>
    </row>
    <row r="359" spans="1:14" hidden="1" x14ac:dyDescent="0.25">
      <c r="A359" t="s">
        <v>5553</v>
      </c>
      <c r="B359">
        <v>1609</v>
      </c>
      <c r="C359" t="s">
        <v>39</v>
      </c>
      <c r="D359">
        <v>1.2</v>
      </c>
      <c r="E359">
        <v>48.6</v>
      </c>
      <c r="F359">
        <v>0</v>
      </c>
      <c r="G359">
        <v>0.33600000000000002</v>
      </c>
      <c r="H359" t="s">
        <v>5738</v>
      </c>
      <c r="I359" t="s">
        <v>5739</v>
      </c>
      <c r="J359">
        <v>2325421</v>
      </c>
      <c r="K359" t="s">
        <v>795</v>
      </c>
      <c r="L359" t="s">
        <v>10</v>
      </c>
      <c r="M359" t="s">
        <v>794</v>
      </c>
      <c r="N359" t="s">
        <v>796</v>
      </c>
    </row>
    <row r="360" spans="1:14" hidden="1" x14ac:dyDescent="0.25">
      <c r="A360" t="s">
        <v>5553</v>
      </c>
      <c r="B360">
        <v>1633</v>
      </c>
      <c r="C360" t="s">
        <v>39</v>
      </c>
      <c r="D360">
        <v>1.2</v>
      </c>
      <c r="E360">
        <v>48.6</v>
      </c>
      <c r="F360">
        <v>0</v>
      </c>
      <c r="G360">
        <v>0.33600000000000002</v>
      </c>
      <c r="H360" t="s">
        <v>5738</v>
      </c>
      <c r="I360" t="s">
        <v>5739</v>
      </c>
      <c r="J360">
        <v>2325421</v>
      </c>
      <c r="K360" t="s">
        <v>795</v>
      </c>
      <c r="L360" t="s">
        <v>10</v>
      </c>
      <c r="M360" t="s">
        <v>794</v>
      </c>
      <c r="N360" t="s">
        <v>796</v>
      </c>
    </row>
    <row r="361" spans="1:14" hidden="1" x14ac:dyDescent="0.25">
      <c r="A361" t="s">
        <v>5553</v>
      </c>
      <c r="B361">
        <v>1496</v>
      </c>
      <c r="C361" t="s">
        <v>39</v>
      </c>
      <c r="D361">
        <v>1.2</v>
      </c>
      <c r="E361">
        <v>48.6</v>
      </c>
      <c r="F361">
        <v>0</v>
      </c>
      <c r="G361">
        <v>0.33600000000000002</v>
      </c>
      <c r="H361" t="s">
        <v>5738</v>
      </c>
      <c r="I361" t="s">
        <v>5739</v>
      </c>
      <c r="J361">
        <v>2325421</v>
      </c>
      <c r="K361" t="s">
        <v>795</v>
      </c>
      <c r="L361" t="s">
        <v>10</v>
      </c>
      <c r="M361" t="s">
        <v>794</v>
      </c>
      <c r="N361" t="s">
        <v>796</v>
      </c>
    </row>
    <row r="362" spans="1:14" hidden="1" x14ac:dyDescent="0.25">
      <c r="A362" t="s">
        <v>5553</v>
      </c>
      <c r="B362">
        <v>1625</v>
      </c>
      <c r="C362" t="s">
        <v>39</v>
      </c>
      <c r="D362">
        <v>1.2</v>
      </c>
      <c r="E362">
        <v>48.6</v>
      </c>
      <c r="F362">
        <v>0</v>
      </c>
      <c r="G362">
        <v>0.33600000000000002</v>
      </c>
      <c r="H362" t="s">
        <v>5738</v>
      </c>
      <c r="I362" t="s">
        <v>5739</v>
      </c>
      <c r="J362">
        <v>2325421</v>
      </c>
      <c r="K362" t="s">
        <v>795</v>
      </c>
      <c r="L362" t="s">
        <v>10</v>
      </c>
      <c r="M362" t="s">
        <v>794</v>
      </c>
      <c r="N362" t="s">
        <v>796</v>
      </c>
    </row>
    <row r="363" spans="1:14" hidden="1" x14ac:dyDescent="0.25">
      <c r="A363" t="s">
        <v>5553</v>
      </c>
      <c r="B363">
        <v>1609</v>
      </c>
      <c r="C363" t="s">
        <v>39</v>
      </c>
      <c r="D363">
        <v>1.2</v>
      </c>
      <c r="E363">
        <v>48.6</v>
      </c>
      <c r="F363">
        <v>0</v>
      </c>
      <c r="G363">
        <v>0.33600000000000002</v>
      </c>
      <c r="H363" t="s">
        <v>5738</v>
      </c>
      <c r="I363" t="s">
        <v>5739</v>
      </c>
      <c r="J363">
        <v>2325421</v>
      </c>
      <c r="K363" t="s">
        <v>795</v>
      </c>
      <c r="L363" t="s">
        <v>10</v>
      </c>
      <c r="M363" t="s">
        <v>794</v>
      </c>
      <c r="N363" t="s">
        <v>796</v>
      </c>
    </row>
    <row r="364" spans="1:14" hidden="1" x14ac:dyDescent="0.25">
      <c r="A364" t="s">
        <v>5553</v>
      </c>
      <c r="B364">
        <v>1618</v>
      </c>
      <c r="C364" t="s">
        <v>39</v>
      </c>
      <c r="D364">
        <v>1.2</v>
      </c>
      <c r="E364">
        <v>48.6</v>
      </c>
      <c r="F364">
        <v>0</v>
      </c>
      <c r="G364">
        <v>0.33600000000000002</v>
      </c>
      <c r="H364" t="s">
        <v>5738</v>
      </c>
      <c r="I364" t="s">
        <v>5739</v>
      </c>
      <c r="J364">
        <v>2325421</v>
      </c>
      <c r="K364" t="s">
        <v>795</v>
      </c>
      <c r="L364" t="s">
        <v>10</v>
      </c>
      <c r="M364" t="s">
        <v>794</v>
      </c>
      <c r="N364" t="s">
        <v>796</v>
      </c>
    </row>
    <row r="365" spans="1:14" hidden="1" x14ac:dyDescent="0.25">
      <c r="A365" t="s">
        <v>5553</v>
      </c>
      <c r="B365">
        <v>1553</v>
      </c>
      <c r="C365" t="s">
        <v>160</v>
      </c>
      <c r="D365">
        <v>1.2</v>
      </c>
      <c r="E365">
        <v>48.6</v>
      </c>
      <c r="F365">
        <v>0</v>
      </c>
      <c r="G365">
        <v>0.33600000000000002</v>
      </c>
      <c r="H365" t="s">
        <v>5738</v>
      </c>
      <c r="I365" t="s">
        <v>5739</v>
      </c>
      <c r="J365">
        <v>2325421</v>
      </c>
      <c r="K365" t="s">
        <v>795</v>
      </c>
      <c r="L365" t="s">
        <v>10</v>
      </c>
      <c r="M365" t="s">
        <v>794</v>
      </c>
      <c r="N365" t="s">
        <v>796</v>
      </c>
    </row>
    <row r="366" spans="1:14" hidden="1" x14ac:dyDescent="0.25">
      <c r="A366" t="s">
        <v>5553</v>
      </c>
      <c r="B366">
        <v>515</v>
      </c>
      <c r="C366" t="s">
        <v>170</v>
      </c>
      <c r="D366">
        <v>1.6</v>
      </c>
      <c r="E366">
        <v>50</v>
      </c>
      <c r="F366">
        <v>30</v>
      </c>
      <c r="G366">
        <v>0.60399999999999998</v>
      </c>
      <c r="H366" t="s">
        <v>5740</v>
      </c>
      <c r="I366" t="s">
        <v>5741</v>
      </c>
      <c r="J366">
        <v>2427158</v>
      </c>
      <c r="K366" t="s">
        <v>671</v>
      </c>
      <c r="L366" t="s">
        <v>10</v>
      </c>
      <c r="M366" t="s">
        <v>474</v>
      </c>
      <c r="N366" t="s">
        <v>672</v>
      </c>
    </row>
    <row r="367" spans="1:14" hidden="1" x14ac:dyDescent="0.25">
      <c r="A367" t="s">
        <v>5553</v>
      </c>
      <c r="B367">
        <v>1590</v>
      </c>
      <c r="C367" t="s">
        <v>170</v>
      </c>
      <c r="D367">
        <v>1.6</v>
      </c>
      <c r="E367">
        <v>50</v>
      </c>
      <c r="F367">
        <v>30</v>
      </c>
      <c r="G367">
        <v>0.60399999999999998</v>
      </c>
      <c r="H367" t="s">
        <v>5740</v>
      </c>
      <c r="I367" t="s">
        <v>5741</v>
      </c>
      <c r="J367">
        <v>2427158</v>
      </c>
      <c r="K367" t="s">
        <v>671</v>
      </c>
      <c r="L367" t="s">
        <v>10</v>
      </c>
      <c r="M367" t="s">
        <v>474</v>
      </c>
      <c r="N367" t="s">
        <v>672</v>
      </c>
    </row>
    <row r="368" spans="1:14" hidden="1" x14ac:dyDescent="0.25">
      <c r="A368" t="s">
        <v>5553</v>
      </c>
      <c r="B368">
        <v>1575</v>
      </c>
      <c r="C368" t="s">
        <v>170</v>
      </c>
      <c r="D368">
        <v>1.6</v>
      </c>
      <c r="E368">
        <v>50</v>
      </c>
      <c r="F368">
        <v>30</v>
      </c>
      <c r="G368">
        <v>0.60399999999999998</v>
      </c>
      <c r="H368" t="s">
        <v>5740</v>
      </c>
      <c r="I368" t="s">
        <v>5741</v>
      </c>
      <c r="J368">
        <v>2427158</v>
      </c>
      <c r="K368" t="s">
        <v>671</v>
      </c>
      <c r="L368" t="s">
        <v>10</v>
      </c>
      <c r="M368" t="s">
        <v>474</v>
      </c>
      <c r="N368" t="s">
        <v>672</v>
      </c>
    </row>
    <row r="369" spans="1:14" hidden="1" x14ac:dyDescent="0.25">
      <c r="A369" t="s">
        <v>5553</v>
      </c>
      <c r="B369">
        <v>1610</v>
      </c>
      <c r="C369" t="s">
        <v>170</v>
      </c>
      <c r="D369">
        <v>1.6</v>
      </c>
      <c r="E369">
        <v>50</v>
      </c>
      <c r="F369">
        <v>30</v>
      </c>
      <c r="G369">
        <v>0.60399999999999998</v>
      </c>
      <c r="H369" t="s">
        <v>5740</v>
      </c>
      <c r="I369" t="s">
        <v>5741</v>
      </c>
      <c r="J369">
        <v>2427158</v>
      </c>
      <c r="K369" t="s">
        <v>671</v>
      </c>
      <c r="L369" t="s">
        <v>10</v>
      </c>
      <c r="M369" t="s">
        <v>474</v>
      </c>
      <c r="N369" t="s">
        <v>672</v>
      </c>
    </row>
    <row r="370" spans="1:14" hidden="1" x14ac:dyDescent="0.25">
      <c r="A370" t="s">
        <v>5553</v>
      </c>
      <c r="B370">
        <v>1593</v>
      </c>
      <c r="C370" t="s">
        <v>167</v>
      </c>
      <c r="D370">
        <v>1.6</v>
      </c>
      <c r="E370">
        <v>50</v>
      </c>
      <c r="F370">
        <v>30</v>
      </c>
      <c r="G370">
        <v>0.60699999999999998</v>
      </c>
      <c r="H370" t="s">
        <v>5742</v>
      </c>
      <c r="I370" t="s">
        <v>5743</v>
      </c>
      <c r="J370">
        <v>3775637</v>
      </c>
      <c r="K370" t="s">
        <v>929</v>
      </c>
      <c r="L370" t="s">
        <v>10</v>
      </c>
      <c r="M370" t="s">
        <v>474</v>
      </c>
      <c r="N370" t="s">
        <v>930</v>
      </c>
    </row>
    <row r="371" spans="1:14" hidden="1" x14ac:dyDescent="0.25">
      <c r="A371" t="s">
        <v>5553</v>
      </c>
      <c r="B371">
        <v>1511</v>
      </c>
      <c r="C371" t="s">
        <v>167</v>
      </c>
      <c r="D371">
        <v>1.6</v>
      </c>
      <c r="E371">
        <v>50</v>
      </c>
      <c r="F371">
        <v>30</v>
      </c>
      <c r="G371">
        <v>0.60699999999999998</v>
      </c>
      <c r="H371" t="s">
        <v>5742</v>
      </c>
      <c r="I371" t="s">
        <v>5743</v>
      </c>
      <c r="J371">
        <v>3775637</v>
      </c>
      <c r="K371" t="s">
        <v>929</v>
      </c>
      <c r="L371" t="s">
        <v>10</v>
      </c>
      <c r="M371" t="s">
        <v>474</v>
      </c>
      <c r="N371" t="s">
        <v>930</v>
      </c>
    </row>
    <row r="372" spans="1:14" hidden="1" x14ac:dyDescent="0.25">
      <c r="A372" t="s">
        <v>5553</v>
      </c>
      <c r="B372">
        <v>1624</v>
      </c>
      <c r="C372" t="s">
        <v>167</v>
      </c>
      <c r="D372">
        <v>1.6</v>
      </c>
      <c r="E372">
        <v>50</v>
      </c>
      <c r="F372">
        <v>30</v>
      </c>
      <c r="G372">
        <v>0.60699999999999998</v>
      </c>
      <c r="H372" t="s">
        <v>5742</v>
      </c>
      <c r="I372" t="s">
        <v>5743</v>
      </c>
      <c r="J372">
        <v>3775637</v>
      </c>
      <c r="K372" t="s">
        <v>929</v>
      </c>
      <c r="L372" t="s">
        <v>10</v>
      </c>
      <c r="M372" t="s">
        <v>474</v>
      </c>
      <c r="N372" t="s">
        <v>930</v>
      </c>
    </row>
    <row r="373" spans="1:14" hidden="1" x14ac:dyDescent="0.25">
      <c r="A373" t="s">
        <v>5553</v>
      </c>
      <c r="B373">
        <v>1646</v>
      </c>
      <c r="C373" t="s">
        <v>167</v>
      </c>
      <c r="D373">
        <v>1.6</v>
      </c>
      <c r="E373">
        <v>50</v>
      </c>
      <c r="F373">
        <v>30</v>
      </c>
      <c r="G373">
        <v>0.60699999999999998</v>
      </c>
      <c r="H373" t="s">
        <v>5742</v>
      </c>
      <c r="I373" t="s">
        <v>5743</v>
      </c>
      <c r="J373">
        <v>3775637</v>
      </c>
      <c r="K373" t="s">
        <v>929</v>
      </c>
      <c r="L373" t="s">
        <v>10</v>
      </c>
      <c r="M373" t="s">
        <v>474</v>
      </c>
      <c r="N373" t="s">
        <v>930</v>
      </c>
    </row>
    <row r="374" spans="1:14" hidden="1" x14ac:dyDescent="0.25">
      <c r="A374" t="s">
        <v>5553</v>
      </c>
      <c r="B374">
        <v>1550</v>
      </c>
      <c r="C374" t="s">
        <v>167</v>
      </c>
      <c r="D374">
        <v>1.6</v>
      </c>
      <c r="E374">
        <v>50</v>
      </c>
      <c r="F374">
        <v>30</v>
      </c>
      <c r="G374">
        <v>0.60699999999999998</v>
      </c>
      <c r="H374" t="s">
        <v>5742</v>
      </c>
      <c r="I374" t="s">
        <v>5743</v>
      </c>
      <c r="J374">
        <v>3775637</v>
      </c>
      <c r="K374" t="s">
        <v>929</v>
      </c>
      <c r="L374" t="s">
        <v>10</v>
      </c>
      <c r="M374" t="s">
        <v>474</v>
      </c>
      <c r="N374" t="s">
        <v>930</v>
      </c>
    </row>
    <row r="375" spans="1:14" hidden="1" x14ac:dyDescent="0.25">
      <c r="A375" t="s">
        <v>5553</v>
      </c>
      <c r="B375">
        <v>1630</v>
      </c>
      <c r="C375" t="s">
        <v>167</v>
      </c>
      <c r="D375">
        <v>1.6</v>
      </c>
      <c r="E375">
        <v>50</v>
      </c>
      <c r="F375">
        <v>30</v>
      </c>
      <c r="G375">
        <v>0.60699999999999998</v>
      </c>
      <c r="H375" t="s">
        <v>5742</v>
      </c>
      <c r="I375" t="s">
        <v>5743</v>
      </c>
      <c r="J375">
        <v>3775637</v>
      </c>
      <c r="K375" t="s">
        <v>929</v>
      </c>
      <c r="L375" t="s">
        <v>10</v>
      </c>
      <c r="M375" t="s">
        <v>474</v>
      </c>
      <c r="N375" t="s">
        <v>930</v>
      </c>
    </row>
    <row r="376" spans="1:14" hidden="1" x14ac:dyDescent="0.25">
      <c r="A376" t="s">
        <v>5553</v>
      </c>
      <c r="B376">
        <v>1530</v>
      </c>
      <c r="C376" t="s">
        <v>167</v>
      </c>
      <c r="D376">
        <v>1.6</v>
      </c>
      <c r="E376">
        <v>50</v>
      </c>
      <c r="F376">
        <v>30</v>
      </c>
      <c r="G376">
        <v>0.60699999999999998</v>
      </c>
      <c r="H376" t="s">
        <v>5742</v>
      </c>
      <c r="I376" t="s">
        <v>5743</v>
      </c>
      <c r="J376">
        <v>3775637</v>
      </c>
      <c r="K376" t="s">
        <v>929</v>
      </c>
      <c r="L376" t="s">
        <v>10</v>
      </c>
      <c r="M376" t="s">
        <v>474</v>
      </c>
      <c r="N376" t="s">
        <v>930</v>
      </c>
    </row>
    <row r="377" spans="1:14" hidden="1" x14ac:dyDescent="0.25">
      <c r="A377" t="s">
        <v>5553</v>
      </c>
      <c r="B377">
        <v>632</v>
      </c>
      <c r="C377" t="s">
        <v>159</v>
      </c>
      <c r="D377">
        <v>1.6</v>
      </c>
      <c r="E377">
        <v>50</v>
      </c>
      <c r="F377">
        <v>30</v>
      </c>
      <c r="G377">
        <v>0.63600000000000001</v>
      </c>
      <c r="H377" t="s">
        <v>5744</v>
      </c>
      <c r="I377" t="s">
        <v>5745</v>
      </c>
      <c r="J377">
        <v>1940879</v>
      </c>
      <c r="K377" t="s">
        <v>676</v>
      </c>
      <c r="L377" t="s">
        <v>10</v>
      </c>
      <c r="M377" t="s">
        <v>474</v>
      </c>
      <c r="N377" t="s">
        <v>677</v>
      </c>
    </row>
    <row r="378" spans="1:14" hidden="1" x14ac:dyDescent="0.25">
      <c r="A378" t="s">
        <v>5553</v>
      </c>
      <c r="B378">
        <v>1621</v>
      </c>
      <c r="C378" t="s">
        <v>159</v>
      </c>
      <c r="D378">
        <v>1.6</v>
      </c>
      <c r="E378">
        <v>50</v>
      </c>
      <c r="F378">
        <v>30</v>
      </c>
      <c r="G378">
        <v>0.63600000000000001</v>
      </c>
      <c r="H378" t="s">
        <v>5744</v>
      </c>
      <c r="I378" t="s">
        <v>5745</v>
      </c>
      <c r="J378">
        <v>1940879</v>
      </c>
      <c r="K378" t="s">
        <v>676</v>
      </c>
      <c r="L378" t="s">
        <v>10</v>
      </c>
      <c r="M378" t="s">
        <v>474</v>
      </c>
      <c r="N378" t="s">
        <v>677</v>
      </c>
    </row>
    <row r="379" spans="1:14" hidden="1" x14ac:dyDescent="0.25">
      <c r="A379" t="s">
        <v>5553</v>
      </c>
      <c r="B379">
        <v>1582</v>
      </c>
      <c r="C379" t="s">
        <v>159</v>
      </c>
      <c r="D379">
        <v>1.6</v>
      </c>
      <c r="E379">
        <v>50</v>
      </c>
      <c r="F379">
        <v>30</v>
      </c>
      <c r="G379">
        <v>0.63600000000000001</v>
      </c>
      <c r="H379" t="s">
        <v>5744</v>
      </c>
      <c r="I379" t="s">
        <v>5745</v>
      </c>
      <c r="J379">
        <v>1940879</v>
      </c>
      <c r="K379" t="s">
        <v>676</v>
      </c>
      <c r="L379" t="s">
        <v>10</v>
      </c>
      <c r="M379" t="s">
        <v>474</v>
      </c>
      <c r="N379" t="s">
        <v>677</v>
      </c>
    </row>
    <row r="380" spans="1:14" hidden="1" x14ac:dyDescent="0.25">
      <c r="A380" t="s">
        <v>5553</v>
      </c>
      <c r="B380">
        <v>1582</v>
      </c>
      <c r="C380" t="s">
        <v>159</v>
      </c>
      <c r="D380">
        <v>1.6</v>
      </c>
      <c r="E380">
        <v>50</v>
      </c>
      <c r="F380">
        <v>30</v>
      </c>
      <c r="G380">
        <v>0.63600000000000001</v>
      </c>
      <c r="H380" t="s">
        <v>5744</v>
      </c>
      <c r="I380" t="s">
        <v>5745</v>
      </c>
      <c r="J380">
        <v>1940879</v>
      </c>
      <c r="K380" t="s">
        <v>676</v>
      </c>
      <c r="L380" t="s">
        <v>10</v>
      </c>
      <c r="M380" t="s">
        <v>474</v>
      </c>
      <c r="N380" t="s">
        <v>677</v>
      </c>
    </row>
    <row r="381" spans="1:14" hidden="1" x14ac:dyDescent="0.25">
      <c r="A381" t="s">
        <v>5553</v>
      </c>
      <c r="B381">
        <v>428</v>
      </c>
      <c r="C381" t="s">
        <v>167</v>
      </c>
      <c r="D381">
        <v>1.6</v>
      </c>
      <c r="E381">
        <v>50</v>
      </c>
      <c r="F381">
        <v>30</v>
      </c>
      <c r="G381">
        <v>0.63800000000000001</v>
      </c>
      <c r="H381" t="s">
        <v>5746</v>
      </c>
      <c r="I381" t="s">
        <v>5747</v>
      </c>
      <c r="J381">
        <v>3780005</v>
      </c>
      <c r="K381" t="s">
        <v>1731</v>
      </c>
      <c r="L381" t="s">
        <v>10</v>
      </c>
      <c r="M381" t="s">
        <v>1824</v>
      </c>
      <c r="N381" t="s">
        <v>5148</v>
      </c>
    </row>
    <row r="382" spans="1:14" hidden="1" x14ac:dyDescent="0.25">
      <c r="A382" t="s">
        <v>5553</v>
      </c>
      <c r="B382">
        <v>1514</v>
      </c>
      <c r="C382" t="s">
        <v>167</v>
      </c>
      <c r="D382">
        <v>1.6</v>
      </c>
      <c r="E382">
        <v>50</v>
      </c>
      <c r="F382">
        <v>30</v>
      </c>
      <c r="G382">
        <v>0.63800000000000001</v>
      </c>
      <c r="H382" t="s">
        <v>5744</v>
      </c>
      <c r="I382" t="s">
        <v>5745</v>
      </c>
      <c r="J382">
        <v>3775638</v>
      </c>
      <c r="K382" t="s">
        <v>2095</v>
      </c>
      <c r="L382" t="s">
        <v>10</v>
      </c>
      <c r="M382" t="s">
        <v>1824</v>
      </c>
      <c r="N382" t="s">
        <v>5148</v>
      </c>
    </row>
    <row r="383" spans="1:14" hidden="1" x14ac:dyDescent="0.25">
      <c r="A383" t="s">
        <v>5553</v>
      </c>
      <c r="B383">
        <v>1594</v>
      </c>
      <c r="C383" t="s">
        <v>167</v>
      </c>
      <c r="D383">
        <v>1.6</v>
      </c>
      <c r="E383">
        <v>50</v>
      </c>
      <c r="F383">
        <v>30</v>
      </c>
      <c r="G383">
        <v>0.63800000000000001</v>
      </c>
      <c r="H383" t="s">
        <v>5744</v>
      </c>
      <c r="I383" t="s">
        <v>5745</v>
      </c>
      <c r="J383">
        <v>3775638</v>
      </c>
      <c r="K383" t="s">
        <v>2095</v>
      </c>
      <c r="L383" t="s">
        <v>10</v>
      </c>
      <c r="M383" t="s">
        <v>1824</v>
      </c>
      <c r="N383" t="s">
        <v>5148</v>
      </c>
    </row>
    <row r="384" spans="1:14" hidden="1" x14ac:dyDescent="0.25">
      <c r="A384" t="s">
        <v>5553</v>
      </c>
      <c r="B384">
        <v>1548</v>
      </c>
      <c r="C384" t="s">
        <v>167</v>
      </c>
      <c r="D384">
        <v>1.6</v>
      </c>
      <c r="E384">
        <v>50</v>
      </c>
      <c r="F384">
        <v>30</v>
      </c>
      <c r="G384">
        <v>0.63800000000000001</v>
      </c>
      <c r="H384" t="s">
        <v>5744</v>
      </c>
      <c r="I384" t="s">
        <v>5745</v>
      </c>
      <c r="J384">
        <v>3775638</v>
      </c>
      <c r="K384" t="s">
        <v>2095</v>
      </c>
      <c r="L384" t="s">
        <v>10</v>
      </c>
      <c r="M384" t="s">
        <v>1824</v>
      </c>
      <c r="N384" t="s">
        <v>5148</v>
      </c>
    </row>
    <row r="385" spans="1:14" hidden="1" x14ac:dyDescent="0.25">
      <c r="A385" t="s">
        <v>5553</v>
      </c>
      <c r="B385">
        <v>1706</v>
      </c>
      <c r="C385" t="s">
        <v>167</v>
      </c>
      <c r="D385">
        <v>1.6</v>
      </c>
      <c r="E385">
        <v>50</v>
      </c>
      <c r="F385">
        <v>30</v>
      </c>
      <c r="G385">
        <v>0.63800000000000001</v>
      </c>
      <c r="H385" t="s">
        <v>5744</v>
      </c>
      <c r="I385" t="s">
        <v>5745</v>
      </c>
      <c r="J385">
        <v>3775638</v>
      </c>
      <c r="K385" t="s">
        <v>2095</v>
      </c>
      <c r="L385" t="s">
        <v>10</v>
      </c>
      <c r="M385" t="s">
        <v>1824</v>
      </c>
      <c r="N385" t="s">
        <v>5148</v>
      </c>
    </row>
    <row r="386" spans="1:14" hidden="1" x14ac:dyDescent="0.25">
      <c r="A386" t="s">
        <v>5553</v>
      </c>
      <c r="B386">
        <v>1600</v>
      </c>
      <c r="C386" t="s">
        <v>167</v>
      </c>
      <c r="D386">
        <v>1.6</v>
      </c>
      <c r="E386">
        <v>50</v>
      </c>
      <c r="F386">
        <v>30</v>
      </c>
      <c r="G386">
        <v>0.63800000000000001</v>
      </c>
      <c r="H386" t="s">
        <v>5744</v>
      </c>
      <c r="I386" t="s">
        <v>5745</v>
      </c>
      <c r="J386">
        <v>3775638</v>
      </c>
      <c r="K386" t="s">
        <v>2095</v>
      </c>
      <c r="L386" t="s">
        <v>10</v>
      </c>
      <c r="M386" t="s">
        <v>1824</v>
      </c>
      <c r="N386" t="s">
        <v>5148</v>
      </c>
    </row>
    <row r="387" spans="1:14" hidden="1" x14ac:dyDescent="0.25">
      <c r="A387" t="s">
        <v>5553</v>
      </c>
      <c r="B387">
        <v>1600</v>
      </c>
      <c r="C387" t="s">
        <v>167</v>
      </c>
      <c r="D387">
        <v>1.6</v>
      </c>
      <c r="E387">
        <v>50</v>
      </c>
      <c r="F387">
        <v>30</v>
      </c>
      <c r="G387">
        <v>0.63800000000000001</v>
      </c>
      <c r="H387" t="s">
        <v>5744</v>
      </c>
      <c r="I387" t="s">
        <v>5745</v>
      </c>
      <c r="J387">
        <v>3775638</v>
      </c>
      <c r="K387" t="s">
        <v>2095</v>
      </c>
      <c r="L387" t="s">
        <v>10</v>
      </c>
      <c r="M387" t="s">
        <v>1824</v>
      </c>
      <c r="N387" t="s">
        <v>5148</v>
      </c>
    </row>
    <row r="388" spans="1:14" hidden="1" x14ac:dyDescent="0.25">
      <c r="A388" t="s">
        <v>5553</v>
      </c>
      <c r="B388">
        <v>1560</v>
      </c>
      <c r="C388" t="s">
        <v>167</v>
      </c>
      <c r="D388">
        <v>1.6</v>
      </c>
      <c r="E388">
        <v>50</v>
      </c>
      <c r="F388">
        <v>30</v>
      </c>
      <c r="G388">
        <v>0.63800000000000001</v>
      </c>
      <c r="H388" t="s">
        <v>5744</v>
      </c>
      <c r="I388" t="s">
        <v>5745</v>
      </c>
      <c r="J388">
        <v>3775638</v>
      </c>
      <c r="K388" t="s">
        <v>2095</v>
      </c>
      <c r="L388" t="s">
        <v>10</v>
      </c>
      <c r="M388" t="s">
        <v>1824</v>
      </c>
      <c r="N388" t="s">
        <v>5148</v>
      </c>
    </row>
    <row r="389" spans="1:14" hidden="1" x14ac:dyDescent="0.25">
      <c r="A389" t="s">
        <v>5553</v>
      </c>
      <c r="B389">
        <v>1580</v>
      </c>
      <c r="C389" t="s">
        <v>9</v>
      </c>
      <c r="D389">
        <v>1.6</v>
      </c>
      <c r="E389">
        <v>50</v>
      </c>
      <c r="F389">
        <v>30</v>
      </c>
      <c r="G389">
        <v>1.1000000000000001</v>
      </c>
      <c r="H389" t="s">
        <v>5742</v>
      </c>
      <c r="I389" t="s">
        <v>5743</v>
      </c>
      <c r="J389">
        <v>2430128</v>
      </c>
      <c r="K389" t="s">
        <v>475</v>
      </c>
      <c r="L389" t="s">
        <v>10</v>
      </c>
      <c r="M389" t="s">
        <v>474</v>
      </c>
      <c r="N389" t="s">
        <v>476</v>
      </c>
    </row>
    <row r="390" spans="1:14" hidden="1" x14ac:dyDescent="0.25">
      <c r="A390" t="s">
        <v>5553</v>
      </c>
      <c r="B390">
        <v>1540</v>
      </c>
      <c r="C390" t="s">
        <v>9</v>
      </c>
      <c r="D390">
        <v>1.6</v>
      </c>
      <c r="E390">
        <v>50</v>
      </c>
      <c r="F390">
        <v>30</v>
      </c>
      <c r="G390">
        <v>1.1000000000000001</v>
      </c>
      <c r="H390" t="s">
        <v>5742</v>
      </c>
      <c r="I390" t="s">
        <v>5743</v>
      </c>
      <c r="J390">
        <v>2430128</v>
      </c>
      <c r="K390" t="s">
        <v>475</v>
      </c>
      <c r="L390" t="s">
        <v>10</v>
      </c>
      <c r="M390" t="s">
        <v>474</v>
      </c>
      <c r="N390" t="s">
        <v>476</v>
      </c>
    </row>
    <row r="391" spans="1:14" hidden="1" x14ac:dyDescent="0.25">
      <c r="A391" t="s">
        <v>5553</v>
      </c>
      <c r="B391">
        <v>451</v>
      </c>
      <c r="C391" t="s">
        <v>151</v>
      </c>
      <c r="D391">
        <v>1.6</v>
      </c>
      <c r="E391">
        <v>50.8</v>
      </c>
      <c r="F391">
        <v>0</v>
      </c>
      <c r="G391">
        <v>0.38500000000000001</v>
      </c>
      <c r="H391" t="s">
        <v>5748</v>
      </c>
      <c r="I391" t="s">
        <v>5749</v>
      </c>
      <c r="J391">
        <v>2353927</v>
      </c>
      <c r="K391" t="s">
        <v>1995</v>
      </c>
      <c r="L391" t="s">
        <v>10</v>
      </c>
      <c r="M391" t="s">
        <v>1065</v>
      </c>
      <c r="N391" t="s">
        <v>2191</v>
      </c>
    </row>
    <row r="392" spans="1:14" hidden="1" x14ac:dyDescent="0.25">
      <c r="A392" t="s">
        <v>5553</v>
      </c>
      <c r="B392">
        <v>1005</v>
      </c>
      <c r="C392" t="s">
        <v>151</v>
      </c>
      <c r="D392">
        <v>1.6</v>
      </c>
      <c r="E392">
        <v>50.8</v>
      </c>
      <c r="F392">
        <v>0</v>
      </c>
      <c r="G392">
        <v>0.38500000000000001</v>
      </c>
      <c r="H392" t="s">
        <v>5748</v>
      </c>
      <c r="I392" t="s">
        <v>5749</v>
      </c>
      <c r="J392">
        <v>2353927</v>
      </c>
      <c r="K392" t="s">
        <v>1995</v>
      </c>
      <c r="L392" t="s">
        <v>10</v>
      </c>
      <c r="M392" t="s">
        <v>1065</v>
      </c>
      <c r="N392" t="s">
        <v>2191</v>
      </c>
    </row>
    <row r="393" spans="1:14" hidden="1" x14ac:dyDescent="0.25">
      <c r="A393" t="s">
        <v>5553</v>
      </c>
      <c r="B393">
        <v>721</v>
      </c>
      <c r="C393" t="s">
        <v>159</v>
      </c>
      <c r="D393">
        <v>1.6</v>
      </c>
      <c r="E393">
        <v>59</v>
      </c>
      <c r="F393">
        <v>30</v>
      </c>
      <c r="G393">
        <v>0.64100000000000001</v>
      </c>
      <c r="H393" t="s">
        <v>5750</v>
      </c>
      <c r="I393" t="s">
        <v>5751</v>
      </c>
      <c r="J393">
        <v>3781649</v>
      </c>
      <c r="K393" t="s">
        <v>569</v>
      </c>
      <c r="L393" t="s">
        <v>10</v>
      </c>
      <c r="M393" t="s">
        <v>568</v>
      </c>
      <c r="N393" t="s">
        <v>570</v>
      </c>
    </row>
    <row r="394" spans="1:14" hidden="1" x14ac:dyDescent="0.25">
      <c r="A394" t="s">
        <v>5553</v>
      </c>
      <c r="B394">
        <v>230</v>
      </c>
      <c r="C394" t="s">
        <v>159</v>
      </c>
      <c r="D394">
        <v>1.6</v>
      </c>
      <c r="E394">
        <v>59</v>
      </c>
      <c r="F394">
        <v>30</v>
      </c>
      <c r="G394">
        <v>0.64100000000000001</v>
      </c>
      <c r="H394" t="s">
        <v>5750</v>
      </c>
      <c r="I394" t="s">
        <v>5751</v>
      </c>
      <c r="J394">
        <v>3781649</v>
      </c>
      <c r="K394" t="s">
        <v>569</v>
      </c>
      <c r="L394" t="s">
        <v>10</v>
      </c>
      <c r="M394" t="s">
        <v>568</v>
      </c>
      <c r="N394" t="s">
        <v>570</v>
      </c>
    </row>
    <row r="395" spans="1:14" hidden="1" x14ac:dyDescent="0.25">
      <c r="A395" t="s">
        <v>5553</v>
      </c>
      <c r="B395">
        <v>2068</v>
      </c>
      <c r="C395" t="s">
        <v>39</v>
      </c>
      <c r="D395">
        <v>2.5</v>
      </c>
      <c r="E395">
        <v>50</v>
      </c>
      <c r="F395">
        <v>30</v>
      </c>
      <c r="G395">
        <v>0.76500000000000001</v>
      </c>
      <c r="H395" t="s">
        <v>5752</v>
      </c>
      <c r="I395" t="s">
        <v>5753</v>
      </c>
      <c r="J395">
        <v>4229654</v>
      </c>
      <c r="K395" t="s">
        <v>262</v>
      </c>
      <c r="L395" t="s">
        <v>10</v>
      </c>
    </row>
    <row r="396" spans="1:14" hidden="1" x14ac:dyDescent="0.25">
      <c r="A396" t="s">
        <v>5553</v>
      </c>
      <c r="B396">
        <v>517</v>
      </c>
      <c r="C396" t="s">
        <v>170</v>
      </c>
      <c r="D396">
        <v>2</v>
      </c>
      <c r="E396">
        <v>22.23</v>
      </c>
      <c r="F396">
        <v>0</v>
      </c>
      <c r="G396">
        <v>0.73799999999999999</v>
      </c>
      <c r="H396" t="s">
        <v>5755</v>
      </c>
      <c r="I396" t="s">
        <v>5756</v>
      </c>
      <c r="J396">
        <v>4267147</v>
      </c>
      <c r="K396" t="s">
        <v>264</v>
      </c>
      <c r="L396" t="s">
        <v>10</v>
      </c>
    </row>
    <row r="397" spans="1:14" hidden="1" x14ac:dyDescent="0.25">
      <c r="A397" t="s">
        <v>5553</v>
      </c>
      <c r="B397">
        <v>3341</v>
      </c>
      <c r="C397" t="s">
        <v>170</v>
      </c>
      <c r="D397">
        <v>2</v>
      </c>
      <c r="E397">
        <v>22.23</v>
      </c>
      <c r="F397">
        <v>0</v>
      </c>
      <c r="G397">
        <v>0.73799999999999999</v>
      </c>
      <c r="H397" t="s">
        <v>5755</v>
      </c>
      <c r="I397" t="s">
        <v>5756</v>
      </c>
      <c r="J397">
        <v>4267147</v>
      </c>
      <c r="K397" t="s">
        <v>264</v>
      </c>
      <c r="L397" t="s">
        <v>10</v>
      </c>
    </row>
    <row r="398" spans="1:14" hidden="1" x14ac:dyDescent="0.25">
      <c r="A398" t="s">
        <v>5553</v>
      </c>
      <c r="B398">
        <v>3342</v>
      </c>
      <c r="C398" t="s">
        <v>170</v>
      </c>
      <c r="D398">
        <v>2</v>
      </c>
      <c r="E398">
        <v>22.23</v>
      </c>
      <c r="F398">
        <v>0</v>
      </c>
      <c r="G398">
        <v>0.73799999999999999</v>
      </c>
      <c r="H398" t="s">
        <v>5755</v>
      </c>
      <c r="I398" t="s">
        <v>5756</v>
      </c>
      <c r="J398">
        <v>4267147</v>
      </c>
      <c r="K398" t="s">
        <v>264</v>
      </c>
      <c r="L398" t="s">
        <v>10</v>
      </c>
    </row>
    <row r="399" spans="1:14" hidden="1" x14ac:dyDescent="0.25">
      <c r="A399" t="s">
        <v>5553</v>
      </c>
      <c r="B399">
        <v>606</v>
      </c>
      <c r="C399" t="s">
        <v>46</v>
      </c>
      <c r="D399">
        <v>2</v>
      </c>
      <c r="E399">
        <v>25.4</v>
      </c>
      <c r="F399">
        <v>0</v>
      </c>
      <c r="G399">
        <v>0.32300000000000001</v>
      </c>
      <c r="H399" t="s">
        <v>5680</v>
      </c>
      <c r="I399" t="s">
        <v>5681</v>
      </c>
      <c r="J399">
        <v>4020858</v>
      </c>
      <c r="K399" t="s">
        <v>265</v>
      </c>
      <c r="L399" t="s">
        <v>10</v>
      </c>
    </row>
    <row r="400" spans="1:14" hidden="1" x14ac:dyDescent="0.25">
      <c r="A400" t="s">
        <v>5553</v>
      </c>
      <c r="B400">
        <v>1294</v>
      </c>
      <c r="C400" t="s">
        <v>46</v>
      </c>
      <c r="D400">
        <v>2</v>
      </c>
      <c r="E400">
        <v>25.4</v>
      </c>
      <c r="F400">
        <v>0</v>
      </c>
      <c r="G400">
        <v>0.32300000000000001</v>
      </c>
      <c r="H400" t="s">
        <v>5680</v>
      </c>
      <c r="I400" t="s">
        <v>5681</v>
      </c>
      <c r="J400">
        <v>4020858</v>
      </c>
      <c r="K400" t="s">
        <v>265</v>
      </c>
      <c r="L400" t="s">
        <v>10</v>
      </c>
    </row>
    <row r="401" spans="1:12" hidden="1" x14ac:dyDescent="0.25">
      <c r="A401" t="s">
        <v>5553</v>
      </c>
      <c r="B401">
        <v>1303</v>
      </c>
      <c r="C401" t="s">
        <v>46</v>
      </c>
      <c r="D401">
        <v>2</v>
      </c>
      <c r="E401">
        <v>25.4</v>
      </c>
      <c r="F401">
        <v>0</v>
      </c>
      <c r="G401">
        <v>0.32300000000000001</v>
      </c>
      <c r="H401" t="s">
        <v>5680</v>
      </c>
      <c r="I401" t="s">
        <v>5681</v>
      </c>
      <c r="J401">
        <v>4020858</v>
      </c>
      <c r="K401" t="s">
        <v>265</v>
      </c>
      <c r="L401" t="s">
        <v>10</v>
      </c>
    </row>
    <row r="402" spans="1:12" hidden="1" x14ac:dyDescent="0.25">
      <c r="A402" t="s">
        <v>5553</v>
      </c>
      <c r="B402">
        <v>1298</v>
      </c>
      <c r="C402" t="s">
        <v>46</v>
      </c>
      <c r="D402">
        <v>2</v>
      </c>
      <c r="E402">
        <v>25.4</v>
      </c>
      <c r="F402">
        <v>0</v>
      </c>
      <c r="G402">
        <v>0.32300000000000001</v>
      </c>
      <c r="H402" t="s">
        <v>5680</v>
      </c>
      <c r="I402" t="s">
        <v>5681</v>
      </c>
      <c r="J402">
        <v>4020858</v>
      </c>
      <c r="K402" t="s">
        <v>265</v>
      </c>
      <c r="L402" t="s">
        <v>10</v>
      </c>
    </row>
    <row r="403" spans="1:12" hidden="1" x14ac:dyDescent="0.25">
      <c r="A403" t="s">
        <v>5576</v>
      </c>
      <c r="B403">
        <v>0.80900000000000005</v>
      </c>
      <c r="C403" t="s">
        <v>173</v>
      </c>
      <c r="D403">
        <v>1.1499999999999999</v>
      </c>
      <c r="E403">
        <v>73.5</v>
      </c>
      <c r="F403">
        <v>0</v>
      </c>
      <c r="G403">
        <v>0</v>
      </c>
      <c r="H403" t="s">
        <v>1839</v>
      </c>
      <c r="I403" t="s">
        <v>1839</v>
      </c>
      <c r="J403">
        <v>3999719</v>
      </c>
      <c r="K403" t="s">
        <v>266</v>
      </c>
      <c r="L403" t="s">
        <v>10</v>
      </c>
    </row>
    <row r="404" spans="1:12" hidden="1" x14ac:dyDescent="0.25">
      <c r="A404" t="s">
        <v>5576</v>
      </c>
      <c r="B404">
        <v>0.80900000000000005</v>
      </c>
      <c r="C404" t="s">
        <v>173</v>
      </c>
      <c r="D404">
        <v>1.1499999999999999</v>
      </c>
      <c r="E404">
        <v>73.5</v>
      </c>
      <c r="F404">
        <v>0</v>
      </c>
      <c r="G404">
        <v>0</v>
      </c>
      <c r="H404" t="s">
        <v>1839</v>
      </c>
      <c r="I404" t="s">
        <v>1839</v>
      </c>
      <c r="J404">
        <v>3999719</v>
      </c>
      <c r="K404" t="s">
        <v>266</v>
      </c>
      <c r="L404" t="s">
        <v>10</v>
      </c>
    </row>
    <row r="405" spans="1:12" hidden="1" x14ac:dyDescent="0.25">
      <c r="A405" t="s">
        <v>5576</v>
      </c>
      <c r="B405">
        <v>0.80900000000000005</v>
      </c>
      <c r="C405" t="s">
        <v>173</v>
      </c>
      <c r="D405">
        <v>1.1499999999999999</v>
      </c>
      <c r="E405">
        <v>73.5</v>
      </c>
      <c r="F405">
        <v>0</v>
      </c>
      <c r="G405">
        <v>0</v>
      </c>
      <c r="H405" t="s">
        <v>1839</v>
      </c>
      <c r="I405" t="s">
        <v>1839</v>
      </c>
      <c r="J405">
        <v>3999719</v>
      </c>
      <c r="K405" t="s">
        <v>266</v>
      </c>
      <c r="L405" t="s">
        <v>10</v>
      </c>
    </row>
    <row r="406" spans="1:12" hidden="1" x14ac:dyDescent="0.25">
      <c r="A406" t="s">
        <v>5576</v>
      </c>
      <c r="B406">
        <v>0.80900000000000005</v>
      </c>
      <c r="C406" t="s">
        <v>173</v>
      </c>
      <c r="D406">
        <v>1.1499999999999999</v>
      </c>
      <c r="E406">
        <v>73.5</v>
      </c>
      <c r="F406">
        <v>0</v>
      </c>
      <c r="G406">
        <v>0</v>
      </c>
      <c r="H406" t="s">
        <v>1839</v>
      </c>
      <c r="I406" t="s">
        <v>1839</v>
      </c>
      <c r="J406">
        <v>3999719</v>
      </c>
      <c r="K406" t="s">
        <v>266</v>
      </c>
      <c r="L406" t="s">
        <v>10</v>
      </c>
    </row>
    <row r="407" spans="1:12" hidden="1" x14ac:dyDescent="0.25">
      <c r="A407" t="s">
        <v>5576</v>
      </c>
      <c r="B407">
        <v>0.80900000000000005</v>
      </c>
      <c r="C407" t="s">
        <v>173</v>
      </c>
      <c r="D407">
        <v>1.1499999999999999</v>
      </c>
      <c r="E407">
        <v>73.5</v>
      </c>
      <c r="F407">
        <v>0</v>
      </c>
      <c r="G407">
        <v>0</v>
      </c>
      <c r="H407" t="s">
        <v>1839</v>
      </c>
      <c r="I407" t="s">
        <v>1839</v>
      </c>
      <c r="J407">
        <v>3999719</v>
      </c>
      <c r="K407" t="s">
        <v>266</v>
      </c>
      <c r="L407" t="s">
        <v>10</v>
      </c>
    </row>
    <row r="408" spans="1:12" hidden="1" x14ac:dyDescent="0.25">
      <c r="A408" t="s">
        <v>5576</v>
      </c>
      <c r="B408">
        <v>0.80900000000000005</v>
      </c>
      <c r="C408" t="s">
        <v>173</v>
      </c>
      <c r="D408">
        <v>1.1499999999999999</v>
      </c>
      <c r="E408">
        <v>73.5</v>
      </c>
      <c r="F408">
        <v>0</v>
      </c>
      <c r="G408">
        <v>0</v>
      </c>
      <c r="H408" t="s">
        <v>1839</v>
      </c>
      <c r="I408" t="s">
        <v>1839</v>
      </c>
      <c r="J408">
        <v>3999719</v>
      </c>
      <c r="K408" t="s">
        <v>266</v>
      </c>
      <c r="L408" t="s">
        <v>10</v>
      </c>
    </row>
    <row r="409" spans="1:12" hidden="1" x14ac:dyDescent="0.25">
      <c r="A409" t="s">
        <v>5553</v>
      </c>
      <c r="B409">
        <v>1769</v>
      </c>
      <c r="C409" t="s">
        <v>170</v>
      </c>
      <c r="D409">
        <v>1.6</v>
      </c>
      <c r="E409">
        <v>28.58</v>
      </c>
      <c r="F409">
        <v>0</v>
      </c>
      <c r="G409">
        <v>0.42</v>
      </c>
      <c r="H409" t="s">
        <v>5757</v>
      </c>
      <c r="I409" t="s">
        <v>5758</v>
      </c>
      <c r="J409">
        <v>4185618</v>
      </c>
      <c r="K409" t="s">
        <v>267</v>
      </c>
      <c r="L409" t="s">
        <v>10</v>
      </c>
    </row>
    <row r="410" spans="1:12" hidden="1" x14ac:dyDescent="0.25">
      <c r="A410" t="s">
        <v>5553</v>
      </c>
      <c r="B410">
        <v>1623</v>
      </c>
      <c r="C410" t="s">
        <v>170</v>
      </c>
      <c r="D410">
        <v>1.6</v>
      </c>
      <c r="E410">
        <v>28.58</v>
      </c>
      <c r="F410">
        <v>0</v>
      </c>
      <c r="G410">
        <v>0.42</v>
      </c>
      <c r="H410" t="s">
        <v>5757</v>
      </c>
      <c r="I410" t="s">
        <v>5758</v>
      </c>
      <c r="J410">
        <v>4185618</v>
      </c>
      <c r="K410" t="s">
        <v>267</v>
      </c>
      <c r="L410" t="s">
        <v>10</v>
      </c>
    </row>
    <row r="411" spans="1:12" hidden="1" x14ac:dyDescent="0.25">
      <c r="A411" t="s">
        <v>5553</v>
      </c>
      <c r="B411">
        <v>1814</v>
      </c>
      <c r="C411" t="s">
        <v>170</v>
      </c>
      <c r="D411">
        <v>1.6</v>
      </c>
      <c r="E411">
        <v>28.58</v>
      </c>
      <c r="F411">
        <v>0</v>
      </c>
      <c r="G411">
        <v>0.42</v>
      </c>
      <c r="H411" t="s">
        <v>5757</v>
      </c>
      <c r="I411" t="s">
        <v>5758</v>
      </c>
      <c r="J411">
        <v>4185618</v>
      </c>
      <c r="K411" t="s">
        <v>267</v>
      </c>
      <c r="L411" t="s">
        <v>10</v>
      </c>
    </row>
    <row r="412" spans="1:12" hidden="1" x14ac:dyDescent="0.25">
      <c r="A412" t="s">
        <v>5553</v>
      </c>
      <c r="B412">
        <v>1728</v>
      </c>
      <c r="C412" t="s">
        <v>170</v>
      </c>
      <c r="D412">
        <v>1.6</v>
      </c>
      <c r="E412">
        <v>28.58</v>
      </c>
      <c r="F412">
        <v>0</v>
      </c>
      <c r="G412">
        <v>0.42</v>
      </c>
      <c r="H412" t="s">
        <v>5757</v>
      </c>
      <c r="I412" t="s">
        <v>5758</v>
      </c>
      <c r="J412">
        <v>4185618</v>
      </c>
      <c r="K412" t="s">
        <v>267</v>
      </c>
      <c r="L412" t="s">
        <v>10</v>
      </c>
    </row>
    <row r="413" spans="1:12" hidden="1" x14ac:dyDescent="0.25">
      <c r="A413" t="s">
        <v>5553</v>
      </c>
      <c r="B413">
        <v>1743</v>
      </c>
      <c r="C413" t="s">
        <v>170</v>
      </c>
      <c r="D413">
        <v>1.6</v>
      </c>
      <c r="E413">
        <v>28.58</v>
      </c>
      <c r="F413">
        <v>0</v>
      </c>
      <c r="G413">
        <v>0.42</v>
      </c>
      <c r="H413" t="s">
        <v>5757</v>
      </c>
      <c r="I413" t="s">
        <v>5758</v>
      </c>
      <c r="J413">
        <v>4185618</v>
      </c>
      <c r="K413" t="s">
        <v>267</v>
      </c>
      <c r="L413" t="s">
        <v>10</v>
      </c>
    </row>
    <row r="414" spans="1:12" hidden="1" x14ac:dyDescent="0.25">
      <c r="A414" t="s">
        <v>5553</v>
      </c>
      <c r="B414">
        <v>1776</v>
      </c>
      <c r="C414" t="s">
        <v>170</v>
      </c>
      <c r="D414">
        <v>1.6</v>
      </c>
      <c r="E414">
        <v>28.58</v>
      </c>
      <c r="F414">
        <v>0</v>
      </c>
      <c r="G414">
        <v>0.42</v>
      </c>
      <c r="H414" t="s">
        <v>5757</v>
      </c>
      <c r="I414" t="s">
        <v>5758</v>
      </c>
      <c r="J414">
        <v>4185618</v>
      </c>
      <c r="K414" t="s">
        <v>267</v>
      </c>
      <c r="L414" t="s">
        <v>10</v>
      </c>
    </row>
    <row r="415" spans="1:12" hidden="1" x14ac:dyDescent="0.25">
      <c r="A415" t="s">
        <v>5553</v>
      </c>
      <c r="B415">
        <v>1807</v>
      </c>
      <c r="C415" t="s">
        <v>170</v>
      </c>
      <c r="D415">
        <v>1.6</v>
      </c>
      <c r="E415">
        <v>28.58</v>
      </c>
      <c r="F415">
        <v>0</v>
      </c>
      <c r="G415">
        <v>0.42</v>
      </c>
      <c r="H415" t="s">
        <v>5757</v>
      </c>
      <c r="I415" t="s">
        <v>5758</v>
      </c>
      <c r="J415">
        <v>4185618</v>
      </c>
      <c r="K415" t="s">
        <v>267</v>
      </c>
      <c r="L415" t="s">
        <v>10</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91F6-5FD1-4A05-AAE4-6630724E2D68}">
  <sheetPr codeName="Sheet19">
    <tabColor rgb="FF00B050"/>
    <pageSetUpPr fitToPage="1"/>
  </sheetPr>
  <dimension ref="A1:J113"/>
  <sheetViews>
    <sheetView view="pageBreakPreview" zoomScale="60" zoomScaleNormal="100" workbookViewId="0">
      <selection activeCell="A19" sqref="A19"/>
    </sheetView>
  </sheetViews>
  <sheetFormatPr defaultRowHeight="15" x14ac:dyDescent="0.25"/>
  <cols>
    <col min="1" max="1" width="50.5703125" style="66" customWidth="1"/>
    <col min="2" max="2" width="43.85546875" style="66" customWidth="1"/>
    <col min="3" max="3" width="31.140625" bestFit="1" customWidth="1"/>
    <col min="4" max="4" width="31.140625" customWidth="1"/>
    <col min="5" max="5" width="13" bestFit="1" customWidth="1"/>
    <col min="7" max="7" width="14.85546875" bestFit="1" customWidth="1"/>
    <col min="8" max="8" width="12.7109375" bestFit="1" customWidth="1"/>
    <col min="9" max="9" width="6.85546875" bestFit="1" customWidth="1"/>
  </cols>
  <sheetData>
    <row r="1" spans="1:10" x14ac:dyDescent="0.25">
      <c r="A1" s="351" t="s">
        <v>258</v>
      </c>
      <c r="B1" s="351" t="s">
        <v>2416</v>
      </c>
      <c r="C1" s="73" t="s">
        <v>2418</v>
      </c>
      <c r="D1" s="73" t="s">
        <v>2415</v>
      </c>
      <c r="E1" s="73" t="s">
        <v>1829</v>
      </c>
      <c r="F1" s="73" t="s">
        <v>269</v>
      </c>
      <c r="G1" s="73" t="s">
        <v>1803</v>
      </c>
      <c r="H1" s="73" t="s">
        <v>1804</v>
      </c>
      <c r="I1" s="73" t="s">
        <v>944</v>
      </c>
      <c r="J1" s="73" t="s">
        <v>2422</v>
      </c>
    </row>
    <row r="2" spans="1:10" x14ac:dyDescent="0.25">
      <c r="A2" s="352" t="e" cm="1" vm="3">
        <f t="array" ref="A2:J113">_xlfn.CHOOSECOLS(salesforecast[],_xlfn.XMATCH(A1:J1,salesforecast[#Headers]))</f>
        <v>#VALUE!</v>
      </c>
      <c r="B2" s="352" t="e" vm="3">
        <v>#VALUE!</v>
      </c>
      <c r="C2" s="15" t="str">
        <v>12-0-1.6-CEW-CEW</v>
      </c>
      <c r="D2" s="15" t="str">
        <v>0788</v>
      </c>
      <c r="E2" s="62">
        <v>0</v>
      </c>
      <c r="F2" s="62">
        <v>0</v>
      </c>
      <c r="G2" s="62">
        <v>0</v>
      </c>
      <c r="H2" s="62">
        <v>0</v>
      </c>
      <c r="I2" s="62">
        <v>0</v>
      </c>
      <c r="J2" s="15" t="e">
        <v>#DIV/0!</v>
      </c>
    </row>
    <row r="3" spans="1:10" x14ac:dyDescent="0.25">
      <c r="A3" s="352" t="str">
        <v>ELKAYEM AUTO|Sandhar Automach|SRIKAM HITECH</v>
      </c>
      <c r="B3" s="352" t="str">
        <v>278|408|600|772|1000</v>
      </c>
      <c r="C3" s="15" t="str">
        <v>12.7-0-1.2-ERW 1-PE</v>
      </c>
      <c r="D3" s="15" t="str">
        <v>0789</v>
      </c>
      <c r="E3" s="62">
        <v>6.8466639936</v>
      </c>
      <c r="F3" s="62">
        <v>5.1311</v>
      </c>
      <c r="G3" s="62">
        <v>0.89390999999999998</v>
      </c>
      <c r="H3" s="62">
        <v>20.176453000000002</v>
      </c>
      <c r="I3" s="62">
        <v>0</v>
      </c>
      <c r="J3" s="62">
        <v>88.407082714414699</v>
      </c>
    </row>
    <row r="4" spans="1:10" ht="45" x14ac:dyDescent="0.25">
      <c r="A4" s="352" t="str">
        <v>Balaji press product|ELKAYEM AUTO|NMPL TVSM|Rajsriya Unit 2|Rajsriya Unit 5|Rajsriya Automotive|Rajsriya Mysore |SRIKAM HITECH</v>
      </c>
      <c r="B4" s="352" t="str">
        <v>145|187|189|250|252|255|257|260|280|295|320|393|907|950|1000|6000</v>
      </c>
      <c r="C4" s="15" t="str">
        <v>12.7-0-1.6-ERW 1-PE</v>
      </c>
      <c r="D4" s="15" t="str">
        <v>0789</v>
      </c>
      <c r="E4" s="62">
        <v>35.701806820080002</v>
      </c>
      <c r="F4" s="62">
        <v>17.795043</v>
      </c>
      <c r="G4" s="62">
        <v>5.401047000000001</v>
      </c>
      <c r="H4" s="62">
        <v>6.5656999999999854E-2</v>
      </c>
      <c r="I4" s="62">
        <v>8.9860000000000007</v>
      </c>
      <c r="J4" s="62">
        <v>7.6060495024378021</v>
      </c>
    </row>
    <row r="5" spans="1:10" x14ac:dyDescent="0.25">
      <c r="A5" s="352" t="str">
        <v>ELKAYEM AUTO</v>
      </c>
      <c r="B5" s="352" t="str">
        <v>1000</v>
      </c>
      <c r="C5" s="15" t="str">
        <v>14-0-1.6-CEW-CEW</v>
      </c>
      <c r="D5" s="15" t="str">
        <v>0788</v>
      </c>
      <c r="E5" s="62">
        <v>0</v>
      </c>
      <c r="F5" s="62">
        <v>0</v>
      </c>
      <c r="G5" s="62">
        <v>0</v>
      </c>
      <c r="H5" s="62">
        <v>0</v>
      </c>
      <c r="I5" s="62">
        <v>0</v>
      </c>
      <c r="J5" s="62" t="e">
        <v>#DIV/0!</v>
      </c>
    </row>
    <row r="6" spans="1:10" x14ac:dyDescent="0.25">
      <c r="A6" s="352" t="str">
        <v>SRIKAM HITECH</v>
      </c>
      <c r="B6" s="352" t="str">
        <v>1000</v>
      </c>
      <c r="C6" s="15" t="str">
        <v>14-10.1-1.95-CEW-CEW</v>
      </c>
      <c r="D6" s="15" t="str">
        <v>0788</v>
      </c>
      <c r="E6" s="62">
        <v>0</v>
      </c>
      <c r="F6" s="62">
        <v>0</v>
      </c>
      <c r="G6" s="62">
        <v>0</v>
      </c>
      <c r="H6" s="62">
        <v>0</v>
      </c>
      <c r="I6" s="62">
        <v>0</v>
      </c>
      <c r="J6" s="62" t="e">
        <v>#DIV/0!</v>
      </c>
    </row>
    <row r="7" spans="1:10" x14ac:dyDescent="0.25">
      <c r="A7" s="352" t="str">
        <v xml:space="preserve">NMPL TVSM|Sandhar Engg Mysore </v>
      </c>
      <c r="B7" s="352" t="str">
        <v>1000</v>
      </c>
      <c r="C7" s="15" t="str">
        <v>14-0-2.45-CEW-CEW</v>
      </c>
      <c r="D7" s="15" t="str">
        <v>0788</v>
      </c>
      <c r="E7" s="62">
        <v>4.1850304650000005</v>
      </c>
      <c r="F7" s="62">
        <v>0</v>
      </c>
      <c r="G7" s="62">
        <v>0</v>
      </c>
      <c r="H7" s="62">
        <v>2.0270000000000001</v>
      </c>
      <c r="I7" s="62">
        <v>0</v>
      </c>
      <c r="J7" s="62">
        <v>14.530360175048331</v>
      </c>
    </row>
    <row r="8" spans="1:10" ht="30" x14ac:dyDescent="0.25">
      <c r="A8" s="352" t="str">
        <v>Marathwada|NMPL HUB|NMPL TVSM</v>
      </c>
      <c r="B8" s="352" t="str">
        <v>140|592|1234|1603|1715|1745|2185|2340|2490|2905</v>
      </c>
      <c r="C8" s="15" t="str">
        <v>15.88-0-1-ERW 1-PE</v>
      </c>
      <c r="D8" s="15" t="str">
        <v>0789</v>
      </c>
      <c r="E8" s="62">
        <v>34.61147309447999</v>
      </c>
      <c r="F8" s="62">
        <v>16.544900000000002</v>
      </c>
      <c r="G8" s="62">
        <v>7.565932000000001</v>
      </c>
      <c r="H8" s="62">
        <v>0.17900000000000027</v>
      </c>
      <c r="I8" s="62">
        <v>0</v>
      </c>
      <c r="J8" s="62">
        <v>0.15515086530242025</v>
      </c>
    </row>
    <row r="9" spans="1:10" ht="45" x14ac:dyDescent="0.25">
      <c r="A9" s="352" t="str">
        <v>Balaji press product|RUCHA|SRI BALAJI GEARS V4|Balaji Gears V3|SRI BALAJI GEARS V7|SRIKAM HITECH</v>
      </c>
      <c r="B9" s="352" t="str">
        <v>150|540|680|730|755|888|1130|1310</v>
      </c>
      <c r="C9" s="15" t="str">
        <v>15.88-0-1.2-ERW 1-PE</v>
      </c>
      <c r="D9" s="15" t="str">
        <v>0789</v>
      </c>
      <c r="E9" s="62">
        <v>17.993943528960003</v>
      </c>
      <c r="F9" s="62">
        <v>12.248701999999994</v>
      </c>
      <c r="G9" s="62">
        <v>4.7158829999999998</v>
      </c>
      <c r="H9" s="62">
        <v>6.0695910000000008</v>
      </c>
      <c r="I9" s="62">
        <v>7.3860000000000001</v>
      </c>
      <c r="J9" s="62">
        <v>22.433533224683341</v>
      </c>
    </row>
    <row r="10" spans="1:10" ht="45" x14ac:dyDescent="0.25">
      <c r="A10" s="352" t="str">
        <v>ELKAYEM AUTO|ELKAYEM AUTO MYSORE |Marathwada|Rajsriya Unit 2|Rajsriya Unit 5|Rajsriya Automotive|SRIKAM HITECH</v>
      </c>
      <c r="B10" s="352" t="str">
        <v>150|154|435|442|1000|6000</v>
      </c>
      <c r="C10" s="15" t="str">
        <v>15.88-0-1.6-ERW 1-PE</v>
      </c>
      <c r="D10" s="15" t="str">
        <v>0789</v>
      </c>
      <c r="E10" s="62">
        <v>15.081969826560002</v>
      </c>
      <c r="F10" s="62">
        <v>11.105666999999999</v>
      </c>
      <c r="G10" s="62">
        <v>2.3809990000000001</v>
      </c>
      <c r="H10" s="62">
        <v>0</v>
      </c>
      <c r="I10" s="62">
        <v>3.8879999999999999</v>
      </c>
      <c r="J10" s="62">
        <v>7.7337377903111779</v>
      </c>
    </row>
    <row r="11" spans="1:10" ht="45" x14ac:dyDescent="0.25">
      <c r="A11" s="352" t="str">
        <v>ELKAYEM AUTO|ELKAYEM AUTO MYSORE |Rajsriya Unit 8|Rajsriya Unit 1|Rajsriya Mysore |RUCHA|SRIKAM HITECH</v>
      </c>
      <c r="B11" s="352" t="str">
        <v>155|160|291|442|537</v>
      </c>
      <c r="C11" s="15" t="str">
        <v>15.88-0-2-ERW 1-PE</v>
      </c>
      <c r="D11" s="15" t="str">
        <v>0789</v>
      </c>
      <c r="E11" s="62">
        <v>12.835552252416001</v>
      </c>
      <c r="F11" s="62">
        <v>8.190179999999998</v>
      </c>
      <c r="G11" s="62">
        <v>0.30237799999999998</v>
      </c>
      <c r="H11" s="62">
        <v>0</v>
      </c>
      <c r="I11" s="62">
        <v>0.24399999999999999</v>
      </c>
      <c r="J11" s="62">
        <v>0.57029100548612355</v>
      </c>
    </row>
    <row r="12" spans="1:10" x14ac:dyDescent="0.25">
      <c r="A12" s="352" t="str">
        <v xml:space="preserve">Rajsriya Unit 5|Rajsriya Mysore </v>
      </c>
      <c r="B12" s="352" t="str">
        <v>1000</v>
      </c>
      <c r="C12" s="15" t="str">
        <v>16.1-10.4-2.7-CEW-CEW</v>
      </c>
      <c r="D12" s="15" t="str">
        <v>0788</v>
      </c>
      <c r="E12" s="62">
        <v>2.6754024600000008</v>
      </c>
      <c r="F12" s="62">
        <v>0</v>
      </c>
      <c r="G12" s="62">
        <v>0</v>
      </c>
      <c r="H12" s="62">
        <v>7.4622169999999999</v>
      </c>
      <c r="I12" s="62">
        <v>0</v>
      </c>
      <c r="J12" s="62">
        <v>83.675825729785686</v>
      </c>
    </row>
    <row r="13" spans="1:10" x14ac:dyDescent="0.25">
      <c r="A13" s="352" t="str">
        <v>ELKAYEM AUTO|Rajsriya Automotive</v>
      </c>
      <c r="B13" s="352" t="str">
        <v>1000|4500</v>
      </c>
      <c r="C13" s="15" t="str">
        <v>16.1-0-2.8-CEW-CEW</v>
      </c>
      <c r="D13" s="15" t="str">
        <v>0788</v>
      </c>
      <c r="E13" s="62">
        <v>0</v>
      </c>
      <c r="F13" s="62">
        <v>6.8385009999999999</v>
      </c>
      <c r="G13" s="62">
        <v>0</v>
      </c>
      <c r="H13" s="62">
        <v>1.92143</v>
      </c>
      <c r="I13" s="62">
        <v>0</v>
      </c>
      <c r="J13" s="62" t="e">
        <v>#DIV/0!</v>
      </c>
    </row>
    <row r="14" spans="1:10" x14ac:dyDescent="0.25">
      <c r="A14" s="352" t="str">
        <v>ELKAYEM AUTO</v>
      </c>
      <c r="B14" s="352" t="str">
        <v>1000</v>
      </c>
      <c r="C14" s="15" t="str">
        <v>16.1-10.7-2.95-CEW-CEW</v>
      </c>
      <c r="D14" s="15" t="str">
        <v>0788</v>
      </c>
      <c r="E14" s="62">
        <v>0</v>
      </c>
      <c r="F14" s="62">
        <v>0</v>
      </c>
      <c r="G14" s="62">
        <v>0</v>
      </c>
      <c r="H14" s="62">
        <v>0</v>
      </c>
      <c r="I14" s="62">
        <v>0</v>
      </c>
      <c r="J14" s="62" t="e">
        <v>#DIV/0!</v>
      </c>
    </row>
    <row r="15" spans="1:10" x14ac:dyDescent="0.25">
      <c r="A15" s="352" t="str">
        <v>NMPL HUB|NMPL TVSM</v>
      </c>
      <c r="B15" s="352" t="str">
        <v>150</v>
      </c>
      <c r="C15" s="15" t="str">
        <v>17.3-0-1.2-ERW 1-PE</v>
      </c>
      <c r="D15" s="15" t="str">
        <v>0788</v>
      </c>
      <c r="E15" s="62">
        <v>1.4429426004000003</v>
      </c>
      <c r="F15" s="62">
        <v>0.56799999999999995</v>
      </c>
      <c r="G15" s="62">
        <v>0</v>
      </c>
      <c r="H15" s="62">
        <v>4.49552</v>
      </c>
      <c r="I15" s="62">
        <v>0</v>
      </c>
      <c r="J15" s="62">
        <v>93.465672135962791</v>
      </c>
    </row>
    <row r="16" spans="1:10" ht="30" x14ac:dyDescent="0.25">
      <c r="A16" s="352" t="str">
        <v>ELKAYEM AUTO|Marathwada|SANDHAR ENGINEERING PVT LTD.|SRIKAM HITECH</v>
      </c>
      <c r="B16" s="352" t="str">
        <v>355|363|385|400|415|640</v>
      </c>
      <c r="C16" s="15" t="str">
        <v>17.3-0-1.6-ERW 1-PE</v>
      </c>
      <c r="D16" s="15" t="str">
        <v>0788</v>
      </c>
      <c r="E16" s="62">
        <v>15.727245152</v>
      </c>
      <c r="F16" s="62">
        <v>0.24787799999999999</v>
      </c>
      <c r="G16" s="62">
        <v>0.75500499999999993</v>
      </c>
      <c r="H16" s="62">
        <v>9.3040000000000012E-2</v>
      </c>
      <c r="I16" s="62">
        <v>0</v>
      </c>
      <c r="J16" s="62">
        <v>0.17747545568367068</v>
      </c>
    </row>
    <row r="17" spans="1:10" x14ac:dyDescent="0.25">
      <c r="A17" s="352" t="e" vm="3">
        <v>#VALUE!</v>
      </c>
      <c r="B17" s="352" t="e" vm="3">
        <v>#VALUE!</v>
      </c>
      <c r="C17" s="15" t="str">
        <v>18-10.8-3.6-CEW-CEW</v>
      </c>
      <c r="D17" s="15" t="str">
        <v>0788</v>
      </c>
      <c r="E17" s="62">
        <v>0</v>
      </c>
      <c r="F17" s="62">
        <v>0</v>
      </c>
      <c r="G17" s="62">
        <v>0</v>
      </c>
      <c r="H17" s="62">
        <v>0</v>
      </c>
      <c r="I17" s="62">
        <v>0</v>
      </c>
      <c r="J17" s="62" t="e">
        <v>#DIV/0!</v>
      </c>
    </row>
    <row r="18" spans="1:10" x14ac:dyDescent="0.25">
      <c r="A18" s="352" t="str">
        <v>NMPL HUB|NMPL TVSM</v>
      </c>
      <c r="B18" s="352" t="str">
        <v>110|145</v>
      </c>
      <c r="C18" s="15" t="str">
        <v>18.2-0-1-ERW 1-PE</v>
      </c>
      <c r="D18" s="15" t="str">
        <v>0788</v>
      </c>
      <c r="E18" s="62">
        <v>3.8813794339999999</v>
      </c>
      <c r="F18" s="62">
        <v>0</v>
      </c>
      <c r="G18" s="62">
        <v>0.19340000000000002</v>
      </c>
      <c r="H18" s="62">
        <v>0.18590300000000004</v>
      </c>
      <c r="I18" s="62">
        <v>0</v>
      </c>
      <c r="J18" s="62">
        <v>1.4368834830076036</v>
      </c>
    </row>
    <row r="19" spans="1:10" x14ac:dyDescent="0.25">
      <c r="A19" s="352" t="str">
        <v xml:space="preserve">Rajsriya Unit 5|Rajsriya Mysore </v>
      </c>
      <c r="B19" s="352" t="str">
        <v>1000|4500</v>
      </c>
      <c r="C19" s="15" t="str">
        <v>18.2-12.3-2.95-CEW-CEW</v>
      </c>
      <c r="D19" s="15" t="str">
        <v>0788</v>
      </c>
      <c r="E19" s="62">
        <v>2.7722422187500007</v>
      </c>
      <c r="F19" s="62">
        <v>0</v>
      </c>
      <c r="G19" s="62">
        <v>0</v>
      </c>
      <c r="H19" s="62">
        <v>0</v>
      </c>
      <c r="I19" s="62">
        <v>0</v>
      </c>
      <c r="J19" s="62">
        <v>0</v>
      </c>
    </row>
    <row r="20" spans="1:10" ht="60" x14ac:dyDescent="0.25">
      <c r="A20" s="352" t="str">
        <v>Marathwada v7|Marathwada|SRI BALAJI GEARS V7|SRI BALAJI GEARS V4|Balaji Gears V3</v>
      </c>
      <c r="B20" s="352" t="str">
        <v>100|110|115|129|150|290|330|355|392|400|470|486|540|675|682|710|750|755|790|795|800|835|840|871|875|880|890|962|963|1000|1007|1246|1304</v>
      </c>
      <c r="C20" s="15" t="str">
        <v>19-19-1-CRFH-PE</v>
      </c>
      <c r="D20" s="15" t="str">
        <v>0789</v>
      </c>
      <c r="E20" s="62">
        <v>128.05832115050001</v>
      </c>
      <c r="F20" s="62">
        <v>89.344291000000112</v>
      </c>
      <c r="G20" s="62">
        <v>18.460063000000002</v>
      </c>
      <c r="H20" s="62">
        <v>15.867808</v>
      </c>
      <c r="I20" s="62">
        <v>41.765000000000001</v>
      </c>
      <c r="J20" s="62">
        <v>13.501537615568289</v>
      </c>
    </row>
    <row r="21" spans="1:10" x14ac:dyDescent="0.25">
      <c r="A21" s="352" t="e" vm="3">
        <v>#VALUE!</v>
      </c>
      <c r="B21" s="352" t="e" vm="3">
        <v>#VALUE!</v>
      </c>
      <c r="C21" s="15" t="str">
        <v>19-19-1.2-CRFH-PE</v>
      </c>
      <c r="D21" s="15" t="str">
        <v>0789</v>
      </c>
      <c r="E21" s="62">
        <v>0</v>
      </c>
      <c r="F21" s="62">
        <v>2.521868</v>
      </c>
      <c r="G21" s="62">
        <v>0.36558800000000002</v>
      </c>
      <c r="H21" s="62">
        <v>0</v>
      </c>
      <c r="I21" s="62">
        <v>3.4649999999999999</v>
      </c>
      <c r="J21" s="62" t="e">
        <v>#DIV/0!</v>
      </c>
    </row>
    <row r="22" spans="1:10" ht="30" x14ac:dyDescent="0.25">
      <c r="A22" s="352" t="str">
        <v>Metalman|Rajsriya Unit 8|Rajsriya Unit 1|Rajsriya Automotive|SRIKAM HITECH</v>
      </c>
      <c r="B22" s="352" t="str">
        <v>180|195|200|319|588|5000</v>
      </c>
      <c r="C22" s="15" t="str">
        <v>19-12.5-3.25-CEW-CEW</v>
      </c>
      <c r="D22" s="15" t="str">
        <v>0788</v>
      </c>
      <c r="E22" s="62">
        <v>26.041914990000002</v>
      </c>
      <c r="F22" s="62">
        <v>26.089235000000002</v>
      </c>
      <c r="G22" s="62">
        <v>3.520054</v>
      </c>
      <c r="H22" s="62">
        <v>9.9577899999999993</v>
      </c>
      <c r="I22" s="62">
        <v>0</v>
      </c>
      <c r="J22" s="62">
        <v>11.471264694424837</v>
      </c>
    </row>
    <row r="23" spans="1:10" x14ac:dyDescent="0.25">
      <c r="A23" s="352" t="str">
        <v>Balaji press product|Marathwada|NMPL TVSM</v>
      </c>
      <c r="B23" s="352" t="str">
        <v>1095|1200</v>
      </c>
      <c r="C23" s="15" t="str">
        <v>19.05-0-1-ERW 1-PE</v>
      </c>
      <c r="D23" s="15" t="str">
        <v>0789</v>
      </c>
      <c r="E23" s="62">
        <v>15.830056131000003</v>
      </c>
      <c r="F23" s="62">
        <v>4.1328750000000003</v>
      </c>
      <c r="G23" s="62">
        <v>1.8531</v>
      </c>
      <c r="H23" s="62">
        <v>0</v>
      </c>
      <c r="I23" s="62">
        <v>18.324000000000002</v>
      </c>
      <c r="J23" s="62">
        <v>34.726345595419794</v>
      </c>
    </row>
    <row r="24" spans="1:10" ht="45" x14ac:dyDescent="0.25">
      <c r="A24" s="352" t="str">
        <v>Balaji press product|Marathwada|NMPL TVSM|SANDHAR ENGINEERING PVT LTD.|Balaji Gears V3</v>
      </c>
      <c r="B24" s="352" t="str">
        <v>109|200|258|330|403|513|631|650|680|682|1075|1130|1145|1230|1275|1615</v>
      </c>
      <c r="C24" s="15" t="str">
        <v>19.05-0-1.2-ERW 1-PE</v>
      </c>
      <c r="D24" s="15" t="str">
        <v>0789</v>
      </c>
      <c r="E24" s="62">
        <v>40.782617193150003</v>
      </c>
      <c r="F24" s="62">
        <v>7.5176540000000012</v>
      </c>
      <c r="G24" s="62">
        <v>12.593024</v>
      </c>
      <c r="H24" s="62">
        <v>0</v>
      </c>
      <c r="I24" s="62">
        <v>20.588000000000001</v>
      </c>
      <c r="J24" s="62">
        <v>15.144687675996947</v>
      </c>
    </row>
    <row r="25" spans="1:10" ht="30" x14ac:dyDescent="0.25">
      <c r="A25" s="352" t="str">
        <v>Marathwada v7|SRI BALAJI GEARS V4|SRI BALAJI GEARS V7</v>
      </c>
      <c r="B25" s="352" t="str">
        <v>200|220|320|330|377|682|1230</v>
      </c>
      <c r="C25" s="15" t="str">
        <v>19.05-0-1.2-CRFH-PE</v>
      </c>
      <c r="D25" s="15" t="str">
        <v>0789</v>
      </c>
      <c r="E25" s="62">
        <v>19.573069142970006</v>
      </c>
      <c r="F25" s="62">
        <v>12.382282000000014</v>
      </c>
      <c r="G25" s="62">
        <v>2.2490960000000002</v>
      </c>
      <c r="H25" s="62">
        <v>2.2490960000000002</v>
      </c>
      <c r="I25" s="62">
        <v>16.085999999999999</v>
      </c>
      <c r="J25" s="62">
        <v>28.102535988719005</v>
      </c>
    </row>
    <row r="26" spans="1:10" ht="30" x14ac:dyDescent="0.25">
      <c r="A26" s="352" t="str">
        <v>Metalman|NMPL TVSM|SANDHAR ENGINEERING PVT LTD.|SRIKAM HITECH</v>
      </c>
      <c r="B26" s="352" t="str">
        <v>258|268|275|595|610|1405</v>
      </c>
      <c r="C26" s="15" t="str">
        <v>19.05-0-1.6-ERW 1-PE</v>
      </c>
      <c r="D26" s="15" t="str">
        <v>0789</v>
      </c>
      <c r="E26" s="62">
        <v>4.1154364783999995</v>
      </c>
      <c r="F26" s="62">
        <v>1.7630000000000001</v>
      </c>
      <c r="G26" s="62">
        <v>1.3187990000000001</v>
      </c>
      <c r="H26" s="62">
        <v>0</v>
      </c>
      <c r="I26" s="62">
        <v>2.8860000000000001</v>
      </c>
      <c r="J26" s="62">
        <v>21.037865717140313</v>
      </c>
    </row>
    <row r="27" spans="1:10" x14ac:dyDescent="0.25">
      <c r="A27" s="352" t="str">
        <v>Rajsriya Unit 8</v>
      </c>
      <c r="B27" s="352" t="str">
        <v>394</v>
      </c>
      <c r="C27" s="15" t="str">
        <v>19.05-0-1.6-ERW 2 MAHS-PE</v>
      </c>
      <c r="D27" s="15" t="str">
        <v>0789</v>
      </c>
      <c r="E27" s="62">
        <v>0</v>
      </c>
      <c r="F27" s="62">
        <v>0</v>
      </c>
      <c r="G27" s="62">
        <v>1.891597</v>
      </c>
      <c r="H27" s="62">
        <v>0</v>
      </c>
      <c r="I27" s="62">
        <v>2.9860000000000002</v>
      </c>
      <c r="J27" s="62" t="e">
        <v>#DIV/0!</v>
      </c>
    </row>
    <row r="28" spans="1:10" ht="45" x14ac:dyDescent="0.25">
      <c r="A28" s="352" t="str">
        <v>ELKAYEM AUTO|KNITVEL NEEDLES P LTD|Rajsriya Unit 2|Rajsriya Unit 1|Rajsriya Unit 5|Rajsriya Unit 8|Rajsriya Mysore |RUCHA|SRIKAM HITECH</v>
      </c>
      <c r="B28" s="352" t="str">
        <v>104|213|240|259|265|358|394|475|775|785|815|820|830|900|1000</v>
      </c>
      <c r="C28" s="15" t="str">
        <v>19.05-0-2-ERW 1-PE</v>
      </c>
      <c r="D28" s="15" t="str">
        <v>0789</v>
      </c>
      <c r="E28" s="62">
        <v>73.459038536400001</v>
      </c>
      <c r="F28" s="62">
        <v>16.170392</v>
      </c>
      <c r="G28" s="62">
        <v>0.56252400000000002</v>
      </c>
      <c r="H28" s="62">
        <v>0</v>
      </c>
      <c r="I28" s="62">
        <v>11.189</v>
      </c>
      <c r="J28" s="62">
        <v>4.5694853443211176</v>
      </c>
    </row>
    <row r="29" spans="1:10" ht="60" x14ac:dyDescent="0.25">
      <c r="A29" s="352" t="str">
        <v>ELKAYEM AUTO|NMPL TVSM|Rajsriya Unit 2|Rajsriya Unit 5|Rajsriya Unit 1|Rajsriya Automotive|RUCHA|SANDHAR ENGINEERING PVT LTD.|SRIKAM HITECH</v>
      </c>
      <c r="B29" s="352" t="str">
        <v>195|210|236|250|252|255|265|278|281|285|295|303|394|400|554|570|585|600|610|1000</v>
      </c>
      <c r="C29" s="15" t="str">
        <v>19.05-0-2.3-ERW 1-PE</v>
      </c>
      <c r="D29" s="15" t="str">
        <v>0789</v>
      </c>
      <c r="E29" s="62">
        <v>99.752442651712485</v>
      </c>
      <c r="F29" s="62">
        <v>65.309253999999996</v>
      </c>
      <c r="G29" s="62">
        <v>19.279643</v>
      </c>
      <c r="H29" s="62">
        <v>73.955846000000008</v>
      </c>
      <c r="I29" s="62">
        <v>6.0149999999999997</v>
      </c>
      <c r="J29" s="62">
        <v>24.050793306150819</v>
      </c>
    </row>
    <row r="30" spans="1:10" x14ac:dyDescent="0.25">
      <c r="A30" s="352" t="str">
        <v>Laxmi|NMPL TVSM</v>
      </c>
      <c r="B30" s="352" t="str">
        <v>273</v>
      </c>
      <c r="C30" s="15" t="str">
        <v>20-17.16-1.42-CEW-CEW</v>
      </c>
      <c r="D30" s="15" t="str">
        <v>0788</v>
      </c>
      <c r="E30" s="62">
        <v>6.0363570861047986</v>
      </c>
      <c r="F30" s="62">
        <v>1.593</v>
      </c>
      <c r="G30" s="62">
        <v>0.71119699999999997</v>
      </c>
      <c r="H30" s="62">
        <v>1.1720000000000002</v>
      </c>
      <c r="I30" s="62">
        <v>0</v>
      </c>
      <c r="J30" s="62">
        <v>5.8247051157618648</v>
      </c>
    </row>
    <row r="31" spans="1:10" x14ac:dyDescent="0.25">
      <c r="A31" s="352" t="str">
        <v xml:space="preserve">Sandhar Engg Mysore </v>
      </c>
      <c r="B31" s="352" t="str">
        <v>1000</v>
      </c>
      <c r="C31" s="15" t="str">
        <v>20-12.4-3.8-CEW-CEW</v>
      </c>
      <c r="D31" s="15" t="str">
        <v>0788</v>
      </c>
      <c r="E31" s="62">
        <v>0</v>
      </c>
      <c r="F31" s="62">
        <v>0</v>
      </c>
      <c r="G31" s="62">
        <v>0</v>
      </c>
      <c r="H31" s="62">
        <v>0</v>
      </c>
      <c r="I31" s="62">
        <v>0</v>
      </c>
      <c r="J31" s="62" t="e">
        <v>#DIV/0!</v>
      </c>
    </row>
    <row r="32" spans="1:10" x14ac:dyDescent="0.25">
      <c r="A32" s="352" t="str">
        <v xml:space="preserve">NMPL HUB|Sandhar Engg Mysore </v>
      </c>
      <c r="B32" s="352" t="str">
        <v>1000</v>
      </c>
      <c r="C32" s="15" t="str">
        <v>20-12.4-4.5-CEW-CEW</v>
      </c>
      <c r="D32" s="15" t="str">
        <v>0788</v>
      </c>
      <c r="E32" s="62">
        <v>3.4385355000000004</v>
      </c>
      <c r="F32" s="62">
        <v>0</v>
      </c>
      <c r="G32" s="62">
        <v>0</v>
      </c>
      <c r="H32" s="62">
        <v>0</v>
      </c>
      <c r="I32" s="62">
        <v>0</v>
      </c>
      <c r="J32" s="62">
        <v>0</v>
      </c>
    </row>
    <row r="33" spans="1:10" x14ac:dyDescent="0.25">
      <c r="A33" s="352" t="str">
        <v>NMPL TVSM|Rajsriya Unit 5|SRIKAM HITECH</v>
      </c>
      <c r="B33" s="352" t="str">
        <v>1000</v>
      </c>
      <c r="C33" s="15" t="str">
        <v>21.7-16.2-2.75-CEW-CEW</v>
      </c>
      <c r="D33" s="15" t="str">
        <v>0788</v>
      </c>
      <c r="E33" s="62">
        <v>1.9267815187499999</v>
      </c>
      <c r="F33" s="62">
        <v>2.9208829999999999</v>
      </c>
      <c r="G33" s="62">
        <v>0</v>
      </c>
      <c r="H33" s="62">
        <v>1.8677429999999999</v>
      </c>
      <c r="I33" s="62">
        <v>0</v>
      </c>
      <c r="J33" s="62">
        <v>29.080769902936876</v>
      </c>
    </row>
    <row r="34" spans="1:10" x14ac:dyDescent="0.25">
      <c r="A34" s="352" t="str">
        <v xml:space="preserve">NMPL TVSM|Sandhar Engg Mysore </v>
      </c>
      <c r="B34" s="352" t="str">
        <v>1000</v>
      </c>
      <c r="C34" s="15" t="str">
        <v>21.75-0-3.5-CEW-CEW</v>
      </c>
      <c r="D34" s="15" t="str">
        <v>0788</v>
      </c>
      <c r="E34" s="62">
        <v>0</v>
      </c>
      <c r="F34" s="62">
        <v>0</v>
      </c>
      <c r="G34" s="62">
        <v>0</v>
      </c>
      <c r="H34" s="62">
        <v>0</v>
      </c>
      <c r="I34" s="62">
        <v>0</v>
      </c>
      <c r="J34" s="62" t="e">
        <v>#DIV/0!</v>
      </c>
    </row>
    <row r="35" spans="1:10" ht="45" x14ac:dyDescent="0.25">
      <c r="A35" s="352" t="str">
        <v>ELKAYEM AUTO|NMPL HUB|Rajsriya Unit 4|Rajsriya Unit 2|SANDHAR ENGINEERING PVT LTD.|Sandhar Automach|SRIKAM HITECH</v>
      </c>
      <c r="B35" s="352" t="str">
        <v>140|297|600|673|681|1162|1308|1328</v>
      </c>
      <c r="C35" s="15" t="str">
        <v>22.23-0-1.2-ERW 1-PE</v>
      </c>
      <c r="D35" s="15" t="str">
        <v>0789</v>
      </c>
      <c r="E35" s="62">
        <v>21.238385605452002</v>
      </c>
      <c r="F35" s="62">
        <v>4.2701100000000007</v>
      </c>
      <c r="G35" s="62">
        <v>1.8640619999999999</v>
      </c>
      <c r="H35" s="62">
        <v>8.4999999999999964E-2</v>
      </c>
      <c r="I35" s="62">
        <v>3.1040000000000001</v>
      </c>
      <c r="J35" s="62">
        <v>4.5045796689669775</v>
      </c>
    </row>
    <row r="36" spans="1:10" ht="75" x14ac:dyDescent="0.25">
      <c r="A36" s="352" t="str">
        <v>ELKAYEM AUTO|KNITVEL NEEDLES P LTD|Marathwada|Metalman|NMPL TVSM|NMPL HUB|Rajsriya Unit 2|Rajsriya Unit 5|SANDHAR ENGINEERING PVT LTD.|Sandhar Engg Mysore |SRIKAM HITECH</v>
      </c>
      <c r="B36" s="352" t="str">
        <v>210|274|283|285|394|401|640|670|675|690|700|740|809|880|945|949|967|1175|1210|1222|1290|1304|1337</v>
      </c>
      <c r="C36" s="15" t="str">
        <v>22.23-0-1.6-ERW 1-PE</v>
      </c>
      <c r="D36" s="15" t="str">
        <v>0789</v>
      </c>
      <c r="E36" s="62">
        <v>133.86215305853759</v>
      </c>
      <c r="F36" s="62">
        <v>41.810950000000005</v>
      </c>
      <c r="G36" s="62">
        <v>2.4718240000000002</v>
      </c>
      <c r="H36" s="62">
        <v>62.742162000000008</v>
      </c>
      <c r="I36" s="62">
        <v>0</v>
      </c>
      <c r="J36" s="62">
        <v>14.06121758087135</v>
      </c>
    </row>
    <row r="37" spans="1:10" x14ac:dyDescent="0.25">
      <c r="A37" s="352" t="str">
        <v>Sandhar Automach</v>
      </c>
      <c r="B37" s="352" t="str">
        <v>935</v>
      </c>
      <c r="C37" s="15" t="str">
        <v>22.23-0-1.6-ERW 2 MAHS-PE</v>
      </c>
      <c r="D37" s="15" t="str">
        <v>0789</v>
      </c>
      <c r="E37" s="62">
        <v>22.821878085599998</v>
      </c>
      <c r="F37" s="62">
        <v>2.073725</v>
      </c>
      <c r="G37" s="62">
        <v>0.63895899999999994</v>
      </c>
      <c r="H37" s="62">
        <v>0</v>
      </c>
      <c r="I37" s="62">
        <v>0</v>
      </c>
      <c r="J37" s="62">
        <v>0</v>
      </c>
    </row>
    <row r="38" spans="1:10" ht="30" x14ac:dyDescent="0.25">
      <c r="A38" s="352" t="str">
        <v xml:space="preserve">ELKAYEM AUTO|ELKAYEM AUTO MYSORE |Sandhar Engg Mysore </v>
      </c>
      <c r="B38" s="352" t="str">
        <v>706|715|855|863|1000</v>
      </c>
      <c r="C38" s="15" t="str">
        <v>22.23-0-2-ERW 1-FC</v>
      </c>
      <c r="D38" s="15" t="str">
        <v>0789</v>
      </c>
      <c r="E38" s="62">
        <v>81.816438459730932</v>
      </c>
      <c r="F38" s="62">
        <v>3.5521499999999997</v>
      </c>
      <c r="G38" s="62">
        <v>4.3236059999999998</v>
      </c>
      <c r="H38" s="62">
        <v>7.6364609999999988</v>
      </c>
      <c r="I38" s="62">
        <v>2.7130000000000001</v>
      </c>
      <c r="J38" s="62">
        <v>3.7948832269546457</v>
      </c>
    </row>
    <row r="39" spans="1:10" x14ac:dyDescent="0.25">
      <c r="A39" s="352" t="str">
        <v>Sandhar Automach</v>
      </c>
      <c r="B39" s="352" t="str">
        <v>840|855|865</v>
      </c>
      <c r="C39" s="15" t="str">
        <v>22.23-0-2-ERW 2 MAHS-FC</v>
      </c>
      <c r="D39" s="15" t="str">
        <v>0789</v>
      </c>
      <c r="E39" s="62">
        <v>41.597322103399996</v>
      </c>
      <c r="F39" s="62">
        <v>20.762289999999997</v>
      </c>
      <c r="G39" s="62">
        <v>1.6344689999999997</v>
      </c>
      <c r="H39" s="62">
        <v>1.6344689999999997</v>
      </c>
      <c r="I39" s="62">
        <v>0</v>
      </c>
      <c r="J39" s="62">
        <v>1.1787794867687442</v>
      </c>
    </row>
    <row r="40" spans="1:10" ht="60" x14ac:dyDescent="0.25">
      <c r="A40" s="352" t="str">
        <v>ELKAYEM AUTO MYSORE |NMPL TVSM|NMPL HUB|Rajsriya Unit 2|Rajsriya Unit 5|SANDHAR ENGINEERING PVT LTD.|Sandhar Automach|SRIKAM HITECH</v>
      </c>
      <c r="B40" s="352" t="str">
        <v>180|220|236|394|775|805|809|815|1000|1325|1385</v>
      </c>
      <c r="C40" s="15" t="str">
        <v>22.23-0-2-ERW 1-PE</v>
      </c>
      <c r="D40" s="15" t="str">
        <v>0789</v>
      </c>
      <c r="E40" s="62">
        <v>73.570713295800005</v>
      </c>
      <c r="F40" s="62">
        <v>57.691250000000011</v>
      </c>
      <c r="G40" s="62">
        <v>2.5288830000000004</v>
      </c>
      <c r="H40" s="62">
        <v>11.690146999999998</v>
      </c>
      <c r="I40" s="62">
        <v>1.629</v>
      </c>
      <c r="J40" s="62">
        <v>5.4311612882352032</v>
      </c>
    </row>
    <row r="41" spans="1:10" x14ac:dyDescent="0.25">
      <c r="A41" s="352" t="str">
        <v>NMPL HUB|SANDHAR ENGINEERING PVT LTD.</v>
      </c>
      <c r="B41" s="352" t="str">
        <v>394|855|863</v>
      </c>
      <c r="C41" s="15" t="str">
        <v>22.23-0-2-ERW 2-FC</v>
      </c>
      <c r="D41" s="15" t="str">
        <v>0789</v>
      </c>
      <c r="E41" s="62">
        <v>5.9726214963519997</v>
      </c>
      <c r="F41" s="62">
        <v>6.9522579999999996</v>
      </c>
      <c r="G41" s="62">
        <v>1.0284789999999999</v>
      </c>
      <c r="H41" s="62">
        <v>0</v>
      </c>
      <c r="I41" s="62">
        <v>15.21</v>
      </c>
      <c r="J41" s="62">
        <v>76.398613285422854</v>
      </c>
    </row>
    <row r="42" spans="1:10" ht="30" x14ac:dyDescent="0.25">
      <c r="A42" s="352" t="str">
        <v>KNITVEL NEEDLES P LTD|Sandhar Automach|SRIKAM HITECH</v>
      </c>
      <c r="B42" s="352" t="str">
        <v>604|812|905|925</v>
      </c>
      <c r="C42" s="15" t="str">
        <v>22.23-0-2-ERW 2 MAHS-PE</v>
      </c>
      <c r="D42" s="15" t="str">
        <v>0789</v>
      </c>
      <c r="E42" s="62">
        <v>63.988668923479999</v>
      </c>
      <c r="F42" s="62">
        <v>33.500875000000001</v>
      </c>
      <c r="G42" s="62">
        <v>0.58795400000000009</v>
      </c>
      <c r="H42" s="62">
        <v>5.8279100000000001</v>
      </c>
      <c r="I42" s="62">
        <v>0</v>
      </c>
      <c r="J42" s="62">
        <v>2.7323165638759712</v>
      </c>
    </row>
    <row r="43" spans="1:10" ht="45" x14ac:dyDescent="0.25">
      <c r="A43" s="352" t="str">
        <v>ELKAYEM AUTO|Marathwada|NMPL TVSM|Rajsriya Automotive|Rajsriya Unit 2|Rajsriya Unit 5|Rajsriya Mysore |SRIKAM HITECH</v>
      </c>
      <c r="B43" s="352" t="str">
        <v>188|220|281|295|350|425|427|430|499|1000</v>
      </c>
      <c r="C43" s="15" t="str">
        <v>22.23-0-2.3-ERW 1-PE</v>
      </c>
      <c r="D43" s="15" t="str">
        <v>0789</v>
      </c>
      <c r="E43" s="62">
        <v>41.867907610105</v>
      </c>
      <c r="F43" s="62">
        <v>18.830572999999998</v>
      </c>
      <c r="G43" s="62">
        <v>0.17203499999999999</v>
      </c>
      <c r="H43" s="62">
        <v>6.8109740000000007</v>
      </c>
      <c r="I43" s="62">
        <v>0</v>
      </c>
      <c r="J43" s="62">
        <v>4.8803303452089466</v>
      </c>
    </row>
    <row r="44" spans="1:10" ht="30" x14ac:dyDescent="0.25">
      <c r="A44" s="352" t="str">
        <v>Marathwada v7|SRI BALAJI GEARS V7|SRI BALAJI GEARS V4|Balaji Gears V3</v>
      </c>
      <c r="B44" s="352" t="str">
        <v>330|640|642|787|1298</v>
      </c>
      <c r="C44" s="15" t="str">
        <v>25-25-1.2-CRFH-PE</v>
      </c>
      <c r="D44" s="15" t="str">
        <v>0789</v>
      </c>
      <c r="E44" s="62">
        <v>26.98426893708</v>
      </c>
      <c r="F44" s="62">
        <v>15.293707999999999</v>
      </c>
      <c r="G44" s="62">
        <v>1.99648</v>
      </c>
      <c r="H44" s="62">
        <v>2.5459999999999994</v>
      </c>
      <c r="I44" s="62">
        <v>25.728999999999999</v>
      </c>
      <c r="J44" s="62">
        <v>31.434981691662244</v>
      </c>
    </row>
    <row r="45" spans="1:10" x14ac:dyDescent="0.25">
      <c r="A45" s="352" t="str">
        <v>Marathwada|NMPL TVSM|NMPL HUB</v>
      </c>
      <c r="B45" s="352" t="str">
        <v>845|1000|2550|2585</v>
      </c>
      <c r="C45" s="15" t="str">
        <v>25.4-0-1.2-ERW 1-PE</v>
      </c>
      <c r="D45" s="15" t="str">
        <v>0789</v>
      </c>
      <c r="E45" s="62">
        <v>11.596072752</v>
      </c>
      <c r="F45" s="62">
        <v>6.3579600000000003</v>
      </c>
      <c r="G45" s="62">
        <v>7.5077829999999999</v>
      </c>
      <c r="H45" s="62">
        <v>0</v>
      </c>
      <c r="I45" s="62">
        <v>18.564</v>
      </c>
      <c r="J45" s="62">
        <v>48.026604516080397</v>
      </c>
    </row>
    <row r="46" spans="1:10" x14ac:dyDescent="0.25">
      <c r="A46" s="352" t="e" vm="3">
        <v>#VALUE!</v>
      </c>
      <c r="B46" s="352" t="e" vm="3">
        <v>#VALUE!</v>
      </c>
      <c r="C46" s="15" t="str">
        <v>25.4-0-1.4-ERW 2-PE</v>
      </c>
      <c r="D46" s="15" t="str">
        <v>0789</v>
      </c>
      <c r="E46" s="62">
        <v>0</v>
      </c>
      <c r="F46" s="62">
        <v>0</v>
      </c>
      <c r="G46" s="62">
        <v>0</v>
      </c>
      <c r="H46" s="62">
        <v>0</v>
      </c>
      <c r="I46" s="62">
        <v>0</v>
      </c>
      <c r="J46" s="62" t="e">
        <v>#DIV/0!</v>
      </c>
    </row>
    <row r="47" spans="1:10" x14ac:dyDescent="0.25">
      <c r="A47" s="352" t="str">
        <v>Metalman|Rajsriya Mysore |RUCHA</v>
      </c>
      <c r="B47" s="352" t="str">
        <v>208|360</v>
      </c>
      <c r="C47" s="15" t="str">
        <v>25.4-0-1.6-ERW 1-FC</v>
      </c>
      <c r="D47" s="15" t="str">
        <v>0789</v>
      </c>
      <c r="E47" s="62">
        <v>0</v>
      </c>
      <c r="F47" s="62">
        <v>0</v>
      </c>
      <c r="G47" s="62">
        <v>0.25649699999999998</v>
      </c>
      <c r="H47" s="62">
        <v>0</v>
      </c>
      <c r="I47" s="62">
        <v>0</v>
      </c>
      <c r="J47" s="62" t="e">
        <v>#DIV/0!</v>
      </c>
    </row>
    <row r="48" spans="1:10" ht="30" x14ac:dyDescent="0.25">
      <c r="A48" s="352" t="str">
        <v>Balaji press product|Marathwada|NMPL TVSM|Rajsriya Automotive</v>
      </c>
      <c r="B48" s="352" t="str">
        <v>360|512|2580|2590</v>
      </c>
      <c r="C48" s="15" t="str">
        <v>25.4-0-1.6-ERW 1-PE</v>
      </c>
      <c r="D48" s="15" t="str">
        <v>0789</v>
      </c>
      <c r="E48" s="62">
        <v>24.291845849600001</v>
      </c>
      <c r="F48" s="62">
        <v>20.244108999999998</v>
      </c>
      <c r="G48" s="62">
        <v>8.7592549999999996</v>
      </c>
      <c r="H48" s="62">
        <v>0</v>
      </c>
      <c r="I48" s="62">
        <v>3.6459999999999999</v>
      </c>
      <c r="J48" s="62">
        <v>4.502745517043576</v>
      </c>
    </row>
    <row r="49" spans="1:10" x14ac:dyDescent="0.25">
      <c r="A49" s="352" t="str">
        <v xml:space="preserve">NMPL HUB|Rajsriya Unit 2|Sandhar Engg Mysore </v>
      </c>
      <c r="B49" s="352" t="str">
        <v>412|470|567</v>
      </c>
      <c r="C49" s="15" t="str">
        <v>25.4-0-2-ERW 1-PE</v>
      </c>
      <c r="D49" s="15" t="str">
        <v>0789</v>
      </c>
      <c r="E49" s="62">
        <v>16.9967475288</v>
      </c>
      <c r="F49" s="62">
        <v>0</v>
      </c>
      <c r="G49" s="62">
        <v>1.7099999999999999E-3</v>
      </c>
      <c r="H49" s="62">
        <v>1.1482299999999999</v>
      </c>
      <c r="I49" s="62">
        <v>5.56</v>
      </c>
      <c r="J49" s="62">
        <v>11.840318252595022</v>
      </c>
    </row>
    <row r="50" spans="1:10" ht="60" x14ac:dyDescent="0.25">
      <c r="A50" s="352" t="str">
        <v>ELKAYEM AUTO|ELKAYEM AUTO MYSORE |Marathwada|Rajsriya Unit 8|Rajsriya Automotive|SANDHAR ENGINEERING PVT LTD.|Sandhar Engg Mysore |SRIKAM HITECH</v>
      </c>
      <c r="B50" s="352" t="str">
        <v>281|290|315|323|350|355|418|660</v>
      </c>
      <c r="C50" s="15" t="str">
        <v>25.4-0-2-ERW 1-FC</v>
      </c>
      <c r="D50" s="15" t="str">
        <v>0789</v>
      </c>
      <c r="E50" s="62">
        <v>35.401112761996799</v>
      </c>
      <c r="F50" s="62">
        <v>27.137424000000003</v>
      </c>
      <c r="G50" s="62">
        <v>14.849622</v>
      </c>
      <c r="H50" s="62">
        <v>10.739000000000004</v>
      </c>
      <c r="I50" s="62">
        <v>25.931000000000001</v>
      </c>
      <c r="J50" s="62">
        <v>31.075294367044886</v>
      </c>
    </row>
    <row r="51" spans="1:10" x14ac:dyDescent="0.25">
      <c r="A51" s="352" t="str">
        <v>Marathwada|Rajsriya Unit 1</v>
      </c>
      <c r="B51" s="352" t="str">
        <v>217</v>
      </c>
      <c r="C51" s="15" t="str">
        <v>25.4-0-2.5-CEW-CEW</v>
      </c>
      <c r="D51" s="15" t="str">
        <v>0788</v>
      </c>
      <c r="E51" s="62">
        <v>15.311034462499997</v>
      </c>
      <c r="F51" s="62">
        <v>6.69834</v>
      </c>
      <c r="G51" s="62">
        <v>2.1861579999999998</v>
      </c>
      <c r="H51" s="62">
        <v>6.2467749999999986</v>
      </c>
      <c r="I51" s="62">
        <v>0</v>
      </c>
      <c r="J51" s="62">
        <v>12.239751040923503</v>
      </c>
    </row>
    <row r="52" spans="1:10" x14ac:dyDescent="0.25">
      <c r="A52" s="352" t="str">
        <v xml:space="preserve">Sandhar Engg Mysore </v>
      </c>
      <c r="B52" s="352" t="str">
        <v>783</v>
      </c>
      <c r="C52" s="15" t="str">
        <v>25.4-0-2.5-ERW 1-FC</v>
      </c>
      <c r="D52" s="15" t="str">
        <v>0789</v>
      </c>
      <c r="E52" s="62">
        <v>32.453032983788248</v>
      </c>
      <c r="F52" s="62">
        <v>24.407213000000002</v>
      </c>
      <c r="G52" s="62">
        <v>9.32029</v>
      </c>
      <c r="H52" s="62">
        <v>8.2275149999999968</v>
      </c>
      <c r="I52" s="62">
        <v>11.911</v>
      </c>
      <c r="J52" s="62">
        <v>18.616301604284654</v>
      </c>
    </row>
    <row r="53" spans="1:10" x14ac:dyDescent="0.25">
      <c r="A53" s="352" t="str">
        <v xml:space="preserve">NMPL TVSM|NMPL HUB|Sandhar Engg Mysore </v>
      </c>
      <c r="B53" s="352" t="str">
        <v>1000</v>
      </c>
      <c r="C53" s="15" t="str">
        <v>25.4-19-3.2-CEW-CEW</v>
      </c>
      <c r="D53" s="15" t="str">
        <v>0788</v>
      </c>
      <c r="E53" s="62">
        <v>3.5021299199999998</v>
      </c>
      <c r="F53" s="62">
        <v>4.2062389999999992</v>
      </c>
      <c r="G53" s="62">
        <v>0</v>
      </c>
      <c r="H53" s="62">
        <v>0.19838500000000001</v>
      </c>
      <c r="I53" s="62">
        <v>0</v>
      </c>
      <c r="J53" s="62">
        <v>1.6994086844156828</v>
      </c>
    </row>
    <row r="54" spans="1:10" x14ac:dyDescent="0.25">
      <c r="A54" s="352" t="str">
        <v>Narasipur Auto Component(P)Ltd</v>
      </c>
      <c r="B54" s="352" t="str">
        <v>247|263</v>
      </c>
      <c r="C54" s="15" t="str">
        <v>25.4-18.4-3.5-CEW-CEW</v>
      </c>
      <c r="D54" s="15" t="str">
        <v>0788</v>
      </c>
      <c r="E54" s="62">
        <v>35.319431319899998</v>
      </c>
      <c r="F54" s="62">
        <v>36.046999999999997</v>
      </c>
      <c r="G54" s="62">
        <v>0</v>
      </c>
      <c r="H54" s="62">
        <v>83.630596999999995</v>
      </c>
      <c r="I54" s="62">
        <v>0</v>
      </c>
      <c r="J54" s="62">
        <v>71.035059632639161</v>
      </c>
    </row>
    <row r="55" spans="1:10" x14ac:dyDescent="0.25">
      <c r="A55" s="352" t="str">
        <v>NMPL TVSM|SANDHAR ENGINEERING PVT LTD.</v>
      </c>
      <c r="B55" s="352" t="str">
        <v>595|610</v>
      </c>
      <c r="C55" s="15" t="str">
        <v>28.58-0-1.2-ERW 1-PE</v>
      </c>
      <c r="D55" s="15" t="str">
        <v>0789</v>
      </c>
      <c r="E55" s="62">
        <v>4.8430079131199992</v>
      </c>
      <c r="F55" s="62">
        <v>2.5252500000000002</v>
      </c>
      <c r="G55" s="62">
        <v>1.9774769999999999</v>
      </c>
      <c r="H55" s="62">
        <v>0.10090000000000021</v>
      </c>
      <c r="I55" s="62">
        <v>5.8879999999999999</v>
      </c>
      <c r="J55" s="62">
        <v>37.098225570367397</v>
      </c>
    </row>
    <row r="56" spans="1:10" x14ac:dyDescent="0.25">
      <c r="A56" s="352" t="str">
        <v>ELKAYEM AUTO</v>
      </c>
      <c r="B56" s="352" t="str">
        <v>215|414</v>
      </c>
      <c r="C56" s="15" t="str">
        <v>28.58-0-1.6-ERW 1-FC</v>
      </c>
      <c r="D56" s="15" t="str">
        <v>0789</v>
      </c>
      <c r="E56" s="62">
        <v>5.5490104868799985</v>
      </c>
      <c r="F56" s="62">
        <v>9.8317060000000005</v>
      </c>
      <c r="G56" s="62">
        <v>2.2965960000000001</v>
      </c>
      <c r="H56" s="62">
        <v>0</v>
      </c>
      <c r="I56" s="62">
        <v>11.99</v>
      </c>
      <c r="J56" s="62">
        <v>64.822368033087983</v>
      </c>
    </row>
    <row r="57" spans="1:10" x14ac:dyDescent="0.25">
      <c r="A57" s="352" t="str">
        <v>SRIKAM HITECH</v>
      </c>
      <c r="B57" s="352" t="str">
        <v>6000</v>
      </c>
      <c r="C57" s="15" t="str">
        <v>28.58-0-1.6-ERW 1-PE</v>
      </c>
      <c r="D57" s="15" t="str">
        <v>0789</v>
      </c>
      <c r="E57" s="62">
        <v>0</v>
      </c>
      <c r="F57" s="62">
        <v>0</v>
      </c>
      <c r="G57" s="62">
        <v>0</v>
      </c>
      <c r="H57" s="62">
        <v>0</v>
      </c>
      <c r="I57" s="62">
        <v>0</v>
      </c>
      <c r="J57" s="62" t="e">
        <v>#DIV/0!</v>
      </c>
    </row>
    <row r="58" spans="1:10" x14ac:dyDescent="0.25">
      <c r="A58" s="352" t="str">
        <v>ELKAYEM AUTO</v>
      </c>
      <c r="B58" s="352" t="str">
        <v>469|475</v>
      </c>
      <c r="C58" s="15" t="str">
        <v>28.58-0-2-ERW 1-FC</v>
      </c>
      <c r="D58" s="15" t="str">
        <v>0789</v>
      </c>
      <c r="E58" s="62">
        <v>6.8465308889999976</v>
      </c>
      <c r="F58" s="62">
        <v>10.025404</v>
      </c>
      <c r="G58" s="62">
        <v>5.8470280000000008</v>
      </c>
      <c r="H58" s="62">
        <v>4.6774610000000001</v>
      </c>
      <c r="I58" s="62">
        <v>7.87</v>
      </c>
      <c r="J58" s="62">
        <v>54.980228104248042</v>
      </c>
    </row>
    <row r="59" spans="1:10" x14ac:dyDescent="0.25">
      <c r="A59" s="352" t="e" vm="3">
        <v>#VALUE!</v>
      </c>
      <c r="B59" s="352" t="e" vm="3">
        <v>#VALUE!</v>
      </c>
      <c r="C59" s="15" t="str">
        <v>28.58-0-3.2-ERW 1-FC</v>
      </c>
      <c r="D59" s="15" t="str">
        <v>0789</v>
      </c>
      <c r="E59" s="62">
        <v>0</v>
      </c>
      <c r="F59" s="62">
        <v>0</v>
      </c>
      <c r="G59" s="62">
        <v>0</v>
      </c>
      <c r="H59" s="62">
        <v>0</v>
      </c>
      <c r="I59" s="62">
        <v>0</v>
      </c>
      <c r="J59" s="62" t="e">
        <v>#DIV/0!</v>
      </c>
    </row>
    <row r="60" spans="1:10" x14ac:dyDescent="0.25">
      <c r="A60" s="352" t="str">
        <v>ELKAYEM AUTO|Marathwada</v>
      </c>
      <c r="B60" s="352" t="str">
        <v>209|1000</v>
      </c>
      <c r="C60" s="15" t="str">
        <v>28.6-0-2.65-CEW-CEW</v>
      </c>
      <c r="D60" s="15" t="str">
        <v>0788</v>
      </c>
      <c r="E60" s="62">
        <v>22.340760416850003</v>
      </c>
      <c r="F60" s="62">
        <v>18.584526</v>
      </c>
      <c r="G60" s="62">
        <v>1.7283989999999998</v>
      </c>
      <c r="H60" s="62">
        <v>0.95068200000000025</v>
      </c>
      <c r="I60" s="62">
        <v>0</v>
      </c>
      <c r="J60" s="62">
        <v>1.2766109777753629</v>
      </c>
    </row>
    <row r="61" spans="1:10" x14ac:dyDescent="0.25">
      <c r="A61" s="352" t="str">
        <v>ELKAYEM AUTO</v>
      </c>
      <c r="B61" s="352" t="str">
        <v>1000</v>
      </c>
      <c r="C61" s="15" t="str">
        <v>29.28-0-3.4-CEW-CEW</v>
      </c>
      <c r="D61" s="15" t="str">
        <v>0788</v>
      </c>
      <c r="E61" s="62">
        <v>0</v>
      </c>
      <c r="F61" s="62">
        <v>0</v>
      </c>
      <c r="G61" s="62">
        <v>0</v>
      </c>
      <c r="H61" s="62">
        <v>2.3382239999999999</v>
      </c>
      <c r="I61" s="62">
        <v>0</v>
      </c>
      <c r="J61" s="62" t="e">
        <v>#DIV/0!</v>
      </c>
    </row>
    <row r="62" spans="1:10" x14ac:dyDescent="0.25">
      <c r="A62" s="352" t="str">
        <v>KAY JAY|Narasipur Auto Component(P)Ltd</v>
      </c>
      <c r="B62" s="352" t="str">
        <v>357|360|361|5200</v>
      </c>
      <c r="C62" s="15" t="str">
        <v>29.4-20.4-4.5-CEW-CEW</v>
      </c>
      <c r="D62" s="15" t="str">
        <v>0788</v>
      </c>
      <c r="E62" s="62">
        <v>73.64605641515999</v>
      </c>
      <c r="F62" s="62">
        <v>31.889092000000009</v>
      </c>
      <c r="G62" s="62">
        <v>4.986885</v>
      </c>
      <c r="H62" s="62">
        <v>19.413661999999992</v>
      </c>
      <c r="I62" s="62">
        <v>0</v>
      </c>
      <c r="J62" s="62">
        <v>7.9082287409500864</v>
      </c>
    </row>
    <row r="63" spans="1:10" x14ac:dyDescent="0.25">
      <c r="A63" s="352" t="str">
        <v>KAY JAY</v>
      </c>
      <c r="B63" s="352" t="str">
        <v>361|363|376|385|450</v>
      </c>
      <c r="C63" s="15" t="str">
        <v>29.4-20.4-4.5-CEW STKM 13C-CEW</v>
      </c>
      <c r="D63" s="15" t="str">
        <v>0788</v>
      </c>
      <c r="E63" s="62">
        <v>57.254610928499993</v>
      </c>
      <c r="F63" s="62">
        <v>1.179265</v>
      </c>
      <c r="G63" s="62">
        <v>0</v>
      </c>
      <c r="H63" s="62">
        <v>102.42428000000004</v>
      </c>
      <c r="I63" s="62">
        <v>0</v>
      </c>
      <c r="J63" s="62">
        <v>53.66778937398157</v>
      </c>
    </row>
    <row r="64" spans="1:10" ht="30" x14ac:dyDescent="0.25">
      <c r="A64" s="352" t="str">
        <v>Marathwada v7|SRI BALAJI GEARS V4|SRI BALAJI GEARS V7|Balaji Gears V3</v>
      </c>
      <c r="B64" s="352" t="str">
        <v>140|190|220</v>
      </c>
      <c r="C64" s="15" t="str">
        <v>30-30-1.2-CRFH-PE</v>
      </c>
      <c r="D64" s="15" t="str">
        <v>0789</v>
      </c>
      <c r="E64" s="62">
        <v>6.2431381583999999</v>
      </c>
      <c r="F64" s="62">
        <v>3.970114999999999</v>
      </c>
      <c r="G64" s="62">
        <v>1.003563</v>
      </c>
      <c r="H64" s="62">
        <v>0</v>
      </c>
      <c r="I64" s="62">
        <v>22.942</v>
      </c>
      <c r="J64" s="62">
        <v>110.24263479960986</v>
      </c>
    </row>
    <row r="65" spans="1:10" x14ac:dyDescent="0.25">
      <c r="A65" s="352" t="str">
        <v>Marathwada|Rajsriya Unit 1</v>
      </c>
      <c r="B65" s="352" t="str">
        <v>465|485</v>
      </c>
      <c r="C65" s="15" t="str">
        <v>30-25.5-2.25-CEW-CEW</v>
      </c>
      <c r="D65" s="15" t="str">
        <v>0788</v>
      </c>
      <c r="E65" s="62">
        <v>70.984267228125006</v>
      </c>
      <c r="F65" s="62">
        <v>27.335820999999999</v>
      </c>
      <c r="G65" s="62">
        <v>1.4791730000000001</v>
      </c>
      <c r="H65" s="62">
        <v>13.385093000000001</v>
      </c>
      <c r="I65" s="62">
        <v>0</v>
      </c>
      <c r="J65" s="62">
        <v>5.6569266075469029</v>
      </c>
    </row>
    <row r="66" spans="1:10" ht="30" x14ac:dyDescent="0.25">
      <c r="A66" s="352" t="str">
        <v>NMPL TVSM|Rajsriya Unit 4|Rajsriya Unit 2|Rajsriya Automotive|SANDHAR ENGINEERING PVT LTD.</v>
      </c>
      <c r="B66" s="352" t="str">
        <v>210|598|600|657|670|680|1000</v>
      </c>
      <c r="C66" s="15" t="str">
        <v>31.75-0-1.2-ERW 1-FC</v>
      </c>
      <c r="D66" s="15" t="str">
        <v>0789</v>
      </c>
      <c r="E66" s="62">
        <v>23.413113929399998</v>
      </c>
      <c r="F66" s="62">
        <v>1.0556430000000001</v>
      </c>
      <c r="G66" s="62">
        <v>0.89200600000000008</v>
      </c>
      <c r="H66" s="62">
        <v>0</v>
      </c>
      <c r="I66" s="62">
        <v>0</v>
      </c>
      <c r="J66" s="62">
        <v>0</v>
      </c>
    </row>
    <row r="67" spans="1:10" x14ac:dyDescent="0.25">
      <c r="A67" s="352" t="e" vm="3">
        <v>#VALUE!</v>
      </c>
      <c r="B67" s="352" t="e" vm="3">
        <v>#VALUE!</v>
      </c>
      <c r="C67" s="15" t="str">
        <v>31.75-0-1.2-ERW 1-PE</v>
      </c>
      <c r="D67" s="15" t="str">
        <v>0789</v>
      </c>
      <c r="E67" s="62">
        <v>0</v>
      </c>
      <c r="F67" s="62">
        <v>2.7823709999999999</v>
      </c>
      <c r="G67" s="62">
        <v>7.1497729999999997</v>
      </c>
      <c r="H67" s="62">
        <v>16.845880000000001</v>
      </c>
      <c r="I67" s="62">
        <v>0</v>
      </c>
      <c r="J67" s="62" t="e">
        <v>#DIV/0!</v>
      </c>
    </row>
    <row r="68" spans="1:10" x14ac:dyDescent="0.25">
      <c r="A68" s="352" t="str">
        <v>SANDHAR ENGINEERING PVT LTD.</v>
      </c>
      <c r="B68" s="352" t="str">
        <v>658</v>
      </c>
      <c r="C68" s="15" t="str">
        <v>31.75-0-1.6-ERW 1-FC</v>
      </c>
      <c r="D68" s="15" t="str">
        <v>0789</v>
      </c>
      <c r="E68" s="62">
        <v>0</v>
      </c>
      <c r="F68" s="62">
        <v>0</v>
      </c>
      <c r="G68" s="62">
        <v>1.3464E-2</v>
      </c>
      <c r="H68" s="62">
        <v>0</v>
      </c>
      <c r="I68" s="62">
        <v>1.9610000000000001</v>
      </c>
      <c r="J68" s="62" t="e">
        <v>#DIV/0!</v>
      </c>
    </row>
    <row r="69" spans="1:10" x14ac:dyDescent="0.25">
      <c r="A69" s="352" t="str">
        <v>Rucha</v>
      </c>
      <c r="B69" s="352" t="str">
        <v>193</v>
      </c>
      <c r="C69" s="15" t="str">
        <v>31.75-0-2.3-ERW 1-FC</v>
      </c>
      <c r="D69" s="15">
        <v>0</v>
      </c>
      <c r="E69" s="62">
        <v>0</v>
      </c>
      <c r="F69" s="62">
        <v>0</v>
      </c>
      <c r="G69" s="62">
        <v>0</v>
      </c>
      <c r="H69" s="62">
        <v>1.83</v>
      </c>
      <c r="I69" s="62">
        <v>0</v>
      </c>
      <c r="J69" s="62" t="e">
        <v>#DIV/0!</v>
      </c>
    </row>
    <row r="70" spans="1:10" x14ac:dyDescent="0.25">
      <c r="A70" s="352" t="str">
        <v xml:space="preserve">Rajsriya Unit 5|Rajsriya Mysore </v>
      </c>
      <c r="B70" s="352" t="str">
        <v>1000</v>
      </c>
      <c r="C70" s="15" t="str">
        <v>31.75-0-2.5-ERW 1-FC</v>
      </c>
      <c r="D70" s="15" t="str">
        <v>0789</v>
      </c>
      <c r="E70" s="62">
        <v>32.444246249999999</v>
      </c>
      <c r="F70" s="62">
        <v>6.5400470000000004</v>
      </c>
      <c r="G70" s="62">
        <v>0.90248500000000009</v>
      </c>
      <c r="H70" s="62">
        <v>5.0396819999999991</v>
      </c>
      <c r="I70" s="62">
        <v>0</v>
      </c>
      <c r="J70" s="62">
        <v>4.6600083982533569</v>
      </c>
    </row>
    <row r="71" spans="1:10" x14ac:dyDescent="0.25">
      <c r="A71" s="352" t="str">
        <v xml:space="preserve">ELKAYEM AUTO|Sandhar Engg Mysore </v>
      </c>
      <c r="B71" s="352" t="str">
        <v>1000</v>
      </c>
      <c r="C71" s="15" t="str">
        <v>31.75-25-3.37-CEW-CEW</v>
      </c>
      <c r="D71" s="15" t="str">
        <v>0788</v>
      </c>
      <c r="E71" s="62">
        <v>5.8936128735000004</v>
      </c>
      <c r="F71" s="62">
        <v>8.5550730000000001</v>
      </c>
      <c r="G71" s="62">
        <v>0</v>
      </c>
      <c r="H71" s="62">
        <v>5.3088999999999997E-2</v>
      </c>
      <c r="I71" s="62">
        <v>0</v>
      </c>
      <c r="J71" s="62">
        <v>0.27023661617838357</v>
      </c>
    </row>
    <row r="72" spans="1:10" x14ac:dyDescent="0.25">
      <c r="A72" s="352" t="e" vm="3">
        <v>#VALUE!</v>
      </c>
      <c r="B72" s="352" t="e" vm="3">
        <v>#VALUE!</v>
      </c>
      <c r="C72" s="15" t="str">
        <v>32-0-4.5-CEW-CEW</v>
      </c>
      <c r="D72" s="15" t="str">
        <v>0788</v>
      </c>
      <c r="E72" s="62">
        <v>0</v>
      </c>
      <c r="F72" s="62">
        <v>0</v>
      </c>
      <c r="G72" s="62">
        <v>0</v>
      </c>
      <c r="H72" s="62">
        <v>0</v>
      </c>
      <c r="I72" s="62">
        <v>0</v>
      </c>
      <c r="J72" s="62" t="e">
        <v>#DIV/0!</v>
      </c>
    </row>
    <row r="73" spans="1:10" x14ac:dyDescent="0.25">
      <c r="A73" s="352" t="str">
        <v>SANDHAR ENGINEERING PVT LTD.</v>
      </c>
      <c r="B73" s="352" t="str">
        <v>1000</v>
      </c>
      <c r="C73" s="15" t="str">
        <v>33.3-29.3-2-CEW-CEW</v>
      </c>
      <c r="D73" s="15" t="str">
        <v>0788</v>
      </c>
      <c r="E73" s="62">
        <v>1.5430273999999999</v>
      </c>
      <c r="F73" s="62">
        <v>0</v>
      </c>
      <c r="G73" s="62">
        <v>0</v>
      </c>
      <c r="H73" s="62">
        <v>0</v>
      </c>
      <c r="I73" s="62">
        <v>0</v>
      </c>
      <c r="J73" s="62">
        <v>0</v>
      </c>
    </row>
    <row r="74" spans="1:10" x14ac:dyDescent="0.25">
      <c r="A74" s="352" t="str">
        <v>KNITVEL NEEDLES P LTD|NMPL HUB</v>
      </c>
      <c r="B74" s="352" t="str">
        <v>390|1000</v>
      </c>
      <c r="C74" s="15" t="str">
        <v>34.93-0-1.2-ERW 1-FC</v>
      </c>
      <c r="D74" s="15" t="str">
        <v>0789</v>
      </c>
      <c r="E74" s="62">
        <v>0</v>
      </c>
      <c r="F74" s="62">
        <v>0</v>
      </c>
      <c r="G74" s="62">
        <v>0</v>
      </c>
      <c r="H74" s="62">
        <v>0</v>
      </c>
      <c r="I74" s="62">
        <v>0</v>
      </c>
      <c r="J74" s="62" t="e">
        <v>#DIV/0!</v>
      </c>
    </row>
    <row r="75" spans="1:10" x14ac:dyDescent="0.25">
      <c r="A75" s="352" t="str">
        <v xml:space="preserve">ELKAYEM AUTO|ELKAYEM AUTO MYSORE </v>
      </c>
      <c r="B75" s="352" t="str">
        <v>1726</v>
      </c>
      <c r="C75" s="15" t="str">
        <v>34.93-0-1.6-ERW 1-FC</v>
      </c>
      <c r="D75" s="15" t="str">
        <v>0789</v>
      </c>
      <c r="E75" s="62">
        <v>6.352627991001599</v>
      </c>
      <c r="F75" s="62">
        <v>3.6108900000000004</v>
      </c>
      <c r="G75" s="62">
        <v>2.050608</v>
      </c>
      <c r="H75" s="62">
        <v>0</v>
      </c>
      <c r="I75" s="62">
        <v>0</v>
      </c>
      <c r="J75" s="62">
        <v>0</v>
      </c>
    </row>
    <row r="76" spans="1:10" x14ac:dyDescent="0.25">
      <c r="A76" s="352" t="str">
        <v xml:space="preserve">ELKAYEM AUTO MYSORE </v>
      </c>
      <c r="B76" s="352" t="str">
        <v>1721</v>
      </c>
      <c r="C76" s="15" t="str">
        <v>34.93-0-2.6-ERW 1-FC</v>
      </c>
      <c r="D76" s="15" t="str">
        <v>0789</v>
      </c>
      <c r="E76" s="62">
        <v>10.697455349645999</v>
      </c>
      <c r="F76" s="62">
        <v>10.323</v>
      </c>
      <c r="G76" s="62">
        <v>6.072712000000001</v>
      </c>
      <c r="H76" s="62">
        <v>0.75900000000000034</v>
      </c>
      <c r="I76" s="62">
        <v>0</v>
      </c>
      <c r="J76" s="62">
        <v>2.128543588709956</v>
      </c>
    </row>
    <row r="77" spans="1:10" x14ac:dyDescent="0.25">
      <c r="A77" s="352" t="str">
        <v xml:space="preserve">ELKAYEM AUTO MYSORE </v>
      </c>
      <c r="B77" s="352" t="str">
        <v>295</v>
      </c>
      <c r="C77" s="15" t="str">
        <v>37.6-31.2-3.2-CEW-CEW</v>
      </c>
      <c r="D77" s="15" t="str">
        <v>0788</v>
      </c>
      <c r="E77" s="62">
        <v>4.5224959801599995</v>
      </c>
      <c r="F77" s="62">
        <v>0</v>
      </c>
      <c r="G77" s="62">
        <v>0</v>
      </c>
      <c r="H77" s="62">
        <v>0</v>
      </c>
      <c r="I77" s="62">
        <v>0</v>
      </c>
      <c r="J77" s="62">
        <v>0</v>
      </c>
    </row>
    <row r="78" spans="1:10" x14ac:dyDescent="0.25">
      <c r="A78" s="352" t="str">
        <v>NMPL HUB|NMPL TVSM</v>
      </c>
      <c r="B78" s="352" t="str">
        <v>940|1000</v>
      </c>
      <c r="C78" s="15" t="str">
        <v>37.95-32-2.95-CEW-CEW</v>
      </c>
      <c r="D78" s="15" t="str">
        <v>0788</v>
      </c>
      <c r="E78" s="62">
        <v>7.6350277500000017</v>
      </c>
      <c r="F78" s="62">
        <v>0</v>
      </c>
      <c r="G78" s="62">
        <v>0</v>
      </c>
      <c r="H78" s="62">
        <v>27.475126000000003</v>
      </c>
      <c r="I78" s="62">
        <v>0</v>
      </c>
      <c r="J78" s="62">
        <v>107.95688070681864</v>
      </c>
    </row>
    <row r="79" spans="1:10" x14ac:dyDescent="0.25">
      <c r="A79" s="352" t="str">
        <v>Metalman|RUCHA</v>
      </c>
      <c r="B79" s="352" t="str">
        <v>875|878|930|1000</v>
      </c>
      <c r="C79" s="15" t="str">
        <v>38.1-0-1.6-ERW 2 MAHS-FC</v>
      </c>
      <c r="D79" s="15" t="str">
        <v>0789</v>
      </c>
      <c r="E79" s="62">
        <v>10.076511199999999</v>
      </c>
      <c r="F79" s="62">
        <v>0</v>
      </c>
      <c r="G79" s="62">
        <v>0</v>
      </c>
      <c r="H79" s="62">
        <v>0.37121100000000001</v>
      </c>
      <c r="I79" s="62">
        <v>3.1419999999999999</v>
      </c>
      <c r="J79" s="62">
        <v>10.459605304661402</v>
      </c>
    </row>
    <row r="80" spans="1:10" x14ac:dyDescent="0.25">
      <c r="A80" s="352" t="str">
        <v>Metalman|NMPL TVSM|NMPL HUB</v>
      </c>
      <c r="B80" s="352" t="str">
        <v>488|812|815|821</v>
      </c>
      <c r="C80" s="15" t="str">
        <v>38.1-0-1.6-ERW 1-FC</v>
      </c>
      <c r="D80" s="15" t="str">
        <v>0789</v>
      </c>
      <c r="E80" s="62">
        <v>11.852136423599998</v>
      </c>
      <c r="F80" s="62">
        <v>0</v>
      </c>
      <c r="G80" s="62">
        <v>4.6360320000000002</v>
      </c>
      <c r="H80" s="62">
        <v>8.149357000000002</v>
      </c>
      <c r="I80" s="62">
        <v>0</v>
      </c>
      <c r="J80" s="62">
        <v>20.627564623133225</v>
      </c>
    </row>
    <row r="81" spans="1:10" ht="30" x14ac:dyDescent="0.25">
      <c r="A81" s="352" t="str">
        <v xml:space="preserve">NMPL HUB|NMPL TVSM|RUCHA|SANDHAR ENGINEERING PVT LTD.|Sandhar Engg Mysore </v>
      </c>
      <c r="B81" s="352" t="str">
        <v>278|406|410|425|432|488|494|812|1000</v>
      </c>
      <c r="C81" s="15" t="str">
        <v>38.1-0-2-ERW 1-FC</v>
      </c>
      <c r="D81" s="15" t="str">
        <v>0789</v>
      </c>
      <c r="E81" s="62">
        <v>99.070826849566004</v>
      </c>
      <c r="F81" s="62">
        <v>68.227589000000009</v>
      </c>
      <c r="G81" s="62">
        <v>14.774404000000001</v>
      </c>
      <c r="H81" s="62">
        <v>85.281796000000014</v>
      </c>
      <c r="I81" s="62">
        <v>1.9950000000000001</v>
      </c>
      <c r="J81" s="62">
        <v>26.428606313902694</v>
      </c>
    </row>
    <row r="82" spans="1:10" x14ac:dyDescent="0.25">
      <c r="A82" s="352" t="str">
        <v>Metalman|RUCHA</v>
      </c>
      <c r="B82" s="352" t="str">
        <v>875|878|1000</v>
      </c>
      <c r="C82" s="15" t="str">
        <v>38.1-0-2.5-ERW 2 MAHS-FC</v>
      </c>
      <c r="D82" s="15" t="str">
        <v>056</v>
      </c>
      <c r="E82" s="62">
        <v>15.356327000000004</v>
      </c>
      <c r="F82" s="62">
        <v>0</v>
      </c>
      <c r="G82" s="62">
        <v>0</v>
      </c>
      <c r="H82" s="62">
        <v>0.57999999999999996</v>
      </c>
      <c r="I82" s="62">
        <v>0</v>
      </c>
      <c r="J82" s="62">
        <v>1.1330834515310853</v>
      </c>
    </row>
    <row r="83" spans="1:10" x14ac:dyDescent="0.25">
      <c r="A83" s="352" t="str">
        <v>Marathwada</v>
      </c>
      <c r="B83" s="352" t="str">
        <v>201</v>
      </c>
      <c r="C83" s="15" t="str">
        <v>38.1-0-3.66-ERW 1-FC</v>
      </c>
      <c r="D83" s="15" t="str">
        <v>0788</v>
      </c>
      <c r="E83" s="62">
        <v>0</v>
      </c>
      <c r="F83" s="62">
        <v>0</v>
      </c>
      <c r="G83" s="62">
        <v>0</v>
      </c>
      <c r="H83" s="62">
        <v>0</v>
      </c>
      <c r="I83" s="62">
        <v>0</v>
      </c>
      <c r="J83" s="62" t="e">
        <v>#DIV/0!</v>
      </c>
    </row>
    <row r="84" spans="1:10" x14ac:dyDescent="0.25">
      <c r="A84" s="352" t="str">
        <v>Marathwada|Rajsriya Unit 1</v>
      </c>
      <c r="B84" s="352" t="str">
        <v>272</v>
      </c>
      <c r="C84" s="15" t="str">
        <v>39-34-2.5-CEW-CEW</v>
      </c>
      <c r="D84" s="15" t="str">
        <v>0788</v>
      </c>
      <c r="E84" s="62">
        <v>52.00199529999999</v>
      </c>
      <c r="F84" s="62">
        <v>18.929159999999996</v>
      </c>
      <c r="G84" s="62">
        <v>1.098452</v>
      </c>
      <c r="H84" s="62">
        <v>7.4211679999999998</v>
      </c>
      <c r="I84" s="62">
        <v>0</v>
      </c>
      <c r="J84" s="62">
        <v>4.2812787993156105</v>
      </c>
    </row>
    <row r="85" spans="1:10" ht="30" x14ac:dyDescent="0.25">
      <c r="A85" s="352" t="str">
        <v>Marathwada v7|Marathwada|SRI BALAJI GEARS V4|SRI BALAJI GEARS V7|Balaji Gears V3</v>
      </c>
      <c r="B85" s="352" t="str">
        <v>95|110|120|130|140|710|755|800|860|1000|1120|1246|1298|1310</v>
      </c>
      <c r="C85" s="15" t="str">
        <v>40-20-1.2-CRFH-PE</v>
      </c>
      <c r="D85" s="15" t="str">
        <v>0789</v>
      </c>
      <c r="E85" s="62">
        <v>227.66607435707999</v>
      </c>
      <c r="F85" s="62">
        <v>140.4007079999999</v>
      </c>
      <c r="G85" s="62">
        <v>17.362977999999995</v>
      </c>
      <c r="H85" s="62">
        <v>31.079671000000008</v>
      </c>
      <c r="I85" s="62">
        <v>129.15199999999999</v>
      </c>
      <c r="J85" s="62">
        <v>21.114037932856871</v>
      </c>
    </row>
    <row r="86" spans="1:10" ht="30" x14ac:dyDescent="0.25">
      <c r="A86" s="352" t="str">
        <v>Marathwada|SRI BALAJI GEARS V4|SRI BALAJI GEARS V7|Balaji Gears V3</v>
      </c>
      <c r="B86" s="352" t="str">
        <v>85|115|125|140|158|1000</v>
      </c>
      <c r="C86" s="15" t="str">
        <v>40-40-1.2-CRFH-PE</v>
      </c>
      <c r="D86" s="15" t="str">
        <v>0789</v>
      </c>
      <c r="E86" s="62">
        <v>8.1761955590399999</v>
      </c>
      <c r="F86" s="62">
        <v>13.346468</v>
      </c>
      <c r="G86" s="62">
        <v>1.228672</v>
      </c>
      <c r="H86" s="62">
        <v>1.4509489999999996</v>
      </c>
      <c r="I86" s="62">
        <v>10.451000000000001</v>
      </c>
      <c r="J86" s="62">
        <v>43.670490440412571</v>
      </c>
    </row>
    <row r="87" spans="1:10" x14ac:dyDescent="0.25">
      <c r="A87" s="352" t="str">
        <v>ELKAYEM AUTO|Marathwada</v>
      </c>
      <c r="B87" s="352" t="str">
        <v>356|480|1000</v>
      </c>
      <c r="C87" s="15" t="str">
        <v>40-20-1.6-ERW 1-FC</v>
      </c>
      <c r="D87" s="15" t="str">
        <v>0789</v>
      </c>
      <c r="E87" s="62">
        <v>16.133933932799998</v>
      </c>
      <c r="F87" s="62">
        <v>13.871107999999998</v>
      </c>
      <c r="G87" s="62">
        <v>5.578595</v>
      </c>
      <c r="H87" s="62">
        <v>0.27499499999999966</v>
      </c>
      <c r="I87" s="62">
        <v>1.27</v>
      </c>
      <c r="J87" s="62">
        <v>2.8728176397060596</v>
      </c>
    </row>
    <row r="88" spans="1:10" x14ac:dyDescent="0.25">
      <c r="A88" s="352" t="e" vm="3">
        <v>#VALUE!</v>
      </c>
      <c r="B88" s="352" t="e" vm="3">
        <v>#VALUE!</v>
      </c>
      <c r="C88" s="15" t="str">
        <v>40-25-1.6-CRFH-FC</v>
      </c>
      <c r="D88" s="15" t="str">
        <v>0789</v>
      </c>
      <c r="E88" s="62">
        <v>0</v>
      </c>
      <c r="F88" s="62">
        <v>0</v>
      </c>
      <c r="G88" s="62">
        <v>0</v>
      </c>
      <c r="H88" s="62">
        <v>0</v>
      </c>
      <c r="I88" s="62">
        <v>0</v>
      </c>
      <c r="J88" s="62" t="e">
        <v>#DIV/0!</v>
      </c>
    </row>
    <row r="89" spans="1:10" x14ac:dyDescent="0.25">
      <c r="A89" s="352" t="e" vm="3">
        <v>#VALUE!</v>
      </c>
      <c r="B89" s="352" t="e" vm="3">
        <v>#VALUE!</v>
      </c>
      <c r="C89" s="15" t="str">
        <v>40-25-1.6-ERW 2-FC</v>
      </c>
      <c r="D89" s="15" t="str">
        <v>0789</v>
      </c>
      <c r="E89" s="62">
        <v>0</v>
      </c>
      <c r="F89" s="62">
        <v>0</v>
      </c>
      <c r="G89" s="62">
        <v>0</v>
      </c>
      <c r="H89" s="62">
        <v>0</v>
      </c>
      <c r="I89" s="62">
        <v>0</v>
      </c>
      <c r="J89" s="62" t="e">
        <v>#DIV/0!</v>
      </c>
    </row>
    <row r="90" spans="1:10" ht="45" x14ac:dyDescent="0.25">
      <c r="A90" s="352" t="str">
        <v xml:space="preserve">ELKAYEM AUTO|Marathwada|Metalman|RUCHA|SANDHAR ENGINEERING PVT LTD.|Sandhar Engg Mysore </v>
      </c>
      <c r="B90" s="352" t="str">
        <v>318|322|513|514|536|538|560|561|585|587</v>
      </c>
      <c r="C90" s="15" t="str">
        <v>40-25-1.6-ERW 1-FC</v>
      </c>
      <c r="D90" s="15" t="str">
        <v>0789</v>
      </c>
      <c r="E90" s="62">
        <v>151.92154158658357</v>
      </c>
      <c r="F90" s="62">
        <v>78.584186000000017</v>
      </c>
      <c r="G90" s="62">
        <v>0.822098</v>
      </c>
      <c r="H90" s="62">
        <v>0.61827399999999999</v>
      </c>
      <c r="I90" s="62">
        <v>0</v>
      </c>
      <c r="J90" s="62">
        <v>0.12209078321805301</v>
      </c>
    </row>
    <row r="91" spans="1:10" ht="30" x14ac:dyDescent="0.25">
      <c r="A91" s="352" t="str">
        <v>ELKAYEM AUTO|Metalman|Rajsriya Unit 8|Rajsriya Mysore |TVS MOTOR COMPANY LIMITED</v>
      </c>
      <c r="B91" s="352" t="str">
        <v>400|835|860|880|1000</v>
      </c>
      <c r="C91" s="15" t="str">
        <v>40-30-1.6-ERW 1-FC</v>
      </c>
      <c r="D91" s="15" t="str">
        <v>0789</v>
      </c>
      <c r="E91" s="62">
        <v>99.554096770400008</v>
      </c>
      <c r="F91" s="62">
        <v>45.846097999999998</v>
      </c>
      <c r="G91" s="62">
        <v>1.0300119999999999</v>
      </c>
      <c r="H91" s="62">
        <v>0.95786299999999991</v>
      </c>
      <c r="I91" s="62">
        <v>0</v>
      </c>
      <c r="J91" s="62">
        <v>0.28864598175475503</v>
      </c>
    </row>
    <row r="92" spans="1:10" x14ac:dyDescent="0.25">
      <c r="A92" s="352" t="str">
        <v>ELKAYEM AUTO</v>
      </c>
      <c r="B92" s="352" t="str">
        <v>1000</v>
      </c>
      <c r="C92" s="15" t="str">
        <v>40-25-2-ERW 1-FC</v>
      </c>
      <c r="D92" s="15" t="str">
        <v>0789</v>
      </c>
      <c r="E92" s="62">
        <v>0</v>
      </c>
      <c r="F92" s="62">
        <v>0</v>
      </c>
      <c r="G92" s="62">
        <v>0</v>
      </c>
      <c r="H92" s="62">
        <v>0</v>
      </c>
      <c r="I92" s="62">
        <v>0</v>
      </c>
      <c r="J92" s="62" t="e">
        <v>#DIV/0!</v>
      </c>
    </row>
    <row r="93" spans="1:10" ht="45" x14ac:dyDescent="0.25">
      <c r="A93" s="352" t="str">
        <v xml:space="preserve">ELKAYEM AUTO|ELKAYEM AUTO MYSORE |Marathwada|Metalman|Rajsriya Unit 8|Rajsriya Mysore </v>
      </c>
      <c r="B93" s="352" t="str">
        <v>149|162|870|880|1000</v>
      </c>
      <c r="C93" s="15" t="str">
        <v>40-30-2-ERW 1-FC</v>
      </c>
      <c r="D93" s="15" t="str">
        <v>0789</v>
      </c>
      <c r="E93" s="62">
        <v>45.739622910674996</v>
      </c>
      <c r="F93" s="62">
        <v>30.663663999999997</v>
      </c>
      <c r="G93" s="62">
        <v>18.702345999999999</v>
      </c>
      <c r="H93" s="62">
        <v>0</v>
      </c>
      <c r="I93" s="62">
        <v>26.635999999999999</v>
      </c>
      <c r="J93" s="62">
        <v>17.470192125556544</v>
      </c>
    </row>
    <row r="94" spans="1:10" ht="30" x14ac:dyDescent="0.25">
      <c r="A94" s="352" t="str">
        <v xml:space="preserve">Rajsriya Automotive|Rajsriya Mysore |Sandhar Engg Mysore </v>
      </c>
      <c r="B94" s="352" t="str">
        <v>848|850</v>
      </c>
      <c r="C94" s="15" t="str">
        <v>41.28-0-2.6-ERW 1-FC</v>
      </c>
      <c r="D94" s="15" t="str">
        <v>0789</v>
      </c>
      <c r="E94" s="62">
        <v>66.705480776677604</v>
      </c>
      <c r="F94" s="62">
        <v>19.268034000000004</v>
      </c>
      <c r="G94" s="62">
        <v>9.1056400000000011</v>
      </c>
      <c r="H94" s="62">
        <v>0</v>
      </c>
      <c r="I94" s="62">
        <v>0</v>
      </c>
      <c r="J94" s="62">
        <v>0</v>
      </c>
    </row>
    <row r="95" spans="1:10" x14ac:dyDescent="0.25">
      <c r="A95" s="352" t="str">
        <v>Metalman|Rajsriya Unit 8</v>
      </c>
      <c r="B95" s="352" t="str">
        <v>230|246</v>
      </c>
      <c r="C95" s="15" t="str">
        <v>41.28-0-3.2-ERW 1-FC</v>
      </c>
      <c r="D95" s="15" t="str">
        <v>0789</v>
      </c>
      <c r="E95" s="62">
        <v>12.819486625792003</v>
      </c>
      <c r="F95" s="62">
        <v>8.4808210000000006</v>
      </c>
      <c r="G95" s="62">
        <v>1.044524</v>
      </c>
      <c r="H95" s="62">
        <v>0</v>
      </c>
      <c r="I95" s="62">
        <v>7.141</v>
      </c>
      <c r="J95" s="62">
        <v>16.711277623940312</v>
      </c>
    </row>
    <row r="96" spans="1:10" ht="30" x14ac:dyDescent="0.25">
      <c r="A96" s="352" t="str">
        <v>Metalman|NMPL HUB|NMPL TVSM|RUCHA|SANDHAR ENGINEERING PVT LTD.</v>
      </c>
      <c r="B96" s="352" t="str">
        <v>204.5|208|210|247</v>
      </c>
      <c r="C96" s="15" t="str">
        <v>42.7-0-3.5-ERW 1-FC</v>
      </c>
      <c r="D96" s="15" t="str">
        <v>0788</v>
      </c>
      <c r="E96" s="62">
        <v>74.671089024000011</v>
      </c>
      <c r="F96" s="62">
        <v>37.262987000000003</v>
      </c>
      <c r="G96" s="62">
        <v>1.5386359999999999</v>
      </c>
      <c r="H96" s="62">
        <v>9.465421000000001</v>
      </c>
      <c r="I96" s="62">
        <v>0</v>
      </c>
      <c r="J96" s="62">
        <v>3.8028457025547286</v>
      </c>
    </row>
    <row r="97" spans="1:10" ht="30" x14ac:dyDescent="0.25">
      <c r="A97" s="352" t="str">
        <v xml:space="preserve">ELKAYEM AUTO|Metalman|Rajsriya Unit 8|Rajsriya Mysore |Sandhar Engg Mysore </v>
      </c>
      <c r="B97" s="352" t="str">
        <v>215|235|254|290</v>
      </c>
      <c r="C97" s="15" t="str">
        <v>42.7-0-4-ERW 1-FC</v>
      </c>
      <c r="D97" s="15" t="str">
        <v>0788</v>
      </c>
      <c r="E97" s="62">
        <v>74.694412647269999</v>
      </c>
      <c r="F97" s="62">
        <v>18.986001000000002</v>
      </c>
      <c r="G97" s="62">
        <v>3.9344999999999994</v>
      </c>
      <c r="H97" s="62">
        <v>215.60048700000004</v>
      </c>
      <c r="I97" s="62">
        <v>0</v>
      </c>
      <c r="J97" s="62">
        <v>86.593017881323419</v>
      </c>
    </row>
    <row r="98" spans="1:10" x14ac:dyDescent="0.25">
      <c r="A98" s="352" t="str">
        <v>Metalman|SANDHAR ENGINEERING PVT LTD.</v>
      </c>
      <c r="B98" s="352" t="str">
        <v>336</v>
      </c>
      <c r="C98" s="15" t="str">
        <v>48.6-0-1.2-ERW 1-FC</v>
      </c>
      <c r="D98" s="15" t="str">
        <v>0789</v>
      </c>
      <c r="E98" s="62">
        <v>12.719262608640001</v>
      </c>
      <c r="F98" s="62">
        <v>3.4068960000000001</v>
      </c>
      <c r="G98" s="62">
        <v>4.3962729999999999</v>
      </c>
      <c r="H98" s="62">
        <v>3.9467830000000008</v>
      </c>
      <c r="I98" s="62">
        <v>17.024000000000001</v>
      </c>
      <c r="J98" s="62">
        <v>49.462261245604445</v>
      </c>
    </row>
    <row r="99" spans="1:10" x14ac:dyDescent="0.25">
      <c r="A99" s="352" t="str">
        <v xml:space="preserve">NMPL HUB|Sandhar Engg Mysore </v>
      </c>
      <c r="B99" s="352" t="str">
        <v>196|202.5</v>
      </c>
      <c r="C99" s="15" t="str">
        <v>48.6-0-3.5-ERW 1-FC</v>
      </c>
      <c r="D99" s="15" t="str">
        <v>0789</v>
      </c>
      <c r="E99" s="62">
        <v>15.252111028</v>
      </c>
      <c r="F99" s="62">
        <v>4.4863749999999998</v>
      </c>
      <c r="G99" s="62">
        <v>4.9598779999999998</v>
      </c>
      <c r="H99" s="62">
        <v>8.7743119999999983</v>
      </c>
      <c r="I99" s="62">
        <v>0</v>
      </c>
      <c r="J99" s="62">
        <v>17.258552571297209</v>
      </c>
    </row>
    <row r="100" spans="1:10" x14ac:dyDescent="0.25">
      <c r="A100" s="352" t="str">
        <v>Laxmi|NMPL TVSM</v>
      </c>
      <c r="B100" s="352" t="str">
        <v>847</v>
      </c>
      <c r="C100" s="15" t="str">
        <v>50-50-1.6-ERW 2-PE</v>
      </c>
      <c r="D100" s="15" t="str">
        <v>056</v>
      </c>
      <c r="E100" s="62">
        <v>16.748594411472002</v>
      </c>
      <c r="F100" s="62">
        <v>4.1121940000000006</v>
      </c>
      <c r="G100" s="62">
        <v>3.2915710000000002</v>
      </c>
      <c r="H100" s="62">
        <v>14.201103000000007</v>
      </c>
      <c r="I100" s="62">
        <v>0</v>
      </c>
      <c r="J100" s="62">
        <v>25.436945903244723</v>
      </c>
    </row>
    <row r="101" spans="1:10" x14ac:dyDescent="0.25">
      <c r="A101" s="352" t="e" vm="3">
        <v>#VALUE!</v>
      </c>
      <c r="B101" s="352" t="e" vm="3">
        <v>#VALUE!</v>
      </c>
      <c r="C101" s="15" t="str">
        <v>50-30-1.6-ERW 2-FC</v>
      </c>
      <c r="D101" s="15" t="str">
        <v>0789</v>
      </c>
      <c r="E101" s="62">
        <v>0</v>
      </c>
      <c r="F101" s="62">
        <v>0</v>
      </c>
      <c r="G101" s="62">
        <v>7.5760999999999995E-2</v>
      </c>
      <c r="H101" s="62">
        <v>0</v>
      </c>
      <c r="I101" s="62">
        <v>11.55</v>
      </c>
      <c r="J101" s="62" t="e">
        <v>#DIV/0!</v>
      </c>
    </row>
    <row r="102" spans="1:10" ht="30" x14ac:dyDescent="0.25">
      <c r="A102" s="352" t="str">
        <v xml:space="preserve">Balaji press product|ELKAYEM AUTO|ELKAYEM AUTO MYSORE |Sandhar Engg Mysore </v>
      </c>
      <c r="B102" s="352" t="str">
        <v>604|607|636|638|1100</v>
      </c>
      <c r="C102" s="15" t="str">
        <v>50-30-1.6-ERW 1-FC</v>
      </c>
      <c r="D102" s="15" t="str">
        <v>0789</v>
      </c>
      <c r="E102" s="62">
        <v>103.53994425087743</v>
      </c>
      <c r="F102" s="62">
        <v>48.844667999999992</v>
      </c>
      <c r="G102" s="62">
        <v>6.7228570000000003</v>
      </c>
      <c r="H102" s="62">
        <v>0</v>
      </c>
      <c r="I102" s="62">
        <v>24.911000000000001</v>
      </c>
      <c r="J102" s="62">
        <v>7.2177941122821005</v>
      </c>
    </row>
    <row r="103" spans="1:10" x14ac:dyDescent="0.25">
      <c r="A103" s="352" t="str">
        <v>NMPL TVSM</v>
      </c>
      <c r="B103" s="352" t="str">
        <v>140|730</v>
      </c>
      <c r="C103" s="15" t="str">
        <v>50-30-2-ERW 1-FC</v>
      </c>
      <c r="D103" s="15" t="str">
        <v>0789</v>
      </c>
      <c r="E103" s="62">
        <v>21.411107359999995</v>
      </c>
      <c r="F103" s="62">
        <v>40.550028000000005</v>
      </c>
      <c r="G103" s="62">
        <v>1.9920889999999998</v>
      </c>
      <c r="H103" s="62">
        <v>0</v>
      </c>
      <c r="I103" s="62">
        <v>0</v>
      </c>
      <c r="J103" s="62">
        <v>0</v>
      </c>
    </row>
    <row r="104" spans="1:10" x14ac:dyDescent="0.25">
      <c r="A104" s="352" t="e" vm="3">
        <v>#VALUE!</v>
      </c>
      <c r="B104" s="352" t="e" vm="3">
        <v>#VALUE!</v>
      </c>
      <c r="C104" s="15" t="str">
        <v>50.8-0-1.4-ERW 2-FC</v>
      </c>
      <c r="D104" s="15" t="str">
        <v>0789</v>
      </c>
      <c r="E104" s="62">
        <v>0</v>
      </c>
      <c r="F104" s="62">
        <v>0</v>
      </c>
      <c r="G104" s="62">
        <v>1.9419999999999999</v>
      </c>
      <c r="H104" s="62">
        <v>0</v>
      </c>
      <c r="I104" s="62">
        <v>0</v>
      </c>
      <c r="J104" s="62" t="e">
        <v>#DIV/0!</v>
      </c>
    </row>
    <row r="105" spans="1:10" x14ac:dyDescent="0.25">
      <c r="A105" s="352" t="str">
        <v xml:space="preserve">NMPL HUB|Sandhar Engg Mysore </v>
      </c>
      <c r="B105" s="352" t="str">
        <v>385|753</v>
      </c>
      <c r="C105" s="15" t="str">
        <v>50.8-0-1.6-ERW 1-FC</v>
      </c>
      <c r="D105" s="15" t="str">
        <v>0789</v>
      </c>
      <c r="E105" s="62">
        <v>11.205632592000002</v>
      </c>
      <c r="F105" s="62">
        <v>0</v>
      </c>
      <c r="G105" s="62">
        <v>3.5970400000000002</v>
      </c>
      <c r="H105" s="62">
        <v>0</v>
      </c>
      <c r="I105" s="62">
        <v>1.456</v>
      </c>
      <c r="J105" s="62">
        <v>3.8980396368862129</v>
      </c>
    </row>
    <row r="106" spans="1:10" x14ac:dyDescent="0.25">
      <c r="A106" s="352" t="str">
        <v>Laxmi|NMPL TVSM</v>
      </c>
      <c r="B106" s="352" t="str">
        <v>1140|5750</v>
      </c>
      <c r="C106" s="15" t="str">
        <v>54-0-3-ERW 2-FC</v>
      </c>
      <c r="D106" s="15" t="str">
        <v>0788</v>
      </c>
      <c r="E106" s="62">
        <v>38.693507220000001</v>
      </c>
      <c r="F106" s="62">
        <v>41.545660000000005</v>
      </c>
      <c r="G106" s="62">
        <v>5.13476</v>
      </c>
      <c r="H106" s="62">
        <v>39.157000000000004</v>
      </c>
      <c r="I106" s="62">
        <v>0</v>
      </c>
      <c r="J106" s="62">
        <v>30.359357018761354</v>
      </c>
    </row>
    <row r="107" spans="1:10" x14ac:dyDescent="0.25">
      <c r="A107" s="352" t="str">
        <v>ELKAYEM AUTO MYSORE |Rajsriya Unit 8</v>
      </c>
      <c r="B107" s="352" t="str">
        <v>409|713</v>
      </c>
      <c r="C107" s="15" t="str">
        <v>57.15-0-2-ERW 1-FC</v>
      </c>
      <c r="D107" s="15" t="str">
        <v>0789</v>
      </c>
      <c r="E107" s="62">
        <v>30.539972595865002</v>
      </c>
      <c r="F107" s="62">
        <v>11.995132</v>
      </c>
      <c r="G107" s="62">
        <v>1.2734259999999999</v>
      </c>
      <c r="H107" s="62">
        <v>2.4550979999999996</v>
      </c>
      <c r="I107" s="62">
        <v>0</v>
      </c>
      <c r="J107" s="62">
        <v>2.4116897868458573</v>
      </c>
    </row>
    <row r="108" spans="1:10" x14ac:dyDescent="0.25">
      <c r="A108" s="352" t="str">
        <v>NMPL HUB</v>
      </c>
      <c r="B108" s="352" t="str">
        <v>1365</v>
      </c>
      <c r="C108" s="15" t="str">
        <v>57.15-0-2.3-ERW 2-FC</v>
      </c>
      <c r="D108" s="15" t="str">
        <v>056</v>
      </c>
      <c r="E108" s="62">
        <v>50.935159466099996</v>
      </c>
      <c r="F108" s="62">
        <v>48.703773999999996</v>
      </c>
      <c r="G108" s="62">
        <v>2.1322909999999999</v>
      </c>
      <c r="H108" s="62">
        <v>19.938757000000003</v>
      </c>
      <c r="I108" s="62">
        <v>0</v>
      </c>
      <c r="J108" s="62">
        <v>11.743611216101296</v>
      </c>
    </row>
    <row r="109" spans="1:10" x14ac:dyDescent="0.25">
      <c r="A109" s="352" t="str">
        <v>Metalman|Rajsriya Unit 8|Rajsriya Mysore |RUCHA</v>
      </c>
      <c r="B109" s="352" t="str">
        <v>326|346|375|376|526|772</v>
      </c>
      <c r="C109" s="15" t="str">
        <v>57.15-0-2.5-ERW 1-FC</v>
      </c>
      <c r="D109" s="15" t="str">
        <v>0789</v>
      </c>
      <c r="E109" s="62">
        <v>12.999204752499999</v>
      </c>
      <c r="F109" s="62">
        <v>4.5005589999999991</v>
      </c>
      <c r="G109" s="62">
        <v>1.5624000000000001E-2</v>
      </c>
      <c r="H109" s="62">
        <v>18.554921999999998</v>
      </c>
      <c r="I109" s="62">
        <v>0</v>
      </c>
      <c r="J109" s="62">
        <v>42.821670294326715</v>
      </c>
    </row>
    <row r="110" spans="1:10" x14ac:dyDescent="0.25">
      <c r="A110" s="352" t="str">
        <v>ELKAYEM AUTO|ELKAYEM AUTO MYSORE |Laxmi</v>
      </c>
      <c r="B110" s="352" t="str">
        <v>641|645</v>
      </c>
      <c r="C110" s="15" t="str">
        <v>59-30-1.6-ERW 1-FIN CUT</v>
      </c>
      <c r="D110" s="15" t="str">
        <v>0789</v>
      </c>
      <c r="E110" s="62">
        <v>16.277801272160001</v>
      </c>
      <c r="F110" s="62">
        <v>3.9508000000000001</v>
      </c>
      <c r="G110" s="62">
        <v>17.977765000000002</v>
      </c>
      <c r="H110" s="62">
        <v>0</v>
      </c>
      <c r="I110" s="62">
        <v>0.95099999999999996</v>
      </c>
      <c r="J110" s="62">
        <v>1.7526937159992848</v>
      </c>
    </row>
    <row r="111" spans="1:10" x14ac:dyDescent="0.25">
      <c r="A111" s="352" t="str">
        <v>Metalman|Rajsriya Unit 8</v>
      </c>
      <c r="B111" s="352" t="str">
        <v>491|525</v>
      </c>
      <c r="C111" s="15" t="str">
        <v>60.3-0-2-ERW 1-FC</v>
      </c>
      <c r="D111" s="15" t="str">
        <v>0788</v>
      </c>
      <c r="E111" s="62">
        <v>7.5444426749999991</v>
      </c>
      <c r="F111" s="62">
        <v>0</v>
      </c>
      <c r="G111" s="62">
        <v>0</v>
      </c>
      <c r="H111" s="62">
        <v>28.386056999999997</v>
      </c>
      <c r="I111" s="62">
        <v>0</v>
      </c>
      <c r="J111" s="62">
        <v>112.87536358674765</v>
      </c>
    </row>
    <row r="112" spans="1:10" x14ac:dyDescent="0.25">
      <c r="A112" s="352" t="str">
        <v>Laxmi|NMPL TVSM</v>
      </c>
      <c r="B112" s="352" t="str">
        <v>234|236|263|5060</v>
      </c>
      <c r="C112" s="15" t="str">
        <v>63.5-0-4-ERW 1-FC</v>
      </c>
      <c r="D112" s="15" t="str">
        <v>0788</v>
      </c>
      <c r="E112" s="62">
        <v>38.193600850999999</v>
      </c>
      <c r="F112" s="62">
        <v>22.535115000000008</v>
      </c>
      <c r="G112" s="62">
        <v>6.3467739999999999</v>
      </c>
      <c r="H112" s="62">
        <v>70.552486000000002</v>
      </c>
      <c r="I112" s="62">
        <v>0</v>
      </c>
      <c r="J112" s="62">
        <v>55.416994806463322</v>
      </c>
    </row>
    <row r="113" spans="1:10" x14ac:dyDescent="0.25">
      <c r="A113" s="352" t="str">
        <v>Laxmi|NMPL TVSM</v>
      </c>
      <c r="B113" s="352" t="str">
        <v>490|512|6455</v>
      </c>
      <c r="C113" s="15" t="str">
        <v>70-0-3.2-ERW 2-FC</v>
      </c>
      <c r="D113" s="15" t="str">
        <v>0788</v>
      </c>
      <c r="E113" s="62">
        <v>23.583910794239998</v>
      </c>
      <c r="F113" s="62">
        <v>12.234237</v>
      </c>
      <c r="G113" s="62">
        <v>1.880619</v>
      </c>
      <c r="H113" s="62">
        <v>37.067985999999991</v>
      </c>
      <c r="I113" s="62">
        <v>0</v>
      </c>
      <c r="J113" s="62">
        <v>47.152467192659074</v>
      </c>
    </row>
  </sheetData>
  <printOptions headings="1"/>
  <pageMargins left="0.23622047244094491" right="0.23622047244094491" top="0.74803149606299213" bottom="0.74803149606299213" header="0.31496062992125984" footer="0.31496062992125984"/>
  <pageSetup scale="45" fitToHeight="0" orientation="portrait" r:id="rId1"/>
  <colBreaks count="1" manualBreakCount="1">
    <brk id="10"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144A-ED4A-4635-8DB1-55F52016D94C}">
  <sheetPr codeName="Sheet20">
    <tabColor rgb="FF00B0F0"/>
  </sheetPr>
  <dimension ref="A1:O215"/>
  <sheetViews>
    <sheetView topLeftCell="A197" workbookViewId="0">
      <selection activeCell="E200" sqref="E200:E207"/>
    </sheetView>
  </sheetViews>
  <sheetFormatPr defaultColWidth="40.28515625" defaultRowHeight="15" outlineLevelCol="1" x14ac:dyDescent="0.25"/>
  <cols>
    <col min="1" max="1" width="40.28515625" bestFit="1" customWidth="1"/>
    <col min="2" max="2" width="6.85546875" style="66" customWidth="1"/>
    <col min="3" max="3" width="9.140625" customWidth="1"/>
    <col min="4" max="4" width="9.85546875" customWidth="1" outlineLevel="1"/>
    <col min="5" max="5" width="30.5703125" bestFit="1" customWidth="1" outlineLevel="1"/>
    <col min="6" max="6" width="15.28515625" bestFit="1" customWidth="1"/>
    <col min="7" max="7" width="10.28515625" customWidth="1"/>
    <col min="8" max="8" width="8.7109375" customWidth="1"/>
    <col min="9" max="9" width="7" customWidth="1"/>
    <col min="10" max="10" width="11.28515625" customWidth="1"/>
    <col min="11" max="11" width="7.7109375" customWidth="1"/>
    <col min="12" max="12" width="7.85546875" customWidth="1"/>
    <col min="13" max="13" width="11.28515625" customWidth="1"/>
    <col min="14" max="14" width="7" customWidth="1"/>
  </cols>
  <sheetData>
    <row r="1" spans="1:7" ht="30" x14ac:dyDescent="0.25">
      <c r="A1" s="73" t="s">
        <v>258</v>
      </c>
      <c r="B1" s="351" t="s">
        <v>2416</v>
      </c>
      <c r="C1" s="73" t="s">
        <v>2418</v>
      </c>
      <c r="D1" s="73" t="s">
        <v>5759</v>
      </c>
      <c r="E1" s="73" t="s">
        <v>5760</v>
      </c>
      <c r="F1" s="73" t="s">
        <v>5761</v>
      </c>
      <c r="G1" s="73" t="s">
        <v>5762</v>
      </c>
    </row>
    <row r="2" spans="1:7" ht="75" x14ac:dyDescent="0.25">
      <c r="A2" s="352" t="s">
        <v>5763</v>
      </c>
      <c r="B2" s="352" t="s">
        <v>5764</v>
      </c>
      <c r="C2" s="15" t="s">
        <v>590</v>
      </c>
      <c r="D2" s="72">
        <v>22.862378857500005</v>
      </c>
      <c r="E2" s="72">
        <v>0</v>
      </c>
      <c r="F2" s="62">
        <v>22.862378857500005</v>
      </c>
      <c r="G2" s="15" t="s">
        <v>5765</v>
      </c>
    </row>
    <row r="3" spans="1:7" x14ac:dyDescent="0.25">
      <c r="A3" s="352" t="s">
        <v>5766</v>
      </c>
      <c r="B3" s="352" t="s">
        <v>2633</v>
      </c>
      <c r="C3" s="15" t="s">
        <v>995</v>
      </c>
      <c r="D3" s="72">
        <v>19.944606231359998</v>
      </c>
      <c r="E3" s="72">
        <v>0</v>
      </c>
      <c r="F3" s="62">
        <v>19.944606231359998</v>
      </c>
      <c r="G3" s="15" t="s">
        <v>5767</v>
      </c>
    </row>
    <row r="4" spans="1:7" ht="60" x14ac:dyDescent="0.25">
      <c r="A4" s="352" t="s">
        <v>5768</v>
      </c>
      <c r="B4" s="352" t="s">
        <v>5769</v>
      </c>
      <c r="C4" s="15" t="s">
        <v>393</v>
      </c>
      <c r="D4" s="72">
        <v>44.577396062999995</v>
      </c>
      <c r="E4" s="72">
        <v>22.310780000000005</v>
      </c>
      <c r="F4" s="62">
        <v>22.26661606299999</v>
      </c>
      <c r="G4" s="15" t="s">
        <v>5770</v>
      </c>
    </row>
    <row r="5" spans="1:7" ht="30" x14ac:dyDescent="0.25">
      <c r="A5" s="352" t="s">
        <v>5771</v>
      </c>
      <c r="B5" s="352" t="s">
        <v>5772</v>
      </c>
      <c r="C5" s="15" t="s">
        <v>1048</v>
      </c>
      <c r="D5" s="72">
        <v>25.870749252875004</v>
      </c>
      <c r="E5" s="72">
        <v>5.5467000000000004</v>
      </c>
      <c r="F5" s="62">
        <v>20.324049252875003</v>
      </c>
      <c r="G5" s="15" t="s">
        <v>5765</v>
      </c>
    </row>
    <row r="6" spans="1:7" ht="105" x14ac:dyDescent="0.25">
      <c r="A6" s="352" t="s">
        <v>5773</v>
      </c>
      <c r="B6" s="352" t="s">
        <v>5774</v>
      </c>
      <c r="C6" s="15" t="s">
        <v>428</v>
      </c>
      <c r="D6" s="72">
        <v>73.644432633692176</v>
      </c>
      <c r="E6" s="72">
        <v>47.903615999999992</v>
      </c>
      <c r="F6" s="62">
        <v>25.740816633692184</v>
      </c>
      <c r="G6" s="15" t="s">
        <v>5775</v>
      </c>
    </row>
    <row r="7" spans="1:7" ht="45" x14ac:dyDescent="0.25">
      <c r="A7" s="352" t="s">
        <v>5776</v>
      </c>
      <c r="B7" s="352" t="s">
        <v>5777</v>
      </c>
      <c r="C7" s="15" t="s">
        <v>875</v>
      </c>
      <c r="D7" s="72">
        <v>59.655243679536412</v>
      </c>
      <c r="E7" s="72">
        <v>27.26</v>
      </c>
      <c r="F7" s="62">
        <v>32.395243679536406</v>
      </c>
      <c r="G7" s="15" t="s">
        <v>5770</v>
      </c>
    </row>
    <row r="8" spans="1:7" ht="45" x14ac:dyDescent="0.25">
      <c r="A8" s="352" t="s">
        <v>5778</v>
      </c>
      <c r="B8" s="352" t="s">
        <v>5779</v>
      </c>
      <c r="C8" s="15" t="s">
        <v>891</v>
      </c>
      <c r="D8" s="72">
        <v>35.565452841006</v>
      </c>
      <c r="E8" s="72">
        <v>20.548508999999999</v>
      </c>
      <c r="F8" s="62">
        <v>15.016943841006</v>
      </c>
      <c r="G8" s="15" t="s">
        <v>5770</v>
      </c>
    </row>
    <row r="9" spans="1:7" ht="60" x14ac:dyDescent="0.25">
      <c r="A9" s="352" t="s">
        <v>5780</v>
      </c>
      <c r="B9" s="352" t="s">
        <v>5781</v>
      </c>
      <c r="C9" s="15" t="s">
        <v>926</v>
      </c>
      <c r="D9" s="72">
        <v>49.594852223656126</v>
      </c>
      <c r="E9" s="72">
        <v>6.1878859999999989</v>
      </c>
      <c r="F9" s="62">
        <v>43.406966223656127</v>
      </c>
      <c r="G9" s="15" t="s">
        <v>5782</v>
      </c>
    </row>
    <row r="10" spans="1:7" ht="60" x14ac:dyDescent="0.25">
      <c r="A10" s="352" t="s">
        <v>5783</v>
      </c>
      <c r="B10" s="352" t="s">
        <v>5784</v>
      </c>
      <c r="C10" s="352" t="s">
        <v>5784</v>
      </c>
      <c r="D10" s="72"/>
      <c r="E10" s="72"/>
      <c r="F10" s="62">
        <v>16</v>
      </c>
      <c r="G10" s="15" t="s">
        <v>5785</v>
      </c>
    </row>
    <row r="11" spans="1:7" x14ac:dyDescent="0.25">
      <c r="A11" s="352" t="s">
        <v>5786</v>
      </c>
      <c r="B11" s="352"/>
      <c r="C11" s="352"/>
      <c r="D11" s="72"/>
      <c r="E11" s="72"/>
      <c r="F11" s="62">
        <v>50</v>
      </c>
      <c r="G11" s="15" t="s">
        <v>5787</v>
      </c>
    </row>
    <row r="12" spans="1:7" x14ac:dyDescent="0.25">
      <c r="F12" s="52">
        <f>SUM(F2:F11)</f>
        <v>267.95762078262567</v>
      </c>
    </row>
    <row r="16" spans="1:7" x14ac:dyDescent="0.25">
      <c r="B16" s="353" t="s">
        <v>5788</v>
      </c>
      <c r="C16" s="353" t="s">
        <v>5789</v>
      </c>
    </row>
    <row r="17" spans="2:3" x14ac:dyDescent="0.25">
      <c r="B17" s="15" t="str" cm="1">
        <f t="array" ref="B17:B23">_xlfn.UNIQUE(G2:G11)</f>
        <v>RM Unavailability</v>
      </c>
      <c r="C17" s="354">
        <f>SUMIFS($F$2:$F$11,$G$2:$G$11,B17)</f>
        <v>43.186428110375005</v>
      </c>
    </row>
    <row r="18" spans="2:3" x14ac:dyDescent="0.25">
      <c r="B18" s="15" t="str">
        <v>Customer Clearance</v>
      </c>
      <c r="C18" s="354">
        <f t="shared" ref="C18:C23" si="0">SUMIFS($F$2:$F$11,$G$2:$G$11,B18)</f>
        <v>19.944606231359998</v>
      </c>
    </row>
    <row r="19" spans="2:3" x14ac:dyDescent="0.25">
      <c r="B19" s="15" t="str">
        <v>SY Chamfering Processing Constraint</v>
      </c>
      <c r="C19" s="354">
        <f t="shared" si="0"/>
        <v>69.67880358354239</v>
      </c>
    </row>
    <row r="20" spans="2:3" x14ac:dyDescent="0.25">
      <c r="B20" s="15" t="str">
        <v>Delay in Rolling</v>
      </c>
      <c r="C20" s="354">
        <f t="shared" si="0"/>
        <v>25.740816633692184</v>
      </c>
    </row>
    <row r="21" spans="2:3" x14ac:dyDescent="0.25">
      <c r="B21" s="15" t="str">
        <v>SY Angle Cutting Processing Constraint</v>
      </c>
      <c r="C21" s="354">
        <f t="shared" si="0"/>
        <v>43.406966223656127</v>
      </c>
    </row>
    <row r="22" spans="2:3" ht="45" x14ac:dyDescent="0.25">
      <c r="B22" s="352" t="str">
        <v>Payment Issue</v>
      </c>
      <c r="C22" s="354">
        <f t="shared" si="0"/>
        <v>16</v>
      </c>
    </row>
    <row r="23" spans="2:3" ht="30" x14ac:dyDescent="0.25">
      <c r="B23" s="352" t="str">
        <v>Credit Issue</v>
      </c>
      <c r="C23" s="354">
        <f t="shared" si="0"/>
        <v>50</v>
      </c>
    </row>
    <row r="24" spans="2:3" x14ac:dyDescent="0.25">
      <c r="C24" s="52">
        <f>SUM(C17:C23)</f>
        <v>267.95762078262572</v>
      </c>
    </row>
    <row r="39" spans="1:7" ht="15.75" thickBot="1" x14ac:dyDescent="0.3"/>
    <row r="40" spans="1:7" ht="30.75" thickBot="1" x14ac:dyDescent="0.3">
      <c r="A40" s="355" t="s">
        <v>258</v>
      </c>
      <c r="B40" s="356" t="s">
        <v>2416</v>
      </c>
      <c r="C40" s="357" t="s">
        <v>2418</v>
      </c>
      <c r="F40" s="357" t="s">
        <v>5790</v>
      </c>
      <c r="G40" s="357" t="s">
        <v>5762</v>
      </c>
    </row>
    <row r="41" spans="1:7" ht="15.75" thickBot="1" x14ac:dyDescent="0.3">
      <c r="A41" s="358" t="s">
        <v>5791</v>
      </c>
      <c r="B41" s="359">
        <v>1000</v>
      </c>
      <c r="C41" s="360" t="s">
        <v>972</v>
      </c>
      <c r="F41" s="361">
        <v>8</v>
      </c>
      <c r="G41" s="360" t="s">
        <v>5765</v>
      </c>
    </row>
    <row r="42" spans="1:7" ht="45.75" thickBot="1" x14ac:dyDescent="0.3">
      <c r="A42" s="358" t="s">
        <v>5792</v>
      </c>
      <c r="B42" s="359" t="s">
        <v>5793</v>
      </c>
      <c r="C42" s="360" t="s">
        <v>978</v>
      </c>
      <c r="F42" s="361">
        <v>15</v>
      </c>
      <c r="G42" s="360" t="s">
        <v>5765</v>
      </c>
    </row>
    <row r="43" spans="1:7" ht="75.75" thickBot="1" x14ac:dyDescent="0.3">
      <c r="A43" s="358" t="s">
        <v>5763</v>
      </c>
      <c r="B43" s="359" t="s">
        <v>5764</v>
      </c>
      <c r="C43" s="360" t="s">
        <v>590</v>
      </c>
      <c r="F43" s="361">
        <v>23</v>
      </c>
      <c r="G43" s="360" t="s">
        <v>5765</v>
      </c>
    </row>
    <row r="44" spans="1:7" ht="135.75" thickBot="1" x14ac:dyDescent="0.3">
      <c r="A44" s="358" t="s">
        <v>5794</v>
      </c>
      <c r="B44" s="359" t="s">
        <v>5795</v>
      </c>
      <c r="C44" s="360" t="s">
        <v>471</v>
      </c>
      <c r="F44" s="361">
        <v>7</v>
      </c>
      <c r="G44" s="360" t="s">
        <v>5765</v>
      </c>
    </row>
    <row r="45" spans="1:7" ht="60.75" thickBot="1" x14ac:dyDescent="0.3">
      <c r="A45" s="358" t="s">
        <v>5796</v>
      </c>
      <c r="B45" s="359" t="s">
        <v>5797</v>
      </c>
      <c r="C45" s="360" t="s">
        <v>983</v>
      </c>
      <c r="F45" s="361">
        <v>11</v>
      </c>
      <c r="G45" s="360" t="s">
        <v>5765</v>
      </c>
    </row>
    <row r="46" spans="1:7" ht="60.75" thickBot="1" x14ac:dyDescent="0.3">
      <c r="A46" s="358" t="s">
        <v>5798</v>
      </c>
      <c r="B46" s="359" t="s">
        <v>5799</v>
      </c>
      <c r="C46" s="359" t="s">
        <v>986</v>
      </c>
      <c r="F46" s="361">
        <v>14</v>
      </c>
      <c r="G46" s="360" t="s">
        <v>5765</v>
      </c>
    </row>
    <row r="47" spans="1:7" ht="45.75" thickBot="1" x14ac:dyDescent="0.3">
      <c r="A47" s="358" t="s">
        <v>5766</v>
      </c>
      <c r="B47" s="359">
        <v>1000</v>
      </c>
      <c r="C47" s="359" t="s">
        <v>995</v>
      </c>
      <c r="F47" s="361">
        <v>8</v>
      </c>
      <c r="G47" s="360" t="s">
        <v>5767</v>
      </c>
    </row>
    <row r="48" spans="1:7" ht="75.75" thickBot="1" x14ac:dyDescent="0.3">
      <c r="A48" s="358" t="s">
        <v>5800</v>
      </c>
      <c r="B48" s="359" t="s">
        <v>5801</v>
      </c>
      <c r="C48" s="359" t="s">
        <v>607</v>
      </c>
      <c r="F48" s="361">
        <v>7</v>
      </c>
      <c r="G48" s="360" t="s">
        <v>5765</v>
      </c>
    </row>
    <row r="49" spans="1:7" ht="45.75" thickBot="1" x14ac:dyDescent="0.3">
      <c r="A49" s="358" t="s">
        <v>91</v>
      </c>
      <c r="B49" s="359" t="s">
        <v>5802</v>
      </c>
      <c r="C49" s="359" t="s">
        <v>679</v>
      </c>
      <c r="F49" s="361">
        <v>13</v>
      </c>
      <c r="G49" s="360" t="s">
        <v>5767</v>
      </c>
    </row>
    <row r="50" spans="1:7" ht="45.75" thickBot="1" x14ac:dyDescent="0.3">
      <c r="A50" s="358" t="s">
        <v>954</v>
      </c>
      <c r="B50" s="359">
        <v>845</v>
      </c>
      <c r="C50" s="359" t="s">
        <v>785</v>
      </c>
      <c r="F50" s="361">
        <v>7</v>
      </c>
      <c r="G50" s="360" t="s">
        <v>5765</v>
      </c>
    </row>
    <row r="51" spans="1:7" ht="45.75" thickBot="1" x14ac:dyDescent="0.3">
      <c r="A51" s="358" t="s">
        <v>5803</v>
      </c>
      <c r="B51" s="359" t="s">
        <v>5804</v>
      </c>
      <c r="C51" s="359" t="s">
        <v>1008</v>
      </c>
      <c r="F51" s="361">
        <v>12</v>
      </c>
      <c r="G51" s="360" t="s">
        <v>5775</v>
      </c>
    </row>
    <row r="52" spans="1:7" ht="45.75" thickBot="1" x14ac:dyDescent="0.3">
      <c r="A52" s="358" t="s">
        <v>71</v>
      </c>
      <c r="B52" s="359" t="s">
        <v>5805</v>
      </c>
      <c r="C52" s="359" t="s">
        <v>404</v>
      </c>
      <c r="F52" s="361">
        <v>17</v>
      </c>
      <c r="G52" s="360" t="s">
        <v>5785</v>
      </c>
    </row>
    <row r="53" spans="1:7" ht="60.75" thickBot="1" x14ac:dyDescent="0.3">
      <c r="A53" s="358" t="s">
        <v>5806</v>
      </c>
      <c r="B53" s="359" t="s">
        <v>5807</v>
      </c>
      <c r="C53" s="359" t="s">
        <v>816</v>
      </c>
      <c r="F53" s="361">
        <v>11</v>
      </c>
      <c r="G53" s="360" t="s">
        <v>5808</v>
      </c>
    </row>
    <row r="54" spans="1:7" ht="60.75" thickBot="1" x14ac:dyDescent="0.3">
      <c r="A54" s="358" t="s">
        <v>5768</v>
      </c>
      <c r="B54" s="359" t="s">
        <v>5769</v>
      </c>
      <c r="C54" s="359" t="s">
        <v>393</v>
      </c>
      <c r="F54" s="361">
        <v>32</v>
      </c>
      <c r="G54" s="360" t="s">
        <v>5765</v>
      </c>
    </row>
    <row r="55" spans="1:7" ht="60.75" thickBot="1" x14ac:dyDescent="0.3">
      <c r="A55" s="358" t="s">
        <v>5809</v>
      </c>
      <c r="B55" s="359" t="s">
        <v>5810</v>
      </c>
      <c r="C55" s="359" t="s">
        <v>827</v>
      </c>
      <c r="F55" s="361">
        <v>27</v>
      </c>
      <c r="G55" s="360" t="s">
        <v>5770</v>
      </c>
    </row>
    <row r="56" spans="1:7" ht="60.75" thickBot="1" x14ac:dyDescent="0.3">
      <c r="A56" s="358" t="s">
        <v>5811</v>
      </c>
      <c r="B56" s="359" t="s">
        <v>5812</v>
      </c>
      <c r="C56" s="359" t="s">
        <v>832</v>
      </c>
      <c r="F56" s="361">
        <v>11</v>
      </c>
      <c r="G56" s="360" t="s">
        <v>5765</v>
      </c>
    </row>
    <row r="57" spans="1:7" ht="45.75" thickBot="1" x14ac:dyDescent="0.3">
      <c r="A57" s="358" t="s">
        <v>287</v>
      </c>
      <c r="B57" s="359">
        <v>1721</v>
      </c>
      <c r="C57" s="359" t="s">
        <v>673</v>
      </c>
      <c r="F57" s="361">
        <v>6</v>
      </c>
      <c r="G57" s="360" t="s">
        <v>5765</v>
      </c>
    </row>
    <row r="58" spans="1:7" ht="105.75" thickBot="1" x14ac:dyDescent="0.3">
      <c r="A58" s="358" t="s">
        <v>5813</v>
      </c>
      <c r="B58" s="359" t="s">
        <v>5814</v>
      </c>
      <c r="C58" s="359" t="s">
        <v>860</v>
      </c>
      <c r="F58" s="361">
        <v>19</v>
      </c>
      <c r="G58" s="360" t="s">
        <v>5775</v>
      </c>
    </row>
    <row r="59" spans="1:7" ht="60.75" thickBot="1" x14ac:dyDescent="0.3">
      <c r="A59" s="358" t="s">
        <v>5771</v>
      </c>
      <c r="B59" s="359" t="s">
        <v>5772</v>
      </c>
      <c r="C59" s="359" t="s">
        <v>1048</v>
      </c>
      <c r="F59" s="361">
        <v>24</v>
      </c>
      <c r="G59" s="360" t="s">
        <v>5765</v>
      </c>
    </row>
    <row r="60" spans="1:7" ht="45.75" thickBot="1" x14ac:dyDescent="0.3">
      <c r="A60" s="358" t="s">
        <v>5809</v>
      </c>
      <c r="B60" s="359">
        <v>272</v>
      </c>
      <c r="C60" s="359" t="s">
        <v>869</v>
      </c>
      <c r="F60" s="361">
        <v>13</v>
      </c>
      <c r="G60" s="360" t="s">
        <v>5770</v>
      </c>
    </row>
    <row r="61" spans="1:7" ht="45.75" thickBot="1" x14ac:dyDescent="0.3">
      <c r="A61" s="358" t="s">
        <v>300</v>
      </c>
      <c r="B61" s="359">
        <v>561</v>
      </c>
      <c r="C61" s="359" t="s">
        <v>1823</v>
      </c>
      <c r="F61" s="361">
        <v>10</v>
      </c>
      <c r="G61" s="360" t="s">
        <v>5765</v>
      </c>
    </row>
    <row r="62" spans="1:7" ht="60.75" thickBot="1" x14ac:dyDescent="0.3">
      <c r="A62" s="358" t="s">
        <v>5815</v>
      </c>
      <c r="B62" s="359" t="s">
        <v>5816</v>
      </c>
      <c r="C62" s="359" t="s">
        <v>586</v>
      </c>
      <c r="F62" s="361">
        <v>30</v>
      </c>
      <c r="G62" s="360" t="s">
        <v>5775</v>
      </c>
    </row>
    <row r="63" spans="1:7" ht="45.75" thickBot="1" x14ac:dyDescent="0.3">
      <c r="A63" s="358" t="s">
        <v>953</v>
      </c>
      <c r="B63" s="359">
        <v>1365</v>
      </c>
      <c r="C63" s="359" t="s">
        <v>904</v>
      </c>
      <c r="F63" s="361">
        <v>14</v>
      </c>
      <c r="G63" s="360" t="s">
        <v>5765</v>
      </c>
    </row>
    <row r="64" spans="1:7" ht="60.75" thickBot="1" x14ac:dyDescent="0.3">
      <c r="A64" s="358" t="s">
        <v>5780</v>
      </c>
      <c r="B64" s="359" t="s">
        <v>5781</v>
      </c>
      <c r="C64" s="359" t="s">
        <v>926</v>
      </c>
      <c r="F64" s="361">
        <v>39</v>
      </c>
      <c r="G64" s="360" t="s">
        <v>5782</v>
      </c>
    </row>
    <row r="65" spans="1:7" ht="45.75" thickBot="1" x14ac:dyDescent="0.3">
      <c r="A65" s="358" t="s">
        <v>5817</v>
      </c>
      <c r="B65" s="359" t="s">
        <v>5818</v>
      </c>
      <c r="C65" s="359" t="s">
        <v>1070</v>
      </c>
      <c r="F65" s="361">
        <v>8</v>
      </c>
      <c r="G65" s="360" t="s">
        <v>5767</v>
      </c>
    </row>
    <row r="66" spans="1:7" ht="45.75" thickBot="1" x14ac:dyDescent="0.3">
      <c r="A66" s="358" t="s">
        <v>5819</v>
      </c>
      <c r="B66" s="359">
        <v>641</v>
      </c>
      <c r="C66" s="359" t="s">
        <v>568</v>
      </c>
      <c r="F66" s="361">
        <v>18</v>
      </c>
      <c r="G66" s="360" t="s">
        <v>5765</v>
      </c>
    </row>
    <row r="67" spans="1:7" x14ac:dyDescent="0.25">
      <c r="A67" s="337"/>
      <c r="B67" s="362"/>
      <c r="C67" s="337"/>
      <c r="F67" s="363">
        <v>402</v>
      </c>
      <c r="G67" s="337"/>
    </row>
    <row r="70" spans="1:7" x14ac:dyDescent="0.25">
      <c r="A70" s="364" t="s">
        <v>5788</v>
      </c>
      <c r="B70" s="364" t="s">
        <v>5820</v>
      </c>
      <c r="C70" s="364" t="s">
        <v>5821</v>
      </c>
    </row>
    <row r="71" spans="1:7" x14ac:dyDescent="0.25">
      <c r="A71" s="103" t="s">
        <v>5765</v>
      </c>
      <c r="B71" s="103">
        <v>43</v>
      </c>
      <c r="C71" s="103">
        <v>206</v>
      </c>
    </row>
    <row r="72" spans="1:7" x14ac:dyDescent="0.25">
      <c r="A72" s="103" t="s">
        <v>5775</v>
      </c>
      <c r="B72" s="103">
        <v>26</v>
      </c>
      <c r="C72" s="103">
        <v>60</v>
      </c>
    </row>
    <row r="73" spans="1:7" x14ac:dyDescent="0.25">
      <c r="A73" s="365" t="s">
        <v>5770</v>
      </c>
      <c r="B73" s="103">
        <v>70</v>
      </c>
      <c r="C73" s="103">
        <v>40</v>
      </c>
    </row>
    <row r="74" spans="1:7" x14ac:dyDescent="0.25">
      <c r="A74" s="365" t="s">
        <v>5782</v>
      </c>
      <c r="B74" s="103">
        <v>43</v>
      </c>
      <c r="C74" s="103">
        <v>39</v>
      </c>
    </row>
    <row r="75" spans="1:7" x14ac:dyDescent="0.25">
      <c r="A75" s="103" t="s">
        <v>5767</v>
      </c>
      <c r="B75" s="103">
        <v>20</v>
      </c>
      <c r="C75" s="103">
        <v>29</v>
      </c>
    </row>
    <row r="76" spans="1:7" x14ac:dyDescent="0.25">
      <c r="A76" s="103" t="s">
        <v>5785</v>
      </c>
      <c r="B76" s="103">
        <v>16</v>
      </c>
      <c r="C76" s="103">
        <v>17</v>
      </c>
    </row>
    <row r="77" spans="1:7" x14ac:dyDescent="0.25">
      <c r="A77" s="103" t="s">
        <v>5787</v>
      </c>
      <c r="B77" s="103">
        <v>50</v>
      </c>
      <c r="C77" s="103">
        <v>0</v>
      </c>
    </row>
    <row r="78" spans="1:7" x14ac:dyDescent="0.25">
      <c r="A78" s="365" t="s">
        <v>5808</v>
      </c>
      <c r="B78" s="103">
        <v>0</v>
      </c>
      <c r="C78" s="103">
        <v>11</v>
      </c>
    </row>
    <row r="79" spans="1:7" x14ac:dyDescent="0.25">
      <c r="A79" s="366"/>
      <c r="B79" s="367">
        <v>268</v>
      </c>
      <c r="C79" s="236">
        <v>402</v>
      </c>
    </row>
    <row r="81" spans="1:10" x14ac:dyDescent="0.25">
      <c r="A81" t="s">
        <v>5822</v>
      </c>
    </row>
    <row r="83" spans="1:10" x14ac:dyDescent="0.25">
      <c r="A83" s="369" t="s">
        <v>1801</v>
      </c>
      <c r="B83" s="370" t="s">
        <v>258</v>
      </c>
      <c r="C83" s="370" t="s">
        <v>2416</v>
      </c>
      <c r="D83" s="370" t="s">
        <v>2418</v>
      </c>
      <c r="E83" s="370" t="s">
        <v>1829</v>
      </c>
      <c r="F83" s="370" t="s">
        <v>269</v>
      </c>
      <c r="G83" s="371" t="s">
        <v>2425</v>
      </c>
      <c r="H83" s="370" t="s">
        <v>5823</v>
      </c>
      <c r="J83" t="s">
        <v>5765</v>
      </c>
    </row>
    <row r="84" spans="1:10" x14ac:dyDescent="0.25">
      <c r="A84" s="368" t="s">
        <v>367</v>
      </c>
      <c r="B84" s="15" t="s">
        <v>5771</v>
      </c>
      <c r="C84" s="15" t="s">
        <v>5772</v>
      </c>
      <c r="D84" s="15" t="s">
        <v>1048</v>
      </c>
      <c r="E84" s="72">
        <v>22.018504936875004</v>
      </c>
      <c r="F84" s="72">
        <v>0</v>
      </c>
      <c r="G84" s="93">
        <v>22.018504936875004</v>
      </c>
      <c r="H84" s="15" t="s">
        <v>5775</v>
      </c>
      <c r="J84" t="s">
        <v>5775</v>
      </c>
    </row>
    <row r="85" spans="1:10" x14ac:dyDescent="0.25">
      <c r="A85" s="368" t="s">
        <v>367</v>
      </c>
      <c r="B85" s="15" t="s">
        <v>954</v>
      </c>
      <c r="C85" s="15" t="s">
        <v>5824</v>
      </c>
      <c r="D85" s="15" t="s">
        <v>895</v>
      </c>
      <c r="E85" s="72">
        <v>6.2031831153600008</v>
      </c>
      <c r="F85" s="72">
        <v>1.16658</v>
      </c>
      <c r="G85" s="93">
        <v>5.036603115360001</v>
      </c>
      <c r="H85" s="15" t="s">
        <v>5767</v>
      </c>
      <c r="J85" t="s">
        <v>5770</v>
      </c>
    </row>
    <row r="86" spans="1:10" x14ac:dyDescent="0.25">
      <c r="A86" s="368" t="s">
        <v>367</v>
      </c>
      <c r="B86" s="15" t="s">
        <v>953</v>
      </c>
      <c r="C86" s="15" t="s">
        <v>5825</v>
      </c>
      <c r="D86" s="15" t="s">
        <v>904</v>
      </c>
      <c r="E86" s="72">
        <v>46.690562843925001</v>
      </c>
      <c r="F86" s="72">
        <v>30.509038999999998</v>
      </c>
      <c r="G86" s="93">
        <v>16.181523843925003</v>
      </c>
      <c r="H86" s="15" t="s">
        <v>5775</v>
      </c>
      <c r="J86" t="s">
        <v>5782</v>
      </c>
    </row>
    <row r="87" spans="1:10" x14ac:dyDescent="0.25">
      <c r="A87" s="368" t="s">
        <v>362</v>
      </c>
      <c r="B87" s="15" t="s">
        <v>284</v>
      </c>
      <c r="C87" s="15" t="s">
        <v>2633</v>
      </c>
      <c r="D87" s="15" t="s">
        <v>965</v>
      </c>
      <c r="E87" s="72">
        <v>0.73355424000000002</v>
      </c>
      <c r="F87" s="72">
        <v>0</v>
      </c>
      <c r="G87" s="93">
        <v>0.73355424000000002</v>
      </c>
      <c r="H87" s="15" t="s">
        <v>5775</v>
      </c>
      <c r="J87" t="s">
        <v>5785</v>
      </c>
    </row>
    <row r="88" spans="1:10" x14ac:dyDescent="0.25">
      <c r="A88" s="368" t="s">
        <v>362</v>
      </c>
      <c r="B88" s="15" t="s">
        <v>5826</v>
      </c>
      <c r="C88" s="15" t="s">
        <v>5827</v>
      </c>
      <c r="D88" s="15" t="s">
        <v>546</v>
      </c>
      <c r="E88" s="72">
        <v>2.7537862799999999</v>
      </c>
      <c r="F88" s="72">
        <v>0</v>
      </c>
      <c r="G88" s="93">
        <v>2.7537862799999999</v>
      </c>
      <c r="H88" s="15" t="s">
        <v>5775</v>
      </c>
      <c r="J88" t="s">
        <v>5808</v>
      </c>
    </row>
    <row r="89" spans="1:10" x14ac:dyDescent="0.25">
      <c r="A89" s="368" t="s">
        <v>362</v>
      </c>
      <c r="B89" s="15" t="s">
        <v>5791</v>
      </c>
      <c r="C89" s="15" t="s">
        <v>2633</v>
      </c>
      <c r="D89" s="15" t="s">
        <v>972</v>
      </c>
      <c r="E89" s="72">
        <v>7.1344065600000022</v>
      </c>
      <c r="F89" s="72">
        <v>0</v>
      </c>
      <c r="G89" s="93">
        <v>7.1344065600000022</v>
      </c>
      <c r="H89" s="15" t="s">
        <v>5775</v>
      </c>
      <c r="J89" t="s">
        <v>5767</v>
      </c>
    </row>
    <row r="90" spans="1:10" x14ac:dyDescent="0.25">
      <c r="A90" s="368" t="s">
        <v>362</v>
      </c>
      <c r="B90" s="15" t="s">
        <v>284</v>
      </c>
      <c r="C90" s="15" t="s">
        <v>2633</v>
      </c>
      <c r="D90" s="15" t="s">
        <v>973</v>
      </c>
      <c r="E90" s="72">
        <v>1.4342944987500004</v>
      </c>
      <c r="F90" s="72">
        <v>0</v>
      </c>
      <c r="G90" s="93">
        <v>1.4342944987500004</v>
      </c>
      <c r="H90" s="15" t="s">
        <v>5775</v>
      </c>
      <c r="J90" t="s">
        <v>5828</v>
      </c>
    </row>
    <row r="91" spans="1:10" x14ac:dyDescent="0.25">
      <c r="A91" s="368" t="s">
        <v>362</v>
      </c>
      <c r="B91" s="15" t="s">
        <v>953</v>
      </c>
      <c r="C91" s="15" t="s">
        <v>3434</v>
      </c>
      <c r="D91" s="15" t="s">
        <v>557</v>
      </c>
      <c r="E91" s="72">
        <v>2.1429840600000007</v>
      </c>
      <c r="F91" s="72">
        <v>0.56799999999999995</v>
      </c>
      <c r="G91" s="93">
        <v>1.5749840600000007</v>
      </c>
      <c r="H91" s="15" t="s">
        <v>5767</v>
      </c>
    </row>
    <row r="92" spans="1:10" x14ac:dyDescent="0.25">
      <c r="A92" s="368" t="s">
        <v>362</v>
      </c>
      <c r="B92" s="15" t="s">
        <v>5792</v>
      </c>
      <c r="C92" s="15" t="s">
        <v>5793</v>
      </c>
      <c r="D92" s="15" t="s">
        <v>978</v>
      </c>
      <c r="E92" s="72">
        <v>17.708630368000001</v>
      </c>
      <c r="F92" s="72">
        <v>4.3750110000000006</v>
      </c>
      <c r="G92" s="93">
        <v>13.333619368000001</v>
      </c>
      <c r="H92" s="15" t="s">
        <v>5775</v>
      </c>
    </row>
    <row r="93" spans="1:10" x14ac:dyDescent="0.25">
      <c r="A93" s="368" t="s">
        <v>362</v>
      </c>
      <c r="B93" s="15" t="s">
        <v>5829</v>
      </c>
      <c r="C93" s="15" t="s">
        <v>5830</v>
      </c>
      <c r="D93" s="15" t="s">
        <v>980</v>
      </c>
      <c r="E93" s="72">
        <v>2.982578298</v>
      </c>
      <c r="F93" s="72">
        <v>1.5075000000000001</v>
      </c>
      <c r="G93" s="93">
        <v>1.4750782979999999</v>
      </c>
      <c r="H93" s="15" t="s">
        <v>5775</v>
      </c>
    </row>
    <row r="94" spans="1:10" x14ac:dyDescent="0.25">
      <c r="A94" s="368" t="s">
        <v>362</v>
      </c>
      <c r="B94" s="15" t="s">
        <v>5766</v>
      </c>
      <c r="C94" s="15" t="s">
        <v>2633</v>
      </c>
      <c r="D94" s="15" t="s">
        <v>995</v>
      </c>
      <c r="E94" s="72">
        <v>6.6522484569599989</v>
      </c>
      <c r="F94" s="72">
        <v>3.7967489999999997</v>
      </c>
      <c r="G94" s="93">
        <v>2.8554994569599992</v>
      </c>
      <c r="H94" s="15" t="s">
        <v>5775</v>
      </c>
    </row>
    <row r="95" spans="1:10" x14ac:dyDescent="0.25">
      <c r="A95" s="368" t="s">
        <v>362</v>
      </c>
      <c r="B95" s="15" t="s">
        <v>5803</v>
      </c>
      <c r="C95" s="15" t="s">
        <v>2633</v>
      </c>
      <c r="D95" s="15" t="s">
        <v>996</v>
      </c>
      <c r="E95" s="72">
        <v>5.6168477392500007</v>
      </c>
      <c r="F95" s="72">
        <v>5.1621000000000006</v>
      </c>
      <c r="G95" s="93">
        <v>0.45474773925000012</v>
      </c>
      <c r="H95" s="15" t="s">
        <v>5775</v>
      </c>
    </row>
    <row r="96" spans="1:10" x14ac:dyDescent="0.25">
      <c r="A96" s="368" t="s">
        <v>362</v>
      </c>
      <c r="B96" s="15" t="s">
        <v>71</v>
      </c>
      <c r="C96" s="15" t="s">
        <v>5805</v>
      </c>
      <c r="D96" s="15" t="s">
        <v>404</v>
      </c>
      <c r="E96" s="72">
        <v>26.12020637625</v>
      </c>
      <c r="F96" s="72">
        <v>24.233805999999998</v>
      </c>
      <c r="G96" s="93">
        <v>1.8864003762500019</v>
      </c>
      <c r="H96" s="15" t="s">
        <v>5785</v>
      </c>
    </row>
    <row r="97" spans="1:8" x14ac:dyDescent="0.25">
      <c r="A97" s="368" t="s">
        <v>362</v>
      </c>
      <c r="B97" s="15" t="s">
        <v>5766</v>
      </c>
      <c r="C97" s="15" t="s">
        <v>2633</v>
      </c>
      <c r="D97" s="15" t="s">
        <v>813</v>
      </c>
      <c r="E97" s="72">
        <v>9.6343594099200001</v>
      </c>
      <c r="F97" s="72">
        <v>2.5587959999999996</v>
      </c>
      <c r="G97" s="93">
        <v>7.0755634099200009</v>
      </c>
      <c r="H97" s="15" t="s">
        <v>5767</v>
      </c>
    </row>
    <row r="98" spans="1:8" x14ac:dyDescent="0.25">
      <c r="A98" s="368" t="s">
        <v>362</v>
      </c>
      <c r="B98" s="15" t="s">
        <v>5806</v>
      </c>
      <c r="C98" s="15" t="s">
        <v>5807</v>
      </c>
      <c r="D98" s="15" t="s">
        <v>816</v>
      </c>
      <c r="E98" s="72">
        <v>15.331728222337503</v>
      </c>
      <c r="F98" s="72">
        <v>7.6342499999999998</v>
      </c>
      <c r="G98" s="93">
        <v>7.6974782223375033</v>
      </c>
      <c r="H98" s="15" t="s">
        <v>5808</v>
      </c>
    </row>
    <row r="99" spans="1:8" x14ac:dyDescent="0.25">
      <c r="A99" s="368" t="s">
        <v>362</v>
      </c>
      <c r="B99" s="15" t="s">
        <v>284</v>
      </c>
      <c r="C99" s="15" t="s">
        <v>2758</v>
      </c>
      <c r="D99" s="15" t="s">
        <v>1073</v>
      </c>
      <c r="E99" s="72">
        <f>(3.14*(29.28-3.4)*3.4*7.85*1000)/1000000</f>
        <v>2.1689148080000002</v>
      </c>
      <c r="F99" s="72">
        <v>0</v>
      </c>
      <c r="G99" s="93">
        <v>2.17</v>
      </c>
      <c r="H99" s="15" t="s">
        <v>5767</v>
      </c>
    </row>
    <row r="100" spans="1:8" x14ac:dyDescent="0.25">
      <c r="A100" s="368" t="s">
        <v>362</v>
      </c>
      <c r="B100" s="15" t="s">
        <v>5768</v>
      </c>
      <c r="C100" s="15" t="s">
        <v>5769</v>
      </c>
      <c r="D100" s="15" t="s">
        <v>393</v>
      </c>
      <c r="E100" s="72">
        <v>28.001730482324998</v>
      </c>
      <c r="F100" s="72">
        <v>22.622710999999992</v>
      </c>
      <c r="G100" s="93">
        <v>5.3790194823250062</v>
      </c>
      <c r="H100" s="15" t="s">
        <v>5765</v>
      </c>
    </row>
    <row r="101" spans="1:8" x14ac:dyDescent="0.25">
      <c r="A101" s="368" t="s">
        <v>362</v>
      </c>
      <c r="B101" s="15" t="s">
        <v>5768</v>
      </c>
      <c r="C101" s="15" t="s">
        <v>5831</v>
      </c>
      <c r="D101" s="15" t="s">
        <v>824</v>
      </c>
      <c r="E101" s="72">
        <v>27.417584307149994</v>
      </c>
      <c r="F101" s="72">
        <v>20.018078000000006</v>
      </c>
      <c r="G101" s="93">
        <v>7.3995063071499878</v>
      </c>
      <c r="H101" s="15" t="s">
        <v>5765</v>
      </c>
    </row>
    <row r="102" spans="1:8" x14ac:dyDescent="0.25">
      <c r="A102" s="368" t="s">
        <v>362</v>
      </c>
      <c r="B102" s="15" t="s">
        <v>5809</v>
      </c>
      <c r="C102" s="15" t="s">
        <v>5810</v>
      </c>
      <c r="D102" s="15" t="s">
        <v>827</v>
      </c>
      <c r="E102" s="72">
        <v>41.650550694562497</v>
      </c>
      <c r="F102" s="72">
        <v>26.789279999999998</v>
      </c>
      <c r="G102" s="93">
        <v>14.861270694562499</v>
      </c>
      <c r="H102" s="15" t="s">
        <v>5770</v>
      </c>
    </row>
    <row r="103" spans="1:8" x14ac:dyDescent="0.25">
      <c r="A103" s="368" t="s">
        <v>362</v>
      </c>
      <c r="B103" s="15" t="s">
        <v>5832</v>
      </c>
      <c r="C103" s="15" t="s">
        <v>3653</v>
      </c>
      <c r="D103" s="15" t="s">
        <v>1042</v>
      </c>
      <c r="E103" s="72">
        <v>9.5692347799999986</v>
      </c>
      <c r="F103" s="72">
        <v>0</v>
      </c>
      <c r="G103" s="93">
        <v>9.5692347799999986</v>
      </c>
      <c r="H103" s="15" t="s">
        <v>5775</v>
      </c>
    </row>
    <row r="104" spans="1:8" x14ac:dyDescent="0.25">
      <c r="A104" s="368" t="s">
        <v>362</v>
      </c>
      <c r="B104" s="15" t="s">
        <v>289</v>
      </c>
      <c r="C104" s="15" t="s">
        <v>3763</v>
      </c>
      <c r="D104" s="15" t="s">
        <v>1049</v>
      </c>
      <c r="E104" s="72">
        <v>8.7431438952143985</v>
      </c>
      <c r="F104" s="72">
        <v>0</v>
      </c>
      <c r="G104" s="93">
        <v>8.7431438952143985</v>
      </c>
      <c r="H104" s="15" t="s">
        <v>5775</v>
      </c>
    </row>
    <row r="105" spans="1:8" x14ac:dyDescent="0.25">
      <c r="A105" s="368" t="s">
        <v>345</v>
      </c>
      <c r="B105" s="15" t="s">
        <v>5833</v>
      </c>
      <c r="C105" s="15" t="s">
        <v>5834</v>
      </c>
      <c r="D105" s="15" t="s">
        <v>398</v>
      </c>
      <c r="E105" s="72">
        <v>6.9255802320000006</v>
      </c>
      <c r="F105" s="72">
        <v>4.4611009999999993</v>
      </c>
      <c r="G105" s="93">
        <v>2.4644792320000013</v>
      </c>
      <c r="H105" s="15" t="s">
        <v>5775</v>
      </c>
    </row>
    <row r="106" spans="1:8" x14ac:dyDescent="0.25">
      <c r="A106" s="368" t="s">
        <v>345</v>
      </c>
      <c r="B106" s="15" t="s">
        <v>5835</v>
      </c>
      <c r="C106" s="15" t="s">
        <v>5836</v>
      </c>
      <c r="D106" s="15" t="s">
        <v>416</v>
      </c>
      <c r="E106" s="72">
        <v>17.915583372</v>
      </c>
      <c r="F106" s="72">
        <v>10.204658000000002</v>
      </c>
      <c r="G106" s="93">
        <v>7.7109253719999984</v>
      </c>
      <c r="H106" s="15" t="s">
        <v>5775</v>
      </c>
    </row>
    <row r="107" spans="1:8" x14ac:dyDescent="0.25">
      <c r="A107" s="368" t="s">
        <v>345</v>
      </c>
      <c r="B107" s="15" t="s">
        <v>5837</v>
      </c>
      <c r="C107" s="15" t="s">
        <v>5838</v>
      </c>
      <c r="D107" s="15" t="s">
        <v>463</v>
      </c>
      <c r="E107" s="72">
        <v>15.349563314400001</v>
      </c>
      <c r="F107" s="72">
        <v>7.5565430000000022</v>
      </c>
      <c r="G107" s="93">
        <v>7.7930203143999988</v>
      </c>
      <c r="H107" s="15" t="s">
        <v>5775</v>
      </c>
    </row>
    <row r="108" spans="1:8" x14ac:dyDescent="0.25">
      <c r="A108" s="368" t="s">
        <v>345</v>
      </c>
      <c r="B108" s="15" t="s">
        <v>5839</v>
      </c>
      <c r="C108" s="15" t="s">
        <v>5840</v>
      </c>
      <c r="D108" s="15" t="s">
        <v>506</v>
      </c>
      <c r="E108" s="72">
        <v>6.3188835494399989</v>
      </c>
      <c r="F108" s="72">
        <v>3.8218860000000006</v>
      </c>
      <c r="G108" s="93">
        <v>2.4969975494399983</v>
      </c>
      <c r="H108" s="15" t="s">
        <v>5767</v>
      </c>
    </row>
    <row r="109" spans="1:8" x14ac:dyDescent="0.25">
      <c r="A109" s="368" t="s">
        <v>345</v>
      </c>
      <c r="B109" s="15" t="s">
        <v>5794</v>
      </c>
      <c r="C109" s="15" t="s">
        <v>5795</v>
      </c>
      <c r="D109" s="15" t="s">
        <v>471</v>
      </c>
      <c r="E109" s="72">
        <v>14.483326711770001</v>
      </c>
      <c r="F109" s="72">
        <v>8.8174820000000018</v>
      </c>
      <c r="G109" s="93">
        <v>5.6658447117699993</v>
      </c>
      <c r="H109" s="15" t="s">
        <v>5775</v>
      </c>
    </row>
    <row r="110" spans="1:8" x14ac:dyDescent="0.25">
      <c r="A110" s="368" t="s">
        <v>345</v>
      </c>
      <c r="B110" s="15" t="s">
        <v>5798</v>
      </c>
      <c r="C110" s="15" t="s">
        <v>5799</v>
      </c>
      <c r="D110" s="15" t="s">
        <v>986</v>
      </c>
      <c r="E110" s="72">
        <v>16.179583880800003</v>
      </c>
      <c r="F110" s="72">
        <v>10.964506000000002</v>
      </c>
      <c r="G110" s="93">
        <v>5.2150778808000009</v>
      </c>
      <c r="H110" s="15" t="s">
        <v>5775</v>
      </c>
    </row>
    <row r="111" spans="1:8" x14ac:dyDescent="0.25">
      <c r="A111" s="368" t="s">
        <v>345</v>
      </c>
      <c r="B111" s="15" t="s">
        <v>5841</v>
      </c>
      <c r="C111" s="15" t="s">
        <v>5842</v>
      </c>
      <c r="D111" s="15" t="s">
        <v>604</v>
      </c>
      <c r="E111" s="72">
        <v>45.933332623200002</v>
      </c>
      <c r="F111" s="72">
        <v>32.724274000000001</v>
      </c>
      <c r="G111" s="93">
        <v>13.209058623200001</v>
      </c>
      <c r="H111" s="15" t="s">
        <v>5767</v>
      </c>
    </row>
    <row r="112" spans="1:8" x14ac:dyDescent="0.25">
      <c r="A112" s="368" t="s">
        <v>345</v>
      </c>
      <c r="B112" s="15" t="s">
        <v>5843</v>
      </c>
      <c r="C112" s="15" t="s">
        <v>5844</v>
      </c>
      <c r="D112" s="15" t="s">
        <v>607</v>
      </c>
      <c r="E112" s="72">
        <v>16.449905026980002</v>
      </c>
      <c r="F112" s="72">
        <v>10.549806</v>
      </c>
      <c r="G112" s="93">
        <v>5.9000990269800013</v>
      </c>
      <c r="H112" s="15" t="s">
        <v>5775</v>
      </c>
    </row>
    <row r="113" spans="1:8" x14ac:dyDescent="0.25">
      <c r="A113" s="368" t="s">
        <v>345</v>
      </c>
      <c r="B113" s="15" t="s">
        <v>5845</v>
      </c>
      <c r="C113" s="15" t="s">
        <v>5846</v>
      </c>
      <c r="D113" s="15" t="s">
        <v>412</v>
      </c>
      <c r="E113" s="72">
        <v>108.17640997009103</v>
      </c>
      <c r="F113" s="72">
        <v>98.605232000000001</v>
      </c>
      <c r="G113" s="93">
        <v>9.5711779700910284</v>
      </c>
      <c r="H113" s="15" t="s">
        <v>5775</v>
      </c>
    </row>
    <row r="114" spans="1:8" x14ac:dyDescent="0.25">
      <c r="A114" s="368" t="s">
        <v>345</v>
      </c>
      <c r="B114" s="15" t="s">
        <v>91</v>
      </c>
      <c r="C114" s="15" t="s">
        <v>5847</v>
      </c>
      <c r="D114" s="15" t="s">
        <v>695</v>
      </c>
      <c r="E114" s="72">
        <v>11.410939042799999</v>
      </c>
      <c r="F114" s="72">
        <v>0.420072</v>
      </c>
      <c r="G114" s="93">
        <v>10.9908670428</v>
      </c>
      <c r="H114" s="15" t="s">
        <v>5767</v>
      </c>
    </row>
    <row r="115" spans="1:8" x14ac:dyDescent="0.25">
      <c r="A115" s="368" t="s">
        <v>345</v>
      </c>
      <c r="B115" s="15" t="s">
        <v>5848</v>
      </c>
      <c r="C115" s="15" t="s">
        <v>5849</v>
      </c>
      <c r="D115" s="15" t="s">
        <v>633</v>
      </c>
      <c r="E115" s="72">
        <v>50.27282210285999</v>
      </c>
      <c r="F115" s="72">
        <v>35.437382000000007</v>
      </c>
      <c r="G115" s="93">
        <v>14.835440102859984</v>
      </c>
      <c r="H115" s="15" t="s">
        <v>5775</v>
      </c>
    </row>
    <row r="116" spans="1:8" x14ac:dyDescent="0.25">
      <c r="A116" s="368" t="s">
        <v>345</v>
      </c>
      <c r="B116" s="15" t="s">
        <v>5850</v>
      </c>
      <c r="C116" s="15" t="s">
        <v>5851</v>
      </c>
      <c r="D116" s="15" t="s">
        <v>770</v>
      </c>
      <c r="E116" s="72">
        <v>23.78991740333586</v>
      </c>
      <c r="F116" s="72">
        <v>18.411477999999999</v>
      </c>
      <c r="G116" s="93">
        <v>5.3784394033358609</v>
      </c>
      <c r="H116" s="15" t="s">
        <v>5775</v>
      </c>
    </row>
    <row r="117" spans="1:8" x14ac:dyDescent="0.25">
      <c r="A117" s="368" t="s">
        <v>345</v>
      </c>
      <c r="B117" s="15" t="s">
        <v>5852</v>
      </c>
      <c r="C117" s="15" t="s">
        <v>5853</v>
      </c>
      <c r="D117" s="15" t="s">
        <v>642</v>
      </c>
      <c r="E117" s="72">
        <v>16.5501692713</v>
      </c>
      <c r="F117" s="72">
        <v>10.737159999999999</v>
      </c>
      <c r="G117" s="93">
        <v>5.8130092713000003</v>
      </c>
      <c r="H117" s="15" t="s">
        <v>5775</v>
      </c>
    </row>
    <row r="118" spans="1:8" x14ac:dyDescent="0.25">
      <c r="A118" s="368" t="s">
        <v>345</v>
      </c>
      <c r="B118" s="15" t="s">
        <v>5854</v>
      </c>
      <c r="C118" s="15" t="s">
        <v>5855</v>
      </c>
      <c r="D118" s="15" t="s">
        <v>748</v>
      </c>
      <c r="E118" s="72">
        <v>17.586667978714999</v>
      </c>
      <c r="F118" s="72">
        <v>7.1385170000000011</v>
      </c>
      <c r="G118" s="93">
        <v>10.448150978714999</v>
      </c>
      <c r="H118" s="15" t="s">
        <v>5775</v>
      </c>
    </row>
    <row r="119" spans="1:8" x14ac:dyDescent="0.25">
      <c r="A119" s="368" t="s">
        <v>345</v>
      </c>
      <c r="B119" s="15" t="s">
        <v>5856</v>
      </c>
      <c r="C119" s="15" t="s">
        <v>5857</v>
      </c>
      <c r="D119" s="15" t="s">
        <v>737</v>
      </c>
      <c r="E119" s="72">
        <v>30.690208206496798</v>
      </c>
      <c r="F119" s="72">
        <v>14.285570000000003</v>
      </c>
      <c r="G119" s="93">
        <v>16.404638206496795</v>
      </c>
      <c r="H119" s="15" t="s">
        <v>5775</v>
      </c>
    </row>
    <row r="120" spans="1:8" x14ac:dyDescent="0.25">
      <c r="A120" s="368" t="s">
        <v>345</v>
      </c>
      <c r="B120" s="15" t="s">
        <v>5858</v>
      </c>
      <c r="C120" s="15" t="s">
        <v>5859</v>
      </c>
      <c r="D120" s="15" t="s">
        <v>1008</v>
      </c>
      <c r="E120" s="72">
        <v>5.9432091264000002</v>
      </c>
      <c r="F120" s="72">
        <v>0</v>
      </c>
      <c r="G120" s="93">
        <v>5.9432091264000002</v>
      </c>
      <c r="H120" s="15" t="s">
        <v>5775</v>
      </c>
    </row>
    <row r="121" spans="1:8" x14ac:dyDescent="0.25">
      <c r="A121" s="368" t="s">
        <v>345</v>
      </c>
      <c r="B121" s="15" t="s">
        <v>300</v>
      </c>
      <c r="C121" s="15" t="s">
        <v>5860</v>
      </c>
      <c r="D121" s="15" t="s">
        <v>810</v>
      </c>
      <c r="E121" s="72">
        <v>29.509487313950245</v>
      </c>
      <c r="F121" s="72">
        <v>14.00733</v>
      </c>
      <c r="G121" s="93">
        <v>15.502157313950246</v>
      </c>
      <c r="H121" s="15" t="s">
        <v>5775</v>
      </c>
    </row>
    <row r="122" spans="1:8" x14ac:dyDescent="0.25">
      <c r="A122" s="368" t="s">
        <v>345</v>
      </c>
      <c r="B122" s="15" t="s">
        <v>5791</v>
      </c>
      <c r="C122" s="15" t="s">
        <v>2633</v>
      </c>
      <c r="D122" s="15" t="s">
        <v>799</v>
      </c>
      <c r="E122" s="72">
        <v>21.629497499999999</v>
      </c>
      <c r="F122" s="72">
        <v>0</v>
      </c>
      <c r="G122" s="93">
        <v>21.629497499999999</v>
      </c>
      <c r="H122" s="15" t="s">
        <v>5775</v>
      </c>
    </row>
    <row r="123" spans="1:8" x14ac:dyDescent="0.25">
      <c r="A123" s="368" t="s">
        <v>345</v>
      </c>
      <c r="B123" s="15" t="s">
        <v>5861</v>
      </c>
      <c r="C123" s="15" t="s">
        <v>5862</v>
      </c>
      <c r="D123" s="15" t="s">
        <v>1043</v>
      </c>
      <c r="E123" s="72">
        <v>7.7545951191999993</v>
      </c>
      <c r="F123" s="72">
        <v>2.4569999999999999</v>
      </c>
      <c r="G123" s="93">
        <v>5.2975951191999995</v>
      </c>
      <c r="H123" s="15" t="s">
        <v>5775</v>
      </c>
    </row>
    <row r="124" spans="1:8" x14ac:dyDescent="0.25">
      <c r="A124" s="368" t="s">
        <v>345</v>
      </c>
      <c r="B124" s="15" t="s">
        <v>5771</v>
      </c>
      <c r="C124" s="15" t="s">
        <v>5863</v>
      </c>
      <c r="D124" s="15" t="s">
        <v>1045</v>
      </c>
      <c r="E124" s="72">
        <v>14.296949953499999</v>
      </c>
      <c r="F124" s="72">
        <v>6.3250000000000002</v>
      </c>
      <c r="G124" s="93">
        <v>7.9719499534999985</v>
      </c>
      <c r="H124" s="15" t="s">
        <v>5775</v>
      </c>
    </row>
    <row r="125" spans="1:8" x14ac:dyDescent="0.25">
      <c r="A125" s="368" t="s">
        <v>345</v>
      </c>
      <c r="B125" s="15" t="s">
        <v>5813</v>
      </c>
      <c r="C125" s="15" t="s">
        <v>5864</v>
      </c>
      <c r="D125" s="15" t="s">
        <v>860</v>
      </c>
      <c r="E125" s="72">
        <v>48.531268206000007</v>
      </c>
      <c r="F125" s="72">
        <v>30.642556999999996</v>
      </c>
      <c r="G125" s="93">
        <v>17.888711206000011</v>
      </c>
      <c r="H125" s="15" t="s">
        <v>5775</v>
      </c>
    </row>
    <row r="126" spans="1:8" x14ac:dyDescent="0.25">
      <c r="A126" s="368" t="s">
        <v>345</v>
      </c>
      <c r="B126" s="15" t="s">
        <v>5865</v>
      </c>
      <c r="C126" s="15" t="s">
        <v>5866</v>
      </c>
      <c r="D126" s="15" t="s">
        <v>886</v>
      </c>
      <c r="E126" s="72">
        <v>45.544221586578004</v>
      </c>
      <c r="F126" s="72">
        <v>37.702593</v>
      </c>
      <c r="G126" s="93">
        <v>7.841628586578004</v>
      </c>
      <c r="H126" s="15" t="s">
        <v>5775</v>
      </c>
    </row>
    <row r="127" spans="1:8" x14ac:dyDescent="0.25">
      <c r="A127" s="368" t="s">
        <v>345</v>
      </c>
      <c r="B127" s="15" t="s">
        <v>5817</v>
      </c>
      <c r="C127" s="15" t="s">
        <v>5867</v>
      </c>
      <c r="D127" s="15" t="s">
        <v>654</v>
      </c>
      <c r="E127" s="72">
        <v>10.650866817024003</v>
      </c>
      <c r="F127" s="72">
        <v>1.88121</v>
      </c>
      <c r="G127" s="93">
        <v>8.7696568170240035</v>
      </c>
      <c r="H127" s="15" t="s">
        <v>5808</v>
      </c>
    </row>
    <row r="128" spans="1:8" x14ac:dyDescent="0.25">
      <c r="A128" s="368" t="s">
        <v>345</v>
      </c>
      <c r="B128" s="15" t="s">
        <v>5868</v>
      </c>
      <c r="C128" s="15" t="s">
        <v>5816</v>
      </c>
      <c r="D128" s="15" t="s">
        <v>586</v>
      </c>
      <c r="E128" s="72">
        <v>54.720109547200011</v>
      </c>
      <c r="F128" s="72">
        <v>38.300704999999994</v>
      </c>
      <c r="G128" s="93">
        <v>16.419404547200017</v>
      </c>
      <c r="H128" s="15" t="s">
        <v>5775</v>
      </c>
    </row>
    <row r="129" spans="1:8" x14ac:dyDescent="0.25">
      <c r="A129" s="368" t="s">
        <v>345</v>
      </c>
      <c r="B129" s="15" t="s">
        <v>5803</v>
      </c>
      <c r="C129" s="15" t="s">
        <v>5869</v>
      </c>
      <c r="D129" s="15" t="s">
        <v>712</v>
      </c>
      <c r="E129" s="72">
        <v>11.039697794789124</v>
      </c>
      <c r="F129" s="72">
        <v>5.6496320000000004</v>
      </c>
      <c r="G129" s="93">
        <v>5.3900657947891233</v>
      </c>
      <c r="H129" s="15" t="s">
        <v>5767</v>
      </c>
    </row>
    <row r="130" spans="1:8" x14ac:dyDescent="0.25">
      <c r="A130" s="368" t="s">
        <v>345</v>
      </c>
      <c r="B130" s="15" t="s">
        <v>5870</v>
      </c>
      <c r="C130" s="15" t="s">
        <v>5781</v>
      </c>
      <c r="D130" s="15" t="s">
        <v>926</v>
      </c>
      <c r="E130" s="72">
        <v>38.256043303066122</v>
      </c>
      <c r="F130" s="72">
        <v>13.379375999999999</v>
      </c>
      <c r="G130" s="93">
        <v>24.876667303066121</v>
      </c>
      <c r="H130" s="15" t="s">
        <v>5775</v>
      </c>
    </row>
    <row r="131" spans="1:8" x14ac:dyDescent="0.25">
      <c r="G131" s="43">
        <f>SUM(G84:G130)</f>
        <v>401.19598851877561</v>
      </c>
    </row>
    <row r="133" spans="1:8" x14ac:dyDescent="0.25">
      <c r="A133" s="364" t="s">
        <v>5788</v>
      </c>
      <c r="B133" s="364" t="s">
        <v>5871</v>
      </c>
      <c r="C133" s="364" t="s">
        <v>5872</v>
      </c>
      <c r="D133" s="364" t="s">
        <v>5873</v>
      </c>
    </row>
    <row r="134" spans="1:8" x14ac:dyDescent="0.25">
      <c r="A134" s="103" t="s">
        <v>5765</v>
      </c>
      <c r="B134" s="103">
        <v>43</v>
      </c>
      <c r="C134" s="103">
        <v>206</v>
      </c>
      <c r="D134" s="372">
        <f>SUMIFS(Table23[Scehdule - Sales],Table23[Remarks],A134)</f>
        <v>12.778525789474994</v>
      </c>
    </row>
    <row r="135" spans="1:8" x14ac:dyDescent="0.25">
      <c r="A135" s="103" t="s">
        <v>5775</v>
      </c>
      <c r="B135" s="103">
        <v>26</v>
      </c>
      <c r="C135" s="103">
        <v>60</v>
      </c>
      <c r="D135" s="372">
        <f>SUMIFS(Table23[Scehdule - Sales],Table23[Remarks],A135)</f>
        <v>307.25851702361751</v>
      </c>
    </row>
    <row r="136" spans="1:8" x14ac:dyDescent="0.25">
      <c r="A136" s="365" t="s">
        <v>5770</v>
      </c>
      <c r="B136" s="103">
        <v>70</v>
      </c>
      <c r="C136" s="103">
        <v>40</v>
      </c>
      <c r="D136" s="372">
        <f>SUMIFS(Table23[Scehdule - Sales],Table23[Remarks],A136)</f>
        <v>14.861270694562499</v>
      </c>
    </row>
    <row r="137" spans="1:8" x14ac:dyDescent="0.25">
      <c r="A137" s="365" t="s">
        <v>5782</v>
      </c>
      <c r="B137" s="103">
        <v>43</v>
      </c>
      <c r="C137" s="103">
        <v>39</v>
      </c>
      <c r="D137" s="372">
        <f>SUMIFS(Table23[Scehdule - Sales],Table23[Remarks],A137)</f>
        <v>0</v>
      </c>
    </row>
    <row r="138" spans="1:8" x14ac:dyDescent="0.25">
      <c r="A138" s="103" t="s">
        <v>5767</v>
      </c>
      <c r="B138" s="103">
        <v>20</v>
      </c>
      <c r="C138" s="103">
        <v>29</v>
      </c>
      <c r="D138" s="372">
        <f>SUMIFS(Table23[Scehdule - Sales],Table23[Remarks],A138)</f>
        <v>47.944139595509128</v>
      </c>
    </row>
    <row r="139" spans="1:8" x14ac:dyDescent="0.25">
      <c r="A139" s="103" t="s">
        <v>5785</v>
      </c>
      <c r="B139" s="103">
        <v>16</v>
      </c>
      <c r="C139" s="103">
        <v>17</v>
      </c>
      <c r="D139" s="372">
        <f>SUMIFS(Table23[Scehdule - Sales],Table23[Remarks],A139)</f>
        <v>1.8864003762500019</v>
      </c>
    </row>
    <row r="140" spans="1:8" x14ac:dyDescent="0.25">
      <c r="A140" s="103" t="s">
        <v>5787</v>
      </c>
      <c r="B140" s="103">
        <v>50</v>
      </c>
      <c r="C140" s="103">
        <v>0</v>
      </c>
      <c r="D140" s="372">
        <f>SUMIFS(Table23[Scehdule - Sales],Table23[Remarks],A140)</f>
        <v>0</v>
      </c>
    </row>
    <row r="141" spans="1:8" x14ac:dyDescent="0.25">
      <c r="A141" s="365" t="s">
        <v>5808</v>
      </c>
      <c r="B141" s="103">
        <v>0</v>
      </c>
      <c r="C141" s="103">
        <v>11</v>
      </c>
      <c r="D141" s="372">
        <f>SUMIFS(Table23[Scehdule - Sales],Table23[Remarks],A141)</f>
        <v>16.467135039361509</v>
      </c>
    </row>
    <row r="142" spans="1:8" x14ac:dyDescent="0.25">
      <c r="A142" s="366"/>
      <c r="B142" s="373">
        <v>268</v>
      </c>
      <c r="C142" s="374">
        <v>402</v>
      </c>
      <c r="D142" s="375">
        <f>SUM(D134:D141)</f>
        <v>401.19598851877561</v>
      </c>
    </row>
    <row r="161" spans="1:7" ht="45" x14ac:dyDescent="0.25">
      <c r="A161" s="528" t="s">
        <v>258</v>
      </c>
      <c r="B161" s="528" t="s">
        <v>2416</v>
      </c>
      <c r="C161" s="528" t="s">
        <v>2418</v>
      </c>
      <c r="D161" s="528" t="s">
        <v>5874</v>
      </c>
      <c r="E161" s="528" t="s">
        <v>5875</v>
      </c>
      <c r="F161" s="528" t="s">
        <v>5876</v>
      </c>
      <c r="G161" s="528" t="s">
        <v>1807</v>
      </c>
    </row>
    <row r="162" spans="1:7" ht="195" x14ac:dyDescent="0.25">
      <c r="A162" s="66" t="s">
        <v>5877</v>
      </c>
      <c r="B162" s="66" t="s">
        <v>5878</v>
      </c>
      <c r="C162" t="s">
        <v>416</v>
      </c>
      <c r="D162">
        <v>17.79</v>
      </c>
      <c r="E162">
        <v>3.28</v>
      </c>
      <c r="F162">
        <v>14.51</v>
      </c>
      <c r="G162" s="48" t="s">
        <v>5775</v>
      </c>
    </row>
    <row r="163" spans="1:7" ht="60" x14ac:dyDescent="0.25">
      <c r="A163" s="66" t="s">
        <v>5879</v>
      </c>
      <c r="B163" s="66" t="s">
        <v>5880</v>
      </c>
      <c r="C163" t="s">
        <v>537</v>
      </c>
      <c r="D163">
        <v>5.33</v>
      </c>
      <c r="E163">
        <v>1.74</v>
      </c>
      <c r="F163">
        <v>3.59</v>
      </c>
      <c r="G163" s="103" t="s">
        <v>5765</v>
      </c>
    </row>
    <row r="164" spans="1:7" ht="165" x14ac:dyDescent="0.25">
      <c r="A164" s="66" t="s">
        <v>5881</v>
      </c>
      <c r="B164" s="66" t="s">
        <v>5882</v>
      </c>
      <c r="C164" t="s">
        <v>471</v>
      </c>
      <c r="D164">
        <v>23.1</v>
      </c>
      <c r="E164">
        <v>17.059999999999999</v>
      </c>
      <c r="F164">
        <v>6.0400000000000027</v>
      </c>
      <c r="G164" s="48" t="s">
        <v>5775</v>
      </c>
    </row>
    <row r="165" spans="1:7" ht="180" x14ac:dyDescent="0.25">
      <c r="A165" s="66" t="s">
        <v>5883</v>
      </c>
      <c r="B165" s="66" t="s">
        <v>5884</v>
      </c>
      <c r="C165" t="s">
        <v>604</v>
      </c>
      <c r="D165">
        <v>29.629999999999995</v>
      </c>
      <c r="E165">
        <v>7.62</v>
      </c>
      <c r="F165">
        <v>22.009999999999994</v>
      </c>
      <c r="G165" s="103" t="s">
        <v>5765</v>
      </c>
    </row>
    <row r="166" spans="1:7" ht="300" x14ac:dyDescent="0.25">
      <c r="A166" s="66" t="s">
        <v>5885</v>
      </c>
      <c r="B166" s="66" t="s">
        <v>5846</v>
      </c>
      <c r="C166" t="s">
        <v>412</v>
      </c>
      <c r="D166">
        <v>52.56</v>
      </c>
      <c r="E166">
        <v>12.61</v>
      </c>
      <c r="F166">
        <v>39.950000000000003</v>
      </c>
      <c r="G166" s="48" t="s">
        <v>5775</v>
      </c>
    </row>
    <row r="167" spans="1:7" ht="45" x14ac:dyDescent="0.25">
      <c r="A167" s="66" t="s">
        <v>5819</v>
      </c>
      <c r="B167" s="66" t="s">
        <v>5886</v>
      </c>
      <c r="C167" t="s">
        <v>562</v>
      </c>
      <c r="D167">
        <v>10.320000000000002</v>
      </c>
      <c r="E167">
        <v>0.57999999999999996</v>
      </c>
      <c r="F167">
        <v>9.740000000000002</v>
      </c>
      <c r="G167" s="103" t="s">
        <v>5765</v>
      </c>
    </row>
    <row r="168" spans="1:7" ht="135" x14ac:dyDescent="0.25">
      <c r="A168" s="66" t="s">
        <v>5887</v>
      </c>
      <c r="B168" s="66" t="s">
        <v>5849</v>
      </c>
      <c r="C168" t="s">
        <v>633</v>
      </c>
      <c r="D168">
        <v>57.8</v>
      </c>
      <c r="E168">
        <v>5.99</v>
      </c>
      <c r="F168">
        <v>51.809999999999995</v>
      </c>
      <c r="G168" s="103" t="s">
        <v>5765</v>
      </c>
    </row>
    <row r="169" spans="1:7" ht="45" x14ac:dyDescent="0.25">
      <c r="A169" s="66" t="s">
        <v>5888</v>
      </c>
      <c r="B169" s="66" t="s">
        <v>5889</v>
      </c>
      <c r="C169" t="s">
        <v>770</v>
      </c>
      <c r="D169">
        <v>23.41</v>
      </c>
      <c r="E169">
        <v>3.16</v>
      </c>
      <c r="F169">
        <v>20.25</v>
      </c>
      <c r="G169" s="103" t="s">
        <v>5765</v>
      </c>
    </row>
    <row r="170" spans="1:7" ht="120" x14ac:dyDescent="0.25">
      <c r="A170" s="66" t="s">
        <v>5890</v>
      </c>
      <c r="B170" s="66" t="s">
        <v>5891</v>
      </c>
      <c r="C170" t="s">
        <v>748</v>
      </c>
      <c r="D170">
        <v>26.73</v>
      </c>
      <c r="E170">
        <v>2.38</v>
      </c>
      <c r="F170">
        <v>24.35</v>
      </c>
      <c r="G170" s="48" t="s">
        <v>5775</v>
      </c>
    </row>
    <row r="171" spans="1:7" ht="60" x14ac:dyDescent="0.25">
      <c r="A171" s="66" t="s">
        <v>5892</v>
      </c>
      <c r="B171" s="66" t="s">
        <v>5893</v>
      </c>
      <c r="C171" t="s">
        <v>785</v>
      </c>
      <c r="D171">
        <v>18.950000000000003</v>
      </c>
      <c r="E171">
        <v>3.3</v>
      </c>
      <c r="F171">
        <v>15.650000000000002</v>
      </c>
      <c r="G171" s="48" t="s">
        <v>5775</v>
      </c>
    </row>
    <row r="172" spans="1:7" ht="60" x14ac:dyDescent="0.25">
      <c r="A172" s="66" t="s">
        <v>5894</v>
      </c>
      <c r="B172" s="66" t="s">
        <v>5895</v>
      </c>
      <c r="C172" t="s">
        <v>468</v>
      </c>
      <c r="D172">
        <v>8.4200000000000017</v>
      </c>
      <c r="E172">
        <v>1.73</v>
      </c>
      <c r="F172">
        <v>6.6900000000000013</v>
      </c>
      <c r="G172" s="48" t="s">
        <v>5775</v>
      </c>
    </row>
    <row r="173" spans="1:7" ht="75" x14ac:dyDescent="0.25">
      <c r="A173" s="66" t="s">
        <v>5896</v>
      </c>
      <c r="B173" s="66" t="s">
        <v>5897</v>
      </c>
      <c r="C173" t="s">
        <v>737</v>
      </c>
      <c r="D173">
        <v>16.190000000000001</v>
      </c>
      <c r="E173">
        <v>6.44</v>
      </c>
      <c r="F173">
        <v>9.75</v>
      </c>
      <c r="G173" s="103" t="s">
        <v>5765</v>
      </c>
    </row>
    <row r="174" spans="1:7" x14ac:dyDescent="0.25">
      <c r="A174" s="66" t="s">
        <v>300</v>
      </c>
      <c r="B174" s="66" t="s">
        <v>5860</v>
      </c>
      <c r="C174" t="s">
        <v>810</v>
      </c>
      <c r="D174">
        <v>7.7299999999999995</v>
      </c>
      <c r="E174">
        <v>3.26</v>
      </c>
      <c r="F174">
        <v>4.47</v>
      </c>
      <c r="G174" s="48" t="s">
        <v>5775</v>
      </c>
    </row>
    <row r="175" spans="1:7" ht="30" x14ac:dyDescent="0.25">
      <c r="A175" s="66" t="s">
        <v>284</v>
      </c>
      <c r="B175" s="66" t="s">
        <v>5898</v>
      </c>
      <c r="C175" t="s">
        <v>664</v>
      </c>
      <c r="D175">
        <v>4.3100000000000005</v>
      </c>
      <c r="E175">
        <v>1.1299999999999999</v>
      </c>
      <c r="F175">
        <v>3.1800000000000006</v>
      </c>
      <c r="G175" s="48" t="s">
        <v>5775</v>
      </c>
    </row>
    <row r="176" spans="1:7" ht="45" x14ac:dyDescent="0.25">
      <c r="A176" s="66" t="s">
        <v>5858</v>
      </c>
      <c r="B176" s="66" t="s">
        <v>5859</v>
      </c>
      <c r="C176" t="s">
        <v>1008</v>
      </c>
      <c r="D176">
        <v>5.29</v>
      </c>
      <c r="E176">
        <v>0.46</v>
      </c>
      <c r="F176">
        <v>4.83</v>
      </c>
      <c r="G176" s="103" t="s">
        <v>5765</v>
      </c>
    </row>
    <row r="177" spans="1:7" x14ac:dyDescent="0.25">
      <c r="A177" s="66" t="s">
        <v>287</v>
      </c>
      <c r="B177" s="66" t="s">
        <v>5899</v>
      </c>
      <c r="C177" t="s">
        <v>673</v>
      </c>
      <c r="D177">
        <v>7.120000000000001</v>
      </c>
      <c r="E177">
        <v>6.4</v>
      </c>
      <c r="F177">
        <v>0.72000000000000064</v>
      </c>
      <c r="G177" s="103" t="s">
        <v>5765</v>
      </c>
    </row>
    <row r="178" spans="1:7" ht="45" x14ac:dyDescent="0.25">
      <c r="A178" s="66" t="s">
        <v>5861</v>
      </c>
      <c r="B178" s="66" t="s">
        <v>5862</v>
      </c>
      <c r="C178" t="s">
        <v>1043</v>
      </c>
      <c r="D178">
        <v>4.49</v>
      </c>
      <c r="E178">
        <v>0</v>
      </c>
      <c r="F178">
        <v>4.49</v>
      </c>
      <c r="G178" s="48" t="s">
        <v>5775</v>
      </c>
    </row>
    <row r="179" spans="1:7" ht="60" x14ac:dyDescent="0.25">
      <c r="A179" s="66" t="s">
        <v>5771</v>
      </c>
      <c r="B179" s="66" t="s">
        <v>5900</v>
      </c>
      <c r="C179" t="s">
        <v>1045</v>
      </c>
      <c r="D179">
        <v>10.08</v>
      </c>
      <c r="E179">
        <v>6.81</v>
      </c>
      <c r="F179">
        <v>3.2700000000000005</v>
      </c>
      <c r="G179" s="48" t="s">
        <v>5775</v>
      </c>
    </row>
    <row r="180" spans="1:7" ht="120" x14ac:dyDescent="0.25">
      <c r="A180" s="66" t="s">
        <v>5813</v>
      </c>
      <c r="B180" s="66" t="s">
        <v>5864</v>
      </c>
      <c r="C180" t="s">
        <v>860</v>
      </c>
      <c r="D180">
        <v>63.540000000000006</v>
      </c>
      <c r="E180">
        <v>22.71</v>
      </c>
      <c r="F180">
        <v>40.830000000000005</v>
      </c>
      <c r="G180" s="103" t="s">
        <v>5765</v>
      </c>
    </row>
    <row r="181" spans="1:7" ht="105" x14ac:dyDescent="0.25">
      <c r="A181" s="66" t="s">
        <v>5901</v>
      </c>
      <c r="B181" s="66" t="s">
        <v>5774</v>
      </c>
      <c r="C181" t="s">
        <v>428</v>
      </c>
      <c r="D181">
        <v>98.200000000000017</v>
      </c>
      <c r="E181">
        <v>67.08</v>
      </c>
      <c r="F181">
        <v>31.120000000000019</v>
      </c>
      <c r="G181" s="48" t="s">
        <v>5775</v>
      </c>
    </row>
    <row r="182" spans="1:7" x14ac:dyDescent="0.25">
      <c r="A182" s="66" t="s">
        <v>300</v>
      </c>
      <c r="B182" s="66" t="s">
        <v>5902</v>
      </c>
      <c r="C182" t="s">
        <v>1823</v>
      </c>
      <c r="D182">
        <v>8.7199999999999989</v>
      </c>
      <c r="E182">
        <v>8.14</v>
      </c>
      <c r="F182">
        <v>0.57999999999999829</v>
      </c>
      <c r="G182" s="48" t="s">
        <v>5775</v>
      </c>
    </row>
    <row r="183" spans="1:7" ht="30" x14ac:dyDescent="0.25">
      <c r="A183" s="66" t="s">
        <v>5865</v>
      </c>
      <c r="B183" s="66" t="s">
        <v>5866</v>
      </c>
      <c r="C183" t="s">
        <v>886</v>
      </c>
      <c r="D183">
        <v>26.01</v>
      </c>
      <c r="E183">
        <v>4.0199999999999996</v>
      </c>
      <c r="F183">
        <v>21.990000000000002</v>
      </c>
      <c r="G183" s="48" t="s">
        <v>5775</v>
      </c>
    </row>
    <row r="184" spans="1:7" ht="60" x14ac:dyDescent="0.25">
      <c r="A184" s="66" t="s">
        <v>5868</v>
      </c>
      <c r="B184" s="66" t="s">
        <v>5816</v>
      </c>
      <c r="C184" t="s">
        <v>586</v>
      </c>
      <c r="D184">
        <v>32.960000000000008</v>
      </c>
      <c r="E184">
        <v>29.15</v>
      </c>
      <c r="F184">
        <v>3.8100000000000094</v>
      </c>
      <c r="G184" s="48" t="s">
        <v>5775</v>
      </c>
    </row>
    <row r="185" spans="1:7" ht="30" x14ac:dyDescent="0.25">
      <c r="A185" s="66" t="s">
        <v>5803</v>
      </c>
      <c r="B185" s="66" t="s">
        <v>5869</v>
      </c>
      <c r="C185" t="s">
        <v>712</v>
      </c>
      <c r="D185">
        <v>5.8</v>
      </c>
      <c r="E185">
        <v>1.76</v>
      </c>
      <c r="F185">
        <v>4.04</v>
      </c>
      <c r="G185" s="48" t="s">
        <v>5775</v>
      </c>
    </row>
    <row r="186" spans="1:7" ht="45" x14ac:dyDescent="0.25">
      <c r="A186" s="66" t="s">
        <v>5903</v>
      </c>
      <c r="B186" s="66" t="s">
        <v>5904</v>
      </c>
      <c r="C186" t="s">
        <v>474</v>
      </c>
      <c r="D186">
        <v>53.97999999999999</v>
      </c>
      <c r="E186">
        <v>31.79</v>
      </c>
      <c r="F186">
        <v>22.189999999999991</v>
      </c>
      <c r="G186" s="48" t="s">
        <v>5775</v>
      </c>
    </row>
    <row r="187" spans="1:7" ht="30" x14ac:dyDescent="0.25">
      <c r="A187" s="66" t="s">
        <v>954</v>
      </c>
      <c r="B187" s="66" t="s">
        <v>5905</v>
      </c>
      <c r="C187" t="s">
        <v>841</v>
      </c>
      <c r="D187">
        <v>25.09</v>
      </c>
      <c r="E187">
        <v>9.0500000000000007</v>
      </c>
      <c r="F187">
        <v>16.04</v>
      </c>
      <c r="G187" s="48" t="s">
        <v>5775</v>
      </c>
    </row>
    <row r="188" spans="1:7" ht="30" x14ac:dyDescent="0.25">
      <c r="A188" s="66" t="s">
        <v>5906</v>
      </c>
      <c r="B188" s="66" t="s">
        <v>5907</v>
      </c>
      <c r="C188" t="s">
        <v>909</v>
      </c>
      <c r="D188">
        <v>14.56</v>
      </c>
      <c r="E188">
        <v>14.45</v>
      </c>
      <c r="F188">
        <v>0.11000000000000121</v>
      </c>
      <c r="G188" s="48" t="s">
        <v>5775</v>
      </c>
    </row>
    <row r="189" spans="1:7" ht="30" x14ac:dyDescent="0.25">
      <c r="A189" s="66" t="s">
        <v>5908</v>
      </c>
      <c r="B189" s="66" t="s">
        <v>5909</v>
      </c>
      <c r="C189" t="s">
        <v>568</v>
      </c>
      <c r="D189">
        <v>13.790000000000001</v>
      </c>
      <c r="E189">
        <v>0.1</v>
      </c>
      <c r="F189">
        <v>13.690000000000001</v>
      </c>
      <c r="G189" s="48" t="s">
        <v>5775</v>
      </c>
    </row>
    <row r="190" spans="1:7" ht="75" x14ac:dyDescent="0.25">
      <c r="A190" s="66" t="s">
        <v>5910</v>
      </c>
      <c r="B190" s="66" t="s">
        <v>5764</v>
      </c>
      <c r="C190" s="66" t="s">
        <v>590</v>
      </c>
      <c r="D190">
        <v>10.34</v>
      </c>
      <c r="E190">
        <v>4.0599999999999996</v>
      </c>
      <c r="F190">
        <v>6.28</v>
      </c>
      <c r="G190" s="48" t="s">
        <v>5775</v>
      </c>
    </row>
    <row r="191" spans="1:7" ht="45" x14ac:dyDescent="0.25">
      <c r="A191" s="66" t="s">
        <v>5766</v>
      </c>
      <c r="B191" s="66" t="s">
        <v>2633</v>
      </c>
      <c r="C191" s="66" t="s">
        <v>995</v>
      </c>
      <c r="D191">
        <v>8</v>
      </c>
      <c r="E191">
        <v>0</v>
      </c>
      <c r="F191">
        <v>8</v>
      </c>
      <c r="G191" s="48" t="s">
        <v>5775</v>
      </c>
    </row>
    <row r="192" spans="1:7" ht="45" x14ac:dyDescent="0.25">
      <c r="A192" s="66" t="s">
        <v>71</v>
      </c>
      <c r="B192" s="66" t="s">
        <v>5805</v>
      </c>
      <c r="C192" s="66" t="s">
        <v>404</v>
      </c>
      <c r="D192">
        <v>23.53</v>
      </c>
      <c r="E192">
        <v>14.91</v>
      </c>
      <c r="F192">
        <v>8.620000000000001</v>
      </c>
      <c r="G192" s="48" t="s">
        <v>5775</v>
      </c>
    </row>
    <row r="193" spans="1:7" ht="60" x14ac:dyDescent="0.25">
      <c r="A193" s="66" t="s">
        <v>5768</v>
      </c>
      <c r="B193" s="66" t="s">
        <v>5769</v>
      </c>
      <c r="C193" s="66" t="s">
        <v>393</v>
      </c>
      <c r="D193">
        <v>29.880000000000003</v>
      </c>
      <c r="E193">
        <v>8.4700000000000006</v>
      </c>
      <c r="F193">
        <v>21.410000000000004</v>
      </c>
      <c r="G193" s="48" t="s">
        <v>5775</v>
      </c>
    </row>
    <row r="194" spans="1:7" ht="60" x14ac:dyDescent="0.25">
      <c r="A194" s="66" t="s">
        <v>5829</v>
      </c>
      <c r="B194" s="66" t="s">
        <v>3653</v>
      </c>
      <c r="C194" s="66" t="s">
        <v>1042</v>
      </c>
      <c r="D194">
        <v>4.78</v>
      </c>
      <c r="E194">
        <v>1.46</v>
      </c>
      <c r="F194">
        <v>3.3200000000000003</v>
      </c>
      <c r="G194" s="48" t="s">
        <v>5775</v>
      </c>
    </row>
    <row r="195" spans="1:7" ht="45" x14ac:dyDescent="0.25">
      <c r="A195" s="66" t="s">
        <v>5911</v>
      </c>
      <c r="B195" s="66" t="s">
        <v>5912</v>
      </c>
      <c r="C195" s="66" t="s">
        <v>920</v>
      </c>
      <c r="D195">
        <v>11.099999999999998</v>
      </c>
      <c r="E195">
        <v>9.85</v>
      </c>
      <c r="F195">
        <v>1.2499999999999982</v>
      </c>
      <c r="G195" s="48" t="s">
        <v>5775</v>
      </c>
    </row>
    <row r="196" spans="1:7" ht="45" x14ac:dyDescent="0.25">
      <c r="A196" s="66" t="s">
        <v>5911</v>
      </c>
      <c r="B196" s="66" t="s">
        <v>5913</v>
      </c>
      <c r="C196" s="66" t="s">
        <v>872</v>
      </c>
      <c r="D196">
        <v>20.76</v>
      </c>
      <c r="E196">
        <v>11.57</v>
      </c>
      <c r="F196">
        <v>9.1900000000000013</v>
      </c>
      <c r="G196" s="48" t="s">
        <v>5775</v>
      </c>
    </row>
    <row r="199" spans="1:7" x14ac:dyDescent="0.25">
      <c r="A199" s="364" t="s">
        <v>5788</v>
      </c>
      <c r="B199" s="364" t="s">
        <v>5871</v>
      </c>
      <c r="C199" s="364" t="s">
        <v>5872</v>
      </c>
      <c r="D199" s="364" t="s">
        <v>5873</v>
      </c>
      <c r="E199" s="364" t="s">
        <v>5914</v>
      </c>
    </row>
    <row r="200" spans="1:7" x14ac:dyDescent="0.25">
      <c r="A200" s="103" t="s">
        <v>5765</v>
      </c>
      <c r="B200" s="103">
        <v>43</v>
      </c>
      <c r="C200" s="103">
        <v>206</v>
      </c>
      <c r="D200" s="372">
        <f>SUMIFS(Table23[Scehdule - Sales],Table23[Remarks],A200)</f>
        <v>12.778525789474994</v>
      </c>
      <c r="E200" s="372">
        <f>SUMIFS(Table33[GAP TSL],Table33[Remark],A200)+SUMIFS(Table34[GAP],Table34[Remark],A200)/1000</f>
        <v>216.54479638686001</v>
      </c>
    </row>
    <row r="201" spans="1:7" x14ac:dyDescent="0.25">
      <c r="A201" s="103" t="s">
        <v>5775</v>
      </c>
      <c r="B201" s="103">
        <v>26</v>
      </c>
      <c r="C201" s="103">
        <v>60</v>
      </c>
      <c r="D201" s="372">
        <f>SUMIFS(Table23[Scehdule - Sales],Table23[Remarks],A201)</f>
        <v>307.25851702361751</v>
      </c>
      <c r="E201" s="372">
        <f>SUMIFS(Table33[GAP TSL],Table33[Remark],A201)+SUMIFS(Table34[GAP],Table34[Remark],A201)/1000</f>
        <v>366.4948473850572</v>
      </c>
    </row>
    <row r="202" spans="1:7" x14ac:dyDescent="0.25">
      <c r="A202" s="365" t="s">
        <v>5770</v>
      </c>
      <c r="B202" s="103">
        <v>70</v>
      </c>
      <c r="C202" s="103">
        <v>40</v>
      </c>
      <c r="D202" s="372">
        <f>SUMIFS(Table23[Scehdule - Sales],Table23[Remarks],A202)</f>
        <v>14.861270694562499</v>
      </c>
      <c r="E202" s="372">
        <f>SUMIFS(Table33[GAP TSL],Table33[Remark],A202)+SUMIFS(Table34[GAP],Table34[Remark],A202)/1000</f>
        <v>0</v>
      </c>
    </row>
    <row r="203" spans="1:7" x14ac:dyDescent="0.25">
      <c r="A203" s="365" t="s">
        <v>5782</v>
      </c>
      <c r="B203" s="103">
        <v>43</v>
      </c>
      <c r="C203" s="103">
        <v>39</v>
      </c>
      <c r="D203" s="372">
        <f>SUMIFS(Table23[Scehdule - Sales],Table23[Remarks],A203)</f>
        <v>0</v>
      </c>
      <c r="E203" s="372">
        <f>SUMIFS(Table33[GAP TSL],Table33[Remark],A203)+SUMIFS(Table34[GAP],Table34[Remark],A203)/1000</f>
        <v>0</v>
      </c>
    </row>
    <row r="204" spans="1:7" x14ac:dyDescent="0.25">
      <c r="A204" s="103" t="s">
        <v>5767</v>
      </c>
      <c r="B204" s="103">
        <v>20</v>
      </c>
      <c r="C204" s="103">
        <v>29</v>
      </c>
      <c r="D204" s="372">
        <f>SUMIFS(Table23[Scehdule - Sales],Table23[Remarks],A204)</f>
        <v>47.944139595509128</v>
      </c>
      <c r="E204" s="372">
        <f>SUMIFS(Table33[GAP TSL],Table33[Remark],A204)+SUMIFS(Table34[GAP],Table34[Remark],A204)/1000</f>
        <v>0</v>
      </c>
    </row>
    <row r="205" spans="1:7" x14ac:dyDescent="0.25">
      <c r="A205" s="103" t="s">
        <v>5785</v>
      </c>
      <c r="B205" s="103">
        <v>16</v>
      </c>
      <c r="C205" s="103">
        <v>17</v>
      </c>
      <c r="D205" s="372">
        <f>SUMIFS(Table23[Scehdule - Sales],Table23[Remarks],A205)</f>
        <v>1.8864003762500019</v>
      </c>
      <c r="E205" s="372">
        <f>SUMIFS(Table33[GAP TSL],Table33[Remark],A205)+SUMIFS(Table34[GAP],Table34[Remark],A205)/1000</f>
        <v>0</v>
      </c>
    </row>
    <row r="206" spans="1:7" x14ac:dyDescent="0.25">
      <c r="A206" s="103" t="s">
        <v>5787</v>
      </c>
      <c r="B206" s="103">
        <v>50</v>
      </c>
      <c r="C206" s="103">
        <v>0</v>
      </c>
      <c r="D206" s="372">
        <f>SUMIFS(Table23[Scehdule - Sales],Table23[Remarks],A206)</f>
        <v>0</v>
      </c>
      <c r="E206" s="372">
        <f>SUMIFS(Table33[GAP TSL],Table33[Remark],A206)+SUMIFS(Table34[GAP],Table34[Remark],A206)/1000</f>
        <v>0</v>
      </c>
    </row>
    <row r="207" spans="1:7" x14ac:dyDescent="0.25">
      <c r="A207" s="365" t="s">
        <v>5808</v>
      </c>
      <c r="B207" s="103">
        <v>0</v>
      </c>
      <c r="C207" s="103">
        <v>11</v>
      </c>
      <c r="D207" s="372">
        <f>SUMIFS(Table23[Scehdule - Sales],Table23[Remarks],A207)</f>
        <v>16.467135039361509</v>
      </c>
      <c r="E207" s="372">
        <f>SUMIFS(Table33[GAP TSL],Table33[Remark],A207)+SUMIFS(Table34[GAP],Table34[Remark],A207)/1000</f>
        <v>0</v>
      </c>
    </row>
    <row r="208" spans="1:7" x14ac:dyDescent="0.25">
      <c r="A208" s="366"/>
      <c r="B208" s="373">
        <v>268</v>
      </c>
      <c r="C208" s="374">
        <v>402</v>
      </c>
      <c r="D208" s="375">
        <f>SUM(D200:D207)</f>
        <v>401.19598851877561</v>
      </c>
      <c r="E208" s="375">
        <f>SUM(E200:E207)</f>
        <v>583.03964377191721</v>
      </c>
    </row>
    <row r="210" spans="1:15" x14ac:dyDescent="0.25">
      <c r="A210" s="535" t="s">
        <v>5915</v>
      </c>
      <c r="B210" s="532" t="s">
        <v>5916</v>
      </c>
      <c r="C210" s="532" t="s">
        <v>2170</v>
      </c>
      <c r="D210" s="532" t="s">
        <v>5917</v>
      </c>
      <c r="E210" s="532" t="s">
        <v>5918</v>
      </c>
      <c r="F210" s="532" t="s">
        <v>199</v>
      </c>
      <c r="G210" s="532" t="s">
        <v>376</v>
      </c>
      <c r="H210" s="532" t="s">
        <v>1846</v>
      </c>
      <c r="I210" s="532" t="s">
        <v>397</v>
      </c>
      <c r="J210" s="533" t="s">
        <v>1829</v>
      </c>
      <c r="K210" s="533" t="s">
        <v>269</v>
      </c>
      <c r="L210" s="532" t="s">
        <v>270</v>
      </c>
      <c r="M210" s="532" t="s">
        <v>5919</v>
      </c>
      <c r="N210" s="532" t="s">
        <v>1806</v>
      </c>
      <c r="O210" s="534" t="s">
        <v>1807</v>
      </c>
    </row>
    <row r="211" spans="1:15" x14ac:dyDescent="0.25">
      <c r="A211" s="536">
        <v>22.2</v>
      </c>
      <c r="B211" s="313">
        <v>1.6</v>
      </c>
      <c r="C211" s="313">
        <v>5.27</v>
      </c>
      <c r="D211" s="313">
        <v>4.609</v>
      </c>
      <c r="E211" s="313" t="s">
        <v>412</v>
      </c>
      <c r="F211" s="313" t="s">
        <v>962</v>
      </c>
      <c r="G211" s="313" t="s">
        <v>5920</v>
      </c>
      <c r="H211" s="313"/>
      <c r="I211" s="313">
        <v>577</v>
      </c>
      <c r="J211" s="313">
        <v>85000</v>
      </c>
      <c r="K211" s="313">
        <v>40000</v>
      </c>
      <c r="L211" s="313">
        <v>2471.6849876015995</v>
      </c>
      <c r="M211" s="313"/>
      <c r="N211" s="313">
        <f>J211-K211-L211</f>
        <v>42528.315012398401</v>
      </c>
      <c r="O211" t="s">
        <v>5775</v>
      </c>
    </row>
    <row r="212" spans="1:15" x14ac:dyDescent="0.25">
      <c r="A212" s="536">
        <v>22.2</v>
      </c>
      <c r="B212" s="313">
        <v>2</v>
      </c>
      <c r="C212" s="313">
        <v>5.4</v>
      </c>
      <c r="D212" s="313">
        <v>5.38</v>
      </c>
      <c r="E212" s="313" t="s">
        <v>562</v>
      </c>
      <c r="F212" s="313" t="s">
        <v>962</v>
      </c>
      <c r="G212" s="313" t="s">
        <v>1003</v>
      </c>
      <c r="H212" s="313" t="s">
        <v>1867</v>
      </c>
      <c r="I212" s="313">
        <v>921</v>
      </c>
      <c r="J212" s="313">
        <v>130000</v>
      </c>
      <c r="K212" s="313">
        <v>82000</v>
      </c>
      <c r="L212" s="313">
        <v>4955.1207656400002</v>
      </c>
      <c r="M212" s="313"/>
      <c r="N212" s="313">
        <f t="shared" ref="N212:N215" si="1">J212-K212-L212</f>
        <v>43044.87923436</v>
      </c>
      <c r="O212" t="s">
        <v>5765</v>
      </c>
    </row>
    <row r="213" spans="1:15" x14ac:dyDescent="0.25">
      <c r="A213" s="536">
        <v>25.4</v>
      </c>
      <c r="B213" s="313">
        <v>2.5</v>
      </c>
      <c r="C213" s="313">
        <v>5.53</v>
      </c>
      <c r="D213" s="313">
        <v>7.8079999999999998</v>
      </c>
      <c r="E213" s="313" t="s">
        <v>810</v>
      </c>
      <c r="F213" s="313" t="s">
        <v>962</v>
      </c>
      <c r="G213" s="313" t="s">
        <v>1003</v>
      </c>
      <c r="H213" s="313"/>
      <c r="I213" s="313">
        <v>0</v>
      </c>
      <c r="J213" s="313">
        <v>50000</v>
      </c>
      <c r="K213" s="313">
        <v>35000</v>
      </c>
      <c r="L213" s="313">
        <v>0</v>
      </c>
      <c r="M213" s="313"/>
      <c r="N213" s="313">
        <f t="shared" si="1"/>
        <v>15000</v>
      </c>
      <c r="O213" t="s">
        <v>5775</v>
      </c>
    </row>
    <row r="214" spans="1:15" x14ac:dyDescent="0.25">
      <c r="A214" s="536">
        <v>31.75</v>
      </c>
      <c r="B214" s="313">
        <v>2.2999999999999998</v>
      </c>
      <c r="C214" s="313">
        <v>5.92</v>
      </c>
      <c r="D214" s="313">
        <v>10.023</v>
      </c>
      <c r="E214" s="313" t="s">
        <v>1029</v>
      </c>
      <c r="F214" s="313" t="s">
        <v>962</v>
      </c>
      <c r="G214" s="313" t="s">
        <v>1003</v>
      </c>
      <c r="H214" s="313"/>
      <c r="I214" s="313">
        <v>149</v>
      </c>
      <c r="J214" s="313">
        <v>20000</v>
      </c>
      <c r="K214" s="313">
        <v>3800</v>
      </c>
      <c r="L214" s="313">
        <v>1473.4676273412001</v>
      </c>
      <c r="M214" s="313">
        <v>1473.461</v>
      </c>
      <c r="N214" s="313">
        <f t="shared" si="1"/>
        <v>14726.532372658799</v>
      </c>
      <c r="O214" t="s">
        <v>5775</v>
      </c>
    </row>
    <row r="215" spans="1:15" x14ac:dyDescent="0.25">
      <c r="A215" s="536">
        <v>38.1</v>
      </c>
      <c r="B215" s="313">
        <v>2</v>
      </c>
      <c r="C215" s="313">
        <v>5.65</v>
      </c>
      <c r="D215" s="313">
        <v>10.06</v>
      </c>
      <c r="E215" s="313" t="s">
        <v>860</v>
      </c>
      <c r="F215" s="313" t="s">
        <v>962</v>
      </c>
      <c r="G215" s="313" t="s">
        <v>1003</v>
      </c>
      <c r="H215" s="313"/>
      <c r="I215" s="313">
        <v>500</v>
      </c>
      <c r="J215" s="313">
        <v>30000</v>
      </c>
      <c r="K215" s="313">
        <v>15000</v>
      </c>
      <c r="L215" s="313">
        <v>5030.0828475000008</v>
      </c>
      <c r="M215" s="313">
        <v>2141.1999999999998</v>
      </c>
      <c r="N215" s="313">
        <f t="shared" si="1"/>
        <v>9969.9171524999983</v>
      </c>
      <c r="O215" t="s">
        <v>5765</v>
      </c>
    </row>
  </sheetData>
  <conditionalFormatting sqref="E211">
    <cfRule type="duplicateValues" dxfId="67" priority="4"/>
  </conditionalFormatting>
  <conditionalFormatting sqref="E212">
    <cfRule type="duplicateValues" dxfId="66" priority="3"/>
  </conditionalFormatting>
  <conditionalFormatting sqref="E214">
    <cfRule type="duplicateValues" dxfId="65" priority="2"/>
  </conditionalFormatting>
  <conditionalFormatting sqref="E215">
    <cfRule type="duplicateValues" dxfId="64" priority="1"/>
  </conditionalFormatting>
  <conditionalFormatting sqref="F2:F11">
    <cfRule type="dataBar" priority="7">
      <dataBar>
        <cfvo type="min"/>
        <cfvo type="max"/>
        <color rgb="FF638EC6"/>
      </dataBar>
      <extLst>
        <ext xmlns:x14="http://schemas.microsoft.com/office/spreadsheetml/2009/9/main" uri="{B025F937-C7B1-47D3-B67F-A62EFF666E3E}">
          <x14:id>{AD27E988-8B97-4461-9041-617EDAE953AB}</x14:id>
        </ext>
      </extLst>
    </cfRule>
  </conditionalFormatting>
  <dataValidations disablePrompts="1" count="2">
    <dataValidation type="list" allowBlank="1" showInputMessage="1" showErrorMessage="1" sqref="H84:H90 J83:J88 H92:H130" xr:uid="{D2F87A01-BDB6-4B03-8186-16BDDBBFAD5A}">
      <formula1>$J$83:$J$89</formula1>
    </dataValidation>
    <dataValidation type="list" allowBlank="1" showInputMessage="1" showErrorMessage="1" sqref="H91" xr:uid="{CAFAAFA4-6A5E-4C51-BDD4-7B2551524ED8}">
      <formula1>$J$83:$J$91</formula1>
    </dataValidation>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AD27E988-8B97-4461-9041-617EDAE953AB}">
            <x14:dataBar minLength="0" maxLength="100" border="1" negativeBarBorderColorSameAsPositive="0">
              <x14:cfvo type="autoMin"/>
              <x14:cfvo type="autoMax"/>
              <x14:borderColor rgb="FF638EC6"/>
              <x14:negativeFillColor rgb="FFFF0000"/>
              <x14:negativeBorderColor rgb="FFFF0000"/>
              <x14:axisColor rgb="FF000000"/>
            </x14:dataBar>
          </x14:cfRule>
          <xm:sqref>F2:F11</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ED463-0D94-44F3-A839-1214F59570A5}">
  <sheetPr codeName="Sheet21">
    <tabColor theme="4" tint="-0.499984740745262"/>
  </sheetPr>
  <dimension ref="D5:R15"/>
  <sheetViews>
    <sheetView workbookViewId="0">
      <selection activeCell="AA3" sqref="AA3"/>
    </sheetView>
  </sheetViews>
  <sheetFormatPr defaultRowHeight="15" x14ac:dyDescent="0.25"/>
  <cols>
    <col min="4" max="4" width="10.28515625" bestFit="1" customWidth="1"/>
    <col min="6" max="6" width="12.5703125" bestFit="1" customWidth="1"/>
    <col min="7" max="7" width="15.5703125" bestFit="1" customWidth="1"/>
    <col min="8" max="9" width="10.28515625" bestFit="1" customWidth="1"/>
    <col min="13" max="13" width="12.5703125" bestFit="1" customWidth="1"/>
    <col min="14" max="14" width="23.7109375" bestFit="1" customWidth="1"/>
    <col min="15" max="15" width="10.28515625" bestFit="1" customWidth="1"/>
    <col min="16" max="16" width="14.7109375" bestFit="1" customWidth="1"/>
    <col min="18" max="18" width="10" bestFit="1" customWidth="1"/>
  </cols>
  <sheetData>
    <row r="5" spans="4:18" x14ac:dyDescent="0.25">
      <c r="E5" s="309"/>
      <c r="F5" s="309" t="s">
        <v>5921</v>
      </c>
      <c r="G5" s="309" t="s">
        <v>5922</v>
      </c>
      <c r="H5" s="309"/>
      <c r="L5" s="89"/>
      <c r="M5" s="89" t="s">
        <v>5923</v>
      </c>
      <c r="N5" s="89" t="s">
        <v>5924</v>
      </c>
      <c r="O5" s="89" t="s">
        <v>5925</v>
      </c>
      <c r="P5" s="89" t="s">
        <v>5926</v>
      </c>
      <c r="Q5" s="89" t="s">
        <v>5927</v>
      </c>
    </row>
    <row r="6" spans="4:18" x14ac:dyDescent="0.25">
      <c r="E6" s="309" t="s">
        <v>5928</v>
      </c>
      <c r="F6" s="109">
        <v>4648000</v>
      </c>
      <c r="G6" s="15"/>
      <c r="H6" s="15"/>
      <c r="L6" s="15" t="s">
        <v>5929</v>
      </c>
      <c r="M6" s="15">
        <v>13</v>
      </c>
      <c r="N6" s="15">
        <v>2</v>
      </c>
      <c r="O6" s="15">
        <f>M6+N6</f>
        <v>15</v>
      </c>
      <c r="P6" s="109">
        <v>524149</v>
      </c>
      <c r="Q6" s="134">
        <f>O6*P6/1000</f>
        <v>7862.2349999999997</v>
      </c>
    </row>
    <row r="7" spans="4:18" x14ac:dyDescent="0.25">
      <c r="E7" s="309" t="s">
        <v>5930</v>
      </c>
      <c r="F7" s="109">
        <f>70000*12</f>
        <v>840000</v>
      </c>
      <c r="G7" s="15"/>
      <c r="H7" s="15"/>
      <c r="L7" s="15" t="s">
        <v>5931</v>
      </c>
      <c r="M7" s="15">
        <v>8</v>
      </c>
      <c r="N7" s="15">
        <v>2</v>
      </c>
      <c r="O7" s="15">
        <f>M7+N7</f>
        <v>10</v>
      </c>
      <c r="P7" s="109">
        <v>2219536</v>
      </c>
      <c r="Q7" s="134">
        <f>O7*P7/1000</f>
        <v>22195.360000000001</v>
      </c>
    </row>
    <row r="8" spans="4:18" x14ac:dyDescent="0.25">
      <c r="E8" s="309" t="s">
        <v>5932</v>
      </c>
      <c r="F8" s="134">
        <f>F6-F7</f>
        <v>3808000</v>
      </c>
      <c r="G8" s="306">
        <v>11.79</v>
      </c>
      <c r="H8" s="134">
        <f>F8*G8/1000</f>
        <v>44896.32</v>
      </c>
      <c r="L8" s="15" t="s">
        <v>5933</v>
      </c>
      <c r="M8" s="15">
        <v>11</v>
      </c>
      <c r="N8" s="15">
        <v>2</v>
      </c>
      <c r="O8" s="15">
        <f>M8+N8</f>
        <v>13</v>
      </c>
      <c r="P8" s="109">
        <v>1904982</v>
      </c>
      <c r="Q8" s="134">
        <f>O8*P8/1000</f>
        <v>24764.766</v>
      </c>
    </row>
    <row r="9" spans="4:18" x14ac:dyDescent="0.25">
      <c r="D9" s="305">
        <f>F9/12</f>
        <v>11104.416666666666</v>
      </c>
      <c r="E9" s="309" t="s">
        <v>5934</v>
      </c>
      <c r="F9" s="307">
        <v>133253</v>
      </c>
      <c r="G9" s="15">
        <v>15</v>
      </c>
      <c r="H9" s="134">
        <f>F9*G9/1000</f>
        <v>1998.7950000000001</v>
      </c>
      <c r="L9" s="310" t="s">
        <v>5935</v>
      </c>
      <c r="M9" s="311">
        <f>SUMPRODUCT(M6:M8,P6:P8)/P9</f>
        <v>9.7931357526792091</v>
      </c>
      <c r="N9" s="310"/>
      <c r="P9" s="312">
        <f>SUM(P6:P8)</f>
        <v>4648667</v>
      </c>
      <c r="Q9" s="312">
        <f>SUM(Q6:Q8)</f>
        <v>54822.361000000004</v>
      </c>
      <c r="R9" s="305">
        <f>F8/P9*Q9</f>
        <v>44908.260946202434</v>
      </c>
    </row>
    <row r="10" spans="4:18" x14ac:dyDescent="0.25">
      <c r="E10" s="15"/>
      <c r="F10" s="15"/>
      <c r="G10" s="15"/>
      <c r="H10" s="134">
        <f>SUM(H8:H9)</f>
        <v>46895.114999999998</v>
      </c>
      <c r="I10" s="305">
        <f>H10*45%</f>
        <v>21102.801749999999</v>
      </c>
    </row>
    <row r="11" spans="4:18" x14ac:dyDescent="0.25">
      <c r="E11" s="15"/>
      <c r="F11" s="15"/>
      <c r="G11" s="15"/>
      <c r="H11" s="308">
        <f>H10</f>
        <v>46895.114999999998</v>
      </c>
      <c r="I11" s="305">
        <f>H12-I10</f>
        <v>4692.1982500000013</v>
      </c>
      <c r="L11" s="89"/>
      <c r="M11" s="89" t="s">
        <v>5923</v>
      </c>
      <c r="N11" s="89"/>
      <c r="O11" s="89" t="s">
        <v>5926</v>
      </c>
      <c r="P11" s="89" t="s">
        <v>5927</v>
      </c>
    </row>
    <row r="12" spans="4:18" x14ac:dyDescent="0.25">
      <c r="E12" s="15"/>
      <c r="F12" s="15"/>
      <c r="G12" s="15" t="s">
        <v>5936</v>
      </c>
      <c r="H12" s="109">
        <f>23890+1905</f>
        <v>25795</v>
      </c>
      <c r="I12" s="305">
        <f>I11/12</f>
        <v>391.01652083333346</v>
      </c>
      <c r="L12" s="15" t="s">
        <v>5937</v>
      </c>
      <c r="M12" s="15">
        <v>15</v>
      </c>
      <c r="N12" s="15"/>
      <c r="O12" s="307">
        <v>133253</v>
      </c>
      <c r="P12" s="134">
        <f>M12*O12/1000</f>
        <v>1998.7950000000001</v>
      </c>
    </row>
    <row r="13" spans="4:18" x14ac:dyDescent="0.25">
      <c r="E13" s="313"/>
      <c r="F13" s="313"/>
      <c r="G13" s="313" t="s">
        <v>5938</v>
      </c>
      <c r="H13" s="314">
        <f>H12/H10</f>
        <v>0.55005729274786941</v>
      </c>
    </row>
    <row r="15" spans="4:18" x14ac:dyDescent="0.25">
      <c r="H15" s="305">
        <f>H12/0.45</f>
        <v>57322.222222222219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76EB-1E58-4474-8909-26F97E9E1997}">
  <sheetPr codeName="Sheet22">
    <tabColor theme="8" tint="-0.499984740745262"/>
  </sheetPr>
  <dimension ref="A1:Z21"/>
  <sheetViews>
    <sheetView zoomScale="77" zoomScaleNormal="77" workbookViewId="0">
      <selection activeCell="L10" sqref="L10"/>
    </sheetView>
  </sheetViews>
  <sheetFormatPr defaultRowHeight="15" x14ac:dyDescent="0.25"/>
  <cols>
    <col min="1" max="1" width="14.5703125" bestFit="1" customWidth="1"/>
    <col min="2" max="2" width="7.7109375" bestFit="1" customWidth="1"/>
    <col min="3" max="3" width="9.140625" style="198"/>
    <col min="6" max="6" width="9.28515625" bestFit="1" customWidth="1"/>
    <col min="10" max="11" width="10.5703125" bestFit="1" customWidth="1"/>
    <col min="12" max="12" width="12.5703125" bestFit="1" customWidth="1"/>
    <col min="14" max="14" width="25" bestFit="1" customWidth="1"/>
  </cols>
  <sheetData>
    <row r="1" spans="1:26" x14ac:dyDescent="0.25">
      <c r="A1" s="219" t="s">
        <v>258</v>
      </c>
      <c r="B1" s="219"/>
      <c r="C1" s="220"/>
      <c r="D1" s="221"/>
      <c r="E1" s="221"/>
      <c r="F1" s="221"/>
      <c r="G1" s="221"/>
      <c r="H1" s="221"/>
      <c r="I1" s="221"/>
      <c r="J1" s="221"/>
      <c r="K1" s="221"/>
      <c r="L1" s="221" t="s">
        <v>5939</v>
      </c>
      <c r="M1" s="221"/>
      <c r="N1" s="221"/>
      <c r="O1" s="583" t="s">
        <v>5940</v>
      </c>
      <c r="P1" s="583"/>
      <c r="Q1" s="583" t="s">
        <v>5941</v>
      </c>
      <c r="R1" s="583"/>
      <c r="S1" s="583" t="s">
        <v>5942</v>
      </c>
      <c r="T1" s="583"/>
      <c r="U1" s="583" t="s">
        <v>5943</v>
      </c>
      <c r="V1" s="583"/>
      <c r="W1" s="583" t="s">
        <v>5944</v>
      </c>
      <c r="X1" s="583"/>
      <c r="Y1" s="583" t="s">
        <v>5945</v>
      </c>
      <c r="Z1" s="583"/>
    </row>
    <row r="2" spans="1:26" x14ac:dyDescent="0.25">
      <c r="A2" s="219"/>
      <c r="B2" s="219" t="s">
        <v>2</v>
      </c>
      <c r="C2" s="222" t="s">
        <v>316</v>
      </c>
      <c r="D2" s="103" t="s">
        <v>5946</v>
      </c>
      <c r="E2" s="103" t="s">
        <v>5947</v>
      </c>
      <c r="F2" s="103"/>
      <c r="G2" s="103"/>
      <c r="H2" s="103"/>
      <c r="I2" s="103" t="s">
        <v>1829</v>
      </c>
      <c r="J2" s="103" t="s">
        <v>5948</v>
      </c>
      <c r="K2" s="103" t="s">
        <v>5949</v>
      </c>
      <c r="L2" s="222" t="s">
        <v>5950</v>
      </c>
      <c r="M2" s="103" t="s">
        <v>1831</v>
      </c>
      <c r="N2" s="103" t="s">
        <v>5951</v>
      </c>
      <c r="O2" s="219" t="s">
        <v>1913</v>
      </c>
      <c r="P2" s="219" t="s">
        <v>5952</v>
      </c>
      <c r="Q2" s="219" t="s">
        <v>1913</v>
      </c>
      <c r="R2" s="219" t="s">
        <v>5952</v>
      </c>
      <c r="S2" s="219" t="s">
        <v>1913</v>
      </c>
      <c r="T2" s="219" t="s">
        <v>5952</v>
      </c>
      <c r="U2" s="219" t="s">
        <v>1913</v>
      </c>
      <c r="V2" s="219" t="s">
        <v>5952</v>
      </c>
      <c r="W2" s="219" t="s">
        <v>1913</v>
      </c>
      <c r="X2" s="219" t="s">
        <v>5952</v>
      </c>
      <c r="Y2" s="219" t="s">
        <v>1913</v>
      </c>
      <c r="Z2" s="219" t="s">
        <v>5952</v>
      </c>
    </row>
    <row r="3" spans="1:26" x14ac:dyDescent="0.25">
      <c r="A3" s="223" t="s">
        <v>952</v>
      </c>
      <c r="B3" s="223" t="s">
        <v>10</v>
      </c>
      <c r="C3" s="224">
        <v>42.7</v>
      </c>
      <c r="D3" s="224">
        <v>3.5</v>
      </c>
      <c r="E3" s="224">
        <v>210</v>
      </c>
      <c r="F3" s="224" t="s">
        <v>5953</v>
      </c>
      <c r="G3" s="224" t="s">
        <v>5954</v>
      </c>
      <c r="H3" s="224" t="s">
        <v>397</v>
      </c>
      <c r="I3" s="224">
        <v>40000</v>
      </c>
      <c r="J3" s="224">
        <v>9580</v>
      </c>
      <c r="K3" s="225">
        <f t="shared" ref="K3:K19" si="0">J3/I3</f>
        <v>0.23949999999999999</v>
      </c>
      <c r="L3" s="224">
        <v>4040</v>
      </c>
      <c r="M3" s="224">
        <f t="shared" ref="M3:M19" si="1">I3-J3-L3</f>
        <v>26380</v>
      </c>
      <c r="N3" s="224">
        <v>2500</v>
      </c>
      <c r="O3" s="219">
        <v>1500</v>
      </c>
      <c r="P3" s="103"/>
      <c r="Q3" s="103">
        <v>1000</v>
      </c>
      <c r="R3" s="103"/>
      <c r="S3" s="103">
        <v>1500</v>
      </c>
      <c r="T3" s="103"/>
      <c r="U3" s="103">
        <v>1000</v>
      </c>
      <c r="V3" s="103"/>
      <c r="W3" s="103">
        <v>1500</v>
      </c>
      <c r="X3" s="103"/>
      <c r="Y3" s="103">
        <v>1500</v>
      </c>
      <c r="Z3" s="103"/>
    </row>
    <row r="4" spans="1:26" x14ac:dyDescent="0.25">
      <c r="A4" s="223" t="s">
        <v>5955</v>
      </c>
      <c r="B4" s="223" t="s">
        <v>10</v>
      </c>
      <c r="C4" s="224">
        <v>42.7</v>
      </c>
      <c r="D4" s="224">
        <v>3.5</v>
      </c>
      <c r="E4" s="224">
        <v>208</v>
      </c>
      <c r="F4" s="224" t="s">
        <v>5953</v>
      </c>
      <c r="G4" s="224" t="s">
        <v>5954</v>
      </c>
      <c r="H4" s="224" t="s">
        <v>397</v>
      </c>
      <c r="I4" s="224">
        <v>30000</v>
      </c>
      <c r="J4" s="224">
        <v>10290</v>
      </c>
      <c r="K4" s="225">
        <f t="shared" si="0"/>
        <v>0.34300000000000003</v>
      </c>
      <c r="L4" s="224">
        <v>3500</v>
      </c>
      <c r="M4" s="224">
        <f t="shared" si="1"/>
        <v>16210</v>
      </c>
      <c r="N4" s="224">
        <v>2000</v>
      </c>
      <c r="O4" s="219">
        <v>1500</v>
      </c>
      <c r="P4" s="103"/>
      <c r="Q4" s="103">
        <v>1500</v>
      </c>
      <c r="R4" s="103"/>
      <c r="S4" s="103">
        <v>1000</v>
      </c>
      <c r="T4" s="103"/>
      <c r="U4" s="103">
        <v>1500</v>
      </c>
      <c r="V4" s="103"/>
      <c r="W4" s="103">
        <v>1000</v>
      </c>
      <c r="X4" s="103"/>
      <c r="Y4" s="103">
        <v>1000</v>
      </c>
      <c r="Z4" s="103"/>
    </row>
    <row r="5" spans="1:26" x14ac:dyDescent="0.25">
      <c r="A5" s="223" t="s">
        <v>343</v>
      </c>
      <c r="B5" s="223" t="s">
        <v>10</v>
      </c>
      <c r="C5" s="224">
        <v>42.7</v>
      </c>
      <c r="D5" s="224">
        <v>3.5</v>
      </c>
      <c r="E5" s="224">
        <v>247</v>
      </c>
      <c r="F5" s="224" t="s">
        <v>5953</v>
      </c>
      <c r="G5" s="224" t="s">
        <v>5954</v>
      </c>
      <c r="H5" s="224" t="s">
        <v>397</v>
      </c>
      <c r="I5" s="224">
        <v>12000</v>
      </c>
      <c r="J5" s="224">
        <v>0</v>
      </c>
      <c r="K5" s="225">
        <f t="shared" si="0"/>
        <v>0</v>
      </c>
      <c r="L5" s="224">
        <v>560</v>
      </c>
      <c r="M5" s="224">
        <f t="shared" si="1"/>
        <v>11440</v>
      </c>
      <c r="N5" s="224">
        <v>11440</v>
      </c>
      <c r="O5" s="219"/>
      <c r="P5" s="103"/>
      <c r="Q5" s="103"/>
      <c r="R5" s="103"/>
      <c r="S5" s="103"/>
      <c r="T5" s="103"/>
      <c r="U5" s="103"/>
      <c r="V5" s="103"/>
      <c r="W5" s="103"/>
      <c r="X5" s="103"/>
      <c r="Y5" s="103"/>
      <c r="Z5" s="103"/>
    </row>
    <row r="6" spans="1:26" x14ac:dyDescent="0.25">
      <c r="A6" s="223" t="s">
        <v>952</v>
      </c>
      <c r="B6" s="223" t="s">
        <v>10</v>
      </c>
      <c r="C6" s="224">
        <v>42.7</v>
      </c>
      <c r="D6" s="224">
        <v>3.5</v>
      </c>
      <c r="E6" s="224">
        <v>202.5</v>
      </c>
      <c r="F6" s="224" t="s">
        <v>5953</v>
      </c>
      <c r="G6" s="224" t="s">
        <v>5954</v>
      </c>
      <c r="H6" s="224" t="s">
        <v>397</v>
      </c>
      <c r="I6" s="224">
        <v>8400</v>
      </c>
      <c r="J6" s="224">
        <v>2370</v>
      </c>
      <c r="K6" s="225">
        <f t="shared" si="0"/>
        <v>0.28214285714285714</v>
      </c>
      <c r="L6" s="224">
        <v>2860</v>
      </c>
      <c r="M6" s="224">
        <f t="shared" si="1"/>
        <v>3170</v>
      </c>
      <c r="N6" s="224"/>
      <c r="O6" s="219"/>
      <c r="P6" s="103"/>
      <c r="Q6" s="103"/>
      <c r="R6" s="103"/>
      <c r="S6" s="103"/>
      <c r="T6" s="103"/>
      <c r="U6" s="103"/>
      <c r="V6" s="103"/>
      <c r="W6" s="103"/>
      <c r="X6" s="103"/>
      <c r="Y6" s="103"/>
      <c r="Z6" s="103"/>
    </row>
    <row r="7" spans="1:26" x14ac:dyDescent="0.25">
      <c r="A7" s="226" t="s">
        <v>955</v>
      </c>
      <c r="B7" s="226" t="s">
        <v>10</v>
      </c>
      <c r="C7" s="227">
        <v>42.7</v>
      </c>
      <c r="D7" s="227">
        <v>4</v>
      </c>
      <c r="E7" s="227">
        <v>254</v>
      </c>
      <c r="F7" s="227" t="s">
        <v>5953</v>
      </c>
      <c r="G7" s="227" t="s">
        <v>5954</v>
      </c>
      <c r="H7" s="227" t="s">
        <v>397</v>
      </c>
      <c r="I7" s="227">
        <v>11000</v>
      </c>
      <c r="J7" s="227">
        <v>0</v>
      </c>
      <c r="K7" s="227">
        <f t="shared" si="0"/>
        <v>0</v>
      </c>
      <c r="L7" s="227">
        <v>1250</v>
      </c>
      <c r="M7" s="227">
        <f t="shared" si="1"/>
        <v>9750</v>
      </c>
      <c r="N7" s="227">
        <v>5000</v>
      </c>
      <c r="O7" s="219"/>
      <c r="P7" s="103"/>
      <c r="Q7" s="103"/>
      <c r="R7" s="103"/>
      <c r="S7" s="103"/>
      <c r="T7" s="103"/>
      <c r="U7" s="103"/>
      <c r="V7" s="103"/>
      <c r="W7" s="103"/>
      <c r="X7" s="103"/>
      <c r="Y7" s="103"/>
      <c r="Z7" s="103"/>
    </row>
    <row r="8" spans="1:26" x14ac:dyDescent="0.25">
      <c r="A8" s="226" t="s">
        <v>290</v>
      </c>
      <c r="B8" s="226" t="s">
        <v>10</v>
      </c>
      <c r="C8" s="227">
        <v>42.7</v>
      </c>
      <c r="D8" s="227">
        <v>4</v>
      </c>
      <c r="E8" s="227">
        <v>235</v>
      </c>
      <c r="F8" s="227" t="s">
        <v>5953</v>
      </c>
      <c r="G8" s="227" t="s">
        <v>5954</v>
      </c>
      <c r="H8" s="227" t="s">
        <v>397</v>
      </c>
      <c r="I8" s="227">
        <v>4000</v>
      </c>
      <c r="J8" s="227">
        <v>243</v>
      </c>
      <c r="K8" s="228">
        <f t="shared" si="0"/>
        <v>6.0749999999999998E-2</v>
      </c>
      <c r="L8" s="227">
        <v>3350</v>
      </c>
      <c r="M8" s="227">
        <f t="shared" si="1"/>
        <v>407</v>
      </c>
      <c r="N8" s="227">
        <f>I8-M8</f>
        <v>3593</v>
      </c>
      <c r="O8" s="219">
        <v>1000</v>
      </c>
      <c r="P8" s="103"/>
      <c r="Q8" s="103"/>
      <c r="R8" s="103"/>
      <c r="S8" s="103"/>
      <c r="T8" s="103"/>
      <c r="U8" s="103"/>
      <c r="V8" s="103"/>
      <c r="W8" s="103"/>
      <c r="X8" s="103"/>
      <c r="Y8" s="103"/>
      <c r="Z8" s="103"/>
    </row>
    <row r="9" spans="1:26" x14ac:dyDescent="0.25">
      <c r="A9" s="226" t="s">
        <v>5956</v>
      </c>
      <c r="B9" s="226" t="s">
        <v>10</v>
      </c>
      <c r="C9" s="227">
        <v>42.7</v>
      </c>
      <c r="D9" s="227">
        <v>4</v>
      </c>
      <c r="E9" s="227">
        <v>215</v>
      </c>
      <c r="F9" s="227" t="s">
        <v>5953</v>
      </c>
      <c r="G9" s="227" t="s">
        <v>5954</v>
      </c>
      <c r="H9" s="227" t="s">
        <v>397</v>
      </c>
      <c r="I9" s="227">
        <v>40000</v>
      </c>
      <c r="J9" s="227">
        <f>11200+5000</f>
        <v>16200</v>
      </c>
      <c r="K9" s="228">
        <f t="shared" si="0"/>
        <v>0.40500000000000003</v>
      </c>
      <c r="L9" s="227">
        <v>2160</v>
      </c>
      <c r="M9" s="227">
        <f t="shared" si="1"/>
        <v>21640</v>
      </c>
      <c r="N9" s="227">
        <v>0</v>
      </c>
      <c r="O9" s="103"/>
      <c r="P9" s="103"/>
      <c r="Q9" s="103">
        <v>3500</v>
      </c>
      <c r="R9" s="103"/>
      <c r="S9" s="103">
        <v>3500</v>
      </c>
      <c r="T9" s="103"/>
      <c r="U9" s="103">
        <v>3000</v>
      </c>
      <c r="V9" s="103"/>
      <c r="W9" s="103">
        <v>3500</v>
      </c>
      <c r="X9" s="103"/>
      <c r="Y9" s="103">
        <v>3000</v>
      </c>
      <c r="Z9" s="103"/>
    </row>
    <row r="10" spans="1:26" x14ac:dyDescent="0.25">
      <c r="A10" s="226" t="s">
        <v>284</v>
      </c>
      <c r="B10" s="226" t="s">
        <v>5957</v>
      </c>
      <c r="C10" s="227">
        <v>42.7</v>
      </c>
      <c r="D10" s="227">
        <v>4</v>
      </c>
      <c r="E10" s="227">
        <v>290</v>
      </c>
      <c r="F10" s="227" t="s">
        <v>5953</v>
      </c>
      <c r="G10" s="227" t="s">
        <v>5954</v>
      </c>
      <c r="H10" s="227" t="s">
        <v>397</v>
      </c>
      <c r="I10" s="227">
        <v>6000</v>
      </c>
      <c r="J10" s="227">
        <v>1510</v>
      </c>
      <c r="K10" s="228">
        <f t="shared" si="0"/>
        <v>0.25166666666666665</v>
      </c>
      <c r="L10" s="227">
        <v>2380</v>
      </c>
      <c r="M10" s="227">
        <f t="shared" si="1"/>
        <v>2110</v>
      </c>
      <c r="N10" s="227">
        <v>0</v>
      </c>
      <c r="O10" s="219">
        <v>1500</v>
      </c>
      <c r="P10" s="103"/>
      <c r="Q10" s="103"/>
      <c r="R10" s="103"/>
      <c r="S10" s="103"/>
      <c r="T10" s="103"/>
      <c r="U10" s="103">
        <v>1000</v>
      </c>
      <c r="V10" s="103"/>
      <c r="W10" s="103">
        <v>1000</v>
      </c>
      <c r="X10" s="103"/>
      <c r="Y10" s="103">
        <v>1000</v>
      </c>
      <c r="Z10" s="103"/>
    </row>
    <row r="11" spans="1:26" x14ac:dyDescent="0.25">
      <c r="A11" s="226" t="s">
        <v>5958</v>
      </c>
      <c r="B11" s="226" t="s">
        <v>10</v>
      </c>
      <c r="C11" s="227">
        <v>42.7</v>
      </c>
      <c r="D11" s="227">
        <v>4</v>
      </c>
      <c r="E11" s="227">
        <v>344</v>
      </c>
      <c r="F11" s="227" t="s">
        <v>5953</v>
      </c>
      <c r="G11" s="227" t="s">
        <v>5954</v>
      </c>
      <c r="H11" s="227" t="s">
        <v>397</v>
      </c>
      <c r="I11" s="227">
        <v>1000</v>
      </c>
      <c r="J11" s="227">
        <v>0</v>
      </c>
      <c r="K11" s="228">
        <f t="shared" si="0"/>
        <v>0</v>
      </c>
      <c r="L11" s="227">
        <v>0</v>
      </c>
      <c r="M11" s="227">
        <f t="shared" si="1"/>
        <v>1000</v>
      </c>
      <c r="N11" s="227">
        <v>0</v>
      </c>
      <c r="O11" s="219"/>
      <c r="P11" s="103"/>
      <c r="Q11" s="103"/>
      <c r="R11" s="103"/>
      <c r="S11" s="103">
        <v>1000</v>
      </c>
      <c r="T11" s="103"/>
      <c r="U11" s="103"/>
      <c r="V11" s="103"/>
      <c r="W11" s="103"/>
      <c r="X11" s="103"/>
      <c r="Y11" s="103"/>
      <c r="Z11" s="103"/>
    </row>
    <row r="12" spans="1:26" x14ac:dyDescent="0.25">
      <c r="A12" s="237" t="s">
        <v>5959</v>
      </c>
      <c r="B12" s="237" t="s">
        <v>5</v>
      </c>
      <c r="C12" s="238">
        <v>47.63</v>
      </c>
      <c r="D12" s="238">
        <v>4</v>
      </c>
      <c r="E12" s="238">
        <v>212</v>
      </c>
      <c r="F12" s="238" t="s">
        <v>5953</v>
      </c>
      <c r="G12" s="238" t="s">
        <v>5954</v>
      </c>
      <c r="H12" s="238" t="s">
        <v>397</v>
      </c>
      <c r="I12" s="238">
        <v>60000</v>
      </c>
      <c r="J12" s="238">
        <f>27850+3500</f>
        <v>31350</v>
      </c>
      <c r="K12" s="239">
        <f t="shared" si="0"/>
        <v>0.52249999999999996</v>
      </c>
      <c r="L12" s="238">
        <v>770</v>
      </c>
      <c r="M12" s="238">
        <f t="shared" si="1"/>
        <v>27880</v>
      </c>
      <c r="N12" s="238">
        <v>0</v>
      </c>
      <c r="O12" s="219">
        <v>3500</v>
      </c>
      <c r="P12" s="103"/>
      <c r="Q12" s="103">
        <v>3500</v>
      </c>
      <c r="R12" s="103"/>
      <c r="S12" s="103">
        <v>3500</v>
      </c>
      <c r="T12" s="103"/>
      <c r="U12" s="103">
        <v>3000</v>
      </c>
      <c r="V12" s="103"/>
      <c r="W12" s="103">
        <v>2500</v>
      </c>
      <c r="X12" s="103"/>
      <c r="Y12" s="103">
        <v>3500</v>
      </c>
      <c r="Z12" s="103"/>
    </row>
    <row r="13" spans="1:26" x14ac:dyDescent="0.25">
      <c r="A13" s="237" t="s">
        <v>5960</v>
      </c>
      <c r="B13" s="237" t="s">
        <v>5</v>
      </c>
      <c r="C13" s="238">
        <v>47.63</v>
      </c>
      <c r="D13" s="238">
        <v>4</v>
      </c>
      <c r="E13" s="238">
        <v>215</v>
      </c>
      <c r="F13" s="238" t="s">
        <v>5953</v>
      </c>
      <c r="G13" s="238" t="s">
        <v>5954</v>
      </c>
      <c r="H13" s="238" t="s">
        <v>397</v>
      </c>
      <c r="I13" s="238">
        <v>20000</v>
      </c>
      <c r="J13" s="238">
        <v>7000</v>
      </c>
      <c r="K13" s="239">
        <f t="shared" si="0"/>
        <v>0.35</v>
      </c>
      <c r="L13" s="238">
        <v>2160</v>
      </c>
      <c r="M13" s="238">
        <f t="shared" si="1"/>
        <v>10840</v>
      </c>
      <c r="N13" s="238">
        <v>0</v>
      </c>
      <c r="O13" s="219"/>
      <c r="P13" s="103"/>
      <c r="Q13" s="103"/>
      <c r="R13" s="103"/>
      <c r="S13" s="103"/>
      <c r="T13" s="103"/>
      <c r="U13" s="103">
        <v>1500</v>
      </c>
      <c r="V13" s="103"/>
      <c r="W13" s="103">
        <v>2000</v>
      </c>
      <c r="X13" s="103"/>
      <c r="Y13" s="103">
        <v>2000</v>
      </c>
      <c r="Z13" s="103"/>
    </row>
    <row r="14" spans="1:26" x14ac:dyDescent="0.25">
      <c r="A14" s="240" t="s">
        <v>5960</v>
      </c>
      <c r="B14" s="240" t="s">
        <v>5</v>
      </c>
      <c r="C14" s="241">
        <v>50.8</v>
      </c>
      <c r="D14" s="241">
        <v>2.6</v>
      </c>
      <c r="E14" s="241">
        <v>130</v>
      </c>
      <c r="F14" s="241"/>
      <c r="G14" s="241" t="s">
        <v>5954</v>
      </c>
      <c r="H14" s="241" t="s">
        <v>397</v>
      </c>
      <c r="I14" s="241">
        <v>12000</v>
      </c>
      <c r="J14" s="241">
        <v>2000</v>
      </c>
      <c r="K14" s="242">
        <f t="shared" si="0"/>
        <v>0.16666666666666666</v>
      </c>
      <c r="L14" s="241">
        <v>100</v>
      </c>
      <c r="M14" s="241">
        <f t="shared" si="1"/>
        <v>9900</v>
      </c>
      <c r="N14" s="241">
        <v>0</v>
      </c>
      <c r="O14" s="219"/>
      <c r="P14" s="103"/>
      <c r="Q14" s="103"/>
      <c r="R14" s="103"/>
      <c r="S14" s="103"/>
      <c r="T14" s="103"/>
      <c r="U14" s="103"/>
      <c r="V14" s="103"/>
      <c r="W14" s="103">
        <v>1500</v>
      </c>
      <c r="X14" s="103"/>
      <c r="Y14" s="103">
        <v>1500</v>
      </c>
      <c r="Z14" s="103"/>
    </row>
    <row r="15" spans="1:26" x14ac:dyDescent="0.25">
      <c r="A15" s="229" t="s">
        <v>290</v>
      </c>
      <c r="B15" s="229" t="s">
        <v>8</v>
      </c>
      <c r="C15" s="230">
        <v>48.6</v>
      </c>
      <c r="D15" s="230">
        <v>3.5</v>
      </c>
      <c r="E15" s="230">
        <v>185</v>
      </c>
      <c r="F15" s="230" t="s">
        <v>5953</v>
      </c>
      <c r="G15" s="230" t="s">
        <v>5954</v>
      </c>
      <c r="H15" s="230" t="s">
        <v>397</v>
      </c>
      <c r="I15" s="230">
        <v>8000</v>
      </c>
      <c r="J15" s="230">
        <v>0</v>
      </c>
      <c r="K15" s="231">
        <f t="shared" si="0"/>
        <v>0</v>
      </c>
      <c r="L15" s="230">
        <v>0</v>
      </c>
      <c r="M15" s="230">
        <f t="shared" si="1"/>
        <v>8000</v>
      </c>
      <c r="N15" s="230">
        <v>5000</v>
      </c>
      <c r="O15" s="219"/>
      <c r="P15" s="103"/>
      <c r="Q15" s="103"/>
      <c r="R15" s="103"/>
      <c r="S15" s="103"/>
      <c r="T15" s="103"/>
      <c r="U15" s="103"/>
      <c r="V15" s="103"/>
      <c r="W15" s="103"/>
      <c r="X15" s="103"/>
      <c r="Y15" s="103"/>
      <c r="Z15" s="103"/>
    </row>
    <row r="16" spans="1:26" x14ac:dyDescent="0.25">
      <c r="A16" s="229" t="s">
        <v>952</v>
      </c>
      <c r="B16" s="229" t="s">
        <v>10</v>
      </c>
      <c r="C16" s="230">
        <v>48.6</v>
      </c>
      <c r="D16" s="230">
        <v>3.5</v>
      </c>
      <c r="E16" s="230">
        <v>196</v>
      </c>
      <c r="F16" s="230" t="s">
        <v>5953</v>
      </c>
      <c r="G16" s="230" t="s">
        <v>5954</v>
      </c>
      <c r="H16" s="230" t="s">
        <v>397</v>
      </c>
      <c r="I16" s="230">
        <v>15000</v>
      </c>
      <c r="J16" s="230">
        <v>2000</v>
      </c>
      <c r="K16" s="231">
        <f t="shared" si="0"/>
        <v>0.13333333333333333</v>
      </c>
      <c r="L16" s="230">
        <v>0</v>
      </c>
      <c r="M16" s="230">
        <f t="shared" si="1"/>
        <v>13000</v>
      </c>
      <c r="N16" s="230">
        <v>5000</v>
      </c>
      <c r="O16" s="219"/>
      <c r="P16" s="103"/>
      <c r="Q16" s="103"/>
      <c r="R16" s="103"/>
      <c r="S16" s="103"/>
      <c r="T16" s="103"/>
      <c r="U16" s="103"/>
      <c r="V16" s="103"/>
      <c r="W16" s="103"/>
      <c r="X16" s="103"/>
      <c r="Y16" s="103"/>
      <c r="Z16" s="103"/>
    </row>
    <row r="17" spans="1:26" x14ac:dyDescent="0.25">
      <c r="A17" s="232" t="s">
        <v>955</v>
      </c>
      <c r="B17" s="232" t="s">
        <v>10</v>
      </c>
      <c r="C17" s="233">
        <v>41.28</v>
      </c>
      <c r="D17" s="233">
        <v>3.2</v>
      </c>
      <c r="E17" s="233">
        <v>230</v>
      </c>
      <c r="F17" s="233" t="s">
        <v>5953</v>
      </c>
      <c r="G17" s="233" t="s">
        <v>5954</v>
      </c>
      <c r="H17" s="233" t="s">
        <v>397</v>
      </c>
      <c r="I17" s="233">
        <v>10000</v>
      </c>
      <c r="J17" s="233">
        <v>3720</v>
      </c>
      <c r="K17" s="234">
        <f t="shared" si="0"/>
        <v>0.372</v>
      </c>
      <c r="L17" s="233">
        <v>0</v>
      </c>
      <c r="M17" s="233">
        <f t="shared" si="1"/>
        <v>6280</v>
      </c>
      <c r="N17" s="233">
        <f>M17-J17</f>
        <v>2560</v>
      </c>
      <c r="O17" s="219"/>
      <c r="P17" s="103"/>
      <c r="Q17" s="103">
        <v>1500</v>
      </c>
      <c r="R17" s="103"/>
      <c r="S17" s="103"/>
      <c r="T17" s="103"/>
      <c r="U17" s="103"/>
      <c r="V17" s="103"/>
      <c r="W17" s="103"/>
      <c r="X17" s="103"/>
      <c r="Y17" s="103"/>
      <c r="Z17" s="103"/>
    </row>
    <row r="18" spans="1:26" x14ac:dyDescent="0.25">
      <c r="A18" s="232" t="s">
        <v>5961</v>
      </c>
      <c r="B18" s="232" t="s">
        <v>5962</v>
      </c>
      <c r="C18" s="233">
        <v>41.28</v>
      </c>
      <c r="D18" s="233">
        <v>2.4</v>
      </c>
      <c r="E18" s="233">
        <v>204.5</v>
      </c>
      <c r="F18" s="233"/>
      <c r="G18" s="233" t="s">
        <v>5954</v>
      </c>
      <c r="H18" s="233" t="s">
        <v>397</v>
      </c>
      <c r="I18" s="233">
        <v>2000</v>
      </c>
      <c r="J18" s="233">
        <v>0</v>
      </c>
      <c r="K18" s="234">
        <f t="shared" si="0"/>
        <v>0</v>
      </c>
      <c r="L18" s="233">
        <v>0</v>
      </c>
      <c r="M18" s="233">
        <f t="shared" si="1"/>
        <v>2000</v>
      </c>
      <c r="N18" s="233">
        <v>0</v>
      </c>
      <c r="O18" s="219"/>
      <c r="P18" s="103"/>
      <c r="Q18" s="103"/>
      <c r="R18" s="103"/>
      <c r="S18" s="103">
        <v>1000</v>
      </c>
      <c r="T18" s="103"/>
      <c r="U18" s="103">
        <v>1000</v>
      </c>
      <c r="V18" s="103"/>
      <c r="W18" s="103"/>
      <c r="X18" s="103"/>
      <c r="Y18" s="103"/>
      <c r="Z18" s="103"/>
    </row>
    <row r="19" spans="1:26" x14ac:dyDescent="0.25">
      <c r="A19" s="232" t="s">
        <v>290</v>
      </c>
      <c r="B19" s="232" t="s">
        <v>10</v>
      </c>
      <c r="C19" s="233">
        <v>41.28</v>
      </c>
      <c r="D19" s="233">
        <v>3.2</v>
      </c>
      <c r="E19" s="233">
        <v>246</v>
      </c>
      <c r="F19" s="233" t="s">
        <v>5953</v>
      </c>
      <c r="G19" s="233" t="s">
        <v>5954</v>
      </c>
      <c r="H19" s="233" t="s">
        <v>397</v>
      </c>
      <c r="I19" s="233">
        <v>6000</v>
      </c>
      <c r="J19" s="233">
        <v>1580</v>
      </c>
      <c r="K19" s="234">
        <f t="shared" si="0"/>
        <v>0.26333333333333331</v>
      </c>
      <c r="L19" s="233">
        <v>0</v>
      </c>
      <c r="M19" s="233">
        <f t="shared" si="1"/>
        <v>4420</v>
      </c>
      <c r="N19" s="233">
        <f>M19-J19</f>
        <v>2840</v>
      </c>
      <c r="O19" s="219"/>
      <c r="P19" s="103"/>
      <c r="Q19" s="103"/>
      <c r="R19" s="103"/>
      <c r="S19" s="103"/>
      <c r="T19" s="103"/>
      <c r="U19" s="103"/>
      <c r="V19" s="103"/>
      <c r="W19" s="103"/>
      <c r="X19" s="103"/>
      <c r="Y19" s="103"/>
      <c r="Z19" s="103"/>
    </row>
    <row r="20" spans="1:26" x14ac:dyDescent="0.25">
      <c r="A20" s="103"/>
      <c r="B20" s="103"/>
      <c r="C20" s="222"/>
      <c r="D20" s="103"/>
      <c r="E20" s="103"/>
      <c r="F20" s="103"/>
      <c r="G20" s="103"/>
      <c r="H20" s="235" t="s">
        <v>311</v>
      </c>
      <c r="I20" s="219">
        <f>SUM(I3:I19)</f>
        <v>285400</v>
      </c>
      <c r="J20" s="235"/>
      <c r="K20" s="235"/>
      <c r="L20" s="235"/>
      <c r="M20" s="219">
        <f>SUM(M3:M19)</f>
        <v>174427</v>
      </c>
      <c r="N20" s="219">
        <f>SUM(N3:N19)</f>
        <v>39933</v>
      </c>
      <c r="O20" s="222">
        <v>9000</v>
      </c>
      <c r="P20" s="222">
        <f>SUM(P3:P19)</f>
        <v>0</v>
      </c>
      <c r="Q20" s="236">
        <f>SUM(Q3:Q19)</f>
        <v>11000</v>
      </c>
      <c r="R20" s="103"/>
      <c r="S20" s="236">
        <f>SUM(S3:S19)</f>
        <v>11500</v>
      </c>
      <c r="T20" s="103"/>
      <c r="U20" s="236">
        <f>SUM(U3:U19)</f>
        <v>12000</v>
      </c>
      <c r="V20" s="103"/>
      <c r="W20" s="236">
        <f>SUM(W3:W19)</f>
        <v>13000</v>
      </c>
      <c r="X20" s="103"/>
      <c r="Y20" s="236">
        <f>SUM(Y3:Y19)</f>
        <v>13500</v>
      </c>
      <c r="Z20" s="103"/>
    </row>
    <row r="21" spans="1:26" x14ac:dyDescent="0.25">
      <c r="A21" s="221"/>
      <c r="B21" s="221"/>
      <c r="C21" s="220"/>
      <c r="D21" s="221"/>
      <c r="E21" s="221"/>
      <c r="F21" s="221"/>
      <c r="G21" s="221"/>
      <c r="H21" s="221"/>
      <c r="I21" s="221"/>
      <c r="J21" s="221"/>
      <c r="K21" s="221"/>
      <c r="L21" s="221"/>
      <c r="M21" s="221"/>
      <c r="N21" s="221"/>
      <c r="O21" s="221"/>
      <c r="P21" s="221"/>
      <c r="Q21" s="583" t="s">
        <v>5963</v>
      </c>
      <c r="R21" s="583"/>
      <c r="S21" s="583" t="s">
        <v>5963</v>
      </c>
      <c r="T21" s="583"/>
      <c r="U21" s="583" t="s">
        <v>5964</v>
      </c>
      <c r="V21" s="583"/>
      <c r="W21" s="583" t="s">
        <v>5965</v>
      </c>
      <c r="X21" s="583"/>
      <c r="Y21" s="583" t="s">
        <v>5965</v>
      </c>
      <c r="Z21" s="583"/>
    </row>
  </sheetData>
  <mergeCells count="11">
    <mergeCell ref="Y1:Z1"/>
    <mergeCell ref="O1:P1"/>
    <mergeCell ref="Q1:R1"/>
    <mergeCell ref="S1:T1"/>
    <mergeCell ref="U1:V1"/>
    <mergeCell ref="W1:X1"/>
    <mergeCell ref="Q21:R21"/>
    <mergeCell ref="S21:T21"/>
    <mergeCell ref="U21:V21"/>
    <mergeCell ref="W21:X21"/>
    <mergeCell ref="Y21:Z2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5850-2AC6-49E1-8037-E1860BFCA461}">
  <sheetPr codeName="Sheet24"/>
  <dimension ref="A1:H3538"/>
  <sheetViews>
    <sheetView workbookViewId="0"/>
  </sheetViews>
  <sheetFormatPr defaultRowHeight="15" x14ac:dyDescent="0.25"/>
  <cols>
    <col min="1" max="1" width="16.7109375" bestFit="1" customWidth="1"/>
    <col min="2" max="2" width="37.7109375" bestFit="1" customWidth="1"/>
    <col min="3" max="3" width="13.7109375" bestFit="1" customWidth="1"/>
    <col min="4" max="4" width="11" bestFit="1" customWidth="1"/>
    <col min="5" max="5" width="25.140625" bestFit="1" customWidth="1"/>
    <col min="6" max="6" width="12" bestFit="1" customWidth="1"/>
    <col min="7" max="7" width="21" bestFit="1" customWidth="1"/>
    <col min="8" max="8" width="42.7109375" bestFit="1" customWidth="1"/>
  </cols>
  <sheetData>
    <row r="1" spans="1:8" x14ac:dyDescent="0.25">
      <c r="A1" t="s">
        <v>380</v>
      </c>
      <c r="B1" t="s">
        <v>381</v>
      </c>
      <c r="C1" t="s">
        <v>382</v>
      </c>
      <c r="D1" t="s">
        <v>383</v>
      </c>
      <c r="E1" t="s">
        <v>384</v>
      </c>
      <c r="F1" t="s">
        <v>387</v>
      </c>
      <c r="G1" t="s">
        <v>385</v>
      </c>
      <c r="H1" t="s">
        <v>388</v>
      </c>
    </row>
    <row r="2" spans="1:8" x14ac:dyDescent="0.25">
      <c r="A2" t="s">
        <v>5966</v>
      </c>
      <c r="B2" t="s">
        <v>37</v>
      </c>
      <c r="C2" t="s">
        <v>392</v>
      </c>
      <c r="D2">
        <v>127</v>
      </c>
      <c r="E2">
        <v>725.31700000000001</v>
      </c>
      <c r="F2">
        <v>2350.3890000000001</v>
      </c>
      <c r="G2">
        <v>3907863</v>
      </c>
      <c r="H2" t="s">
        <v>1749</v>
      </c>
    </row>
    <row r="3" spans="1:8" x14ac:dyDescent="0.25">
      <c r="A3" t="s">
        <v>5966</v>
      </c>
      <c r="B3" t="s">
        <v>37</v>
      </c>
      <c r="C3" t="s">
        <v>392</v>
      </c>
      <c r="D3">
        <v>127</v>
      </c>
      <c r="E3">
        <v>725.31700000000001</v>
      </c>
      <c r="F3">
        <v>2350.3890000000001</v>
      </c>
      <c r="G3">
        <v>3907863</v>
      </c>
      <c r="H3" t="s">
        <v>1749</v>
      </c>
    </row>
    <row r="4" spans="1:8" x14ac:dyDescent="0.25">
      <c r="A4" t="s">
        <v>5966</v>
      </c>
      <c r="B4" t="s">
        <v>37</v>
      </c>
      <c r="C4" t="s">
        <v>392</v>
      </c>
      <c r="D4">
        <v>127</v>
      </c>
      <c r="E4">
        <v>725.31700000000001</v>
      </c>
      <c r="F4">
        <v>2350.3890000000001</v>
      </c>
      <c r="G4">
        <v>3907863</v>
      </c>
      <c r="H4" t="s">
        <v>1749</v>
      </c>
    </row>
    <row r="5" spans="1:8" x14ac:dyDescent="0.25">
      <c r="A5" t="s">
        <v>5966</v>
      </c>
      <c r="B5" t="s">
        <v>37</v>
      </c>
      <c r="C5" t="s">
        <v>392</v>
      </c>
      <c r="D5">
        <v>138</v>
      </c>
      <c r="E5">
        <v>788.13900000000001</v>
      </c>
      <c r="F5">
        <v>2553.9659999999999</v>
      </c>
      <c r="G5">
        <v>3907863</v>
      </c>
      <c r="H5" t="s">
        <v>1749</v>
      </c>
    </row>
    <row r="6" spans="1:8" x14ac:dyDescent="0.25">
      <c r="A6" t="s">
        <v>5966</v>
      </c>
      <c r="B6" t="s">
        <v>37</v>
      </c>
      <c r="C6" t="s">
        <v>392</v>
      </c>
      <c r="D6">
        <v>138</v>
      </c>
      <c r="E6">
        <v>788.13900000000001</v>
      </c>
      <c r="F6">
        <v>2553.9659999999999</v>
      </c>
      <c r="G6">
        <v>3907863</v>
      </c>
      <c r="H6" t="s">
        <v>1749</v>
      </c>
    </row>
    <row r="7" spans="1:8" x14ac:dyDescent="0.25">
      <c r="A7" t="s">
        <v>5966</v>
      </c>
      <c r="B7" t="s">
        <v>37</v>
      </c>
      <c r="C7" t="s">
        <v>392</v>
      </c>
      <c r="D7">
        <v>138</v>
      </c>
      <c r="E7">
        <v>788.13900000000001</v>
      </c>
      <c r="F7">
        <v>2553.9659999999999</v>
      </c>
      <c r="G7">
        <v>3907863</v>
      </c>
      <c r="H7" t="s">
        <v>1749</v>
      </c>
    </row>
    <row r="8" spans="1:8" x14ac:dyDescent="0.25">
      <c r="A8" t="s">
        <v>5966</v>
      </c>
      <c r="B8" t="s">
        <v>37</v>
      </c>
      <c r="C8" t="s">
        <v>392</v>
      </c>
      <c r="D8">
        <v>60</v>
      </c>
      <c r="E8">
        <v>342.66899999999998</v>
      </c>
      <c r="F8">
        <v>1110.42</v>
      </c>
      <c r="G8">
        <v>3907863</v>
      </c>
      <c r="H8" t="s">
        <v>1749</v>
      </c>
    </row>
    <row r="9" spans="1:8" x14ac:dyDescent="0.25">
      <c r="A9" t="s">
        <v>5966</v>
      </c>
      <c r="B9" t="s">
        <v>37</v>
      </c>
      <c r="C9" t="s">
        <v>392</v>
      </c>
      <c r="D9">
        <v>127</v>
      </c>
      <c r="E9">
        <v>774.69799999999998</v>
      </c>
      <c r="F9">
        <v>2510.4090000000001</v>
      </c>
      <c r="G9">
        <v>3910001</v>
      </c>
      <c r="H9" t="s">
        <v>1752</v>
      </c>
    </row>
    <row r="10" spans="1:8" x14ac:dyDescent="0.25">
      <c r="A10" t="s">
        <v>5966</v>
      </c>
      <c r="B10" t="s">
        <v>37</v>
      </c>
      <c r="C10" t="s">
        <v>392</v>
      </c>
      <c r="D10">
        <v>127</v>
      </c>
      <c r="E10">
        <v>774.69799999999998</v>
      </c>
      <c r="F10">
        <v>2510.4090000000001</v>
      </c>
      <c r="G10">
        <v>3910001</v>
      </c>
      <c r="H10" t="s">
        <v>1752</v>
      </c>
    </row>
    <row r="11" spans="1:8" x14ac:dyDescent="0.25">
      <c r="A11" t="s">
        <v>5966</v>
      </c>
      <c r="B11" t="s">
        <v>37</v>
      </c>
      <c r="C11" t="s">
        <v>392</v>
      </c>
      <c r="D11">
        <v>127</v>
      </c>
      <c r="E11">
        <v>774.69799999999998</v>
      </c>
      <c r="F11">
        <v>2510.4090000000001</v>
      </c>
      <c r="G11">
        <v>3910001</v>
      </c>
      <c r="H11" t="s">
        <v>1752</v>
      </c>
    </row>
    <row r="12" spans="1:8" x14ac:dyDescent="0.25">
      <c r="A12" t="s">
        <v>5966</v>
      </c>
      <c r="B12" t="s">
        <v>37</v>
      </c>
      <c r="C12" t="s">
        <v>392</v>
      </c>
      <c r="D12">
        <v>26</v>
      </c>
      <c r="E12">
        <v>148.49</v>
      </c>
      <c r="F12">
        <v>481.18200000000002</v>
      </c>
      <c r="G12">
        <v>3907863</v>
      </c>
      <c r="H12" t="s">
        <v>1749</v>
      </c>
    </row>
    <row r="13" spans="1:8" x14ac:dyDescent="0.25">
      <c r="A13" t="s">
        <v>5966</v>
      </c>
      <c r="B13" t="s">
        <v>37</v>
      </c>
      <c r="C13" t="s">
        <v>392</v>
      </c>
      <c r="D13">
        <v>127</v>
      </c>
      <c r="E13">
        <v>768.36800000000005</v>
      </c>
      <c r="F13">
        <v>2991.1039999999998</v>
      </c>
      <c r="G13">
        <v>3502422</v>
      </c>
      <c r="H13" t="s">
        <v>2374</v>
      </c>
    </row>
    <row r="14" spans="1:8" x14ac:dyDescent="0.25">
      <c r="A14" t="s">
        <v>5966</v>
      </c>
      <c r="B14" t="s">
        <v>37</v>
      </c>
      <c r="C14" t="s">
        <v>392</v>
      </c>
      <c r="D14">
        <v>127</v>
      </c>
      <c r="E14">
        <v>774.69799999999998</v>
      </c>
      <c r="F14">
        <v>2510.4090000000001</v>
      </c>
      <c r="G14">
        <v>3910001</v>
      </c>
      <c r="H14" t="s">
        <v>1752</v>
      </c>
    </row>
    <row r="15" spans="1:8" x14ac:dyDescent="0.25">
      <c r="A15" t="s">
        <v>5966</v>
      </c>
      <c r="B15" t="s">
        <v>37</v>
      </c>
      <c r="C15" t="s">
        <v>392</v>
      </c>
      <c r="D15">
        <v>127</v>
      </c>
      <c r="E15">
        <v>774.69799999999998</v>
      </c>
      <c r="F15">
        <v>2510.4090000000001</v>
      </c>
      <c r="G15">
        <v>3910001</v>
      </c>
      <c r="H15" t="s">
        <v>1752</v>
      </c>
    </row>
    <row r="16" spans="1:8" x14ac:dyDescent="0.25">
      <c r="A16" t="s">
        <v>5966</v>
      </c>
      <c r="B16" t="s">
        <v>37</v>
      </c>
      <c r="C16" t="s">
        <v>392</v>
      </c>
      <c r="D16">
        <v>127</v>
      </c>
      <c r="E16">
        <v>774.69799999999998</v>
      </c>
      <c r="F16">
        <v>2510.4090000000001</v>
      </c>
      <c r="G16">
        <v>3910001</v>
      </c>
      <c r="H16" t="s">
        <v>1752</v>
      </c>
    </row>
    <row r="17" spans="1:8" x14ac:dyDescent="0.25">
      <c r="A17" t="s">
        <v>5966</v>
      </c>
      <c r="B17" t="s">
        <v>37</v>
      </c>
      <c r="C17" t="s">
        <v>392</v>
      </c>
      <c r="D17">
        <v>127</v>
      </c>
      <c r="E17">
        <v>774.69799999999998</v>
      </c>
      <c r="F17">
        <v>2510.4090000000001</v>
      </c>
      <c r="G17">
        <v>3910001</v>
      </c>
      <c r="H17" t="s">
        <v>1752</v>
      </c>
    </row>
    <row r="18" spans="1:8" x14ac:dyDescent="0.25">
      <c r="A18" t="s">
        <v>5966</v>
      </c>
      <c r="B18" t="s">
        <v>37</v>
      </c>
      <c r="C18" t="s">
        <v>392</v>
      </c>
      <c r="D18">
        <v>127</v>
      </c>
      <c r="E18">
        <v>774.69799999999998</v>
      </c>
      <c r="F18">
        <v>2510.4090000000001</v>
      </c>
      <c r="G18">
        <v>3910001</v>
      </c>
      <c r="H18" t="s">
        <v>1752</v>
      </c>
    </row>
    <row r="19" spans="1:8" x14ac:dyDescent="0.25">
      <c r="A19" t="s">
        <v>5966</v>
      </c>
      <c r="B19" t="s">
        <v>37</v>
      </c>
      <c r="C19" t="s">
        <v>392</v>
      </c>
      <c r="D19">
        <v>126</v>
      </c>
      <c r="E19">
        <v>768.59799999999996</v>
      </c>
      <c r="F19">
        <v>2490.6419999999998</v>
      </c>
      <c r="G19">
        <v>3910001</v>
      </c>
      <c r="H19" t="s">
        <v>1752</v>
      </c>
    </row>
    <row r="20" spans="1:8" x14ac:dyDescent="0.25">
      <c r="A20" t="s">
        <v>5966</v>
      </c>
      <c r="B20" t="s">
        <v>37</v>
      </c>
      <c r="C20" t="s">
        <v>392</v>
      </c>
      <c r="D20">
        <v>125</v>
      </c>
      <c r="E20">
        <v>762.49800000000005</v>
      </c>
      <c r="F20">
        <v>2470.875</v>
      </c>
      <c r="G20">
        <v>3910001</v>
      </c>
      <c r="H20" t="s">
        <v>1752</v>
      </c>
    </row>
    <row r="21" spans="1:8" x14ac:dyDescent="0.25">
      <c r="A21" t="s">
        <v>5966</v>
      </c>
      <c r="B21" t="s">
        <v>37</v>
      </c>
      <c r="C21" t="s">
        <v>392</v>
      </c>
      <c r="D21">
        <v>96</v>
      </c>
      <c r="E21">
        <v>585.59900000000005</v>
      </c>
      <c r="F21">
        <v>1897.6320000000001</v>
      </c>
      <c r="G21">
        <v>3910001</v>
      </c>
      <c r="H21" t="s">
        <v>1752</v>
      </c>
    </row>
    <row r="22" spans="1:8" x14ac:dyDescent="0.25">
      <c r="A22" t="s">
        <v>5966</v>
      </c>
      <c r="B22" t="s">
        <v>37</v>
      </c>
      <c r="C22" t="s">
        <v>392</v>
      </c>
      <c r="D22">
        <v>127</v>
      </c>
      <c r="E22">
        <v>755.65099999999995</v>
      </c>
      <c r="F22">
        <v>2448.6869999999999</v>
      </c>
      <c r="G22">
        <v>4045220</v>
      </c>
      <c r="H22" t="s">
        <v>5967</v>
      </c>
    </row>
    <row r="23" spans="1:8" x14ac:dyDescent="0.25">
      <c r="A23" t="s">
        <v>5968</v>
      </c>
      <c r="B23" t="s">
        <v>32</v>
      </c>
      <c r="C23" t="s">
        <v>392</v>
      </c>
      <c r="D23">
        <v>135</v>
      </c>
      <c r="E23">
        <v>762.76700000000005</v>
      </c>
      <c r="F23">
        <v>3007.665</v>
      </c>
      <c r="G23">
        <v>3501105</v>
      </c>
      <c r="H23" t="s">
        <v>1754</v>
      </c>
    </row>
    <row r="24" spans="1:8" x14ac:dyDescent="0.25">
      <c r="A24" t="s">
        <v>5968</v>
      </c>
      <c r="B24" t="s">
        <v>32</v>
      </c>
      <c r="C24" t="s">
        <v>392</v>
      </c>
      <c r="D24">
        <v>127</v>
      </c>
      <c r="E24">
        <v>717.56600000000003</v>
      </c>
      <c r="F24">
        <v>2829.433</v>
      </c>
      <c r="G24">
        <v>3501105</v>
      </c>
      <c r="H24" t="s">
        <v>1754</v>
      </c>
    </row>
    <row r="25" spans="1:8" x14ac:dyDescent="0.25">
      <c r="A25" t="s">
        <v>5968</v>
      </c>
      <c r="B25" t="s">
        <v>32</v>
      </c>
      <c r="C25" t="s">
        <v>392</v>
      </c>
      <c r="D25">
        <v>127</v>
      </c>
      <c r="E25">
        <v>717.56600000000003</v>
      </c>
      <c r="F25">
        <v>2829.433</v>
      </c>
      <c r="G25">
        <v>3501105</v>
      </c>
      <c r="H25" t="s">
        <v>1754</v>
      </c>
    </row>
    <row r="26" spans="1:8" x14ac:dyDescent="0.25">
      <c r="A26" t="s">
        <v>5968</v>
      </c>
      <c r="B26" t="s">
        <v>32</v>
      </c>
      <c r="C26" t="s">
        <v>392</v>
      </c>
      <c r="D26">
        <v>127</v>
      </c>
      <c r="E26">
        <v>717.56600000000003</v>
      </c>
      <c r="F26">
        <v>2829.433</v>
      </c>
      <c r="G26">
        <v>3501105</v>
      </c>
      <c r="H26" t="s">
        <v>1754</v>
      </c>
    </row>
    <row r="27" spans="1:8" x14ac:dyDescent="0.25">
      <c r="A27" t="s">
        <v>5968</v>
      </c>
      <c r="B27" t="s">
        <v>32</v>
      </c>
      <c r="C27" t="s">
        <v>392</v>
      </c>
      <c r="D27">
        <v>91</v>
      </c>
      <c r="E27">
        <v>514.16099999999994</v>
      </c>
      <c r="F27">
        <v>2027.3889999999999</v>
      </c>
      <c r="G27">
        <v>3501105</v>
      </c>
      <c r="H27" t="s">
        <v>1754</v>
      </c>
    </row>
    <row r="28" spans="1:8" x14ac:dyDescent="0.25">
      <c r="A28" t="s">
        <v>5966</v>
      </c>
      <c r="B28" t="s">
        <v>37</v>
      </c>
      <c r="C28" t="s">
        <v>392</v>
      </c>
      <c r="D28">
        <v>127</v>
      </c>
      <c r="E28">
        <v>768.36800000000005</v>
      </c>
      <c r="F28">
        <v>2991.1039999999998</v>
      </c>
      <c r="G28">
        <v>3502422</v>
      </c>
      <c r="H28" t="s">
        <v>2374</v>
      </c>
    </row>
    <row r="29" spans="1:8" x14ac:dyDescent="0.25">
      <c r="A29" t="s">
        <v>5966</v>
      </c>
      <c r="B29" t="s">
        <v>37</v>
      </c>
      <c r="C29" t="s">
        <v>392</v>
      </c>
      <c r="D29">
        <v>127</v>
      </c>
      <c r="E29">
        <v>768.36800000000005</v>
      </c>
      <c r="F29">
        <v>2991.1039999999998</v>
      </c>
      <c r="G29">
        <v>3502422</v>
      </c>
      <c r="H29" t="s">
        <v>2374</v>
      </c>
    </row>
    <row r="30" spans="1:8" x14ac:dyDescent="0.25">
      <c r="A30" t="s">
        <v>5966</v>
      </c>
      <c r="B30" t="s">
        <v>37</v>
      </c>
      <c r="C30" t="s">
        <v>392</v>
      </c>
      <c r="D30">
        <v>126</v>
      </c>
      <c r="E30">
        <v>762.31799999999998</v>
      </c>
      <c r="F30">
        <v>2967.5520000000001</v>
      </c>
      <c r="G30">
        <v>3502422</v>
      </c>
      <c r="H30" t="s">
        <v>2374</v>
      </c>
    </row>
    <row r="31" spans="1:8" x14ac:dyDescent="0.25">
      <c r="A31" t="s">
        <v>5966</v>
      </c>
      <c r="B31" t="s">
        <v>37</v>
      </c>
      <c r="C31" t="s">
        <v>392</v>
      </c>
      <c r="D31">
        <v>94</v>
      </c>
      <c r="E31">
        <v>568.71400000000006</v>
      </c>
      <c r="F31">
        <v>2213.8879999999999</v>
      </c>
      <c r="G31">
        <v>3502422</v>
      </c>
      <c r="H31" t="s">
        <v>2374</v>
      </c>
    </row>
    <row r="32" spans="1:8" x14ac:dyDescent="0.25">
      <c r="A32" t="s">
        <v>5966</v>
      </c>
      <c r="B32" t="s">
        <v>37</v>
      </c>
      <c r="C32" t="s">
        <v>392</v>
      </c>
      <c r="D32">
        <v>128</v>
      </c>
      <c r="E32">
        <v>780.798</v>
      </c>
      <c r="F32">
        <v>2530.1759999999999</v>
      </c>
      <c r="G32">
        <v>3910001</v>
      </c>
      <c r="H32" t="s">
        <v>1752</v>
      </c>
    </row>
    <row r="33" spans="1:8" x14ac:dyDescent="0.25">
      <c r="A33" t="s">
        <v>5966</v>
      </c>
      <c r="B33" t="s">
        <v>37</v>
      </c>
      <c r="C33" t="s">
        <v>392</v>
      </c>
      <c r="D33">
        <v>128</v>
      </c>
      <c r="E33">
        <v>780.798</v>
      </c>
      <c r="F33">
        <v>2530.1759999999999</v>
      </c>
      <c r="G33">
        <v>3910001</v>
      </c>
      <c r="H33" t="s">
        <v>1752</v>
      </c>
    </row>
    <row r="34" spans="1:8" x14ac:dyDescent="0.25">
      <c r="A34" t="s">
        <v>5966</v>
      </c>
      <c r="B34" t="s">
        <v>37</v>
      </c>
      <c r="C34" t="s">
        <v>392</v>
      </c>
      <c r="D34">
        <v>128</v>
      </c>
      <c r="E34">
        <v>780.798</v>
      </c>
      <c r="F34">
        <v>2530.1759999999999</v>
      </c>
      <c r="G34">
        <v>3910001</v>
      </c>
      <c r="H34" t="s">
        <v>1752</v>
      </c>
    </row>
    <row r="35" spans="1:8" x14ac:dyDescent="0.25">
      <c r="A35" t="s">
        <v>5966</v>
      </c>
      <c r="B35" t="s">
        <v>37</v>
      </c>
      <c r="C35" t="s">
        <v>392</v>
      </c>
      <c r="D35">
        <v>128</v>
      </c>
      <c r="E35">
        <v>780.798</v>
      </c>
      <c r="F35">
        <v>2530.1759999999999</v>
      </c>
      <c r="G35">
        <v>3910001</v>
      </c>
      <c r="H35" t="s">
        <v>1752</v>
      </c>
    </row>
    <row r="36" spans="1:8" x14ac:dyDescent="0.25">
      <c r="A36" t="s">
        <v>5966</v>
      </c>
      <c r="B36" t="s">
        <v>37</v>
      </c>
      <c r="C36" t="s">
        <v>392</v>
      </c>
      <c r="D36">
        <v>127</v>
      </c>
      <c r="E36">
        <v>774.69799999999998</v>
      </c>
      <c r="F36">
        <v>2510.4090000000001</v>
      </c>
      <c r="G36">
        <v>3910001</v>
      </c>
      <c r="H36" t="s">
        <v>1752</v>
      </c>
    </row>
    <row r="37" spans="1:8" x14ac:dyDescent="0.25">
      <c r="A37" t="s">
        <v>5966</v>
      </c>
      <c r="B37" t="s">
        <v>37</v>
      </c>
      <c r="C37" t="s">
        <v>392</v>
      </c>
      <c r="D37">
        <v>127</v>
      </c>
      <c r="E37">
        <v>774.69799999999998</v>
      </c>
      <c r="F37">
        <v>2510.4090000000001</v>
      </c>
      <c r="G37">
        <v>3910001</v>
      </c>
      <c r="H37" t="s">
        <v>1752</v>
      </c>
    </row>
    <row r="38" spans="1:8" x14ac:dyDescent="0.25">
      <c r="A38" t="s">
        <v>5966</v>
      </c>
      <c r="B38" t="s">
        <v>37</v>
      </c>
      <c r="C38" t="s">
        <v>392</v>
      </c>
      <c r="D38">
        <v>127</v>
      </c>
      <c r="E38">
        <v>774.69799999999998</v>
      </c>
      <c r="F38">
        <v>2510.4090000000001</v>
      </c>
      <c r="G38">
        <v>3910001</v>
      </c>
      <c r="H38" t="s">
        <v>1752</v>
      </c>
    </row>
    <row r="39" spans="1:8" x14ac:dyDescent="0.25">
      <c r="A39" t="s">
        <v>5966</v>
      </c>
      <c r="B39" t="s">
        <v>37</v>
      </c>
      <c r="C39" t="s">
        <v>392</v>
      </c>
      <c r="D39">
        <v>127</v>
      </c>
      <c r="E39">
        <v>774.69799999999998</v>
      </c>
      <c r="F39">
        <v>2510.4090000000001</v>
      </c>
      <c r="G39">
        <v>3910001</v>
      </c>
      <c r="H39" t="s">
        <v>1752</v>
      </c>
    </row>
    <row r="40" spans="1:8" x14ac:dyDescent="0.25">
      <c r="A40" t="s">
        <v>5966</v>
      </c>
      <c r="B40" t="s">
        <v>37</v>
      </c>
      <c r="C40" t="s">
        <v>392</v>
      </c>
      <c r="D40">
        <v>126</v>
      </c>
      <c r="E40">
        <v>768.59799999999996</v>
      </c>
      <c r="F40">
        <v>2490.6419999999998</v>
      </c>
      <c r="G40">
        <v>3910001</v>
      </c>
      <c r="H40" t="s">
        <v>1752</v>
      </c>
    </row>
    <row r="41" spans="1:8" x14ac:dyDescent="0.25">
      <c r="A41" t="s">
        <v>5966</v>
      </c>
      <c r="B41" t="s">
        <v>37</v>
      </c>
      <c r="C41" t="s">
        <v>392</v>
      </c>
      <c r="D41">
        <v>126</v>
      </c>
      <c r="E41">
        <v>768.59799999999996</v>
      </c>
      <c r="F41">
        <v>2490.6419999999998</v>
      </c>
      <c r="G41">
        <v>3910001</v>
      </c>
      <c r="H41" t="s">
        <v>1752</v>
      </c>
    </row>
    <row r="42" spans="1:8" x14ac:dyDescent="0.25">
      <c r="A42" t="s">
        <v>5966</v>
      </c>
      <c r="B42" t="s">
        <v>37</v>
      </c>
      <c r="C42" t="s">
        <v>392</v>
      </c>
      <c r="D42">
        <v>127</v>
      </c>
      <c r="E42">
        <v>755.65099999999995</v>
      </c>
      <c r="F42">
        <v>2448.6869999999999</v>
      </c>
      <c r="G42">
        <v>4045220</v>
      </c>
      <c r="H42" t="s">
        <v>5967</v>
      </c>
    </row>
    <row r="43" spans="1:8" x14ac:dyDescent="0.25">
      <c r="A43" t="s">
        <v>5966</v>
      </c>
      <c r="B43" t="s">
        <v>37</v>
      </c>
      <c r="C43" t="s">
        <v>392</v>
      </c>
      <c r="D43">
        <v>127</v>
      </c>
      <c r="E43">
        <v>725.31700000000001</v>
      </c>
      <c r="F43">
        <v>2350.3890000000001</v>
      </c>
      <c r="G43">
        <v>3907863</v>
      </c>
      <c r="H43" t="s">
        <v>1749</v>
      </c>
    </row>
    <row r="44" spans="1:8" x14ac:dyDescent="0.25">
      <c r="A44" t="s">
        <v>5966</v>
      </c>
      <c r="B44" t="s">
        <v>37</v>
      </c>
      <c r="C44" t="s">
        <v>392</v>
      </c>
      <c r="D44">
        <v>127</v>
      </c>
      <c r="E44">
        <v>725.31700000000001</v>
      </c>
      <c r="F44">
        <v>2350.3890000000001</v>
      </c>
      <c r="G44">
        <v>3907863</v>
      </c>
      <c r="H44" t="s">
        <v>1749</v>
      </c>
    </row>
    <row r="45" spans="1:8" x14ac:dyDescent="0.25">
      <c r="A45" t="s">
        <v>5966</v>
      </c>
      <c r="B45" t="s">
        <v>37</v>
      </c>
      <c r="C45" t="s">
        <v>392</v>
      </c>
      <c r="D45">
        <v>127</v>
      </c>
      <c r="E45">
        <v>725.31700000000001</v>
      </c>
      <c r="F45">
        <v>2350.3890000000001</v>
      </c>
      <c r="G45">
        <v>3907863</v>
      </c>
      <c r="H45" t="s">
        <v>1749</v>
      </c>
    </row>
    <row r="46" spans="1:8" x14ac:dyDescent="0.25">
      <c r="A46" t="s">
        <v>5966</v>
      </c>
      <c r="B46" t="s">
        <v>37</v>
      </c>
      <c r="C46" t="s">
        <v>392</v>
      </c>
      <c r="D46">
        <v>138</v>
      </c>
      <c r="E46">
        <v>788.13900000000001</v>
      </c>
      <c r="F46">
        <v>2553.9659999999999</v>
      </c>
      <c r="G46">
        <v>3907863</v>
      </c>
      <c r="H46" t="s">
        <v>1749</v>
      </c>
    </row>
    <row r="47" spans="1:8" x14ac:dyDescent="0.25">
      <c r="A47" t="s">
        <v>5966</v>
      </c>
      <c r="B47" t="s">
        <v>37</v>
      </c>
      <c r="C47" t="s">
        <v>392</v>
      </c>
      <c r="D47">
        <v>138</v>
      </c>
      <c r="E47">
        <v>788.13900000000001</v>
      </c>
      <c r="F47">
        <v>2553.9659999999999</v>
      </c>
      <c r="G47">
        <v>3907863</v>
      </c>
      <c r="H47" t="s">
        <v>1749</v>
      </c>
    </row>
    <row r="48" spans="1:8" x14ac:dyDescent="0.25">
      <c r="A48" t="s">
        <v>5966</v>
      </c>
      <c r="B48" t="s">
        <v>37</v>
      </c>
      <c r="C48" t="s">
        <v>392</v>
      </c>
      <c r="D48">
        <v>138</v>
      </c>
      <c r="E48">
        <v>788.13900000000001</v>
      </c>
      <c r="F48">
        <v>2553.9659999999999</v>
      </c>
      <c r="G48">
        <v>3907863</v>
      </c>
      <c r="H48" t="s">
        <v>1749</v>
      </c>
    </row>
    <row r="49" spans="1:8" x14ac:dyDescent="0.25">
      <c r="A49" t="s">
        <v>5966</v>
      </c>
      <c r="B49" t="s">
        <v>37</v>
      </c>
      <c r="C49" t="s">
        <v>392</v>
      </c>
      <c r="D49">
        <v>138</v>
      </c>
      <c r="E49">
        <v>788.13900000000001</v>
      </c>
      <c r="F49">
        <v>2553.9659999999999</v>
      </c>
      <c r="G49">
        <v>3907863</v>
      </c>
      <c r="H49" t="s">
        <v>1749</v>
      </c>
    </row>
    <row r="50" spans="1:8" x14ac:dyDescent="0.25">
      <c r="A50" t="s">
        <v>5966</v>
      </c>
      <c r="B50" t="s">
        <v>37</v>
      </c>
      <c r="C50" t="s">
        <v>392</v>
      </c>
      <c r="D50">
        <v>60</v>
      </c>
      <c r="E50">
        <v>342.66899999999998</v>
      </c>
      <c r="F50">
        <v>1110.42</v>
      </c>
      <c r="G50">
        <v>3907863</v>
      </c>
      <c r="H50" t="s">
        <v>1749</v>
      </c>
    </row>
    <row r="51" spans="1:8" x14ac:dyDescent="0.25">
      <c r="A51" t="s">
        <v>5966</v>
      </c>
      <c r="B51" t="s">
        <v>37</v>
      </c>
      <c r="C51" t="s">
        <v>392</v>
      </c>
      <c r="D51">
        <v>94</v>
      </c>
      <c r="E51">
        <v>536.84900000000005</v>
      </c>
      <c r="F51">
        <v>1739.6579999999999</v>
      </c>
      <c r="G51">
        <v>3907863</v>
      </c>
      <c r="H51" t="s">
        <v>1749</v>
      </c>
    </row>
    <row r="52" spans="1:8" x14ac:dyDescent="0.25">
      <c r="A52" t="s">
        <v>5966</v>
      </c>
      <c r="B52" t="s">
        <v>37</v>
      </c>
      <c r="C52" t="s">
        <v>392</v>
      </c>
      <c r="D52">
        <v>53</v>
      </c>
      <c r="E52">
        <v>302.69099999999997</v>
      </c>
      <c r="F52">
        <v>980.87099999999998</v>
      </c>
      <c r="G52">
        <v>3907863</v>
      </c>
      <c r="H52" t="s">
        <v>1749</v>
      </c>
    </row>
    <row r="53" spans="1:8" x14ac:dyDescent="0.25">
      <c r="A53" t="s">
        <v>5966</v>
      </c>
      <c r="B53" t="s">
        <v>37</v>
      </c>
      <c r="C53" t="s">
        <v>392</v>
      </c>
      <c r="D53">
        <v>54</v>
      </c>
      <c r="E53">
        <v>308.40199999999999</v>
      </c>
      <c r="F53">
        <v>999.37800000000004</v>
      </c>
      <c r="G53">
        <v>3907863</v>
      </c>
      <c r="H53" t="s">
        <v>1749</v>
      </c>
    </row>
    <row r="54" spans="1:8" x14ac:dyDescent="0.25">
      <c r="A54" t="s">
        <v>5968</v>
      </c>
      <c r="B54" t="s">
        <v>32</v>
      </c>
      <c r="C54" t="s">
        <v>392</v>
      </c>
      <c r="D54">
        <v>73</v>
      </c>
      <c r="E54">
        <v>427.786</v>
      </c>
      <c r="F54">
        <v>1248.665</v>
      </c>
      <c r="G54">
        <v>3673889</v>
      </c>
      <c r="H54" t="s">
        <v>5969</v>
      </c>
    </row>
    <row r="55" spans="1:8" x14ac:dyDescent="0.25">
      <c r="A55" t="s">
        <v>5968</v>
      </c>
      <c r="B55" t="s">
        <v>32</v>
      </c>
      <c r="C55" t="s">
        <v>392</v>
      </c>
      <c r="D55">
        <v>130</v>
      </c>
      <c r="E55">
        <v>815.09299999999996</v>
      </c>
      <c r="F55">
        <v>1828.58</v>
      </c>
      <c r="G55">
        <v>3502301</v>
      </c>
      <c r="H55" t="s">
        <v>5970</v>
      </c>
    </row>
    <row r="56" spans="1:8" x14ac:dyDescent="0.25">
      <c r="A56" t="s">
        <v>5968</v>
      </c>
      <c r="B56" t="s">
        <v>32</v>
      </c>
      <c r="C56" t="s">
        <v>392</v>
      </c>
      <c r="D56">
        <v>127</v>
      </c>
      <c r="E56">
        <v>796.28300000000002</v>
      </c>
      <c r="F56">
        <v>1786.3820000000001</v>
      </c>
      <c r="G56">
        <v>3502301</v>
      </c>
      <c r="H56" t="s">
        <v>5970</v>
      </c>
    </row>
    <row r="57" spans="1:8" x14ac:dyDescent="0.25">
      <c r="A57" t="s">
        <v>5968</v>
      </c>
      <c r="B57" t="s">
        <v>32</v>
      </c>
      <c r="C57" t="s">
        <v>392</v>
      </c>
      <c r="D57">
        <v>126</v>
      </c>
      <c r="E57">
        <v>790.01300000000003</v>
      </c>
      <c r="F57">
        <v>1772.316</v>
      </c>
      <c r="G57">
        <v>3502301</v>
      </c>
      <c r="H57" t="s">
        <v>5970</v>
      </c>
    </row>
    <row r="58" spans="1:8" x14ac:dyDescent="0.25">
      <c r="A58" t="s">
        <v>5968</v>
      </c>
      <c r="B58" t="s">
        <v>32</v>
      </c>
      <c r="C58" t="s">
        <v>392</v>
      </c>
      <c r="D58">
        <v>127</v>
      </c>
      <c r="E58">
        <v>796.28499999999997</v>
      </c>
      <c r="F58">
        <v>2004.568</v>
      </c>
      <c r="G58">
        <v>3549720</v>
      </c>
      <c r="H58" t="s">
        <v>5971</v>
      </c>
    </row>
    <row r="59" spans="1:8" x14ac:dyDescent="0.25">
      <c r="A59" t="s">
        <v>5968</v>
      </c>
      <c r="B59" t="s">
        <v>32</v>
      </c>
      <c r="C59" t="s">
        <v>392</v>
      </c>
      <c r="D59">
        <v>126</v>
      </c>
      <c r="E59">
        <v>790.01499999999999</v>
      </c>
      <c r="F59">
        <v>1988.7840000000001</v>
      </c>
      <c r="G59">
        <v>3549720</v>
      </c>
      <c r="H59" t="s">
        <v>5971</v>
      </c>
    </row>
    <row r="60" spans="1:8" x14ac:dyDescent="0.25">
      <c r="A60" t="s">
        <v>5968</v>
      </c>
      <c r="B60" t="s">
        <v>32</v>
      </c>
      <c r="C60" t="s">
        <v>392</v>
      </c>
      <c r="D60">
        <v>99</v>
      </c>
      <c r="E60">
        <v>620.726</v>
      </c>
      <c r="F60">
        <v>1562.616</v>
      </c>
      <c r="G60">
        <v>3549720</v>
      </c>
      <c r="H60" t="s">
        <v>5971</v>
      </c>
    </row>
    <row r="61" spans="1:8" x14ac:dyDescent="0.25">
      <c r="A61" t="s">
        <v>5968</v>
      </c>
      <c r="B61" t="s">
        <v>32</v>
      </c>
      <c r="C61" t="s">
        <v>392</v>
      </c>
      <c r="D61">
        <v>127</v>
      </c>
      <c r="E61">
        <v>796.28499999999997</v>
      </c>
      <c r="F61">
        <v>2004.568</v>
      </c>
      <c r="G61">
        <v>3549720</v>
      </c>
      <c r="H61" t="s">
        <v>5971</v>
      </c>
    </row>
    <row r="62" spans="1:8" x14ac:dyDescent="0.25">
      <c r="A62" t="s">
        <v>5968</v>
      </c>
      <c r="B62" t="s">
        <v>32</v>
      </c>
      <c r="C62" t="s">
        <v>392</v>
      </c>
      <c r="D62">
        <v>126</v>
      </c>
      <c r="E62">
        <v>790.01499999999999</v>
      </c>
      <c r="F62">
        <v>1988.7840000000001</v>
      </c>
      <c r="G62">
        <v>3549720</v>
      </c>
      <c r="H62" t="s">
        <v>5971</v>
      </c>
    </row>
    <row r="63" spans="1:8" x14ac:dyDescent="0.25">
      <c r="A63" t="s">
        <v>5968</v>
      </c>
      <c r="B63" t="s">
        <v>32</v>
      </c>
      <c r="C63" t="s">
        <v>392</v>
      </c>
      <c r="D63">
        <v>127</v>
      </c>
      <c r="E63">
        <v>796.28499999999997</v>
      </c>
      <c r="F63">
        <v>2004.568</v>
      </c>
      <c r="G63">
        <v>3549720</v>
      </c>
      <c r="H63" t="s">
        <v>5971</v>
      </c>
    </row>
    <row r="64" spans="1:8" x14ac:dyDescent="0.25">
      <c r="A64" t="s">
        <v>5968</v>
      </c>
      <c r="B64" t="s">
        <v>32</v>
      </c>
      <c r="C64" t="s">
        <v>392</v>
      </c>
      <c r="D64">
        <v>127</v>
      </c>
      <c r="E64">
        <v>796.28499999999997</v>
      </c>
      <c r="F64">
        <v>2004.568</v>
      </c>
      <c r="G64">
        <v>3549720</v>
      </c>
      <c r="H64" t="s">
        <v>5971</v>
      </c>
    </row>
    <row r="65" spans="1:8" x14ac:dyDescent="0.25">
      <c r="A65" t="s">
        <v>5968</v>
      </c>
      <c r="B65" t="s">
        <v>32</v>
      </c>
      <c r="C65" t="s">
        <v>392</v>
      </c>
      <c r="D65">
        <v>126</v>
      </c>
      <c r="E65">
        <v>790.01499999999999</v>
      </c>
      <c r="F65">
        <v>1988.7840000000001</v>
      </c>
      <c r="G65">
        <v>3549720</v>
      </c>
      <c r="H65" t="s">
        <v>5971</v>
      </c>
    </row>
    <row r="66" spans="1:8" x14ac:dyDescent="0.25">
      <c r="A66" t="s">
        <v>5968</v>
      </c>
      <c r="B66" t="s">
        <v>32</v>
      </c>
      <c r="C66" t="s">
        <v>392</v>
      </c>
      <c r="D66">
        <v>169</v>
      </c>
      <c r="E66">
        <v>990.35400000000004</v>
      </c>
      <c r="F66">
        <v>2890.7449999999999</v>
      </c>
      <c r="G66">
        <v>3673889</v>
      </c>
      <c r="H66" t="s">
        <v>5969</v>
      </c>
    </row>
    <row r="67" spans="1:8" x14ac:dyDescent="0.25">
      <c r="A67" t="s">
        <v>5968</v>
      </c>
      <c r="B67" t="s">
        <v>32</v>
      </c>
      <c r="C67" t="s">
        <v>392</v>
      </c>
      <c r="D67">
        <v>168</v>
      </c>
      <c r="E67">
        <v>984.49400000000003</v>
      </c>
      <c r="F67">
        <v>2873.64</v>
      </c>
      <c r="G67">
        <v>3673889</v>
      </c>
      <c r="H67" t="s">
        <v>5969</v>
      </c>
    </row>
    <row r="68" spans="1:8" x14ac:dyDescent="0.25">
      <c r="A68" t="s">
        <v>5968</v>
      </c>
      <c r="B68" t="s">
        <v>32</v>
      </c>
      <c r="C68" t="s">
        <v>392</v>
      </c>
      <c r="D68">
        <v>125</v>
      </c>
      <c r="E68">
        <v>706.26499999999999</v>
      </c>
      <c r="F68">
        <v>2784.875</v>
      </c>
      <c r="G68">
        <v>3501105</v>
      </c>
      <c r="H68" t="s">
        <v>1754</v>
      </c>
    </row>
    <row r="69" spans="1:8" x14ac:dyDescent="0.25">
      <c r="A69" t="s">
        <v>5968</v>
      </c>
      <c r="B69" t="s">
        <v>32</v>
      </c>
      <c r="C69" t="s">
        <v>392</v>
      </c>
      <c r="D69">
        <v>125</v>
      </c>
      <c r="E69">
        <v>706.26499999999999</v>
      </c>
      <c r="F69">
        <v>2784.875</v>
      </c>
      <c r="G69">
        <v>3501105</v>
      </c>
      <c r="H69" t="s">
        <v>1754</v>
      </c>
    </row>
    <row r="70" spans="1:8" x14ac:dyDescent="0.25">
      <c r="A70" t="s">
        <v>5968</v>
      </c>
      <c r="B70" t="s">
        <v>32</v>
      </c>
      <c r="C70" t="s">
        <v>392</v>
      </c>
      <c r="D70">
        <v>127</v>
      </c>
      <c r="E70">
        <v>717.56600000000003</v>
      </c>
      <c r="F70">
        <v>2829.433</v>
      </c>
      <c r="G70">
        <v>3501105</v>
      </c>
      <c r="H70" t="s">
        <v>1754</v>
      </c>
    </row>
    <row r="71" spans="1:8" x14ac:dyDescent="0.25">
      <c r="A71" t="s">
        <v>5968</v>
      </c>
      <c r="B71" t="s">
        <v>32</v>
      </c>
      <c r="C71" t="s">
        <v>392</v>
      </c>
      <c r="D71">
        <v>127</v>
      </c>
      <c r="E71">
        <v>717.56600000000003</v>
      </c>
      <c r="F71">
        <v>2829.433</v>
      </c>
      <c r="G71">
        <v>3501105</v>
      </c>
      <c r="H71" t="s">
        <v>1754</v>
      </c>
    </row>
    <row r="72" spans="1:8" x14ac:dyDescent="0.25">
      <c r="A72" t="s">
        <v>5966</v>
      </c>
      <c r="B72" t="s">
        <v>37</v>
      </c>
      <c r="C72" t="s">
        <v>392</v>
      </c>
      <c r="D72">
        <v>419</v>
      </c>
      <c r="E72">
        <v>2382.0129999999999</v>
      </c>
      <c r="F72">
        <v>1869.0329999999999</v>
      </c>
      <c r="G72">
        <v>4173571</v>
      </c>
      <c r="H72" t="s">
        <v>5972</v>
      </c>
    </row>
    <row r="73" spans="1:8" x14ac:dyDescent="0.25">
      <c r="A73" t="s">
        <v>5966</v>
      </c>
      <c r="B73" t="s">
        <v>37</v>
      </c>
      <c r="C73" t="s">
        <v>392</v>
      </c>
      <c r="D73">
        <v>420</v>
      </c>
      <c r="E73">
        <v>2387.6979999999999</v>
      </c>
      <c r="F73">
        <v>1873.4939999999999</v>
      </c>
      <c r="G73">
        <v>4173571</v>
      </c>
      <c r="H73" t="s">
        <v>5972</v>
      </c>
    </row>
    <row r="74" spans="1:8" x14ac:dyDescent="0.25">
      <c r="A74" t="s">
        <v>5966</v>
      </c>
      <c r="B74" t="s">
        <v>37</v>
      </c>
      <c r="C74" t="s">
        <v>392</v>
      </c>
      <c r="D74">
        <v>419</v>
      </c>
      <c r="E74">
        <v>2382.0140000000001</v>
      </c>
      <c r="F74">
        <v>1869.0340000000001</v>
      </c>
      <c r="G74">
        <v>4173571</v>
      </c>
      <c r="H74" t="s">
        <v>5972</v>
      </c>
    </row>
    <row r="75" spans="1:8" x14ac:dyDescent="0.25">
      <c r="A75" t="s">
        <v>5966</v>
      </c>
      <c r="B75" t="s">
        <v>37</v>
      </c>
      <c r="C75" t="s">
        <v>392</v>
      </c>
      <c r="D75">
        <v>419</v>
      </c>
      <c r="E75">
        <v>2459.5520000000001</v>
      </c>
      <c r="F75">
        <v>1444.1669999999999</v>
      </c>
      <c r="G75">
        <v>3882110</v>
      </c>
      <c r="H75" t="s">
        <v>1454</v>
      </c>
    </row>
    <row r="76" spans="1:8" x14ac:dyDescent="0.25">
      <c r="A76" t="s">
        <v>5966</v>
      </c>
      <c r="B76" t="s">
        <v>37</v>
      </c>
      <c r="C76" t="s">
        <v>392</v>
      </c>
      <c r="D76">
        <v>419</v>
      </c>
      <c r="E76">
        <v>2459.5520000000001</v>
      </c>
      <c r="F76">
        <v>1444.1669999999999</v>
      </c>
      <c r="G76">
        <v>3882110</v>
      </c>
      <c r="H76" t="s">
        <v>1454</v>
      </c>
    </row>
    <row r="77" spans="1:8" x14ac:dyDescent="0.25">
      <c r="A77" t="s">
        <v>5966</v>
      </c>
      <c r="B77" t="s">
        <v>37</v>
      </c>
      <c r="C77" t="s">
        <v>392</v>
      </c>
      <c r="D77">
        <v>419</v>
      </c>
      <c r="E77">
        <v>2459.5520000000001</v>
      </c>
      <c r="F77">
        <v>1444.1669999999999</v>
      </c>
      <c r="G77">
        <v>3882110</v>
      </c>
      <c r="H77" t="s">
        <v>1454</v>
      </c>
    </row>
    <row r="78" spans="1:8" x14ac:dyDescent="0.25">
      <c r="A78" t="s">
        <v>5966</v>
      </c>
      <c r="B78" t="s">
        <v>37</v>
      </c>
      <c r="C78" t="s">
        <v>392</v>
      </c>
      <c r="D78">
        <v>420</v>
      </c>
      <c r="E78">
        <v>2465.4229999999998</v>
      </c>
      <c r="F78">
        <v>1447.614</v>
      </c>
      <c r="G78">
        <v>3882110</v>
      </c>
      <c r="H78" t="s">
        <v>1454</v>
      </c>
    </row>
    <row r="79" spans="1:8" x14ac:dyDescent="0.25">
      <c r="A79" t="s">
        <v>5966</v>
      </c>
      <c r="B79" t="s">
        <v>37</v>
      </c>
      <c r="C79" t="s">
        <v>392</v>
      </c>
      <c r="D79">
        <v>411</v>
      </c>
      <c r="E79">
        <v>2412.5929999999998</v>
      </c>
      <c r="F79">
        <v>1416.5940000000001</v>
      </c>
      <c r="G79">
        <v>3882110</v>
      </c>
      <c r="H79" t="s">
        <v>1454</v>
      </c>
    </row>
    <row r="80" spans="1:8" x14ac:dyDescent="0.25">
      <c r="A80" t="s">
        <v>5966</v>
      </c>
      <c r="B80" t="s">
        <v>37</v>
      </c>
      <c r="C80" t="s">
        <v>392</v>
      </c>
      <c r="D80">
        <v>418</v>
      </c>
      <c r="E80">
        <v>2453.683</v>
      </c>
      <c r="F80">
        <v>1440.721</v>
      </c>
      <c r="G80">
        <v>3882110</v>
      </c>
      <c r="H80" t="s">
        <v>1454</v>
      </c>
    </row>
    <row r="81" spans="1:8" x14ac:dyDescent="0.25">
      <c r="A81" t="s">
        <v>5973</v>
      </c>
      <c r="B81" t="s">
        <v>194</v>
      </c>
      <c r="C81" t="s">
        <v>397</v>
      </c>
      <c r="D81">
        <v>72</v>
      </c>
      <c r="E81">
        <v>480.23599999999999</v>
      </c>
      <c r="F81">
        <v>2487.096</v>
      </c>
      <c r="G81">
        <v>4253034</v>
      </c>
      <c r="H81" t="s">
        <v>5974</v>
      </c>
    </row>
    <row r="82" spans="1:8" x14ac:dyDescent="0.25">
      <c r="A82" t="s">
        <v>5973</v>
      </c>
      <c r="B82" t="s">
        <v>194</v>
      </c>
      <c r="C82" t="s">
        <v>397</v>
      </c>
      <c r="D82">
        <v>72</v>
      </c>
      <c r="E82">
        <v>480.23599999999999</v>
      </c>
      <c r="F82">
        <v>2487.096</v>
      </c>
      <c r="G82">
        <v>4253034</v>
      </c>
      <c r="H82" t="s">
        <v>5974</v>
      </c>
    </row>
    <row r="83" spans="1:8" x14ac:dyDescent="0.25">
      <c r="A83" t="s">
        <v>5973</v>
      </c>
      <c r="B83" t="s">
        <v>194</v>
      </c>
      <c r="C83" t="s">
        <v>397</v>
      </c>
      <c r="D83">
        <v>72</v>
      </c>
      <c r="E83">
        <v>480.23599999999999</v>
      </c>
      <c r="F83">
        <v>2487.096</v>
      </c>
      <c r="G83">
        <v>4253034</v>
      </c>
      <c r="H83" t="s">
        <v>5974</v>
      </c>
    </row>
    <row r="84" spans="1:8" x14ac:dyDescent="0.25">
      <c r="A84" t="s">
        <v>5973</v>
      </c>
      <c r="B84" t="s">
        <v>194</v>
      </c>
      <c r="C84" t="s">
        <v>397</v>
      </c>
      <c r="D84">
        <v>70</v>
      </c>
      <c r="E84">
        <v>466.89600000000002</v>
      </c>
      <c r="F84">
        <v>2418.0100000000002</v>
      </c>
      <c r="G84">
        <v>4253034</v>
      </c>
      <c r="H84" t="s">
        <v>5974</v>
      </c>
    </row>
    <row r="85" spans="1:8" x14ac:dyDescent="0.25">
      <c r="A85" t="s">
        <v>5973</v>
      </c>
      <c r="B85" t="s">
        <v>194</v>
      </c>
      <c r="C85" t="s">
        <v>397</v>
      </c>
      <c r="D85">
        <v>61</v>
      </c>
      <c r="E85">
        <v>439.19900000000001</v>
      </c>
      <c r="F85">
        <v>2274.5680000000002</v>
      </c>
      <c r="G85">
        <v>3500228</v>
      </c>
      <c r="H85" t="s">
        <v>5975</v>
      </c>
    </row>
    <row r="86" spans="1:8" x14ac:dyDescent="0.25">
      <c r="A86" t="s">
        <v>5973</v>
      </c>
      <c r="B86" t="s">
        <v>194</v>
      </c>
      <c r="C86" t="s">
        <v>397</v>
      </c>
      <c r="D86">
        <v>70</v>
      </c>
      <c r="E86">
        <v>408.803</v>
      </c>
      <c r="F86">
        <v>2117.15</v>
      </c>
      <c r="G86">
        <v>4253035</v>
      </c>
      <c r="H86" t="s">
        <v>5976</v>
      </c>
    </row>
    <row r="87" spans="1:8" x14ac:dyDescent="0.25">
      <c r="A87" t="s">
        <v>5973</v>
      </c>
      <c r="B87" t="s">
        <v>194</v>
      </c>
      <c r="C87" t="s">
        <v>397</v>
      </c>
      <c r="D87">
        <v>65</v>
      </c>
      <c r="E87">
        <v>364.00200000000001</v>
      </c>
      <c r="F87">
        <v>1885.13</v>
      </c>
      <c r="G87">
        <v>3499030</v>
      </c>
      <c r="H87" t="s">
        <v>5977</v>
      </c>
    </row>
    <row r="88" spans="1:8" x14ac:dyDescent="0.25">
      <c r="A88" t="s">
        <v>5973</v>
      </c>
      <c r="B88" t="s">
        <v>194</v>
      </c>
      <c r="C88" t="s">
        <v>397</v>
      </c>
      <c r="D88">
        <v>93</v>
      </c>
      <c r="E88">
        <v>595.20100000000002</v>
      </c>
      <c r="F88">
        <v>3082.4850000000001</v>
      </c>
      <c r="G88">
        <v>3498846</v>
      </c>
      <c r="H88" t="s">
        <v>5978</v>
      </c>
    </row>
    <row r="89" spans="1:8" x14ac:dyDescent="0.25">
      <c r="A89" t="s">
        <v>5979</v>
      </c>
      <c r="B89" t="s">
        <v>118</v>
      </c>
      <c r="C89" t="s">
        <v>444</v>
      </c>
      <c r="D89">
        <v>11</v>
      </c>
      <c r="E89">
        <v>55</v>
      </c>
      <c r="F89">
        <v>284.839</v>
      </c>
      <c r="G89">
        <v>3499180</v>
      </c>
      <c r="H89" t="s">
        <v>1762</v>
      </c>
    </row>
    <row r="90" spans="1:8" x14ac:dyDescent="0.25">
      <c r="A90" t="s">
        <v>5979</v>
      </c>
      <c r="B90" t="s">
        <v>118</v>
      </c>
      <c r="C90" t="s">
        <v>444</v>
      </c>
      <c r="D90">
        <v>9</v>
      </c>
      <c r="E90">
        <v>53.997999999999998</v>
      </c>
      <c r="F90">
        <v>279.64999999999998</v>
      </c>
      <c r="G90">
        <v>3499141</v>
      </c>
      <c r="H90" t="s">
        <v>5980</v>
      </c>
    </row>
    <row r="91" spans="1:8" x14ac:dyDescent="0.25">
      <c r="A91" t="s">
        <v>5979</v>
      </c>
      <c r="B91" t="s">
        <v>118</v>
      </c>
      <c r="C91" t="s">
        <v>444</v>
      </c>
      <c r="D91">
        <v>96</v>
      </c>
      <c r="E91">
        <v>585.59400000000005</v>
      </c>
      <c r="F91">
        <v>3032.7330000000002</v>
      </c>
      <c r="G91">
        <v>3498881</v>
      </c>
      <c r="H91" t="s">
        <v>1763</v>
      </c>
    </row>
    <row r="92" spans="1:8" x14ac:dyDescent="0.25">
      <c r="A92" t="s">
        <v>5979</v>
      </c>
      <c r="B92" t="s">
        <v>118</v>
      </c>
      <c r="C92" t="s">
        <v>444</v>
      </c>
      <c r="D92">
        <v>92</v>
      </c>
      <c r="E92">
        <v>561.19399999999996</v>
      </c>
      <c r="F92">
        <v>2906.3679999999999</v>
      </c>
      <c r="G92">
        <v>3498881</v>
      </c>
      <c r="H92" t="s">
        <v>1763</v>
      </c>
    </row>
    <row r="93" spans="1:8" x14ac:dyDescent="0.25">
      <c r="A93" t="s">
        <v>5979</v>
      </c>
      <c r="B93" t="s">
        <v>118</v>
      </c>
      <c r="C93" t="s">
        <v>444</v>
      </c>
      <c r="D93">
        <v>55</v>
      </c>
      <c r="E93">
        <v>335.49599999999998</v>
      </c>
      <c r="F93">
        <v>1737.5</v>
      </c>
      <c r="G93">
        <v>3498881</v>
      </c>
      <c r="H93" t="s">
        <v>1763</v>
      </c>
    </row>
    <row r="94" spans="1:8" x14ac:dyDescent="0.25">
      <c r="A94" t="s">
        <v>5979</v>
      </c>
      <c r="B94" t="s">
        <v>118</v>
      </c>
      <c r="C94" t="s">
        <v>444</v>
      </c>
      <c r="D94">
        <v>4</v>
      </c>
      <c r="E94">
        <v>24.399000000000001</v>
      </c>
      <c r="F94">
        <v>126.36</v>
      </c>
      <c r="G94">
        <v>3498881</v>
      </c>
      <c r="H94" t="s">
        <v>1763</v>
      </c>
    </row>
    <row r="95" spans="1:8" x14ac:dyDescent="0.25">
      <c r="A95" t="s">
        <v>5979</v>
      </c>
      <c r="B95" t="s">
        <v>118</v>
      </c>
      <c r="C95" t="s">
        <v>444</v>
      </c>
      <c r="D95">
        <v>3</v>
      </c>
      <c r="E95">
        <v>18.298999999999999</v>
      </c>
      <c r="F95">
        <v>94.769000000000005</v>
      </c>
      <c r="G95">
        <v>3498881</v>
      </c>
      <c r="H95" t="s">
        <v>1763</v>
      </c>
    </row>
    <row r="96" spans="1:8" x14ac:dyDescent="0.25">
      <c r="A96" t="s">
        <v>5979</v>
      </c>
      <c r="B96" t="s">
        <v>118</v>
      </c>
      <c r="C96" t="s">
        <v>444</v>
      </c>
      <c r="D96">
        <v>124</v>
      </c>
      <c r="E96">
        <v>465</v>
      </c>
      <c r="F96">
        <v>2408.1880000000001</v>
      </c>
      <c r="G96">
        <v>3498966</v>
      </c>
      <c r="H96" t="s">
        <v>1760</v>
      </c>
    </row>
    <row r="97" spans="1:8" x14ac:dyDescent="0.25">
      <c r="A97" t="s">
        <v>5979</v>
      </c>
      <c r="B97" t="s">
        <v>118</v>
      </c>
      <c r="C97" t="s">
        <v>444</v>
      </c>
      <c r="D97">
        <v>120</v>
      </c>
      <c r="E97">
        <v>450</v>
      </c>
      <c r="F97">
        <v>2330.5050000000001</v>
      </c>
      <c r="G97">
        <v>3498966</v>
      </c>
      <c r="H97" t="s">
        <v>1760</v>
      </c>
    </row>
    <row r="98" spans="1:8" x14ac:dyDescent="0.25">
      <c r="A98" t="s">
        <v>5979</v>
      </c>
      <c r="B98" t="s">
        <v>118</v>
      </c>
      <c r="C98" t="s">
        <v>444</v>
      </c>
      <c r="D98">
        <v>6</v>
      </c>
      <c r="E98">
        <v>22.5</v>
      </c>
      <c r="F98">
        <v>116.52500000000001</v>
      </c>
      <c r="G98">
        <v>3498966</v>
      </c>
      <c r="H98" t="s">
        <v>1760</v>
      </c>
    </row>
    <row r="99" spans="1:8" x14ac:dyDescent="0.25">
      <c r="A99" t="s">
        <v>5979</v>
      </c>
      <c r="B99" t="s">
        <v>118</v>
      </c>
      <c r="C99" t="s">
        <v>444</v>
      </c>
      <c r="D99">
        <v>129</v>
      </c>
      <c r="E99">
        <v>516</v>
      </c>
      <c r="F99">
        <v>2672.3119999999999</v>
      </c>
      <c r="G99">
        <v>3499247</v>
      </c>
      <c r="H99" t="s">
        <v>1761</v>
      </c>
    </row>
    <row r="100" spans="1:8" x14ac:dyDescent="0.25">
      <c r="A100" t="s">
        <v>5979</v>
      </c>
      <c r="B100" t="s">
        <v>118</v>
      </c>
      <c r="C100" t="s">
        <v>444</v>
      </c>
      <c r="D100">
        <v>120</v>
      </c>
      <c r="E100">
        <v>480</v>
      </c>
      <c r="F100">
        <v>2485.8719999999998</v>
      </c>
      <c r="G100">
        <v>3499247</v>
      </c>
      <c r="H100" t="s">
        <v>1761</v>
      </c>
    </row>
    <row r="101" spans="1:8" x14ac:dyDescent="0.25">
      <c r="A101" t="s">
        <v>5979</v>
      </c>
      <c r="B101" t="s">
        <v>118</v>
      </c>
      <c r="C101" t="s">
        <v>444</v>
      </c>
      <c r="D101">
        <v>1</v>
      </c>
      <c r="E101">
        <v>4</v>
      </c>
      <c r="F101">
        <v>20.716000000000001</v>
      </c>
      <c r="G101">
        <v>3499247</v>
      </c>
      <c r="H101" t="s">
        <v>1761</v>
      </c>
    </row>
    <row r="102" spans="1:8" x14ac:dyDescent="0.25">
      <c r="A102" t="s">
        <v>5979</v>
      </c>
      <c r="B102" t="s">
        <v>118</v>
      </c>
      <c r="C102" t="s">
        <v>444</v>
      </c>
      <c r="D102">
        <v>96</v>
      </c>
      <c r="E102">
        <v>575.99199999999996</v>
      </c>
      <c r="F102">
        <v>2983.0050000000001</v>
      </c>
      <c r="G102">
        <v>3499141</v>
      </c>
      <c r="H102" t="s">
        <v>5980</v>
      </c>
    </row>
    <row r="103" spans="1:8" x14ac:dyDescent="0.25">
      <c r="A103" t="s">
        <v>5979</v>
      </c>
      <c r="B103" t="s">
        <v>118</v>
      </c>
      <c r="C103" t="s">
        <v>444</v>
      </c>
      <c r="D103">
        <v>90</v>
      </c>
      <c r="E103">
        <v>539.99199999999996</v>
      </c>
      <c r="F103">
        <v>2796.5650000000001</v>
      </c>
      <c r="G103">
        <v>3499141</v>
      </c>
      <c r="H103" t="s">
        <v>5980</v>
      </c>
    </row>
    <row r="104" spans="1:8" x14ac:dyDescent="0.25">
      <c r="A104" t="s">
        <v>5979</v>
      </c>
      <c r="B104" t="s">
        <v>118</v>
      </c>
      <c r="C104" t="s">
        <v>444</v>
      </c>
      <c r="D104">
        <v>61</v>
      </c>
      <c r="E104">
        <v>365.99400000000003</v>
      </c>
      <c r="F104">
        <v>1895.4459999999999</v>
      </c>
      <c r="G104">
        <v>3499141</v>
      </c>
      <c r="H104" t="s">
        <v>5980</v>
      </c>
    </row>
    <row r="105" spans="1:8" x14ac:dyDescent="0.25">
      <c r="A105" t="s">
        <v>5979</v>
      </c>
      <c r="B105" t="s">
        <v>118</v>
      </c>
      <c r="C105" t="s">
        <v>444</v>
      </c>
      <c r="D105">
        <v>3</v>
      </c>
      <c r="E105">
        <v>17.998999999999999</v>
      </c>
      <c r="F105">
        <v>93.215000000000003</v>
      </c>
      <c r="G105">
        <v>3499141</v>
      </c>
      <c r="H105" t="s">
        <v>5980</v>
      </c>
    </row>
    <row r="106" spans="1:8" x14ac:dyDescent="0.25">
      <c r="A106" t="s">
        <v>5981</v>
      </c>
      <c r="B106" t="s">
        <v>176</v>
      </c>
      <c r="C106" t="s">
        <v>397</v>
      </c>
      <c r="D106">
        <v>120</v>
      </c>
      <c r="E106">
        <v>480.00900000000001</v>
      </c>
      <c r="F106">
        <v>2485.92</v>
      </c>
      <c r="G106">
        <v>3499247</v>
      </c>
      <c r="H106" t="s">
        <v>1761</v>
      </c>
    </row>
    <row r="107" spans="1:8" x14ac:dyDescent="0.25">
      <c r="A107" t="s">
        <v>5981</v>
      </c>
      <c r="B107" t="s">
        <v>176</v>
      </c>
      <c r="C107" t="s">
        <v>397</v>
      </c>
      <c r="D107">
        <v>120</v>
      </c>
      <c r="E107">
        <v>480.00900000000001</v>
      </c>
      <c r="F107">
        <v>2485.92</v>
      </c>
      <c r="G107">
        <v>3499247</v>
      </c>
      <c r="H107" t="s">
        <v>1761</v>
      </c>
    </row>
    <row r="108" spans="1:8" x14ac:dyDescent="0.25">
      <c r="A108" t="s">
        <v>5981</v>
      </c>
      <c r="B108" t="s">
        <v>176</v>
      </c>
      <c r="C108" t="s">
        <v>397</v>
      </c>
      <c r="D108">
        <v>119</v>
      </c>
      <c r="E108">
        <v>476.00900000000001</v>
      </c>
      <c r="F108">
        <v>2465.2040000000002</v>
      </c>
      <c r="G108">
        <v>3499247</v>
      </c>
      <c r="H108" t="s">
        <v>1761</v>
      </c>
    </row>
    <row r="109" spans="1:8" x14ac:dyDescent="0.25">
      <c r="A109" t="s">
        <v>5981</v>
      </c>
      <c r="B109" t="s">
        <v>176</v>
      </c>
      <c r="C109" t="s">
        <v>397</v>
      </c>
      <c r="D109">
        <v>72</v>
      </c>
      <c r="E109">
        <v>288.00599999999997</v>
      </c>
      <c r="F109">
        <v>1491.5519999999999</v>
      </c>
      <c r="G109">
        <v>3499247</v>
      </c>
      <c r="H109" t="s">
        <v>1761</v>
      </c>
    </row>
    <row r="110" spans="1:8" x14ac:dyDescent="0.25">
      <c r="A110" t="s">
        <v>5981</v>
      </c>
      <c r="B110" t="s">
        <v>176</v>
      </c>
      <c r="C110" t="s">
        <v>397</v>
      </c>
      <c r="D110">
        <v>66</v>
      </c>
      <c r="E110">
        <v>264.005</v>
      </c>
      <c r="F110">
        <v>1367.2560000000001</v>
      </c>
      <c r="G110">
        <v>3499247</v>
      </c>
      <c r="H110" t="s">
        <v>1761</v>
      </c>
    </row>
    <row r="111" spans="1:8" x14ac:dyDescent="0.25">
      <c r="A111" t="s">
        <v>5981</v>
      </c>
      <c r="B111" t="s">
        <v>176</v>
      </c>
      <c r="C111" t="s">
        <v>397</v>
      </c>
      <c r="D111">
        <v>13</v>
      </c>
      <c r="E111">
        <v>52.000999999999998</v>
      </c>
      <c r="F111">
        <v>269.30799999999999</v>
      </c>
      <c r="G111">
        <v>3499247</v>
      </c>
      <c r="H111" t="s">
        <v>1761</v>
      </c>
    </row>
    <row r="112" spans="1:8" x14ac:dyDescent="0.25">
      <c r="A112" t="s">
        <v>5981</v>
      </c>
      <c r="B112" t="s">
        <v>176</v>
      </c>
      <c r="C112" t="s">
        <v>397</v>
      </c>
      <c r="D112">
        <v>96</v>
      </c>
      <c r="E112">
        <v>585.59500000000003</v>
      </c>
      <c r="F112">
        <v>3032.7359999999999</v>
      </c>
      <c r="G112">
        <v>3498881</v>
      </c>
      <c r="H112" t="s">
        <v>1763</v>
      </c>
    </row>
    <row r="113" spans="1:8" x14ac:dyDescent="0.25">
      <c r="A113" t="s">
        <v>5981</v>
      </c>
      <c r="B113" t="s">
        <v>176</v>
      </c>
      <c r="C113" t="s">
        <v>397</v>
      </c>
      <c r="D113">
        <v>96</v>
      </c>
      <c r="E113">
        <v>585.59500000000003</v>
      </c>
      <c r="F113">
        <v>3032.7359999999999</v>
      </c>
      <c r="G113">
        <v>3498881</v>
      </c>
      <c r="H113" t="s">
        <v>1763</v>
      </c>
    </row>
    <row r="114" spans="1:8" x14ac:dyDescent="0.25">
      <c r="A114" t="s">
        <v>5981</v>
      </c>
      <c r="B114" t="s">
        <v>176</v>
      </c>
      <c r="C114" t="s">
        <v>397</v>
      </c>
      <c r="D114">
        <v>92</v>
      </c>
      <c r="E114">
        <v>561.19500000000005</v>
      </c>
      <c r="F114">
        <v>2906.3719999999998</v>
      </c>
      <c r="G114">
        <v>3498881</v>
      </c>
      <c r="H114" t="s">
        <v>1763</v>
      </c>
    </row>
    <row r="115" spans="1:8" x14ac:dyDescent="0.25">
      <c r="A115" t="s">
        <v>5981</v>
      </c>
      <c r="B115" t="s">
        <v>176</v>
      </c>
      <c r="C115" t="s">
        <v>397</v>
      </c>
      <c r="D115">
        <v>87</v>
      </c>
      <c r="E115">
        <v>530.69500000000005</v>
      </c>
      <c r="F115">
        <v>2748.4169999999999</v>
      </c>
      <c r="G115">
        <v>3498881</v>
      </c>
      <c r="H115" t="s">
        <v>1763</v>
      </c>
    </row>
    <row r="116" spans="1:8" x14ac:dyDescent="0.25">
      <c r="A116" t="s">
        <v>5981</v>
      </c>
      <c r="B116" t="s">
        <v>176</v>
      </c>
      <c r="C116" t="s">
        <v>397</v>
      </c>
      <c r="D116">
        <v>68</v>
      </c>
      <c r="E116">
        <v>414.79599999999999</v>
      </c>
      <c r="F116">
        <v>2148.1880000000001</v>
      </c>
      <c r="G116">
        <v>3498881</v>
      </c>
      <c r="H116" t="s">
        <v>1763</v>
      </c>
    </row>
    <row r="117" spans="1:8" x14ac:dyDescent="0.25">
      <c r="A117" t="s">
        <v>5981</v>
      </c>
      <c r="B117" t="s">
        <v>176</v>
      </c>
      <c r="C117" t="s">
        <v>397</v>
      </c>
      <c r="D117">
        <v>12</v>
      </c>
      <c r="E117">
        <v>73.198999999999998</v>
      </c>
      <c r="F117">
        <v>379.09199999999998</v>
      </c>
      <c r="G117">
        <v>3498881</v>
      </c>
      <c r="H117" t="s">
        <v>1763</v>
      </c>
    </row>
    <row r="118" spans="1:8" x14ac:dyDescent="0.25">
      <c r="A118" t="s">
        <v>5981</v>
      </c>
      <c r="B118" t="s">
        <v>176</v>
      </c>
      <c r="C118" t="s">
        <v>397</v>
      </c>
      <c r="D118">
        <v>9</v>
      </c>
      <c r="E118">
        <v>54.899000000000001</v>
      </c>
      <c r="F118">
        <v>284.31900000000002</v>
      </c>
      <c r="G118">
        <v>3498881</v>
      </c>
      <c r="H118" t="s">
        <v>1763</v>
      </c>
    </row>
    <row r="119" spans="1:8" x14ac:dyDescent="0.25">
      <c r="A119" t="s">
        <v>5966</v>
      </c>
      <c r="B119" t="s">
        <v>37</v>
      </c>
      <c r="C119" t="s">
        <v>392</v>
      </c>
      <c r="D119">
        <v>420</v>
      </c>
      <c r="E119">
        <v>2387.6979999999999</v>
      </c>
      <c r="F119">
        <v>1873.4939999999999</v>
      </c>
      <c r="G119">
        <v>4173571</v>
      </c>
      <c r="H119" t="s">
        <v>5972</v>
      </c>
    </row>
    <row r="120" spans="1:8" x14ac:dyDescent="0.25">
      <c r="A120" t="s">
        <v>5966</v>
      </c>
      <c r="B120" t="s">
        <v>37</v>
      </c>
      <c r="C120" t="s">
        <v>392</v>
      </c>
      <c r="D120">
        <v>419</v>
      </c>
      <c r="E120">
        <v>2382.0129999999999</v>
      </c>
      <c r="F120">
        <v>1869.0329999999999</v>
      </c>
      <c r="G120">
        <v>4173571</v>
      </c>
      <c r="H120" t="s">
        <v>5972</v>
      </c>
    </row>
    <row r="121" spans="1:8" x14ac:dyDescent="0.25">
      <c r="A121" t="s">
        <v>5966</v>
      </c>
      <c r="B121" t="s">
        <v>37</v>
      </c>
      <c r="C121" t="s">
        <v>392</v>
      </c>
      <c r="D121">
        <v>419</v>
      </c>
      <c r="E121">
        <v>2382.0129999999999</v>
      </c>
      <c r="F121">
        <v>1869.0329999999999</v>
      </c>
      <c r="G121">
        <v>4173571</v>
      </c>
      <c r="H121" t="s">
        <v>5972</v>
      </c>
    </row>
    <row r="122" spans="1:8" x14ac:dyDescent="0.25">
      <c r="A122" t="s">
        <v>5966</v>
      </c>
      <c r="B122" t="s">
        <v>37</v>
      </c>
      <c r="C122" t="s">
        <v>392</v>
      </c>
      <c r="D122">
        <v>558</v>
      </c>
      <c r="E122">
        <v>3347.944</v>
      </c>
      <c r="F122">
        <v>2226.42</v>
      </c>
      <c r="G122">
        <v>3498997</v>
      </c>
      <c r="H122" t="s">
        <v>1355</v>
      </c>
    </row>
    <row r="123" spans="1:8" x14ac:dyDescent="0.25">
      <c r="A123" t="s">
        <v>5966</v>
      </c>
      <c r="B123" t="s">
        <v>37</v>
      </c>
      <c r="C123" t="s">
        <v>392</v>
      </c>
      <c r="D123">
        <v>558</v>
      </c>
      <c r="E123">
        <v>3347.944</v>
      </c>
      <c r="F123">
        <v>2226.42</v>
      </c>
      <c r="G123">
        <v>3498997</v>
      </c>
      <c r="H123" t="s">
        <v>1355</v>
      </c>
    </row>
    <row r="124" spans="1:8" x14ac:dyDescent="0.25">
      <c r="A124" t="s">
        <v>5966</v>
      </c>
      <c r="B124" t="s">
        <v>37</v>
      </c>
      <c r="C124" t="s">
        <v>392</v>
      </c>
      <c r="D124">
        <v>559</v>
      </c>
      <c r="E124">
        <v>3353.944</v>
      </c>
      <c r="F124">
        <v>2230.41</v>
      </c>
      <c r="G124">
        <v>3498997</v>
      </c>
      <c r="H124" t="s">
        <v>1355</v>
      </c>
    </row>
    <row r="125" spans="1:8" x14ac:dyDescent="0.25">
      <c r="A125" t="s">
        <v>5966</v>
      </c>
      <c r="B125" t="s">
        <v>37</v>
      </c>
      <c r="C125" t="s">
        <v>392</v>
      </c>
      <c r="D125">
        <v>559</v>
      </c>
      <c r="E125">
        <v>3353.944</v>
      </c>
      <c r="F125">
        <v>2230.41</v>
      </c>
      <c r="G125">
        <v>3498997</v>
      </c>
      <c r="H125" t="s">
        <v>1355</v>
      </c>
    </row>
    <row r="126" spans="1:8" x14ac:dyDescent="0.25">
      <c r="A126" t="s">
        <v>5966</v>
      </c>
      <c r="B126" t="s">
        <v>37</v>
      </c>
      <c r="C126" t="s">
        <v>392</v>
      </c>
      <c r="D126">
        <v>423</v>
      </c>
      <c r="E126">
        <v>2398.3919999999998</v>
      </c>
      <c r="F126">
        <v>1881.885</v>
      </c>
      <c r="G126">
        <v>3954021</v>
      </c>
      <c r="H126" t="s">
        <v>5982</v>
      </c>
    </row>
    <row r="127" spans="1:8" x14ac:dyDescent="0.25">
      <c r="A127" t="s">
        <v>5966</v>
      </c>
      <c r="B127" t="s">
        <v>37</v>
      </c>
      <c r="C127" t="s">
        <v>392</v>
      </c>
      <c r="D127">
        <v>422</v>
      </c>
      <c r="E127">
        <v>2221.3719999999998</v>
      </c>
      <c r="F127">
        <v>1742.9870000000001</v>
      </c>
      <c r="G127">
        <v>3501116</v>
      </c>
      <c r="H127" t="s">
        <v>5983</v>
      </c>
    </row>
    <row r="128" spans="1:8" x14ac:dyDescent="0.25">
      <c r="A128" t="s">
        <v>5968</v>
      </c>
      <c r="B128" t="s">
        <v>32</v>
      </c>
      <c r="C128" t="s">
        <v>392</v>
      </c>
      <c r="D128">
        <v>558</v>
      </c>
      <c r="E128">
        <v>3348.0329999999999</v>
      </c>
      <c r="F128">
        <v>1945.914</v>
      </c>
      <c r="G128">
        <v>3891285</v>
      </c>
      <c r="H128" t="s">
        <v>1329</v>
      </c>
    </row>
    <row r="129" spans="1:8" x14ac:dyDescent="0.25">
      <c r="A129" t="s">
        <v>5968</v>
      </c>
      <c r="B129" t="s">
        <v>32</v>
      </c>
      <c r="C129" t="s">
        <v>392</v>
      </c>
      <c r="D129">
        <v>558</v>
      </c>
      <c r="E129">
        <v>3348.0329999999999</v>
      </c>
      <c r="F129">
        <v>1945.914</v>
      </c>
      <c r="G129">
        <v>3891285</v>
      </c>
      <c r="H129" t="s">
        <v>1329</v>
      </c>
    </row>
    <row r="130" spans="1:8" x14ac:dyDescent="0.25">
      <c r="A130" t="s">
        <v>5968</v>
      </c>
      <c r="B130" t="s">
        <v>32</v>
      </c>
      <c r="C130" t="s">
        <v>392</v>
      </c>
      <c r="D130">
        <v>298</v>
      </c>
      <c r="E130">
        <v>1788.018</v>
      </c>
      <c r="F130">
        <v>1039.2159999999999</v>
      </c>
      <c r="G130">
        <v>3891285</v>
      </c>
      <c r="H130" t="s">
        <v>1329</v>
      </c>
    </row>
    <row r="131" spans="1:8" x14ac:dyDescent="0.25">
      <c r="A131" t="s">
        <v>5966</v>
      </c>
      <c r="B131" t="s">
        <v>37</v>
      </c>
      <c r="C131" t="s">
        <v>392</v>
      </c>
      <c r="D131">
        <v>199</v>
      </c>
      <c r="E131">
        <v>1392.9960000000001</v>
      </c>
      <c r="F131">
        <v>1323.47</v>
      </c>
      <c r="G131">
        <v>3500582</v>
      </c>
      <c r="H131" t="s">
        <v>1423</v>
      </c>
    </row>
    <row r="132" spans="1:8" x14ac:dyDescent="0.25">
      <c r="A132" t="s">
        <v>5984</v>
      </c>
      <c r="B132" t="s">
        <v>15</v>
      </c>
      <c r="C132" t="s">
        <v>397</v>
      </c>
      <c r="D132">
        <v>144</v>
      </c>
      <c r="E132">
        <v>540.00300000000004</v>
      </c>
      <c r="F132">
        <v>2796.6239999999998</v>
      </c>
      <c r="G132">
        <v>3498966</v>
      </c>
      <c r="H132" t="s">
        <v>1760</v>
      </c>
    </row>
    <row r="133" spans="1:8" x14ac:dyDescent="0.25">
      <c r="A133" t="s">
        <v>5984</v>
      </c>
      <c r="B133" t="s">
        <v>15</v>
      </c>
      <c r="C133" t="s">
        <v>397</v>
      </c>
      <c r="D133">
        <v>135</v>
      </c>
      <c r="E133">
        <v>506.25299999999999</v>
      </c>
      <c r="F133">
        <v>2621.835</v>
      </c>
      <c r="G133">
        <v>3498966</v>
      </c>
      <c r="H133" t="s">
        <v>1760</v>
      </c>
    </row>
    <row r="134" spans="1:8" x14ac:dyDescent="0.25">
      <c r="A134" t="s">
        <v>5984</v>
      </c>
      <c r="B134" t="s">
        <v>15</v>
      </c>
      <c r="C134" t="s">
        <v>397</v>
      </c>
      <c r="D134">
        <v>131</v>
      </c>
      <c r="E134">
        <v>491.25299999999999</v>
      </c>
      <c r="F134">
        <v>2544.1509999999998</v>
      </c>
      <c r="G134">
        <v>3498966</v>
      </c>
      <c r="H134" t="s">
        <v>1760</v>
      </c>
    </row>
    <row r="135" spans="1:8" x14ac:dyDescent="0.25">
      <c r="A135" t="s">
        <v>5984</v>
      </c>
      <c r="B135" t="s">
        <v>15</v>
      </c>
      <c r="C135" t="s">
        <v>397</v>
      </c>
      <c r="D135">
        <v>143</v>
      </c>
      <c r="E135">
        <v>572.01099999999997</v>
      </c>
      <c r="F135">
        <v>2962.3879999999999</v>
      </c>
      <c r="G135">
        <v>3499247</v>
      </c>
      <c r="H135" t="s">
        <v>1761</v>
      </c>
    </row>
    <row r="136" spans="1:8" x14ac:dyDescent="0.25">
      <c r="A136" t="s">
        <v>5984</v>
      </c>
      <c r="B136" t="s">
        <v>15</v>
      </c>
      <c r="C136" t="s">
        <v>397</v>
      </c>
      <c r="D136">
        <v>55</v>
      </c>
      <c r="E136">
        <v>220.00399999999999</v>
      </c>
      <c r="F136">
        <v>1139.3800000000001</v>
      </c>
      <c r="G136">
        <v>3499247</v>
      </c>
      <c r="H136" t="s">
        <v>1761</v>
      </c>
    </row>
    <row r="137" spans="1:8" x14ac:dyDescent="0.25">
      <c r="A137" t="s">
        <v>5984</v>
      </c>
      <c r="B137" t="s">
        <v>15</v>
      </c>
      <c r="C137" t="s">
        <v>397</v>
      </c>
      <c r="D137">
        <v>93</v>
      </c>
      <c r="E137">
        <v>465.00900000000001</v>
      </c>
      <c r="F137">
        <v>2408.2350000000001</v>
      </c>
      <c r="G137">
        <v>3499180</v>
      </c>
      <c r="H137" t="s">
        <v>1762</v>
      </c>
    </row>
    <row r="138" spans="1:8" x14ac:dyDescent="0.25">
      <c r="A138" t="s">
        <v>5984</v>
      </c>
      <c r="B138" t="s">
        <v>15</v>
      </c>
      <c r="C138" t="s">
        <v>397</v>
      </c>
      <c r="D138">
        <v>92</v>
      </c>
      <c r="E138">
        <v>460.00900000000001</v>
      </c>
      <c r="F138">
        <v>2382.34</v>
      </c>
      <c r="G138">
        <v>3499180</v>
      </c>
      <c r="H138" t="s">
        <v>1762</v>
      </c>
    </row>
    <row r="139" spans="1:8" x14ac:dyDescent="0.25">
      <c r="A139" t="s">
        <v>5984</v>
      </c>
      <c r="B139" t="s">
        <v>15</v>
      </c>
      <c r="C139" t="s">
        <v>397</v>
      </c>
      <c r="D139">
        <v>76</v>
      </c>
      <c r="E139">
        <v>380.00700000000001</v>
      </c>
      <c r="F139">
        <v>1968.02</v>
      </c>
      <c r="G139">
        <v>3499180</v>
      </c>
      <c r="H139" t="s">
        <v>1762</v>
      </c>
    </row>
    <row r="140" spans="1:8" x14ac:dyDescent="0.25">
      <c r="A140" t="s">
        <v>5984</v>
      </c>
      <c r="B140" t="s">
        <v>15</v>
      </c>
      <c r="C140" t="s">
        <v>397</v>
      </c>
      <c r="D140">
        <v>55</v>
      </c>
      <c r="E140">
        <v>275.005</v>
      </c>
      <c r="F140">
        <v>1424.2249999999999</v>
      </c>
      <c r="G140">
        <v>3499180</v>
      </c>
      <c r="H140" t="s">
        <v>1762</v>
      </c>
    </row>
    <row r="141" spans="1:8" x14ac:dyDescent="0.25">
      <c r="A141" t="s">
        <v>5984</v>
      </c>
      <c r="B141" t="s">
        <v>15</v>
      </c>
      <c r="C141" t="s">
        <v>397</v>
      </c>
      <c r="D141">
        <v>106</v>
      </c>
      <c r="E141">
        <v>646.58500000000004</v>
      </c>
      <c r="F141">
        <v>1730.1320000000001</v>
      </c>
      <c r="G141">
        <v>3499025</v>
      </c>
      <c r="H141" t="s">
        <v>5985</v>
      </c>
    </row>
    <row r="142" spans="1:8" x14ac:dyDescent="0.25">
      <c r="A142" t="s">
        <v>5984</v>
      </c>
      <c r="B142" t="s">
        <v>15</v>
      </c>
      <c r="C142" t="s">
        <v>397</v>
      </c>
      <c r="D142">
        <v>72</v>
      </c>
      <c r="E142">
        <v>468.00200000000001</v>
      </c>
      <c r="F142">
        <v>2423.7359999999999</v>
      </c>
      <c r="G142">
        <v>3498875</v>
      </c>
      <c r="H142" t="s">
        <v>5986</v>
      </c>
    </row>
    <row r="143" spans="1:8" x14ac:dyDescent="0.25">
      <c r="A143" t="s">
        <v>5984</v>
      </c>
      <c r="B143" t="s">
        <v>15</v>
      </c>
      <c r="C143" t="s">
        <v>397</v>
      </c>
      <c r="D143">
        <v>30</v>
      </c>
      <c r="E143">
        <v>195.001</v>
      </c>
      <c r="F143">
        <v>1009.89</v>
      </c>
      <c r="G143">
        <v>3498875</v>
      </c>
      <c r="H143" t="s">
        <v>5986</v>
      </c>
    </row>
    <row r="144" spans="1:8" x14ac:dyDescent="0.25">
      <c r="A144" t="s">
        <v>5984</v>
      </c>
      <c r="B144" t="s">
        <v>15</v>
      </c>
      <c r="C144" t="s">
        <v>397</v>
      </c>
      <c r="D144">
        <v>72</v>
      </c>
      <c r="E144">
        <v>439.19900000000001</v>
      </c>
      <c r="F144">
        <v>2612.6640000000002</v>
      </c>
      <c r="G144">
        <v>3498975</v>
      </c>
      <c r="H144" t="s">
        <v>5987</v>
      </c>
    </row>
    <row r="145" spans="1:8" x14ac:dyDescent="0.25">
      <c r="A145" t="s">
        <v>5984</v>
      </c>
      <c r="B145" t="s">
        <v>15</v>
      </c>
      <c r="C145" t="s">
        <v>397</v>
      </c>
      <c r="D145">
        <v>50</v>
      </c>
      <c r="E145">
        <v>304.99900000000002</v>
      </c>
      <c r="F145">
        <v>1814.35</v>
      </c>
      <c r="G145">
        <v>3498975</v>
      </c>
      <c r="H145" t="s">
        <v>5987</v>
      </c>
    </row>
    <row r="146" spans="1:8" x14ac:dyDescent="0.25">
      <c r="A146" t="s">
        <v>5984</v>
      </c>
      <c r="B146" t="s">
        <v>15</v>
      </c>
      <c r="C146" t="s">
        <v>397</v>
      </c>
      <c r="D146">
        <v>110</v>
      </c>
      <c r="E146">
        <v>391.255</v>
      </c>
      <c r="F146">
        <v>1471.47</v>
      </c>
      <c r="G146">
        <v>3500116</v>
      </c>
      <c r="H146" t="s">
        <v>5988</v>
      </c>
    </row>
    <row r="147" spans="1:8" x14ac:dyDescent="0.25">
      <c r="A147" t="s">
        <v>5984</v>
      </c>
      <c r="B147" t="s">
        <v>15</v>
      </c>
      <c r="C147" t="s">
        <v>397</v>
      </c>
      <c r="D147">
        <v>107</v>
      </c>
      <c r="E147">
        <v>380.584</v>
      </c>
      <c r="F147">
        <v>1431.3389999999999</v>
      </c>
      <c r="G147">
        <v>3500116</v>
      </c>
      <c r="H147" t="s">
        <v>5988</v>
      </c>
    </row>
    <row r="148" spans="1:8" x14ac:dyDescent="0.25">
      <c r="A148" t="s">
        <v>5984</v>
      </c>
      <c r="B148" t="s">
        <v>15</v>
      </c>
      <c r="C148" t="s">
        <v>397</v>
      </c>
      <c r="D148">
        <v>96</v>
      </c>
      <c r="E148">
        <v>341.459</v>
      </c>
      <c r="F148">
        <v>1284.192</v>
      </c>
      <c r="G148">
        <v>3500116</v>
      </c>
      <c r="H148" t="s">
        <v>5988</v>
      </c>
    </row>
    <row r="149" spans="1:8" x14ac:dyDescent="0.25">
      <c r="A149" t="s">
        <v>5984</v>
      </c>
      <c r="B149" t="s">
        <v>15</v>
      </c>
      <c r="C149" t="s">
        <v>397</v>
      </c>
      <c r="D149">
        <v>96</v>
      </c>
      <c r="E149">
        <v>341.459</v>
      </c>
      <c r="F149">
        <v>1284.192</v>
      </c>
      <c r="G149">
        <v>3500116</v>
      </c>
      <c r="H149" t="s">
        <v>5988</v>
      </c>
    </row>
    <row r="150" spans="1:8" x14ac:dyDescent="0.25">
      <c r="A150" t="s">
        <v>5984</v>
      </c>
      <c r="B150" t="s">
        <v>15</v>
      </c>
      <c r="C150" t="s">
        <v>397</v>
      </c>
      <c r="D150">
        <v>95</v>
      </c>
      <c r="E150">
        <v>337.90199999999999</v>
      </c>
      <c r="F150">
        <v>1270.8150000000001</v>
      </c>
      <c r="G150">
        <v>3500116</v>
      </c>
      <c r="H150" t="s">
        <v>5988</v>
      </c>
    </row>
    <row r="151" spans="1:8" x14ac:dyDescent="0.25">
      <c r="A151" t="s">
        <v>5984</v>
      </c>
      <c r="B151" t="s">
        <v>15</v>
      </c>
      <c r="C151" t="s">
        <v>397</v>
      </c>
      <c r="D151">
        <v>94</v>
      </c>
      <c r="E151">
        <v>334.34500000000003</v>
      </c>
      <c r="F151">
        <v>1257.4380000000001</v>
      </c>
      <c r="G151">
        <v>3500116</v>
      </c>
      <c r="H151" t="s">
        <v>5988</v>
      </c>
    </row>
    <row r="152" spans="1:8" x14ac:dyDescent="0.25">
      <c r="A152" t="s">
        <v>5984</v>
      </c>
      <c r="B152" t="s">
        <v>15</v>
      </c>
      <c r="C152" t="s">
        <v>397</v>
      </c>
      <c r="D152">
        <v>2</v>
      </c>
      <c r="E152">
        <v>7.1139999999999999</v>
      </c>
      <c r="F152">
        <v>26.754000000000001</v>
      </c>
      <c r="G152">
        <v>3500116</v>
      </c>
      <c r="H152" t="s">
        <v>5988</v>
      </c>
    </row>
    <row r="153" spans="1:8" x14ac:dyDescent="0.25">
      <c r="A153" t="s">
        <v>5984</v>
      </c>
      <c r="B153" t="s">
        <v>15</v>
      </c>
      <c r="C153" t="s">
        <v>397</v>
      </c>
      <c r="D153">
        <v>36</v>
      </c>
      <c r="E153">
        <v>143.999</v>
      </c>
      <c r="F153">
        <v>825.44399999999996</v>
      </c>
      <c r="G153">
        <v>3499542</v>
      </c>
      <c r="H153" t="s">
        <v>5989</v>
      </c>
    </row>
    <row r="154" spans="1:8" x14ac:dyDescent="0.25">
      <c r="A154" t="s">
        <v>5984</v>
      </c>
      <c r="B154" t="s">
        <v>15</v>
      </c>
      <c r="C154" t="s">
        <v>397</v>
      </c>
      <c r="D154">
        <v>70</v>
      </c>
      <c r="E154">
        <v>489.99599999999998</v>
      </c>
      <c r="F154">
        <v>2537.64</v>
      </c>
      <c r="G154">
        <v>3499330</v>
      </c>
      <c r="H154" t="s">
        <v>5990</v>
      </c>
    </row>
    <row r="155" spans="1:8" x14ac:dyDescent="0.25">
      <c r="A155" t="s">
        <v>5984</v>
      </c>
      <c r="B155" t="s">
        <v>15</v>
      </c>
      <c r="C155" t="s">
        <v>397</v>
      </c>
      <c r="D155">
        <v>70</v>
      </c>
      <c r="E155">
        <v>489.99599999999998</v>
      </c>
      <c r="F155">
        <v>2537.64</v>
      </c>
      <c r="G155">
        <v>3499330</v>
      </c>
      <c r="H155" t="s">
        <v>5990</v>
      </c>
    </row>
    <row r="156" spans="1:8" x14ac:dyDescent="0.25">
      <c r="A156" t="s">
        <v>5984</v>
      </c>
      <c r="B156" t="s">
        <v>15</v>
      </c>
      <c r="C156" t="s">
        <v>397</v>
      </c>
      <c r="D156">
        <v>40</v>
      </c>
      <c r="E156">
        <v>279.99799999999999</v>
      </c>
      <c r="F156">
        <v>1450.08</v>
      </c>
      <c r="G156">
        <v>3499330</v>
      </c>
      <c r="H156" t="s">
        <v>5990</v>
      </c>
    </row>
    <row r="157" spans="1:8" x14ac:dyDescent="0.25">
      <c r="A157" t="s">
        <v>5973</v>
      </c>
      <c r="B157" t="s">
        <v>194</v>
      </c>
      <c r="C157" t="s">
        <v>397</v>
      </c>
      <c r="D157">
        <v>40</v>
      </c>
      <c r="E157">
        <v>148.001</v>
      </c>
      <c r="F157">
        <v>766.48</v>
      </c>
      <c r="G157">
        <v>3498844</v>
      </c>
      <c r="H157" t="s">
        <v>5991</v>
      </c>
    </row>
    <row r="158" spans="1:8" x14ac:dyDescent="0.25">
      <c r="A158" t="s">
        <v>5973</v>
      </c>
      <c r="B158" t="s">
        <v>194</v>
      </c>
      <c r="C158" t="s">
        <v>397</v>
      </c>
      <c r="D158">
        <v>59</v>
      </c>
      <c r="E158">
        <v>353.995</v>
      </c>
      <c r="F158">
        <v>1833.307</v>
      </c>
      <c r="G158">
        <v>3499141</v>
      </c>
      <c r="H158" t="s">
        <v>5980</v>
      </c>
    </row>
    <row r="159" spans="1:8" x14ac:dyDescent="0.25">
      <c r="A159" t="s">
        <v>5973</v>
      </c>
      <c r="B159" t="s">
        <v>194</v>
      </c>
      <c r="C159" t="s">
        <v>397</v>
      </c>
      <c r="D159">
        <v>1</v>
      </c>
      <c r="E159">
        <v>6</v>
      </c>
      <c r="F159">
        <v>31.073</v>
      </c>
      <c r="G159">
        <v>3499141</v>
      </c>
      <c r="H159" t="s">
        <v>5980</v>
      </c>
    </row>
    <row r="160" spans="1:8" x14ac:dyDescent="0.25">
      <c r="A160" t="s">
        <v>5973</v>
      </c>
      <c r="B160" t="s">
        <v>194</v>
      </c>
      <c r="C160" t="s">
        <v>397</v>
      </c>
      <c r="D160">
        <v>67</v>
      </c>
      <c r="E160">
        <v>446.887</v>
      </c>
      <c r="F160">
        <v>2314.3809999999999</v>
      </c>
      <c r="G160">
        <v>4253034</v>
      </c>
      <c r="H160" t="s">
        <v>5974</v>
      </c>
    </row>
    <row r="161" spans="1:8" x14ac:dyDescent="0.25">
      <c r="A161" t="s">
        <v>5973</v>
      </c>
      <c r="B161" t="s">
        <v>194</v>
      </c>
      <c r="C161" t="s">
        <v>397</v>
      </c>
      <c r="D161">
        <v>28</v>
      </c>
      <c r="E161">
        <v>210.001</v>
      </c>
      <c r="F161">
        <v>1087.576</v>
      </c>
      <c r="G161">
        <v>3500361</v>
      </c>
      <c r="H161" t="s">
        <v>5992</v>
      </c>
    </row>
    <row r="162" spans="1:8" x14ac:dyDescent="0.25">
      <c r="A162" t="s">
        <v>5973</v>
      </c>
      <c r="B162" t="s">
        <v>194</v>
      </c>
      <c r="C162" t="s">
        <v>397</v>
      </c>
      <c r="D162">
        <v>12</v>
      </c>
      <c r="E162">
        <v>90.001000000000005</v>
      </c>
      <c r="F162">
        <v>466.10399999999998</v>
      </c>
      <c r="G162">
        <v>3500361</v>
      </c>
      <c r="H162" t="s">
        <v>5992</v>
      </c>
    </row>
    <row r="163" spans="1:8" x14ac:dyDescent="0.25">
      <c r="A163" t="s">
        <v>5973</v>
      </c>
      <c r="B163" t="s">
        <v>194</v>
      </c>
      <c r="C163" t="s">
        <v>397</v>
      </c>
      <c r="D163">
        <v>68</v>
      </c>
      <c r="E163">
        <v>489.59899999999999</v>
      </c>
      <c r="F163">
        <v>2535.5839999999998</v>
      </c>
      <c r="G163">
        <v>3500228</v>
      </c>
      <c r="H163" t="s">
        <v>5975</v>
      </c>
    </row>
    <row r="164" spans="1:8" x14ac:dyDescent="0.25">
      <c r="A164" t="s">
        <v>5973</v>
      </c>
      <c r="B164" t="s">
        <v>194</v>
      </c>
      <c r="C164" t="s">
        <v>397</v>
      </c>
      <c r="D164">
        <v>60</v>
      </c>
      <c r="E164">
        <v>431.99900000000002</v>
      </c>
      <c r="F164">
        <v>2237.2800000000002</v>
      </c>
      <c r="G164">
        <v>3500228</v>
      </c>
      <c r="H164" t="s">
        <v>5975</v>
      </c>
    </row>
    <row r="165" spans="1:8" x14ac:dyDescent="0.25">
      <c r="A165" t="s">
        <v>5973</v>
      </c>
      <c r="B165" t="s">
        <v>194</v>
      </c>
      <c r="C165" t="s">
        <v>397</v>
      </c>
      <c r="D165">
        <v>59</v>
      </c>
      <c r="E165">
        <v>424.79899999999998</v>
      </c>
      <c r="F165">
        <v>2199.9920000000002</v>
      </c>
      <c r="G165">
        <v>3500228</v>
      </c>
      <c r="H165" t="s">
        <v>5975</v>
      </c>
    </row>
    <row r="166" spans="1:8" x14ac:dyDescent="0.25">
      <c r="A166" t="s">
        <v>5973</v>
      </c>
      <c r="B166" t="s">
        <v>194</v>
      </c>
      <c r="C166" t="s">
        <v>397</v>
      </c>
      <c r="D166">
        <v>52</v>
      </c>
      <c r="E166">
        <v>374.399</v>
      </c>
      <c r="F166">
        <v>1938.9760000000001</v>
      </c>
      <c r="G166">
        <v>3500228</v>
      </c>
      <c r="H166" t="s">
        <v>5975</v>
      </c>
    </row>
    <row r="167" spans="1:8" x14ac:dyDescent="0.25">
      <c r="A167" t="s">
        <v>5966</v>
      </c>
      <c r="B167" t="s">
        <v>37</v>
      </c>
      <c r="C167" t="s">
        <v>392</v>
      </c>
      <c r="D167">
        <v>217</v>
      </c>
      <c r="E167">
        <v>1343.182</v>
      </c>
      <c r="F167">
        <v>2838.143</v>
      </c>
      <c r="G167">
        <v>3502007</v>
      </c>
      <c r="H167" t="s">
        <v>5993</v>
      </c>
    </row>
    <row r="168" spans="1:8" x14ac:dyDescent="0.25">
      <c r="A168" t="s">
        <v>5966</v>
      </c>
      <c r="B168" t="s">
        <v>37</v>
      </c>
      <c r="C168" t="s">
        <v>392</v>
      </c>
      <c r="D168">
        <v>217</v>
      </c>
      <c r="E168">
        <v>1343.182</v>
      </c>
      <c r="F168">
        <v>2838.143</v>
      </c>
      <c r="G168">
        <v>3502007</v>
      </c>
      <c r="H168" t="s">
        <v>5993</v>
      </c>
    </row>
    <row r="169" spans="1:8" x14ac:dyDescent="0.25">
      <c r="A169" t="s">
        <v>5966</v>
      </c>
      <c r="B169" t="s">
        <v>37</v>
      </c>
      <c r="C169" t="s">
        <v>392</v>
      </c>
      <c r="D169">
        <v>217</v>
      </c>
      <c r="E169">
        <v>1343.182</v>
      </c>
      <c r="F169">
        <v>2838.143</v>
      </c>
      <c r="G169">
        <v>3502007</v>
      </c>
      <c r="H169" t="s">
        <v>5993</v>
      </c>
    </row>
    <row r="170" spans="1:8" x14ac:dyDescent="0.25">
      <c r="A170" t="s">
        <v>5966</v>
      </c>
      <c r="B170" t="s">
        <v>37</v>
      </c>
      <c r="C170" t="s">
        <v>392</v>
      </c>
      <c r="D170">
        <v>217</v>
      </c>
      <c r="E170">
        <v>1343.182</v>
      </c>
      <c r="F170">
        <v>2838.143</v>
      </c>
      <c r="G170">
        <v>3502007</v>
      </c>
      <c r="H170" t="s">
        <v>5993</v>
      </c>
    </row>
    <row r="171" spans="1:8" x14ac:dyDescent="0.25">
      <c r="A171" t="s">
        <v>5966</v>
      </c>
      <c r="B171" t="s">
        <v>37</v>
      </c>
      <c r="C171" t="s">
        <v>392</v>
      </c>
      <c r="D171">
        <v>217</v>
      </c>
      <c r="E171">
        <v>1343.182</v>
      </c>
      <c r="F171">
        <v>2838.143</v>
      </c>
      <c r="G171">
        <v>3502007</v>
      </c>
      <c r="H171" t="s">
        <v>5993</v>
      </c>
    </row>
    <row r="172" spans="1:8" x14ac:dyDescent="0.25">
      <c r="A172" t="s">
        <v>5966</v>
      </c>
      <c r="B172" t="s">
        <v>37</v>
      </c>
      <c r="C172" t="s">
        <v>392</v>
      </c>
      <c r="D172">
        <v>217</v>
      </c>
      <c r="E172">
        <v>1343.182</v>
      </c>
      <c r="F172">
        <v>2838.143</v>
      </c>
      <c r="G172">
        <v>3502007</v>
      </c>
      <c r="H172" t="s">
        <v>5993</v>
      </c>
    </row>
    <row r="173" spans="1:8" x14ac:dyDescent="0.25">
      <c r="A173" t="s">
        <v>5966</v>
      </c>
      <c r="B173" t="s">
        <v>37</v>
      </c>
      <c r="C173" t="s">
        <v>392</v>
      </c>
      <c r="D173">
        <v>217</v>
      </c>
      <c r="E173">
        <v>1343.182</v>
      </c>
      <c r="F173">
        <v>2838.143</v>
      </c>
      <c r="G173">
        <v>3502007</v>
      </c>
      <c r="H173" t="s">
        <v>5993</v>
      </c>
    </row>
    <row r="174" spans="1:8" x14ac:dyDescent="0.25">
      <c r="A174" t="s">
        <v>5966</v>
      </c>
      <c r="B174" t="s">
        <v>37</v>
      </c>
      <c r="C174" t="s">
        <v>392</v>
      </c>
      <c r="D174">
        <v>217</v>
      </c>
      <c r="E174">
        <v>1343.182</v>
      </c>
      <c r="F174">
        <v>2838.143</v>
      </c>
      <c r="G174">
        <v>3502007</v>
      </c>
      <c r="H174" t="s">
        <v>5993</v>
      </c>
    </row>
    <row r="175" spans="1:8" x14ac:dyDescent="0.25">
      <c r="A175" t="s">
        <v>5966</v>
      </c>
      <c r="B175" t="s">
        <v>37</v>
      </c>
      <c r="C175" t="s">
        <v>392</v>
      </c>
      <c r="D175">
        <v>217</v>
      </c>
      <c r="E175">
        <v>1343.182</v>
      </c>
      <c r="F175">
        <v>2838.143</v>
      </c>
      <c r="G175">
        <v>3502007</v>
      </c>
      <c r="H175" t="s">
        <v>5993</v>
      </c>
    </row>
    <row r="176" spans="1:8" x14ac:dyDescent="0.25">
      <c r="A176" t="s">
        <v>5966</v>
      </c>
      <c r="B176" t="s">
        <v>37</v>
      </c>
      <c r="C176" t="s">
        <v>392</v>
      </c>
      <c r="D176">
        <v>217</v>
      </c>
      <c r="E176">
        <v>1343.182</v>
      </c>
      <c r="F176">
        <v>2838.143</v>
      </c>
      <c r="G176">
        <v>3502007</v>
      </c>
      <c r="H176" t="s">
        <v>5993</v>
      </c>
    </row>
    <row r="177" spans="1:8" x14ac:dyDescent="0.25">
      <c r="A177" t="s">
        <v>5966</v>
      </c>
      <c r="B177" t="s">
        <v>37</v>
      </c>
      <c r="C177" t="s">
        <v>392</v>
      </c>
      <c r="D177">
        <v>217</v>
      </c>
      <c r="E177">
        <v>1343.182</v>
      </c>
      <c r="F177">
        <v>2838.143</v>
      </c>
      <c r="G177">
        <v>3502007</v>
      </c>
      <c r="H177" t="s">
        <v>5993</v>
      </c>
    </row>
    <row r="178" spans="1:8" x14ac:dyDescent="0.25">
      <c r="A178" t="s">
        <v>5966</v>
      </c>
      <c r="B178" t="s">
        <v>37</v>
      </c>
      <c r="C178" t="s">
        <v>392</v>
      </c>
      <c r="D178">
        <v>217</v>
      </c>
      <c r="E178">
        <v>1343.182</v>
      </c>
      <c r="F178">
        <v>2838.143</v>
      </c>
      <c r="G178">
        <v>3502007</v>
      </c>
      <c r="H178" t="s">
        <v>5993</v>
      </c>
    </row>
    <row r="179" spans="1:8" x14ac:dyDescent="0.25">
      <c r="A179" t="s">
        <v>5966</v>
      </c>
      <c r="B179" t="s">
        <v>37</v>
      </c>
      <c r="C179" t="s">
        <v>392</v>
      </c>
      <c r="D179">
        <v>217</v>
      </c>
      <c r="E179">
        <v>1343.182</v>
      </c>
      <c r="F179">
        <v>2838.143</v>
      </c>
      <c r="G179">
        <v>3502007</v>
      </c>
      <c r="H179" t="s">
        <v>5993</v>
      </c>
    </row>
    <row r="180" spans="1:8" x14ac:dyDescent="0.25">
      <c r="A180" t="s">
        <v>5966</v>
      </c>
      <c r="B180" t="s">
        <v>37</v>
      </c>
      <c r="C180" t="s">
        <v>392</v>
      </c>
      <c r="D180">
        <v>217</v>
      </c>
      <c r="E180">
        <v>1343.182</v>
      </c>
      <c r="F180">
        <v>2838.143</v>
      </c>
      <c r="G180">
        <v>3502007</v>
      </c>
      <c r="H180" t="s">
        <v>5993</v>
      </c>
    </row>
    <row r="181" spans="1:8" x14ac:dyDescent="0.25">
      <c r="A181" t="s">
        <v>5966</v>
      </c>
      <c r="B181" t="s">
        <v>37</v>
      </c>
      <c r="C181" t="s">
        <v>392</v>
      </c>
      <c r="D181">
        <v>217</v>
      </c>
      <c r="E181">
        <v>1343.182</v>
      </c>
      <c r="F181">
        <v>2838.143</v>
      </c>
      <c r="G181">
        <v>3502007</v>
      </c>
      <c r="H181" t="s">
        <v>5993</v>
      </c>
    </row>
    <row r="182" spans="1:8" x14ac:dyDescent="0.25">
      <c r="A182" t="s">
        <v>5966</v>
      </c>
      <c r="B182" t="s">
        <v>37</v>
      </c>
      <c r="C182" t="s">
        <v>392</v>
      </c>
      <c r="D182">
        <v>216</v>
      </c>
      <c r="E182">
        <v>1336.992</v>
      </c>
      <c r="F182">
        <v>2825.0639999999999</v>
      </c>
      <c r="G182">
        <v>3502007</v>
      </c>
      <c r="H182" t="s">
        <v>5993</v>
      </c>
    </row>
    <row r="183" spans="1:8" x14ac:dyDescent="0.25">
      <c r="A183" t="s">
        <v>5966</v>
      </c>
      <c r="B183" t="s">
        <v>37</v>
      </c>
      <c r="C183" t="s">
        <v>392</v>
      </c>
      <c r="D183">
        <v>216</v>
      </c>
      <c r="E183">
        <v>1336.992</v>
      </c>
      <c r="F183">
        <v>2825.0639999999999</v>
      </c>
      <c r="G183">
        <v>3502007</v>
      </c>
      <c r="H183" t="s">
        <v>5993</v>
      </c>
    </row>
    <row r="184" spans="1:8" x14ac:dyDescent="0.25">
      <c r="A184" t="s">
        <v>5966</v>
      </c>
      <c r="B184" t="s">
        <v>37</v>
      </c>
      <c r="C184" t="s">
        <v>392</v>
      </c>
      <c r="D184">
        <v>219</v>
      </c>
      <c r="E184">
        <v>1355.5609999999999</v>
      </c>
      <c r="F184">
        <v>2864.3009999999999</v>
      </c>
      <c r="G184">
        <v>3502007</v>
      </c>
      <c r="H184" t="s">
        <v>5993</v>
      </c>
    </row>
    <row r="185" spans="1:8" x14ac:dyDescent="0.25">
      <c r="A185" t="s">
        <v>5966</v>
      </c>
      <c r="B185" t="s">
        <v>37</v>
      </c>
      <c r="C185" t="s">
        <v>392</v>
      </c>
      <c r="D185">
        <v>217</v>
      </c>
      <c r="E185">
        <v>1343.182</v>
      </c>
      <c r="F185">
        <v>2838.143</v>
      </c>
      <c r="G185">
        <v>3502007</v>
      </c>
      <c r="H185" t="s">
        <v>5993</v>
      </c>
    </row>
    <row r="186" spans="1:8" x14ac:dyDescent="0.25">
      <c r="A186" t="s">
        <v>5966</v>
      </c>
      <c r="B186" t="s">
        <v>37</v>
      </c>
      <c r="C186" t="s">
        <v>392</v>
      </c>
      <c r="D186">
        <v>217</v>
      </c>
      <c r="E186">
        <v>1343.182</v>
      </c>
      <c r="F186">
        <v>2838.143</v>
      </c>
      <c r="G186">
        <v>3502007</v>
      </c>
      <c r="H186" t="s">
        <v>5993</v>
      </c>
    </row>
    <row r="187" spans="1:8" x14ac:dyDescent="0.25">
      <c r="A187" t="s">
        <v>5966</v>
      </c>
      <c r="B187" t="s">
        <v>37</v>
      </c>
      <c r="C187" t="s">
        <v>392</v>
      </c>
      <c r="D187">
        <v>217</v>
      </c>
      <c r="E187">
        <v>1343.182</v>
      </c>
      <c r="F187">
        <v>2838.143</v>
      </c>
      <c r="G187">
        <v>3502007</v>
      </c>
      <c r="H187" t="s">
        <v>5993</v>
      </c>
    </row>
    <row r="188" spans="1:8" x14ac:dyDescent="0.25">
      <c r="A188" t="s">
        <v>5966</v>
      </c>
      <c r="B188" t="s">
        <v>37</v>
      </c>
      <c r="C188" t="s">
        <v>392</v>
      </c>
      <c r="D188">
        <v>217</v>
      </c>
      <c r="E188">
        <v>1343.182</v>
      </c>
      <c r="F188">
        <v>2838.143</v>
      </c>
      <c r="G188">
        <v>3502007</v>
      </c>
      <c r="H188" t="s">
        <v>5993</v>
      </c>
    </row>
    <row r="189" spans="1:8" x14ac:dyDescent="0.25">
      <c r="A189" t="s">
        <v>5966</v>
      </c>
      <c r="B189" t="s">
        <v>37</v>
      </c>
      <c r="C189" t="s">
        <v>392</v>
      </c>
      <c r="D189">
        <v>217</v>
      </c>
      <c r="E189">
        <v>1343.182</v>
      </c>
      <c r="F189">
        <v>2838.143</v>
      </c>
      <c r="G189">
        <v>3502007</v>
      </c>
      <c r="H189" t="s">
        <v>5993</v>
      </c>
    </row>
    <row r="190" spans="1:8" x14ac:dyDescent="0.25">
      <c r="A190" t="s">
        <v>5966</v>
      </c>
      <c r="B190" t="s">
        <v>37</v>
      </c>
      <c r="C190" t="s">
        <v>392</v>
      </c>
      <c r="D190">
        <v>217</v>
      </c>
      <c r="E190">
        <v>1343.182</v>
      </c>
      <c r="F190">
        <v>2838.143</v>
      </c>
      <c r="G190">
        <v>3502007</v>
      </c>
      <c r="H190" t="s">
        <v>5993</v>
      </c>
    </row>
    <row r="191" spans="1:8" x14ac:dyDescent="0.25">
      <c r="A191" t="s">
        <v>5966</v>
      </c>
      <c r="B191" t="s">
        <v>37</v>
      </c>
      <c r="C191" t="s">
        <v>392</v>
      </c>
      <c r="D191">
        <v>217</v>
      </c>
      <c r="E191">
        <v>1343.182</v>
      </c>
      <c r="F191">
        <v>2838.143</v>
      </c>
      <c r="G191">
        <v>3502007</v>
      </c>
      <c r="H191" t="s">
        <v>5993</v>
      </c>
    </row>
    <row r="192" spans="1:8" x14ac:dyDescent="0.25">
      <c r="A192" t="s">
        <v>5966</v>
      </c>
      <c r="B192" t="s">
        <v>37</v>
      </c>
      <c r="C192" t="s">
        <v>392</v>
      </c>
      <c r="D192">
        <v>216</v>
      </c>
      <c r="E192">
        <v>1336.992</v>
      </c>
      <c r="F192">
        <v>2825.0639999999999</v>
      </c>
      <c r="G192">
        <v>3502007</v>
      </c>
      <c r="H192" t="s">
        <v>5993</v>
      </c>
    </row>
    <row r="193" spans="1:8" x14ac:dyDescent="0.25">
      <c r="A193" t="s">
        <v>5966</v>
      </c>
      <c r="B193" t="s">
        <v>37</v>
      </c>
      <c r="C193" t="s">
        <v>392</v>
      </c>
      <c r="D193">
        <v>221</v>
      </c>
      <c r="E193">
        <v>1367.941</v>
      </c>
      <c r="F193">
        <v>2890.4589999999998</v>
      </c>
      <c r="G193">
        <v>3502007</v>
      </c>
      <c r="H193" t="s">
        <v>5993</v>
      </c>
    </row>
    <row r="194" spans="1:8" x14ac:dyDescent="0.25">
      <c r="A194" t="s">
        <v>5994</v>
      </c>
      <c r="B194" t="s">
        <v>118</v>
      </c>
      <c r="C194" t="s">
        <v>444</v>
      </c>
      <c r="D194">
        <v>71</v>
      </c>
      <c r="E194">
        <v>266.25</v>
      </c>
      <c r="F194">
        <v>1378.8820000000001</v>
      </c>
      <c r="G194">
        <v>3498966</v>
      </c>
      <c r="H194" t="s">
        <v>1760</v>
      </c>
    </row>
    <row r="195" spans="1:8" x14ac:dyDescent="0.25">
      <c r="A195" t="s">
        <v>5994</v>
      </c>
      <c r="B195" t="s">
        <v>118</v>
      </c>
      <c r="C195" t="s">
        <v>444</v>
      </c>
      <c r="D195">
        <v>71</v>
      </c>
      <c r="E195">
        <v>266.25</v>
      </c>
      <c r="F195">
        <v>1378.8820000000001</v>
      </c>
      <c r="G195">
        <v>3498966</v>
      </c>
      <c r="H195" t="s">
        <v>1760</v>
      </c>
    </row>
    <row r="196" spans="1:8" x14ac:dyDescent="0.25">
      <c r="A196" t="s">
        <v>5994</v>
      </c>
      <c r="B196" t="s">
        <v>118</v>
      </c>
      <c r="C196" t="s">
        <v>444</v>
      </c>
      <c r="D196">
        <v>72</v>
      </c>
      <c r="E196">
        <v>270</v>
      </c>
      <c r="F196">
        <v>1398.3030000000001</v>
      </c>
      <c r="G196">
        <v>3498966</v>
      </c>
      <c r="H196" t="s">
        <v>1760</v>
      </c>
    </row>
    <row r="197" spans="1:8" x14ac:dyDescent="0.25">
      <c r="A197" t="s">
        <v>5994</v>
      </c>
      <c r="B197" t="s">
        <v>118</v>
      </c>
      <c r="C197" t="s">
        <v>444</v>
      </c>
      <c r="D197">
        <v>65</v>
      </c>
      <c r="E197">
        <v>243.75</v>
      </c>
      <c r="F197">
        <v>1262.357</v>
      </c>
      <c r="G197">
        <v>3498966</v>
      </c>
      <c r="H197" t="s">
        <v>1760</v>
      </c>
    </row>
    <row r="198" spans="1:8" x14ac:dyDescent="0.25">
      <c r="A198" t="s">
        <v>5994</v>
      </c>
      <c r="B198" t="s">
        <v>118</v>
      </c>
      <c r="C198" t="s">
        <v>444</v>
      </c>
      <c r="D198">
        <v>118</v>
      </c>
      <c r="E198">
        <v>719.8</v>
      </c>
      <c r="F198">
        <v>2624.895</v>
      </c>
      <c r="G198">
        <v>3499209</v>
      </c>
      <c r="H198" t="s">
        <v>5995</v>
      </c>
    </row>
    <row r="199" spans="1:8" x14ac:dyDescent="0.25">
      <c r="A199" t="s">
        <v>5994</v>
      </c>
      <c r="B199" t="s">
        <v>118</v>
      </c>
      <c r="C199" t="s">
        <v>444</v>
      </c>
      <c r="D199">
        <v>31</v>
      </c>
      <c r="E199">
        <v>189.1</v>
      </c>
      <c r="F199">
        <v>689.59100000000001</v>
      </c>
      <c r="G199">
        <v>3499209</v>
      </c>
      <c r="H199" t="s">
        <v>5995</v>
      </c>
    </row>
    <row r="200" spans="1:8" x14ac:dyDescent="0.25">
      <c r="A200" t="s">
        <v>5994</v>
      </c>
      <c r="B200" t="s">
        <v>118</v>
      </c>
      <c r="C200" t="s">
        <v>444</v>
      </c>
      <c r="D200">
        <v>1</v>
      </c>
      <c r="E200">
        <v>6.1</v>
      </c>
      <c r="F200">
        <v>22.245000000000001</v>
      </c>
      <c r="G200">
        <v>3499209</v>
      </c>
      <c r="H200" t="s">
        <v>5995</v>
      </c>
    </row>
    <row r="201" spans="1:8" x14ac:dyDescent="0.25">
      <c r="A201" t="s">
        <v>5994</v>
      </c>
      <c r="B201" t="s">
        <v>118</v>
      </c>
      <c r="C201" t="s">
        <v>444</v>
      </c>
      <c r="D201">
        <v>53</v>
      </c>
      <c r="E201">
        <v>211.995</v>
      </c>
      <c r="F201">
        <v>1330.29</v>
      </c>
      <c r="G201">
        <v>3499471</v>
      </c>
      <c r="H201" t="s">
        <v>5996</v>
      </c>
    </row>
    <row r="202" spans="1:8" x14ac:dyDescent="0.25">
      <c r="A202" t="s">
        <v>5994</v>
      </c>
      <c r="B202" t="s">
        <v>118</v>
      </c>
      <c r="C202" t="s">
        <v>444</v>
      </c>
      <c r="D202">
        <v>47</v>
      </c>
      <c r="E202">
        <v>187.995</v>
      </c>
      <c r="F202">
        <v>1179.6869999999999</v>
      </c>
      <c r="G202">
        <v>3499471</v>
      </c>
      <c r="H202" t="s">
        <v>5996</v>
      </c>
    </row>
    <row r="203" spans="1:8" x14ac:dyDescent="0.25">
      <c r="A203" t="s">
        <v>5994</v>
      </c>
      <c r="B203" t="s">
        <v>118</v>
      </c>
      <c r="C203" t="s">
        <v>444</v>
      </c>
      <c r="D203">
        <v>64</v>
      </c>
      <c r="E203">
        <v>320</v>
      </c>
      <c r="F203">
        <v>2008.0319999999999</v>
      </c>
      <c r="G203">
        <v>3499015</v>
      </c>
      <c r="H203" t="s">
        <v>5997</v>
      </c>
    </row>
    <row r="204" spans="1:8" x14ac:dyDescent="0.25">
      <c r="A204" t="s">
        <v>5994</v>
      </c>
      <c r="B204" t="s">
        <v>118</v>
      </c>
      <c r="C204" t="s">
        <v>444</v>
      </c>
      <c r="D204">
        <v>6</v>
      </c>
      <c r="E204">
        <v>30</v>
      </c>
      <c r="F204">
        <v>188.25299999999999</v>
      </c>
      <c r="G204">
        <v>3499015</v>
      </c>
      <c r="H204" t="s">
        <v>5997</v>
      </c>
    </row>
    <row r="205" spans="1:8" x14ac:dyDescent="0.25">
      <c r="A205" t="s">
        <v>5994</v>
      </c>
      <c r="B205" t="s">
        <v>118</v>
      </c>
      <c r="C205" t="s">
        <v>444</v>
      </c>
      <c r="D205">
        <v>78</v>
      </c>
      <c r="E205">
        <v>311.99400000000003</v>
      </c>
      <c r="F205">
        <v>1957.7940000000001</v>
      </c>
      <c r="G205">
        <v>3499471</v>
      </c>
      <c r="H205" t="s">
        <v>5996</v>
      </c>
    </row>
    <row r="206" spans="1:8" x14ac:dyDescent="0.25">
      <c r="A206" t="s">
        <v>5994</v>
      </c>
      <c r="B206" t="s">
        <v>118</v>
      </c>
      <c r="C206" t="s">
        <v>444</v>
      </c>
      <c r="D206">
        <v>2</v>
      </c>
      <c r="E206">
        <v>7.9989999999999997</v>
      </c>
      <c r="F206">
        <v>50.195</v>
      </c>
      <c r="G206">
        <v>3499471</v>
      </c>
      <c r="H206" t="s">
        <v>5996</v>
      </c>
    </row>
    <row r="207" spans="1:8" x14ac:dyDescent="0.25">
      <c r="A207" t="s">
        <v>5994</v>
      </c>
      <c r="B207" t="s">
        <v>118</v>
      </c>
      <c r="C207" t="s">
        <v>444</v>
      </c>
      <c r="D207">
        <v>78</v>
      </c>
      <c r="E207">
        <v>312</v>
      </c>
      <c r="F207">
        <v>1615.817</v>
      </c>
      <c r="G207">
        <v>3499247</v>
      </c>
      <c r="H207" t="s">
        <v>1761</v>
      </c>
    </row>
    <row r="208" spans="1:8" x14ac:dyDescent="0.25">
      <c r="A208" t="s">
        <v>5994</v>
      </c>
      <c r="B208" t="s">
        <v>118</v>
      </c>
      <c r="C208" t="s">
        <v>444</v>
      </c>
      <c r="D208">
        <v>130</v>
      </c>
      <c r="E208">
        <v>520</v>
      </c>
      <c r="F208">
        <v>2693.0279999999998</v>
      </c>
      <c r="G208">
        <v>3499247</v>
      </c>
      <c r="H208" t="s">
        <v>1761</v>
      </c>
    </row>
    <row r="209" spans="1:8" x14ac:dyDescent="0.25">
      <c r="A209" t="s">
        <v>5994</v>
      </c>
      <c r="B209" t="s">
        <v>118</v>
      </c>
      <c r="C209" t="s">
        <v>444</v>
      </c>
      <c r="D209">
        <v>69</v>
      </c>
      <c r="E209">
        <v>276</v>
      </c>
      <c r="F209">
        <v>1429.376</v>
      </c>
      <c r="G209">
        <v>3499247</v>
      </c>
      <c r="H209" t="s">
        <v>1761</v>
      </c>
    </row>
    <row r="210" spans="1:8" x14ac:dyDescent="0.25">
      <c r="A210" t="s">
        <v>5994</v>
      </c>
      <c r="B210" t="s">
        <v>118</v>
      </c>
      <c r="C210" t="s">
        <v>444</v>
      </c>
      <c r="D210">
        <v>94</v>
      </c>
      <c r="E210">
        <v>352.5</v>
      </c>
      <c r="F210">
        <v>1825.5619999999999</v>
      </c>
      <c r="G210">
        <v>3498966</v>
      </c>
      <c r="H210" t="s">
        <v>1760</v>
      </c>
    </row>
    <row r="211" spans="1:8" x14ac:dyDescent="0.25">
      <c r="A211" t="s">
        <v>5994</v>
      </c>
      <c r="B211" t="s">
        <v>118</v>
      </c>
      <c r="C211" t="s">
        <v>444</v>
      </c>
      <c r="D211">
        <v>57</v>
      </c>
      <c r="E211">
        <v>213.75</v>
      </c>
      <c r="F211">
        <v>1106.99</v>
      </c>
      <c r="G211">
        <v>3498966</v>
      </c>
      <c r="H211" t="s">
        <v>1760</v>
      </c>
    </row>
    <row r="212" spans="1:8" x14ac:dyDescent="0.25">
      <c r="A212" t="s">
        <v>5984</v>
      </c>
      <c r="B212" t="s">
        <v>15</v>
      </c>
      <c r="C212" t="s">
        <v>397</v>
      </c>
      <c r="D212">
        <v>194</v>
      </c>
      <c r="E212">
        <v>1183.415</v>
      </c>
      <c r="F212">
        <v>2592.0340000000001</v>
      </c>
      <c r="G212">
        <v>3499137</v>
      </c>
      <c r="H212" t="s">
        <v>1614</v>
      </c>
    </row>
    <row r="213" spans="1:8" x14ac:dyDescent="0.25">
      <c r="A213" t="s">
        <v>5984</v>
      </c>
      <c r="B213" t="s">
        <v>15</v>
      </c>
      <c r="C213" t="s">
        <v>397</v>
      </c>
      <c r="D213">
        <v>191</v>
      </c>
      <c r="E213">
        <v>1165.115</v>
      </c>
      <c r="F213">
        <v>2551.951</v>
      </c>
      <c r="G213">
        <v>3499137</v>
      </c>
      <c r="H213" t="s">
        <v>1614</v>
      </c>
    </row>
    <row r="214" spans="1:8" x14ac:dyDescent="0.25">
      <c r="A214" t="s">
        <v>5984</v>
      </c>
      <c r="B214" t="s">
        <v>15</v>
      </c>
      <c r="C214" t="s">
        <v>397</v>
      </c>
      <c r="D214">
        <v>185</v>
      </c>
      <c r="E214">
        <v>1128.5139999999999</v>
      </c>
      <c r="F214">
        <v>2471.7849999999999</v>
      </c>
      <c r="G214">
        <v>3499137</v>
      </c>
      <c r="H214" t="s">
        <v>1614</v>
      </c>
    </row>
    <row r="215" spans="1:8" x14ac:dyDescent="0.25">
      <c r="A215" t="s">
        <v>5984</v>
      </c>
      <c r="B215" t="s">
        <v>15</v>
      </c>
      <c r="C215" t="s">
        <v>397</v>
      </c>
      <c r="D215">
        <v>76</v>
      </c>
      <c r="E215">
        <v>463.60199999999998</v>
      </c>
      <c r="F215">
        <v>2091.2159999999999</v>
      </c>
      <c r="G215">
        <v>3498841</v>
      </c>
      <c r="H215" t="s">
        <v>5998</v>
      </c>
    </row>
    <row r="216" spans="1:8" x14ac:dyDescent="0.25">
      <c r="A216" t="s">
        <v>5984</v>
      </c>
      <c r="B216" t="s">
        <v>15</v>
      </c>
      <c r="C216" t="s">
        <v>397</v>
      </c>
      <c r="D216">
        <v>74</v>
      </c>
      <c r="E216">
        <v>451.40199999999999</v>
      </c>
      <c r="F216">
        <v>2036.184</v>
      </c>
      <c r="G216">
        <v>3498841</v>
      </c>
      <c r="H216" t="s">
        <v>5998</v>
      </c>
    </row>
    <row r="217" spans="1:8" x14ac:dyDescent="0.25">
      <c r="A217" t="s">
        <v>5984</v>
      </c>
      <c r="B217" t="s">
        <v>15</v>
      </c>
      <c r="C217" t="s">
        <v>397</v>
      </c>
      <c r="D217">
        <v>50</v>
      </c>
      <c r="E217">
        <v>305.00099999999998</v>
      </c>
      <c r="F217">
        <v>1375.8</v>
      </c>
      <c r="G217">
        <v>3498841</v>
      </c>
      <c r="H217" t="s">
        <v>5998</v>
      </c>
    </row>
    <row r="218" spans="1:8" x14ac:dyDescent="0.25">
      <c r="A218" t="s">
        <v>5984</v>
      </c>
      <c r="B218" t="s">
        <v>15</v>
      </c>
      <c r="C218" t="s">
        <v>397</v>
      </c>
      <c r="D218">
        <v>50</v>
      </c>
      <c r="E218">
        <v>325.00099999999998</v>
      </c>
      <c r="F218">
        <v>1683.15</v>
      </c>
      <c r="G218">
        <v>3498875</v>
      </c>
      <c r="H218" t="s">
        <v>5986</v>
      </c>
    </row>
    <row r="219" spans="1:8" x14ac:dyDescent="0.25">
      <c r="A219" t="s">
        <v>5984</v>
      </c>
      <c r="B219" t="s">
        <v>15</v>
      </c>
      <c r="C219" t="s">
        <v>397</v>
      </c>
      <c r="D219">
        <v>15</v>
      </c>
      <c r="E219">
        <v>97.5</v>
      </c>
      <c r="F219">
        <v>504.94499999999999</v>
      </c>
      <c r="G219">
        <v>3498875</v>
      </c>
      <c r="H219" t="s">
        <v>5986</v>
      </c>
    </row>
    <row r="220" spans="1:8" x14ac:dyDescent="0.25">
      <c r="A220" t="s">
        <v>5984</v>
      </c>
      <c r="B220" t="s">
        <v>15</v>
      </c>
      <c r="C220" t="s">
        <v>397</v>
      </c>
      <c r="D220">
        <v>58</v>
      </c>
      <c r="E220">
        <v>353.79899999999998</v>
      </c>
      <c r="F220">
        <v>2104.6460000000002</v>
      </c>
      <c r="G220">
        <v>3498975</v>
      </c>
      <c r="H220" t="s">
        <v>5987</v>
      </c>
    </row>
    <row r="221" spans="1:8" x14ac:dyDescent="0.25">
      <c r="A221" t="s">
        <v>5966</v>
      </c>
      <c r="B221" t="s">
        <v>37</v>
      </c>
      <c r="C221" t="s">
        <v>392</v>
      </c>
      <c r="D221">
        <v>420</v>
      </c>
      <c r="E221">
        <v>2499.413</v>
      </c>
      <c r="F221">
        <v>2433.9839999999999</v>
      </c>
      <c r="G221">
        <v>3905466</v>
      </c>
      <c r="H221" t="s">
        <v>1487</v>
      </c>
    </row>
    <row r="222" spans="1:8" x14ac:dyDescent="0.25">
      <c r="A222" t="s">
        <v>5966</v>
      </c>
      <c r="B222" t="s">
        <v>37</v>
      </c>
      <c r="C222" t="s">
        <v>392</v>
      </c>
      <c r="D222">
        <v>420</v>
      </c>
      <c r="E222">
        <v>2499.413</v>
      </c>
      <c r="F222">
        <v>2433.9839999999999</v>
      </c>
      <c r="G222">
        <v>3905466</v>
      </c>
      <c r="H222" t="s">
        <v>1487</v>
      </c>
    </row>
    <row r="223" spans="1:8" x14ac:dyDescent="0.25">
      <c r="A223" t="s">
        <v>5966</v>
      </c>
      <c r="B223" t="s">
        <v>37</v>
      </c>
      <c r="C223" t="s">
        <v>392</v>
      </c>
      <c r="D223">
        <v>420</v>
      </c>
      <c r="E223">
        <v>2499.413</v>
      </c>
      <c r="F223">
        <v>2433.9839999999999</v>
      </c>
      <c r="G223">
        <v>3905466</v>
      </c>
      <c r="H223" t="s">
        <v>1487</v>
      </c>
    </row>
    <row r="224" spans="1:8" x14ac:dyDescent="0.25">
      <c r="A224" t="s">
        <v>5966</v>
      </c>
      <c r="B224" t="s">
        <v>37</v>
      </c>
      <c r="C224" t="s">
        <v>392</v>
      </c>
      <c r="D224">
        <v>418</v>
      </c>
      <c r="E224">
        <v>2487.5120000000002</v>
      </c>
      <c r="F224">
        <v>2422.3939999999998</v>
      </c>
      <c r="G224">
        <v>3905466</v>
      </c>
      <c r="H224" t="s">
        <v>1487</v>
      </c>
    </row>
    <row r="225" spans="1:8" x14ac:dyDescent="0.25">
      <c r="A225" t="s">
        <v>5966</v>
      </c>
      <c r="B225" t="s">
        <v>37</v>
      </c>
      <c r="C225" t="s">
        <v>392</v>
      </c>
      <c r="D225">
        <v>412</v>
      </c>
      <c r="E225">
        <v>2451.8049999999998</v>
      </c>
      <c r="F225">
        <v>2387.6219999999998</v>
      </c>
      <c r="G225">
        <v>3905466</v>
      </c>
      <c r="H225" t="s">
        <v>1487</v>
      </c>
    </row>
    <row r="226" spans="1:8" x14ac:dyDescent="0.25">
      <c r="A226" t="s">
        <v>5966</v>
      </c>
      <c r="B226" t="s">
        <v>37</v>
      </c>
      <c r="C226" t="s">
        <v>392</v>
      </c>
      <c r="D226">
        <v>419</v>
      </c>
      <c r="E226">
        <v>2493.462</v>
      </c>
      <c r="F226">
        <v>2428.1889999999999</v>
      </c>
      <c r="G226">
        <v>3905466</v>
      </c>
      <c r="H226" t="s">
        <v>1487</v>
      </c>
    </row>
    <row r="227" spans="1:8" x14ac:dyDescent="0.25">
      <c r="A227" t="s">
        <v>5966</v>
      </c>
      <c r="B227" t="s">
        <v>37</v>
      </c>
      <c r="C227" t="s">
        <v>392</v>
      </c>
      <c r="D227">
        <v>419</v>
      </c>
      <c r="E227">
        <v>2493.462</v>
      </c>
      <c r="F227">
        <v>2428.1889999999999</v>
      </c>
      <c r="G227">
        <v>3905466</v>
      </c>
      <c r="H227" t="s">
        <v>1487</v>
      </c>
    </row>
    <row r="228" spans="1:8" x14ac:dyDescent="0.25">
      <c r="A228" t="s">
        <v>5966</v>
      </c>
      <c r="B228" t="s">
        <v>37</v>
      </c>
      <c r="C228" t="s">
        <v>392</v>
      </c>
      <c r="D228">
        <v>410</v>
      </c>
      <c r="E228">
        <v>2439.9029999999998</v>
      </c>
      <c r="F228">
        <v>2376.0320000000002</v>
      </c>
      <c r="G228">
        <v>3905466</v>
      </c>
      <c r="H228" t="s">
        <v>1487</v>
      </c>
    </row>
    <row r="229" spans="1:8" x14ac:dyDescent="0.25">
      <c r="A229" t="s">
        <v>5966</v>
      </c>
      <c r="B229" t="s">
        <v>37</v>
      </c>
      <c r="C229" t="s">
        <v>392</v>
      </c>
      <c r="D229">
        <v>416</v>
      </c>
      <c r="E229">
        <v>2475.6089999999999</v>
      </c>
      <c r="F229">
        <v>2410.8029999999999</v>
      </c>
      <c r="G229">
        <v>3905466</v>
      </c>
      <c r="H229" t="s">
        <v>1487</v>
      </c>
    </row>
    <row r="230" spans="1:8" x14ac:dyDescent="0.25">
      <c r="A230" t="s">
        <v>5966</v>
      </c>
      <c r="B230" t="s">
        <v>37</v>
      </c>
      <c r="C230" t="s">
        <v>392</v>
      </c>
      <c r="D230">
        <v>274</v>
      </c>
      <c r="E230">
        <v>1630.57</v>
      </c>
      <c r="F230">
        <v>1587.885</v>
      </c>
      <c r="G230">
        <v>3905466</v>
      </c>
      <c r="H230" t="s">
        <v>1487</v>
      </c>
    </row>
    <row r="231" spans="1:8" x14ac:dyDescent="0.25">
      <c r="A231" t="s">
        <v>5966</v>
      </c>
      <c r="B231" t="s">
        <v>37</v>
      </c>
      <c r="C231" t="s">
        <v>392</v>
      </c>
      <c r="D231">
        <v>417</v>
      </c>
      <c r="E231">
        <v>2481.56</v>
      </c>
      <c r="F231">
        <v>2416.598</v>
      </c>
      <c r="G231">
        <v>3905466</v>
      </c>
      <c r="H231" t="s">
        <v>1487</v>
      </c>
    </row>
    <row r="232" spans="1:8" x14ac:dyDescent="0.25">
      <c r="A232" t="s">
        <v>5966</v>
      </c>
      <c r="B232" t="s">
        <v>37</v>
      </c>
      <c r="C232" t="s">
        <v>392</v>
      </c>
      <c r="D232">
        <v>216</v>
      </c>
      <c r="E232">
        <v>1336.992</v>
      </c>
      <c r="F232">
        <v>2825.0639999999999</v>
      </c>
      <c r="G232">
        <v>3502007</v>
      </c>
      <c r="H232" t="s">
        <v>5993</v>
      </c>
    </row>
    <row r="233" spans="1:8" x14ac:dyDescent="0.25">
      <c r="A233" t="s">
        <v>5966</v>
      </c>
      <c r="B233" t="s">
        <v>37</v>
      </c>
      <c r="C233" t="s">
        <v>392</v>
      </c>
      <c r="D233">
        <v>216</v>
      </c>
      <c r="E233">
        <v>1336.992</v>
      </c>
      <c r="F233">
        <v>2825.0639999999999</v>
      </c>
      <c r="G233">
        <v>3502007</v>
      </c>
      <c r="H233" t="s">
        <v>5993</v>
      </c>
    </row>
    <row r="234" spans="1:8" x14ac:dyDescent="0.25">
      <c r="A234" t="s">
        <v>5966</v>
      </c>
      <c r="B234" t="s">
        <v>37</v>
      </c>
      <c r="C234" t="s">
        <v>392</v>
      </c>
      <c r="D234">
        <v>215</v>
      </c>
      <c r="E234">
        <v>1330.8019999999999</v>
      </c>
      <c r="F234">
        <v>2811.9850000000001</v>
      </c>
      <c r="G234">
        <v>3502007</v>
      </c>
      <c r="H234" t="s">
        <v>5993</v>
      </c>
    </row>
    <row r="235" spans="1:8" x14ac:dyDescent="0.25">
      <c r="A235" t="s">
        <v>5966</v>
      </c>
      <c r="B235" t="s">
        <v>37</v>
      </c>
      <c r="C235" t="s">
        <v>392</v>
      </c>
      <c r="D235">
        <v>215</v>
      </c>
      <c r="E235">
        <v>1330.8019999999999</v>
      </c>
      <c r="F235">
        <v>2811.9850000000001</v>
      </c>
      <c r="G235">
        <v>3502007</v>
      </c>
      <c r="H235" t="s">
        <v>5993</v>
      </c>
    </row>
    <row r="236" spans="1:8" x14ac:dyDescent="0.25">
      <c r="A236" t="s">
        <v>5966</v>
      </c>
      <c r="B236" t="s">
        <v>37</v>
      </c>
      <c r="C236" t="s">
        <v>392</v>
      </c>
      <c r="D236">
        <v>217</v>
      </c>
      <c r="E236">
        <v>1343.182</v>
      </c>
      <c r="F236">
        <v>2838.143</v>
      </c>
      <c r="G236">
        <v>3502007</v>
      </c>
      <c r="H236" t="s">
        <v>5993</v>
      </c>
    </row>
    <row r="237" spans="1:8" x14ac:dyDescent="0.25">
      <c r="A237" t="s">
        <v>5966</v>
      </c>
      <c r="B237" t="s">
        <v>37</v>
      </c>
      <c r="C237" t="s">
        <v>392</v>
      </c>
      <c r="D237">
        <v>217</v>
      </c>
      <c r="E237">
        <v>1343.182</v>
      </c>
      <c r="F237">
        <v>2838.143</v>
      </c>
      <c r="G237">
        <v>3502007</v>
      </c>
      <c r="H237" t="s">
        <v>5993</v>
      </c>
    </row>
    <row r="238" spans="1:8" x14ac:dyDescent="0.25">
      <c r="A238" t="s">
        <v>5966</v>
      </c>
      <c r="B238" t="s">
        <v>37</v>
      </c>
      <c r="C238" t="s">
        <v>392</v>
      </c>
      <c r="D238">
        <v>217</v>
      </c>
      <c r="E238">
        <v>1343.182</v>
      </c>
      <c r="F238">
        <v>2838.143</v>
      </c>
      <c r="G238">
        <v>3502007</v>
      </c>
      <c r="H238" t="s">
        <v>5993</v>
      </c>
    </row>
    <row r="239" spans="1:8" x14ac:dyDescent="0.25">
      <c r="A239" t="s">
        <v>5966</v>
      </c>
      <c r="B239" t="s">
        <v>37</v>
      </c>
      <c r="C239" t="s">
        <v>392</v>
      </c>
      <c r="D239">
        <v>217</v>
      </c>
      <c r="E239">
        <v>1343.182</v>
      </c>
      <c r="F239">
        <v>2838.143</v>
      </c>
      <c r="G239">
        <v>3502007</v>
      </c>
      <c r="H239" t="s">
        <v>5993</v>
      </c>
    </row>
    <row r="240" spans="1:8" x14ac:dyDescent="0.25">
      <c r="A240" t="s">
        <v>5966</v>
      </c>
      <c r="B240" t="s">
        <v>37</v>
      </c>
      <c r="C240" t="s">
        <v>392</v>
      </c>
      <c r="D240">
        <v>217</v>
      </c>
      <c r="E240">
        <v>1343.182</v>
      </c>
      <c r="F240">
        <v>2838.143</v>
      </c>
      <c r="G240">
        <v>3502007</v>
      </c>
      <c r="H240" t="s">
        <v>5993</v>
      </c>
    </row>
    <row r="241" spans="1:8" x14ac:dyDescent="0.25">
      <c r="A241" t="s">
        <v>5973</v>
      </c>
      <c r="B241" t="s">
        <v>194</v>
      </c>
      <c r="C241" t="s">
        <v>397</v>
      </c>
      <c r="D241">
        <v>144</v>
      </c>
      <c r="E241">
        <v>576.01099999999997</v>
      </c>
      <c r="F241">
        <v>2983.1039999999998</v>
      </c>
      <c r="G241">
        <v>3499247</v>
      </c>
      <c r="H241" t="s">
        <v>1761</v>
      </c>
    </row>
    <row r="242" spans="1:8" x14ac:dyDescent="0.25">
      <c r="A242" t="s">
        <v>5973</v>
      </c>
      <c r="B242" t="s">
        <v>194</v>
      </c>
      <c r="C242" t="s">
        <v>397</v>
      </c>
      <c r="D242">
        <v>124</v>
      </c>
      <c r="E242">
        <v>496.01</v>
      </c>
      <c r="F242">
        <v>2568.7840000000001</v>
      </c>
      <c r="G242">
        <v>3499247</v>
      </c>
      <c r="H242" t="s">
        <v>1761</v>
      </c>
    </row>
    <row r="243" spans="1:8" x14ac:dyDescent="0.25">
      <c r="A243" t="s">
        <v>5973</v>
      </c>
      <c r="B243" t="s">
        <v>194</v>
      </c>
      <c r="C243" t="s">
        <v>397</v>
      </c>
      <c r="D243">
        <v>74</v>
      </c>
      <c r="E243">
        <v>296.00599999999997</v>
      </c>
      <c r="F243">
        <v>1532.9839999999999</v>
      </c>
      <c r="G243">
        <v>3499247</v>
      </c>
      <c r="H243" t="s">
        <v>1761</v>
      </c>
    </row>
    <row r="244" spans="1:8" x14ac:dyDescent="0.25">
      <c r="A244" t="s">
        <v>5973</v>
      </c>
      <c r="B244" t="s">
        <v>194</v>
      </c>
      <c r="C244" t="s">
        <v>397</v>
      </c>
      <c r="D244">
        <v>73</v>
      </c>
      <c r="E244">
        <v>292.00599999999997</v>
      </c>
      <c r="F244">
        <v>1512.268</v>
      </c>
      <c r="G244">
        <v>3499247</v>
      </c>
      <c r="H244" t="s">
        <v>1761</v>
      </c>
    </row>
    <row r="245" spans="1:8" x14ac:dyDescent="0.25">
      <c r="A245" t="s">
        <v>5973</v>
      </c>
      <c r="B245" t="s">
        <v>194</v>
      </c>
      <c r="C245" t="s">
        <v>397</v>
      </c>
      <c r="D245">
        <v>71</v>
      </c>
      <c r="E245">
        <v>284.005</v>
      </c>
      <c r="F245">
        <v>1470.836</v>
      </c>
      <c r="G245">
        <v>3499247</v>
      </c>
      <c r="H245" t="s">
        <v>1761</v>
      </c>
    </row>
    <row r="246" spans="1:8" x14ac:dyDescent="0.25">
      <c r="A246" t="s">
        <v>5973</v>
      </c>
      <c r="B246" t="s">
        <v>194</v>
      </c>
      <c r="C246" t="s">
        <v>397</v>
      </c>
      <c r="D246">
        <v>70</v>
      </c>
      <c r="E246">
        <v>280.005</v>
      </c>
      <c r="F246">
        <v>1450.12</v>
      </c>
      <c r="G246">
        <v>3499247</v>
      </c>
      <c r="H246" t="s">
        <v>1761</v>
      </c>
    </row>
    <row r="247" spans="1:8" x14ac:dyDescent="0.25">
      <c r="A247" t="s">
        <v>5973</v>
      </c>
      <c r="B247" t="s">
        <v>194</v>
      </c>
      <c r="C247" t="s">
        <v>397</v>
      </c>
      <c r="D247">
        <v>56</v>
      </c>
      <c r="E247">
        <v>224.00399999999999</v>
      </c>
      <c r="F247">
        <v>1160.096</v>
      </c>
      <c r="G247">
        <v>3499247</v>
      </c>
      <c r="H247" t="s">
        <v>1761</v>
      </c>
    </row>
    <row r="248" spans="1:8" x14ac:dyDescent="0.25">
      <c r="A248" t="s">
        <v>5973</v>
      </c>
      <c r="B248" t="s">
        <v>194</v>
      </c>
      <c r="C248" t="s">
        <v>397</v>
      </c>
      <c r="D248">
        <v>10</v>
      </c>
      <c r="E248">
        <v>40.000999999999998</v>
      </c>
      <c r="F248">
        <v>207.16</v>
      </c>
      <c r="G248">
        <v>3499247</v>
      </c>
      <c r="H248" t="s">
        <v>1761</v>
      </c>
    </row>
    <row r="249" spans="1:8" x14ac:dyDescent="0.25">
      <c r="A249" t="s">
        <v>5973</v>
      </c>
      <c r="B249" t="s">
        <v>194</v>
      </c>
      <c r="C249" t="s">
        <v>397</v>
      </c>
      <c r="D249">
        <v>96</v>
      </c>
      <c r="E249">
        <v>480.00900000000001</v>
      </c>
      <c r="F249">
        <v>2485.92</v>
      </c>
      <c r="G249">
        <v>3499180</v>
      </c>
      <c r="H249" t="s">
        <v>1762</v>
      </c>
    </row>
    <row r="250" spans="1:8" x14ac:dyDescent="0.25">
      <c r="A250" t="s">
        <v>5973</v>
      </c>
      <c r="B250" t="s">
        <v>194</v>
      </c>
      <c r="C250" t="s">
        <v>397</v>
      </c>
      <c r="D250">
        <v>68</v>
      </c>
      <c r="E250">
        <v>340.00700000000001</v>
      </c>
      <c r="F250">
        <v>1760.86</v>
      </c>
      <c r="G250">
        <v>3499180</v>
      </c>
      <c r="H250" t="s">
        <v>1762</v>
      </c>
    </row>
    <row r="251" spans="1:8" x14ac:dyDescent="0.25">
      <c r="A251" t="s">
        <v>5973</v>
      </c>
      <c r="B251" t="s">
        <v>194</v>
      </c>
      <c r="C251" t="s">
        <v>397</v>
      </c>
      <c r="D251">
        <v>22</v>
      </c>
      <c r="E251">
        <v>110.002</v>
      </c>
      <c r="F251">
        <v>569.69000000000005</v>
      </c>
      <c r="G251">
        <v>3499180</v>
      </c>
      <c r="H251" t="s">
        <v>1762</v>
      </c>
    </row>
    <row r="252" spans="1:8" x14ac:dyDescent="0.25">
      <c r="A252" t="s">
        <v>5999</v>
      </c>
      <c r="B252" t="s">
        <v>36</v>
      </c>
      <c r="C252" t="s">
        <v>392</v>
      </c>
      <c r="D252">
        <v>216</v>
      </c>
      <c r="E252">
        <v>1274.3910000000001</v>
      </c>
      <c r="F252">
        <v>1200.377</v>
      </c>
      <c r="G252">
        <v>3499396</v>
      </c>
      <c r="H252" t="s">
        <v>6000</v>
      </c>
    </row>
    <row r="253" spans="1:8" x14ac:dyDescent="0.25">
      <c r="A253" t="s">
        <v>5999</v>
      </c>
      <c r="B253" t="s">
        <v>36</v>
      </c>
      <c r="C253" t="s">
        <v>392</v>
      </c>
      <c r="D253">
        <v>217</v>
      </c>
      <c r="E253">
        <v>1280.29</v>
      </c>
      <c r="F253">
        <v>1205.934</v>
      </c>
      <c r="G253">
        <v>3499396</v>
      </c>
      <c r="H253" t="s">
        <v>6000</v>
      </c>
    </row>
    <row r="254" spans="1:8" x14ac:dyDescent="0.25">
      <c r="A254" t="s">
        <v>5999</v>
      </c>
      <c r="B254" t="s">
        <v>36</v>
      </c>
      <c r="C254" t="s">
        <v>392</v>
      </c>
      <c r="D254">
        <v>217</v>
      </c>
      <c r="E254">
        <v>1280.29</v>
      </c>
      <c r="F254">
        <v>1205.934</v>
      </c>
      <c r="G254">
        <v>3499396</v>
      </c>
      <c r="H254" t="s">
        <v>6000</v>
      </c>
    </row>
    <row r="255" spans="1:8" x14ac:dyDescent="0.25">
      <c r="A255" t="s">
        <v>5999</v>
      </c>
      <c r="B255" t="s">
        <v>36</v>
      </c>
      <c r="C255" t="s">
        <v>392</v>
      </c>
      <c r="D255">
        <v>217</v>
      </c>
      <c r="E255">
        <v>1280.29</v>
      </c>
      <c r="F255">
        <v>1205.934</v>
      </c>
      <c r="G255">
        <v>3499396</v>
      </c>
      <c r="H255" t="s">
        <v>6000</v>
      </c>
    </row>
    <row r="256" spans="1:8" x14ac:dyDescent="0.25">
      <c r="A256" t="s">
        <v>5999</v>
      </c>
      <c r="B256" t="s">
        <v>36</v>
      </c>
      <c r="C256" t="s">
        <v>392</v>
      </c>
      <c r="D256">
        <v>213</v>
      </c>
      <c r="E256">
        <v>1256.691</v>
      </c>
      <c r="F256">
        <v>1183.7049999999999</v>
      </c>
      <c r="G256">
        <v>3499396</v>
      </c>
      <c r="H256" t="s">
        <v>6000</v>
      </c>
    </row>
    <row r="257" spans="1:8" x14ac:dyDescent="0.25">
      <c r="A257" t="s">
        <v>5966</v>
      </c>
      <c r="B257" t="s">
        <v>37</v>
      </c>
      <c r="C257" t="s">
        <v>392</v>
      </c>
      <c r="D257">
        <v>224</v>
      </c>
      <c r="E257">
        <v>1343.9780000000001</v>
      </c>
      <c r="F257">
        <v>893.76</v>
      </c>
      <c r="G257">
        <v>3498997</v>
      </c>
      <c r="H257" t="s">
        <v>1355</v>
      </c>
    </row>
    <row r="258" spans="1:8" x14ac:dyDescent="0.25">
      <c r="A258" t="s">
        <v>5966</v>
      </c>
      <c r="B258" t="s">
        <v>37</v>
      </c>
      <c r="C258" t="s">
        <v>392</v>
      </c>
      <c r="D258">
        <v>413</v>
      </c>
      <c r="E258">
        <v>2457.7570000000001</v>
      </c>
      <c r="F258">
        <v>2393.4180000000001</v>
      </c>
      <c r="G258">
        <v>3905466</v>
      </c>
      <c r="H258" t="s">
        <v>1487</v>
      </c>
    </row>
    <row r="259" spans="1:8" x14ac:dyDescent="0.25">
      <c r="A259" t="s">
        <v>5966</v>
      </c>
      <c r="B259" t="s">
        <v>37</v>
      </c>
      <c r="C259" t="s">
        <v>392</v>
      </c>
      <c r="D259">
        <v>420</v>
      </c>
      <c r="E259">
        <v>2499.413</v>
      </c>
      <c r="F259">
        <v>2433.9839999999999</v>
      </c>
      <c r="G259">
        <v>3905466</v>
      </c>
      <c r="H259" t="s">
        <v>1487</v>
      </c>
    </row>
    <row r="260" spans="1:8" x14ac:dyDescent="0.25">
      <c r="A260" t="s">
        <v>5966</v>
      </c>
      <c r="B260" t="s">
        <v>37</v>
      </c>
      <c r="C260" t="s">
        <v>392</v>
      </c>
      <c r="D260">
        <v>300</v>
      </c>
      <c r="E260">
        <v>1785.2950000000001</v>
      </c>
      <c r="F260">
        <v>1738.56</v>
      </c>
      <c r="G260">
        <v>3905466</v>
      </c>
      <c r="H260" t="s">
        <v>1487</v>
      </c>
    </row>
    <row r="261" spans="1:8" x14ac:dyDescent="0.25">
      <c r="A261" t="s">
        <v>5966</v>
      </c>
      <c r="B261" t="s">
        <v>37</v>
      </c>
      <c r="C261" t="s">
        <v>392</v>
      </c>
      <c r="D261">
        <v>419</v>
      </c>
      <c r="E261">
        <v>2493.462</v>
      </c>
      <c r="F261">
        <v>2428.1889999999999</v>
      </c>
      <c r="G261">
        <v>3905466</v>
      </c>
      <c r="H261" t="s">
        <v>1487</v>
      </c>
    </row>
    <row r="262" spans="1:8" x14ac:dyDescent="0.25">
      <c r="A262" t="s">
        <v>5966</v>
      </c>
      <c r="B262" t="s">
        <v>37</v>
      </c>
      <c r="C262" t="s">
        <v>392</v>
      </c>
      <c r="D262">
        <v>395</v>
      </c>
      <c r="E262">
        <v>2350.6379999999999</v>
      </c>
      <c r="F262">
        <v>2289.1039999999998</v>
      </c>
      <c r="G262">
        <v>3905466</v>
      </c>
      <c r="H262" t="s">
        <v>1487</v>
      </c>
    </row>
    <row r="263" spans="1:8" x14ac:dyDescent="0.25">
      <c r="A263" t="s">
        <v>5966</v>
      </c>
      <c r="B263" t="s">
        <v>37</v>
      </c>
      <c r="C263" t="s">
        <v>392</v>
      </c>
      <c r="D263">
        <v>422</v>
      </c>
      <c r="E263">
        <v>2511.3150000000001</v>
      </c>
      <c r="F263">
        <v>2445.5740000000001</v>
      </c>
      <c r="G263">
        <v>3905466</v>
      </c>
      <c r="H263" t="s">
        <v>1487</v>
      </c>
    </row>
    <row r="264" spans="1:8" x14ac:dyDescent="0.25">
      <c r="A264" t="s">
        <v>5966</v>
      </c>
      <c r="B264" t="s">
        <v>37</v>
      </c>
      <c r="C264" t="s">
        <v>392</v>
      </c>
      <c r="D264">
        <v>417</v>
      </c>
      <c r="E264">
        <v>2481.56</v>
      </c>
      <c r="F264">
        <v>2416.598</v>
      </c>
      <c r="G264">
        <v>3905466</v>
      </c>
      <c r="H264" t="s">
        <v>1487</v>
      </c>
    </row>
    <row r="265" spans="1:8" x14ac:dyDescent="0.25">
      <c r="A265" t="s">
        <v>5966</v>
      </c>
      <c r="B265" t="s">
        <v>37</v>
      </c>
      <c r="C265" t="s">
        <v>392</v>
      </c>
      <c r="D265">
        <v>418</v>
      </c>
      <c r="E265">
        <v>2487.5120000000002</v>
      </c>
      <c r="F265">
        <v>2422.3939999999998</v>
      </c>
      <c r="G265">
        <v>3905466</v>
      </c>
      <c r="H265" t="s">
        <v>1487</v>
      </c>
    </row>
    <row r="266" spans="1:8" x14ac:dyDescent="0.25">
      <c r="A266" t="s">
        <v>5966</v>
      </c>
      <c r="B266" t="s">
        <v>37</v>
      </c>
      <c r="C266" t="s">
        <v>392</v>
      </c>
      <c r="D266">
        <v>423</v>
      </c>
      <c r="E266">
        <v>2517.2660000000001</v>
      </c>
      <c r="F266">
        <v>2451.37</v>
      </c>
      <c r="G266">
        <v>3905466</v>
      </c>
      <c r="H266" t="s">
        <v>1487</v>
      </c>
    </row>
    <row r="267" spans="1:8" x14ac:dyDescent="0.25">
      <c r="A267" t="s">
        <v>5966</v>
      </c>
      <c r="B267" t="s">
        <v>37</v>
      </c>
      <c r="C267" t="s">
        <v>392</v>
      </c>
      <c r="D267">
        <v>419</v>
      </c>
      <c r="E267">
        <v>2493.4609999999998</v>
      </c>
      <c r="F267">
        <v>2428.1880000000001</v>
      </c>
      <c r="G267">
        <v>3905466</v>
      </c>
      <c r="H267" t="s">
        <v>1487</v>
      </c>
    </row>
    <row r="268" spans="1:8" x14ac:dyDescent="0.25">
      <c r="A268" t="s">
        <v>6001</v>
      </c>
      <c r="B268" t="s">
        <v>147</v>
      </c>
      <c r="C268" t="s">
        <v>397</v>
      </c>
      <c r="D268">
        <v>60</v>
      </c>
      <c r="E268">
        <v>720.00900000000001</v>
      </c>
      <c r="F268">
        <v>2939.58</v>
      </c>
      <c r="G268">
        <v>3499199</v>
      </c>
      <c r="H268" t="s">
        <v>6002</v>
      </c>
    </row>
    <row r="269" spans="1:8" x14ac:dyDescent="0.25">
      <c r="A269" t="s">
        <v>6001</v>
      </c>
      <c r="B269" t="s">
        <v>147</v>
      </c>
      <c r="C269" t="s">
        <v>397</v>
      </c>
      <c r="D269">
        <v>59</v>
      </c>
      <c r="E269">
        <v>708.00900000000001</v>
      </c>
      <c r="F269">
        <v>2890.587</v>
      </c>
      <c r="G269">
        <v>3499199</v>
      </c>
      <c r="H269" t="s">
        <v>6002</v>
      </c>
    </row>
    <row r="270" spans="1:8" x14ac:dyDescent="0.25">
      <c r="A270" t="s">
        <v>6001</v>
      </c>
      <c r="B270" t="s">
        <v>147</v>
      </c>
      <c r="C270" t="s">
        <v>397</v>
      </c>
      <c r="D270">
        <v>1</v>
      </c>
      <c r="E270">
        <v>12</v>
      </c>
      <c r="F270">
        <v>48.993000000000002</v>
      </c>
      <c r="G270">
        <v>3499199</v>
      </c>
      <c r="H270" t="s">
        <v>6002</v>
      </c>
    </row>
    <row r="271" spans="1:8" x14ac:dyDescent="0.25">
      <c r="A271" t="s">
        <v>6001</v>
      </c>
      <c r="B271" t="s">
        <v>147</v>
      </c>
      <c r="C271" t="s">
        <v>397</v>
      </c>
      <c r="D271">
        <v>59</v>
      </c>
      <c r="E271">
        <v>708.00199999999995</v>
      </c>
      <c r="F271">
        <v>3666.6729999999998</v>
      </c>
      <c r="G271">
        <v>3499136</v>
      </c>
      <c r="H271" t="s">
        <v>6003</v>
      </c>
    </row>
    <row r="272" spans="1:8" x14ac:dyDescent="0.25">
      <c r="A272" t="s">
        <v>6001</v>
      </c>
      <c r="B272" t="s">
        <v>147</v>
      </c>
      <c r="C272" t="s">
        <v>397</v>
      </c>
      <c r="D272">
        <v>48</v>
      </c>
      <c r="E272">
        <v>576.00199999999995</v>
      </c>
      <c r="F272">
        <v>2983.056</v>
      </c>
      <c r="G272">
        <v>3499136</v>
      </c>
      <c r="H272" t="s">
        <v>6003</v>
      </c>
    </row>
    <row r="273" spans="1:8" x14ac:dyDescent="0.25">
      <c r="A273" t="s">
        <v>6001</v>
      </c>
      <c r="B273" t="s">
        <v>147</v>
      </c>
      <c r="C273" t="s">
        <v>397</v>
      </c>
      <c r="D273">
        <v>48</v>
      </c>
      <c r="E273">
        <v>576.00199999999995</v>
      </c>
      <c r="F273">
        <v>2983.056</v>
      </c>
      <c r="G273">
        <v>3499136</v>
      </c>
      <c r="H273" t="s">
        <v>6003</v>
      </c>
    </row>
    <row r="274" spans="1:8" x14ac:dyDescent="0.25">
      <c r="A274" t="s">
        <v>6001</v>
      </c>
      <c r="B274" t="s">
        <v>147</v>
      </c>
      <c r="C274" t="s">
        <v>397</v>
      </c>
      <c r="D274">
        <v>48</v>
      </c>
      <c r="E274">
        <v>576.00199999999995</v>
      </c>
      <c r="F274">
        <v>2983.056</v>
      </c>
      <c r="G274">
        <v>3499136</v>
      </c>
      <c r="H274" t="s">
        <v>6003</v>
      </c>
    </row>
    <row r="275" spans="1:8" x14ac:dyDescent="0.25">
      <c r="A275" t="s">
        <v>6001</v>
      </c>
      <c r="B275" t="s">
        <v>147</v>
      </c>
      <c r="C275" t="s">
        <v>397</v>
      </c>
      <c r="D275">
        <v>47</v>
      </c>
      <c r="E275">
        <v>564.00199999999995</v>
      </c>
      <c r="F275">
        <v>2920.9090000000001</v>
      </c>
      <c r="G275">
        <v>3499136</v>
      </c>
      <c r="H275" t="s">
        <v>6003</v>
      </c>
    </row>
    <row r="276" spans="1:8" x14ac:dyDescent="0.25">
      <c r="A276" t="s">
        <v>6001</v>
      </c>
      <c r="B276" t="s">
        <v>147</v>
      </c>
      <c r="C276" t="s">
        <v>397</v>
      </c>
      <c r="D276">
        <v>46</v>
      </c>
      <c r="E276">
        <v>552.00199999999995</v>
      </c>
      <c r="F276">
        <v>2858.7620000000002</v>
      </c>
      <c r="G276">
        <v>3499136</v>
      </c>
      <c r="H276" t="s">
        <v>6003</v>
      </c>
    </row>
    <row r="277" spans="1:8" x14ac:dyDescent="0.25">
      <c r="A277" t="s">
        <v>6001</v>
      </c>
      <c r="B277" t="s">
        <v>147</v>
      </c>
      <c r="C277" t="s">
        <v>397</v>
      </c>
      <c r="D277">
        <v>46</v>
      </c>
      <c r="E277">
        <v>552.00199999999995</v>
      </c>
      <c r="F277">
        <v>2858.7620000000002</v>
      </c>
      <c r="G277">
        <v>3499136</v>
      </c>
      <c r="H277" t="s">
        <v>6003</v>
      </c>
    </row>
    <row r="278" spans="1:8" x14ac:dyDescent="0.25">
      <c r="A278" t="s">
        <v>6001</v>
      </c>
      <c r="B278" t="s">
        <v>147</v>
      </c>
      <c r="C278" t="s">
        <v>397</v>
      </c>
      <c r="D278">
        <v>35</v>
      </c>
      <c r="E278">
        <v>420.00099999999998</v>
      </c>
      <c r="F278">
        <v>2175.145</v>
      </c>
      <c r="G278">
        <v>3499136</v>
      </c>
      <c r="H278" t="s">
        <v>6003</v>
      </c>
    </row>
    <row r="279" spans="1:8" x14ac:dyDescent="0.25">
      <c r="A279" t="s">
        <v>6001</v>
      </c>
      <c r="B279" t="s">
        <v>147</v>
      </c>
      <c r="C279" t="s">
        <v>397</v>
      </c>
      <c r="D279">
        <v>35</v>
      </c>
      <c r="E279">
        <v>420.00099999999998</v>
      </c>
      <c r="F279">
        <v>2175.145</v>
      </c>
      <c r="G279">
        <v>3499136</v>
      </c>
      <c r="H279" t="s">
        <v>6003</v>
      </c>
    </row>
    <row r="280" spans="1:8" x14ac:dyDescent="0.25">
      <c r="A280" t="s">
        <v>6001</v>
      </c>
      <c r="B280" t="s">
        <v>147</v>
      </c>
      <c r="C280" t="s">
        <v>397</v>
      </c>
      <c r="D280">
        <v>18</v>
      </c>
      <c r="E280">
        <v>216.001</v>
      </c>
      <c r="F280">
        <v>1118.646</v>
      </c>
      <c r="G280">
        <v>3499136</v>
      </c>
      <c r="H280" t="s">
        <v>6003</v>
      </c>
    </row>
    <row r="281" spans="1:8" x14ac:dyDescent="0.25">
      <c r="A281" t="s">
        <v>5966</v>
      </c>
      <c r="B281" t="s">
        <v>37</v>
      </c>
      <c r="C281" t="s">
        <v>392</v>
      </c>
      <c r="D281">
        <v>416</v>
      </c>
      <c r="E281">
        <v>2441.942</v>
      </c>
      <c r="F281">
        <v>1433.827</v>
      </c>
      <c r="G281">
        <v>3882110</v>
      </c>
      <c r="H281" t="s">
        <v>1454</v>
      </c>
    </row>
    <row r="282" spans="1:8" x14ac:dyDescent="0.25">
      <c r="A282" t="s">
        <v>5966</v>
      </c>
      <c r="B282" t="s">
        <v>37</v>
      </c>
      <c r="C282" t="s">
        <v>392</v>
      </c>
      <c r="D282">
        <v>420</v>
      </c>
      <c r="E282">
        <v>2465.4229999999998</v>
      </c>
      <c r="F282">
        <v>1447.614</v>
      </c>
      <c r="G282">
        <v>3882110</v>
      </c>
      <c r="H282" t="s">
        <v>1454</v>
      </c>
    </row>
    <row r="283" spans="1:8" x14ac:dyDescent="0.25">
      <c r="A283" t="s">
        <v>5966</v>
      </c>
      <c r="B283" t="s">
        <v>37</v>
      </c>
      <c r="C283" t="s">
        <v>392</v>
      </c>
      <c r="D283">
        <v>417</v>
      </c>
      <c r="E283">
        <v>2447.8130000000001</v>
      </c>
      <c r="F283">
        <v>1437.2739999999999</v>
      </c>
      <c r="G283">
        <v>3882110</v>
      </c>
      <c r="H283" t="s">
        <v>1454</v>
      </c>
    </row>
    <row r="284" spans="1:8" x14ac:dyDescent="0.25">
      <c r="A284" t="s">
        <v>5966</v>
      </c>
      <c r="B284" t="s">
        <v>37</v>
      </c>
      <c r="C284" t="s">
        <v>392</v>
      </c>
      <c r="D284">
        <v>444</v>
      </c>
      <c r="E284">
        <v>3107.989</v>
      </c>
      <c r="F284">
        <v>2952.866</v>
      </c>
      <c r="G284">
        <v>3500582</v>
      </c>
      <c r="H284" t="s">
        <v>1423</v>
      </c>
    </row>
    <row r="285" spans="1:8" x14ac:dyDescent="0.25">
      <c r="A285" t="s">
        <v>5966</v>
      </c>
      <c r="B285" t="s">
        <v>37</v>
      </c>
      <c r="C285" t="s">
        <v>392</v>
      </c>
      <c r="D285">
        <v>419</v>
      </c>
      <c r="E285">
        <v>2493.462</v>
      </c>
      <c r="F285">
        <v>2428.1889999999999</v>
      </c>
      <c r="G285">
        <v>3905466</v>
      </c>
      <c r="H285" t="s">
        <v>1487</v>
      </c>
    </row>
    <row r="286" spans="1:8" x14ac:dyDescent="0.25">
      <c r="A286" t="s">
        <v>5966</v>
      </c>
      <c r="B286" t="s">
        <v>37</v>
      </c>
      <c r="C286" t="s">
        <v>392</v>
      </c>
      <c r="D286">
        <v>90</v>
      </c>
      <c r="E286">
        <v>535.50099999999998</v>
      </c>
      <c r="F286">
        <v>1735.29</v>
      </c>
      <c r="G286">
        <v>4045220</v>
      </c>
      <c r="H286" t="s">
        <v>5967</v>
      </c>
    </row>
    <row r="287" spans="1:8" x14ac:dyDescent="0.25">
      <c r="A287" t="s">
        <v>5966</v>
      </c>
      <c r="B287" t="s">
        <v>37</v>
      </c>
      <c r="C287" t="s">
        <v>392</v>
      </c>
      <c r="D287">
        <v>560</v>
      </c>
      <c r="E287">
        <v>3359.944</v>
      </c>
      <c r="F287">
        <v>2234.4</v>
      </c>
      <c r="G287">
        <v>3498997</v>
      </c>
      <c r="H287" t="s">
        <v>1355</v>
      </c>
    </row>
    <row r="288" spans="1:8" x14ac:dyDescent="0.25">
      <c r="A288" t="s">
        <v>5966</v>
      </c>
      <c r="B288" t="s">
        <v>37</v>
      </c>
      <c r="C288" t="s">
        <v>392</v>
      </c>
      <c r="D288">
        <v>419</v>
      </c>
      <c r="E288">
        <v>2382.0129999999999</v>
      </c>
      <c r="F288">
        <v>1869.0329999999999</v>
      </c>
      <c r="G288">
        <v>4173571</v>
      </c>
      <c r="H288" t="s">
        <v>5972</v>
      </c>
    </row>
    <row r="289" spans="1:8" x14ac:dyDescent="0.25">
      <c r="A289" t="s">
        <v>5966</v>
      </c>
      <c r="B289" t="s">
        <v>37</v>
      </c>
      <c r="C289" t="s">
        <v>392</v>
      </c>
      <c r="D289">
        <v>350</v>
      </c>
      <c r="E289">
        <v>1935.529</v>
      </c>
      <c r="F289">
        <v>2634.835</v>
      </c>
      <c r="G289">
        <v>3502256</v>
      </c>
      <c r="H289" t="s">
        <v>1580</v>
      </c>
    </row>
    <row r="290" spans="1:8" x14ac:dyDescent="0.25">
      <c r="A290" t="s">
        <v>5966</v>
      </c>
      <c r="B290" t="s">
        <v>37</v>
      </c>
      <c r="C290" t="s">
        <v>392</v>
      </c>
      <c r="D290">
        <v>116</v>
      </c>
      <c r="E290">
        <v>695.97900000000004</v>
      </c>
      <c r="F290">
        <v>2354.9160000000002</v>
      </c>
      <c r="G290">
        <v>3500650</v>
      </c>
      <c r="H290" t="s">
        <v>1694</v>
      </c>
    </row>
    <row r="291" spans="1:8" x14ac:dyDescent="0.25">
      <c r="A291" t="s">
        <v>5966</v>
      </c>
      <c r="B291" t="s">
        <v>37</v>
      </c>
      <c r="C291" t="s">
        <v>392</v>
      </c>
      <c r="D291">
        <v>219</v>
      </c>
      <c r="E291">
        <v>1355.5609999999999</v>
      </c>
      <c r="F291">
        <v>2864.3009999999999</v>
      </c>
      <c r="G291">
        <v>3502007</v>
      </c>
      <c r="H291" t="s">
        <v>5993</v>
      </c>
    </row>
    <row r="292" spans="1:8" x14ac:dyDescent="0.25">
      <c r="A292" t="s">
        <v>5966</v>
      </c>
      <c r="B292" t="s">
        <v>37</v>
      </c>
      <c r="C292" t="s">
        <v>392</v>
      </c>
      <c r="D292">
        <v>216</v>
      </c>
      <c r="E292">
        <v>1336.992</v>
      </c>
      <c r="F292">
        <v>2825.0639999999999</v>
      </c>
      <c r="G292">
        <v>3502007</v>
      </c>
      <c r="H292" t="s">
        <v>5993</v>
      </c>
    </row>
    <row r="293" spans="1:8" x14ac:dyDescent="0.25">
      <c r="A293" t="s">
        <v>5966</v>
      </c>
      <c r="B293" t="s">
        <v>37</v>
      </c>
      <c r="C293" t="s">
        <v>392</v>
      </c>
      <c r="D293">
        <v>88</v>
      </c>
      <c r="E293">
        <v>544.70000000000005</v>
      </c>
      <c r="F293">
        <v>1150.952</v>
      </c>
      <c r="G293">
        <v>3502007</v>
      </c>
      <c r="H293" t="s">
        <v>5993</v>
      </c>
    </row>
    <row r="294" spans="1:8" x14ac:dyDescent="0.25">
      <c r="A294" t="s">
        <v>5966</v>
      </c>
      <c r="B294" t="s">
        <v>37</v>
      </c>
      <c r="C294" t="s">
        <v>392</v>
      </c>
      <c r="D294">
        <v>216</v>
      </c>
      <c r="E294">
        <v>1336.992</v>
      </c>
      <c r="F294">
        <v>2825.0639999999999</v>
      </c>
      <c r="G294">
        <v>3502007</v>
      </c>
      <c r="H294" t="s">
        <v>5993</v>
      </c>
    </row>
    <row r="295" spans="1:8" x14ac:dyDescent="0.25">
      <c r="A295" t="s">
        <v>6004</v>
      </c>
      <c r="B295" t="s">
        <v>67</v>
      </c>
      <c r="C295" t="s">
        <v>392</v>
      </c>
      <c r="D295">
        <v>38</v>
      </c>
      <c r="E295">
        <v>229.602</v>
      </c>
      <c r="F295">
        <v>1530</v>
      </c>
      <c r="G295">
        <v>3702274</v>
      </c>
      <c r="H295" t="s">
        <v>1771</v>
      </c>
    </row>
    <row r="296" spans="1:8" x14ac:dyDescent="0.25">
      <c r="A296" t="s">
        <v>6004</v>
      </c>
      <c r="B296" t="s">
        <v>67</v>
      </c>
      <c r="C296" t="s">
        <v>392</v>
      </c>
      <c r="D296">
        <v>38</v>
      </c>
      <c r="E296">
        <v>229.602</v>
      </c>
      <c r="F296">
        <v>1530</v>
      </c>
      <c r="G296">
        <v>3702274</v>
      </c>
      <c r="H296" t="s">
        <v>1771</v>
      </c>
    </row>
    <row r="297" spans="1:8" x14ac:dyDescent="0.25">
      <c r="A297" t="s">
        <v>6004</v>
      </c>
      <c r="B297" t="s">
        <v>67</v>
      </c>
      <c r="C297" t="s">
        <v>392</v>
      </c>
      <c r="D297">
        <v>38</v>
      </c>
      <c r="E297">
        <v>229.602</v>
      </c>
      <c r="F297">
        <v>1530</v>
      </c>
      <c r="G297">
        <v>3702274</v>
      </c>
      <c r="H297" t="s">
        <v>1771</v>
      </c>
    </row>
    <row r="298" spans="1:8" x14ac:dyDescent="0.25">
      <c r="A298" t="s">
        <v>6004</v>
      </c>
      <c r="B298" t="s">
        <v>67</v>
      </c>
      <c r="C298" t="s">
        <v>392</v>
      </c>
      <c r="D298">
        <v>7</v>
      </c>
      <c r="E298">
        <v>43.518999999999998</v>
      </c>
      <c r="F298">
        <v>290</v>
      </c>
      <c r="G298">
        <v>3702274</v>
      </c>
      <c r="H298" t="s">
        <v>1771</v>
      </c>
    </row>
    <row r="299" spans="1:8" x14ac:dyDescent="0.25">
      <c r="A299" t="s">
        <v>6004</v>
      </c>
      <c r="B299" t="s">
        <v>67</v>
      </c>
      <c r="C299" t="s">
        <v>392</v>
      </c>
      <c r="D299">
        <v>20</v>
      </c>
      <c r="E299">
        <v>119.01600000000001</v>
      </c>
      <c r="F299">
        <v>1028</v>
      </c>
      <c r="G299">
        <v>3702253</v>
      </c>
      <c r="H299" t="s">
        <v>1785</v>
      </c>
    </row>
    <row r="300" spans="1:8" x14ac:dyDescent="0.25">
      <c r="A300" t="s">
        <v>6004</v>
      </c>
      <c r="B300" t="s">
        <v>67</v>
      </c>
      <c r="C300" t="s">
        <v>392</v>
      </c>
      <c r="D300">
        <v>10</v>
      </c>
      <c r="E300">
        <v>58.119</v>
      </c>
      <c r="F300">
        <v>502</v>
      </c>
      <c r="G300">
        <v>3702253</v>
      </c>
      <c r="H300" t="s">
        <v>1785</v>
      </c>
    </row>
    <row r="301" spans="1:8" x14ac:dyDescent="0.25">
      <c r="A301" t="s">
        <v>6004</v>
      </c>
      <c r="B301" t="s">
        <v>67</v>
      </c>
      <c r="C301" t="s">
        <v>392</v>
      </c>
      <c r="D301">
        <v>20</v>
      </c>
      <c r="E301">
        <v>119.01600000000001</v>
      </c>
      <c r="F301">
        <v>1028</v>
      </c>
      <c r="G301">
        <v>3702253</v>
      </c>
      <c r="H301" t="s">
        <v>1785</v>
      </c>
    </row>
    <row r="302" spans="1:8" x14ac:dyDescent="0.25">
      <c r="A302" t="s">
        <v>6004</v>
      </c>
      <c r="B302" t="s">
        <v>67</v>
      </c>
      <c r="C302" t="s">
        <v>392</v>
      </c>
      <c r="D302">
        <v>20</v>
      </c>
      <c r="E302">
        <v>119.01600000000001</v>
      </c>
      <c r="F302">
        <v>1028</v>
      </c>
      <c r="G302">
        <v>3702253</v>
      </c>
      <c r="H302" t="s">
        <v>1785</v>
      </c>
    </row>
    <row r="303" spans="1:8" x14ac:dyDescent="0.25">
      <c r="A303" t="s">
        <v>6004</v>
      </c>
      <c r="B303" t="s">
        <v>67</v>
      </c>
      <c r="C303" t="s">
        <v>392</v>
      </c>
      <c r="D303">
        <v>20</v>
      </c>
      <c r="E303">
        <v>119.01600000000001</v>
      </c>
      <c r="F303">
        <v>1028</v>
      </c>
      <c r="G303">
        <v>3702253</v>
      </c>
      <c r="H303" t="s">
        <v>1785</v>
      </c>
    </row>
    <row r="304" spans="1:8" x14ac:dyDescent="0.25">
      <c r="A304" t="s">
        <v>6004</v>
      </c>
      <c r="B304" t="s">
        <v>67</v>
      </c>
      <c r="C304" t="s">
        <v>392</v>
      </c>
      <c r="D304">
        <v>20</v>
      </c>
      <c r="E304">
        <v>119.01600000000001</v>
      </c>
      <c r="F304">
        <v>1028</v>
      </c>
      <c r="G304">
        <v>3702253</v>
      </c>
      <c r="H304" t="s">
        <v>1785</v>
      </c>
    </row>
    <row r="305" spans="1:8" x14ac:dyDescent="0.25">
      <c r="A305" t="s">
        <v>6004</v>
      </c>
      <c r="B305" t="s">
        <v>67</v>
      </c>
      <c r="C305" t="s">
        <v>392</v>
      </c>
      <c r="D305">
        <v>38</v>
      </c>
      <c r="E305">
        <v>229.71299999999999</v>
      </c>
      <c r="F305">
        <v>2107</v>
      </c>
      <c r="G305">
        <v>3702251</v>
      </c>
      <c r="H305" t="s">
        <v>1773</v>
      </c>
    </row>
    <row r="306" spans="1:8" x14ac:dyDescent="0.25">
      <c r="A306" t="s">
        <v>6004</v>
      </c>
      <c r="B306" t="s">
        <v>67</v>
      </c>
      <c r="C306" t="s">
        <v>392</v>
      </c>
      <c r="D306">
        <v>38</v>
      </c>
      <c r="E306">
        <v>229.71299999999999</v>
      </c>
      <c r="F306">
        <v>2107</v>
      </c>
      <c r="G306">
        <v>3702251</v>
      </c>
      <c r="H306" t="s">
        <v>1773</v>
      </c>
    </row>
    <row r="307" spans="1:8" x14ac:dyDescent="0.25">
      <c r="A307" t="s">
        <v>6004</v>
      </c>
      <c r="B307" t="s">
        <v>67</v>
      </c>
      <c r="C307" t="s">
        <v>392</v>
      </c>
      <c r="D307">
        <v>38</v>
      </c>
      <c r="E307">
        <v>229.71299999999999</v>
      </c>
      <c r="F307">
        <v>2107</v>
      </c>
      <c r="G307">
        <v>3702251</v>
      </c>
      <c r="H307" t="s">
        <v>1773</v>
      </c>
    </row>
    <row r="308" spans="1:8" x14ac:dyDescent="0.25">
      <c r="A308" t="s">
        <v>6004</v>
      </c>
      <c r="B308" t="s">
        <v>67</v>
      </c>
      <c r="C308" t="s">
        <v>392</v>
      </c>
      <c r="D308">
        <v>38</v>
      </c>
      <c r="E308">
        <v>229.71299999999999</v>
      </c>
      <c r="F308">
        <v>2107</v>
      </c>
      <c r="G308">
        <v>3702251</v>
      </c>
      <c r="H308" t="s">
        <v>1773</v>
      </c>
    </row>
    <row r="309" spans="1:8" x14ac:dyDescent="0.25">
      <c r="A309" t="s">
        <v>6004</v>
      </c>
      <c r="B309" t="s">
        <v>67</v>
      </c>
      <c r="C309" t="s">
        <v>392</v>
      </c>
      <c r="D309">
        <v>38</v>
      </c>
      <c r="E309">
        <v>227.501</v>
      </c>
      <c r="F309">
        <v>1516</v>
      </c>
      <c r="G309">
        <v>3702274</v>
      </c>
      <c r="H309" t="s">
        <v>1771</v>
      </c>
    </row>
    <row r="310" spans="1:8" x14ac:dyDescent="0.25">
      <c r="A310" t="s">
        <v>6004</v>
      </c>
      <c r="B310" t="s">
        <v>67</v>
      </c>
      <c r="C310" t="s">
        <v>392</v>
      </c>
      <c r="D310">
        <v>38</v>
      </c>
      <c r="E310">
        <v>227.501</v>
      </c>
      <c r="F310">
        <v>1516</v>
      </c>
      <c r="G310">
        <v>3702274</v>
      </c>
      <c r="H310" t="s">
        <v>1771</v>
      </c>
    </row>
    <row r="311" spans="1:8" x14ac:dyDescent="0.25">
      <c r="A311" t="s">
        <v>6004</v>
      </c>
      <c r="B311" t="s">
        <v>67</v>
      </c>
      <c r="C311" t="s">
        <v>392</v>
      </c>
      <c r="D311">
        <v>38</v>
      </c>
      <c r="E311">
        <v>227.501</v>
      </c>
      <c r="F311">
        <v>1516</v>
      </c>
      <c r="G311">
        <v>3702274</v>
      </c>
      <c r="H311" t="s">
        <v>1771</v>
      </c>
    </row>
    <row r="312" spans="1:8" x14ac:dyDescent="0.25">
      <c r="A312" t="s">
        <v>6004</v>
      </c>
      <c r="B312" t="s">
        <v>67</v>
      </c>
      <c r="C312" t="s">
        <v>392</v>
      </c>
      <c r="D312">
        <v>38</v>
      </c>
      <c r="E312">
        <v>227.501</v>
      </c>
      <c r="F312">
        <v>1516</v>
      </c>
      <c r="G312">
        <v>3702274</v>
      </c>
      <c r="H312" t="s">
        <v>1771</v>
      </c>
    </row>
    <row r="313" spans="1:8" x14ac:dyDescent="0.25">
      <c r="A313" t="s">
        <v>6004</v>
      </c>
      <c r="B313" t="s">
        <v>67</v>
      </c>
      <c r="C313" t="s">
        <v>392</v>
      </c>
      <c r="D313">
        <v>38</v>
      </c>
      <c r="E313">
        <v>227.501</v>
      </c>
      <c r="F313">
        <v>1516</v>
      </c>
      <c r="G313">
        <v>3702274</v>
      </c>
      <c r="H313" t="s">
        <v>1771</v>
      </c>
    </row>
    <row r="314" spans="1:8" x14ac:dyDescent="0.25">
      <c r="A314" t="s">
        <v>6004</v>
      </c>
      <c r="B314" t="s">
        <v>67</v>
      </c>
      <c r="C314" t="s">
        <v>392</v>
      </c>
      <c r="D314">
        <v>38</v>
      </c>
      <c r="E314">
        <v>227.501</v>
      </c>
      <c r="F314">
        <v>1516</v>
      </c>
      <c r="G314">
        <v>3702274</v>
      </c>
      <c r="H314" t="s">
        <v>1771</v>
      </c>
    </row>
    <row r="315" spans="1:8" x14ac:dyDescent="0.25">
      <c r="A315" t="s">
        <v>6004</v>
      </c>
      <c r="B315" t="s">
        <v>67</v>
      </c>
      <c r="C315" t="s">
        <v>392</v>
      </c>
      <c r="D315">
        <v>38</v>
      </c>
      <c r="E315">
        <v>227.80099999999999</v>
      </c>
      <c r="F315">
        <v>1518</v>
      </c>
      <c r="G315">
        <v>3702274</v>
      </c>
      <c r="H315" t="s">
        <v>1771</v>
      </c>
    </row>
    <row r="316" spans="1:8" x14ac:dyDescent="0.25">
      <c r="A316" t="s">
        <v>6004</v>
      </c>
      <c r="B316" t="s">
        <v>67</v>
      </c>
      <c r="C316" t="s">
        <v>392</v>
      </c>
      <c r="D316">
        <v>44</v>
      </c>
      <c r="E316">
        <v>263.96699999999998</v>
      </c>
      <c r="F316">
        <v>1759</v>
      </c>
      <c r="G316">
        <v>3702274</v>
      </c>
      <c r="H316" t="s">
        <v>1771</v>
      </c>
    </row>
    <row r="317" spans="1:8" x14ac:dyDescent="0.25">
      <c r="A317" t="s">
        <v>6004</v>
      </c>
      <c r="B317" t="s">
        <v>67</v>
      </c>
      <c r="C317" t="s">
        <v>392</v>
      </c>
      <c r="D317">
        <v>56</v>
      </c>
      <c r="E317">
        <v>337.05</v>
      </c>
      <c r="F317">
        <v>2246</v>
      </c>
      <c r="G317">
        <v>3702274</v>
      </c>
      <c r="H317" t="s">
        <v>1771</v>
      </c>
    </row>
    <row r="318" spans="1:8" x14ac:dyDescent="0.25">
      <c r="A318" t="s">
        <v>6004</v>
      </c>
      <c r="B318" t="s">
        <v>67</v>
      </c>
      <c r="C318" t="s">
        <v>392</v>
      </c>
      <c r="D318">
        <v>59</v>
      </c>
      <c r="E318">
        <v>355.20800000000003</v>
      </c>
      <c r="F318">
        <v>2367</v>
      </c>
      <c r="G318">
        <v>3702274</v>
      </c>
      <c r="H318" t="s">
        <v>1771</v>
      </c>
    </row>
    <row r="319" spans="1:8" x14ac:dyDescent="0.25">
      <c r="A319" t="s">
        <v>6004</v>
      </c>
      <c r="B319" t="s">
        <v>67</v>
      </c>
      <c r="C319" t="s">
        <v>392</v>
      </c>
      <c r="D319">
        <v>23</v>
      </c>
      <c r="E319">
        <v>135.572</v>
      </c>
      <c r="F319">
        <v>1171</v>
      </c>
      <c r="G319">
        <v>3702253</v>
      </c>
      <c r="H319" t="s">
        <v>1785</v>
      </c>
    </row>
    <row r="320" spans="1:8" x14ac:dyDescent="0.25">
      <c r="A320" t="s">
        <v>6004</v>
      </c>
      <c r="B320" t="s">
        <v>67</v>
      </c>
      <c r="C320" t="s">
        <v>392</v>
      </c>
      <c r="D320">
        <v>27</v>
      </c>
      <c r="E320">
        <v>160</v>
      </c>
      <c r="F320">
        <v>1382</v>
      </c>
      <c r="G320">
        <v>3702253</v>
      </c>
      <c r="H320" t="s">
        <v>1785</v>
      </c>
    </row>
    <row r="321" spans="1:8" x14ac:dyDescent="0.25">
      <c r="A321" t="s">
        <v>6004</v>
      </c>
      <c r="B321" t="s">
        <v>67</v>
      </c>
      <c r="C321" t="s">
        <v>392</v>
      </c>
      <c r="D321">
        <v>42</v>
      </c>
      <c r="E321">
        <v>251.346</v>
      </c>
      <c r="F321">
        <v>2171</v>
      </c>
      <c r="G321">
        <v>3702253</v>
      </c>
      <c r="H321" t="s">
        <v>1785</v>
      </c>
    </row>
    <row r="322" spans="1:8" x14ac:dyDescent="0.25">
      <c r="A322" t="s">
        <v>6005</v>
      </c>
      <c r="B322" t="s">
        <v>98</v>
      </c>
      <c r="C322" t="s">
        <v>444</v>
      </c>
      <c r="D322">
        <v>319</v>
      </c>
      <c r="E322">
        <v>1914</v>
      </c>
      <c r="F322">
        <v>1699.8230000000001</v>
      </c>
      <c r="G322">
        <v>2386079</v>
      </c>
      <c r="H322" t="s">
        <v>1634</v>
      </c>
    </row>
    <row r="323" spans="1:8" x14ac:dyDescent="0.25">
      <c r="A323" t="s">
        <v>6005</v>
      </c>
      <c r="B323" t="s">
        <v>98</v>
      </c>
      <c r="C323" t="s">
        <v>444</v>
      </c>
      <c r="D323">
        <v>212</v>
      </c>
      <c r="E323">
        <v>1272</v>
      </c>
      <c r="F323">
        <v>1129.663</v>
      </c>
      <c r="G323">
        <v>2386079</v>
      </c>
      <c r="H323" t="s">
        <v>1634</v>
      </c>
    </row>
    <row r="324" spans="1:8" x14ac:dyDescent="0.25">
      <c r="A324" t="s">
        <v>6005</v>
      </c>
      <c r="B324" t="s">
        <v>98</v>
      </c>
      <c r="C324" t="s">
        <v>444</v>
      </c>
      <c r="D324">
        <v>300</v>
      </c>
      <c r="E324">
        <v>1800</v>
      </c>
      <c r="F324">
        <v>1598.58</v>
      </c>
      <c r="G324">
        <v>2386079</v>
      </c>
      <c r="H324" t="s">
        <v>1634</v>
      </c>
    </row>
    <row r="325" spans="1:8" x14ac:dyDescent="0.25">
      <c r="A325" t="s">
        <v>6005</v>
      </c>
      <c r="B325" t="s">
        <v>98</v>
      </c>
      <c r="C325" t="s">
        <v>444</v>
      </c>
      <c r="D325">
        <v>115</v>
      </c>
      <c r="E325">
        <v>690</v>
      </c>
      <c r="F325">
        <v>612.78899999999999</v>
      </c>
      <c r="G325">
        <v>2386079</v>
      </c>
      <c r="H325" t="s">
        <v>1634</v>
      </c>
    </row>
    <row r="326" spans="1:8" x14ac:dyDescent="0.25">
      <c r="A326" t="s">
        <v>6005</v>
      </c>
      <c r="B326" t="s">
        <v>98</v>
      </c>
      <c r="C326" t="s">
        <v>444</v>
      </c>
      <c r="D326">
        <v>244</v>
      </c>
      <c r="E326">
        <v>1464</v>
      </c>
      <c r="F326">
        <v>1300.1780000000001</v>
      </c>
      <c r="G326">
        <v>2386079</v>
      </c>
      <c r="H326" t="s">
        <v>1634</v>
      </c>
    </row>
    <row r="327" spans="1:8" x14ac:dyDescent="0.25">
      <c r="A327" t="s">
        <v>6005</v>
      </c>
      <c r="B327" t="s">
        <v>98</v>
      </c>
      <c r="C327" t="s">
        <v>444</v>
      </c>
      <c r="D327">
        <v>120</v>
      </c>
      <c r="E327">
        <v>720</v>
      </c>
      <c r="F327">
        <v>639.43200000000002</v>
      </c>
      <c r="G327">
        <v>2386079</v>
      </c>
      <c r="H327" t="s">
        <v>1634</v>
      </c>
    </row>
    <row r="328" spans="1:8" x14ac:dyDescent="0.25">
      <c r="A328" t="s">
        <v>6005</v>
      </c>
      <c r="B328" t="s">
        <v>98</v>
      </c>
      <c r="C328" t="s">
        <v>444</v>
      </c>
      <c r="D328">
        <v>261</v>
      </c>
      <c r="E328">
        <v>1566</v>
      </c>
      <c r="F328">
        <v>1390.7650000000001</v>
      </c>
      <c r="G328">
        <v>2386079</v>
      </c>
      <c r="H328" t="s">
        <v>1634</v>
      </c>
    </row>
    <row r="329" spans="1:8" x14ac:dyDescent="0.25">
      <c r="A329" t="s">
        <v>6005</v>
      </c>
      <c r="B329" t="s">
        <v>98</v>
      </c>
      <c r="C329" t="s">
        <v>444</v>
      </c>
      <c r="D329">
        <v>160</v>
      </c>
      <c r="E329">
        <v>960</v>
      </c>
      <c r="F329">
        <v>852.57600000000002</v>
      </c>
      <c r="G329">
        <v>2386079</v>
      </c>
      <c r="H329" t="s">
        <v>1634</v>
      </c>
    </row>
    <row r="330" spans="1:8" x14ac:dyDescent="0.25">
      <c r="A330" t="s">
        <v>6005</v>
      </c>
      <c r="B330" t="s">
        <v>98</v>
      </c>
      <c r="C330" t="s">
        <v>444</v>
      </c>
      <c r="D330">
        <v>192</v>
      </c>
      <c r="E330">
        <v>1152</v>
      </c>
      <c r="F330">
        <v>1023.091</v>
      </c>
      <c r="G330">
        <v>2386079</v>
      </c>
      <c r="H330" t="s">
        <v>1634</v>
      </c>
    </row>
    <row r="331" spans="1:8" x14ac:dyDescent="0.25">
      <c r="A331" t="s">
        <v>6005</v>
      </c>
      <c r="B331" t="s">
        <v>98</v>
      </c>
      <c r="C331" t="s">
        <v>444</v>
      </c>
      <c r="D331">
        <v>192</v>
      </c>
      <c r="E331">
        <v>1152</v>
      </c>
      <c r="F331">
        <v>1023.091</v>
      </c>
      <c r="G331">
        <v>2386079</v>
      </c>
      <c r="H331" t="s">
        <v>1634</v>
      </c>
    </row>
    <row r="332" spans="1:8" x14ac:dyDescent="0.25">
      <c r="A332" t="s">
        <v>6005</v>
      </c>
      <c r="B332" t="s">
        <v>98</v>
      </c>
      <c r="C332" t="s">
        <v>444</v>
      </c>
      <c r="D332">
        <v>170</v>
      </c>
      <c r="E332">
        <v>1020</v>
      </c>
      <c r="F332">
        <v>905.86199999999997</v>
      </c>
      <c r="G332">
        <v>2386079</v>
      </c>
      <c r="H332" t="s">
        <v>1634</v>
      </c>
    </row>
    <row r="333" spans="1:8" x14ac:dyDescent="0.25">
      <c r="A333" t="s">
        <v>6005</v>
      </c>
      <c r="B333" t="s">
        <v>98</v>
      </c>
      <c r="C333" t="s">
        <v>444</v>
      </c>
      <c r="D333">
        <v>332</v>
      </c>
      <c r="E333">
        <v>1992</v>
      </c>
      <c r="F333">
        <v>1769.095</v>
      </c>
      <c r="G333">
        <v>2386079</v>
      </c>
      <c r="H333" t="s">
        <v>1634</v>
      </c>
    </row>
    <row r="334" spans="1:8" x14ac:dyDescent="0.25">
      <c r="A334" t="s">
        <v>6005</v>
      </c>
      <c r="B334" t="s">
        <v>98</v>
      </c>
      <c r="C334" t="s">
        <v>444</v>
      </c>
      <c r="D334">
        <v>308</v>
      </c>
      <c r="E334">
        <v>1848</v>
      </c>
      <c r="F334">
        <v>1641.2090000000001</v>
      </c>
      <c r="G334">
        <v>2386079</v>
      </c>
      <c r="H334" t="s">
        <v>1634</v>
      </c>
    </row>
    <row r="335" spans="1:8" x14ac:dyDescent="0.25">
      <c r="A335" t="s">
        <v>6004</v>
      </c>
      <c r="B335" t="s">
        <v>67</v>
      </c>
      <c r="C335" t="s">
        <v>392</v>
      </c>
      <c r="D335">
        <v>38</v>
      </c>
      <c r="E335">
        <v>229.00200000000001</v>
      </c>
      <c r="F335">
        <v>1526</v>
      </c>
      <c r="G335">
        <v>3702274</v>
      </c>
      <c r="H335" t="s">
        <v>1771</v>
      </c>
    </row>
    <row r="336" spans="1:8" x14ac:dyDescent="0.25">
      <c r="A336" t="s">
        <v>6004</v>
      </c>
      <c r="B336" t="s">
        <v>67</v>
      </c>
      <c r="C336" t="s">
        <v>392</v>
      </c>
      <c r="D336">
        <v>38</v>
      </c>
      <c r="E336">
        <v>229.00200000000001</v>
      </c>
      <c r="F336">
        <v>1526</v>
      </c>
      <c r="G336">
        <v>3702274</v>
      </c>
      <c r="H336" t="s">
        <v>1771</v>
      </c>
    </row>
    <row r="337" spans="1:8" x14ac:dyDescent="0.25">
      <c r="A337" t="s">
        <v>6004</v>
      </c>
      <c r="B337" t="s">
        <v>67</v>
      </c>
      <c r="C337" t="s">
        <v>392</v>
      </c>
      <c r="D337">
        <v>38</v>
      </c>
      <c r="E337">
        <v>229.00200000000001</v>
      </c>
      <c r="F337">
        <v>1526</v>
      </c>
      <c r="G337">
        <v>3702274</v>
      </c>
      <c r="H337" t="s">
        <v>1771</v>
      </c>
    </row>
    <row r="338" spans="1:8" x14ac:dyDescent="0.25">
      <c r="A338" t="s">
        <v>6004</v>
      </c>
      <c r="B338" t="s">
        <v>67</v>
      </c>
      <c r="C338" t="s">
        <v>392</v>
      </c>
      <c r="D338">
        <v>38</v>
      </c>
      <c r="E338">
        <v>229.00200000000001</v>
      </c>
      <c r="F338">
        <v>1526</v>
      </c>
      <c r="G338">
        <v>3702274</v>
      </c>
      <c r="H338" t="s">
        <v>1771</v>
      </c>
    </row>
    <row r="339" spans="1:8" x14ac:dyDescent="0.25">
      <c r="A339" t="s">
        <v>6004</v>
      </c>
      <c r="B339" t="s">
        <v>67</v>
      </c>
      <c r="C339" t="s">
        <v>392</v>
      </c>
      <c r="D339">
        <v>38</v>
      </c>
      <c r="E339">
        <v>229.00200000000001</v>
      </c>
      <c r="F339">
        <v>1526</v>
      </c>
      <c r="G339">
        <v>3702274</v>
      </c>
      <c r="H339" t="s">
        <v>1771</v>
      </c>
    </row>
    <row r="340" spans="1:8" x14ac:dyDescent="0.25">
      <c r="A340" t="s">
        <v>6004</v>
      </c>
      <c r="B340" t="s">
        <v>67</v>
      </c>
      <c r="C340" t="s">
        <v>392</v>
      </c>
      <c r="D340">
        <v>38</v>
      </c>
      <c r="E340">
        <v>229.00200000000001</v>
      </c>
      <c r="F340">
        <v>1526</v>
      </c>
      <c r="G340">
        <v>3702274</v>
      </c>
      <c r="H340" t="s">
        <v>1771</v>
      </c>
    </row>
    <row r="341" spans="1:8" x14ac:dyDescent="0.25">
      <c r="A341" t="s">
        <v>6004</v>
      </c>
      <c r="B341" t="s">
        <v>67</v>
      </c>
      <c r="C341" t="s">
        <v>392</v>
      </c>
      <c r="D341">
        <v>40</v>
      </c>
      <c r="E341">
        <v>241.96799999999999</v>
      </c>
      <c r="F341">
        <v>2090</v>
      </c>
      <c r="G341">
        <v>3702253</v>
      </c>
      <c r="H341" t="s">
        <v>1785</v>
      </c>
    </row>
    <row r="342" spans="1:8" x14ac:dyDescent="0.25">
      <c r="A342" t="s">
        <v>6004</v>
      </c>
      <c r="B342" t="s">
        <v>67</v>
      </c>
      <c r="C342" t="s">
        <v>392</v>
      </c>
      <c r="D342">
        <v>38</v>
      </c>
      <c r="E342">
        <v>230.69499999999999</v>
      </c>
      <c r="F342">
        <v>2116</v>
      </c>
      <c r="G342">
        <v>3702251</v>
      </c>
      <c r="H342" t="s">
        <v>1773</v>
      </c>
    </row>
    <row r="343" spans="1:8" x14ac:dyDescent="0.25">
      <c r="A343" t="s">
        <v>6004</v>
      </c>
      <c r="B343" t="s">
        <v>67</v>
      </c>
      <c r="C343" t="s">
        <v>392</v>
      </c>
      <c r="D343">
        <v>38</v>
      </c>
      <c r="E343">
        <v>230.69499999999999</v>
      </c>
      <c r="F343">
        <v>2116</v>
      </c>
      <c r="G343">
        <v>3702251</v>
      </c>
      <c r="H343" t="s">
        <v>1773</v>
      </c>
    </row>
    <row r="344" spans="1:8" x14ac:dyDescent="0.25">
      <c r="A344" t="s">
        <v>6004</v>
      </c>
      <c r="B344" t="s">
        <v>67</v>
      </c>
      <c r="C344" t="s">
        <v>392</v>
      </c>
      <c r="D344">
        <v>38</v>
      </c>
      <c r="E344">
        <v>230.69499999999999</v>
      </c>
      <c r="F344">
        <v>2116</v>
      </c>
      <c r="G344">
        <v>3702251</v>
      </c>
      <c r="H344" t="s">
        <v>1773</v>
      </c>
    </row>
    <row r="345" spans="1:8" x14ac:dyDescent="0.25">
      <c r="A345" t="s">
        <v>6004</v>
      </c>
      <c r="B345" t="s">
        <v>67</v>
      </c>
      <c r="C345" t="s">
        <v>392</v>
      </c>
      <c r="D345">
        <v>38</v>
      </c>
      <c r="E345">
        <v>230.69499999999999</v>
      </c>
      <c r="F345">
        <v>2116</v>
      </c>
      <c r="G345">
        <v>3702251</v>
      </c>
      <c r="H345" t="s">
        <v>1773</v>
      </c>
    </row>
    <row r="346" spans="1:8" x14ac:dyDescent="0.25">
      <c r="A346" t="s">
        <v>6006</v>
      </c>
      <c r="B346" t="s">
        <v>119</v>
      </c>
      <c r="C346" t="s">
        <v>392</v>
      </c>
      <c r="D346">
        <v>38</v>
      </c>
      <c r="E346">
        <v>228.702</v>
      </c>
      <c r="F346">
        <v>1524</v>
      </c>
      <c r="G346">
        <v>3702274</v>
      </c>
      <c r="H346" t="s">
        <v>1771</v>
      </c>
    </row>
    <row r="347" spans="1:8" x14ac:dyDescent="0.25">
      <c r="A347" t="s">
        <v>6006</v>
      </c>
      <c r="B347" t="s">
        <v>119</v>
      </c>
      <c r="C347" t="s">
        <v>392</v>
      </c>
      <c r="D347">
        <v>38</v>
      </c>
      <c r="E347">
        <v>228.702</v>
      </c>
      <c r="F347">
        <v>1524</v>
      </c>
      <c r="G347">
        <v>3702274</v>
      </c>
      <c r="H347" t="s">
        <v>1771</v>
      </c>
    </row>
    <row r="348" spans="1:8" x14ac:dyDescent="0.25">
      <c r="A348" t="s">
        <v>6006</v>
      </c>
      <c r="B348" t="s">
        <v>119</v>
      </c>
      <c r="C348" t="s">
        <v>392</v>
      </c>
      <c r="D348">
        <v>38</v>
      </c>
      <c r="E348">
        <v>228.702</v>
      </c>
      <c r="F348">
        <v>1524</v>
      </c>
      <c r="G348">
        <v>3702274</v>
      </c>
      <c r="H348" t="s">
        <v>1771</v>
      </c>
    </row>
    <row r="349" spans="1:8" x14ac:dyDescent="0.25">
      <c r="A349" t="s">
        <v>6006</v>
      </c>
      <c r="B349" t="s">
        <v>119</v>
      </c>
      <c r="C349" t="s">
        <v>392</v>
      </c>
      <c r="D349">
        <v>38</v>
      </c>
      <c r="E349">
        <v>228.702</v>
      </c>
      <c r="F349">
        <v>1524</v>
      </c>
      <c r="G349">
        <v>3702274</v>
      </c>
      <c r="H349" t="s">
        <v>1771</v>
      </c>
    </row>
    <row r="350" spans="1:8" x14ac:dyDescent="0.25">
      <c r="A350" t="s">
        <v>6006</v>
      </c>
      <c r="B350" t="s">
        <v>119</v>
      </c>
      <c r="C350" t="s">
        <v>392</v>
      </c>
      <c r="D350">
        <v>38</v>
      </c>
      <c r="E350">
        <v>228.702</v>
      </c>
      <c r="F350">
        <v>1524</v>
      </c>
      <c r="G350">
        <v>3702274</v>
      </c>
      <c r="H350" t="s">
        <v>1771</v>
      </c>
    </row>
    <row r="351" spans="1:8" x14ac:dyDescent="0.25">
      <c r="A351" t="s">
        <v>6006</v>
      </c>
      <c r="B351" t="s">
        <v>119</v>
      </c>
      <c r="C351" t="s">
        <v>392</v>
      </c>
      <c r="D351">
        <v>38</v>
      </c>
      <c r="E351">
        <v>228.702</v>
      </c>
      <c r="F351">
        <v>1524</v>
      </c>
      <c r="G351">
        <v>3702274</v>
      </c>
      <c r="H351" t="s">
        <v>1771</v>
      </c>
    </row>
    <row r="352" spans="1:8" x14ac:dyDescent="0.25">
      <c r="A352" t="s">
        <v>6006</v>
      </c>
      <c r="B352" t="s">
        <v>119</v>
      </c>
      <c r="C352" t="s">
        <v>392</v>
      </c>
      <c r="D352">
        <v>38</v>
      </c>
      <c r="E352">
        <v>228.702</v>
      </c>
      <c r="F352">
        <v>1524</v>
      </c>
      <c r="G352">
        <v>3702274</v>
      </c>
      <c r="H352" t="s">
        <v>1771</v>
      </c>
    </row>
    <row r="353" spans="1:8" x14ac:dyDescent="0.25">
      <c r="A353" t="s">
        <v>6006</v>
      </c>
      <c r="B353" t="s">
        <v>119</v>
      </c>
      <c r="C353" t="s">
        <v>392</v>
      </c>
      <c r="D353">
        <v>38</v>
      </c>
      <c r="E353">
        <v>228.702</v>
      </c>
      <c r="F353">
        <v>1524</v>
      </c>
      <c r="G353">
        <v>3702274</v>
      </c>
      <c r="H353" t="s">
        <v>1771</v>
      </c>
    </row>
    <row r="354" spans="1:8" x14ac:dyDescent="0.25">
      <c r="A354" t="s">
        <v>6006</v>
      </c>
      <c r="B354" t="s">
        <v>119</v>
      </c>
      <c r="C354" t="s">
        <v>392</v>
      </c>
      <c r="D354">
        <v>38</v>
      </c>
      <c r="E354">
        <v>228.702</v>
      </c>
      <c r="F354">
        <v>1524</v>
      </c>
      <c r="G354">
        <v>3702274</v>
      </c>
      <c r="H354" t="s">
        <v>1771</v>
      </c>
    </row>
    <row r="355" spans="1:8" x14ac:dyDescent="0.25">
      <c r="A355" t="s">
        <v>6006</v>
      </c>
      <c r="B355" t="s">
        <v>119</v>
      </c>
      <c r="C355" t="s">
        <v>392</v>
      </c>
      <c r="D355">
        <v>38</v>
      </c>
      <c r="E355">
        <v>228.702</v>
      </c>
      <c r="F355">
        <v>1524</v>
      </c>
      <c r="G355">
        <v>3702274</v>
      </c>
      <c r="H355" t="s">
        <v>1771</v>
      </c>
    </row>
    <row r="356" spans="1:8" x14ac:dyDescent="0.25">
      <c r="A356" t="s">
        <v>6006</v>
      </c>
      <c r="B356" t="s">
        <v>119</v>
      </c>
      <c r="C356" t="s">
        <v>392</v>
      </c>
      <c r="D356">
        <v>38</v>
      </c>
      <c r="E356">
        <v>228.702</v>
      </c>
      <c r="F356">
        <v>1524</v>
      </c>
      <c r="G356">
        <v>3702274</v>
      </c>
      <c r="H356" t="s">
        <v>1771</v>
      </c>
    </row>
    <row r="357" spans="1:8" x14ac:dyDescent="0.25">
      <c r="A357" t="s">
        <v>6006</v>
      </c>
      <c r="B357" t="s">
        <v>119</v>
      </c>
      <c r="C357" t="s">
        <v>392</v>
      </c>
      <c r="D357">
        <v>38</v>
      </c>
      <c r="E357">
        <v>228.55199999999999</v>
      </c>
      <c r="F357">
        <v>1523</v>
      </c>
      <c r="G357">
        <v>3702274</v>
      </c>
      <c r="H357" t="s">
        <v>1771</v>
      </c>
    </row>
    <row r="358" spans="1:8" x14ac:dyDescent="0.25">
      <c r="A358" t="s">
        <v>6006</v>
      </c>
      <c r="B358" t="s">
        <v>119</v>
      </c>
      <c r="C358" t="s">
        <v>392</v>
      </c>
      <c r="D358">
        <v>38</v>
      </c>
      <c r="E358">
        <v>228.55199999999999</v>
      </c>
      <c r="F358">
        <v>1523</v>
      </c>
      <c r="G358">
        <v>3702274</v>
      </c>
      <c r="H358" t="s">
        <v>1771</v>
      </c>
    </row>
    <row r="359" spans="1:8" x14ac:dyDescent="0.25">
      <c r="A359" t="s">
        <v>6004</v>
      </c>
      <c r="B359" t="s">
        <v>67</v>
      </c>
      <c r="C359" t="s">
        <v>392</v>
      </c>
      <c r="D359">
        <v>38</v>
      </c>
      <c r="E359">
        <v>229.602</v>
      </c>
      <c r="F359">
        <v>1530</v>
      </c>
      <c r="G359">
        <v>3702274</v>
      </c>
      <c r="H359" t="s">
        <v>1771</v>
      </c>
    </row>
    <row r="360" spans="1:8" x14ac:dyDescent="0.25">
      <c r="A360" t="s">
        <v>6004</v>
      </c>
      <c r="B360" t="s">
        <v>67</v>
      </c>
      <c r="C360" t="s">
        <v>392</v>
      </c>
      <c r="D360">
        <v>38</v>
      </c>
      <c r="E360">
        <v>229.602</v>
      </c>
      <c r="F360">
        <v>1530</v>
      </c>
      <c r="G360">
        <v>3702274</v>
      </c>
      <c r="H360" t="s">
        <v>1771</v>
      </c>
    </row>
    <row r="361" spans="1:8" x14ac:dyDescent="0.25">
      <c r="A361" t="s">
        <v>6004</v>
      </c>
      <c r="B361" t="s">
        <v>67</v>
      </c>
      <c r="C361" t="s">
        <v>392</v>
      </c>
      <c r="D361">
        <v>38</v>
      </c>
      <c r="E361">
        <v>229.602</v>
      </c>
      <c r="F361">
        <v>1530</v>
      </c>
      <c r="G361">
        <v>3702274</v>
      </c>
      <c r="H361" t="s">
        <v>1771</v>
      </c>
    </row>
    <row r="362" spans="1:8" x14ac:dyDescent="0.25">
      <c r="A362" t="s">
        <v>6004</v>
      </c>
      <c r="B362" t="s">
        <v>67</v>
      </c>
      <c r="C362" t="s">
        <v>392</v>
      </c>
      <c r="D362">
        <v>38</v>
      </c>
      <c r="E362">
        <v>229.602</v>
      </c>
      <c r="F362">
        <v>1530</v>
      </c>
      <c r="G362">
        <v>3702274</v>
      </c>
      <c r="H362" t="s">
        <v>1771</v>
      </c>
    </row>
    <row r="363" spans="1:8" x14ac:dyDescent="0.25">
      <c r="A363" t="s">
        <v>6004</v>
      </c>
      <c r="B363" t="s">
        <v>67</v>
      </c>
      <c r="C363" t="s">
        <v>392</v>
      </c>
      <c r="D363">
        <v>38</v>
      </c>
      <c r="E363">
        <v>229.602</v>
      </c>
      <c r="F363">
        <v>1530</v>
      </c>
      <c r="G363">
        <v>3702274</v>
      </c>
      <c r="H363" t="s">
        <v>1771</v>
      </c>
    </row>
    <row r="364" spans="1:8" x14ac:dyDescent="0.25">
      <c r="A364" t="s">
        <v>6004</v>
      </c>
      <c r="B364" t="s">
        <v>67</v>
      </c>
      <c r="C364" t="s">
        <v>392</v>
      </c>
      <c r="D364">
        <v>38</v>
      </c>
      <c r="E364">
        <v>229.602</v>
      </c>
      <c r="F364">
        <v>1530</v>
      </c>
      <c r="G364">
        <v>3702274</v>
      </c>
      <c r="H364" t="s">
        <v>1771</v>
      </c>
    </row>
    <row r="365" spans="1:8" x14ac:dyDescent="0.25">
      <c r="A365" t="s">
        <v>6004</v>
      </c>
      <c r="B365" t="s">
        <v>67</v>
      </c>
      <c r="C365" t="s">
        <v>392</v>
      </c>
      <c r="D365">
        <v>38</v>
      </c>
      <c r="E365">
        <v>229.602</v>
      </c>
      <c r="F365">
        <v>1530</v>
      </c>
      <c r="G365">
        <v>3702274</v>
      </c>
      <c r="H365" t="s">
        <v>1771</v>
      </c>
    </row>
    <row r="366" spans="1:8" x14ac:dyDescent="0.25">
      <c r="A366" t="s">
        <v>6004</v>
      </c>
      <c r="B366" t="s">
        <v>67</v>
      </c>
      <c r="C366" t="s">
        <v>392</v>
      </c>
      <c r="D366">
        <v>38</v>
      </c>
      <c r="E366">
        <v>229.602</v>
      </c>
      <c r="F366">
        <v>1530</v>
      </c>
      <c r="G366">
        <v>3702274</v>
      </c>
      <c r="H366" t="s">
        <v>1771</v>
      </c>
    </row>
    <row r="367" spans="1:8" x14ac:dyDescent="0.25">
      <c r="A367" t="s">
        <v>6004</v>
      </c>
      <c r="B367" t="s">
        <v>67</v>
      </c>
      <c r="C367" t="s">
        <v>392</v>
      </c>
      <c r="D367">
        <v>38</v>
      </c>
      <c r="E367">
        <v>229.602</v>
      </c>
      <c r="F367">
        <v>1530</v>
      </c>
      <c r="G367">
        <v>3702274</v>
      </c>
      <c r="H367" t="s">
        <v>1771</v>
      </c>
    </row>
    <row r="368" spans="1:8" x14ac:dyDescent="0.25">
      <c r="A368" t="s">
        <v>6004</v>
      </c>
      <c r="B368" t="s">
        <v>67</v>
      </c>
      <c r="C368" t="s">
        <v>392</v>
      </c>
      <c r="D368">
        <v>38</v>
      </c>
      <c r="E368">
        <v>229.602</v>
      </c>
      <c r="F368">
        <v>1530</v>
      </c>
      <c r="G368">
        <v>3702274</v>
      </c>
      <c r="H368" t="s">
        <v>1771</v>
      </c>
    </row>
    <row r="369" spans="1:8" x14ac:dyDescent="0.25">
      <c r="A369" t="s">
        <v>6004</v>
      </c>
      <c r="B369" t="s">
        <v>67</v>
      </c>
      <c r="C369" t="s">
        <v>392</v>
      </c>
      <c r="D369">
        <v>38</v>
      </c>
      <c r="E369">
        <v>229.27699999999999</v>
      </c>
      <c r="F369">
        <v>2103</v>
      </c>
      <c r="G369">
        <v>3702251</v>
      </c>
      <c r="H369" t="s">
        <v>1773</v>
      </c>
    </row>
    <row r="370" spans="1:8" x14ac:dyDescent="0.25">
      <c r="A370" t="s">
        <v>6004</v>
      </c>
      <c r="B370" t="s">
        <v>67</v>
      </c>
      <c r="C370" t="s">
        <v>392</v>
      </c>
      <c r="D370">
        <v>38</v>
      </c>
      <c r="E370">
        <v>229.71299999999999</v>
      </c>
      <c r="F370">
        <v>2107</v>
      </c>
      <c r="G370">
        <v>3702251</v>
      </c>
      <c r="H370" t="s">
        <v>1773</v>
      </c>
    </row>
    <row r="371" spans="1:8" x14ac:dyDescent="0.25">
      <c r="A371" t="s">
        <v>5984</v>
      </c>
      <c r="B371" t="s">
        <v>15</v>
      </c>
      <c r="C371" t="s">
        <v>397</v>
      </c>
      <c r="D371">
        <v>61</v>
      </c>
      <c r="E371">
        <v>204.65799999999999</v>
      </c>
      <c r="F371">
        <v>769.69799999999998</v>
      </c>
      <c r="G371">
        <v>3499935</v>
      </c>
      <c r="H371" t="s">
        <v>6007</v>
      </c>
    </row>
    <row r="372" spans="1:8" x14ac:dyDescent="0.25">
      <c r="A372" t="s">
        <v>5984</v>
      </c>
      <c r="B372" t="s">
        <v>15</v>
      </c>
      <c r="C372" t="s">
        <v>397</v>
      </c>
      <c r="D372">
        <v>61</v>
      </c>
      <c r="E372">
        <v>204.65799999999999</v>
      </c>
      <c r="F372">
        <v>769.69799999999998</v>
      </c>
      <c r="G372">
        <v>3499935</v>
      </c>
      <c r="H372" t="s">
        <v>6007</v>
      </c>
    </row>
    <row r="373" spans="1:8" x14ac:dyDescent="0.25">
      <c r="A373" t="s">
        <v>5984</v>
      </c>
      <c r="B373" t="s">
        <v>15</v>
      </c>
      <c r="C373" t="s">
        <v>397</v>
      </c>
      <c r="D373">
        <v>61</v>
      </c>
      <c r="E373">
        <v>204.65799999999999</v>
      </c>
      <c r="F373">
        <v>769.69799999999998</v>
      </c>
      <c r="G373">
        <v>3499935</v>
      </c>
      <c r="H373" t="s">
        <v>6007</v>
      </c>
    </row>
    <row r="374" spans="1:8" x14ac:dyDescent="0.25">
      <c r="A374" t="s">
        <v>5984</v>
      </c>
      <c r="B374" t="s">
        <v>15</v>
      </c>
      <c r="C374" t="s">
        <v>397</v>
      </c>
      <c r="D374">
        <v>61</v>
      </c>
      <c r="E374">
        <v>204.65799999999999</v>
      </c>
      <c r="F374">
        <v>769.69799999999998</v>
      </c>
      <c r="G374">
        <v>3499935</v>
      </c>
      <c r="H374" t="s">
        <v>6007</v>
      </c>
    </row>
    <row r="375" spans="1:8" x14ac:dyDescent="0.25">
      <c r="A375" t="s">
        <v>5984</v>
      </c>
      <c r="B375" t="s">
        <v>15</v>
      </c>
      <c r="C375" t="s">
        <v>397</v>
      </c>
      <c r="D375">
        <v>61</v>
      </c>
      <c r="E375">
        <v>204.65799999999999</v>
      </c>
      <c r="F375">
        <v>769.69799999999998</v>
      </c>
      <c r="G375">
        <v>3499935</v>
      </c>
      <c r="H375" t="s">
        <v>6007</v>
      </c>
    </row>
    <row r="376" spans="1:8" x14ac:dyDescent="0.25">
      <c r="A376" t="s">
        <v>5984</v>
      </c>
      <c r="B376" t="s">
        <v>15</v>
      </c>
      <c r="C376" t="s">
        <v>397</v>
      </c>
      <c r="D376">
        <v>61</v>
      </c>
      <c r="E376">
        <v>204.65799999999999</v>
      </c>
      <c r="F376">
        <v>769.69799999999998</v>
      </c>
      <c r="G376">
        <v>3499935</v>
      </c>
      <c r="H376" t="s">
        <v>6007</v>
      </c>
    </row>
    <row r="377" spans="1:8" x14ac:dyDescent="0.25">
      <c r="A377" t="s">
        <v>5984</v>
      </c>
      <c r="B377" t="s">
        <v>15</v>
      </c>
      <c r="C377" t="s">
        <v>397</v>
      </c>
      <c r="D377">
        <v>61</v>
      </c>
      <c r="E377">
        <v>204.65799999999999</v>
      </c>
      <c r="F377">
        <v>769.69799999999998</v>
      </c>
      <c r="G377">
        <v>3499935</v>
      </c>
      <c r="H377" t="s">
        <v>6007</v>
      </c>
    </row>
    <row r="378" spans="1:8" x14ac:dyDescent="0.25">
      <c r="A378" t="s">
        <v>5984</v>
      </c>
      <c r="B378" t="s">
        <v>15</v>
      </c>
      <c r="C378" t="s">
        <v>397</v>
      </c>
      <c r="D378">
        <v>61</v>
      </c>
      <c r="E378">
        <v>204.65799999999999</v>
      </c>
      <c r="F378">
        <v>769.69799999999998</v>
      </c>
      <c r="G378">
        <v>3499935</v>
      </c>
      <c r="H378" t="s">
        <v>6007</v>
      </c>
    </row>
    <row r="379" spans="1:8" x14ac:dyDescent="0.25">
      <c r="A379" t="s">
        <v>5984</v>
      </c>
      <c r="B379" t="s">
        <v>15</v>
      </c>
      <c r="C379" t="s">
        <v>397</v>
      </c>
      <c r="D379">
        <v>30</v>
      </c>
      <c r="E379">
        <v>100.651</v>
      </c>
      <c r="F379">
        <v>378.54</v>
      </c>
      <c r="G379">
        <v>3499935</v>
      </c>
      <c r="H379" t="s">
        <v>6007</v>
      </c>
    </row>
    <row r="380" spans="1:8" x14ac:dyDescent="0.25">
      <c r="A380" t="s">
        <v>5984</v>
      </c>
      <c r="B380" t="s">
        <v>15</v>
      </c>
      <c r="C380" t="s">
        <v>397</v>
      </c>
      <c r="D380">
        <v>61</v>
      </c>
      <c r="E380">
        <v>204.65799999999999</v>
      </c>
      <c r="F380">
        <v>769.69799999999998</v>
      </c>
      <c r="G380">
        <v>3499935</v>
      </c>
      <c r="H380" t="s">
        <v>6007</v>
      </c>
    </row>
    <row r="381" spans="1:8" x14ac:dyDescent="0.25">
      <c r="A381" t="s">
        <v>5984</v>
      </c>
      <c r="B381" t="s">
        <v>15</v>
      </c>
      <c r="C381" t="s">
        <v>397</v>
      </c>
      <c r="D381">
        <v>61</v>
      </c>
      <c r="E381">
        <v>204.65799999999999</v>
      </c>
      <c r="F381">
        <v>769.69799999999998</v>
      </c>
      <c r="G381">
        <v>3499935</v>
      </c>
      <c r="H381" t="s">
        <v>6007</v>
      </c>
    </row>
    <row r="382" spans="1:8" x14ac:dyDescent="0.25">
      <c r="A382" t="s">
        <v>5984</v>
      </c>
      <c r="B382" t="s">
        <v>15</v>
      </c>
      <c r="C382" t="s">
        <v>397</v>
      </c>
      <c r="D382">
        <v>61</v>
      </c>
      <c r="E382">
        <v>204.65799999999999</v>
      </c>
      <c r="F382">
        <v>769.69799999999998</v>
      </c>
      <c r="G382">
        <v>3499935</v>
      </c>
      <c r="H382" t="s">
        <v>6007</v>
      </c>
    </row>
    <row r="383" spans="1:8" x14ac:dyDescent="0.25">
      <c r="A383" t="s">
        <v>5984</v>
      </c>
      <c r="B383" t="s">
        <v>15</v>
      </c>
      <c r="C383" t="s">
        <v>397</v>
      </c>
      <c r="D383">
        <v>31</v>
      </c>
      <c r="E383">
        <v>104.006</v>
      </c>
      <c r="F383">
        <v>391.15800000000002</v>
      </c>
      <c r="G383">
        <v>3499935</v>
      </c>
      <c r="H383" t="s">
        <v>6007</v>
      </c>
    </row>
    <row r="384" spans="1:8" x14ac:dyDescent="0.25">
      <c r="A384" t="s">
        <v>5984</v>
      </c>
      <c r="B384" t="s">
        <v>15</v>
      </c>
      <c r="C384" t="s">
        <v>397</v>
      </c>
      <c r="D384">
        <v>61</v>
      </c>
      <c r="E384">
        <v>204.65799999999999</v>
      </c>
      <c r="F384">
        <v>769.69799999999998</v>
      </c>
      <c r="G384">
        <v>3499935</v>
      </c>
      <c r="H384" t="s">
        <v>6007</v>
      </c>
    </row>
    <row r="385" spans="1:8" x14ac:dyDescent="0.25">
      <c r="A385" t="s">
        <v>5984</v>
      </c>
      <c r="B385" t="s">
        <v>15</v>
      </c>
      <c r="C385" t="s">
        <v>397</v>
      </c>
      <c r="D385">
        <v>61</v>
      </c>
      <c r="E385">
        <v>204.65799999999999</v>
      </c>
      <c r="F385">
        <v>769.69799999999998</v>
      </c>
      <c r="G385">
        <v>3499935</v>
      </c>
      <c r="H385" t="s">
        <v>6007</v>
      </c>
    </row>
    <row r="386" spans="1:8" x14ac:dyDescent="0.25">
      <c r="A386" t="s">
        <v>5984</v>
      </c>
      <c r="B386" t="s">
        <v>15</v>
      </c>
      <c r="C386" t="s">
        <v>397</v>
      </c>
      <c r="D386">
        <v>61</v>
      </c>
      <c r="E386">
        <v>204.65799999999999</v>
      </c>
      <c r="F386">
        <v>769.69799999999998</v>
      </c>
      <c r="G386">
        <v>3499935</v>
      </c>
      <c r="H386" t="s">
        <v>6007</v>
      </c>
    </row>
    <row r="387" spans="1:8" x14ac:dyDescent="0.25">
      <c r="A387" t="s">
        <v>5984</v>
      </c>
      <c r="B387" t="s">
        <v>15</v>
      </c>
      <c r="C387" t="s">
        <v>397</v>
      </c>
      <c r="D387">
        <v>61</v>
      </c>
      <c r="E387">
        <v>204.65799999999999</v>
      </c>
      <c r="F387">
        <v>769.69799999999998</v>
      </c>
      <c r="G387">
        <v>3499935</v>
      </c>
      <c r="H387" t="s">
        <v>6007</v>
      </c>
    </row>
    <row r="388" spans="1:8" x14ac:dyDescent="0.25">
      <c r="A388" t="s">
        <v>5984</v>
      </c>
      <c r="B388" t="s">
        <v>15</v>
      </c>
      <c r="C388" t="s">
        <v>397</v>
      </c>
      <c r="D388">
        <v>61</v>
      </c>
      <c r="E388">
        <v>204.65799999999999</v>
      </c>
      <c r="F388">
        <v>769.69799999999998</v>
      </c>
      <c r="G388">
        <v>3499935</v>
      </c>
      <c r="H388" t="s">
        <v>6007</v>
      </c>
    </row>
    <row r="389" spans="1:8" x14ac:dyDescent="0.25">
      <c r="A389" t="s">
        <v>5984</v>
      </c>
      <c r="B389" t="s">
        <v>15</v>
      </c>
      <c r="C389" t="s">
        <v>397</v>
      </c>
      <c r="D389">
        <v>61</v>
      </c>
      <c r="E389">
        <v>309.32299999999998</v>
      </c>
      <c r="F389">
        <v>1163.3309999999999</v>
      </c>
      <c r="G389">
        <v>4244172</v>
      </c>
      <c r="H389" t="s">
        <v>6008</v>
      </c>
    </row>
    <row r="390" spans="1:8" x14ac:dyDescent="0.25">
      <c r="A390" t="s">
        <v>5984</v>
      </c>
      <c r="B390" t="s">
        <v>15</v>
      </c>
      <c r="C390" t="s">
        <v>397</v>
      </c>
      <c r="D390">
        <v>61</v>
      </c>
      <c r="E390">
        <v>309.32299999999998</v>
      </c>
      <c r="F390">
        <v>1163.3309999999999</v>
      </c>
      <c r="G390">
        <v>4244172</v>
      </c>
      <c r="H390" t="s">
        <v>6008</v>
      </c>
    </row>
    <row r="391" spans="1:8" x14ac:dyDescent="0.25">
      <c r="A391" t="s">
        <v>5984</v>
      </c>
      <c r="B391" t="s">
        <v>15</v>
      </c>
      <c r="C391" t="s">
        <v>397</v>
      </c>
      <c r="D391">
        <v>66</v>
      </c>
      <c r="E391">
        <v>334.67700000000002</v>
      </c>
      <c r="F391">
        <v>1258.6859999999999</v>
      </c>
      <c r="G391">
        <v>4244172</v>
      </c>
      <c r="H391" t="s">
        <v>6008</v>
      </c>
    </row>
    <row r="392" spans="1:8" x14ac:dyDescent="0.25">
      <c r="A392" t="s">
        <v>5984</v>
      </c>
      <c r="B392" t="s">
        <v>15</v>
      </c>
      <c r="C392" t="s">
        <v>397</v>
      </c>
      <c r="D392">
        <v>61</v>
      </c>
      <c r="E392">
        <v>309.32299999999998</v>
      </c>
      <c r="F392">
        <v>1163.3309999999999</v>
      </c>
      <c r="G392">
        <v>4244172</v>
      </c>
      <c r="H392" t="s">
        <v>6008</v>
      </c>
    </row>
    <row r="393" spans="1:8" x14ac:dyDescent="0.25">
      <c r="A393" t="s">
        <v>5984</v>
      </c>
      <c r="B393" t="s">
        <v>15</v>
      </c>
      <c r="C393" t="s">
        <v>397</v>
      </c>
      <c r="D393">
        <v>61</v>
      </c>
      <c r="E393">
        <v>309.32299999999998</v>
      </c>
      <c r="F393">
        <v>1163.3309999999999</v>
      </c>
      <c r="G393">
        <v>4244172</v>
      </c>
      <c r="H393" t="s">
        <v>6008</v>
      </c>
    </row>
    <row r="394" spans="1:8" x14ac:dyDescent="0.25">
      <c r="A394" t="s">
        <v>5984</v>
      </c>
      <c r="B394" t="s">
        <v>15</v>
      </c>
      <c r="C394" t="s">
        <v>397</v>
      </c>
      <c r="D394">
        <v>61</v>
      </c>
      <c r="E394">
        <v>309.32299999999998</v>
      </c>
      <c r="F394">
        <v>1163.3309999999999</v>
      </c>
      <c r="G394">
        <v>4244172</v>
      </c>
      <c r="H394" t="s">
        <v>6008</v>
      </c>
    </row>
    <row r="395" spans="1:8" x14ac:dyDescent="0.25">
      <c r="A395" t="s">
        <v>5984</v>
      </c>
      <c r="B395" t="s">
        <v>15</v>
      </c>
      <c r="C395" t="s">
        <v>397</v>
      </c>
      <c r="D395">
        <v>74</v>
      </c>
      <c r="E395">
        <v>375.24400000000003</v>
      </c>
      <c r="F395">
        <v>1411.2539999999999</v>
      </c>
      <c r="G395">
        <v>4244172</v>
      </c>
      <c r="H395" t="s">
        <v>6008</v>
      </c>
    </row>
    <row r="396" spans="1:8" x14ac:dyDescent="0.25">
      <c r="A396" t="s">
        <v>5966</v>
      </c>
      <c r="B396" t="s">
        <v>37</v>
      </c>
      <c r="C396" t="s">
        <v>392</v>
      </c>
      <c r="D396">
        <v>126</v>
      </c>
      <c r="E396">
        <v>745.88</v>
      </c>
      <c r="F396">
        <v>2770.2</v>
      </c>
      <c r="G396">
        <v>3500391</v>
      </c>
      <c r="H396" t="s">
        <v>2397</v>
      </c>
    </row>
    <row r="397" spans="1:8" x14ac:dyDescent="0.25">
      <c r="A397" t="s">
        <v>5999</v>
      </c>
      <c r="B397" t="s">
        <v>36</v>
      </c>
      <c r="C397" t="s">
        <v>392</v>
      </c>
      <c r="D397">
        <v>92</v>
      </c>
      <c r="E397">
        <v>560.94799999999998</v>
      </c>
      <c r="F397">
        <v>1335</v>
      </c>
      <c r="G397">
        <v>3500641</v>
      </c>
      <c r="H397" t="s">
        <v>6009</v>
      </c>
    </row>
    <row r="398" spans="1:8" x14ac:dyDescent="0.25">
      <c r="A398" t="s">
        <v>5999</v>
      </c>
      <c r="B398" t="s">
        <v>36</v>
      </c>
      <c r="C398" t="s">
        <v>392</v>
      </c>
      <c r="D398">
        <v>92</v>
      </c>
      <c r="E398">
        <v>560.94799999999998</v>
      </c>
      <c r="F398">
        <v>1335</v>
      </c>
      <c r="G398">
        <v>3500641</v>
      </c>
      <c r="H398" t="s">
        <v>6009</v>
      </c>
    </row>
    <row r="399" spans="1:8" x14ac:dyDescent="0.25">
      <c r="A399" t="s">
        <v>5999</v>
      </c>
      <c r="B399" t="s">
        <v>36</v>
      </c>
      <c r="C399" t="s">
        <v>392</v>
      </c>
      <c r="D399">
        <v>92</v>
      </c>
      <c r="E399">
        <v>560.94799999999998</v>
      </c>
      <c r="F399">
        <v>1335</v>
      </c>
      <c r="G399">
        <v>3500641</v>
      </c>
      <c r="H399" t="s">
        <v>6009</v>
      </c>
    </row>
    <row r="400" spans="1:8" x14ac:dyDescent="0.25">
      <c r="A400" t="s">
        <v>5999</v>
      </c>
      <c r="B400" t="s">
        <v>36</v>
      </c>
      <c r="C400" t="s">
        <v>392</v>
      </c>
      <c r="D400">
        <v>92</v>
      </c>
      <c r="E400">
        <v>560.94799999999998</v>
      </c>
      <c r="F400">
        <v>1335</v>
      </c>
      <c r="G400">
        <v>3500641</v>
      </c>
      <c r="H400" t="s">
        <v>6009</v>
      </c>
    </row>
    <row r="401" spans="1:8" x14ac:dyDescent="0.25">
      <c r="A401" t="s">
        <v>5966</v>
      </c>
      <c r="B401" t="s">
        <v>37</v>
      </c>
      <c r="C401" t="s">
        <v>392</v>
      </c>
      <c r="D401">
        <v>61</v>
      </c>
      <c r="E401">
        <v>337.37099999999998</v>
      </c>
      <c r="F401">
        <v>1259</v>
      </c>
      <c r="G401">
        <v>3500714</v>
      </c>
      <c r="H401" t="s">
        <v>1922</v>
      </c>
    </row>
    <row r="402" spans="1:8" x14ac:dyDescent="0.25">
      <c r="A402" t="s">
        <v>5966</v>
      </c>
      <c r="B402" t="s">
        <v>37</v>
      </c>
      <c r="C402" t="s">
        <v>392</v>
      </c>
      <c r="D402">
        <v>128</v>
      </c>
      <c r="E402">
        <v>704.27099999999996</v>
      </c>
      <c r="F402">
        <v>2628.2</v>
      </c>
      <c r="G402">
        <v>3500714</v>
      </c>
      <c r="H402" t="s">
        <v>1922</v>
      </c>
    </row>
    <row r="403" spans="1:8" x14ac:dyDescent="0.25">
      <c r="A403" t="s">
        <v>5966</v>
      </c>
      <c r="B403" t="s">
        <v>37</v>
      </c>
      <c r="C403" t="s">
        <v>392</v>
      </c>
      <c r="D403">
        <v>114</v>
      </c>
      <c r="E403">
        <v>625.75699999999995</v>
      </c>
      <c r="F403">
        <v>2335.1999999999998</v>
      </c>
      <c r="G403">
        <v>3500714</v>
      </c>
      <c r="H403" t="s">
        <v>1922</v>
      </c>
    </row>
    <row r="404" spans="1:8" x14ac:dyDescent="0.25">
      <c r="A404" t="s">
        <v>5966</v>
      </c>
      <c r="B404" t="s">
        <v>37</v>
      </c>
      <c r="C404" t="s">
        <v>392</v>
      </c>
      <c r="D404">
        <v>93</v>
      </c>
      <c r="E404">
        <v>511.81700000000001</v>
      </c>
      <c r="F404">
        <v>1910</v>
      </c>
      <c r="G404">
        <v>3500714</v>
      </c>
      <c r="H404" t="s">
        <v>1922</v>
      </c>
    </row>
    <row r="405" spans="1:8" x14ac:dyDescent="0.25">
      <c r="A405" t="s">
        <v>5966</v>
      </c>
      <c r="B405" t="s">
        <v>37</v>
      </c>
      <c r="C405" t="s">
        <v>392</v>
      </c>
      <c r="D405">
        <v>107</v>
      </c>
      <c r="E405">
        <v>586.36599999999999</v>
      </c>
      <c r="F405">
        <v>2188.1999999999998</v>
      </c>
      <c r="G405">
        <v>3500714</v>
      </c>
      <c r="H405" t="s">
        <v>1922</v>
      </c>
    </row>
    <row r="406" spans="1:8" x14ac:dyDescent="0.25">
      <c r="A406" t="s">
        <v>5966</v>
      </c>
      <c r="B406" t="s">
        <v>37</v>
      </c>
      <c r="C406" t="s">
        <v>392</v>
      </c>
      <c r="D406">
        <v>112</v>
      </c>
      <c r="E406">
        <v>614.50199999999995</v>
      </c>
      <c r="F406">
        <v>2293.1999999999998</v>
      </c>
      <c r="G406">
        <v>3500714</v>
      </c>
      <c r="H406" t="s">
        <v>1922</v>
      </c>
    </row>
    <row r="407" spans="1:8" x14ac:dyDescent="0.25">
      <c r="A407" t="s">
        <v>6010</v>
      </c>
      <c r="B407" t="s">
        <v>66</v>
      </c>
      <c r="C407" t="s">
        <v>444</v>
      </c>
      <c r="D407">
        <v>144</v>
      </c>
      <c r="E407">
        <v>792</v>
      </c>
      <c r="F407">
        <v>1542.7370000000001</v>
      </c>
      <c r="G407">
        <v>3770405</v>
      </c>
      <c r="H407" t="s">
        <v>1767</v>
      </c>
    </row>
    <row r="408" spans="1:8" x14ac:dyDescent="0.25">
      <c r="A408" t="s">
        <v>6010</v>
      </c>
      <c r="B408" t="s">
        <v>66</v>
      </c>
      <c r="C408" t="s">
        <v>444</v>
      </c>
      <c r="D408">
        <v>108</v>
      </c>
      <c r="E408">
        <v>594</v>
      </c>
      <c r="F408">
        <v>1157.0530000000001</v>
      </c>
      <c r="G408">
        <v>3770405</v>
      </c>
      <c r="H408" t="s">
        <v>1767</v>
      </c>
    </row>
    <row r="409" spans="1:8" x14ac:dyDescent="0.25">
      <c r="A409" t="s">
        <v>6010</v>
      </c>
      <c r="B409" t="s">
        <v>66</v>
      </c>
      <c r="C409" t="s">
        <v>444</v>
      </c>
      <c r="D409">
        <v>32</v>
      </c>
      <c r="E409">
        <v>176</v>
      </c>
      <c r="F409">
        <v>342.83</v>
      </c>
      <c r="G409">
        <v>3770405</v>
      </c>
      <c r="H409" t="s">
        <v>1767</v>
      </c>
    </row>
    <row r="410" spans="1:8" x14ac:dyDescent="0.25">
      <c r="A410" t="s">
        <v>6010</v>
      </c>
      <c r="B410" t="s">
        <v>66</v>
      </c>
      <c r="C410" t="s">
        <v>444</v>
      </c>
      <c r="D410">
        <v>140</v>
      </c>
      <c r="E410">
        <v>770</v>
      </c>
      <c r="F410">
        <v>1499.883</v>
      </c>
      <c r="G410">
        <v>3770405</v>
      </c>
      <c r="H410" t="s">
        <v>1767</v>
      </c>
    </row>
    <row r="411" spans="1:8" x14ac:dyDescent="0.25">
      <c r="A411" t="s">
        <v>6010</v>
      </c>
      <c r="B411" t="s">
        <v>66</v>
      </c>
      <c r="C411" t="s">
        <v>444</v>
      </c>
      <c r="D411">
        <v>136</v>
      </c>
      <c r="E411">
        <v>748</v>
      </c>
      <c r="F411">
        <v>1457.029</v>
      </c>
      <c r="G411">
        <v>3770405</v>
      </c>
      <c r="H411" t="s">
        <v>1767</v>
      </c>
    </row>
    <row r="412" spans="1:8" x14ac:dyDescent="0.25">
      <c r="A412" t="s">
        <v>6010</v>
      </c>
      <c r="B412" t="s">
        <v>66</v>
      </c>
      <c r="C412" t="s">
        <v>444</v>
      </c>
      <c r="D412">
        <v>144</v>
      </c>
      <c r="E412">
        <v>792</v>
      </c>
      <c r="F412">
        <v>1542.7370000000001</v>
      </c>
      <c r="G412">
        <v>3770405</v>
      </c>
      <c r="H412" t="s">
        <v>1767</v>
      </c>
    </row>
    <row r="413" spans="1:8" x14ac:dyDescent="0.25">
      <c r="A413" t="s">
        <v>6010</v>
      </c>
      <c r="B413" t="s">
        <v>66</v>
      </c>
      <c r="C413" t="s">
        <v>444</v>
      </c>
      <c r="D413">
        <v>136</v>
      </c>
      <c r="E413">
        <v>748</v>
      </c>
      <c r="F413">
        <v>1457.029</v>
      </c>
      <c r="G413">
        <v>3770405</v>
      </c>
      <c r="H413" t="s">
        <v>1767</v>
      </c>
    </row>
    <row r="414" spans="1:8" x14ac:dyDescent="0.25">
      <c r="A414" t="s">
        <v>6010</v>
      </c>
      <c r="B414" t="s">
        <v>66</v>
      </c>
      <c r="C414" t="s">
        <v>444</v>
      </c>
      <c r="D414">
        <v>128</v>
      </c>
      <c r="E414">
        <v>704</v>
      </c>
      <c r="F414">
        <v>1371.3219999999999</v>
      </c>
      <c r="G414">
        <v>3770405</v>
      </c>
      <c r="H414" t="s">
        <v>1767</v>
      </c>
    </row>
    <row r="415" spans="1:8" x14ac:dyDescent="0.25">
      <c r="A415" t="s">
        <v>6010</v>
      </c>
      <c r="B415" t="s">
        <v>66</v>
      </c>
      <c r="C415" t="s">
        <v>444</v>
      </c>
      <c r="D415">
        <v>80</v>
      </c>
      <c r="E415">
        <v>440</v>
      </c>
      <c r="F415">
        <v>857.07600000000002</v>
      </c>
      <c r="G415">
        <v>3770405</v>
      </c>
      <c r="H415" t="s">
        <v>1767</v>
      </c>
    </row>
    <row r="416" spans="1:8" x14ac:dyDescent="0.25">
      <c r="A416" t="s">
        <v>5984</v>
      </c>
      <c r="B416" t="s">
        <v>15</v>
      </c>
      <c r="C416" t="s">
        <v>397</v>
      </c>
      <c r="D416">
        <v>20</v>
      </c>
      <c r="E416">
        <v>67.100999999999999</v>
      </c>
      <c r="F416">
        <v>252.36</v>
      </c>
      <c r="G416">
        <v>3499935</v>
      </c>
      <c r="H416" t="s">
        <v>6007</v>
      </c>
    </row>
    <row r="417" spans="1:8" x14ac:dyDescent="0.25">
      <c r="A417" t="s">
        <v>5984</v>
      </c>
      <c r="B417" t="s">
        <v>15</v>
      </c>
      <c r="C417" t="s">
        <v>397</v>
      </c>
      <c r="D417">
        <v>61</v>
      </c>
      <c r="E417">
        <v>204.65799999999999</v>
      </c>
      <c r="F417">
        <v>769.69799999999998</v>
      </c>
      <c r="G417">
        <v>3499935</v>
      </c>
      <c r="H417" t="s">
        <v>6007</v>
      </c>
    </row>
    <row r="418" spans="1:8" x14ac:dyDescent="0.25">
      <c r="A418" t="s">
        <v>5984</v>
      </c>
      <c r="B418" t="s">
        <v>15</v>
      </c>
      <c r="C418" t="s">
        <v>397</v>
      </c>
      <c r="D418">
        <v>62</v>
      </c>
      <c r="E418">
        <v>314.39299999999997</v>
      </c>
      <c r="F418">
        <v>1182.402</v>
      </c>
      <c r="G418">
        <v>4244172</v>
      </c>
      <c r="H418" t="s">
        <v>6008</v>
      </c>
    </row>
    <row r="419" spans="1:8" x14ac:dyDescent="0.25">
      <c r="A419" t="s">
        <v>5984</v>
      </c>
      <c r="B419" t="s">
        <v>15</v>
      </c>
      <c r="C419" t="s">
        <v>397</v>
      </c>
      <c r="D419">
        <v>62</v>
      </c>
      <c r="E419">
        <v>314.39299999999997</v>
      </c>
      <c r="F419">
        <v>1182.402</v>
      </c>
      <c r="G419">
        <v>4244172</v>
      </c>
      <c r="H419" t="s">
        <v>6008</v>
      </c>
    </row>
    <row r="420" spans="1:8" x14ac:dyDescent="0.25">
      <c r="A420" t="s">
        <v>5984</v>
      </c>
      <c r="B420" t="s">
        <v>15</v>
      </c>
      <c r="C420" t="s">
        <v>397</v>
      </c>
      <c r="D420">
        <v>62</v>
      </c>
      <c r="E420">
        <v>314.39299999999997</v>
      </c>
      <c r="F420">
        <v>1182.402</v>
      </c>
      <c r="G420">
        <v>4244172</v>
      </c>
      <c r="H420" t="s">
        <v>6008</v>
      </c>
    </row>
    <row r="421" spans="1:8" x14ac:dyDescent="0.25">
      <c r="A421" t="s">
        <v>5984</v>
      </c>
      <c r="B421" t="s">
        <v>15</v>
      </c>
      <c r="C421" t="s">
        <v>397</v>
      </c>
      <c r="D421">
        <v>62</v>
      </c>
      <c r="E421">
        <v>314.39299999999997</v>
      </c>
      <c r="F421">
        <v>1182.402</v>
      </c>
      <c r="G421">
        <v>4244172</v>
      </c>
      <c r="H421" t="s">
        <v>6008</v>
      </c>
    </row>
    <row r="422" spans="1:8" x14ac:dyDescent="0.25">
      <c r="A422" t="s">
        <v>5984</v>
      </c>
      <c r="B422" t="s">
        <v>15</v>
      </c>
      <c r="C422" t="s">
        <v>397</v>
      </c>
      <c r="D422">
        <v>62</v>
      </c>
      <c r="E422">
        <v>314.39299999999997</v>
      </c>
      <c r="F422">
        <v>1182.402</v>
      </c>
      <c r="G422">
        <v>4244172</v>
      </c>
      <c r="H422" t="s">
        <v>6008</v>
      </c>
    </row>
    <row r="423" spans="1:8" x14ac:dyDescent="0.25">
      <c r="A423" t="s">
        <v>5984</v>
      </c>
      <c r="B423" t="s">
        <v>15</v>
      </c>
      <c r="C423" t="s">
        <v>397</v>
      </c>
      <c r="D423">
        <v>62</v>
      </c>
      <c r="E423">
        <v>314.39299999999997</v>
      </c>
      <c r="F423">
        <v>1182.402</v>
      </c>
      <c r="G423">
        <v>4244172</v>
      </c>
      <c r="H423" t="s">
        <v>6008</v>
      </c>
    </row>
    <row r="424" spans="1:8" x14ac:dyDescent="0.25">
      <c r="A424" t="s">
        <v>5984</v>
      </c>
      <c r="B424" t="s">
        <v>15</v>
      </c>
      <c r="C424" t="s">
        <v>397</v>
      </c>
      <c r="D424">
        <v>62</v>
      </c>
      <c r="E424">
        <v>314.39299999999997</v>
      </c>
      <c r="F424">
        <v>1182.402</v>
      </c>
      <c r="G424">
        <v>4244172</v>
      </c>
      <c r="H424" t="s">
        <v>6008</v>
      </c>
    </row>
    <row r="425" spans="1:8" x14ac:dyDescent="0.25">
      <c r="A425" t="s">
        <v>5984</v>
      </c>
      <c r="B425" t="s">
        <v>15</v>
      </c>
      <c r="C425" t="s">
        <v>397</v>
      </c>
      <c r="D425">
        <v>62</v>
      </c>
      <c r="E425">
        <v>314.39299999999997</v>
      </c>
      <c r="F425">
        <v>1182.402</v>
      </c>
      <c r="G425">
        <v>4244172</v>
      </c>
      <c r="H425" t="s">
        <v>6008</v>
      </c>
    </row>
    <row r="426" spans="1:8" x14ac:dyDescent="0.25">
      <c r="A426" t="s">
        <v>5984</v>
      </c>
      <c r="B426" t="s">
        <v>15</v>
      </c>
      <c r="C426" t="s">
        <v>397</v>
      </c>
      <c r="D426">
        <v>49</v>
      </c>
      <c r="E426">
        <v>248.47200000000001</v>
      </c>
      <c r="F426">
        <v>934.47900000000004</v>
      </c>
      <c r="G426">
        <v>4244172</v>
      </c>
      <c r="H426" t="s">
        <v>6008</v>
      </c>
    </row>
    <row r="427" spans="1:8" x14ac:dyDescent="0.25">
      <c r="A427" t="s">
        <v>5984</v>
      </c>
      <c r="B427" t="s">
        <v>15</v>
      </c>
      <c r="C427" t="s">
        <v>397</v>
      </c>
      <c r="D427">
        <v>74</v>
      </c>
      <c r="E427">
        <v>377.46800000000002</v>
      </c>
      <c r="F427">
        <v>1742.9960000000001</v>
      </c>
      <c r="G427">
        <v>3502201</v>
      </c>
      <c r="H427" t="s">
        <v>6011</v>
      </c>
    </row>
    <row r="428" spans="1:8" x14ac:dyDescent="0.25">
      <c r="A428" t="s">
        <v>5984</v>
      </c>
      <c r="B428" t="s">
        <v>15</v>
      </c>
      <c r="C428" t="s">
        <v>397</v>
      </c>
      <c r="D428">
        <v>61</v>
      </c>
      <c r="E428">
        <v>311.15600000000001</v>
      </c>
      <c r="F428">
        <v>1436.7940000000001</v>
      </c>
      <c r="G428">
        <v>3502201</v>
      </c>
      <c r="H428" t="s">
        <v>6011</v>
      </c>
    </row>
    <row r="429" spans="1:8" x14ac:dyDescent="0.25">
      <c r="A429" t="s">
        <v>5984</v>
      </c>
      <c r="B429" t="s">
        <v>15</v>
      </c>
      <c r="C429" t="s">
        <v>397</v>
      </c>
      <c r="D429">
        <v>61</v>
      </c>
      <c r="E429">
        <v>311.15600000000001</v>
      </c>
      <c r="F429">
        <v>1436.7940000000001</v>
      </c>
      <c r="G429">
        <v>3502201</v>
      </c>
      <c r="H429" t="s">
        <v>6011</v>
      </c>
    </row>
    <row r="430" spans="1:8" x14ac:dyDescent="0.25">
      <c r="A430" t="s">
        <v>5984</v>
      </c>
      <c r="B430" t="s">
        <v>15</v>
      </c>
      <c r="C430" t="s">
        <v>397</v>
      </c>
      <c r="D430">
        <v>61</v>
      </c>
      <c r="E430">
        <v>311.15600000000001</v>
      </c>
      <c r="F430">
        <v>1436.7940000000001</v>
      </c>
      <c r="G430">
        <v>3502201</v>
      </c>
      <c r="H430" t="s">
        <v>6011</v>
      </c>
    </row>
    <row r="431" spans="1:8" x14ac:dyDescent="0.25">
      <c r="A431" t="s">
        <v>5984</v>
      </c>
      <c r="B431" t="s">
        <v>15</v>
      </c>
      <c r="C431" t="s">
        <v>397</v>
      </c>
      <c r="D431">
        <v>61</v>
      </c>
      <c r="E431">
        <v>311.15600000000001</v>
      </c>
      <c r="F431">
        <v>1436.7940000000001</v>
      </c>
      <c r="G431">
        <v>3502201</v>
      </c>
      <c r="H431" t="s">
        <v>6011</v>
      </c>
    </row>
    <row r="432" spans="1:8" x14ac:dyDescent="0.25">
      <c r="A432" t="s">
        <v>5984</v>
      </c>
      <c r="B432" t="s">
        <v>15</v>
      </c>
      <c r="C432" t="s">
        <v>397</v>
      </c>
      <c r="D432">
        <v>61</v>
      </c>
      <c r="E432">
        <v>311.15600000000001</v>
      </c>
      <c r="F432">
        <v>1436.7940000000001</v>
      </c>
      <c r="G432">
        <v>3502201</v>
      </c>
      <c r="H432" t="s">
        <v>6011</v>
      </c>
    </row>
    <row r="433" spans="1:8" x14ac:dyDescent="0.25">
      <c r="A433" t="s">
        <v>5984</v>
      </c>
      <c r="B433" t="s">
        <v>15</v>
      </c>
      <c r="C433" t="s">
        <v>397</v>
      </c>
      <c r="D433">
        <v>61</v>
      </c>
      <c r="E433">
        <v>311.15600000000001</v>
      </c>
      <c r="F433">
        <v>1436.7940000000001</v>
      </c>
      <c r="G433">
        <v>3502201</v>
      </c>
      <c r="H433" t="s">
        <v>6011</v>
      </c>
    </row>
    <row r="434" spans="1:8" x14ac:dyDescent="0.25">
      <c r="A434" t="s">
        <v>5966</v>
      </c>
      <c r="B434" t="s">
        <v>37</v>
      </c>
      <c r="C434" t="s">
        <v>392</v>
      </c>
      <c r="D434">
        <v>118</v>
      </c>
      <c r="E434">
        <v>698.97699999999998</v>
      </c>
      <c r="F434">
        <v>2596</v>
      </c>
      <c r="G434">
        <v>3500391</v>
      </c>
      <c r="H434" t="s">
        <v>2397</v>
      </c>
    </row>
    <row r="435" spans="1:8" x14ac:dyDescent="0.25">
      <c r="A435" t="s">
        <v>5966</v>
      </c>
      <c r="B435" t="s">
        <v>37</v>
      </c>
      <c r="C435" t="s">
        <v>392</v>
      </c>
      <c r="D435">
        <v>131</v>
      </c>
      <c r="E435">
        <v>771.40499999999997</v>
      </c>
      <c r="F435">
        <v>2865</v>
      </c>
      <c r="G435">
        <v>3500391</v>
      </c>
      <c r="H435" t="s">
        <v>2397</v>
      </c>
    </row>
    <row r="436" spans="1:8" x14ac:dyDescent="0.25">
      <c r="A436" t="s">
        <v>5966</v>
      </c>
      <c r="B436" t="s">
        <v>37</v>
      </c>
      <c r="C436" t="s">
        <v>392</v>
      </c>
      <c r="D436">
        <v>144</v>
      </c>
      <c r="E436">
        <v>849.21900000000005</v>
      </c>
      <c r="F436">
        <v>3154</v>
      </c>
      <c r="G436">
        <v>3500391</v>
      </c>
      <c r="H436" t="s">
        <v>2397</v>
      </c>
    </row>
    <row r="437" spans="1:8" x14ac:dyDescent="0.25">
      <c r="A437" t="s">
        <v>5966</v>
      </c>
      <c r="B437" t="s">
        <v>37</v>
      </c>
      <c r="C437" t="s">
        <v>392</v>
      </c>
      <c r="D437">
        <v>144</v>
      </c>
      <c r="E437">
        <v>849.21900000000005</v>
      </c>
      <c r="F437">
        <v>3154</v>
      </c>
      <c r="G437">
        <v>3500391</v>
      </c>
      <c r="H437" t="s">
        <v>2397</v>
      </c>
    </row>
    <row r="438" spans="1:8" x14ac:dyDescent="0.25">
      <c r="A438" t="s">
        <v>5966</v>
      </c>
      <c r="B438" t="s">
        <v>37</v>
      </c>
      <c r="C438" t="s">
        <v>392</v>
      </c>
      <c r="D438">
        <v>144</v>
      </c>
      <c r="E438">
        <v>849.21900000000005</v>
      </c>
      <c r="F438">
        <v>3154</v>
      </c>
      <c r="G438">
        <v>3500391</v>
      </c>
      <c r="H438" t="s">
        <v>2397</v>
      </c>
    </row>
    <row r="439" spans="1:8" x14ac:dyDescent="0.25">
      <c r="A439" t="s">
        <v>5966</v>
      </c>
      <c r="B439" t="s">
        <v>37</v>
      </c>
      <c r="C439" t="s">
        <v>392</v>
      </c>
      <c r="D439">
        <v>144</v>
      </c>
      <c r="E439">
        <v>849.21900000000005</v>
      </c>
      <c r="F439">
        <v>3154</v>
      </c>
      <c r="G439">
        <v>3500391</v>
      </c>
      <c r="H439" t="s">
        <v>2397</v>
      </c>
    </row>
    <row r="440" spans="1:8" x14ac:dyDescent="0.25">
      <c r="A440" t="s">
        <v>5966</v>
      </c>
      <c r="B440" t="s">
        <v>37</v>
      </c>
      <c r="C440" t="s">
        <v>392</v>
      </c>
      <c r="D440">
        <v>144</v>
      </c>
      <c r="E440">
        <v>849.21900000000005</v>
      </c>
      <c r="F440">
        <v>3154</v>
      </c>
      <c r="G440">
        <v>3500391</v>
      </c>
      <c r="H440" t="s">
        <v>2397</v>
      </c>
    </row>
    <row r="441" spans="1:8" x14ac:dyDescent="0.25">
      <c r="A441" t="s">
        <v>5966</v>
      </c>
      <c r="B441" t="s">
        <v>37</v>
      </c>
      <c r="C441" t="s">
        <v>392</v>
      </c>
      <c r="D441">
        <v>142</v>
      </c>
      <c r="E441">
        <v>837.37199999999996</v>
      </c>
      <c r="F441">
        <v>3110</v>
      </c>
      <c r="G441">
        <v>3500391</v>
      </c>
      <c r="H441" t="s">
        <v>2397</v>
      </c>
    </row>
    <row r="442" spans="1:8" x14ac:dyDescent="0.25">
      <c r="A442" t="s">
        <v>5966</v>
      </c>
      <c r="B442" t="s">
        <v>37</v>
      </c>
      <c r="C442" t="s">
        <v>392</v>
      </c>
      <c r="D442">
        <v>144</v>
      </c>
      <c r="E442">
        <v>849.21900000000005</v>
      </c>
      <c r="F442">
        <v>3154</v>
      </c>
      <c r="G442">
        <v>3500391</v>
      </c>
      <c r="H442" t="s">
        <v>2397</v>
      </c>
    </row>
    <row r="443" spans="1:8" x14ac:dyDescent="0.25">
      <c r="A443" t="s">
        <v>5966</v>
      </c>
      <c r="B443" t="s">
        <v>37</v>
      </c>
      <c r="C443" t="s">
        <v>392</v>
      </c>
      <c r="D443">
        <v>140</v>
      </c>
      <c r="E443">
        <v>825.25599999999997</v>
      </c>
      <c r="F443">
        <v>3065</v>
      </c>
      <c r="G443">
        <v>3500391</v>
      </c>
      <c r="H443" t="s">
        <v>2397</v>
      </c>
    </row>
    <row r="444" spans="1:8" x14ac:dyDescent="0.25">
      <c r="A444" t="s">
        <v>6010</v>
      </c>
      <c r="B444" t="s">
        <v>66</v>
      </c>
      <c r="C444" t="s">
        <v>444</v>
      </c>
      <c r="D444">
        <v>30</v>
      </c>
      <c r="E444">
        <v>165</v>
      </c>
      <c r="F444">
        <v>321.404</v>
      </c>
      <c r="G444">
        <v>3770405</v>
      </c>
      <c r="H444" t="s">
        <v>1767</v>
      </c>
    </row>
    <row r="445" spans="1:8" x14ac:dyDescent="0.25">
      <c r="A445" t="s">
        <v>6010</v>
      </c>
      <c r="B445" t="s">
        <v>66</v>
      </c>
      <c r="C445" t="s">
        <v>444</v>
      </c>
      <c r="D445">
        <v>50</v>
      </c>
      <c r="E445">
        <v>275</v>
      </c>
      <c r="F445">
        <v>535.673</v>
      </c>
      <c r="G445">
        <v>3770405</v>
      </c>
      <c r="H445" t="s">
        <v>1767</v>
      </c>
    </row>
    <row r="446" spans="1:8" x14ac:dyDescent="0.25">
      <c r="A446" t="s">
        <v>6010</v>
      </c>
      <c r="B446" t="s">
        <v>66</v>
      </c>
      <c r="C446" t="s">
        <v>444</v>
      </c>
      <c r="D446">
        <v>63</v>
      </c>
      <c r="E446">
        <v>346.5</v>
      </c>
      <c r="F446">
        <v>674.947</v>
      </c>
      <c r="G446">
        <v>3770405</v>
      </c>
      <c r="H446" t="s">
        <v>1767</v>
      </c>
    </row>
    <row r="447" spans="1:8" x14ac:dyDescent="0.25">
      <c r="A447" t="s">
        <v>6010</v>
      </c>
      <c r="B447" t="s">
        <v>66</v>
      </c>
      <c r="C447" t="s">
        <v>444</v>
      </c>
      <c r="D447">
        <v>156</v>
      </c>
      <c r="E447">
        <v>858</v>
      </c>
      <c r="F447">
        <v>1671.298</v>
      </c>
      <c r="G447">
        <v>3770405</v>
      </c>
      <c r="H447" t="s">
        <v>1767</v>
      </c>
    </row>
    <row r="448" spans="1:8" x14ac:dyDescent="0.25">
      <c r="A448" t="s">
        <v>6010</v>
      </c>
      <c r="B448" t="s">
        <v>66</v>
      </c>
      <c r="C448" t="s">
        <v>444</v>
      </c>
      <c r="D448">
        <v>100</v>
      </c>
      <c r="E448">
        <v>550</v>
      </c>
      <c r="F448">
        <v>1071.345</v>
      </c>
      <c r="G448">
        <v>3770405</v>
      </c>
      <c r="H448" t="s">
        <v>1767</v>
      </c>
    </row>
    <row r="449" spans="1:8" x14ac:dyDescent="0.25">
      <c r="A449" t="s">
        <v>6010</v>
      </c>
      <c r="B449" t="s">
        <v>66</v>
      </c>
      <c r="C449" t="s">
        <v>444</v>
      </c>
      <c r="D449">
        <v>148</v>
      </c>
      <c r="E449">
        <v>814</v>
      </c>
      <c r="F449">
        <v>1585.5909999999999</v>
      </c>
      <c r="G449">
        <v>3770405</v>
      </c>
      <c r="H449" t="s">
        <v>1767</v>
      </c>
    </row>
    <row r="450" spans="1:8" x14ac:dyDescent="0.25">
      <c r="A450" t="s">
        <v>6010</v>
      </c>
      <c r="B450" t="s">
        <v>66</v>
      </c>
      <c r="C450" t="s">
        <v>444</v>
      </c>
      <c r="D450">
        <v>136</v>
      </c>
      <c r="E450">
        <v>748</v>
      </c>
      <c r="F450">
        <v>1457.029</v>
      </c>
      <c r="G450">
        <v>3770405</v>
      </c>
      <c r="H450" t="s">
        <v>1767</v>
      </c>
    </row>
    <row r="451" spans="1:8" x14ac:dyDescent="0.25">
      <c r="A451" t="s">
        <v>6010</v>
      </c>
      <c r="B451" t="s">
        <v>66</v>
      </c>
      <c r="C451" t="s">
        <v>444</v>
      </c>
      <c r="D451">
        <v>164</v>
      </c>
      <c r="E451">
        <v>902</v>
      </c>
      <c r="F451">
        <v>1757.0060000000001</v>
      </c>
      <c r="G451">
        <v>3770405</v>
      </c>
      <c r="H451" t="s">
        <v>1767</v>
      </c>
    </row>
    <row r="452" spans="1:8" x14ac:dyDescent="0.25">
      <c r="A452" t="s">
        <v>6004</v>
      </c>
      <c r="B452" t="s">
        <v>67</v>
      </c>
      <c r="C452" t="s">
        <v>392</v>
      </c>
      <c r="D452">
        <v>19</v>
      </c>
      <c r="E452">
        <v>112.88</v>
      </c>
      <c r="F452">
        <v>975</v>
      </c>
      <c r="G452">
        <v>3702253</v>
      </c>
      <c r="H452" t="s">
        <v>1785</v>
      </c>
    </row>
    <row r="453" spans="1:8" x14ac:dyDescent="0.25">
      <c r="A453" t="s">
        <v>6004</v>
      </c>
      <c r="B453" t="s">
        <v>67</v>
      </c>
      <c r="C453" t="s">
        <v>392</v>
      </c>
      <c r="D453">
        <v>19</v>
      </c>
      <c r="E453">
        <v>112.88</v>
      </c>
      <c r="F453">
        <v>975</v>
      </c>
      <c r="G453">
        <v>3702253</v>
      </c>
      <c r="H453" t="s">
        <v>1785</v>
      </c>
    </row>
    <row r="454" spans="1:8" x14ac:dyDescent="0.25">
      <c r="A454" t="s">
        <v>6004</v>
      </c>
      <c r="B454" t="s">
        <v>67</v>
      </c>
      <c r="C454" t="s">
        <v>392</v>
      </c>
      <c r="D454">
        <v>19</v>
      </c>
      <c r="E454">
        <v>112.88</v>
      </c>
      <c r="F454">
        <v>975</v>
      </c>
      <c r="G454">
        <v>3702253</v>
      </c>
      <c r="H454" t="s">
        <v>1785</v>
      </c>
    </row>
    <row r="455" spans="1:8" x14ac:dyDescent="0.25">
      <c r="A455" t="s">
        <v>6004</v>
      </c>
      <c r="B455" t="s">
        <v>67</v>
      </c>
      <c r="C455" t="s">
        <v>392</v>
      </c>
      <c r="D455">
        <v>19</v>
      </c>
      <c r="E455">
        <v>112.88</v>
      </c>
      <c r="F455">
        <v>975</v>
      </c>
      <c r="G455">
        <v>3702253</v>
      </c>
      <c r="H455" t="s">
        <v>1785</v>
      </c>
    </row>
    <row r="456" spans="1:8" x14ac:dyDescent="0.25">
      <c r="A456" t="s">
        <v>6004</v>
      </c>
      <c r="B456" t="s">
        <v>67</v>
      </c>
      <c r="C456" t="s">
        <v>392</v>
      </c>
      <c r="D456">
        <v>19</v>
      </c>
      <c r="E456">
        <v>112.88</v>
      </c>
      <c r="F456">
        <v>975</v>
      </c>
      <c r="G456">
        <v>3702253</v>
      </c>
      <c r="H456" t="s">
        <v>1785</v>
      </c>
    </row>
    <row r="457" spans="1:8" x14ac:dyDescent="0.25">
      <c r="A457" t="s">
        <v>6004</v>
      </c>
      <c r="B457" t="s">
        <v>67</v>
      </c>
      <c r="C457" t="s">
        <v>392</v>
      </c>
      <c r="D457">
        <v>19</v>
      </c>
      <c r="E457">
        <v>112.88</v>
      </c>
      <c r="F457">
        <v>975</v>
      </c>
      <c r="G457">
        <v>3702253</v>
      </c>
      <c r="H457" t="s">
        <v>1785</v>
      </c>
    </row>
    <row r="458" spans="1:8" x14ac:dyDescent="0.25">
      <c r="A458" t="s">
        <v>6004</v>
      </c>
      <c r="B458" t="s">
        <v>67</v>
      </c>
      <c r="C458" t="s">
        <v>392</v>
      </c>
      <c r="D458">
        <v>19</v>
      </c>
      <c r="E458">
        <v>112.88</v>
      </c>
      <c r="F458">
        <v>975</v>
      </c>
      <c r="G458">
        <v>3702253</v>
      </c>
      <c r="H458" t="s">
        <v>1785</v>
      </c>
    </row>
    <row r="459" spans="1:8" x14ac:dyDescent="0.25">
      <c r="A459" t="s">
        <v>6004</v>
      </c>
      <c r="B459" t="s">
        <v>67</v>
      </c>
      <c r="C459" t="s">
        <v>392</v>
      </c>
      <c r="D459">
        <v>19</v>
      </c>
      <c r="E459">
        <v>112.301</v>
      </c>
      <c r="F459">
        <v>970</v>
      </c>
      <c r="G459">
        <v>3702253</v>
      </c>
      <c r="H459" t="s">
        <v>1785</v>
      </c>
    </row>
    <row r="460" spans="1:8" x14ac:dyDescent="0.25">
      <c r="A460" t="s">
        <v>6004</v>
      </c>
      <c r="B460" t="s">
        <v>67</v>
      </c>
      <c r="C460" t="s">
        <v>392</v>
      </c>
      <c r="D460">
        <v>19</v>
      </c>
      <c r="E460">
        <v>112.88</v>
      </c>
      <c r="F460">
        <v>975</v>
      </c>
      <c r="G460">
        <v>3702253</v>
      </c>
      <c r="H460" t="s">
        <v>1785</v>
      </c>
    </row>
    <row r="461" spans="1:8" x14ac:dyDescent="0.25">
      <c r="A461" t="s">
        <v>6004</v>
      </c>
      <c r="B461" t="s">
        <v>67</v>
      </c>
      <c r="C461" t="s">
        <v>392</v>
      </c>
      <c r="D461">
        <v>19</v>
      </c>
      <c r="E461">
        <v>112.88</v>
      </c>
      <c r="F461">
        <v>975</v>
      </c>
      <c r="G461">
        <v>3702253</v>
      </c>
      <c r="H461" t="s">
        <v>1785</v>
      </c>
    </row>
    <row r="462" spans="1:8" x14ac:dyDescent="0.25">
      <c r="A462" t="s">
        <v>6004</v>
      </c>
      <c r="B462" t="s">
        <v>67</v>
      </c>
      <c r="C462" t="s">
        <v>392</v>
      </c>
      <c r="D462">
        <v>19</v>
      </c>
      <c r="E462">
        <v>112.88</v>
      </c>
      <c r="F462">
        <v>975</v>
      </c>
      <c r="G462">
        <v>3702253</v>
      </c>
      <c r="H462" t="s">
        <v>1785</v>
      </c>
    </row>
    <row r="463" spans="1:8" x14ac:dyDescent="0.25">
      <c r="A463" t="s">
        <v>6004</v>
      </c>
      <c r="B463" t="s">
        <v>67</v>
      </c>
      <c r="C463" t="s">
        <v>392</v>
      </c>
      <c r="D463">
        <v>19</v>
      </c>
      <c r="E463">
        <v>112.88</v>
      </c>
      <c r="F463">
        <v>975</v>
      </c>
      <c r="G463">
        <v>3702253</v>
      </c>
      <c r="H463" t="s">
        <v>1785</v>
      </c>
    </row>
    <row r="464" spans="1:8" x14ac:dyDescent="0.25">
      <c r="A464" t="s">
        <v>6004</v>
      </c>
      <c r="B464" t="s">
        <v>67</v>
      </c>
      <c r="C464" t="s">
        <v>392</v>
      </c>
      <c r="D464">
        <v>19</v>
      </c>
      <c r="E464">
        <v>112.88</v>
      </c>
      <c r="F464">
        <v>975</v>
      </c>
      <c r="G464">
        <v>3702253</v>
      </c>
      <c r="H464" t="s">
        <v>1785</v>
      </c>
    </row>
    <row r="465" spans="1:8" x14ac:dyDescent="0.25">
      <c r="A465" t="s">
        <v>6004</v>
      </c>
      <c r="B465" t="s">
        <v>67</v>
      </c>
      <c r="C465" t="s">
        <v>392</v>
      </c>
      <c r="D465">
        <v>19</v>
      </c>
      <c r="E465">
        <v>112.88</v>
      </c>
      <c r="F465">
        <v>975</v>
      </c>
      <c r="G465">
        <v>3702253</v>
      </c>
      <c r="H465" t="s">
        <v>1785</v>
      </c>
    </row>
    <row r="466" spans="1:8" x14ac:dyDescent="0.25">
      <c r="A466" t="s">
        <v>6004</v>
      </c>
      <c r="B466" t="s">
        <v>67</v>
      </c>
      <c r="C466" t="s">
        <v>392</v>
      </c>
      <c r="D466">
        <v>19</v>
      </c>
      <c r="E466">
        <v>112.88</v>
      </c>
      <c r="F466">
        <v>975</v>
      </c>
      <c r="G466">
        <v>3702253</v>
      </c>
      <c r="H466" t="s">
        <v>1785</v>
      </c>
    </row>
    <row r="467" spans="1:8" x14ac:dyDescent="0.25">
      <c r="A467" t="s">
        <v>5966</v>
      </c>
      <c r="B467" t="s">
        <v>37</v>
      </c>
      <c r="C467" t="s">
        <v>392</v>
      </c>
      <c r="D467">
        <v>143</v>
      </c>
      <c r="E467">
        <v>843.56500000000005</v>
      </c>
      <c r="F467">
        <v>3133</v>
      </c>
      <c r="G467">
        <v>3500391</v>
      </c>
      <c r="H467" t="s">
        <v>2397</v>
      </c>
    </row>
    <row r="468" spans="1:8" x14ac:dyDescent="0.25">
      <c r="A468" t="s">
        <v>5966</v>
      </c>
      <c r="B468" t="s">
        <v>37</v>
      </c>
      <c r="C468" t="s">
        <v>392</v>
      </c>
      <c r="D468">
        <v>134</v>
      </c>
      <c r="E468">
        <v>789.44500000000005</v>
      </c>
      <c r="F468">
        <v>2932</v>
      </c>
      <c r="G468">
        <v>3500391</v>
      </c>
      <c r="H468" t="s">
        <v>2397</v>
      </c>
    </row>
    <row r="469" spans="1:8" x14ac:dyDescent="0.25">
      <c r="A469" t="s">
        <v>5966</v>
      </c>
      <c r="B469" t="s">
        <v>37</v>
      </c>
      <c r="C469" t="s">
        <v>392</v>
      </c>
      <c r="D469">
        <v>143</v>
      </c>
      <c r="E469">
        <v>843.56500000000005</v>
      </c>
      <c r="F469">
        <v>3133</v>
      </c>
      <c r="G469">
        <v>3500391</v>
      </c>
      <c r="H469" t="s">
        <v>2397</v>
      </c>
    </row>
    <row r="470" spans="1:8" x14ac:dyDescent="0.25">
      <c r="A470" t="s">
        <v>5966</v>
      </c>
      <c r="B470" t="s">
        <v>37</v>
      </c>
      <c r="C470" t="s">
        <v>392</v>
      </c>
      <c r="D470">
        <v>139</v>
      </c>
      <c r="E470">
        <v>819.60199999999998</v>
      </c>
      <c r="F470">
        <v>3044</v>
      </c>
      <c r="G470">
        <v>3500391</v>
      </c>
      <c r="H470" t="s">
        <v>2397</v>
      </c>
    </row>
    <row r="471" spans="1:8" x14ac:dyDescent="0.25">
      <c r="A471" t="s">
        <v>5999</v>
      </c>
      <c r="B471" t="s">
        <v>36</v>
      </c>
      <c r="C471" t="s">
        <v>392</v>
      </c>
      <c r="D471">
        <v>91</v>
      </c>
      <c r="E471">
        <v>556.74599999999998</v>
      </c>
      <c r="F471">
        <v>1325</v>
      </c>
      <c r="G471">
        <v>3500641</v>
      </c>
      <c r="H471" t="s">
        <v>6009</v>
      </c>
    </row>
    <row r="472" spans="1:8" x14ac:dyDescent="0.25">
      <c r="A472" t="s">
        <v>5999</v>
      </c>
      <c r="B472" t="s">
        <v>36</v>
      </c>
      <c r="C472" t="s">
        <v>392</v>
      </c>
      <c r="D472">
        <v>91</v>
      </c>
      <c r="E472">
        <v>556.74599999999998</v>
      </c>
      <c r="F472">
        <v>1325</v>
      </c>
      <c r="G472">
        <v>3500641</v>
      </c>
      <c r="H472" t="s">
        <v>6009</v>
      </c>
    </row>
    <row r="473" spans="1:8" x14ac:dyDescent="0.25">
      <c r="A473" t="s">
        <v>5999</v>
      </c>
      <c r="B473" t="s">
        <v>36</v>
      </c>
      <c r="C473" t="s">
        <v>392</v>
      </c>
      <c r="D473">
        <v>91</v>
      </c>
      <c r="E473">
        <v>556.74599999999998</v>
      </c>
      <c r="F473">
        <v>1325</v>
      </c>
      <c r="G473">
        <v>3500641</v>
      </c>
      <c r="H473" t="s">
        <v>6009</v>
      </c>
    </row>
    <row r="474" spans="1:8" x14ac:dyDescent="0.25">
      <c r="A474" t="s">
        <v>5999</v>
      </c>
      <c r="B474" t="s">
        <v>36</v>
      </c>
      <c r="C474" t="s">
        <v>392</v>
      </c>
      <c r="D474">
        <v>91</v>
      </c>
      <c r="E474">
        <v>556.74599999999998</v>
      </c>
      <c r="F474">
        <v>1325</v>
      </c>
      <c r="G474">
        <v>3500641</v>
      </c>
      <c r="H474" t="s">
        <v>6009</v>
      </c>
    </row>
    <row r="475" spans="1:8" x14ac:dyDescent="0.25">
      <c r="A475" t="s">
        <v>5966</v>
      </c>
      <c r="B475" t="s">
        <v>37</v>
      </c>
      <c r="C475" t="s">
        <v>392</v>
      </c>
      <c r="D475">
        <v>109</v>
      </c>
      <c r="E475">
        <v>599.17499999999995</v>
      </c>
      <c r="F475">
        <v>2236</v>
      </c>
      <c r="G475">
        <v>3500714</v>
      </c>
      <c r="H475" t="s">
        <v>1922</v>
      </c>
    </row>
    <row r="476" spans="1:8" x14ac:dyDescent="0.25">
      <c r="A476" t="s">
        <v>5966</v>
      </c>
      <c r="B476" t="s">
        <v>37</v>
      </c>
      <c r="C476" t="s">
        <v>392</v>
      </c>
      <c r="D476">
        <v>115</v>
      </c>
      <c r="E476">
        <v>632.93899999999996</v>
      </c>
      <c r="F476">
        <v>2362</v>
      </c>
      <c r="G476">
        <v>3500714</v>
      </c>
      <c r="H476" t="s">
        <v>1922</v>
      </c>
    </row>
    <row r="477" spans="1:8" x14ac:dyDescent="0.25">
      <c r="A477" t="s">
        <v>5966</v>
      </c>
      <c r="B477" t="s">
        <v>37</v>
      </c>
      <c r="C477" t="s">
        <v>392</v>
      </c>
      <c r="D477">
        <v>115</v>
      </c>
      <c r="E477">
        <v>632.93899999999996</v>
      </c>
      <c r="F477">
        <v>2362</v>
      </c>
      <c r="G477">
        <v>3500714</v>
      </c>
      <c r="H477" t="s">
        <v>1922</v>
      </c>
    </row>
    <row r="478" spans="1:8" x14ac:dyDescent="0.25">
      <c r="A478" t="s">
        <v>391</v>
      </c>
      <c r="B478" t="s">
        <v>71</v>
      </c>
      <c r="C478" t="s">
        <v>392</v>
      </c>
      <c r="D478">
        <v>158</v>
      </c>
      <c r="E478">
        <v>701.80499999999995</v>
      </c>
      <c r="F478">
        <v>1940</v>
      </c>
      <c r="G478">
        <v>3995629</v>
      </c>
      <c r="H478" t="s">
        <v>394</v>
      </c>
    </row>
    <row r="479" spans="1:8" x14ac:dyDescent="0.25">
      <c r="A479" t="s">
        <v>391</v>
      </c>
      <c r="B479" t="s">
        <v>71</v>
      </c>
      <c r="C479" t="s">
        <v>392</v>
      </c>
      <c r="D479">
        <v>152</v>
      </c>
      <c r="E479">
        <v>675.39700000000005</v>
      </c>
      <c r="F479">
        <v>1867</v>
      </c>
      <c r="G479">
        <v>3995629</v>
      </c>
      <c r="H479" t="s">
        <v>394</v>
      </c>
    </row>
    <row r="480" spans="1:8" x14ac:dyDescent="0.25">
      <c r="A480" t="s">
        <v>391</v>
      </c>
      <c r="B480" t="s">
        <v>71</v>
      </c>
      <c r="C480" t="s">
        <v>392</v>
      </c>
      <c r="D480">
        <v>157</v>
      </c>
      <c r="E480">
        <v>697.46400000000006</v>
      </c>
      <c r="F480">
        <v>1928</v>
      </c>
      <c r="G480">
        <v>3995629</v>
      </c>
      <c r="H480" t="s">
        <v>394</v>
      </c>
    </row>
    <row r="481" spans="1:8" x14ac:dyDescent="0.25">
      <c r="A481" t="s">
        <v>391</v>
      </c>
      <c r="B481" t="s">
        <v>71</v>
      </c>
      <c r="C481" t="s">
        <v>392</v>
      </c>
      <c r="D481">
        <v>148</v>
      </c>
      <c r="E481">
        <v>655.86199999999997</v>
      </c>
      <c r="F481">
        <v>1813</v>
      </c>
      <c r="G481">
        <v>3995629</v>
      </c>
      <c r="H481" t="s">
        <v>394</v>
      </c>
    </row>
    <row r="482" spans="1:8" x14ac:dyDescent="0.25">
      <c r="A482" t="s">
        <v>391</v>
      </c>
      <c r="B482" t="s">
        <v>71</v>
      </c>
      <c r="C482" t="s">
        <v>392</v>
      </c>
      <c r="D482">
        <v>169</v>
      </c>
      <c r="E482">
        <v>750.64200000000005</v>
      </c>
      <c r="F482">
        <v>2075</v>
      </c>
      <c r="G482">
        <v>3995629</v>
      </c>
      <c r="H482" t="s">
        <v>394</v>
      </c>
    </row>
    <row r="483" spans="1:8" x14ac:dyDescent="0.25">
      <c r="A483" t="s">
        <v>391</v>
      </c>
      <c r="B483" t="s">
        <v>71</v>
      </c>
      <c r="C483" t="s">
        <v>392</v>
      </c>
      <c r="D483">
        <v>143</v>
      </c>
      <c r="E483">
        <v>799.577</v>
      </c>
      <c r="F483">
        <v>1512</v>
      </c>
      <c r="G483">
        <v>3770392</v>
      </c>
      <c r="H483" t="s">
        <v>405</v>
      </c>
    </row>
    <row r="484" spans="1:8" x14ac:dyDescent="0.25">
      <c r="A484" t="s">
        <v>391</v>
      </c>
      <c r="B484" t="s">
        <v>71</v>
      </c>
      <c r="C484" t="s">
        <v>392</v>
      </c>
      <c r="D484">
        <v>153</v>
      </c>
      <c r="E484">
        <v>858.27599999999995</v>
      </c>
      <c r="F484">
        <v>1623</v>
      </c>
      <c r="G484">
        <v>3770392</v>
      </c>
      <c r="H484" t="s">
        <v>405</v>
      </c>
    </row>
    <row r="485" spans="1:8" x14ac:dyDescent="0.25">
      <c r="A485" t="s">
        <v>391</v>
      </c>
      <c r="B485" t="s">
        <v>71</v>
      </c>
      <c r="C485" t="s">
        <v>392</v>
      </c>
      <c r="D485">
        <v>153</v>
      </c>
      <c r="E485">
        <v>858.27599999999995</v>
      </c>
      <c r="F485">
        <v>1623</v>
      </c>
      <c r="G485">
        <v>3770392</v>
      </c>
      <c r="H485" t="s">
        <v>405</v>
      </c>
    </row>
    <row r="486" spans="1:8" x14ac:dyDescent="0.25">
      <c r="A486" t="s">
        <v>391</v>
      </c>
      <c r="B486" t="s">
        <v>71</v>
      </c>
      <c r="C486" t="s">
        <v>392</v>
      </c>
      <c r="D486">
        <v>153</v>
      </c>
      <c r="E486">
        <v>858.27599999999995</v>
      </c>
      <c r="F486">
        <v>1623</v>
      </c>
      <c r="G486">
        <v>3770392</v>
      </c>
      <c r="H486" t="s">
        <v>405</v>
      </c>
    </row>
    <row r="487" spans="1:8" x14ac:dyDescent="0.25">
      <c r="A487" t="s">
        <v>391</v>
      </c>
      <c r="B487" t="s">
        <v>71</v>
      </c>
      <c r="C487" t="s">
        <v>392</v>
      </c>
      <c r="D487">
        <v>153</v>
      </c>
      <c r="E487">
        <v>858.27599999999995</v>
      </c>
      <c r="F487">
        <v>1623</v>
      </c>
      <c r="G487">
        <v>3770392</v>
      </c>
      <c r="H487" t="s">
        <v>405</v>
      </c>
    </row>
    <row r="488" spans="1:8" x14ac:dyDescent="0.25">
      <c r="A488" t="s">
        <v>391</v>
      </c>
      <c r="B488" t="s">
        <v>71</v>
      </c>
      <c r="C488" t="s">
        <v>392</v>
      </c>
      <c r="D488">
        <v>153</v>
      </c>
      <c r="E488">
        <v>858.27599999999995</v>
      </c>
      <c r="F488">
        <v>1623</v>
      </c>
      <c r="G488">
        <v>3770392</v>
      </c>
      <c r="H488" t="s">
        <v>405</v>
      </c>
    </row>
    <row r="489" spans="1:8" x14ac:dyDescent="0.25">
      <c r="A489" t="s">
        <v>6004</v>
      </c>
      <c r="B489" t="s">
        <v>67</v>
      </c>
      <c r="C489" t="s">
        <v>392</v>
      </c>
      <c r="D489">
        <v>19</v>
      </c>
      <c r="E489">
        <v>112.417</v>
      </c>
      <c r="F489">
        <v>971</v>
      </c>
      <c r="G489">
        <v>3702253</v>
      </c>
      <c r="H489" t="s">
        <v>1785</v>
      </c>
    </row>
    <row r="490" spans="1:8" x14ac:dyDescent="0.25">
      <c r="A490" t="s">
        <v>6004</v>
      </c>
      <c r="B490" t="s">
        <v>67</v>
      </c>
      <c r="C490" t="s">
        <v>392</v>
      </c>
      <c r="D490">
        <v>19</v>
      </c>
      <c r="E490">
        <v>112.417</v>
      </c>
      <c r="F490">
        <v>971</v>
      </c>
      <c r="G490">
        <v>3702253</v>
      </c>
      <c r="H490" t="s">
        <v>1785</v>
      </c>
    </row>
    <row r="491" spans="1:8" x14ac:dyDescent="0.25">
      <c r="A491" t="s">
        <v>6004</v>
      </c>
      <c r="B491" t="s">
        <v>67</v>
      </c>
      <c r="C491" t="s">
        <v>392</v>
      </c>
      <c r="D491">
        <v>19</v>
      </c>
      <c r="E491">
        <v>112.417</v>
      </c>
      <c r="F491">
        <v>971</v>
      </c>
      <c r="G491">
        <v>3702253</v>
      </c>
      <c r="H491" t="s">
        <v>1785</v>
      </c>
    </row>
    <row r="492" spans="1:8" x14ac:dyDescent="0.25">
      <c r="A492" t="s">
        <v>6004</v>
      </c>
      <c r="B492" t="s">
        <v>67</v>
      </c>
      <c r="C492" t="s">
        <v>392</v>
      </c>
      <c r="D492">
        <v>19</v>
      </c>
      <c r="E492">
        <v>112.417</v>
      </c>
      <c r="F492">
        <v>971</v>
      </c>
      <c r="G492">
        <v>3702253</v>
      </c>
      <c r="H492" t="s">
        <v>1785</v>
      </c>
    </row>
    <row r="493" spans="1:8" x14ac:dyDescent="0.25">
      <c r="A493" t="s">
        <v>6004</v>
      </c>
      <c r="B493" t="s">
        <v>67</v>
      </c>
      <c r="C493" t="s">
        <v>392</v>
      </c>
      <c r="D493">
        <v>19</v>
      </c>
      <c r="E493">
        <v>112.417</v>
      </c>
      <c r="F493">
        <v>971</v>
      </c>
      <c r="G493">
        <v>3702253</v>
      </c>
      <c r="H493" t="s">
        <v>1785</v>
      </c>
    </row>
    <row r="494" spans="1:8" x14ac:dyDescent="0.25">
      <c r="A494" t="s">
        <v>6004</v>
      </c>
      <c r="B494" t="s">
        <v>67</v>
      </c>
      <c r="C494" t="s">
        <v>392</v>
      </c>
      <c r="D494">
        <v>19</v>
      </c>
      <c r="E494">
        <v>112.417</v>
      </c>
      <c r="F494">
        <v>971</v>
      </c>
      <c r="G494">
        <v>3702253</v>
      </c>
      <c r="H494" t="s">
        <v>1785</v>
      </c>
    </row>
    <row r="495" spans="1:8" x14ac:dyDescent="0.25">
      <c r="A495" t="s">
        <v>6004</v>
      </c>
      <c r="B495" t="s">
        <v>67</v>
      </c>
      <c r="C495" t="s">
        <v>392</v>
      </c>
      <c r="D495">
        <v>19</v>
      </c>
      <c r="E495">
        <v>112.417</v>
      </c>
      <c r="F495">
        <v>971</v>
      </c>
      <c r="G495">
        <v>3702253</v>
      </c>
      <c r="H495" t="s">
        <v>1785</v>
      </c>
    </row>
    <row r="496" spans="1:8" x14ac:dyDescent="0.25">
      <c r="A496" t="s">
        <v>6004</v>
      </c>
      <c r="B496" t="s">
        <v>67</v>
      </c>
      <c r="C496" t="s">
        <v>392</v>
      </c>
      <c r="D496">
        <v>19</v>
      </c>
      <c r="E496">
        <v>112.417</v>
      </c>
      <c r="F496">
        <v>971</v>
      </c>
      <c r="G496">
        <v>3702253</v>
      </c>
      <c r="H496" t="s">
        <v>1785</v>
      </c>
    </row>
    <row r="497" spans="1:8" x14ac:dyDescent="0.25">
      <c r="A497" t="s">
        <v>6004</v>
      </c>
      <c r="B497" t="s">
        <v>67</v>
      </c>
      <c r="C497" t="s">
        <v>392</v>
      </c>
      <c r="D497">
        <v>19</v>
      </c>
      <c r="E497">
        <v>112.417</v>
      </c>
      <c r="F497">
        <v>971</v>
      </c>
      <c r="G497">
        <v>3702253</v>
      </c>
      <c r="H497" t="s">
        <v>1785</v>
      </c>
    </row>
    <row r="498" spans="1:8" x14ac:dyDescent="0.25">
      <c r="A498" t="s">
        <v>6004</v>
      </c>
      <c r="B498" t="s">
        <v>67</v>
      </c>
      <c r="C498" t="s">
        <v>392</v>
      </c>
      <c r="D498">
        <v>19</v>
      </c>
      <c r="E498">
        <v>112.417</v>
      </c>
      <c r="F498">
        <v>971</v>
      </c>
      <c r="G498">
        <v>3702253</v>
      </c>
      <c r="H498" t="s">
        <v>1785</v>
      </c>
    </row>
    <row r="499" spans="1:8" x14ac:dyDescent="0.25">
      <c r="A499" t="s">
        <v>6004</v>
      </c>
      <c r="B499" t="s">
        <v>67</v>
      </c>
      <c r="C499" t="s">
        <v>392</v>
      </c>
      <c r="D499">
        <v>19</v>
      </c>
      <c r="E499">
        <v>112.417</v>
      </c>
      <c r="F499">
        <v>971</v>
      </c>
      <c r="G499">
        <v>3702253</v>
      </c>
      <c r="H499" t="s">
        <v>1785</v>
      </c>
    </row>
    <row r="500" spans="1:8" x14ac:dyDescent="0.25">
      <c r="A500" t="s">
        <v>6004</v>
      </c>
      <c r="B500" t="s">
        <v>67</v>
      </c>
      <c r="C500" t="s">
        <v>392</v>
      </c>
      <c r="D500">
        <v>19</v>
      </c>
      <c r="E500">
        <v>112.417</v>
      </c>
      <c r="F500">
        <v>971</v>
      </c>
      <c r="G500">
        <v>3702253</v>
      </c>
      <c r="H500" t="s">
        <v>1785</v>
      </c>
    </row>
    <row r="501" spans="1:8" x14ac:dyDescent="0.25">
      <c r="A501" t="s">
        <v>6004</v>
      </c>
      <c r="B501" t="s">
        <v>67</v>
      </c>
      <c r="C501" t="s">
        <v>392</v>
      </c>
      <c r="D501">
        <v>19</v>
      </c>
      <c r="E501">
        <v>112.417</v>
      </c>
      <c r="F501">
        <v>971</v>
      </c>
      <c r="G501">
        <v>3702253</v>
      </c>
      <c r="H501" t="s">
        <v>1785</v>
      </c>
    </row>
    <row r="502" spans="1:8" x14ac:dyDescent="0.25">
      <c r="A502" t="s">
        <v>6004</v>
      </c>
      <c r="B502" t="s">
        <v>67</v>
      </c>
      <c r="C502" t="s">
        <v>392</v>
      </c>
      <c r="D502">
        <v>19</v>
      </c>
      <c r="E502">
        <v>112.417</v>
      </c>
      <c r="F502">
        <v>971</v>
      </c>
      <c r="G502">
        <v>3702253</v>
      </c>
      <c r="H502" t="s">
        <v>1785</v>
      </c>
    </row>
    <row r="503" spans="1:8" x14ac:dyDescent="0.25">
      <c r="A503" t="s">
        <v>6004</v>
      </c>
      <c r="B503" t="s">
        <v>67</v>
      </c>
      <c r="C503" t="s">
        <v>392</v>
      </c>
      <c r="D503">
        <v>19</v>
      </c>
      <c r="E503">
        <v>111.83799999999999</v>
      </c>
      <c r="F503">
        <v>966</v>
      </c>
      <c r="G503">
        <v>3702253</v>
      </c>
      <c r="H503" t="s">
        <v>1785</v>
      </c>
    </row>
    <row r="504" spans="1:8" x14ac:dyDescent="0.25">
      <c r="A504" t="s">
        <v>6004</v>
      </c>
      <c r="B504" t="s">
        <v>67</v>
      </c>
      <c r="C504" t="s">
        <v>392</v>
      </c>
      <c r="D504">
        <v>19</v>
      </c>
      <c r="E504">
        <v>112.069</v>
      </c>
      <c r="F504">
        <v>968</v>
      </c>
      <c r="G504">
        <v>3702253</v>
      </c>
      <c r="H504" t="s">
        <v>1785</v>
      </c>
    </row>
    <row r="505" spans="1:8" x14ac:dyDescent="0.25">
      <c r="A505" t="s">
        <v>6004</v>
      </c>
      <c r="B505" t="s">
        <v>67</v>
      </c>
      <c r="C505" t="s">
        <v>392</v>
      </c>
      <c r="D505">
        <v>19</v>
      </c>
      <c r="E505">
        <v>112.069</v>
      </c>
      <c r="F505">
        <v>968</v>
      </c>
      <c r="G505">
        <v>3702253</v>
      </c>
      <c r="H505" t="s">
        <v>1785</v>
      </c>
    </row>
    <row r="506" spans="1:8" x14ac:dyDescent="0.25">
      <c r="A506" t="s">
        <v>6004</v>
      </c>
      <c r="B506" t="s">
        <v>67</v>
      </c>
      <c r="C506" t="s">
        <v>392</v>
      </c>
      <c r="D506">
        <v>19</v>
      </c>
      <c r="E506">
        <v>112.069</v>
      </c>
      <c r="F506">
        <v>968</v>
      </c>
      <c r="G506">
        <v>3702253</v>
      </c>
      <c r="H506" t="s">
        <v>1785</v>
      </c>
    </row>
    <row r="507" spans="1:8" x14ac:dyDescent="0.25">
      <c r="A507" t="s">
        <v>6004</v>
      </c>
      <c r="B507" t="s">
        <v>67</v>
      </c>
      <c r="C507" t="s">
        <v>392</v>
      </c>
      <c r="D507">
        <v>19</v>
      </c>
      <c r="E507">
        <v>112.069</v>
      </c>
      <c r="F507">
        <v>968</v>
      </c>
      <c r="G507">
        <v>3702253</v>
      </c>
      <c r="H507" t="s">
        <v>1785</v>
      </c>
    </row>
    <row r="508" spans="1:8" x14ac:dyDescent="0.25">
      <c r="A508" t="s">
        <v>6004</v>
      </c>
      <c r="B508" t="s">
        <v>67</v>
      </c>
      <c r="C508" t="s">
        <v>392</v>
      </c>
      <c r="D508">
        <v>19</v>
      </c>
      <c r="E508">
        <v>112.069</v>
      </c>
      <c r="F508">
        <v>968</v>
      </c>
      <c r="G508">
        <v>3702253</v>
      </c>
      <c r="H508" t="s">
        <v>1785</v>
      </c>
    </row>
    <row r="509" spans="1:8" x14ac:dyDescent="0.25">
      <c r="A509" t="s">
        <v>6004</v>
      </c>
      <c r="B509" t="s">
        <v>67</v>
      </c>
      <c r="C509" t="s">
        <v>392</v>
      </c>
      <c r="D509">
        <v>19</v>
      </c>
      <c r="E509">
        <v>112.069</v>
      </c>
      <c r="F509">
        <v>968</v>
      </c>
      <c r="G509">
        <v>3702253</v>
      </c>
      <c r="H509" t="s">
        <v>1785</v>
      </c>
    </row>
    <row r="510" spans="1:8" x14ac:dyDescent="0.25">
      <c r="A510" t="s">
        <v>6004</v>
      </c>
      <c r="B510" t="s">
        <v>67</v>
      </c>
      <c r="C510" t="s">
        <v>392</v>
      </c>
      <c r="D510">
        <v>19</v>
      </c>
      <c r="E510">
        <v>112.069</v>
      </c>
      <c r="F510">
        <v>968</v>
      </c>
      <c r="G510">
        <v>3702253</v>
      </c>
      <c r="H510" t="s">
        <v>1785</v>
      </c>
    </row>
    <row r="511" spans="1:8" x14ac:dyDescent="0.25">
      <c r="A511" t="s">
        <v>6004</v>
      </c>
      <c r="B511" t="s">
        <v>67</v>
      </c>
      <c r="C511" t="s">
        <v>392</v>
      </c>
      <c r="D511">
        <v>19</v>
      </c>
      <c r="E511">
        <v>112.069</v>
      </c>
      <c r="F511">
        <v>968</v>
      </c>
      <c r="G511">
        <v>3702253</v>
      </c>
      <c r="H511" t="s">
        <v>1785</v>
      </c>
    </row>
    <row r="512" spans="1:8" x14ac:dyDescent="0.25">
      <c r="A512" t="s">
        <v>6004</v>
      </c>
      <c r="B512" t="s">
        <v>67</v>
      </c>
      <c r="C512" t="s">
        <v>392</v>
      </c>
      <c r="D512">
        <v>19</v>
      </c>
      <c r="E512">
        <v>112.069</v>
      </c>
      <c r="F512">
        <v>968</v>
      </c>
      <c r="G512">
        <v>3702253</v>
      </c>
      <c r="H512" t="s">
        <v>1785</v>
      </c>
    </row>
    <row r="513" spans="1:8" x14ac:dyDescent="0.25">
      <c r="A513" t="s">
        <v>6004</v>
      </c>
      <c r="B513" t="s">
        <v>67</v>
      </c>
      <c r="C513" t="s">
        <v>392</v>
      </c>
      <c r="D513">
        <v>19</v>
      </c>
      <c r="E513">
        <v>112.069</v>
      </c>
      <c r="F513">
        <v>968</v>
      </c>
      <c r="G513">
        <v>3702253</v>
      </c>
      <c r="H513" t="s">
        <v>1785</v>
      </c>
    </row>
    <row r="514" spans="1:8" x14ac:dyDescent="0.25">
      <c r="A514" t="s">
        <v>6004</v>
      </c>
      <c r="B514" t="s">
        <v>67</v>
      </c>
      <c r="C514" t="s">
        <v>392</v>
      </c>
      <c r="D514">
        <v>19</v>
      </c>
      <c r="E514">
        <v>112.069</v>
      </c>
      <c r="F514">
        <v>968</v>
      </c>
      <c r="G514">
        <v>3702253</v>
      </c>
      <c r="H514" t="s">
        <v>1785</v>
      </c>
    </row>
    <row r="515" spans="1:8" x14ac:dyDescent="0.25">
      <c r="A515" t="s">
        <v>6004</v>
      </c>
      <c r="B515" t="s">
        <v>67</v>
      </c>
      <c r="C515" t="s">
        <v>392</v>
      </c>
      <c r="D515">
        <v>19</v>
      </c>
      <c r="E515">
        <v>112.069</v>
      </c>
      <c r="F515">
        <v>968</v>
      </c>
      <c r="G515">
        <v>3702253</v>
      </c>
      <c r="H515" t="s">
        <v>1785</v>
      </c>
    </row>
    <row r="516" spans="1:8" x14ac:dyDescent="0.25">
      <c r="A516" t="s">
        <v>6004</v>
      </c>
      <c r="B516" t="s">
        <v>67</v>
      </c>
      <c r="C516" t="s">
        <v>392</v>
      </c>
      <c r="D516">
        <v>19</v>
      </c>
      <c r="E516">
        <v>112.069</v>
      </c>
      <c r="F516">
        <v>968</v>
      </c>
      <c r="G516">
        <v>3702253</v>
      </c>
      <c r="H516" t="s">
        <v>1785</v>
      </c>
    </row>
    <row r="517" spans="1:8" x14ac:dyDescent="0.25">
      <c r="A517" t="s">
        <v>6004</v>
      </c>
      <c r="B517" t="s">
        <v>67</v>
      </c>
      <c r="C517" t="s">
        <v>392</v>
      </c>
      <c r="D517">
        <v>19</v>
      </c>
      <c r="E517">
        <v>112.069</v>
      </c>
      <c r="F517">
        <v>968</v>
      </c>
      <c r="G517">
        <v>3702253</v>
      </c>
      <c r="H517" t="s">
        <v>1785</v>
      </c>
    </row>
    <row r="518" spans="1:8" x14ac:dyDescent="0.25">
      <c r="A518" t="s">
        <v>6004</v>
      </c>
      <c r="B518" t="s">
        <v>67</v>
      </c>
      <c r="C518" t="s">
        <v>392</v>
      </c>
      <c r="D518">
        <v>19</v>
      </c>
      <c r="E518">
        <v>112.069</v>
      </c>
      <c r="F518">
        <v>968</v>
      </c>
      <c r="G518">
        <v>3702253</v>
      </c>
      <c r="H518" t="s">
        <v>1785</v>
      </c>
    </row>
    <row r="519" spans="1:8" x14ac:dyDescent="0.25">
      <c r="A519" t="s">
        <v>6004</v>
      </c>
      <c r="B519" t="s">
        <v>67</v>
      </c>
      <c r="C519" t="s">
        <v>392</v>
      </c>
      <c r="D519">
        <v>17</v>
      </c>
      <c r="E519">
        <v>103.502</v>
      </c>
      <c r="F519">
        <v>894</v>
      </c>
      <c r="G519">
        <v>3702253</v>
      </c>
      <c r="H519" t="s">
        <v>1785</v>
      </c>
    </row>
    <row r="520" spans="1:8" x14ac:dyDescent="0.25">
      <c r="A520" t="s">
        <v>6004</v>
      </c>
      <c r="B520" t="s">
        <v>67</v>
      </c>
      <c r="C520" t="s">
        <v>392</v>
      </c>
      <c r="D520">
        <v>19</v>
      </c>
      <c r="E520">
        <v>115.658</v>
      </c>
      <c r="F520">
        <v>999</v>
      </c>
      <c r="G520">
        <v>3702253</v>
      </c>
      <c r="H520" t="s">
        <v>1785</v>
      </c>
    </row>
    <row r="521" spans="1:8" x14ac:dyDescent="0.25">
      <c r="A521" t="s">
        <v>6004</v>
      </c>
      <c r="B521" t="s">
        <v>67</v>
      </c>
      <c r="C521" t="s">
        <v>392</v>
      </c>
      <c r="D521">
        <v>19</v>
      </c>
      <c r="E521">
        <v>115.658</v>
      </c>
      <c r="F521">
        <v>999</v>
      </c>
      <c r="G521">
        <v>3702253</v>
      </c>
      <c r="H521" t="s">
        <v>1785</v>
      </c>
    </row>
    <row r="522" spans="1:8" x14ac:dyDescent="0.25">
      <c r="A522" t="s">
        <v>6004</v>
      </c>
      <c r="B522" t="s">
        <v>67</v>
      </c>
      <c r="C522" t="s">
        <v>392</v>
      </c>
      <c r="D522">
        <v>19</v>
      </c>
      <c r="E522">
        <v>115.658</v>
      </c>
      <c r="F522">
        <v>999</v>
      </c>
      <c r="G522">
        <v>3702253</v>
      </c>
      <c r="H522" t="s">
        <v>1785</v>
      </c>
    </row>
    <row r="523" spans="1:8" x14ac:dyDescent="0.25">
      <c r="A523" t="s">
        <v>6004</v>
      </c>
      <c r="B523" t="s">
        <v>67</v>
      </c>
      <c r="C523" t="s">
        <v>392</v>
      </c>
      <c r="D523">
        <v>19</v>
      </c>
      <c r="E523">
        <v>115.658</v>
      </c>
      <c r="F523">
        <v>999</v>
      </c>
      <c r="G523">
        <v>3702253</v>
      </c>
      <c r="H523" t="s">
        <v>1785</v>
      </c>
    </row>
    <row r="524" spans="1:8" x14ac:dyDescent="0.25">
      <c r="A524" t="s">
        <v>6004</v>
      </c>
      <c r="B524" t="s">
        <v>67</v>
      </c>
      <c r="C524" t="s">
        <v>392</v>
      </c>
      <c r="D524">
        <v>19</v>
      </c>
      <c r="E524">
        <v>115.658</v>
      </c>
      <c r="F524">
        <v>999</v>
      </c>
      <c r="G524">
        <v>3702253</v>
      </c>
      <c r="H524" t="s">
        <v>1785</v>
      </c>
    </row>
    <row r="525" spans="1:8" x14ac:dyDescent="0.25">
      <c r="A525" t="s">
        <v>6004</v>
      </c>
      <c r="B525" t="s">
        <v>67</v>
      </c>
      <c r="C525" t="s">
        <v>392</v>
      </c>
      <c r="D525">
        <v>16</v>
      </c>
      <c r="E525">
        <v>97.597999999999999</v>
      </c>
      <c r="F525">
        <v>843</v>
      </c>
      <c r="G525">
        <v>3702253</v>
      </c>
      <c r="H525" t="s">
        <v>1785</v>
      </c>
    </row>
    <row r="526" spans="1:8" x14ac:dyDescent="0.25">
      <c r="A526" t="s">
        <v>6004</v>
      </c>
      <c r="B526" t="s">
        <v>67</v>
      </c>
      <c r="C526" t="s">
        <v>392</v>
      </c>
      <c r="D526">
        <v>19</v>
      </c>
      <c r="E526">
        <v>115.658</v>
      </c>
      <c r="F526">
        <v>999</v>
      </c>
      <c r="G526">
        <v>3702253</v>
      </c>
      <c r="H526" t="s">
        <v>1785</v>
      </c>
    </row>
    <row r="527" spans="1:8" x14ac:dyDescent="0.25">
      <c r="A527" t="s">
        <v>6004</v>
      </c>
      <c r="B527" t="s">
        <v>67</v>
      </c>
      <c r="C527" t="s">
        <v>392</v>
      </c>
      <c r="D527">
        <v>9</v>
      </c>
      <c r="E527">
        <v>54.624000000000002</v>
      </c>
      <c r="F527">
        <v>364</v>
      </c>
      <c r="G527">
        <v>3702274</v>
      </c>
      <c r="H527" t="s">
        <v>1771</v>
      </c>
    </row>
    <row r="528" spans="1:8" x14ac:dyDescent="0.25">
      <c r="A528" t="s">
        <v>6004</v>
      </c>
      <c r="B528" t="s">
        <v>67</v>
      </c>
      <c r="C528" t="s">
        <v>392</v>
      </c>
      <c r="D528">
        <v>14</v>
      </c>
      <c r="E528">
        <v>85.087999999999994</v>
      </c>
      <c r="F528">
        <v>567</v>
      </c>
      <c r="G528">
        <v>3702274</v>
      </c>
      <c r="H528" t="s">
        <v>1771</v>
      </c>
    </row>
    <row r="529" spans="1:8" x14ac:dyDescent="0.25">
      <c r="A529" t="s">
        <v>6004</v>
      </c>
      <c r="B529" t="s">
        <v>67</v>
      </c>
      <c r="C529" t="s">
        <v>392</v>
      </c>
      <c r="D529">
        <v>14</v>
      </c>
      <c r="E529">
        <v>85.087999999999994</v>
      </c>
      <c r="F529">
        <v>567</v>
      </c>
      <c r="G529">
        <v>3702274</v>
      </c>
      <c r="H529" t="s">
        <v>1771</v>
      </c>
    </row>
    <row r="530" spans="1:8" x14ac:dyDescent="0.25">
      <c r="A530" t="s">
        <v>6004</v>
      </c>
      <c r="B530" t="s">
        <v>67</v>
      </c>
      <c r="C530" t="s">
        <v>392</v>
      </c>
      <c r="D530">
        <v>13</v>
      </c>
      <c r="E530">
        <v>78.784999999999997</v>
      </c>
      <c r="F530">
        <v>525</v>
      </c>
      <c r="G530">
        <v>3702274</v>
      </c>
      <c r="H530" t="s">
        <v>1771</v>
      </c>
    </row>
    <row r="531" spans="1:8" x14ac:dyDescent="0.25">
      <c r="A531" t="s">
        <v>6004</v>
      </c>
      <c r="B531" t="s">
        <v>67</v>
      </c>
      <c r="C531" t="s">
        <v>392</v>
      </c>
      <c r="D531">
        <v>22</v>
      </c>
      <c r="E531">
        <v>133.86000000000001</v>
      </c>
      <c r="F531">
        <v>892</v>
      </c>
      <c r="G531">
        <v>3702274</v>
      </c>
      <c r="H531" t="s">
        <v>1771</v>
      </c>
    </row>
    <row r="532" spans="1:8" x14ac:dyDescent="0.25">
      <c r="A532" t="s">
        <v>6004</v>
      </c>
      <c r="B532" t="s">
        <v>67</v>
      </c>
      <c r="C532" t="s">
        <v>392</v>
      </c>
      <c r="D532">
        <v>9</v>
      </c>
      <c r="E532">
        <v>55.165999999999997</v>
      </c>
      <c r="F532">
        <v>506</v>
      </c>
      <c r="G532">
        <v>3702251</v>
      </c>
      <c r="H532" t="s">
        <v>1773</v>
      </c>
    </row>
    <row r="533" spans="1:8" x14ac:dyDescent="0.25">
      <c r="A533" t="s">
        <v>6004</v>
      </c>
      <c r="B533" t="s">
        <v>67</v>
      </c>
      <c r="C533" t="s">
        <v>392</v>
      </c>
      <c r="D533">
        <v>7</v>
      </c>
      <c r="E533">
        <v>42.954999999999998</v>
      </c>
      <c r="F533">
        <v>394</v>
      </c>
      <c r="G533">
        <v>3702251</v>
      </c>
      <c r="H533" t="s">
        <v>1773</v>
      </c>
    </row>
    <row r="534" spans="1:8" x14ac:dyDescent="0.25">
      <c r="A534" t="s">
        <v>6004</v>
      </c>
      <c r="B534" t="s">
        <v>67</v>
      </c>
      <c r="C534" t="s">
        <v>392</v>
      </c>
      <c r="D534">
        <v>5</v>
      </c>
      <c r="E534">
        <v>30.745000000000001</v>
      </c>
      <c r="F534">
        <v>282</v>
      </c>
      <c r="G534">
        <v>3702251</v>
      </c>
      <c r="H534" t="s">
        <v>1773</v>
      </c>
    </row>
    <row r="535" spans="1:8" x14ac:dyDescent="0.25">
      <c r="A535" t="s">
        <v>6004</v>
      </c>
      <c r="B535" t="s">
        <v>67</v>
      </c>
      <c r="C535" t="s">
        <v>392</v>
      </c>
      <c r="D535">
        <v>37</v>
      </c>
      <c r="E535">
        <v>223.499</v>
      </c>
      <c r="F535">
        <v>2050</v>
      </c>
      <c r="G535">
        <v>3702251</v>
      </c>
      <c r="H535" t="s">
        <v>1773</v>
      </c>
    </row>
    <row r="536" spans="1:8" x14ac:dyDescent="0.25">
      <c r="A536" t="s">
        <v>6004</v>
      </c>
      <c r="B536" t="s">
        <v>67</v>
      </c>
      <c r="C536" t="s">
        <v>392</v>
      </c>
      <c r="D536">
        <v>37</v>
      </c>
      <c r="E536">
        <v>223.608</v>
      </c>
      <c r="F536">
        <v>2051</v>
      </c>
      <c r="G536">
        <v>3702251</v>
      </c>
      <c r="H536" t="s">
        <v>1773</v>
      </c>
    </row>
    <row r="537" spans="1:8" x14ac:dyDescent="0.25">
      <c r="A537" t="s">
        <v>6004</v>
      </c>
      <c r="B537" t="s">
        <v>67</v>
      </c>
      <c r="C537" t="s">
        <v>392</v>
      </c>
      <c r="D537">
        <v>37</v>
      </c>
      <c r="E537">
        <v>223.608</v>
      </c>
      <c r="F537">
        <v>2051</v>
      </c>
      <c r="G537">
        <v>3702251</v>
      </c>
      <c r="H537" t="s">
        <v>1773</v>
      </c>
    </row>
    <row r="538" spans="1:8" x14ac:dyDescent="0.25">
      <c r="A538" t="s">
        <v>5966</v>
      </c>
      <c r="B538" t="s">
        <v>37</v>
      </c>
      <c r="C538" t="s">
        <v>392</v>
      </c>
      <c r="D538">
        <v>100</v>
      </c>
      <c r="E538">
        <v>548.79700000000003</v>
      </c>
      <c r="F538">
        <v>2048</v>
      </c>
      <c r="G538">
        <v>3500714</v>
      </c>
      <c r="H538" t="s">
        <v>1922</v>
      </c>
    </row>
    <row r="539" spans="1:8" x14ac:dyDescent="0.25">
      <c r="A539" t="s">
        <v>5966</v>
      </c>
      <c r="B539" t="s">
        <v>37</v>
      </c>
      <c r="C539" t="s">
        <v>392</v>
      </c>
      <c r="D539">
        <v>100</v>
      </c>
      <c r="E539">
        <v>548.79700000000003</v>
      </c>
      <c r="F539">
        <v>2048</v>
      </c>
      <c r="G539">
        <v>3500714</v>
      </c>
      <c r="H539" t="s">
        <v>1922</v>
      </c>
    </row>
    <row r="540" spans="1:8" x14ac:dyDescent="0.25">
      <c r="A540" t="s">
        <v>5966</v>
      </c>
      <c r="B540" t="s">
        <v>37</v>
      </c>
      <c r="C540" t="s">
        <v>392</v>
      </c>
      <c r="D540">
        <v>108</v>
      </c>
      <c r="E540">
        <v>593.81500000000005</v>
      </c>
      <c r="F540">
        <v>2216</v>
      </c>
      <c r="G540">
        <v>3500714</v>
      </c>
      <c r="H540" t="s">
        <v>1922</v>
      </c>
    </row>
    <row r="541" spans="1:8" x14ac:dyDescent="0.25">
      <c r="A541" t="s">
        <v>5966</v>
      </c>
      <c r="B541" t="s">
        <v>37</v>
      </c>
      <c r="C541" t="s">
        <v>392</v>
      </c>
      <c r="D541">
        <v>113</v>
      </c>
      <c r="E541">
        <v>621.952</v>
      </c>
      <c r="F541">
        <v>2321</v>
      </c>
      <c r="G541">
        <v>3500714</v>
      </c>
      <c r="H541" t="s">
        <v>1922</v>
      </c>
    </row>
    <row r="542" spans="1:8" x14ac:dyDescent="0.25">
      <c r="A542" t="s">
        <v>5966</v>
      </c>
      <c r="B542" t="s">
        <v>37</v>
      </c>
      <c r="C542" t="s">
        <v>392</v>
      </c>
      <c r="D542">
        <v>115</v>
      </c>
      <c r="E542">
        <v>633.20600000000002</v>
      </c>
      <c r="F542">
        <v>2363</v>
      </c>
      <c r="G542">
        <v>3500714</v>
      </c>
      <c r="H542" t="s">
        <v>1922</v>
      </c>
    </row>
    <row r="543" spans="1:8" x14ac:dyDescent="0.25">
      <c r="A543" t="s">
        <v>5966</v>
      </c>
      <c r="B543" t="s">
        <v>37</v>
      </c>
      <c r="C543" t="s">
        <v>392</v>
      </c>
      <c r="D543">
        <v>115</v>
      </c>
      <c r="E543">
        <v>633.20600000000002</v>
      </c>
      <c r="F543">
        <v>2363</v>
      </c>
      <c r="G543">
        <v>3500714</v>
      </c>
      <c r="H543" t="s">
        <v>1922</v>
      </c>
    </row>
    <row r="544" spans="1:8" x14ac:dyDescent="0.25">
      <c r="A544" t="s">
        <v>5966</v>
      </c>
      <c r="B544" t="s">
        <v>37</v>
      </c>
      <c r="C544" t="s">
        <v>392</v>
      </c>
      <c r="D544">
        <v>116</v>
      </c>
      <c r="E544">
        <v>638.83399999999995</v>
      </c>
      <c r="F544">
        <v>2384</v>
      </c>
      <c r="G544">
        <v>3500714</v>
      </c>
      <c r="H544" t="s">
        <v>1922</v>
      </c>
    </row>
    <row r="545" spans="1:8" x14ac:dyDescent="0.25">
      <c r="A545" t="s">
        <v>5999</v>
      </c>
      <c r="B545" t="s">
        <v>36</v>
      </c>
      <c r="C545" t="s">
        <v>392</v>
      </c>
      <c r="D545">
        <v>71</v>
      </c>
      <c r="E545">
        <v>431.95100000000002</v>
      </c>
      <c r="F545">
        <v>1028</v>
      </c>
      <c r="G545">
        <v>3500641</v>
      </c>
      <c r="H545" t="s">
        <v>6009</v>
      </c>
    </row>
    <row r="546" spans="1:8" x14ac:dyDescent="0.25">
      <c r="A546" t="s">
        <v>5999</v>
      </c>
      <c r="B546" t="s">
        <v>36</v>
      </c>
      <c r="C546" t="s">
        <v>392</v>
      </c>
      <c r="D546">
        <v>91</v>
      </c>
      <c r="E546">
        <v>556.74599999999998</v>
      </c>
      <c r="F546">
        <v>1325</v>
      </c>
      <c r="G546">
        <v>3500641</v>
      </c>
      <c r="H546" t="s">
        <v>6009</v>
      </c>
    </row>
    <row r="547" spans="1:8" x14ac:dyDescent="0.25">
      <c r="A547" t="s">
        <v>5999</v>
      </c>
      <c r="B547" t="s">
        <v>36</v>
      </c>
      <c r="C547" t="s">
        <v>392</v>
      </c>
      <c r="D547">
        <v>91</v>
      </c>
      <c r="E547">
        <v>556.74599999999998</v>
      </c>
      <c r="F547">
        <v>1325</v>
      </c>
      <c r="G547">
        <v>3500641</v>
      </c>
      <c r="H547" t="s">
        <v>6009</v>
      </c>
    </row>
    <row r="548" spans="1:8" x14ac:dyDescent="0.25">
      <c r="A548" t="s">
        <v>5999</v>
      </c>
      <c r="B548" t="s">
        <v>36</v>
      </c>
      <c r="C548" t="s">
        <v>392</v>
      </c>
      <c r="D548">
        <v>92</v>
      </c>
      <c r="E548">
        <v>560.94799999999998</v>
      </c>
      <c r="F548">
        <v>1335</v>
      </c>
      <c r="G548">
        <v>3500641</v>
      </c>
      <c r="H548" t="s">
        <v>6009</v>
      </c>
    </row>
    <row r="549" spans="1:8" x14ac:dyDescent="0.25">
      <c r="A549" t="s">
        <v>5999</v>
      </c>
      <c r="B549" t="s">
        <v>36</v>
      </c>
      <c r="C549" t="s">
        <v>392</v>
      </c>
      <c r="D549">
        <v>92</v>
      </c>
      <c r="E549">
        <v>560.94799999999998</v>
      </c>
      <c r="F549">
        <v>1335</v>
      </c>
      <c r="G549">
        <v>3500641</v>
      </c>
      <c r="H549" t="s">
        <v>6009</v>
      </c>
    </row>
    <row r="550" spans="1:8" x14ac:dyDescent="0.25">
      <c r="A550" t="s">
        <v>5968</v>
      </c>
      <c r="B550" t="s">
        <v>32</v>
      </c>
      <c r="C550" t="s">
        <v>392</v>
      </c>
      <c r="D550">
        <v>126</v>
      </c>
      <c r="E550">
        <v>762.71600000000001</v>
      </c>
      <c r="F550">
        <v>1549</v>
      </c>
      <c r="G550">
        <v>1931046</v>
      </c>
      <c r="H550" t="s">
        <v>6082</v>
      </c>
    </row>
    <row r="551" spans="1:8" x14ac:dyDescent="0.25">
      <c r="A551" t="s">
        <v>396</v>
      </c>
      <c r="B551" t="s">
        <v>61</v>
      </c>
      <c r="C551" t="s">
        <v>397</v>
      </c>
      <c r="D551">
        <v>3900</v>
      </c>
      <c r="E551">
        <v>984.84799999999996</v>
      </c>
      <c r="F551">
        <v>936</v>
      </c>
      <c r="G551">
        <v>1940307</v>
      </c>
      <c r="H551" t="s">
        <v>408</v>
      </c>
    </row>
    <row r="552" spans="1:8" x14ac:dyDescent="0.25">
      <c r="A552" t="s">
        <v>396</v>
      </c>
      <c r="B552" t="s">
        <v>61</v>
      </c>
      <c r="C552" t="s">
        <v>397</v>
      </c>
      <c r="D552">
        <v>6157</v>
      </c>
      <c r="E552">
        <v>1813.931</v>
      </c>
      <c r="F552">
        <v>1723.96</v>
      </c>
      <c r="G552">
        <v>1940312</v>
      </c>
      <c r="H552" t="s">
        <v>410</v>
      </c>
    </row>
    <row r="553" spans="1:8" x14ac:dyDescent="0.25">
      <c r="A553" t="s">
        <v>396</v>
      </c>
      <c r="B553" t="s">
        <v>61</v>
      </c>
      <c r="C553" t="s">
        <v>397</v>
      </c>
      <c r="D553">
        <v>2343</v>
      </c>
      <c r="E553">
        <v>690.27800000000002</v>
      </c>
      <c r="F553">
        <v>656.04</v>
      </c>
      <c r="G553">
        <v>1940312</v>
      </c>
      <c r="H553" t="s">
        <v>410</v>
      </c>
    </row>
    <row r="554" spans="1:8" x14ac:dyDescent="0.25">
      <c r="A554" t="s">
        <v>396</v>
      </c>
      <c r="B554" t="s">
        <v>61</v>
      </c>
      <c r="C554" t="s">
        <v>397</v>
      </c>
      <c r="D554">
        <v>800</v>
      </c>
      <c r="E554">
        <v>559.99</v>
      </c>
      <c r="F554">
        <v>456</v>
      </c>
      <c r="G554">
        <v>2270133</v>
      </c>
      <c r="H554" t="s">
        <v>413</v>
      </c>
    </row>
    <row r="555" spans="1:8" x14ac:dyDescent="0.25">
      <c r="A555" t="s">
        <v>396</v>
      </c>
      <c r="B555" t="s">
        <v>61</v>
      </c>
      <c r="C555" t="s">
        <v>397</v>
      </c>
      <c r="D555">
        <v>567</v>
      </c>
      <c r="E555">
        <v>396.89299999999997</v>
      </c>
      <c r="F555">
        <v>323.19</v>
      </c>
      <c r="G555">
        <v>2270133</v>
      </c>
      <c r="H555" t="s">
        <v>413</v>
      </c>
    </row>
    <row r="556" spans="1:8" x14ac:dyDescent="0.25">
      <c r="A556" t="s">
        <v>396</v>
      </c>
      <c r="B556" t="s">
        <v>61</v>
      </c>
      <c r="C556" t="s">
        <v>397</v>
      </c>
      <c r="D556">
        <v>350</v>
      </c>
      <c r="E556">
        <v>244.99600000000001</v>
      </c>
      <c r="F556">
        <v>199.5</v>
      </c>
      <c r="G556">
        <v>2270133</v>
      </c>
      <c r="H556" t="s">
        <v>413</v>
      </c>
    </row>
    <row r="557" spans="1:8" x14ac:dyDescent="0.25">
      <c r="A557" t="s">
        <v>396</v>
      </c>
      <c r="B557" t="s">
        <v>61</v>
      </c>
      <c r="C557" t="s">
        <v>397</v>
      </c>
      <c r="D557">
        <v>30</v>
      </c>
      <c r="E557">
        <v>21</v>
      </c>
      <c r="F557">
        <v>17.100000000000001</v>
      </c>
      <c r="G557">
        <v>2270133</v>
      </c>
      <c r="H557" t="s">
        <v>413</v>
      </c>
    </row>
    <row r="558" spans="1:8" x14ac:dyDescent="0.25">
      <c r="A558" t="s">
        <v>396</v>
      </c>
      <c r="B558" t="s">
        <v>61</v>
      </c>
      <c r="C558" t="s">
        <v>397</v>
      </c>
      <c r="D558">
        <v>20</v>
      </c>
      <c r="E558">
        <v>14</v>
      </c>
      <c r="F558">
        <v>11.4</v>
      </c>
      <c r="G558">
        <v>2270133</v>
      </c>
      <c r="H558" t="s">
        <v>413</v>
      </c>
    </row>
    <row r="559" spans="1:8" x14ac:dyDescent="0.25">
      <c r="A559" t="s">
        <v>396</v>
      </c>
      <c r="B559" t="s">
        <v>61</v>
      </c>
      <c r="C559" t="s">
        <v>397</v>
      </c>
      <c r="D559">
        <v>8</v>
      </c>
      <c r="E559">
        <v>5.6</v>
      </c>
      <c r="F559">
        <v>4.5599999999999996</v>
      </c>
      <c r="G559">
        <v>2270133</v>
      </c>
      <c r="H559" t="s">
        <v>413</v>
      </c>
    </row>
    <row r="560" spans="1:8" x14ac:dyDescent="0.25">
      <c r="A560" t="s">
        <v>396</v>
      </c>
      <c r="B560" t="s">
        <v>61</v>
      </c>
      <c r="C560" t="s">
        <v>397</v>
      </c>
      <c r="D560">
        <v>23</v>
      </c>
      <c r="E560">
        <v>6.4189999999999996</v>
      </c>
      <c r="F560">
        <v>2.1850000000000001</v>
      </c>
      <c r="G560">
        <v>1939963</v>
      </c>
      <c r="H560" t="s">
        <v>399</v>
      </c>
    </row>
    <row r="561" spans="1:8" x14ac:dyDescent="0.25">
      <c r="A561" t="s">
        <v>396</v>
      </c>
      <c r="B561" t="s">
        <v>61</v>
      </c>
      <c r="C561" t="s">
        <v>397</v>
      </c>
      <c r="D561">
        <v>2589</v>
      </c>
      <c r="E561">
        <v>722.54700000000003</v>
      </c>
      <c r="F561">
        <v>245.95500000000001</v>
      </c>
      <c r="G561">
        <v>1939963</v>
      </c>
      <c r="H561" t="s">
        <v>399</v>
      </c>
    </row>
    <row r="562" spans="1:8" x14ac:dyDescent="0.25">
      <c r="A562" t="s">
        <v>396</v>
      </c>
      <c r="B562" t="s">
        <v>61</v>
      </c>
      <c r="C562" t="s">
        <v>397</v>
      </c>
      <c r="D562">
        <v>9088</v>
      </c>
      <c r="E562">
        <v>2536.31</v>
      </c>
      <c r="F562">
        <v>863.36</v>
      </c>
      <c r="G562">
        <v>1939963</v>
      </c>
      <c r="H562" t="s">
        <v>399</v>
      </c>
    </row>
    <row r="563" spans="1:8" x14ac:dyDescent="0.25">
      <c r="A563" t="s">
        <v>6012</v>
      </c>
      <c r="B563" t="s">
        <v>22</v>
      </c>
      <c r="C563" t="s">
        <v>397</v>
      </c>
      <c r="D563">
        <v>65</v>
      </c>
      <c r="E563">
        <v>8.0749999999999993</v>
      </c>
      <c r="F563">
        <v>8.06</v>
      </c>
      <c r="G563">
        <v>3181172</v>
      </c>
      <c r="H563" t="s">
        <v>1520</v>
      </c>
    </row>
    <row r="564" spans="1:8" x14ac:dyDescent="0.25">
      <c r="A564" t="s">
        <v>6012</v>
      </c>
      <c r="B564" t="s">
        <v>22</v>
      </c>
      <c r="C564" t="s">
        <v>397</v>
      </c>
      <c r="D564">
        <v>63</v>
      </c>
      <c r="E564">
        <v>10.429</v>
      </c>
      <c r="F564">
        <v>10.395</v>
      </c>
      <c r="G564">
        <v>3614496</v>
      </c>
      <c r="H564" t="s">
        <v>6013</v>
      </c>
    </row>
    <row r="565" spans="1:8" x14ac:dyDescent="0.25">
      <c r="A565" t="s">
        <v>6012</v>
      </c>
      <c r="B565" t="s">
        <v>22</v>
      </c>
      <c r="C565" t="s">
        <v>397</v>
      </c>
      <c r="D565">
        <v>185</v>
      </c>
      <c r="E565">
        <v>25.242999999999999</v>
      </c>
      <c r="F565">
        <v>25.16</v>
      </c>
      <c r="G565">
        <v>3614494</v>
      </c>
      <c r="H565" t="s">
        <v>6014</v>
      </c>
    </row>
    <row r="566" spans="1:8" x14ac:dyDescent="0.25">
      <c r="A566" t="s">
        <v>6012</v>
      </c>
      <c r="B566" t="s">
        <v>22</v>
      </c>
      <c r="C566" t="s">
        <v>397</v>
      </c>
      <c r="D566">
        <v>1200</v>
      </c>
      <c r="E566">
        <v>579.60400000000004</v>
      </c>
      <c r="F566">
        <v>850.8</v>
      </c>
      <c r="G566">
        <v>3181171</v>
      </c>
      <c r="H566" t="s">
        <v>1606</v>
      </c>
    </row>
    <row r="567" spans="1:8" x14ac:dyDescent="0.25">
      <c r="A567" t="s">
        <v>6012</v>
      </c>
      <c r="B567" t="s">
        <v>22</v>
      </c>
      <c r="C567" t="s">
        <v>397</v>
      </c>
      <c r="D567">
        <v>744</v>
      </c>
      <c r="E567">
        <v>359.35399999999998</v>
      </c>
      <c r="F567">
        <v>527.49599999999998</v>
      </c>
      <c r="G567">
        <v>3181171</v>
      </c>
      <c r="H567" t="s">
        <v>1606</v>
      </c>
    </row>
    <row r="568" spans="1:8" x14ac:dyDescent="0.25">
      <c r="A568" t="s">
        <v>6012</v>
      </c>
      <c r="B568" t="s">
        <v>22</v>
      </c>
      <c r="C568" t="s">
        <v>397</v>
      </c>
      <c r="D568">
        <v>400</v>
      </c>
      <c r="E568">
        <v>193.20099999999999</v>
      </c>
      <c r="F568">
        <v>283.60000000000002</v>
      </c>
      <c r="G568">
        <v>3181171</v>
      </c>
      <c r="H568" t="s">
        <v>1606</v>
      </c>
    </row>
    <row r="569" spans="1:8" x14ac:dyDescent="0.25">
      <c r="A569" t="s">
        <v>6012</v>
      </c>
      <c r="B569" t="s">
        <v>22</v>
      </c>
      <c r="C569" t="s">
        <v>397</v>
      </c>
      <c r="D569">
        <v>6</v>
      </c>
      <c r="E569">
        <v>2.8980000000000001</v>
      </c>
      <c r="F569">
        <v>4.2539999999999996</v>
      </c>
      <c r="G569">
        <v>3181171</v>
      </c>
      <c r="H569" t="s">
        <v>1606</v>
      </c>
    </row>
    <row r="570" spans="1:8" x14ac:dyDescent="0.25">
      <c r="A570" t="s">
        <v>6012</v>
      </c>
      <c r="B570" t="s">
        <v>22</v>
      </c>
      <c r="C570" t="s">
        <v>397</v>
      </c>
      <c r="D570">
        <v>1335</v>
      </c>
      <c r="E570">
        <v>218.95599999999999</v>
      </c>
      <c r="F570">
        <v>90.734999999999999</v>
      </c>
      <c r="G570">
        <v>3181176</v>
      </c>
      <c r="H570" t="s">
        <v>1139</v>
      </c>
    </row>
    <row r="571" spans="1:8" x14ac:dyDescent="0.25">
      <c r="A571" t="s">
        <v>422</v>
      </c>
      <c r="B571" t="s">
        <v>30</v>
      </c>
      <c r="C571" t="s">
        <v>397</v>
      </c>
      <c r="D571">
        <v>823</v>
      </c>
      <c r="E571">
        <v>1437.0550000000001</v>
      </c>
      <c r="F571">
        <v>527.54300000000001</v>
      </c>
      <c r="G571">
        <v>3672606</v>
      </c>
      <c r="H571" t="s">
        <v>424</v>
      </c>
    </row>
    <row r="572" spans="1:8" x14ac:dyDescent="0.25">
      <c r="A572" t="s">
        <v>422</v>
      </c>
      <c r="B572" t="s">
        <v>30</v>
      </c>
      <c r="C572" t="s">
        <v>397</v>
      </c>
      <c r="D572">
        <v>698</v>
      </c>
      <c r="E572">
        <v>1218.7909999999999</v>
      </c>
      <c r="F572">
        <v>447.41800000000001</v>
      </c>
      <c r="G572">
        <v>3672606</v>
      </c>
      <c r="H572" t="s">
        <v>424</v>
      </c>
    </row>
    <row r="573" spans="1:8" x14ac:dyDescent="0.25">
      <c r="A573" t="s">
        <v>422</v>
      </c>
      <c r="B573" t="s">
        <v>30</v>
      </c>
      <c r="C573" t="s">
        <v>397</v>
      </c>
      <c r="D573">
        <v>479</v>
      </c>
      <c r="E573">
        <v>836.39099999999996</v>
      </c>
      <c r="F573">
        <v>307.03899999999999</v>
      </c>
      <c r="G573">
        <v>3672606</v>
      </c>
      <c r="H573" t="s">
        <v>424</v>
      </c>
    </row>
    <row r="574" spans="1:8" x14ac:dyDescent="0.25">
      <c r="A574" t="s">
        <v>422</v>
      </c>
      <c r="B574" t="s">
        <v>30</v>
      </c>
      <c r="C574" t="s">
        <v>397</v>
      </c>
      <c r="D574">
        <v>3074</v>
      </c>
      <c r="E574">
        <v>1653.825</v>
      </c>
      <c r="F574">
        <v>2590.221</v>
      </c>
      <c r="G574">
        <v>3786201</v>
      </c>
      <c r="H574" t="s">
        <v>429</v>
      </c>
    </row>
    <row r="575" spans="1:8" x14ac:dyDescent="0.25">
      <c r="A575" t="s">
        <v>422</v>
      </c>
      <c r="B575" t="s">
        <v>30</v>
      </c>
      <c r="C575" t="s">
        <v>397</v>
      </c>
      <c r="D575">
        <v>1464</v>
      </c>
      <c r="E575">
        <v>787.63800000000003</v>
      </c>
      <c r="F575">
        <v>1233.5989999999999</v>
      </c>
      <c r="G575">
        <v>3786201</v>
      </c>
      <c r="H575" t="s">
        <v>429</v>
      </c>
    </row>
    <row r="576" spans="1:8" x14ac:dyDescent="0.25">
      <c r="A576" t="s">
        <v>422</v>
      </c>
      <c r="B576" t="s">
        <v>30</v>
      </c>
      <c r="C576" t="s">
        <v>397</v>
      </c>
      <c r="D576">
        <v>1032</v>
      </c>
      <c r="E576">
        <v>555.22</v>
      </c>
      <c r="F576">
        <v>869.58600000000001</v>
      </c>
      <c r="G576">
        <v>3786201</v>
      </c>
      <c r="H576" t="s">
        <v>429</v>
      </c>
    </row>
    <row r="577" spans="1:8" x14ac:dyDescent="0.25">
      <c r="A577" t="s">
        <v>422</v>
      </c>
      <c r="B577" t="s">
        <v>30</v>
      </c>
      <c r="C577" t="s">
        <v>397</v>
      </c>
      <c r="D577">
        <v>470</v>
      </c>
      <c r="E577">
        <v>252.86199999999999</v>
      </c>
      <c r="F577">
        <v>396.03199999999998</v>
      </c>
      <c r="G577">
        <v>3786201</v>
      </c>
      <c r="H577" t="s">
        <v>429</v>
      </c>
    </row>
    <row r="578" spans="1:8" x14ac:dyDescent="0.25">
      <c r="A578" t="s">
        <v>422</v>
      </c>
      <c r="B578" t="s">
        <v>30</v>
      </c>
      <c r="C578" t="s">
        <v>397</v>
      </c>
      <c r="D578">
        <v>2799</v>
      </c>
      <c r="E578">
        <v>1643.0060000000001</v>
      </c>
      <c r="F578">
        <v>2573.2759999999998</v>
      </c>
      <c r="G578">
        <v>3786202</v>
      </c>
      <c r="H578" t="s">
        <v>435</v>
      </c>
    </row>
    <row r="579" spans="1:8" x14ac:dyDescent="0.25">
      <c r="A579" t="s">
        <v>422</v>
      </c>
      <c r="B579" t="s">
        <v>30</v>
      </c>
      <c r="C579" t="s">
        <v>397</v>
      </c>
      <c r="D579">
        <v>1399</v>
      </c>
      <c r="E579">
        <v>821.21</v>
      </c>
      <c r="F579">
        <v>1286.1780000000001</v>
      </c>
      <c r="G579">
        <v>3786202</v>
      </c>
      <c r="H579" t="s">
        <v>435</v>
      </c>
    </row>
    <row r="580" spans="1:8" x14ac:dyDescent="0.25">
      <c r="A580" t="s">
        <v>422</v>
      </c>
      <c r="B580" t="s">
        <v>30</v>
      </c>
      <c r="C580" t="s">
        <v>397</v>
      </c>
      <c r="D580">
        <v>2</v>
      </c>
      <c r="E580">
        <v>1.1739999999999999</v>
      </c>
      <c r="F580">
        <v>1.839</v>
      </c>
      <c r="G580">
        <v>3786202</v>
      </c>
      <c r="H580" t="s">
        <v>435</v>
      </c>
    </row>
    <row r="581" spans="1:8" x14ac:dyDescent="0.25">
      <c r="A581" t="s">
        <v>422</v>
      </c>
      <c r="B581" t="s">
        <v>30</v>
      </c>
      <c r="C581" t="s">
        <v>397</v>
      </c>
      <c r="D581">
        <v>750</v>
      </c>
      <c r="E581">
        <v>1201.308</v>
      </c>
      <c r="F581">
        <v>441</v>
      </c>
      <c r="G581">
        <v>1941846</v>
      </c>
      <c r="H581" t="s">
        <v>440</v>
      </c>
    </row>
    <row r="582" spans="1:8" x14ac:dyDescent="0.25">
      <c r="A582" t="s">
        <v>422</v>
      </c>
      <c r="B582" t="s">
        <v>30</v>
      </c>
      <c r="C582" t="s">
        <v>397</v>
      </c>
      <c r="D582">
        <v>1189</v>
      </c>
      <c r="E582">
        <v>2597.5970000000002</v>
      </c>
      <c r="F582">
        <v>953.57799999999997</v>
      </c>
      <c r="G582">
        <v>1941847</v>
      </c>
      <c r="H582" t="s">
        <v>442</v>
      </c>
    </row>
    <row r="583" spans="1:8" x14ac:dyDescent="0.25">
      <c r="A583" t="s">
        <v>422</v>
      </c>
      <c r="B583" t="s">
        <v>30</v>
      </c>
      <c r="C583" t="s">
        <v>397</v>
      </c>
      <c r="D583">
        <v>380</v>
      </c>
      <c r="E583">
        <v>830.18299999999999</v>
      </c>
      <c r="F583">
        <v>304.76</v>
      </c>
      <c r="G583">
        <v>1941847</v>
      </c>
      <c r="H583" t="s">
        <v>442</v>
      </c>
    </row>
    <row r="584" spans="1:8" x14ac:dyDescent="0.25">
      <c r="A584" t="s">
        <v>422</v>
      </c>
      <c r="B584" t="s">
        <v>30</v>
      </c>
      <c r="C584" t="s">
        <v>397</v>
      </c>
      <c r="D584">
        <v>184</v>
      </c>
      <c r="E584">
        <v>401.983</v>
      </c>
      <c r="F584">
        <v>147.56800000000001</v>
      </c>
      <c r="G584">
        <v>1941847</v>
      </c>
      <c r="H584" t="s">
        <v>442</v>
      </c>
    </row>
    <row r="585" spans="1:8" x14ac:dyDescent="0.25">
      <c r="A585" t="s">
        <v>422</v>
      </c>
      <c r="B585" t="s">
        <v>30</v>
      </c>
      <c r="C585" t="s">
        <v>397</v>
      </c>
      <c r="D585">
        <v>16</v>
      </c>
      <c r="E585">
        <v>34.954999999999998</v>
      </c>
      <c r="F585">
        <v>12.832000000000001</v>
      </c>
      <c r="G585">
        <v>1941847</v>
      </c>
      <c r="H585" t="s">
        <v>442</v>
      </c>
    </row>
    <row r="586" spans="1:8" x14ac:dyDescent="0.25">
      <c r="A586" t="s">
        <v>422</v>
      </c>
      <c r="B586" t="s">
        <v>30</v>
      </c>
      <c r="C586" t="s">
        <v>397</v>
      </c>
      <c r="D586">
        <v>6</v>
      </c>
      <c r="E586">
        <v>13.108000000000001</v>
      </c>
      <c r="F586">
        <v>4.8120000000000003</v>
      </c>
      <c r="G586">
        <v>1941847</v>
      </c>
      <c r="H586" t="s">
        <v>442</v>
      </c>
    </row>
    <row r="587" spans="1:8" x14ac:dyDescent="0.25">
      <c r="A587" t="s">
        <v>422</v>
      </c>
      <c r="B587" t="s">
        <v>30</v>
      </c>
      <c r="C587" t="s">
        <v>444</v>
      </c>
      <c r="D587">
        <v>181</v>
      </c>
      <c r="E587">
        <v>1086</v>
      </c>
      <c r="F587">
        <v>1594.682</v>
      </c>
      <c r="G587">
        <v>1940852</v>
      </c>
      <c r="H587" t="s">
        <v>446</v>
      </c>
    </row>
    <row r="588" spans="1:8" x14ac:dyDescent="0.25">
      <c r="A588" t="s">
        <v>422</v>
      </c>
      <c r="B588" t="s">
        <v>30</v>
      </c>
      <c r="C588" t="s">
        <v>444</v>
      </c>
      <c r="D588">
        <v>175</v>
      </c>
      <c r="E588">
        <v>1050</v>
      </c>
      <c r="F588">
        <v>1541.82</v>
      </c>
      <c r="G588">
        <v>1940852</v>
      </c>
      <c r="H588" t="s">
        <v>446</v>
      </c>
    </row>
    <row r="589" spans="1:8" x14ac:dyDescent="0.25">
      <c r="A589" t="s">
        <v>422</v>
      </c>
      <c r="B589" t="s">
        <v>30</v>
      </c>
      <c r="C589" t="s">
        <v>444</v>
      </c>
      <c r="D589">
        <v>160</v>
      </c>
      <c r="E589">
        <v>962</v>
      </c>
      <c r="F589">
        <v>1412.6010000000001</v>
      </c>
      <c r="G589">
        <v>1940852</v>
      </c>
      <c r="H589" t="s">
        <v>446</v>
      </c>
    </row>
    <row r="590" spans="1:8" x14ac:dyDescent="0.25">
      <c r="A590" t="s">
        <v>422</v>
      </c>
      <c r="B590" t="s">
        <v>30</v>
      </c>
      <c r="C590" t="s">
        <v>444</v>
      </c>
      <c r="D590">
        <v>139</v>
      </c>
      <c r="E590">
        <v>834</v>
      </c>
      <c r="F590">
        <v>1224.646</v>
      </c>
      <c r="G590">
        <v>1940852</v>
      </c>
      <c r="H590" t="s">
        <v>446</v>
      </c>
    </row>
    <row r="591" spans="1:8" x14ac:dyDescent="0.25">
      <c r="A591" t="s">
        <v>422</v>
      </c>
      <c r="B591" t="s">
        <v>30</v>
      </c>
      <c r="C591" t="s">
        <v>444</v>
      </c>
      <c r="D591">
        <v>95</v>
      </c>
      <c r="E591">
        <v>568</v>
      </c>
      <c r="F591">
        <v>834.05100000000004</v>
      </c>
      <c r="G591">
        <v>1940852</v>
      </c>
      <c r="H591" t="s">
        <v>446</v>
      </c>
    </row>
    <row r="592" spans="1:8" x14ac:dyDescent="0.25">
      <c r="A592" t="s">
        <v>422</v>
      </c>
      <c r="B592" t="s">
        <v>30</v>
      </c>
      <c r="C592" t="s">
        <v>444</v>
      </c>
      <c r="D592">
        <v>602</v>
      </c>
      <c r="E592">
        <v>3615</v>
      </c>
      <c r="F592">
        <v>1999.4570000000001</v>
      </c>
      <c r="G592">
        <v>1940146</v>
      </c>
      <c r="H592" t="s">
        <v>451</v>
      </c>
    </row>
    <row r="593" spans="1:8" x14ac:dyDescent="0.25">
      <c r="A593" t="s">
        <v>422</v>
      </c>
      <c r="B593" t="s">
        <v>30</v>
      </c>
      <c r="C593" t="s">
        <v>444</v>
      </c>
      <c r="D593">
        <v>247</v>
      </c>
      <c r="E593">
        <v>1485</v>
      </c>
      <c r="F593">
        <v>821.35400000000004</v>
      </c>
      <c r="G593">
        <v>1940146</v>
      </c>
      <c r="H593" t="s">
        <v>451</v>
      </c>
    </row>
    <row r="594" spans="1:8" x14ac:dyDescent="0.25">
      <c r="A594" t="s">
        <v>396</v>
      </c>
      <c r="B594" t="s">
        <v>61</v>
      </c>
      <c r="C594" t="s">
        <v>397</v>
      </c>
      <c r="D594">
        <v>6946</v>
      </c>
      <c r="E594">
        <v>1644.24</v>
      </c>
      <c r="F594">
        <v>1562.85</v>
      </c>
      <c r="G594">
        <v>1940306</v>
      </c>
      <c r="H594" t="s">
        <v>454</v>
      </c>
    </row>
    <row r="595" spans="1:8" x14ac:dyDescent="0.25">
      <c r="A595" t="s">
        <v>396</v>
      </c>
      <c r="B595" t="s">
        <v>61</v>
      </c>
      <c r="C595" t="s">
        <v>397</v>
      </c>
      <c r="D595">
        <v>1746</v>
      </c>
      <c r="E595">
        <v>413.30900000000003</v>
      </c>
      <c r="F595">
        <v>392.85</v>
      </c>
      <c r="G595">
        <v>1940306</v>
      </c>
      <c r="H595" t="s">
        <v>454</v>
      </c>
    </row>
    <row r="596" spans="1:8" x14ac:dyDescent="0.25">
      <c r="A596" t="s">
        <v>396</v>
      </c>
      <c r="B596" t="s">
        <v>61</v>
      </c>
      <c r="C596" t="s">
        <v>397</v>
      </c>
      <c r="D596">
        <v>758</v>
      </c>
      <c r="E596">
        <v>179.43199999999999</v>
      </c>
      <c r="F596">
        <v>170.55</v>
      </c>
      <c r="G596">
        <v>1940306</v>
      </c>
      <c r="H596" t="s">
        <v>454</v>
      </c>
    </row>
    <row r="597" spans="1:8" x14ac:dyDescent="0.25">
      <c r="A597" t="s">
        <v>396</v>
      </c>
      <c r="B597" t="s">
        <v>61</v>
      </c>
      <c r="C597" t="s">
        <v>397</v>
      </c>
      <c r="D597">
        <v>6407</v>
      </c>
      <c r="E597">
        <v>1887.5840000000001</v>
      </c>
      <c r="F597">
        <v>1793.96</v>
      </c>
      <c r="G597">
        <v>1940312</v>
      </c>
      <c r="H597" t="s">
        <v>410</v>
      </c>
    </row>
    <row r="598" spans="1:8" x14ac:dyDescent="0.25">
      <c r="A598" t="s">
        <v>396</v>
      </c>
      <c r="B598" t="s">
        <v>61</v>
      </c>
      <c r="C598" t="s">
        <v>397</v>
      </c>
      <c r="D598">
        <v>3646</v>
      </c>
      <c r="E598">
        <v>1074.1579999999999</v>
      </c>
      <c r="F598">
        <v>1020.88</v>
      </c>
      <c r="G598">
        <v>1940312</v>
      </c>
      <c r="H598" t="s">
        <v>410</v>
      </c>
    </row>
    <row r="599" spans="1:8" x14ac:dyDescent="0.25">
      <c r="A599" t="s">
        <v>396</v>
      </c>
      <c r="B599" t="s">
        <v>61</v>
      </c>
      <c r="C599" t="s">
        <v>397</v>
      </c>
      <c r="D599">
        <v>3553</v>
      </c>
      <c r="E599">
        <v>1046.759</v>
      </c>
      <c r="F599">
        <v>994.84</v>
      </c>
      <c r="G599">
        <v>1940312</v>
      </c>
      <c r="H599" t="s">
        <v>410</v>
      </c>
    </row>
    <row r="600" spans="1:8" x14ac:dyDescent="0.25">
      <c r="A600" t="s">
        <v>396</v>
      </c>
      <c r="B600" t="s">
        <v>61</v>
      </c>
      <c r="C600" t="s">
        <v>397</v>
      </c>
      <c r="D600">
        <v>744</v>
      </c>
      <c r="E600">
        <v>219.19200000000001</v>
      </c>
      <c r="F600">
        <v>208.32</v>
      </c>
      <c r="G600">
        <v>1940312</v>
      </c>
      <c r="H600" t="s">
        <v>410</v>
      </c>
    </row>
    <row r="601" spans="1:8" x14ac:dyDescent="0.25">
      <c r="A601" t="s">
        <v>453</v>
      </c>
      <c r="B601" t="s">
        <v>60</v>
      </c>
      <c r="C601" t="s">
        <v>392</v>
      </c>
      <c r="D601">
        <v>348</v>
      </c>
      <c r="E601">
        <v>2124.0459999999998</v>
      </c>
      <c r="F601">
        <v>2339</v>
      </c>
      <c r="G601">
        <v>4201127</v>
      </c>
      <c r="H601" t="s">
        <v>457</v>
      </c>
    </row>
    <row r="602" spans="1:8" x14ac:dyDescent="0.25">
      <c r="A602" t="s">
        <v>453</v>
      </c>
      <c r="B602" t="s">
        <v>60</v>
      </c>
      <c r="C602" t="s">
        <v>392</v>
      </c>
      <c r="D602">
        <v>344</v>
      </c>
      <c r="E602">
        <v>2101.3440000000001</v>
      </c>
      <c r="F602">
        <v>2314</v>
      </c>
      <c r="G602">
        <v>4201127</v>
      </c>
      <c r="H602" t="s">
        <v>457</v>
      </c>
    </row>
    <row r="603" spans="1:8" x14ac:dyDescent="0.25">
      <c r="A603" t="s">
        <v>453</v>
      </c>
      <c r="B603" t="s">
        <v>60</v>
      </c>
      <c r="C603" t="s">
        <v>392</v>
      </c>
      <c r="D603">
        <v>3</v>
      </c>
      <c r="E603">
        <v>15.438000000000001</v>
      </c>
      <c r="F603">
        <v>17</v>
      </c>
      <c r="G603">
        <v>4201127</v>
      </c>
      <c r="H603" t="s">
        <v>457</v>
      </c>
    </row>
    <row r="604" spans="1:8" x14ac:dyDescent="0.25">
      <c r="A604" t="s">
        <v>453</v>
      </c>
      <c r="B604" t="s">
        <v>60</v>
      </c>
      <c r="C604" t="s">
        <v>392</v>
      </c>
      <c r="D604">
        <v>640</v>
      </c>
      <c r="E604">
        <v>3928.0549999999998</v>
      </c>
      <c r="F604">
        <v>2173</v>
      </c>
      <c r="G604">
        <v>3597679</v>
      </c>
      <c r="H604" t="s">
        <v>459</v>
      </c>
    </row>
    <row r="605" spans="1:8" x14ac:dyDescent="0.25">
      <c r="A605" t="s">
        <v>453</v>
      </c>
      <c r="B605" t="s">
        <v>60</v>
      </c>
      <c r="C605" t="s">
        <v>392</v>
      </c>
      <c r="D605">
        <v>547</v>
      </c>
      <c r="E605">
        <v>3356.8330000000001</v>
      </c>
      <c r="F605">
        <v>1857</v>
      </c>
      <c r="G605">
        <v>3597679</v>
      </c>
      <c r="H605" t="s">
        <v>459</v>
      </c>
    </row>
    <row r="606" spans="1:8" x14ac:dyDescent="0.25">
      <c r="A606" t="s">
        <v>453</v>
      </c>
      <c r="B606" t="s">
        <v>60</v>
      </c>
      <c r="C606" t="s">
        <v>392</v>
      </c>
      <c r="D606">
        <v>250</v>
      </c>
      <c r="E606">
        <v>1500.633</v>
      </c>
      <c r="F606">
        <v>830</v>
      </c>
      <c r="G606">
        <v>1940146</v>
      </c>
      <c r="H606" t="s">
        <v>451</v>
      </c>
    </row>
    <row r="607" spans="1:8" x14ac:dyDescent="0.25">
      <c r="A607" t="s">
        <v>453</v>
      </c>
      <c r="B607" t="s">
        <v>60</v>
      </c>
      <c r="C607" t="s">
        <v>392</v>
      </c>
      <c r="D607">
        <v>400</v>
      </c>
      <c r="E607">
        <v>2125.8629999999998</v>
      </c>
      <c r="F607">
        <v>2341</v>
      </c>
      <c r="G607">
        <v>3731692</v>
      </c>
      <c r="H607" t="s">
        <v>462</v>
      </c>
    </row>
    <row r="608" spans="1:8" x14ac:dyDescent="0.25">
      <c r="A608" t="s">
        <v>453</v>
      </c>
      <c r="B608" t="s">
        <v>60</v>
      </c>
      <c r="C608" t="s">
        <v>392</v>
      </c>
      <c r="D608">
        <v>226</v>
      </c>
      <c r="E608">
        <v>1197.7840000000001</v>
      </c>
      <c r="F608">
        <v>1319</v>
      </c>
      <c r="G608">
        <v>3731692</v>
      </c>
      <c r="H608" t="s">
        <v>462</v>
      </c>
    </row>
    <row r="609" spans="1:8" x14ac:dyDescent="0.25">
      <c r="A609" t="s">
        <v>415</v>
      </c>
      <c r="B609" t="s">
        <v>9</v>
      </c>
      <c r="C609" t="s">
        <v>397</v>
      </c>
      <c r="D609">
        <v>3000</v>
      </c>
      <c r="E609">
        <v>1620.0340000000001</v>
      </c>
      <c r="F609">
        <v>704.06700000000001</v>
      </c>
      <c r="G609">
        <v>1940034</v>
      </c>
      <c r="H609" t="s">
        <v>464</v>
      </c>
    </row>
    <row r="610" spans="1:8" x14ac:dyDescent="0.25">
      <c r="A610" t="s">
        <v>415</v>
      </c>
      <c r="B610" t="s">
        <v>9</v>
      </c>
      <c r="C610" t="s">
        <v>397</v>
      </c>
      <c r="D610">
        <v>3000</v>
      </c>
      <c r="E610">
        <v>3926.777</v>
      </c>
      <c r="F610">
        <v>1641</v>
      </c>
      <c r="G610">
        <v>1940046</v>
      </c>
      <c r="H610" t="s">
        <v>466</v>
      </c>
    </row>
    <row r="611" spans="1:8" x14ac:dyDescent="0.25">
      <c r="A611" t="s">
        <v>415</v>
      </c>
      <c r="B611" t="s">
        <v>9</v>
      </c>
      <c r="C611" t="s">
        <v>397</v>
      </c>
      <c r="D611">
        <v>924</v>
      </c>
      <c r="E611">
        <v>2393.8440000000001</v>
      </c>
      <c r="F611">
        <v>2249.0160000000001</v>
      </c>
      <c r="G611">
        <v>2409618</v>
      </c>
      <c r="H611" t="s">
        <v>469</v>
      </c>
    </row>
    <row r="612" spans="1:8" x14ac:dyDescent="0.25">
      <c r="A612" t="s">
        <v>415</v>
      </c>
      <c r="B612" t="s">
        <v>9</v>
      </c>
      <c r="C612" t="s">
        <v>397</v>
      </c>
      <c r="D612">
        <v>76</v>
      </c>
      <c r="E612">
        <v>196.89599999999999</v>
      </c>
      <c r="F612">
        <v>184.98400000000001</v>
      </c>
      <c r="G612">
        <v>2409618</v>
      </c>
      <c r="H612" t="s">
        <v>469</v>
      </c>
    </row>
    <row r="613" spans="1:8" x14ac:dyDescent="0.25">
      <c r="A613" t="s">
        <v>415</v>
      </c>
      <c r="B613" t="s">
        <v>9</v>
      </c>
      <c r="C613" t="s">
        <v>397</v>
      </c>
      <c r="D613">
        <v>325</v>
      </c>
      <c r="E613">
        <v>349.37299999999999</v>
      </c>
      <c r="F613">
        <v>177.446</v>
      </c>
      <c r="G613">
        <v>3229740</v>
      </c>
      <c r="H613" t="s">
        <v>472</v>
      </c>
    </row>
    <row r="614" spans="1:8" x14ac:dyDescent="0.25">
      <c r="A614" t="s">
        <v>415</v>
      </c>
      <c r="B614" t="s">
        <v>9</v>
      </c>
      <c r="C614" t="s">
        <v>397</v>
      </c>
      <c r="D614">
        <v>625</v>
      </c>
      <c r="E614">
        <v>687.72199999999998</v>
      </c>
      <c r="F614">
        <v>1335.625</v>
      </c>
      <c r="G614">
        <v>2430128</v>
      </c>
      <c r="H614" t="s">
        <v>475</v>
      </c>
    </row>
    <row r="615" spans="1:8" x14ac:dyDescent="0.25">
      <c r="A615" t="s">
        <v>415</v>
      </c>
      <c r="B615" t="s">
        <v>9</v>
      </c>
      <c r="C615" t="s">
        <v>397</v>
      </c>
      <c r="D615">
        <v>273</v>
      </c>
      <c r="E615">
        <v>300.39699999999999</v>
      </c>
      <c r="F615">
        <v>583.40099999999995</v>
      </c>
      <c r="G615">
        <v>2430128</v>
      </c>
      <c r="H615" t="s">
        <v>475</v>
      </c>
    </row>
    <row r="616" spans="1:8" x14ac:dyDescent="0.25">
      <c r="A616" t="s">
        <v>415</v>
      </c>
      <c r="B616" t="s">
        <v>9</v>
      </c>
      <c r="C616" t="s">
        <v>397</v>
      </c>
      <c r="D616">
        <v>101</v>
      </c>
      <c r="E616">
        <v>111.136</v>
      </c>
      <c r="F616">
        <v>215.83699999999999</v>
      </c>
      <c r="G616">
        <v>2430128</v>
      </c>
      <c r="H616" t="s">
        <v>475</v>
      </c>
    </row>
    <row r="617" spans="1:8" x14ac:dyDescent="0.25">
      <c r="A617" t="s">
        <v>415</v>
      </c>
      <c r="B617" t="s">
        <v>9</v>
      </c>
      <c r="C617" t="s">
        <v>397</v>
      </c>
      <c r="D617">
        <v>1000</v>
      </c>
      <c r="E617">
        <v>1145.009</v>
      </c>
      <c r="F617">
        <v>604.84400000000005</v>
      </c>
      <c r="G617">
        <v>4110464</v>
      </c>
      <c r="H617" t="s">
        <v>477</v>
      </c>
    </row>
    <row r="618" spans="1:8" x14ac:dyDescent="0.25">
      <c r="A618" t="s">
        <v>453</v>
      </c>
      <c r="B618" t="s">
        <v>60</v>
      </c>
      <c r="C618" t="s">
        <v>397</v>
      </c>
      <c r="D618">
        <v>1324</v>
      </c>
      <c r="E618">
        <v>1734.9549999999999</v>
      </c>
      <c r="F618">
        <v>1910.5319999999999</v>
      </c>
      <c r="G618">
        <v>1940801</v>
      </c>
      <c r="H618" t="s">
        <v>478</v>
      </c>
    </row>
    <row r="619" spans="1:8" x14ac:dyDescent="0.25">
      <c r="A619" t="s">
        <v>453</v>
      </c>
      <c r="B619" t="s">
        <v>60</v>
      </c>
      <c r="C619" t="s">
        <v>397</v>
      </c>
      <c r="D619">
        <v>176</v>
      </c>
      <c r="E619">
        <v>230.62799999999999</v>
      </c>
      <c r="F619">
        <v>253.96799999999999</v>
      </c>
      <c r="G619">
        <v>1940801</v>
      </c>
      <c r="H619" t="s">
        <v>478</v>
      </c>
    </row>
    <row r="620" spans="1:8" x14ac:dyDescent="0.25">
      <c r="A620" t="s">
        <v>453</v>
      </c>
      <c r="B620" t="s">
        <v>60</v>
      </c>
      <c r="C620" t="s">
        <v>397</v>
      </c>
      <c r="D620">
        <v>423</v>
      </c>
      <c r="E620">
        <v>527.40599999999995</v>
      </c>
      <c r="F620">
        <v>580.779</v>
      </c>
      <c r="G620">
        <v>3233554</v>
      </c>
      <c r="H620" t="s">
        <v>480</v>
      </c>
    </row>
    <row r="621" spans="1:8" x14ac:dyDescent="0.25">
      <c r="A621" t="s">
        <v>453</v>
      </c>
      <c r="B621" t="s">
        <v>60</v>
      </c>
      <c r="C621" t="s">
        <v>397</v>
      </c>
      <c r="D621">
        <v>77</v>
      </c>
      <c r="E621">
        <v>96.004999999999995</v>
      </c>
      <c r="F621">
        <v>105.721</v>
      </c>
      <c r="G621">
        <v>3233554</v>
      </c>
      <c r="H621" t="s">
        <v>480</v>
      </c>
    </row>
    <row r="622" spans="1:8" x14ac:dyDescent="0.25">
      <c r="A622" t="s">
        <v>453</v>
      </c>
      <c r="B622" t="s">
        <v>60</v>
      </c>
      <c r="C622" t="s">
        <v>397</v>
      </c>
      <c r="D622">
        <v>1939</v>
      </c>
      <c r="E622">
        <v>2172.835</v>
      </c>
      <c r="F622">
        <v>2392.7260000000001</v>
      </c>
      <c r="G622">
        <v>3233555</v>
      </c>
      <c r="H622" t="s">
        <v>482</v>
      </c>
    </row>
    <row r="623" spans="1:8" x14ac:dyDescent="0.25">
      <c r="A623" t="s">
        <v>453</v>
      </c>
      <c r="B623" t="s">
        <v>60</v>
      </c>
      <c r="C623" t="s">
        <v>397</v>
      </c>
      <c r="D623">
        <v>61</v>
      </c>
      <c r="E623">
        <v>68.355999999999995</v>
      </c>
      <c r="F623">
        <v>75.274000000000001</v>
      </c>
      <c r="G623">
        <v>3233555</v>
      </c>
      <c r="H623" t="s">
        <v>482</v>
      </c>
    </row>
    <row r="624" spans="1:8" x14ac:dyDescent="0.25">
      <c r="A624" t="s">
        <v>453</v>
      </c>
      <c r="B624" t="s">
        <v>60</v>
      </c>
      <c r="C624" t="s">
        <v>397</v>
      </c>
      <c r="D624">
        <v>214</v>
      </c>
      <c r="E624">
        <v>184.14500000000001</v>
      </c>
      <c r="F624">
        <v>201.16</v>
      </c>
      <c r="G624">
        <v>3572051</v>
      </c>
      <c r="H624" t="s">
        <v>484</v>
      </c>
    </row>
    <row r="625" spans="1:8" x14ac:dyDescent="0.25">
      <c r="A625" t="s">
        <v>453</v>
      </c>
      <c r="B625" t="s">
        <v>60</v>
      </c>
      <c r="C625" t="s">
        <v>397</v>
      </c>
      <c r="D625">
        <v>523</v>
      </c>
      <c r="E625">
        <v>450.03699999999998</v>
      </c>
      <c r="F625">
        <v>491.62</v>
      </c>
      <c r="G625">
        <v>3572051</v>
      </c>
      <c r="H625" t="s">
        <v>484</v>
      </c>
    </row>
    <row r="626" spans="1:8" x14ac:dyDescent="0.25">
      <c r="A626" t="s">
        <v>453</v>
      </c>
      <c r="B626" t="s">
        <v>60</v>
      </c>
      <c r="C626" t="s">
        <v>397</v>
      </c>
      <c r="D626">
        <v>498</v>
      </c>
      <c r="E626">
        <v>428.524</v>
      </c>
      <c r="F626">
        <v>468.12</v>
      </c>
      <c r="G626">
        <v>3572051</v>
      </c>
      <c r="H626" t="s">
        <v>484</v>
      </c>
    </row>
    <row r="627" spans="1:8" x14ac:dyDescent="0.25">
      <c r="A627" t="s">
        <v>453</v>
      </c>
      <c r="B627" t="s">
        <v>60</v>
      </c>
      <c r="C627" t="s">
        <v>397</v>
      </c>
      <c r="D627">
        <v>448</v>
      </c>
      <c r="E627">
        <v>385.5</v>
      </c>
      <c r="F627">
        <v>421.12</v>
      </c>
      <c r="G627">
        <v>3572051</v>
      </c>
      <c r="H627" t="s">
        <v>484</v>
      </c>
    </row>
    <row r="628" spans="1:8" x14ac:dyDescent="0.25">
      <c r="A628" t="s">
        <v>453</v>
      </c>
      <c r="B628" t="s">
        <v>60</v>
      </c>
      <c r="C628" t="s">
        <v>397</v>
      </c>
      <c r="D628">
        <v>198</v>
      </c>
      <c r="E628">
        <v>170.37700000000001</v>
      </c>
      <c r="F628">
        <v>186.12</v>
      </c>
      <c r="G628">
        <v>3572051</v>
      </c>
      <c r="H628" t="s">
        <v>484</v>
      </c>
    </row>
    <row r="629" spans="1:8" x14ac:dyDescent="0.25">
      <c r="A629" t="s">
        <v>453</v>
      </c>
      <c r="B629" t="s">
        <v>60</v>
      </c>
      <c r="C629" t="s">
        <v>397</v>
      </c>
      <c r="D629">
        <v>116</v>
      </c>
      <c r="E629">
        <v>99.816999999999993</v>
      </c>
      <c r="F629">
        <v>109.04</v>
      </c>
      <c r="G629">
        <v>3572051</v>
      </c>
      <c r="H629" t="s">
        <v>484</v>
      </c>
    </row>
    <row r="630" spans="1:8" x14ac:dyDescent="0.25">
      <c r="A630" t="s">
        <v>453</v>
      </c>
      <c r="B630" t="s">
        <v>60</v>
      </c>
      <c r="C630" t="s">
        <v>397</v>
      </c>
      <c r="D630">
        <v>3</v>
      </c>
      <c r="E630">
        <v>2.581</v>
      </c>
      <c r="F630">
        <v>2.82</v>
      </c>
      <c r="G630">
        <v>3572051</v>
      </c>
      <c r="H630" t="s">
        <v>484</v>
      </c>
    </row>
    <row r="631" spans="1:8" x14ac:dyDescent="0.25">
      <c r="A631" t="s">
        <v>453</v>
      </c>
      <c r="B631" t="s">
        <v>60</v>
      </c>
      <c r="C631" t="s">
        <v>397</v>
      </c>
      <c r="D631">
        <v>1000</v>
      </c>
      <c r="E631">
        <v>754.99400000000003</v>
      </c>
      <c r="F631">
        <v>824.75599999999997</v>
      </c>
      <c r="G631">
        <v>4151472</v>
      </c>
      <c r="H631" t="s">
        <v>488</v>
      </c>
    </row>
    <row r="632" spans="1:8" x14ac:dyDescent="0.25">
      <c r="A632" t="s">
        <v>453</v>
      </c>
      <c r="B632" t="s">
        <v>60</v>
      </c>
      <c r="C632" t="s">
        <v>397</v>
      </c>
      <c r="D632">
        <v>1000</v>
      </c>
      <c r="E632">
        <v>120.777</v>
      </c>
      <c r="F632">
        <v>133</v>
      </c>
      <c r="G632">
        <v>3233559</v>
      </c>
      <c r="H632" t="s">
        <v>490</v>
      </c>
    </row>
    <row r="633" spans="1:8" x14ac:dyDescent="0.25">
      <c r="A633" t="s">
        <v>453</v>
      </c>
      <c r="B633" t="s">
        <v>60</v>
      </c>
      <c r="C633" t="s">
        <v>397</v>
      </c>
      <c r="D633">
        <v>1000</v>
      </c>
      <c r="E633">
        <v>110.765</v>
      </c>
      <c r="F633">
        <v>121</v>
      </c>
      <c r="G633">
        <v>3572047</v>
      </c>
      <c r="H633" t="s">
        <v>492</v>
      </c>
    </row>
    <row r="634" spans="1:8" x14ac:dyDescent="0.25">
      <c r="A634" t="s">
        <v>453</v>
      </c>
      <c r="B634" t="s">
        <v>60</v>
      </c>
      <c r="C634" t="s">
        <v>397</v>
      </c>
      <c r="D634">
        <v>1000</v>
      </c>
      <c r="E634">
        <v>794.99099999999999</v>
      </c>
      <c r="F634">
        <v>439.78899999999999</v>
      </c>
      <c r="G634">
        <v>4151429</v>
      </c>
      <c r="H634" t="s">
        <v>494</v>
      </c>
    </row>
    <row r="635" spans="1:8" x14ac:dyDescent="0.25">
      <c r="A635" t="s">
        <v>453</v>
      </c>
      <c r="B635" t="s">
        <v>60</v>
      </c>
      <c r="C635" t="s">
        <v>397</v>
      </c>
      <c r="D635">
        <v>1000</v>
      </c>
      <c r="E635">
        <v>469.99400000000003</v>
      </c>
      <c r="F635">
        <v>256.10000000000002</v>
      </c>
      <c r="G635">
        <v>3230488</v>
      </c>
      <c r="H635" t="s">
        <v>496</v>
      </c>
    </row>
    <row r="636" spans="1:8" x14ac:dyDescent="0.25">
      <c r="A636" t="s">
        <v>453</v>
      </c>
      <c r="B636" t="s">
        <v>60</v>
      </c>
      <c r="C636" t="s">
        <v>397</v>
      </c>
      <c r="D636">
        <v>2581</v>
      </c>
      <c r="E636">
        <v>1031.0940000000001</v>
      </c>
      <c r="F636">
        <v>570.40099999999995</v>
      </c>
      <c r="G636">
        <v>3230487</v>
      </c>
      <c r="H636" t="s">
        <v>498</v>
      </c>
    </row>
    <row r="637" spans="1:8" x14ac:dyDescent="0.25">
      <c r="A637" t="s">
        <v>453</v>
      </c>
      <c r="B637" t="s">
        <v>60</v>
      </c>
      <c r="C637" t="s">
        <v>397</v>
      </c>
      <c r="D637">
        <v>1419</v>
      </c>
      <c r="E637">
        <v>566.88199999999995</v>
      </c>
      <c r="F637">
        <v>313.59899999999999</v>
      </c>
      <c r="G637">
        <v>3230487</v>
      </c>
      <c r="H637" t="s">
        <v>498</v>
      </c>
    </row>
    <row r="638" spans="1:8" x14ac:dyDescent="0.25">
      <c r="A638" t="s">
        <v>453</v>
      </c>
      <c r="B638" t="s">
        <v>60</v>
      </c>
      <c r="C638" t="s">
        <v>397</v>
      </c>
      <c r="D638">
        <v>218</v>
      </c>
      <c r="E638">
        <v>21.8</v>
      </c>
      <c r="F638">
        <v>11.881</v>
      </c>
      <c r="G638">
        <v>3931834</v>
      </c>
      <c r="H638" t="s">
        <v>500</v>
      </c>
    </row>
    <row r="639" spans="1:8" x14ac:dyDescent="0.25">
      <c r="A639" t="s">
        <v>453</v>
      </c>
      <c r="B639" t="s">
        <v>60</v>
      </c>
      <c r="C639" t="s">
        <v>397</v>
      </c>
      <c r="D639">
        <v>1559</v>
      </c>
      <c r="E639">
        <v>155.89699999999999</v>
      </c>
      <c r="F639">
        <v>84.965999999999994</v>
      </c>
      <c r="G639">
        <v>3931834</v>
      </c>
      <c r="H639" t="s">
        <v>500</v>
      </c>
    </row>
    <row r="640" spans="1:8" x14ac:dyDescent="0.25">
      <c r="A640" t="s">
        <v>453</v>
      </c>
      <c r="B640" t="s">
        <v>60</v>
      </c>
      <c r="C640" t="s">
        <v>397</v>
      </c>
      <c r="D640">
        <v>126</v>
      </c>
      <c r="E640">
        <v>12.6</v>
      </c>
      <c r="F640">
        <v>6.867</v>
      </c>
      <c r="G640">
        <v>3931834</v>
      </c>
      <c r="H640" t="s">
        <v>500</v>
      </c>
    </row>
    <row r="641" spans="1:8" x14ac:dyDescent="0.25">
      <c r="A641" t="s">
        <v>453</v>
      </c>
      <c r="B641" t="s">
        <v>60</v>
      </c>
      <c r="C641" t="s">
        <v>397</v>
      </c>
      <c r="D641">
        <v>53</v>
      </c>
      <c r="E641">
        <v>5.3</v>
      </c>
      <c r="F641">
        <v>2.8889999999999998</v>
      </c>
      <c r="G641">
        <v>3931834</v>
      </c>
      <c r="H641" t="s">
        <v>500</v>
      </c>
    </row>
    <row r="642" spans="1:8" x14ac:dyDescent="0.25">
      <c r="A642" t="s">
        <v>453</v>
      </c>
      <c r="B642" t="s">
        <v>60</v>
      </c>
      <c r="C642" t="s">
        <v>397</v>
      </c>
      <c r="D642">
        <v>44</v>
      </c>
      <c r="E642">
        <v>4.4000000000000004</v>
      </c>
      <c r="F642">
        <v>2.3980000000000001</v>
      </c>
      <c r="G642">
        <v>3931834</v>
      </c>
      <c r="H642" t="s">
        <v>500</v>
      </c>
    </row>
    <row r="643" spans="1:8" x14ac:dyDescent="0.25">
      <c r="A643" t="s">
        <v>453</v>
      </c>
      <c r="B643" t="s">
        <v>60</v>
      </c>
      <c r="C643" t="s">
        <v>397</v>
      </c>
      <c r="D643">
        <v>428</v>
      </c>
      <c r="E643">
        <v>49.222000000000001</v>
      </c>
      <c r="F643">
        <v>26.821000000000002</v>
      </c>
      <c r="G643">
        <v>4151428</v>
      </c>
      <c r="H643" t="s">
        <v>504</v>
      </c>
    </row>
    <row r="644" spans="1:8" x14ac:dyDescent="0.25">
      <c r="A644" t="s">
        <v>453</v>
      </c>
      <c r="B644" t="s">
        <v>60</v>
      </c>
      <c r="C644" t="s">
        <v>397</v>
      </c>
      <c r="D644">
        <v>501</v>
      </c>
      <c r="E644">
        <v>57.618000000000002</v>
      </c>
      <c r="F644">
        <v>31.396000000000001</v>
      </c>
      <c r="G644">
        <v>4151428</v>
      </c>
      <c r="H644" t="s">
        <v>504</v>
      </c>
    </row>
    <row r="645" spans="1:8" x14ac:dyDescent="0.25">
      <c r="A645" t="s">
        <v>453</v>
      </c>
      <c r="B645" t="s">
        <v>60</v>
      </c>
      <c r="C645" t="s">
        <v>397</v>
      </c>
      <c r="D645">
        <v>45</v>
      </c>
      <c r="E645">
        <v>5.1749999999999998</v>
      </c>
      <c r="F645">
        <v>2.82</v>
      </c>
      <c r="G645">
        <v>4151428</v>
      </c>
      <c r="H645" t="s">
        <v>504</v>
      </c>
    </row>
    <row r="646" spans="1:8" x14ac:dyDescent="0.25">
      <c r="A646" t="s">
        <v>453</v>
      </c>
      <c r="B646" t="s">
        <v>60</v>
      </c>
      <c r="C646" t="s">
        <v>397</v>
      </c>
      <c r="D646">
        <v>26</v>
      </c>
      <c r="E646">
        <v>2.99</v>
      </c>
      <c r="F646">
        <v>1.629</v>
      </c>
      <c r="G646">
        <v>4151428</v>
      </c>
      <c r="H646" t="s">
        <v>504</v>
      </c>
    </row>
    <row r="647" spans="1:8" x14ac:dyDescent="0.25">
      <c r="A647" t="s">
        <v>453</v>
      </c>
      <c r="B647" t="s">
        <v>60</v>
      </c>
      <c r="C647" t="s">
        <v>397</v>
      </c>
      <c r="D647">
        <v>228</v>
      </c>
      <c r="E647">
        <v>219.56200000000001</v>
      </c>
      <c r="F647">
        <v>119.639</v>
      </c>
      <c r="G647">
        <v>4151427</v>
      </c>
      <c r="H647" t="s">
        <v>509</v>
      </c>
    </row>
    <row r="648" spans="1:8" x14ac:dyDescent="0.25">
      <c r="A648" t="s">
        <v>453</v>
      </c>
      <c r="B648" t="s">
        <v>60</v>
      </c>
      <c r="C648" t="s">
        <v>397</v>
      </c>
      <c r="D648">
        <v>398</v>
      </c>
      <c r="E648">
        <v>383.27</v>
      </c>
      <c r="F648">
        <v>208.84399999999999</v>
      </c>
      <c r="G648">
        <v>4151427</v>
      </c>
      <c r="H648" t="s">
        <v>509</v>
      </c>
    </row>
    <row r="649" spans="1:8" x14ac:dyDescent="0.25">
      <c r="A649" t="s">
        <v>453</v>
      </c>
      <c r="B649" t="s">
        <v>60</v>
      </c>
      <c r="C649" t="s">
        <v>397</v>
      </c>
      <c r="D649">
        <v>350</v>
      </c>
      <c r="E649">
        <v>337.04700000000003</v>
      </c>
      <c r="F649">
        <v>183.65700000000001</v>
      </c>
      <c r="G649">
        <v>4151427</v>
      </c>
      <c r="H649" t="s">
        <v>509</v>
      </c>
    </row>
    <row r="650" spans="1:8" x14ac:dyDescent="0.25">
      <c r="A650" t="s">
        <v>453</v>
      </c>
      <c r="B650" t="s">
        <v>60</v>
      </c>
      <c r="C650" t="s">
        <v>397</v>
      </c>
      <c r="D650">
        <v>24</v>
      </c>
      <c r="E650">
        <v>23.111999999999998</v>
      </c>
      <c r="F650">
        <v>12.593999999999999</v>
      </c>
      <c r="G650">
        <v>4151427</v>
      </c>
      <c r="H650" t="s">
        <v>509</v>
      </c>
    </row>
    <row r="651" spans="1:8" x14ac:dyDescent="0.25">
      <c r="A651" t="s">
        <v>453</v>
      </c>
      <c r="B651" t="s">
        <v>60</v>
      </c>
      <c r="C651" t="s">
        <v>397</v>
      </c>
      <c r="D651">
        <v>1000</v>
      </c>
      <c r="E651">
        <v>755.00099999999998</v>
      </c>
      <c r="F651">
        <v>411.4</v>
      </c>
      <c r="G651">
        <v>4151426</v>
      </c>
      <c r="H651" t="s">
        <v>511</v>
      </c>
    </row>
    <row r="652" spans="1:8" x14ac:dyDescent="0.25">
      <c r="A652" t="s">
        <v>453</v>
      </c>
      <c r="B652" t="s">
        <v>60</v>
      </c>
      <c r="C652" t="s">
        <v>397</v>
      </c>
      <c r="D652">
        <v>1000</v>
      </c>
      <c r="E652">
        <v>356.11</v>
      </c>
      <c r="F652">
        <v>197</v>
      </c>
      <c r="G652">
        <v>3230490</v>
      </c>
      <c r="H652" t="s">
        <v>515</v>
      </c>
    </row>
    <row r="653" spans="1:8" x14ac:dyDescent="0.25">
      <c r="A653" t="s">
        <v>453</v>
      </c>
      <c r="B653" t="s">
        <v>60</v>
      </c>
      <c r="C653" t="s">
        <v>397</v>
      </c>
      <c r="D653">
        <v>1000</v>
      </c>
      <c r="E653">
        <v>1303.991</v>
      </c>
      <c r="F653">
        <v>710.54399999999998</v>
      </c>
      <c r="G653">
        <v>3572039</v>
      </c>
      <c r="H653" t="s">
        <v>519</v>
      </c>
    </row>
    <row r="654" spans="1:8" x14ac:dyDescent="0.25">
      <c r="A654" t="s">
        <v>453</v>
      </c>
      <c r="B654" t="s">
        <v>60</v>
      </c>
      <c r="C654" t="s">
        <v>397</v>
      </c>
      <c r="D654">
        <v>500</v>
      </c>
      <c r="E654">
        <v>622.99900000000002</v>
      </c>
      <c r="F654">
        <v>339.47199999999998</v>
      </c>
      <c r="G654">
        <v>3572038</v>
      </c>
      <c r="H654" t="s">
        <v>521</v>
      </c>
    </row>
    <row r="655" spans="1:8" x14ac:dyDescent="0.25">
      <c r="A655" t="s">
        <v>453</v>
      </c>
      <c r="B655" t="s">
        <v>60</v>
      </c>
      <c r="C655" t="s">
        <v>397</v>
      </c>
      <c r="D655">
        <v>1000</v>
      </c>
      <c r="E655">
        <v>835</v>
      </c>
      <c r="F655">
        <v>461.92200000000003</v>
      </c>
      <c r="G655">
        <v>4151425</v>
      </c>
      <c r="H655" t="s">
        <v>523</v>
      </c>
    </row>
    <row r="656" spans="1:8" x14ac:dyDescent="0.25">
      <c r="A656" t="s">
        <v>453</v>
      </c>
      <c r="B656" t="s">
        <v>60</v>
      </c>
      <c r="C656" t="s">
        <v>397</v>
      </c>
      <c r="D656">
        <v>1000</v>
      </c>
      <c r="E656">
        <v>539.99699999999996</v>
      </c>
      <c r="F656">
        <v>294.24400000000003</v>
      </c>
      <c r="G656">
        <v>3571870</v>
      </c>
      <c r="H656" t="s">
        <v>525</v>
      </c>
    </row>
    <row r="657" spans="1:8" x14ac:dyDescent="0.25">
      <c r="A657" t="s">
        <v>453</v>
      </c>
      <c r="B657" t="s">
        <v>60</v>
      </c>
      <c r="C657" t="s">
        <v>397</v>
      </c>
      <c r="D657">
        <v>1000</v>
      </c>
      <c r="E657">
        <v>110.008</v>
      </c>
      <c r="F657">
        <v>59.956000000000003</v>
      </c>
      <c r="G657">
        <v>3931835</v>
      </c>
      <c r="H657" t="s">
        <v>527</v>
      </c>
    </row>
    <row r="658" spans="1:8" x14ac:dyDescent="0.25">
      <c r="A658" t="s">
        <v>453</v>
      </c>
      <c r="B658" t="s">
        <v>60</v>
      </c>
      <c r="C658" t="s">
        <v>397</v>
      </c>
      <c r="D658">
        <v>1000</v>
      </c>
      <c r="E658">
        <v>639.99800000000005</v>
      </c>
      <c r="F658">
        <v>578.87800000000004</v>
      </c>
      <c r="G658">
        <v>4151430</v>
      </c>
      <c r="H658" t="s">
        <v>530</v>
      </c>
    </row>
    <row r="659" spans="1:8" x14ac:dyDescent="0.25">
      <c r="A659" t="s">
        <v>453</v>
      </c>
      <c r="B659" t="s">
        <v>60</v>
      </c>
      <c r="C659" t="s">
        <v>397</v>
      </c>
      <c r="D659">
        <v>500</v>
      </c>
      <c r="E659">
        <v>615.00400000000002</v>
      </c>
      <c r="F659">
        <v>324.87200000000001</v>
      </c>
      <c r="G659">
        <v>3929692</v>
      </c>
      <c r="H659" t="s">
        <v>533</v>
      </c>
    </row>
    <row r="660" spans="1:8" x14ac:dyDescent="0.25">
      <c r="A660" t="s">
        <v>453</v>
      </c>
      <c r="B660" t="s">
        <v>60</v>
      </c>
      <c r="C660" t="s">
        <v>397</v>
      </c>
      <c r="D660">
        <v>774</v>
      </c>
      <c r="E660">
        <v>154.79300000000001</v>
      </c>
      <c r="F660">
        <v>81.769000000000005</v>
      </c>
      <c r="G660">
        <v>3929691</v>
      </c>
      <c r="H660" t="s">
        <v>535</v>
      </c>
    </row>
    <row r="661" spans="1:8" x14ac:dyDescent="0.25">
      <c r="A661" t="s">
        <v>453</v>
      </c>
      <c r="B661" t="s">
        <v>60</v>
      </c>
      <c r="C661" t="s">
        <v>397</v>
      </c>
      <c r="D661">
        <v>1997</v>
      </c>
      <c r="E661">
        <v>399.38299999999998</v>
      </c>
      <c r="F661">
        <v>210.97200000000001</v>
      </c>
      <c r="G661">
        <v>3929691</v>
      </c>
      <c r="H661" t="s">
        <v>535</v>
      </c>
    </row>
    <row r="662" spans="1:8" x14ac:dyDescent="0.25">
      <c r="A662" t="s">
        <v>453</v>
      </c>
      <c r="B662" t="s">
        <v>60</v>
      </c>
      <c r="C662" t="s">
        <v>397</v>
      </c>
      <c r="D662">
        <v>78</v>
      </c>
      <c r="E662">
        <v>15.599</v>
      </c>
      <c r="F662">
        <v>8.24</v>
      </c>
      <c r="G662">
        <v>3929691</v>
      </c>
      <c r="H662" t="s">
        <v>535</v>
      </c>
    </row>
    <row r="663" spans="1:8" x14ac:dyDescent="0.25">
      <c r="A663" t="s">
        <v>453</v>
      </c>
      <c r="B663" t="s">
        <v>60</v>
      </c>
      <c r="C663" t="s">
        <v>397</v>
      </c>
      <c r="D663">
        <v>78</v>
      </c>
      <c r="E663">
        <v>15.599</v>
      </c>
      <c r="F663">
        <v>8.24</v>
      </c>
      <c r="G663">
        <v>3929691</v>
      </c>
      <c r="H663" t="s">
        <v>535</v>
      </c>
    </row>
    <row r="664" spans="1:8" x14ac:dyDescent="0.25">
      <c r="A664" t="s">
        <v>453</v>
      </c>
      <c r="B664" t="s">
        <v>60</v>
      </c>
      <c r="C664" t="s">
        <v>397</v>
      </c>
      <c r="D664">
        <v>55</v>
      </c>
      <c r="E664">
        <v>11</v>
      </c>
      <c r="F664">
        <v>5.81</v>
      </c>
      <c r="G664">
        <v>3929691</v>
      </c>
      <c r="H664" t="s">
        <v>535</v>
      </c>
    </row>
    <row r="665" spans="1:8" x14ac:dyDescent="0.25">
      <c r="A665" t="s">
        <v>453</v>
      </c>
      <c r="B665" t="s">
        <v>60</v>
      </c>
      <c r="C665" t="s">
        <v>397</v>
      </c>
      <c r="D665">
        <v>7</v>
      </c>
      <c r="E665">
        <v>1.4</v>
      </c>
      <c r="F665">
        <v>0.74</v>
      </c>
      <c r="G665">
        <v>3929691</v>
      </c>
      <c r="H665" t="s">
        <v>535</v>
      </c>
    </row>
    <row r="666" spans="1:8" x14ac:dyDescent="0.25">
      <c r="A666" t="s">
        <v>453</v>
      </c>
      <c r="B666" t="s">
        <v>60</v>
      </c>
      <c r="C666" t="s">
        <v>397</v>
      </c>
      <c r="D666">
        <v>6</v>
      </c>
      <c r="E666">
        <v>1.2</v>
      </c>
      <c r="F666">
        <v>0.63400000000000001</v>
      </c>
      <c r="G666">
        <v>3929691</v>
      </c>
      <c r="H666" t="s">
        <v>535</v>
      </c>
    </row>
    <row r="667" spans="1:8" x14ac:dyDescent="0.25">
      <c r="A667" t="s">
        <v>453</v>
      </c>
      <c r="B667" t="s">
        <v>60</v>
      </c>
      <c r="C667" t="s">
        <v>397</v>
      </c>
      <c r="D667">
        <v>5</v>
      </c>
      <c r="E667">
        <v>1</v>
      </c>
      <c r="F667">
        <v>0.52800000000000002</v>
      </c>
      <c r="G667">
        <v>3929691</v>
      </c>
      <c r="H667" t="s">
        <v>535</v>
      </c>
    </row>
    <row r="668" spans="1:8" x14ac:dyDescent="0.25">
      <c r="A668" t="s">
        <v>453</v>
      </c>
      <c r="B668" t="s">
        <v>60</v>
      </c>
      <c r="C668" t="s">
        <v>397</v>
      </c>
      <c r="D668">
        <v>1000</v>
      </c>
      <c r="E668">
        <v>150</v>
      </c>
      <c r="F668">
        <v>65.167000000000002</v>
      </c>
      <c r="G668">
        <v>4104140</v>
      </c>
      <c r="H668" t="s">
        <v>502</v>
      </c>
    </row>
    <row r="669" spans="1:8" x14ac:dyDescent="0.25">
      <c r="A669" t="s">
        <v>453</v>
      </c>
      <c r="B669" t="s">
        <v>60</v>
      </c>
      <c r="C669" t="s">
        <v>397</v>
      </c>
      <c r="D669">
        <v>2000</v>
      </c>
      <c r="E669">
        <v>317.35199999999998</v>
      </c>
      <c r="F669">
        <v>466</v>
      </c>
      <c r="G669">
        <v>3572055</v>
      </c>
      <c r="H669" t="s">
        <v>542</v>
      </c>
    </row>
    <row r="670" spans="1:8" x14ac:dyDescent="0.25">
      <c r="A670" t="s">
        <v>453</v>
      </c>
      <c r="B670" t="s">
        <v>60</v>
      </c>
      <c r="C670" t="s">
        <v>397</v>
      </c>
      <c r="D670">
        <v>1000</v>
      </c>
      <c r="E670">
        <v>115</v>
      </c>
      <c r="F670">
        <v>168.86699999999999</v>
      </c>
      <c r="G670">
        <v>4151471</v>
      </c>
      <c r="H670" t="s">
        <v>544</v>
      </c>
    </row>
    <row r="671" spans="1:8" x14ac:dyDescent="0.25">
      <c r="A671" t="s">
        <v>453</v>
      </c>
      <c r="B671" t="s">
        <v>60</v>
      </c>
      <c r="C671" t="s">
        <v>397</v>
      </c>
      <c r="D671">
        <v>1000</v>
      </c>
      <c r="E671">
        <v>190</v>
      </c>
      <c r="F671">
        <v>207.55600000000001</v>
      </c>
      <c r="G671">
        <v>4151424</v>
      </c>
      <c r="H671" t="s">
        <v>550</v>
      </c>
    </row>
    <row r="672" spans="1:8" x14ac:dyDescent="0.25">
      <c r="A672" t="s">
        <v>453</v>
      </c>
      <c r="B672" t="s">
        <v>60</v>
      </c>
      <c r="C672" t="s">
        <v>397</v>
      </c>
      <c r="D672">
        <v>500</v>
      </c>
      <c r="E672">
        <v>503.50700000000001</v>
      </c>
      <c r="F672">
        <v>274.41699999999997</v>
      </c>
      <c r="G672">
        <v>4100796</v>
      </c>
      <c r="H672" t="s">
        <v>552</v>
      </c>
    </row>
    <row r="673" spans="1:8" x14ac:dyDescent="0.25">
      <c r="A673" t="s">
        <v>453</v>
      </c>
      <c r="B673" t="s">
        <v>60</v>
      </c>
      <c r="C673" t="s">
        <v>397</v>
      </c>
      <c r="D673">
        <v>1000</v>
      </c>
      <c r="E673">
        <v>129.00899999999999</v>
      </c>
      <c r="F673">
        <v>70.311000000000007</v>
      </c>
      <c r="G673">
        <v>3938687</v>
      </c>
      <c r="H673" t="s">
        <v>554</v>
      </c>
    </row>
    <row r="674" spans="1:8" x14ac:dyDescent="0.25">
      <c r="A674" t="s">
        <v>453</v>
      </c>
      <c r="B674" t="s">
        <v>60</v>
      </c>
      <c r="C674" t="s">
        <v>397</v>
      </c>
      <c r="D674">
        <v>500</v>
      </c>
      <c r="E674">
        <v>164.995</v>
      </c>
      <c r="F674">
        <v>87.183000000000007</v>
      </c>
      <c r="G674">
        <v>3935313</v>
      </c>
      <c r="H674" t="s">
        <v>560</v>
      </c>
    </row>
    <row r="675" spans="1:8" x14ac:dyDescent="0.25">
      <c r="A675" t="s">
        <v>517</v>
      </c>
      <c r="B675" t="s">
        <v>19</v>
      </c>
      <c r="C675" t="s">
        <v>397</v>
      </c>
      <c r="D675">
        <v>1949</v>
      </c>
      <c r="E675">
        <v>1394.2349999999999</v>
      </c>
      <c r="F675">
        <v>1391.586</v>
      </c>
      <c r="G675">
        <v>3910020</v>
      </c>
      <c r="H675" t="s">
        <v>563</v>
      </c>
    </row>
    <row r="676" spans="1:8" x14ac:dyDescent="0.25">
      <c r="A676" t="s">
        <v>517</v>
      </c>
      <c r="B676" t="s">
        <v>19</v>
      </c>
      <c r="C676" t="s">
        <v>397</v>
      </c>
      <c r="D676">
        <v>1399</v>
      </c>
      <c r="E676">
        <v>1000.787</v>
      </c>
      <c r="F676">
        <v>998.88599999999997</v>
      </c>
      <c r="G676">
        <v>3910020</v>
      </c>
      <c r="H676" t="s">
        <v>563</v>
      </c>
    </row>
    <row r="677" spans="1:8" x14ac:dyDescent="0.25">
      <c r="A677" t="s">
        <v>517</v>
      </c>
      <c r="B677" t="s">
        <v>19</v>
      </c>
      <c r="C677" t="s">
        <v>397</v>
      </c>
      <c r="D677">
        <v>1140</v>
      </c>
      <c r="E677">
        <v>815.50900000000001</v>
      </c>
      <c r="F677">
        <v>813.96</v>
      </c>
      <c r="G677">
        <v>3910020</v>
      </c>
      <c r="H677" t="s">
        <v>563</v>
      </c>
    </row>
    <row r="678" spans="1:8" x14ac:dyDescent="0.25">
      <c r="A678" t="s">
        <v>517</v>
      </c>
      <c r="B678" t="s">
        <v>19</v>
      </c>
      <c r="C678" t="s">
        <v>397</v>
      </c>
      <c r="D678">
        <v>476</v>
      </c>
      <c r="E678">
        <v>340.51100000000002</v>
      </c>
      <c r="F678">
        <v>339.86399999999998</v>
      </c>
      <c r="G678">
        <v>3910020</v>
      </c>
      <c r="H678" t="s">
        <v>563</v>
      </c>
    </row>
    <row r="679" spans="1:8" x14ac:dyDescent="0.25">
      <c r="A679" t="s">
        <v>517</v>
      </c>
      <c r="B679" t="s">
        <v>19</v>
      </c>
      <c r="C679" t="s">
        <v>397</v>
      </c>
      <c r="D679">
        <v>11</v>
      </c>
      <c r="E679">
        <v>7.8689999999999998</v>
      </c>
      <c r="F679">
        <v>7.8540000000000001</v>
      </c>
      <c r="G679">
        <v>3910020</v>
      </c>
      <c r="H679" t="s">
        <v>563</v>
      </c>
    </row>
    <row r="680" spans="1:8" x14ac:dyDescent="0.25">
      <c r="A680" t="s">
        <v>517</v>
      </c>
      <c r="B680" t="s">
        <v>19</v>
      </c>
      <c r="C680" t="s">
        <v>397</v>
      </c>
      <c r="D680">
        <v>666</v>
      </c>
      <c r="E680">
        <v>1149.655</v>
      </c>
      <c r="F680">
        <v>1512.4860000000001</v>
      </c>
      <c r="G680">
        <v>1940710</v>
      </c>
      <c r="H680" t="s">
        <v>566</v>
      </c>
    </row>
    <row r="681" spans="1:8" x14ac:dyDescent="0.25">
      <c r="A681" t="s">
        <v>517</v>
      </c>
      <c r="B681" t="s">
        <v>19</v>
      </c>
      <c r="C681" t="s">
        <v>397</v>
      </c>
      <c r="D681">
        <v>450</v>
      </c>
      <c r="E681">
        <v>776.79399999999998</v>
      </c>
      <c r="F681">
        <v>1021.95</v>
      </c>
      <c r="G681">
        <v>1940710</v>
      </c>
      <c r="H681" t="s">
        <v>566</v>
      </c>
    </row>
    <row r="682" spans="1:8" x14ac:dyDescent="0.25">
      <c r="A682" t="s">
        <v>517</v>
      </c>
      <c r="B682" t="s">
        <v>19</v>
      </c>
      <c r="C682" t="s">
        <v>397</v>
      </c>
      <c r="D682">
        <v>380</v>
      </c>
      <c r="E682">
        <v>655.95899999999995</v>
      </c>
      <c r="F682">
        <v>862.98</v>
      </c>
      <c r="G682">
        <v>1940710</v>
      </c>
      <c r="H682" t="s">
        <v>566</v>
      </c>
    </row>
    <row r="683" spans="1:8" x14ac:dyDescent="0.25">
      <c r="A683" t="s">
        <v>517</v>
      </c>
      <c r="B683" t="s">
        <v>19</v>
      </c>
      <c r="C683" t="s">
        <v>397</v>
      </c>
      <c r="D683">
        <v>94</v>
      </c>
      <c r="E683">
        <v>162.26400000000001</v>
      </c>
      <c r="F683">
        <v>213.47399999999999</v>
      </c>
      <c r="G683">
        <v>1940710</v>
      </c>
      <c r="H683" t="s">
        <v>566</v>
      </c>
    </row>
    <row r="684" spans="1:8" x14ac:dyDescent="0.25">
      <c r="A684" t="s">
        <v>517</v>
      </c>
      <c r="B684" t="s">
        <v>19</v>
      </c>
      <c r="C684" t="s">
        <v>397</v>
      </c>
      <c r="D684">
        <v>1309</v>
      </c>
      <c r="E684">
        <v>839.64499999999998</v>
      </c>
      <c r="F684">
        <v>1557.71</v>
      </c>
      <c r="G684">
        <v>3781649</v>
      </c>
      <c r="H684" t="s">
        <v>569</v>
      </c>
    </row>
    <row r="685" spans="1:8" x14ac:dyDescent="0.25">
      <c r="A685" t="s">
        <v>517</v>
      </c>
      <c r="B685" t="s">
        <v>19</v>
      </c>
      <c r="C685" t="s">
        <v>397</v>
      </c>
      <c r="D685">
        <v>1</v>
      </c>
      <c r="E685">
        <v>0.64100000000000001</v>
      </c>
      <c r="F685">
        <v>1.19</v>
      </c>
      <c r="G685">
        <v>3781649</v>
      </c>
      <c r="H685" t="s">
        <v>569</v>
      </c>
    </row>
    <row r="686" spans="1:8" x14ac:dyDescent="0.25">
      <c r="A686" t="s">
        <v>437</v>
      </c>
      <c r="B686" t="s">
        <v>18</v>
      </c>
      <c r="C686" t="s">
        <v>397</v>
      </c>
      <c r="D686">
        <v>2600</v>
      </c>
      <c r="E686">
        <v>1333.0350000000001</v>
      </c>
      <c r="F686">
        <v>2087.8000000000002</v>
      </c>
      <c r="G686">
        <v>1940821</v>
      </c>
      <c r="H686" t="s">
        <v>571</v>
      </c>
    </row>
    <row r="687" spans="1:8" x14ac:dyDescent="0.25">
      <c r="A687" t="s">
        <v>437</v>
      </c>
      <c r="B687" t="s">
        <v>18</v>
      </c>
      <c r="C687" t="s">
        <v>397</v>
      </c>
      <c r="D687">
        <v>3048</v>
      </c>
      <c r="E687">
        <v>1634.7339999999999</v>
      </c>
      <c r="F687">
        <v>2560.3200000000002</v>
      </c>
      <c r="G687">
        <v>1940822</v>
      </c>
      <c r="H687" t="s">
        <v>574</v>
      </c>
    </row>
    <row r="688" spans="1:8" x14ac:dyDescent="0.25">
      <c r="A688" t="s">
        <v>437</v>
      </c>
      <c r="B688" t="s">
        <v>18</v>
      </c>
      <c r="C688" t="s">
        <v>397</v>
      </c>
      <c r="D688">
        <v>2698</v>
      </c>
      <c r="E688">
        <v>1447.018</v>
      </c>
      <c r="F688">
        <v>2266.3200000000002</v>
      </c>
      <c r="G688">
        <v>1940822</v>
      </c>
      <c r="H688" t="s">
        <v>574</v>
      </c>
    </row>
    <row r="689" spans="1:8" x14ac:dyDescent="0.25">
      <c r="A689" t="s">
        <v>437</v>
      </c>
      <c r="B689" t="s">
        <v>18</v>
      </c>
      <c r="C689" t="s">
        <v>397</v>
      </c>
      <c r="D689">
        <v>2094</v>
      </c>
      <c r="E689">
        <v>1123.075</v>
      </c>
      <c r="F689">
        <v>1758.96</v>
      </c>
      <c r="G689">
        <v>1940822</v>
      </c>
      <c r="H689" t="s">
        <v>574</v>
      </c>
    </row>
    <row r="690" spans="1:8" x14ac:dyDescent="0.25">
      <c r="A690" t="s">
        <v>437</v>
      </c>
      <c r="B690" t="s">
        <v>18</v>
      </c>
      <c r="C690" t="s">
        <v>397</v>
      </c>
      <c r="D690">
        <v>2500</v>
      </c>
      <c r="E690">
        <v>1399.885</v>
      </c>
      <c r="F690">
        <v>2192.5</v>
      </c>
      <c r="G690">
        <v>1940823</v>
      </c>
      <c r="H690" t="s">
        <v>576</v>
      </c>
    </row>
    <row r="691" spans="1:8" x14ac:dyDescent="0.25">
      <c r="A691" t="s">
        <v>437</v>
      </c>
      <c r="B691" t="s">
        <v>18</v>
      </c>
      <c r="C691" t="s">
        <v>397</v>
      </c>
      <c r="D691">
        <v>336</v>
      </c>
      <c r="E691">
        <v>188.14500000000001</v>
      </c>
      <c r="F691">
        <v>294.67200000000003</v>
      </c>
      <c r="G691">
        <v>1940823</v>
      </c>
      <c r="H691" t="s">
        <v>576</v>
      </c>
    </row>
    <row r="692" spans="1:8" x14ac:dyDescent="0.25">
      <c r="A692" t="s">
        <v>437</v>
      </c>
      <c r="B692" t="s">
        <v>18</v>
      </c>
      <c r="C692" t="s">
        <v>397</v>
      </c>
      <c r="D692">
        <v>4</v>
      </c>
      <c r="E692">
        <v>2.2400000000000002</v>
      </c>
      <c r="F692">
        <v>3.508</v>
      </c>
      <c r="G692">
        <v>1940823</v>
      </c>
      <c r="H692" t="s">
        <v>576</v>
      </c>
    </row>
    <row r="693" spans="1:8" x14ac:dyDescent="0.25">
      <c r="A693" t="s">
        <v>437</v>
      </c>
      <c r="B693" t="s">
        <v>18</v>
      </c>
      <c r="C693" t="s">
        <v>397</v>
      </c>
      <c r="D693">
        <v>520</v>
      </c>
      <c r="E693">
        <v>77.171999999999997</v>
      </c>
      <c r="F693">
        <v>153.91999999999999</v>
      </c>
      <c r="G693">
        <v>4098592</v>
      </c>
      <c r="H693" t="s">
        <v>579</v>
      </c>
    </row>
    <row r="694" spans="1:8" x14ac:dyDescent="0.25">
      <c r="A694" t="s">
        <v>581</v>
      </c>
      <c r="B694" t="s">
        <v>18</v>
      </c>
      <c r="C694" t="s">
        <v>397</v>
      </c>
      <c r="D694">
        <v>2575</v>
      </c>
      <c r="E694">
        <v>1223.124</v>
      </c>
      <c r="F694">
        <v>1566.9449999999999</v>
      </c>
      <c r="G694">
        <v>1940626</v>
      </c>
      <c r="H694" t="s">
        <v>583</v>
      </c>
    </row>
    <row r="695" spans="1:8" x14ac:dyDescent="0.25">
      <c r="A695" t="s">
        <v>6015</v>
      </c>
      <c r="B695" t="s">
        <v>65</v>
      </c>
      <c r="C695" t="s">
        <v>397</v>
      </c>
      <c r="D695">
        <v>1000</v>
      </c>
      <c r="E695">
        <v>570.82799999999997</v>
      </c>
      <c r="F695">
        <v>1059</v>
      </c>
      <c r="G695">
        <v>3781648</v>
      </c>
      <c r="H695" t="s">
        <v>1755</v>
      </c>
    </row>
    <row r="696" spans="1:8" x14ac:dyDescent="0.25">
      <c r="A696" t="s">
        <v>6015</v>
      </c>
      <c r="B696" t="s">
        <v>65</v>
      </c>
      <c r="C696" t="s">
        <v>397</v>
      </c>
      <c r="D696">
        <v>600</v>
      </c>
      <c r="E696">
        <v>342.49700000000001</v>
      </c>
      <c r="F696">
        <v>635.4</v>
      </c>
      <c r="G696">
        <v>3781648</v>
      </c>
      <c r="H696" t="s">
        <v>1755</v>
      </c>
    </row>
    <row r="697" spans="1:8" x14ac:dyDescent="0.25">
      <c r="A697" t="s">
        <v>6015</v>
      </c>
      <c r="B697" t="s">
        <v>65</v>
      </c>
      <c r="C697" t="s">
        <v>397</v>
      </c>
      <c r="D697">
        <v>600</v>
      </c>
      <c r="E697">
        <v>342.49700000000001</v>
      </c>
      <c r="F697">
        <v>635.4</v>
      </c>
      <c r="G697">
        <v>3781648</v>
      </c>
      <c r="H697" t="s">
        <v>1755</v>
      </c>
    </row>
    <row r="698" spans="1:8" x14ac:dyDescent="0.25">
      <c r="A698" t="s">
        <v>6015</v>
      </c>
      <c r="B698" t="s">
        <v>65</v>
      </c>
      <c r="C698" t="s">
        <v>397</v>
      </c>
      <c r="D698">
        <v>570</v>
      </c>
      <c r="E698">
        <v>325.37200000000001</v>
      </c>
      <c r="F698">
        <v>603.63</v>
      </c>
      <c r="G698">
        <v>3781648</v>
      </c>
      <c r="H698" t="s">
        <v>1755</v>
      </c>
    </row>
    <row r="699" spans="1:8" x14ac:dyDescent="0.25">
      <c r="A699" t="s">
        <v>6015</v>
      </c>
      <c r="B699" t="s">
        <v>65</v>
      </c>
      <c r="C699" t="s">
        <v>397</v>
      </c>
      <c r="D699">
        <v>230</v>
      </c>
      <c r="E699">
        <v>131.29</v>
      </c>
      <c r="F699">
        <v>243.57</v>
      </c>
      <c r="G699">
        <v>3781648</v>
      </c>
      <c r="H699" t="s">
        <v>1755</v>
      </c>
    </row>
    <row r="700" spans="1:8" x14ac:dyDescent="0.25">
      <c r="A700" t="s">
        <v>6015</v>
      </c>
      <c r="B700" t="s">
        <v>65</v>
      </c>
      <c r="C700" t="s">
        <v>397</v>
      </c>
      <c r="D700">
        <v>4056</v>
      </c>
      <c r="E700">
        <v>694.755</v>
      </c>
      <c r="F700">
        <v>287.976</v>
      </c>
      <c r="G700">
        <v>3204542</v>
      </c>
      <c r="H700" t="s">
        <v>1141</v>
      </c>
    </row>
    <row r="701" spans="1:8" x14ac:dyDescent="0.25">
      <c r="A701" t="s">
        <v>6015</v>
      </c>
      <c r="B701" t="s">
        <v>65</v>
      </c>
      <c r="C701" t="s">
        <v>397</v>
      </c>
      <c r="D701">
        <v>4464</v>
      </c>
      <c r="E701">
        <v>764.64200000000005</v>
      </c>
      <c r="F701">
        <v>316.94400000000002</v>
      </c>
      <c r="G701">
        <v>3204542</v>
      </c>
      <c r="H701" t="s">
        <v>1141</v>
      </c>
    </row>
    <row r="702" spans="1:8" x14ac:dyDescent="0.25">
      <c r="A702" t="s">
        <v>6015</v>
      </c>
      <c r="B702" t="s">
        <v>65</v>
      </c>
      <c r="C702" t="s">
        <v>397</v>
      </c>
      <c r="D702">
        <v>1195</v>
      </c>
      <c r="E702">
        <v>204.69200000000001</v>
      </c>
      <c r="F702">
        <v>84.844999999999999</v>
      </c>
      <c r="G702">
        <v>3204542</v>
      </c>
      <c r="H702" t="s">
        <v>1141</v>
      </c>
    </row>
    <row r="703" spans="1:8" x14ac:dyDescent="0.25">
      <c r="A703" t="s">
        <v>6015</v>
      </c>
      <c r="B703" t="s">
        <v>65</v>
      </c>
      <c r="C703" t="s">
        <v>397</v>
      </c>
      <c r="D703">
        <v>1085</v>
      </c>
      <c r="E703">
        <v>185.85</v>
      </c>
      <c r="F703">
        <v>77.034999999999997</v>
      </c>
      <c r="G703">
        <v>3204542</v>
      </c>
      <c r="H703" t="s">
        <v>1141</v>
      </c>
    </row>
    <row r="704" spans="1:8" x14ac:dyDescent="0.25">
      <c r="A704" t="s">
        <v>6015</v>
      </c>
      <c r="B704" t="s">
        <v>65</v>
      </c>
      <c r="C704" t="s">
        <v>397</v>
      </c>
      <c r="D704">
        <v>722</v>
      </c>
      <c r="E704">
        <v>350.20400000000001</v>
      </c>
      <c r="F704">
        <v>514.06399999999996</v>
      </c>
      <c r="G704">
        <v>2385283</v>
      </c>
      <c r="H704" t="s">
        <v>1607</v>
      </c>
    </row>
    <row r="705" spans="1:8" x14ac:dyDescent="0.25">
      <c r="A705" t="s">
        <v>6015</v>
      </c>
      <c r="B705" t="s">
        <v>65</v>
      </c>
      <c r="C705" t="s">
        <v>397</v>
      </c>
      <c r="D705">
        <v>599</v>
      </c>
      <c r="E705">
        <v>290.54300000000001</v>
      </c>
      <c r="F705">
        <v>426.488</v>
      </c>
      <c r="G705">
        <v>2385283</v>
      </c>
      <c r="H705" t="s">
        <v>1607</v>
      </c>
    </row>
    <row r="706" spans="1:8" x14ac:dyDescent="0.25">
      <c r="A706" t="s">
        <v>6015</v>
      </c>
      <c r="B706" t="s">
        <v>65</v>
      </c>
      <c r="C706" t="s">
        <v>397</v>
      </c>
      <c r="D706">
        <v>79</v>
      </c>
      <c r="E706">
        <v>38.319000000000003</v>
      </c>
      <c r="F706">
        <v>56.247999999999998</v>
      </c>
      <c r="G706">
        <v>2385283</v>
      </c>
      <c r="H706" t="s">
        <v>1607</v>
      </c>
    </row>
    <row r="707" spans="1:8" x14ac:dyDescent="0.25">
      <c r="A707" t="s">
        <v>6015</v>
      </c>
      <c r="B707" t="s">
        <v>65</v>
      </c>
      <c r="C707" t="s">
        <v>397</v>
      </c>
      <c r="D707">
        <v>7098</v>
      </c>
      <c r="E707">
        <v>1866.828</v>
      </c>
      <c r="F707">
        <v>1285.684</v>
      </c>
      <c r="G707">
        <v>2382571</v>
      </c>
      <c r="H707" t="s">
        <v>6016</v>
      </c>
    </row>
    <row r="708" spans="1:8" x14ac:dyDescent="0.25">
      <c r="A708" t="s">
        <v>6015</v>
      </c>
      <c r="B708" t="s">
        <v>65</v>
      </c>
      <c r="C708" t="s">
        <v>397</v>
      </c>
      <c r="D708">
        <v>1799</v>
      </c>
      <c r="E708">
        <v>473.15100000000001</v>
      </c>
      <c r="F708">
        <v>325.85899999999998</v>
      </c>
      <c r="G708">
        <v>2382571</v>
      </c>
      <c r="H708" t="s">
        <v>6016</v>
      </c>
    </row>
    <row r="709" spans="1:8" x14ac:dyDescent="0.25">
      <c r="A709" t="s">
        <v>6015</v>
      </c>
      <c r="B709" t="s">
        <v>65</v>
      </c>
      <c r="C709" t="s">
        <v>397</v>
      </c>
      <c r="D709">
        <v>148</v>
      </c>
      <c r="E709">
        <v>38.924999999999997</v>
      </c>
      <c r="F709">
        <v>26.808</v>
      </c>
      <c r="G709">
        <v>2382571</v>
      </c>
      <c r="H709" t="s">
        <v>6016</v>
      </c>
    </row>
    <row r="710" spans="1:8" x14ac:dyDescent="0.25">
      <c r="A710" t="s">
        <v>6015</v>
      </c>
      <c r="B710" t="s">
        <v>65</v>
      </c>
      <c r="C710" t="s">
        <v>397</v>
      </c>
      <c r="D710">
        <v>100</v>
      </c>
      <c r="E710">
        <v>26.300999999999998</v>
      </c>
      <c r="F710">
        <v>18.113</v>
      </c>
      <c r="G710">
        <v>2382571</v>
      </c>
      <c r="H710" t="s">
        <v>6016</v>
      </c>
    </row>
    <row r="711" spans="1:8" x14ac:dyDescent="0.25">
      <c r="A711" t="s">
        <v>6015</v>
      </c>
      <c r="B711" t="s">
        <v>65</v>
      </c>
      <c r="C711" t="s">
        <v>397</v>
      </c>
      <c r="D711">
        <v>5</v>
      </c>
      <c r="E711">
        <v>1.3149999999999999</v>
      </c>
      <c r="F711">
        <v>0.90600000000000003</v>
      </c>
      <c r="G711">
        <v>2382571</v>
      </c>
      <c r="H711" t="s">
        <v>6016</v>
      </c>
    </row>
    <row r="712" spans="1:8" x14ac:dyDescent="0.25">
      <c r="A712" t="s">
        <v>6015</v>
      </c>
      <c r="B712" t="s">
        <v>65</v>
      </c>
      <c r="C712" t="s">
        <v>397</v>
      </c>
      <c r="D712">
        <v>5000</v>
      </c>
      <c r="E712">
        <v>1250.021</v>
      </c>
      <c r="F712">
        <v>831.27800000000002</v>
      </c>
      <c r="G712">
        <v>3781686</v>
      </c>
      <c r="H712" t="s">
        <v>6017</v>
      </c>
    </row>
    <row r="713" spans="1:8" x14ac:dyDescent="0.25">
      <c r="A713" t="s">
        <v>6018</v>
      </c>
      <c r="B713" t="s">
        <v>21</v>
      </c>
      <c r="C713" t="s">
        <v>397</v>
      </c>
      <c r="D713">
        <v>3867</v>
      </c>
      <c r="E713">
        <v>2118.9670000000001</v>
      </c>
      <c r="F713">
        <v>1782.6869999999999</v>
      </c>
      <c r="G713">
        <v>3676836</v>
      </c>
      <c r="H713" t="s">
        <v>1367</v>
      </c>
    </row>
    <row r="714" spans="1:8" x14ac:dyDescent="0.25">
      <c r="A714" t="s">
        <v>6018</v>
      </c>
      <c r="B714" t="s">
        <v>21</v>
      </c>
      <c r="C714" t="s">
        <v>397</v>
      </c>
      <c r="D714">
        <v>2133</v>
      </c>
      <c r="E714">
        <v>1168.8019999999999</v>
      </c>
      <c r="F714">
        <v>983.31299999999999</v>
      </c>
      <c r="G714">
        <v>3676836</v>
      </c>
      <c r="H714" t="s">
        <v>1367</v>
      </c>
    </row>
    <row r="715" spans="1:8" x14ac:dyDescent="0.25">
      <c r="A715" t="s">
        <v>6018</v>
      </c>
      <c r="B715" t="s">
        <v>21</v>
      </c>
      <c r="C715" t="s">
        <v>397</v>
      </c>
      <c r="D715">
        <v>2757</v>
      </c>
      <c r="E715">
        <v>2093.7840000000001</v>
      </c>
      <c r="F715">
        <v>2089.806</v>
      </c>
      <c r="G715">
        <v>2244444</v>
      </c>
      <c r="H715" t="s">
        <v>1524</v>
      </c>
    </row>
    <row r="716" spans="1:8" x14ac:dyDescent="0.25">
      <c r="A716" t="s">
        <v>6018</v>
      </c>
      <c r="B716" t="s">
        <v>21</v>
      </c>
      <c r="C716" t="s">
        <v>397</v>
      </c>
      <c r="D716">
        <v>1701</v>
      </c>
      <c r="E716">
        <v>1291.8119999999999</v>
      </c>
      <c r="F716">
        <v>1289.3579999999999</v>
      </c>
      <c r="G716">
        <v>2244444</v>
      </c>
      <c r="H716" t="s">
        <v>1524</v>
      </c>
    </row>
    <row r="717" spans="1:8" x14ac:dyDescent="0.25">
      <c r="A717" t="s">
        <v>6018</v>
      </c>
      <c r="B717" t="s">
        <v>21</v>
      </c>
      <c r="C717" t="s">
        <v>397</v>
      </c>
      <c r="D717">
        <v>1401</v>
      </c>
      <c r="E717">
        <v>1063.98</v>
      </c>
      <c r="F717">
        <v>1061.9580000000001</v>
      </c>
      <c r="G717">
        <v>2244444</v>
      </c>
      <c r="H717" t="s">
        <v>1524</v>
      </c>
    </row>
    <row r="718" spans="1:8" x14ac:dyDescent="0.25">
      <c r="A718" t="s">
        <v>6018</v>
      </c>
      <c r="B718" t="s">
        <v>21</v>
      </c>
      <c r="C718" t="s">
        <v>397</v>
      </c>
      <c r="D718">
        <v>1125</v>
      </c>
      <c r="E718">
        <v>854.37300000000005</v>
      </c>
      <c r="F718">
        <v>852.75</v>
      </c>
      <c r="G718">
        <v>2244444</v>
      </c>
      <c r="H718" t="s">
        <v>1524</v>
      </c>
    </row>
    <row r="719" spans="1:8" x14ac:dyDescent="0.25">
      <c r="A719" t="s">
        <v>6018</v>
      </c>
      <c r="B719" t="s">
        <v>21</v>
      </c>
      <c r="C719" t="s">
        <v>397</v>
      </c>
      <c r="D719">
        <v>1016</v>
      </c>
      <c r="E719">
        <v>771.59400000000005</v>
      </c>
      <c r="F719">
        <v>770.12800000000004</v>
      </c>
      <c r="G719">
        <v>2244444</v>
      </c>
      <c r="H719" t="s">
        <v>1524</v>
      </c>
    </row>
    <row r="720" spans="1:8" x14ac:dyDescent="0.25">
      <c r="A720" t="s">
        <v>6018</v>
      </c>
      <c r="B720" t="s">
        <v>21</v>
      </c>
      <c r="C720" t="s">
        <v>397</v>
      </c>
      <c r="D720">
        <v>667</v>
      </c>
      <c r="E720">
        <v>703.024</v>
      </c>
      <c r="F720">
        <v>1058.2619999999999</v>
      </c>
      <c r="G720">
        <v>3605736</v>
      </c>
      <c r="H720" t="s">
        <v>1698</v>
      </c>
    </row>
    <row r="721" spans="1:8" x14ac:dyDescent="0.25">
      <c r="A721" t="s">
        <v>6018</v>
      </c>
      <c r="B721" t="s">
        <v>21</v>
      </c>
      <c r="C721" t="s">
        <v>397</v>
      </c>
      <c r="D721">
        <v>143</v>
      </c>
      <c r="E721">
        <v>150.72300000000001</v>
      </c>
      <c r="F721">
        <v>226.88399999999999</v>
      </c>
      <c r="G721">
        <v>3605736</v>
      </c>
      <c r="H721" t="s">
        <v>1698</v>
      </c>
    </row>
    <row r="722" spans="1:8" x14ac:dyDescent="0.25">
      <c r="A722" t="s">
        <v>6018</v>
      </c>
      <c r="B722" t="s">
        <v>21</v>
      </c>
      <c r="C722" t="s">
        <v>397</v>
      </c>
      <c r="D722">
        <v>1489</v>
      </c>
      <c r="E722">
        <v>1569.4</v>
      </c>
      <c r="F722">
        <v>2688.538</v>
      </c>
      <c r="G722">
        <v>3605737</v>
      </c>
      <c r="H722" t="s">
        <v>1699</v>
      </c>
    </row>
    <row r="723" spans="1:8" x14ac:dyDescent="0.25">
      <c r="A723" t="s">
        <v>6018</v>
      </c>
      <c r="B723" t="s">
        <v>21</v>
      </c>
      <c r="C723" t="s">
        <v>397</v>
      </c>
      <c r="D723">
        <v>1479</v>
      </c>
      <c r="E723">
        <v>1558.86</v>
      </c>
      <c r="F723">
        <v>2670.482</v>
      </c>
      <c r="G723">
        <v>3605737</v>
      </c>
      <c r="H723" t="s">
        <v>1699</v>
      </c>
    </row>
    <row r="724" spans="1:8" x14ac:dyDescent="0.25">
      <c r="A724" t="s">
        <v>6018</v>
      </c>
      <c r="B724" t="s">
        <v>21</v>
      </c>
      <c r="C724" t="s">
        <v>397</v>
      </c>
      <c r="D724">
        <v>1032</v>
      </c>
      <c r="E724">
        <v>1087.7239999999999</v>
      </c>
      <c r="F724">
        <v>1863.3789999999999</v>
      </c>
      <c r="G724">
        <v>3605737</v>
      </c>
      <c r="H724" t="s">
        <v>1699</v>
      </c>
    </row>
    <row r="725" spans="1:8" x14ac:dyDescent="0.25">
      <c r="A725" t="s">
        <v>6018</v>
      </c>
      <c r="B725" t="s">
        <v>21</v>
      </c>
      <c r="C725" t="s">
        <v>397</v>
      </c>
      <c r="D725">
        <v>1235</v>
      </c>
      <c r="E725">
        <v>910.24</v>
      </c>
      <c r="F725">
        <v>1574.625</v>
      </c>
      <c r="G725">
        <v>1932730</v>
      </c>
      <c r="H725" t="s">
        <v>1738</v>
      </c>
    </row>
    <row r="726" spans="1:8" x14ac:dyDescent="0.25">
      <c r="A726" t="s">
        <v>6018</v>
      </c>
      <c r="B726" t="s">
        <v>21</v>
      </c>
      <c r="C726" t="s">
        <v>397</v>
      </c>
      <c r="D726">
        <v>265</v>
      </c>
      <c r="E726">
        <v>195.315</v>
      </c>
      <c r="F726">
        <v>337.875</v>
      </c>
      <c r="G726">
        <v>1932730</v>
      </c>
      <c r="H726" t="s">
        <v>1738</v>
      </c>
    </row>
    <row r="727" spans="1:8" x14ac:dyDescent="0.25">
      <c r="A727" t="s">
        <v>6018</v>
      </c>
      <c r="B727" t="s">
        <v>21</v>
      </c>
      <c r="C727" t="s">
        <v>397</v>
      </c>
      <c r="D727">
        <v>658</v>
      </c>
      <c r="E727">
        <v>359.44099999999997</v>
      </c>
      <c r="F727">
        <v>517.846</v>
      </c>
      <c r="G727">
        <v>1940817</v>
      </c>
      <c r="H727" t="s">
        <v>1679</v>
      </c>
    </row>
    <row r="728" spans="1:8" x14ac:dyDescent="0.25">
      <c r="A728" t="s">
        <v>6018</v>
      </c>
      <c r="B728" t="s">
        <v>21</v>
      </c>
      <c r="C728" t="s">
        <v>397</v>
      </c>
      <c r="D728">
        <v>1299</v>
      </c>
      <c r="E728">
        <v>709.59500000000003</v>
      </c>
      <c r="F728">
        <v>1022.313</v>
      </c>
      <c r="G728">
        <v>1940817</v>
      </c>
      <c r="H728" t="s">
        <v>1679</v>
      </c>
    </row>
    <row r="729" spans="1:8" x14ac:dyDescent="0.25">
      <c r="A729" t="s">
        <v>6018</v>
      </c>
      <c r="B729" t="s">
        <v>21</v>
      </c>
      <c r="C729" t="s">
        <v>397</v>
      </c>
      <c r="D729">
        <v>1229</v>
      </c>
      <c r="E729">
        <v>671.35599999999999</v>
      </c>
      <c r="F729">
        <v>967.22299999999996</v>
      </c>
      <c r="G729">
        <v>1940817</v>
      </c>
      <c r="H729" t="s">
        <v>1679</v>
      </c>
    </row>
    <row r="730" spans="1:8" x14ac:dyDescent="0.25">
      <c r="A730" t="s">
        <v>6018</v>
      </c>
      <c r="B730" t="s">
        <v>21</v>
      </c>
      <c r="C730" t="s">
        <v>397</v>
      </c>
      <c r="D730">
        <v>946</v>
      </c>
      <c r="E730">
        <v>516.76400000000001</v>
      </c>
      <c r="F730">
        <v>744.50199999999995</v>
      </c>
      <c r="G730">
        <v>1940817</v>
      </c>
      <c r="H730" t="s">
        <v>1679</v>
      </c>
    </row>
    <row r="731" spans="1:8" x14ac:dyDescent="0.25">
      <c r="A731" t="s">
        <v>6018</v>
      </c>
      <c r="B731" t="s">
        <v>21</v>
      </c>
      <c r="C731" t="s">
        <v>397</v>
      </c>
      <c r="D731">
        <v>850</v>
      </c>
      <c r="E731">
        <v>464.32299999999998</v>
      </c>
      <c r="F731">
        <v>668.95</v>
      </c>
      <c r="G731">
        <v>1940817</v>
      </c>
      <c r="H731" t="s">
        <v>1679</v>
      </c>
    </row>
    <row r="732" spans="1:8" x14ac:dyDescent="0.25">
      <c r="A732" t="s">
        <v>6018</v>
      </c>
      <c r="B732" t="s">
        <v>21</v>
      </c>
      <c r="C732" t="s">
        <v>397</v>
      </c>
      <c r="D732">
        <v>459</v>
      </c>
      <c r="E732">
        <v>250.73400000000001</v>
      </c>
      <c r="F732">
        <v>361.233</v>
      </c>
      <c r="G732">
        <v>1940817</v>
      </c>
      <c r="H732" t="s">
        <v>1679</v>
      </c>
    </row>
    <row r="733" spans="1:8" x14ac:dyDescent="0.25">
      <c r="A733" t="s">
        <v>6018</v>
      </c>
      <c r="B733" t="s">
        <v>21</v>
      </c>
      <c r="C733" t="s">
        <v>397</v>
      </c>
      <c r="D733">
        <v>59</v>
      </c>
      <c r="E733">
        <v>32.228999999999999</v>
      </c>
      <c r="F733">
        <v>46.433</v>
      </c>
      <c r="G733">
        <v>1940817</v>
      </c>
      <c r="H733" t="s">
        <v>1679</v>
      </c>
    </row>
    <row r="734" spans="1:8" x14ac:dyDescent="0.25">
      <c r="A734" t="s">
        <v>6018</v>
      </c>
      <c r="B734" t="s">
        <v>21</v>
      </c>
      <c r="C734" t="s">
        <v>397</v>
      </c>
      <c r="D734">
        <v>690</v>
      </c>
      <c r="E734">
        <v>433.86500000000001</v>
      </c>
      <c r="F734">
        <v>908.73</v>
      </c>
      <c r="G734">
        <v>1940871</v>
      </c>
      <c r="H734" t="s">
        <v>1721</v>
      </c>
    </row>
    <row r="735" spans="1:8" x14ac:dyDescent="0.25">
      <c r="A735" t="s">
        <v>6018</v>
      </c>
      <c r="B735" t="s">
        <v>21</v>
      </c>
      <c r="C735" t="s">
        <v>397</v>
      </c>
      <c r="D735">
        <v>1450</v>
      </c>
      <c r="E735">
        <v>911.745</v>
      </c>
      <c r="F735">
        <v>1909.65</v>
      </c>
      <c r="G735">
        <v>1940871</v>
      </c>
      <c r="H735" t="s">
        <v>1721</v>
      </c>
    </row>
    <row r="736" spans="1:8" x14ac:dyDescent="0.25">
      <c r="A736" t="s">
        <v>585</v>
      </c>
      <c r="B736" t="s">
        <v>48</v>
      </c>
      <c r="C736" t="s">
        <v>397</v>
      </c>
      <c r="D736">
        <v>1469</v>
      </c>
      <c r="E736">
        <v>1263.684</v>
      </c>
      <c r="F736">
        <v>2137.395</v>
      </c>
      <c r="G736">
        <v>1940830</v>
      </c>
      <c r="H736" t="s">
        <v>587</v>
      </c>
    </row>
    <row r="737" spans="1:8" x14ac:dyDescent="0.25">
      <c r="A737" t="s">
        <v>585</v>
      </c>
      <c r="B737" t="s">
        <v>48</v>
      </c>
      <c r="C737" t="s">
        <v>397</v>
      </c>
      <c r="D737">
        <v>1341</v>
      </c>
      <c r="E737">
        <v>1153.5740000000001</v>
      </c>
      <c r="F737">
        <v>1951.155</v>
      </c>
      <c r="G737">
        <v>1940830</v>
      </c>
      <c r="H737" t="s">
        <v>587</v>
      </c>
    </row>
    <row r="738" spans="1:8" x14ac:dyDescent="0.25">
      <c r="A738" t="s">
        <v>585</v>
      </c>
      <c r="B738" t="s">
        <v>48</v>
      </c>
      <c r="C738" t="s">
        <v>397</v>
      </c>
      <c r="D738">
        <v>190</v>
      </c>
      <c r="E738">
        <v>163.44399999999999</v>
      </c>
      <c r="F738">
        <v>276.45</v>
      </c>
      <c r="G738">
        <v>1940830</v>
      </c>
      <c r="H738" t="s">
        <v>587</v>
      </c>
    </row>
    <row r="739" spans="1:8" x14ac:dyDescent="0.25">
      <c r="A739" t="s">
        <v>585</v>
      </c>
      <c r="B739" t="s">
        <v>48</v>
      </c>
      <c r="C739" t="s">
        <v>397</v>
      </c>
      <c r="D739">
        <v>1324</v>
      </c>
      <c r="E739">
        <v>1151.7439999999999</v>
      </c>
      <c r="F739">
        <v>2412.328</v>
      </c>
      <c r="G739">
        <v>1940837</v>
      </c>
      <c r="H739" t="s">
        <v>593</v>
      </c>
    </row>
    <row r="740" spans="1:8" x14ac:dyDescent="0.25">
      <c r="A740" t="s">
        <v>585</v>
      </c>
      <c r="B740" t="s">
        <v>48</v>
      </c>
      <c r="C740" t="s">
        <v>397</v>
      </c>
      <c r="D740">
        <v>1319</v>
      </c>
      <c r="E740">
        <v>1147.395</v>
      </c>
      <c r="F740">
        <v>2403.2179999999998</v>
      </c>
      <c r="G740">
        <v>1940837</v>
      </c>
      <c r="H740" t="s">
        <v>593</v>
      </c>
    </row>
    <row r="741" spans="1:8" x14ac:dyDescent="0.25">
      <c r="A741" t="s">
        <v>585</v>
      </c>
      <c r="B741" t="s">
        <v>48</v>
      </c>
      <c r="C741" t="s">
        <v>397</v>
      </c>
      <c r="D741">
        <v>357</v>
      </c>
      <c r="E741">
        <v>310.553</v>
      </c>
      <c r="F741">
        <v>650.45399999999995</v>
      </c>
      <c r="G741">
        <v>1940837</v>
      </c>
      <c r="H741" t="s">
        <v>593</v>
      </c>
    </row>
    <row r="742" spans="1:8" x14ac:dyDescent="0.25">
      <c r="A742" t="s">
        <v>597</v>
      </c>
      <c r="B742" t="s">
        <v>78</v>
      </c>
      <c r="C742" t="s">
        <v>397</v>
      </c>
      <c r="D742">
        <v>6800</v>
      </c>
      <c r="E742">
        <v>2730.6889999999999</v>
      </c>
      <c r="F742">
        <v>2223.6</v>
      </c>
      <c r="G742">
        <v>1940399</v>
      </c>
      <c r="H742" t="s">
        <v>598</v>
      </c>
    </row>
    <row r="743" spans="1:8" x14ac:dyDescent="0.25">
      <c r="A743" t="s">
        <v>597</v>
      </c>
      <c r="B743" t="s">
        <v>78</v>
      </c>
      <c r="C743" t="s">
        <v>397</v>
      </c>
      <c r="D743">
        <v>1892</v>
      </c>
      <c r="E743">
        <v>1212.701</v>
      </c>
      <c r="F743">
        <v>987.62400000000002</v>
      </c>
      <c r="G743">
        <v>3556680</v>
      </c>
      <c r="H743" t="s">
        <v>600</v>
      </c>
    </row>
    <row r="744" spans="1:8" x14ac:dyDescent="0.25">
      <c r="A744" t="s">
        <v>597</v>
      </c>
      <c r="B744" t="s">
        <v>78</v>
      </c>
      <c r="C744" t="s">
        <v>397</v>
      </c>
      <c r="D744">
        <v>1122</v>
      </c>
      <c r="E744">
        <v>719.16</v>
      </c>
      <c r="F744">
        <v>585.68399999999997</v>
      </c>
      <c r="G744">
        <v>3556680</v>
      </c>
      <c r="H744" t="s">
        <v>600</v>
      </c>
    </row>
    <row r="745" spans="1:8" x14ac:dyDescent="0.25">
      <c r="A745" t="s">
        <v>597</v>
      </c>
      <c r="B745" t="s">
        <v>78</v>
      </c>
      <c r="C745" t="s">
        <v>397</v>
      </c>
      <c r="D745">
        <v>11</v>
      </c>
      <c r="E745">
        <v>7.0510000000000002</v>
      </c>
      <c r="F745">
        <v>5.742</v>
      </c>
      <c r="G745">
        <v>3556680</v>
      </c>
      <c r="H745" t="s">
        <v>600</v>
      </c>
    </row>
    <row r="746" spans="1:8" x14ac:dyDescent="0.25">
      <c r="A746" t="s">
        <v>396</v>
      </c>
      <c r="B746" t="s">
        <v>61</v>
      </c>
      <c r="C746" t="s">
        <v>397</v>
      </c>
      <c r="D746">
        <v>1699</v>
      </c>
      <c r="E746">
        <v>1509.0060000000001</v>
      </c>
      <c r="F746">
        <v>655.81399999999996</v>
      </c>
      <c r="G746">
        <v>1940043</v>
      </c>
      <c r="H746" t="s">
        <v>486</v>
      </c>
    </row>
    <row r="747" spans="1:8" x14ac:dyDescent="0.25">
      <c r="A747" t="s">
        <v>396</v>
      </c>
      <c r="B747" t="s">
        <v>61</v>
      </c>
      <c r="C747" t="s">
        <v>397</v>
      </c>
      <c r="D747">
        <v>751</v>
      </c>
      <c r="E747">
        <v>667.01800000000003</v>
      </c>
      <c r="F747">
        <v>289.88600000000002</v>
      </c>
      <c r="G747">
        <v>1940043</v>
      </c>
      <c r="H747" t="s">
        <v>486</v>
      </c>
    </row>
    <row r="748" spans="1:8" x14ac:dyDescent="0.25">
      <c r="A748" t="s">
        <v>396</v>
      </c>
      <c r="B748" t="s">
        <v>61</v>
      </c>
      <c r="C748" t="s">
        <v>397</v>
      </c>
      <c r="D748">
        <v>2698</v>
      </c>
      <c r="E748">
        <v>2200.223</v>
      </c>
      <c r="F748">
        <v>1850.828</v>
      </c>
      <c r="G748">
        <v>1940287</v>
      </c>
      <c r="H748" t="s">
        <v>605</v>
      </c>
    </row>
    <row r="749" spans="1:8" x14ac:dyDescent="0.25">
      <c r="A749" t="s">
        <v>396</v>
      </c>
      <c r="B749" t="s">
        <v>61</v>
      </c>
      <c r="C749" t="s">
        <v>397</v>
      </c>
      <c r="D749">
        <v>1099</v>
      </c>
      <c r="E749">
        <v>896.23599999999999</v>
      </c>
      <c r="F749">
        <v>753.91399999999999</v>
      </c>
      <c r="G749">
        <v>1940287</v>
      </c>
      <c r="H749" t="s">
        <v>605</v>
      </c>
    </row>
    <row r="750" spans="1:8" x14ac:dyDescent="0.25">
      <c r="A750" t="s">
        <v>396</v>
      </c>
      <c r="B750" t="s">
        <v>61</v>
      </c>
      <c r="C750" t="s">
        <v>397</v>
      </c>
      <c r="D750">
        <v>988</v>
      </c>
      <c r="E750">
        <v>805.71600000000001</v>
      </c>
      <c r="F750">
        <v>677.76800000000003</v>
      </c>
      <c r="G750">
        <v>1940287</v>
      </c>
      <c r="H750" t="s">
        <v>605</v>
      </c>
    </row>
    <row r="751" spans="1:8" x14ac:dyDescent="0.25">
      <c r="A751" t="s">
        <v>396</v>
      </c>
      <c r="B751" t="s">
        <v>61</v>
      </c>
      <c r="C751" t="s">
        <v>397</v>
      </c>
      <c r="D751">
        <v>215</v>
      </c>
      <c r="E751">
        <v>175.333</v>
      </c>
      <c r="F751">
        <v>147.49</v>
      </c>
      <c r="G751">
        <v>1940287</v>
      </c>
      <c r="H751" t="s">
        <v>605</v>
      </c>
    </row>
    <row r="752" spans="1:8" x14ac:dyDescent="0.25">
      <c r="A752" t="s">
        <v>396</v>
      </c>
      <c r="B752" t="s">
        <v>61</v>
      </c>
      <c r="C752" t="s">
        <v>397</v>
      </c>
      <c r="D752">
        <v>1050</v>
      </c>
      <c r="E752">
        <v>248.553</v>
      </c>
      <c r="F752">
        <v>236.25</v>
      </c>
      <c r="G752">
        <v>1940306</v>
      </c>
      <c r="H752" t="s">
        <v>454</v>
      </c>
    </row>
    <row r="753" spans="1:8" x14ac:dyDescent="0.25">
      <c r="A753" t="s">
        <v>396</v>
      </c>
      <c r="B753" t="s">
        <v>61</v>
      </c>
      <c r="C753" t="s">
        <v>397</v>
      </c>
      <c r="D753">
        <v>2150</v>
      </c>
      <c r="E753">
        <v>633.41800000000001</v>
      </c>
      <c r="F753">
        <v>602</v>
      </c>
      <c r="G753">
        <v>1940312</v>
      </c>
      <c r="H753" t="s">
        <v>410</v>
      </c>
    </row>
    <row r="754" spans="1:8" x14ac:dyDescent="0.25">
      <c r="A754" t="s">
        <v>396</v>
      </c>
      <c r="B754" t="s">
        <v>61</v>
      </c>
      <c r="C754" t="s">
        <v>397</v>
      </c>
      <c r="D754">
        <v>1750</v>
      </c>
      <c r="E754">
        <v>2288.9850000000001</v>
      </c>
      <c r="F754">
        <v>1425.1220000000001</v>
      </c>
      <c r="G754">
        <v>3747393</v>
      </c>
      <c r="H754" t="s">
        <v>608</v>
      </c>
    </row>
    <row r="755" spans="1:8" x14ac:dyDescent="0.25">
      <c r="A755" t="s">
        <v>396</v>
      </c>
      <c r="B755" t="s">
        <v>61</v>
      </c>
      <c r="C755" t="s">
        <v>397</v>
      </c>
      <c r="D755">
        <v>1349</v>
      </c>
      <c r="E755">
        <v>1764.481</v>
      </c>
      <c r="F755">
        <v>1098.566</v>
      </c>
      <c r="G755">
        <v>3747393</v>
      </c>
      <c r="H755" t="s">
        <v>608</v>
      </c>
    </row>
    <row r="756" spans="1:8" x14ac:dyDescent="0.25">
      <c r="A756" t="s">
        <v>396</v>
      </c>
      <c r="B756" t="s">
        <v>61</v>
      </c>
      <c r="C756" t="s">
        <v>397</v>
      </c>
      <c r="D756">
        <v>275</v>
      </c>
      <c r="E756">
        <v>359.69799999999998</v>
      </c>
      <c r="F756">
        <v>223.94800000000001</v>
      </c>
      <c r="G756">
        <v>3747393</v>
      </c>
      <c r="H756" t="s">
        <v>608</v>
      </c>
    </row>
    <row r="757" spans="1:8" x14ac:dyDescent="0.25">
      <c r="A757" t="s">
        <v>396</v>
      </c>
      <c r="B757" t="s">
        <v>61</v>
      </c>
      <c r="C757" t="s">
        <v>397</v>
      </c>
      <c r="D757">
        <v>1</v>
      </c>
      <c r="E757">
        <v>1.3080000000000001</v>
      </c>
      <c r="F757">
        <v>0.81399999999999995</v>
      </c>
      <c r="G757">
        <v>3747393</v>
      </c>
      <c r="H757" t="s">
        <v>608</v>
      </c>
    </row>
    <row r="758" spans="1:8" x14ac:dyDescent="0.25">
      <c r="A758" t="s">
        <v>422</v>
      </c>
      <c r="B758" t="s">
        <v>30</v>
      </c>
      <c r="C758" t="s">
        <v>397</v>
      </c>
      <c r="D758">
        <v>1123</v>
      </c>
      <c r="E758">
        <v>1471.566</v>
      </c>
      <c r="F758">
        <v>1620.489</v>
      </c>
      <c r="G758">
        <v>1940801</v>
      </c>
      <c r="H758" t="s">
        <v>478</v>
      </c>
    </row>
    <row r="759" spans="1:8" x14ac:dyDescent="0.25">
      <c r="A759" t="s">
        <v>422</v>
      </c>
      <c r="B759" t="s">
        <v>30</v>
      </c>
      <c r="C759" t="s">
        <v>397</v>
      </c>
      <c r="D759">
        <v>188</v>
      </c>
      <c r="E759">
        <v>246.35300000000001</v>
      </c>
      <c r="F759">
        <v>271.28399999999999</v>
      </c>
      <c r="G759">
        <v>1940801</v>
      </c>
      <c r="H759" t="s">
        <v>478</v>
      </c>
    </row>
    <row r="760" spans="1:8" x14ac:dyDescent="0.25">
      <c r="A760" t="s">
        <v>422</v>
      </c>
      <c r="B760" t="s">
        <v>30</v>
      </c>
      <c r="C760" t="s">
        <v>397</v>
      </c>
      <c r="D760">
        <v>149</v>
      </c>
      <c r="E760">
        <v>195.24799999999999</v>
      </c>
      <c r="F760">
        <v>215.00700000000001</v>
      </c>
      <c r="G760">
        <v>1940801</v>
      </c>
      <c r="H760" t="s">
        <v>478</v>
      </c>
    </row>
    <row r="761" spans="1:8" x14ac:dyDescent="0.25">
      <c r="A761" t="s">
        <v>422</v>
      </c>
      <c r="B761" t="s">
        <v>30</v>
      </c>
      <c r="C761" t="s">
        <v>397</v>
      </c>
      <c r="D761">
        <v>40</v>
      </c>
      <c r="E761">
        <v>52.415999999999997</v>
      </c>
      <c r="F761">
        <v>57.72</v>
      </c>
      <c r="G761">
        <v>1940801</v>
      </c>
      <c r="H761" t="s">
        <v>478</v>
      </c>
    </row>
    <row r="762" spans="1:8" x14ac:dyDescent="0.25">
      <c r="A762" t="s">
        <v>422</v>
      </c>
      <c r="B762" t="s">
        <v>30</v>
      </c>
      <c r="C762" t="s">
        <v>397</v>
      </c>
      <c r="D762">
        <v>500</v>
      </c>
      <c r="E762">
        <v>623.41099999999994</v>
      </c>
      <c r="F762">
        <v>686.5</v>
      </c>
      <c r="G762">
        <v>3233554</v>
      </c>
      <c r="H762" t="s">
        <v>480</v>
      </c>
    </row>
    <row r="763" spans="1:8" x14ac:dyDescent="0.25">
      <c r="A763" t="s">
        <v>422</v>
      </c>
      <c r="B763" t="s">
        <v>30</v>
      </c>
      <c r="C763" t="s">
        <v>397</v>
      </c>
      <c r="D763">
        <v>1849</v>
      </c>
      <c r="E763">
        <v>2071.9810000000002</v>
      </c>
      <c r="F763">
        <v>2281.6660000000002</v>
      </c>
      <c r="G763">
        <v>3233555</v>
      </c>
      <c r="H763" t="s">
        <v>482</v>
      </c>
    </row>
    <row r="764" spans="1:8" x14ac:dyDescent="0.25">
      <c r="A764" t="s">
        <v>422</v>
      </c>
      <c r="B764" t="s">
        <v>30</v>
      </c>
      <c r="C764" t="s">
        <v>397</v>
      </c>
      <c r="D764">
        <v>151</v>
      </c>
      <c r="E764">
        <v>169.21</v>
      </c>
      <c r="F764">
        <v>186.334</v>
      </c>
      <c r="G764">
        <v>3233555</v>
      </c>
      <c r="H764" t="s">
        <v>482</v>
      </c>
    </row>
    <row r="765" spans="1:8" x14ac:dyDescent="0.25">
      <c r="A765" t="s">
        <v>422</v>
      </c>
      <c r="B765" t="s">
        <v>30</v>
      </c>
      <c r="C765" t="s">
        <v>397</v>
      </c>
      <c r="D765">
        <v>2000</v>
      </c>
      <c r="E765">
        <v>1720.981</v>
      </c>
      <c r="F765">
        <v>1880</v>
      </c>
      <c r="G765">
        <v>3572051</v>
      </c>
      <c r="H765" t="s">
        <v>484</v>
      </c>
    </row>
    <row r="766" spans="1:8" x14ac:dyDescent="0.25">
      <c r="A766" t="s">
        <v>422</v>
      </c>
      <c r="B766" t="s">
        <v>30</v>
      </c>
      <c r="C766" t="s">
        <v>397</v>
      </c>
      <c r="D766">
        <v>1000</v>
      </c>
      <c r="E766">
        <v>800.03599999999994</v>
      </c>
      <c r="F766">
        <v>881</v>
      </c>
      <c r="G766">
        <v>3233557</v>
      </c>
      <c r="H766" t="s">
        <v>610</v>
      </c>
    </row>
    <row r="767" spans="1:8" x14ac:dyDescent="0.25">
      <c r="A767" t="s">
        <v>422</v>
      </c>
      <c r="B767" t="s">
        <v>30</v>
      </c>
      <c r="C767" t="s">
        <v>397</v>
      </c>
      <c r="D767">
        <v>495</v>
      </c>
      <c r="E767">
        <v>616.76900000000001</v>
      </c>
      <c r="F767">
        <v>336.077</v>
      </c>
      <c r="G767">
        <v>3572038</v>
      </c>
      <c r="H767" t="s">
        <v>521</v>
      </c>
    </row>
    <row r="768" spans="1:8" x14ac:dyDescent="0.25">
      <c r="A768" t="s">
        <v>422</v>
      </c>
      <c r="B768" t="s">
        <v>30</v>
      </c>
      <c r="C768" t="s">
        <v>397</v>
      </c>
      <c r="D768">
        <v>5</v>
      </c>
      <c r="E768">
        <v>6.23</v>
      </c>
      <c r="F768">
        <v>3.395</v>
      </c>
      <c r="G768">
        <v>3572038</v>
      </c>
      <c r="H768" t="s">
        <v>521</v>
      </c>
    </row>
    <row r="769" spans="1:8" x14ac:dyDescent="0.25">
      <c r="A769" t="s">
        <v>422</v>
      </c>
      <c r="B769" t="s">
        <v>30</v>
      </c>
      <c r="C769" t="s">
        <v>397</v>
      </c>
      <c r="D769">
        <v>1098</v>
      </c>
      <c r="E769">
        <v>966.60500000000002</v>
      </c>
      <c r="F769">
        <v>534.726</v>
      </c>
      <c r="G769">
        <v>3230492</v>
      </c>
      <c r="H769" t="s">
        <v>614</v>
      </c>
    </row>
    <row r="770" spans="1:8" x14ac:dyDescent="0.25">
      <c r="A770" t="s">
        <v>422</v>
      </c>
      <c r="B770" t="s">
        <v>30</v>
      </c>
      <c r="C770" t="s">
        <v>397</v>
      </c>
      <c r="D770">
        <v>402</v>
      </c>
      <c r="E770">
        <v>353.89400000000001</v>
      </c>
      <c r="F770">
        <v>195.774</v>
      </c>
      <c r="G770">
        <v>3230492</v>
      </c>
      <c r="H770" t="s">
        <v>614</v>
      </c>
    </row>
    <row r="771" spans="1:8" x14ac:dyDescent="0.25">
      <c r="A771" t="s">
        <v>422</v>
      </c>
      <c r="B771" t="s">
        <v>30</v>
      </c>
      <c r="C771" t="s">
        <v>397</v>
      </c>
      <c r="D771">
        <v>373</v>
      </c>
      <c r="E771">
        <v>325.30599999999998</v>
      </c>
      <c r="F771">
        <v>181.65100000000001</v>
      </c>
      <c r="G771">
        <v>3605739</v>
      </c>
      <c r="H771" t="s">
        <v>620</v>
      </c>
    </row>
    <row r="772" spans="1:8" x14ac:dyDescent="0.25">
      <c r="A772" t="s">
        <v>422</v>
      </c>
      <c r="B772" t="s">
        <v>30</v>
      </c>
      <c r="C772" t="s">
        <v>397</v>
      </c>
      <c r="D772">
        <v>246</v>
      </c>
      <c r="E772">
        <v>214.54499999999999</v>
      </c>
      <c r="F772">
        <v>119.80200000000001</v>
      </c>
      <c r="G772">
        <v>3605739</v>
      </c>
      <c r="H772" t="s">
        <v>620</v>
      </c>
    </row>
    <row r="773" spans="1:8" x14ac:dyDescent="0.25">
      <c r="A773" t="s">
        <v>422</v>
      </c>
      <c r="B773" t="s">
        <v>30</v>
      </c>
      <c r="C773" t="s">
        <v>397</v>
      </c>
      <c r="D773">
        <v>193</v>
      </c>
      <c r="E773">
        <v>168.322</v>
      </c>
      <c r="F773">
        <v>93.991</v>
      </c>
      <c r="G773">
        <v>3605739</v>
      </c>
      <c r="H773" t="s">
        <v>620</v>
      </c>
    </row>
    <row r="774" spans="1:8" x14ac:dyDescent="0.25">
      <c r="A774" t="s">
        <v>422</v>
      </c>
      <c r="B774" t="s">
        <v>30</v>
      </c>
      <c r="C774" t="s">
        <v>397</v>
      </c>
      <c r="D774">
        <v>188</v>
      </c>
      <c r="E774">
        <v>163.96100000000001</v>
      </c>
      <c r="F774">
        <v>91.555999999999997</v>
      </c>
      <c r="G774">
        <v>3605739</v>
      </c>
      <c r="H774" t="s">
        <v>620</v>
      </c>
    </row>
    <row r="775" spans="1:8" x14ac:dyDescent="0.25">
      <c r="A775" t="s">
        <v>422</v>
      </c>
      <c r="B775" t="s">
        <v>30</v>
      </c>
      <c r="C775" t="s">
        <v>397</v>
      </c>
      <c r="D775">
        <v>1000</v>
      </c>
      <c r="E775">
        <v>840.56399999999996</v>
      </c>
      <c r="F775">
        <v>465</v>
      </c>
      <c r="G775">
        <v>3230485</v>
      </c>
      <c r="H775" t="s">
        <v>616</v>
      </c>
    </row>
    <row r="776" spans="1:8" x14ac:dyDescent="0.25">
      <c r="A776" t="s">
        <v>422</v>
      </c>
      <c r="B776" t="s">
        <v>30</v>
      </c>
      <c r="C776" t="s">
        <v>397</v>
      </c>
      <c r="D776">
        <v>561</v>
      </c>
      <c r="E776">
        <v>448.80200000000002</v>
      </c>
      <c r="F776">
        <v>244.602</v>
      </c>
      <c r="G776">
        <v>3931836</v>
      </c>
      <c r="H776" t="s">
        <v>612</v>
      </c>
    </row>
    <row r="777" spans="1:8" x14ac:dyDescent="0.25">
      <c r="A777" t="s">
        <v>422</v>
      </c>
      <c r="B777" t="s">
        <v>30</v>
      </c>
      <c r="C777" t="s">
        <v>397</v>
      </c>
      <c r="D777">
        <v>247</v>
      </c>
      <c r="E777">
        <v>197.601</v>
      </c>
      <c r="F777">
        <v>107.69499999999999</v>
      </c>
      <c r="G777">
        <v>3931836</v>
      </c>
      <c r="H777" t="s">
        <v>612</v>
      </c>
    </row>
    <row r="778" spans="1:8" x14ac:dyDescent="0.25">
      <c r="A778" t="s">
        <v>422</v>
      </c>
      <c r="B778" t="s">
        <v>30</v>
      </c>
      <c r="C778" t="s">
        <v>397</v>
      </c>
      <c r="D778">
        <v>192</v>
      </c>
      <c r="E778">
        <v>153.601</v>
      </c>
      <c r="F778">
        <v>83.713999999999999</v>
      </c>
      <c r="G778">
        <v>3931836</v>
      </c>
      <c r="H778" t="s">
        <v>612</v>
      </c>
    </row>
    <row r="779" spans="1:8" x14ac:dyDescent="0.25">
      <c r="A779" t="s">
        <v>422</v>
      </c>
      <c r="B779" t="s">
        <v>30</v>
      </c>
      <c r="C779" t="s">
        <v>397</v>
      </c>
      <c r="D779">
        <v>500</v>
      </c>
      <c r="E779">
        <v>503.50700000000001</v>
      </c>
      <c r="F779">
        <v>274.41699999999997</v>
      </c>
      <c r="G779">
        <v>4100796</v>
      </c>
      <c r="H779" t="s">
        <v>552</v>
      </c>
    </row>
    <row r="780" spans="1:8" x14ac:dyDescent="0.25">
      <c r="A780" t="s">
        <v>422</v>
      </c>
      <c r="B780" t="s">
        <v>30</v>
      </c>
      <c r="C780" t="s">
        <v>397</v>
      </c>
      <c r="D780">
        <v>1000</v>
      </c>
      <c r="E780">
        <v>539.99699999999996</v>
      </c>
      <c r="F780">
        <v>294.24400000000003</v>
      </c>
      <c r="G780">
        <v>3571870</v>
      </c>
      <c r="H780" t="s">
        <v>525</v>
      </c>
    </row>
    <row r="781" spans="1:8" x14ac:dyDescent="0.25">
      <c r="A781" t="s">
        <v>422</v>
      </c>
      <c r="B781" t="s">
        <v>30</v>
      </c>
      <c r="C781" t="s">
        <v>397</v>
      </c>
      <c r="D781">
        <v>1000</v>
      </c>
      <c r="E781">
        <v>469.99400000000003</v>
      </c>
      <c r="F781">
        <v>256.10000000000002</v>
      </c>
      <c r="G781">
        <v>3230488</v>
      </c>
      <c r="H781" t="s">
        <v>496</v>
      </c>
    </row>
    <row r="782" spans="1:8" x14ac:dyDescent="0.25">
      <c r="A782" t="s">
        <v>422</v>
      </c>
      <c r="B782" t="s">
        <v>30</v>
      </c>
      <c r="C782" t="s">
        <v>397</v>
      </c>
      <c r="D782">
        <v>2693</v>
      </c>
      <c r="E782">
        <v>1075.837</v>
      </c>
      <c r="F782">
        <v>595.15300000000002</v>
      </c>
      <c r="G782">
        <v>3230487</v>
      </c>
      <c r="H782" t="s">
        <v>498</v>
      </c>
    </row>
    <row r="783" spans="1:8" x14ac:dyDescent="0.25">
      <c r="A783" t="s">
        <v>422</v>
      </c>
      <c r="B783" t="s">
        <v>30</v>
      </c>
      <c r="C783" t="s">
        <v>397</v>
      </c>
      <c r="D783">
        <v>162</v>
      </c>
      <c r="E783">
        <v>64.718000000000004</v>
      </c>
      <c r="F783">
        <v>35.802</v>
      </c>
      <c r="G783">
        <v>3230487</v>
      </c>
      <c r="H783" t="s">
        <v>498</v>
      </c>
    </row>
    <row r="784" spans="1:8" x14ac:dyDescent="0.25">
      <c r="A784" t="s">
        <v>422</v>
      </c>
      <c r="B784" t="s">
        <v>30</v>
      </c>
      <c r="C784" t="s">
        <v>397</v>
      </c>
      <c r="D784">
        <v>140</v>
      </c>
      <c r="E784">
        <v>55.929000000000002</v>
      </c>
      <c r="F784">
        <v>30.94</v>
      </c>
      <c r="G784">
        <v>3230487</v>
      </c>
      <c r="H784" t="s">
        <v>498</v>
      </c>
    </row>
    <row r="785" spans="1:8" x14ac:dyDescent="0.25">
      <c r="A785" t="s">
        <v>422</v>
      </c>
      <c r="B785" t="s">
        <v>30</v>
      </c>
      <c r="C785" t="s">
        <v>397</v>
      </c>
      <c r="D785">
        <v>5</v>
      </c>
      <c r="E785">
        <v>1.9970000000000001</v>
      </c>
      <c r="F785">
        <v>1.105</v>
      </c>
      <c r="G785">
        <v>3230487</v>
      </c>
      <c r="H785" t="s">
        <v>498</v>
      </c>
    </row>
    <row r="786" spans="1:8" x14ac:dyDescent="0.25">
      <c r="A786" t="s">
        <v>422</v>
      </c>
      <c r="B786" t="s">
        <v>30</v>
      </c>
      <c r="C786" t="s">
        <v>397</v>
      </c>
      <c r="D786">
        <v>588</v>
      </c>
      <c r="E786">
        <v>209.393</v>
      </c>
      <c r="F786">
        <v>115.836</v>
      </c>
      <c r="G786">
        <v>3230490</v>
      </c>
      <c r="H786" t="s">
        <v>515</v>
      </c>
    </row>
    <row r="787" spans="1:8" x14ac:dyDescent="0.25">
      <c r="A787" t="s">
        <v>422</v>
      </c>
      <c r="B787" t="s">
        <v>30</v>
      </c>
      <c r="C787" t="s">
        <v>397</v>
      </c>
      <c r="D787">
        <v>412</v>
      </c>
      <c r="E787">
        <v>146.71700000000001</v>
      </c>
      <c r="F787">
        <v>81.164000000000001</v>
      </c>
      <c r="G787">
        <v>3230490</v>
      </c>
      <c r="H787" t="s">
        <v>515</v>
      </c>
    </row>
    <row r="788" spans="1:8" x14ac:dyDescent="0.25">
      <c r="A788" t="s">
        <v>422</v>
      </c>
      <c r="B788" t="s">
        <v>30</v>
      </c>
      <c r="C788" t="s">
        <v>397</v>
      </c>
      <c r="D788">
        <v>500</v>
      </c>
      <c r="E788">
        <v>649.00599999999997</v>
      </c>
      <c r="F788">
        <v>563.15</v>
      </c>
      <c r="G788">
        <v>3935311</v>
      </c>
      <c r="H788" t="s">
        <v>622</v>
      </c>
    </row>
    <row r="789" spans="1:8" x14ac:dyDescent="0.25">
      <c r="A789" t="s">
        <v>422</v>
      </c>
      <c r="B789" t="s">
        <v>30</v>
      </c>
      <c r="C789" t="s">
        <v>397</v>
      </c>
      <c r="D789">
        <v>1000</v>
      </c>
      <c r="E789">
        <v>787.17499999999995</v>
      </c>
      <c r="F789">
        <v>712</v>
      </c>
      <c r="G789">
        <v>3230482</v>
      </c>
      <c r="H789" t="s">
        <v>624</v>
      </c>
    </row>
    <row r="790" spans="1:8" x14ac:dyDescent="0.25">
      <c r="A790" t="s">
        <v>422</v>
      </c>
      <c r="B790" t="s">
        <v>30</v>
      </c>
      <c r="C790" t="s">
        <v>397</v>
      </c>
      <c r="D790">
        <v>500</v>
      </c>
      <c r="E790">
        <v>615.00400000000002</v>
      </c>
      <c r="F790">
        <v>324.87200000000001</v>
      </c>
      <c r="G790">
        <v>3929692</v>
      </c>
      <c r="H790" t="s">
        <v>533</v>
      </c>
    </row>
    <row r="791" spans="1:8" x14ac:dyDescent="0.25">
      <c r="A791" t="s">
        <v>422</v>
      </c>
      <c r="B791" t="s">
        <v>30</v>
      </c>
      <c r="C791" t="s">
        <v>397</v>
      </c>
      <c r="D791">
        <v>1000</v>
      </c>
      <c r="E791">
        <v>682.00699999999995</v>
      </c>
      <c r="F791">
        <v>360.267</v>
      </c>
      <c r="G791">
        <v>3929540</v>
      </c>
      <c r="H791" t="s">
        <v>627</v>
      </c>
    </row>
    <row r="792" spans="1:8" x14ac:dyDescent="0.25">
      <c r="A792" t="s">
        <v>422</v>
      </c>
      <c r="B792" t="s">
        <v>30</v>
      </c>
      <c r="C792" t="s">
        <v>397</v>
      </c>
      <c r="D792">
        <v>2000</v>
      </c>
      <c r="E792">
        <v>399.983</v>
      </c>
      <c r="F792">
        <v>211.28899999999999</v>
      </c>
      <c r="G792">
        <v>3929691</v>
      </c>
      <c r="H792" t="s">
        <v>535</v>
      </c>
    </row>
    <row r="793" spans="1:8" x14ac:dyDescent="0.25">
      <c r="A793" t="s">
        <v>422</v>
      </c>
      <c r="B793" t="s">
        <v>30</v>
      </c>
      <c r="C793" t="s">
        <v>397</v>
      </c>
      <c r="D793">
        <v>1000</v>
      </c>
      <c r="E793">
        <v>220.61500000000001</v>
      </c>
      <c r="F793">
        <v>241</v>
      </c>
      <c r="G793">
        <v>3230495</v>
      </c>
      <c r="H793" t="s">
        <v>629</v>
      </c>
    </row>
    <row r="794" spans="1:8" x14ac:dyDescent="0.25">
      <c r="A794" t="s">
        <v>422</v>
      </c>
      <c r="B794" t="s">
        <v>30</v>
      </c>
      <c r="C794" t="s">
        <v>397</v>
      </c>
      <c r="D794">
        <v>348</v>
      </c>
      <c r="E794">
        <v>114.836</v>
      </c>
      <c r="F794">
        <v>60.68</v>
      </c>
      <c r="G794">
        <v>3935313</v>
      </c>
      <c r="H794" t="s">
        <v>560</v>
      </c>
    </row>
    <row r="795" spans="1:8" x14ac:dyDescent="0.25">
      <c r="A795" t="s">
        <v>422</v>
      </c>
      <c r="B795" t="s">
        <v>30</v>
      </c>
      <c r="C795" t="s">
        <v>397</v>
      </c>
      <c r="D795">
        <v>100</v>
      </c>
      <c r="E795">
        <v>32.999000000000002</v>
      </c>
      <c r="F795">
        <v>17.437000000000001</v>
      </c>
      <c r="G795">
        <v>3935313</v>
      </c>
      <c r="H795" t="s">
        <v>560</v>
      </c>
    </row>
    <row r="796" spans="1:8" x14ac:dyDescent="0.25">
      <c r="A796" t="s">
        <v>422</v>
      </c>
      <c r="B796" t="s">
        <v>30</v>
      </c>
      <c r="C796" t="s">
        <v>397</v>
      </c>
      <c r="D796">
        <v>52</v>
      </c>
      <c r="E796">
        <v>17.158999999999999</v>
      </c>
      <c r="F796">
        <v>9.0670000000000002</v>
      </c>
      <c r="G796">
        <v>3935313</v>
      </c>
      <c r="H796" t="s">
        <v>560</v>
      </c>
    </row>
    <row r="797" spans="1:8" x14ac:dyDescent="0.25">
      <c r="A797" t="s">
        <v>6012</v>
      </c>
      <c r="B797" t="s">
        <v>22</v>
      </c>
      <c r="C797" t="s">
        <v>397</v>
      </c>
      <c r="D797">
        <v>6224</v>
      </c>
      <c r="E797">
        <v>1030.3599999999999</v>
      </c>
      <c r="F797">
        <v>1026.96</v>
      </c>
      <c r="G797">
        <v>3614496</v>
      </c>
      <c r="H797" t="s">
        <v>6013</v>
      </c>
    </row>
    <row r="798" spans="1:8" x14ac:dyDescent="0.25">
      <c r="A798" t="s">
        <v>6012</v>
      </c>
      <c r="B798" t="s">
        <v>22</v>
      </c>
      <c r="C798" t="s">
        <v>397</v>
      </c>
      <c r="D798">
        <v>170</v>
      </c>
      <c r="E798">
        <v>28.143000000000001</v>
      </c>
      <c r="F798">
        <v>28.05</v>
      </c>
      <c r="G798">
        <v>3614496</v>
      </c>
      <c r="H798" t="s">
        <v>6013</v>
      </c>
    </row>
    <row r="799" spans="1:8" x14ac:dyDescent="0.25">
      <c r="A799" t="s">
        <v>6012</v>
      </c>
      <c r="B799" t="s">
        <v>22</v>
      </c>
      <c r="C799" t="s">
        <v>397</v>
      </c>
      <c r="D799">
        <v>743</v>
      </c>
      <c r="E799">
        <v>123.001</v>
      </c>
      <c r="F799">
        <v>122.595</v>
      </c>
      <c r="G799">
        <v>3614496</v>
      </c>
      <c r="H799" t="s">
        <v>6013</v>
      </c>
    </row>
    <row r="800" spans="1:8" x14ac:dyDescent="0.25">
      <c r="A800" t="s">
        <v>6012</v>
      </c>
      <c r="B800" t="s">
        <v>22</v>
      </c>
      <c r="C800" t="s">
        <v>397</v>
      </c>
      <c r="D800">
        <v>36</v>
      </c>
      <c r="E800">
        <v>5.96</v>
      </c>
      <c r="F800">
        <v>5.94</v>
      </c>
      <c r="G800">
        <v>3614496</v>
      </c>
      <c r="H800" t="s">
        <v>6013</v>
      </c>
    </row>
    <row r="801" spans="1:8" x14ac:dyDescent="0.25">
      <c r="A801" t="s">
        <v>6012</v>
      </c>
      <c r="B801" t="s">
        <v>22</v>
      </c>
      <c r="C801" t="s">
        <v>397</v>
      </c>
      <c r="D801">
        <v>27</v>
      </c>
      <c r="E801">
        <v>4.47</v>
      </c>
      <c r="F801">
        <v>4.4550000000000001</v>
      </c>
      <c r="G801">
        <v>3614496</v>
      </c>
      <c r="H801" t="s">
        <v>6013</v>
      </c>
    </row>
    <row r="802" spans="1:8" x14ac:dyDescent="0.25">
      <c r="A802" t="s">
        <v>6012</v>
      </c>
      <c r="B802" t="s">
        <v>22</v>
      </c>
      <c r="C802" t="s">
        <v>397</v>
      </c>
      <c r="D802">
        <v>1642</v>
      </c>
      <c r="E802">
        <v>224.05099999999999</v>
      </c>
      <c r="F802">
        <v>223.31200000000001</v>
      </c>
      <c r="G802">
        <v>3614494</v>
      </c>
      <c r="H802" t="s">
        <v>6014</v>
      </c>
    </row>
    <row r="803" spans="1:8" x14ac:dyDescent="0.25">
      <c r="A803" t="s">
        <v>6012</v>
      </c>
      <c r="B803" t="s">
        <v>22</v>
      </c>
      <c r="C803" t="s">
        <v>397</v>
      </c>
      <c r="D803">
        <v>2941</v>
      </c>
      <c r="E803">
        <v>401.3</v>
      </c>
      <c r="F803">
        <v>399.976</v>
      </c>
      <c r="G803">
        <v>3614494</v>
      </c>
      <c r="H803" t="s">
        <v>6014</v>
      </c>
    </row>
    <row r="804" spans="1:8" x14ac:dyDescent="0.25">
      <c r="A804" t="s">
        <v>6012</v>
      </c>
      <c r="B804" t="s">
        <v>22</v>
      </c>
      <c r="C804" t="s">
        <v>397</v>
      </c>
      <c r="D804">
        <v>2617</v>
      </c>
      <c r="E804">
        <v>357.09</v>
      </c>
      <c r="F804">
        <v>355.91199999999998</v>
      </c>
      <c r="G804">
        <v>3614494</v>
      </c>
      <c r="H804" t="s">
        <v>6014</v>
      </c>
    </row>
    <row r="805" spans="1:8" x14ac:dyDescent="0.25">
      <c r="A805" t="s">
        <v>517</v>
      </c>
      <c r="B805" t="s">
        <v>19</v>
      </c>
      <c r="C805" t="s">
        <v>444</v>
      </c>
      <c r="D805">
        <v>707</v>
      </c>
      <c r="E805">
        <v>4242</v>
      </c>
      <c r="F805">
        <v>2391.2150000000001</v>
      </c>
      <c r="G805">
        <v>1940078</v>
      </c>
      <c r="H805" t="s">
        <v>518</v>
      </c>
    </row>
    <row r="806" spans="1:8" x14ac:dyDescent="0.25">
      <c r="A806" t="s">
        <v>517</v>
      </c>
      <c r="B806" t="s">
        <v>19</v>
      </c>
      <c r="C806" t="s">
        <v>444</v>
      </c>
      <c r="D806">
        <v>1</v>
      </c>
      <c r="E806">
        <v>6</v>
      </c>
      <c r="F806">
        <v>3.3820000000000001</v>
      </c>
      <c r="G806">
        <v>1940078</v>
      </c>
      <c r="H806" t="s">
        <v>518</v>
      </c>
    </row>
    <row r="807" spans="1:8" x14ac:dyDescent="0.25">
      <c r="A807" t="s">
        <v>6019</v>
      </c>
      <c r="B807" t="s">
        <v>198</v>
      </c>
      <c r="C807" t="s">
        <v>397</v>
      </c>
      <c r="D807">
        <v>5000</v>
      </c>
      <c r="E807">
        <v>2929.9560000000001</v>
      </c>
      <c r="F807">
        <v>1920</v>
      </c>
      <c r="G807">
        <v>3696704</v>
      </c>
      <c r="H807" t="s">
        <v>1221</v>
      </c>
    </row>
    <row r="808" spans="1:8" x14ac:dyDescent="0.25">
      <c r="A808" t="s">
        <v>6019</v>
      </c>
      <c r="B808" t="s">
        <v>198</v>
      </c>
      <c r="C808" t="s">
        <v>397</v>
      </c>
      <c r="D808">
        <v>7709</v>
      </c>
      <c r="E808">
        <v>3811.5610000000001</v>
      </c>
      <c r="F808">
        <v>2497.7159999999999</v>
      </c>
      <c r="G808">
        <v>3436935</v>
      </c>
      <c r="H808" t="s">
        <v>1211</v>
      </c>
    </row>
    <row r="809" spans="1:8" x14ac:dyDescent="0.25">
      <c r="A809" t="s">
        <v>6019</v>
      </c>
      <c r="B809" t="s">
        <v>198</v>
      </c>
      <c r="C809" t="s">
        <v>397</v>
      </c>
      <c r="D809">
        <v>4580</v>
      </c>
      <c r="E809">
        <v>2264.4899999999998</v>
      </c>
      <c r="F809">
        <v>1483.92</v>
      </c>
      <c r="G809">
        <v>3436935</v>
      </c>
      <c r="H809" t="s">
        <v>1211</v>
      </c>
    </row>
    <row r="810" spans="1:8" x14ac:dyDescent="0.25">
      <c r="A810" t="s">
        <v>6019</v>
      </c>
      <c r="B810" t="s">
        <v>198</v>
      </c>
      <c r="C810" t="s">
        <v>397</v>
      </c>
      <c r="D810">
        <v>3211</v>
      </c>
      <c r="E810">
        <v>1587.615</v>
      </c>
      <c r="F810">
        <v>1040.364</v>
      </c>
      <c r="G810">
        <v>3436935</v>
      </c>
      <c r="H810" t="s">
        <v>1211</v>
      </c>
    </row>
    <row r="811" spans="1:8" x14ac:dyDescent="0.25">
      <c r="A811" t="s">
        <v>6019</v>
      </c>
      <c r="B811" t="s">
        <v>198</v>
      </c>
      <c r="C811" t="s">
        <v>397</v>
      </c>
      <c r="D811">
        <v>3689</v>
      </c>
      <c r="E811">
        <v>1902.7650000000001</v>
      </c>
      <c r="F811">
        <v>1246.8820000000001</v>
      </c>
      <c r="G811">
        <v>1940099</v>
      </c>
      <c r="H811" t="s">
        <v>1219</v>
      </c>
    </row>
    <row r="812" spans="1:8" x14ac:dyDescent="0.25">
      <c r="A812" t="s">
        <v>6019</v>
      </c>
      <c r="B812" t="s">
        <v>198</v>
      </c>
      <c r="C812" t="s">
        <v>397</v>
      </c>
      <c r="D812">
        <v>2561</v>
      </c>
      <c r="E812">
        <v>1320.9490000000001</v>
      </c>
      <c r="F812">
        <v>865.61800000000005</v>
      </c>
      <c r="G812">
        <v>1940099</v>
      </c>
      <c r="H812" t="s">
        <v>1219</v>
      </c>
    </row>
    <row r="813" spans="1:8" x14ac:dyDescent="0.25">
      <c r="A813" t="s">
        <v>6019</v>
      </c>
      <c r="B813" t="s">
        <v>198</v>
      </c>
      <c r="C813" t="s">
        <v>397</v>
      </c>
      <c r="D813">
        <v>2323</v>
      </c>
      <c r="E813">
        <v>1162.741</v>
      </c>
      <c r="F813">
        <v>761.94399999999996</v>
      </c>
      <c r="G813">
        <v>3442448</v>
      </c>
      <c r="H813" t="s">
        <v>1213</v>
      </c>
    </row>
    <row r="814" spans="1:8" x14ac:dyDescent="0.25">
      <c r="A814" t="s">
        <v>6019</v>
      </c>
      <c r="B814" t="s">
        <v>198</v>
      </c>
      <c r="C814" t="s">
        <v>397</v>
      </c>
      <c r="D814">
        <v>1077</v>
      </c>
      <c r="E814">
        <v>539.07500000000005</v>
      </c>
      <c r="F814">
        <v>353.25599999999997</v>
      </c>
      <c r="G814">
        <v>3442448</v>
      </c>
      <c r="H814" t="s">
        <v>1213</v>
      </c>
    </row>
    <row r="815" spans="1:8" x14ac:dyDescent="0.25">
      <c r="A815" t="s">
        <v>6018</v>
      </c>
      <c r="B815" t="s">
        <v>21</v>
      </c>
      <c r="C815" t="s">
        <v>397</v>
      </c>
      <c r="D815">
        <v>7647</v>
      </c>
      <c r="E815">
        <v>2944.1419999999998</v>
      </c>
      <c r="F815">
        <v>1957.8869999999999</v>
      </c>
      <c r="G815">
        <v>4018307</v>
      </c>
      <c r="H815" t="s">
        <v>6020</v>
      </c>
    </row>
    <row r="816" spans="1:8" x14ac:dyDescent="0.25">
      <c r="A816" t="s">
        <v>6018</v>
      </c>
      <c r="B816" t="s">
        <v>21</v>
      </c>
      <c r="C816" t="s">
        <v>397</v>
      </c>
      <c r="D816">
        <v>1035</v>
      </c>
      <c r="E816">
        <v>398.48099999999999</v>
      </c>
      <c r="F816">
        <v>264.995</v>
      </c>
      <c r="G816">
        <v>4018307</v>
      </c>
      <c r="H816" t="s">
        <v>6020</v>
      </c>
    </row>
    <row r="817" spans="1:8" x14ac:dyDescent="0.25">
      <c r="A817" t="s">
        <v>6018</v>
      </c>
      <c r="B817" t="s">
        <v>21</v>
      </c>
      <c r="C817" t="s">
        <v>397</v>
      </c>
      <c r="D817">
        <v>984</v>
      </c>
      <c r="E817">
        <v>378.846</v>
      </c>
      <c r="F817">
        <v>251.93700000000001</v>
      </c>
      <c r="G817">
        <v>4018307</v>
      </c>
      <c r="H817" t="s">
        <v>6020</v>
      </c>
    </row>
    <row r="818" spans="1:8" x14ac:dyDescent="0.25">
      <c r="A818" t="s">
        <v>6018</v>
      </c>
      <c r="B818" t="s">
        <v>21</v>
      </c>
      <c r="C818" t="s">
        <v>397</v>
      </c>
      <c r="D818">
        <v>28</v>
      </c>
      <c r="E818">
        <v>10.78</v>
      </c>
      <c r="F818">
        <v>7.1689999999999996</v>
      </c>
      <c r="G818">
        <v>4018307</v>
      </c>
      <c r="H818" t="s">
        <v>6020</v>
      </c>
    </row>
    <row r="819" spans="1:8" x14ac:dyDescent="0.25">
      <c r="A819" t="s">
        <v>6018</v>
      </c>
      <c r="B819" t="s">
        <v>21</v>
      </c>
      <c r="C819" t="s">
        <v>397</v>
      </c>
      <c r="D819">
        <v>6</v>
      </c>
      <c r="E819">
        <v>2.31</v>
      </c>
      <c r="F819">
        <v>1.536</v>
      </c>
      <c r="G819">
        <v>4018307</v>
      </c>
      <c r="H819" t="s">
        <v>6020</v>
      </c>
    </row>
    <row r="820" spans="1:8" x14ac:dyDescent="0.25">
      <c r="A820" t="s">
        <v>6018</v>
      </c>
      <c r="B820" t="s">
        <v>21</v>
      </c>
      <c r="C820" t="s">
        <v>397</v>
      </c>
      <c r="D820">
        <v>1342</v>
      </c>
      <c r="E820">
        <v>1019.172</v>
      </c>
      <c r="F820">
        <v>1017.236</v>
      </c>
      <c r="G820">
        <v>2244444</v>
      </c>
      <c r="H820" t="s">
        <v>1524</v>
      </c>
    </row>
    <row r="821" spans="1:8" x14ac:dyDescent="0.25">
      <c r="A821" t="s">
        <v>6018</v>
      </c>
      <c r="B821" t="s">
        <v>21</v>
      </c>
      <c r="C821" t="s">
        <v>397</v>
      </c>
      <c r="D821">
        <v>901</v>
      </c>
      <c r="E821">
        <v>684.25800000000004</v>
      </c>
      <c r="F821">
        <v>682.95799999999997</v>
      </c>
      <c r="G821">
        <v>2244444</v>
      </c>
      <c r="H821" t="s">
        <v>1524</v>
      </c>
    </row>
    <row r="822" spans="1:8" x14ac:dyDescent="0.25">
      <c r="A822" t="s">
        <v>6018</v>
      </c>
      <c r="B822" t="s">
        <v>21</v>
      </c>
      <c r="C822" t="s">
        <v>397</v>
      </c>
      <c r="D822">
        <v>890</v>
      </c>
      <c r="E822">
        <v>675.904</v>
      </c>
      <c r="F822">
        <v>674.62</v>
      </c>
      <c r="G822">
        <v>2244444</v>
      </c>
      <c r="H822" t="s">
        <v>1524</v>
      </c>
    </row>
    <row r="823" spans="1:8" x14ac:dyDescent="0.25">
      <c r="A823" t="s">
        <v>6018</v>
      </c>
      <c r="B823" t="s">
        <v>21</v>
      </c>
      <c r="C823" t="s">
        <v>397</v>
      </c>
      <c r="D823">
        <v>660</v>
      </c>
      <c r="E823">
        <v>501.23200000000003</v>
      </c>
      <c r="F823">
        <v>500.28</v>
      </c>
      <c r="G823">
        <v>2244444</v>
      </c>
      <c r="H823" t="s">
        <v>1524</v>
      </c>
    </row>
    <row r="824" spans="1:8" x14ac:dyDescent="0.25">
      <c r="A824" t="s">
        <v>6018</v>
      </c>
      <c r="B824" t="s">
        <v>21</v>
      </c>
      <c r="C824" t="s">
        <v>397</v>
      </c>
      <c r="D824">
        <v>649</v>
      </c>
      <c r="E824">
        <v>492.87799999999999</v>
      </c>
      <c r="F824">
        <v>491.94200000000001</v>
      </c>
      <c r="G824">
        <v>2244444</v>
      </c>
      <c r="H824" t="s">
        <v>1524</v>
      </c>
    </row>
    <row r="825" spans="1:8" x14ac:dyDescent="0.25">
      <c r="A825" t="s">
        <v>6018</v>
      </c>
      <c r="B825" t="s">
        <v>21</v>
      </c>
      <c r="C825" t="s">
        <v>397</v>
      </c>
      <c r="D825">
        <v>404</v>
      </c>
      <c r="E825">
        <v>306.815</v>
      </c>
      <c r="F825">
        <v>306.23200000000003</v>
      </c>
      <c r="G825">
        <v>2244444</v>
      </c>
      <c r="H825" t="s">
        <v>1524</v>
      </c>
    </row>
    <row r="826" spans="1:8" x14ac:dyDescent="0.25">
      <c r="A826" t="s">
        <v>6018</v>
      </c>
      <c r="B826" t="s">
        <v>21</v>
      </c>
      <c r="C826" t="s">
        <v>397</v>
      </c>
      <c r="D826">
        <v>399</v>
      </c>
      <c r="E826">
        <v>303.01799999999997</v>
      </c>
      <c r="F826">
        <v>302.44200000000001</v>
      </c>
      <c r="G826">
        <v>2244444</v>
      </c>
      <c r="H826" t="s">
        <v>1524</v>
      </c>
    </row>
    <row r="827" spans="1:8" x14ac:dyDescent="0.25">
      <c r="A827" t="s">
        <v>6018</v>
      </c>
      <c r="B827" t="s">
        <v>21</v>
      </c>
      <c r="C827" t="s">
        <v>397</v>
      </c>
      <c r="D827">
        <v>374</v>
      </c>
      <c r="E827">
        <v>284.03199999999998</v>
      </c>
      <c r="F827">
        <v>283.49200000000002</v>
      </c>
      <c r="G827">
        <v>2244444</v>
      </c>
      <c r="H827" t="s">
        <v>1524</v>
      </c>
    </row>
    <row r="828" spans="1:8" x14ac:dyDescent="0.25">
      <c r="A828" t="s">
        <v>6018</v>
      </c>
      <c r="B828" t="s">
        <v>21</v>
      </c>
      <c r="C828" t="s">
        <v>397</v>
      </c>
      <c r="D828">
        <v>369</v>
      </c>
      <c r="E828">
        <v>280.23399999999998</v>
      </c>
      <c r="F828">
        <v>279.702</v>
      </c>
      <c r="G828">
        <v>2244444</v>
      </c>
      <c r="H828" t="s">
        <v>1524</v>
      </c>
    </row>
    <row r="829" spans="1:8" x14ac:dyDescent="0.25">
      <c r="A829" t="s">
        <v>6018</v>
      </c>
      <c r="B829" t="s">
        <v>21</v>
      </c>
      <c r="C829" t="s">
        <v>397</v>
      </c>
      <c r="D829">
        <v>12</v>
      </c>
      <c r="E829">
        <v>9.1129999999999995</v>
      </c>
      <c r="F829">
        <v>9.0960000000000001</v>
      </c>
      <c r="G829">
        <v>2244444</v>
      </c>
      <c r="H829" t="s">
        <v>1524</v>
      </c>
    </row>
    <row r="830" spans="1:8" x14ac:dyDescent="0.25">
      <c r="A830" t="s">
        <v>6018</v>
      </c>
      <c r="B830" t="s">
        <v>21</v>
      </c>
      <c r="C830" t="s">
        <v>397</v>
      </c>
      <c r="D830">
        <v>1096</v>
      </c>
      <c r="E830">
        <v>1155.1790000000001</v>
      </c>
      <c r="F830">
        <v>1978.9380000000001</v>
      </c>
      <c r="G830">
        <v>3605737</v>
      </c>
      <c r="H830" t="s">
        <v>1699</v>
      </c>
    </row>
    <row r="831" spans="1:8" x14ac:dyDescent="0.25">
      <c r="A831" t="s">
        <v>6018</v>
      </c>
      <c r="B831" t="s">
        <v>21</v>
      </c>
      <c r="C831" t="s">
        <v>397</v>
      </c>
      <c r="D831">
        <v>1335</v>
      </c>
      <c r="E831">
        <v>1407.0840000000001</v>
      </c>
      <c r="F831">
        <v>2410.4760000000001</v>
      </c>
      <c r="G831">
        <v>3605737</v>
      </c>
      <c r="H831" t="s">
        <v>1699</v>
      </c>
    </row>
    <row r="832" spans="1:8" x14ac:dyDescent="0.25">
      <c r="A832" t="s">
        <v>6018</v>
      </c>
      <c r="B832" t="s">
        <v>21</v>
      </c>
      <c r="C832" t="s">
        <v>397</v>
      </c>
      <c r="D832">
        <v>728</v>
      </c>
      <c r="E832">
        <v>767.30899999999997</v>
      </c>
      <c r="F832">
        <v>1314.4770000000001</v>
      </c>
      <c r="G832">
        <v>3605737</v>
      </c>
      <c r="H832" t="s">
        <v>1699</v>
      </c>
    </row>
    <row r="833" spans="1:8" x14ac:dyDescent="0.25">
      <c r="A833" t="s">
        <v>6018</v>
      </c>
      <c r="B833" t="s">
        <v>21</v>
      </c>
      <c r="C833" t="s">
        <v>397</v>
      </c>
      <c r="D833">
        <v>417</v>
      </c>
      <c r="E833">
        <v>439.51600000000002</v>
      </c>
      <c r="F833">
        <v>752.93499999999995</v>
      </c>
      <c r="G833">
        <v>3605737</v>
      </c>
      <c r="H833" t="s">
        <v>1699</v>
      </c>
    </row>
    <row r="834" spans="1:8" x14ac:dyDescent="0.25">
      <c r="A834" t="s">
        <v>6018</v>
      </c>
      <c r="B834" t="s">
        <v>21</v>
      </c>
      <c r="C834" t="s">
        <v>397</v>
      </c>
      <c r="D834">
        <v>399</v>
      </c>
      <c r="E834">
        <v>420.54399999999998</v>
      </c>
      <c r="F834">
        <v>720.43399999999997</v>
      </c>
      <c r="G834">
        <v>3605737</v>
      </c>
      <c r="H834" t="s">
        <v>1699</v>
      </c>
    </row>
    <row r="835" spans="1:8" x14ac:dyDescent="0.25">
      <c r="A835" t="s">
        <v>6018</v>
      </c>
      <c r="B835" t="s">
        <v>21</v>
      </c>
      <c r="C835" t="s">
        <v>397</v>
      </c>
      <c r="D835">
        <v>399</v>
      </c>
      <c r="E835">
        <v>420.54399999999998</v>
      </c>
      <c r="F835">
        <v>720.43399999999997</v>
      </c>
      <c r="G835">
        <v>3605737</v>
      </c>
      <c r="H835" t="s">
        <v>1699</v>
      </c>
    </row>
    <row r="836" spans="1:8" x14ac:dyDescent="0.25">
      <c r="A836" t="s">
        <v>6018</v>
      </c>
      <c r="B836" t="s">
        <v>21</v>
      </c>
      <c r="C836" t="s">
        <v>397</v>
      </c>
      <c r="D836">
        <v>378</v>
      </c>
      <c r="E836">
        <v>398.41</v>
      </c>
      <c r="F836">
        <v>682.51700000000005</v>
      </c>
      <c r="G836">
        <v>3605737</v>
      </c>
      <c r="H836" t="s">
        <v>1699</v>
      </c>
    </row>
    <row r="837" spans="1:8" x14ac:dyDescent="0.25">
      <c r="A837" t="s">
        <v>6018</v>
      </c>
      <c r="B837" t="s">
        <v>21</v>
      </c>
      <c r="C837" t="s">
        <v>397</v>
      </c>
      <c r="D837">
        <v>342</v>
      </c>
      <c r="E837">
        <v>360.46699999999998</v>
      </c>
      <c r="F837">
        <v>617.51499999999999</v>
      </c>
      <c r="G837">
        <v>3605737</v>
      </c>
      <c r="H837" t="s">
        <v>1699</v>
      </c>
    </row>
    <row r="838" spans="1:8" x14ac:dyDescent="0.25">
      <c r="A838" t="s">
        <v>6018</v>
      </c>
      <c r="B838" t="s">
        <v>21</v>
      </c>
      <c r="C838" t="s">
        <v>397</v>
      </c>
      <c r="D838">
        <v>133</v>
      </c>
      <c r="E838">
        <v>140.18100000000001</v>
      </c>
      <c r="F838">
        <v>240.14500000000001</v>
      </c>
      <c r="G838">
        <v>3605737</v>
      </c>
      <c r="H838" t="s">
        <v>1699</v>
      </c>
    </row>
    <row r="839" spans="1:8" x14ac:dyDescent="0.25">
      <c r="A839" t="s">
        <v>6018</v>
      </c>
      <c r="B839" t="s">
        <v>21</v>
      </c>
      <c r="C839" t="s">
        <v>397</v>
      </c>
      <c r="D839">
        <v>30</v>
      </c>
      <c r="E839">
        <v>31.62</v>
      </c>
      <c r="F839">
        <v>54.167999999999999</v>
      </c>
      <c r="G839">
        <v>3605737</v>
      </c>
      <c r="H839" t="s">
        <v>1699</v>
      </c>
    </row>
    <row r="840" spans="1:8" x14ac:dyDescent="0.25">
      <c r="A840" t="s">
        <v>6018</v>
      </c>
      <c r="B840" t="s">
        <v>21</v>
      </c>
      <c r="C840" t="s">
        <v>397</v>
      </c>
      <c r="D840">
        <v>29</v>
      </c>
      <c r="E840">
        <v>30.565999999999999</v>
      </c>
      <c r="F840">
        <v>52.362000000000002</v>
      </c>
      <c r="G840">
        <v>3605737</v>
      </c>
      <c r="H840" t="s">
        <v>1699</v>
      </c>
    </row>
    <row r="841" spans="1:8" x14ac:dyDescent="0.25">
      <c r="A841" t="s">
        <v>6018</v>
      </c>
      <c r="B841" t="s">
        <v>21</v>
      </c>
      <c r="C841" t="s">
        <v>397</v>
      </c>
      <c r="D841">
        <v>19</v>
      </c>
      <c r="E841">
        <v>20.026</v>
      </c>
      <c r="F841">
        <v>34.305999999999997</v>
      </c>
      <c r="G841">
        <v>3605737</v>
      </c>
      <c r="H841" t="s">
        <v>1699</v>
      </c>
    </row>
    <row r="842" spans="1:8" x14ac:dyDescent="0.25">
      <c r="A842" t="s">
        <v>6018</v>
      </c>
      <c r="B842" t="s">
        <v>21</v>
      </c>
      <c r="C842" t="s">
        <v>397</v>
      </c>
      <c r="D842">
        <v>5</v>
      </c>
      <c r="E842">
        <v>5.27</v>
      </c>
      <c r="F842">
        <v>9.0280000000000005</v>
      </c>
      <c r="G842">
        <v>3605737</v>
      </c>
      <c r="H842" t="s">
        <v>1699</v>
      </c>
    </row>
    <row r="843" spans="1:8" x14ac:dyDescent="0.25">
      <c r="A843" t="s">
        <v>6018</v>
      </c>
      <c r="B843" t="s">
        <v>21</v>
      </c>
      <c r="C843" t="s">
        <v>397</v>
      </c>
      <c r="D843">
        <v>117</v>
      </c>
      <c r="E843">
        <v>21.54</v>
      </c>
      <c r="F843">
        <v>81.665999999999997</v>
      </c>
      <c r="G843">
        <v>1940868</v>
      </c>
      <c r="H843" t="s">
        <v>1715</v>
      </c>
    </row>
    <row r="844" spans="1:8" x14ac:dyDescent="0.25">
      <c r="A844" t="s">
        <v>6018</v>
      </c>
      <c r="B844" t="s">
        <v>21</v>
      </c>
      <c r="C844" t="s">
        <v>397</v>
      </c>
      <c r="D844">
        <v>34</v>
      </c>
      <c r="E844">
        <v>6.26</v>
      </c>
      <c r="F844">
        <v>23.731999999999999</v>
      </c>
      <c r="G844">
        <v>1940868</v>
      </c>
      <c r="H844" t="s">
        <v>1715</v>
      </c>
    </row>
    <row r="845" spans="1:8" x14ac:dyDescent="0.25">
      <c r="A845" t="s">
        <v>6018</v>
      </c>
      <c r="B845" t="s">
        <v>21</v>
      </c>
      <c r="C845" t="s">
        <v>397</v>
      </c>
      <c r="D845">
        <v>623</v>
      </c>
      <c r="E845">
        <v>114.69799999999999</v>
      </c>
      <c r="F845">
        <v>434.85399999999998</v>
      </c>
      <c r="G845">
        <v>1940868</v>
      </c>
      <c r="H845" t="s">
        <v>1715</v>
      </c>
    </row>
    <row r="846" spans="1:8" x14ac:dyDescent="0.25">
      <c r="A846" t="s">
        <v>6018</v>
      </c>
      <c r="B846" t="s">
        <v>21</v>
      </c>
      <c r="C846" t="s">
        <v>397</v>
      </c>
      <c r="D846">
        <v>560</v>
      </c>
      <c r="E846">
        <v>103.099</v>
      </c>
      <c r="F846">
        <v>390.88</v>
      </c>
      <c r="G846">
        <v>1940868</v>
      </c>
      <c r="H846" t="s">
        <v>1715</v>
      </c>
    </row>
    <row r="847" spans="1:8" x14ac:dyDescent="0.25">
      <c r="A847" t="s">
        <v>6018</v>
      </c>
      <c r="B847" t="s">
        <v>21</v>
      </c>
      <c r="C847" t="s">
        <v>397</v>
      </c>
      <c r="D847">
        <v>449</v>
      </c>
      <c r="E847">
        <v>82.662999999999997</v>
      </c>
      <c r="F847">
        <v>313.40199999999999</v>
      </c>
      <c r="G847">
        <v>1940868</v>
      </c>
      <c r="H847" t="s">
        <v>1715</v>
      </c>
    </row>
    <row r="848" spans="1:8" x14ac:dyDescent="0.25">
      <c r="A848" t="s">
        <v>6018</v>
      </c>
      <c r="B848" t="s">
        <v>21</v>
      </c>
      <c r="C848" t="s">
        <v>397</v>
      </c>
      <c r="D848">
        <v>449</v>
      </c>
      <c r="E848">
        <v>82.662999999999997</v>
      </c>
      <c r="F848">
        <v>313.40199999999999</v>
      </c>
      <c r="G848">
        <v>1940868</v>
      </c>
      <c r="H848" t="s">
        <v>1715</v>
      </c>
    </row>
    <row r="849" spans="1:8" x14ac:dyDescent="0.25">
      <c r="A849" t="s">
        <v>6018</v>
      </c>
      <c r="B849" t="s">
        <v>21</v>
      </c>
      <c r="C849" t="s">
        <v>397</v>
      </c>
      <c r="D849">
        <v>399</v>
      </c>
      <c r="E849">
        <v>73.457999999999998</v>
      </c>
      <c r="F849">
        <v>278.50200000000001</v>
      </c>
      <c r="G849">
        <v>1940868</v>
      </c>
      <c r="H849" t="s">
        <v>1715</v>
      </c>
    </row>
    <row r="850" spans="1:8" x14ac:dyDescent="0.25">
      <c r="A850" t="s">
        <v>6018</v>
      </c>
      <c r="B850" t="s">
        <v>21</v>
      </c>
      <c r="C850" t="s">
        <v>397</v>
      </c>
      <c r="D850">
        <v>345</v>
      </c>
      <c r="E850">
        <v>63.515999999999998</v>
      </c>
      <c r="F850">
        <v>240.81</v>
      </c>
      <c r="G850">
        <v>1940868</v>
      </c>
      <c r="H850" t="s">
        <v>1715</v>
      </c>
    </row>
    <row r="851" spans="1:8" x14ac:dyDescent="0.25">
      <c r="A851" t="s">
        <v>6018</v>
      </c>
      <c r="B851" t="s">
        <v>21</v>
      </c>
      <c r="C851" t="s">
        <v>397</v>
      </c>
      <c r="D851">
        <v>197</v>
      </c>
      <c r="E851">
        <v>145.196</v>
      </c>
      <c r="F851">
        <v>251.17500000000001</v>
      </c>
      <c r="G851">
        <v>1932730</v>
      </c>
      <c r="H851" t="s">
        <v>1738</v>
      </c>
    </row>
    <row r="852" spans="1:8" x14ac:dyDescent="0.25">
      <c r="A852" t="s">
        <v>6018</v>
      </c>
      <c r="B852" t="s">
        <v>21</v>
      </c>
      <c r="C852" t="s">
        <v>397</v>
      </c>
      <c r="D852">
        <v>1050</v>
      </c>
      <c r="E852">
        <v>773.88900000000001</v>
      </c>
      <c r="F852">
        <v>1338.75</v>
      </c>
      <c r="G852">
        <v>1932730</v>
      </c>
      <c r="H852" t="s">
        <v>1738</v>
      </c>
    </row>
    <row r="853" spans="1:8" x14ac:dyDescent="0.25">
      <c r="A853" t="s">
        <v>6018</v>
      </c>
      <c r="B853" t="s">
        <v>21</v>
      </c>
      <c r="C853" t="s">
        <v>397</v>
      </c>
      <c r="D853">
        <v>913</v>
      </c>
      <c r="E853">
        <v>672.91499999999996</v>
      </c>
      <c r="F853">
        <v>1164.075</v>
      </c>
      <c r="G853">
        <v>1932730</v>
      </c>
      <c r="H853" t="s">
        <v>1738</v>
      </c>
    </row>
    <row r="854" spans="1:8" x14ac:dyDescent="0.25">
      <c r="A854" t="s">
        <v>6018</v>
      </c>
      <c r="B854" t="s">
        <v>21</v>
      </c>
      <c r="C854" t="s">
        <v>397</v>
      </c>
      <c r="D854">
        <v>899</v>
      </c>
      <c r="E854">
        <v>662.596</v>
      </c>
      <c r="F854">
        <v>1146.2249999999999</v>
      </c>
      <c r="G854">
        <v>1932730</v>
      </c>
      <c r="H854" t="s">
        <v>1738</v>
      </c>
    </row>
    <row r="855" spans="1:8" x14ac:dyDescent="0.25">
      <c r="A855" t="s">
        <v>6018</v>
      </c>
      <c r="B855" t="s">
        <v>21</v>
      </c>
      <c r="C855" t="s">
        <v>397</v>
      </c>
      <c r="D855">
        <v>749</v>
      </c>
      <c r="E855">
        <v>552.04100000000005</v>
      </c>
      <c r="F855">
        <v>954.97500000000002</v>
      </c>
      <c r="G855">
        <v>1932730</v>
      </c>
      <c r="H855" t="s">
        <v>1738</v>
      </c>
    </row>
    <row r="856" spans="1:8" x14ac:dyDescent="0.25">
      <c r="A856" t="s">
        <v>6018</v>
      </c>
      <c r="B856" t="s">
        <v>21</v>
      </c>
      <c r="C856" t="s">
        <v>397</v>
      </c>
      <c r="D856">
        <v>72</v>
      </c>
      <c r="E856">
        <v>53.067</v>
      </c>
      <c r="F856">
        <v>91.8</v>
      </c>
      <c r="G856">
        <v>1932730</v>
      </c>
      <c r="H856" t="s">
        <v>1738</v>
      </c>
    </row>
    <row r="857" spans="1:8" x14ac:dyDescent="0.25">
      <c r="A857" t="s">
        <v>6018</v>
      </c>
      <c r="B857" t="s">
        <v>21</v>
      </c>
      <c r="C857" t="s">
        <v>397</v>
      </c>
      <c r="D857">
        <v>1157</v>
      </c>
      <c r="E857">
        <v>632.02499999999998</v>
      </c>
      <c r="F857">
        <v>910.55899999999997</v>
      </c>
      <c r="G857">
        <v>1940817</v>
      </c>
      <c r="H857" t="s">
        <v>1679</v>
      </c>
    </row>
    <row r="858" spans="1:8" x14ac:dyDescent="0.25">
      <c r="A858" t="s">
        <v>6018</v>
      </c>
      <c r="B858" t="s">
        <v>21</v>
      </c>
      <c r="C858" t="s">
        <v>397</v>
      </c>
      <c r="D858">
        <v>843</v>
      </c>
      <c r="E858">
        <v>460.49900000000002</v>
      </c>
      <c r="F858">
        <v>663.44100000000003</v>
      </c>
      <c r="G858">
        <v>1940817</v>
      </c>
      <c r="H858" t="s">
        <v>1679</v>
      </c>
    </row>
    <row r="859" spans="1:8" x14ac:dyDescent="0.25">
      <c r="A859" t="s">
        <v>6018</v>
      </c>
      <c r="B859" t="s">
        <v>21</v>
      </c>
      <c r="C859" t="s">
        <v>397</v>
      </c>
      <c r="D859">
        <v>1053</v>
      </c>
      <c r="E859">
        <v>662.11599999999999</v>
      </c>
      <c r="F859">
        <v>1386.8009999999999</v>
      </c>
      <c r="G859">
        <v>1940871</v>
      </c>
      <c r="H859" t="s">
        <v>1721</v>
      </c>
    </row>
    <row r="860" spans="1:8" x14ac:dyDescent="0.25">
      <c r="A860" t="s">
        <v>6018</v>
      </c>
      <c r="B860" t="s">
        <v>21</v>
      </c>
      <c r="C860" t="s">
        <v>397</v>
      </c>
      <c r="D860">
        <v>17</v>
      </c>
      <c r="E860">
        <v>10.689</v>
      </c>
      <c r="F860">
        <v>22.388999999999999</v>
      </c>
      <c r="G860">
        <v>1940871</v>
      </c>
      <c r="H860" t="s">
        <v>1721</v>
      </c>
    </row>
    <row r="861" spans="1:8" x14ac:dyDescent="0.25">
      <c r="A861" t="s">
        <v>6018</v>
      </c>
      <c r="B861" t="s">
        <v>21</v>
      </c>
      <c r="C861" t="s">
        <v>397</v>
      </c>
      <c r="D861">
        <v>725</v>
      </c>
      <c r="E861">
        <v>325.048</v>
      </c>
      <c r="F861">
        <v>426.3</v>
      </c>
      <c r="G861">
        <v>1940624</v>
      </c>
      <c r="H861" t="s">
        <v>6021</v>
      </c>
    </row>
    <row r="862" spans="1:8" x14ac:dyDescent="0.25">
      <c r="A862" t="s">
        <v>585</v>
      </c>
      <c r="B862" t="s">
        <v>48</v>
      </c>
      <c r="C862" t="s">
        <v>397</v>
      </c>
      <c r="D862">
        <v>1547</v>
      </c>
      <c r="E862">
        <v>1291.7280000000001</v>
      </c>
      <c r="F862">
        <v>2184.828</v>
      </c>
      <c r="G862">
        <v>3712521</v>
      </c>
      <c r="H862" t="s">
        <v>631</v>
      </c>
    </row>
    <row r="863" spans="1:8" x14ac:dyDescent="0.25">
      <c r="A863" t="s">
        <v>585</v>
      </c>
      <c r="B863" t="s">
        <v>48</v>
      </c>
      <c r="C863" t="s">
        <v>397</v>
      </c>
      <c r="D863">
        <v>1419</v>
      </c>
      <c r="E863">
        <v>1184.8489999999999</v>
      </c>
      <c r="F863">
        <v>2004.0540000000001</v>
      </c>
      <c r="G863">
        <v>3712521</v>
      </c>
      <c r="H863" t="s">
        <v>631</v>
      </c>
    </row>
    <row r="864" spans="1:8" x14ac:dyDescent="0.25">
      <c r="A864" t="s">
        <v>585</v>
      </c>
      <c r="B864" t="s">
        <v>48</v>
      </c>
      <c r="C864" t="s">
        <v>397</v>
      </c>
      <c r="D864">
        <v>1370</v>
      </c>
      <c r="E864">
        <v>1143.9349999999999</v>
      </c>
      <c r="F864">
        <v>1934.8510000000001</v>
      </c>
      <c r="G864">
        <v>3712521</v>
      </c>
      <c r="H864" t="s">
        <v>631</v>
      </c>
    </row>
    <row r="865" spans="1:8" x14ac:dyDescent="0.25">
      <c r="A865" t="s">
        <v>585</v>
      </c>
      <c r="B865" t="s">
        <v>48</v>
      </c>
      <c r="C865" t="s">
        <v>397</v>
      </c>
      <c r="D865">
        <v>504</v>
      </c>
      <c r="E865">
        <v>420.834</v>
      </c>
      <c r="F865">
        <v>711.79899999999998</v>
      </c>
      <c r="G865">
        <v>3712521</v>
      </c>
      <c r="H865" t="s">
        <v>631</v>
      </c>
    </row>
    <row r="866" spans="1:8" x14ac:dyDescent="0.25">
      <c r="A866" t="s">
        <v>585</v>
      </c>
      <c r="B866" t="s">
        <v>48</v>
      </c>
      <c r="C866" t="s">
        <v>397</v>
      </c>
      <c r="D866">
        <v>10</v>
      </c>
      <c r="E866">
        <v>8.35</v>
      </c>
      <c r="F866">
        <v>14.122999999999999</v>
      </c>
      <c r="G866">
        <v>3712521</v>
      </c>
      <c r="H866" t="s">
        <v>631</v>
      </c>
    </row>
    <row r="867" spans="1:8" x14ac:dyDescent="0.25">
      <c r="A867" t="s">
        <v>585</v>
      </c>
      <c r="B867" t="s">
        <v>48</v>
      </c>
      <c r="C867" t="s">
        <v>397</v>
      </c>
      <c r="D867">
        <v>10</v>
      </c>
      <c r="E867">
        <v>8.35</v>
      </c>
      <c r="F867">
        <v>14.122999999999999</v>
      </c>
      <c r="G867">
        <v>3712521</v>
      </c>
      <c r="H867" t="s">
        <v>631</v>
      </c>
    </row>
    <row r="868" spans="1:8" x14ac:dyDescent="0.25">
      <c r="A868" t="s">
        <v>437</v>
      </c>
      <c r="B868" t="s">
        <v>18</v>
      </c>
      <c r="C868" t="s">
        <v>397</v>
      </c>
      <c r="D868">
        <v>2321</v>
      </c>
      <c r="E868">
        <v>1189.99</v>
      </c>
      <c r="F868">
        <v>1863.7629999999999</v>
      </c>
      <c r="G868">
        <v>1940821</v>
      </c>
      <c r="H868" t="s">
        <v>571</v>
      </c>
    </row>
    <row r="869" spans="1:8" x14ac:dyDescent="0.25">
      <c r="A869" t="s">
        <v>437</v>
      </c>
      <c r="B869" t="s">
        <v>18</v>
      </c>
      <c r="C869" t="s">
        <v>397</v>
      </c>
      <c r="D869">
        <v>1500</v>
      </c>
      <c r="E869">
        <v>769.05899999999997</v>
      </c>
      <c r="F869">
        <v>1204.5</v>
      </c>
      <c r="G869">
        <v>1940821</v>
      </c>
      <c r="H869" t="s">
        <v>571</v>
      </c>
    </row>
    <row r="870" spans="1:8" x14ac:dyDescent="0.25">
      <c r="A870" t="s">
        <v>437</v>
      </c>
      <c r="B870" t="s">
        <v>18</v>
      </c>
      <c r="C870" t="s">
        <v>397</v>
      </c>
      <c r="D870">
        <v>452</v>
      </c>
      <c r="E870">
        <v>231.74299999999999</v>
      </c>
      <c r="F870">
        <v>362.95600000000002</v>
      </c>
      <c r="G870">
        <v>1940821</v>
      </c>
      <c r="H870" t="s">
        <v>571</v>
      </c>
    </row>
    <row r="871" spans="1:8" x14ac:dyDescent="0.25">
      <c r="A871" t="s">
        <v>437</v>
      </c>
      <c r="B871" t="s">
        <v>18</v>
      </c>
      <c r="C871" t="s">
        <v>397</v>
      </c>
      <c r="D871">
        <v>347</v>
      </c>
      <c r="E871">
        <v>177.90899999999999</v>
      </c>
      <c r="F871">
        <v>278.64100000000002</v>
      </c>
      <c r="G871">
        <v>1940821</v>
      </c>
      <c r="H871" t="s">
        <v>571</v>
      </c>
    </row>
    <row r="872" spans="1:8" x14ac:dyDescent="0.25">
      <c r="A872" t="s">
        <v>437</v>
      </c>
      <c r="B872" t="s">
        <v>18</v>
      </c>
      <c r="C872" t="s">
        <v>397</v>
      </c>
      <c r="D872">
        <v>2060</v>
      </c>
      <c r="E872">
        <v>1153.5050000000001</v>
      </c>
      <c r="F872">
        <v>1806.62</v>
      </c>
      <c r="G872">
        <v>1940823</v>
      </c>
      <c r="H872" t="s">
        <v>576</v>
      </c>
    </row>
    <row r="873" spans="1:8" x14ac:dyDescent="0.25">
      <c r="A873" t="s">
        <v>437</v>
      </c>
      <c r="B873" t="s">
        <v>18</v>
      </c>
      <c r="C873" t="s">
        <v>397</v>
      </c>
      <c r="D873">
        <v>353</v>
      </c>
      <c r="E873">
        <v>197.66399999999999</v>
      </c>
      <c r="F873">
        <v>309.58100000000002</v>
      </c>
      <c r="G873">
        <v>1940823</v>
      </c>
      <c r="H873" t="s">
        <v>576</v>
      </c>
    </row>
    <row r="874" spans="1:8" x14ac:dyDescent="0.25">
      <c r="A874" t="s">
        <v>437</v>
      </c>
      <c r="B874" t="s">
        <v>18</v>
      </c>
      <c r="C874" t="s">
        <v>397</v>
      </c>
      <c r="D874">
        <v>4</v>
      </c>
      <c r="E874">
        <v>2.2400000000000002</v>
      </c>
      <c r="F874">
        <v>3.508</v>
      </c>
      <c r="G874">
        <v>1940823</v>
      </c>
      <c r="H874" t="s">
        <v>576</v>
      </c>
    </row>
    <row r="875" spans="1:8" x14ac:dyDescent="0.25">
      <c r="A875" t="s">
        <v>437</v>
      </c>
      <c r="B875" t="s">
        <v>18</v>
      </c>
      <c r="C875" t="s">
        <v>397</v>
      </c>
      <c r="D875">
        <v>3</v>
      </c>
      <c r="E875">
        <v>1.68</v>
      </c>
      <c r="F875">
        <v>2.6309999999999998</v>
      </c>
      <c r="G875">
        <v>1940823</v>
      </c>
      <c r="H875" t="s">
        <v>576</v>
      </c>
    </row>
    <row r="876" spans="1:8" x14ac:dyDescent="0.25">
      <c r="A876" t="s">
        <v>437</v>
      </c>
      <c r="B876" t="s">
        <v>18</v>
      </c>
      <c r="C876" t="s">
        <v>397</v>
      </c>
      <c r="D876">
        <v>3657</v>
      </c>
      <c r="E876">
        <v>542.72900000000004</v>
      </c>
      <c r="F876">
        <v>1082.472</v>
      </c>
      <c r="G876">
        <v>4098592</v>
      </c>
      <c r="H876" t="s">
        <v>579</v>
      </c>
    </row>
    <row r="877" spans="1:8" x14ac:dyDescent="0.25">
      <c r="A877" t="s">
        <v>437</v>
      </c>
      <c r="B877" t="s">
        <v>18</v>
      </c>
      <c r="C877" t="s">
        <v>397</v>
      </c>
      <c r="D877">
        <v>3</v>
      </c>
      <c r="E877">
        <v>0.44500000000000001</v>
      </c>
      <c r="F877">
        <v>0.88800000000000001</v>
      </c>
      <c r="G877">
        <v>4098592</v>
      </c>
      <c r="H877" t="s">
        <v>579</v>
      </c>
    </row>
    <row r="878" spans="1:8" x14ac:dyDescent="0.25">
      <c r="A878" t="s">
        <v>573</v>
      </c>
      <c r="B878" t="s">
        <v>52</v>
      </c>
      <c r="C878" t="s">
        <v>397</v>
      </c>
      <c r="D878">
        <v>2400</v>
      </c>
      <c r="E878">
        <v>1230.4939999999999</v>
      </c>
      <c r="F878">
        <v>1927.2</v>
      </c>
      <c r="G878">
        <v>1940821</v>
      </c>
      <c r="H878" t="s">
        <v>571</v>
      </c>
    </row>
    <row r="879" spans="1:8" x14ac:dyDescent="0.25">
      <c r="A879" t="s">
        <v>573</v>
      </c>
      <c r="B879" t="s">
        <v>52</v>
      </c>
      <c r="C879" t="s">
        <v>397</v>
      </c>
      <c r="D879">
        <v>1299</v>
      </c>
      <c r="E879">
        <v>1059.2929999999999</v>
      </c>
      <c r="F879">
        <v>1057.386</v>
      </c>
      <c r="G879">
        <v>2413708</v>
      </c>
      <c r="H879" t="s">
        <v>634</v>
      </c>
    </row>
    <row r="880" spans="1:8" x14ac:dyDescent="0.25">
      <c r="A880" t="s">
        <v>573</v>
      </c>
      <c r="B880" t="s">
        <v>52</v>
      </c>
      <c r="C880" t="s">
        <v>397</v>
      </c>
      <c r="D880">
        <v>624</v>
      </c>
      <c r="E880">
        <v>508.85199999999998</v>
      </c>
      <c r="F880">
        <v>507.93599999999998</v>
      </c>
      <c r="G880">
        <v>2413708</v>
      </c>
      <c r="H880" t="s">
        <v>634</v>
      </c>
    </row>
    <row r="881" spans="1:8" x14ac:dyDescent="0.25">
      <c r="A881" t="s">
        <v>573</v>
      </c>
      <c r="B881" t="s">
        <v>52</v>
      </c>
      <c r="C881" t="s">
        <v>397</v>
      </c>
      <c r="D881">
        <v>2</v>
      </c>
      <c r="E881">
        <v>1.631</v>
      </c>
      <c r="F881">
        <v>1.6279999999999999</v>
      </c>
      <c r="G881">
        <v>2413708</v>
      </c>
      <c r="H881" t="s">
        <v>634</v>
      </c>
    </row>
    <row r="882" spans="1:8" x14ac:dyDescent="0.25">
      <c r="A882" t="s">
        <v>573</v>
      </c>
      <c r="B882" t="s">
        <v>52</v>
      </c>
      <c r="C882" t="s">
        <v>397</v>
      </c>
      <c r="D882">
        <v>2152</v>
      </c>
      <c r="E882">
        <v>847.89400000000001</v>
      </c>
      <c r="F882">
        <v>825.69799999999998</v>
      </c>
      <c r="G882">
        <v>1940437</v>
      </c>
      <c r="H882" t="s">
        <v>637</v>
      </c>
    </row>
    <row r="883" spans="1:8" x14ac:dyDescent="0.25">
      <c r="A883" t="s">
        <v>573</v>
      </c>
      <c r="B883" t="s">
        <v>52</v>
      </c>
      <c r="C883" t="s">
        <v>397</v>
      </c>
      <c r="D883">
        <v>470</v>
      </c>
      <c r="E883">
        <v>185.18100000000001</v>
      </c>
      <c r="F883">
        <v>180.334</v>
      </c>
      <c r="G883">
        <v>1940437</v>
      </c>
      <c r="H883" t="s">
        <v>637</v>
      </c>
    </row>
    <row r="884" spans="1:8" x14ac:dyDescent="0.25">
      <c r="A884" t="s">
        <v>573</v>
      </c>
      <c r="B884" t="s">
        <v>52</v>
      </c>
      <c r="C884" t="s">
        <v>397</v>
      </c>
      <c r="D884">
        <v>3</v>
      </c>
      <c r="E884">
        <v>1.1819999999999999</v>
      </c>
      <c r="F884">
        <v>1.151</v>
      </c>
      <c r="G884">
        <v>1940437</v>
      </c>
      <c r="H884" t="s">
        <v>637</v>
      </c>
    </row>
    <row r="885" spans="1:8" x14ac:dyDescent="0.25">
      <c r="A885" t="s">
        <v>573</v>
      </c>
      <c r="B885" t="s">
        <v>52</v>
      </c>
      <c r="C885" t="s">
        <v>397</v>
      </c>
      <c r="D885">
        <v>297</v>
      </c>
      <c r="E885">
        <v>199.876</v>
      </c>
      <c r="F885">
        <v>124.443</v>
      </c>
      <c r="G885">
        <v>3667938</v>
      </c>
      <c r="H885" t="s">
        <v>639</v>
      </c>
    </row>
    <row r="886" spans="1:8" x14ac:dyDescent="0.25">
      <c r="A886" t="s">
        <v>573</v>
      </c>
      <c r="B886" t="s">
        <v>52</v>
      </c>
      <c r="C886" t="s">
        <v>397</v>
      </c>
      <c r="D886">
        <v>3</v>
      </c>
      <c r="E886">
        <v>2.0190000000000001</v>
      </c>
      <c r="F886">
        <v>1.2569999999999999</v>
      </c>
      <c r="G886">
        <v>3667938</v>
      </c>
      <c r="H886" t="s">
        <v>639</v>
      </c>
    </row>
    <row r="887" spans="1:8" x14ac:dyDescent="0.25">
      <c r="A887" t="s">
        <v>6018</v>
      </c>
      <c r="B887" t="s">
        <v>21</v>
      </c>
      <c r="C887" t="s">
        <v>397</v>
      </c>
      <c r="D887">
        <v>2121</v>
      </c>
      <c r="E887">
        <v>1162.2260000000001</v>
      </c>
      <c r="F887">
        <v>977.78099999999995</v>
      </c>
      <c r="G887">
        <v>3676836</v>
      </c>
      <c r="H887" t="s">
        <v>1367</v>
      </c>
    </row>
    <row r="888" spans="1:8" x14ac:dyDescent="0.25">
      <c r="A888" t="s">
        <v>6018</v>
      </c>
      <c r="B888" t="s">
        <v>21</v>
      </c>
      <c r="C888" t="s">
        <v>397</v>
      </c>
      <c r="D888">
        <v>2095</v>
      </c>
      <c r="E888">
        <v>1147.979</v>
      </c>
      <c r="F888">
        <v>965.79499999999996</v>
      </c>
      <c r="G888">
        <v>3676836</v>
      </c>
      <c r="H888" t="s">
        <v>1367</v>
      </c>
    </row>
    <row r="889" spans="1:8" x14ac:dyDescent="0.25">
      <c r="A889" t="s">
        <v>6018</v>
      </c>
      <c r="B889" t="s">
        <v>21</v>
      </c>
      <c r="C889" t="s">
        <v>397</v>
      </c>
      <c r="D889">
        <v>784</v>
      </c>
      <c r="E889">
        <v>429.60199999999998</v>
      </c>
      <c r="F889">
        <v>361.42399999999998</v>
      </c>
      <c r="G889">
        <v>3676836</v>
      </c>
      <c r="H889" t="s">
        <v>1367</v>
      </c>
    </row>
    <row r="890" spans="1:8" x14ac:dyDescent="0.25">
      <c r="A890" t="s">
        <v>6018</v>
      </c>
      <c r="B890" t="s">
        <v>21</v>
      </c>
      <c r="C890" t="s">
        <v>397</v>
      </c>
      <c r="D890">
        <v>1675</v>
      </c>
      <c r="E890">
        <v>1765.4649999999999</v>
      </c>
      <c r="F890">
        <v>2657.5549999999998</v>
      </c>
      <c r="G890">
        <v>3605736</v>
      </c>
      <c r="H890" t="s">
        <v>1698</v>
      </c>
    </row>
    <row r="891" spans="1:8" x14ac:dyDescent="0.25">
      <c r="A891" t="s">
        <v>6018</v>
      </c>
      <c r="B891" t="s">
        <v>21</v>
      </c>
      <c r="C891" t="s">
        <v>397</v>
      </c>
      <c r="D891">
        <v>1325</v>
      </c>
      <c r="E891">
        <v>1396.5619999999999</v>
      </c>
      <c r="F891">
        <v>2102.2449999999999</v>
      </c>
      <c r="G891">
        <v>3605736</v>
      </c>
      <c r="H891" t="s">
        <v>1698</v>
      </c>
    </row>
    <row r="892" spans="1:8" x14ac:dyDescent="0.25">
      <c r="A892" t="s">
        <v>6018</v>
      </c>
      <c r="B892" t="s">
        <v>21</v>
      </c>
      <c r="C892" t="s">
        <v>397</v>
      </c>
      <c r="D892">
        <v>1339</v>
      </c>
      <c r="E892">
        <v>246.518</v>
      </c>
      <c r="F892">
        <v>934.62199999999996</v>
      </c>
      <c r="G892">
        <v>1940868</v>
      </c>
      <c r="H892" t="s">
        <v>1715</v>
      </c>
    </row>
    <row r="893" spans="1:8" x14ac:dyDescent="0.25">
      <c r="A893" t="s">
        <v>6018</v>
      </c>
      <c r="B893" t="s">
        <v>21</v>
      </c>
      <c r="C893" t="s">
        <v>397</v>
      </c>
      <c r="D893">
        <v>587</v>
      </c>
      <c r="E893">
        <v>108.07</v>
      </c>
      <c r="F893">
        <v>409.726</v>
      </c>
      <c r="G893">
        <v>1940868</v>
      </c>
      <c r="H893" t="s">
        <v>1715</v>
      </c>
    </row>
    <row r="894" spans="1:8" x14ac:dyDescent="0.25">
      <c r="A894" t="s">
        <v>6018</v>
      </c>
      <c r="B894" t="s">
        <v>21</v>
      </c>
      <c r="C894" t="s">
        <v>397</v>
      </c>
      <c r="D894">
        <v>1499</v>
      </c>
      <c r="E894">
        <v>1104.818</v>
      </c>
      <c r="F894">
        <v>1911.2249999999999</v>
      </c>
      <c r="G894">
        <v>1932730</v>
      </c>
      <c r="H894" t="s">
        <v>1738</v>
      </c>
    </row>
    <row r="895" spans="1:8" x14ac:dyDescent="0.25">
      <c r="A895" t="s">
        <v>6018</v>
      </c>
      <c r="B895" t="s">
        <v>21</v>
      </c>
      <c r="C895" t="s">
        <v>397</v>
      </c>
      <c r="D895">
        <v>561</v>
      </c>
      <c r="E895">
        <v>413.47800000000001</v>
      </c>
      <c r="F895">
        <v>715.27499999999998</v>
      </c>
      <c r="G895">
        <v>1932730</v>
      </c>
      <c r="H895" t="s">
        <v>1738</v>
      </c>
    </row>
    <row r="896" spans="1:8" x14ac:dyDescent="0.25">
      <c r="A896" t="s">
        <v>6018</v>
      </c>
      <c r="B896" t="s">
        <v>21</v>
      </c>
      <c r="C896" t="s">
        <v>397</v>
      </c>
      <c r="D896">
        <v>560</v>
      </c>
      <c r="E896">
        <v>305.90699999999998</v>
      </c>
      <c r="F896">
        <v>440.72</v>
      </c>
      <c r="G896">
        <v>1940817</v>
      </c>
      <c r="H896" t="s">
        <v>1679</v>
      </c>
    </row>
    <row r="897" spans="1:8" x14ac:dyDescent="0.25">
      <c r="A897" t="s">
        <v>6018</v>
      </c>
      <c r="B897" t="s">
        <v>21</v>
      </c>
      <c r="C897" t="s">
        <v>397</v>
      </c>
      <c r="D897">
        <v>2649</v>
      </c>
      <c r="E897">
        <v>1589.4549999999999</v>
      </c>
      <c r="F897">
        <v>3086.88</v>
      </c>
      <c r="G897">
        <v>3676839</v>
      </c>
      <c r="H897" t="s">
        <v>1729</v>
      </c>
    </row>
    <row r="898" spans="1:8" x14ac:dyDescent="0.25">
      <c r="A898" t="s">
        <v>6018</v>
      </c>
      <c r="B898" t="s">
        <v>21</v>
      </c>
      <c r="C898" t="s">
        <v>397</v>
      </c>
      <c r="D898">
        <v>351</v>
      </c>
      <c r="E898">
        <v>210.607</v>
      </c>
      <c r="F898">
        <v>409.02</v>
      </c>
      <c r="G898">
        <v>3676839</v>
      </c>
      <c r="H898" t="s">
        <v>1729</v>
      </c>
    </row>
    <row r="899" spans="1:8" x14ac:dyDescent="0.25">
      <c r="A899" t="s">
        <v>5966</v>
      </c>
      <c r="B899" t="s">
        <v>37</v>
      </c>
      <c r="C899" t="s">
        <v>392</v>
      </c>
      <c r="D899">
        <v>118</v>
      </c>
      <c r="E899">
        <v>674.279</v>
      </c>
      <c r="F899">
        <v>2185</v>
      </c>
      <c r="G899">
        <v>3907863</v>
      </c>
      <c r="H899" t="s">
        <v>1749</v>
      </c>
    </row>
    <row r="900" spans="1:8" x14ac:dyDescent="0.25">
      <c r="A900" t="s">
        <v>5966</v>
      </c>
      <c r="B900" t="s">
        <v>37</v>
      </c>
      <c r="C900" t="s">
        <v>392</v>
      </c>
      <c r="D900">
        <v>80</v>
      </c>
      <c r="E900">
        <v>456.72</v>
      </c>
      <c r="F900">
        <v>1480</v>
      </c>
      <c r="G900">
        <v>3907863</v>
      </c>
      <c r="H900" t="s">
        <v>1749</v>
      </c>
    </row>
    <row r="901" spans="1:8" x14ac:dyDescent="0.25">
      <c r="A901" t="s">
        <v>5966</v>
      </c>
      <c r="B901" t="s">
        <v>37</v>
      </c>
      <c r="C901" t="s">
        <v>392</v>
      </c>
      <c r="D901">
        <v>84</v>
      </c>
      <c r="E901">
        <v>478.32100000000003</v>
      </c>
      <c r="F901">
        <v>1550</v>
      </c>
      <c r="G901">
        <v>3907863</v>
      </c>
      <c r="H901" t="s">
        <v>1749</v>
      </c>
    </row>
    <row r="902" spans="1:8" x14ac:dyDescent="0.25">
      <c r="A902" t="s">
        <v>5966</v>
      </c>
      <c r="B902" t="s">
        <v>37</v>
      </c>
      <c r="C902" t="s">
        <v>392</v>
      </c>
      <c r="D902">
        <v>80</v>
      </c>
      <c r="E902">
        <v>456.72</v>
      </c>
      <c r="F902">
        <v>1480</v>
      </c>
      <c r="G902">
        <v>3907863</v>
      </c>
      <c r="H902" t="s">
        <v>1749</v>
      </c>
    </row>
    <row r="903" spans="1:8" x14ac:dyDescent="0.25">
      <c r="A903" t="s">
        <v>5966</v>
      </c>
      <c r="B903" t="s">
        <v>37</v>
      </c>
      <c r="C903" t="s">
        <v>392</v>
      </c>
      <c r="D903">
        <v>82</v>
      </c>
      <c r="E903">
        <v>465.97699999999998</v>
      </c>
      <c r="F903">
        <v>1510</v>
      </c>
      <c r="G903">
        <v>3907863</v>
      </c>
      <c r="H903" t="s">
        <v>1749</v>
      </c>
    </row>
    <row r="904" spans="1:8" x14ac:dyDescent="0.25">
      <c r="A904" t="s">
        <v>5966</v>
      </c>
      <c r="B904" t="s">
        <v>37</v>
      </c>
      <c r="C904" t="s">
        <v>392</v>
      </c>
      <c r="D904">
        <v>78</v>
      </c>
      <c r="E904">
        <v>445.91899999999998</v>
      </c>
      <c r="F904">
        <v>1445</v>
      </c>
      <c r="G904">
        <v>3907863</v>
      </c>
      <c r="H904" t="s">
        <v>1749</v>
      </c>
    </row>
    <row r="905" spans="1:8" x14ac:dyDescent="0.25">
      <c r="A905" t="s">
        <v>5966</v>
      </c>
      <c r="B905" t="s">
        <v>37</v>
      </c>
      <c r="C905" t="s">
        <v>392</v>
      </c>
      <c r="D905">
        <v>76</v>
      </c>
      <c r="E905">
        <v>432.03199999999998</v>
      </c>
      <c r="F905">
        <v>1400</v>
      </c>
      <c r="G905">
        <v>3907863</v>
      </c>
      <c r="H905" t="s">
        <v>1749</v>
      </c>
    </row>
    <row r="906" spans="1:8" x14ac:dyDescent="0.25">
      <c r="A906" t="s">
        <v>5966</v>
      </c>
      <c r="B906" t="s">
        <v>37</v>
      </c>
      <c r="C906" t="s">
        <v>392</v>
      </c>
      <c r="D906">
        <v>82</v>
      </c>
      <c r="E906">
        <v>465.97699999999998</v>
      </c>
      <c r="F906">
        <v>1510</v>
      </c>
      <c r="G906">
        <v>3907863</v>
      </c>
      <c r="H906" t="s">
        <v>1749</v>
      </c>
    </row>
    <row r="907" spans="1:8" x14ac:dyDescent="0.25">
      <c r="A907" t="s">
        <v>5966</v>
      </c>
      <c r="B907" t="s">
        <v>37</v>
      </c>
      <c r="C907" t="s">
        <v>392</v>
      </c>
      <c r="D907">
        <v>80</v>
      </c>
      <c r="E907">
        <v>457.33699999999999</v>
      </c>
      <c r="F907">
        <v>1482</v>
      </c>
      <c r="G907">
        <v>3907863</v>
      </c>
      <c r="H907" t="s">
        <v>1749</v>
      </c>
    </row>
    <row r="908" spans="1:8" x14ac:dyDescent="0.25">
      <c r="A908" t="s">
        <v>5966</v>
      </c>
      <c r="B908" t="s">
        <v>37</v>
      </c>
      <c r="C908" t="s">
        <v>392</v>
      </c>
      <c r="D908">
        <v>73</v>
      </c>
      <c r="E908">
        <v>415.67700000000002</v>
      </c>
      <c r="F908">
        <v>1347</v>
      </c>
      <c r="G908">
        <v>3907863</v>
      </c>
      <c r="H908" t="s">
        <v>1749</v>
      </c>
    </row>
    <row r="909" spans="1:8" x14ac:dyDescent="0.25">
      <c r="A909" t="s">
        <v>5966</v>
      </c>
      <c r="B909" t="s">
        <v>37</v>
      </c>
      <c r="C909" t="s">
        <v>392</v>
      </c>
      <c r="D909">
        <v>81</v>
      </c>
      <c r="E909">
        <v>463.2</v>
      </c>
      <c r="F909">
        <v>1501</v>
      </c>
      <c r="G909">
        <v>3907863</v>
      </c>
      <c r="H909" t="s">
        <v>1749</v>
      </c>
    </row>
    <row r="910" spans="1:8" x14ac:dyDescent="0.25">
      <c r="A910" t="s">
        <v>5966</v>
      </c>
      <c r="B910" t="s">
        <v>37</v>
      </c>
      <c r="C910" t="s">
        <v>392</v>
      </c>
      <c r="D910">
        <v>74</v>
      </c>
      <c r="E910">
        <v>421.84800000000001</v>
      </c>
      <c r="F910">
        <v>1367</v>
      </c>
      <c r="G910">
        <v>3907863</v>
      </c>
      <c r="H910" t="s">
        <v>1749</v>
      </c>
    </row>
    <row r="911" spans="1:8" x14ac:dyDescent="0.25">
      <c r="A911" t="s">
        <v>5966</v>
      </c>
      <c r="B911" t="s">
        <v>37</v>
      </c>
      <c r="C911" t="s">
        <v>392</v>
      </c>
      <c r="D911">
        <v>80</v>
      </c>
      <c r="E911">
        <v>457.33699999999999</v>
      </c>
      <c r="F911">
        <v>1482</v>
      </c>
      <c r="G911">
        <v>3907863</v>
      </c>
      <c r="H911" t="s">
        <v>1749</v>
      </c>
    </row>
    <row r="912" spans="1:8" x14ac:dyDescent="0.25">
      <c r="A912" t="s">
        <v>5966</v>
      </c>
      <c r="B912" t="s">
        <v>37</v>
      </c>
      <c r="C912" t="s">
        <v>392</v>
      </c>
      <c r="D912">
        <v>79</v>
      </c>
      <c r="E912">
        <v>451.47399999999999</v>
      </c>
      <c r="F912">
        <v>1463</v>
      </c>
      <c r="G912">
        <v>3907863</v>
      </c>
      <c r="H912" t="s">
        <v>1749</v>
      </c>
    </row>
    <row r="913" spans="1:8" x14ac:dyDescent="0.25">
      <c r="A913" t="s">
        <v>5966</v>
      </c>
      <c r="B913" t="s">
        <v>37</v>
      </c>
      <c r="C913" t="s">
        <v>392</v>
      </c>
      <c r="D913">
        <v>78</v>
      </c>
      <c r="E913">
        <v>445.61</v>
      </c>
      <c r="F913">
        <v>1444</v>
      </c>
      <c r="G913">
        <v>3907863</v>
      </c>
      <c r="H913" t="s">
        <v>1749</v>
      </c>
    </row>
    <row r="914" spans="1:8" x14ac:dyDescent="0.25">
      <c r="A914" t="s">
        <v>5966</v>
      </c>
      <c r="B914" t="s">
        <v>37</v>
      </c>
      <c r="C914" t="s">
        <v>392</v>
      </c>
      <c r="D914">
        <v>29</v>
      </c>
      <c r="E914">
        <v>164.78899999999999</v>
      </c>
      <c r="F914">
        <v>534</v>
      </c>
      <c r="G914">
        <v>3907863</v>
      </c>
      <c r="H914" t="s">
        <v>1749</v>
      </c>
    </row>
    <row r="915" spans="1:8" x14ac:dyDescent="0.25">
      <c r="A915" t="s">
        <v>6019</v>
      </c>
      <c r="B915" t="s">
        <v>198</v>
      </c>
      <c r="C915" t="s">
        <v>397</v>
      </c>
      <c r="D915">
        <v>1995</v>
      </c>
      <c r="E915">
        <v>1169.0519999999999</v>
      </c>
      <c r="F915">
        <v>766.08</v>
      </c>
      <c r="G915">
        <v>3696704</v>
      </c>
      <c r="H915" t="s">
        <v>1221</v>
      </c>
    </row>
    <row r="916" spans="1:8" x14ac:dyDescent="0.25">
      <c r="A916" t="s">
        <v>6019</v>
      </c>
      <c r="B916" t="s">
        <v>198</v>
      </c>
      <c r="C916" t="s">
        <v>397</v>
      </c>
      <c r="D916">
        <v>1143</v>
      </c>
      <c r="E916">
        <v>669.78800000000001</v>
      </c>
      <c r="F916">
        <v>438.91199999999998</v>
      </c>
      <c r="G916">
        <v>3696704</v>
      </c>
      <c r="H916" t="s">
        <v>1221</v>
      </c>
    </row>
    <row r="917" spans="1:8" x14ac:dyDescent="0.25">
      <c r="A917" t="s">
        <v>6019</v>
      </c>
      <c r="B917" t="s">
        <v>198</v>
      </c>
      <c r="C917" t="s">
        <v>397</v>
      </c>
      <c r="D917">
        <v>628</v>
      </c>
      <c r="E917">
        <v>368.00200000000001</v>
      </c>
      <c r="F917">
        <v>241.15199999999999</v>
      </c>
      <c r="G917">
        <v>3696704</v>
      </c>
      <c r="H917" t="s">
        <v>1221</v>
      </c>
    </row>
    <row r="918" spans="1:8" x14ac:dyDescent="0.25">
      <c r="A918" t="s">
        <v>6019</v>
      </c>
      <c r="B918" t="s">
        <v>198</v>
      </c>
      <c r="C918" t="s">
        <v>397</v>
      </c>
      <c r="D918">
        <v>572</v>
      </c>
      <c r="E918">
        <v>335.18700000000001</v>
      </c>
      <c r="F918">
        <v>219.648</v>
      </c>
      <c r="G918">
        <v>3696704</v>
      </c>
      <c r="H918" t="s">
        <v>1221</v>
      </c>
    </row>
    <row r="919" spans="1:8" x14ac:dyDescent="0.25">
      <c r="A919" t="s">
        <v>6019</v>
      </c>
      <c r="B919" t="s">
        <v>198</v>
      </c>
      <c r="C919" t="s">
        <v>397</v>
      </c>
      <c r="D919">
        <v>195</v>
      </c>
      <c r="E919">
        <v>114.268</v>
      </c>
      <c r="F919">
        <v>74.88</v>
      </c>
      <c r="G919">
        <v>3696704</v>
      </c>
      <c r="H919" t="s">
        <v>1221</v>
      </c>
    </row>
    <row r="920" spans="1:8" x14ac:dyDescent="0.25">
      <c r="A920" t="s">
        <v>6019</v>
      </c>
      <c r="B920" t="s">
        <v>198</v>
      </c>
      <c r="C920" t="s">
        <v>397</v>
      </c>
      <c r="D920">
        <v>97</v>
      </c>
      <c r="E920">
        <v>56.841000000000001</v>
      </c>
      <c r="F920">
        <v>37.247999999999998</v>
      </c>
      <c r="G920">
        <v>3696704</v>
      </c>
      <c r="H920" t="s">
        <v>1221</v>
      </c>
    </row>
    <row r="921" spans="1:8" x14ac:dyDescent="0.25">
      <c r="A921" t="s">
        <v>6019</v>
      </c>
      <c r="B921" t="s">
        <v>198</v>
      </c>
      <c r="C921" t="s">
        <v>397</v>
      </c>
      <c r="D921">
        <v>20</v>
      </c>
      <c r="E921">
        <v>11.72</v>
      </c>
      <c r="F921">
        <v>7.68</v>
      </c>
      <c r="G921">
        <v>3696704</v>
      </c>
      <c r="H921" t="s">
        <v>1221</v>
      </c>
    </row>
    <row r="922" spans="1:8" x14ac:dyDescent="0.25">
      <c r="A922" t="s">
        <v>6019</v>
      </c>
      <c r="B922" t="s">
        <v>198</v>
      </c>
      <c r="C922" t="s">
        <v>397</v>
      </c>
      <c r="D922">
        <v>4761</v>
      </c>
      <c r="E922">
        <v>2419.37</v>
      </c>
      <c r="F922">
        <v>1585.413</v>
      </c>
      <c r="G922">
        <v>3442449</v>
      </c>
      <c r="H922" t="s">
        <v>1215</v>
      </c>
    </row>
    <row r="923" spans="1:8" x14ac:dyDescent="0.25">
      <c r="A923" t="s">
        <v>6019</v>
      </c>
      <c r="B923" t="s">
        <v>198</v>
      </c>
      <c r="C923" t="s">
        <v>397</v>
      </c>
      <c r="D923">
        <v>1042</v>
      </c>
      <c r="E923">
        <v>529.50699999999995</v>
      </c>
      <c r="F923">
        <v>346.98599999999999</v>
      </c>
      <c r="G923">
        <v>3442449</v>
      </c>
      <c r="H923" t="s">
        <v>1215</v>
      </c>
    </row>
    <row r="924" spans="1:8" x14ac:dyDescent="0.25">
      <c r="A924" t="s">
        <v>6019</v>
      </c>
      <c r="B924" t="s">
        <v>198</v>
      </c>
      <c r="C924" t="s">
        <v>397</v>
      </c>
      <c r="D924">
        <v>971</v>
      </c>
      <c r="E924">
        <v>493.42700000000002</v>
      </c>
      <c r="F924">
        <v>323.34300000000002</v>
      </c>
      <c r="G924">
        <v>3442449</v>
      </c>
      <c r="H924" t="s">
        <v>1215</v>
      </c>
    </row>
    <row r="925" spans="1:8" x14ac:dyDescent="0.25">
      <c r="A925" t="s">
        <v>6019</v>
      </c>
      <c r="B925" t="s">
        <v>198</v>
      </c>
      <c r="C925" t="s">
        <v>397</v>
      </c>
      <c r="D925">
        <v>936</v>
      </c>
      <c r="E925">
        <v>475.642</v>
      </c>
      <c r="F925">
        <v>311.68799999999999</v>
      </c>
      <c r="G925">
        <v>3442449</v>
      </c>
      <c r="H925" t="s">
        <v>1215</v>
      </c>
    </row>
    <row r="926" spans="1:8" x14ac:dyDescent="0.25">
      <c r="A926" t="s">
        <v>6019</v>
      </c>
      <c r="B926" t="s">
        <v>198</v>
      </c>
      <c r="C926" t="s">
        <v>397</v>
      </c>
      <c r="D926">
        <v>22</v>
      </c>
      <c r="E926">
        <v>11.18</v>
      </c>
      <c r="F926">
        <v>7.3259999999999996</v>
      </c>
      <c r="G926">
        <v>3442449</v>
      </c>
      <c r="H926" t="s">
        <v>1215</v>
      </c>
    </row>
    <row r="927" spans="1:8" x14ac:dyDescent="0.25">
      <c r="A927" t="s">
        <v>6019</v>
      </c>
      <c r="B927" t="s">
        <v>198</v>
      </c>
      <c r="C927" t="s">
        <v>397</v>
      </c>
      <c r="D927">
        <v>18</v>
      </c>
      <c r="E927">
        <v>9.1470000000000002</v>
      </c>
      <c r="F927">
        <v>5.9939999999999998</v>
      </c>
      <c r="G927">
        <v>3442449</v>
      </c>
      <c r="H927" t="s">
        <v>1215</v>
      </c>
    </row>
    <row r="928" spans="1:8" x14ac:dyDescent="0.25">
      <c r="A928" t="s">
        <v>6019</v>
      </c>
      <c r="B928" t="s">
        <v>198</v>
      </c>
      <c r="C928" t="s">
        <v>397</v>
      </c>
      <c r="D928">
        <v>2467</v>
      </c>
      <c r="E928">
        <v>1272.4649999999999</v>
      </c>
      <c r="F928">
        <v>833.846</v>
      </c>
      <c r="G928">
        <v>1940099</v>
      </c>
      <c r="H928" t="s">
        <v>1219</v>
      </c>
    </row>
    <row r="929" spans="1:8" x14ac:dyDescent="0.25">
      <c r="A929" t="s">
        <v>6019</v>
      </c>
      <c r="B929" t="s">
        <v>198</v>
      </c>
      <c r="C929" t="s">
        <v>397</v>
      </c>
      <c r="D929">
        <v>140</v>
      </c>
      <c r="E929">
        <v>72.210999999999999</v>
      </c>
      <c r="F929">
        <v>47.32</v>
      </c>
      <c r="G929">
        <v>1940099</v>
      </c>
      <c r="H929" t="s">
        <v>1219</v>
      </c>
    </row>
    <row r="930" spans="1:8" x14ac:dyDescent="0.25">
      <c r="A930" t="s">
        <v>6019</v>
      </c>
      <c r="B930" t="s">
        <v>198</v>
      </c>
      <c r="C930" t="s">
        <v>397</v>
      </c>
      <c r="D930">
        <v>34</v>
      </c>
      <c r="E930">
        <v>17.536999999999999</v>
      </c>
      <c r="F930">
        <v>11.492000000000001</v>
      </c>
      <c r="G930">
        <v>1940099</v>
      </c>
      <c r="H930" t="s">
        <v>1219</v>
      </c>
    </row>
    <row r="931" spans="1:8" x14ac:dyDescent="0.25">
      <c r="A931" t="s">
        <v>6019</v>
      </c>
      <c r="B931" t="s">
        <v>198</v>
      </c>
      <c r="C931" t="s">
        <v>397</v>
      </c>
      <c r="D931">
        <v>9</v>
      </c>
      <c r="E931">
        <v>4.6420000000000003</v>
      </c>
      <c r="F931">
        <v>3.0419999999999998</v>
      </c>
      <c r="G931">
        <v>1940099</v>
      </c>
      <c r="H931" t="s">
        <v>1219</v>
      </c>
    </row>
    <row r="932" spans="1:8" x14ac:dyDescent="0.25">
      <c r="A932" t="s">
        <v>6019</v>
      </c>
      <c r="B932" t="s">
        <v>198</v>
      </c>
      <c r="C932" t="s">
        <v>397</v>
      </c>
      <c r="D932">
        <v>3147</v>
      </c>
      <c r="E932">
        <v>777.98599999999999</v>
      </c>
      <c r="F932">
        <v>509.81400000000002</v>
      </c>
      <c r="G932">
        <v>3722840</v>
      </c>
      <c r="H932" t="s">
        <v>6022</v>
      </c>
    </row>
    <row r="933" spans="1:8" x14ac:dyDescent="0.25">
      <c r="A933" t="s">
        <v>6019</v>
      </c>
      <c r="B933" t="s">
        <v>198</v>
      </c>
      <c r="C933" t="s">
        <v>397</v>
      </c>
      <c r="D933">
        <v>3067</v>
      </c>
      <c r="E933">
        <v>758.20799999999997</v>
      </c>
      <c r="F933">
        <v>496.85399999999998</v>
      </c>
      <c r="G933">
        <v>3722840</v>
      </c>
      <c r="H933" t="s">
        <v>6022</v>
      </c>
    </row>
    <row r="934" spans="1:8" x14ac:dyDescent="0.25">
      <c r="A934" t="s">
        <v>6019</v>
      </c>
      <c r="B934" t="s">
        <v>198</v>
      </c>
      <c r="C934" t="s">
        <v>397</v>
      </c>
      <c r="D934">
        <v>786</v>
      </c>
      <c r="E934">
        <v>194.31100000000001</v>
      </c>
      <c r="F934">
        <v>127.33199999999999</v>
      </c>
      <c r="G934">
        <v>3722840</v>
      </c>
      <c r="H934" t="s">
        <v>6022</v>
      </c>
    </row>
    <row r="935" spans="1:8" x14ac:dyDescent="0.25">
      <c r="A935" t="s">
        <v>6019</v>
      </c>
      <c r="B935" t="s">
        <v>198</v>
      </c>
      <c r="C935" t="s">
        <v>397</v>
      </c>
      <c r="D935">
        <v>109</v>
      </c>
      <c r="E935">
        <v>81.337999999999994</v>
      </c>
      <c r="F935">
        <v>53.301000000000002</v>
      </c>
      <c r="G935">
        <v>3722839</v>
      </c>
      <c r="H935" t="s">
        <v>1227</v>
      </c>
    </row>
    <row r="936" spans="1:8" x14ac:dyDescent="0.25">
      <c r="A936" t="s">
        <v>6019</v>
      </c>
      <c r="B936" t="s">
        <v>198</v>
      </c>
      <c r="C936" t="s">
        <v>397</v>
      </c>
      <c r="D936">
        <v>91</v>
      </c>
      <c r="E936">
        <v>67.906000000000006</v>
      </c>
      <c r="F936">
        <v>44.499000000000002</v>
      </c>
      <c r="G936">
        <v>3722839</v>
      </c>
      <c r="H936" t="s">
        <v>1227</v>
      </c>
    </row>
    <row r="937" spans="1:8" x14ac:dyDescent="0.25">
      <c r="A937" t="s">
        <v>6019</v>
      </c>
      <c r="B937" t="s">
        <v>198</v>
      </c>
      <c r="C937" t="s">
        <v>397</v>
      </c>
      <c r="D937">
        <v>4944</v>
      </c>
      <c r="E937">
        <v>3463.7330000000002</v>
      </c>
      <c r="F937">
        <v>1517.808</v>
      </c>
      <c r="G937">
        <v>2319114</v>
      </c>
      <c r="H937" t="s">
        <v>1160</v>
      </c>
    </row>
    <row r="938" spans="1:8" x14ac:dyDescent="0.25">
      <c r="A938" t="s">
        <v>6019</v>
      </c>
      <c r="B938" t="s">
        <v>198</v>
      </c>
      <c r="C938" t="s">
        <v>397</v>
      </c>
      <c r="D938">
        <v>456</v>
      </c>
      <c r="E938">
        <v>319.471</v>
      </c>
      <c r="F938">
        <v>139.99199999999999</v>
      </c>
      <c r="G938">
        <v>2319114</v>
      </c>
      <c r="H938" t="s">
        <v>1160</v>
      </c>
    </row>
    <row r="939" spans="1:8" x14ac:dyDescent="0.25">
      <c r="A939" t="s">
        <v>6019</v>
      </c>
      <c r="B939" t="s">
        <v>198</v>
      </c>
      <c r="C939" t="s">
        <v>397</v>
      </c>
      <c r="D939">
        <v>2279</v>
      </c>
      <c r="E939">
        <v>1140.7170000000001</v>
      </c>
      <c r="F939">
        <v>747.51199999999994</v>
      </c>
      <c r="G939">
        <v>3442448</v>
      </c>
      <c r="H939" t="s">
        <v>1213</v>
      </c>
    </row>
    <row r="940" spans="1:8" x14ac:dyDescent="0.25">
      <c r="A940" t="s">
        <v>6019</v>
      </c>
      <c r="B940" t="s">
        <v>198</v>
      </c>
      <c r="C940" t="s">
        <v>397</v>
      </c>
      <c r="D940">
        <v>1112</v>
      </c>
      <c r="E940">
        <v>556.59400000000005</v>
      </c>
      <c r="F940">
        <v>364.73599999999999</v>
      </c>
      <c r="G940">
        <v>3442448</v>
      </c>
      <c r="H940" t="s">
        <v>1213</v>
      </c>
    </row>
    <row r="941" spans="1:8" x14ac:dyDescent="0.25">
      <c r="A941" t="s">
        <v>6019</v>
      </c>
      <c r="B941" t="s">
        <v>198</v>
      </c>
      <c r="C941" t="s">
        <v>397</v>
      </c>
      <c r="D941">
        <v>432</v>
      </c>
      <c r="E941">
        <v>216.23099999999999</v>
      </c>
      <c r="F941">
        <v>141.696</v>
      </c>
      <c r="G941">
        <v>3442448</v>
      </c>
      <c r="H941" t="s">
        <v>1213</v>
      </c>
    </row>
    <row r="942" spans="1:8" x14ac:dyDescent="0.25">
      <c r="A942" t="s">
        <v>6019</v>
      </c>
      <c r="B942" t="s">
        <v>198</v>
      </c>
      <c r="C942" t="s">
        <v>397</v>
      </c>
      <c r="D942">
        <v>412</v>
      </c>
      <c r="E942">
        <v>206.22</v>
      </c>
      <c r="F942">
        <v>135.136</v>
      </c>
      <c r="G942">
        <v>3442448</v>
      </c>
      <c r="H942" t="s">
        <v>1213</v>
      </c>
    </row>
    <row r="943" spans="1:8" x14ac:dyDescent="0.25">
      <c r="A943" t="s">
        <v>6019</v>
      </c>
      <c r="B943" t="s">
        <v>198</v>
      </c>
      <c r="C943" t="s">
        <v>397</v>
      </c>
      <c r="D943">
        <v>15</v>
      </c>
      <c r="E943">
        <v>7.508</v>
      </c>
      <c r="F943">
        <v>4.92</v>
      </c>
      <c r="G943">
        <v>3442448</v>
      </c>
      <c r="H943" t="s">
        <v>1213</v>
      </c>
    </row>
    <row r="944" spans="1:8" x14ac:dyDescent="0.25">
      <c r="A944" t="s">
        <v>6019</v>
      </c>
      <c r="B944" t="s">
        <v>198</v>
      </c>
      <c r="C944" t="s">
        <v>397</v>
      </c>
      <c r="D944">
        <v>179</v>
      </c>
      <c r="E944">
        <v>165.57599999999999</v>
      </c>
      <c r="F944">
        <v>72.539000000000001</v>
      </c>
      <c r="G944">
        <v>3517740</v>
      </c>
      <c r="H944" t="s">
        <v>6023</v>
      </c>
    </row>
    <row r="945" spans="1:8" x14ac:dyDescent="0.25">
      <c r="A945" t="s">
        <v>6019</v>
      </c>
      <c r="B945" t="s">
        <v>198</v>
      </c>
      <c r="C945" t="s">
        <v>397</v>
      </c>
      <c r="D945">
        <v>21</v>
      </c>
      <c r="E945">
        <v>19.425000000000001</v>
      </c>
      <c r="F945">
        <v>8.51</v>
      </c>
      <c r="G945">
        <v>3517740</v>
      </c>
      <c r="H945" t="s">
        <v>6023</v>
      </c>
    </row>
    <row r="946" spans="1:8" x14ac:dyDescent="0.25">
      <c r="A946" t="s">
        <v>6019</v>
      </c>
      <c r="B946" t="s">
        <v>198</v>
      </c>
      <c r="C946" t="s">
        <v>397</v>
      </c>
      <c r="D946">
        <v>879</v>
      </c>
      <c r="E946">
        <v>395.601</v>
      </c>
      <c r="F946">
        <v>272.49</v>
      </c>
      <c r="G946">
        <v>1933568</v>
      </c>
      <c r="H946" t="s">
        <v>6024</v>
      </c>
    </row>
    <row r="947" spans="1:8" x14ac:dyDescent="0.25">
      <c r="A947" t="s">
        <v>6019</v>
      </c>
      <c r="B947" t="s">
        <v>198</v>
      </c>
      <c r="C947" t="s">
        <v>397</v>
      </c>
      <c r="D947">
        <v>25</v>
      </c>
      <c r="E947">
        <v>11.250999999999999</v>
      </c>
      <c r="F947">
        <v>7.75</v>
      </c>
      <c r="G947">
        <v>1933568</v>
      </c>
      <c r="H947" t="s">
        <v>6024</v>
      </c>
    </row>
    <row r="948" spans="1:8" x14ac:dyDescent="0.25">
      <c r="A948" t="s">
        <v>6019</v>
      </c>
      <c r="B948" t="s">
        <v>198</v>
      </c>
      <c r="C948" t="s">
        <v>397</v>
      </c>
      <c r="D948">
        <v>24</v>
      </c>
      <c r="E948">
        <v>10.801</v>
      </c>
      <c r="F948">
        <v>7.44</v>
      </c>
      <c r="G948">
        <v>1933568</v>
      </c>
      <c r="H948" t="s">
        <v>6024</v>
      </c>
    </row>
    <row r="949" spans="1:8" x14ac:dyDescent="0.25">
      <c r="A949" t="s">
        <v>6019</v>
      </c>
      <c r="B949" t="s">
        <v>198</v>
      </c>
      <c r="C949" t="s">
        <v>397</v>
      </c>
      <c r="D949">
        <v>16</v>
      </c>
      <c r="E949">
        <v>7.2009999999999996</v>
      </c>
      <c r="F949">
        <v>4.96</v>
      </c>
      <c r="G949">
        <v>1933568</v>
      </c>
      <c r="H949" t="s">
        <v>6024</v>
      </c>
    </row>
    <row r="950" spans="1:8" x14ac:dyDescent="0.25">
      <c r="A950" t="s">
        <v>6019</v>
      </c>
      <c r="B950" t="s">
        <v>198</v>
      </c>
      <c r="C950" t="s">
        <v>397</v>
      </c>
      <c r="D950">
        <v>6</v>
      </c>
      <c r="E950">
        <v>2.7</v>
      </c>
      <c r="F950">
        <v>1.86</v>
      </c>
      <c r="G950">
        <v>1933568</v>
      </c>
      <c r="H950" t="s">
        <v>6024</v>
      </c>
    </row>
    <row r="951" spans="1:8" x14ac:dyDescent="0.25">
      <c r="A951" t="s">
        <v>6019</v>
      </c>
      <c r="B951" t="s">
        <v>198</v>
      </c>
      <c r="C951" t="s">
        <v>397</v>
      </c>
      <c r="D951">
        <v>896</v>
      </c>
      <c r="E951">
        <v>598.88300000000004</v>
      </c>
      <c r="F951">
        <v>392.44799999999998</v>
      </c>
      <c r="G951">
        <v>3863795</v>
      </c>
      <c r="H951" t="s">
        <v>1225</v>
      </c>
    </row>
    <row r="952" spans="1:8" x14ac:dyDescent="0.25">
      <c r="A952" t="s">
        <v>6019</v>
      </c>
      <c r="B952" t="s">
        <v>198</v>
      </c>
      <c r="C952" t="s">
        <v>397</v>
      </c>
      <c r="D952">
        <v>312</v>
      </c>
      <c r="E952">
        <v>208.54</v>
      </c>
      <c r="F952">
        <v>136.65600000000001</v>
      </c>
      <c r="G952">
        <v>3863795</v>
      </c>
      <c r="H952" t="s">
        <v>1225</v>
      </c>
    </row>
    <row r="953" spans="1:8" x14ac:dyDescent="0.25">
      <c r="A953" t="s">
        <v>6019</v>
      </c>
      <c r="B953" t="s">
        <v>198</v>
      </c>
      <c r="C953" t="s">
        <v>397</v>
      </c>
      <c r="D953">
        <v>89</v>
      </c>
      <c r="E953">
        <v>59.487000000000002</v>
      </c>
      <c r="F953">
        <v>38.981999999999999</v>
      </c>
      <c r="G953">
        <v>3863795</v>
      </c>
      <c r="H953" t="s">
        <v>1225</v>
      </c>
    </row>
    <row r="954" spans="1:8" x14ac:dyDescent="0.25">
      <c r="A954" t="s">
        <v>6019</v>
      </c>
      <c r="B954" t="s">
        <v>198</v>
      </c>
      <c r="C954" t="s">
        <v>397</v>
      </c>
      <c r="D954">
        <v>3</v>
      </c>
      <c r="E954">
        <v>2.0049999999999999</v>
      </c>
      <c r="F954">
        <v>1.3140000000000001</v>
      </c>
      <c r="G954">
        <v>3863795</v>
      </c>
      <c r="H954" t="s">
        <v>1225</v>
      </c>
    </row>
    <row r="955" spans="1:8" x14ac:dyDescent="0.25">
      <c r="A955" t="s">
        <v>6015</v>
      </c>
      <c r="B955" t="s">
        <v>65</v>
      </c>
      <c r="C955" t="s">
        <v>397</v>
      </c>
      <c r="D955">
        <v>1281</v>
      </c>
      <c r="E955">
        <v>731.23099999999999</v>
      </c>
      <c r="F955">
        <v>1356.579</v>
      </c>
      <c r="G955">
        <v>3781648</v>
      </c>
      <c r="H955" t="s">
        <v>1755</v>
      </c>
    </row>
    <row r="956" spans="1:8" x14ac:dyDescent="0.25">
      <c r="A956" t="s">
        <v>6015</v>
      </c>
      <c r="B956" t="s">
        <v>65</v>
      </c>
      <c r="C956" t="s">
        <v>397</v>
      </c>
      <c r="D956">
        <v>1119</v>
      </c>
      <c r="E956">
        <v>638.75599999999997</v>
      </c>
      <c r="F956">
        <v>1185.021</v>
      </c>
      <c r="G956">
        <v>3781648</v>
      </c>
      <c r="H956" t="s">
        <v>1755</v>
      </c>
    </row>
    <row r="957" spans="1:8" x14ac:dyDescent="0.25">
      <c r="A957" t="s">
        <v>6015</v>
      </c>
      <c r="B957" t="s">
        <v>65</v>
      </c>
      <c r="C957" t="s">
        <v>397</v>
      </c>
      <c r="D957">
        <v>1040</v>
      </c>
      <c r="E957">
        <v>593.66099999999994</v>
      </c>
      <c r="F957">
        <v>1101.3599999999999</v>
      </c>
      <c r="G957">
        <v>3781648</v>
      </c>
      <c r="H957" t="s">
        <v>1755</v>
      </c>
    </row>
    <row r="958" spans="1:8" x14ac:dyDescent="0.25">
      <c r="A958" t="s">
        <v>6015</v>
      </c>
      <c r="B958" t="s">
        <v>65</v>
      </c>
      <c r="C958" t="s">
        <v>397</v>
      </c>
      <c r="D958">
        <v>749</v>
      </c>
      <c r="E958">
        <v>427.55</v>
      </c>
      <c r="F958">
        <v>793.19100000000003</v>
      </c>
      <c r="G958">
        <v>3781648</v>
      </c>
      <c r="H958" t="s">
        <v>1755</v>
      </c>
    </row>
    <row r="959" spans="1:8" x14ac:dyDescent="0.25">
      <c r="A959" t="s">
        <v>6015</v>
      </c>
      <c r="B959" t="s">
        <v>65</v>
      </c>
      <c r="C959" t="s">
        <v>397</v>
      </c>
      <c r="D959">
        <v>710</v>
      </c>
      <c r="E959">
        <v>405.28800000000001</v>
      </c>
      <c r="F959">
        <v>751.89</v>
      </c>
      <c r="G959">
        <v>3781648</v>
      </c>
      <c r="H959" t="s">
        <v>1755</v>
      </c>
    </row>
    <row r="960" spans="1:8" x14ac:dyDescent="0.25">
      <c r="A960" t="s">
        <v>6015</v>
      </c>
      <c r="B960" t="s">
        <v>65</v>
      </c>
      <c r="C960" t="s">
        <v>397</v>
      </c>
      <c r="D960">
        <v>660</v>
      </c>
      <c r="E960">
        <v>376.74599999999998</v>
      </c>
      <c r="F960">
        <v>698.94</v>
      </c>
      <c r="G960">
        <v>3781648</v>
      </c>
      <c r="H960" t="s">
        <v>1755</v>
      </c>
    </row>
    <row r="961" spans="1:8" x14ac:dyDescent="0.25">
      <c r="A961" t="s">
        <v>6015</v>
      </c>
      <c r="B961" t="s">
        <v>65</v>
      </c>
      <c r="C961" t="s">
        <v>397</v>
      </c>
      <c r="D961">
        <v>650</v>
      </c>
      <c r="E961">
        <v>371.03800000000001</v>
      </c>
      <c r="F961">
        <v>688.35</v>
      </c>
      <c r="G961">
        <v>3781648</v>
      </c>
      <c r="H961" t="s">
        <v>1755</v>
      </c>
    </row>
    <row r="962" spans="1:8" x14ac:dyDescent="0.25">
      <c r="A962" t="s">
        <v>6015</v>
      </c>
      <c r="B962" t="s">
        <v>65</v>
      </c>
      <c r="C962" t="s">
        <v>397</v>
      </c>
      <c r="D962">
        <v>559</v>
      </c>
      <c r="E962">
        <v>319.09300000000002</v>
      </c>
      <c r="F962">
        <v>591.98099999999999</v>
      </c>
      <c r="G962">
        <v>3781648</v>
      </c>
      <c r="H962" t="s">
        <v>1755</v>
      </c>
    </row>
    <row r="963" spans="1:8" x14ac:dyDescent="0.25">
      <c r="A963" t="s">
        <v>6015</v>
      </c>
      <c r="B963" t="s">
        <v>65</v>
      </c>
      <c r="C963" t="s">
        <v>397</v>
      </c>
      <c r="D963">
        <v>259</v>
      </c>
      <c r="E963">
        <v>147.84399999999999</v>
      </c>
      <c r="F963">
        <v>274.28100000000001</v>
      </c>
      <c r="G963">
        <v>3781648</v>
      </c>
      <c r="H963" t="s">
        <v>1755</v>
      </c>
    </row>
    <row r="964" spans="1:8" x14ac:dyDescent="0.25">
      <c r="A964" t="s">
        <v>6015</v>
      </c>
      <c r="B964" t="s">
        <v>65</v>
      </c>
      <c r="C964" t="s">
        <v>397</v>
      </c>
      <c r="D964">
        <v>70</v>
      </c>
      <c r="E964">
        <v>39.957999999999998</v>
      </c>
      <c r="F964">
        <v>74.13</v>
      </c>
      <c r="G964">
        <v>3781648</v>
      </c>
      <c r="H964" t="s">
        <v>1755</v>
      </c>
    </row>
    <row r="965" spans="1:8" x14ac:dyDescent="0.25">
      <c r="A965" t="s">
        <v>6015</v>
      </c>
      <c r="B965" t="s">
        <v>65</v>
      </c>
      <c r="C965" t="s">
        <v>397</v>
      </c>
      <c r="D965">
        <v>63</v>
      </c>
      <c r="E965">
        <v>35.962000000000003</v>
      </c>
      <c r="F965">
        <v>66.716999999999999</v>
      </c>
      <c r="G965">
        <v>3781648</v>
      </c>
      <c r="H965" t="s">
        <v>1755</v>
      </c>
    </row>
    <row r="966" spans="1:8" x14ac:dyDescent="0.25">
      <c r="A966" t="s">
        <v>6015</v>
      </c>
      <c r="B966" t="s">
        <v>65</v>
      </c>
      <c r="C966" t="s">
        <v>397</v>
      </c>
      <c r="D966">
        <v>4800</v>
      </c>
      <c r="E966">
        <v>891.67700000000002</v>
      </c>
      <c r="F966">
        <v>369.6</v>
      </c>
      <c r="G966">
        <v>3204544</v>
      </c>
      <c r="H966" t="s">
        <v>1145</v>
      </c>
    </row>
    <row r="967" spans="1:8" x14ac:dyDescent="0.25">
      <c r="A967" t="s">
        <v>6015</v>
      </c>
      <c r="B967" t="s">
        <v>65</v>
      </c>
      <c r="C967" t="s">
        <v>397</v>
      </c>
      <c r="D967">
        <v>1970</v>
      </c>
      <c r="E967">
        <v>492.50799999999998</v>
      </c>
      <c r="F967">
        <v>327.52300000000002</v>
      </c>
      <c r="G967">
        <v>3781686</v>
      </c>
      <c r="H967" t="s">
        <v>6017</v>
      </c>
    </row>
    <row r="968" spans="1:8" x14ac:dyDescent="0.25">
      <c r="A968" t="s">
        <v>6015</v>
      </c>
      <c r="B968" t="s">
        <v>65</v>
      </c>
      <c r="C968" t="s">
        <v>397</v>
      </c>
      <c r="D968">
        <v>1966</v>
      </c>
      <c r="E968">
        <v>491.50799999999998</v>
      </c>
      <c r="F968">
        <v>326.858</v>
      </c>
      <c r="G968">
        <v>3781686</v>
      </c>
      <c r="H968" t="s">
        <v>6017</v>
      </c>
    </row>
    <row r="969" spans="1:8" x14ac:dyDescent="0.25">
      <c r="A969" t="s">
        <v>6015</v>
      </c>
      <c r="B969" t="s">
        <v>65</v>
      </c>
      <c r="C969" t="s">
        <v>397</v>
      </c>
      <c r="D969">
        <v>1056</v>
      </c>
      <c r="E969">
        <v>264.00400000000002</v>
      </c>
      <c r="F969">
        <v>175.566</v>
      </c>
      <c r="G969">
        <v>3781686</v>
      </c>
      <c r="H969" t="s">
        <v>6017</v>
      </c>
    </row>
    <row r="970" spans="1:8" x14ac:dyDescent="0.25">
      <c r="A970" t="s">
        <v>6015</v>
      </c>
      <c r="B970" t="s">
        <v>65</v>
      </c>
      <c r="C970" t="s">
        <v>397</v>
      </c>
      <c r="D970">
        <v>8</v>
      </c>
      <c r="E970">
        <v>2</v>
      </c>
      <c r="F970">
        <v>1.33</v>
      </c>
      <c r="G970">
        <v>3781686</v>
      </c>
      <c r="H970" t="s">
        <v>6017</v>
      </c>
    </row>
    <row r="971" spans="1:8" x14ac:dyDescent="0.25">
      <c r="A971" t="s">
        <v>641</v>
      </c>
      <c r="B971" t="s">
        <v>180</v>
      </c>
      <c r="C971" t="s">
        <v>397</v>
      </c>
      <c r="D971">
        <v>727</v>
      </c>
      <c r="E971">
        <v>657.73099999999999</v>
      </c>
      <c r="F971">
        <v>656.48099999999999</v>
      </c>
      <c r="G971">
        <v>1940478</v>
      </c>
      <c r="H971" t="s">
        <v>643</v>
      </c>
    </row>
    <row r="972" spans="1:8" x14ac:dyDescent="0.25">
      <c r="A972" t="s">
        <v>641</v>
      </c>
      <c r="B972" t="s">
        <v>180</v>
      </c>
      <c r="C972" t="s">
        <v>397</v>
      </c>
      <c r="D972">
        <v>100</v>
      </c>
      <c r="E972">
        <v>90.471999999999994</v>
      </c>
      <c r="F972">
        <v>90.3</v>
      </c>
      <c r="G972">
        <v>1940478</v>
      </c>
      <c r="H972" t="s">
        <v>643</v>
      </c>
    </row>
    <row r="973" spans="1:8" x14ac:dyDescent="0.25">
      <c r="A973" t="s">
        <v>641</v>
      </c>
      <c r="B973" t="s">
        <v>180</v>
      </c>
      <c r="C973" t="s">
        <v>397</v>
      </c>
      <c r="D973">
        <v>23</v>
      </c>
      <c r="E973">
        <v>20.809000000000001</v>
      </c>
      <c r="F973">
        <v>20.768999999999998</v>
      </c>
      <c r="G973">
        <v>1940478</v>
      </c>
      <c r="H973" t="s">
        <v>643</v>
      </c>
    </row>
    <row r="974" spans="1:8" x14ac:dyDescent="0.25">
      <c r="A974" t="s">
        <v>641</v>
      </c>
      <c r="B974" t="s">
        <v>180</v>
      </c>
      <c r="C974" t="s">
        <v>397</v>
      </c>
      <c r="D974">
        <v>3474</v>
      </c>
      <c r="E974">
        <v>3005.0149999999999</v>
      </c>
      <c r="F974">
        <v>2999.6060000000002</v>
      </c>
      <c r="G974">
        <v>4228296</v>
      </c>
      <c r="H974" t="s">
        <v>646</v>
      </c>
    </row>
    <row r="975" spans="1:8" x14ac:dyDescent="0.25">
      <c r="A975" t="s">
        <v>641</v>
      </c>
      <c r="B975" t="s">
        <v>180</v>
      </c>
      <c r="C975" t="s">
        <v>397</v>
      </c>
      <c r="D975">
        <v>299</v>
      </c>
      <c r="E975">
        <v>258.63499999999999</v>
      </c>
      <c r="F975">
        <v>258.17</v>
      </c>
      <c r="G975">
        <v>4228296</v>
      </c>
      <c r="H975" t="s">
        <v>646</v>
      </c>
    </row>
    <row r="976" spans="1:8" x14ac:dyDescent="0.25">
      <c r="A976" t="s">
        <v>641</v>
      </c>
      <c r="B976" t="s">
        <v>180</v>
      </c>
      <c r="C976" t="s">
        <v>397</v>
      </c>
      <c r="D976">
        <v>2</v>
      </c>
      <c r="E976">
        <v>1.73</v>
      </c>
      <c r="F976">
        <v>1.7270000000000001</v>
      </c>
      <c r="G976">
        <v>4228296</v>
      </c>
      <c r="H976" t="s">
        <v>646</v>
      </c>
    </row>
    <row r="977" spans="1:8" x14ac:dyDescent="0.25">
      <c r="A977" t="s">
        <v>396</v>
      </c>
      <c r="B977" t="s">
        <v>61</v>
      </c>
      <c r="C977" t="s">
        <v>397</v>
      </c>
      <c r="D977">
        <v>1481</v>
      </c>
      <c r="E977">
        <v>1315.384</v>
      </c>
      <c r="F977">
        <v>571.66600000000005</v>
      </c>
      <c r="G977">
        <v>1940043</v>
      </c>
      <c r="H977" t="s">
        <v>486</v>
      </c>
    </row>
    <row r="978" spans="1:8" x14ac:dyDescent="0.25">
      <c r="A978" t="s">
        <v>396</v>
      </c>
      <c r="B978" t="s">
        <v>61</v>
      </c>
      <c r="C978" t="s">
        <v>397</v>
      </c>
      <c r="D978">
        <v>19</v>
      </c>
      <c r="E978">
        <v>16.875</v>
      </c>
      <c r="F978">
        <v>7.3339999999999996</v>
      </c>
      <c r="G978">
        <v>1940043</v>
      </c>
      <c r="H978" t="s">
        <v>486</v>
      </c>
    </row>
    <row r="979" spans="1:8" x14ac:dyDescent="0.25">
      <c r="A979" t="s">
        <v>396</v>
      </c>
      <c r="B979" t="s">
        <v>61</v>
      </c>
      <c r="C979" t="s">
        <v>397</v>
      </c>
      <c r="D979">
        <v>660</v>
      </c>
      <c r="E979">
        <v>194.44399999999999</v>
      </c>
      <c r="F979">
        <v>184.8</v>
      </c>
      <c r="G979">
        <v>1940312</v>
      </c>
      <c r="H979" t="s">
        <v>410</v>
      </c>
    </row>
    <row r="980" spans="1:8" x14ac:dyDescent="0.25">
      <c r="A980" t="s">
        <v>396</v>
      </c>
      <c r="B980" t="s">
        <v>61</v>
      </c>
      <c r="C980" t="s">
        <v>397</v>
      </c>
      <c r="D980">
        <v>309</v>
      </c>
      <c r="E980">
        <v>91.034999999999997</v>
      </c>
      <c r="F980">
        <v>86.52</v>
      </c>
      <c r="G980">
        <v>1940312</v>
      </c>
      <c r="H980" t="s">
        <v>410</v>
      </c>
    </row>
    <row r="981" spans="1:8" x14ac:dyDescent="0.25">
      <c r="A981" t="s">
        <v>396</v>
      </c>
      <c r="B981" t="s">
        <v>61</v>
      </c>
      <c r="C981" t="s">
        <v>397</v>
      </c>
      <c r="D981">
        <v>60</v>
      </c>
      <c r="E981">
        <v>17.677</v>
      </c>
      <c r="F981">
        <v>16.8</v>
      </c>
      <c r="G981">
        <v>1940312</v>
      </c>
      <c r="H981" t="s">
        <v>410</v>
      </c>
    </row>
    <row r="982" spans="1:8" x14ac:dyDescent="0.25">
      <c r="A982" t="s">
        <v>396</v>
      </c>
      <c r="B982" t="s">
        <v>61</v>
      </c>
      <c r="C982" t="s">
        <v>397</v>
      </c>
      <c r="D982">
        <v>21</v>
      </c>
      <c r="E982">
        <v>6.1870000000000003</v>
      </c>
      <c r="F982">
        <v>5.88</v>
      </c>
      <c r="G982">
        <v>1940312</v>
      </c>
      <c r="H982" t="s">
        <v>410</v>
      </c>
    </row>
    <row r="983" spans="1:8" x14ac:dyDescent="0.25">
      <c r="A983" t="s">
        <v>396</v>
      </c>
      <c r="B983" t="s">
        <v>61</v>
      </c>
      <c r="C983" t="s">
        <v>397</v>
      </c>
      <c r="D983">
        <v>2549</v>
      </c>
      <c r="E983">
        <v>3323.9659999999999</v>
      </c>
      <c r="F983">
        <v>2707.038</v>
      </c>
      <c r="G983">
        <v>3673011</v>
      </c>
      <c r="H983" t="s">
        <v>651</v>
      </c>
    </row>
    <row r="984" spans="1:8" x14ac:dyDescent="0.25">
      <c r="A984" t="s">
        <v>396</v>
      </c>
      <c r="B984" t="s">
        <v>61</v>
      </c>
      <c r="C984" t="s">
        <v>397</v>
      </c>
      <c r="D984">
        <v>2451</v>
      </c>
      <c r="E984">
        <v>3196.1709999999998</v>
      </c>
      <c r="F984">
        <v>2602.962</v>
      </c>
      <c r="G984">
        <v>3673011</v>
      </c>
      <c r="H984" t="s">
        <v>651</v>
      </c>
    </row>
    <row r="985" spans="1:8" x14ac:dyDescent="0.25">
      <c r="A985" t="s">
        <v>396</v>
      </c>
      <c r="B985" t="s">
        <v>61</v>
      </c>
      <c r="C985" t="s">
        <v>397</v>
      </c>
      <c r="D985">
        <v>4497</v>
      </c>
      <c r="E985">
        <v>3667.3110000000001</v>
      </c>
      <c r="F985">
        <v>3084.942</v>
      </c>
      <c r="G985">
        <v>1940287</v>
      </c>
      <c r="H985" t="s">
        <v>605</v>
      </c>
    </row>
    <row r="986" spans="1:8" x14ac:dyDescent="0.25">
      <c r="A986" t="s">
        <v>396</v>
      </c>
      <c r="B986" t="s">
        <v>61</v>
      </c>
      <c r="C986" t="s">
        <v>397</v>
      </c>
      <c r="D986">
        <v>1074</v>
      </c>
      <c r="E986">
        <v>875.84900000000005</v>
      </c>
      <c r="F986">
        <v>736.76400000000001</v>
      </c>
      <c r="G986">
        <v>1940287</v>
      </c>
      <c r="H986" t="s">
        <v>605</v>
      </c>
    </row>
    <row r="987" spans="1:8" x14ac:dyDescent="0.25">
      <c r="A987" t="s">
        <v>396</v>
      </c>
      <c r="B987" t="s">
        <v>61</v>
      </c>
      <c r="C987" t="s">
        <v>397</v>
      </c>
      <c r="D987">
        <v>599</v>
      </c>
      <c r="E987">
        <v>488.48500000000001</v>
      </c>
      <c r="F987">
        <v>410.91399999999999</v>
      </c>
      <c r="G987">
        <v>1940287</v>
      </c>
      <c r="H987" t="s">
        <v>605</v>
      </c>
    </row>
    <row r="988" spans="1:8" x14ac:dyDescent="0.25">
      <c r="A988" t="s">
        <v>396</v>
      </c>
      <c r="B988" t="s">
        <v>61</v>
      </c>
      <c r="C988" t="s">
        <v>397</v>
      </c>
      <c r="D988">
        <v>249</v>
      </c>
      <c r="E988">
        <v>203.06</v>
      </c>
      <c r="F988">
        <v>170.81399999999999</v>
      </c>
      <c r="G988">
        <v>1940287</v>
      </c>
      <c r="H988" t="s">
        <v>605</v>
      </c>
    </row>
    <row r="989" spans="1:8" x14ac:dyDescent="0.25">
      <c r="A989" t="s">
        <v>396</v>
      </c>
      <c r="B989" t="s">
        <v>61</v>
      </c>
      <c r="C989" t="s">
        <v>397</v>
      </c>
      <c r="D989">
        <v>6</v>
      </c>
      <c r="E989">
        <v>4.8929999999999998</v>
      </c>
      <c r="F989">
        <v>4.1159999999999997</v>
      </c>
      <c r="G989">
        <v>1940287</v>
      </c>
      <c r="H989" t="s">
        <v>605</v>
      </c>
    </row>
    <row r="990" spans="1:8" x14ac:dyDescent="0.25">
      <c r="A990" t="s">
        <v>6025</v>
      </c>
      <c r="B990" t="s">
        <v>40</v>
      </c>
      <c r="C990" t="s">
        <v>397</v>
      </c>
      <c r="D990">
        <v>2116</v>
      </c>
      <c r="E990">
        <v>1871.761</v>
      </c>
      <c r="F990">
        <v>1783.788</v>
      </c>
      <c r="G990">
        <v>1942696</v>
      </c>
      <c r="H990" t="s">
        <v>1532</v>
      </c>
    </row>
    <row r="991" spans="1:8" x14ac:dyDescent="0.25">
      <c r="A991" t="s">
        <v>6025</v>
      </c>
      <c r="B991" t="s">
        <v>40</v>
      </c>
      <c r="C991" t="s">
        <v>397</v>
      </c>
      <c r="D991">
        <v>1600</v>
      </c>
      <c r="E991">
        <v>1415.32</v>
      </c>
      <c r="F991">
        <v>1348.8</v>
      </c>
      <c r="G991">
        <v>1942696</v>
      </c>
      <c r="H991" t="s">
        <v>1532</v>
      </c>
    </row>
    <row r="992" spans="1:8" x14ac:dyDescent="0.25">
      <c r="A992" t="s">
        <v>6025</v>
      </c>
      <c r="B992" t="s">
        <v>40</v>
      </c>
      <c r="C992" t="s">
        <v>397</v>
      </c>
      <c r="D992">
        <v>1284</v>
      </c>
      <c r="E992">
        <v>1135.7940000000001</v>
      </c>
      <c r="F992">
        <v>1082.412</v>
      </c>
      <c r="G992">
        <v>1942696</v>
      </c>
      <c r="H992" t="s">
        <v>1532</v>
      </c>
    </row>
    <row r="993" spans="1:8" x14ac:dyDescent="0.25">
      <c r="A993" t="s">
        <v>6025</v>
      </c>
      <c r="B993" t="s">
        <v>40</v>
      </c>
      <c r="C993" t="s">
        <v>397</v>
      </c>
      <c r="D993">
        <v>750</v>
      </c>
      <c r="E993">
        <v>311.33600000000001</v>
      </c>
      <c r="F993">
        <v>292.5</v>
      </c>
      <c r="G993">
        <v>3551623</v>
      </c>
      <c r="H993" t="s">
        <v>1569</v>
      </c>
    </row>
    <row r="994" spans="1:8" x14ac:dyDescent="0.25">
      <c r="A994" t="s">
        <v>6025</v>
      </c>
      <c r="B994" t="s">
        <v>40</v>
      </c>
      <c r="C994" t="s">
        <v>397</v>
      </c>
      <c r="D994">
        <v>1474</v>
      </c>
      <c r="E994">
        <v>1077.4929999999999</v>
      </c>
      <c r="F994">
        <v>2594.3870000000002</v>
      </c>
      <c r="G994">
        <v>4032113</v>
      </c>
      <c r="H994" t="s">
        <v>6026</v>
      </c>
    </row>
    <row r="995" spans="1:8" x14ac:dyDescent="0.25">
      <c r="A995" t="s">
        <v>6025</v>
      </c>
      <c r="B995" t="s">
        <v>40</v>
      </c>
      <c r="C995" t="s">
        <v>397</v>
      </c>
      <c r="D995">
        <v>1374</v>
      </c>
      <c r="E995">
        <v>1004.393</v>
      </c>
      <c r="F995">
        <v>2418.377</v>
      </c>
      <c r="G995">
        <v>4032113</v>
      </c>
      <c r="H995" t="s">
        <v>6026</v>
      </c>
    </row>
    <row r="996" spans="1:8" x14ac:dyDescent="0.25">
      <c r="A996" t="s">
        <v>6025</v>
      </c>
      <c r="B996" t="s">
        <v>40</v>
      </c>
      <c r="C996" t="s">
        <v>397</v>
      </c>
      <c r="D996">
        <v>1090</v>
      </c>
      <c r="E996">
        <v>796.78899999999999</v>
      </c>
      <c r="F996">
        <v>1918.509</v>
      </c>
      <c r="G996">
        <v>4032113</v>
      </c>
      <c r="H996" t="s">
        <v>6026</v>
      </c>
    </row>
    <row r="997" spans="1:8" x14ac:dyDescent="0.25">
      <c r="A997" t="s">
        <v>6025</v>
      </c>
      <c r="B997" t="s">
        <v>40</v>
      </c>
      <c r="C997" t="s">
        <v>397</v>
      </c>
      <c r="D997">
        <v>702</v>
      </c>
      <c r="E997">
        <v>513.16099999999994</v>
      </c>
      <c r="F997">
        <v>1235.5899999999999</v>
      </c>
      <c r="G997">
        <v>4032113</v>
      </c>
      <c r="H997" t="s">
        <v>6026</v>
      </c>
    </row>
    <row r="998" spans="1:8" x14ac:dyDescent="0.25">
      <c r="A998" t="s">
        <v>6018</v>
      </c>
      <c r="B998" t="s">
        <v>21</v>
      </c>
      <c r="C998" t="s">
        <v>397</v>
      </c>
      <c r="D998">
        <v>1765</v>
      </c>
      <c r="E998">
        <v>967.15200000000004</v>
      </c>
      <c r="F998">
        <v>813.66499999999996</v>
      </c>
      <c r="G998">
        <v>3676836</v>
      </c>
      <c r="H998" t="s">
        <v>1367</v>
      </c>
    </row>
    <row r="999" spans="1:8" x14ac:dyDescent="0.25">
      <c r="A999" t="s">
        <v>6018</v>
      </c>
      <c r="B999" t="s">
        <v>21</v>
      </c>
      <c r="C999" t="s">
        <v>397</v>
      </c>
      <c r="D999">
        <v>1756</v>
      </c>
      <c r="E999">
        <v>962.22</v>
      </c>
      <c r="F999">
        <v>809.51599999999996</v>
      </c>
      <c r="G999">
        <v>3676836</v>
      </c>
      <c r="H999" t="s">
        <v>1367</v>
      </c>
    </row>
    <row r="1000" spans="1:8" x14ac:dyDescent="0.25">
      <c r="A1000" t="s">
        <v>6018</v>
      </c>
      <c r="B1000" t="s">
        <v>21</v>
      </c>
      <c r="C1000" t="s">
        <v>397</v>
      </c>
      <c r="D1000">
        <v>1396</v>
      </c>
      <c r="E1000">
        <v>764.95399999999995</v>
      </c>
      <c r="F1000">
        <v>643.55600000000004</v>
      </c>
      <c r="G1000">
        <v>3676836</v>
      </c>
      <c r="H1000" t="s">
        <v>1367</v>
      </c>
    </row>
    <row r="1001" spans="1:8" x14ac:dyDescent="0.25">
      <c r="A1001" t="s">
        <v>6018</v>
      </c>
      <c r="B1001" t="s">
        <v>21</v>
      </c>
      <c r="C1001" t="s">
        <v>397</v>
      </c>
      <c r="D1001">
        <v>1261</v>
      </c>
      <c r="E1001">
        <v>690.97900000000004</v>
      </c>
      <c r="F1001">
        <v>581.32100000000003</v>
      </c>
      <c r="G1001">
        <v>3676836</v>
      </c>
      <c r="H1001" t="s">
        <v>1367</v>
      </c>
    </row>
    <row r="1002" spans="1:8" x14ac:dyDescent="0.25">
      <c r="A1002" t="s">
        <v>6018</v>
      </c>
      <c r="B1002" t="s">
        <v>21</v>
      </c>
      <c r="C1002" t="s">
        <v>397</v>
      </c>
      <c r="D1002">
        <v>822</v>
      </c>
      <c r="E1002">
        <v>450.42399999999998</v>
      </c>
      <c r="F1002">
        <v>378.94200000000001</v>
      </c>
      <c r="G1002">
        <v>3676836</v>
      </c>
      <c r="H1002" t="s">
        <v>1367</v>
      </c>
    </row>
    <row r="1003" spans="1:8" x14ac:dyDescent="0.25">
      <c r="A1003" t="s">
        <v>6018</v>
      </c>
      <c r="B1003" t="s">
        <v>21</v>
      </c>
      <c r="C1003" t="s">
        <v>397</v>
      </c>
      <c r="D1003">
        <v>1610</v>
      </c>
      <c r="E1003">
        <v>1696.9549999999999</v>
      </c>
      <c r="F1003">
        <v>2554.4259999999999</v>
      </c>
      <c r="G1003">
        <v>3605736</v>
      </c>
      <c r="H1003" t="s">
        <v>1698</v>
      </c>
    </row>
    <row r="1004" spans="1:8" x14ac:dyDescent="0.25">
      <c r="A1004" t="s">
        <v>6018</v>
      </c>
      <c r="B1004" t="s">
        <v>21</v>
      </c>
      <c r="C1004" t="s">
        <v>397</v>
      </c>
      <c r="D1004">
        <v>890</v>
      </c>
      <c r="E1004">
        <v>938.06799999999998</v>
      </c>
      <c r="F1004">
        <v>1412.0740000000001</v>
      </c>
      <c r="G1004">
        <v>3605736</v>
      </c>
      <c r="H1004" t="s">
        <v>1698</v>
      </c>
    </row>
    <row r="1005" spans="1:8" x14ac:dyDescent="0.25">
      <c r="A1005" t="s">
        <v>6018</v>
      </c>
      <c r="B1005" t="s">
        <v>21</v>
      </c>
      <c r="C1005" t="s">
        <v>397</v>
      </c>
      <c r="D1005">
        <v>700</v>
      </c>
      <c r="E1005">
        <v>737.79700000000003</v>
      </c>
      <c r="F1005">
        <v>1263.92</v>
      </c>
      <c r="G1005">
        <v>3605737</v>
      </c>
      <c r="H1005" t="s">
        <v>1699</v>
      </c>
    </row>
    <row r="1006" spans="1:8" x14ac:dyDescent="0.25">
      <c r="A1006" t="s">
        <v>6018</v>
      </c>
      <c r="B1006" t="s">
        <v>21</v>
      </c>
      <c r="C1006" t="s">
        <v>397</v>
      </c>
      <c r="D1006">
        <v>500</v>
      </c>
      <c r="E1006">
        <v>526.99800000000005</v>
      </c>
      <c r="F1006">
        <v>902.8</v>
      </c>
      <c r="G1006">
        <v>3605737</v>
      </c>
      <c r="H1006" t="s">
        <v>1699</v>
      </c>
    </row>
    <row r="1007" spans="1:8" x14ac:dyDescent="0.25">
      <c r="A1007" t="s">
        <v>6018</v>
      </c>
      <c r="B1007" t="s">
        <v>21</v>
      </c>
      <c r="C1007" t="s">
        <v>397</v>
      </c>
      <c r="D1007">
        <v>378</v>
      </c>
      <c r="E1007">
        <v>69.591999999999999</v>
      </c>
      <c r="F1007">
        <v>263.84399999999999</v>
      </c>
      <c r="G1007">
        <v>1940868</v>
      </c>
      <c r="H1007" t="s">
        <v>1715</v>
      </c>
    </row>
    <row r="1008" spans="1:8" x14ac:dyDescent="0.25">
      <c r="A1008" t="s">
        <v>6018</v>
      </c>
      <c r="B1008" t="s">
        <v>21</v>
      </c>
      <c r="C1008" t="s">
        <v>397</v>
      </c>
      <c r="D1008">
        <v>600</v>
      </c>
      <c r="E1008">
        <v>110.46299999999999</v>
      </c>
      <c r="F1008">
        <v>418.8</v>
      </c>
      <c r="G1008">
        <v>1940868</v>
      </c>
      <c r="H1008" t="s">
        <v>1715</v>
      </c>
    </row>
    <row r="1009" spans="1:8" x14ac:dyDescent="0.25">
      <c r="A1009" t="s">
        <v>6018</v>
      </c>
      <c r="B1009" t="s">
        <v>21</v>
      </c>
      <c r="C1009" t="s">
        <v>397</v>
      </c>
      <c r="D1009">
        <v>340</v>
      </c>
      <c r="E1009">
        <v>250.59299999999999</v>
      </c>
      <c r="F1009">
        <v>433.5</v>
      </c>
      <c r="G1009">
        <v>1932730</v>
      </c>
      <c r="H1009" t="s">
        <v>1738</v>
      </c>
    </row>
    <row r="1010" spans="1:8" x14ac:dyDescent="0.25">
      <c r="A1010" t="s">
        <v>6018</v>
      </c>
      <c r="B1010" t="s">
        <v>21</v>
      </c>
      <c r="C1010" t="s">
        <v>397</v>
      </c>
      <c r="D1010">
        <v>250</v>
      </c>
      <c r="E1010">
        <v>184.25899999999999</v>
      </c>
      <c r="F1010">
        <v>318.75</v>
      </c>
      <c r="G1010">
        <v>1932730</v>
      </c>
      <c r="H1010" t="s">
        <v>1738</v>
      </c>
    </row>
    <row r="1011" spans="1:8" x14ac:dyDescent="0.25">
      <c r="A1011" t="s">
        <v>6018</v>
      </c>
      <c r="B1011" t="s">
        <v>21</v>
      </c>
      <c r="C1011" t="s">
        <v>397</v>
      </c>
      <c r="D1011">
        <v>1660</v>
      </c>
      <c r="E1011">
        <v>906.79499999999996</v>
      </c>
      <c r="F1011">
        <v>1306.42</v>
      </c>
      <c r="G1011">
        <v>1940817</v>
      </c>
      <c r="H1011" t="s">
        <v>1679</v>
      </c>
    </row>
    <row r="1012" spans="1:8" x14ac:dyDescent="0.25">
      <c r="A1012" t="s">
        <v>653</v>
      </c>
      <c r="B1012" t="s">
        <v>39</v>
      </c>
      <c r="C1012" t="s">
        <v>397</v>
      </c>
      <c r="D1012">
        <v>210</v>
      </c>
      <c r="E1012">
        <v>51.661000000000001</v>
      </c>
      <c r="F1012">
        <v>155.30199999999999</v>
      </c>
      <c r="G1012">
        <v>3768907</v>
      </c>
      <c r="H1012" t="s">
        <v>655</v>
      </c>
    </row>
    <row r="1013" spans="1:8" x14ac:dyDescent="0.25">
      <c r="A1013" t="s">
        <v>653</v>
      </c>
      <c r="B1013" t="s">
        <v>39</v>
      </c>
      <c r="C1013" t="s">
        <v>397</v>
      </c>
      <c r="D1013">
        <v>824</v>
      </c>
      <c r="E1013">
        <v>724.91</v>
      </c>
      <c r="F1013">
        <v>1226.1120000000001</v>
      </c>
      <c r="G1013">
        <v>1940831</v>
      </c>
      <c r="H1013" t="s">
        <v>657</v>
      </c>
    </row>
    <row r="1014" spans="1:8" x14ac:dyDescent="0.25">
      <c r="A1014" t="s">
        <v>653</v>
      </c>
      <c r="B1014" t="s">
        <v>39</v>
      </c>
      <c r="C1014" t="s">
        <v>397</v>
      </c>
      <c r="D1014">
        <v>934</v>
      </c>
      <c r="E1014">
        <v>821.68100000000004</v>
      </c>
      <c r="F1014">
        <v>1389.7919999999999</v>
      </c>
      <c r="G1014">
        <v>1940831</v>
      </c>
      <c r="H1014" t="s">
        <v>657</v>
      </c>
    </row>
    <row r="1015" spans="1:8" x14ac:dyDescent="0.25">
      <c r="A1015" t="s">
        <v>653</v>
      </c>
      <c r="B1015" t="s">
        <v>39</v>
      </c>
      <c r="C1015" t="s">
        <v>397</v>
      </c>
      <c r="D1015">
        <v>50</v>
      </c>
      <c r="E1015">
        <v>43.987000000000002</v>
      </c>
      <c r="F1015">
        <v>74.400000000000006</v>
      </c>
      <c r="G1015">
        <v>1940831</v>
      </c>
      <c r="H1015" t="s">
        <v>657</v>
      </c>
    </row>
    <row r="1016" spans="1:8" x14ac:dyDescent="0.25">
      <c r="A1016" t="s">
        <v>653</v>
      </c>
      <c r="B1016" t="s">
        <v>39</v>
      </c>
      <c r="C1016" t="s">
        <v>397</v>
      </c>
      <c r="D1016">
        <v>22</v>
      </c>
      <c r="E1016">
        <v>19.353999999999999</v>
      </c>
      <c r="F1016">
        <v>32.735999999999997</v>
      </c>
      <c r="G1016">
        <v>1940831</v>
      </c>
      <c r="H1016" t="s">
        <v>657</v>
      </c>
    </row>
    <row r="1017" spans="1:8" x14ac:dyDescent="0.25">
      <c r="A1017" t="s">
        <v>653</v>
      </c>
      <c r="B1017" t="s">
        <v>39</v>
      </c>
      <c r="C1017" t="s">
        <v>397</v>
      </c>
      <c r="D1017">
        <v>1068</v>
      </c>
      <c r="E1017">
        <v>939.75800000000004</v>
      </c>
      <c r="F1017">
        <v>1968.3240000000001</v>
      </c>
      <c r="G1017">
        <v>1940838</v>
      </c>
      <c r="H1017" t="s">
        <v>659</v>
      </c>
    </row>
    <row r="1018" spans="1:8" x14ac:dyDescent="0.25">
      <c r="A1018" t="s">
        <v>653</v>
      </c>
      <c r="B1018" t="s">
        <v>39</v>
      </c>
      <c r="C1018" t="s">
        <v>397</v>
      </c>
      <c r="D1018">
        <v>419</v>
      </c>
      <c r="E1018">
        <v>368.68799999999999</v>
      </c>
      <c r="F1018">
        <v>772.21699999999998</v>
      </c>
      <c r="G1018">
        <v>1940838</v>
      </c>
      <c r="H1018" t="s">
        <v>659</v>
      </c>
    </row>
    <row r="1019" spans="1:8" x14ac:dyDescent="0.25">
      <c r="A1019" t="s">
        <v>653</v>
      </c>
      <c r="B1019" t="s">
        <v>39</v>
      </c>
      <c r="C1019" t="s">
        <v>397</v>
      </c>
      <c r="D1019">
        <v>320</v>
      </c>
      <c r="E1019">
        <v>281.57600000000002</v>
      </c>
      <c r="F1019">
        <v>589.76</v>
      </c>
      <c r="G1019">
        <v>1940838</v>
      </c>
      <c r="H1019" t="s">
        <v>659</v>
      </c>
    </row>
    <row r="1020" spans="1:8" x14ac:dyDescent="0.25">
      <c r="A1020" t="s">
        <v>653</v>
      </c>
      <c r="B1020" t="s">
        <v>39</v>
      </c>
      <c r="C1020" t="s">
        <v>397</v>
      </c>
      <c r="D1020">
        <v>143</v>
      </c>
      <c r="E1020">
        <v>125.82899999999999</v>
      </c>
      <c r="F1020">
        <v>263.54899999999998</v>
      </c>
      <c r="G1020">
        <v>1940838</v>
      </c>
      <c r="H1020" t="s">
        <v>659</v>
      </c>
    </row>
    <row r="1021" spans="1:8" x14ac:dyDescent="0.25">
      <c r="A1021" t="s">
        <v>653</v>
      </c>
      <c r="B1021" t="s">
        <v>39</v>
      </c>
      <c r="C1021" t="s">
        <v>397</v>
      </c>
      <c r="D1021">
        <v>41</v>
      </c>
      <c r="E1021">
        <v>36.076999999999998</v>
      </c>
      <c r="F1021">
        <v>75.563000000000002</v>
      </c>
      <c r="G1021">
        <v>1940838</v>
      </c>
      <c r="H1021" t="s">
        <v>659</v>
      </c>
    </row>
    <row r="1022" spans="1:8" x14ac:dyDescent="0.25">
      <c r="A1022" t="s">
        <v>653</v>
      </c>
      <c r="B1022" t="s">
        <v>39</v>
      </c>
      <c r="C1022" t="s">
        <v>397</v>
      </c>
      <c r="D1022">
        <v>1</v>
      </c>
      <c r="E1022">
        <v>0.88</v>
      </c>
      <c r="F1022">
        <v>1.843</v>
      </c>
      <c r="G1022">
        <v>1940838</v>
      </c>
      <c r="H1022" t="s">
        <v>659</v>
      </c>
    </row>
    <row r="1023" spans="1:8" x14ac:dyDescent="0.25">
      <c r="A1023" t="s">
        <v>581</v>
      </c>
      <c r="B1023" t="s">
        <v>18</v>
      </c>
      <c r="C1023" t="s">
        <v>397</v>
      </c>
      <c r="D1023">
        <v>4629</v>
      </c>
      <c r="E1023">
        <v>2198.7739999999999</v>
      </c>
      <c r="F1023">
        <v>2816.8490000000002</v>
      </c>
      <c r="G1023">
        <v>1940626</v>
      </c>
      <c r="H1023" t="s">
        <v>583</v>
      </c>
    </row>
    <row r="1024" spans="1:8" x14ac:dyDescent="0.25">
      <c r="A1024" t="s">
        <v>581</v>
      </c>
      <c r="B1024" t="s">
        <v>18</v>
      </c>
      <c r="C1024" t="s">
        <v>397</v>
      </c>
      <c r="D1024">
        <v>3168</v>
      </c>
      <c r="E1024">
        <v>1504.799</v>
      </c>
      <c r="F1024">
        <v>1927.798</v>
      </c>
      <c r="G1024">
        <v>1940626</v>
      </c>
      <c r="H1024" t="s">
        <v>583</v>
      </c>
    </row>
    <row r="1025" spans="1:8" x14ac:dyDescent="0.25">
      <c r="A1025" t="s">
        <v>581</v>
      </c>
      <c r="B1025" t="s">
        <v>18</v>
      </c>
      <c r="C1025" t="s">
        <v>397</v>
      </c>
      <c r="D1025">
        <v>98</v>
      </c>
      <c r="E1025">
        <v>46.55</v>
      </c>
      <c r="F1025">
        <v>59.634999999999998</v>
      </c>
      <c r="G1025">
        <v>1940626</v>
      </c>
      <c r="H1025" t="s">
        <v>583</v>
      </c>
    </row>
    <row r="1026" spans="1:8" x14ac:dyDescent="0.25">
      <c r="A1026" t="s">
        <v>581</v>
      </c>
      <c r="B1026" t="s">
        <v>18</v>
      </c>
      <c r="C1026" t="s">
        <v>397</v>
      </c>
      <c r="D1026">
        <v>4</v>
      </c>
      <c r="E1026">
        <v>1.9</v>
      </c>
      <c r="F1026">
        <v>2.4340000000000002</v>
      </c>
      <c r="G1026">
        <v>1940626</v>
      </c>
      <c r="H1026" t="s">
        <v>583</v>
      </c>
    </row>
    <row r="1027" spans="1:8" x14ac:dyDescent="0.25">
      <c r="A1027" t="s">
        <v>581</v>
      </c>
      <c r="B1027" t="s">
        <v>18</v>
      </c>
      <c r="C1027" t="s">
        <v>397</v>
      </c>
      <c r="D1027">
        <v>1</v>
      </c>
      <c r="E1027">
        <v>0.47499999999999998</v>
      </c>
      <c r="F1027">
        <v>0.60899999999999999</v>
      </c>
      <c r="G1027">
        <v>1940626</v>
      </c>
      <c r="H1027" t="s">
        <v>583</v>
      </c>
    </row>
    <row r="1028" spans="1:8" x14ac:dyDescent="0.25">
      <c r="A1028" t="s">
        <v>422</v>
      </c>
      <c r="B1028" t="s">
        <v>30</v>
      </c>
      <c r="C1028" t="s">
        <v>397</v>
      </c>
      <c r="D1028">
        <v>1090</v>
      </c>
      <c r="E1028">
        <v>586.42499999999995</v>
      </c>
      <c r="F1028">
        <v>918.45799999999997</v>
      </c>
      <c r="G1028">
        <v>3786201</v>
      </c>
      <c r="H1028" t="s">
        <v>429</v>
      </c>
    </row>
    <row r="1029" spans="1:8" x14ac:dyDescent="0.25">
      <c r="A1029" t="s">
        <v>422</v>
      </c>
      <c r="B1029" t="s">
        <v>30</v>
      </c>
      <c r="C1029" t="s">
        <v>397</v>
      </c>
      <c r="D1029">
        <v>850</v>
      </c>
      <c r="E1029">
        <v>457.30399999999997</v>
      </c>
      <c r="F1029">
        <v>716.22900000000004</v>
      </c>
      <c r="G1029">
        <v>3786201</v>
      </c>
      <c r="H1029" t="s">
        <v>429</v>
      </c>
    </row>
    <row r="1030" spans="1:8" x14ac:dyDescent="0.25">
      <c r="A1030" t="s">
        <v>422</v>
      </c>
      <c r="B1030" t="s">
        <v>30</v>
      </c>
      <c r="C1030" t="s">
        <v>397</v>
      </c>
      <c r="D1030">
        <v>15</v>
      </c>
      <c r="E1030">
        <v>8.07</v>
      </c>
      <c r="F1030">
        <v>12.638999999999999</v>
      </c>
      <c r="G1030">
        <v>3786201</v>
      </c>
      <c r="H1030" t="s">
        <v>429</v>
      </c>
    </row>
    <row r="1031" spans="1:8" x14ac:dyDescent="0.25">
      <c r="A1031" t="s">
        <v>422</v>
      </c>
      <c r="B1031" t="s">
        <v>30</v>
      </c>
      <c r="C1031" t="s">
        <v>397</v>
      </c>
      <c r="D1031">
        <v>5</v>
      </c>
      <c r="E1031">
        <v>2.69</v>
      </c>
      <c r="F1031">
        <v>4.2130000000000001</v>
      </c>
      <c r="G1031">
        <v>3786201</v>
      </c>
      <c r="H1031" t="s">
        <v>429</v>
      </c>
    </row>
    <row r="1032" spans="1:8" x14ac:dyDescent="0.25">
      <c r="A1032" t="s">
        <v>422</v>
      </c>
      <c r="B1032" t="s">
        <v>30</v>
      </c>
      <c r="C1032" t="s">
        <v>397</v>
      </c>
      <c r="D1032">
        <v>1222</v>
      </c>
      <c r="E1032">
        <v>717.31100000000004</v>
      </c>
      <c r="F1032">
        <v>1123.452</v>
      </c>
      <c r="G1032">
        <v>3786202</v>
      </c>
      <c r="H1032" t="s">
        <v>435</v>
      </c>
    </row>
    <row r="1033" spans="1:8" x14ac:dyDescent="0.25">
      <c r="A1033" t="s">
        <v>422</v>
      </c>
      <c r="B1033" t="s">
        <v>30</v>
      </c>
      <c r="C1033" t="s">
        <v>397</v>
      </c>
      <c r="D1033">
        <v>18</v>
      </c>
      <c r="E1033">
        <v>10.566000000000001</v>
      </c>
      <c r="F1033">
        <v>16.547999999999998</v>
      </c>
      <c r="G1033">
        <v>3786202</v>
      </c>
      <c r="H1033" t="s">
        <v>435</v>
      </c>
    </row>
    <row r="1034" spans="1:8" x14ac:dyDescent="0.25">
      <c r="A1034" t="s">
        <v>422</v>
      </c>
      <c r="B1034" t="s">
        <v>30</v>
      </c>
      <c r="C1034" t="s">
        <v>397</v>
      </c>
      <c r="D1034">
        <v>1723</v>
      </c>
      <c r="E1034">
        <v>613.399</v>
      </c>
      <c r="F1034">
        <v>843.48500000000001</v>
      </c>
      <c r="G1034">
        <v>4100177</v>
      </c>
      <c r="H1034" t="s">
        <v>662</v>
      </c>
    </row>
    <row r="1035" spans="1:8" x14ac:dyDescent="0.25">
      <c r="A1035" t="s">
        <v>422</v>
      </c>
      <c r="B1035" t="s">
        <v>30</v>
      </c>
      <c r="C1035" t="s">
        <v>397</v>
      </c>
      <c r="D1035">
        <v>1352</v>
      </c>
      <c r="E1035">
        <v>481.32100000000003</v>
      </c>
      <c r="F1035">
        <v>661.86400000000003</v>
      </c>
      <c r="G1035">
        <v>4100177</v>
      </c>
      <c r="H1035" t="s">
        <v>662</v>
      </c>
    </row>
    <row r="1036" spans="1:8" x14ac:dyDescent="0.25">
      <c r="A1036" t="s">
        <v>422</v>
      </c>
      <c r="B1036" t="s">
        <v>30</v>
      </c>
      <c r="C1036" t="s">
        <v>397</v>
      </c>
      <c r="D1036">
        <v>1005</v>
      </c>
      <c r="E1036">
        <v>357.786</v>
      </c>
      <c r="F1036">
        <v>491.99200000000002</v>
      </c>
      <c r="G1036">
        <v>4100177</v>
      </c>
      <c r="H1036" t="s">
        <v>662</v>
      </c>
    </row>
    <row r="1037" spans="1:8" x14ac:dyDescent="0.25">
      <c r="A1037" t="s">
        <v>422</v>
      </c>
      <c r="B1037" t="s">
        <v>30</v>
      </c>
      <c r="C1037" t="s">
        <v>397</v>
      </c>
      <c r="D1037">
        <v>207</v>
      </c>
      <c r="E1037">
        <v>248.69800000000001</v>
      </c>
      <c r="F1037">
        <v>110.745</v>
      </c>
      <c r="G1037">
        <v>3635694</v>
      </c>
      <c r="H1037" t="s">
        <v>649</v>
      </c>
    </row>
    <row r="1038" spans="1:8" x14ac:dyDescent="0.25">
      <c r="A1038" t="s">
        <v>422</v>
      </c>
      <c r="B1038" t="s">
        <v>30</v>
      </c>
      <c r="C1038" t="s">
        <v>397</v>
      </c>
      <c r="D1038">
        <v>106</v>
      </c>
      <c r="E1038">
        <v>127.352</v>
      </c>
      <c r="F1038">
        <v>56.71</v>
      </c>
      <c r="G1038">
        <v>3635694</v>
      </c>
      <c r="H1038" t="s">
        <v>649</v>
      </c>
    </row>
    <row r="1039" spans="1:8" x14ac:dyDescent="0.25">
      <c r="A1039" t="s">
        <v>422</v>
      </c>
      <c r="B1039" t="s">
        <v>30</v>
      </c>
      <c r="C1039" t="s">
        <v>397</v>
      </c>
      <c r="D1039">
        <v>12</v>
      </c>
      <c r="E1039">
        <v>14.417</v>
      </c>
      <c r="F1039">
        <v>6.42</v>
      </c>
      <c r="G1039">
        <v>3635694</v>
      </c>
      <c r="H1039" t="s">
        <v>649</v>
      </c>
    </row>
    <row r="1040" spans="1:8" x14ac:dyDescent="0.25">
      <c r="A1040" t="s">
        <v>6012</v>
      </c>
      <c r="B1040" t="s">
        <v>22</v>
      </c>
      <c r="C1040" t="s">
        <v>397</v>
      </c>
      <c r="D1040">
        <v>2745</v>
      </c>
      <c r="E1040">
        <v>454.42500000000001</v>
      </c>
      <c r="F1040">
        <v>452.92500000000001</v>
      </c>
      <c r="G1040">
        <v>3614496</v>
      </c>
      <c r="H1040" t="s">
        <v>6013</v>
      </c>
    </row>
    <row r="1041" spans="1:8" x14ac:dyDescent="0.25">
      <c r="A1041" t="s">
        <v>6012</v>
      </c>
      <c r="B1041" t="s">
        <v>22</v>
      </c>
      <c r="C1041" t="s">
        <v>397</v>
      </c>
      <c r="D1041">
        <v>255</v>
      </c>
      <c r="E1041">
        <v>42.213999999999999</v>
      </c>
      <c r="F1041">
        <v>42.075000000000003</v>
      </c>
      <c r="G1041">
        <v>3614496</v>
      </c>
      <c r="H1041" t="s">
        <v>6013</v>
      </c>
    </row>
    <row r="1042" spans="1:8" x14ac:dyDescent="0.25">
      <c r="A1042" t="s">
        <v>6012</v>
      </c>
      <c r="B1042" t="s">
        <v>22</v>
      </c>
      <c r="C1042" t="s">
        <v>397</v>
      </c>
      <c r="D1042">
        <v>6000</v>
      </c>
      <c r="E1042">
        <v>818.702</v>
      </c>
      <c r="F1042">
        <v>816</v>
      </c>
      <c r="G1042">
        <v>3614494</v>
      </c>
      <c r="H1042" t="s">
        <v>6014</v>
      </c>
    </row>
    <row r="1043" spans="1:8" x14ac:dyDescent="0.25">
      <c r="A1043" t="s">
        <v>5966</v>
      </c>
      <c r="B1043" t="s">
        <v>37</v>
      </c>
      <c r="C1043" t="s">
        <v>392</v>
      </c>
      <c r="D1043">
        <v>79</v>
      </c>
      <c r="E1043">
        <v>452.09100000000001</v>
      </c>
      <c r="F1043">
        <v>1465</v>
      </c>
      <c r="G1043">
        <v>3907863</v>
      </c>
      <c r="H1043" t="s">
        <v>1749</v>
      </c>
    </row>
    <row r="1044" spans="1:8" x14ac:dyDescent="0.25">
      <c r="A1044" t="s">
        <v>5966</v>
      </c>
      <c r="B1044" t="s">
        <v>37</v>
      </c>
      <c r="C1044" t="s">
        <v>392</v>
      </c>
      <c r="D1044">
        <v>79</v>
      </c>
      <c r="E1044">
        <v>452.09100000000001</v>
      </c>
      <c r="F1044">
        <v>1465</v>
      </c>
      <c r="G1044">
        <v>3907863</v>
      </c>
      <c r="H1044" t="s">
        <v>1749</v>
      </c>
    </row>
    <row r="1045" spans="1:8" x14ac:dyDescent="0.25">
      <c r="A1045" t="s">
        <v>5966</v>
      </c>
      <c r="B1045" t="s">
        <v>37</v>
      </c>
      <c r="C1045" t="s">
        <v>392</v>
      </c>
      <c r="D1045">
        <v>77</v>
      </c>
      <c r="E1045">
        <v>439.74700000000001</v>
      </c>
      <c r="F1045">
        <v>1425</v>
      </c>
      <c r="G1045">
        <v>3907863</v>
      </c>
      <c r="H1045" t="s">
        <v>1749</v>
      </c>
    </row>
    <row r="1046" spans="1:8" x14ac:dyDescent="0.25">
      <c r="A1046" t="s">
        <v>5966</v>
      </c>
      <c r="B1046" t="s">
        <v>37</v>
      </c>
      <c r="C1046" t="s">
        <v>392</v>
      </c>
      <c r="D1046">
        <v>77</v>
      </c>
      <c r="E1046">
        <v>439.74700000000001</v>
      </c>
      <c r="F1046">
        <v>1425</v>
      </c>
      <c r="G1046">
        <v>3907863</v>
      </c>
      <c r="H1046" t="s">
        <v>1749</v>
      </c>
    </row>
    <row r="1047" spans="1:8" x14ac:dyDescent="0.25">
      <c r="A1047" t="s">
        <v>5966</v>
      </c>
      <c r="B1047" t="s">
        <v>37</v>
      </c>
      <c r="C1047" t="s">
        <v>392</v>
      </c>
      <c r="D1047">
        <v>78</v>
      </c>
      <c r="E1047">
        <v>445.91899999999998</v>
      </c>
      <c r="F1047">
        <v>1445</v>
      </c>
      <c r="G1047">
        <v>3907863</v>
      </c>
      <c r="H1047" t="s">
        <v>1749</v>
      </c>
    </row>
    <row r="1048" spans="1:8" x14ac:dyDescent="0.25">
      <c r="A1048" t="s">
        <v>5966</v>
      </c>
      <c r="B1048" t="s">
        <v>37</v>
      </c>
      <c r="C1048" t="s">
        <v>392</v>
      </c>
      <c r="D1048">
        <v>76</v>
      </c>
      <c r="E1048">
        <v>436.661</v>
      </c>
      <c r="F1048">
        <v>1415</v>
      </c>
      <c r="G1048">
        <v>3907863</v>
      </c>
      <c r="H1048" t="s">
        <v>1749</v>
      </c>
    </row>
    <row r="1049" spans="1:8" x14ac:dyDescent="0.25">
      <c r="A1049" t="s">
        <v>5966</v>
      </c>
      <c r="B1049" t="s">
        <v>37</v>
      </c>
      <c r="C1049" t="s">
        <v>392</v>
      </c>
      <c r="D1049">
        <v>81</v>
      </c>
      <c r="E1049">
        <v>459.80599999999998</v>
      </c>
      <c r="F1049">
        <v>1490</v>
      </c>
      <c r="G1049">
        <v>3907863</v>
      </c>
      <c r="H1049" t="s">
        <v>1749</v>
      </c>
    </row>
    <row r="1050" spans="1:8" x14ac:dyDescent="0.25">
      <c r="A1050" t="s">
        <v>5966</v>
      </c>
      <c r="B1050" t="s">
        <v>37</v>
      </c>
      <c r="C1050" t="s">
        <v>392</v>
      </c>
      <c r="D1050">
        <v>79</v>
      </c>
      <c r="E1050">
        <v>453.63400000000001</v>
      </c>
      <c r="F1050">
        <v>1470</v>
      </c>
      <c r="G1050">
        <v>3907863</v>
      </c>
      <c r="H1050" t="s">
        <v>1749</v>
      </c>
    </row>
    <row r="1051" spans="1:8" x14ac:dyDescent="0.25">
      <c r="A1051" t="s">
        <v>5966</v>
      </c>
      <c r="B1051" t="s">
        <v>37</v>
      </c>
      <c r="C1051" t="s">
        <v>392</v>
      </c>
      <c r="D1051">
        <v>77</v>
      </c>
      <c r="E1051">
        <v>441.29</v>
      </c>
      <c r="F1051">
        <v>1430</v>
      </c>
      <c r="G1051">
        <v>3907863</v>
      </c>
      <c r="H1051" t="s">
        <v>1749</v>
      </c>
    </row>
    <row r="1052" spans="1:8" x14ac:dyDescent="0.25">
      <c r="A1052" t="s">
        <v>5966</v>
      </c>
      <c r="B1052" t="s">
        <v>37</v>
      </c>
      <c r="C1052" t="s">
        <v>392</v>
      </c>
      <c r="D1052">
        <v>83</v>
      </c>
      <c r="E1052">
        <v>472.149</v>
      </c>
      <c r="F1052">
        <v>1530</v>
      </c>
      <c r="G1052">
        <v>3907863</v>
      </c>
      <c r="H1052" t="s">
        <v>1749</v>
      </c>
    </row>
    <row r="1053" spans="1:8" x14ac:dyDescent="0.25">
      <c r="A1053" t="s">
        <v>5966</v>
      </c>
      <c r="B1053" t="s">
        <v>37</v>
      </c>
      <c r="C1053" t="s">
        <v>392</v>
      </c>
      <c r="D1053">
        <v>78</v>
      </c>
      <c r="E1053">
        <v>447.46199999999999</v>
      </c>
      <c r="F1053">
        <v>1450</v>
      </c>
      <c r="G1053">
        <v>3907863</v>
      </c>
      <c r="H1053" t="s">
        <v>1749</v>
      </c>
    </row>
    <row r="1054" spans="1:8" x14ac:dyDescent="0.25">
      <c r="A1054" t="s">
        <v>5966</v>
      </c>
      <c r="B1054" t="s">
        <v>37</v>
      </c>
      <c r="C1054" t="s">
        <v>392</v>
      </c>
      <c r="D1054">
        <v>81</v>
      </c>
      <c r="E1054">
        <v>459.80599999999998</v>
      </c>
      <c r="F1054">
        <v>1490</v>
      </c>
      <c r="G1054">
        <v>3907863</v>
      </c>
      <c r="H1054" t="s">
        <v>1749</v>
      </c>
    </row>
    <row r="1055" spans="1:8" x14ac:dyDescent="0.25">
      <c r="A1055" t="s">
        <v>5966</v>
      </c>
      <c r="B1055" t="s">
        <v>37</v>
      </c>
      <c r="C1055" t="s">
        <v>392</v>
      </c>
      <c r="D1055">
        <v>33</v>
      </c>
      <c r="E1055">
        <v>187.31700000000001</v>
      </c>
      <c r="F1055">
        <v>607</v>
      </c>
      <c r="G1055">
        <v>3907863</v>
      </c>
      <c r="H1055" t="s">
        <v>1749</v>
      </c>
    </row>
    <row r="1056" spans="1:8" x14ac:dyDescent="0.25">
      <c r="A1056" t="s">
        <v>5966</v>
      </c>
      <c r="B1056" t="s">
        <v>37</v>
      </c>
      <c r="C1056" t="s">
        <v>392</v>
      </c>
      <c r="D1056">
        <v>143</v>
      </c>
      <c r="E1056">
        <v>887.28</v>
      </c>
      <c r="F1056">
        <v>2500</v>
      </c>
      <c r="G1056">
        <v>4265906</v>
      </c>
      <c r="H1056" t="s">
        <v>6027</v>
      </c>
    </row>
    <row r="1057" spans="1:8" x14ac:dyDescent="0.25">
      <c r="A1057" t="s">
        <v>5966</v>
      </c>
      <c r="B1057" t="s">
        <v>37</v>
      </c>
      <c r="C1057" t="s">
        <v>392</v>
      </c>
      <c r="D1057">
        <v>158</v>
      </c>
      <c r="E1057">
        <v>977.07299999999998</v>
      </c>
      <c r="F1057">
        <v>2753</v>
      </c>
      <c r="G1057">
        <v>4265906</v>
      </c>
      <c r="H1057" t="s">
        <v>6027</v>
      </c>
    </row>
    <row r="1058" spans="1:8" x14ac:dyDescent="0.25">
      <c r="A1058" t="s">
        <v>437</v>
      </c>
      <c r="B1058" t="s">
        <v>18</v>
      </c>
      <c r="C1058" t="s">
        <v>397</v>
      </c>
      <c r="D1058">
        <v>4074</v>
      </c>
      <c r="E1058">
        <v>1686.98</v>
      </c>
      <c r="F1058">
        <v>1796.634</v>
      </c>
      <c r="G1058">
        <v>3598957</v>
      </c>
      <c r="H1058" t="s">
        <v>665</v>
      </c>
    </row>
    <row r="1059" spans="1:8" x14ac:dyDescent="0.25">
      <c r="A1059" t="s">
        <v>437</v>
      </c>
      <c r="B1059" t="s">
        <v>18</v>
      </c>
      <c r="C1059" t="s">
        <v>397</v>
      </c>
      <c r="D1059">
        <v>1909</v>
      </c>
      <c r="E1059">
        <v>790.48699999999997</v>
      </c>
      <c r="F1059">
        <v>841.86900000000003</v>
      </c>
      <c r="G1059">
        <v>3598957</v>
      </c>
      <c r="H1059" t="s">
        <v>665</v>
      </c>
    </row>
    <row r="1060" spans="1:8" x14ac:dyDescent="0.25">
      <c r="A1060" t="s">
        <v>437</v>
      </c>
      <c r="B1060" t="s">
        <v>18</v>
      </c>
      <c r="C1060" t="s">
        <v>397</v>
      </c>
      <c r="D1060">
        <v>1240</v>
      </c>
      <c r="E1060">
        <v>513.46500000000003</v>
      </c>
      <c r="F1060">
        <v>546.84</v>
      </c>
      <c r="G1060">
        <v>3598957</v>
      </c>
      <c r="H1060" t="s">
        <v>665</v>
      </c>
    </row>
    <row r="1061" spans="1:8" x14ac:dyDescent="0.25">
      <c r="A1061" t="s">
        <v>437</v>
      </c>
      <c r="B1061" t="s">
        <v>18</v>
      </c>
      <c r="C1061" t="s">
        <v>397</v>
      </c>
      <c r="D1061">
        <v>377</v>
      </c>
      <c r="E1061">
        <v>156.11000000000001</v>
      </c>
      <c r="F1061">
        <v>166.25700000000001</v>
      </c>
      <c r="G1061">
        <v>3598957</v>
      </c>
      <c r="H1061" t="s">
        <v>665</v>
      </c>
    </row>
    <row r="1062" spans="1:8" x14ac:dyDescent="0.25">
      <c r="A1062" t="s">
        <v>437</v>
      </c>
      <c r="B1062" t="s">
        <v>18</v>
      </c>
      <c r="C1062" t="s">
        <v>397</v>
      </c>
      <c r="D1062">
        <v>2349</v>
      </c>
      <c r="E1062">
        <v>505.041</v>
      </c>
      <c r="F1062">
        <v>537.86900000000003</v>
      </c>
      <c r="G1062">
        <v>3727212</v>
      </c>
      <c r="H1062" t="s">
        <v>669</v>
      </c>
    </row>
    <row r="1063" spans="1:8" x14ac:dyDescent="0.25">
      <c r="A1063" t="s">
        <v>437</v>
      </c>
      <c r="B1063" t="s">
        <v>18</v>
      </c>
      <c r="C1063" t="s">
        <v>397</v>
      </c>
      <c r="D1063">
        <v>76</v>
      </c>
      <c r="E1063">
        <v>16.34</v>
      </c>
      <c r="F1063">
        <v>17.402000000000001</v>
      </c>
      <c r="G1063">
        <v>3727212</v>
      </c>
      <c r="H1063" t="s">
        <v>669</v>
      </c>
    </row>
    <row r="1064" spans="1:8" x14ac:dyDescent="0.25">
      <c r="A1064" t="s">
        <v>437</v>
      </c>
      <c r="B1064" t="s">
        <v>18</v>
      </c>
      <c r="C1064" t="s">
        <v>397</v>
      </c>
      <c r="D1064">
        <v>3172</v>
      </c>
      <c r="E1064">
        <v>1701.239</v>
      </c>
      <c r="F1064">
        <v>2664.48</v>
      </c>
      <c r="G1064">
        <v>1940822</v>
      </c>
      <c r="H1064" t="s">
        <v>574</v>
      </c>
    </row>
    <row r="1065" spans="1:8" x14ac:dyDescent="0.25">
      <c r="A1065" t="s">
        <v>437</v>
      </c>
      <c r="B1065" t="s">
        <v>18</v>
      </c>
      <c r="C1065" t="s">
        <v>397</v>
      </c>
      <c r="D1065">
        <v>828</v>
      </c>
      <c r="E1065">
        <v>444.08100000000002</v>
      </c>
      <c r="F1065">
        <v>695.52</v>
      </c>
      <c r="G1065">
        <v>1940822</v>
      </c>
      <c r="H1065" t="s">
        <v>574</v>
      </c>
    </row>
    <row r="1066" spans="1:8" x14ac:dyDescent="0.25">
      <c r="A1066" t="s">
        <v>437</v>
      </c>
      <c r="B1066" t="s">
        <v>18</v>
      </c>
      <c r="C1066" t="s">
        <v>397</v>
      </c>
      <c r="D1066">
        <v>1400</v>
      </c>
      <c r="E1066">
        <v>783.93600000000004</v>
      </c>
      <c r="F1066">
        <v>1227.8</v>
      </c>
      <c r="G1066">
        <v>1940823</v>
      </c>
      <c r="H1066" t="s">
        <v>576</v>
      </c>
    </row>
    <row r="1067" spans="1:8" x14ac:dyDescent="0.25">
      <c r="A1067" t="s">
        <v>437</v>
      </c>
      <c r="B1067" t="s">
        <v>18</v>
      </c>
      <c r="C1067" t="s">
        <v>397</v>
      </c>
      <c r="D1067">
        <v>760</v>
      </c>
      <c r="E1067">
        <v>112.79</v>
      </c>
      <c r="F1067">
        <v>224.96</v>
      </c>
      <c r="G1067">
        <v>4098592</v>
      </c>
      <c r="H1067" t="s">
        <v>579</v>
      </c>
    </row>
    <row r="1068" spans="1:8" x14ac:dyDescent="0.25">
      <c r="A1068" t="s">
        <v>437</v>
      </c>
      <c r="B1068" t="s">
        <v>18</v>
      </c>
      <c r="C1068" t="s">
        <v>397</v>
      </c>
      <c r="D1068">
        <v>1350</v>
      </c>
      <c r="E1068">
        <v>815.38</v>
      </c>
      <c r="F1068">
        <v>1583.55</v>
      </c>
      <c r="G1068">
        <v>2427158</v>
      </c>
      <c r="H1068" t="s">
        <v>671</v>
      </c>
    </row>
    <row r="1069" spans="1:8" x14ac:dyDescent="0.25">
      <c r="A1069" t="s">
        <v>437</v>
      </c>
      <c r="B1069" t="s">
        <v>18</v>
      </c>
      <c r="C1069" t="s">
        <v>397</v>
      </c>
      <c r="D1069">
        <v>1329</v>
      </c>
      <c r="E1069">
        <v>802.697</v>
      </c>
      <c r="F1069">
        <v>1558.9169999999999</v>
      </c>
      <c r="G1069">
        <v>2427158</v>
      </c>
      <c r="H1069" t="s">
        <v>671</v>
      </c>
    </row>
    <row r="1070" spans="1:8" x14ac:dyDescent="0.25">
      <c r="A1070" t="s">
        <v>437</v>
      </c>
      <c r="B1070" t="s">
        <v>18</v>
      </c>
      <c r="C1070" t="s">
        <v>397</v>
      </c>
      <c r="D1070">
        <v>1311</v>
      </c>
      <c r="E1070">
        <v>791.82500000000005</v>
      </c>
      <c r="F1070">
        <v>1537.8030000000001</v>
      </c>
      <c r="G1070">
        <v>2427158</v>
      </c>
      <c r="H1070" t="s">
        <v>671</v>
      </c>
    </row>
    <row r="1071" spans="1:8" x14ac:dyDescent="0.25">
      <c r="A1071" t="s">
        <v>422</v>
      </c>
      <c r="B1071" t="s">
        <v>30</v>
      </c>
      <c r="C1071" t="s">
        <v>397</v>
      </c>
      <c r="D1071">
        <v>500</v>
      </c>
      <c r="E1071">
        <v>164.995</v>
      </c>
      <c r="F1071">
        <v>87.183000000000007</v>
      </c>
      <c r="G1071">
        <v>3935313</v>
      </c>
      <c r="H1071" t="s">
        <v>560</v>
      </c>
    </row>
    <row r="1072" spans="1:8" x14ac:dyDescent="0.25">
      <c r="A1072" t="s">
        <v>422</v>
      </c>
      <c r="B1072" t="s">
        <v>30</v>
      </c>
      <c r="C1072" t="s">
        <v>397</v>
      </c>
      <c r="D1072">
        <v>1500</v>
      </c>
      <c r="E1072">
        <v>1965.5830000000001</v>
      </c>
      <c r="F1072">
        <v>2164.5</v>
      </c>
      <c r="G1072">
        <v>1940801</v>
      </c>
      <c r="H1072" t="s">
        <v>478</v>
      </c>
    </row>
    <row r="1073" spans="1:8" x14ac:dyDescent="0.25">
      <c r="A1073" t="s">
        <v>422</v>
      </c>
      <c r="B1073" t="s">
        <v>30</v>
      </c>
      <c r="C1073" t="s">
        <v>397</v>
      </c>
      <c r="D1073">
        <v>500</v>
      </c>
      <c r="E1073">
        <v>623.41099999999994</v>
      </c>
      <c r="F1073">
        <v>686.5</v>
      </c>
      <c r="G1073">
        <v>3233554</v>
      </c>
      <c r="H1073" t="s">
        <v>480</v>
      </c>
    </row>
    <row r="1074" spans="1:8" x14ac:dyDescent="0.25">
      <c r="A1074" t="s">
        <v>422</v>
      </c>
      <c r="B1074" t="s">
        <v>30</v>
      </c>
      <c r="C1074" t="s">
        <v>397</v>
      </c>
      <c r="D1074">
        <v>1898</v>
      </c>
      <c r="E1074">
        <v>2126.8910000000001</v>
      </c>
      <c r="F1074">
        <v>2342.1320000000001</v>
      </c>
      <c r="G1074">
        <v>3233555</v>
      </c>
      <c r="H1074" t="s">
        <v>482</v>
      </c>
    </row>
    <row r="1075" spans="1:8" x14ac:dyDescent="0.25">
      <c r="A1075" t="s">
        <v>422</v>
      </c>
      <c r="B1075" t="s">
        <v>30</v>
      </c>
      <c r="C1075" t="s">
        <v>397</v>
      </c>
      <c r="D1075">
        <v>102</v>
      </c>
      <c r="E1075">
        <v>114.301</v>
      </c>
      <c r="F1075">
        <v>125.86799999999999</v>
      </c>
      <c r="G1075">
        <v>3233555</v>
      </c>
      <c r="H1075" t="s">
        <v>482</v>
      </c>
    </row>
    <row r="1076" spans="1:8" x14ac:dyDescent="0.25">
      <c r="A1076" t="s">
        <v>422</v>
      </c>
      <c r="B1076" t="s">
        <v>30</v>
      </c>
      <c r="C1076" t="s">
        <v>397</v>
      </c>
      <c r="D1076">
        <v>2000</v>
      </c>
      <c r="E1076">
        <v>1720.981</v>
      </c>
      <c r="F1076">
        <v>1880</v>
      </c>
      <c r="G1076">
        <v>3572051</v>
      </c>
      <c r="H1076" t="s">
        <v>484</v>
      </c>
    </row>
    <row r="1077" spans="1:8" x14ac:dyDescent="0.25">
      <c r="A1077" t="s">
        <v>422</v>
      </c>
      <c r="B1077" t="s">
        <v>30</v>
      </c>
      <c r="C1077" t="s">
        <v>397</v>
      </c>
      <c r="D1077">
        <v>1000</v>
      </c>
      <c r="E1077">
        <v>800.03599999999994</v>
      </c>
      <c r="F1077">
        <v>881</v>
      </c>
      <c r="G1077">
        <v>3233557</v>
      </c>
      <c r="H1077" t="s">
        <v>610</v>
      </c>
    </row>
    <row r="1078" spans="1:8" x14ac:dyDescent="0.25">
      <c r="A1078" t="s">
        <v>422</v>
      </c>
      <c r="B1078" t="s">
        <v>30</v>
      </c>
      <c r="C1078" t="s">
        <v>397</v>
      </c>
      <c r="D1078">
        <v>500</v>
      </c>
      <c r="E1078">
        <v>622.99900000000002</v>
      </c>
      <c r="F1078">
        <v>339.47199999999998</v>
      </c>
      <c r="G1078">
        <v>3572038</v>
      </c>
      <c r="H1078" t="s">
        <v>521</v>
      </c>
    </row>
    <row r="1079" spans="1:8" x14ac:dyDescent="0.25">
      <c r="A1079" t="s">
        <v>422</v>
      </c>
      <c r="B1079" t="s">
        <v>30</v>
      </c>
      <c r="C1079" t="s">
        <v>397</v>
      </c>
      <c r="D1079">
        <v>648</v>
      </c>
      <c r="E1079">
        <v>570.45600000000002</v>
      </c>
      <c r="F1079">
        <v>315.57600000000002</v>
      </c>
      <c r="G1079">
        <v>3230492</v>
      </c>
      <c r="H1079" t="s">
        <v>614</v>
      </c>
    </row>
    <row r="1080" spans="1:8" x14ac:dyDescent="0.25">
      <c r="A1080" t="s">
        <v>422</v>
      </c>
      <c r="B1080" t="s">
        <v>30</v>
      </c>
      <c r="C1080" t="s">
        <v>397</v>
      </c>
      <c r="D1080">
        <v>599</v>
      </c>
      <c r="E1080">
        <v>527.31899999999996</v>
      </c>
      <c r="F1080">
        <v>291.71300000000002</v>
      </c>
      <c r="G1080">
        <v>3230492</v>
      </c>
      <c r="H1080" t="s">
        <v>614</v>
      </c>
    </row>
    <row r="1081" spans="1:8" x14ac:dyDescent="0.25">
      <c r="A1081" t="s">
        <v>422</v>
      </c>
      <c r="B1081" t="s">
        <v>30</v>
      </c>
      <c r="C1081" t="s">
        <v>397</v>
      </c>
      <c r="D1081">
        <v>253</v>
      </c>
      <c r="E1081">
        <v>222.72399999999999</v>
      </c>
      <c r="F1081">
        <v>123.211</v>
      </c>
      <c r="G1081">
        <v>3230492</v>
      </c>
      <c r="H1081" t="s">
        <v>614</v>
      </c>
    </row>
    <row r="1082" spans="1:8" x14ac:dyDescent="0.25">
      <c r="A1082" t="s">
        <v>422</v>
      </c>
      <c r="B1082" t="s">
        <v>30</v>
      </c>
      <c r="C1082" t="s">
        <v>397</v>
      </c>
      <c r="D1082">
        <v>1000</v>
      </c>
      <c r="E1082">
        <v>872.13499999999999</v>
      </c>
      <c r="F1082">
        <v>487</v>
      </c>
      <c r="G1082">
        <v>3605739</v>
      </c>
      <c r="H1082" t="s">
        <v>620</v>
      </c>
    </row>
    <row r="1083" spans="1:8" x14ac:dyDescent="0.25">
      <c r="A1083" t="s">
        <v>422</v>
      </c>
      <c r="B1083" t="s">
        <v>30</v>
      </c>
      <c r="C1083" t="s">
        <v>397</v>
      </c>
      <c r="D1083">
        <v>1000</v>
      </c>
      <c r="E1083">
        <v>840.56399999999996</v>
      </c>
      <c r="F1083">
        <v>465</v>
      </c>
      <c r="G1083">
        <v>3230485</v>
      </c>
      <c r="H1083" t="s">
        <v>616</v>
      </c>
    </row>
    <row r="1084" spans="1:8" x14ac:dyDescent="0.25">
      <c r="A1084" t="s">
        <v>422</v>
      </c>
      <c r="B1084" t="s">
        <v>30</v>
      </c>
      <c r="C1084" t="s">
        <v>397</v>
      </c>
      <c r="D1084">
        <v>1000</v>
      </c>
      <c r="E1084">
        <v>800.00400000000002</v>
      </c>
      <c r="F1084">
        <v>436.01100000000002</v>
      </c>
      <c r="G1084">
        <v>3931836</v>
      </c>
      <c r="H1084" t="s">
        <v>612</v>
      </c>
    </row>
    <row r="1085" spans="1:8" x14ac:dyDescent="0.25">
      <c r="A1085" t="s">
        <v>422</v>
      </c>
      <c r="B1085" t="s">
        <v>30</v>
      </c>
      <c r="C1085" t="s">
        <v>397</v>
      </c>
      <c r="D1085">
        <v>500</v>
      </c>
      <c r="E1085">
        <v>503.50700000000001</v>
      </c>
      <c r="F1085">
        <v>274.41699999999997</v>
      </c>
      <c r="G1085">
        <v>4100796</v>
      </c>
      <c r="H1085" t="s">
        <v>552</v>
      </c>
    </row>
    <row r="1086" spans="1:8" x14ac:dyDescent="0.25">
      <c r="A1086" t="s">
        <v>422</v>
      </c>
      <c r="B1086" t="s">
        <v>30</v>
      </c>
      <c r="C1086" t="s">
        <v>397</v>
      </c>
      <c r="D1086">
        <v>1000</v>
      </c>
      <c r="E1086">
        <v>539.99699999999996</v>
      </c>
      <c r="F1086">
        <v>294.24400000000003</v>
      </c>
      <c r="G1086">
        <v>3571870</v>
      </c>
      <c r="H1086" t="s">
        <v>525</v>
      </c>
    </row>
    <row r="1087" spans="1:8" x14ac:dyDescent="0.25">
      <c r="A1087" t="s">
        <v>422</v>
      </c>
      <c r="B1087" t="s">
        <v>30</v>
      </c>
      <c r="C1087" t="s">
        <v>397</v>
      </c>
      <c r="D1087">
        <v>1000</v>
      </c>
      <c r="E1087">
        <v>469.99400000000003</v>
      </c>
      <c r="F1087">
        <v>256.10000000000002</v>
      </c>
      <c r="G1087">
        <v>3230488</v>
      </c>
      <c r="H1087" t="s">
        <v>496</v>
      </c>
    </row>
    <row r="1088" spans="1:8" x14ac:dyDescent="0.25">
      <c r="A1088" t="s">
        <v>422</v>
      </c>
      <c r="B1088" t="s">
        <v>30</v>
      </c>
      <c r="C1088" t="s">
        <v>397</v>
      </c>
      <c r="D1088">
        <v>3000</v>
      </c>
      <c r="E1088">
        <v>1198.482</v>
      </c>
      <c r="F1088">
        <v>663</v>
      </c>
      <c r="G1088">
        <v>3230487</v>
      </c>
      <c r="H1088" t="s">
        <v>498</v>
      </c>
    </row>
    <row r="1089" spans="1:8" x14ac:dyDescent="0.25">
      <c r="A1089" t="s">
        <v>422</v>
      </c>
      <c r="B1089" t="s">
        <v>30</v>
      </c>
      <c r="C1089" t="s">
        <v>397</v>
      </c>
      <c r="D1089">
        <v>1000</v>
      </c>
      <c r="E1089">
        <v>356.11</v>
      </c>
      <c r="F1089">
        <v>197</v>
      </c>
      <c r="G1089">
        <v>3230490</v>
      </c>
      <c r="H1089" t="s">
        <v>515</v>
      </c>
    </row>
    <row r="1090" spans="1:8" x14ac:dyDescent="0.25">
      <c r="A1090" t="s">
        <v>422</v>
      </c>
      <c r="B1090" t="s">
        <v>30</v>
      </c>
      <c r="C1090" t="s">
        <v>397</v>
      </c>
      <c r="D1090">
        <v>500</v>
      </c>
      <c r="E1090">
        <v>649.00599999999997</v>
      </c>
      <c r="F1090">
        <v>563.15</v>
      </c>
      <c r="G1090">
        <v>3935311</v>
      </c>
      <c r="H1090" t="s">
        <v>622</v>
      </c>
    </row>
    <row r="1091" spans="1:8" x14ac:dyDescent="0.25">
      <c r="A1091" t="s">
        <v>422</v>
      </c>
      <c r="B1091" t="s">
        <v>30</v>
      </c>
      <c r="C1091" t="s">
        <v>397</v>
      </c>
      <c r="D1091">
        <v>1000</v>
      </c>
      <c r="E1091">
        <v>787.17499999999995</v>
      </c>
      <c r="F1091">
        <v>712</v>
      </c>
      <c r="G1091">
        <v>3230482</v>
      </c>
      <c r="H1091" t="s">
        <v>624</v>
      </c>
    </row>
    <row r="1092" spans="1:8" x14ac:dyDescent="0.25">
      <c r="A1092" t="s">
        <v>422</v>
      </c>
      <c r="B1092" t="s">
        <v>30</v>
      </c>
      <c r="C1092" t="s">
        <v>397</v>
      </c>
      <c r="D1092">
        <v>500</v>
      </c>
      <c r="E1092">
        <v>615.00400000000002</v>
      </c>
      <c r="F1092">
        <v>324.87200000000001</v>
      </c>
      <c r="G1092">
        <v>3929692</v>
      </c>
      <c r="H1092" t="s">
        <v>533</v>
      </c>
    </row>
    <row r="1093" spans="1:8" x14ac:dyDescent="0.25">
      <c r="A1093" t="s">
        <v>422</v>
      </c>
      <c r="B1093" t="s">
        <v>30</v>
      </c>
      <c r="C1093" t="s">
        <v>397</v>
      </c>
      <c r="D1093">
        <v>1000</v>
      </c>
      <c r="E1093">
        <v>682.00699999999995</v>
      </c>
      <c r="F1093">
        <v>360.267</v>
      </c>
      <c r="G1093">
        <v>3929540</v>
      </c>
      <c r="H1093" t="s">
        <v>627</v>
      </c>
    </row>
    <row r="1094" spans="1:8" x14ac:dyDescent="0.25">
      <c r="A1094" t="s">
        <v>422</v>
      </c>
      <c r="B1094" t="s">
        <v>30</v>
      </c>
      <c r="C1094" t="s">
        <v>397</v>
      </c>
      <c r="D1094">
        <v>2000</v>
      </c>
      <c r="E1094">
        <v>399.983</v>
      </c>
      <c r="F1094">
        <v>211.28899999999999</v>
      </c>
      <c r="G1094">
        <v>3929691</v>
      </c>
      <c r="H1094" t="s">
        <v>535</v>
      </c>
    </row>
    <row r="1095" spans="1:8" x14ac:dyDescent="0.25">
      <c r="A1095" t="s">
        <v>422</v>
      </c>
      <c r="B1095" t="s">
        <v>30</v>
      </c>
      <c r="C1095" t="s">
        <v>397</v>
      </c>
      <c r="D1095">
        <v>1000</v>
      </c>
      <c r="E1095">
        <v>220.61500000000001</v>
      </c>
      <c r="F1095">
        <v>241</v>
      </c>
      <c r="G1095">
        <v>3230495</v>
      </c>
      <c r="H1095" t="s">
        <v>629</v>
      </c>
    </row>
    <row r="1096" spans="1:8" x14ac:dyDescent="0.25">
      <c r="A1096" t="s">
        <v>517</v>
      </c>
      <c r="B1096" t="s">
        <v>19</v>
      </c>
      <c r="C1096" t="s">
        <v>397</v>
      </c>
      <c r="D1096">
        <v>12400</v>
      </c>
      <c r="E1096">
        <v>3614.2220000000002</v>
      </c>
      <c r="F1096">
        <v>2368.4</v>
      </c>
      <c r="G1096">
        <v>1940090</v>
      </c>
      <c r="H1096" t="s">
        <v>538</v>
      </c>
    </row>
    <row r="1097" spans="1:8" x14ac:dyDescent="0.25">
      <c r="A1097" t="s">
        <v>517</v>
      </c>
      <c r="B1097" t="s">
        <v>19</v>
      </c>
      <c r="C1097" t="s">
        <v>397</v>
      </c>
      <c r="D1097">
        <v>510</v>
      </c>
      <c r="E1097">
        <v>877.71799999999996</v>
      </c>
      <c r="F1097">
        <v>1754.91</v>
      </c>
      <c r="G1097">
        <v>1940715</v>
      </c>
      <c r="H1097" t="s">
        <v>674</v>
      </c>
    </row>
    <row r="1098" spans="1:8" x14ac:dyDescent="0.25">
      <c r="A1098" t="s">
        <v>517</v>
      </c>
      <c r="B1098" t="s">
        <v>19</v>
      </c>
      <c r="C1098" t="s">
        <v>397</v>
      </c>
      <c r="D1098">
        <v>500</v>
      </c>
      <c r="E1098">
        <v>860.50800000000004</v>
      </c>
      <c r="F1098">
        <v>1720.5</v>
      </c>
      <c r="G1098">
        <v>1940715</v>
      </c>
      <c r="H1098" t="s">
        <v>674</v>
      </c>
    </row>
    <row r="1099" spans="1:8" x14ac:dyDescent="0.25">
      <c r="A1099" t="s">
        <v>517</v>
      </c>
      <c r="B1099" t="s">
        <v>19</v>
      </c>
      <c r="C1099" t="s">
        <v>397</v>
      </c>
      <c r="D1099">
        <v>500</v>
      </c>
      <c r="E1099">
        <v>860.50800000000004</v>
      </c>
      <c r="F1099">
        <v>1720.5</v>
      </c>
      <c r="G1099">
        <v>1940715</v>
      </c>
      <c r="H1099" t="s">
        <v>674</v>
      </c>
    </row>
    <row r="1100" spans="1:8" x14ac:dyDescent="0.25">
      <c r="A1100" t="s">
        <v>517</v>
      </c>
      <c r="B1100" t="s">
        <v>19</v>
      </c>
      <c r="C1100" t="s">
        <v>397</v>
      </c>
      <c r="D1100">
        <v>490</v>
      </c>
      <c r="E1100">
        <v>843.298</v>
      </c>
      <c r="F1100">
        <v>1686.09</v>
      </c>
      <c r="G1100">
        <v>1940715</v>
      </c>
      <c r="H1100" t="s">
        <v>674</v>
      </c>
    </row>
    <row r="1101" spans="1:8" x14ac:dyDescent="0.25">
      <c r="A1101" t="s">
        <v>517</v>
      </c>
      <c r="B1101" t="s">
        <v>19</v>
      </c>
      <c r="C1101" t="s">
        <v>397</v>
      </c>
      <c r="D1101">
        <v>1349</v>
      </c>
      <c r="E1101">
        <v>857.88599999999997</v>
      </c>
      <c r="F1101">
        <v>1666.0150000000001</v>
      </c>
      <c r="G1101">
        <v>1940879</v>
      </c>
      <c r="H1101" t="s">
        <v>676</v>
      </c>
    </row>
    <row r="1102" spans="1:8" x14ac:dyDescent="0.25">
      <c r="A1102" t="s">
        <v>517</v>
      </c>
      <c r="B1102" t="s">
        <v>19</v>
      </c>
      <c r="C1102" t="s">
        <v>397</v>
      </c>
      <c r="D1102">
        <v>1300</v>
      </c>
      <c r="E1102">
        <v>826.72500000000002</v>
      </c>
      <c r="F1102">
        <v>1605.5</v>
      </c>
      <c r="G1102">
        <v>1940879</v>
      </c>
      <c r="H1102" t="s">
        <v>676</v>
      </c>
    </row>
    <row r="1103" spans="1:8" x14ac:dyDescent="0.25">
      <c r="A1103" t="s">
        <v>517</v>
      </c>
      <c r="B1103" t="s">
        <v>19</v>
      </c>
      <c r="C1103" t="s">
        <v>397</v>
      </c>
      <c r="D1103">
        <v>1190</v>
      </c>
      <c r="E1103">
        <v>756.77099999999996</v>
      </c>
      <c r="F1103">
        <v>1469.65</v>
      </c>
      <c r="G1103">
        <v>1940879</v>
      </c>
      <c r="H1103" t="s">
        <v>676</v>
      </c>
    </row>
    <row r="1104" spans="1:8" x14ac:dyDescent="0.25">
      <c r="A1104" t="s">
        <v>517</v>
      </c>
      <c r="B1104" t="s">
        <v>19</v>
      </c>
      <c r="C1104" t="s">
        <v>397</v>
      </c>
      <c r="D1104">
        <v>870</v>
      </c>
      <c r="E1104">
        <v>553.27</v>
      </c>
      <c r="F1104">
        <v>1074.45</v>
      </c>
      <c r="G1104">
        <v>1940879</v>
      </c>
      <c r="H1104" t="s">
        <v>676</v>
      </c>
    </row>
    <row r="1105" spans="1:8" x14ac:dyDescent="0.25">
      <c r="A1105" t="s">
        <v>517</v>
      </c>
      <c r="B1105" t="s">
        <v>19</v>
      </c>
      <c r="C1105" t="s">
        <v>397</v>
      </c>
      <c r="D1105">
        <v>269</v>
      </c>
      <c r="E1105">
        <v>171.06800000000001</v>
      </c>
      <c r="F1105">
        <v>332.21499999999997</v>
      </c>
      <c r="G1105">
        <v>1940879</v>
      </c>
      <c r="H1105" t="s">
        <v>676</v>
      </c>
    </row>
    <row r="1106" spans="1:8" x14ac:dyDescent="0.25">
      <c r="A1106" t="s">
        <v>517</v>
      </c>
      <c r="B1106" t="s">
        <v>19</v>
      </c>
      <c r="C1106" t="s">
        <v>397</v>
      </c>
      <c r="D1106">
        <v>94</v>
      </c>
      <c r="E1106">
        <v>59.779000000000003</v>
      </c>
      <c r="F1106">
        <v>116.09</v>
      </c>
      <c r="G1106">
        <v>1940879</v>
      </c>
      <c r="H1106" t="s">
        <v>676</v>
      </c>
    </row>
    <row r="1107" spans="1:8" x14ac:dyDescent="0.25">
      <c r="A1107" t="s">
        <v>517</v>
      </c>
      <c r="B1107" t="s">
        <v>19</v>
      </c>
      <c r="C1107" t="s">
        <v>397</v>
      </c>
      <c r="D1107">
        <v>25</v>
      </c>
      <c r="E1107">
        <v>15.898999999999999</v>
      </c>
      <c r="F1107">
        <v>30.875</v>
      </c>
      <c r="G1107">
        <v>1940879</v>
      </c>
      <c r="H1107" t="s">
        <v>676</v>
      </c>
    </row>
    <row r="1108" spans="1:8" x14ac:dyDescent="0.25">
      <c r="A1108" t="s">
        <v>517</v>
      </c>
      <c r="B1108" t="s">
        <v>19</v>
      </c>
      <c r="C1108" t="s">
        <v>397</v>
      </c>
      <c r="D1108">
        <v>3</v>
      </c>
      <c r="E1108">
        <v>1.9079999999999999</v>
      </c>
      <c r="F1108">
        <v>3.7050000000000001</v>
      </c>
      <c r="G1108">
        <v>1940879</v>
      </c>
      <c r="H1108" t="s">
        <v>676</v>
      </c>
    </row>
    <row r="1109" spans="1:8" x14ac:dyDescent="0.25">
      <c r="A1109" t="s">
        <v>517</v>
      </c>
      <c r="B1109" t="s">
        <v>19</v>
      </c>
      <c r="C1109" t="s">
        <v>397</v>
      </c>
      <c r="D1109">
        <v>2008</v>
      </c>
      <c r="E1109">
        <v>1288.0119999999999</v>
      </c>
      <c r="F1109">
        <v>2389.52</v>
      </c>
      <c r="G1109">
        <v>3781649</v>
      </c>
      <c r="H1109" t="s">
        <v>569</v>
      </c>
    </row>
    <row r="1110" spans="1:8" x14ac:dyDescent="0.25">
      <c r="A1110" t="s">
        <v>517</v>
      </c>
      <c r="B1110" t="s">
        <v>19</v>
      </c>
      <c r="C1110" t="s">
        <v>397</v>
      </c>
      <c r="D1110">
        <v>2</v>
      </c>
      <c r="E1110">
        <v>1.2829999999999999</v>
      </c>
      <c r="F1110">
        <v>2.38</v>
      </c>
      <c r="G1110">
        <v>3781649</v>
      </c>
      <c r="H1110" t="s">
        <v>569</v>
      </c>
    </row>
    <row r="1111" spans="1:8" x14ac:dyDescent="0.25">
      <c r="A1111" t="s">
        <v>653</v>
      </c>
      <c r="B1111" t="s">
        <v>39</v>
      </c>
      <c r="C1111" t="s">
        <v>397</v>
      </c>
      <c r="D1111">
        <v>1500</v>
      </c>
      <c r="E1111">
        <v>1319.617</v>
      </c>
      <c r="F1111">
        <v>2232</v>
      </c>
      <c r="G1111">
        <v>1940831</v>
      </c>
      <c r="H1111" t="s">
        <v>657</v>
      </c>
    </row>
    <row r="1112" spans="1:8" x14ac:dyDescent="0.25">
      <c r="A1112" t="s">
        <v>653</v>
      </c>
      <c r="B1112" t="s">
        <v>39</v>
      </c>
      <c r="C1112" t="s">
        <v>397</v>
      </c>
      <c r="D1112">
        <v>846</v>
      </c>
      <c r="E1112">
        <v>647.20100000000002</v>
      </c>
      <c r="F1112">
        <v>1823.5530000000001</v>
      </c>
      <c r="G1112">
        <v>4229654</v>
      </c>
      <c r="H1112" t="s">
        <v>262</v>
      </c>
    </row>
    <row r="1113" spans="1:8" x14ac:dyDescent="0.25">
      <c r="A1113" t="s">
        <v>419</v>
      </c>
      <c r="B1113" t="s">
        <v>46</v>
      </c>
      <c r="C1113" t="s">
        <v>397</v>
      </c>
      <c r="D1113">
        <v>6061</v>
      </c>
      <c r="E1113">
        <v>1766.597</v>
      </c>
      <c r="F1113">
        <v>1157.6510000000001</v>
      </c>
      <c r="G1113">
        <v>1940090</v>
      </c>
      <c r="H1113" t="s">
        <v>538</v>
      </c>
    </row>
    <row r="1114" spans="1:8" x14ac:dyDescent="0.25">
      <c r="A1114" t="s">
        <v>419</v>
      </c>
      <c r="B1114" t="s">
        <v>46</v>
      </c>
      <c r="C1114" t="s">
        <v>397</v>
      </c>
      <c r="D1114">
        <v>2984</v>
      </c>
      <c r="E1114">
        <v>869.745</v>
      </c>
      <c r="F1114">
        <v>569.94399999999996</v>
      </c>
      <c r="G1114">
        <v>1940090</v>
      </c>
      <c r="H1114" t="s">
        <v>538</v>
      </c>
    </row>
    <row r="1115" spans="1:8" x14ac:dyDescent="0.25">
      <c r="A1115" t="s">
        <v>419</v>
      </c>
      <c r="B1115" t="s">
        <v>46</v>
      </c>
      <c r="C1115" t="s">
        <v>397</v>
      </c>
      <c r="D1115">
        <v>755</v>
      </c>
      <c r="E1115">
        <v>220.06</v>
      </c>
      <c r="F1115">
        <v>144.20500000000001</v>
      </c>
      <c r="G1115">
        <v>1940090</v>
      </c>
      <c r="H1115" t="s">
        <v>538</v>
      </c>
    </row>
    <row r="1116" spans="1:8" x14ac:dyDescent="0.25">
      <c r="A1116" t="s">
        <v>419</v>
      </c>
      <c r="B1116" t="s">
        <v>46</v>
      </c>
      <c r="C1116" t="s">
        <v>397</v>
      </c>
      <c r="D1116">
        <v>1142</v>
      </c>
      <c r="E1116">
        <v>993.423</v>
      </c>
      <c r="F1116">
        <v>2080.7240000000002</v>
      </c>
      <c r="G1116">
        <v>1940837</v>
      </c>
      <c r="H1116" t="s">
        <v>593</v>
      </c>
    </row>
    <row r="1117" spans="1:8" x14ac:dyDescent="0.25">
      <c r="A1117" t="s">
        <v>419</v>
      </c>
      <c r="B1117" t="s">
        <v>46</v>
      </c>
      <c r="C1117" t="s">
        <v>397</v>
      </c>
      <c r="D1117">
        <v>850</v>
      </c>
      <c r="E1117">
        <v>739.41300000000001</v>
      </c>
      <c r="F1117">
        <v>1548.7</v>
      </c>
      <c r="G1117">
        <v>1940837</v>
      </c>
      <c r="H1117" t="s">
        <v>593</v>
      </c>
    </row>
    <row r="1118" spans="1:8" x14ac:dyDescent="0.25">
      <c r="A1118" t="s">
        <v>678</v>
      </c>
      <c r="B1118" t="s">
        <v>181</v>
      </c>
      <c r="C1118" t="s">
        <v>397</v>
      </c>
      <c r="D1118">
        <v>6500</v>
      </c>
      <c r="E1118">
        <v>5557.7539999999999</v>
      </c>
      <c r="F1118">
        <v>5547.75</v>
      </c>
      <c r="G1118">
        <v>3943203</v>
      </c>
      <c r="H1118" t="s">
        <v>680</v>
      </c>
    </row>
    <row r="1119" spans="1:8" x14ac:dyDescent="0.25">
      <c r="A1119" t="s">
        <v>6015</v>
      </c>
      <c r="B1119" t="s">
        <v>65</v>
      </c>
      <c r="C1119" t="s">
        <v>397</v>
      </c>
      <c r="D1119">
        <v>989</v>
      </c>
      <c r="E1119">
        <v>717.80899999999997</v>
      </c>
      <c r="F1119">
        <v>828.78200000000004</v>
      </c>
      <c r="G1119">
        <v>4027991</v>
      </c>
      <c r="H1119" t="s">
        <v>6028</v>
      </c>
    </row>
    <row r="1120" spans="1:8" x14ac:dyDescent="0.25">
      <c r="A1120" t="s">
        <v>6015</v>
      </c>
      <c r="B1120" t="s">
        <v>65</v>
      </c>
      <c r="C1120" t="s">
        <v>397</v>
      </c>
      <c r="D1120">
        <v>699</v>
      </c>
      <c r="E1120">
        <v>507.32900000000001</v>
      </c>
      <c r="F1120">
        <v>585.76199999999994</v>
      </c>
      <c r="G1120">
        <v>4027991</v>
      </c>
      <c r="H1120" t="s">
        <v>6028</v>
      </c>
    </row>
    <row r="1121" spans="1:8" x14ac:dyDescent="0.25">
      <c r="A1121" t="s">
        <v>6015</v>
      </c>
      <c r="B1121" t="s">
        <v>65</v>
      </c>
      <c r="C1121" t="s">
        <v>397</v>
      </c>
      <c r="D1121">
        <v>523</v>
      </c>
      <c r="E1121">
        <v>379.589</v>
      </c>
      <c r="F1121">
        <v>438.274</v>
      </c>
      <c r="G1121">
        <v>4027991</v>
      </c>
      <c r="H1121" t="s">
        <v>6028</v>
      </c>
    </row>
    <row r="1122" spans="1:8" x14ac:dyDescent="0.25">
      <c r="A1122" t="s">
        <v>6015</v>
      </c>
      <c r="B1122" t="s">
        <v>65</v>
      </c>
      <c r="C1122" t="s">
        <v>397</v>
      </c>
      <c r="D1122">
        <v>434</v>
      </c>
      <c r="E1122">
        <v>314.99400000000003</v>
      </c>
      <c r="F1122">
        <v>363.69200000000001</v>
      </c>
      <c r="G1122">
        <v>4027991</v>
      </c>
      <c r="H1122" t="s">
        <v>6028</v>
      </c>
    </row>
    <row r="1123" spans="1:8" x14ac:dyDescent="0.25">
      <c r="A1123" t="s">
        <v>6015</v>
      </c>
      <c r="B1123" t="s">
        <v>65</v>
      </c>
      <c r="C1123" t="s">
        <v>397</v>
      </c>
      <c r="D1123">
        <v>5</v>
      </c>
      <c r="E1123">
        <v>3.629</v>
      </c>
      <c r="F1123">
        <v>4.1900000000000004</v>
      </c>
      <c r="G1123">
        <v>4027991</v>
      </c>
      <c r="H1123" t="s">
        <v>6028</v>
      </c>
    </row>
    <row r="1124" spans="1:8" x14ac:dyDescent="0.25">
      <c r="A1124" t="s">
        <v>6015</v>
      </c>
      <c r="B1124" t="s">
        <v>65</v>
      </c>
      <c r="C1124" t="s">
        <v>397</v>
      </c>
      <c r="D1124">
        <v>1375</v>
      </c>
      <c r="E1124">
        <v>784.88800000000003</v>
      </c>
      <c r="F1124">
        <v>1456.125</v>
      </c>
      <c r="G1124">
        <v>3781648</v>
      </c>
      <c r="H1124" t="s">
        <v>1755</v>
      </c>
    </row>
    <row r="1125" spans="1:8" x14ac:dyDescent="0.25">
      <c r="A1125" t="s">
        <v>6015</v>
      </c>
      <c r="B1125" t="s">
        <v>65</v>
      </c>
      <c r="C1125" t="s">
        <v>397</v>
      </c>
      <c r="D1125">
        <v>899</v>
      </c>
      <c r="E1125">
        <v>513.17399999999998</v>
      </c>
      <c r="F1125">
        <v>952.04100000000005</v>
      </c>
      <c r="G1125">
        <v>3781648</v>
      </c>
      <c r="H1125" t="s">
        <v>1755</v>
      </c>
    </row>
    <row r="1126" spans="1:8" x14ac:dyDescent="0.25">
      <c r="A1126" t="s">
        <v>6015</v>
      </c>
      <c r="B1126" t="s">
        <v>65</v>
      </c>
      <c r="C1126" t="s">
        <v>397</v>
      </c>
      <c r="D1126">
        <v>226</v>
      </c>
      <c r="E1126">
        <v>129.00700000000001</v>
      </c>
      <c r="F1126">
        <v>239.334</v>
      </c>
      <c r="G1126">
        <v>3781648</v>
      </c>
      <c r="H1126" t="s">
        <v>1755</v>
      </c>
    </row>
    <row r="1127" spans="1:8" x14ac:dyDescent="0.25">
      <c r="A1127" t="s">
        <v>6015</v>
      </c>
      <c r="B1127" t="s">
        <v>65</v>
      </c>
      <c r="C1127" t="s">
        <v>397</v>
      </c>
      <c r="D1127">
        <v>5647</v>
      </c>
      <c r="E1127">
        <v>1485.204</v>
      </c>
      <c r="F1127">
        <v>1022.86</v>
      </c>
      <c r="G1127">
        <v>2382571</v>
      </c>
      <c r="H1127" t="s">
        <v>6016</v>
      </c>
    </row>
    <row r="1128" spans="1:8" x14ac:dyDescent="0.25">
      <c r="A1128" t="s">
        <v>6015</v>
      </c>
      <c r="B1128" t="s">
        <v>65</v>
      </c>
      <c r="C1128" t="s">
        <v>397</v>
      </c>
      <c r="D1128">
        <v>2603</v>
      </c>
      <c r="E1128">
        <v>684.60900000000004</v>
      </c>
      <c r="F1128">
        <v>471.49</v>
      </c>
      <c r="G1128">
        <v>2382571</v>
      </c>
      <c r="H1128" t="s">
        <v>6016</v>
      </c>
    </row>
    <row r="1129" spans="1:8" x14ac:dyDescent="0.25">
      <c r="A1129" t="s">
        <v>6015</v>
      </c>
      <c r="B1129" t="s">
        <v>65</v>
      </c>
      <c r="C1129" t="s">
        <v>397</v>
      </c>
      <c r="D1129">
        <v>4169</v>
      </c>
      <c r="E1129">
        <v>714.11099999999999</v>
      </c>
      <c r="F1129">
        <v>295.99900000000002</v>
      </c>
      <c r="G1129">
        <v>3204542</v>
      </c>
      <c r="H1129" t="s">
        <v>1141</v>
      </c>
    </row>
    <row r="1130" spans="1:8" x14ac:dyDescent="0.25">
      <c r="A1130" t="s">
        <v>6015</v>
      </c>
      <c r="B1130" t="s">
        <v>65</v>
      </c>
      <c r="C1130" t="s">
        <v>397</v>
      </c>
      <c r="D1130">
        <v>2098</v>
      </c>
      <c r="E1130">
        <v>359.36799999999999</v>
      </c>
      <c r="F1130">
        <v>148.958</v>
      </c>
      <c r="G1130">
        <v>3204542</v>
      </c>
      <c r="H1130" t="s">
        <v>1141</v>
      </c>
    </row>
    <row r="1131" spans="1:8" x14ac:dyDescent="0.25">
      <c r="A1131" t="s">
        <v>6015</v>
      </c>
      <c r="B1131" t="s">
        <v>65</v>
      </c>
      <c r="C1131" t="s">
        <v>397</v>
      </c>
      <c r="D1131">
        <v>933</v>
      </c>
      <c r="E1131">
        <v>159.81399999999999</v>
      </c>
      <c r="F1131">
        <v>66.242999999999995</v>
      </c>
      <c r="G1131">
        <v>3204542</v>
      </c>
      <c r="H1131" t="s">
        <v>1141</v>
      </c>
    </row>
    <row r="1132" spans="1:8" x14ac:dyDescent="0.25">
      <c r="A1132" t="s">
        <v>422</v>
      </c>
      <c r="B1132" t="s">
        <v>30</v>
      </c>
      <c r="C1132" t="s">
        <v>397</v>
      </c>
      <c r="D1132">
        <v>1636</v>
      </c>
      <c r="E1132">
        <v>841.86699999999996</v>
      </c>
      <c r="F1132">
        <v>1318.616</v>
      </c>
      <c r="G1132">
        <v>3438761</v>
      </c>
      <c r="H1132" t="s">
        <v>682</v>
      </c>
    </row>
    <row r="1133" spans="1:8" x14ac:dyDescent="0.25">
      <c r="A1133" t="s">
        <v>422</v>
      </c>
      <c r="B1133" t="s">
        <v>30</v>
      </c>
      <c r="C1133" t="s">
        <v>397</v>
      </c>
      <c r="D1133">
        <v>719</v>
      </c>
      <c r="E1133">
        <v>369.98899999999998</v>
      </c>
      <c r="F1133">
        <v>579.51400000000001</v>
      </c>
      <c r="G1133">
        <v>3438761</v>
      </c>
      <c r="H1133" t="s">
        <v>682</v>
      </c>
    </row>
    <row r="1134" spans="1:8" x14ac:dyDescent="0.25">
      <c r="A1134" t="s">
        <v>422</v>
      </c>
      <c r="B1134" t="s">
        <v>30</v>
      </c>
      <c r="C1134" t="s">
        <v>397</v>
      </c>
      <c r="D1134">
        <v>435</v>
      </c>
      <c r="E1134">
        <v>223.846</v>
      </c>
      <c r="F1134">
        <v>350.61</v>
      </c>
      <c r="G1134">
        <v>3438761</v>
      </c>
      <c r="H1134" t="s">
        <v>682</v>
      </c>
    </row>
    <row r="1135" spans="1:8" x14ac:dyDescent="0.25">
      <c r="A1135" t="s">
        <v>422</v>
      </c>
      <c r="B1135" t="s">
        <v>30</v>
      </c>
      <c r="C1135" t="s">
        <v>397</v>
      </c>
      <c r="D1135">
        <v>290</v>
      </c>
      <c r="E1135">
        <v>149.23099999999999</v>
      </c>
      <c r="F1135">
        <v>233.74</v>
      </c>
      <c r="G1135">
        <v>3438761</v>
      </c>
      <c r="H1135" t="s">
        <v>682</v>
      </c>
    </row>
    <row r="1136" spans="1:8" x14ac:dyDescent="0.25">
      <c r="A1136" t="s">
        <v>422</v>
      </c>
      <c r="B1136" t="s">
        <v>30</v>
      </c>
      <c r="C1136" t="s">
        <v>397</v>
      </c>
      <c r="D1136">
        <v>553</v>
      </c>
      <c r="E1136">
        <v>885.76400000000001</v>
      </c>
      <c r="F1136">
        <v>325.16399999999999</v>
      </c>
      <c r="G1136">
        <v>1941846</v>
      </c>
      <c r="H1136" t="s">
        <v>440</v>
      </c>
    </row>
    <row r="1137" spans="1:8" x14ac:dyDescent="0.25">
      <c r="A1137" t="s">
        <v>422</v>
      </c>
      <c r="B1137" t="s">
        <v>30</v>
      </c>
      <c r="C1137" t="s">
        <v>397</v>
      </c>
      <c r="D1137">
        <v>976</v>
      </c>
      <c r="E1137">
        <v>1563.3019999999999</v>
      </c>
      <c r="F1137">
        <v>573.88800000000003</v>
      </c>
      <c r="G1137">
        <v>1941846</v>
      </c>
      <c r="H1137" t="s">
        <v>440</v>
      </c>
    </row>
    <row r="1138" spans="1:8" x14ac:dyDescent="0.25">
      <c r="A1138" t="s">
        <v>422</v>
      </c>
      <c r="B1138" t="s">
        <v>30</v>
      </c>
      <c r="C1138" t="s">
        <v>397</v>
      </c>
      <c r="D1138">
        <v>630</v>
      </c>
      <c r="E1138">
        <v>1009.098</v>
      </c>
      <c r="F1138">
        <v>370.44</v>
      </c>
      <c r="G1138">
        <v>1941846</v>
      </c>
      <c r="H1138" t="s">
        <v>440</v>
      </c>
    </row>
    <row r="1139" spans="1:8" x14ac:dyDescent="0.25">
      <c r="A1139" t="s">
        <v>422</v>
      </c>
      <c r="B1139" t="s">
        <v>30</v>
      </c>
      <c r="C1139" t="s">
        <v>397</v>
      </c>
      <c r="D1139">
        <v>445</v>
      </c>
      <c r="E1139">
        <v>712.77599999999995</v>
      </c>
      <c r="F1139">
        <v>261.66000000000003</v>
      </c>
      <c r="G1139">
        <v>1941846</v>
      </c>
      <c r="H1139" t="s">
        <v>440</v>
      </c>
    </row>
    <row r="1140" spans="1:8" x14ac:dyDescent="0.25">
      <c r="A1140" t="s">
        <v>422</v>
      </c>
      <c r="B1140" t="s">
        <v>30</v>
      </c>
      <c r="C1140" t="s">
        <v>397</v>
      </c>
      <c r="D1140">
        <v>139</v>
      </c>
      <c r="E1140">
        <v>222.642</v>
      </c>
      <c r="F1140">
        <v>81.731999999999999</v>
      </c>
      <c r="G1140">
        <v>1941846</v>
      </c>
      <c r="H1140" t="s">
        <v>440</v>
      </c>
    </row>
    <row r="1141" spans="1:8" x14ac:dyDescent="0.25">
      <c r="A1141" t="s">
        <v>422</v>
      </c>
      <c r="B1141" t="s">
        <v>30</v>
      </c>
      <c r="C1141" t="s">
        <v>397</v>
      </c>
      <c r="D1141">
        <v>57</v>
      </c>
      <c r="E1141">
        <v>91.299000000000007</v>
      </c>
      <c r="F1141">
        <v>33.515999999999998</v>
      </c>
      <c r="G1141">
        <v>1941846</v>
      </c>
      <c r="H1141" t="s">
        <v>440</v>
      </c>
    </row>
    <row r="1142" spans="1:8" x14ac:dyDescent="0.25">
      <c r="A1142" t="s">
        <v>422</v>
      </c>
      <c r="B1142" t="s">
        <v>30</v>
      </c>
      <c r="C1142" t="s">
        <v>397</v>
      </c>
      <c r="D1142">
        <v>25</v>
      </c>
      <c r="E1142">
        <v>40.043999999999997</v>
      </c>
      <c r="F1142">
        <v>14.7</v>
      </c>
      <c r="G1142">
        <v>1941846</v>
      </c>
      <c r="H1142" t="s">
        <v>440</v>
      </c>
    </row>
    <row r="1143" spans="1:8" x14ac:dyDescent="0.25">
      <c r="A1143" t="s">
        <v>396</v>
      </c>
      <c r="B1143" t="s">
        <v>61</v>
      </c>
      <c r="C1143" t="s">
        <v>397</v>
      </c>
      <c r="D1143">
        <v>9171</v>
      </c>
      <c r="E1143">
        <v>2386.4279999999999</v>
      </c>
      <c r="F1143">
        <v>1045.4939999999999</v>
      </c>
      <c r="G1143">
        <v>1932848</v>
      </c>
      <c r="H1143" t="s">
        <v>426</v>
      </c>
    </row>
    <row r="1144" spans="1:8" x14ac:dyDescent="0.25">
      <c r="A1144" t="s">
        <v>396</v>
      </c>
      <c r="B1144" t="s">
        <v>61</v>
      </c>
      <c r="C1144" t="s">
        <v>397</v>
      </c>
      <c r="D1144">
        <v>3570</v>
      </c>
      <c r="E1144">
        <v>928.96600000000001</v>
      </c>
      <c r="F1144">
        <v>406.98</v>
      </c>
      <c r="G1144">
        <v>1932848</v>
      </c>
      <c r="H1144" t="s">
        <v>426</v>
      </c>
    </row>
    <row r="1145" spans="1:8" x14ac:dyDescent="0.25">
      <c r="A1145" t="s">
        <v>396</v>
      </c>
      <c r="B1145" t="s">
        <v>61</v>
      </c>
      <c r="C1145" t="s">
        <v>397</v>
      </c>
      <c r="D1145">
        <v>159</v>
      </c>
      <c r="E1145">
        <v>41.374000000000002</v>
      </c>
      <c r="F1145">
        <v>18.126000000000001</v>
      </c>
      <c r="G1145">
        <v>1932848</v>
      </c>
      <c r="H1145" t="s">
        <v>426</v>
      </c>
    </row>
    <row r="1146" spans="1:8" x14ac:dyDescent="0.25">
      <c r="A1146" t="s">
        <v>396</v>
      </c>
      <c r="B1146" t="s">
        <v>61</v>
      </c>
      <c r="C1146" t="s">
        <v>444</v>
      </c>
      <c r="D1146">
        <v>7</v>
      </c>
      <c r="E1146">
        <v>42</v>
      </c>
      <c r="F1146">
        <v>18.399999999999999</v>
      </c>
      <c r="G1146">
        <v>1940014</v>
      </c>
      <c r="H1146" t="s">
        <v>448</v>
      </c>
    </row>
    <row r="1147" spans="1:8" x14ac:dyDescent="0.25">
      <c r="A1147" t="s">
        <v>396</v>
      </c>
      <c r="B1147" t="s">
        <v>61</v>
      </c>
      <c r="C1147" t="s">
        <v>444</v>
      </c>
      <c r="D1147">
        <v>7</v>
      </c>
      <c r="E1147">
        <v>42</v>
      </c>
      <c r="F1147">
        <v>18.399999999999999</v>
      </c>
      <c r="G1147">
        <v>1940014</v>
      </c>
      <c r="H1147" t="s">
        <v>448</v>
      </c>
    </row>
    <row r="1148" spans="1:8" x14ac:dyDescent="0.25">
      <c r="A1148" t="s">
        <v>396</v>
      </c>
      <c r="B1148" t="s">
        <v>61</v>
      </c>
      <c r="C1148" t="s">
        <v>444</v>
      </c>
      <c r="D1148">
        <v>7</v>
      </c>
      <c r="E1148">
        <v>42</v>
      </c>
      <c r="F1148">
        <v>18.399999999999999</v>
      </c>
      <c r="G1148">
        <v>1940014</v>
      </c>
      <c r="H1148" t="s">
        <v>448</v>
      </c>
    </row>
    <row r="1149" spans="1:8" x14ac:dyDescent="0.25">
      <c r="A1149" t="s">
        <v>396</v>
      </c>
      <c r="B1149" t="s">
        <v>61</v>
      </c>
      <c r="C1149" t="s">
        <v>444</v>
      </c>
      <c r="D1149">
        <v>551</v>
      </c>
      <c r="E1149">
        <v>3306</v>
      </c>
      <c r="F1149">
        <v>1448.3589999999999</v>
      </c>
      <c r="G1149">
        <v>1940014</v>
      </c>
      <c r="H1149" t="s">
        <v>448</v>
      </c>
    </row>
    <row r="1150" spans="1:8" x14ac:dyDescent="0.25">
      <c r="A1150" t="s">
        <v>396</v>
      </c>
      <c r="B1150" t="s">
        <v>61</v>
      </c>
      <c r="C1150" t="s">
        <v>444</v>
      </c>
      <c r="D1150">
        <v>428</v>
      </c>
      <c r="E1150">
        <v>2568</v>
      </c>
      <c r="F1150">
        <v>1125.0409999999999</v>
      </c>
      <c r="G1150">
        <v>1940014</v>
      </c>
      <c r="H1150" t="s">
        <v>448</v>
      </c>
    </row>
    <row r="1151" spans="1:8" x14ac:dyDescent="0.25">
      <c r="A1151" t="s">
        <v>396</v>
      </c>
      <c r="B1151" t="s">
        <v>61</v>
      </c>
      <c r="C1151" t="s">
        <v>397</v>
      </c>
      <c r="D1151">
        <v>3676</v>
      </c>
      <c r="E1151">
        <v>3264.924</v>
      </c>
      <c r="F1151">
        <v>1418.9359999999999</v>
      </c>
      <c r="G1151">
        <v>1940043</v>
      </c>
      <c r="H1151" t="s">
        <v>486</v>
      </c>
    </row>
    <row r="1152" spans="1:8" x14ac:dyDescent="0.25">
      <c r="A1152" t="s">
        <v>396</v>
      </c>
      <c r="B1152" t="s">
        <v>61</v>
      </c>
      <c r="C1152" t="s">
        <v>397</v>
      </c>
      <c r="D1152">
        <v>17</v>
      </c>
      <c r="E1152">
        <v>15.099</v>
      </c>
      <c r="F1152">
        <v>6.5620000000000003</v>
      </c>
      <c r="G1152">
        <v>1940043</v>
      </c>
      <c r="H1152" t="s">
        <v>486</v>
      </c>
    </row>
    <row r="1153" spans="1:8" x14ac:dyDescent="0.25">
      <c r="A1153" t="s">
        <v>396</v>
      </c>
      <c r="B1153" t="s">
        <v>61</v>
      </c>
      <c r="C1153" t="s">
        <v>397</v>
      </c>
      <c r="D1153">
        <v>7</v>
      </c>
      <c r="E1153">
        <v>6.2169999999999996</v>
      </c>
      <c r="F1153">
        <v>2.702</v>
      </c>
      <c r="G1153">
        <v>1940043</v>
      </c>
      <c r="H1153" t="s">
        <v>486</v>
      </c>
    </row>
    <row r="1154" spans="1:8" x14ac:dyDescent="0.25">
      <c r="A1154" t="s">
        <v>453</v>
      </c>
      <c r="B1154" t="s">
        <v>60</v>
      </c>
      <c r="C1154" t="s">
        <v>397</v>
      </c>
      <c r="D1154">
        <v>500</v>
      </c>
      <c r="E1154">
        <v>164.995</v>
      </c>
      <c r="F1154">
        <v>87.183000000000007</v>
      </c>
      <c r="G1154">
        <v>3935313</v>
      </c>
      <c r="H1154" t="s">
        <v>560</v>
      </c>
    </row>
    <row r="1155" spans="1:8" x14ac:dyDescent="0.25">
      <c r="A1155" t="s">
        <v>453</v>
      </c>
      <c r="B1155" t="s">
        <v>60</v>
      </c>
      <c r="C1155" t="s">
        <v>397</v>
      </c>
      <c r="D1155">
        <v>1349</v>
      </c>
      <c r="E1155">
        <v>1767.7139999999999</v>
      </c>
      <c r="F1155">
        <v>1946.607</v>
      </c>
      <c r="G1155">
        <v>1940801</v>
      </c>
      <c r="H1155" t="s">
        <v>478</v>
      </c>
    </row>
    <row r="1156" spans="1:8" x14ac:dyDescent="0.25">
      <c r="A1156" t="s">
        <v>453</v>
      </c>
      <c r="B1156" t="s">
        <v>60</v>
      </c>
      <c r="C1156" t="s">
        <v>397</v>
      </c>
      <c r="D1156">
        <v>151</v>
      </c>
      <c r="E1156">
        <v>197.869</v>
      </c>
      <c r="F1156">
        <v>217.893</v>
      </c>
      <c r="G1156">
        <v>1940801</v>
      </c>
      <c r="H1156" t="s">
        <v>478</v>
      </c>
    </row>
    <row r="1157" spans="1:8" x14ac:dyDescent="0.25">
      <c r="A1157" t="s">
        <v>453</v>
      </c>
      <c r="B1157" t="s">
        <v>60</v>
      </c>
      <c r="C1157" t="s">
        <v>397</v>
      </c>
      <c r="D1157">
        <v>439</v>
      </c>
      <c r="E1157">
        <v>547.35500000000002</v>
      </c>
      <c r="F1157">
        <v>602.74699999999996</v>
      </c>
      <c r="G1157">
        <v>3233554</v>
      </c>
      <c r="H1157" t="s">
        <v>480</v>
      </c>
    </row>
    <row r="1158" spans="1:8" x14ac:dyDescent="0.25">
      <c r="A1158" t="s">
        <v>453</v>
      </c>
      <c r="B1158" t="s">
        <v>60</v>
      </c>
      <c r="C1158" t="s">
        <v>397</v>
      </c>
      <c r="D1158">
        <v>61</v>
      </c>
      <c r="E1158">
        <v>76.055999999999997</v>
      </c>
      <c r="F1158">
        <v>83.753</v>
      </c>
      <c r="G1158">
        <v>3233554</v>
      </c>
      <c r="H1158" t="s">
        <v>480</v>
      </c>
    </row>
    <row r="1159" spans="1:8" x14ac:dyDescent="0.25">
      <c r="A1159" t="s">
        <v>453</v>
      </c>
      <c r="B1159" t="s">
        <v>60</v>
      </c>
      <c r="C1159" t="s">
        <v>397</v>
      </c>
      <c r="D1159">
        <v>1510</v>
      </c>
      <c r="E1159">
        <v>1692.1</v>
      </c>
      <c r="F1159">
        <v>1863.34</v>
      </c>
      <c r="G1159">
        <v>3233555</v>
      </c>
      <c r="H1159" t="s">
        <v>482</v>
      </c>
    </row>
    <row r="1160" spans="1:8" x14ac:dyDescent="0.25">
      <c r="A1160" t="s">
        <v>453</v>
      </c>
      <c r="B1160" t="s">
        <v>60</v>
      </c>
      <c r="C1160" t="s">
        <v>397</v>
      </c>
      <c r="D1160">
        <v>490</v>
      </c>
      <c r="E1160">
        <v>549.09199999999998</v>
      </c>
      <c r="F1160">
        <v>604.66</v>
      </c>
      <c r="G1160">
        <v>3233555</v>
      </c>
      <c r="H1160" t="s">
        <v>482</v>
      </c>
    </row>
    <row r="1161" spans="1:8" x14ac:dyDescent="0.25">
      <c r="A1161" t="s">
        <v>453</v>
      </c>
      <c r="B1161" t="s">
        <v>60</v>
      </c>
      <c r="C1161" t="s">
        <v>397</v>
      </c>
      <c r="D1161">
        <v>1000</v>
      </c>
      <c r="E1161">
        <v>120.777</v>
      </c>
      <c r="F1161">
        <v>133</v>
      </c>
      <c r="G1161">
        <v>3233559</v>
      </c>
      <c r="H1161" t="s">
        <v>490</v>
      </c>
    </row>
    <row r="1162" spans="1:8" x14ac:dyDescent="0.25">
      <c r="A1162" t="s">
        <v>453</v>
      </c>
      <c r="B1162" t="s">
        <v>60</v>
      </c>
      <c r="C1162" t="s">
        <v>397</v>
      </c>
      <c r="D1162">
        <v>500</v>
      </c>
      <c r="E1162">
        <v>622.99900000000002</v>
      </c>
      <c r="F1162">
        <v>339.47199999999998</v>
      </c>
      <c r="G1162">
        <v>3572038</v>
      </c>
      <c r="H1162" t="s">
        <v>521</v>
      </c>
    </row>
    <row r="1163" spans="1:8" x14ac:dyDescent="0.25">
      <c r="A1163" t="s">
        <v>453</v>
      </c>
      <c r="B1163" t="s">
        <v>60</v>
      </c>
      <c r="C1163" t="s">
        <v>397</v>
      </c>
      <c r="D1163">
        <v>1000</v>
      </c>
      <c r="E1163">
        <v>469.99400000000003</v>
      </c>
      <c r="F1163">
        <v>256.10000000000002</v>
      </c>
      <c r="G1163">
        <v>3230488</v>
      </c>
      <c r="H1163" t="s">
        <v>496</v>
      </c>
    </row>
    <row r="1164" spans="1:8" x14ac:dyDescent="0.25">
      <c r="A1164" t="s">
        <v>453</v>
      </c>
      <c r="B1164" t="s">
        <v>60</v>
      </c>
      <c r="C1164" t="s">
        <v>397</v>
      </c>
      <c r="D1164">
        <v>3000</v>
      </c>
      <c r="E1164">
        <v>1198.482</v>
      </c>
      <c r="F1164">
        <v>663</v>
      </c>
      <c r="G1164">
        <v>3230487</v>
      </c>
      <c r="H1164" t="s">
        <v>498</v>
      </c>
    </row>
    <row r="1165" spans="1:8" x14ac:dyDescent="0.25">
      <c r="A1165" t="s">
        <v>453</v>
      </c>
      <c r="B1165" t="s">
        <v>60</v>
      </c>
      <c r="C1165" t="s">
        <v>397</v>
      </c>
      <c r="D1165">
        <v>1000</v>
      </c>
      <c r="E1165">
        <v>356.11</v>
      </c>
      <c r="F1165">
        <v>197</v>
      </c>
      <c r="G1165">
        <v>3230490</v>
      </c>
      <c r="H1165" t="s">
        <v>515</v>
      </c>
    </row>
    <row r="1166" spans="1:8" x14ac:dyDescent="0.25">
      <c r="A1166" t="s">
        <v>453</v>
      </c>
      <c r="B1166" t="s">
        <v>60</v>
      </c>
      <c r="C1166" t="s">
        <v>397</v>
      </c>
      <c r="D1166">
        <v>1000</v>
      </c>
      <c r="E1166">
        <v>110.008</v>
      </c>
      <c r="F1166">
        <v>59.956000000000003</v>
      </c>
      <c r="G1166">
        <v>3931835</v>
      </c>
      <c r="H1166" t="s">
        <v>527</v>
      </c>
    </row>
    <row r="1167" spans="1:8" x14ac:dyDescent="0.25">
      <c r="A1167" t="s">
        <v>453</v>
      </c>
      <c r="B1167" t="s">
        <v>60</v>
      </c>
      <c r="C1167" t="s">
        <v>397</v>
      </c>
      <c r="D1167">
        <v>500</v>
      </c>
      <c r="E1167">
        <v>615.00400000000002</v>
      </c>
      <c r="F1167">
        <v>324.87200000000001</v>
      </c>
      <c r="G1167">
        <v>3929692</v>
      </c>
      <c r="H1167" t="s">
        <v>533</v>
      </c>
    </row>
    <row r="1168" spans="1:8" x14ac:dyDescent="0.25">
      <c r="A1168" t="s">
        <v>453</v>
      </c>
      <c r="B1168" t="s">
        <v>60</v>
      </c>
      <c r="C1168" t="s">
        <v>397</v>
      </c>
      <c r="D1168">
        <v>2000</v>
      </c>
      <c r="E1168">
        <v>399.983</v>
      </c>
      <c r="F1168">
        <v>211.28899999999999</v>
      </c>
      <c r="G1168">
        <v>3929691</v>
      </c>
      <c r="H1168" t="s">
        <v>535</v>
      </c>
    </row>
    <row r="1169" spans="1:8" x14ac:dyDescent="0.25">
      <c r="A1169" t="s">
        <v>453</v>
      </c>
      <c r="B1169" t="s">
        <v>60</v>
      </c>
      <c r="C1169" t="s">
        <v>397</v>
      </c>
      <c r="D1169">
        <v>2000</v>
      </c>
      <c r="E1169">
        <v>1720.981</v>
      </c>
      <c r="F1169">
        <v>1880</v>
      </c>
      <c r="G1169">
        <v>3572051</v>
      </c>
      <c r="H1169" t="s">
        <v>484</v>
      </c>
    </row>
    <row r="1170" spans="1:8" x14ac:dyDescent="0.25">
      <c r="A1170" t="s">
        <v>453</v>
      </c>
      <c r="B1170" t="s">
        <v>60</v>
      </c>
      <c r="C1170" t="s">
        <v>397</v>
      </c>
      <c r="D1170">
        <v>1000</v>
      </c>
      <c r="E1170">
        <v>539.99699999999996</v>
      </c>
      <c r="F1170">
        <v>294.24400000000003</v>
      </c>
      <c r="G1170">
        <v>3571870</v>
      </c>
      <c r="H1170" t="s">
        <v>525</v>
      </c>
    </row>
    <row r="1171" spans="1:8" x14ac:dyDescent="0.25">
      <c r="A1171" t="s">
        <v>453</v>
      </c>
      <c r="B1171" t="s">
        <v>60</v>
      </c>
      <c r="C1171" t="s">
        <v>397</v>
      </c>
      <c r="D1171">
        <v>1000</v>
      </c>
      <c r="E1171">
        <v>150</v>
      </c>
      <c r="F1171">
        <v>65.167000000000002</v>
      </c>
      <c r="G1171">
        <v>4104140</v>
      </c>
      <c r="H1171" t="s">
        <v>502</v>
      </c>
    </row>
    <row r="1172" spans="1:8" x14ac:dyDescent="0.25">
      <c r="A1172" t="s">
        <v>453</v>
      </c>
      <c r="B1172" t="s">
        <v>60</v>
      </c>
      <c r="C1172" t="s">
        <v>397</v>
      </c>
      <c r="D1172">
        <v>599</v>
      </c>
      <c r="E1172">
        <v>479.22199999999998</v>
      </c>
      <c r="F1172">
        <v>527.71900000000005</v>
      </c>
      <c r="G1172">
        <v>3233557</v>
      </c>
      <c r="H1172" t="s">
        <v>610</v>
      </c>
    </row>
    <row r="1173" spans="1:8" x14ac:dyDescent="0.25">
      <c r="A1173" t="s">
        <v>453</v>
      </c>
      <c r="B1173" t="s">
        <v>60</v>
      </c>
      <c r="C1173" t="s">
        <v>397</v>
      </c>
      <c r="D1173">
        <v>399</v>
      </c>
      <c r="E1173">
        <v>319.214</v>
      </c>
      <c r="F1173">
        <v>351.51900000000001</v>
      </c>
      <c r="G1173">
        <v>3233557</v>
      </c>
      <c r="H1173" t="s">
        <v>610</v>
      </c>
    </row>
    <row r="1174" spans="1:8" x14ac:dyDescent="0.25">
      <c r="A1174" t="s">
        <v>453</v>
      </c>
      <c r="B1174" t="s">
        <v>60</v>
      </c>
      <c r="C1174" t="s">
        <v>397</v>
      </c>
      <c r="D1174">
        <v>2</v>
      </c>
      <c r="E1174">
        <v>1.6</v>
      </c>
      <c r="F1174">
        <v>1.762</v>
      </c>
      <c r="G1174">
        <v>3233557</v>
      </c>
      <c r="H1174" t="s">
        <v>610</v>
      </c>
    </row>
    <row r="1175" spans="1:8" x14ac:dyDescent="0.25">
      <c r="A1175" t="s">
        <v>453</v>
      </c>
      <c r="B1175" t="s">
        <v>60</v>
      </c>
      <c r="C1175" t="s">
        <v>397</v>
      </c>
      <c r="D1175">
        <v>1000</v>
      </c>
      <c r="E1175">
        <v>130.904</v>
      </c>
      <c r="F1175">
        <v>143</v>
      </c>
      <c r="G1175">
        <v>3584171</v>
      </c>
      <c r="H1175" t="s">
        <v>686</v>
      </c>
    </row>
    <row r="1176" spans="1:8" x14ac:dyDescent="0.25">
      <c r="A1176" t="s">
        <v>453</v>
      </c>
      <c r="B1176" t="s">
        <v>60</v>
      </c>
      <c r="C1176" t="s">
        <v>397</v>
      </c>
      <c r="D1176">
        <v>1000</v>
      </c>
      <c r="E1176">
        <v>880.33299999999997</v>
      </c>
      <c r="F1176">
        <v>487</v>
      </c>
      <c r="G1176">
        <v>3230492</v>
      </c>
      <c r="H1176" t="s">
        <v>614</v>
      </c>
    </row>
    <row r="1177" spans="1:8" x14ac:dyDescent="0.25">
      <c r="A1177" t="s">
        <v>453</v>
      </c>
      <c r="B1177" t="s">
        <v>60</v>
      </c>
      <c r="C1177" t="s">
        <v>397</v>
      </c>
      <c r="D1177">
        <v>500</v>
      </c>
      <c r="E1177">
        <v>437.45499999999998</v>
      </c>
      <c r="F1177">
        <v>242</v>
      </c>
      <c r="G1177">
        <v>3233560</v>
      </c>
      <c r="H1177" t="s">
        <v>618</v>
      </c>
    </row>
    <row r="1178" spans="1:8" x14ac:dyDescent="0.25">
      <c r="A1178" t="s">
        <v>453</v>
      </c>
      <c r="B1178" t="s">
        <v>60</v>
      </c>
      <c r="C1178" t="s">
        <v>397</v>
      </c>
      <c r="D1178">
        <v>485</v>
      </c>
      <c r="E1178">
        <v>424.33100000000002</v>
      </c>
      <c r="F1178">
        <v>234.74</v>
      </c>
      <c r="G1178">
        <v>3233560</v>
      </c>
      <c r="H1178" t="s">
        <v>618</v>
      </c>
    </row>
    <row r="1179" spans="1:8" x14ac:dyDescent="0.25">
      <c r="A1179" t="s">
        <v>453</v>
      </c>
      <c r="B1179" t="s">
        <v>60</v>
      </c>
      <c r="C1179" t="s">
        <v>397</v>
      </c>
      <c r="D1179">
        <v>10</v>
      </c>
      <c r="E1179">
        <v>8.7490000000000006</v>
      </c>
      <c r="F1179">
        <v>4.84</v>
      </c>
      <c r="G1179">
        <v>3233560</v>
      </c>
      <c r="H1179" t="s">
        <v>618</v>
      </c>
    </row>
    <row r="1180" spans="1:8" x14ac:dyDescent="0.25">
      <c r="A1180" t="s">
        <v>453</v>
      </c>
      <c r="B1180" t="s">
        <v>60</v>
      </c>
      <c r="C1180" t="s">
        <v>397</v>
      </c>
      <c r="D1180">
        <v>5</v>
      </c>
      <c r="E1180">
        <v>4.375</v>
      </c>
      <c r="F1180">
        <v>2.42</v>
      </c>
      <c r="G1180">
        <v>3233560</v>
      </c>
      <c r="H1180" t="s">
        <v>618</v>
      </c>
    </row>
    <row r="1181" spans="1:8" x14ac:dyDescent="0.25">
      <c r="A1181" t="s">
        <v>453</v>
      </c>
      <c r="B1181" t="s">
        <v>60</v>
      </c>
      <c r="C1181" t="s">
        <v>397</v>
      </c>
      <c r="D1181">
        <v>1000</v>
      </c>
      <c r="E1181">
        <v>840.56399999999996</v>
      </c>
      <c r="F1181">
        <v>465</v>
      </c>
      <c r="G1181">
        <v>3230485</v>
      </c>
      <c r="H1181" t="s">
        <v>616</v>
      </c>
    </row>
    <row r="1182" spans="1:8" x14ac:dyDescent="0.25">
      <c r="A1182" t="s">
        <v>453</v>
      </c>
      <c r="B1182" t="s">
        <v>60</v>
      </c>
      <c r="C1182" t="s">
        <v>397</v>
      </c>
      <c r="D1182">
        <v>1000</v>
      </c>
      <c r="E1182">
        <v>800.00400000000002</v>
      </c>
      <c r="F1182">
        <v>436.01100000000002</v>
      </c>
      <c r="G1182">
        <v>3931836</v>
      </c>
      <c r="H1182" t="s">
        <v>612</v>
      </c>
    </row>
    <row r="1183" spans="1:8" x14ac:dyDescent="0.25">
      <c r="A1183" t="s">
        <v>453</v>
      </c>
      <c r="B1183" t="s">
        <v>60</v>
      </c>
      <c r="C1183" t="s">
        <v>397</v>
      </c>
      <c r="D1183">
        <v>2000</v>
      </c>
      <c r="E1183">
        <v>300.072</v>
      </c>
      <c r="F1183">
        <v>166</v>
      </c>
      <c r="G1183">
        <v>3230486</v>
      </c>
      <c r="H1183" t="s">
        <v>602</v>
      </c>
    </row>
    <row r="1184" spans="1:8" x14ac:dyDescent="0.25">
      <c r="A1184" t="s">
        <v>453</v>
      </c>
      <c r="B1184" t="s">
        <v>60</v>
      </c>
      <c r="C1184" t="s">
        <v>397</v>
      </c>
      <c r="D1184">
        <v>1000</v>
      </c>
      <c r="E1184">
        <v>129.00899999999999</v>
      </c>
      <c r="F1184">
        <v>70.311000000000007</v>
      </c>
      <c r="G1184">
        <v>3938687</v>
      </c>
      <c r="H1184" t="s">
        <v>554</v>
      </c>
    </row>
    <row r="1185" spans="1:8" x14ac:dyDescent="0.25">
      <c r="A1185" t="s">
        <v>453</v>
      </c>
      <c r="B1185" t="s">
        <v>60</v>
      </c>
      <c r="C1185" t="s">
        <v>397</v>
      </c>
      <c r="D1185">
        <v>500</v>
      </c>
      <c r="E1185">
        <v>649.00599999999997</v>
      </c>
      <c r="F1185">
        <v>563.15</v>
      </c>
      <c r="G1185">
        <v>3935311</v>
      </c>
      <c r="H1185" t="s">
        <v>622</v>
      </c>
    </row>
    <row r="1186" spans="1:8" x14ac:dyDescent="0.25">
      <c r="A1186" t="s">
        <v>453</v>
      </c>
      <c r="B1186" t="s">
        <v>60</v>
      </c>
      <c r="C1186" t="s">
        <v>397</v>
      </c>
      <c r="D1186">
        <v>1000</v>
      </c>
      <c r="E1186">
        <v>787.17499999999995</v>
      </c>
      <c r="F1186">
        <v>712</v>
      </c>
      <c r="G1186">
        <v>3230482</v>
      </c>
      <c r="H1186" t="s">
        <v>624</v>
      </c>
    </row>
    <row r="1187" spans="1:8" x14ac:dyDescent="0.25">
      <c r="A1187" t="s">
        <v>453</v>
      </c>
      <c r="B1187" t="s">
        <v>60</v>
      </c>
      <c r="C1187" t="s">
        <v>397</v>
      </c>
      <c r="D1187">
        <v>577</v>
      </c>
      <c r="E1187">
        <v>80.947000000000003</v>
      </c>
      <c r="F1187">
        <v>118.86199999999999</v>
      </c>
      <c r="G1187">
        <v>1940850</v>
      </c>
      <c r="H1187" t="s">
        <v>688</v>
      </c>
    </row>
    <row r="1188" spans="1:8" x14ac:dyDescent="0.25">
      <c r="A1188" t="s">
        <v>453</v>
      </c>
      <c r="B1188" t="s">
        <v>60</v>
      </c>
      <c r="C1188" t="s">
        <v>397</v>
      </c>
      <c r="D1188">
        <v>310</v>
      </c>
      <c r="E1188">
        <v>43.49</v>
      </c>
      <c r="F1188">
        <v>63.86</v>
      </c>
      <c r="G1188">
        <v>1940850</v>
      </c>
      <c r="H1188" t="s">
        <v>688</v>
      </c>
    </row>
    <row r="1189" spans="1:8" x14ac:dyDescent="0.25">
      <c r="A1189" t="s">
        <v>453</v>
      </c>
      <c r="B1189" t="s">
        <v>60</v>
      </c>
      <c r="C1189" t="s">
        <v>397</v>
      </c>
      <c r="D1189">
        <v>113</v>
      </c>
      <c r="E1189">
        <v>15.853</v>
      </c>
      <c r="F1189">
        <v>23.277999999999999</v>
      </c>
      <c r="G1189">
        <v>1940850</v>
      </c>
      <c r="H1189" t="s">
        <v>688</v>
      </c>
    </row>
    <row r="1190" spans="1:8" x14ac:dyDescent="0.25">
      <c r="A1190" t="s">
        <v>453</v>
      </c>
      <c r="B1190" t="s">
        <v>60</v>
      </c>
      <c r="C1190" t="s">
        <v>397</v>
      </c>
      <c r="D1190">
        <v>1000</v>
      </c>
      <c r="E1190">
        <v>125.306</v>
      </c>
      <c r="F1190">
        <v>184</v>
      </c>
      <c r="G1190">
        <v>1940849</v>
      </c>
      <c r="H1190" t="s">
        <v>690</v>
      </c>
    </row>
    <row r="1191" spans="1:8" x14ac:dyDescent="0.25">
      <c r="A1191" t="s">
        <v>453</v>
      </c>
      <c r="B1191" t="s">
        <v>60</v>
      </c>
      <c r="C1191" t="s">
        <v>397</v>
      </c>
      <c r="D1191">
        <v>1000</v>
      </c>
      <c r="E1191">
        <v>220.61500000000001</v>
      </c>
      <c r="F1191">
        <v>241</v>
      </c>
      <c r="G1191">
        <v>3230495</v>
      </c>
      <c r="H1191" t="s">
        <v>629</v>
      </c>
    </row>
    <row r="1192" spans="1:8" x14ac:dyDescent="0.25">
      <c r="A1192" t="s">
        <v>453</v>
      </c>
      <c r="B1192" t="s">
        <v>60</v>
      </c>
      <c r="C1192" t="s">
        <v>397</v>
      </c>
      <c r="D1192">
        <v>1000</v>
      </c>
      <c r="E1192">
        <v>682.00699999999995</v>
      </c>
      <c r="F1192">
        <v>360.267</v>
      </c>
      <c r="G1192">
        <v>3929540</v>
      </c>
      <c r="H1192" t="s">
        <v>627</v>
      </c>
    </row>
    <row r="1193" spans="1:8" x14ac:dyDescent="0.25">
      <c r="A1193" t="s">
        <v>453</v>
      </c>
      <c r="B1193" t="s">
        <v>60</v>
      </c>
      <c r="C1193" t="s">
        <v>397</v>
      </c>
      <c r="D1193">
        <v>500</v>
      </c>
      <c r="E1193">
        <v>503.50700000000001</v>
      </c>
      <c r="F1193">
        <v>274.41699999999997</v>
      </c>
      <c r="G1193">
        <v>4100796</v>
      </c>
      <c r="H1193" t="s">
        <v>552</v>
      </c>
    </row>
    <row r="1194" spans="1:8" x14ac:dyDescent="0.25">
      <c r="A1194" t="s">
        <v>6025</v>
      </c>
      <c r="B1194" t="s">
        <v>40</v>
      </c>
      <c r="C1194" t="s">
        <v>397</v>
      </c>
      <c r="D1194">
        <v>658</v>
      </c>
      <c r="E1194">
        <v>582.04999999999995</v>
      </c>
      <c r="F1194">
        <v>554.69399999999996</v>
      </c>
      <c r="G1194">
        <v>1942696</v>
      </c>
      <c r="H1194" t="s">
        <v>1532</v>
      </c>
    </row>
    <row r="1195" spans="1:8" x14ac:dyDescent="0.25">
      <c r="A1195" t="s">
        <v>6025</v>
      </c>
      <c r="B1195" t="s">
        <v>40</v>
      </c>
      <c r="C1195" t="s">
        <v>397</v>
      </c>
      <c r="D1195">
        <v>800</v>
      </c>
      <c r="E1195">
        <v>707.66</v>
      </c>
      <c r="F1195">
        <v>674.4</v>
      </c>
      <c r="G1195">
        <v>1942696</v>
      </c>
      <c r="H1195" t="s">
        <v>1532</v>
      </c>
    </row>
    <row r="1196" spans="1:8" x14ac:dyDescent="0.25">
      <c r="A1196" t="s">
        <v>6025</v>
      </c>
      <c r="B1196" t="s">
        <v>40</v>
      </c>
      <c r="C1196" t="s">
        <v>397</v>
      </c>
      <c r="D1196">
        <v>549</v>
      </c>
      <c r="E1196">
        <v>485.63200000000001</v>
      </c>
      <c r="F1196">
        <v>462.80700000000002</v>
      </c>
      <c r="G1196">
        <v>1942696</v>
      </c>
      <c r="H1196" t="s">
        <v>1532</v>
      </c>
    </row>
    <row r="1197" spans="1:8" x14ac:dyDescent="0.25">
      <c r="A1197" t="s">
        <v>6025</v>
      </c>
      <c r="B1197" t="s">
        <v>40</v>
      </c>
      <c r="C1197" t="s">
        <v>397</v>
      </c>
      <c r="D1197">
        <v>450</v>
      </c>
      <c r="E1197">
        <v>398.05900000000003</v>
      </c>
      <c r="F1197">
        <v>379.35</v>
      </c>
      <c r="G1197">
        <v>1942696</v>
      </c>
      <c r="H1197" t="s">
        <v>1532</v>
      </c>
    </row>
    <row r="1198" spans="1:8" x14ac:dyDescent="0.25">
      <c r="A1198" t="s">
        <v>6025</v>
      </c>
      <c r="B1198" t="s">
        <v>40</v>
      </c>
      <c r="C1198" t="s">
        <v>397</v>
      </c>
      <c r="D1198">
        <v>275</v>
      </c>
      <c r="E1198">
        <v>243.25800000000001</v>
      </c>
      <c r="F1198">
        <v>231.82499999999999</v>
      </c>
      <c r="G1198">
        <v>1942696</v>
      </c>
      <c r="H1198" t="s">
        <v>1532</v>
      </c>
    </row>
    <row r="1199" spans="1:8" x14ac:dyDescent="0.25">
      <c r="A1199" t="s">
        <v>6025</v>
      </c>
      <c r="B1199" t="s">
        <v>40</v>
      </c>
      <c r="C1199" t="s">
        <v>397</v>
      </c>
      <c r="D1199">
        <v>199</v>
      </c>
      <c r="E1199">
        <v>176.03</v>
      </c>
      <c r="F1199">
        <v>167.75700000000001</v>
      </c>
      <c r="G1199">
        <v>1942696</v>
      </c>
      <c r="H1199" t="s">
        <v>1532</v>
      </c>
    </row>
    <row r="1200" spans="1:8" x14ac:dyDescent="0.25">
      <c r="A1200" t="s">
        <v>6025</v>
      </c>
      <c r="B1200" t="s">
        <v>40</v>
      </c>
      <c r="C1200" t="s">
        <v>397</v>
      </c>
      <c r="D1200">
        <v>56</v>
      </c>
      <c r="E1200">
        <v>49.536000000000001</v>
      </c>
      <c r="F1200">
        <v>47.207999999999998</v>
      </c>
      <c r="G1200">
        <v>1942696</v>
      </c>
      <c r="H1200" t="s">
        <v>1532</v>
      </c>
    </row>
    <row r="1201" spans="1:8" x14ac:dyDescent="0.25">
      <c r="A1201" t="s">
        <v>6025</v>
      </c>
      <c r="B1201" t="s">
        <v>40</v>
      </c>
      <c r="C1201" t="s">
        <v>397</v>
      </c>
      <c r="D1201">
        <v>13</v>
      </c>
      <c r="E1201">
        <v>11.499000000000001</v>
      </c>
      <c r="F1201">
        <v>10.959</v>
      </c>
      <c r="G1201">
        <v>1942696</v>
      </c>
      <c r="H1201" t="s">
        <v>1532</v>
      </c>
    </row>
    <row r="1202" spans="1:8" x14ac:dyDescent="0.25">
      <c r="A1202" t="s">
        <v>6025</v>
      </c>
      <c r="B1202" t="s">
        <v>40</v>
      </c>
      <c r="C1202" t="s">
        <v>397</v>
      </c>
      <c r="D1202">
        <v>3000</v>
      </c>
      <c r="E1202">
        <v>1638.787</v>
      </c>
      <c r="F1202">
        <v>2361</v>
      </c>
      <c r="G1202">
        <v>1940817</v>
      </c>
      <c r="H1202" t="s">
        <v>1679</v>
      </c>
    </row>
    <row r="1203" spans="1:8" x14ac:dyDescent="0.25">
      <c r="A1203" t="s">
        <v>573</v>
      </c>
      <c r="B1203" t="s">
        <v>52</v>
      </c>
      <c r="C1203" t="s">
        <v>397</v>
      </c>
      <c r="D1203">
        <v>716</v>
      </c>
      <c r="E1203">
        <v>425.745</v>
      </c>
      <c r="F1203">
        <v>325.77999999999997</v>
      </c>
      <c r="G1203">
        <v>1940614</v>
      </c>
      <c r="H1203" t="s">
        <v>693</v>
      </c>
    </row>
    <row r="1204" spans="1:8" x14ac:dyDescent="0.25">
      <c r="A1204" t="s">
        <v>573</v>
      </c>
      <c r="B1204" t="s">
        <v>52</v>
      </c>
      <c r="C1204" t="s">
        <v>397</v>
      </c>
      <c r="D1204">
        <v>1670</v>
      </c>
      <c r="E1204">
        <v>993.00800000000004</v>
      </c>
      <c r="F1204">
        <v>759.85</v>
      </c>
      <c r="G1204">
        <v>1940614</v>
      </c>
      <c r="H1204" t="s">
        <v>693</v>
      </c>
    </row>
    <row r="1205" spans="1:8" x14ac:dyDescent="0.25">
      <c r="A1205" t="s">
        <v>573</v>
      </c>
      <c r="B1205" t="s">
        <v>52</v>
      </c>
      <c r="C1205" t="s">
        <v>397</v>
      </c>
      <c r="D1205">
        <v>1483</v>
      </c>
      <c r="E1205">
        <v>881.81500000000005</v>
      </c>
      <c r="F1205">
        <v>674.76499999999999</v>
      </c>
      <c r="G1205">
        <v>1940614</v>
      </c>
      <c r="H1205" t="s">
        <v>693</v>
      </c>
    </row>
    <row r="1206" spans="1:8" x14ac:dyDescent="0.25">
      <c r="A1206" t="s">
        <v>573</v>
      </c>
      <c r="B1206" t="s">
        <v>52</v>
      </c>
      <c r="C1206" t="s">
        <v>397</v>
      </c>
      <c r="D1206">
        <v>706</v>
      </c>
      <c r="E1206">
        <v>419.79899999999998</v>
      </c>
      <c r="F1206">
        <v>321.23</v>
      </c>
      <c r="G1206">
        <v>1940614</v>
      </c>
      <c r="H1206" t="s">
        <v>693</v>
      </c>
    </row>
    <row r="1207" spans="1:8" x14ac:dyDescent="0.25">
      <c r="A1207" t="s">
        <v>5966</v>
      </c>
      <c r="B1207" t="s">
        <v>37</v>
      </c>
      <c r="C1207" t="s">
        <v>392</v>
      </c>
      <c r="D1207">
        <v>419</v>
      </c>
      <c r="E1207">
        <v>2429.8620000000001</v>
      </c>
      <c r="F1207">
        <v>2044</v>
      </c>
      <c r="G1207">
        <v>1940292</v>
      </c>
      <c r="H1207" t="s">
        <v>2719</v>
      </c>
    </row>
    <row r="1208" spans="1:8" x14ac:dyDescent="0.25">
      <c r="A1208" t="s">
        <v>5966</v>
      </c>
      <c r="B1208" t="s">
        <v>37</v>
      </c>
      <c r="C1208" t="s">
        <v>392</v>
      </c>
      <c r="D1208">
        <v>615</v>
      </c>
      <c r="E1208">
        <v>3569.9</v>
      </c>
      <c r="F1208">
        <v>3003</v>
      </c>
      <c r="G1208">
        <v>1940292</v>
      </c>
      <c r="H1208" t="s">
        <v>2719</v>
      </c>
    </row>
    <row r="1209" spans="1:8" x14ac:dyDescent="0.25">
      <c r="A1209" t="s">
        <v>5966</v>
      </c>
      <c r="B1209" t="s">
        <v>37</v>
      </c>
      <c r="C1209" t="s">
        <v>392</v>
      </c>
      <c r="D1209">
        <v>742</v>
      </c>
      <c r="E1209">
        <v>4303.3760000000002</v>
      </c>
      <c r="F1209">
        <v>3620</v>
      </c>
      <c r="G1209">
        <v>1940292</v>
      </c>
      <c r="H1209" t="s">
        <v>2719</v>
      </c>
    </row>
    <row r="1210" spans="1:8" x14ac:dyDescent="0.25">
      <c r="A1210" t="s">
        <v>5966</v>
      </c>
      <c r="B1210" t="s">
        <v>37</v>
      </c>
      <c r="C1210" t="s">
        <v>392</v>
      </c>
      <c r="D1210">
        <v>717</v>
      </c>
      <c r="E1210">
        <v>4158.3450000000003</v>
      </c>
      <c r="F1210">
        <v>3498</v>
      </c>
      <c r="G1210">
        <v>1940292</v>
      </c>
      <c r="H1210" t="s">
        <v>2719</v>
      </c>
    </row>
    <row r="1211" spans="1:8" x14ac:dyDescent="0.25">
      <c r="A1211" t="s">
        <v>5966</v>
      </c>
      <c r="B1211" t="s">
        <v>37</v>
      </c>
      <c r="C1211" t="s">
        <v>392</v>
      </c>
      <c r="D1211">
        <v>302</v>
      </c>
      <c r="E1211">
        <v>1752.259</v>
      </c>
      <c r="F1211">
        <v>1474</v>
      </c>
      <c r="G1211">
        <v>1940292</v>
      </c>
      <c r="H1211" t="s">
        <v>2719</v>
      </c>
    </row>
    <row r="1212" spans="1:8" x14ac:dyDescent="0.25">
      <c r="A1212" t="s">
        <v>5966</v>
      </c>
      <c r="B1212" t="s">
        <v>37</v>
      </c>
      <c r="C1212" t="s">
        <v>392</v>
      </c>
      <c r="D1212">
        <v>326</v>
      </c>
      <c r="E1212">
        <v>1891.346</v>
      </c>
      <c r="F1212">
        <v>1591</v>
      </c>
      <c r="G1212">
        <v>1940292</v>
      </c>
      <c r="H1212" t="s">
        <v>2719</v>
      </c>
    </row>
    <row r="1213" spans="1:8" x14ac:dyDescent="0.25">
      <c r="A1213" t="s">
        <v>453</v>
      </c>
      <c r="B1213" t="s">
        <v>60</v>
      </c>
      <c r="C1213" t="s">
        <v>392</v>
      </c>
      <c r="D1213">
        <v>658</v>
      </c>
      <c r="E1213">
        <v>4040.13</v>
      </c>
      <c r="F1213">
        <v>2235</v>
      </c>
      <c r="G1213">
        <v>3597679</v>
      </c>
      <c r="H1213" t="s">
        <v>459</v>
      </c>
    </row>
    <row r="1214" spans="1:8" x14ac:dyDescent="0.25">
      <c r="A1214" t="s">
        <v>453</v>
      </c>
      <c r="B1214" t="s">
        <v>60</v>
      </c>
      <c r="C1214" t="s">
        <v>392</v>
      </c>
      <c r="D1214">
        <v>355</v>
      </c>
      <c r="E1214">
        <v>2178.2359999999999</v>
      </c>
      <c r="F1214">
        <v>1205</v>
      </c>
      <c r="G1214">
        <v>3597679</v>
      </c>
      <c r="H1214" t="s">
        <v>459</v>
      </c>
    </row>
    <row r="1215" spans="1:8" x14ac:dyDescent="0.25">
      <c r="A1215" t="s">
        <v>453</v>
      </c>
      <c r="B1215" t="s">
        <v>60</v>
      </c>
      <c r="C1215" t="s">
        <v>392</v>
      </c>
      <c r="D1215">
        <v>609</v>
      </c>
      <c r="E1215">
        <v>3652.1419999999998</v>
      </c>
      <c r="F1215">
        <v>2020</v>
      </c>
      <c r="G1215">
        <v>1940146</v>
      </c>
      <c r="H1215" t="s">
        <v>451</v>
      </c>
    </row>
    <row r="1216" spans="1:8" x14ac:dyDescent="0.25">
      <c r="A1216" t="s">
        <v>453</v>
      </c>
      <c r="B1216" t="s">
        <v>60</v>
      </c>
      <c r="C1216" t="s">
        <v>392</v>
      </c>
      <c r="D1216">
        <v>149</v>
      </c>
      <c r="E1216">
        <v>790.04700000000003</v>
      </c>
      <c r="F1216">
        <v>870</v>
      </c>
      <c r="G1216">
        <v>3731692</v>
      </c>
      <c r="H1216" t="s">
        <v>462</v>
      </c>
    </row>
    <row r="1217" spans="1:8" x14ac:dyDescent="0.25">
      <c r="A1217" t="s">
        <v>453</v>
      </c>
      <c r="B1217" t="s">
        <v>60</v>
      </c>
      <c r="C1217" t="s">
        <v>392</v>
      </c>
      <c r="D1217">
        <v>396</v>
      </c>
      <c r="E1217">
        <v>2103.16</v>
      </c>
      <c r="F1217">
        <v>2316</v>
      </c>
      <c r="G1217">
        <v>3731692</v>
      </c>
      <c r="H1217" t="s">
        <v>462</v>
      </c>
    </row>
    <row r="1218" spans="1:8" x14ac:dyDescent="0.25">
      <c r="A1218" t="s">
        <v>453</v>
      </c>
      <c r="B1218" t="s">
        <v>60</v>
      </c>
      <c r="C1218" t="s">
        <v>392</v>
      </c>
      <c r="D1218">
        <v>47</v>
      </c>
      <c r="E1218">
        <v>248.81899999999999</v>
      </c>
      <c r="F1218">
        <v>274</v>
      </c>
      <c r="G1218">
        <v>3731692</v>
      </c>
      <c r="H1218" t="s">
        <v>462</v>
      </c>
    </row>
    <row r="1219" spans="1:8" x14ac:dyDescent="0.25">
      <c r="A1219" t="s">
        <v>453</v>
      </c>
      <c r="B1219" t="s">
        <v>60</v>
      </c>
      <c r="C1219" t="s">
        <v>392</v>
      </c>
      <c r="D1219">
        <v>355</v>
      </c>
      <c r="E1219">
        <v>2166.7269999999999</v>
      </c>
      <c r="F1219">
        <v>2386</v>
      </c>
      <c r="G1219">
        <v>4201127</v>
      </c>
      <c r="H1219" t="s">
        <v>457</v>
      </c>
    </row>
    <row r="1220" spans="1:8" x14ac:dyDescent="0.25">
      <c r="A1220" t="s">
        <v>453</v>
      </c>
      <c r="B1220" t="s">
        <v>60</v>
      </c>
      <c r="C1220" t="s">
        <v>392</v>
      </c>
      <c r="D1220">
        <v>336</v>
      </c>
      <c r="E1220">
        <v>2046.8579999999999</v>
      </c>
      <c r="F1220">
        <v>2254</v>
      </c>
      <c r="G1220">
        <v>4201127</v>
      </c>
      <c r="H1220" t="s">
        <v>457</v>
      </c>
    </row>
    <row r="1221" spans="1:8" x14ac:dyDescent="0.25">
      <c r="A1221" t="s">
        <v>641</v>
      </c>
      <c r="B1221" t="s">
        <v>180</v>
      </c>
      <c r="C1221" t="s">
        <v>397</v>
      </c>
      <c r="D1221">
        <v>1314</v>
      </c>
      <c r="E1221">
        <v>1227.992</v>
      </c>
      <c r="F1221">
        <v>999.95399999999995</v>
      </c>
      <c r="G1221">
        <v>1940416</v>
      </c>
      <c r="H1221" t="s">
        <v>696</v>
      </c>
    </row>
    <row r="1222" spans="1:8" x14ac:dyDescent="0.25">
      <c r="A1222" t="s">
        <v>641</v>
      </c>
      <c r="B1222" t="s">
        <v>180</v>
      </c>
      <c r="C1222" t="s">
        <v>397</v>
      </c>
      <c r="D1222">
        <v>1101</v>
      </c>
      <c r="E1222">
        <v>1028.934</v>
      </c>
      <c r="F1222">
        <v>837.86099999999999</v>
      </c>
      <c r="G1222">
        <v>1940416</v>
      </c>
      <c r="H1222" t="s">
        <v>696</v>
      </c>
    </row>
    <row r="1223" spans="1:8" x14ac:dyDescent="0.25">
      <c r="A1223" t="s">
        <v>641</v>
      </c>
      <c r="B1223" t="s">
        <v>180</v>
      </c>
      <c r="C1223" t="s">
        <v>397</v>
      </c>
      <c r="D1223">
        <v>131</v>
      </c>
      <c r="E1223">
        <v>122.425</v>
      </c>
      <c r="F1223">
        <v>99.691000000000003</v>
      </c>
      <c r="G1223">
        <v>1940416</v>
      </c>
      <c r="H1223" t="s">
        <v>696</v>
      </c>
    </row>
    <row r="1224" spans="1:8" x14ac:dyDescent="0.25">
      <c r="A1224" t="s">
        <v>641</v>
      </c>
      <c r="B1224" t="s">
        <v>180</v>
      </c>
      <c r="C1224" t="s">
        <v>397</v>
      </c>
      <c r="D1224">
        <v>179</v>
      </c>
      <c r="E1224">
        <v>167.28399999999999</v>
      </c>
      <c r="F1224">
        <v>136.21899999999999</v>
      </c>
      <c r="G1224">
        <v>1940416</v>
      </c>
      <c r="H1224" t="s">
        <v>696</v>
      </c>
    </row>
    <row r="1225" spans="1:8" x14ac:dyDescent="0.25">
      <c r="A1225" t="s">
        <v>678</v>
      </c>
      <c r="B1225" t="s">
        <v>181</v>
      </c>
      <c r="C1225" t="s">
        <v>397</v>
      </c>
      <c r="D1225">
        <v>3075</v>
      </c>
      <c r="E1225">
        <v>2629.2449999999999</v>
      </c>
      <c r="F1225">
        <v>2624.5129999999999</v>
      </c>
      <c r="G1225">
        <v>3943203</v>
      </c>
      <c r="H1225" t="s">
        <v>680</v>
      </c>
    </row>
    <row r="1226" spans="1:8" x14ac:dyDescent="0.25">
      <c r="A1226" t="s">
        <v>678</v>
      </c>
      <c r="B1226" t="s">
        <v>181</v>
      </c>
      <c r="C1226" t="s">
        <v>397</v>
      </c>
      <c r="D1226">
        <v>2375</v>
      </c>
      <c r="E1226">
        <v>2208.1959999999999</v>
      </c>
      <c r="F1226">
        <v>2204</v>
      </c>
      <c r="G1226">
        <v>1940479</v>
      </c>
      <c r="H1226" t="s">
        <v>698</v>
      </c>
    </row>
    <row r="1227" spans="1:8" x14ac:dyDescent="0.25">
      <c r="A1227" t="s">
        <v>6019</v>
      </c>
      <c r="B1227" t="s">
        <v>198</v>
      </c>
      <c r="C1227" t="s">
        <v>397</v>
      </c>
      <c r="D1227">
        <v>636</v>
      </c>
      <c r="E1227">
        <v>372.69</v>
      </c>
      <c r="F1227">
        <v>244.22399999999999</v>
      </c>
      <c r="G1227">
        <v>3696704</v>
      </c>
      <c r="H1227" t="s">
        <v>1221</v>
      </c>
    </row>
    <row r="1228" spans="1:8" x14ac:dyDescent="0.25">
      <c r="A1228" t="s">
        <v>6019</v>
      </c>
      <c r="B1228" t="s">
        <v>198</v>
      </c>
      <c r="C1228" t="s">
        <v>397</v>
      </c>
      <c r="D1228">
        <v>1304</v>
      </c>
      <c r="E1228">
        <v>764.13199999999995</v>
      </c>
      <c r="F1228">
        <v>500.73599999999999</v>
      </c>
      <c r="G1228">
        <v>3696704</v>
      </c>
      <c r="H1228" t="s">
        <v>1221</v>
      </c>
    </row>
    <row r="1229" spans="1:8" x14ac:dyDescent="0.25">
      <c r="A1229" t="s">
        <v>6019</v>
      </c>
      <c r="B1229" t="s">
        <v>198</v>
      </c>
      <c r="C1229" t="s">
        <v>397</v>
      </c>
      <c r="D1229">
        <v>835</v>
      </c>
      <c r="E1229">
        <v>489.303</v>
      </c>
      <c r="F1229">
        <v>320.64</v>
      </c>
      <c r="G1229">
        <v>3696704</v>
      </c>
      <c r="H1229" t="s">
        <v>1221</v>
      </c>
    </row>
    <row r="1230" spans="1:8" x14ac:dyDescent="0.25">
      <c r="A1230" t="s">
        <v>6019</v>
      </c>
      <c r="B1230" t="s">
        <v>198</v>
      </c>
      <c r="C1230" t="s">
        <v>397</v>
      </c>
      <c r="D1230">
        <v>729</v>
      </c>
      <c r="E1230">
        <v>427.18799999999999</v>
      </c>
      <c r="F1230">
        <v>279.93599999999998</v>
      </c>
      <c r="G1230">
        <v>3696704</v>
      </c>
      <c r="H1230" t="s">
        <v>1221</v>
      </c>
    </row>
    <row r="1231" spans="1:8" x14ac:dyDescent="0.25">
      <c r="A1231" t="s">
        <v>6019</v>
      </c>
      <c r="B1231" t="s">
        <v>198</v>
      </c>
      <c r="C1231" t="s">
        <v>397</v>
      </c>
      <c r="D1231">
        <v>46</v>
      </c>
      <c r="E1231">
        <v>26.956</v>
      </c>
      <c r="F1231">
        <v>17.664000000000001</v>
      </c>
      <c r="G1231">
        <v>3696704</v>
      </c>
      <c r="H1231" t="s">
        <v>1221</v>
      </c>
    </row>
    <row r="1232" spans="1:8" x14ac:dyDescent="0.25">
      <c r="A1232" t="s">
        <v>6019</v>
      </c>
      <c r="B1232" t="s">
        <v>198</v>
      </c>
      <c r="C1232" t="s">
        <v>397</v>
      </c>
      <c r="D1232">
        <v>1162</v>
      </c>
      <c r="E1232">
        <v>535.51700000000005</v>
      </c>
      <c r="F1232">
        <v>350.92399999999998</v>
      </c>
      <c r="G1232">
        <v>3696705</v>
      </c>
      <c r="H1232" t="s">
        <v>1209</v>
      </c>
    </row>
    <row r="1233" spans="1:8" x14ac:dyDescent="0.25">
      <c r="A1233" t="s">
        <v>6019</v>
      </c>
      <c r="B1233" t="s">
        <v>198</v>
      </c>
      <c r="C1233" t="s">
        <v>397</v>
      </c>
      <c r="D1233">
        <v>1450</v>
      </c>
      <c r="E1233">
        <v>668.24400000000003</v>
      </c>
      <c r="F1233">
        <v>437.9</v>
      </c>
      <c r="G1233">
        <v>3696705</v>
      </c>
      <c r="H1233" t="s">
        <v>1209</v>
      </c>
    </row>
    <row r="1234" spans="1:8" x14ac:dyDescent="0.25">
      <c r="A1234" t="s">
        <v>6019</v>
      </c>
      <c r="B1234" t="s">
        <v>198</v>
      </c>
      <c r="C1234" t="s">
        <v>397</v>
      </c>
      <c r="D1234">
        <v>741</v>
      </c>
      <c r="E1234">
        <v>341.495</v>
      </c>
      <c r="F1234">
        <v>223.78200000000001</v>
      </c>
      <c r="G1234">
        <v>3696705</v>
      </c>
      <c r="H1234" t="s">
        <v>1209</v>
      </c>
    </row>
    <row r="1235" spans="1:8" x14ac:dyDescent="0.25">
      <c r="A1235" t="s">
        <v>6019</v>
      </c>
      <c r="B1235" t="s">
        <v>198</v>
      </c>
      <c r="C1235" t="s">
        <v>397</v>
      </c>
      <c r="D1235">
        <v>25</v>
      </c>
      <c r="E1235">
        <v>11.521000000000001</v>
      </c>
      <c r="F1235">
        <v>7.55</v>
      </c>
      <c r="G1235">
        <v>3696705</v>
      </c>
      <c r="H1235" t="s">
        <v>1209</v>
      </c>
    </row>
    <row r="1236" spans="1:8" x14ac:dyDescent="0.25">
      <c r="A1236" t="s">
        <v>6019</v>
      </c>
      <c r="B1236" t="s">
        <v>198</v>
      </c>
      <c r="C1236" t="s">
        <v>397</v>
      </c>
      <c r="D1236">
        <v>18</v>
      </c>
      <c r="E1236">
        <v>8.2949999999999999</v>
      </c>
      <c r="F1236">
        <v>5.4359999999999999</v>
      </c>
      <c r="G1236">
        <v>3696705</v>
      </c>
      <c r="H1236" t="s">
        <v>1209</v>
      </c>
    </row>
    <row r="1237" spans="1:8" x14ac:dyDescent="0.25">
      <c r="A1237" t="s">
        <v>6019</v>
      </c>
      <c r="B1237" t="s">
        <v>198</v>
      </c>
      <c r="C1237" t="s">
        <v>397</v>
      </c>
      <c r="D1237">
        <v>4</v>
      </c>
      <c r="E1237">
        <v>1.843</v>
      </c>
      <c r="F1237">
        <v>1.208</v>
      </c>
      <c r="G1237">
        <v>3696705</v>
      </c>
      <c r="H1237" t="s">
        <v>1209</v>
      </c>
    </row>
    <row r="1238" spans="1:8" x14ac:dyDescent="0.25">
      <c r="A1238" t="s">
        <v>6019</v>
      </c>
      <c r="B1238" t="s">
        <v>198</v>
      </c>
      <c r="C1238" t="s">
        <v>397</v>
      </c>
      <c r="D1238">
        <v>761</v>
      </c>
      <c r="E1238">
        <v>290.32499999999999</v>
      </c>
      <c r="F1238">
        <v>190.25</v>
      </c>
      <c r="G1238">
        <v>3696706</v>
      </c>
      <c r="H1238" t="s">
        <v>1205</v>
      </c>
    </row>
    <row r="1239" spans="1:8" x14ac:dyDescent="0.25">
      <c r="A1239" t="s">
        <v>6019</v>
      </c>
      <c r="B1239" t="s">
        <v>198</v>
      </c>
      <c r="C1239" t="s">
        <v>397</v>
      </c>
      <c r="D1239">
        <v>1144</v>
      </c>
      <c r="E1239">
        <v>436.44099999999997</v>
      </c>
      <c r="F1239">
        <v>286</v>
      </c>
      <c r="G1239">
        <v>3696706</v>
      </c>
      <c r="H1239" t="s">
        <v>1205</v>
      </c>
    </row>
    <row r="1240" spans="1:8" x14ac:dyDescent="0.25">
      <c r="A1240" t="s">
        <v>6019</v>
      </c>
      <c r="B1240" t="s">
        <v>198</v>
      </c>
      <c r="C1240" t="s">
        <v>397</v>
      </c>
      <c r="D1240">
        <v>1040</v>
      </c>
      <c r="E1240">
        <v>396.76499999999999</v>
      </c>
      <c r="F1240">
        <v>260</v>
      </c>
      <c r="G1240">
        <v>3696706</v>
      </c>
      <c r="H1240" t="s">
        <v>1205</v>
      </c>
    </row>
    <row r="1241" spans="1:8" x14ac:dyDescent="0.25">
      <c r="A1241" t="s">
        <v>6019</v>
      </c>
      <c r="B1241" t="s">
        <v>198</v>
      </c>
      <c r="C1241" t="s">
        <v>397</v>
      </c>
      <c r="D1241">
        <v>936</v>
      </c>
      <c r="E1241">
        <v>357.08800000000002</v>
      </c>
      <c r="F1241">
        <v>234</v>
      </c>
      <c r="G1241">
        <v>3696706</v>
      </c>
      <c r="H1241" t="s">
        <v>1205</v>
      </c>
    </row>
    <row r="1242" spans="1:8" x14ac:dyDescent="0.25">
      <c r="A1242" t="s">
        <v>6019</v>
      </c>
      <c r="B1242" t="s">
        <v>198</v>
      </c>
      <c r="C1242" t="s">
        <v>397</v>
      </c>
      <c r="D1242">
        <v>19</v>
      </c>
      <c r="E1242">
        <v>7.2489999999999997</v>
      </c>
      <c r="F1242">
        <v>4.75</v>
      </c>
      <c r="G1242">
        <v>3696706</v>
      </c>
      <c r="H1242" t="s">
        <v>1205</v>
      </c>
    </row>
    <row r="1243" spans="1:8" x14ac:dyDescent="0.25">
      <c r="A1243" t="s">
        <v>6019</v>
      </c>
      <c r="B1243" t="s">
        <v>198</v>
      </c>
      <c r="C1243" t="s">
        <v>397</v>
      </c>
      <c r="D1243">
        <v>1</v>
      </c>
      <c r="E1243">
        <v>0.49399999999999999</v>
      </c>
      <c r="F1243">
        <v>0.32400000000000001</v>
      </c>
      <c r="G1243">
        <v>3436935</v>
      </c>
      <c r="H1243" t="s">
        <v>1211</v>
      </c>
    </row>
    <row r="1244" spans="1:8" x14ac:dyDescent="0.25">
      <c r="A1244" t="s">
        <v>6019</v>
      </c>
      <c r="B1244" t="s">
        <v>198</v>
      </c>
      <c r="C1244" t="s">
        <v>397</v>
      </c>
      <c r="D1244">
        <v>1354</v>
      </c>
      <c r="E1244">
        <v>669.45799999999997</v>
      </c>
      <c r="F1244">
        <v>438.69600000000003</v>
      </c>
      <c r="G1244">
        <v>3436935</v>
      </c>
      <c r="H1244" t="s">
        <v>1211</v>
      </c>
    </row>
    <row r="1245" spans="1:8" x14ac:dyDescent="0.25">
      <c r="A1245" t="s">
        <v>6019</v>
      </c>
      <c r="B1245" t="s">
        <v>198</v>
      </c>
      <c r="C1245" t="s">
        <v>397</v>
      </c>
      <c r="D1245">
        <v>1270</v>
      </c>
      <c r="E1245">
        <v>627.92600000000004</v>
      </c>
      <c r="F1245">
        <v>411.48</v>
      </c>
      <c r="G1245">
        <v>3436935</v>
      </c>
      <c r="H1245" t="s">
        <v>1211</v>
      </c>
    </row>
    <row r="1246" spans="1:8" x14ac:dyDescent="0.25">
      <c r="A1246" t="s">
        <v>6019</v>
      </c>
      <c r="B1246" t="s">
        <v>198</v>
      </c>
      <c r="C1246" t="s">
        <v>397</v>
      </c>
      <c r="D1246">
        <v>1234</v>
      </c>
      <c r="E1246">
        <v>610.12699999999995</v>
      </c>
      <c r="F1246">
        <v>399.81599999999997</v>
      </c>
      <c r="G1246">
        <v>3436935</v>
      </c>
      <c r="H1246" t="s">
        <v>1211</v>
      </c>
    </row>
    <row r="1247" spans="1:8" x14ac:dyDescent="0.25">
      <c r="A1247" t="s">
        <v>6019</v>
      </c>
      <c r="B1247" t="s">
        <v>198</v>
      </c>
      <c r="C1247" t="s">
        <v>397</v>
      </c>
      <c r="D1247">
        <v>40</v>
      </c>
      <c r="E1247">
        <v>19.777000000000001</v>
      </c>
      <c r="F1247">
        <v>12.96</v>
      </c>
      <c r="G1247">
        <v>3436935</v>
      </c>
      <c r="H1247" t="s">
        <v>1211</v>
      </c>
    </row>
    <row r="1248" spans="1:8" x14ac:dyDescent="0.25">
      <c r="A1248" t="s">
        <v>6019</v>
      </c>
      <c r="B1248" t="s">
        <v>198</v>
      </c>
      <c r="C1248" t="s">
        <v>397</v>
      </c>
      <c r="D1248">
        <v>1</v>
      </c>
      <c r="E1248">
        <v>0.49399999999999999</v>
      </c>
      <c r="F1248">
        <v>0.32400000000000001</v>
      </c>
      <c r="G1248">
        <v>3436935</v>
      </c>
      <c r="H1248" t="s">
        <v>1211</v>
      </c>
    </row>
    <row r="1249" spans="1:8" x14ac:dyDescent="0.25">
      <c r="A1249" t="s">
        <v>6019</v>
      </c>
      <c r="B1249" t="s">
        <v>198</v>
      </c>
      <c r="C1249" t="s">
        <v>397</v>
      </c>
      <c r="D1249">
        <v>5600</v>
      </c>
      <c r="E1249">
        <v>3923.3229999999999</v>
      </c>
      <c r="F1249">
        <v>1719.2</v>
      </c>
      <c r="G1249">
        <v>2319114</v>
      </c>
      <c r="H1249" t="s">
        <v>1160</v>
      </c>
    </row>
    <row r="1250" spans="1:8" x14ac:dyDescent="0.25">
      <c r="A1250" t="s">
        <v>6019</v>
      </c>
      <c r="B1250" t="s">
        <v>198</v>
      </c>
      <c r="C1250" t="s">
        <v>397</v>
      </c>
      <c r="D1250">
        <v>3944</v>
      </c>
      <c r="E1250">
        <v>2763.14</v>
      </c>
      <c r="F1250">
        <v>1210.808</v>
      </c>
      <c r="G1250">
        <v>2319114</v>
      </c>
      <c r="H1250" t="s">
        <v>1160</v>
      </c>
    </row>
    <row r="1251" spans="1:8" x14ac:dyDescent="0.25">
      <c r="A1251" t="s">
        <v>6019</v>
      </c>
      <c r="B1251" t="s">
        <v>198</v>
      </c>
      <c r="C1251" t="s">
        <v>397</v>
      </c>
      <c r="D1251">
        <v>2172</v>
      </c>
      <c r="E1251">
        <v>1521.6890000000001</v>
      </c>
      <c r="F1251">
        <v>666.80399999999997</v>
      </c>
      <c r="G1251">
        <v>2319114</v>
      </c>
      <c r="H1251" t="s">
        <v>1160</v>
      </c>
    </row>
    <row r="1252" spans="1:8" x14ac:dyDescent="0.25">
      <c r="A1252" t="s">
        <v>6019</v>
      </c>
      <c r="B1252" t="s">
        <v>198</v>
      </c>
      <c r="C1252" t="s">
        <v>397</v>
      </c>
      <c r="D1252">
        <v>1469</v>
      </c>
      <c r="E1252">
        <v>1029.172</v>
      </c>
      <c r="F1252">
        <v>450.983</v>
      </c>
      <c r="G1252">
        <v>2319114</v>
      </c>
      <c r="H1252" t="s">
        <v>1160</v>
      </c>
    </row>
    <row r="1253" spans="1:8" x14ac:dyDescent="0.25">
      <c r="A1253" t="s">
        <v>6019</v>
      </c>
      <c r="B1253" t="s">
        <v>198</v>
      </c>
      <c r="C1253" t="s">
        <v>397</v>
      </c>
      <c r="D1253">
        <v>951</v>
      </c>
      <c r="E1253">
        <v>666.26400000000001</v>
      </c>
      <c r="F1253">
        <v>291.95699999999999</v>
      </c>
      <c r="G1253">
        <v>2319114</v>
      </c>
      <c r="H1253" t="s">
        <v>1160</v>
      </c>
    </row>
    <row r="1254" spans="1:8" x14ac:dyDescent="0.25">
      <c r="A1254" t="s">
        <v>6019</v>
      </c>
      <c r="B1254" t="s">
        <v>198</v>
      </c>
      <c r="C1254" t="s">
        <v>397</v>
      </c>
      <c r="D1254">
        <v>899</v>
      </c>
      <c r="E1254">
        <v>629.83299999999997</v>
      </c>
      <c r="F1254">
        <v>275.99299999999999</v>
      </c>
      <c r="G1254">
        <v>2319114</v>
      </c>
      <c r="H1254" t="s">
        <v>1160</v>
      </c>
    </row>
    <row r="1255" spans="1:8" x14ac:dyDescent="0.25">
      <c r="A1255" t="s">
        <v>6019</v>
      </c>
      <c r="B1255" t="s">
        <v>198</v>
      </c>
      <c r="C1255" t="s">
        <v>397</v>
      </c>
      <c r="D1255">
        <v>59</v>
      </c>
      <c r="E1255">
        <v>41.335000000000001</v>
      </c>
      <c r="F1255">
        <v>18.113</v>
      </c>
      <c r="G1255">
        <v>2319114</v>
      </c>
      <c r="H1255" t="s">
        <v>1160</v>
      </c>
    </row>
    <row r="1256" spans="1:8" x14ac:dyDescent="0.25">
      <c r="A1256" t="s">
        <v>6019</v>
      </c>
      <c r="B1256" t="s">
        <v>198</v>
      </c>
      <c r="C1256" t="s">
        <v>397</v>
      </c>
      <c r="D1256">
        <v>6</v>
      </c>
      <c r="E1256">
        <v>4.2039999999999997</v>
      </c>
      <c r="F1256">
        <v>1.8420000000000001</v>
      </c>
      <c r="G1256">
        <v>2319114</v>
      </c>
      <c r="H1256" t="s">
        <v>1160</v>
      </c>
    </row>
    <row r="1257" spans="1:8" x14ac:dyDescent="0.25">
      <c r="A1257" t="s">
        <v>6019</v>
      </c>
      <c r="B1257" t="s">
        <v>198</v>
      </c>
      <c r="C1257" t="s">
        <v>397</v>
      </c>
      <c r="D1257">
        <v>782</v>
      </c>
      <c r="E1257">
        <v>391.41800000000001</v>
      </c>
      <c r="F1257">
        <v>256.49599999999998</v>
      </c>
      <c r="G1257">
        <v>3442448</v>
      </c>
      <c r="H1257" t="s">
        <v>1213</v>
      </c>
    </row>
    <row r="1258" spans="1:8" x14ac:dyDescent="0.25">
      <c r="A1258" t="s">
        <v>6019</v>
      </c>
      <c r="B1258" t="s">
        <v>198</v>
      </c>
      <c r="C1258" t="s">
        <v>397</v>
      </c>
      <c r="D1258">
        <v>2192</v>
      </c>
      <c r="E1258">
        <v>1097.171</v>
      </c>
      <c r="F1258">
        <v>718.976</v>
      </c>
      <c r="G1258">
        <v>3442448</v>
      </c>
      <c r="H1258" t="s">
        <v>1213</v>
      </c>
    </row>
    <row r="1259" spans="1:8" x14ac:dyDescent="0.25">
      <c r="A1259" t="s">
        <v>6019</v>
      </c>
      <c r="B1259" t="s">
        <v>198</v>
      </c>
      <c r="C1259" t="s">
        <v>397</v>
      </c>
      <c r="D1259">
        <v>1618</v>
      </c>
      <c r="E1259">
        <v>809.86400000000003</v>
      </c>
      <c r="F1259">
        <v>530.70399999999995</v>
      </c>
      <c r="G1259">
        <v>3442448</v>
      </c>
      <c r="H1259" t="s">
        <v>1213</v>
      </c>
    </row>
    <row r="1260" spans="1:8" x14ac:dyDescent="0.25">
      <c r="A1260" t="s">
        <v>6019</v>
      </c>
      <c r="B1260" t="s">
        <v>198</v>
      </c>
      <c r="C1260" t="s">
        <v>397</v>
      </c>
      <c r="D1260">
        <v>1384</v>
      </c>
      <c r="E1260">
        <v>692.73900000000003</v>
      </c>
      <c r="F1260">
        <v>453.952</v>
      </c>
      <c r="G1260">
        <v>3442448</v>
      </c>
      <c r="H1260" t="s">
        <v>1213</v>
      </c>
    </row>
    <row r="1261" spans="1:8" x14ac:dyDescent="0.25">
      <c r="A1261" t="s">
        <v>6019</v>
      </c>
      <c r="B1261" t="s">
        <v>198</v>
      </c>
      <c r="C1261" t="s">
        <v>397</v>
      </c>
      <c r="D1261">
        <v>1201</v>
      </c>
      <c r="E1261">
        <v>601.14099999999996</v>
      </c>
      <c r="F1261">
        <v>393.928</v>
      </c>
      <c r="G1261">
        <v>3442448</v>
      </c>
      <c r="H1261" t="s">
        <v>1213</v>
      </c>
    </row>
    <row r="1262" spans="1:8" x14ac:dyDescent="0.25">
      <c r="A1262" t="s">
        <v>6019</v>
      </c>
      <c r="B1262" t="s">
        <v>198</v>
      </c>
      <c r="C1262" t="s">
        <v>397</v>
      </c>
      <c r="D1262">
        <v>1189</v>
      </c>
      <c r="E1262">
        <v>595.13499999999999</v>
      </c>
      <c r="F1262">
        <v>389.99200000000002</v>
      </c>
      <c r="G1262">
        <v>3442448</v>
      </c>
      <c r="H1262" t="s">
        <v>1213</v>
      </c>
    </row>
    <row r="1263" spans="1:8" x14ac:dyDescent="0.25">
      <c r="A1263" t="s">
        <v>6019</v>
      </c>
      <c r="B1263" t="s">
        <v>198</v>
      </c>
      <c r="C1263" t="s">
        <v>397</v>
      </c>
      <c r="D1263">
        <v>618</v>
      </c>
      <c r="E1263">
        <v>309.33</v>
      </c>
      <c r="F1263">
        <v>202.70400000000001</v>
      </c>
      <c r="G1263">
        <v>3442448</v>
      </c>
      <c r="H1263" t="s">
        <v>1213</v>
      </c>
    </row>
    <row r="1264" spans="1:8" x14ac:dyDescent="0.25">
      <c r="A1264" t="s">
        <v>6019</v>
      </c>
      <c r="B1264" t="s">
        <v>198</v>
      </c>
      <c r="C1264" t="s">
        <v>397</v>
      </c>
      <c r="D1264">
        <v>16</v>
      </c>
      <c r="E1264">
        <v>8.0090000000000003</v>
      </c>
      <c r="F1264">
        <v>5.2480000000000002</v>
      </c>
      <c r="G1264">
        <v>3442448</v>
      </c>
      <c r="H1264" t="s">
        <v>1213</v>
      </c>
    </row>
    <row r="1265" spans="1:8" x14ac:dyDescent="0.25">
      <c r="A1265" t="s">
        <v>6029</v>
      </c>
      <c r="B1265" t="s">
        <v>64</v>
      </c>
      <c r="C1265" t="s">
        <v>397</v>
      </c>
      <c r="D1265">
        <v>122</v>
      </c>
      <c r="E1265">
        <v>96.659000000000006</v>
      </c>
      <c r="F1265">
        <v>141.886</v>
      </c>
      <c r="G1265">
        <v>3447256</v>
      </c>
      <c r="H1265" t="s">
        <v>1608</v>
      </c>
    </row>
    <row r="1266" spans="1:8" x14ac:dyDescent="0.25">
      <c r="A1266" t="s">
        <v>6029</v>
      </c>
      <c r="B1266" t="s">
        <v>64</v>
      </c>
      <c r="C1266" t="s">
        <v>397</v>
      </c>
      <c r="D1266">
        <v>18</v>
      </c>
      <c r="E1266">
        <v>14.260999999999999</v>
      </c>
      <c r="F1266">
        <v>20.934000000000001</v>
      </c>
      <c r="G1266">
        <v>3447256</v>
      </c>
      <c r="H1266" t="s">
        <v>1608</v>
      </c>
    </row>
    <row r="1267" spans="1:8" x14ac:dyDescent="0.25">
      <c r="A1267" t="s">
        <v>6029</v>
      </c>
      <c r="B1267" t="s">
        <v>64</v>
      </c>
      <c r="C1267" t="s">
        <v>397</v>
      </c>
      <c r="D1267">
        <v>5</v>
      </c>
      <c r="E1267">
        <v>3.9609999999999999</v>
      </c>
      <c r="F1267">
        <v>5.8150000000000004</v>
      </c>
      <c r="G1267">
        <v>3447256</v>
      </c>
      <c r="H1267" t="s">
        <v>1608</v>
      </c>
    </row>
    <row r="1268" spans="1:8" x14ac:dyDescent="0.25">
      <c r="A1268" t="s">
        <v>6029</v>
      </c>
      <c r="B1268" t="s">
        <v>64</v>
      </c>
      <c r="C1268" t="s">
        <v>397</v>
      </c>
      <c r="D1268">
        <v>5</v>
      </c>
      <c r="E1268">
        <v>3.9609999999999999</v>
      </c>
      <c r="F1268">
        <v>5.8150000000000004</v>
      </c>
      <c r="G1268">
        <v>3447256</v>
      </c>
      <c r="H1268" t="s">
        <v>1608</v>
      </c>
    </row>
    <row r="1269" spans="1:8" x14ac:dyDescent="0.25">
      <c r="A1269" t="s">
        <v>6029</v>
      </c>
      <c r="B1269" t="s">
        <v>64</v>
      </c>
      <c r="C1269" t="s">
        <v>397</v>
      </c>
      <c r="D1269">
        <v>3000</v>
      </c>
      <c r="E1269">
        <v>3886.3319999999999</v>
      </c>
      <c r="F1269">
        <v>1689</v>
      </c>
      <c r="G1269">
        <v>3241514</v>
      </c>
      <c r="H1269" t="s">
        <v>1194</v>
      </c>
    </row>
    <row r="1270" spans="1:8" x14ac:dyDescent="0.25">
      <c r="A1270" t="s">
        <v>6029</v>
      </c>
      <c r="B1270" t="s">
        <v>64</v>
      </c>
      <c r="C1270" t="s">
        <v>397</v>
      </c>
      <c r="D1270">
        <v>2625</v>
      </c>
      <c r="E1270">
        <v>3291.82</v>
      </c>
      <c r="F1270">
        <v>1430.625</v>
      </c>
      <c r="G1270">
        <v>3241515</v>
      </c>
      <c r="H1270" t="s">
        <v>1192</v>
      </c>
    </row>
    <row r="1271" spans="1:8" x14ac:dyDescent="0.25">
      <c r="A1271" t="s">
        <v>6029</v>
      </c>
      <c r="B1271" t="s">
        <v>64</v>
      </c>
      <c r="C1271" t="s">
        <v>397</v>
      </c>
      <c r="D1271">
        <v>25</v>
      </c>
      <c r="E1271">
        <v>31.350999999999999</v>
      </c>
      <c r="F1271">
        <v>13.625</v>
      </c>
      <c r="G1271">
        <v>3241515</v>
      </c>
      <c r="H1271" t="s">
        <v>1192</v>
      </c>
    </row>
    <row r="1272" spans="1:8" x14ac:dyDescent="0.25">
      <c r="A1272" t="s">
        <v>6029</v>
      </c>
      <c r="B1272" t="s">
        <v>64</v>
      </c>
      <c r="C1272" t="s">
        <v>397</v>
      </c>
      <c r="D1272">
        <v>1497</v>
      </c>
      <c r="E1272">
        <v>1145.8920000000001</v>
      </c>
      <c r="F1272">
        <v>420.65699999999998</v>
      </c>
      <c r="G1272">
        <v>3241518</v>
      </c>
      <c r="H1272" t="s">
        <v>1171</v>
      </c>
    </row>
    <row r="1273" spans="1:8" x14ac:dyDescent="0.25">
      <c r="A1273" t="s">
        <v>6029</v>
      </c>
      <c r="B1273" t="s">
        <v>64</v>
      </c>
      <c r="C1273" t="s">
        <v>397</v>
      </c>
      <c r="D1273">
        <v>1000</v>
      </c>
      <c r="E1273">
        <v>765.45899999999995</v>
      </c>
      <c r="F1273">
        <v>281</v>
      </c>
      <c r="G1273">
        <v>3241518</v>
      </c>
      <c r="H1273" t="s">
        <v>1171</v>
      </c>
    </row>
    <row r="1274" spans="1:8" x14ac:dyDescent="0.25">
      <c r="A1274" t="s">
        <v>6029</v>
      </c>
      <c r="B1274" t="s">
        <v>64</v>
      </c>
      <c r="C1274" t="s">
        <v>397</v>
      </c>
      <c r="D1274">
        <v>701</v>
      </c>
      <c r="E1274">
        <v>536.58699999999999</v>
      </c>
      <c r="F1274">
        <v>196.98099999999999</v>
      </c>
      <c r="G1274">
        <v>3241518</v>
      </c>
      <c r="H1274" t="s">
        <v>1171</v>
      </c>
    </row>
    <row r="1275" spans="1:8" x14ac:dyDescent="0.25">
      <c r="A1275" t="s">
        <v>6029</v>
      </c>
      <c r="B1275" t="s">
        <v>64</v>
      </c>
      <c r="C1275" t="s">
        <v>397</v>
      </c>
      <c r="D1275">
        <v>2</v>
      </c>
      <c r="E1275">
        <v>1.5309999999999999</v>
      </c>
      <c r="F1275">
        <v>0.56200000000000006</v>
      </c>
      <c r="G1275">
        <v>3241518</v>
      </c>
      <c r="H1275" t="s">
        <v>1171</v>
      </c>
    </row>
    <row r="1276" spans="1:8" x14ac:dyDescent="0.25">
      <c r="A1276" t="s">
        <v>6029</v>
      </c>
      <c r="B1276" t="s">
        <v>64</v>
      </c>
      <c r="C1276" t="s">
        <v>397</v>
      </c>
      <c r="D1276">
        <v>2500</v>
      </c>
      <c r="E1276">
        <v>1491.4190000000001</v>
      </c>
      <c r="F1276">
        <v>547.5</v>
      </c>
      <c r="G1276">
        <v>3398266</v>
      </c>
      <c r="H1276" t="s">
        <v>1169</v>
      </c>
    </row>
    <row r="1277" spans="1:8" x14ac:dyDescent="0.25">
      <c r="A1277" t="s">
        <v>6029</v>
      </c>
      <c r="B1277" t="s">
        <v>64</v>
      </c>
      <c r="C1277" t="s">
        <v>397</v>
      </c>
      <c r="D1277">
        <v>1485</v>
      </c>
      <c r="E1277">
        <v>1437.452</v>
      </c>
      <c r="F1277">
        <v>2110.0369999999998</v>
      </c>
      <c r="G1277">
        <v>3776929</v>
      </c>
      <c r="H1277" t="s">
        <v>1609</v>
      </c>
    </row>
    <row r="1278" spans="1:8" x14ac:dyDescent="0.25">
      <c r="A1278" t="s">
        <v>6029</v>
      </c>
      <c r="B1278" t="s">
        <v>64</v>
      </c>
      <c r="C1278" t="s">
        <v>397</v>
      </c>
      <c r="D1278">
        <v>1105</v>
      </c>
      <c r="E1278">
        <v>1069.6199999999999</v>
      </c>
      <c r="F1278">
        <v>1570.095</v>
      </c>
      <c r="G1278">
        <v>3776929</v>
      </c>
      <c r="H1278" t="s">
        <v>1609</v>
      </c>
    </row>
    <row r="1279" spans="1:8" x14ac:dyDescent="0.25">
      <c r="A1279" t="s">
        <v>437</v>
      </c>
      <c r="B1279" t="s">
        <v>18</v>
      </c>
      <c r="C1279" t="s">
        <v>397</v>
      </c>
      <c r="D1279">
        <v>2130</v>
      </c>
      <c r="E1279">
        <v>1142.383</v>
      </c>
      <c r="F1279">
        <v>1789.2</v>
      </c>
      <c r="G1279">
        <v>1940822</v>
      </c>
      <c r="H1279" t="s">
        <v>574</v>
      </c>
    </row>
    <row r="1280" spans="1:8" x14ac:dyDescent="0.25">
      <c r="A1280" t="s">
        <v>437</v>
      </c>
      <c r="B1280" t="s">
        <v>18</v>
      </c>
      <c r="C1280" t="s">
        <v>397</v>
      </c>
      <c r="D1280">
        <v>1698</v>
      </c>
      <c r="E1280">
        <v>910.68799999999999</v>
      </c>
      <c r="F1280">
        <v>1426.32</v>
      </c>
      <c r="G1280">
        <v>1940822</v>
      </c>
      <c r="H1280" t="s">
        <v>574</v>
      </c>
    </row>
    <row r="1281" spans="1:8" x14ac:dyDescent="0.25">
      <c r="A1281" t="s">
        <v>437</v>
      </c>
      <c r="B1281" t="s">
        <v>18</v>
      </c>
      <c r="C1281" t="s">
        <v>397</v>
      </c>
      <c r="D1281">
        <v>1385</v>
      </c>
      <c r="E1281">
        <v>742.81700000000001</v>
      </c>
      <c r="F1281">
        <v>1163.4000000000001</v>
      </c>
      <c r="G1281">
        <v>1940822</v>
      </c>
      <c r="H1281" t="s">
        <v>574</v>
      </c>
    </row>
    <row r="1282" spans="1:8" x14ac:dyDescent="0.25">
      <c r="A1282" t="s">
        <v>437</v>
      </c>
      <c r="B1282" t="s">
        <v>18</v>
      </c>
      <c r="C1282" t="s">
        <v>397</v>
      </c>
      <c r="D1282">
        <v>204</v>
      </c>
      <c r="E1282">
        <v>109.411</v>
      </c>
      <c r="F1282">
        <v>171.36</v>
      </c>
      <c r="G1282">
        <v>1940822</v>
      </c>
      <c r="H1282" t="s">
        <v>574</v>
      </c>
    </row>
    <row r="1283" spans="1:8" x14ac:dyDescent="0.25">
      <c r="A1283" t="s">
        <v>437</v>
      </c>
      <c r="B1283" t="s">
        <v>18</v>
      </c>
      <c r="C1283" t="s">
        <v>397</v>
      </c>
      <c r="D1283">
        <v>3</v>
      </c>
      <c r="E1283">
        <v>1.609</v>
      </c>
      <c r="F1283">
        <v>2.52</v>
      </c>
      <c r="G1283">
        <v>1940822</v>
      </c>
      <c r="H1283" t="s">
        <v>574</v>
      </c>
    </row>
    <row r="1284" spans="1:8" x14ac:dyDescent="0.25">
      <c r="A1284" t="s">
        <v>437</v>
      </c>
      <c r="B1284" t="s">
        <v>18</v>
      </c>
      <c r="C1284" t="s">
        <v>397</v>
      </c>
      <c r="D1284">
        <v>800</v>
      </c>
      <c r="E1284">
        <v>447.96300000000002</v>
      </c>
      <c r="F1284">
        <v>701.6</v>
      </c>
      <c r="G1284">
        <v>1940823</v>
      </c>
      <c r="H1284" t="s">
        <v>576</v>
      </c>
    </row>
    <row r="1285" spans="1:8" x14ac:dyDescent="0.25">
      <c r="A1285" t="s">
        <v>437</v>
      </c>
      <c r="B1285" t="s">
        <v>18</v>
      </c>
      <c r="C1285" t="s">
        <v>397</v>
      </c>
      <c r="D1285">
        <v>633</v>
      </c>
      <c r="E1285">
        <v>354.45100000000002</v>
      </c>
      <c r="F1285">
        <v>555.14099999999996</v>
      </c>
      <c r="G1285">
        <v>1940823</v>
      </c>
      <c r="H1285" t="s">
        <v>576</v>
      </c>
    </row>
    <row r="1286" spans="1:8" x14ac:dyDescent="0.25">
      <c r="A1286" t="s">
        <v>437</v>
      </c>
      <c r="B1286" t="s">
        <v>18</v>
      </c>
      <c r="C1286" t="s">
        <v>397</v>
      </c>
      <c r="D1286">
        <v>7</v>
      </c>
      <c r="E1286">
        <v>3.92</v>
      </c>
      <c r="F1286">
        <v>6.1390000000000002</v>
      </c>
      <c r="G1286">
        <v>1940823</v>
      </c>
      <c r="H1286" t="s">
        <v>576</v>
      </c>
    </row>
    <row r="1287" spans="1:8" x14ac:dyDescent="0.25">
      <c r="A1287" t="s">
        <v>437</v>
      </c>
      <c r="B1287" t="s">
        <v>18</v>
      </c>
      <c r="C1287" t="s">
        <v>397</v>
      </c>
      <c r="D1287">
        <v>1319</v>
      </c>
      <c r="E1287">
        <v>796.65700000000004</v>
      </c>
      <c r="F1287">
        <v>1547.1869999999999</v>
      </c>
      <c r="G1287">
        <v>2427158</v>
      </c>
      <c r="H1287" t="s">
        <v>671</v>
      </c>
    </row>
    <row r="1288" spans="1:8" x14ac:dyDescent="0.25">
      <c r="A1288" t="s">
        <v>437</v>
      </c>
      <c r="B1288" t="s">
        <v>18</v>
      </c>
      <c r="C1288" t="s">
        <v>397</v>
      </c>
      <c r="D1288">
        <v>1314</v>
      </c>
      <c r="E1288">
        <v>793.63699999999994</v>
      </c>
      <c r="F1288">
        <v>1541.3219999999999</v>
      </c>
      <c r="G1288">
        <v>2427158</v>
      </c>
      <c r="H1288" t="s">
        <v>671</v>
      </c>
    </row>
    <row r="1289" spans="1:8" x14ac:dyDescent="0.25">
      <c r="A1289" t="s">
        <v>437</v>
      </c>
      <c r="B1289" t="s">
        <v>18</v>
      </c>
      <c r="C1289" t="s">
        <v>397</v>
      </c>
      <c r="D1289">
        <v>1000</v>
      </c>
      <c r="E1289">
        <v>603.98500000000001</v>
      </c>
      <c r="F1289">
        <v>1173</v>
      </c>
      <c r="G1289">
        <v>2427158</v>
      </c>
      <c r="H1289" t="s">
        <v>671</v>
      </c>
    </row>
    <row r="1290" spans="1:8" x14ac:dyDescent="0.25">
      <c r="A1290" t="s">
        <v>437</v>
      </c>
      <c r="B1290" t="s">
        <v>18</v>
      </c>
      <c r="C1290" t="s">
        <v>397</v>
      </c>
      <c r="D1290">
        <v>305</v>
      </c>
      <c r="E1290">
        <v>184.21600000000001</v>
      </c>
      <c r="F1290">
        <v>357.76499999999999</v>
      </c>
      <c r="G1290">
        <v>2427158</v>
      </c>
      <c r="H1290" t="s">
        <v>671</v>
      </c>
    </row>
    <row r="1291" spans="1:8" x14ac:dyDescent="0.25">
      <c r="A1291" t="s">
        <v>437</v>
      </c>
      <c r="B1291" t="s">
        <v>18</v>
      </c>
      <c r="C1291" t="s">
        <v>397</v>
      </c>
      <c r="D1291">
        <v>134</v>
      </c>
      <c r="E1291">
        <v>80.933999999999997</v>
      </c>
      <c r="F1291">
        <v>157.18199999999999</v>
      </c>
      <c r="G1291">
        <v>2427158</v>
      </c>
      <c r="H1291" t="s">
        <v>671</v>
      </c>
    </row>
    <row r="1292" spans="1:8" x14ac:dyDescent="0.25">
      <c r="A1292" t="s">
        <v>437</v>
      </c>
      <c r="B1292" t="s">
        <v>18</v>
      </c>
      <c r="C1292" t="s">
        <v>397</v>
      </c>
      <c r="D1292">
        <v>8</v>
      </c>
      <c r="E1292">
        <v>4.8319999999999999</v>
      </c>
      <c r="F1292">
        <v>9.3840000000000003</v>
      </c>
      <c r="G1292">
        <v>2427158</v>
      </c>
      <c r="H1292" t="s">
        <v>671</v>
      </c>
    </row>
    <row r="1293" spans="1:8" x14ac:dyDescent="0.25">
      <c r="A1293" t="s">
        <v>437</v>
      </c>
      <c r="B1293" t="s">
        <v>18</v>
      </c>
      <c r="C1293" t="s">
        <v>397</v>
      </c>
      <c r="D1293">
        <v>2005</v>
      </c>
      <c r="E1293">
        <v>842.1</v>
      </c>
      <c r="F1293">
        <v>896.83699999999999</v>
      </c>
      <c r="G1293">
        <v>4185618</v>
      </c>
      <c r="H1293" t="s">
        <v>267</v>
      </c>
    </row>
    <row r="1294" spans="1:8" x14ac:dyDescent="0.25">
      <c r="A1294" t="s">
        <v>437</v>
      </c>
      <c r="B1294" t="s">
        <v>18</v>
      </c>
      <c r="C1294" t="s">
        <v>397</v>
      </c>
      <c r="D1294">
        <v>1595</v>
      </c>
      <c r="E1294">
        <v>669.9</v>
      </c>
      <c r="F1294">
        <v>713.44299999999998</v>
      </c>
      <c r="G1294">
        <v>4185618</v>
      </c>
      <c r="H1294" t="s">
        <v>267</v>
      </c>
    </row>
    <row r="1295" spans="1:8" x14ac:dyDescent="0.25">
      <c r="A1295" t="s">
        <v>396</v>
      </c>
      <c r="B1295" t="s">
        <v>61</v>
      </c>
      <c r="C1295" t="s">
        <v>444</v>
      </c>
      <c r="D1295">
        <v>513</v>
      </c>
      <c r="E1295">
        <v>3078</v>
      </c>
      <c r="F1295">
        <v>2107.8139999999999</v>
      </c>
      <c r="G1295">
        <v>1940120</v>
      </c>
      <c r="H1295" t="s">
        <v>540</v>
      </c>
    </row>
    <row r="1296" spans="1:8" x14ac:dyDescent="0.25">
      <c r="A1296" t="s">
        <v>396</v>
      </c>
      <c r="B1296" t="s">
        <v>61</v>
      </c>
      <c r="C1296" t="s">
        <v>444</v>
      </c>
      <c r="D1296">
        <v>195</v>
      </c>
      <c r="E1296">
        <v>1170</v>
      </c>
      <c r="F1296">
        <v>801.21600000000001</v>
      </c>
      <c r="G1296">
        <v>1940120</v>
      </c>
      <c r="H1296" t="s">
        <v>540</v>
      </c>
    </row>
    <row r="1297" spans="1:8" x14ac:dyDescent="0.25">
      <c r="A1297" t="s">
        <v>396</v>
      </c>
      <c r="B1297" t="s">
        <v>61</v>
      </c>
      <c r="C1297" t="s">
        <v>444</v>
      </c>
      <c r="D1297">
        <v>151</v>
      </c>
      <c r="E1297">
        <v>906</v>
      </c>
      <c r="F1297">
        <v>510.71199999999999</v>
      </c>
      <c r="G1297">
        <v>1940078</v>
      </c>
      <c r="H1297" t="s">
        <v>518</v>
      </c>
    </row>
    <row r="1298" spans="1:8" x14ac:dyDescent="0.25">
      <c r="A1298" t="s">
        <v>396</v>
      </c>
      <c r="B1298" t="s">
        <v>61</v>
      </c>
      <c r="C1298" t="s">
        <v>444</v>
      </c>
      <c r="D1298">
        <v>244</v>
      </c>
      <c r="E1298">
        <v>1464</v>
      </c>
      <c r="F1298">
        <v>825.25699999999995</v>
      </c>
      <c r="G1298">
        <v>1940078</v>
      </c>
      <c r="H1298" t="s">
        <v>518</v>
      </c>
    </row>
    <row r="1299" spans="1:8" x14ac:dyDescent="0.25">
      <c r="A1299" t="s">
        <v>396</v>
      </c>
      <c r="B1299" t="s">
        <v>61</v>
      </c>
      <c r="C1299" t="s">
        <v>444</v>
      </c>
      <c r="D1299">
        <v>605</v>
      </c>
      <c r="E1299">
        <v>3630</v>
      </c>
      <c r="F1299">
        <v>2046.231</v>
      </c>
      <c r="G1299">
        <v>1940078</v>
      </c>
      <c r="H1299" t="s">
        <v>518</v>
      </c>
    </row>
    <row r="1300" spans="1:8" x14ac:dyDescent="0.25">
      <c r="A1300" t="s">
        <v>6018</v>
      </c>
      <c r="B1300" t="s">
        <v>21</v>
      </c>
      <c r="C1300" t="s">
        <v>397</v>
      </c>
      <c r="D1300">
        <v>5487</v>
      </c>
      <c r="E1300">
        <v>2112.5279999999998</v>
      </c>
      <c r="F1300">
        <v>1404.855</v>
      </c>
      <c r="G1300">
        <v>4018307</v>
      </c>
      <c r="H1300" t="s">
        <v>6020</v>
      </c>
    </row>
    <row r="1301" spans="1:8" x14ac:dyDescent="0.25">
      <c r="A1301" t="s">
        <v>6018</v>
      </c>
      <c r="B1301" t="s">
        <v>21</v>
      </c>
      <c r="C1301" t="s">
        <v>397</v>
      </c>
      <c r="D1301">
        <v>726</v>
      </c>
      <c r="E1301">
        <v>279.51400000000001</v>
      </c>
      <c r="F1301">
        <v>185.88</v>
      </c>
      <c r="G1301">
        <v>4018307</v>
      </c>
      <c r="H1301" t="s">
        <v>6020</v>
      </c>
    </row>
    <row r="1302" spans="1:8" x14ac:dyDescent="0.25">
      <c r="A1302" t="s">
        <v>6018</v>
      </c>
      <c r="B1302" t="s">
        <v>21</v>
      </c>
      <c r="C1302" t="s">
        <v>397</v>
      </c>
      <c r="D1302">
        <v>621</v>
      </c>
      <c r="E1302">
        <v>239.089</v>
      </c>
      <c r="F1302">
        <v>158.99700000000001</v>
      </c>
      <c r="G1302">
        <v>4018307</v>
      </c>
      <c r="H1302" t="s">
        <v>6020</v>
      </c>
    </row>
    <row r="1303" spans="1:8" x14ac:dyDescent="0.25">
      <c r="A1303" t="s">
        <v>6018</v>
      </c>
      <c r="B1303" t="s">
        <v>21</v>
      </c>
      <c r="C1303" t="s">
        <v>397</v>
      </c>
      <c r="D1303">
        <v>266</v>
      </c>
      <c r="E1303">
        <v>102.41200000000001</v>
      </c>
      <c r="F1303">
        <v>68.105000000000004</v>
      </c>
      <c r="G1303">
        <v>4018307</v>
      </c>
      <c r="H1303" t="s">
        <v>6020</v>
      </c>
    </row>
    <row r="1304" spans="1:8" x14ac:dyDescent="0.25">
      <c r="A1304" t="s">
        <v>6018</v>
      </c>
      <c r="B1304" t="s">
        <v>21</v>
      </c>
      <c r="C1304" t="s">
        <v>397</v>
      </c>
      <c r="D1304">
        <v>900</v>
      </c>
      <c r="E1304">
        <v>261.82</v>
      </c>
      <c r="F1304">
        <v>775.8</v>
      </c>
      <c r="G1304">
        <v>1940857</v>
      </c>
      <c r="H1304" t="s">
        <v>1689</v>
      </c>
    </row>
    <row r="1305" spans="1:8" x14ac:dyDescent="0.25">
      <c r="A1305" t="s">
        <v>6018</v>
      </c>
      <c r="B1305" t="s">
        <v>21</v>
      </c>
      <c r="C1305" t="s">
        <v>397</v>
      </c>
      <c r="D1305">
        <v>110</v>
      </c>
      <c r="E1305">
        <v>32</v>
      </c>
      <c r="F1305">
        <v>94.82</v>
      </c>
      <c r="G1305">
        <v>1940857</v>
      </c>
      <c r="H1305" t="s">
        <v>1689</v>
      </c>
    </row>
    <row r="1306" spans="1:8" x14ac:dyDescent="0.25">
      <c r="A1306" t="s">
        <v>6018</v>
      </c>
      <c r="B1306" t="s">
        <v>21</v>
      </c>
      <c r="C1306" t="s">
        <v>397</v>
      </c>
      <c r="D1306">
        <v>110</v>
      </c>
      <c r="E1306">
        <v>32</v>
      </c>
      <c r="F1306">
        <v>94.82</v>
      </c>
      <c r="G1306">
        <v>1940857</v>
      </c>
      <c r="H1306" t="s">
        <v>1689</v>
      </c>
    </row>
    <row r="1307" spans="1:8" x14ac:dyDescent="0.25">
      <c r="A1307" t="s">
        <v>6018</v>
      </c>
      <c r="B1307" t="s">
        <v>21</v>
      </c>
      <c r="C1307" t="s">
        <v>397</v>
      </c>
      <c r="D1307">
        <v>864</v>
      </c>
      <c r="E1307">
        <v>159.06700000000001</v>
      </c>
      <c r="F1307">
        <v>603.072</v>
      </c>
      <c r="G1307">
        <v>1940868</v>
      </c>
      <c r="H1307" t="s">
        <v>1715</v>
      </c>
    </row>
    <row r="1308" spans="1:8" x14ac:dyDescent="0.25">
      <c r="A1308" t="s">
        <v>6018</v>
      </c>
      <c r="B1308" t="s">
        <v>21</v>
      </c>
      <c r="C1308" t="s">
        <v>397</v>
      </c>
      <c r="D1308">
        <v>1699</v>
      </c>
      <c r="E1308">
        <v>1252.2260000000001</v>
      </c>
      <c r="F1308">
        <v>2166.2249999999999</v>
      </c>
      <c r="G1308">
        <v>1932730</v>
      </c>
      <c r="H1308" t="s">
        <v>1738</v>
      </c>
    </row>
    <row r="1309" spans="1:8" x14ac:dyDescent="0.25">
      <c r="A1309" t="s">
        <v>6018</v>
      </c>
      <c r="B1309" t="s">
        <v>21</v>
      </c>
      <c r="C1309" t="s">
        <v>397</v>
      </c>
      <c r="D1309">
        <v>1655</v>
      </c>
      <c r="E1309">
        <v>1219.796</v>
      </c>
      <c r="F1309">
        <v>2110.125</v>
      </c>
      <c r="G1309">
        <v>1932730</v>
      </c>
      <c r="H1309" t="s">
        <v>1738</v>
      </c>
    </row>
    <row r="1310" spans="1:8" x14ac:dyDescent="0.25">
      <c r="A1310" t="s">
        <v>6018</v>
      </c>
      <c r="B1310" t="s">
        <v>21</v>
      </c>
      <c r="C1310" t="s">
        <v>397</v>
      </c>
      <c r="D1310">
        <v>646</v>
      </c>
      <c r="E1310">
        <v>476.12599999999998</v>
      </c>
      <c r="F1310">
        <v>823.65</v>
      </c>
      <c r="G1310">
        <v>1932730</v>
      </c>
      <c r="H1310" t="s">
        <v>1738</v>
      </c>
    </row>
    <row r="1311" spans="1:8" x14ac:dyDescent="0.25">
      <c r="A1311" t="s">
        <v>6018</v>
      </c>
      <c r="B1311" t="s">
        <v>21</v>
      </c>
      <c r="C1311" t="s">
        <v>397</v>
      </c>
      <c r="D1311">
        <v>1325</v>
      </c>
      <c r="E1311">
        <v>795.02700000000004</v>
      </c>
      <c r="F1311">
        <v>1544.0229999999999</v>
      </c>
      <c r="G1311">
        <v>3676839</v>
      </c>
      <c r="H1311" t="s">
        <v>1729</v>
      </c>
    </row>
    <row r="1312" spans="1:8" x14ac:dyDescent="0.25">
      <c r="A1312" t="s">
        <v>6018</v>
      </c>
      <c r="B1312" t="s">
        <v>21</v>
      </c>
      <c r="C1312" t="s">
        <v>397</v>
      </c>
      <c r="D1312">
        <v>1300</v>
      </c>
      <c r="E1312">
        <v>780.02700000000004</v>
      </c>
      <c r="F1312">
        <v>1514.89</v>
      </c>
      <c r="G1312">
        <v>3676839</v>
      </c>
      <c r="H1312" t="s">
        <v>1729</v>
      </c>
    </row>
    <row r="1313" spans="1:8" x14ac:dyDescent="0.25">
      <c r="A1313" t="s">
        <v>6018</v>
      </c>
      <c r="B1313" t="s">
        <v>21</v>
      </c>
      <c r="C1313" t="s">
        <v>397</v>
      </c>
      <c r="D1313">
        <v>675</v>
      </c>
      <c r="E1313">
        <v>405.01400000000001</v>
      </c>
      <c r="F1313">
        <v>786.577</v>
      </c>
      <c r="G1313">
        <v>3676839</v>
      </c>
      <c r="H1313" t="s">
        <v>1729</v>
      </c>
    </row>
    <row r="1314" spans="1:8" x14ac:dyDescent="0.25">
      <c r="A1314" t="s">
        <v>6019</v>
      </c>
      <c r="B1314" t="s">
        <v>198</v>
      </c>
      <c r="C1314" t="s">
        <v>397</v>
      </c>
      <c r="D1314">
        <v>812</v>
      </c>
      <c r="E1314">
        <v>495.65100000000001</v>
      </c>
      <c r="F1314">
        <v>324.8</v>
      </c>
      <c r="G1314">
        <v>1940109</v>
      </c>
      <c r="H1314" t="s">
        <v>1223</v>
      </c>
    </row>
    <row r="1315" spans="1:8" x14ac:dyDescent="0.25">
      <c r="A1315" t="s">
        <v>6019</v>
      </c>
      <c r="B1315" t="s">
        <v>198</v>
      </c>
      <c r="C1315" t="s">
        <v>397</v>
      </c>
      <c r="D1315">
        <v>38</v>
      </c>
      <c r="E1315">
        <v>23.195</v>
      </c>
      <c r="F1315">
        <v>15.2</v>
      </c>
      <c r="G1315">
        <v>1940109</v>
      </c>
      <c r="H1315" t="s">
        <v>1223</v>
      </c>
    </row>
    <row r="1316" spans="1:8" x14ac:dyDescent="0.25">
      <c r="A1316" t="s">
        <v>6019</v>
      </c>
      <c r="B1316" t="s">
        <v>198</v>
      </c>
      <c r="C1316" t="s">
        <v>397</v>
      </c>
      <c r="D1316">
        <v>1919</v>
      </c>
      <c r="E1316">
        <v>652.51300000000003</v>
      </c>
      <c r="F1316">
        <v>285.93099999999998</v>
      </c>
      <c r="G1316">
        <v>2276261</v>
      </c>
      <c r="H1316" t="s">
        <v>1158</v>
      </c>
    </row>
    <row r="1317" spans="1:8" x14ac:dyDescent="0.25">
      <c r="A1317" t="s">
        <v>6019</v>
      </c>
      <c r="B1317" t="s">
        <v>198</v>
      </c>
      <c r="C1317" t="s">
        <v>397</v>
      </c>
      <c r="D1317">
        <v>503</v>
      </c>
      <c r="E1317">
        <v>171.03399999999999</v>
      </c>
      <c r="F1317">
        <v>74.947000000000003</v>
      </c>
      <c r="G1317">
        <v>2276261</v>
      </c>
      <c r="H1317" t="s">
        <v>1158</v>
      </c>
    </row>
    <row r="1318" spans="1:8" x14ac:dyDescent="0.25">
      <c r="A1318" t="s">
        <v>6019</v>
      </c>
      <c r="B1318" t="s">
        <v>198</v>
      </c>
      <c r="C1318" t="s">
        <v>397</v>
      </c>
      <c r="D1318">
        <v>78</v>
      </c>
      <c r="E1318">
        <v>26.521999999999998</v>
      </c>
      <c r="F1318">
        <v>11.622</v>
      </c>
      <c r="G1318">
        <v>2276261</v>
      </c>
      <c r="H1318" t="s">
        <v>1158</v>
      </c>
    </row>
    <row r="1319" spans="1:8" x14ac:dyDescent="0.25">
      <c r="A1319" t="s">
        <v>6019</v>
      </c>
      <c r="B1319" t="s">
        <v>198</v>
      </c>
      <c r="C1319" t="s">
        <v>397</v>
      </c>
      <c r="D1319">
        <v>3657</v>
      </c>
      <c r="E1319">
        <v>2142.9699999999998</v>
      </c>
      <c r="F1319">
        <v>1404.288</v>
      </c>
      <c r="G1319">
        <v>3696704</v>
      </c>
      <c r="H1319" t="s">
        <v>1221</v>
      </c>
    </row>
    <row r="1320" spans="1:8" x14ac:dyDescent="0.25">
      <c r="A1320" t="s">
        <v>6019</v>
      </c>
      <c r="B1320" t="s">
        <v>198</v>
      </c>
      <c r="C1320" t="s">
        <v>397</v>
      </c>
      <c r="D1320">
        <v>2293</v>
      </c>
      <c r="E1320">
        <v>1343.6780000000001</v>
      </c>
      <c r="F1320">
        <v>880.51199999999994</v>
      </c>
      <c r="G1320">
        <v>3696704</v>
      </c>
      <c r="H1320" t="s">
        <v>1221</v>
      </c>
    </row>
    <row r="1321" spans="1:8" x14ac:dyDescent="0.25">
      <c r="A1321" t="s">
        <v>6019</v>
      </c>
      <c r="B1321" t="s">
        <v>198</v>
      </c>
      <c r="C1321" t="s">
        <v>397</v>
      </c>
      <c r="D1321">
        <v>3419</v>
      </c>
      <c r="E1321">
        <v>1737.413</v>
      </c>
      <c r="F1321">
        <v>1138.527</v>
      </c>
      <c r="G1321">
        <v>3442449</v>
      </c>
      <c r="H1321" t="s">
        <v>1215</v>
      </c>
    </row>
    <row r="1322" spans="1:8" x14ac:dyDescent="0.25">
      <c r="A1322" t="s">
        <v>6019</v>
      </c>
      <c r="B1322" t="s">
        <v>198</v>
      </c>
      <c r="C1322" t="s">
        <v>397</v>
      </c>
      <c r="D1322">
        <v>2189</v>
      </c>
      <c r="E1322">
        <v>1112.3710000000001</v>
      </c>
      <c r="F1322">
        <v>728.93700000000001</v>
      </c>
      <c r="G1322">
        <v>3442449</v>
      </c>
      <c r="H1322" t="s">
        <v>1215</v>
      </c>
    </row>
    <row r="1323" spans="1:8" x14ac:dyDescent="0.25">
      <c r="A1323" t="s">
        <v>6019</v>
      </c>
      <c r="B1323" t="s">
        <v>198</v>
      </c>
      <c r="C1323" t="s">
        <v>397</v>
      </c>
      <c r="D1323">
        <v>1990</v>
      </c>
      <c r="E1323">
        <v>1011.247</v>
      </c>
      <c r="F1323">
        <v>662.67</v>
      </c>
      <c r="G1323">
        <v>3442449</v>
      </c>
      <c r="H1323" t="s">
        <v>1215</v>
      </c>
    </row>
    <row r="1324" spans="1:8" x14ac:dyDescent="0.25">
      <c r="A1324" t="s">
        <v>6019</v>
      </c>
      <c r="B1324" t="s">
        <v>198</v>
      </c>
      <c r="C1324" t="s">
        <v>397</v>
      </c>
      <c r="D1324">
        <v>1447</v>
      </c>
      <c r="E1324">
        <v>735.31399999999996</v>
      </c>
      <c r="F1324">
        <v>481.851</v>
      </c>
      <c r="G1324">
        <v>3442449</v>
      </c>
      <c r="H1324" t="s">
        <v>1215</v>
      </c>
    </row>
    <row r="1325" spans="1:8" x14ac:dyDescent="0.25">
      <c r="A1325" t="s">
        <v>6019</v>
      </c>
      <c r="B1325" t="s">
        <v>198</v>
      </c>
      <c r="C1325" t="s">
        <v>397</v>
      </c>
      <c r="D1325">
        <v>309</v>
      </c>
      <c r="E1325">
        <v>157.023</v>
      </c>
      <c r="F1325">
        <v>102.89700000000001</v>
      </c>
      <c r="G1325">
        <v>3442449</v>
      </c>
      <c r="H1325" t="s">
        <v>1215</v>
      </c>
    </row>
    <row r="1326" spans="1:8" x14ac:dyDescent="0.25">
      <c r="A1326" t="s">
        <v>6019</v>
      </c>
      <c r="B1326" t="s">
        <v>198</v>
      </c>
      <c r="C1326" t="s">
        <v>397</v>
      </c>
      <c r="D1326">
        <v>46</v>
      </c>
      <c r="E1326">
        <v>23.376000000000001</v>
      </c>
      <c r="F1326">
        <v>15.318</v>
      </c>
      <c r="G1326">
        <v>3442449</v>
      </c>
      <c r="H1326" t="s">
        <v>1215</v>
      </c>
    </row>
    <row r="1327" spans="1:8" x14ac:dyDescent="0.25">
      <c r="A1327" t="s">
        <v>6025</v>
      </c>
      <c r="B1327" t="s">
        <v>40</v>
      </c>
      <c r="C1327" t="s">
        <v>397</v>
      </c>
      <c r="D1327">
        <v>1331</v>
      </c>
      <c r="E1327">
        <v>1177.3689999999999</v>
      </c>
      <c r="F1327">
        <v>1122.0329999999999</v>
      </c>
      <c r="G1327">
        <v>1942696</v>
      </c>
      <c r="H1327" t="s">
        <v>1532</v>
      </c>
    </row>
    <row r="1328" spans="1:8" x14ac:dyDescent="0.25">
      <c r="A1328" t="s">
        <v>6025</v>
      </c>
      <c r="B1328" t="s">
        <v>40</v>
      </c>
      <c r="C1328" t="s">
        <v>397</v>
      </c>
      <c r="D1328">
        <v>1200</v>
      </c>
      <c r="E1328">
        <v>1061.49</v>
      </c>
      <c r="F1328">
        <v>1011.6</v>
      </c>
      <c r="G1328">
        <v>1942696</v>
      </c>
      <c r="H1328" t="s">
        <v>1532</v>
      </c>
    </row>
    <row r="1329" spans="1:8" x14ac:dyDescent="0.25">
      <c r="A1329" t="s">
        <v>6025</v>
      </c>
      <c r="B1329" t="s">
        <v>40</v>
      </c>
      <c r="C1329" t="s">
        <v>397</v>
      </c>
      <c r="D1329">
        <v>1175</v>
      </c>
      <c r="E1329">
        <v>1039.376</v>
      </c>
      <c r="F1329">
        <v>990.52499999999998</v>
      </c>
      <c r="G1329">
        <v>1942696</v>
      </c>
      <c r="H1329" t="s">
        <v>1532</v>
      </c>
    </row>
    <row r="1330" spans="1:8" x14ac:dyDescent="0.25">
      <c r="A1330" t="s">
        <v>6025</v>
      </c>
      <c r="B1330" t="s">
        <v>40</v>
      </c>
      <c r="C1330" t="s">
        <v>397</v>
      </c>
      <c r="D1330">
        <v>294</v>
      </c>
      <c r="E1330">
        <v>260.065</v>
      </c>
      <c r="F1330">
        <v>247.84200000000001</v>
      </c>
      <c r="G1330">
        <v>1942696</v>
      </c>
      <c r="H1330" t="s">
        <v>1532</v>
      </c>
    </row>
    <row r="1331" spans="1:8" x14ac:dyDescent="0.25">
      <c r="A1331" t="s">
        <v>6025</v>
      </c>
      <c r="B1331" t="s">
        <v>40</v>
      </c>
      <c r="C1331" t="s">
        <v>397</v>
      </c>
      <c r="D1331">
        <v>300</v>
      </c>
      <c r="E1331">
        <v>124.53400000000001</v>
      </c>
      <c r="F1331">
        <v>117</v>
      </c>
      <c r="G1331">
        <v>3551623</v>
      </c>
      <c r="H1331" t="s">
        <v>1569</v>
      </c>
    </row>
    <row r="1332" spans="1:8" x14ac:dyDescent="0.25">
      <c r="A1332" t="s">
        <v>6025</v>
      </c>
      <c r="B1332" t="s">
        <v>40</v>
      </c>
      <c r="C1332" t="s">
        <v>397</v>
      </c>
      <c r="D1332">
        <v>432</v>
      </c>
      <c r="E1332">
        <v>315.79199999999997</v>
      </c>
      <c r="F1332">
        <v>760.36300000000006</v>
      </c>
      <c r="G1332">
        <v>4032113</v>
      </c>
      <c r="H1332" t="s">
        <v>6026</v>
      </c>
    </row>
    <row r="1333" spans="1:8" x14ac:dyDescent="0.25">
      <c r="A1333" t="s">
        <v>6025</v>
      </c>
      <c r="B1333" t="s">
        <v>40</v>
      </c>
      <c r="C1333" t="s">
        <v>397</v>
      </c>
      <c r="D1333">
        <v>710</v>
      </c>
      <c r="E1333">
        <v>519.00900000000001</v>
      </c>
      <c r="F1333">
        <v>1249.671</v>
      </c>
      <c r="G1333">
        <v>4032113</v>
      </c>
      <c r="H1333" t="s">
        <v>6026</v>
      </c>
    </row>
    <row r="1334" spans="1:8" x14ac:dyDescent="0.25">
      <c r="A1334" t="s">
        <v>6025</v>
      </c>
      <c r="B1334" t="s">
        <v>40</v>
      </c>
      <c r="C1334" t="s">
        <v>397</v>
      </c>
      <c r="D1334">
        <v>532</v>
      </c>
      <c r="E1334">
        <v>388.892</v>
      </c>
      <c r="F1334">
        <v>936.37300000000005</v>
      </c>
      <c r="G1334">
        <v>4032113</v>
      </c>
      <c r="H1334" t="s">
        <v>6026</v>
      </c>
    </row>
    <row r="1335" spans="1:8" x14ac:dyDescent="0.25">
      <c r="A1335" t="s">
        <v>6025</v>
      </c>
      <c r="B1335" t="s">
        <v>40</v>
      </c>
      <c r="C1335" t="s">
        <v>397</v>
      </c>
      <c r="D1335">
        <v>435</v>
      </c>
      <c r="E1335">
        <v>317.98500000000001</v>
      </c>
      <c r="F1335">
        <v>765.64400000000001</v>
      </c>
      <c r="G1335">
        <v>4032113</v>
      </c>
      <c r="H1335" t="s">
        <v>6026</v>
      </c>
    </row>
    <row r="1336" spans="1:8" x14ac:dyDescent="0.25">
      <c r="A1336" t="s">
        <v>6025</v>
      </c>
      <c r="B1336" t="s">
        <v>40</v>
      </c>
      <c r="C1336" t="s">
        <v>397</v>
      </c>
      <c r="D1336">
        <v>338</v>
      </c>
      <c r="E1336">
        <v>247.078</v>
      </c>
      <c r="F1336">
        <v>594.91399999999999</v>
      </c>
      <c r="G1336">
        <v>4032113</v>
      </c>
      <c r="H1336" t="s">
        <v>6026</v>
      </c>
    </row>
    <row r="1337" spans="1:8" x14ac:dyDescent="0.25">
      <c r="A1337" t="s">
        <v>6025</v>
      </c>
      <c r="B1337" t="s">
        <v>40</v>
      </c>
      <c r="C1337" t="s">
        <v>397</v>
      </c>
      <c r="D1337">
        <v>204</v>
      </c>
      <c r="E1337">
        <v>149.124</v>
      </c>
      <c r="F1337">
        <v>359.06</v>
      </c>
      <c r="G1337">
        <v>4032113</v>
      </c>
      <c r="H1337" t="s">
        <v>6026</v>
      </c>
    </row>
    <row r="1338" spans="1:8" x14ac:dyDescent="0.25">
      <c r="A1338" t="s">
        <v>6025</v>
      </c>
      <c r="B1338" t="s">
        <v>40</v>
      </c>
      <c r="C1338" t="s">
        <v>397</v>
      </c>
      <c r="D1338">
        <v>89</v>
      </c>
      <c r="E1338">
        <v>65.058999999999997</v>
      </c>
      <c r="F1338">
        <v>156.649</v>
      </c>
      <c r="G1338">
        <v>4032113</v>
      </c>
      <c r="H1338" t="s">
        <v>6026</v>
      </c>
    </row>
    <row r="1339" spans="1:8" x14ac:dyDescent="0.25">
      <c r="A1339" t="s">
        <v>6025</v>
      </c>
      <c r="B1339" t="s">
        <v>40</v>
      </c>
      <c r="C1339" t="s">
        <v>397</v>
      </c>
      <c r="D1339">
        <v>7371</v>
      </c>
      <c r="E1339">
        <v>4026.4989999999998</v>
      </c>
      <c r="F1339">
        <v>5800.9769999999999</v>
      </c>
      <c r="G1339">
        <v>1940817</v>
      </c>
      <c r="H1339" t="s">
        <v>1679</v>
      </c>
    </row>
    <row r="1340" spans="1:8" x14ac:dyDescent="0.25">
      <c r="A1340" t="s">
        <v>6025</v>
      </c>
      <c r="B1340" t="s">
        <v>40</v>
      </c>
      <c r="C1340" t="s">
        <v>397</v>
      </c>
      <c r="D1340">
        <v>1408</v>
      </c>
      <c r="E1340">
        <v>769.13699999999994</v>
      </c>
      <c r="F1340">
        <v>1108.096</v>
      </c>
      <c r="G1340">
        <v>1940817</v>
      </c>
      <c r="H1340" t="s">
        <v>1679</v>
      </c>
    </row>
    <row r="1341" spans="1:8" x14ac:dyDescent="0.25">
      <c r="A1341" t="s">
        <v>6025</v>
      </c>
      <c r="B1341" t="s">
        <v>40</v>
      </c>
      <c r="C1341" t="s">
        <v>397</v>
      </c>
      <c r="D1341">
        <v>1081</v>
      </c>
      <c r="E1341">
        <v>590.50900000000001</v>
      </c>
      <c r="F1341">
        <v>850.74699999999996</v>
      </c>
      <c r="G1341">
        <v>1940817</v>
      </c>
      <c r="H1341" t="s">
        <v>1679</v>
      </c>
    </row>
    <row r="1342" spans="1:8" x14ac:dyDescent="0.25">
      <c r="A1342" t="s">
        <v>6015</v>
      </c>
      <c r="B1342" t="s">
        <v>65</v>
      </c>
      <c r="C1342" t="s">
        <v>397</v>
      </c>
      <c r="D1342">
        <v>1815</v>
      </c>
      <c r="E1342">
        <v>1317.3130000000001</v>
      </c>
      <c r="F1342">
        <v>1520.97</v>
      </c>
      <c r="G1342">
        <v>4027991</v>
      </c>
      <c r="H1342" t="s">
        <v>6028</v>
      </c>
    </row>
    <row r="1343" spans="1:8" x14ac:dyDescent="0.25">
      <c r="A1343" t="s">
        <v>6015</v>
      </c>
      <c r="B1343" t="s">
        <v>65</v>
      </c>
      <c r="C1343" t="s">
        <v>397</v>
      </c>
      <c r="D1343">
        <v>1185</v>
      </c>
      <c r="E1343">
        <v>860.06399999999996</v>
      </c>
      <c r="F1343">
        <v>993.03</v>
      </c>
      <c r="G1343">
        <v>4027991</v>
      </c>
      <c r="H1343" t="s">
        <v>6028</v>
      </c>
    </row>
    <row r="1344" spans="1:8" x14ac:dyDescent="0.25">
      <c r="A1344" t="s">
        <v>6015</v>
      </c>
      <c r="B1344" t="s">
        <v>65</v>
      </c>
      <c r="C1344" t="s">
        <v>397</v>
      </c>
      <c r="D1344">
        <v>975</v>
      </c>
      <c r="E1344">
        <v>556.55700000000002</v>
      </c>
      <c r="F1344">
        <v>1032.5250000000001</v>
      </c>
      <c r="G1344">
        <v>3781648</v>
      </c>
      <c r="H1344" t="s">
        <v>1755</v>
      </c>
    </row>
    <row r="1345" spans="1:8" x14ac:dyDescent="0.25">
      <c r="A1345" t="s">
        <v>6015</v>
      </c>
      <c r="B1345" t="s">
        <v>65</v>
      </c>
      <c r="C1345" t="s">
        <v>397</v>
      </c>
      <c r="D1345">
        <v>779</v>
      </c>
      <c r="E1345">
        <v>444.67500000000001</v>
      </c>
      <c r="F1345">
        <v>824.96100000000001</v>
      </c>
      <c r="G1345">
        <v>3781648</v>
      </c>
      <c r="H1345" t="s">
        <v>1755</v>
      </c>
    </row>
    <row r="1346" spans="1:8" x14ac:dyDescent="0.25">
      <c r="A1346" t="s">
        <v>6015</v>
      </c>
      <c r="B1346" t="s">
        <v>65</v>
      </c>
      <c r="C1346" t="s">
        <v>397</v>
      </c>
      <c r="D1346">
        <v>246</v>
      </c>
      <c r="E1346">
        <v>140.42400000000001</v>
      </c>
      <c r="F1346">
        <v>260.51400000000001</v>
      </c>
      <c r="G1346">
        <v>3781648</v>
      </c>
      <c r="H1346" t="s">
        <v>1755</v>
      </c>
    </row>
    <row r="1347" spans="1:8" x14ac:dyDescent="0.25">
      <c r="A1347" t="s">
        <v>6015</v>
      </c>
      <c r="B1347" t="s">
        <v>65</v>
      </c>
      <c r="C1347" t="s">
        <v>397</v>
      </c>
      <c r="D1347">
        <v>3202</v>
      </c>
      <c r="E1347">
        <v>842.15</v>
      </c>
      <c r="F1347">
        <v>579.98900000000003</v>
      </c>
      <c r="G1347">
        <v>2382571</v>
      </c>
      <c r="H1347" t="s">
        <v>6016</v>
      </c>
    </row>
    <row r="1348" spans="1:8" x14ac:dyDescent="0.25">
      <c r="A1348" t="s">
        <v>6015</v>
      </c>
      <c r="B1348" t="s">
        <v>65</v>
      </c>
      <c r="C1348" t="s">
        <v>397</v>
      </c>
      <c r="D1348">
        <v>2500</v>
      </c>
      <c r="E1348">
        <v>657.51900000000001</v>
      </c>
      <c r="F1348">
        <v>452.83300000000003</v>
      </c>
      <c r="G1348">
        <v>2382571</v>
      </c>
      <c r="H1348" t="s">
        <v>6016</v>
      </c>
    </row>
    <row r="1349" spans="1:8" x14ac:dyDescent="0.25">
      <c r="A1349" t="s">
        <v>6015</v>
      </c>
      <c r="B1349" t="s">
        <v>65</v>
      </c>
      <c r="C1349" t="s">
        <v>397</v>
      </c>
      <c r="D1349">
        <v>298</v>
      </c>
      <c r="E1349">
        <v>78.376000000000005</v>
      </c>
      <c r="F1349">
        <v>53.978000000000002</v>
      </c>
      <c r="G1349">
        <v>2382571</v>
      </c>
      <c r="H1349" t="s">
        <v>6016</v>
      </c>
    </row>
    <row r="1350" spans="1:8" x14ac:dyDescent="0.25">
      <c r="A1350" t="s">
        <v>6015</v>
      </c>
      <c r="B1350" t="s">
        <v>65</v>
      </c>
      <c r="C1350" t="s">
        <v>397</v>
      </c>
      <c r="D1350">
        <v>3813</v>
      </c>
      <c r="E1350">
        <v>4578.0370000000003</v>
      </c>
      <c r="F1350">
        <v>2005.6379999999999</v>
      </c>
      <c r="G1350">
        <v>1940013</v>
      </c>
      <c r="H1350" t="s">
        <v>6030</v>
      </c>
    </row>
    <row r="1351" spans="1:8" x14ac:dyDescent="0.25">
      <c r="A1351" t="s">
        <v>6015</v>
      </c>
      <c r="B1351" t="s">
        <v>65</v>
      </c>
      <c r="C1351" t="s">
        <v>397</v>
      </c>
      <c r="D1351">
        <v>187</v>
      </c>
      <c r="E1351">
        <v>224.52</v>
      </c>
      <c r="F1351">
        <v>98.361999999999995</v>
      </c>
      <c r="G1351">
        <v>1940013</v>
      </c>
      <c r="H1351" t="s">
        <v>6030</v>
      </c>
    </row>
    <row r="1352" spans="1:8" x14ac:dyDescent="0.25">
      <c r="A1352" t="s">
        <v>5966</v>
      </c>
      <c r="B1352" t="s">
        <v>37</v>
      </c>
      <c r="C1352" t="s">
        <v>392</v>
      </c>
      <c r="D1352">
        <v>220</v>
      </c>
      <c r="E1352">
        <v>1321.6780000000001</v>
      </c>
      <c r="F1352">
        <v>3160</v>
      </c>
      <c r="G1352">
        <v>3994149</v>
      </c>
      <c r="H1352" t="s">
        <v>2395</v>
      </c>
    </row>
    <row r="1353" spans="1:8" x14ac:dyDescent="0.25">
      <c r="A1353" t="s">
        <v>5966</v>
      </c>
      <c r="B1353" t="s">
        <v>37</v>
      </c>
      <c r="C1353" t="s">
        <v>392</v>
      </c>
      <c r="D1353">
        <v>220</v>
      </c>
      <c r="E1353">
        <v>1317.4960000000001</v>
      </c>
      <c r="F1353">
        <v>3150</v>
      </c>
      <c r="G1353">
        <v>3994149</v>
      </c>
      <c r="H1353" t="s">
        <v>2395</v>
      </c>
    </row>
    <row r="1354" spans="1:8" x14ac:dyDescent="0.25">
      <c r="A1354" t="s">
        <v>5966</v>
      </c>
      <c r="B1354" t="s">
        <v>37</v>
      </c>
      <c r="C1354" t="s">
        <v>392</v>
      </c>
      <c r="D1354">
        <v>208</v>
      </c>
      <c r="E1354">
        <v>1246.393</v>
      </c>
      <c r="F1354">
        <v>2980</v>
      </c>
      <c r="G1354">
        <v>3994149</v>
      </c>
      <c r="H1354" t="s">
        <v>2395</v>
      </c>
    </row>
    <row r="1355" spans="1:8" x14ac:dyDescent="0.25">
      <c r="A1355" t="s">
        <v>5966</v>
      </c>
      <c r="B1355" t="s">
        <v>37</v>
      </c>
      <c r="C1355" t="s">
        <v>392</v>
      </c>
      <c r="D1355">
        <v>224</v>
      </c>
      <c r="E1355">
        <v>1346.7729999999999</v>
      </c>
      <c r="F1355">
        <v>3220</v>
      </c>
      <c r="G1355">
        <v>3994149</v>
      </c>
      <c r="H1355" t="s">
        <v>2395</v>
      </c>
    </row>
    <row r="1356" spans="1:8" x14ac:dyDescent="0.25">
      <c r="A1356" t="s">
        <v>5966</v>
      </c>
      <c r="B1356" t="s">
        <v>37</v>
      </c>
      <c r="C1356" t="s">
        <v>392</v>
      </c>
      <c r="D1356">
        <v>144</v>
      </c>
      <c r="E1356">
        <v>865.78300000000002</v>
      </c>
      <c r="F1356">
        <v>2070</v>
      </c>
      <c r="G1356">
        <v>3994149</v>
      </c>
      <c r="H1356" t="s">
        <v>2395</v>
      </c>
    </row>
    <row r="1357" spans="1:8" x14ac:dyDescent="0.25">
      <c r="A1357" t="s">
        <v>5966</v>
      </c>
      <c r="B1357" t="s">
        <v>37</v>
      </c>
      <c r="C1357" t="s">
        <v>392</v>
      </c>
      <c r="D1357">
        <v>144</v>
      </c>
      <c r="E1357">
        <v>865.78300000000002</v>
      </c>
      <c r="F1357">
        <v>2070</v>
      </c>
      <c r="G1357">
        <v>3994149</v>
      </c>
      <c r="H1357" t="s">
        <v>2395</v>
      </c>
    </row>
    <row r="1358" spans="1:8" x14ac:dyDescent="0.25">
      <c r="A1358" t="s">
        <v>5966</v>
      </c>
      <c r="B1358" t="s">
        <v>37</v>
      </c>
      <c r="C1358" t="s">
        <v>392</v>
      </c>
      <c r="D1358">
        <v>142</v>
      </c>
      <c r="E1358">
        <v>853.23500000000001</v>
      </c>
      <c r="F1358">
        <v>2040</v>
      </c>
      <c r="G1358">
        <v>3994149</v>
      </c>
      <c r="H1358" t="s">
        <v>2395</v>
      </c>
    </row>
    <row r="1359" spans="1:8" x14ac:dyDescent="0.25">
      <c r="A1359" t="s">
        <v>5966</v>
      </c>
      <c r="B1359" t="s">
        <v>37</v>
      </c>
      <c r="C1359" t="s">
        <v>392</v>
      </c>
      <c r="D1359">
        <v>131</v>
      </c>
      <c r="E1359">
        <v>786.31500000000005</v>
      </c>
      <c r="F1359">
        <v>1880</v>
      </c>
      <c r="G1359">
        <v>3994149</v>
      </c>
      <c r="H1359" t="s">
        <v>2395</v>
      </c>
    </row>
    <row r="1360" spans="1:8" x14ac:dyDescent="0.25">
      <c r="A1360" t="s">
        <v>5966</v>
      </c>
      <c r="B1360" t="s">
        <v>37</v>
      </c>
      <c r="C1360" t="s">
        <v>392</v>
      </c>
      <c r="D1360">
        <v>150</v>
      </c>
      <c r="E1360">
        <v>899.24300000000005</v>
      </c>
      <c r="F1360">
        <v>2150</v>
      </c>
      <c r="G1360">
        <v>3994149</v>
      </c>
      <c r="H1360" t="s">
        <v>2395</v>
      </c>
    </row>
    <row r="1361" spans="1:8" x14ac:dyDescent="0.25">
      <c r="A1361" t="s">
        <v>5966</v>
      </c>
      <c r="B1361" t="s">
        <v>37</v>
      </c>
      <c r="C1361" t="s">
        <v>392</v>
      </c>
      <c r="D1361">
        <v>139</v>
      </c>
      <c r="E1361">
        <v>836.505</v>
      </c>
      <c r="F1361">
        <v>2000</v>
      </c>
      <c r="G1361">
        <v>3994149</v>
      </c>
      <c r="H1361" t="s">
        <v>2395</v>
      </c>
    </row>
    <row r="1362" spans="1:8" x14ac:dyDescent="0.25">
      <c r="A1362" t="s">
        <v>5966</v>
      </c>
      <c r="B1362" t="s">
        <v>37</v>
      </c>
      <c r="C1362" t="s">
        <v>392</v>
      </c>
      <c r="D1362">
        <v>121</v>
      </c>
      <c r="E1362">
        <v>723.577</v>
      </c>
      <c r="F1362">
        <v>1730</v>
      </c>
      <c r="G1362">
        <v>3994149</v>
      </c>
      <c r="H1362" t="s">
        <v>2395</v>
      </c>
    </row>
    <row r="1363" spans="1:8" x14ac:dyDescent="0.25">
      <c r="A1363" t="s">
        <v>6015</v>
      </c>
      <c r="B1363" t="s">
        <v>65</v>
      </c>
      <c r="C1363" t="s">
        <v>397</v>
      </c>
      <c r="D1363">
        <v>1274</v>
      </c>
      <c r="E1363">
        <v>727.23500000000001</v>
      </c>
      <c r="F1363">
        <v>1349.1659999999999</v>
      </c>
      <c r="G1363">
        <v>3781648</v>
      </c>
      <c r="H1363" t="s">
        <v>1755</v>
      </c>
    </row>
    <row r="1364" spans="1:8" x14ac:dyDescent="0.25">
      <c r="A1364" t="s">
        <v>6015</v>
      </c>
      <c r="B1364" t="s">
        <v>65</v>
      </c>
      <c r="C1364" t="s">
        <v>397</v>
      </c>
      <c r="D1364">
        <v>700</v>
      </c>
      <c r="E1364">
        <v>399.58</v>
      </c>
      <c r="F1364">
        <v>741.3</v>
      </c>
      <c r="G1364">
        <v>3781648</v>
      </c>
      <c r="H1364" t="s">
        <v>1755</v>
      </c>
    </row>
    <row r="1365" spans="1:8" x14ac:dyDescent="0.25">
      <c r="A1365" t="s">
        <v>6015</v>
      </c>
      <c r="B1365" t="s">
        <v>65</v>
      </c>
      <c r="C1365" t="s">
        <v>397</v>
      </c>
      <c r="D1365">
        <v>239</v>
      </c>
      <c r="E1365">
        <v>136.428</v>
      </c>
      <c r="F1365">
        <v>253.101</v>
      </c>
      <c r="G1365">
        <v>3781648</v>
      </c>
      <c r="H1365" t="s">
        <v>1755</v>
      </c>
    </row>
    <row r="1366" spans="1:8" x14ac:dyDescent="0.25">
      <c r="A1366" t="s">
        <v>6015</v>
      </c>
      <c r="B1366" t="s">
        <v>65</v>
      </c>
      <c r="C1366" t="s">
        <v>397</v>
      </c>
      <c r="D1366">
        <v>178</v>
      </c>
      <c r="E1366">
        <v>101.607</v>
      </c>
      <c r="F1366">
        <v>188.50200000000001</v>
      </c>
      <c r="G1366">
        <v>3781648</v>
      </c>
      <c r="H1366" t="s">
        <v>1755</v>
      </c>
    </row>
    <row r="1367" spans="1:8" x14ac:dyDescent="0.25">
      <c r="A1367" t="s">
        <v>6015</v>
      </c>
      <c r="B1367" t="s">
        <v>65</v>
      </c>
      <c r="C1367" t="s">
        <v>397</v>
      </c>
      <c r="D1367">
        <v>100</v>
      </c>
      <c r="E1367">
        <v>57.082999999999998</v>
      </c>
      <c r="F1367">
        <v>105.9</v>
      </c>
      <c r="G1367">
        <v>3781648</v>
      </c>
      <c r="H1367" t="s">
        <v>1755</v>
      </c>
    </row>
    <row r="1368" spans="1:8" x14ac:dyDescent="0.25">
      <c r="A1368" t="s">
        <v>6015</v>
      </c>
      <c r="B1368" t="s">
        <v>65</v>
      </c>
      <c r="C1368" t="s">
        <v>397</v>
      </c>
      <c r="D1368">
        <v>9</v>
      </c>
      <c r="E1368">
        <v>5.1369999999999996</v>
      </c>
      <c r="F1368">
        <v>9.5310000000000006</v>
      </c>
      <c r="G1368">
        <v>3781648</v>
      </c>
      <c r="H1368" t="s">
        <v>1755</v>
      </c>
    </row>
    <row r="1369" spans="1:8" x14ac:dyDescent="0.25">
      <c r="A1369" t="s">
        <v>6015</v>
      </c>
      <c r="B1369" t="s">
        <v>65</v>
      </c>
      <c r="C1369" t="s">
        <v>397</v>
      </c>
      <c r="D1369">
        <v>1412</v>
      </c>
      <c r="E1369">
        <v>1024.819</v>
      </c>
      <c r="F1369">
        <v>1183.2560000000001</v>
      </c>
      <c r="G1369">
        <v>4027991</v>
      </c>
      <c r="H1369" t="s">
        <v>6028</v>
      </c>
    </row>
    <row r="1370" spans="1:8" x14ac:dyDescent="0.25">
      <c r="A1370" t="s">
        <v>6015</v>
      </c>
      <c r="B1370" t="s">
        <v>65</v>
      </c>
      <c r="C1370" t="s">
        <v>397</v>
      </c>
      <c r="D1370">
        <v>273</v>
      </c>
      <c r="E1370">
        <v>198.14099999999999</v>
      </c>
      <c r="F1370">
        <v>228.774</v>
      </c>
      <c r="G1370">
        <v>4027991</v>
      </c>
      <c r="H1370" t="s">
        <v>6028</v>
      </c>
    </row>
    <row r="1371" spans="1:8" x14ac:dyDescent="0.25">
      <c r="A1371" t="s">
        <v>6015</v>
      </c>
      <c r="B1371" t="s">
        <v>65</v>
      </c>
      <c r="C1371" t="s">
        <v>397</v>
      </c>
      <c r="D1371">
        <v>15</v>
      </c>
      <c r="E1371">
        <v>10.887</v>
      </c>
      <c r="F1371">
        <v>12.57</v>
      </c>
      <c r="G1371">
        <v>4027991</v>
      </c>
      <c r="H1371" t="s">
        <v>6028</v>
      </c>
    </row>
    <row r="1372" spans="1:8" x14ac:dyDescent="0.25">
      <c r="A1372" t="s">
        <v>5966</v>
      </c>
      <c r="B1372" t="s">
        <v>37</v>
      </c>
      <c r="C1372" t="s">
        <v>397</v>
      </c>
      <c r="D1372">
        <v>149</v>
      </c>
      <c r="E1372">
        <v>163.953</v>
      </c>
      <c r="F1372">
        <v>318.41300000000001</v>
      </c>
      <c r="G1372">
        <v>2430128</v>
      </c>
      <c r="H1372" t="s">
        <v>475</v>
      </c>
    </row>
    <row r="1373" spans="1:8" x14ac:dyDescent="0.25">
      <c r="A1373" t="s">
        <v>5966</v>
      </c>
      <c r="B1373" t="s">
        <v>37</v>
      </c>
      <c r="C1373" t="s">
        <v>397</v>
      </c>
      <c r="D1373">
        <v>199</v>
      </c>
      <c r="E1373">
        <v>218.971</v>
      </c>
      <c r="F1373">
        <v>425.26299999999998</v>
      </c>
      <c r="G1373">
        <v>2430128</v>
      </c>
      <c r="H1373" t="s">
        <v>475</v>
      </c>
    </row>
    <row r="1374" spans="1:8" x14ac:dyDescent="0.25">
      <c r="A1374" t="s">
        <v>5966</v>
      </c>
      <c r="B1374" t="s">
        <v>37</v>
      </c>
      <c r="C1374" t="s">
        <v>397</v>
      </c>
      <c r="D1374">
        <v>102</v>
      </c>
      <c r="E1374">
        <v>112.236</v>
      </c>
      <c r="F1374">
        <v>217.97399999999999</v>
      </c>
      <c r="G1374">
        <v>2430128</v>
      </c>
      <c r="H1374" t="s">
        <v>475</v>
      </c>
    </row>
    <row r="1375" spans="1:8" x14ac:dyDescent="0.25">
      <c r="A1375" t="s">
        <v>5966</v>
      </c>
      <c r="B1375" t="s">
        <v>37</v>
      </c>
      <c r="C1375" t="s">
        <v>397</v>
      </c>
      <c r="D1375">
        <v>458</v>
      </c>
      <c r="E1375">
        <v>1186.559</v>
      </c>
      <c r="F1375">
        <v>1114.7719999999999</v>
      </c>
      <c r="G1375">
        <v>2409618</v>
      </c>
      <c r="H1375" t="s">
        <v>469</v>
      </c>
    </row>
    <row r="1376" spans="1:8" x14ac:dyDescent="0.25">
      <c r="A1376" t="s">
        <v>5966</v>
      </c>
      <c r="B1376" t="s">
        <v>37</v>
      </c>
      <c r="C1376" t="s">
        <v>397</v>
      </c>
      <c r="D1376">
        <v>362</v>
      </c>
      <c r="E1376">
        <v>937.84799999999996</v>
      </c>
      <c r="F1376">
        <v>881.10799999999995</v>
      </c>
      <c r="G1376">
        <v>2409618</v>
      </c>
      <c r="H1376" t="s">
        <v>469</v>
      </c>
    </row>
    <row r="1377" spans="1:8" x14ac:dyDescent="0.25">
      <c r="A1377" t="s">
        <v>5966</v>
      </c>
      <c r="B1377" t="s">
        <v>37</v>
      </c>
      <c r="C1377" t="s">
        <v>397</v>
      </c>
      <c r="D1377">
        <v>233</v>
      </c>
      <c r="E1377">
        <v>263.16300000000001</v>
      </c>
      <c r="F1377">
        <v>109.976</v>
      </c>
      <c r="G1377">
        <v>1940045</v>
      </c>
      <c r="H1377" t="s">
        <v>1190</v>
      </c>
    </row>
    <row r="1378" spans="1:8" x14ac:dyDescent="0.25">
      <c r="A1378" t="s">
        <v>5966</v>
      </c>
      <c r="B1378" t="s">
        <v>37</v>
      </c>
      <c r="C1378" t="s">
        <v>397</v>
      </c>
      <c r="D1378">
        <v>144</v>
      </c>
      <c r="E1378">
        <v>162.642</v>
      </c>
      <c r="F1378">
        <v>67.968000000000004</v>
      </c>
      <c r="G1378">
        <v>1940045</v>
      </c>
      <c r="H1378" t="s">
        <v>1190</v>
      </c>
    </row>
    <row r="1379" spans="1:8" x14ac:dyDescent="0.25">
      <c r="A1379" t="s">
        <v>5966</v>
      </c>
      <c r="B1379" t="s">
        <v>37</v>
      </c>
      <c r="C1379" t="s">
        <v>397</v>
      </c>
      <c r="D1379">
        <v>148</v>
      </c>
      <c r="E1379">
        <v>167.16</v>
      </c>
      <c r="F1379">
        <v>69.855999999999995</v>
      </c>
      <c r="G1379">
        <v>1940045</v>
      </c>
      <c r="H1379" t="s">
        <v>1190</v>
      </c>
    </row>
    <row r="1380" spans="1:8" x14ac:dyDescent="0.25">
      <c r="A1380" t="s">
        <v>5966</v>
      </c>
      <c r="B1380" t="s">
        <v>37</v>
      </c>
      <c r="C1380" t="s">
        <v>397</v>
      </c>
      <c r="D1380">
        <v>25</v>
      </c>
      <c r="E1380">
        <v>2.7440000000000002</v>
      </c>
      <c r="F1380">
        <v>1.45</v>
      </c>
      <c r="G1380">
        <v>3409366</v>
      </c>
      <c r="H1380" t="s">
        <v>1313</v>
      </c>
    </row>
    <row r="1381" spans="1:8" x14ac:dyDescent="0.25">
      <c r="A1381" t="s">
        <v>5966</v>
      </c>
      <c r="B1381" t="s">
        <v>37</v>
      </c>
      <c r="C1381" t="s">
        <v>397</v>
      </c>
      <c r="D1381">
        <v>2375</v>
      </c>
      <c r="E1381">
        <v>260.64299999999997</v>
      </c>
      <c r="F1381">
        <v>137.75</v>
      </c>
      <c r="G1381">
        <v>3409366</v>
      </c>
      <c r="H1381" t="s">
        <v>1313</v>
      </c>
    </row>
    <row r="1382" spans="1:8" x14ac:dyDescent="0.25">
      <c r="A1382" t="s">
        <v>5966</v>
      </c>
      <c r="B1382" t="s">
        <v>37</v>
      </c>
      <c r="C1382" t="s">
        <v>397</v>
      </c>
      <c r="D1382">
        <v>3100</v>
      </c>
      <c r="E1382">
        <v>3332.4780000000001</v>
      </c>
      <c r="F1382">
        <v>1692.566</v>
      </c>
      <c r="G1382">
        <v>3229740</v>
      </c>
      <c r="H1382" t="s">
        <v>472</v>
      </c>
    </row>
    <row r="1383" spans="1:8" x14ac:dyDescent="0.25">
      <c r="A1383" t="s">
        <v>5966</v>
      </c>
      <c r="B1383" t="s">
        <v>37</v>
      </c>
      <c r="C1383" t="s">
        <v>397</v>
      </c>
      <c r="D1383">
        <v>850</v>
      </c>
      <c r="E1383">
        <v>913.74400000000003</v>
      </c>
      <c r="F1383">
        <v>464.09100000000001</v>
      </c>
      <c r="G1383">
        <v>3229740</v>
      </c>
      <c r="H1383" t="s">
        <v>472</v>
      </c>
    </row>
    <row r="1384" spans="1:8" x14ac:dyDescent="0.25">
      <c r="A1384" t="s">
        <v>5966</v>
      </c>
      <c r="B1384" t="s">
        <v>37</v>
      </c>
      <c r="C1384" t="s">
        <v>397</v>
      </c>
      <c r="D1384">
        <v>19</v>
      </c>
      <c r="E1384">
        <v>9.7789999999999999</v>
      </c>
      <c r="F1384">
        <v>5.1680000000000001</v>
      </c>
      <c r="G1384">
        <v>2409616</v>
      </c>
      <c r="H1384" t="s">
        <v>1317</v>
      </c>
    </row>
    <row r="1385" spans="1:8" x14ac:dyDescent="0.25">
      <c r="A1385" t="s">
        <v>5966</v>
      </c>
      <c r="B1385" t="s">
        <v>37</v>
      </c>
      <c r="C1385" t="s">
        <v>397</v>
      </c>
      <c r="D1385">
        <v>16</v>
      </c>
      <c r="E1385">
        <v>8.2349999999999994</v>
      </c>
      <c r="F1385">
        <v>4.3520000000000003</v>
      </c>
      <c r="G1385">
        <v>2409616</v>
      </c>
      <c r="H1385" t="s">
        <v>1317</v>
      </c>
    </row>
    <row r="1386" spans="1:8" x14ac:dyDescent="0.25">
      <c r="A1386" t="s">
        <v>5966</v>
      </c>
      <c r="B1386" t="s">
        <v>37</v>
      </c>
      <c r="C1386" t="s">
        <v>397</v>
      </c>
      <c r="D1386">
        <v>247</v>
      </c>
      <c r="E1386">
        <v>127.122</v>
      </c>
      <c r="F1386">
        <v>67.183999999999997</v>
      </c>
      <c r="G1386">
        <v>2409616</v>
      </c>
      <c r="H1386" t="s">
        <v>1317</v>
      </c>
    </row>
    <row r="1387" spans="1:8" x14ac:dyDescent="0.25">
      <c r="A1387" t="s">
        <v>5966</v>
      </c>
      <c r="B1387" t="s">
        <v>37</v>
      </c>
      <c r="C1387" t="s">
        <v>397</v>
      </c>
      <c r="D1387">
        <v>3918</v>
      </c>
      <c r="E1387">
        <v>2016.454</v>
      </c>
      <c r="F1387">
        <v>1065.6959999999999</v>
      </c>
      <c r="G1387">
        <v>2409616</v>
      </c>
      <c r="H1387" t="s">
        <v>1317</v>
      </c>
    </row>
    <row r="1388" spans="1:8" x14ac:dyDescent="0.25">
      <c r="A1388" t="s">
        <v>5966</v>
      </c>
      <c r="B1388" t="s">
        <v>37</v>
      </c>
      <c r="C1388" t="s">
        <v>397</v>
      </c>
      <c r="D1388">
        <v>11373</v>
      </c>
      <c r="E1388">
        <v>2154.174</v>
      </c>
      <c r="F1388">
        <v>943.95899999999995</v>
      </c>
      <c r="G1388">
        <v>3432081</v>
      </c>
      <c r="H1388" t="s">
        <v>417</v>
      </c>
    </row>
    <row r="1389" spans="1:8" x14ac:dyDescent="0.25">
      <c r="A1389" t="s">
        <v>5966</v>
      </c>
      <c r="B1389" t="s">
        <v>37</v>
      </c>
      <c r="C1389" t="s">
        <v>397</v>
      </c>
      <c r="D1389">
        <v>1227</v>
      </c>
      <c r="E1389">
        <v>232.40799999999999</v>
      </c>
      <c r="F1389">
        <v>101.84099999999999</v>
      </c>
      <c r="G1389">
        <v>3432081</v>
      </c>
      <c r="H1389" t="s">
        <v>417</v>
      </c>
    </row>
    <row r="1390" spans="1:8" x14ac:dyDescent="0.25">
      <c r="A1390" t="s">
        <v>5966</v>
      </c>
      <c r="B1390" t="s">
        <v>37</v>
      </c>
      <c r="C1390" t="s">
        <v>397</v>
      </c>
      <c r="D1390">
        <v>6</v>
      </c>
      <c r="E1390">
        <v>6.87</v>
      </c>
      <c r="F1390">
        <v>3.629</v>
      </c>
      <c r="G1390">
        <v>4110464</v>
      </c>
      <c r="H1390" t="s">
        <v>477</v>
      </c>
    </row>
    <row r="1391" spans="1:8" x14ac:dyDescent="0.25">
      <c r="A1391" t="s">
        <v>5966</v>
      </c>
      <c r="B1391" t="s">
        <v>37</v>
      </c>
      <c r="C1391" t="s">
        <v>397</v>
      </c>
      <c r="D1391">
        <v>30</v>
      </c>
      <c r="E1391">
        <v>34.35</v>
      </c>
      <c r="F1391">
        <v>18.145</v>
      </c>
      <c r="G1391">
        <v>4110464</v>
      </c>
      <c r="H1391" t="s">
        <v>477</v>
      </c>
    </row>
    <row r="1392" spans="1:8" x14ac:dyDescent="0.25">
      <c r="A1392" t="s">
        <v>5966</v>
      </c>
      <c r="B1392" t="s">
        <v>37</v>
      </c>
      <c r="C1392" t="s">
        <v>397</v>
      </c>
      <c r="D1392">
        <v>210</v>
      </c>
      <c r="E1392">
        <v>240.452</v>
      </c>
      <c r="F1392">
        <v>127.017</v>
      </c>
      <c r="G1392">
        <v>4110464</v>
      </c>
      <c r="H1392" t="s">
        <v>477</v>
      </c>
    </row>
    <row r="1393" spans="1:8" x14ac:dyDescent="0.25">
      <c r="A1393" t="s">
        <v>5966</v>
      </c>
      <c r="B1393" t="s">
        <v>37</v>
      </c>
      <c r="C1393" t="s">
        <v>397</v>
      </c>
      <c r="D1393">
        <v>2876</v>
      </c>
      <c r="E1393">
        <v>3293.0450000000001</v>
      </c>
      <c r="F1393">
        <v>1739.5329999999999</v>
      </c>
      <c r="G1393">
        <v>4110464</v>
      </c>
      <c r="H1393" t="s">
        <v>477</v>
      </c>
    </row>
    <row r="1394" spans="1:8" x14ac:dyDescent="0.25">
      <c r="A1394" t="s">
        <v>5966</v>
      </c>
      <c r="B1394" t="s">
        <v>37</v>
      </c>
      <c r="C1394" t="s">
        <v>397</v>
      </c>
      <c r="D1394">
        <v>928</v>
      </c>
      <c r="E1394">
        <v>1062.568</v>
      </c>
      <c r="F1394">
        <v>561.29600000000005</v>
      </c>
      <c r="G1394">
        <v>4110464</v>
      </c>
      <c r="H1394" t="s">
        <v>477</v>
      </c>
    </row>
    <row r="1395" spans="1:8" x14ac:dyDescent="0.25">
      <c r="A1395" t="s">
        <v>415</v>
      </c>
      <c r="B1395" t="s">
        <v>9</v>
      </c>
      <c r="C1395" t="s">
        <v>397</v>
      </c>
      <c r="D1395">
        <v>5953</v>
      </c>
      <c r="E1395">
        <v>1127.5650000000001</v>
      </c>
      <c r="F1395">
        <v>494.09899999999999</v>
      </c>
      <c r="G1395">
        <v>3432081</v>
      </c>
      <c r="H1395" t="s">
        <v>417</v>
      </c>
    </row>
    <row r="1396" spans="1:8" x14ac:dyDescent="0.25">
      <c r="A1396" t="s">
        <v>415</v>
      </c>
      <c r="B1396" t="s">
        <v>9</v>
      </c>
      <c r="C1396" t="s">
        <v>397</v>
      </c>
      <c r="D1396">
        <v>5433</v>
      </c>
      <c r="E1396">
        <v>1029.0709999999999</v>
      </c>
      <c r="F1396">
        <v>450.93900000000002</v>
      </c>
      <c r="G1396">
        <v>3432081</v>
      </c>
      <c r="H1396" t="s">
        <v>417</v>
      </c>
    </row>
    <row r="1397" spans="1:8" x14ac:dyDescent="0.25">
      <c r="A1397" t="s">
        <v>415</v>
      </c>
      <c r="B1397" t="s">
        <v>9</v>
      </c>
      <c r="C1397" t="s">
        <v>397</v>
      </c>
      <c r="D1397">
        <v>14</v>
      </c>
      <c r="E1397">
        <v>2.6520000000000001</v>
      </c>
      <c r="F1397">
        <v>1.1619999999999999</v>
      </c>
      <c r="G1397">
        <v>3432081</v>
      </c>
      <c r="H1397" t="s">
        <v>417</v>
      </c>
    </row>
    <row r="1398" spans="1:8" x14ac:dyDescent="0.25">
      <c r="A1398" t="s">
        <v>415</v>
      </c>
      <c r="B1398" t="s">
        <v>9</v>
      </c>
      <c r="C1398" t="s">
        <v>397</v>
      </c>
      <c r="D1398">
        <v>2060</v>
      </c>
      <c r="E1398">
        <v>2214.4850000000001</v>
      </c>
      <c r="F1398">
        <v>1124.7370000000001</v>
      </c>
      <c r="G1398">
        <v>3229740</v>
      </c>
      <c r="H1398" t="s">
        <v>472</v>
      </c>
    </row>
    <row r="1399" spans="1:8" x14ac:dyDescent="0.25">
      <c r="A1399" t="s">
        <v>415</v>
      </c>
      <c r="B1399" t="s">
        <v>9</v>
      </c>
      <c r="C1399" t="s">
        <v>397</v>
      </c>
      <c r="D1399">
        <v>631</v>
      </c>
      <c r="E1399">
        <v>678.32100000000003</v>
      </c>
      <c r="F1399">
        <v>344.51900000000001</v>
      </c>
      <c r="G1399">
        <v>3229740</v>
      </c>
      <c r="H1399" t="s">
        <v>472</v>
      </c>
    </row>
    <row r="1400" spans="1:8" x14ac:dyDescent="0.25">
      <c r="A1400" t="s">
        <v>415</v>
      </c>
      <c r="B1400" t="s">
        <v>9</v>
      </c>
      <c r="C1400" t="s">
        <v>397</v>
      </c>
      <c r="D1400">
        <v>474</v>
      </c>
      <c r="E1400">
        <v>509.54700000000003</v>
      </c>
      <c r="F1400">
        <v>258.79899999999998</v>
      </c>
      <c r="G1400">
        <v>3229740</v>
      </c>
      <c r="H1400" t="s">
        <v>472</v>
      </c>
    </row>
    <row r="1401" spans="1:8" x14ac:dyDescent="0.25">
      <c r="A1401" t="s">
        <v>415</v>
      </c>
      <c r="B1401" t="s">
        <v>9</v>
      </c>
      <c r="C1401" t="s">
        <v>397</v>
      </c>
      <c r="D1401">
        <v>260</v>
      </c>
      <c r="E1401">
        <v>279.49799999999999</v>
      </c>
      <c r="F1401">
        <v>141.95699999999999</v>
      </c>
      <c r="G1401">
        <v>3229740</v>
      </c>
      <c r="H1401" t="s">
        <v>472</v>
      </c>
    </row>
    <row r="1402" spans="1:8" x14ac:dyDescent="0.25">
      <c r="A1402" t="s">
        <v>415</v>
      </c>
      <c r="B1402" t="s">
        <v>9</v>
      </c>
      <c r="C1402" t="s">
        <v>397</v>
      </c>
      <c r="D1402">
        <v>150</v>
      </c>
      <c r="E1402">
        <v>161.249</v>
      </c>
      <c r="F1402">
        <v>81.897999999999996</v>
      </c>
      <c r="G1402">
        <v>3229740</v>
      </c>
      <c r="H1402" t="s">
        <v>472</v>
      </c>
    </row>
    <row r="1403" spans="1:8" x14ac:dyDescent="0.25">
      <c r="A1403" t="s">
        <v>556</v>
      </c>
      <c r="B1403" t="s">
        <v>151</v>
      </c>
      <c r="C1403" t="s">
        <v>397</v>
      </c>
      <c r="D1403">
        <v>1020</v>
      </c>
      <c r="E1403">
        <v>199.92</v>
      </c>
      <c r="F1403">
        <v>778.24900000000002</v>
      </c>
      <c r="G1403">
        <v>3677062</v>
      </c>
      <c r="H1403" t="s">
        <v>713</v>
      </c>
    </row>
    <row r="1404" spans="1:8" x14ac:dyDescent="0.25">
      <c r="A1404" t="s">
        <v>556</v>
      </c>
      <c r="B1404" t="s">
        <v>151</v>
      </c>
      <c r="C1404" t="s">
        <v>397</v>
      </c>
      <c r="D1404">
        <v>500</v>
      </c>
      <c r="E1404">
        <v>98</v>
      </c>
      <c r="F1404">
        <v>381.49400000000003</v>
      </c>
      <c r="G1404">
        <v>3677062</v>
      </c>
      <c r="H1404" t="s">
        <v>713</v>
      </c>
    </row>
    <row r="1405" spans="1:8" x14ac:dyDescent="0.25">
      <c r="A1405" t="s">
        <v>556</v>
      </c>
      <c r="B1405" t="s">
        <v>151</v>
      </c>
      <c r="C1405" t="s">
        <v>397</v>
      </c>
      <c r="D1405">
        <v>1190</v>
      </c>
      <c r="E1405">
        <v>233.24</v>
      </c>
      <c r="F1405">
        <v>907.95699999999999</v>
      </c>
      <c r="G1405">
        <v>3677062</v>
      </c>
      <c r="H1405" t="s">
        <v>713</v>
      </c>
    </row>
    <row r="1406" spans="1:8" x14ac:dyDescent="0.25">
      <c r="A1406" t="s">
        <v>556</v>
      </c>
      <c r="B1406" t="s">
        <v>151</v>
      </c>
      <c r="C1406" t="s">
        <v>397</v>
      </c>
      <c r="D1406">
        <v>40</v>
      </c>
      <c r="E1406">
        <v>7.84</v>
      </c>
      <c r="F1406">
        <v>30.52</v>
      </c>
      <c r="G1406">
        <v>3677062</v>
      </c>
      <c r="H1406" t="s">
        <v>713</v>
      </c>
    </row>
    <row r="1407" spans="1:8" x14ac:dyDescent="0.25">
      <c r="A1407" t="s">
        <v>437</v>
      </c>
      <c r="B1407" t="s">
        <v>18</v>
      </c>
      <c r="C1407" t="s">
        <v>397</v>
      </c>
      <c r="D1407">
        <v>880</v>
      </c>
      <c r="E1407">
        <v>492.76</v>
      </c>
      <c r="F1407">
        <v>771.76</v>
      </c>
      <c r="G1407">
        <v>1940823</v>
      </c>
      <c r="H1407" t="s">
        <v>576</v>
      </c>
    </row>
    <row r="1408" spans="1:8" x14ac:dyDescent="0.25">
      <c r="A1408" t="s">
        <v>437</v>
      </c>
      <c r="B1408" t="s">
        <v>18</v>
      </c>
      <c r="C1408" t="s">
        <v>397</v>
      </c>
      <c r="D1408">
        <v>1329</v>
      </c>
      <c r="E1408">
        <v>802.697</v>
      </c>
      <c r="F1408">
        <v>1558.9169999999999</v>
      </c>
      <c r="G1408">
        <v>2427158</v>
      </c>
      <c r="H1408" t="s">
        <v>671</v>
      </c>
    </row>
    <row r="1409" spans="1:8" x14ac:dyDescent="0.25">
      <c r="A1409" t="s">
        <v>437</v>
      </c>
      <c r="B1409" t="s">
        <v>18</v>
      </c>
      <c r="C1409" t="s">
        <v>397</v>
      </c>
      <c r="D1409">
        <v>1324</v>
      </c>
      <c r="E1409">
        <v>799.67700000000002</v>
      </c>
      <c r="F1409">
        <v>1553.0519999999999</v>
      </c>
      <c r="G1409">
        <v>2427158</v>
      </c>
      <c r="H1409" t="s">
        <v>671</v>
      </c>
    </row>
    <row r="1410" spans="1:8" x14ac:dyDescent="0.25">
      <c r="A1410" t="s">
        <v>437</v>
      </c>
      <c r="B1410" t="s">
        <v>18</v>
      </c>
      <c r="C1410" t="s">
        <v>397</v>
      </c>
      <c r="D1410">
        <v>827</v>
      </c>
      <c r="E1410">
        <v>499.49599999999998</v>
      </c>
      <c r="F1410">
        <v>970.07100000000003</v>
      </c>
      <c r="G1410">
        <v>2427158</v>
      </c>
      <c r="H1410" t="s">
        <v>671</v>
      </c>
    </row>
    <row r="1411" spans="1:8" x14ac:dyDescent="0.25">
      <c r="A1411" t="s">
        <v>581</v>
      </c>
      <c r="B1411" t="s">
        <v>18</v>
      </c>
      <c r="C1411" t="s">
        <v>397</v>
      </c>
      <c r="D1411">
        <v>414</v>
      </c>
      <c r="E1411">
        <v>117.992</v>
      </c>
      <c r="F1411">
        <v>110.027</v>
      </c>
      <c r="G1411">
        <v>2427711</v>
      </c>
      <c r="H1411" t="s">
        <v>705</v>
      </c>
    </row>
    <row r="1412" spans="1:8" x14ac:dyDescent="0.25">
      <c r="A1412" t="s">
        <v>581</v>
      </c>
      <c r="B1412" t="s">
        <v>18</v>
      </c>
      <c r="C1412" t="s">
        <v>397</v>
      </c>
      <c r="D1412">
        <v>236</v>
      </c>
      <c r="E1412">
        <v>67.260999999999996</v>
      </c>
      <c r="F1412">
        <v>62.720999999999997</v>
      </c>
      <c r="G1412">
        <v>2427711</v>
      </c>
      <c r="H1412" t="s">
        <v>705</v>
      </c>
    </row>
    <row r="1413" spans="1:8" x14ac:dyDescent="0.25">
      <c r="A1413" t="s">
        <v>581</v>
      </c>
      <c r="B1413" t="s">
        <v>18</v>
      </c>
      <c r="C1413" t="s">
        <v>397</v>
      </c>
      <c r="D1413">
        <v>650</v>
      </c>
      <c r="E1413">
        <v>165.751</v>
      </c>
      <c r="F1413">
        <v>151.529</v>
      </c>
      <c r="G1413">
        <v>2427712</v>
      </c>
      <c r="H1413" t="s">
        <v>700</v>
      </c>
    </row>
    <row r="1414" spans="1:8" x14ac:dyDescent="0.25">
      <c r="A1414" t="s">
        <v>581</v>
      </c>
      <c r="B1414" t="s">
        <v>18</v>
      </c>
      <c r="C1414" t="s">
        <v>397</v>
      </c>
      <c r="D1414">
        <v>2444</v>
      </c>
      <c r="E1414">
        <v>740.52499999999998</v>
      </c>
      <c r="F1414">
        <v>676.98800000000006</v>
      </c>
      <c r="G1414">
        <v>1940313</v>
      </c>
      <c r="H1414" t="s">
        <v>707</v>
      </c>
    </row>
    <row r="1415" spans="1:8" x14ac:dyDescent="0.25">
      <c r="A1415" t="s">
        <v>581</v>
      </c>
      <c r="B1415" t="s">
        <v>18</v>
      </c>
      <c r="C1415" t="s">
        <v>397</v>
      </c>
      <c r="D1415">
        <v>1027</v>
      </c>
      <c r="E1415">
        <v>311.178</v>
      </c>
      <c r="F1415">
        <v>284.47899999999998</v>
      </c>
      <c r="G1415">
        <v>1940313</v>
      </c>
      <c r="H1415" t="s">
        <v>707</v>
      </c>
    </row>
    <row r="1416" spans="1:8" x14ac:dyDescent="0.25">
      <c r="A1416" t="s">
        <v>581</v>
      </c>
      <c r="B1416" t="s">
        <v>18</v>
      </c>
      <c r="C1416" t="s">
        <v>397</v>
      </c>
      <c r="D1416">
        <v>570</v>
      </c>
      <c r="E1416">
        <v>172.708</v>
      </c>
      <c r="F1416">
        <v>157.88999999999999</v>
      </c>
      <c r="G1416">
        <v>1940313</v>
      </c>
      <c r="H1416" t="s">
        <v>707</v>
      </c>
    </row>
    <row r="1417" spans="1:8" x14ac:dyDescent="0.25">
      <c r="A1417" t="s">
        <v>581</v>
      </c>
      <c r="B1417" t="s">
        <v>18</v>
      </c>
      <c r="C1417" t="s">
        <v>397</v>
      </c>
      <c r="D1417">
        <v>159</v>
      </c>
      <c r="E1417">
        <v>48.177</v>
      </c>
      <c r="F1417">
        <v>44.042999999999999</v>
      </c>
      <c r="G1417">
        <v>1940313</v>
      </c>
      <c r="H1417" t="s">
        <v>707</v>
      </c>
    </row>
    <row r="1418" spans="1:8" x14ac:dyDescent="0.25">
      <c r="A1418" t="s">
        <v>401</v>
      </c>
      <c r="B1418" t="s">
        <v>17</v>
      </c>
      <c r="C1418" t="s">
        <v>397</v>
      </c>
      <c r="D1418">
        <v>5194</v>
      </c>
      <c r="E1418">
        <v>2120.9340000000002</v>
      </c>
      <c r="F1418">
        <v>721.96600000000001</v>
      </c>
      <c r="G1418">
        <v>1939966</v>
      </c>
      <c r="H1418" t="s">
        <v>402</v>
      </c>
    </row>
    <row r="1419" spans="1:8" x14ac:dyDescent="0.25">
      <c r="A1419" t="s">
        <v>401</v>
      </c>
      <c r="B1419" t="s">
        <v>17</v>
      </c>
      <c r="C1419" t="s">
        <v>397</v>
      </c>
      <c r="D1419">
        <v>2206</v>
      </c>
      <c r="E1419">
        <v>900.80499999999995</v>
      </c>
      <c r="F1419">
        <v>306.63400000000001</v>
      </c>
      <c r="G1419">
        <v>1939966</v>
      </c>
      <c r="H1419" t="s">
        <v>402</v>
      </c>
    </row>
    <row r="1420" spans="1:8" x14ac:dyDescent="0.25">
      <c r="A1420" t="s">
        <v>437</v>
      </c>
      <c r="B1420" t="s">
        <v>18</v>
      </c>
      <c r="C1420" t="s">
        <v>397</v>
      </c>
      <c r="D1420">
        <v>4287</v>
      </c>
      <c r="E1420">
        <v>4079.596</v>
      </c>
      <c r="F1420">
        <v>1787.6790000000001</v>
      </c>
      <c r="G1420">
        <v>3172238</v>
      </c>
      <c r="H1420" t="s">
        <v>438</v>
      </c>
    </row>
    <row r="1421" spans="1:8" x14ac:dyDescent="0.25">
      <c r="A1421" t="s">
        <v>437</v>
      </c>
      <c r="B1421" t="s">
        <v>18</v>
      </c>
      <c r="C1421" t="s">
        <v>397</v>
      </c>
      <c r="D1421">
        <v>1470</v>
      </c>
      <c r="E1421">
        <v>1398.8820000000001</v>
      </c>
      <c r="F1421">
        <v>612.99</v>
      </c>
      <c r="G1421">
        <v>3620427</v>
      </c>
      <c r="H1421" t="s">
        <v>438</v>
      </c>
    </row>
    <row r="1422" spans="1:8" x14ac:dyDescent="0.25">
      <c r="A1422" t="s">
        <v>437</v>
      </c>
      <c r="B1422" t="s">
        <v>18</v>
      </c>
      <c r="C1422" t="s">
        <v>397</v>
      </c>
      <c r="D1422">
        <v>1098</v>
      </c>
      <c r="E1422">
        <v>1044.8789999999999</v>
      </c>
      <c r="F1422">
        <v>457.86599999999999</v>
      </c>
      <c r="G1422">
        <v>3620427</v>
      </c>
      <c r="H1422" t="s">
        <v>438</v>
      </c>
    </row>
    <row r="1423" spans="1:8" x14ac:dyDescent="0.25">
      <c r="A1423" t="s">
        <v>437</v>
      </c>
      <c r="B1423" t="s">
        <v>18</v>
      </c>
      <c r="C1423" t="s">
        <v>397</v>
      </c>
      <c r="D1423">
        <v>472</v>
      </c>
      <c r="E1423">
        <v>449.16500000000002</v>
      </c>
      <c r="F1423">
        <v>196.82400000000001</v>
      </c>
      <c r="G1423">
        <v>3620427</v>
      </c>
      <c r="H1423" t="s">
        <v>438</v>
      </c>
    </row>
    <row r="1424" spans="1:8" x14ac:dyDescent="0.25">
      <c r="A1424" t="s">
        <v>437</v>
      </c>
      <c r="B1424" t="s">
        <v>18</v>
      </c>
      <c r="C1424" t="s">
        <v>397</v>
      </c>
      <c r="D1424">
        <v>273</v>
      </c>
      <c r="E1424">
        <v>259.79199999999997</v>
      </c>
      <c r="F1424">
        <v>113.84099999999999</v>
      </c>
      <c r="G1424">
        <v>3620427</v>
      </c>
      <c r="H1424" t="s">
        <v>438</v>
      </c>
    </row>
    <row r="1425" spans="1:8" x14ac:dyDescent="0.25">
      <c r="A1425" t="s">
        <v>453</v>
      </c>
      <c r="B1425" t="s">
        <v>60</v>
      </c>
      <c r="C1425" t="s">
        <v>397</v>
      </c>
      <c r="D1425">
        <v>2364</v>
      </c>
      <c r="E1425">
        <v>1512.954</v>
      </c>
      <c r="F1425">
        <v>1368.4670000000001</v>
      </c>
      <c r="G1425">
        <v>4151430</v>
      </c>
      <c r="H1425" t="s">
        <v>530</v>
      </c>
    </row>
    <row r="1426" spans="1:8" x14ac:dyDescent="0.25">
      <c r="A1426" t="s">
        <v>453</v>
      </c>
      <c r="B1426" t="s">
        <v>60</v>
      </c>
      <c r="C1426" t="s">
        <v>397</v>
      </c>
      <c r="D1426">
        <v>874</v>
      </c>
      <c r="E1426">
        <v>559.35799999999995</v>
      </c>
      <c r="F1426">
        <v>505.93900000000002</v>
      </c>
      <c r="G1426">
        <v>4151430</v>
      </c>
      <c r="H1426" t="s">
        <v>530</v>
      </c>
    </row>
    <row r="1427" spans="1:8" x14ac:dyDescent="0.25">
      <c r="A1427" t="s">
        <v>453</v>
      </c>
      <c r="B1427" t="s">
        <v>60</v>
      </c>
      <c r="C1427" t="s">
        <v>397</v>
      </c>
      <c r="D1427">
        <v>549</v>
      </c>
      <c r="E1427">
        <v>351.35899999999998</v>
      </c>
      <c r="F1427">
        <v>317.80399999999997</v>
      </c>
      <c r="G1427">
        <v>4151430</v>
      </c>
      <c r="H1427" t="s">
        <v>530</v>
      </c>
    </row>
    <row r="1428" spans="1:8" x14ac:dyDescent="0.25">
      <c r="A1428" t="s">
        <v>453</v>
      </c>
      <c r="B1428" t="s">
        <v>60</v>
      </c>
      <c r="C1428" t="s">
        <v>397</v>
      </c>
      <c r="D1428">
        <v>82</v>
      </c>
      <c r="E1428">
        <v>52.48</v>
      </c>
      <c r="F1428">
        <v>47.468000000000004</v>
      </c>
      <c r="G1428">
        <v>4151430</v>
      </c>
      <c r="H1428" t="s">
        <v>530</v>
      </c>
    </row>
    <row r="1429" spans="1:8" x14ac:dyDescent="0.25">
      <c r="A1429" t="s">
        <v>453</v>
      </c>
      <c r="B1429" t="s">
        <v>60</v>
      </c>
      <c r="C1429" t="s">
        <v>397</v>
      </c>
      <c r="D1429">
        <v>69</v>
      </c>
      <c r="E1429">
        <v>44.16</v>
      </c>
      <c r="F1429">
        <v>39.942999999999998</v>
      </c>
      <c r="G1429">
        <v>4151430</v>
      </c>
      <c r="H1429" t="s">
        <v>530</v>
      </c>
    </row>
    <row r="1430" spans="1:8" x14ac:dyDescent="0.25">
      <c r="A1430" t="s">
        <v>453</v>
      </c>
      <c r="B1430" t="s">
        <v>60</v>
      </c>
      <c r="C1430" t="s">
        <v>397</v>
      </c>
      <c r="D1430">
        <v>62</v>
      </c>
      <c r="E1430">
        <v>39.68</v>
      </c>
      <c r="F1430">
        <v>35.89</v>
      </c>
      <c r="G1430">
        <v>4151430</v>
      </c>
      <c r="H1430" t="s">
        <v>530</v>
      </c>
    </row>
    <row r="1431" spans="1:8" x14ac:dyDescent="0.25">
      <c r="A1431" t="s">
        <v>453</v>
      </c>
      <c r="B1431" t="s">
        <v>60</v>
      </c>
      <c r="C1431" t="s">
        <v>397</v>
      </c>
      <c r="D1431">
        <v>1025</v>
      </c>
      <c r="E1431">
        <v>1260.7570000000001</v>
      </c>
      <c r="F1431">
        <v>665.98800000000006</v>
      </c>
      <c r="G1431">
        <v>3929692</v>
      </c>
      <c r="H1431" t="s">
        <v>533</v>
      </c>
    </row>
    <row r="1432" spans="1:8" x14ac:dyDescent="0.25">
      <c r="A1432" t="s">
        <v>453</v>
      </c>
      <c r="B1432" t="s">
        <v>60</v>
      </c>
      <c r="C1432" t="s">
        <v>397</v>
      </c>
      <c r="D1432">
        <v>576</v>
      </c>
      <c r="E1432">
        <v>708.48400000000004</v>
      </c>
      <c r="F1432">
        <v>374.25299999999999</v>
      </c>
      <c r="G1432">
        <v>3929692</v>
      </c>
      <c r="H1432" t="s">
        <v>533</v>
      </c>
    </row>
    <row r="1433" spans="1:8" x14ac:dyDescent="0.25">
      <c r="A1433" t="s">
        <v>453</v>
      </c>
      <c r="B1433" t="s">
        <v>60</v>
      </c>
      <c r="C1433" t="s">
        <v>397</v>
      </c>
      <c r="D1433">
        <v>150</v>
      </c>
      <c r="E1433">
        <v>184.501</v>
      </c>
      <c r="F1433">
        <v>97.462000000000003</v>
      </c>
      <c r="G1433">
        <v>3929692</v>
      </c>
      <c r="H1433" t="s">
        <v>533</v>
      </c>
    </row>
    <row r="1434" spans="1:8" x14ac:dyDescent="0.25">
      <c r="A1434" t="s">
        <v>453</v>
      </c>
      <c r="B1434" t="s">
        <v>60</v>
      </c>
      <c r="C1434" t="s">
        <v>397</v>
      </c>
      <c r="D1434">
        <v>149</v>
      </c>
      <c r="E1434">
        <v>183.27099999999999</v>
      </c>
      <c r="F1434">
        <v>96.811999999999998</v>
      </c>
      <c r="G1434">
        <v>3929692</v>
      </c>
      <c r="H1434" t="s">
        <v>533</v>
      </c>
    </row>
    <row r="1435" spans="1:8" x14ac:dyDescent="0.25">
      <c r="A1435" t="s">
        <v>453</v>
      </c>
      <c r="B1435" t="s">
        <v>60</v>
      </c>
      <c r="C1435" t="s">
        <v>397</v>
      </c>
      <c r="D1435">
        <v>76</v>
      </c>
      <c r="E1435">
        <v>93.480999999999995</v>
      </c>
      <c r="F1435">
        <v>49.381</v>
      </c>
      <c r="G1435">
        <v>3929692</v>
      </c>
      <c r="H1435" t="s">
        <v>533</v>
      </c>
    </row>
    <row r="1436" spans="1:8" x14ac:dyDescent="0.25">
      <c r="A1436" t="s">
        <v>453</v>
      </c>
      <c r="B1436" t="s">
        <v>60</v>
      </c>
      <c r="C1436" t="s">
        <v>397</v>
      </c>
      <c r="D1436">
        <v>18</v>
      </c>
      <c r="E1436">
        <v>22.14</v>
      </c>
      <c r="F1436">
        <v>11.695</v>
      </c>
      <c r="G1436">
        <v>3929692</v>
      </c>
      <c r="H1436" t="s">
        <v>533</v>
      </c>
    </row>
    <row r="1437" spans="1:8" x14ac:dyDescent="0.25">
      <c r="A1437" t="s">
        <v>453</v>
      </c>
      <c r="B1437" t="s">
        <v>60</v>
      </c>
      <c r="C1437" t="s">
        <v>397</v>
      </c>
      <c r="D1437">
        <v>6</v>
      </c>
      <c r="E1437">
        <v>7.38</v>
      </c>
      <c r="F1437">
        <v>3.8980000000000001</v>
      </c>
      <c r="G1437">
        <v>3929692</v>
      </c>
      <c r="H1437" t="s">
        <v>533</v>
      </c>
    </row>
    <row r="1438" spans="1:8" x14ac:dyDescent="0.25">
      <c r="A1438" t="s">
        <v>453</v>
      </c>
      <c r="B1438" t="s">
        <v>60</v>
      </c>
      <c r="C1438" t="s">
        <v>397</v>
      </c>
      <c r="D1438">
        <v>4000</v>
      </c>
      <c r="E1438">
        <v>600</v>
      </c>
      <c r="F1438">
        <v>260.66699999999997</v>
      </c>
      <c r="G1438">
        <v>4104140</v>
      </c>
      <c r="H1438" t="s">
        <v>502</v>
      </c>
    </row>
    <row r="1439" spans="1:8" x14ac:dyDescent="0.25">
      <c r="A1439" t="s">
        <v>453</v>
      </c>
      <c r="B1439" t="s">
        <v>60</v>
      </c>
      <c r="C1439" t="s">
        <v>397</v>
      </c>
      <c r="D1439">
        <v>5004</v>
      </c>
      <c r="E1439">
        <v>794.01499999999999</v>
      </c>
      <c r="F1439">
        <v>1165.932</v>
      </c>
      <c r="G1439">
        <v>3572055</v>
      </c>
      <c r="H1439" t="s">
        <v>542</v>
      </c>
    </row>
    <row r="1440" spans="1:8" x14ac:dyDescent="0.25">
      <c r="A1440" t="s">
        <v>453</v>
      </c>
      <c r="B1440" t="s">
        <v>60</v>
      </c>
      <c r="C1440" t="s">
        <v>397</v>
      </c>
      <c r="D1440">
        <v>1974</v>
      </c>
      <c r="E1440">
        <v>313.22699999999998</v>
      </c>
      <c r="F1440">
        <v>459.94200000000001</v>
      </c>
      <c r="G1440">
        <v>3572055</v>
      </c>
      <c r="H1440" t="s">
        <v>542</v>
      </c>
    </row>
    <row r="1441" spans="1:8" x14ac:dyDescent="0.25">
      <c r="A1441" t="s">
        <v>453</v>
      </c>
      <c r="B1441" t="s">
        <v>60</v>
      </c>
      <c r="C1441" t="s">
        <v>397</v>
      </c>
      <c r="D1441">
        <v>853</v>
      </c>
      <c r="E1441">
        <v>135.351</v>
      </c>
      <c r="F1441">
        <v>198.749</v>
      </c>
      <c r="G1441">
        <v>3572055</v>
      </c>
      <c r="H1441" t="s">
        <v>542</v>
      </c>
    </row>
    <row r="1442" spans="1:8" x14ac:dyDescent="0.25">
      <c r="A1442" t="s">
        <v>453</v>
      </c>
      <c r="B1442" t="s">
        <v>60</v>
      </c>
      <c r="C1442" t="s">
        <v>397</v>
      </c>
      <c r="D1442">
        <v>169</v>
      </c>
      <c r="E1442">
        <v>26.815999999999999</v>
      </c>
      <c r="F1442">
        <v>39.377000000000002</v>
      </c>
      <c r="G1442">
        <v>3572055</v>
      </c>
      <c r="H1442" t="s">
        <v>542</v>
      </c>
    </row>
    <row r="1443" spans="1:8" x14ac:dyDescent="0.25">
      <c r="A1443" t="s">
        <v>453</v>
      </c>
      <c r="B1443" t="s">
        <v>60</v>
      </c>
      <c r="C1443" t="s">
        <v>397</v>
      </c>
      <c r="D1443">
        <v>2499</v>
      </c>
      <c r="E1443">
        <v>287.38600000000002</v>
      </c>
      <c r="F1443">
        <v>421.99799999999999</v>
      </c>
      <c r="G1443">
        <v>4151471</v>
      </c>
      <c r="H1443" t="s">
        <v>544</v>
      </c>
    </row>
    <row r="1444" spans="1:8" x14ac:dyDescent="0.25">
      <c r="A1444" t="s">
        <v>453</v>
      </c>
      <c r="B1444" t="s">
        <v>60</v>
      </c>
      <c r="C1444" t="s">
        <v>397</v>
      </c>
      <c r="D1444">
        <v>1501</v>
      </c>
      <c r="E1444">
        <v>172.61600000000001</v>
      </c>
      <c r="F1444">
        <v>253.46899999999999</v>
      </c>
      <c r="G1444">
        <v>4151471</v>
      </c>
      <c r="H1444" t="s">
        <v>544</v>
      </c>
    </row>
    <row r="1445" spans="1:8" x14ac:dyDescent="0.25">
      <c r="A1445" t="s">
        <v>453</v>
      </c>
      <c r="B1445" t="s">
        <v>60</v>
      </c>
      <c r="C1445" t="s">
        <v>397</v>
      </c>
      <c r="D1445">
        <v>2297</v>
      </c>
      <c r="E1445">
        <v>436.42899999999997</v>
      </c>
      <c r="F1445">
        <v>476.755</v>
      </c>
      <c r="G1445">
        <v>4151424</v>
      </c>
      <c r="H1445" t="s">
        <v>550</v>
      </c>
    </row>
    <row r="1446" spans="1:8" x14ac:dyDescent="0.25">
      <c r="A1446" t="s">
        <v>453</v>
      </c>
      <c r="B1446" t="s">
        <v>60</v>
      </c>
      <c r="C1446" t="s">
        <v>397</v>
      </c>
      <c r="D1446">
        <v>1686</v>
      </c>
      <c r="E1446">
        <v>320.339</v>
      </c>
      <c r="F1446">
        <v>349.93900000000002</v>
      </c>
      <c r="G1446">
        <v>4151424</v>
      </c>
      <c r="H1446" t="s">
        <v>550</v>
      </c>
    </row>
    <row r="1447" spans="1:8" x14ac:dyDescent="0.25">
      <c r="A1447" t="s">
        <v>453</v>
      </c>
      <c r="B1447" t="s">
        <v>60</v>
      </c>
      <c r="C1447" t="s">
        <v>397</v>
      </c>
      <c r="D1447">
        <v>14</v>
      </c>
      <c r="E1447">
        <v>2.66</v>
      </c>
      <c r="F1447">
        <v>2.9060000000000001</v>
      </c>
      <c r="G1447">
        <v>4151424</v>
      </c>
      <c r="H1447" t="s">
        <v>550</v>
      </c>
    </row>
    <row r="1448" spans="1:8" x14ac:dyDescent="0.25">
      <c r="A1448" t="s">
        <v>453</v>
      </c>
      <c r="B1448" t="s">
        <v>60</v>
      </c>
      <c r="C1448" t="s">
        <v>397</v>
      </c>
      <c r="D1448">
        <v>3</v>
      </c>
      <c r="E1448">
        <v>0.56999999999999995</v>
      </c>
      <c r="F1448">
        <v>0.623</v>
      </c>
      <c r="G1448">
        <v>4151424</v>
      </c>
      <c r="H1448" t="s">
        <v>550</v>
      </c>
    </row>
    <row r="1449" spans="1:8" x14ac:dyDescent="0.25">
      <c r="A1449" t="s">
        <v>453</v>
      </c>
      <c r="B1449" t="s">
        <v>60</v>
      </c>
      <c r="C1449" t="s">
        <v>397</v>
      </c>
      <c r="D1449">
        <v>7515</v>
      </c>
      <c r="E1449">
        <v>1502.9369999999999</v>
      </c>
      <c r="F1449">
        <v>793.91800000000001</v>
      </c>
      <c r="G1449">
        <v>3929691</v>
      </c>
      <c r="H1449" t="s">
        <v>535</v>
      </c>
    </row>
    <row r="1450" spans="1:8" x14ac:dyDescent="0.25">
      <c r="A1450" t="s">
        <v>453</v>
      </c>
      <c r="B1450" t="s">
        <v>60</v>
      </c>
      <c r="C1450" t="s">
        <v>397</v>
      </c>
      <c r="D1450">
        <v>4301</v>
      </c>
      <c r="E1450">
        <v>860.16399999999999</v>
      </c>
      <c r="F1450">
        <v>454.37700000000001</v>
      </c>
      <c r="G1450">
        <v>3929691</v>
      </c>
      <c r="H1450" t="s">
        <v>535</v>
      </c>
    </row>
    <row r="1451" spans="1:8" x14ac:dyDescent="0.25">
      <c r="A1451" t="s">
        <v>453</v>
      </c>
      <c r="B1451" t="s">
        <v>60</v>
      </c>
      <c r="C1451" t="s">
        <v>397</v>
      </c>
      <c r="D1451">
        <v>184</v>
      </c>
      <c r="E1451">
        <v>36.798000000000002</v>
      </c>
      <c r="F1451">
        <v>19.439</v>
      </c>
      <c r="G1451">
        <v>3929691</v>
      </c>
      <c r="H1451" t="s">
        <v>535</v>
      </c>
    </row>
    <row r="1452" spans="1:8" x14ac:dyDescent="0.25">
      <c r="A1452" t="s">
        <v>453</v>
      </c>
      <c r="B1452" t="s">
        <v>60</v>
      </c>
      <c r="C1452" t="s">
        <v>397</v>
      </c>
      <c r="D1452">
        <v>1330</v>
      </c>
      <c r="E1452">
        <v>438.887</v>
      </c>
      <c r="F1452">
        <v>231.90799999999999</v>
      </c>
      <c r="G1452">
        <v>3935313</v>
      </c>
      <c r="H1452" t="s">
        <v>560</v>
      </c>
    </row>
    <row r="1453" spans="1:8" x14ac:dyDescent="0.25">
      <c r="A1453" t="s">
        <v>453</v>
      </c>
      <c r="B1453" t="s">
        <v>60</v>
      </c>
      <c r="C1453" t="s">
        <v>397</v>
      </c>
      <c r="D1453">
        <v>652</v>
      </c>
      <c r="E1453">
        <v>215.15299999999999</v>
      </c>
      <c r="F1453">
        <v>113.687</v>
      </c>
      <c r="G1453">
        <v>3935313</v>
      </c>
      <c r="H1453" t="s">
        <v>560</v>
      </c>
    </row>
    <row r="1454" spans="1:8" x14ac:dyDescent="0.25">
      <c r="A1454" t="s">
        <v>453</v>
      </c>
      <c r="B1454" t="s">
        <v>60</v>
      </c>
      <c r="C1454" t="s">
        <v>397</v>
      </c>
      <c r="D1454">
        <v>18</v>
      </c>
      <c r="E1454">
        <v>5.94</v>
      </c>
      <c r="F1454">
        <v>3.1389999999999998</v>
      </c>
      <c r="G1454">
        <v>3935313</v>
      </c>
      <c r="H1454" t="s">
        <v>560</v>
      </c>
    </row>
    <row r="1455" spans="1:8" x14ac:dyDescent="0.25">
      <c r="A1455" t="s">
        <v>5999</v>
      </c>
      <c r="B1455" t="s">
        <v>36</v>
      </c>
      <c r="C1455" t="s">
        <v>392</v>
      </c>
      <c r="D1455">
        <v>196</v>
      </c>
      <c r="E1455">
        <v>1035.7270000000001</v>
      </c>
      <c r="F1455">
        <v>1435</v>
      </c>
      <c r="G1455">
        <v>4038150</v>
      </c>
      <c r="H1455" t="s">
        <v>6031</v>
      </c>
    </row>
    <row r="1456" spans="1:8" x14ac:dyDescent="0.25">
      <c r="A1456" t="s">
        <v>5999</v>
      </c>
      <c r="B1456" t="s">
        <v>36</v>
      </c>
      <c r="C1456" t="s">
        <v>392</v>
      </c>
      <c r="D1456">
        <v>208</v>
      </c>
      <c r="E1456">
        <v>1100.6859999999999</v>
      </c>
      <c r="F1456">
        <v>1525</v>
      </c>
      <c r="G1456">
        <v>4038150</v>
      </c>
      <c r="H1456" t="s">
        <v>6031</v>
      </c>
    </row>
    <row r="1457" spans="1:8" x14ac:dyDescent="0.25">
      <c r="A1457" t="s">
        <v>5999</v>
      </c>
      <c r="B1457" t="s">
        <v>36</v>
      </c>
      <c r="C1457" t="s">
        <v>392</v>
      </c>
      <c r="D1457">
        <v>125</v>
      </c>
      <c r="E1457">
        <v>659.69</v>
      </c>
      <c r="F1457">
        <v>914</v>
      </c>
      <c r="G1457">
        <v>4038150</v>
      </c>
      <c r="H1457" t="s">
        <v>6031</v>
      </c>
    </row>
    <row r="1458" spans="1:8" x14ac:dyDescent="0.25">
      <c r="A1458" t="s">
        <v>5999</v>
      </c>
      <c r="B1458" t="s">
        <v>36</v>
      </c>
      <c r="C1458" t="s">
        <v>392</v>
      </c>
      <c r="D1458">
        <v>197</v>
      </c>
      <c r="E1458">
        <v>1040.058</v>
      </c>
      <c r="F1458">
        <v>1441</v>
      </c>
      <c r="G1458">
        <v>4038150</v>
      </c>
      <c r="H1458" t="s">
        <v>6031</v>
      </c>
    </row>
    <row r="1459" spans="1:8" x14ac:dyDescent="0.25">
      <c r="A1459" t="s">
        <v>5999</v>
      </c>
      <c r="B1459" t="s">
        <v>36</v>
      </c>
      <c r="C1459" t="s">
        <v>392</v>
      </c>
      <c r="D1459">
        <v>109</v>
      </c>
      <c r="E1459">
        <v>577.40899999999999</v>
      </c>
      <c r="F1459">
        <v>800</v>
      </c>
      <c r="G1459">
        <v>4038150</v>
      </c>
      <c r="H1459" t="s">
        <v>6031</v>
      </c>
    </row>
    <row r="1460" spans="1:8" x14ac:dyDescent="0.25">
      <c r="A1460" t="s">
        <v>5999</v>
      </c>
      <c r="B1460" t="s">
        <v>36</v>
      </c>
      <c r="C1460" t="s">
        <v>392</v>
      </c>
      <c r="D1460">
        <v>12</v>
      </c>
      <c r="E1460">
        <v>62.070999999999998</v>
      </c>
      <c r="F1460">
        <v>86</v>
      </c>
      <c r="G1460">
        <v>4038150</v>
      </c>
      <c r="H1460" t="s">
        <v>6031</v>
      </c>
    </row>
    <row r="1461" spans="1:8" x14ac:dyDescent="0.25">
      <c r="A1461" t="s">
        <v>5999</v>
      </c>
      <c r="B1461" t="s">
        <v>36</v>
      </c>
      <c r="C1461" t="s">
        <v>392</v>
      </c>
      <c r="D1461">
        <v>106</v>
      </c>
      <c r="E1461">
        <v>636.14599999999996</v>
      </c>
      <c r="F1461">
        <v>1063</v>
      </c>
      <c r="G1461">
        <v>1940684</v>
      </c>
      <c r="H1461" t="s">
        <v>6032</v>
      </c>
    </row>
    <row r="1462" spans="1:8" x14ac:dyDescent="0.25">
      <c r="A1462" t="s">
        <v>5999</v>
      </c>
      <c r="B1462" t="s">
        <v>36</v>
      </c>
      <c r="C1462" t="s">
        <v>392</v>
      </c>
      <c r="D1462">
        <v>239</v>
      </c>
      <c r="E1462">
        <v>1436.2660000000001</v>
      </c>
      <c r="F1462">
        <v>2400</v>
      </c>
      <c r="G1462">
        <v>1940684</v>
      </c>
      <c r="H1462" t="s">
        <v>6032</v>
      </c>
    </row>
    <row r="1463" spans="1:8" x14ac:dyDescent="0.25">
      <c r="A1463" t="s">
        <v>5999</v>
      </c>
      <c r="B1463" t="s">
        <v>36</v>
      </c>
      <c r="C1463" t="s">
        <v>392</v>
      </c>
      <c r="D1463">
        <v>158</v>
      </c>
      <c r="E1463">
        <v>949.13199999999995</v>
      </c>
      <c r="F1463">
        <v>1586</v>
      </c>
      <c r="G1463">
        <v>1940684</v>
      </c>
      <c r="H1463" t="s">
        <v>6032</v>
      </c>
    </row>
    <row r="1464" spans="1:8" x14ac:dyDescent="0.25">
      <c r="A1464" t="s">
        <v>5999</v>
      </c>
      <c r="B1464" t="s">
        <v>36</v>
      </c>
      <c r="C1464" t="s">
        <v>392</v>
      </c>
      <c r="D1464">
        <v>80</v>
      </c>
      <c r="E1464">
        <v>478.755</v>
      </c>
      <c r="F1464">
        <v>800</v>
      </c>
      <c r="G1464">
        <v>1940684</v>
      </c>
      <c r="H1464" t="s">
        <v>6032</v>
      </c>
    </row>
    <row r="1465" spans="1:8" x14ac:dyDescent="0.25">
      <c r="A1465" t="s">
        <v>5999</v>
      </c>
      <c r="B1465" t="s">
        <v>36</v>
      </c>
      <c r="C1465" t="s">
        <v>392</v>
      </c>
      <c r="D1465">
        <v>234</v>
      </c>
      <c r="E1465">
        <v>1406.3440000000001</v>
      </c>
      <c r="F1465">
        <v>2350</v>
      </c>
      <c r="G1465">
        <v>1940684</v>
      </c>
      <c r="H1465" t="s">
        <v>6032</v>
      </c>
    </row>
    <row r="1466" spans="1:8" x14ac:dyDescent="0.25">
      <c r="A1466" t="s">
        <v>5999</v>
      </c>
      <c r="B1466" t="s">
        <v>36</v>
      </c>
      <c r="C1466" t="s">
        <v>392</v>
      </c>
      <c r="D1466">
        <v>239</v>
      </c>
      <c r="E1466">
        <v>1436.2660000000001</v>
      </c>
      <c r="F1466">
        <v>2400</v>
      </c>
      <c r="G1466">
        <v>1940684</v>
      </c>
      <c r="H1466" t="s">
        <v>6032</v>
      </c>
    </row>
    <row r="1467" spans="1:8" x14ac:dyDescent="0.25">
      <c r="A1467" t="s">
        <v>5999</v>
      </c>
      <c r="B1467" t="s">
        <v>36</v>
      </c>
      <c r="C1467" t="s">
        <v>392</v>
      </c>
      <c r="D1467">
        <v>237</v>
      </c>
      <c r="E1467">
        <v>1424.297</v>
      </c>
      <c r="F1467">
        <v>2380</v>
      </c>
      <c r="G1467">
        <v>1940684</v>
      </c>
      <c r="H1467" t="s">
        <v>6032</v>
      </c>
    </row>
    <row r="1468" spans="1:8" x14ac:dyDescent="0.25">
      <c r="A1468" t="s">
        <v>5999</v>
      </c>
      <c r="B1468" t="s">
        <v>36</v>
      </c>
      <c r="C1468" t="s">
        <v>392</v>
      </c>
      <c r="D1468">
        <v>230</v>
      </c>
      <c r="E1468">
        <v>1382.4059999999999</v>
      </c>
      <c r="F1468">
        <v>2310</v>
      </c>
      <c r="G1468">
        <v>1940684</v>
      </c>
      <c r="H1468" t="s">
        <v>6032</v>
      </c>
    </row>
    <row r="1469" spans="1:8" x14ac:dyDescent="0.25">
      <c r="A1469" t="s">
        <v>6033</v>
      </c>
      <c r="B1469" t="s">
        <v>178</v>
      </c>
      <c r="C1469" t="s">
        <v>392</v>
      </c>
      <c r="D1469">
        <v>1055</v>
      </c>
      <c r="E1469">
        <v>5274.66</v>
      </c>
      <c r="F1469">
        <v>2679</v>
      </c>
      <c r="G1469">
        <v>3457776</v>
      </c>
      <c r="H1469" t="s">
        <v>6034</v>
      </c>
    </row>
    <row r="1470" spans="1:8" x14ac:dyDescent="0.25">
      <c r="A1470" t="s">
        <v>6033</v>
      </c>
      <c r="B1470" t="s">
        <v>178</v>
      </c>
      <c r="C1470" t="s">
        <v>392</v>
      </c>
      <c r="D1470">
        <v>879</v>
      </c>
      <c r="E1470">
        <v>4394.5659999999998</v>
      </c>
      <c r="F1470">
        <v>2232</v>
      </c>
      <c r="G1470">
        <v>3457776</v>
      </c>
      <c r="H1470" t="s">
        <v>6034</v>
      </c>
    </row>
    <row r="1471" spans="1:8" x14ac:dyDescent="0.25">
      <c r="A1471" t="s">
        <v>6033</v>
      </c>
      <c r="B1471" t="s">
        <v>178</v>
      </c>
      <c r="C1471" t="s">
        <v>392</v>
      </c>
      <c r="D1471">
        <v>819</v>
      </c>
      <c r="E1471">
        <v>4095.2939999999999</v>
      </c>
      <c r="F1471">
        <v>2080</v>
      </c>
      <c r="G1471">
        <v>3457776</v>
      </c>
      <c r="H1471" t="s">
        <v>6034</v>
      </c>
    </row>
    <row r="1472" spans="1:8" x14ac:dyDescent="0.25">
      <c r="A1472" t="s">
        <v>6033</v>
      </c>
      <c r="B1472" t="s">
        <v>178</v>
      </c>
      <c r="C1472" t="s">
        <v>392</v>
      </c>
      <c r="D1472">
        <v>748</v>
      </c>
      <c r="E1472">
        <v>3740.8939999999998</v>
      </c>
      <c r="F1472">
        <v>1900</v>
      </c>
      <c r="G1472">
        <v>3457776</v>
      </c>
      <c r="H1472" t="s">
        <v>6034</v>
      </c>
    </row>
    <row r="1473" spans="1:8" x14ac:dyDescent="0.25">
      <c r="A1473" t="s">
        <v>6033</v>
      </c>
      <c r="B1473" t="s">
        <v>178</v>
      </c>
      <c r="C1473" t="s">
        <v>392</v>
      </c>
      <c r="D1473">
        <v>325</v>
      </c>
      <c r="E1473">
        <v>1624.335</v>
      </c>
      <c r="F1473">
        <v>825</v>
      </c>
      <c r="G1473">
        <v>3457776</v>
      </c>
      <c r="H1473" t="s">
        <v>6034</v>
      </c>
    </row>
    <row r="1474" spans="1:8" x14ac:dyDescent="0.25">
      <c r="A1474" t="s">
        <v>6033</v>
      </c>
      <c r="B1474" t="s">
        <v>178</v>
      </c>
      <c r="C1474" t="s">
        <v>392</v>
      </c>
      <c r="D1474">
        <v>603</v>
      </c>
      <c r="E1474">
        <v>3615.9830000000002</v>
      </c>
      <c r="F1474">
        <v>2000</v>
      </c>
      <c r="G1474">
        <v>1940146</v>
      </c>
      <c r="H1474" t="s">
        <v>451</v>
      </c>
    </row>
    <row r="1475" spans="1:8" x14ac:dyDescent="0.25">
      <c r="A1475" t="s">
        <v>6033</v>
      </c>
      <c r="B1475" t="s">
        <v>178</v>
      </c>
      <c r="C1475" t="s">
        <v>392</v>
      </c>
      <c r="D1475">
        <v>603</v>
      </c>
      <c r="E1475">
        <v>3615.9830000000002</v>
      </c>
      <c r="F1475">
        <v>2000</v>
      </c>
      <c r="G1475">
        <v>1940146</v>
      </c>
      <c r="H1475" t="s">
        <v>451</v>
      </c>
    </row>
    <row r="1476" spans="1:8" x14ac:dyDescent="0.25">
      <c r="A1476" t="s">
        <v>6033</v>
      </c>
      <c r="B1476" t="s">
        <v>178</v>
      </c>
      <c r="C1476" t="s">
        <v>392</v>
      </c>
      <c r="D1476">
        <v>618</v>
      </c>
      <c r="E1476">
        <v>3706.3820000000001</v>
      </c>
      <c r="F1476">
        <v>2050</v>
      </c>
      <c r="G1476">
        <v>1940146</v>
      </c>
      <c r="H1476" t="s">
        <v>451</v>
      </c>
    </row>
    <row r="1477" spans="1:8" x14ac:dyDescent="0.25">
      <c r="A1477" t="s">
        <v>6033</v>
      </c>
      <c r="B1477" t="s">
        <v>178</v>
      </c>
      <c r="C1477" t="s">
        <v>392</v>
      </c>
      <c r="D1477">
        <v>6</v>
      </c>
      <c r="E1477">
        <v>36.159999999999997</v>
      </c>
      <c r="F1477">
        <v>20</v>
      </c>
      <c r="G1477">
        <v>1940146</v>
      </c>
      <c r="H1477" t="s">
        <v>451</v>
      </c>
    </row>
    <row r="1478" spans="1:8" x14ac:dyDescent="0.25">
      <c r="A1478" t="s">
        <v>6033</v>
      </c>
      <c r="B1478" t="s">
        <v>178</v>
      </c>
      <c r="C1478" t="s">
        <v>392</v>
      </c>
      <c r="D1478">
        <v>169</v>
      </c>
      <c r="E1478">
        <v>1014.562</v>
      </c>
      <c r="F1478">
        <v>641</v>
      </c>
      <c r="G1478">
        <v>1940148</v>
      </c>
      <c r="H1478" t="s">
        <v>6035</v>
      </c>
    </row>
    <row r="1479" spans="1:8" x14ac:dyDescent="0.25">
      <c r="A1479" t="s">
        <v>6033</v>
      </c>
      <c r="B1479" t="s">
        <v>178</v>
      </c>
      <c r="C1479" t="s">
        <v>392</v>
      </c>
      <c r="D1479">
        <v>188</v>
      </c>
      <c r="E1479">
        <v>1128.5219999999999</v>
      </c>
      <c r="F1479">
        <v>713</v>
      </c>
      <c r="G1479">
        <v>1940148</v>
      </c>
      <c r="H1479" t="s">
        <v>6035</v>
      </c>
    </row>
    <row r="1480" spans="1:8" x14ac:dyDescent="0.25">
      <c r="A1480" t="s">
        <v>6033</v>
      </c>
      <c r="B1480" t="s">
        <v>178</v>
      </c>
      <c r="C1480" t="s">
        <v>392</v>
      </c>
      <c r="D1480">
        <v>148</v>
      </c>
      <c r="E1480">
        <v>886.35599999999999</v>
      </c>
      <c r="F1480">
        <v>560</v>
      </c>
      <c r="G1480">
        <v>1940148</v>
      </c>
      <c r="H1480" t="s">
        <v>6035</v>
      </c>
    </row>
    <row r="1481" spans="1:8" x14ac:dyDescent="0.25">
      <c r="A1481" t="s">
        <v>6033</v>
      </c>
      <c r="B1481" t="s">
        <v>178</v>
      </c>
      <c r="C1481" t="s">
        <v>392</v>
      </c>
      <c r="D1481">
        <v>205</v>
      </c>
      <c r="E1481">
        <v>1230.1980000000001</v>
      </c>
      <c r="F1481">
        <v>1126</v>
      </c>
      <c r="G1481">
        <v>1901357</v>
      </c>
      <c r="H1481" t="s">
        <v>6036</v>
      </c>
    </row>
    <row r="1482" spans="1:8" x14ac:dyDescent="0.25">
      <c r="A1482" t="s">
        <v>6033</v>
      </c>
      <c r="B1482" t="s">
        <v>178</v>
      </c>
      <c r="C1482" t="s">
        <v>392</v>
      </c>
      <c r="D1482">
        <v>165</v>
      </c>
      <c r="E1482">
        <v>987.654</v>
      </c>
      <c r="F1482">
        <v>904</v>
      </c>
      <c r="G1482">
        <v>1901357</v>
      </c>
      <c r="H1482" t="s">
        <v>6036</v>
      </c>
    </row>
    <row r="1483" spans="1:8" x14ac:dyDescent="0.25">
      <c r="A1483" t="s">
        <v>422</v>
      </c>
      <c r="B1483" t="s">
        <v>30</v>
      </c>
      <c r="C1483" t="s">
        <v>397</v>
      </c>
      <c r="D1483">
        <v>799</v>
      </c>
      <c r="E1483">
        <v>1047.001</v>
      </c>
      <c r="F1483">
        <v>1152.9570000000001</v>
      </c>
      <c r="G1483">
        <v>1940801</v>
      </c>
      <c r="H1483" t="s">
        <v>478</v>
      </c>
    </row>
    <row r="1484" spans="1:8" x14ac:dyDescent="0.25">
      <c r="A1484" t="s">
        <v>422</v>
      </c>
      <c r="B1484" t="s">
        <v>30</v>
      </c>
      <c r="C1484" t="s">
        <v>397</v>
      </c>
      <c r="D1484">
        <v>559</v>
      </c>
      <c r="E1484">
        <v>732.50699999999995</v>
      </c>
      <c r="F1484">
        <v>806.63699999999994</v>
      </c>
      <c r="G1484">
        <v>1940801</v>
      </c>
      <c r="H1484" t="s">
        <v>478</v>
      </c>
    </row>
    <row r="1485" spans="1:8" x14ac:dyDescent="0.25">
      <c r="A1485" t="s">
        <v>422</v>
      </c>
      <c r="B1485" t="s">
        <v>30</v>
      </c>
      <c r="C1485" t="s">
        <v>397</v>
      </c>
      <c r="D1485">
        <v>84</v>
      </c>
      <c r="E1485">
        <v>110.07299999999999</v>
      </c>
      <c r="F1485">
        <v>121.212</v>
      </c>
      <c r="G1485">
        <v>1940801</v>
      </c>
      <c r="H1485" t="s">
        <v>478</v>
      </c>
    </row>
    <row r="1486" spans="1:8" x14ac:dyDescent="0.25">
      <c r="A1486" t="s">
        <v>422</v>
      </c>
      <c r="B1486" t="s">
        <v>30</v>
      </c>
      <c r="C1486" t="s">
        <v>397</v>
      </c>
      <c r="D1486">
        <v>48</v>
      </c>
      <c r="E1486">
        <v>62.899000000000001</v>
      </c>
      <c r="F1486">
        <v>69.263999999999996</v>
      </c>
      <c r="G1486">
        <v>1940801</v>
      </c>
      <c r="H1486" t="s">
        <v>478</v>
      </c>
    </row>
    <row r="1487" spans="1:8" x14ac:dyDescent="0.25">
      <c r="A1487" t="s">
        <v>422</v>
      </c>
      <c r="B1487" t="s">
        <v>30</v>
      </c>
      <c r="C1487" t="s">
        <v>397</v>
      </c>
      <c r="D1487">
        <v>10</v>
      </c>
      <c r="E1487">
        <v>13.103999999999999</v>
      </c>
      <c r="F1487">
        <v>14.43</v>
      </c>
      <c r="G1487">
        <v>1940801</v>
      </c>
      <c r="H1487" t="s">
        <v>478</v>
      </c>
    </row>
    <row r="1488" spans="1:8" x14ac:dyDescent="0.25">
      <c r="A1488" t="s">
        <v>422</v>
      </c>
      <c r="B1488" t="s">
        <v>30</v>
      </c>
      <c r="C1488" t="s">
        <v>397</v>
      </c>
      <c r="D1488">
        <v>500</v>
      </c>
      <c r="E1488">
        <v>623.41099999999994</v>
      </c>
      <c r="F1488">
        <v>686.5</v>
      </c>
      <c r="G1488">
        <v>3233554</v>
      </c>
      <c r="H1488" t="s">
        <v>480</v>
      </c>
    </row>
    <row r="1489" spans="1:8" x14ac:dyDescent="0.25">
      <c r="A1489" t="s">
        <v>422</v>
      </c>
      <c r="B1489" t="s">
        <v>30</v>
      </c>
      <c r="C1489" t="s">
        <v>397</v>
      </c>
      <c r="D1489">
        <v>1404</v>
      </c>
      <c r="E1489">
        <v>1573.316</v>
      </c>
      <c r="F1489">
        <v>1732.5360000000001</v>
      </c>
      <c r="G1489">
        <v>3233555</v>
      </c>
      <c r="H1489" t="s">
        <v>482</v>
      </c>
    </row>
    <row r="1490" spans="1:8" x14ac:dyDescent="0.25">
      <c r="A1490" t="s">
        <v>422</v>
      </c>
      <c r="B1490" t="s">
        <v>30</v>
      </c>
      <c r="C1490" t="s">
        <v>397</v>
      </c>
      <c r="D1490">
        <v>384</v>
      </c>
      <c r="E1490">
        <v>430.30900000000003</v>
      </c>
      <c r="F1490">
        <v>473.85599999999999</v>
      </c>
      <c r="G1490">
        <v>3233555</v>
      </c>
      <c r="H1490" t="s">
        <v>482</v>
      </c>
    </row>
    <row r="1491" spans="1:8" x14ac:dyDescent="0.25">
      <c r="A1491" t="s">
        <v>422</v>
      </c>
      <c r="B1491" t="s">
        <v>30</v>
      </c>
      <c r="C1491" t="s">
        <v>397</v>
      </c>
      <c r="D1491">
        <v>167</v>
      </c>
      <c r="E1491">
        <v>187.13900000000001</v>
      </c>
      <c r="F1491">
        <v>206.078</v>
      </c>
      <c r="G1491">
        <v>3233555</v>
      </c>
      <c r="H1491" t="s">
        <v>482</v>
      </c>
    </row>
    <row r="1492" spans="1:8" x14ac:dyDescent="0.25">
      <c r="A1492" t="s">
        <v>422</v>
      </c>
      <c r="B1492" t="s">
        <v>30</v>
      </c>
      <c r="C1492" t="s">
        <v>397</v>
      </c>
      <c r="D1492">
        <v>45</v>
      </c>
      <c r="E1492">
        <v>50.427</v>
      </c>
      <c r="F1492">
        <v>55.53</v>
      </c>
      <c r="G1492">
        <v>3233555</v>
      </c>
      <c r="H1492" t="s">
        <v>482</v>
      </c>
    </row>
    <row r="1493" spans="1:8" x14ac:dyDescent="0.25">
      <c r="A1493" t="s">
        <v>422</v>
      </c>
      <c r="B1493" t="s">
        <v>30</v>
      </c>
      <c r="C1493" t="s">
        <v>397</v>
      </c>
      <c r="D1493">
        <v>2000</v>
      </c>
      <c r="E1493">
        <v>1720.981</v>
      </c>
      <c r="F1493">
        <v>1880</v>
      </c>
      <c r="G1493">
        <v>3572051</v>
      </c>
      <c r="H1493" t="s">
        <v>484</v>
      </c>
    </row>
    <row r="1494" spans="1:8" x14ac:dyDescent="0.25">
      <c r="A1494" t="s">
        <v>422</v>
      </c>
      <c r="B1494" t="s">
        <v>30</v>
      </c>
      <c r="C1494" t="s">
        <v>397</v>
      </c>
      <c r="D1494">
        <v>786</v>
      </c>
      <c r="E1494">
        <v>628.82899999999995</v>
      </c>
      <c r="F1494">
        <v>692.46600000000001</v>
      </c>
      <c r="G1494">
        <v>3233557</v>
      </c>
      <c r="H1494" t="s">
        <v>610</v>
      </c>
    </row>
    <row r="1495" spans="1:8" x14ac:dyDescent="0.25">
      <c r="A1495" t="s">
        <v>422</v>
      </c>
      <c r="B1495" t="s">
        <v>30</v>
      </c>
      <c r="C1495" t="s">
        <v>397</v>
      </c>
      <c r="D1495">
        <v>87</v>
      </c>
      <c r="E1495">
        <v>69.602999999999994</v>
      </c>
      <c r="F1495">
        <v>76.647000000000006</v>
      </c>
      <c r="G1495">
        <v>3233557</v>
      </c>
      <c r="H1495" t="s">
        <v>610</v>
      </c>
    </row>
    <row r="1496" spans="1:8" x14ac:dyDescent="0.25">
      <c r="A1496" t="s">
        <v>422</v>
      </c>
      <c r="B1496" t="s">
        <v>30</v>
      </c>
      <c r="C1496" t="s">
        <v>397</v>
      </c>
      <c r="D1496">
        <v>59</v>
      </c>
      <c r="E1496">
        <v>47.201999999999998</v>
      </c>
      <c r="F1496">
        <v>51.978999999999999</v>
      </c>
      <c r="G1496">
        <v>3233557</v>
      </c>
      <c r="H1496" t="s">
        <v>610</v>
      </c>
    </row>
    <row r="1497" spans="1:8" x14ac:dyDescent="0.25">
      <c r="A1497" t="s">
        <v>422</v>
      </c>
      <c r="B1497" t="s">
        <v>30</v>
      </c>
      <c r="C1497" t="s">
        <v>397</v>
      </c>
      <c r="D1497">
        <v>58</v>
      </c>
      <c r="E1497">
        <v>46.402000000000001</v>
      </c>
      <c r="F1497">
        <v>51.097999999999999</v>
      </c>
      <c r="G1497">
        <v>3233557</v>
      </c>
      <c r="H1497" t="s">
        <v>610</v>
      </c>
    </row>
    <row r="1498" spans="1:8" x14ac:dyDescent="0.25">
      <c r="A1498" t="s">
        <v>422</v>
      </c>
      <c r="B1498" t="s">
        <v>30</v>
      </c>
      <c r="C1498" t="s">
        <v>397</v>
      </c>
      <c r="D1498">
        <v>10</v>
      </c>
      <c r="E1498">
        <v>8</v>
      </c>
      <c r="F1498">
        <v>8.81</v>
      </c>
      <c r="G1498">
        <v>3233557</v>
      </c>
      <c r="H1498" t="s">
        <v>610</v>
      </c>
    </row>
    <row r="1499" spans="1:8" x14ac:dyDescent="0.25">
      <c r="A1499" t="s">
        <v>422</v>
      </c>
      <c r="B1499" t="s">
        <v>30</v>
      </c>
      <c r="C1499" t="s">
        <v>397</v>
      </c>
      <c r="D1499">
        <v>500</v>
      </c>
      <c r="E1499">
        <v>622.99900000000002</v>
      </c>
      <c r="F1499">
        <v>339.47199999999998</v>
      </c>
      <c r="G1499">
        <v>3572038</v>
      </c>
      <c r="H1499" t="s">
        <v>521</v>
      </c>
    </row>
    <row r="1500" spans="1:8" x14ac:dyDescent="0.25">
      <c r="A1500" t="s">
        <v>422</v>
      </c>
      <c r="B1500" t="s">
        <v>30</v>
      </c>
      <c r="C1500" t="s">
        <v>397</v>
      </c>
      <c r="D1500">
        <v>1500</v>
      </c>
      <c r="E1500">
        <v>1320.499</v>
      </c>
      <c r="F1500">
        <v>730.5</v>
      </c>
      <c r="G1500">
        <v>3230492</v>
      </c>
      <c r="H1500" t="s">
        <v>614</v>
      </c>
    </row>
    <row r="1501" spans="1:8" x14ac:dyDescent="0.25">
      <c r="A1501" t="s">
        <v>422</v>
      </c>
      <c r="B1501" t="s">
        <v>30</v>
      </c>
      <c r="C1501" t="s">
        <v>397</v>
      </c>
      <c r="D1501">
        <v>1000</v>
      </c>
      <c r="E1501">
        <v>872.13499999999999</v>
      </c>
      <c r="F1501">
        <v>487</v>
      </c>
      <c r="G1501">
        <v>3605739</v>
      </c>
      <c r="H1501" t="s">
        <v>620</v>
      </c>
    </row>
    <row r="1502" spans="1:8" x14ac:dyDescent="0.25">
      <c r="A1502" t="s">
        <v>422</v>
      </c>
      <c r="B1502" t="s">
        <v>30</v>
      </c>
      <c r="C1502" t="s">
        <v>397</v>
      </c>
      <c r="D1502">
        <v>1000</v>
      </c>
      <c r="E1502">
        <v>840.56399999999996</v>
      </c>
      <c r="F1502">
        <v>465</v>
      </c>
      <c r="G1502">
        <v>3230485</v>
      </c>
      <c r="H1502" t="s">
        <v>616</v>
      </c>
    </row>
    <row r="1503" spans="1:8" x14ac:dyDescent="0.25">
      <c r="A1503" t="s">
        <v>422</v>
      </c>
      <c r="B1503" t="s">
        <v>30</v>
      </c>
      <c r="C1503" t="s">
        <v>397</v>
      </c>
      <c r="D1503">
        <v>1000</v>
      </c>
      <c r="E1503">
        <v>800.00400000000002</v>
      </c>
      <c r="F1503">
        <v>436.01100000000002</v>
      </c>
      <c r="G1503">
        <v>3931836</v>
      </c>
      <c r="H1503" t="s">
        <v>612</v>
      </c>
    </row>
    <row r="1504" spans="1:8" x14ac:dyDescent="0.25">
      <c r="A1504" t="s">
        <v>422</v>
      </c>
      <c r="B1504" t="s">
        <v>30</v>
      </c>
      <c r="C1504" t="s">
        <v>397</v>
      </c>
      <c r="D1504">
        <v>500</v>
      </c>
      <c r="E1504">
        <v>503.50700000000001</v>
      </c>
      <c r="F1504">
        <v>274.41699999999997</v>
      </c>
      <c r="G1504">
        <v>4100796</v>
      </c>
      <c r="H1504" t="s">
        <v>552</v>
      </c>
    </row>
    <row r="1505" spans="1:8" x14ac:dyDescent="0.25">
      <c r="A1505" t="s">
        <v>422</v>
      </c>
      <c r="B1505" t="s">
        <v>30</v>
      </c>
      <c r="C1505" t="s">
        <v>397</v>
      </c>
      <c r="D1505">
        <v>1000</v>
      </c>
      <c r="E1505">
        <v>539.99699999999996</v>
      </c>
      <c r="F1505">
        <v>294.24400000000003</v>
      </c>
      <c r="G1505">
        <v>3571870</v>
      </c>
      <c r="H1505" t="s">
        <v>525</v>
      </c>
    </row>
    <row r="1506" spans="1:8" x14ac:dyDescent="0.25">
      <c r="A1506" t="s">
        <v>422</v>
      </c>
      <c r="B1506" t="s">
        <v>30</v>
      </c>
      <c r="C1506" t="s">
        <v>397</v>
      </c>
      <c r="D1506">
        <v>1000</v>
      </c>
      <c r="E1506">
        <v>469.99400000000003</v>
      </c>
      <c r="F1506">
        <v>256.10000000000002</v>
      </c>
      <c r="G1506">
        <v>3230488</v>
      </c>
      <c r="H1506" t="s">
        <v>496</v>
      </c>
    </row>
    <row r="1507" spans="1:8" x14ac:dyDescent="0.25">
      <c r="A1507" t="s">
        <v>422</v>
      </c>
      <c r="B1507" t="s">
        <v>30</v>
      </c>
      <c r="C1507" t="s">
        <v>397</v>
      </c>
      <c r="D1507">
        <v>3000</v>
      </c>
      <c r="E1507">
        <v>1198.482</v>
      </c>
      <c r="F1507">
        <v>663</v>
      </c>
      <c r="G1507">
        <v>3230487</v>
      </c>
      <c r="H1507" t="s">
        <v>498</v>
      </c>
    </row>
    <row r="1508" spans="1:8" x14ac:dyDescent="0.25">
      <c r="A1508" t="s">
        <v>422</v>
      </c>
      <c r="B1508" t="s">
        <v>30</v>
      </c>
      <c r="C1508" t="s">
        <v>397</v>
      </c>
      <c r="D1508">
        <v>1000</v>
      </c>
      <c r="E1508">
        <v>356.11</v>
      </c>
      <c r="F1508">
        <v>197</v>
      </c>
      <c r="G1508">
        <v>3230490</v>
      </c>
      <c r="H1508" t="s">
        <v>515</v>
      </c>
    </row>
    <row r="1509" spans="1:8" x14ac:dyDescent="0.25">
      <c r="A1509" t="s">
        <v>422</v>
      </c>
      <c r="B1509" t="s">
        <v>30</v>
      </c>
      <c r="C1509" t="s">
        <v>397</v>
      </c>
      <c r="D1509">
        <v>500</v>
      </c>
      <c r="E1509">
        <v>649.00599999999997</v>
      </c>
      <c r="F1509">
        <v>563.15</v>
      </c>
      <c r="G1509">
        <v>3935311</v>
      </c>
      <c r="H1509" t="s">
        <v>622</v>
      </c>
    </row>
    <row r="1510" spans="1:8" x14ac:dyDescent="0.25">
      <c r="A1510" t="s">
        <v>422</v>
      </c>
      <c r="B1510" t="s">
        <v>30</v>
      </c>
      <c r="C1510" t="s">
        <v>397</v>
      </c>
      <c r="D1510">
        <v>1000</v>
      </c>
      <c r="E1510">
        <v>787.17499999999995</v>
      </c>
      <c r="F1510">
        <v>712</v>
      </c>
      <c r="G1510">
        <v>3230482</v>
      </c>
      <c r="H1510" t="s">
        <v>624</v>
      </c>
    </row>
    <row r="1511" spans="1:8" x14ac:dyDescent="0.25">
      <c r="A1511" t="s">
        <v>422</v>
      </c>
      <c r="B1511" t="s">
        <v>30</v>
      </c>
      <c r="C1511" t="s">
        <v>397</v>
      </c>
      <c r="D1511">
        <v>500</v>
      </c>
      <c r="E1511">
        <v>615.00400000000002</v>
      </c>
      <c r="F1511">
        <v>324.87200000000001</v>
      </c>
      <c r="G1511">
        <v>3929692</v>
      </c>
      <c r="H1511" t="s">
        <v>533</v>
      </c>
    </row>
    <row r="1512" spans="1:8" x14ac:dyDescent="0.25">
      <c r="A1512" t="s">
        <v>422</v>
      </c>
      <c r="B1512" t="s">
        <v>30</v>
      </c>
      <c r="C1512" t="s">
        <v>397</v>
      </c>
      <c r="D1512">
        <v>1000</v>
      </c>
      <c r="E1512">
        <v>682.00699999999995</v>
      </c>
      <c r="F1512">
        <v>360.267</v>
      </c>
      <c r="G1512">
        <v>3929540</v>
      </c>
      <c r="H1512" t="s">
        <v>627</v>
      </c>
    </row>
    <row r="1513" spans="1:8" x14ac:dyDescent="0.25">
      <c r="A1513" t="s">
        <v>422</v>
      </c>
      <c r="B1513" t="s">
        <v>30</v>
      </c>
      <c r="C1513" t="s">
        <v>397</v>
      </c>
      <c r="D1513">
        <v>2000</v>
      </c>
      <c r="E1513">
        <v>399.983</v>
      </c>
      <c r="F1513">
        <v>211.28899999999999</v>
      </c>
      <c r="G1513">
        <v>3929691</v>
      </c>
      <c r="H1513" t="s">
        <v>535</v>
      </c>
    </row>
    <row r="1514" spans="1:8" x14ac:dyDescent="0.25">
      <c r="A1514" t="s">
        <v>422</v>
      </c>
      <c r="B1514" t="s">
        <v>30</v>
      </c>
      <c r="C1514" t="s">
        <v>397</v>
      </c>
      <c r="D1514">
        <v>1000</v>
      </c>
      <c r="E1514">
        <v>220.61500000000001</v>
      </c>
      <c r="F1514">
        <v>241</v>
      </c>
      <c r="G1514">
        <v>3230495</v>
      </c>
      <c r="H1514" t="s">
        <v>629</v>
      </c>
    </row>
    <row r="1515" spans="1:8" x14ac:dyDescent="0.25">
      <c r="A1515" t="s">
        <v>422</v>
      </c>
      <c r="B1515" t="s">
        <v>30</v>
      </c>
      <c r="C1515" t="s">
        <v>397</v>
      </c>
      <c r="D1515">
        <v>500</v>
      </c>
      <c r="E1515">
        <v>164.995</v>
      </c>
      <c r="F1515">
        <v>87.183000000000007</v>
      </c>
      <c r="G1515">
        <v>3935313</v>
      </c>
      <c r="H1515" t="s">
        <v>560</v>
      </c>
    </row>
    <row r="1516" spans="1:8" x14ac:dyDescent="0.25">
      <c r="A1516" t="s">
        <v>517</v>
      </c>
      <c r="B1516" t="s">
        <v>19</v>
      </c>
      <c r="C1516" t="s">
        <v>397</v>
      </c>
      <c r="D1516">
        <v>5818</v>
      </c>
      <c r="E1516">
        <v>2040.7850000000001</v>
      </c>
      <c r="F1516">
        <v>2356.29</v>
      </c>
      <c r="G1516">
        <v>3616911</v>
      </c>
      <c r="H1516" t="s">
        <v>738</v>
      </c>
    </row>
    <row r="1517" spans="1:8" x14ac:dyDescent="0.25">
      <c r="A1517" t="s">
        <v>517</v>
      </c>
      <c r="B1517" t="s">
        <v>19</v>
      </c>
      <c r="C1517" t="s">
        <v>397</v>
      </c>
      <c r="D1517">
        <v>5837</v>
      </c>
      <c r="E1517">
        <v>2047.4490000000001</v>
      </c>
      <c r="F1517">
        <v>2363.9850000000001</v>
      </c>
      <c r="G1517">
        <v>3616911</v>
      </c>
      <c r="H1517" t="s">
        <v>738</v>
      </c>
    </row>
    <row r="1518" spans="1:8" x14ac:dyDescent="0.25">
      <c r="A1518" t="s">
        <v>517</v>
      </c>
      <c r="B1518" t="s">
        <v>19</v>
      </c>
      <c r="C1518" t="s">
        <v>397</v>
      </c>
      <c r="D1518">
        <v>2269</v>
      </c>
      <c r="E1518">
        <v>795.899</v>
      </c>
      <c r="F1518">
        <v>918.94500000000005</v>
      </c>
      <c r="G1518">
        <v>3616911</v>
      </c>
      <c r="H1518" t="s">
        <v>738</v>
      </c>
    </row>
    <row r="1519" spans="1:8" x14ac:dyDescent="0.25">
      <c r="A1519" t="s">
        <v>517</v>
      </c>
      <c r="B1519" t="s">
        <v>19</v>
      </c>
      <c r="C1519" t="s">
        <v>397</v>
      </c>
      <c r="D1519">
        <v>1496</v>
      </c>
      <c r="E1519">
        <v>524.75300000000004</v>
      </c>
      <c r="F1519">
        <v>605.88</v>
      </c>
      <c r="G1519">
        <v>3616911</v>
      </c>
      <c r="H1519" t="s">
        <v>738</v>
      </c>
    </row>
    <row r="1520" spans="1:8" x14ac:dyDescent="0.25">
      <c r="A1520" t="s">
        <v>517</v>
      </c>
      <c r="B1520" t="s">
        <v>19</v>
      </c>
      <c r="C1520" t="s">
        <v>397</v>
      </c>
      <c r="D1520">
        <v>5</v>
      </c>
      <c r="E1520">
        <v>1.754</v>
      </c>
      <c r="F1520">
        <v>2.0249999999999999</v>
      </c>
      <c r="G1520">
        <v>3616911</v>
      </c>
      <c r="H1520" t="s">
        <v>738</v>
      </c>
    </row>
    <row r="1521" spans="1:8" x14ac:dyDescent="0.25">
      <c r="A1521" t="s">
        <v>585</v>
      </c>
      <c r="B1521" t="s">
        <v>48</v>
      </c>
      <c r="C1521" t="s">
        <v>397</v>
      </c>
      <c r="D1521">
        <v>577</v>
      </c>
      <c r="E1521">
        <v>496.35500000000002</v>
      </c>
      <c r="F1521">
        <v>839.53499999999997</v>
      </c>
      <c r="G1521">
        <v>1940830</v>
      </c>
      <c r="H1521" t="s">
        <v>587</v>
      </c>
    </row>
    <row r="1522" spans="1:8" x14ac:dyDescent="0.25">
      <c r="A1522" t="s">
        <v>585</v>
      </c>
      <c r="B1522" t="s">
        <v>48</v>
      </c>
      <c r="C1522" t="s">
        <v>397</v>
      </c>
      <c r="D1522">
        <v>1274</v>
      </c>
      <c r="E1522">
        <v>1095.9380000000001</v>
      </c>
      <c r="F1522">
        <v>1853.67</v>
      </c>
      <c r="G1522">
        <v>1940830</v>
      </c>
      <c r="H1522" t="s">
        <v>587</v>
      </c>
    </row>
    <row r="1523" spans="1:8" x14ac:dyDescent="0.25">
      <c r="A1523" t="s">
        <v>585</v>
      </c>
      <c r="B1523" t="s">
        <v>48</v>
      </c>
      <c r="C1523" t="s">
        <v>397</v>
      </c>
      <c r="D1523">
        <v>1149</v>
      </c>
      <c r="E1523">
        <v>988.40899999999999</v>
      </c>
      <c r="F1523">
        <v>1671.7950000000001</v>
      </c>
      <c r="G1523">
        <v>1940830</v>
      </c>
      <c r="H1523" t="s">
        <v>587</v>
      </c>
    </row>
    <row r="1524" spans="1:8" x14ac:dyDescent="0.25">
      <c r="A1524" t="s">
        <v>585</v>
      </c>
      <c r="B1524" t="s">
        <v>48</v>
      </c>
      <c r="C1524" t="s">
        <v>397</v>
      </c>
      <c r="D1524">
        <v>2482</v>
      </c>
      <c r="E1524">
        <v>1605.8040000000001</v>
      </c>
      <c r="F1524">
        <v>2515.011</v>
      </c>
      <c r="G1524">
        <v>4229657</v>
      </c>
      <c r="H1524" t="s">
        <v>740</v>
      </c>
    </row>
    <row r="1525" spans="1:8" x14ac:dyDescent="0.25">
      <c r="A1525" t="s">
        <v>585</v>
      </c>
      <c r="B1525" t="s">
        <v>48</v>
      </c>
      <c r="C1525" t="s">
        <v>397</v>
      </c>
      <c r="D1525">
        <v>79</v>
      </c>
      <c r="E1525">
        <v>51.110999999999997</v>
      </c>
      <c r="F1525">
        <v>80.051000000000002</v>
      </c>
      <c r="G1525">
        <v>4229657</v>
      </c>
      <c r="H1525" t="s">
        <v>740</v>
      </c>
    </row>
    <row r="1526" spans="1:8" x14ac:dyDescent="0.25">
      <c r="A1526" t="s">
        <v>585</v>
      </c>
      <c r="B1526" t="s">
        <v>48</v>
      </c>
      <c r="C1526" t="s">
        <v>397</v>
      </c>
      <c r="D1526">
        <v>19</v>
      </c>
      <c r="E1526">
        <v>12.292999999999999</v>
      </c>
      <c r="F1526">
        <v>19.253</v>
      </c>
      <c r="G1526">
        <v>4229657</v>
      </c>
      <c r="H1526" t="s">
        <v>740</v>
      </c>
    </row>
    <row r="1527" spans="1:8" x14ac:dyDescent="0.25">
      <c r="A1527" t="s">
        <v>585</v>
      </c>
      <c r="B1527" t="s">
        <v>48</v>
      </c>
      <c r="C1527" t="s">
        <v>397</v>
      </c>
      <c r="D1527">
        <v>10</v>
      </c>
      <c r="E1527">
        <v>7.7</v>
      </c>
      <c r="F1527">
        <v>21.695</v>
      </c>
      <c r="G1527">
        <v>4141595</v>
      </c>
      <c r="H1527" t="s">
        <v>6037</v>
      </c>
    </row>
    <row r="1528" spans="1:8" x14ac:dyDescent="0.25">
      <c r="A1528" t="s">
        <v>422</v>
      </c>
      <c r="B1528" t="s">
        <v>30</v>
      </c>
      <c r="C1528" t="s">
        <v>444</v>
      </c>
      <c r="D1528">
        <v>303</v>
      </c>
      <c r="E1528">
        <v>1774</v>
      </c>
      <c r="F1528">
        <v>2439.0729999999999</v>
      </c>
      <c r="G1528">
        <v>3929636</v>
      </c>
      <c r="H1528" t="s">
        <v>742</v>
      </c>
    </row>
    <row r="1529" spans="1:8" x14ac:dyDescent="0.25">
      <c r="A1529" t="s">
        <v>422</v>
      </c>
      <c r="B1529" t="s">
        <v>30</v>
      </c>
      <c r="C1529" t="s">
        <v>444</v>
      </c>
      <c r="D1529">
        <v>92</v>
      </c>
      <c r="E1529">
        <v>538</v>
      </c>
      <c r="F1529">
        <v>739.69600000000003</v>
      </c>
      <c r="G1529">
        <v>3929636</v>
      </c>
      <c r="H1529" t="s">
        <v>742</v>
      </c>
    </row>
    <row r="1530" spans="1:8" x14ac:dyDescent="0.25">
      <c r="A1530" t="s">
        <v>422</v>
      </c>
      <c r="B1530" t="s">
        <v>30</v>
      </c>
      <c r="C1530" t="s">
        <v>444</v>
      </c>
      <c r="D1530">
        <v>5</v>
      </c>
      <c r="E1530">
        <v>32</v>
      </c>
      <c r="F1530">
        <v>43.997</v>
      </c>
      <c r="G1530">
        <v>3929636</v>
      </c>
      <c r="H1530" t="s">
        <v>742</v>
      </c>
    </row>
    <row r="1531" spans="1:8" x14ac:dyDescent="0.25">
      <c r="A1531" t="s">
        <v>422</v>
      </c>
      <c r="B1531" t="s">
        <v>30</v>
      </c>
      <c r="C1531" t="s">
        <v>444</v>
      </c>
      <c r="D1531">
        <v>813</v>
      </c>
      <c r="E1531">
        <v>4881</v>
      </c>
      <c r="F1531">
        <v>2699.681</v>
      </c>
      <c r="G1531">
        <v>1940146</v>
      </c>
      <c r="H1531" t="s">
        <v>451</v>
      </c>
    </row>
    <row r="1532" spans="1:8" x14ac:dyDescent="0.25">
      <c r="A1532" t="s">
        <v>422</v>
      </c>
      <c r="B1532" t="s">
        <v>30</v>
      </c>
      <c r="C1532" t="s">
        <v>444</v>
      </c>
      <c r="D1532">
        <v>674</v>
      </c>
      <c r="E1532">
        <v>4047</v>
      </c>
      <c r="F1532">
        <v>2238.3960000000002</v>
      </c>
      <c r="G1532">
        <v>1940146</v>
      </c>
      <c r="H1532" t="s">
        <v>451</v>
      </c>
    </row>
    <row r="1533" spans="1:8" x14ac:dyDescent="0.25">
      <c r="A1533" t="s">
        <v>422</v>
      </c>
      <c r="B1533" t="s">
        <v>30</v>
      </c>
      <c r="C1533" t="s">
        <v>444</v>
      </c>
      <c r="D1533">
        <v>300</v>
      </c>
      <c r="E1533">
        <v>1704</v>
      </c>
      <c r="F1533">
        <v>1861.45</v>
      </c>
      <c r="G1533">
        <v>3597714</v>
      </c>
      <c r="H1533" t="s">
        <v>744</v>
      </c>
    </row>
    <row r="1534" spans="1:8" x14ac:dyDescent="0.25">
      <c r="A1534" t="s">
        <v>6025</v>
      </c>
      <c r="B1534" t="s">
        <v>40</v>
      </c>
      <c r="C1534" t="s">
        <v>397</v>
      </c>
      <c r="D1534">
        <v>1125</v>
      </c>
      <c r="E1534">
        <v>995.14700000000005</v>
      </c>
      <c r="F1534">
        <v>948.375</v>
      </c>
      <c r="G1534">
        <v>1942696</v>
      </c>
      <c r="H1534" t="s">
        <v>1532</v>
      </c>
    </row>
    <row r="1535" spans="1:8" x14ac:dyDescent="0.25">
      <c r="A1535" t="s">
        <v>6025</v>
      </c>
      <c r="B1535" t="s">
        <v>40</v>
      </c>
      <c r="C1535" t="s">
        <v>397</v>
      </c>
      <c r="D1535">
        <v>1055</v>
      </c>
      <c r="E1535">
        <v>933.22699999999998</v>
      </c>
      <c r="F1535">
        <v>889.36500000000001</v>
      </c>
      <c r="G1535">
        <v>1942696</v>
      </c>
      <c r="H1535" t="s">
        <v>1532</v>
      </c>
    </row>
    <row r="1536" spans="1:8" x14ac:dyDescent="0.25">
      <c r="A1536" t="s">
        <v>6025</v>
      </c>
      <c r="B1536" t="s">
        <v>40</v>
      </c>
      <c r="C1536" t="s">
        <v>397</v>
      </c>
      <c r="D1536">
        <v>856</v>
      </c>
      <c r="E1536">
        <v>757.19600000000003</v>
      </c>
      <c r="F1536">
        <v>721.60799999999995</v>
      </c>
      <c r="G1536">
        <v>1942696</v>
      </c>
      <c r="H1536" t="s">
        <v>1532</v>
      </c>
    </row>
    <row r="1537" spans="1:8" x14ac:dyDescent="0.25">
      <c r="A1537" t="s">
        <v>6025</v>
      </c>
      <c r="B1537" t="s">
        <v>40</v>
      </c>
      <c r="C1537" t="s">
        <v>397</v>
      </c>
      <c r="D1537">
        <v>835</v>
      </c>
      <c r="E1537">
        <v>738.62</v>
      </c>
      <c r="F1537">
        <v>703.90499999999997</v>
      </c>
      <c r="G1537">
        <v>1942696</v>
      </c>
      <c r="H1537" t="s">
        <v>1532</v>
      </c>
    </row>
    <row r="1538" spans="1:8" x14ac:dyDescent="0.25">
      <c r="A1538" t="s">
        <v>6025</v>
      </c>
      <c r="B1538" t="s">
        <v>40</v>
      </c>
      <c r="C1538" t="s">
        <v>397</v>
      </c>
      <c r="D1538">
        <v>129</v>
      </c>
      <c r="E1538">
        <v>114.11</v>
      </c>
      <c r="F1538">
        <v>108.747</v>
      </c>
      <c r="G1538">
        <v>1942696</v>
      </c>
      <c r="H1538" t="s">
        <v>1532</v>
      </c>
    </row>
    <row r="1539" spans="1:8" x14ac:dyDescent="0.25">
      <c r="A1539" t="s">
        <v>6025</v>
      </c>
      <c r="B1539" t="s">
        <v>40</v>
      </c>
      <c r="C1539" t="s">
        <v>397</v>
      </c>
      <c r="D1539">
        <v>2500</v>
      </c>
      <c r="E1539">
        <v>1037.7860000000001</v>
      </c>
      <c r="F1539">
        <v>975</v>
      </c>
      <c r="G1539">
        <v>3551623</v>
      </c>
      <c r="H1539" t="s">
        <v>1569</v>
      </c>
    </row>
    <row r="1540" spans="1:8" x14ac:dyDescent="0.25">
      <c r="A1540" t="s">
        <v>6025</v>
      </c>
      <c r="B1540" t="s">
        <v>40</v>
      </c>
      <c r="C1540" t="s">
        <v>397</v>
      </c>
      <c r="D1540">
        <v>2949</v>
      </c>
      <c r="E1540">
        <v>1610.9269999999999</v>
      </c>
      <c r="F1540">
        <v>2320.8629999999998</v>
      </c>
      <c r="G1540">
        <v>1940817</v>
      </c>
      <c r="H1540" t="s">
        <v>1679</v>
      </c>
    </row>
    <row r="1541" spans="1:8" x14ac:dyDescent="0.25">
      <c r="A1541" t="s">
        <v>6025</v>
      </c>
      <c r="B1541" t="s">
        <v>40</v>
      </c>
      <c r="C1541" t="s">
        <v>397</v>
      </c>
      <c r="D1541">
        <v>51</v>
      </c>
      <c r="E1541">
        <v>27.859000000000002</v>
      </c>
      <c r="F1541">
        <v>40.137</v>
      </c>
      <c r="G1541">
        <v>1940817</v>
      </c>
      <c r="H1541" t="s">
        <v>1679</v>
      </c>
    </row>
    <row r="1542" spans="1:8" x14ac:dyDescent="0.25">
      <c r="A1542" t="s">
        <v>6025</v>
      </c>
      <c r="B1542" t="s">
        <v>40</v>
      </c>
      <c r="C1542" t="s">
        <v>397</v>
      </c>
      <c r="D1542">
        <v>3152</v>
      </c>
      <c r="E1542">
        <v>2821.0419999999999</v>
      </c>
      <c r="F1542">
        <v>2338.6439999999998</v>
      </c>
      <c r="G1542">
        <v>4229937</v>
      </c>
      <c r="H1542" t="s">
        <v>6038</v>
      </c>
    </row>
    <row r="1543" spans="1:8" x14ac:dyDescent="0.25">
      <c r="A1543" t="s">
        <v>6025</v>
      </c>
      <c r="B1543" t="s">
        <v>40</v>
      </c>
      <c r="C1543" t="s">
        <v>397</v>
      </c>
      <c r="D1543">
        <v>1848</v>
      </c>
      <c r="E1543">
        <v>1653.961</v>
      </c>
      <c r="F1543">
        <v>1371.134</v>
      </c>
      <c r="G1543">
        <v>4229937</v>
      </c>
      <c r="H1543" t="s">
        <v>6038</v>
      </c>
    </row>
    <row r="1544" spans="1:8" x14ac:dyDescent="0.25">
      <c r="A1544" t="s">
        <v>6025</v>
      </c>
      <c r="B1544" t="s">
        <v>40</v>
      </c>
      <c r="C1544" t="s">
        <v>397</v>
      </c>
      <c r="D1544">
        <v>3590</v>
      </c>
      <c r="E1544">
        <v>1672.9269999999999</v>
      </c>
      <c r="F1544">
        <v>1386.857</v>
      </c>
      <c r="G1544">
        <v>4229936</v>
      </c>
      <c r="H1544" t="s">
        <v>6039</v>
      </c>
    </row>
    <row r="1545" spans="1:8" x14ac:dyDescent="0.25">
      <c r="A1545" t="s">
        <v>6025</v>
      </c>
      <c r="B1545" t="s">
        <v>40</v>
      </c>
      <c r="C1545" t="s">
        <v>397</v>
      </c>
      <c r="D1545">
        <v>1410</v>
      </c>
      <c r="E1545">
        <v>657.05499999999995</v>
      </c>
      <c r="F1545">
        <v>544.69899999999996</v>
      </c>
      <c r="G1545">
        <v>4229936</v>
      </c>
      <c r="H1545" t="s">
        <v>6039</v>
      </c>
    </row>
    <row r="1546" spans="1:8" x14ac:dyDescent="0.25">
      <c r="A1546" t="s">
        <v>6040</v>
      </c>
      <c r="B1546" t="s">
        <v>40</v>
      </c>
      <c r="C1546" t="s">
        <v>397</v>
      </c>
      <c r="D1546">
        <v>1617</v>
      </c>
      <c r="E1546">
        <v>373.48500000000001</v>
      </c>
      <c r="F1546">
        <v>350.88900000000001</v>
      </c>
      <c r="G1546">
        <v>2398620</v>
      </c>
      <c r="H1546" t="s">
        <v>1567</v>
      </c>
    </row>
    <row r="1547" spans="1:8" x14ac:dyDescent="0.25">
      <c r="A1547" t="s">
        <v>6040</v>
      </c>
      <c r="B1547" t="s">
        <v>40</v>
      </c>
      <c r="C1547" t="s">
        <v>397</v>
      </c>
      <c r="D1547">
        <v>8</v>
      </c>
      <c r="E1547">
        <v>1.8480000000000001</v>
      </c>
      <c r="F1547">
        <v>1.736</v>
      </c>
      <c r="G1547">
        <v>2398620</v>
      </c>
      <c r="H1547" t="s">
        <v>1567</v>
      </c>
    </row>
    <row r="1548" spans="1:8" x14ac:dyDescent="0.25">
      <c r="A1548" t="s">
        <v>453</v>
      </c>
      <c r="B1548" t="s">
        <v>60</v>
      </c>
      <c r="C1548" t="s">
        <v>397</v>
      </c>
      <c r="D1548">
        <v>1349</v>
      </c>
      <c r="E1548">
        <v>1767.7139999999999</v>
      </c>
      <c r="F1548">
        <v>1946.607</v>
      </c>
      <c r="G1548">
        <v>1940801</v>
      </c>
      <c r="H1548" t="s">
        <v>478</v>
      </c>
    </row>
    <row r="1549" spans="1:8" x14ac:dyDescent="0.25">
      <c r="A1549" t="s">
        <v>453</v>
      </c>
      <c r="B1549" t="s">
        <v>60</v>
      </c>
      <c r="C1549" t="s">
        <v>397</v>
      </c>
      <c r="D1549">
        <v>151</v>
      </c>
      <c r="E1549">
        <v>197.869</v>
      </c>
      <c r="F1549">
        <v>217.893</v>
      </c>
      <c r="G1549">
        <v>1940801</v>
      </c>
      <c r="H1549" t="s">
        <v>478</v>
      </c>
    </row>
    <row r="1550" spans="1:8" x14ac:dyDescent="0.25">
      <c r="A1550" t="s">
        <v>453</v>
      </c>
      <c r="B1550" t="s">
        <v>60</v>
      </c>
      <c r="C1550" t="s">
        <v>397</v>
      </c>
      <c r="D1550">
        <v>500</v>
      </c>
      <c r="E1550">
        <v>623.41099999999994</v>
      </c>
      <c r="F1550">
        <v>686.5</v>
      </c>
      <c r="G1550">
        <v>3233554</v>
      </c>
      <c r="H1550" t="s">
        <v>480</v>
      </c>
    </row>
    <row r="1551" spans="1:8" x14ac:dyDescent="0.25">
      <c r="A1551" t="s">
        <v>453</v>
      </c>
      <c r="B1551" t="s">
        <v>60</v>
      </c>
      <c r="C1551" t="s">
        <v>397</v>
      </c>
      <c r="D1551">
        <v>1898</v>
      </c>
      <c r="E1551">
        <v>2126.8910000000001</v>
      </c>
      <c r="F1551">
        <v>2342.1320000000001</v>
      </c>
      <c r="G1551">
        <v>3233555</v>
      </c>
      <c r="H1551" t="s">
        <v>482</v>
      </c>
    </row>
    <row r="1552" spans="1:8" x14ac:dyDescent="0.25">
      <c r="A1552" t="s">
        <v>453</v>
      </c>
      <c r="B1552" t="s">
        <v>60</v>
      </c>
      <c r="C1552" t="s">
        <v>397</v>
      </c>
      <c r="D1552">
        <v>102</v>
      </c>
      <c r="E1552">
        <v>114.301</v>
      </c>
      <c r="F1552">
        <v>125.86799999999999</v>
      </c>
      <c r="G1552">
        <v>3233555</v>
      </c>
      <c r="H1552" t="s">
        <v>482</v>
      </c>
    </row>
    <row r="1553" spans="1:8" x14ac:dyDescent="0.25">
      <c r="A1553" t="s">
        <v>453</v>
      </c>
      <c r="B1553" t="s">
        <v>60</v>
      </c>
      <c r="C1553" t="s">
        <v>397</v>
      </c>
      <c r="D1553">
        <v>2000</v>
      </c>
      <c r="E1553">
        <v>1720.981</v>
      </c>
      <c r="F1553">
        <v>1880</v>
      </c>
      <c r="G1553">
        <v>3572051</v>
      </c>
      <c r="H1553" t="s">
        <v>484</v>
      </c>
    </row>
    <row r="1554" spans="1:8" x14ac:dyDescent="0.25">
      <c r="A1554" t="s">
        <v>453</v>
      </c>
      <c r="B1554" t="s">
        <v>60</v>
      </c>
      <c r="C1554" t="s">
        <v>397</v>
      </c>
      <c r="D1554">
        <v>949</v>
      </c>
      <c r="E1554">
        <v>716.48900000000003</v>
      </c>
      <c r="F1554">
        <v>782.69299999999998</v>
      </c>
      <c r="G1554">
        <v>4151472</v>
      </c>
      <c r="H1554" t="s">
        <v>488</v>
      </c>
    </row>
    <row r="1555" spans="1:8" x14ac:dyDescent="0.25">
      <c r="A1555" t="s">
        <v>453</v>
      </c>
      <c r="B1555" t="s">
        <v>60</v>
      </c>
      <c r="C1555" t="s">
        <v>397</v>
      </c>
      <c r="D1555">
        <v>25</v>
      </c>
      <c r="E1555">
        <v>18.875</v>
      </c>
      <c r="F1555">
        <v>20.619</v>
      </c>
      <c r="G1555">
        <v>4151472</v>
      </c>
      <c r="H1555" t="s">
        <v>488</v>
      </c>
    </row>
    <row r="1556" spans="1:8" x14ac:dyDescent="0.25">
      <c r="A1556" t="s">
        <v>453</v>
      </c>
      <c r="B1556" t="s">
        <v>60</v>
      </c>
      <c r="C1556" t="s">
        <v>397</v>
      </c>
      <c r="D1556">
        <v>17</v>
      </c>
      <c r="E1556">
        <v>12.835000000000001</v>
      </c>
      <c r="F1556">
        <v>14.021000000000001</v>
      </c>
      <c r="G1556">
        <v>4151472</v>
      </c>
      <c r="H1556" t="s">
        <v>488</v>
      </c>
    </row>
    <row r="1557" spans="1:8" x14ac:dyDescent="0.25">
      <c r="A1557" t="s">
        <v>453</v>
      </c>
      <c r="B1557" t="s">
        <v>60</v>
      </c>
      <c r="C1557" t="s">
        <v>397</v>
      </c>
      <c r="D1557">
        <v>9</v>
      </c>
      <c r="E1557">
        <v>6.7949999999999999</v>
      </c>
      <c r="F1557">
        <v>7.423</v>
      </c>
      <c r="G1557">
        <v>4151472</v>
      </c>
      <c r="H1557" t="s">
        <v>488</v>
      </c>
    </row>
    <row r="1558" spans="1:8" x14ac:dyDescent="0.25">
      <c r="A1558" t="s">
        <v>453</v>
      </c>
      <c r="B1558" t="s">
        <v>60</v>
      </c>
      <c r="C1558" t="s">
        <v>397</v>
      </c>
      <c r="D1558">
        <v>1000</v>
      </c>
      <c r="E1558">
        <v>120.777</v>
      </c>
      <c r="F1558">
        <v>133</v>
      </c>
      <c r="G1558">
        <v>3233559</v>
      </c>
      <c r="H1558" t="s">
        <v>490</v>
      </c>
    </row>
    <row r="1559" spans="1:8" x14ac:dyDescent="0.25">
      <c r="A1559" t="s">
        <v>453</v>
      </c>
      <c r="B1559" t="s">
        <v>60</v>
      </c>
      <c r="C1559" t="s">
        <v>397</v>
      </c>
      <c r="D1559">
        <v>1000</v>
      </c>
      <c r="E1559">
        <v>110.765</v>
      </c>
      <c r="F1559">
        <v>121</v>
      </c>
      <c r="G1559">
        <v>3572047</v>
      </c>
      <c r="H1559" t="s">
        <v>492</v>
      </c>
    </row>
    <row r="1560" spans="1:8" x14ac:dyDescent="0.25">
      <c r="A1560" t="s">
        <v>453</v>
      </c>
      <c r="B1560" t="s">
        <v>60</v>
      </c>
      <c r="C1560" t="s">
        <v>397</v>
      </c>
      <c r="D1560">
        <v>800</v>
      </c>
      <c r="E1560">
        <v>635.99300000000005</v>
      </c>
      <c r="F1560">
        <v>351.83100000000002</v>
      </c>
      <c r="G1560">
        <v>4151429</v>
      </c>
      <c r="H1560" t="s">
        <v>494</v>
      </c>
    </row>
    <row r="1561" spans="1:8" x14ac:dyDescent="0.25">
      <c r="A1561" t="s">
        <v>453</v>
      </c>
      <c r="B1561" t="s">
        <v>60</v>
      </c>
      <c r="C1561" t="s">
        <v>397</v>
      </c>
      <c r="D1561">
        <v>149</v>
      </c>
      <c r="E1561">
        <v>118.45399999999999</v>
      </c>
      <c r="F1561">
        <v>65.528999999999996</v>
      </c>
      <c r="G1561">
        <v>4151429</v>
      </c>
      <c r="H1561" t="s">
        <v>494</v>
      </c>
    </row>
    <row r="1562" spans="1:8" x14ac:dyDescent="0.25">
      <c r="A1562" t="s">
        <v>453</v>
      </c>
      <c r="B1562" t="s">
        <v>60</v>
      </c>
      <c r="C1562" t="s">
        <v>397</v>
      </c>
      <c r="D1562">
        <v>51</v>
      </c>
      <c r="E1562">
        <v>40.545000000000002</v>
      </c>
      <c r="F1562">
        <v>22.428999999999998</v>
      </c>
      <c r="G1562">
        <v>4151429</v>
      </c>
      <c r="H1562" t="s">
        <v>494</v>
      </c>
    </row>
    <row r="1563" spans="1:8" x14ac:dyDescent="0.25">
      <c r="A1563" t="s">
        <v>453</v>
      </c>
      <c r="B1563" t="s">
        <v>60</v>
      </c>
      <c r="C1563" t="s">
        <v>397</v>
      </c>
      <c r="D1563">
        <v>1000</v>
      </c>
      <c r="E1563">
        <v>469.99400000000003</v>
      </c>
      <c r="F1563">
        <v>256.10000000000002</v>
      </c>
      <c r="G1563">
        <v>3230488</v>
      </c>
      <c r="H1563" t="s">
        <v>496</v>
      </c>
    </row>
    <row r="1564" spans="1:8" x14ac:dyDescent="0.25">
      <c r="A1564" t="s">
        <v>453</v>
      </c>
      <c r="B1564" t="s">
        <v>60</v>
      </c>
      <c r="C1564" t="s">
        <v>397</v>
      </c>
      <c r="D1564">
        <v>4000</v>
      </c>
      <c r="E1564">
        <v>1597.9749999999999</v>
      </c>
      <c r="F1564">
        <v>884</v>
      </c>
      <c r="G1564">
        <v>3230487</v>
      </c>
      <c r="H1564" t="s">
        <v>498</v>
      </c>
    </row>
    <row r="1565" spans="1:8" x14ac:dyDescent="0.25">
      <c r="A1565" t="s">
        <v>453</v>
      </c>
      <c r="B1565" t="s">
        <v>60</v>
      </c>
      <c r="C1565" t="s">
        <v>397</v>
      </c>
      <c r="D1565">
        <v>2000</v>
      </c>
      <c r="E1565">
        <v>199.99600000000001</v>
      </c>
      <c r="F1565">
        <v>109</v>
      </c>
      <c r="G1565">
        <v>3931834</v>
      </c>
      <c r="H1565" t="s">
        <v>500</v>
      </c>
    </row>
    <row r="1566" spans="1:8" x14ac:dyDescent="0.25">
      <c r="A1566" t="s">
        <v>453</v>
      </c>
      <c r="B1566" t="s">
        <v>60</v>
      </c>
      <c r="C1566" t="s">
        <v>397</v>
      </c>
      <c r="D1566">
        <v>1000</v>
      </c>
      <c r="E1566">
        <v>115.006</v>
      </c>
      <c r="F1566">
        <v>62.667000000000002</v>
      </c>
      <c r="G1566">
        <v>4151428</v>
      </c>
      <c r="H1566" t="s">
        <v>504</v>
      </c>
    </row>
    <row r="1567" spans="1:8" x14ac:dyDescent="0.25">
      <c r="A1567" t="s">
        <v>453</v>
      </c>
      <c r="B1567" t="s">
        <v>60</v>
      </c>
      <c r="C1567" t="s">
        <v>397</v>
      </c>
      <c r="D1567">
        <v>1000</v>
      </c>
      <c r="E1567">
        <v>962.99</v>
      </c>
      <c r="F1567">
        <v>524.73299999999995</v>
      </c>
      <c r="G1567">
        <v>4151427</v>
      </c>
      <c r="H1567" t="s">
        <v>509</v>
      </c>
    </row>
    <row r="1568" spans="1:8" x14ac:dyDescent="0.25">
      <c r="A1568" t="s">
        <v>453</v>
      </c>
      <c r="B1568" t="s">
        <v>60</v>
      </c>
      <c r="C1568" t="s">
        <v>397</v>
      </c>
      <c r="D1568">
        <v>999</v>
      </c>
      <c r="E1568">
        <v>754.24599999999998</v>
      </c>
      <c r="F1568">
        <v>410.98899999999998</v>
      </c>
      <c r="G1568">
        <v>4151426</v>
      </c>
      <c r="H1568" t="s">
        <v>511</v>
      </c>
    </row>
    <row r="1569" spans="1:8" x14ac:dyDescent="0.25">
      <c r="A1569" t="s">
        <v>453</v>
      </c>
      <c r="B1569" t="s">
        <v>60</v>
      </c>
      <c r="C1569" t="s">
        <v>397</v>
      </c>
      <c r="D1569">
        <v>1</v>
      </c>
      <c r="E1569">
        <v>0.755</v>
      </c>
      <c r="F1569">
        <v>0.41099999999999998</v>
      </c>
      <c r="G1569">
        <v>4151426</v>
      </c>
      <c r="H1569" t="s">
        <v>511</v>
      </c>
    </row>
    <row r="1570" spans="1:8" x14ac:dyDescent="0.25">
      <c r="A1570" t="s">
        <v>453</v>
      </c>
      <c r="B1570" t="s">
        <v>60</v>
      </c>
      <c r="C1570" t="s">
        <v>397</v>
      </c>
      <c r="D1570">
        <v>1000</v>
      </c>
      <c r="E1570">
        <v>356.11</v>
      </c>
      <c r="F1570">
        <v>197</v>
      </c>
      <c r="G1570">
        <v>3230490</v>
      </c>
      <c r="H1570" t="s">
        <v>515</v>
      </c>
    </row>
    <row r="1571" spans="1:8" x14ac:dyDescent="0.25">
      <c r="A1571" t="s">
        <v>453</v>
      </c>
      <c r="B1571" t="s">
        <v>60</v>
      </c>
      <c r="C1571" t="s">
        <v>397</v>
      </c>
      <c r="D1571">
        <v>1000</v>
      </c>
      <c r="E1571">
        <v>1303.991</v>
      </c>
      <c r="F1571">
        <v>710.54399999999998</v>
      </c>
      <c r="G1571">
        <v>3572039</v>
      </c>
      <c r="H1571" t="s">
        <v>519</v>
      </c>
    </row>
    <row r="1572" spans="1:8" x14ac:dyDescent="0.25">
      <c r="A1572" t="s">
        <v>453</v>
      </c>
      <c r="B1572" t="s">
        <v>60</v>
      </c>
      <c r="C1572" t="s">
        <v>397</v>
      </c>
      <c r="D1572">
        <v>500</v>
      </c>
      <c r="E1572">
        <v>622.99900000000002</v>
      </c>
      <c r="F1572">
        <v>339.47199999999998</v>
      </c>
      <c r="G1572">
        <v>3572038</v>
      </c>
      <c r="H1572" t="s">
        <v>521</v>
      </c>
    </row>
    <row r="1573" spans="1:8" x14ac:dyDescent="0.25">
      <c r="A1573" t="s">
        <v>453</v>
      </c>
      <c r="B1573" t="s">
        <v>60</v>
      </c>
      <c r="C1573" t="s">
        <v>397</v>
      </c>
      <c r="D1573">
        <v>699</v>
      </c>
      <c r="E1573">
        <v>583.66499999999996</v>
      </c>
      <c r="F1573">
        <v>322.88400000000001</v>
      </c>
      <c r="G1573">
        <v>4151425</v>
      </c>
      <c r="H1573" t="s">
        <v>523</v>
      </c>
    </row>
    <row r="1574" spans="1:8" x14ac:dyDescent="0.25">
      <c r="A1574" t="s">
        <v>453</v>
      </c>
      <c r="B1574" t="s">
        <v>60</v>
      </c>
      <c r="C1574" t="s">
        <v>397</v>
      </c>
      <c r="D1574">
        <v>301</v>
      </c>
      <c r="E1574">
        <v>251.33500000000001</v>
      </c>
      <c r="F1574">
        <v>139.03899999999999</v>
      </c>
      <c r="G1574">
        <v>4151425</v>
      </c>
      <c r="H1574" t="s">
        <v>523</v>
      </c>
    </row>
    <row r="1575" spans="1:8" x14ac:dyDescent="0.25">
      <c r="A1575" t="s">
        <v>453</v>
      </c>
      <c r="B1575" t="s">
        <v>60</v>
      </c>
      <c r="C1575" t="s">
        <v>397</v>
      </c>
      <c r="D1575">
        <v>595</v>
      </c>
      <c r="E1575">
        <v>321.298</v>
      </c>
      <c r="F1575">
        <v>175.07499999999999</v>
      </c>
      <c r="G1575">
        <v>3571870</v>
      </c>
      <c r="H1575" t="s">
        <v>525</v>
      </c>
    </row>
    <row r="1576" spans="1:8" x14ac:dyDescent="0.25">
      <c r="A1576" t="s">
        <v>453</v>
      </c>
      <c r="B1576" t="s">
        <v>60</v>
      </c>
      <c r="C1576" t="s">
        <v>397</v>
      </c>
      <c r="D1576">
        <v>405</v>
      </c>
      <c r="E1576">
        <v>218.69900000000001</v>
      </c>
      <c r="F1576">
        <v>119.169</v>
      </c>
      <c r="G1576">
        <v>3571870</v>
      </c>
      <c r="H1576" t="s">
        <v>525</v>
      </c>
    </row>
    <row r="1577" spans="1:8" x14ac:dyDescent="0.25">
      <c r="A1577" t="s">
        <v>453</v>
      </c>
      <c r="B1577" t="s">
        <v>60</v>
      </c>
      <c r="C1577" t="s">
        <v>397</v>
      </c>
      <c r="D1577">
        <v>835</v>
      </c>
      <c r="E1577">
        <v>91.856999999999999</v>
      </c>
      <c r="F1577">
        <v>50.063000000000002</v>
      </c>
      <c r="G1577">
        <v>3931835</v>
      </c>
      <c r="H1577" t="s">
        <v>527</v>
      </c>
    </row>
    <row r="1578" spans="1:8" x14ac:dyDescent="0.25">
      <c r="A1578" t="s">
        <v>453</v>
      </c>
      <c r="B1578" t="s">
        <v>60</v>
      </c>
      <c r="C1578" t="s">
        <v>397</v>
      </c>
      <c r="D1578">
        <v>165</v>
      </c>
      <c r="E1578">
        <v>18.151</v>
      </c>
      <c r="F1578">
        <v>9.8930000000000007</v>
      </c>
      <c r="G1578">
        <v>3931835</v>
      </c>
      <c r="H1578" t="s">
        <v>527</v>
      </c>
    </row>
    <row r="1579" spans="1:8" x14ac:dyDescent="0.25">
      <c r="A1579" t="s">
        <v>453</v>
      </c>
      <c r="B1579" t="s">
        <v>60</v>
      </c>
      <c r="C1579" t="s">
        <v>397</v>
      </c>
      <c r="D1579">
        <v>1000</v>
      </c>
      <c r="E1579">
        <v>639.99800000000005</v>
      </c>
      <c r="F1579">
        <v>578.87800000000004</v>
      </c>
      <c r="G1579">
        <v>4151430</v>
      </c>
      <c r="H1579" t="s">
        <v>530</v>
      </c>
    </row>
    <row r="1580" spans="1:8" x14ac:dyDescent="0.25">
      <c r="A1580" t="s">
        <v>453</v>
      </c>
      <c r="B1580" t="s">
        <v>60</v>
      </c>
      <c r="C1580" t="s">
        <v>397</v>
      </c>
      <c r="D1580">
        <v>500</v>
      </c>
      <c r="E1580">
        <v>615.00400000000002</v>
      </c>
      <c r="F1580">
        <v>324.87200000000001</v>
      </c>
      <c r="G1580">
        <v>3929692</v>
      </c>
      <c r="H1580" t="s">
        <v>533</v>
      </c>
    </row>
    <row r="1581" spans="1:8" x14ac:dyDescent="0.25">
      <c r="A1581" t="s">
        <v>453</v>
      </c>
      <c r="B1581" t="s">
        <v>60</v>
      </c>
      <c r="C1581" t="s">
        <v>397</v>
      </c>
      <c r="D1581">
        <v>2997</v>
      </c>
      <c r="E1581">
        <v>599.375</v>
      </c>
      <c r="F1581">
        <v>316.61599999999999</v>
      </c>
      <c r="G1581">
        <v>3929691</v>
      </c>
      <c r="H1581" t="s">
        <v>535</v>
      </c>
    </row>
    <row r="1582" spans="1:8" x14ac:dyDescent="0.25">
      <c r="A1582" t="s">
        <v>453</v>
      </c>
      <c r="B1582" t="s">
        <v>60</v>
      </c>
      <c r="C1582" t="s">
        <v>397</v>
      </c>
      <c r="D1582">
        <v>3</v>
      </c>
      <c r="E1582">
        <v>0.6</v>
      </c>
      <c r="F1582">
        <v>0.317</v>
      </c>
      <c r="G1582">
        <v>3929691</v>
      </c>
      <c r="H1582" t="s">
        <v>535</v>
      </c>
    </row>
    <row r="1583" spans="1:8" x14ac:dyDescent="0.25">
      <c r="A1583" t="s">
        <v>453</v>
      </c>
      <c r="B1583" t="s">
        <v>60</v>
      </c>
      <c r="C1583" t="s">
        <v>397</v>
      </c>
      <c r="D1583">
        <v>1000</v>
      </c>
      <c r="E1583">
        <v>150</v>
      </c>
      <c r="F1583">
        <v>65.167000000000002</v>
      </c>
      <c r="G1583">
        <v>4104140</v>
      </c>
      <c r="H1583" t="s">
        <v>502</v>
      </c>
    </row>
    <row r="1584" spans="1:8" x14ac:dyDescent="0.25">
      <c r="A1584" t="s">
        <v>453</v>
      </c>
      <c r="B1584" t="s">
        <v>60</v>
      </c>
      <c r="C1584" t="s">
        <v>397</v>
      </c>
      <c r="D1584">
        <v>2000</v>
      </c>
      <c r="E1584">
        <v>317.35199999999998</v>
      </c>
      <c r="F1584">
        <v>466</v>
      </c>
      <c r="G1584">
        <v>3572055</v>
      </c>
      <c r="H1584" t="s">
        <v>542</v>
      </c>
    </row>
    <row r="1585" spans="1:8" x14ac:dyDescent="0.25">
      <c r="A1585" t="s">
        <v>453</v>
      </c>
      <c r="B1585" t="s">
        <v>60</v>
      </c>
      <c r="C1585" t="s">
        <v>397</v>
      </c>
      <c r="D1585">
        <v>499</v>
      </c>
      <c r="E1585">
        <v>57.384999999999998</v>
      </c>
      <c r="F1585">
        <v>84.263999999999996</v>
      </c>
      <c r="G1585">
        <v>4151471</v>
      </c>
      <c r="H1585" t="s">
        <v>544</v>
      </c>
    </row>
    <row r="1586" spans="1:8" x14ac:dyDescent="0.25">
      <c r="A1586" t="s">
        <v>453</v>
      </c>
      <c r="B1586" t="s">
        <v>60</v>
      </c>
      <c r="C1586" t="s">
        <v>397</v>
      </c>
      <c r="D1586">
        <v>399</v>
      </c>
      <c r="E1586">
        <v>45.884999999999998</v>
      </c>
      <c r="F1586">
        <v>67.378</v>
      </c>
      <c r="G1586">
        <v>4151471</v>
      </c>
      <c r="H1586" t="s">
        <v>544</v>
      </c>
    </row>
    <row r="1587" spans="1:8" x14ac:dyDescent="0.25">
      <c r="A1587" t="s">
        <v>453</v>
      </c>
      <c r="B1587" t="s">
        <v>60</v>
      </c>
      <c r="C1587" t="s">
        <v>397</v>
      </c>
      <c r="D1587">
        <v>102</v>
      </c>
      <c r="E1587">
        <v>11.73</v>
      </c>
      <c r="F1587">
        <v>17.224</v>
      </c>
      <c r="G1587">
        <v>4151471</v>
      </c>
      <c r="H1587" t="s">
        <v>544</v>
      </c>
    </row>
    <row r="1588" spans="1:8" x14ac:dyDescent="0.25">
      <c r="A1588" t="s">
        <v>453</v>
      </c>
      <c r="B1588" t="s">
        <v>60</v>
      </c>
      <c r="C1588" t="s">
        <v>397</v>
      </c>
      <c r="D1588">
        <v>1000</v>
      </c>
      <c r="E1588">
        <v>190</v>
      </c>
      <c r="F1588">
        <v>207.55600000000001</v>
      </c>
      <c r="G1588">
        <v>4151424</v>
      </c>
      <c r="H1588" t="s">
        <v>550</v>
      </c>
    </row>
    <row r="1589" spans="1:8" x14ac:dyDescent="0.25">
      <c r="A1589" t="s">
        <v>453</v>
      </c>
      <c r="B1589" t="s">
        <v>60</v>
      </c>
      <c r="C1589" t="s">
        <v>397</v>
      </c>
      <c r="D1589">
        <v>500</v>
      </c>
      <c r="E1589">
        <v>503.50700000000001</v>
      </c>
      <c r="F1589">
        <v>274.41699999999997</v>
      </c>
      <c r="G1589">
        <v>4100796</v>
      </c>
      <c r="H1589" t="s">
        <v>552</v>
      </c>
    </row>
    <row r="1590" spans="1:8" x14ac:dyDescent="0.25">
      <c r="A1590" t="s">
        <v>453</v>
      </c>
      <c r="B1590" t="s">
        <v>60</v>
      </c>
      <c r="C1590" t="s">
        <v>397</v>
      </c>
      <c r="D1590">
        <v>1000</v>
      </c>
      <c r="E1590">
        <v>129.00899999999999</v>
      </c>
      <c r="F1590">
        <v>70.311000000000007</v>
      </c>
      <c r="G1590">
        <v>3938687</v>
      </c>
      <c r="H1590" t="s">
        <v>554</v>
      </c>
    </row>
    <row r="1591" spans="1:8" x14ac:dyDescent="0.25">
      <c r="A1591" t="s">
        <v>453</v>
      </c>
      <c r="B1591" t="s">
        <v>60</v>
      </c>
      <c r="C1591" t="s">
        <v>397</v>
      </c>
      <c r="D1591">
        <v>500</v>
      </c>
      <c r="E1591">
        <v>164.995</v>
      </c>
      <c r="F1591">
        <v>87.183000000000007</v>
      </c>
      <c r="G1591">
        <v>3935313</v>
      </c>
      <c r="H1591" t="s">
        <v>560</v>
      </c>
    </row>
    <row r="1592" spans="1:8" x14ac:dyDescent="0.25">
      <c r="A1592" t="s">
        <v>437</v>
      </c>
      <c r="B1592" t="s">
        <v>18</v>
      </c>
      <c r="C1592" t="s">
        <v>397</v>
      </c>
      <c r="D1592">
        <v>1995</v>
      </c>
      <c r="E1592">
        <v>1117.1079999999999</v>
      </c>
      <c r="F1592">
        <v>1749.615</v>
      </c>
      <c r="G1592">
        <v>1940823</v>
      </c>
      <c r="H1592" t="s">
        <v>576</v>
      </c>
    </row>
    <row r="1593" spans="1:8" x14ac:dyDescent="0.25">
      <c r="A1593" t="s">
        <v>437</v>
      </c>
      <c r="B1593" t="s">
        <v>18</v>
      </c>
      <c r="C1593" t="s">
        <v>397</v>
      </c>
      <c r="D1593">
        <v>5</v>
      </c>
      <c r="E1593">
        <v>2.8</v>
      </c>
      <c r="F1593">
        <v>4.3849999999999998</v>
      </c>
      <c r="G1593">
        <v>1940823</v>
      </c>
      <c r="H1593" t="s">
        <v>576</v>
      </c>
    </row>
    <row r="1594" spans="1:8" x14ac:dyDescent="0.25">
      <c r="A1594" t="s">
        <v>437</v>
      </c>
      <c r="B1594" t="s">
        <v>18</v>
      </c>
      <c r="C1594" t="s">
        <v>397</v>
      </c>
      <c r="D1594">
        <v>1310</v>
      </c>
      <c r="E1594">
        <v>791.221</v>
      </c>
      <c r="F1594">
        <v>1536.63</v>
      </c>
      <c r="G1594">
        <v>2427158</v>
      </c>
      <c r="H1594" t="s">
        <v>671</v>
      </c>
    </row>
    <row r="1595" spans="1:8" x14ac:dyDescent="0.25">
      <c r="A1595" t="s">
        <v>437</v>
      </c>
      <c r="B1595" t="s">
        <v>18</v>
      </c>
      <c r="C1595" t="s">
        <v>397</v>
      </c>
      <c r="D1595">
        <v>1300</v>
      </c>
      <c r="E1595">
        <v>785.18100000000004</v>
      </c>
      <c r="F1595">
        <v>1524.9</v>
      </c>
      <c r="G1595">
        <v>2427158</v>
      </c>
      <c r="H1595" t="s">
        <v>671</v>
      </c>
    </row>
    <row r="1596" spans="1:8" x14ac:dyDescent="0.25">
      <c r="A1596" t="s">
        <v>437</v>
      </c>
      <c r="B1596" t="s">
        <v>18</v>
      </c>
      <c r="C1596" t="s">
        <v>397</v>
      </c>
      <c r="D1596">
        <v>390</v>
      </c>
      <c r="E1596">
        <v>235.554</v>
      </c>
      <c r="F1596">
        <v>457.47</v>
      </c>
      <c r="G1596">
        <v>2427158</v>
      </c>
      <c r="H1596" t="s">
        <v>671</v>
      </c>
    </row>
    <row r="1597" spans="1:8" x14ac:dyDescent="0.25">
      <c r="A1597" t="s">
        <v>5966</v>
      </c>
      <c r="B1597" t="s">
        <v>37</v>
      </c>
      <c r="C1597" t="s">
        <v>392</v>
      </c>
      <c r="D1597">
        <v>1071</v>
      </c>
      <c r="E1597">
        <v>6427.732</v>
      </c>
      <c r="F1597">
        <v>2188</v>
      </c>
      <c r="G1597">
        <v>1939985</v>
      </c>
      <c r="H1597" t="s">
        <v>1137</v>
      </c>
    </row>
    <row r="1598" spans="1:8" x14ac:dyDescent="0.25">
      <c r="A1598" t="s">
        <v>5966</v>
      </c>
      <c r="B1598" t="s">
        <v>37</v>
      </c>
      <c r="C1598" t="s">
        <v>392</v>
      </c>
      <c r="D1598">
        <v>1243</v>
      </c>
      <c r="E1598">
        <v>7461.81</v>
      </c>
      <c r="F1598">
        <v>2540</v>
      </c>
      <c r="G1598">
        <v>1939985</v>
      </c>
      <c r="H1598" t="s">
        <v>1137</v>
      </c>
    </row>
    <row r="1599" spans="1:8" x14ac:dyDescent="0.25">
      <c r="A1599" t="s">
        <v>5966</v>
      </c>
      <c r="B1599" t="s">
        <v>37</v>
      </c>
      <c r="C1599" t="s">
        <v>392</v>
      </c>
      <c r="D1599">
        <v>1045</v>
      </c>
      <c r="E1599">
        <v>6272.0330000000004</v>
      </c>
      <c r="F1599">
        <v>2135</v>
      </c>
      <c r="G1599">
        <v>1939985</v>
      </c>
      <c r="H1599" t="s">
        <v>1137</v>
      </c>
    </row>
    <row r="1600" spans="1:8" x14ac:dyDescent="0.25">
      <c r="A1600" t="s">
        <v>5966</v>
      </c>
      <c r="B1600" t="s">
        <v>37</v>
      </c>
      <c r="C1600" t="s">
        <v>392</v>
      </c>
      <c r="D1600">
        <v>538</v>
      </c>
      <c r="E1600">
        <v>3231.4920000000002</v>
      </c>
      <c r="F1600">
        <v>1100</v>
      </c>
      <c r="G1600">
        <v>1939985</v>
      </c>
      <c r="H1600" t="s">
        <v>1137</v>
      </c>
    </row>
    <row r="1601" spans="1:8" x14ac:dyDescent="0.25">
      <c r="A1601" t="s">
        <v>5966</v>
      </c>
      <c r="B1601" t="s">
        <v>37</v>
      </c>
      <c r="C1601" t="s">
        <v>392</v>
      </c>
      <c r="D1601">
        <v>550</v>
      </c>
      <c r="E1601">
        <v>3301.998</v>
      </c>
      <c r="F1601">
        <v>1124</v>
      </c>
      <c r="G1601">
        <v>1939985</v>
      </c>
      <c r="H1601" t="s">
        <v>1137</v>
      </c>
    </row>
    <row r="1602" spans="1:8" x14ac:dyDescent="0.25">
      <c r="A1602" t="s">
        <v>5966</v>
      </c>
      <c r="B1602" t="s">
        <v>37</v>
      </c>
      <c r="C1602" t="s">
        <v>392</v>
      </c>
      <c r="D1602">
        <v>550</v>
      </c>
      <c r="E1602">
        <v>3299.06</v>
      </c>
      <c r="F1602">
        <v>1123</v>
      </c>
      <c r="G1602">
        <v>1939985</v>
      </c>
      <c r="H1602" t="s">
        <v>1137</v>
      </c>
    </row>
    <row r="1603" spans="1:8" x14ac:dyDescent="0.25">
      <c r="A1603" t="s">
        <v>5966</v>
      </c>
      <c r="B1603" t="s">
        <v>37</v>
      </c>
      <c r="C1603" t="s">
        <v>392</v>
      </c>
      <c r="D1603">
        <v>620</v>
      </c>
      <c r="E1603">
        <v>3286.7469999999998</v>
      </c>
      <c r="F1603">
        <v>2046</v>
      </c>
      <c r="G1603">
        <v>3929640</v>
      </c>
      <c r="H1603" t="s">
        <v>6041</v>
      </c>
    </row>
    <row r="1604" spans="1:8" x14ac:dyDescent="0.25">
      <c r="A1604" t="s">
        <v>5966</v>
      </c>
      <c r="B1604" t="s">
        <v>37</v>
      </c>
      <c r="C1604" t="s">
        <v>392</v>
      </c>
      <c r="D1604">
        <v>576</v>
      </c>
      <c r="E1604">
        <v>3053.8150000000001</v>
      </c>
      <c r="F1604">
        <v>1901</v>
      </c>
      <c r="G1604">
        <v>3929640</v>
      </c>
      <c r="H1604" t="s">
        <v>6041</v>
      </c>
    </row>
    <row r="1605" spans="1:8" x14ac:dyDescent="0.25">
      <c r="A1605" t="s">
        <v>5966</v>
      </c>
      <c r="B1605" t="s">
        <v>37</v>
      </c>
      <c r="C1605" t="s">
        <v>392</v>
      </c>
      <c r="D1605">
        <v>611</v>
      </c>
      <c r="E1605">
        <v>3238.5540000000001</v>
      </c>
      <c r="F1605">
        <v>2016</v>
      </c>
      <c r="G1605">
        <v>3929640</v>
      </c>
      <c r="H1605" t="s">
        <v>6041</v>
      </c>
    </row>
    <row r="1606" spans="1:8" x14ac:dyDescent="0.25">
      <c r="A1606" t="s">
        <v>5966</v>
      </c>
      <c r="B1606" t="s">
        <v>37</v>
      </c>
      <c r="C1606" t="s">
        <v>392</v>
      </c>
      <c r="D1606">
        <v>496</v>
      </c>
      <c r="E1606">
        <v>2629.7190000000001</v>
      </c>
      <c r="F1606">
        <v>1637</v>
      </c>
      <c r="G1606">
        <v>3929640</v>
      </c>
      <c r="H1606" t="s">
        <v>6041</v>
      </c>
    </row>
    <row r="1607" spans="1:8" x14ac:dyDescent="0.25">
      <c r="A1607" t="s">
        <v>6042</v>
      </c>
      <c r="B1607" t="s">
        <v>187</v>
      </c>
      <c r="C1607" t="s">
        <v>392</v>
      </c>
      <c r="D1607">
        <v>754</v>
      </c>
      <c r="E1607">
        <v>4525.0389999999998</v>
      </c>
      <c r="F1607">
        <v>2015</v>
      </c>
      <c r="G1607">
        <v>1940182</v>
      </c>
      <c r="H1607" t="s">
        <v>2443</v>
      </c>
    </row>
    <row r="1608" spans="1:8" x14ac:dyDescent="0.25">
      <c r="A1608" t="s">
        <v>6042</v>
      </c>
      <c r="B1608" t="s">
        <v>187</v>
      </c>
      <c r="C1608" t="s">
        <v>392</v>
      </c>
      <c r="D1608">
        <v>749</v>
      </c>
      <c r="E1608">
        <v>4493.6000000000004</v>
      </c>
      <c r="F1608">
        <v>2001</v>
      </c>
      <c r="G1608">
        <v>1940182</v>
      </c>
      <c r="H1608" t="s">
        <v>2443</v>
      </c>
    </row>
    <row r="1609" spans="1:8" x14ac:dyDescent="0.25">
      <c r="A1609" t="s">
        <v>6042</v>
      </c>
      <c r="B1609" t="s">
        <v>187</v>
      </c>
      <c r="C1609" t="s">
        <v>392</v>
      </c>
      <c r="D1609">
        <v>741</v>
      </c>
      <c r="E1609">
        <v>4446.4409999999998</v>
      </c>
      <c r="F1609">
        <v>1980</v>
      </c>
      <c r="G1609">
        <v>1940182</v>
      </c>
      <c r="H1609" t="s">
        <v>2443</v>
      </c>
    </row>
    <row r="1610" spans="1:8" x14ac:dyDescent="0.25">
      <c r="A1610" t="s">
        <v>6042</v>
      </c>
      <c r="B1610" t="s">
        <v>187</v>
      </c>
      <c r="C1610" t="s">
        <v>392</v>
      </c>
      <c r="D1610">
        <v>24</v>
      </c>
      <c r="E1610">
        <v>143.72300000000001</v>
      </c>
      <c r="F1610">
        <v>64</v>
      </c>
      <c r="G1610">
        <v>1940182</v>
      </c>
      <c r="H1610" t="s">
        <v>2443</v>
      </c>
    </row>
    <row r="1611" spans="1:8" x14ac:dyDescent="0.25">
      <c r="A1611" t="s">
        <v>6042</v>
      </c>
      <c r="B1611" t="s">
        <v>187</v>
      </c>
      <c r="C1611" t="s">
        <v>392</v>
      </c>
      <c r="D1611">
        <v>312</v>
      </c>
      <c r="E1611">
        <v>1872.0250000000001</v>
      </c>
      <c r="F1611">
        <v>2045</v>
      </c>
      <c r="G1611">
        <v>3234374</v>
      </c>
      <c r="H1611" t="s">
        <v>2469</v>
      </c>
    </row>
    <row r="1612" spans="1:8" x14ac:dyDescent="0.25">
      <c r="A1612" t="s">
        <v>6042</v>
      </c>
      <c r="B1612" t="s">
        <v>187</v>
      </c>
      <c r="C1612" t="s">
        <v>392</v>
      </c>
      <c r="D1612">
        <v>147</v>
      </c>
      <c r="E1612">
        <v>883.37599999999998</v>
      </c>
      <c r="F1612">
        <v>965</v>
      </c>
      <c r="G1612">
        <v>3234374</v>
      </c>
      <c r="H1612" t="s">
        <v>2469</v>
      </c>
    </row>
    <row r="1613" spans="1:8" x14ac:dyDescent="0.25">
      <c r="A1613" t="s">
        <v>678</v>
      </c>
      <c r="B1613" t="s">
        <v>181</v>
      </c>
      <c r="C1613" t="s">
        <v>397</v>
      </c>
      <c r="D1613">
        <v>75</v>
      </c>
      <c r="E1613">
        <v>64.128</v>
      </c>
      <c r="F1613">
        <v>64.013000000000005</v>
      </c>
      <c r="G1613">
        <v>3943203</v>
      </c>
      <c r="H1613" t="s">
        <v>680</v>
      </c>
    </row>
    <row r="1614" spans="1:8" x14ac:dyDescent="0.25">
      <c r="A1614" t="s">
        <v>678</v>
      </c>
      <c r="B1614" t="s">
        <v>181</v>
      </c>
      <c r="C1614" t="s">
        <v>397</v>
      </c>
      <c r="D1614">
        <v>2851</v>
      </c>
      <c r="E1614">
        <v>2650.7640000000001</v>
      </c>
      <c r="F1614">
        <v>2645.7280000000001</v>
      </c>
      <c r="G1614">
        <v>1940479</v>
      </c>
      <c r="H1614" t="s">
        <v>698</v>
      </c>
    </row>
    <row r="1615" spans="1:8" x14ac:dyDescent="0.25">
      <c r="A1615" t="s">
        <v>678</v>
      </c>
      <c r="B1615" t="s">
        <v>181</v>
      </c>
      <c r="C1615" t="s">
        <v>397</v>
      </c>
      <c r="D1615">
        <v>2425</v>
      </c>
      <c r="E1615">
        <v>2254.6840000000002</v>
      </c>
      <c r="F1615">
        <v>2250.4</v>
      </c>
      <c r="G1615">
        <v>1940479</v>
      </c>
      <c r="H1615" t="s">
        <v>698</v>
      </c>
    </row>
    <row r="1616" spans="1:8" x14ac:dyDescent="0.25">
      <c r="A1616" t="s">
        <v>678</v>
      </c>
      <c r="B1616" t="s">
        <v>181</v>
      </c>
      <c r="C1616" t="s">
        <v>397</v>
      </c>
      <c r="D1616">
        <v>574</v>
      </c>
      <c r="E1616">
        <v>533.68600000000004</v>
      </c>
      <c r="F1616">
        <v>532.67200000000003</v>
      </c>
      <c r="G1616">
        <v>1940479</v>
      </c>
      <c r="H1616" t="s">
        <v>698</v>
      </c>
    </row>
    <row r="1617" spans="1:8" x14ac:dyDescent="0.25">
      <c r="A1617" t="s">
        <v>422</v>
      </c>
      <c r="B1617" t="s">
        <v>30</v>
      </c>
      <c r="C1617" t="s">
        <v>444</v>
      </c>
      <c r="D1617">
        <v>20</v>
      </c>
      <c r="E1617">
        <v>117.2</v>
      </c>
      <c r="F1617">
        <v>161.13800000000001</v>
      </c>
      <c r="G1617">
        <v>3929636</v>
      </c>
      <c r="H1617" t="s">
        <v>742</v>
      </c>
    </row>
    <row r="1618" spans="1:8" x14ac:dyDescent="0.25">
      <c r="A1618" t="s">
        <v>422</v>
      </c>
      <c r="B1618" t="s">
        <v>30</v>
      </c>
      <c r="C1618" t="s">
        <v>444</v>
      </c>
      <c r="D1618">
        <v>13</v>
      </c>
      <c r="E1618">
        <v>78</v>
      </c>
      <c r="F1618">
        <v>43.142000000000003</v>
      </c>
      <c r="G1618">
        <v>1940146</v>
      </c>
      <c r="H1618" t="s">
        <v>451</v>
      </c>
    </row>
    <row r="1619" spans="1:8" x14ac:dyDescent="0.25">
      <c r="A1619" t="s">
        <v>422</v>
      </c>
      <c r="B1619" t="s">
        <v>30</v>
      </c>
      <c r="C1619" t="s">
        <v>397</v>
      </c>
      <c r="D1619">
        <v>500</v>
      </c>
      <c r="E1619">
        <v>164.995</v>
      </c>
      <c r="F1619">
        <v>87.183000000000007</v>
      </c>
      <c r="G1619">
        <v>3935313</v>
      </c>
      <c r="H1619" t="s">
        <v>560</v>
      </c>
    </row>
    <row r="1620" spans="1:8" x14ac:dyDescent="0.25">
      <c r="A1620" t="s">
        <v>422</v>
      </c>
      <c r="B1620" t="s">
        <v>30</v>
      </c>
      <c r="C1620" t="s">
        <v>397</v>
      </c>
      <c r="D1620">
        <v>824</v>
      </c>
      <c r="E1620">
        <v>1079.76</v>
      </c>
      <c r="F1620">
        <v>1189.0319999999999</v>
      </c>
      <c r="G1620">
        <v>1940801</v>
      </c>
      <c r="H1620" t="s">
        <v>478</v>
      </c>
    </row>
    <row r="1621" spans="1:8" x14ac:dyDescent="0.25">
      <c r="A1621" t="s">
        <v>422</v>
      </c>
      <c r="B1621" t="s">
        <v>30</v>
      </c>
      <c r="C1621" t="s">
        <v>397</v>
      </c>
      <c r="D1621">
        <v>676</v>
      </c>
      <c r="E1621">
        <v>885.82299999999998</v>
      </c>
      <c r="F1621">
        <v>975.46799999999996</v>
      </c>
      <c r="G1621">
        <v>1940801</v>
      </c>
      <c r="H1621" t="s">
        <v>478</v>
      </c>
    </row>
    <row r="1622" spans="1:8" x14ac:dyDescent="0.25">
      <c r="A1622" t="s">
        <v>422</v>
      </c>
      <c r="B1622" t="s">
        <v>30</v>
      </c>
      <c r="C1622" t="s">
        <v>397</v>
      </c>
      <c r="D1622">
        <v>320</v>
      </c>
      <c r="E1622">
        <v>398.983</v>
      </c>
      <c r="F1622">
        <v>439.36</v>
      </c>
      <c r="G1622">
        <v>3233554</v>
      </c>
      <c r="H1622" t="s">
        <v>480</v>
      </c>
    </row>
    <row r="1623" spans="1:8" x14ac:dyDescent="0.25">
      <c r="A1623" t="s">
        <v>422</v>
      </c>
      <c r="B1623" t="s">
        <v>30</v>
      </c>
      <c r="C1623" t="s">
        <v>397</v>
      </c>
      <c r="D1623">
        <v>171</v>
      </c>
      <c r="E1623">
        <v>213.20699999999999</v>
      </c>
      <c r="F1623">
        <v>234.78299999999999</v>
      </c>
      <c r="G1623">
        <v>3233554</v>
      </c>
      <c r="H1623" t="s">
        <v>480</v>
      </c>
    </row>
    <row r="1624" spans="1:8" x14ac:dyDescent="0.25">
      <c r="A1624" t="s">
        <v>422</v>
      </c>
      <c r="B1624" t="s">
        <v>30</v>
      </c>
      <c r="C1624" t="s">
        <v>397</v>
      </c>
      <c r="D1624">
        <v>9</v>
      </c>
      <c r="E1624">
        <v>11.221</v>
      </c>
      <c r="F1624">
        <v>12.356999999999999</v>
      </c>
      <c r="G1624">
        <v>3233554</v>
      </c>
      <c r="H1624" t="s">
        <v>480</v>
      </c>
    </row>
    <row r="1625" spans="1:8" x14ac:dyDescent="0.25">
      <c r="A1625" t="s">
        <v>422</v>
      </c>
      <c r="B1625" t="s">
        <v>30</v>
      </c>
      <c r="C1625" t="s">
        <v>397</v>
      </c>
      <c r="D1625">
        <v>1898</v>
      </c>
      <c r="E1625">
        <v>2126.8910000000001</v>
      </c>
      <c r="F1625">
        <v>2342.1320000000001</v>
      </c>
      <c r="G1625">
        <v>3233555</v>
      </c>
      <c r="H1625" t="s">
        <v>482</v>
      </c>
    </row>
    <row r="1626" spans="1:8" x14ac:dyDescent="0.25">
      <c r="A1626" t="s">
        <v>422</v>
      </c>
      <c r="B1626" t="s">
        <v>30</v>
      </c>
      <c r="C1626" t="s">
        <v>397</v>
      </c>
      <c r="D1626">
        <v>102</v>
      </c>
      <c r="E1626">
        <v>114.301</v>
      </c>
      <c r="F1626">
        <v>125.86799999999999</v>
      </c>
      <c r="G1626">
        <v>3233555</v>
      </c>
      <c r="H1626" t="s">
        <v>482</v>
      </c>
    </row>
    <row r="1627" spans="1:8" x14ac:dyDescent="0.25">
      <c r="A1627" t="s">
        <v>422</v>
      </c>
      <c r="B1627" t="s">
        <v>30</v>
      </c>
      <c r="C1627" t="s">
        <v>397</v>
      </c>
      <c r="D1627">
        <v>2000</v>
      </c>
      <c r="E1627">
        <v>1720.981</v>
      </c>
      <c r="F1627">
        <v>1880</v>
      </c>
      <c r="G1627">
        <v>3572051</v>
      </c>
      <c r="H1627" t="s">
        <v>484</v>
      </c>
    </row>
    <row r="1628" spans="1:8" x14ac:dyDescent="0.25">
      <c r="A1628" t="s">
        <v>422</v>
      </c>
      <c r="B1628" t="s">
        <v>30</v>
      </c>
      <c r="C1628" t="s">
        <v>397</v>
      </c>
      <c r="D1628">
        <v>1000</v>
      </c>
      <c r="E1628">
        <v>800.03599999999994</v>
      </c>
      <c r="F1628">
        <v>881</v>
      </c>
      <c r="G1628">
        <v>3233557</v>
      </c>
      <c r="H1628" t="s">
        <v>610</v>
      </c>
    </row>
    <row r="1629" spans="1:8" x14ac:dyDescent="0.25">
      <c r="A1629" t="s">
        <v>422</v>
      </c>
      <c r="B1629" t="s">
        <v>30</v>
      </c>
      <c r="C1629" t="s">
        <v>397</v>
      </c>
      <c r="D1629">
        <v>500</v>
      </c>
      <c r="E1629">
        <v>622.99900000000002</v>
      </c>
      <c r="F1629">
        <v>339.47199999999998</v>
      </c>
      <c r="G1629">
        <v>3572038</v>
      </c>
      <c r="H1629" t="s">
        <v>521</v>
      </c>
    </row>
    <row r="1630" spans="1:8" x14ac:dyDescent="0.25">
      <c r="A1630" t="s">
        <v>422</v>
      </c>
      <c r="B1630" t="s">
        <v>30</v>
      </c>
      <c r="C1630" t="s">
        <v>397</v>
      </c>
      <c r="D1630">
        <v>1500</v>
      </c>
      <c r="E1630">
        <v>1320.499</v>
      </c>
      <c r="F1630">
        <v>730.5</v>
      </c>
      <c r="G1630">
        <v>3230492</v>
      </c>
      <c r="H1630" t="s">
        <v>614</v>
      </c>
    </row>
    <row r="1631" spans="1:8" x14ac:dyDescent="0.25">
      <c r="A1631" t="s">
        <v>422</v>
      </c>
      <c r="B1631" t="s">
        <v>30</v>
      </c>
      <c r="C1631" t="s">
        <v>397</v>
      </c>
      <c r="D1631">
        <v>1000</v>
      </c>
      <c r="E1631">
        <v>872.13499999999999</v>
      </c>
      <c r="F1631">
        <v>487</v>
      </c>
      <c r="G1631">
        <v>3605739</v>
      </c>
      <c r="H1631" t="s">
        <v>620</v>
      </c>
    </row>
    <row r="1632" spans="1:8" x14ac:dyDescent="0.25">
      <c r="A1632" t="s">
        <v>422</v>
      </c>
      <c r="B1632" t="s">
        <v>30</v>
      </c>
      <c r="C1632" t="s">
        <v>397</v>
      </c>
      <c r="D1632">
        <v>1000</v>
      </c>
      <c r="E1632">
        <v>840.56399999999996</v>
      </c>
      <c r="F1632">
        <v>465</v>
      </c>
      <c r="G1632">
        <v>3230485</v>
      </c>
      <c r="H1632" t="s">
        <v>616</v>
      </c>
    </row>
    <row r="1633" spans="1:8" x14ac:dyDescent="0.25">
      <c r="A1633" t="s">
        <v>422</v>
      </c>
      <c r="B1633" t="s">
        <v>30</v>
      </c>
      <c r="C1633" t="s">
        <v>397</v>
      </c>
      <c r="D1633">
        <v>1000</v>
      </c>
      <c r="E1633">
        <v>800.00400000000002</v>
      </c>
      <c r="F1633">
        <v>436.01100000000002</v>
      </c>
      <c r="G1633">
        <v>3931836</v>
      </c>
      <c r="H1633" t="s">
        <v>612</v>
      </c>
    </row>
    <row r="1634" spans="1:8" x14ac:dyDescent="0.25">
      <c r="A1634" t="s">
        <v>422</v>
      </c>
      <c r="B1634" t="s">
        <v>30</v>
      </c>
      <c r="C1634" t="s">
        <v>397</v>
      </c>
      <c r="D1634">
        <v>500</v>
      </c>
      <c r="E1634">
        <v>503.50700000000001</v>
      </c>
      <c r="F1634">
        <v>274.41699999999997</v>
      </c>
      <c r="G1634">
        <v>4100796</v>
      </c>
      <c r="H1634" t="s">
        <v>552</v>
      </c>
    </row>
    <row r="1635" spans="1:8" x14ac:dyDescent="0.25">
      <c r="A1635" t="s">
        <v>422</v>
      </c>
      <c r="B1635" t="s">
        <v>30</v>
      </c>
      <c r="C1635" t="s">
        <v>397</v>
      </c>
      <c r="D1635">
        <v>1000</v>
      </c>
      <c r="E1635">
        <v>539.99699999999996</v>
      </c>
      <c r="F1635">
        <v>294.24400000000003</v>
      </c>
      <c r="G1635">
        <v>3571870</v>
      </c>
      <c r="H1635" t="s">
        <v>525</v>
      </c>
    </row>
    <row r="1636" spans="1:8" x14ac:dyDescent="0.25">
      <c r="A1636" t="s">
        <v>422</v>
      </c>
      <c r="B1636" t="s">
        <v>30</v>
      </c>
      <c r="C1636" t="s">
        <v>397</v>
      </c>
      <c r="D1636">
        <v>800</v>
      </c>
      <c r="E1636">
        <v>375.99599999999998</v>
      </c>
      <c r="F1636">
        <v>204.88</v>
      </c>
      <c r="G1636">
        <v>3230488</v>
      </c>
      <c r="H1636" t="s">
        <v>496</v>
      </c>
    </row>
    <row r="1637" spans="1:8" x14ac:dyDescent="0.25">
      <c r="A1637" t="s">
        <v>422</v>
      </c>
      <c r="B1637" t="s">
        <v>30</v>
      </c>
      <c r="C1637" t="s">
        <v>397</v>
      </c>
      <c r="D1637">
        <v>200</v>
      </c>
      <c r="E1637">
        <v>93.998999999999995</v>
      </c>
      <c r="F1637">
        <v>51.22</v>
      </c>
      <c r="G1637">
        <v>3230488</v>
      </c>
      <c r="H1637" t="s">
        <v>496</v>
      </c>
    </row>
    <row r="1638" spans="1:8" x14ac:dyDescent="0.25">
      <c r="A1638" t="s">
        <v>422</v>
      </c>
      <c r="B1638" t="s">
        <v>30</v>
      </c>
      <c r="C1638" t="s">
        <v>397</v>
      </c>
      <c r="D1638">
        <v>3000</v>
      </c>
      <c r="E1638">
        <v>1198.482</v>
      </c>
      <c r="F1638">
        <v>663</v>
      </c>
      <c r="G1638">
        <v>3230487</v>
      </c>
      <c r="H1638" t="s">
        <v>498</v>
      </c>
    </row>
    <row r="1639" spans="1:8" x14ac:dyDescent="0.25">
      <c r="A1639" t="s">
        <v>422</v>
      </c>
      <c r="B1639" t="s">
        <v>30</v>
      </c>
      <c r="C1639" t="s">
        <v>397</v>
      </c>
      <c r="D1639">
        <v>1000</v>
      </c>
      <c r="E1639">
        <v>356.11</v>
      </c>
      <c r="F1639">
        <v>197</v>
      </c>
      <c r="G1639">
        <v>3230490</v>
      </c>
      <c r="H1639" t="s">
        <v>515</v>
      </c>
    </row>
    <row r="1640" spans="1:8" x14ac:dyDescent="0.25">
      <c r="A1640" t="s">
        <v>422</v>
      </c>
      <c r="B1640" t="s">
        <v>30</v>
      </c>
      <c r="C1640" t="s">
        <v>397</v>
      </c>
      <c r="D1640">
        <v>219</v>
      </c>
      <c r="E1640">
        <v>284.26499999999999</v>
      </c>
      <c r="F1640">
        <v>246.66</v>
      </c>
      <c r="G1640">
        <v>3935311</v>
      </c>
      <c r="H1640" t="s">
        <v>622</v>
      </c>
    </row>
    <row r="1641" spans="1:8" x14ac:dyDescent="0.25">
      <c r="A1641" t="s">
        <v>422</v>
      </c>
      <c r="B1641" t="s">
        <v>30</v>
      </c>
      <c r="C1641" t="s">
        <v>397</v>
      </c>
      <c r="D1641">
        <v>125</v>
      </c>
      <c r="E1641">
        <v>162.25200000000001</v>
      </c>
      <c r="F1641">
        <v>140.78800000000001</v>
      </c>
      <c r="G1641">
        <v>3935311</v>
      </c>
      <c r="H1641" t="s">
        <v>622</v>
      </c>
    </row>
    <row r="1642" spans="1:8" x14ac:dyDescent="0.25">
      <c r="A1642" t="s">
        <v>422</v>
      </c>
      <c r="B1642" t="s">
        <v>30</v>
      </c>
      <c r="C1642" t="s">
        <v>397</v>
      </c>
      <c r="D1642">
        <v>63</v>
      </c>
      <c r="E1642">
        <v>81.775000000000006</v>
      </c>
      <c r="F1642">
        <v>70.956999999999994</v>
      </c>
      <c r="G1642">
        <v>3935311</v>
      </c>
      <c r="H1642" t="s">
        <v>622</v>
      </c>
    </row>
    <row r="1643" spans="1:8" x14ac:dyDescent="0.25">
      <c r="A1643" t="s">
        <v>422</v>
      </c>
      <c r="B1643" t="s">
        <v>30</v>
      </c>
      <c r="C1643" t="s">
        <v>397</v>
      </c>
      <c r="D1643">
        <v>47</v>
      </c>
      <c r="E1643">
        <v>61.006999999999998</v>
      </c>
      <c r="F1643">
        <v>52.936</v>
      </c>
      <c r="G1643">
        <v>3935311</v>
      </c>
      <c r="H1643" t="s">
        <v>622</v>
      </c>
    </row>
    <row r="1644" spans="1:8" x14ac:dyDescent="0.25">
      <c r="A1644" t="s">
        <v>422</v>
      </c>
      <c r="B1644" t="s">
        <v>30</v>
      </c>
      <c r="C1644" t="s">
        <v>397</v>
      </c>
      <c r="D1644">
        <v>42</v>
      </c>
      <c r="E1644">
        <v>54.517000000000003</v>
      </c>
      <c r="F1644">
        <v>47.305</v>
      </c>
      <c r="G1644">
        <v>3935311</v>
      </c>
      <c r="H1644" t="s">
        <v>622</v>
      </c>
    </row>
    <row r="1645" spans="1:8" x14ac:dyDescent="0.25">
      <c r="A1645" t="s">
        <v>422</v>
      </c>
      <c r="B1645" t="s">
        <v>30</v>
      </c>
      <c r="C1645" t="s">
        <v>397</v>
      </c>
      <c r="D1645">
        <v>4</v>
      </c>
      <c r="E1645">
        <v>5.1920000000000002</v>
      </c>
      <c r="F1645">
        <v>4.5049999999999999</v>
      </c>
      <c r="G1645">
        <v>3935311</v>
      </c>
      <c r="H1645" t="s">
        <v>622</v>
      </c>
    </row>
    <row r="1646" spans="1:8" x14ac:dyDescent="0.25">
      <c r="A1646" t="s">
        <v>422</v>
      </c>
      <c r="B1646" t="s">
        <v>30</v>
      </c>
      <c r="C1646" t="s">
        <v>397</v>
      </c>
      <c r="D1646">
        <v>1000</v>
      </c>
      <c r="E1646">
        <v>787.17499999999995</v>
      </c>
      <c r="F1646">
        <v>712</v>
      </c>
      <c r="G1646">
        <v>3230482</v>
      </c>
      <c r="H1646" t="s">
        <v>624</v>
      </c>
    </row>
    <row r="1647" spans="1:8" x14ac:dyDescent="0.25">
      <c r="A1647" t="s">
        <v>422</v>
      </c>
      <c r="B1647" t="s">
        <v>30</v>
      </c>
      <c r="C1647" t="s">
        <v>397</v>
      </c>
      <c r="D1647">
        <v>500</v>
      </c>
      <c r="E1647">
        <v>615.00400000000002</v>
      </c>
      <c r="F1647">
        <v>324.87200000000001</v>
      </c>
      <c r="G1647">
        <v>3929692</v>
      </c>
      <c r="H1647" t="s">
        <v>533</v>
      </c>
    </row>
    <row r="1648" spans="1:8" x14ac:dyDescent="0.25">
      <c r="A1648" t="s">
        <v>422</v>
      </c>
      <c r="B1648" t="s">
        <v>30</v>
      </c>
      <c r="C1648" t="s">
        <v>397</v>
      </c>
      <c r="D1648">
        <v>1000</v>
      </c>
      <c r="E1648">
        <v>682.00699999999995</v>
      </c>
      <c r="F1648">
        <v>360.267</v>
      </c>
      <c r="G1648">
        <v>3929540</v>
      </c>
      <c r="H1648" t="s">
        <v>627</v>
      </c>
    </row>
    <row r="1649" spans="1:8" x14ac:dyDescent="0.25">
      <c r="A1649" t="s">
        <v>422</v>
      </c>
      <c r="B1649" t="s">
        <v>30</v>
      </c>
      <c r="C1649" t="s">
        <v>397</v>
      </c>
      <c r="D1649">
        <v>2000</v>
      </c>
      <c r="E1649">
        <v>399.983</v>
      </c>
      <c r="F1649">
        <v>211.28899999999999</v>
      </c>
      <c r="G1649">
        <v>3929691</v>
      </c>
      <c r="H1649" t="s">
        <v>535</v>
      </c>
    </row>
    <row r="1650" spans="1:8" x14ac:dyDescent="0.25">
      <c r="A1650" t="s">
        <v>422</v>
      </c>
      <c r="B1650" t="s">
        <v>30</v>
      </c>
      <c r="C1650" t="s">
        <v>397</v>
      </c>
      <c r="D1650">
        <v>1000</v>
      </c>
      <c r="E1650">
        <v>220.61500000000001</v>
      </c>
      <c r="F1650">
        <v>241</v>
      </c>
      <c r="G1650">
        <v>3230495</v>
      </c>
      <c r="H1650" t="s">
        <v>629</v>
      </c>
    </row>
    <row r="1651" spans="1:8" x14ac:dyDescent="0.25">
      <c r="A1651" t="s">
        <v>401</v>
      </c>
      <c r="B1651" t="s">
        <v>17</v>
      </c>
      <c r="C1651" t="s">
        <v>397</v>
      </c>
      <c r="D1651">
        <v>2563</v>
      </c>
      <c r="E1651">
        <v>1046.5830000000001</v>
      </c>
      <c r="F1651">
        <v>356.25700000000001</v>
      </c>
      <c r="G1651">
        <v>1939966</v>
      </c>
      <c r="H1651" t="s">
        <v>402</v>
      </c>
    </row>
    <row r="1652" spans="1:8" x14ac:dyDescent="0.25">
      <c r="A1652" t="s">
        <v>401</v>
      </c>
      <c r="B1652" t="s">
        <v>17</v>
      </c>
      <c r="C1652" t="s">
        <v>397</v>
      </c>
      <c r="D1652">
        <v>32</v>
      </c>
      <c r="E1652">
        <v>13.067</v>
      </c>
      <c r="F1652">
        <v>4.4480000000000004</v>
      </c>
      <c r="G1652">
        <v>1939966</v>
      </c>
      <c r="H1652" t="s">
        <v>402</v>
      </c>
    </row>
    <row r="1653" spans="1:8" x14ac:dyDescent="0.25">
      <c r="A1653" t="s">
        <v>401</v>
      </c>
      <c r="B1653" t="s">
        <v>17</v>
      </c>
      <c r="C1653" t="s">
        <v>397</v>
      </c>
      <c r="D1653">
        <v>2005</v>
      </c>
      <c r="E1653">
        <v>818.72799999999995</v>
      </c>
      <c r="F1653">
        <v>278.69499999999999</v>
      </c>
      <c r="G1653">
        <v>1939966</v>
      </c>
      <c r="H1653" t="s">
        <v>402</v>
      </c>
    </row>
    <row r="1654" spans="1:8" x14ac:dyDescent="0.25">
      <c r="A1654" t="s">
        <v>437</v>
      </c>
      <c r="B1654" t="s">
        <v>18</v>
      </c>
      <c r="C1654" t="s">
        <v>397</v>
      </c>
      <c r="D1654">
        <v>1200</v>
      </c>
      <c r="E1654">
        <v>178.09</v>
      </c>
      <c r="F1654">
        <v>355.2</v>
      </c>
      <c r="G1654">
        <v>4098592</v>
      </c>
      <c r="H1654" t="s">
        <v>579</v>
      </c>
    </row>
    <row r="1655" spans="1:8" x14ac:dyDescent="0.25">
      <c r="A1655" t="s">
        <v>437</v>
      </c>
      <c r="B1655" t="s">
        <v>18</v>
      </c>
      <c r="C1655" t="s">
        <v>397</v>
      </c>
      <c r="D1655">
        <v>1294</v>
      </c>
      <c r="E1655">
        <v>781.55700000000002</v>
      </c>
      <c r="F1655">
        <v>1517.8620000000001</v>
      </c>
      <c r="G1655">
        <v>2427158</v>
      </c>
      <c r="H1655" t="s">
        <v>671</v>
      </c>
    </row>
    <row r="1656" spans="1:8" x14ac:dyDescent="0.25">
      <c r="A1656" t="s">
        <v>437</v>
      </c>
      <c r="B1656" t="s">
        <v>18</v>
      </c>
      <c r="C1656" t="s">
        <v>397</v>
      </c>
      <c r="D1656">
        <v>910</v>
      </c>
      <c r="E1656">
        <v>549.62699999999995</v>
      </c>
      <c r="F1656">
        <v>1067.43</v>
      </c>
      <c r="G1656">
        <v>2427158</v>
      </c>
      <c r="H1656" t="s">
        <v>671</v>
      </c>
    </row>
    <row r="1657" spans="1:8" x14ac:dyDescent="0.25">
      <c r="A1657" t="s">
        <v>437</v>
      </c>
      <c r="B1657" t="s">
        <v>18</v>
      </c>
      <c r="C1657" t="s">
        <v>397</v>
      </c>
      <c r="D1657">
        <v>900</v>
      </c>
      <c r="E1657">
        <v>543.58699999999999</v>
      </c>
      <c r="F1657">
        <v>1055.7</v>
      </c>
      <c r="G1657">
        <v>2427158</v>
      </c>
      <c r="H1657" t="s">
        <v>671</v>
      </c>
    </row>
    <row r="1658" spans="1:8" x14ac:dyDescent="0.25">
      <c r="A1658" t="s">
        <v>437</v>
      </c>
      <c r="B1658" t="s">
        <v>18</v>
      </c>
      <c r="C1658" t="s">
        <v>397</v>
      </c>
      <c r="D1658">
        <v>525</v>
      </c>
      <c r="E1658">
        <v>317.09199999999998</v>
      </c>
      <c r="F1658">
        <v>615.82500000000005</v>
      </c>
      <c r="G1658">
        <v>2427158</v>
      </c>
      <c r="H1658" t="s">
        <v>671</v>
      </c>
    </row>
    <row r="1659" spans="1:8" x14ac:dyDescent="0.25">
      <c r="A1659" t="s">
        <v>437</v>
      </c>
      <c r="B1659" t="s">
        <v>18</v>
      </c>
      <c r="C1659" t="s">
        <v>397</v>
      </c>
      <c r="D1659">
        <v>389</v>
      </c>
      <c r="E1659">
        <v>234.95</v>
      </c>
      <c r="F1659">
        <v>456.29700000000003</v>
      </c>
      <c r="G1659">
        <v>2427158</v>
      </c>
      <c r="H1659" t="s">
        <v>671</v>
      </c>
    </row>
    <row r="1660" spans="1:8" x14ac:dyDescent="0.25">
      <c r="A1660" t="s">
        <v>437</v>
      </c>
      <c r="B1660" t="s">
        <v>18</v>
      </c>
      <c r="C1660" t="s">
        <v>397</v>
      </c>
      <c r="D1660">
        <v>2</v>
      </c>
      <c r="E1660">
        <v>1.208</v>
      </c>
      <c r="F1660">
        <v>2.3460000000000001</v>
      </c>
      <c r="G1660">
        <v>2427158</v>
      </c>
      <c r="H1660" t="s">
        <v>671</v>
      </c>
    </row>
    <row r="1661" spans="1:8" x14ac:dyDescent="0.25">
      <c r="A1661" t="s">
        <v>581</v>
      </c>
      <c r="B1661" t="s">
        <v>18</v>
      </c>
      <c r="C1661" t="s">
        <v>397</v>
      </c>
      <c r="D1661">
        <v>5281</v>
      </c>
      <c r="E1661">
        <v>1600.1279999999999</v>
      </c>
      <c r="F1661">
        <v>1462.837</v>
      </c>
      <c r="G1661">
        <v>1940313</v>
      </c>
      <c r="H1661" t="s">
        <v>707</v>
      </c>
    </row>
    <row r="1662" spans="1:8" x14ac:dyDescent="0.25">
      <c r="A1662" t="s">
        <v>581</v>
      </c>
      <c r="B1662" t="s">
        <v>18</v>
      </c>
      <c r="C1662" t="s">
        <v>397</v>
      </c>
      <c r="D1662">
        <v>2219</v>
      </c>
      <c r="E1662">
        <v>672.351</v>
      </c>
      <c r="F1662">
        <v>614.66300000000001</v>
      </c>
      <c r="G1662">
        <v>1940313</v>
      </c>
      <c r="H1662" t="s">
        <v>707</v>
      </c>
    </row>
    <row r="1663" spans="1:8" x14ac:dyDescent="0.25">
      <c r="A1663" t="s">
        <v>6018</v>
      </c>
      <c r="B1663" t="s">
        <v>21</v>
      </c>
      <c r="C1663" t="s">
        <v>397</v>
      </c>
      <c r="D1663">
        <v>1088</v>
      </c>
      <c r="E1663">
        <v>596.18200000000002</v>
      </c>
      <c r="F1663">
        <v>501.56799999999998</v>
      </c>
      <c r="G1663">
        <v>3676836</v>
      </c>
      <c r="H1663" t="s">
        <v>1367</v>
      </c>
    </row>
    <row r="1664" spans="1:8" x14ac:dyDescent="0.25">
      <c r="A1664" t="s">
        <v>6018</v>
      </c>
      <c r="B1664" t="s">
        <v>21</v>
      </c>
      <c r="C1664" t="s">
        <v>397</v>
      </c>
      <c r="D1664">
        <v>898</v>
      </c>
      <c r="E1664">
        <v>492.06900000000002</v>
      </c>
      <c r="F1664">
        <v>413.97800000000001</v>
      </c>
      <c r="G1664">
        <v>3676836</v>
      </c>
      <c r="H1664" t="s">
        <v>1367</v>
      </c>
    </row>
    <row r="1665" spans="1:8" x14ac:dyDescent="0.25">
      <c r="A1665" t="s">
        <v>6018</v>
      </c>
      <c r="B1665" t="s">
        <v>21</v>
      </c>
      <c r="C1665" t="s">
        <v>397</v>
      </c>
      <c r="D1665">
        <v>874</v>
      </c>
      <c r="E1665">
        <v>478.91800000000001</v>
      </c>
      <c r="F1665">
        <v>402.91399999999999</v>
      </c>
      <c r="G1665">
        <v>3676836</v>
      </c>
      <c r="H1665" t="s">
        <v>1367</v>
      </c>
    </row>
    <row r="1666" spans="1:8" x14ac:dyDescent="0.25">
      <c r="A1666" t="s">
        <v>6018</v>
      </c>
      <c r="B1666" t="s">
        <v>21</v>
      </c>
      <c r="C1666" t="s">
        <v>397</v>
      </c>
      <c r="D1666">
        <v>848</v>
      </c>
      <c r="E1666">
        <v>464.67099999999999</v>
      </c>
      <c r="F1666">
        <v>390.928</v>
      </c>
      <c r="G1666">
        <v>3676836</v>
      </c>
      <c r="H1666" t="s">
        <v>1367</v>
      </c>
    </row>
    <row r="1667" spans="1:8" x14ac:dyDescent="0.25">
      <c r="A1667" t="s">
        <v>6018</v>
      </c>
      <c r="B1667" t="s">
        <v>21</v>
      </c>
      <c r="C1667" t="s">
        <v>397</v>
      </c>
      <c r="D1667">
        <v>763</v>
      </c>
      <c r="E1667">
        <v>418.09500000000003</v>
      </c>
      <c r="F1667">
        <v>351.74299999999999</v>
      </c>
      <c r="G1667">
        <v>3676836</v>
      </c>
      <c r="H1667" t="s">
        <v>1367</v>
      </c>
    </row>
    <row r="1668" spans="1:8" x14ac:dyDescent="0.25">
      <c r="A1668" t="s">
        <v>6018</v>
      </c>
      <c r="B1668" t="s">
        <v>21</v>
      </c>
      <c r="C1668" t="s">
        <v>397</v>
      </c>
      <c r="D1668">
        <v>559</v>
      </c>
      <c r="E1668">
        <v>306.31</v>
      </c>
      <c r="F1668">
        <v>257.69900000000001</v>
      </c>
      <c r="G1668">
        <v>3676836</v>
      </c>
      <c r="H1668" t="s">
        <v>1367</v>
      </c>
    </row>
    <row r="1669" spans="1:8" x14ac:dyDescent="0.25">
      <c r="A1669" t="s">
        <v>6018</v>
      </c>
      <c r="B1669" t="s">
        <v>21</v>
      </c>
      <c r="C1669" t="s">
        <v>397</v>
      </c>
      <c r="D1669">
        <v>488</v>
      </c>
      <c r="E1669">
        <v>267.40499999999997</v>
      </c>
      <c r="F1669">
        <v>224.96799999999999</v>
      </c>
      <c r="G1669">
        <v>3676836</v>
      </c>
      <c r="H1669" t="s">
        <v>1367</v>
      </c>
    </row>
    <row r="1670" spans="1:8" x14ac:dyDescent="0.25">
      <c r="A1670" t="s">
        <v>6018</v>
      </c>
      <c r="B1670" t="s">
        <v>21</v>
      </c>
      <c r="C1670" t="s">
        <v>397</v>
      </c>
      <c r="D1670">
        <v>7</v>
      </c>
      <c r="E1670">
        <v>3.8359999999999999</v>
      </c>
      <c r="F1670">
        <v>3.2269999999999999</v>
      </c>
      <c r="G1670">
        <v>3676836</v>
      </c>
      <c r="H1670" t="s">
        <v>1367</v>
      </c>
    </row>
    <row r="1671" spans="1:8" x14ac:dyDescent="0.25">
      <c r="A1671" t="s">
        <v>6018</v>
      </c>
      <c r="B1671" t="s">
        <v>21</v>
      </c>
      <c r="C1671" t="s">
        <v>397</v>
      </c>
      <c r="D1671">
        <v>2270</v>
      </c>
      <c r="E1671">
        <v>660.36900000000003</v>
      </c>
      <c r="F1671">
        <v>1956.74</v>
      </c>
      <c r="G1671">
        <v>1940857</v>
      </c>
      <c r="H1671" t="s">
        <v>1689</v>
      </c>
    </row>
    <row r="1672" spans="1:8" x14ac:dyDescent="0.25">
      <c r="A1672" t="s">
        <v>6018</v>
      </c>
      <c r="B1672" t="s">
        <v>21</v>
      </c>
      <c r="C1672" t="s">
        <v>397</v>
      </c>
      <c r="D1672">
        <v>1700</v>
      </c>
      <c r="E1672">
        <v>494.55</v>
      </c>
      <c r="F1672">
        <v>1465.4</v>
      </c>
      <c r="G1672">
        <v>1940857</v>
      </c>
      <c r="H1672" t="s">
        <v>1689</v>
      </c>
    </row>
    <row r="1673" spans="1:8" x14ac:dyDescent="0.25">
      <c r="A1673" t="s">
        <v>6018</v>
      </c>
      <c r="B1673" t="s">
        <v>21</v>
      </c>
      <c r="C1673" t="s">
        <v>397</v>
      </c>
      <c r="D1673">
        <v>30</v>
      </c>
      <c r="E1673">
        <v>8.7270000000000003</v>
      </c>
      <c r="F1673">
        <v>25.86</v>
      </c>
      <c r="G1673">
        <v>1940857</v>
      </c>
      <c r="H1673" t="s">
        <v>1689</v>
      </c>
    </row>
    <row r="1674" spans="1:8" x14ac:dyDescent="0.25">
      <c r="A1674" t="s">
        <v>6018</v>
      </c>
      <c r="B1674" t="s">
        <v>21</v>
      </c>
      <c r="C1674" t="s">
        <v>397</v>
      </c>
      <c r="D1674">
        <v>1250</v>
      </c>
      <c r="E1674">
        <v>921.29600000000005</v>
      </c>
      <c r="F1674">
        <v>1593.75</v>
      </c>
      <c r="G1674">
        <v>1932730</v>
      </c>
      <c r="H1674" t="s">
        <v>1738</v>
      </c>
    </row>
    <row r="1675" spans="1:8" x14ac:dyDescent="0.25">
      <c r="A1675" t="s">
        <v>6018</v>
      </c>
      <c r="B1675" t="s">
        <v>21</v>
      </c>
      <c r="C1675" t="s">
        <v>397</v>
      </c>
      <c r="D1675">
        <v>1229</v>
      </c>
      <c r="E1675">
        <v>905.81799999999998</v>
      </c>
      <c r="F1675">
        <v>1566.9749999999999</v>
      </c>
      <c r="G1675">
        <v>1932730</v>
      </c>
      <c r="H1675" t="s">
        <v>1738</v>
      </c>
    </row>
    <row r="1676" spans="1:8" x14ac:dyDescent="0.25">
      <c r="A1676" t="s">
        <v>6018</v>
      </c>
      <c r="B1676" t="s">
        <v>21</v>
      </c>
      <c r="C1676" t="s">
        <v>397</v>
      </c>
      <c r="D1676">
        <v>1200</v>
      </c>
      <c r="E1676">
        <v>884.44399999999996</v>
      </c>
      <c r="F1676">
        <v>1530</v>
      </c>
      <c r="G1676">
        <v>1932730</v>
      </c>
      <c r="H1676" t="s">
        <v>1738</v>
      </c>
    </row>
    <row r="1677" spans="1:8" x14ac:dyDescent="0.25">
      <c r="A1677" t="s">
        <v>6018</v>
      </c>
      <c r="B1677" t="s">
        <v>21</v>
      </c>
      <c r="C1677" t="s">
        <v>397</v>
      </c>
      <c r="D1677">
        <v>321</v>
      </c>
      <c r="E1677">
        <v>236.589</v>
      </c>
      <c r="F1677">
        <v>409.27499999999998</v>
      </c>
      <c r="G1677">
        <v>1932730</v>
      </c>
      <c r="H1677" t="s">
        <v>1738</v>
      </c>
    </row>
    <row r="1678" spans="1:8" x14ac:dyDescent="0.25">
      <c r="A1678" t="s">
        <v>6018</v>
      </c>
      <c r="B1678" t="s">
        <v>21</v>
      </c>
      <c r="C1678" t="s">
        <v>397</v>
      </c>
      <c r="D1678">
        <v>3000</v>
      </c>
      <c r="E1678">
        <v>1638.787</v>
      </c>
      <c r="F1678">
        <v>2361</v>
      </c>
      <c r="G1678">
        <v>1940817</v>
      </c>
      <c r="H1678" t="s">
        <v>1679</v>
      </c>
    </row>
    <row r="1679" spans="1:8" x14ac:dyDescent="0.25">
      <c r="A1679" t="s">
        <v>6018</v>
      </c>
      <c r="B1679" t="s">
        <v>21</v>
      </c>
      <c r="C1679" t="s">
        <v>397</v>
      </c>
      <c r="D1679">
        <v>1789</v>
      </c>
      <c r="E1679">
        <v>1068.002</v>
      </c>
      <c r="F1679">
        <v>2074.1669999999999</v>
      </c>
      <c r="G1679">
        <v>3676838</v>
      </c>
      <c r="H1679" t="s">
        <v>1728</v>
      </c>
    </row>
    <row r="1680" spans="1:8" x14ac:dyDescent="0.25">
      <c r="A1680" t="s">
        <v>6018</v>
      </c>
      <c r="B1680" t="s">
        <v>21</v>
      </c>
      <c r="C1680" t="s">
        <v>397</v>
      </c>
      <c r="D1680">
        <v>1211</v>
      </c>
      <c r="E1680">
        <v>722.94600000000003</v>
      </c>
      <c r="F1680">
        <v>1404.0329999999999</v>
      </c>
      <c r="G1680">
        <v>3676838</v>
      </c>
      <c r="H1680" t="s">
        <v>1728</v>
      </c>
    </row>
    <row r="1681" spans="1:8" x14ac:dyDescent="0.25">
      <c r="A1681" t="s">
        <v>422</v>
      </c>
      <c r="B1681" t="s">
        <v>30</v>
      </c>
      <c r="C1681" t="s">
        <v>397</v>
      </c>
      <c r="D1681">
        <v>1125</v>
      </c>
      <c r="E1681">
        <v>1801.961</v>
      </c>
      <c r="F1681">
        <v>661.5</v>
      </c>
      <c r="G1681">
        <v>1941846</v>
      </c>
      <c r="H1681" t="s">
        <v>440</v>
      </c>
    </row>
    <row r="1682" spans="1:8" x14ac:dyDescent="0.25">
      <c r="A1682" t="s">
        <v>422</v>
      </c>
      <c r="B1682" t="s">
        <v>30</v>
      </c>
      <c r="C1682" t="s">
        <v>397</v>
      </c>
      <c r="D1682">
        <v>2971</v>
      </c>
      <c r="E1682">
        <v>3569.47</v>
      </c>
      <c r="F1682">
        <v>1589.4849999999999</v>
      </c>
      <c r="G1682">
        <v>3635694</v>
      </c>
      <c r="H1682" t="s">
        <v>649</v>
      </c>
    </row>
    <row r="1683" spans="1:8" x14ac:dyDescent="0.25">
      <c r="A1683" t="s">
        <v>422</v>
      </c>
      <c r="B1683" t="s">
        <v>30</v>
      </c>
      <c r="C1683" t="s">
        <v>397</v>
      </c>
      <c r="D1683">
        <v>1314</v>
      </c>
      <c r="E1683">
        <v>1578.6890000000001</v>
      </c>
      <c r="F1683">
        <v>702.99</v>
      </c>
      <c r="G1683">
        <v>3635694</v>
      </c>
      <c r="H1683" t="s">
        <v>649</v>
      </c>
    </row>
    <row r="1684" spans="1:8" x14ac:dyDescent="0.25">
      <c r="A1684" t="s">
        <v>422</v>
      </c>
      <c r="B1684" t="s">
        <v>30</v>
      </c>
      <c r="C1684" t="s">
        <v>397</v>
      </c>
      <c r="D1684">
        <v>115</v>
      </c>
      <c r="E1684">
        <v>138.16499999999999</v>
      </c>
      <c r="F1684">
        <v>61.524999999999999</v>
      </c>
      <c r="G1684">
        <v>3635694</v>
      </c>
      <c r="H1684" t="s">
        <v>649</v>
      </c>
    </row>
    <row r="1685" spans="1:8" x14ac:dyDescent="0.25">
      <c r="A1685" t="s">
        <v>422</v>
      </c>
      <c r="B1685" t="s">
        <v>30</v>
      </c>
      <c r="C1685" t="s">
        <v>444</v>
      </c>
      <c r="D1685">
        <v>350</v>
      </c>
      <c r="E1685">
        <v>2100</v>
      </c>
      <c r="F1685">
        <v>1183.77</v>
      </c>
      <c r="G1685">
        <v>1900224</v>
      </c>
      <c r="H1685" t="s">
        <v>513</v>
      </c>
    </row>
    <row r="1686" spans="1:8" x14ac:dyDescent="0.25">
      <c r="A1686" t="s">
        <v>636</v>
      </c>
      <c r="B1686" t="s">
        <v>151</v>
      </c>
      <c r="C1686" t="s">
        <v>397</v>
      </c>
      <c r="D1686">
        <v>2600</v>
      </c>
      <c r="E1686">
        <v>1023.148</v>
      </c>
      <c r="F1686">
        <v>972.4</v>
      </c>
      <c r="G1686">
        <v>1940318</v>
      </c>
      <c r="H1686" t="s">
        <v>710</v>
      </c>
    </row>
    <row r="1687" spans="1:8" x14ac:dyDescent="0.25">
      <c r="A1687" t="s">
        <v>636</v>
      </c>
      <c r="B1687" t="s">
        <v>151</v>
      </c>
      <c r="C1687" t="s">
        <v>397</v>
      </c>
      <c r="D1687">
        <v>10000</v>
      </c>
      <c r="E1687">
        <v>8154.6779999999999</v>
      </c>
      <c r="F1687">
        <v>8140</v>
      </c>
      <c r="G1687">
        <v>2413708</v>
      </c>
      <c r="H1687" t="s">
        <v>634</v>
      </c>
    </row>
    <row r="1688" spans="1:8" x14ac:dyDescent="0.25">
      <c r="A1688" t="s">
        <v>6043</v>
      </c>
      <c r="B1688" t="s">
        <v>63</v>
      </c>
      <c r="C1688" t="s">
        <v>392</v>
      </c>
      <c r="D1688">
        <v>263</v>
      </c>
      <c r="E1688">
        <v>1577.0070000000001</v>
      </c>
      <c r="F1688">
        <v>1369</v>
      </c>
      <c r="G1688">
        <v>1940520</v>
      </c>
      <c r="H1688" t="s">
        <v>6044</v>
      </c>
    </row>
    <row r="1689" spans="1:8" x14ac:dyDescent="0.25">
      <c r="A1689" t="s">
        <v>6043</v>
      </c>
      <c r="B1689" t="s">
        <v>63</v>
      </c>
      <c r="C1689" t="s">
        <v>392</v>
      </c>
      <c r="D1689">
        <v>197</v>
      </c>
      <c r="E1689">
        <v>1179.588</v>
      </c>
      <c r="F1689">
        <v>1024</v>
      </c>
      <c r="G1689">
        <v>1940520</v>
      </c>
      <c r="H1689" t="s">
        <v>6044</v>
      </c>
    </row>
    <row r="1690" spans="1:8" x14ac:dyDescent="0.25">
      <c r="A1690" t="s">
        <v>6043</v>
      </c>
      <c r="B1690" t="s">
        <v>63</v>
      </c>
      <c r="C1690" t="s">
        <v>392</v>
      </c>
      <c r="D1690">
        <v>152</v>
      </c>
      <c r="E1690">
        <v>912.33699999999999</v>
      </c>
      <c r="F1690">
        <v>792</v>
      </c>
      <c r="G1690">
        <v>1940520</v>
      </c>
      <c r="H1690" t="s">
        <v>6044</v>
      </c>
    </row>
    <row r="1691" spans="1:8" x14ac:dyDescent="0.25">
      <c r="A1691" t="s">
        <v>6043</v>
      </c>
      <c r="B1691" t="s">
        <v>63</v>
      </c>
      <c r="C1691" t="s">
        <v>392</v>
      </c>
      <c r="D1691">
        <v>150</v>
      </c>
      <c r="E1691">
        <v>899.66600000000005</v>
      </c>
      <c r="F1691">
        <v>781</v>
      </c>
      <c r="G1691">
        <v>1940520</v>
      </c>
      <c r="H1691" t="s">
        <v>6044</v>
      </c>
    </row>
    <row r="1692" spans="1:8" x14ac:dyDescent="0.25">
      <c r="A1692" t="s">
        <v>6043</v>
      </c>
      <c r="B1692" t="s">
        <v>63</v>
      </c>
      <c r="C1692" t="s">
        <v>392</v>
      </c>
      <c r="D1692">
        <v>137</v>
      </c>
      <c r="E1692">
        <v>822.48599999999999</v>
      </c>
      <c r="F1692">
        <v>714</v>
      </c>
      <c r="G1692">
        <v>1940520</v>
      </c>
      <c r="H1692" t="s">
        <v>6044</v>
      </c>
    </row>
    <row r="1693" spans="1:8" x14ac:dyDescent="0.25">
      <c r="A1693" t="s">
        <v>6043</v>
      </c>
      <c r="B1693" t="s">
        <v>63</v>
      </c>
      <c r="C1693" t="s">
        <v>392</v>
      </c>
      <c r="D1693">
        <v>130</v>
      </c>
      <c r="E1693">
        <v>779.86400000000003</v>
      </c>
      <c r="F1693">
        <v>677</v>
      </c>
      <c r="G1693">
        <v>1940520</v>
      </c>
      <c r="H1693" t="s">
        <v>6044</v>
      </c>
    </row>
    <row r="1694" spans="1:8" x14ac:dyDescent="0.25">
      <c r="A1694" t="s">
        <v>6043</v>
      </c>
      <c r="B1694" t="s">
        <v>63</v>
      </c>
      <c r="C1694" t="s">
        <v>392</v>
      </c>
      <c r="D1694">
        <v>85</v>
      </c>
      <c r="E1694">
        <v>510.31</v>
      </c>
      <c r="F1694">
        <v>443</v>
      </c>
      <c r="G1694">
        <v>1940520</v>
      </c>
      <c r="H1694" t="s">
        <v>6044</v>
      </c>
    </row>
    <row r="1695" spans="1:8" x14ac:dyDescent="0.25">
      <c r="A1695" t="s">
        <v>6043</v>
      </c>
      <c r="B1695" t="s">
        <v>63</v>
      </c>
      <c r="C1695" t="s">
        <v>392</v>
      </c>
      <c r="D1695">
        <v>654</v>
      </c>
      <c r="E1695">
        <v>3926.7020000000002</v>
      </c>
      <c r="F1695">
        <v>2550</v>
      </c>
      <c r="G1695">
        <v>1940214</v>
      </c>
      <c r="H1695" t="s">
        <v>4531</v>
      </c>
    </row>
    <row r="1696" spans="1:8" x14ac:dyDescent="0.25">
      <c r="A1696" t="s">
        <v>6043</v>
      </c>
      <c r="B1696" t="s">
        <v>63</v>
      </c>
      <c r="C1696" t="s">
        <v>392</v>
      </c>
      <c r="D1696">
        <v>642</v>
      </c>
      <c r="E1696">
        <v>3849.7069999999999</v>
      </c>
      <c r="F1696">
        <v>2500</v>
      </c>
      <c r="G1696">
        <v>1940214</v>
      </c>
      <c r="H1696" t="s">
        <v>4531</v>
      </c>
    </row>
    <row r="1697" spans="1:8" x14ac:dyDescent="0.25">
      <c r="A1697" t="s">
        <v>6043</v>
      </c>
      <c r="B1697" t="s">
        <v>63</v>
      </c>
      <c r="C1697" t="s">
        <v>392</v>
      </c>
      <c r="D1697">
        <v>244</v>
      </c>
      <c r="E1697">
        <v>1462.8889999999999</v>
      </c>
      <c r="F1697">
        <v>950</v>
      </c>
      <c r="G1697">
        <v>1940214</v>
      </c>
      <c r="H1697" t="s">
        <v>4531</v>
      </c>
    </row>
    <row r="1698" spans="1:8" x14ac:dyDescent="0.25">
      <c r="A1698" t="s">
        <v>6043</v>
      </c>
      <c r="B1698" t="s">
        <v>63</v>
      </c>
      <c r="C1698" t="s">
        <v>392</v>
      </c>
      <c r="D1698">
        <v>692</v>
      </c>
      <c r="E1698">
        <v>4154.7960000000003</v>
      </c>
      <c r="F1698">
        <v>2625</v>
      </c>
      <c r="G1698">
        <v>1940148</v>
      </c>
      <c r="H1698" t="s">
        <v>6035</v>
      </c>
    </row>
    <row r="1699" spans="1:8" x14ac:dyDescent="0.25">
      <c r="A1699" t="s">
        <v>6043</v>
      </c>
      <c r="B1699" t="s">
        <v>63</v>
      </c>
      <c r="C1699" t="s">
        <v>392</v>
      </c>
      <c r="D1699">
        <v>690</v>
      </c>
      <c r="E1699">
        <v>4142.134</v>
      </c>
      <c r="F1699">
        <v>2617</v>
      </c>
      <c r="G1699">
        <v>1940148</v>
      </c>
      <c r="H1699" t="s">
        <v>6035</v>
      </c>
    </row>
    <row r="1700" spans="1:8" x14ac:dyDescent="0.25">
      <c r="A1700" t="s">
        <v>6043</v>
      </c>
      <c r="B1700" t="s">
        <v>63</v>
      </c>
      <c r="C1700" t="s">
        <v>392</v>
      </c>
      <c r="D1700">
        <v>619</v>
      </c>
      <c r="E1700">
        <v>3716.366</v>
      </c>
      <c r="F1700">
        <v>2348</v>
      </c>
      <c r="G1700">
        <v>1940148</v>
      </c>
      <c r="H1700" t="s">
        <v>6035</v>
      </c>
    </row>
    <row r="1701" spans="1:8" x14ac:dyDescent="0.25">
      <c r="A1701" t="s">
        <v>6045</v>
      </c>
      <c r="B1701" t="s">
        <v>70</v>
      </c>
      <c r="C1701" t="s">
        <v>397</v>
      </c>
      <c r="D1701">
        <v>1750</v>
      </c>
      <c r="E1701">
        <v>1627.0909999999999</v>
      </c>
      <c r="F1701">
        <v>1624</v>
      </c>
      <c r="G1701">
        <v>1940479</v>
      </c>
      <c r="H1701" t="s">
        <v>698</v>
      </c>
    </row>
    <row r="1702" spans="1:8" x14ac:dyDescent="0.25">
      <c r="A1702" t="s">
        <v>6045</v>
      </c>
      <c r="B1702" t="s">
        <v>70</v>
      </c>
      <c r="C1702" t="s">
        <v>397</v>
      </c>
      <c r="D1702">
        <v>1720</v>
      </c>
      <c r="E1702">
        <v>1599.1980000000001</v>
      </c>
      <c r="F1702">
        <v>1596.16</v>
      </c>
      <c r="G1702">
        <v>1940479</v>
      </c>
      <c r="H1702" t="s">
        <v>698</v>
      </c>
    </row>
    <row r="1703" spans="1:8" x14ac:dyDescent="0.25">
      <c r="A1703" t="s">
        <v>6045</v>
      </c>
      <c r="B1703" t="s">
        <v>70</v>
      </c>
      <c r="C1703" t="s">
        <v>397</v>
      </c>
      <c r="D1703">
        <v>1359</v>
      </c>
      <c r="E1703">
        <v>1263.5530000000001</v>
      </c>
      <c r="F1703">
        <v>1261.152</v>
      </c>
      <c r="G1703">
        <v>1940479</v>
      </c>
      <c r="H1703" t="s">
        <v>698</v>
      </c>
    </row>
    <row r="1704" spans="1:8" x14ac:dyDescent="0.25">
      <c r="A1704" t="s">
        <v>6045</v>
      </c>
      <c r="B1704" t="s">
        <v>70</v>
      </c>
      <c r="C1704" t="s">
        <v>397</v>
      </c>
      <c r="D1704">
        <v>171</v>
      </c>
      <c r="E1704">
        <v>158.99</v>
      </c>
      <c r="F1704">
        <v>158.68799999999999</v>
      </c>
      <c r="G1704">
        <v>1940479</v>
      </c>
      <c r="H1704" t="s">
        <v>698</v>
      </c>
    </row>
    <row r="1705" spans="1:8" x14ac:dyDescent="0.25">
      <c r="A1705" t="s">
        <v>6046</v>
      </c>
      <c r="B1705" t="s">
        <v>57</v>
      </c>
      <c r="C1705" t="s">
        <v>397</v>
      </c>
      <c r="D1705">
        <v>1286</v>
      </c>
      <c r="E1705">
        <v>997.22400000000005</v>
      </c>
      <c r="F1705">
        <v>950.35400000000004</v>
      </c>
      <c r="G1705">
        <v>3765171</v>
      </c>
      <c r="H1705" t="s">
        <v>6047</v>
      </c>
    </row>
    <row r="1706" spans="1:8" x14ac:dyDescent="0.25">
      <c r="A1706" t="s">
        <v>6046</v>
      </c>
      <c r="B1706" t="s">
        <v>57</v>
      </c>
      <c r="C1706" t="s">
        <v>397</v>
      </c>
      <c r="D1706">
        <v>6</v>
      </c>
      <c r="E1706">
        <v>4.6529999999999996</v>
      </c>
      <c r="F1706">
        <v>4.4340000000000002</v>
      </c>
      <c r="G1706">
        <v>3765171</v>
      </c>
      <c r="H1706" t="s">
        <v>6047</v>
      </c>
    </row>
    <row r="1707" spans="1:8" x14ac:dyDescent="0.25">
      <c r="A1707" t="s">
        <v>6046</v>
      </c>
      <c r="B1707" t="s">
        <v>57</v>
      </c>
      <c r="C1707" t="s">
        <v>397</v>
      </c>
      <c r="D1707">
        <v>916</v>
      </c>
      <c r="E1707">
        <v>710.30799999999999</v>
      </c>
      <c r="F1707">
        <v>676.92399999999998</v>
      </c>
      <c r="G1707">
        <v>3765171</v>
      </c>
      <c r="H1707" t="s">
        <v>6047</v>
      </c>
    </row>
    <row r="1708" spans="1:8" x14ac:dyDescent="0.25">
      <c r="A1708" t="s">
        <v>6046</v>
      </c>
      <c r="B1708" t="s">
        <v>57</v>
      </c>
      <c r="C1708" t="s">
        <v>397</v>
      </c>
      <c r="D1708">
        <v>843</v>
      </c>
      <c r="E1708">
        <v>653.70100000000002</v>
      </c>
      <c r="F1708">
        <v>622.97699999999998</v>
      </c>
      <c r="G1708">
        <v>3765171</v>
      </c>
      <c r="H1708" t="s">
        <v>6047</v>
      </c>
    </row>
    <row r="1709" spans="1:8" x14ac:dyDescent="0.25">
      <c r="A1709" t="s">
        <v>6046</v>
      </c>
      <c r="B1709" t="s">
        <v>57</v>
      </c>
      <c r="C1709" t="s">
        <v>397</v>
      </c>
      <c r="D1709">
        <v>209</v>
      </c>
      <c r="E1709">
        <v>162.06800000000001</v>
      </c>
      <c r="F1709">
        <v>154.45099999999999</v>
      </c>
      <c r="G1709">
        <v>3765171</v>
      </c>
      <c r="H1709" t="s">
        <v>6047</v>
      </c>
    </row>
    <row r="1710" spans="1:8" x14ac:dyDescent="0.25">
      <c r="A1710" t="s">
        <v>6046</v>
      </c>
      <c r="B1710" t="s">
        <v>57</v>
      </c>
      <c r="C1710" t="s">
        <v>397</v>
      </c>
      <c r="D1710">
        <v>190</v>
      </c>
      <c r="E1710">
        <v>147.33500000000001</v>
      </c>
      <c r="F1710">
        <v>140.41</v>
      </c>
      <c r="G1710">
        <v>3765171</v>
      </c>
      <c r="H1710" t="s">
        <v>6047</v>
      </c>
    </row>
    <row r="1711" spans="1:8" x14ac:dyDescent="0.25">
      <c r="A1711" t="s">
        <v>453</v>
      </c>
      <c r="B1711" t="s">
        <v>60</v>
      </c>
      <c r="C1711" t="s">
        <v>397</v>
      </c>
      <c r="D1711">
        <v>799</v>
      </c>
      <c r="E1711">
        <v>1047.001</v>
      </c>
      <c r="F1711">
        <v>1152.9570000000001</v>
      </c>
      <c r="G1711">
        <v>1940801</v>
      </c>
      <c r="H1711" t="s">
        <v>478</v>
      </c>
    </row>
    <row r="1712" spans="1:8" x14ac:dyDescent="0.25">
      <c r="A1712" t="s">
        <v>453</v>
      </c>
      <c r="B1712" t="s">
        <v>60</v>
      </c>
      <c r="C1712" t="s">
        <v>397</v>
      </c>
      <c r="D1712">
        <v>701</v>
      </c>
      <c r="E1712">
        <v>918.58199999999999</v>
      </c>
      <c r="F1712">
        <v>1011.543</v>
      </c>
      <c r="G1712">
        <v>1940801</v>
      </c>
      <c r="H1712" t="s">
        <v>478</v>
      </c>
    </row>
    <row r="1713" spans="1:8" x14ac:dyDescent="0.25">
      <c r="A1713" t="s">
        <v>453</v>
      </c>
      <c r="B1713" t="s">
        <v>60</v>
      </c>
      <c r="C1713" t="s">
        <v>397</v>
      </c>
      <c r="D1713">
        <v>500</v>
      </c>
      <c r="E1713">
        <v>623.41099999999994</v>
      </c>
      <c r="F1713">
        <v>686.5</v>
      </c>
      <c r="G1713">
        <v>3233554</v>
      </c>
      <c r="H1713" t="s">
        <v>480</v>
      </c>
    </row>
    <row r="1714" spans="1:8" x14ac:dyDescent="0.25">
      <c r="A1714" t="s">
        <v>453</v>
      </c>
      <c r="B1714" t="s">
        <v>60</v>
      </c>
      <c r="C1714" t="s">
        <v>397</v>
      </c>
      <c r="D1714">
        <v>1898</v>
      </c>
      <c r="E1714">
        <v>2126.8910000000001</v>
      </c>
      <c r="F1714">
        <v>2342.1320000000001</v>
      </c>
      <c r="G1714">
        <v>3233555</v>
      </c>
      <c r="H1714" t="s">
        <v>482</v>
      </c>
    </row>
    <row r="1715" spans="1:8" x14ac:dyDescent="0.25">
      <c r="A1715" t="s">
        <v>453</v>
      </c>
      <c r="B1715" t="s">
        <v>60</v>
      </c>
      <c r="C1715" t="s">
        <v>397</v>
      </c>
      <c r="D1715">
        <v>102</v>
      </c>
      <c r="E1715">
        <v>114.301</v>
      </c>
      <c r="F1715">
        <v>125.86799999999999</v>
      </c>
      <c r="G1715">
        <v>3233555</v>
      </c>
      <c r="H1715" t="s">
        <v>482</v>
      </c>
    </row>
    <row r="1716" spans="1:8" x14ac:dyDescent="0.25">
      <c r="A1716" t="s">
        <v>453</v>
      </c>
      <c r="B1716" t="s">
        <v>60</v>
      </c>
      <c r="C1716" t="s">
        <v>397</v>
      </c>
      <c r="D1716">
        <v>498</v>
      </c>
      <c r="E1716">
        <v>428.524</v>
      </c>
      <c r="F1716">
        <v>468.12</v>
      </c>
      <c r="G1716">
        <v>3572051</v>
      </c>
      <c r="H1716" t="s">
        <v>484</v>
      </c>
    </row>
    <row r="1717" spans="1:8" x14ac:dyDescent="0.25">
      <c r="A1717" t="s">
        <v>453</v>
      </c>
      <c r="B1717" t="s">
        <v>60</v>
      </c>
      <c r="C1717" t="s">
        <v>397</v>
      </c>
      <c r="D1717">
        <v>498</v>
      </c>
      <c r="E1717">
        <v>428.524</v>
      </c>
      <c r="F1717">
        <v>468.12</v>
      </c>
      <c r="G1717">
        <v>3572051</v>
      </c>
      <c r="H1717" t="s">
        <v>484</v>
      </c>
    </row>
    <row r="1718" spans="1:8" x14ac:dyDescent="0.25">
      <c r="A1718" t="s">
        <v>453</v>
      </c>
      <c r="B1718" t="s">
        <v>60</v>
      </c>
      <c r="C1718" t="s">
        <v>397</v>
      </c>
      <c r="D1718">
        <v>448</v>
      </c>
      <c r="E1718">
        <v>385.5</v>
      </c>
      <c r="F1718">
        <v>421.12</v>
      </c>
      <c r="G1718">
        <v>3572051</v>
      </c>
      <c r="H1718" t="s">
        <v>484</v>
      </c>
    </row>
    <row r="1719" spans="1:8" x14ac:dyDescent="0.25">
      <c r="A1719" t="s">
        <v>453</v>
      </c>
      <c r="B1719" t="s">
        <v>60</v>
      </c>
      <c r="C1719" t="s">
        <v>397</v>
      </c>
      <c r="D1719">
        <v>259</v>
      </c>
      <c r="E1719">
        <v>222.86699999999999</v>
      </c>
      <c r="F1719">
        <v>243.46</v>
      </c>
      <c r="G1719">
        <v>3572051</v>
      </c>
      <c r="H1719" t="s">
        <v>484</v>
      </c>
    </row>
    <row r="1720" spans="1:8" x14ac:dyDescent="0.25">
      <c r="A1720" t="s">
        <v>453</v>
      </c>
      <c r="B1720" t="s">
        <v>60</v>
      </c>
      <c r="C1720" t="s">
        <v>397</v>
      </c>
      <c r="D1720">
        <v>198</v>
      </c>
      <c r="E1720">
        <v>170.37700000000001</v>
      </c>
      <c r="F1720">
        <v>186.12</v>
      </c>
      <c r="G1720">
        <v>3572051</v>
      </c>
      <c r="H1720" t="s">
        <v>484</v>
      </c>
    </row>
    <row r="1721" spans="1:8" x14ac:dyDescent="0.25">
      <c r="A1721" t="s">
        <v>453</v>
      </c>
      <c r="B1721" t="s">
        <v>60</v>
      </c>
      <c r="C1721" t="s">
        <v>397</v>
      </c>
      <c r="D1721">
        <v>99</v>
      </c>
      <c r="E1721">
        <v>85.188999999999993</v>
      </c>
      <c r="F1721">
        <v>93.06</v>
      </c>
      <c r="G1721">
        <v>3572051</v>
      </c>
      <c r="H1721" t="s">
        <v>484</v>
      </c>
    </row>
    <row r="1722" spans="1:8" x14ac:dyDescent="0.25">
      <c r="A1722" t="s">
        <v>453</v>
      </c>
      <c r="B1722" t="s">
        <v>60</v>
      </c>
      <c r="C1722" t="s">
        <v>397</v>
      </c>
      <c r="D1722">
        <v>1000</v>
      </c>
      <c r="E1722">
        <v>754.99400000000003</v>
      </c>
      <c r="F1722">
        <v>824.75599999999997</v>
      </c>
      <c r="G1722">
        <v>4151472</v>
      </c>
      <c r="H1722" t="s">
        <v>488</v>
      </c>
    </row>
    <row r="1723" spans="1:8" x14ac:dyDescent="0.25">
      <c r="A1723" t="s">
        <v>453</v>
      </c>
      <c r="B1723" t="s">
        <v>60</v>
      </c>
      <c r="C1723" t="s">
        <v>397</v>
      </c>
      <c r="D1723">
        <v>1000</v>
      </c>
      <c r="E1723">
        <v>120.777</v>
      </c>
      <c r="F1723">
        <v>133</v>
      </c>
      <c r="G1723">
        <v>3233559</v>
      </c>
      <c r="H1723" t="s">
        <v>490</v>
      </c>
    </row>
    <row r="1724" spans="1:8" x14ac:dyDescent="0.25">
      <c r="A1724" t="s">
        <v>453</v>
      </c>
      <c r="B1724" t="s">
        <v>60</v>
      </c>
      <c r="C1724" t="s">
        <v>397</v>
      </c>
      <c r="D1724">
        <v>876</v>
      </c>
      <c r="E1724">
        <v>97.03</v>
      </c>
      <c r="F1724">
        <v>105.996</v>
      </c>
      <c r="G1724">
        <v>3572047</v>
      </c>
      <c r="H1724" t="s">
        <v>492</v>
      </c>
    </row>
    <row r="1725" spans="1:8" x14ac:dyDescent="0.25">
      <c r="A1725" t="s">
        <v>453</v>
      </c>
      <c r="B1725" t="s">
        <v>60</v>
      </c>
      <c r="C1725" t="s">
        <v>397</v>
      </c>
      <c r="D1725">
        <v>124</v>
      </c>
      <c r="E1725">
        <v>13.734999999999999</v>
      </c>
      <c r="F1725">
        <v>15.004</v>
      </c>
      <c r="G1725">
        <v>3572047</v>
      </c>
      <c r="H1725" t="s">
        <v>492</v>
      </c>
    </row>
    <row r="1726" spans="1:8" x14ac:dyDescent="0.25">
      <c r="A1726" t="s">
        <v>453</v>
      </c>
      <c r="B1726" t="s">
        <v>60</v>
      </c>
      <c r="C1726" t="s">
        <v>397</v>
      </c>
      <c r="D1726">
        <v>1000</v>
      </c>
      <c r="E1726">
        <v>794.99099999999999</v>
      </c>
      <c r="F1726">
        <v>439.78899999999999</v>
      </c>
      <c r="G1726">
        <v>4151429</v>
      </c>
      <c r="H1726" t="s">
        <v>494</v>
      </c>
    </row>
    <row r="1727" spans="1:8" x14ac:dyDescent="0.25">
      <c r="A1727" t="s">
        <v>453</v>
      </c>
      <c r="B1727" t="s">
        <v>60</v>
      </c>
      <c r="C1727" t="s">
        <v>397</v>
      </c>
      <c r="D1727">
        <v>1000</v>
      </c>
      <c r="E1727">
        <v>469.99400000000003</v>
      </c>
      <c r="F1727">
        <v>256.10000000000002</v>
      </c>
      <c r="G1727">
        <v>3230488</v>
      </c>
      <c r="H1727" t="s">
        <v>496</v>
      </c>
    </row>
    <row r="1728" spans="1:8" x14ac:dyDescent="0.25">
      <c r="A1728" t="s">
        <v>453</v>
      </c>
      <c r="B1728" t="s">
        <v>60</v>
      </c>
      <c r="C1728" t="s">
        <v>397</v>
      </c>
      <c r="D1728">
        <v>2590</v>
      </c>
      <c r="E1728">
        <v>1034.6890000000001</v>
      </c>
      <c r="F1728">
        <v>572.39</v>
      </c>
      <c r="G1728">
        <v>3230487</v>
      </c>
      <c r="H1728" t="s">
        <v>498</v>
      </c>
    </row>
    <row r="1729" spans="1:8" x14ac:dyDescent="0.25">
      <c r="A1729" t="s">
        <v>453</v>
      </c>
      <c r="B1729" t="s">
        <v>60</v>
      </c>
      <c r="C1729" t="s">
        <v>397</v>
      </c>
      <c r="D1729">
        <v>1410</v>
      </c>
      <c r="E1729">
        <v>563.28599999999994</v>
      </c>
      <c r="F1729">
        <v>311.61</v>
      </c>
      <c r="G1729">
        <v>3230487</v>
      </c>
      <c r="H1729" t="s">
        <v>498</v>
      </c>
    </row>
    <row r="1730" spans="1:8" x14ac:dyDescent="0.25">
      <c r="A1730" t="s">
        <v>453</v>
      </c>
      <c r="B1730" t="s">
        <v>60</v>
      </c>
      <c r="C1730" t="s">
        <v>397</v>
      </c>
      <c r="D1730">
        <v>2000</v>
      </c>
      <c r="E1730">
        <v>199.99600000000001</v>
      </c>
      <c r="F1730">
        <v>109</v>
      </c>
      <c r="G1730">
        <v>3931834</v>
      </c>
      <c r="H1730" t="s">
        <v>500</v>
      </c>
    </row>
    <row r="1731" spans="1:8" x14ac:dyDescent="0.25">
      <c r="A1731" t="s">
        <v>453</v>
      </c>
      <c r="B1731" t="s">
        <v>60</v>
      </c>
      <c r="C1731" t="s">
        <v>397</v>
      </c>
      <c r="D1731">
        <v>1000</v>
      </c>
      <c r="E1731">
        <v>115.006</v>
      </c>
      <c r="F1731">
        <v>62.667000000000002</v>
      </c>
      <c r="G1731">
        <v>4151428</v>
      </c>
      <c r="H1731" t="s">
        <v>504</v>
      </c>
    </row>
    <row r="1732" spans="1:8" x14ac:dyDescent="0.25">
      <c r="A1732" t="s">
        <v>453</v>
      </c>
      <c r="B1732" t="s">
        <v>60</v>
      </c>
      <c r="C1732" t="s">
        <v>397</v>
      </c>
      <c r="D1732">
        <v>1000</v>
      </c>
      <c r="E1732">
        <v>962.99</v>
      </c>
      <c r="F1732">
        <v>524.73299999999995</v>
      </c>
      <c r="G1732">
        <v>4151427</v>
      </c>
      <c r="H1732" t="s">
        <v>509</v>
      </c>
    </row>
    <row r="1733" spans="1:8" x14ac:dyDescent="0.25">
      <c r="A1733" t="s">
        <v>453</v>
      </c>
      <c r="B1733" t="s">
        <v>60</v>
      </c>
      <c r="C1733" t="s">
        <v>397</v>
      </c>
      <c r="D1733">
        <v>1000</v>
      </c>
      <c r="E1733">
        <v>755.00099999999998</v>
      </c>
      <c r="F1733">
        <v>411.4</v>
      </c>
      <c r="G1733">
        <v>4151426</v>
      </c>
      <c r="H1733" t="s">
        <v>511</v>
      </c>
    </row>
    <row r="1734" spans="1:8" x14ac:dyDescent="0.25">
      <c r="A1734" t="s">
        <v>453</v>
      </c>
      <c r="B1734" t="s">
        <v>60</v>
      </c>
      <c r="C1734" t="s">
        <v>397</v>
      </c>
      <c r="D1734">
        <v>979</v>
      </c>
      <c r="E1734">
        <v>348.63200000000001</v>
      </c>
      <c r="F1734">
        <v>192.863</v>
      </c>
      <c r="G1734">
        <v>3230490</v>
      </c>
      <c r="H1734" t="s">
        <v>515</v>
      </c>
    </row>
    <row r="1735" spans="1:8" x14ac:dyDescent="0.25">
      <c r="A1735" t="s">
        <v>453</v>
      </c>
      <c r="B1735" t="s">
        <v>60</v>
      </c>
      <c r="C1735" t="s">
        <v>397</v>
      </c>
      <c r="D1735">
        <v>21</v>
      </c>
      <c r="E1735">
        <v>7.4779999999999998</v>
      </c>
      <c r="F1735">
        <v>4.1369999999999996</v>
      </c>
      <c r="G1735">
        <v>3230490</v>
      </c>
      <c r="H1735" t="s">
        <v>515</v>
      </c>
    </row>
    <row r="1736" spans="1:8" x14ac:dyDescent="0.25">
      <c r="A1736" t="s">
        <v>453</v>
      </c>
      <c r="B1736" t="s">
        <v>60</v>
      </c>
      <c r="C1736" t="s">
        <v>397</v>
      </c>
      <c r="D1736">
        <v>1000</v>
      </c>
      <c r="E1736">
        <v>1303.991</v>
      </c>
      <c r="F1736">
        <v>710.54399999999998</v>
      </c>
      <c r="G1736">
        <v>3572039</v>
      </c>
      <c r="H1736" t="s">
        <v>519</v>
      </c>
    </row>
    <row r="1737" spans="1:8" x14ac:dyDescent="0.25">
      <c r="A1737" t="s">
        <v>453</v>
      </c>
      <c r="B1737" t="s">
        <v>60</v>
      </c>
      <c r="C1737" t="s">
        <v>397</v>
      </c>
      <c r="D1737">
        <v>500</v>
      </c>
      <c r="E1737">
        <v>622.99900000000002</v>
      </c>
      <c r="F1737">
        <v>339.47199999999998</v>
      </c>
      <c r="G1737">
        <v>3572038</v>
      </c>
      <c r="H1737" t="s">
        <v>521</v>
      </c>
    </row>
    <row r="1738" spans="1:8" x14ac:dyDescent="0.25">
      <c r="A1738" t="s">
        <v>453</v>
      </c>
      <c r="B1738" t="s">
        <v>60</v>
      </c>
      <c r="C1738" t="s">
        <v>397</v>
      </c>
      <c r="D1738">
        <v>1000</v>
      </c>
      <c r="E1738">
        <v>835</v>
      </c>
      <c r="F1738">
        <v>461.92200000000003</v>
      </c>
      <c r="G1738">
        <v>4151425</v>
      </c>
      <c r="H1738" t="s">
        <v>523</v>
      </c>
    </row>
    <row r="1739" spans="1:8" x14ac:dyDescent="0.25">
      <c r="A1739" t="s">
        <v>453</v>
      </c>
      <c r="B1739" t="s">
        <v>60</v>
      </c>
      <c r="C1739" t="s">
        <v>397</v>
      </c>
      <c r="D1739">
        <v>1000</v>
      </c>
      <c r="E1739">
        <v>539.99699999999996</v>
      </c>
      <c r="F1739">
        <v>294.24400000000003</v>
      </c>
      <c r="G1739">
        <v>3571870</v>
      </c>
      <c r="H1739" t="s">
        <v>525</v>
      </c>
    </row>
    <row r="1740" spans="1:8" x14ac:dyDescent="0.25">
      <c r="A1740" t="s">
        <v>453</v>
      </c>
      <c r="B1740" t="s">
        <v>60</v>
      </c>
      <c r="C1740" t="s">
        <v>397</v>
      </c>
      <c r="D1740">
        <v>1000</v>
      </c>
      <c r="E1740">
        <v>110.008</v>
      </c>
      <c r="F1740">
        <v>59.956000000000003</v>
      </c>
      <c r="G1740">
        <v>3931835</v>
      </c>
      <c r="H1740" t="s">
        <v>527</v>
      </c>
    </row>
    <row r="1741" spans="1:8" x14ac:dyDescent="0.25">
      <c r="A1741" t="s">
        <v>453</v>
      </c>
      <c r="B1741" t="s">
        <v>60</v>
      </c>
      <c r="C1741" t="s">
        <v>397</v>
      </c>
      <c r="D1741">
        <v>1000</v>
      </c>
      <c r="E1741">
        <v>639.99800000000005</v>
      </c>
      <c r="F1741">
        <v>578.87800000000004</v>
      </c>
      <c r="G1741">
        <v>4151430</v>
      </c>
      <c r="H1741" t="s">
        <v>530</v>
      </c>
    </row>
    <row r="1742" spans="1:8" x14ac:dyDescent="0.25">
      <c r="A1742" t="s">
        <v>453</v>
      </c>
      <c r="B1742" t="s">
        <v>60</v>
      </c>
      <c r="C1742" t="s">
        <v>397</v>
      </c>
      <c r="D1742">
        <v>500</v>
      </c>
      <c r="E1742">
        <v>615.00400000000002</v>
      </c>
      <c r="F1742">
        <v>324.87200000000001</v>
      </c>
      <c r="G1742">
        <v>3929692</v>
      </c>
      <c r="H1742" t="s">
        <v>533</v>
      </c>
    </row>
    <row r="1743" spans="1:8" x14ac:dyDescent="0.25">
      <c r="A1743" t="s">
        <v>453</v>
      </c>
      <c r="B1743" t="s">
        <v>60</v>
      </c>
      <c r="C1743" t="s">
        <v>397</v>
      </c>
      <c r="D1743">
        <v>3000</v>
      </c>
      <c r="E1743">
        <v>599.97500000000002</v>
      </c>
      <c r="F1743">
        <v>316.93299999999999</v>
      </c>
      <c r="G1743">
        <v>3929691</v>
      </c>
      <c r="H1743" t="s">
        <v>535</v>
      </c>
    </row>
    <row r="1744" spans="1:8" x14ac:dyDescent="0.25">
      <c r="A1744" t="s">
        <v>453</v>
      </c>
      <c r="B1744" t="s">
        <v>60</v>
      </c>
      <c r="C1744" t="s">
        <v>397</v>
      </c>
      <c r="D1744">
        <v>1000</v>
      </c>
      <c r="E1744">
        <v>150</v>
      </c>
      <c r="F1744">
        <v>65.167000000000002</v>
      </c>
      <c r="G1744">
        <v>4104140</v>
      </c>
      <c r="H1744" t="s">
        <v>502</v>
      </c>
    </row>
    <row r="1745" spans="1:8" x14ac:dyDescent="0.25">
      <c r="A1745" t="s">
        <v>453</v>
      </c>
      <c r="B1745" t="s">
        <v>60</v>
      </c>
      <c r="C1745" t="s">
        <v>397</v>
      </c>
      <c r="D1745">
        <v>2000</v>
      </c>
      <c r="E1745">
        <v>317.35199999999998</v>
      </c>
      <c r="F1745">
        <v>466</v>
      </c>
      <c r="G1745">
        <v>3572055</v>
      </c>
      <c r="H1745" t="s">
        <v>542</v>
      </c>
    </row>
    <row r="1746" spans="1:8" x14ac:dyDescent="0.25">
      <c r="A1746" t="s">
        <v>453</v>
      </c>
      <c r="B1746" t="s">
        <v>60</v>
      </c>
      <c r="C1746" t="s">
        <v>397</v>
      </c>
      <c r="D1746">
        <v>1000</v>
      </c>
      <c r="E1746">
        <v>115</v>
      </c>
      <c r="F1746">
        <v>168.86699999999999</v>
      </c>
      <c r="G1746">
        <v>4151471</v>
      </c>
      <c r="H1746" t="s">
        <v>544</v>
      </c>
    </row>
    <row r="1747" spans="1:8" x14ac:dyDescent="0.25">
      <c r="A1747" t="s">
        <v>453</v>
      </c>
      <c r="B1747" t="s">
        <v>60</v>
      </c>
      <c r="C1747" t="s">
        <v>397</v>
      </c>
      <c r="D1747">
        <v>1000</v>
      </c>
      <c r="E1747">
        <v>190</v>
      </c>
      <c r="F1747">
        <v>207.55600000000001</v>
      </c>
      <c r="G1747">
        <v>4151424</v>
      </c>
      <c r="H1747" t="s">
        <v>550</v>
      </c>
    </row>
    <row r="1748" spans="1:8" x14ac:dyDescent="0.25">
      <c r="A1748" t="s">
        <v>453</v>
      </c>
      <c r="B1748" t="s">
        <v>60</v>
      </c>
      <c r="C1748" t="s">
        <v>397</v>
      </c>
      <c r="D1748">
        <v>500</v>
      </c>
      <c r="E1748">
        <v>503.50700000000001</v>
      </c>
      <c r="F1748">
        <v>274.41699999999997</v>
      </c>
      <c r="G1748">
        <v>4100796</v>
      </c>
      <c r="H1748" t="s">
        <v>552</v>
      </c>
    </row>
    <row r="1749" spans="1:8" x14ac:dyDescent="0.25">
      <c r="A1749" t="s">
        <v>453</v>
      </c>
      <c r="B1749" t="s">
        <v>60</v>
      </c>
      <c r="C1749" t="s">
        <v>397</v>
      </c>
      <c r="D1749">
        <v>716</v>
      </c>
      <c r="E1749">
        <v>92.37</v>
      </c>
      <c r="F1749">
        <v>50.343000000000004</v>
      </c>
      <c r="G1749">
        <v>3938687</v>
      </c>
      <c r="H1749" t="s">
        <v>554</v>
      </c>
    </row>
    <row r="1750" spans="1:8" x14ac:dyDescent="0.25">
      <c r="A1750" t="s">
        <v>453</v>
      </c>
      <c r="B1750" t="s">
        <v>60</v>
      </c>
      <c r="C1750" t="s">
        <v>397</v>
      </c>
      <c r="D1750">
        <v>167</v>
      </c>
      <c r="E1750">
        <v>21.544</v>
      </c>
      <c r="F1750">
        <v>11.742000000000001</v>
      </c>
      <c r="G1750">
        <v>3938687</v>
      </c>
      <c r="H1750" t="s">
        <v>554</v>
      </c>
    </row>
    <row r="1751" spans="1:8" x14ac:dyDescent="0.25">
      <c r="A1751" t="s">
        <v>453</v>
      </c>
      <c r="B1751" t="s">
        <v>60</v>
      </c>
      <c r="C1751" t="s">
        <v>397</v>
      </c>
      <c r="D1751">
        <v>98</v>
      </c>
      <c r="E1751">
        <v>12.643000000000001</v>
      </c>
      <c r="F1751">
        <v>6.89</v>
      </c>
      <c r="G1751">
        <v>3938687</v>
      </c>
      <c r="H1751" t="s">
        <v>554</v>
      </c>
    </row>
    <row r="1752" spans="1:8" x14ac:dyDescent="0.25">
      <c r="A1752" t="s">
        <v>453</v>
      </c>
      <c r="B1752" t="s">
        <v>60</v>
      </c>
      <c r="C1752" t="s">
        <v>397</v>
      </c>
      <c r="D1752">
        <v>19</v>
      </c>
      <c r="E1752">
        <v>2.4510000000000001</v>
      </c>
      <c r="F1752">
        <v>1.3360000000000001</v>
      </c>
      <c r="G1752">
        <v>3938687</v>
      </c>
      <c r="H1752" t="s">
        <v>554</v>
      </c>
    </row>
    <row r="1753" spans="1:8" x14ac:dyDescent="0.25">
      <c r="A1753" t="s">
        <v>453</v>
      </c>
      <c r="B1753" t="s">
        <v>60</v>
      </c>
      <c r="C1753" t="s">
        <v>397</v>
      </c>
      <c r="D1753">
        <v>500</v>
      </c>
      <c r="E1753">
        <v>164.995</v>
      </c>
      <c r="F1753">
        <v>87.183000000000007</v>
      </c>
      <c r="G1753">
        <v>3935313</v>
      </c>
      <c r="H1753" t="s">
        <v>560</v>
      </c>
    </row>
    <row r="1754" spans="1:8" x14ac:dyDescent="0.25">
      <c r="A1754" t="s">
        <v>5966</v>
      </c>
      <c r="B1754" t="s">
        <v>37</v>
      </c>
      <c r="C1754" t="s">
        <v>392</v>
      </c>
      <c r="D1754">
        <v>80</v>
      </c>
      <c r="E1754">
        <v>457.33699999999999</v>
      </c>
      <c r="F1754">
        <v>1482</v>
      </c>
      <c r="G1754">
        <v>3907863</v>
      </c>
      <c r="H1754" t="s">
        <v>1749</v>
      </c>
    </row>
    <row r="1755" spans="1:8" x14ac:dyDescent="0.25">
      <c r="A1755" t="s">
        <v>5966</v>
      </c>
      <c r="B1755" t="s">
        <v>37</v>
      </c>
      <c r="C1755" t="s">
        <v>392</v>
      </c>
      <c r="D1755">
        <v>77</v>
      </c>
      <c r="E1755">
        <v>442.21600000000001</v>
      </c>
      <c r="F1755">
        <v>1433</v>
      </c>
      <c r="G1755">
        <v>3907863</v>
      </c>
      <c r="H1755" t="s">
        <v>1749</v>
      </c>
    </row>
    <row r="1756" spans="1:8" x14ac:dyDescent="0.25">
      <c r="A1756" t="s">
        <v>5966</v>
      </c>
      <c r="B1756" t="s">
        <v>37</v>
      </c>
      <c r="C1756" t="s">
        <v>392</v>
      </c>
      <c r="D1756">
        <v>77</v>
      </c>
      <c r="E1756">
        <v>439.74700000000001</v>
      </c>
      <c r="F1756">
        <v>1425</v>
      </c>
      <c r="G1756">
        <v>3907863</v>
      </c>
      <c r="H1756" t="s">
        <v>1749</v>
      </c>
    </row>
    <row r="1757" spans="1:8" x14ac:dyDescent="0.25">
      <c r="A1757" t="s">
        <v>5966</v>
      </c>
      <c r="B1757" t="s">
        <v>37</v>
      </c>
      <c r="C1757" t="s">
        <v>392</v>
      </c>
      <c r="D1757">
        <v>80</v>
      </c>
      <c r="E1757">
        <v>458.26299999999998</v>
      </c>
      <c r="F1757">
        <v>1485</v>
      </c>
      <c r="G1757">
        <v>3907863</v>
      </c>
      <c r="H1757" t="s">
        <v>1749</v>
      </c>
    </row>
    <row r="1758" spans="1:8" x14ac:dyDescent="0.25">
      <c r="A1758" t="s">
        <v>5966</v>
      </c>
      <c r="B1758" t="s">
        <v>37</v>
      </c>
      <c r="C1758" t="s">
        <v>392</v>
      </c>
      <c r="D1758">
        <v>91</v>
      </c>
      <c r="E1758">
        <v>518.43899999999996</v>
      </c>
      <c r="F1758">
        <v>1680</v>
      </c>
      <c r="G1758">
        <v>3907863</v>
      </c>
      <c r="H1758" t="s">
        <v>1749</v>
      </c>
    </row>
    <row r="1759" spans="1:8" x14ac:dyDescent="0.25">
      <c r="A1759" t="s">
        <v>5966</v>
      </c>
      <c r="B1759" t="s">
        <v>37</v>
      </c>
      <c r="C1759" t="s">
        <v>392</v>
      </c>
      <c r="D1759">
        <v>82</v>
      </c>
      <c r="E1759">
        <v>465.97699999999998</v>
      </c>
      <c r="F1759">
        <v>1510</v>
      </c>
      <c r="G1759">
        <v>3907863</v>
      </c>
      <c r="H1759" t="s">
        <v>1749</v>
      </c>
    </row>
    <row r="1760" spans="1:8" x14ac:dyDescent="0.25">
      <c r="A1760" t="s">
        <v>5966</v>
      </c>
      <c r="B1760" t="s">
        <v>37</v>
      </c>
      <c r="C1760" t="s">
        <v>392</v>
      </c>
      <c r="D1760">
        <v>76</v>
      </c>
      <c r="E1760">
        <v>431.72300000000001</v>
      </c>
      <c r="F1760">
        <v>1399</v>
      </c>
      <c r="G1760">
        <v>3907863</v>
      </c>
      <c r="H1760" t="s">
        <v>1749</v>
      </c>
    </row>
    <row r="1761" spans="1:8" x14ac:dyDescent="0.25">
      <c r="A1761" t="s">
        <v>5966</v>
      </c>
      <c r="B1761" t="s">
        <v>37</v>
      </c>
      <c r="C1761" t="s">
        <v>392</v>
      </c>
      <c r="D1761">
        <v>86</v>
      </c>
      <c r="E1761">
        <v>493.75099999999998</v>
      </c>
      <c r="F1761">
        <v>1600</v>
      </c>
      <c r="G1761">
        <v>3907863</v>
      </c>
      <c r="H1761" t="s">
        <v>1749</v>
      </c>
    </row>
    <row r="1762" spans="1:8" x14ac:dyDescent="0.25">
      <c r="A1762" t="s">
        <v>5966</v>
      </c>
      <c r="B1762" t="s">
        <v>37</v>
      </c>
      <c r="C1762" t="s">
        <v>392</v>
      </c>
      <c r="D1762">
        <v>78</v>
      </c>
      <c r="E1762">
        <v>447.46199999999999</v>
      </c>
      <c r="F1762">
        <v>1450</v>
      </c>
      <c r="G1762">
        <v>3907863</v>
      </c>
      <c r="H1762" t="s">
        <v>1749</v>
      </c>
    </row>
    <row r="1763" spans="1:8" x14ac:dyDescent="0.25">
      <c r="A1763" t="s">
        <v>5966</v>
      </c>
      <c r="B1763" t="s">
        <v>37</v>
      </c>
      <c r="C1763" t="s">
        <v>392</v>
      </c>
      <c r="D1763">
        <v>80</v>
      </c>
      <c r="E1763">
        <v>456.72</v>
      </c>
      <c r="F1763">
        <v>1480</v>
      </c>
      <c r="G1763">
        <v>3907863</v>
      </c>
      <c r="H1763" t="s">
        <v>1749</v>
      </c>
    </row>
    <row r="1764" spans="1:8" x14ac:dyDescent="0.25">
      <c r="A1764" t="s">
        <v>5966</v>
      </c>
      <c r="B1764" t="s">
        <v>37</v>
      </c>
      <c r="C1764" t="s">
        <v>392</v>
      </c>
      <c r="D1764">
        <v>81</v>
      </c>
      <c r="E1764">
        <v>462.892</v>
      </c>
      <c r="F1764">
        <v>1500</v>
      </c>
      <c r="G1764">
        <v>3907863</v>
      </c>
      <c r="H1764" t="s">
        <v>1749</v>
      </c>
    </row>
    <row r="1765" spans="1:8" x14ac:dyDescent="0.25">
      <c r="A1765" t="s">
        <v>5966</v>
      </c>
      <c r="B1765" t="s">
        <v>37</v>
      </c>
      <c r="C1765" t="s">
        <v>392</v>
      </c>
      <c r="D1765">
        <v>82</v>
      </c>
      <c r="E1765">
        <v>467.82900000000001</v>
      </c>
      <c r="F1765">
        <v>1516</v>
      </c>
      <c r="G1765">
        <v>3907863</v>
      </c>
      <c r="H1765" t="s">
        <v>1749</v>
      </c>
    </row>
    <row r="1766" spans="1:8" x14ac:dyDescent="0.25">
      <c r="A1766" t="s">
        <v>5966</v>
      </c>
      <c r="B1766" t="s">
        <v>37</v>
      </c>
      <c r="C1766" t="s">
        <v>392</v>
      </c>
      <c r="D1766">
        <v>76</v>
      </c>
      <c r="E1766">
        <v>433.57499999999999</v>
      </c>
      <c r="F1766">
        <v>1405</v>
      </c>
      <c r="G1766">
        <v>3907863</v>
      </c>
      <c r="H1766" t="s">
        <v>1749</v>
      </c>
    </row>
    <row r="1767" spans="1:8" x14ac:dyDescent="0.25">
      <c r="A1767" t="s">
        <v>5966</v>
      </c>
      <c r="B1767" t="s">
        <v>37</v>
      </c>
      <c r="C1767" t="s">
        <v>392</v>
      </c>
      <c r="D1767">
        <v>76</v>
      </c>
      <c r="E1767">
        <v>433.57499999999999</v>
      </c>
      <c r="F1767">
        <v>1405</v>
      </c>
      <c r="G1767">
        <v>3907863</v>
      </c>
      <c r="H1767" t="s">
        <v>1749</v>
      </c>
    </row>
    <row r="1768" spans="1:8" x14ac:dyDescent="0.25">
      <c r="A1768" t="s">
        <v>5966</v>
      </c>
      <c r="B1768" t="s">
        <v>37</v>
      </c>
      <c r="C1768" t="s">
        <v>392</v>
      </c>
      <c r="D1768">
        <v>81</v>
      </c>
      <c r="E1768">
        <v>462.892</v>
      </c>
      <c r="F1768">
        <v>1500</v>
      </c>
      <c r="G1768">
        <v>3907863</v>
      </c>
      <c r="H1768" t="s">
        <v>1749</v>
      </c>
    </row>
    <row r="1769" spans="1:8" x14ac:dyDescent="0.25">
      <c r="A1769" t="s">
        <v>5966</v>
      </c>
      <c r="B1769" t="s">
        <v>37</v>
      </c>
      <c r="C1769" t="s">
        <v>392</v>
      </c>
      <c r="D1769">
        <v>77</v>
      </c>
      <c r="E1769">
        <v>441.29</v>
      </c>
      <c r="F1769">
        <v>1430</v>
      </c>
      <c r="G1769">
        <v>3907863</v>
      </c>
      <c r="H1769" t="s">
        <v>1749</v>
      </c>
    </row>
    <row r="1770" spans="1:8" x14ac:dyDescent="0.25">
      <c r="A1770" t="s">
        <v>437</v>
      </c>
      <c r="B1770" t="s">
        <v>18</v>
      </c>
      <c r="C1770" t="s">
        <v>397</v>
      </c>
      <c r="D1770">
        <v>1535</v>
      </c>
      <c r="E1770">
        <v>823.26700000000005</v>
      </c>
      <c r="F1770">
        <v>1289.4000000000001</v>
      </c>
      <c r="G1770">
        <v>1940822</v>
      </c>
      <c r="H1770" t="s">
        <v>574</v>
      </c>
    </row>
    <row r="1771" spans="1:8" x14ac:dyDescent="0.25">
      <c r="A1771" t="s">
        <v>437</v>
      </c>
      <c r="B1771" t="s">
        <v>18</v>
      </c>
      <c r="C1771" t="s">
        <v>397</v>
      </c>
      <c r="D1771">
        <v>1023</v>
      </c>
      <c r="E1771">
        <v>548.66600000000005</v>
      </c>
      <c r="F1771">
        <v>859.32</v>
      </c>
      <c r="G1771">
        <v>1940822</v>
      </c>
      <c r="H1771" t="s">
        <v>574</v>
      </c>
    </row>
    <row r="1772" spans="1:8" x14ac:dyDescent="0.25">
      <c r="A1772" t="s">
        <v>437</v>
      </c>
      <c r="B1772" t="s">
        <v>18</v>
      </c>
      <c r="C1772" t="s">
        <v>397</v>
      </c>
      <c r="D1772">
        <v>359</v>
      </c>
      <c r="E1772">
        <v>192.542</v>
      </c>
      <c r="F1772">
        <v>301.56</v>
      </c>
      <c r="G1772">
        <v>1940822</v>
      </c>
      <c r="H1772" t="s">
        <v>574</v>
      </c>
    </row>
    <row r="1773" spans="1:8" x14ac:dyDescent="0.25">
      <c r="A1773" t="s">
        <v>437</v>
      </c>
      <c r="B1773" t="s">
        <v>18</v>
      </c>
      <c r="C1773" t="s">
        <v>397</v>
      </c>
      <c r="D1773">
        <v>2</v>
      </c>
      <c r="E1773">
        <v>1.073</v>
      </c>
      <c r="F1773">
        <v>1.68</v>
      </c>
      <c r="G1773">
        <v>1940822</v>
      </c>
      <c r="H1773" t="s">
        <v>574</v>
      </c>
    </row>
    <row r="1774" spans="1:8" x14ac:dyDescent="0.25">
      <c r="A1774" t="s">
        <v>437</v>
      </c>
      <c r="B1774" t="s">
        <v>18</v>
      </c>
      <c r="C1774" t="s">
        <v>397</v>
      </c>
      <c r="D1774">
        <v>1</v>
      </c>
      <c r="E1774">
        <v>0.53600000000000003</v>
      </c>
      <c r="F1774">
        <v>0.84</v>
      </c>
      <c r="G1774">
        <v>1940822</v>
      </c>
      <c r="H1774" t="s">
        <v>574</v>
      </c>
    </row>
    <row r="1775" spans="1:8" x14ac:dyDescent="0.25">
      <c r="A1775" t="s">
        <v>437</v>
      </c>
      <c r="B1775" t="s">
        <v>18</v>
      </c>
      <c r="C1775" t="s">
        <v>397</v>
      </c>
      <c r="D1775">
        <v>2794</v>
      </c>
      <c r="E1775">
        <v>414.65199999999999</v>
      </c>
      <c r="F1775">
        <v>827.024</v>
      </c>
      <c r="G1775">
        <v>4098592</v>
      </c>
      <c r="H1775" t="s">
        <v>579</v>
      </c>
    </row>
    <row r="1776" spans="1:8" x14ac:dyDescent="0.25">
      <c r="A1776" t="s">
        <v>437</v>
      </c>
      <c r="B1776" t="s">
        <v>18</v>
      </c>
      <c r="C1776" t="s">
        <v>397</v>
      </c>
      <c r="D1776">
        <v>642</v>
      </c>
      <c r="E1776">
        <v>95.278000000000006</v>
      </c>
      <c r="F1776">
        <v>190.03200000000001</v>
      </c>
      <c r="G1776">
        <v>4098592</v>
      </c>
      <c r="H1776" t="s">
        <v>579</v>
      </c>
    </row>
    <row r="1777" spans="1:8" x14ac:dyDescent="0.25">
      <c r="A1777" t="s">
        <v>437</v>
      </c>
      <c r="B1777" t="s">
        <v>18</v>
      </c>
      <c r="C1777" t="s">
        <v>397</v>
      </c>
      <c r="D1777">
        <v>56</v>
      </c>
      <c r="E1777">
        <v>8.3109999999999999</v>
      </c>
      <c r="F1777">
        <v>16.576000000000001</v>
      </c>
      <c r="G1777">
        <v>4098592</v>
      </c>
      <c r="H1777" t="s">
        <v>579</v>
      </c>
    </row>
    <row r="1778" spans="1:8" x14ac:dyDescent="0.25">
      <c r="A1778" t="s">
        <v>437</v>
      </c>
      <c r="B1778" t="s">
        <v>18</v>
      </c>
      <c r="C1778" t="s">
        <v>397</v>
      </c>
      <c r="D1778">
        <v>8</v>
      </c>
      <c r="E1778">
        <v>1.1870000000000001</v>
      </c>
      <c r="F1778">
        <v>2.3679999999999999</v>
      </c>
      <c r="G1778">
        <v>4098592</v>
      </c>
      <c r="H1778" t="s">
        <v>579</v>
      </c>
    </row>
    <row r="1779" spans="1:8" x14ac:dyDescent="0.25">
      <c r="A1779" t="s">
        <v>437</v>
      </c>
      <c r="B1779" t="s">
        <v>18</v>
      </c>
      <c r="C1779" t="s">
        <v>397</v>
      </c>
      <c r="D1779">
        <v>2696</v>
      </c>
      <c r="E1779">
        <v>1382.2550000000001</v>
      </c>
      <c r="F1779">
        <v>2164.8879999999999</v>
      </c>
      <c r="G1779">
        <v>1940821</v>
      </c>
      <c r="H1779" t="s">
        <v>571</v>
      </c>
    </row>
    <row r="1780" spans="1:8" x14ac:dyDescent="0.25">
      <c r="A1780" t="s">
        <v>437</v>
      </c>
      <c r="B1780" t="s">
        <v>18</v>
      </c>
      <c r="C1780" t="s">
        <v>397</v>
      </c>
      <c r="D1780">
        <v>1296</v>
      </c>
      <c r="E1780">
        <v>664.46699999999998</v>
      </c>
      <c r="F1780">
        <v>1040.6880000000001</v>
      </c>
      <c r="G1780">
        <v>1940821</v>
      </c>
      <c r="H1780" t="s">
        <v>571</v>
      </c>
    </row>
    <row r="1781" spans="1:8" x14ac:dyDescent="0.25">
      <c r="A1781" t="s">
        <v>437</v>
      </c>
      <c r="B1781" t="s">
        <v>18</v>
      </c>
      <c r="C1781" t="s">
        <v>397</v>
      </c>
      <c r="D1781">
        <v>6</v>
      </c>
      <c r="E1781">
        <v>3.0760000000000001</v>
      </c>
      <c r="F1781">
        <v>4.8179999999999996</v>
      </c>
      <c r="G1781">
        <v>1940821</v>
      </c>
      <c r="H1781" t="s">
        <v>571</v>
      </c>
    </row>
    <row r="1782" spans="1:8" x14ac:dyDescent="0.25">
      <c r="A1782" t="s">
        <v>437</v>
      </c>
      <c r="B1782" t="s">
        <v>18</v>
      </c>
      <c r="C1782" t="s">
        <v>397</v>
      </c>
      <c r="D1782">
        <v>2</v>
      </c>
      <c r="E1782">
        <v>1.0249999999999999</v>
      </c>
      <c r="F1782">
        <v>1.6060000000000001</v>
      </c>
      <c r="G1782">
        <v>1940821</v>
      </c>
      <c r="H1782" t="s">
        <v>571</v>
      </c>
    </row>
    <row r="1783" spans="1:8" x14ac:dyDescent="0.25">
      <c r="A1783" t="s">
        <v>6019</v>
      </c>
      <c r="B1783" t="s">
        <v>198</v>
      </c>
      <c r="C1783" t="s">
        <v>397</v>
      </c>
      <c r="D1783">
        <v>100</v>
      </c>
      <c r="E1783">
        <v>61.040999999999997</v>
      </c>
      <c r="F1783">
        <v>40</v>
      </c>
      <c r="G1783">
        <v>1940109</v>
      </c>
      <c r="H1783" t="s">
        <v>1223</v>
      </c>
    </row>
    <row r="1784" spans="1:8" x14ac:dyDescent="0.25">
      <c r="A1784" t="s">
        <v>6019</v>
      </c>
      <c r="B1784" t="s">
        <v>198</v>
      </c>
      <c r="C1784" t="s">
        <v>397</v>
      </c>
      <c r="D1784">
        <v>1100</v>
      </c>
      <c r="E1784">
        <v>374.03</v>
      </c>
      <c r="F1784">
        <v>163.9</v>
      </c>
      <c r="G1784">
        <v>2276261</v>
      </c>
      <c r="H1784" t="s">
        <v>1158</v>
      </c>
    </row>
    <row r="1785" spans="1:8" x14ac:dyDescent="0.25">
      <c r="A1785" t="s">
        <v>6019</v>
      </c>
      <c r="B1785" t="s">
        <v>198</v>
      </c>
      <c r="C1785" t="s">
        <v>397</v>
      </c>
      <c r="D1785">
        <v>2294</v>
      </c>
      <c r="E1785">
        <v>1344.2639999999999</v>
      </c>
      <c r="F1785">
        <v>880.89599999999996</v>
      </c>
      <c r="G1785">
        <v>3696704</v>
      </c>
      <c r="H1785" t="s">
        <v>1221</v>
      </c>
    </row>
    <row r="1786" spans="1:8" x14ac:dyDescent="0.25">
      <c r="A1786" t="s">
        <v>6019</v>
      </c>
      <c r="B1786" t="s">
        <v>198</v>
      </c>
      <c r="C1786" t="s">
        <v>397</v>
      </c>
      <c r="D1786">
        <v>1419</v>
      </c>
      <c r="E1786">
        <v>831.52099999999996</v>
      </c>
      <c r="F1786">
        <v>544.89599999999996</v>
      </c>
      <c r="G1786">
        <v>3696704</v>
      </c>
      <c r="H1786" t="s">
        <v>1221</v>
      </c>
    </row>
    <row r="1787" spans="1:8" x14ac:dyDescent="0.25">
      <c r="A1787" t="s">
        <v>6019</v>
      </c>
      <c r="B1787" t="s">
        <v>198</v>
      </c>
      <c r="C1787" t="s">
        <v>397</v>
      </c>
      <c r="D1787">
        <v>802</v>
      </c>
      <c r="E1787">
        <v>469.96499999999997</v>
      </c>
      <c r="F1787">
        <v>307.96800000000002</v>
      </c>
      <c r="G1787">
        <v>3696704</v>
      </c>
      <c r="H1787" t="s">
        <v>1221</v>
      </c>
    </row>
    <row r="1788" spans="1:8" x14ac:dyDescent="0.25">
      <c r="A1788" t="s">
        <v>6019</v>
      </c>
      <c r="B1788" t="s">
        <v>198</v>
      </c>
      <c r="C1788" t="s">
        <v>397</v>
      </c>
      <c r="D1788">
        <v>335</v>
      </c>
      <c r="E1788">
        <v>196.30699999999999</v>
      </c>
      <c r="F1788">
        <v>128.63999999999999</v>
      </c>
      <c r="G1788">
        <v>3696704</v>
      </c>
      <c r="H1788" t="s">
        <v>1221</v>
      </c>
    </row>
    <row r="1789" spans="1:8" x14ac:dyDescent="0.25">
      <c r="A1789" t="s">
        <v>6019</v>
      </c>
      <c r="B1789" t="s">
        <v>198</v>
      </c>
      <c r="C1789" t="s">
        <v>397</v>
      </c>
      <c r="D1789">
        <v>3761</v>
      </c>
      <c r="E1789">
        <v>1859.5509999999999</v>
      </c>
      <c r="F1789">
        <v>1218.5640000000001</v>
      </c>
      <c r="G1789">
        <v>3436935</v>
      </c>
      <c r="H1789" t="s">
        <v>1211</v>
      </c>
    </row>
    <row r="1790" spans="1:8" x14ac:dyDescent="0.25">
      <c r="A1790" t="s">
        <v>6019</v>
      </c>
      <c r="B1790" t="s">
        <v>198</v>
      </c>
      <c r="C1790" t="s">
        <v>397</v>
      </c>
      <c r="D1790">
        <v>780</v>
      </c>
      <c r="E1790">
        <v>385.65499999999997</v>
      </c>
      <c r="F1790">
        <v>252.72</v>
      </c>
      <c r="G1790">
        <v>3436935</v>
      </c>
      <c r="H1790" t="s">
        <v>1211</v>
      </c>
    </row>
    <row r="1791" spans="1:8" x14ac:dyDescent="0.25">
      <c r="A1791" t="s">
        <v>6019</v>
      </c>
      <c r="B1791" t="s">
        <v>198</v>
      </c>
      <c r="C1791" t="s">
        <v>397</v>
      </c>
      <c r="D1791">
        <v>459</v>
      </c>
      <c r="E1791">
        <v>226.94300000000001</v>
      </c>
      <c r="F1791">
        <v>148.71600000000001</v>
      </c>
      <c r="G1791">
        <v>3436935</v>
      </c>
      <c r="H1791" t="s">
        <v>1211</v>
      </c>
    </row>
    <row r="1792" spans="1:8" x14ac:dyDescent="0.25">
      <c r="A1792" t="s">
        <v>6019</v>
      </c>
      <c r="B1792" t="s">
        <v>198</v>
      </c>
      <c r="C1792" t="s">
        <v>397</v>
      </c>
      <c r="D1792">
        <v>1954</v>
      </c>
      <c r="E1792">
        <v>992.95299999999997</v>
      </c>
      <c r="F1792">
        <v>650.68200000000002</v>
      </c>
      <c r="G1792">
        <v>3442449</v>
      </c>
      <c r="H1792" t="s">
        <v>1215</v>
      </c>
    </row>
    <row r="1793" spans="1:8" x14ac:dyDescent="0.25">
      <c r="A1793" t="s">
        <v>6019</v>
      </c>
      <c r="B1793" t="s">
        <v>198</v>
      </c>
      <c r="C1793" t="s">
        <v>397</v>
      </c>
      <c r="D1793">
        <v>1699</v>
      </c>
      <c r="E1793">
        <v>863.37099999999998</v>
      </c>
      <c r="F1793">
        <v>565.76700000000005</v>
      </c>
      <c r="G1793">
        <v>3442449</v>
      </c>
      <c r="H1793" t="s">
        <v>1215</v>
      </c>
    </row>
    <row r="1794" spans="1:8" x14ac:dyDescent="0.25">
      <c r="A1794" t="s">
        <v>6019</v>
      </c>
      <c r="B1794" t="s">
        <v>198</v>
      </c>
      <c r="C1794" t="s">
        <v>397</v>
      </c>
      <c r="D1794">
        <v>204</v>
      </c>
      <c r="E1794">
        <v>103.66500000000001</v>
      </c>
      <c r="F1794">
        <v>67.932000000000002</v>
      </c>
      <c r="G1794">
        <v>3442449</v>
      </c>
      <c r="H1794" t="s">
        <v>1215</v>
      </c>
    </row>
    <row r="1795" spans="1:8" x14ac:dyDescent="0.25">
      <c r="A1795" t="s">
        <v>6019</v>
      </c>
      <c r="B1795" t="s">
        <v>198</v>
      </c>
      <c r="C1795" t="s">
        <v>397</v>
      </c>
      <c r="D1795">
        <v>43</v>
      </c>
      <c r="E1795">
        <v>21.850999999999999</v>
      </c>
      <c r="F1795">
        <v>14.319000000000001</v>
      </c>
      <c r="G1795">
        <v>3442449</v>
      </c>
      <c r="H1795" t="s">
        <v>1215</v>
      </c>
    </row>
    <row r="1796" spans="1:8" x14ac:dyDescent="0.25">
      <c r="A1796" t="s">
        <v>6019</v>
      </c>
      <c r="B1796" t="s">
        <v>198</v>
      </c>
      <c r="C1796" t="s">
        <v>397</v>
      </c>
      <c r="D1796">
        <v>5993</v>
      </c>
      <c r="E1796">
        <v>4198.6559999999999</v>
      </c>
      <c r="F1796">
        <v>1839.8510000000001</v>
      </c>
      <c r="G1796">
        <v>2319114</v>
      </c>
      <c r="H1796" t="s">
        <v>1160</v>
      </c>
    </row>
    <row r="1797" spans="1:8" x14ac:dyDescent="0.25">
      <c r="A1797" t="s">
        <v>6019</v>
      </c>
      <c r="B1797" t="s">
        <v>198</v>
      </c>
      <c r="C1797" t="s">
        <v>397</v>
      </c>
      <c r="D1797">
        <v>2697</v>
      </c>
      <c r="E1797">
        <v>1889.5</v>
      </c>
      <c r="F1797">
        <v>827.97900000000004</v>
      </c>
      <c r="G1797">
        <v>2319114</v>
      </c>
      <c r="H1797" t="s">
        <v>1160</v>
      </c>
    </row>
    <row r="1798" spans="1:8" x14ac:dyDescent="0.25">
      <c r="A1798" t="s">
        <v>6019</v>
      </c>
      <c r="B1798" t="s">
        <v>198</v>
      </c>
      <c r="C1798" t="s">
        <v>397</v>
      </c>
      <c r="D1798">
        <v>60</v>
      </c>
      <c r="E1798">
        <v>42.036000000000001</v>
      </c>
      <c r="F1798">
        <v>18.420000000000002</v>
      </c>
      <c r="G1798">
        <v>2319114</v>
      </c>
      <c r="H1798" t="s">
        <v>1160</v>
      </c>
    </row>
    <row r="1799" spans="1:8" x14ac:dyDescent="0.25">
      <c r="A1799" t="s">
        <v>6019</v>
      </c>
      <c r="B1799" t="s">
        <v>198</v>
      </c>
      <c r="C1799" t="s">
        <v>397</v>
      </c>
      <c r="D1799">
        <v>3500</v>
      </c>
      <c r="E1799">
        <v>1751.8689999999999</v>
      </c>
      <c r="F1799">
        <v>1148</v>
      </c>
      <c r="G1799">
        <v>3442448</v>
      </c>
      <c r="H1799" t="s">
        <v>1213</v>
      </c>
    </row>
    <row r="1800" spans="1:8" x14ac:dyDescent="0.25">
      <c r="A1800" t="s">
        <v>6019</v>
      </c>
      <c r="B1800" t="s">
        <v>198</v>
      </c>
      <c r="C1800" t="s">
        <v>397</v>
      </c>
      <c r="D1800">
        <v>950</v>
      </c>
      <c r="E1800">
        <v>523.34799999999996</v>
      </c>
      <c r="F1800">
        <v>342.95</v>
      </c>
      <c r="G1800">
        <v>1940104</v>
      </c>
      <c r="H1800" t="s">
        <v>6048</v>
      </c>
    </row>
    <row r="1801" spans="1:8" x14ac:dyDescent="0.25">
      <c r="A1801" t="s">
        <v>6019</v>
      </c>
      <c r="B1801" t="s">
        <v>198</v>
      </c>
      <c r="C1801" t="s">
        <v>397</v>
      </c>
      <c r="D1801">
        <v>400</v>
      </c>
      <c r="E1801">
        <v>220.357</v>
      </c>
      <c r="F1801">
        <v>144.4</v>
      </c>
      <c r="G1801">
        <v>1940104</v>
      </c>
      <c r="H1801" t="s">
        <v>6048</v>
      </c>
    </row>
    <row r="1802" spans="1:8" x14ac:dyDescent="0.25">
      <c r="A1802" t="s">
        <v>6019</v>
      </c>
      <c r="B1802" t="s">
        <v>198</v>
      </c>
      <c r="C1802" t="s">
        <v>397</v>
      </c>
      <c r="D1802">
        <v>800</v>
      </c>
      <c r="E1802">
        <v>524.00199999999995</v>
      </c>
      <c r="F1802">
        <v>229.61799999999999</v>
      </c>
      <c r="G1802">
        <v>4167418</v>
      </c>
      <c r="H1802" t="s">
        <v>6049</v>
      </c>
    </row>
    <row r="1803" spans="1:8" x14ac:dyDescent="0.25">
      <c r="A1803" t="s">
        <v>6019</v>
      </c>
      <c r="B1803" t="s">
        <v>198</v>
      </c>
      <c r="C1803" t="s">
        <v>397</v>
      </c>
      <c r="D1803">
        <v>600</v>
      </c>
      <c r="E1803">
        <v>555.00300000000004</v>
      </c>
      <c r="F1803">
        <v>243.14699999999999</v>
      </c>
      <c r="G1803">
        <v>3517740</v>
      </c>
      <c r="H1803" t="s">
        <v>6023</v>
      </c>
    </row>
    <row r="1804" spans="1:8" x14ac:dyDescent="0.25">
      <c r="A1804" t="s">
        <v>6019</v>
      </c>
      <c r="B1804" t="s">
        <v>198</v>
      </c>
      <c r="C1804" t="s">
        <v>397</v>
      </c>
      <c r="D1804">
        <v>400</v>
      </c>
      <c r="E1804">
        <v>113.997</v>
      </c>
      <c r="F1804">
        <v>48.587000000000003</v>
      </c>
      <c r="G1804">
        <v>4269800</v>
      </c>
      <c r="H1804" t="s">
        <v>6050</v>
      </c>
    </row>
    <row r="1805" spans="1:8" x14ac:dyDescent="0.25">
      <c r="A1805" t="s">
        <v>6019</v>
      </c>
      <c r="B1805" t="s">
        <v>198</v>
      </c>
      <c r="C1805" t="s">
        <v>397</v>
      </c>
      <c r="D1805">
        <v>400</v>
      </c>
      <c r="E1805">
        <v>58.433999999999997</v>
      </c>
      <c r="F1805">
        <v>25.6</v>
      </c>
      <c r="G1805">
        <v>1939991</v>
      </c>
      <c r="H1805" t="s">
        <v>1147</v>
      </c>
    </row>
    <row r="1806" spans="1:8" x14ac:dyDescent="0.25">
      <c r="A1806" t="s">
        <v>6018</v>
      </c>
      <c r="B1806" t="s">
        <v>21</v>
      </c>
      <c r="C1806" t="s">
        <v>397</v>
      </c>
      <c r="D1806">
        <v>2891</v>
      </c>
      <c r="E1806">
        <v>2195.5500000000002</v>
      </c>
      <c r="F1806">
        <v>2191.3780000000002</v>
      </c>
      <c r="G1806">
        <v>2244444</v>
      </c>
      <c r="H1806" t="s">
        <v>1524</v>
      </c>
    </row>
    <row r="1807" spans="1:8" x14ac:dyDescent="0.25">
      <c r="A1807" t="s">
        <v>6018</v>
      </c>
      <c r="B1807" t="s">
        <v>21</v>
      </c>
      <c r="C1807" t="s">
        <v>397</v>
      </c>
      <c r="D1807">
        <v>1175</v>
      </c>
      <c r="E1807">
        <v>892.34500000000003</v>
      </c>
      <c r="F1807">
        <v>890.65</v>
      </c>
      <c r="G1807">
        <v>2244444</v>
      </c>
      <c r="H1807" t="s">
        <v>1524</v>
      </c>
    </row>
    <row r="1808" spans="1:8" x14ac:dyDescent="0.25">
      <c r="A1808" t="s">
        <v>6018</v>
      </c>
      <c r="B1808" t="s">
        <v>21</v>
      </c>
      <c r="C1808" t="s">
        <v>397</v>
      </c>
      <c r="D1808">
        <v>834</v>
      </c>
      <c r="E1808">
        <v>633.375</v>
      </c>
      <c r="F1808">
        <v>632.17200000000003</v>
      </c>
      <c r="G1808">
        <v>2244444</v>
      </c>
      <c r="H1808" t="s">
        <v>1524</v>
      </c>
    </row>
    <row r="1809" spans="1:8" x14ac:dyDescent="0.25">
      <c r="A1809" t="s">
        <v>6018</v>
      </c>
      <c r="B1809" t="s">
        <v>21</v>
      </c>
      <c r="C1809" t="s">
        <v>397</v>
      </c>
      <c r="D1809">
        <v>850</v>
      </c>
      <c r="E1809">
        <v>247.27500000000001</v>
      </c>
      <c r="F1809">
        <v>732.7</v>
      </c>
      <c r="G1809">
        <v>1940857</v>
      </c>
      <c r="H1809" t="s">
        <v>1689</v>
      </c>
    </row>
    <row r="1810" spans="1:8" x14ac:dyDescent="0.25">
      <c r="A1810" t="s">
        <v>6018</v>
      </c>
      <c r="B1810" t="s">
        <v>21</v>
      </c>
      <c r="C1810" t="s">
        <v>397</v>
      </c>
      <c r="D1810">
        <v>860</v>
      </c>
      <c r="E1810">
        <v>250.184</v>
      </c>
      <c r="F1810">
        <v>741.32</v>
      </c>
      <c r="G1810">
        <v>1940857</v>
      </c>
      <c r="H1810" t="s">
        <v>1689</v>
      </c>
    </row>
    <row r="1811" spans="1:8" x14ac:dyDescent="0.25">
      <c r="A1811" t="s">
        <v>6018</v>
      </c>
      <c r="B1811" t="s">
        <v>21</v>
      </c>
      <c r="C1811" t="s">
        <v>397</v>
      </c>
      <c r="D1811">
        <v>270</v>
      </c>
      <c r="E1811">
        <v>78.546000000000006</v>
      </c>
      <c r="F1811">
        <v>232.74</v>
      </c>
      <c r="G1811">
        <v>1940857</v>
      </c>
      <c r="H1811" t="s">
        <v>1689</v>
      </c>
    </row>
    <row r="1812" spans="1:8" x14ac:dyDescent="0.25">
      <c r="A1812" t="s">
        <v>6018</v>
      </c>
      <c r="B1812" t="s">
        <v>21</v>
      </c>
      <c r="C1812" t="s">
        <v>397</v>
      </c>
      <c r="D1812">
        <v>270</v>
      </c>
      <c r="E1812">
        <v>78.546000000000006</v>
      </c>
      <c r="F1812">
        <v>232.74</v>
      </c>
      <c r="G1812">
        <v>1940857</v>
      </c>
      <c r="H1812" t="s">
        <v>1689</v>
      </c>
    </row>
    <row r="1813" spans="1:8" x14ac:dyDescent="0.25">
      <c r="A1813" t="s">
        <v>6018</v>
      </c>
      <c r="B1813" t="s">
        <v>21</v>
      </c>
      <c r="C1813" t="s">
        <v>397</v>
      </c>
      <c r="D1813">
        <v>5</v>
      </c>
      <c r="E1813">
        <v>1.4550000000000001</v>
      </c>
      <c r="F1813">
        <v>4.3099999999999996</v>
      </c>
      <c r="G1813">
        <v>1940857</v>
      </c>
      <c r="H1813" t="s">
        <v>1689</v>
      </c>
    </row>
    <row r="1814" spans="1:8" x14ac:dyDescent="0.25">
      <c r="A1814" t="s">
        <v>6018</v>
      </c>
      <c r="B1814" t="s">
        <v>21</v>
      </c>
      <c r="C1814" t="s">
        <v>397</v>
      </c>
      <c r="D1814">
        <v>4</v>
      </c>
      <c r="E1814">
        <v>1.1639999999999999</v>
      </c>
      <c r="F1814">
        <v>3.448</v>
      </c>
      <c r="G1814">
        <v>1940857</v>
      </c>
      <c r="H1814" t="s">
        <v>1689</v>
      </c>
    </row>
    <row r="1815" spans="1:8" x14ac:dyDescent="0.25">
      <c r="A1815" t="s">
        <v>6018</v>
      </c>
      <c r="B1815" t="s">
        <v>21</v>
      </c>
      <c r="C1815" t="s">
        <v>397</v>
      </c>
      <c r="D1815">
        <v>1</v>
      </c>
      <c r="E1815">
        <v>0.29099999999999998</v>
      </c>
      <c r="F1815">
        <v>0.86199999999999999</v>
      </c>
      <c r="G1815">
        <v>1940857</v>
      </c>
      <c r="H1815" t="s">
        <v>1689</v>
      </c>
    </row>
    <row r="1816" spans="1:8" x14ac:dyDescent="0.25">
      <c r="A1816" t="s">
        <v>6018</v>
      </c>
      <c r="B1816" t="s">
        <v>21</v>
      </c>
      <c r="C1816" t="s">
        <v>397</v>
      </c>
      <c r="D1816">
        <v>9093</v>
      </c>
      <c r="E1816">
        <v>4967.1620000000003</v>
      </c>
      <c r="F1816">
        <v>7156.1909999999998</v>
      </c>
      <c r="G1816">
        <v>1940817</v>
      </c>
      <c r="H1816" t="s">
        <v>1679</v>
      </c>
    </row>
    <row r="1817" spans="1:8" x14ac:dyDescent="0.25">
      <c r="A1817" t="s">
        <v>6018</v>
      </c>
      <c r="B1817" t="s">
        <v>21</v>
      </c>
      <c r="C1817" t="s">
        <v>397</v>
      </c>
      <c r="D1817">
        <v>2907</v>
      </c>
      <c r="E1817">
        <v>1587.9839999999999</v>
      </c>
      <c r="F1817">
        <v>2287.8090000000002</v>
      </c>
      <c r="G1817">
        <v>1940817</v>
      </c>
      <c r="H1817" t="s">
        <v>1679</v>
      </c>
    </row>
    <row r="1818" spans="1:8" x14ac:dyDescent="0.25">
      <c r="A1818" t="s">
        <v>396</v>
      </c>
      <c r="B1818" t="s">
        <v>61</v>
      </c>
      <c r="C1818" t="s">
        <v>397</v>
      </c>
      <c r="D1818">
        <v>2596</v>
      </c>
      <c r="E1818">
        <v>675.51700000000005</v>
      </c>
      <c r="F1818">
        <v>295.94400000000002</v>
      </c>
      <c r="G1818">
        <v>1932848</v>
      </c>
      <c r="H1818" t="s">
        <v>426</v>
      </c>
    </row>
    <row r="1819" spans="1:8" x14ac:dyDescent="0.25">
      <c r="A1819" t="s">
        <v>396</v>
      </c>
      <c r="B1819" t="s">
        <v>61</v>
      </c>
      <c r="C1819" t="s">
        <v>397</v>
      </c>
      <c r="D1819">
        <v>2105</v>
      </c>
      <c r="E1819">
        <v>547.75199999999995</v>
      </c>
      <c r="F1819">
        <v>239.97</v>
      </c>
      <c r="G1819">
        <v>1932848</v>
      </c>
      <c r="H1819" t="s">
        <v>426</v>
      </c>
    </row>
    <row r="1820" spans="1:8" x14ac:dyDescent="0.25">
      <c r="A1820" t="s">
        <v>396</v>
      </c>
      <c r="B1820" t="s">
        <v>61</v>
      </c>
      <c r="C1820" t="s">
        <v>397</v>
      </c>
      <c r="D1820">
        <v>299</v>
      </c>
      <c r="E1820">
        <v>77.804000000000002</v>
      </c>
      <c r="F1820">
        <v>34.085999999999999</v>
      </c>
      <c r="G1820">
        <v>1932848</v>
      </c>
      <c r="H1820" t="s">
        <v>426</v>
      </c>
    </row>
    <row r="1821" spans="1:8" x14ac:dyDescent="0.25">
      <c r="A1821" t="s">
        <v>396</v>
      </c>
      <c r="B1821" t="s">
        <v>61</v>
      </c>
      <c r="C1821" t="s">
        <v>397</v>
      </c>
      <c r="D1821">
        <v>2558</v>
      </c>
      <c r="E1821">
        <v>3423.6489999999999</v>
      </c>
      <c r="F1821">
        <v>2788.22</v>
      </c>
      <c r="G1821">
        <v>2349249</v>
      </c>
      <c r="H1821" t="s">
        <v>760</v>
      </c>
    </row>
    <row r="1822" spans="1:8" x14ac:dyDescent="0.25">
      <c r="A1822" t="s">
        <v>396</v>
      </c>
      <c r="B1822" t="s">
        <v>61</v>
      </c>
      <c r="C1822" t="s">
        <v>397</v>
      </c>
      <c r="D1822">
        <v>1649</v>
      </c>
      <c r="E1822">
        <v>2207.0360000000001</v>
      </c>
      <c r="F1822">
        <v>1797.41</v>
      </c>
      <c r="G1822">
        <v>2349249</v>
      </c>
      <c r="H1822" t="s">
        <v>760</v>
      </c>
    </row>
    <row r="1823" spans="1:8" x14ac:dyDescent="0.25">
      <c r="A1823" t="s">
        <v>396</v>
      </c>
      <c r="B1823" t="s">
        <v>61</v>
      </c>
      <c r="C1823" t="s">
        <v>397</v>
      </c>
      <c r="D1823">
        <v>43</v>
      </c>
      <c r="E1823">
        <v>57.552</v>
      </c>
      <c r="F1823">
        <v>46.87</v>
      </c>
      <c r="G1823">
        <v>2349249</v>
      </c>
      <c r="H1823" t="s">
        <v>760</v>
      </c>
    </row>
    <row r="1824" spans="1:8" x14ac:dyDescent="0.25">
      <c r="A1824" t="s">
        <v>396</v>
      </c>
      <c r="B1824" t="s">
        <v>61</v>
      </c>
      <c r="C1824" t="s">
        <v>397</v>
      </c>
      <c r="D1824">
        <v>6399</v>
      </c>
      <c r="E1824">
        <v>1798.1479999999999</v>
      </c>
      <c r="F1824">
        <v>2027.7719999999999</v>
      </c>
      <c r="G1824">
        <v>1940584</v>
      </c>
      <c r="H1824" t="s">
        <v>779</v>
      </c>
    </row>
    <row r="1825" spans="1:8" x14ac:dyDescent="0.25">
      <c r="A1825" t="s">
        <v>396</v>
      </c>
      <c r="B1825" t="s">
        <v>61</v>
      </c>
      <c r="C1825" t="s">
        <v>397</v>
      </c>
      <c r="D1825">
        <v>1022</v>
      </c>
      <c r="E1825">
        <v>287.18700000000001</v>
      </c>
      <c r="F1825">
        <v>323.86</v>
      </c>
      <c r="G1825">
        <v>1940584</v>
      </c>
      <c r="H1825" t="s">
        <v>779</v>
      </c>
    </row>
    <row r="1826" spans="1:8" x14ac:dyDescent="0.25">
      <c r="A1826" t="s">
        <v>396</v>
      </c>
      <c r="B1826" t="s">
        <v>61</v>
      </c>
      <c r="C1826" t="s">
        <v>397</v>
      </c>
      <c r="D1826">
        <v>729</v>
      </c>
      <c r="E1826">
        <v>204.852</v>
      </c>
      <c r="F1826">
        <v>231.012</v>
      </c>
      <c r="G1826">
        <v>1940584</v>
      </c>
      <c r="H1826" t="s">
        <v>779</v>
      </c>
    </row>
    <row r="1827" spans="1:8" x14ac:dyDescent="0.25">
      <c r="A1827" t="s">
        <v>396</v>
      </c>
      <c r="B1827" t="s">
        <v>61</v>
      </c>
      <c r="C1827" t="s">
        <v>397</v>
      </c>
      <c r="D1827">
        <v>13162</v>
      </c>
      <c r="E1827">
        <v>3695.3339999999998</v>
      </c>
      <c r="F1827">
        <v>1618.9259999999999</v>
      </c>
      <c r="G1827">
        <v>1939994</v>
      </c>
      <c r="H1827" t="s">
        <v>431</v>
      </c>
    </row>
    <row r="1828" spans="1:8" x14ac:dyDescent="0.25">
      <c r="A1828" t="s">
        <v>396</v>
      </c>
      <c r="B1828" t="s">
        <v>61</v>
      </c>
      <c r="C1828" t="s">
        <v>397</v>
      </c>
      <c r="D1828">
        <v>5886</v>
      </c>
      <c r="E1828">
        <v>1652.5409999999999</v>
      </c>
      <c r="F1828">
        <v>723.97799999999995</v>
      </c>
      <c r="G1828">
        <v>1939994</v>
      </c>
      <c r="H1828" t="s">
        <v>431</v>
      </c>
    </row>
    <row r="1829" spans="1:8" x14ac:dyDescent="0.25">
      <c r="A1829" t="s">
        <v>396</v>
      </c>
      <c r="B1829" t="s">
        <v>61</v>
      </c>
      <c r="C1829" t="s">
        <v>397</v>
      </c>
      <c r="D1829">
        <v>1495</v>
      </c>
      <c r="E1829">
        <v>419.733</v>
      </c>
      <c r="F1829">
        <v>183.88499999999999</v>
      </c>
      <c r="G1829">
        <v>1939994</v>
      </c>
      <c r="H1829" t="s">
        <v>431</v>
      </c>
    </row>
    <row r="1830" spans="1:8" x14ac:dyDescent="0.25">
      <c r="A1830" t="s">
        <v>396</v>
      </c>
      <c r="B1830" t="s">
        <v>61</v>
      </c>
      <c r="C1830" t="s">
        <v>397</v>
      </c>
      <c r="D1830">
        <v>1157</v>
      </c>
      <c r="E1830">
        <v>324.83699999999999</v>
      </c>
      <c r="F1830">
        <v>142.31100000000001</v>
      </c>
      <c r="G1830">
        <v>1939994</v>
      </c>
      <c r="H1830" t="s">
        <v>431</v>
      </c>
    </row>
    <row r="1831" spans="1:8" x14ac:dyDescent="0.25">
      <c r="A1831" t="s">
        <v>678</v>
      </c>
      <c r="B1831" t="s">
        <v>181</v>
      </c>
      <c r="C1831" t="s">
        <v>397</v>
      </c>
      <c r="D1831">
        <v>240</v>
      </c>
      <c r="E1831">
        <v>223.14400000000001</v>
      </c>
      <c r="F1831">
        <v>222.72</v>
      </c>
      <c r="G1831">
        <v>1940479</v>
      </c>
      <c r="H1831" t="s">
        <v>698</v>
      </c>
    </row>
    <row r="1832" spans="1:8" x14ac:dyDescent="0.25">
      <c r="A1832" t="s">
        <v>678</v>
      </c>
      <c r="B1832" t="s">
        <v>181</v>
      </c>
      <c r="C1832" t="s">
        <v>397</v>
      </c>
      <c r="D1832">
        <v>1975</v>
      </c>
      <c r="E1832">
        <v>1836.289</v>
      </c>
      <c r="F1832">
        <v>1832.8</v>
      </c>
      <c r="G1832">
        <v>1940479</v>
      </c>
      <c r="H1832" t="s">
        <v>698</v>
      </c>
    </row>
    <row r="1833" spans="1:8" x14ac:dyDescent="0.25">
      <c r="A1833" t="s">
        <v>678</v>
      </c>
      <c r="B1833" t="s">
        <v>181</v>
      </c>
      <c r="C1833" t="s">
        <v>397</v>
      </c>
      <c r="D1833">
        <v>801</v>
      </c>
      <c r="E1833">
        <v>744.74300000000005</v>
      </c>
      <c r="F1833">
        <v>743.32799999999997</v>
      </c>
      <c r="G1833">
        <v>1940479</v>
      </c>
      <c r="H1833" t="s">
        <v>698</v>
      </c>
    </row>
    <row r="1834" spans="1:8" x14ac:dyDescent="0.25">
      <c r="A1834" t="s">
        <v>678</v>
      </c>
      <c r="B1834" t="s">
        <v>181</v>
      </c>
      <c r="C1834" t="s">
        <v>397</v>
      </c>
      <c r="D1834">
        <v>669</v>
      </c>
      <c r="E1834">
        <v>622.01400000000001</v>
      </c>
      <c r="F1834">
        <v>620.83199999999999</v>
      </c>
      <c r="G1834">
        <v>1940479</v>
      </c>
      <c r="H1834" t="s">
        <v>698</v>
      </c>
    </row>
    <row r="1835" spans="1:8" x14ac:dyDescent="0.25">
      <c r="A1835" t="s">
        <v>678</v>
      </c>
      <c r="B1835" t="s">
        <v>181</v>
      </c>
      <c r="C1835" t="s">
        <v>397</v>
      </c>
      <c r="D1835">
        <v>15</v>
      </c>
      <c r="E1835">
        <v>13.946</v>
      </c>
      <c r="F1835">
        <v>13.92</v>
      </c>
      <c r="G1835">
        <v>1940479</v>
      </c>
      <c r="H1835" t="s">
        <v>698</v>
      </c>
    </row>
    <row r="1836" spans="1:8" x14ac:dyDescent="0.25">
      <c r="A1836" t="s">
        <v>678</v>
      </c>
      <c r="B1836" t="s">
        <v>181</v>
      </c>
      <c r="C1836" t="s">
        <v>397</v>
      </c>
      <c r="D1836">
        <v>2420</v>
      </c>
      <c r="E1836">
        <v>2032.829</v>
      </c>
      <c r="F1836">
        <v>2029.17</v>
      </c>
      <c r="G1836">
        <v>3943202</v>
      </c>
      <c r="H1836" t="s">
        <v>768</v>
      </c>
    </row>
    <row r="1837" spans="1:8" x14ac:dyDescent="0.25">
      <c r="A1837" t="s">
        <v>678</v>
      </c>
      <c r="B1837" t="s">
        <v>181</v>
      </c>
      <c r="C1837" t="s">
        <v>397</v>
      </c>
      <c r="D1837">
        <v>5</v>
      </c>
      <c r="E1837">
        <v>4.2</v>
      </c>
      <c r="F1837">
        <v>4.1920000000000002</v>
      </c>
      <c r="G1837">
        <v>3943202</v>
      </c>
      <c r="H1837" t="s">
        <v>768</v>
      </c>
    </row>
    <row r="1838" spans="1:8" x14ac:dyDescent="0.25">
      <c r="A1838" t="s">
        <v>597</v>
      </c>
      <c r="B1838" t="s">
        <v>78</v>
      </c>
      <c r="C1838" t="s">
        <v>397</v>
      </c>
      <c r="D1838">
        <v>1368</v>
      </c>
      <c r="E1838">
        <v>549.35</v>
      </c>
      <c r="F1838">
        <v>447.33600000000001</v>
      </c>
      <c r="G1838">
        <v>1940399</v>
      </c>
      <c r="H1838" t="s">
        <v>598</v>
      </c>
    </row>
    <row r="1839" spans="1:8" x14ac:dyDescent="0.25">
      <c r="A1839" t="s">
        <v>597</v>
      </c>
      <c r="B1839" t="s">
        <v>78</v>
      </c>
      <c r="C1839" t="s">
        <v>397</v>
      </c>
      <c r="D1839">
        <v>81</v>
      </c>
      <c r="E1839">
        <v>32.527000000000001</v>
      </c>
      <c r="F1839">
        <v>26.486999999999998</v>
      </c>
      <c r="G1839">
        <v>1940399</v>
      </c>
      <c r="H1839" t="s">
        <v>598</v>
      </c>
    </row>
    <row r="1840" spans="1:8" x14ac:dyDescent="0.25">
      <c r="A1840" t="s">
        <v>597</v>
      </c>
      <c r="B1840" t="s">
        <v>78</v>
      </c>
      <c r="C1840" t="s">
        <v>397</v>
      </c>
      <c r="D1840">
        <v>51</v>
      </c>
      <c r="E1840">
        <v>20.48</v>
      </c>
      <c r="F1840">
        <v>16.677</v>
      </c>
      <c r="G1840">
        <v>1940399</v>
      </c>
      <c r="H1840" t="s">
        <v>598</v>
      </c>
    </row>
    <row r="1841" spans="1:8" x14ac:dyDescent="0.25">
      <c r="A1841" t="s">
        <v>597</v>
      </c>
      <c r="B1841" t="s">
        <v>78</v>
      </c>
      <c r="C1841" t="s">
        <v>397</v>
      </c>
      <c r="D1841">
        <v>2340</v>
      </c>
      <c r="E1841">
        <v>3101.4029999999998</v>
      </c>
      <c r="F1841">
        <v>3095.82</v>
      </c>
      <c r="G1841">
        <v>2420106</v>
      </c>
      <c r="H1841" t="s">
        <v>775</v>
      </c>
    </row>
    <row r="1842" spans="1:8" x14ac:dyDescent="0.25">
      <c r="A1842" t="s">
        <v>5999</v>
      </c>
      <c r="B1842" t="s">
        <v>36</v>
      </c>
      <c r="C1842" t="s">
        <v>392</v>
      </c>
      <c r="D1842">
        <v>61</v>
      </c>
      <c r="E1842">
        <v>363.25599999999997</v>
      </c>
      <c r="F1842">
        <v>607</v>
      </c>
      <c r="G1842">
        <v>1940684</v>
      </c>
      <c r="H1842" t="s">
        <v>6032</v>
      </c>
    </row>
    <row r="1843" spans="1:8" x14ac:dyDescent="0.25">
      <c r="A1843" t="s">
        <v>5999</v>
      </c>
      <c r="B1843" t="s">
        <v>36</v>
      </c>
      <c r="C1843" t="s">
        <v>392</v>
      </c>
      <c r="D1843">
        <v>156</v>
      </c>
      <c r="E1843">
        <v>936.56500000000005</v>
      </c>
      <c r="F1843">
        <v>1565</v>
      </c>
      <c r="G1843">
        <v>1940684</v>
      </c>
      <c r="H1843" t="s">
        <v>6032</v>
      </c>
    </row>
    <row r="1844" spans="1:8" x14ac:dyDescent="0.25">
      <c r="A1844" t="s">
        <v>5999</v>
      </c>
      <c r="B1844" t="s">
        <v>36</v>
      </c>
      <c r="C1844" t="s">
        <v>392</v>
      </c>
      <c r="D1844">
        <v>11</v>
      </c>
      <c r="E1844">
        <v>65.828999999999994</v>
      </c>
      <c r="F1844">
        <v>110</v>
      </c>
      <c r="G1844">
        <v>1940684</v>
      </c>
      <c r="H1844" t="s">
        <v>6032</v>
      </c>
    </row>
    <row r="1845" spans="1:8" x14ac:dyDescent="0.25">
      <c r="A1845" t="s">
        <v>5999</v>
      </c>
      <c r="B1845" t="s">
        <v>36</v>
      </c>
      <c r="C1845" t="s">
        <v>392</v>
      </c>
      <c r="D1845">
        <v>160</v>
      </c>
      <c r="E1845">
        <v>957.51</v>
      </c>
      <c r="F1845">
        <v>1600</v>
      </c>
      <c r="G1845">
        <v>1940684</v>
      </c>
      <c r="H1845" t="s">
        <v>6032</v>
      </c>
    </row>
    <row r="1846" spans="1:8" x14ac:dyDescent="0.25">
      <c r="A1846" t="s">
        <v>5999</v>
      </c>
      <c r="B1846" t="s">
        <v>36</v>
      </c>
      <c r="C1846" t="s">
        <v>392</v>
      </c>
      <c r="D1846">
        <v>75</v>
      </c>
      <c r="E1846">
        <v>447.63600000000002</v>
      </c>
      <c r="F1846">
        <v>748</v>
      </c>
      <c r="G1846">
        <v>1940684</v>
      </c>
      <c r="H1846" t="s">
        <v>6032</v>
      </c>
    </row>
    <row r="1847" spans="1:8" x14ac:dyDescent="0.25">
      <c r="A1847" t="s">
        <v>422</v>
      </c>
      <c r="B1847" t="s">
        <v>30</v>
      </c>
      <c r="C1847" t="s">
        <v>397</v>
      </c>
      <c r="D1847">
        <v>1249</v>
      </c>
      <c r="E1847">
        <v>1636.675</v>
      </c>
      <c r="F1847">
        <v>1802.307</v>
      </c>
      <c r="G1847">
        <v>1940801</v>
      </c>
      <c r="H1847" t="s">
        <v>478</v>
      </c>
    </row>
    <row r="1848" spans="1:8" x14ac:dyDescent="0.25">
      <c r="A1848" t="s">
        <v>422</v>
      </c>
      <c r="B1848" t="s">
        <v>30</v>
      </c>
      <c r="C1848" t="s">
        <v>397</v>
      </c>
      <c r="D1848">
        <v>251</v>
      </c>
      <c r="E1848">
        <v>328.90800000000002</v>
      </c>
      <c r="F1848">
        <v>362.19299999999998</v>
      </c>
      <c r="G1848">
        <v>1940801</v>
      </c>
      <c r="H1848" t="s">
        <v>478</v>
      </c>
    </row>
    <row r="1849" spans="1:8" x14ac:dyDescent="0.25">
      <c r="A1849" t="s">
        <v>422</v>
      </c>
      <c r="B1849" t="s">
        <v>30</v>
      </c>
      <c r="C1849" t="s">
        <v>397</v>
      </c>
      <c r="D1849">
        <v>500</v>
      </c>
      <c r="E1849">
        <v>623.41099999999994</v>
      </c>
      <c r="F1849">
        <v>686.5</v>
      </c>
      <c r="G1849">
        <v>3233554</v>
      </c>
      <c r="H1849" t="s">
        <v>480</v>
      </c>
    </row>
    <row r="1850" spans="1:8" x14ac:dyDescent="0.25">
      <c r="A1850" t="s">
        <v>422</v>
      </c>
      <c r="B1850" t="s">
        <v>30</v>
      </c>
      <c r="C1850" t="s">
        <v>397</v>
      </c>
      <c r="D1850">
        <v>949</v>
      </c>
      <c r="E1850">
        <v>1063.4449999999999</v>
      </c>
      <c r="F1850">
        <v>1171.066</v>
      </c>
      <c r="G1850">
        <v>3233555</v>
      </c>
      <c r="H1850" t="s">
        <v>482</v>
      </c>
    </row>
    <row r="1851" spans="1:8" x14ac:dyDescent="0.25">
      <c r="A1851" t="s">
        <v>422</v>
      </c>
      <c r="B1851" t="s">
        <v>30</v>
      </c>
      <c r="C1851" t="s">
        <v>397</v>
      </c>
      <c r="D1851">
        <v>944</v>
      </c>
      <c r="E1851">
        <v>1057.8420000000001</v>
      </c>
      <c r="F1851">
        <v>1164.896</v>
      </c>
      <c r="G1851">
        <v>3233555</v>
      </c>
      <c r="H1851" t="s">
        <v>482</v>
      </c>
    </row>
    <row r="1852" spans="1:8" x14ac:dyDescent="0.25">
      <c r="A1852" t="s">
        <v>422</v>
      </c>
      <c r="B1852" t="s">
        <v>30</v>
      </c>
      <c r="C1852" t="s">
        <v>397</v>
      </c>
      <c r="D1852">
        <v>107</v>
      </c>
      <c r="E1852">
        <v>119.904</v>
      </c>
      <c r="F1852">
        <v>132.03800000000001</v>
      </c>
      <c r="G1852">
        <v>3233555</v>
      </c>
      <c r="H1852" t="s">
        <v>482</v>
      </c>
    </row>
    <row r="1853" spans="1:8" x14ac:dyDescent="0.25">
      <c r="A1853" t="s">
        <v>422</v>
      </c>
      <c r="B1853" t="s">
        <v>30</v>
      </c>
      <c r="C1853" t="s">
        <v>397</v>
      </c>
      <c r="D1853">
        <v>2000</v>
      </c>
      <c r="E1853">
        <v>1720.981</v>
      </c>
      <c r="F1853">
        <v>1880</v>
      </c>
      <c r="G1853">
        <v>3572051</v>
      </c>
      <c r="H1853" t="s">
        <v>484</v>
      </c>
    </row>
    <row r="1854" spans="1:8" x14ac:dyDescent="0.25">
      <c r="A1854" t="s">
        <v>422</v>
      </c>
      <c r="B1854" t="s">
        <v>30</v>
      </c>
      <c r="C1854" t="s">
        <v>397</v>
      </c>
      <c r="D1854">
        <v>1000</v>
      </c>
      <c r="E1854">
        <v>800.03599999999994</v>
      </c>
      <c r="F1854">
        <v>881</v>
      </c>
      <c r="G1854">
        <v>3233557</v>
      </c>
      <c r="H1854" t="s">
        <v>610</v>
      </c>
    </row>
    <row r="1855" spans="1:8" x14ac:dyDescent="0.25">
      <c r="A1855" t="s">
        <v>422</v>
      </c>
      <c r="B1855" t="s">
        <v>30</v>
      </c>
      <c r="C1855" t="s">
        <v>397</v>
      </c>
      <c r="D1855">
        <v>500</v>
      </c>
      <c r="E1855">
        <v>622.99900000000002</v>
      </c>
      <c r="F1855">
        <v>339.47199999999998</v>
      </c>
      <c r="G1855">
        <v>3572038</v>
      </c>
      <c r="H1855" t="s">
        <v>521</v>
      </c>
    </row>
    <row r="1856" spans="1:8" x14ac:dyDescent="0.25">
      <c r="A1856" t="s">
        <v>422</v>
      </c>
      <c r="B1856" t="s">
        <v>30</v>
      </c>
      <c r="C1856" t="s">
        <v>397</v>
      </c>
      <c r="D1856">
        <v>899</v>
      </c>
      <c r="E1856">
        <v>791.41899999999998</v>
      </c>
      <c r="F1856">
        <v>437.81299999999999</v>
      </c>
      <c r="G1856">
        <v>3230492</v>
      </c>
      <c r="H1856" t="s">
        <v>614</v>
      </c>
    </row>
    <row r="1857" spans="1:8" x14ac:dyDescent="0.25">
      <c r="A1857" t="s">
        <v>422</v>
      </c>
      <c r="B1857" t="s">
        <v>30</v>
      </c>
      <c r="C1857" t="s">
        <v>397</v>
      </c>
      <c r="D1857">
        <v>273</v>
      </c>
      <c r="E1857">
        <v>240.33099999999999</v>
      </c>
      <c r="F1857">
        <v>132.95099999999999</v>
      </c>
      <c r="G1857">
        <v>3230492</v>
      </c>
      <c r="H1857" t="s">
        <v>614</v>
      </c>
    </row>
    <row r="1858" spans="1:8" x14ac:dyDescent="0.25">
      <c r="A1858" t="s">
        <v>422</v>
      </c>
      <c r="B1858" t="s">
        <v>30</v>
      </c>
      <c r="C1858" t="s">
        <v>397</v>
      </c>
      <c r="D1858">
        <v>147</v>
      </c>
      <c r="E1858">
        <v>129.40899999999999</v>
      </c>
      <c r="F1858">
        <v>71.588999999999999</v>
      </c>
      <c r="G1858">
        <v>3230492</v>
      </c>
      <c r="H1858" t="s">
        <v>614</v>
      </c>
    </row>
    <row r="1859" spans="1:8" x14ac:dyDescent="0.25">
      <c r="A1859" t="s">
        <v>422</v>
      </c>
      <c r="B1859" t="s">
        <v>30</v>
      </c>
      <c r="C1859" t="s">
        <v>397</v>
      </c>
      <c r="D1859">
        <v>71</v>
      </c>
      <c r="E1859">
        <v>62.503999999999998</v>
      </c>
      <c r="F1859">
        <v>34.576999999999998</v>
      </c>
      <c r="G1859">
        <v>3230492</v>
      </c>
      <c r="H1859" t="s">
        <v>614</v>
      </c>
    </row>
    <row r="1860" spans="1:8" x14ac:dyDescent="0.25">
      <c r="A1860" t="s">
        <v>422</v>
      </c>
      <c r="B1860" t="s">
        <v>30</v>
      </c>
      <c r="C1860" t="s">
        <v>397</v>
      </c>
      <c r="D1860">
        <v>70</v>
      </c>
      <c r="E1860">
        <v>61.622999999999998</v>
      </c>
      <c r="F1860">
        <v>34.090000000000003</v>
      </c>
      <c r="G1860">
        <v>3230492</v>
      </c>
      <c r="H1860" t="s">
        <v>614</v>
      </c>
    </row>
    <row r="1861" spans="1:8" x14ac:dyDescent="0.25">
      <c r="A1861" t="s">
        <v>422</v>
      </c>
      <c r="B1861" t="s">
        <v>30</v>
      </c>
      <c r="C1861" t="s">
        <v>397</v>
      </c>
      <c r="D1861">
        <v>40</v>
      </c>
      <c r="E1861">
        <v>35.213000000000001</v>
      </c>
      <c r="F1861">
        <v>19.48</v>
      </c>
      <c r="G1861">
        <v>3230492</v>
      </c>
      <c r="H1861" t="s">
        <v>614</v>
      </c>
    </row>
    <row r="1862" spans="1:8" x14ac:dyDescent="0.25">
      <c r="A1862" t="s">
        <v>422</v>
      </c>
      <c r="B1862" t="s">
        <v>30</v>
      </c>
      <c r="C1862" t="s">
        <v>397</v>
      </c>
      <c r="D1862">
        <v>1000</v>
      </c>
      <c r="E1862">
        <v>872.13499999999999</v>
      </c>
      <c r="F1862">
        <v>487</v>
      </c>
      <c r="G1862">
        <v>3605739</v>
      </c>
      <c r="H1862" t="s">
        <v>620</v>
      </c>
    </row>
    <row r="1863" spans="1:8" x14ac:dyDescent="0.25">
      <c r="A1863" t="s">
        <v>422</v>
      </c>
      <c r="B1863" t="s">
        <v>30</v>
      </c>
      <c r="C1863" t="s">
        <v>397</v>
      </c>
      <c r="D1863">
        <v>496</v>
      </c>
      <c r="E1863">
        <v>416.92</v>
      </c>
      <c r="F1863">
        <v>230.64</v>
      </c>
      <c r="G1863">
        <v>3230485</v>
      </c>
      <c r="H1863" t="s">
        <v>616</v>
      </c>
    </row>
    <row r="1864" spans="1:8" x14ac:dyDescent="0.25">
      <c r="A1864" t="s">
        <v>422</v>
      </c>
      <c r="B1864" t="s">
        <v>30</v>
      </c>
      <c r="C1864" t="s">
        <v>397</v>
      </c>
      <c r="D1864">
        <v>496</v>
      </c>
      <c r="E1864">
        <v>416.92</v>
      </c>
      <c r="F1864">
        <v>230.64</v>
      </c>
      <c r="G1864">
        <v>3230485</v>
      </c>
      <c r="H1864" t="s">
        <v>616</v>
      </c>
    </row>
    <row r="1865" spans="1:8" x14ac:dyDescent="0.25">
      <c r="A1865" t="s">
        <v>422</v>
      </c>
      <c r="B1865" t="s">
        <v>30</v>
      </c>
      <c r="C1865" t="s">
        <v>397</v>
      </c>
      <c r="D1865">
        <v>8</v>
      </c>
      <c r="E1865">
        <v>6.7249999999999996</v>
      </c>
      <c r="F1865">
        <v>3.72</v>
      </c>
      <c r="G1865">
        <v>3230485</v>
      </c>
      <c r="H1865" t="s">
        <v>616</v>
      </c>
    </row>
    <row r="1866" spans="1:8" x14ac:dyDescent="0.25">
      <c r="A1866" t="s">
        <v>422</v>
      </c>
      <c r="B1866" t="s">
        <v>30</v>
      </c>
      <c r="C1866" t="s">
        <v>397</v>
      </c>
      <c r="D1866">
        <v>1000</v>
      </c>
      <c r="E1866">
        <v>800.00400000000002</v>
      </c>
      <c r="F1866">
        <v>436.01100000000002</v>
      </c>
      <c r="G1866">
        <v>3931836</v>
      </c>
      <c r="H1866" t="s">
        <v>612</v>
      </c>
    </row>
    <row r="1867" spans="1:8" x14ac:dyDescent="0.25">
      <c r="A1867" t="s">
        <v>422</v>
      </c>
      <c r="B1867" t="s">
        <v>30</v>
      </c>
      <c r="C1867" t="s">
        <v>397</v>
      </c>
      <c r="D1867">
        <v>500</v>
      </c>
      <c r="E1867">
        <v>503.50700000000001</v>
      </c>
      <c r="F1867">
        <v>274.41699999999997</v>
      </c>
      <c r="G1867">
        <v>4100796</v>
      </c>
      <c r="H1867" t="s">
        <v>552</v>
      </c>
    </row>
    <row r="1868" spans="1:8" x14ac:dyDescent="0.25">
      <c r="A1868" t="s">
        <v>422</v>
      </c>
      <c r="B1868" t="s">
        <v>30</v>
      </c>
      <c r="C1868" t="s">
        <v>397</v>
      </c>
      <c r="D1868">
        <v>1000</v>
      </c>
      <c r="E1868">
        <v>539.99699999999996</v>
      </c>
      <c r="F1868">
        <v>294.24400000000003</v>
      </c>
      <c r="G1868">
        <v>3571870</v>
      </c>
      <c r="H1868" t="s">
        <v>525</v>
      </c>
    </row>
    <row r="1869" spans="1:8" x14ac:dyDescent="0.25">
      <c r="A1869" t="s">
        <v>422</v>
      </c>
      <c r="B1869" t="s">
        <v>30</v>
      </c>
      <c r="C1869" t="s">
        <v>397</v>
      </c>
      <c r="D1869">
        <v>1000</v>
      </c>
      <c r="E1869">
        <v>469.99400000000003</v>
      </c>
      <c r="F1869">
        <v>256.10000000000002</v>
      </c>
      <c r="G1869">
        <v>3230488</v>
      </c>
      <c r="H1869" t="s">
        <v>496</v>
      </c>
    </row>
    <row r="1870" spans="1:8" x14ac:dyDescent="0.25">
      <c r="A1870" t="s">
        <v>422</v>
      </c>
      <c r="B1870" t="s">
        <v>30</v>
      </c>
      <c r="C1870" t="s">
        <v>397</v>
      </c>
      <c r="D1870">
        <v>3000</v>
      </c>
      <c r="E1870">
        <v>1198.482</v>
      </c>
      <c r="F1870">
        <v>663</v>
      </c>
      <c r="G1870">
        <v>3230487</v>
      </c>
      <c r="H1870" t="s">
        <v>498</v>
      </c>
    </row>
    <row r="1871" spans="1:8" x14ac:dyDescent="0.25">
      <c r="A1871" t="s">
        <v>422</v>
      </c>
      <c r="B1871" t="s">
        <v>30</v>
      </c>
      <c r="C1871" t="s">
        <v>397</v>
      </c>
      <c r="D1871">
        <v>1000</v>
      </c>
      <c r="E1871">
        <v>356.11</v>
      </c>
      <c r="F1871">
        <v>197</v>
      </c>
      <c r="G1871">
        <v>3230490</v>
      </c>
      <c r="H1871" t="s">
        <v>515</v>
      </c>
    </row>
    <row r="1872" spans="1:8" x14ac:dyDescent="0.25">
      <c r="A1872" t="s">
        <v>422</v>
      </c>
      <c r="B1872" t="s">
        <v>30</v>
      </c>
      <c r="C1872" t="s">
        <v>397</v>
      </c>
      <c r="D1872">
        <v>500</v>
      </c>
      <c r="E1872">
        <v>649.00599999999997</v>
      </c>
      <c r="F1872">
        <v>563.15</v>
      </c>
      <c r="G1872">
        <v>3935311</v>
      </c>
      <c r="H1872" t="s">
        <v>622</v>
      </c>
    </row>
    <row r="1873" spans="1:8" x14ac:dyDescent="0.25">
      <c r="A1873" t="s">
        <v>422</v>
      </c>
      <c r="B1873" t="s">
        <v>30</v>
      </c>
      <c r="C1873" t="s">
        <v>397</v>
      </c>
      <c r="D1873">
        <v>599</v>
      </c>
      <c r="E1873">
        <v>471.51799999999997</v>
      </c>
      <c r="F1873">
        <v>426.488</v>
      </c>
      <c r="G1873">
        <v>3230482</v>
      </c>
      <c r="H1873" t="s">
        <v>624</v>
      </c>
    </row>
    <row r="1874" spans="1:8" x14ac:dyDescent="0.25">
      <c r="A1874" t="s">
        <v>422</v>
      </c>
      <c r="B1874" t="s">
        <v>30</v>
      </c>
      <c r="C1874" t="s">
        <v>397</v>
      </c>
      <c r="D1874">
        <v>401</v>
      </c>
      <c r="E1874">
        <v>315.65699999999998</v>
      </c>
      <c r="F1874">
        <v>285.512</v>
      </c>
      <c r="G1874">
        <v>3230482</v>
      </c>
      <c r="H1874" t="s">
        <v>624</v>
      </c>
    </row>
    <row r="1875" spans="1:8" x14ac:dyDescent="0.25">
      <c r="A1875" t="s">
        <v>422</v>
      </c>
      <c r="B1875" t="s">
        <v>30</v>
      </c>
      <c r="C1875" t="s">
        <v>397</v>
      </c>
      <c r="D1875">
        <v>500</v>
      </c>
      <c r="E1875">
        <v>615.00400000000002</v>
      </c>
      <c r="F1875">
        <v>324.87200000000001</v>
      </c>
      <c r="G1875">
        <v>3929692</v>
      </c>
      <c r="H1875" t="s">
        <v>533</v>
      </c>
    </row>
    <row r="1876" spans="1:8" x14ac:dyDescent="0.25">
      <c r="A1876" t="s">
        <v>422</v>
      </c>
      <c r="B1876" t="s">
        <v>30</v>
      </c>
      <c r="C1876" t="s">
        <v>397</v>
      </c>
      <c r="D1876">
        <v>1000</v>
      </c>
      <c r="E1876">
        <v>682.00699999999995</v>
      </c>
      <c r="F1876">
        <v>360.267</v>
      </c>
      <c r="G1876">
        <v>3929540</v>
      </c>
      <c r="H1876" t="s">
        <v>627</v>
      </c>
    </row>
    <row r="1877" spans="1:8" x14ac:dyDescent="0.25">
      <c r="A1877" t="s">
        <v>422</v>
      </c>
      <c r="B1877" t="s">
        <v>30</v>
      </c>
      <c r="C1877" t="s">
        <v>397</v>
      </c>
      <c r="D1877">
        <v>2000</v>
      </c>
      <c r="E1877">
        <v>399.983</v>
      </c>
      <c r="F1877">
        <v>211.28899999999999</v>
      </c>
      <c r="G1877">
        <v>3929691</v>
      </c>
      <c r="H1877" t="s">
        <v>535</v>
      </c>
    </row>
    <row r="1878" spans="1:8" x14ac:dyDescent="0.25">
      <c r="A1878" t="s">
        <v>422</v>
      </c>
      <c r="B1878" t="s">
        <v>30</v>
      </c>
      <c r="C1878" t="s">
        <v>397</v>
      </c>
      <c r="D1878">
        <v>887</v>
      </c>
      <c r="E1878">
        <v>195.68600000000001</v>
      </c>
      <c r="F1878">
        <v>213.767</v>
      </c>
      <c r="G1878">
        <v>3230495</v>
      </c>
      <c r="H1878" t="s">
        <v>629</v>
      </c>
    </row>
    <row r="1879" spans="1:8" x14ac:dyDescent="0.25">
      <c r="A1879" t="s">
        <v>422</v>
      </c>
      <c r="B1879" t="s">
        <v>30</v>
      </c>
      <c r="C1879" t="s">
        <v>397</v>
      </c>
      <c r="D1879">
        <v>113</v>
      </c>
      <c r="E1879">
        <v>24.93</v>
      </c>
      <c r="F1879">
        <v>27.233000000000001</v>
      </c>
      <c r="G1879">
        <v>3230495</v>
      </c>
      <c r="H1879" t="s">
        <v>629</v>
      </c>
    </row>
    <row r="1880" spans="1:8" x14ac:dyDescent="0.25">
      <c r="A1880" t="s">
        <v>5966</v>
      </c>
      <c r="B1880" t="s">
        <v>37</v>
      </c>
      <c r="C1880" t="s">
        <v>392</v>
      </c>
      <c r="D1880">
        <v>416</v>
      </c>
      <c r="E1880">
        <v>2630.471</v>
      </c>
      <c r="F1880">
        <v>2500</v>
      </c>
      <c r="G1880">
        <v>1940337</v>
      </c>
      <c r="H1880" t="s">
        <v>2303</v>
      </c>
    </row>
    <row r="1881" spans="1:8" x14ac:dyDescent="0.25">
      <c r="A1881" t="s">
        <v>5966</v>
      </c>
      <c r="B1881" t="s">
        <v>37</v>
      </c>
      <c r="C1881" t="s">
        <v>392</v>
      </c>
      <c r="D1881">
        <v>509</v>
      </c>
      <c r="E1881">
        <v>3219.6970000000001</v>
      </c>
      <c r="F1881">
        <v>3060</v>
      </c>
      <c r="G1881">
        <v>1940337</v>
      </c>
      <c r="H1881" t="s">
        <v>2303</v>
      </c>
    </row>
    <row r="1882" spans="1:8" x14ac:dyDescent="0.25">
      <c r="A1882" t="s">
        <v>5966</v>
      </c>
      <c r="B1882" t="s">
        <v>37</v>
      </c>
      <c r="C1882" t="s">
        <v>392</v>
      </c>
      <c r="D1882">
        <v>520</v>
      </c>
      <c r="E1882">
        <v>3288.0889999999999</v>
      </c>
      <c r="F1882">
        <v>3125</v>
      </c>
      <c r="G1882">
        <v>1940337</v>
      </c>
      <c r="H1882" t="s">
        <v>2303</v>
      </c>
    </row>
    <row r="1883" spans="1:8" x14ac:dyDescent="0.25">
      <c r="A1883" t="s">
        <v>5966</v>
      </c>
      <c r="B1883" t="s">
        <v>37</v>
      </c>
      <c r="C1883" t="s">
        <v>392</v>
      </c>
      <c r="D1883">
        <v>167</v>
      </c>
      <c r="E1883">
        <v>1057.4490000000001</v>
      </c>
      <c r="F1883">
        <v>1005</v>
      </c>
      <c r="G1883">
        <v>1940337</v>
      </c>
      <c r="H1883" t="s">
        <v>2303</v>
      </c>
    </row>
    <row r="1884" spans="1:8" x14ac:dyDescent="0.25">
      <c r="A1884" t="s">
        <v>5966</v>
      </c>
      <c r="B1884" t="s">
        <v>37</v>
      </c>
      <c r="C1884" t="s">
        <v>392</v>
      </c>
      <c r="D1884">
        <v>460</v>
      </c>
      <c r="E1884">
        <v>2909.3009999999999</v>
      </c>
      <c r="F1884">
        <v>2765</v>
      </c>
      <c r="G1884">
        <v>1940337</v>
      </c>
      <c r="H1884" t="s">
        <v>2303</v>
      </c>
    </row>
    <row r="1885" spans="1:8" x14ac:dyDescent="0.25">
      <c r="A1885" t="s">
        <v>5966</v>
      </c>
      <c r="B1885" t="s">
        <v>37</v>
      </c>
      <c r="C1885" t="s">
        <v>392</v>
      </c>
      <c r="D1885">
        <v>387</v>
      </c>
      <c r="E1885">
        <v>2446.3380000000002</v>
      </c>
      <c r="F1885">
        <v>2325</v>
      </c>
      <c r="G1885">
        <v>1940337</v>
      </c>
      <c r="H1885" t="s">
        <v>2303</v>
      </c>
    </row>
    <row r="1886" spans="1:8" x14ac:dyDescent="0.25">
      <c r="A1886" t="s">
        <v>5966</v>
      </c>
      <c r="B1886" t="s">
        <v>37</v>
      </c>
      <c r="C1886" t="s">
        <v>392</v>
      </c>
      <c r="D1886">
        <v>293</v>
      </c>
      <c r="E1886">
        <v>1851.8520000000001</v>
      </c>
      <c r="F1886">
        <v>1760</v>
      </c>
      <c r="G1886">
        <v>1940337</v>
      </c>
      <c r="H1886" t="s">
        <v>2303</v>
      </c>
    </row>
    <row r="1887" spans="1:8" x14ac:dyDescent="0.25">
      <c r="A1887" t="s">
        <v>422</v>
      </c>
      <c r="B1887" t="s">
        <v>30</v>
      </c>
      <c r="C1887" t="s">
        <v>397</v>
      </c>
      <c r="D1887">
        <v>500</v>
      </c>
      <c r="E1887">
        <v>164.995</v>
      </c>
      <c r="F1887">
        <v>87.183000000000007</v>
      </c>
      <c r="G1887">
        <v>3935313</v>
      </c>
      <c r="H1887" t="s">
        <v>560</v>
      </c>
    </row>
    <row r="1888" spans="1:8" x14ac:dyDescent="0.25">
      <c r="A1888" t="s">
        <v>5966</v>
      </c>
      <c r="B1888" t="s">
        <v>37</v>
      </c>
      <c r="C1888" t="s">
        <v>392</v>
      </c>
      <c r="D1888">
        <v>146</v>
      </c>
      <c r="E1888">
        <v>877.91200000000003</v>
      </c>
      <c r="F1888">
        <v>2099</v>
      </c>
      <c r="G1888">
        <v>3994149</v>
      </c>
      <c r="H1888" t="s">
        <v>2395</v>
      </c>
    </row>
    <row r="1889" spans="1:8" x14ac:dyDescent="0.25">
      <c r="A1889" t="s">
        <v>5966</v>
      </c>
      <c r="B1889" t="s">
        <v>37</v>
      </c>
      <c r="C1889" t="s">
        <v>392</v>
      </c>
      <c r="D1889">
        <v>142</v>
      </c>
      <c r="E1889">
        <v>849.471</v>
      </c>
      <c r="F1889">
        <v>2031</v>
      </c>
      <c r="G1889">
        <v>3994149</v>
      </c>
      <c r="H1889" t="s">
        <v>2395</v>
      </c>
    </row>
    <row r="1890" spans="1:8" x14ac:dyDescent="0.25">
      <c r="A1890" t="s">
        <v>6019</v>
      </c>
      <c r="B1890" t="s">
        <v>198</v>
      </c>
      <c r="C1890" t="s">
        <v>397</v>
      </c>
      <c r="D1890">
        <v>978</v>
      </c>
      <c r="E1890">
        <v>573.09900000000005</v>
      </c>
      <c r="F1890">
        <v>375.55200000000002</v>
      </c>
      <c r="G1890">
        <v>3696704</v>
      </c>
      <c r="H1890" t="s">
        <v>1221</v>
      </c>
    </row>
    <row r="1891" spans="1:8" x14ac:dyDescent="0.25">
      <c r="A1891" t="s">
        <v>6019</v>
      </c>
      <c r="B1891" t="s">
        <v>198</v>
      </c>
      <c r="C1891" t="s">
        <v>397</v>
      </c>
      <c r="D1891">
        <v>422</v>
      </c>
      <c r="E1891">
        <v>247.28800000000001</v>
      </c>
      <c r="F1891">
        <v>162.048</v>
      </c>
      <c r="G1891">
        <v>3696704</v>
      </c>
      <c r="H1891" t="s">
        <v>1221</v>
      </c>
    </row>
    <row r="1892" spans="1:8" x14ac:dyDescent="0.25">
      <c r="A1892" t="s">
        <v>6019</v>
      </c>
      <c r="B1892" t="s">
        <v>198</v>
      </c>
      <c r="C1892" t="s">
        <v>397</v>
      </c>
      <c r="D1892">
        <v>3751</v>
      </c>
      <c r="E1892">
        <v>1854.607</v>
      </c>
      <c r="F1892">
        <v>1215.3240000000001</v>
      </c>
      <c r="G1892">
        <v>3436935</v>
      </c>
      <c r="H1892" t="s">
        <v>1211</v>
      </c>
    </row>
    <row r="1893" spans="1:8" x14ac:dyDescent="0.25">
      <c r="A1893" t="s">
        <v>6019</v>
      </c>
      <c r="B1893" t="s">
        <v>198</v>
      </c>
      <c r="C1893" t="s">
        <v>397</v>
      </c>
      <c r="D1893">
        <v>728</v>
      </c>
      <c r="E1893">
        <v>359.94499999999999</v>
      </c>
      <c r="F1893">
        <v>235.87200000000001</v>
      </c>
      <c r="G1893">
        <v>3436935</v>
      </c>
      <c r="H1893" t="s">
        <v>1211</v>
      </c>
    </row>
    <row r="1894" spans="1:8" x14ac:dyDescent="0.25">
      <c r="A1894" t="s">
        <v>6019</v>
      </c>
      <c r="B1894" t="s">
        <v>198</v>
      </c>
      <c r="C1894" t="s">
        <v>397</v>
      </c>
      <c r="D1894">
        <v>71</v>
      </c>
      <c r="E1894">
        <v>35.104999999999997</v>
      </c>
      <c r="F1894">
        <v>23.004000000000001</v>
      </c>
      <c r="G1894">
        <v>3436935</v>
      </c>
      <c r="H1894" t="s">
        <v>1211</v>
      </c>
    </row>
    <row r="1895" spans="1:8" x14ac:dyDescent="0.25">
      <c r="A1895" t="s">
        <v>6019</v>
      </c>
      <c r="B1895" t="s">
        <v>198</v>
      </c>
      <c r="C1895" t="s">
        <v>397</v>
      </c>
      <c r="D1895">
        <v>500</v>
      </c>
      <c r="E1895">
        <v>532.5</v>
      </c>
      <c r="F1895">
        <v>269.43299999999999</v>
      </c>
      <c r="G1895">
        <v>4200175</v>
      </c>
      <c r="H1895" t="s">
        <v>6051</v>
      </c>
    </row>
    <row r="1896" spans="1:8" x14ac:dyDescent="0.25">
      <c r="A1896" t="s">
        <v>6019</v>
      </c>
      <c r="B1896" t="s">
        <v>198</v>
      </c>
      <c r="C1896" t="s">
        <v>397</v>
      </c>
      <c r="D1896">
        <v>2000</v>
      </c>
      <c r="E1896">
        <v>1119.9960000000001</v>
      </c>
      <c r="F1896">
        <v>733.93299999999999</v>
      </c>
      <c r="G1896">
        <v>4269568</v>
      </c>
      <c r="H1896" t="s">
        <v>6052</v>
      </c>
    </row>
    <row r="1897" spans="1:8" x14ac:dyDescent="0.25">
      <c r="A1897" t="s">
        <v>6053</v>
      </c>
      <c r="B1897" t="s">
        <v>179</v>
      </c>
      <c r="C1897" t="s">
        <v>392</v>
      </c>
      <c r="D1897">
        <v>175</v>
      </c>
      <c r="E1897">
        <v>1049.066</v>
      </c>
      <c r="F1897">
        <v>1146</v>
      </c>
      <c r="G1897">
        <v>3234374</v>
      </c>
      <c r="H1897" t="s">
        <v>2469</v>
      </c>
    </row>
    <row r="1898" spans="1:8" x14ac:dyDescent="0.25">
      <c r="A1898" t="s">
        <v>6053</v>
      </c>
      <c r="B1898" t="s">
        <v>179</v>
      </c>
      <c r="C1898" t="s">
        <v>392</v>
      </c>
      <c r="D1898">
        <v>151</v>
      </c>
      <c r="E1898">
        <v>906.26099999999997</v>
      </c>
      <c r="F1898">
        <v>990</v>
      </c>
      <c r="G1898">
        <v>3234374</v>
      </c>
      <c r="H1898" t="s">
        <v>2469</v>
      </c>
    </row>
    <row r="1899" spans="1:8" x14ac:dyDescent="0.25">
      <c r="A1899" t="s">
        <v>6053</v>
      </c>
      <c r="B1899" t="s">
        <v>179</v>
      </c>
      <c r="C1899" t="s">
        <v>392</v>
      </c>
      <c r="D1899">
        <v>144</v>
      </c>
      <c r="E1899">
        <v>864.15200000000004</v>
      </c>
      <c r="F1899">
        <v>944</v>
      </c>
      <c r="G1899">
        <v>3234374</v>
      </c>
      <c r="H1899" t="s">
        <v>2469</v>
      </c>
    </row>
    <row r="1900" spans="1:8" x14ac:dyDescent="0.25">
      <c r="A1900" t="s">
        <v>6053</v>
      </c>
      <c r="B1900" t="s">
        <v>179</v>
      </c>
      <c r="C1900" t="s">
        <v>392</v>
      </c>
      <c r="D1900">
        <v>346</v>
      </c>
      <c r="E1900">
        <v>2073.4409999999998</v>
      </c>
      <c r="F1900">
        <v>1310</v>
      </c>
      <c r="G1900">
        <v>1940148</v>
      </c>
      <c r="H1900" t="s">
        <v>6035</v>
      </c>
    </row>
    <row r="1901" spans="1:8" x14ac:dyDescent="0.25">
      <c r="A1901" t="s">
        <v>6053</v>
      </c>
      <c r="B1901" t="s">
        <v>179</v>
      </c>
      <c r="C1901" t="s">
        <v>392</v>
      </c>
      <c r="D1901">
        <v>496</v>
      </c>
      <c r="E1901">
        <v>2975.625</v>
      </c>
      <c r="F1901">
        <v>1880</v>
      </c>
      <c r="G1901">
        <v>1940148</v>
      </c>
      <c r="H1901" t="s">
        <v>6035</v>
      </c>
    </row>
    <row r="1902" spans="1:8" x14ac:dyDescent="0.25">
      <c r="A1902" t="s">
        <v>6053</v>
      </c>
      <c r="B1902" t="s">
        <v>179</v>
      </c>
      <c r="C1902" t="s">
        <v>392</v>
      </c>
      <c r="D1902">
        <v>162</v>
      </c>
      <c r="E1902">
        <v>971.827</v>
      </c>
      <c r="F1902">
        <v>614</v>
      </c>
      <c r="G1902">
        <v>1940148</v>
      </c>
      <c r="H1902" t="s">
        <v>6035</v>
      </c>
    </row>
    <row r="1903" spans="1:8" x14ac:dyDescent="0.25">
      <c r="A1903" t="s">
        <v>6053</v>
      </c>
      <c r="B1903" t="s">
        <v>179</v>
      </c>
      <c r="C1903" t="s">
        <v>392</v>
      </c>
      <c r="D1903">
        <v>689</v>
      </c>
      <c r="E1903">
        <v>4135.8019999999997</v>
      </c>
      <c r="F1903">
        <v>2613</v>
      </c>
      <c r="G1903">
        <v>1940148</v>
      </c>
      <c r="H1903" t="s">
        <v>6035</v>
      </c>
    </row>
    <row r="1904" spans="1:8" x14ac:dyDescent="0.25">
      <c r="A1904" t="s">
        <v>6053</v>
      </c>
      <c r="B1904" t="s">
        <v>179</v>
      </c>
      <c r="C1904" t="s">
        <v>392</v>
      </c>
      <c r="D1904">
        <v>689</v>
      </c>
      <c r="E1904">
        <v>4135.8019999999997</v>
      </c>
      <c r="F1904">
        <v>2613</v>
      </c>
      <c r="G1904">
        <v>1940148</v>
      </c>
      <c r="H1904" t="s">
        <v>6035</v>
      </c>
    </row>
    <row r="1905" spans="1:8" x14ac:dyDescent="0.25">
      <c r="A1905" t="s">
        <v>6053</v>
      </c>
      <c r="B1905" t="s">
        <v>179</v>
      </c>
      <c r="C1905" t="s">
        <v>392</v>
      </c>
      <c r="D1905">
        <v>618</v>
      </c>
      <c r="E1905">
        <v>3705.2860000000001</v>
      </c>
      <c r="F1905">
        <v>2341</v>
      </c>
      <c r="G1905">
        <v>1940148</v>
      </c>
      <c r="H1905" t="s">
        <v>6035</v>
      </c>
    </row>
    <row r="1906" spans="1:8" x14ac:dyDescent="0.25">
      <c r="A1906" t="s">
        <v>6053</v>
      </c>
      <c r="B1906" t="s">
        <v>179</v>
      </c>
      <c r="C1906" t="s">
        <v>392</v>
      </c>
      <c r="D1906">
        <v>169</v>
      </c>
      <c r="E1906">
        <v>1014.562</v>
      </c>
      <c r="F1906">
        <v>641</v>
      </c>
      <c r="G1906">
        <v>1940148</v>
      </c>
      <c r="H1906" t="s">
        <v>6035</v>
      </c>
    </row>
    <row r="1907" spans="1:8" x14ac:dyDescent="0.25">
      <c r="A1907" t="s">
        <v>6053</v>
      </c>
      <c r="B1907" t="s">
        <v>179</v>
      </c>
      <c r="C1907" t="s">
        <v>392</v>
      </c>
      <c r="D1907">
        <v>18</v>
      </c>
      <c r="E1907">
        <v>107.629</v>
      </c>
      <c r="F1907">
        <v>68</v>
      </c>
      <c r="G1907">
        <v>1940148</v>
      </c>
      <c r="H1907" t="s">
        <v>6035</v>
      </c>
    </row>
    <row r="1908" spans="1:8" x14ac:dyDescent="0.25">
      <c r="A1908" t="s">
        <v>437</v>
      </c>
      <c r="B1908" t="s">
        <v>18</v>
      </c>
      <c r="C1908" t="s">
        <v>397</v>
      </c>
      <c r="D1908">
        <v>842</v>
      </c>
      <c r="E1908">
        <v>471.48099999999999</v>
      </c>
      <c r="F1908">
        <v>738.43399999999997</v>
      </c>
      <c r="G1908">
        <v>1940823</v>
      </c>
      <c r="H1908" t="s">
        <v>576</v>
      </c>
    </row>
    <row r="1909" spans="1:8" x14ac:dyDescent="0.25">
      <c r="A1909" t="s">
        <v>437</v>
      </c>
      <c r="B1909" t="s">
        <v>18</v>
      </c>
      <c r="C1909" t="s">
        <v>397</v>
      </c>
      <c r="D1909">
        <v>299</v>
      </c>
      <c r="E1909">
        <v>167.42599999999999</v>
      </c>
      <c r="F1909">
        <v>262.22300000000001</v>
      </c>
      <c r="G1909">
        <v>1940823</v>
      </c>
      <c r="H1909" t="s">
        <v>576</v>
      </c>
    </row>
    <row r="1910" spans="1:8" x14ac:dyDescent="0.25">
      <c r="A1910" t="s">
        <v>437</v>
      </c>
      <c r="B1910" t="s">
        <v>18</v>
      </c>
      <c r="C1910" t="s">
        <v>397</v>
      </c>
      <c r="D1910">
        <v>299</v>
      </c>
      <c r="E1910">
        <v>167.42599999999999</v>
      </c>
      <c r="F1910">
        <v>262.22300000000001</v>
      </c>
      <c r="G1910">
        <v>1940823</v>
      </c>
      <c r="H1910" t="s">
        <v>576</v>
      </c>
    </row>
    <row r="1911" spans="1:8" x14ac:dyDescent="0.25">
      <c r="A1911" t="s">
        <v>437</v>
      </c>
      <c r="B1911" t="s">
        <v>18</v>
      </c>
      <c r="C1911" t="s">
        <v>397</v>
      </c>
      <c r="D1911">
        <v>543</v>
      </c>
      <c r="E1911">
        <v>317.57600000000002</v>
      </c>
      <c r="F1911">
        <v>497.38799999999998</v>
      </c>
      <c r="G1911">
        <v>1940825</v>
      </c>
      <c r="H1911" t="s">
        <v>788</v>
      </c>
    </row>
    <row r="1912" spans="1:8" x14ac:dyDescent="0.25">
      <c r="A1912" t="s">
        <v>437</v>
      </c>
      <c r="B1912" t="s">
        <v>18</v>
      </c>
      <c r="C1912" t="s">
        <v>397</v>
      </c>
      <c r="D1912">
        <v>319</v>
      </c>
      <c r="E1912">
        <v>186.56899999999999</v>
      </c>
      <c r="F1912">
        <v>292.20400000000001</v>
      </c>
      <c r="G1912">
        <v>1940825</v>
      </c>
      <c r="H1912" t="s">
        <v>788</v>
      </c>
    </row>
    <row r="1913" spans="1:8" x14ac:dyDescent="0.25">
      <c r="A1913" t="s">
        <v>437</v>
      </c>
      <c r="B1913" t="s">
        <v>18</v>
      </c>
      <c r="C1913" t="s">
        <v>397</v>
      </c>
      <c r="D1913">
        <v>18</v>
      </c>
      <c r="E1913">
        <v>10.526999999999999</v>
      </c>
      <c r="F1913">
        <v>16.488</v>
      </c>
      <c r="G1913">
        <v>1940825</v>
      </c>
      <c r="H1913" t="s">
        <v>788</v>
      </c>
    </row>
    <row r="1914" spans="1:8" x14ac:dyDescent="0.25">
      <c r="A1914" t="s">
        <v>437</v>
      </c>
      <c r="B1914" t="s">
        <v>18</v>
      </c>
      <c r="C1914" t="s">
        <v>397</v>
      </c>
      <c r="D1914">
        <v>1664</v>
      </c>
      <c r="E1914">
        <v>246.95099999999999</v>
      </c>
      <c r="F1914">
        <v>492.54399999999998</v>
      </c>
      <c r="G1914">
        <v>4098592</v>
      </c>
      <c r="H1914" t="s">
        <v>579</v>
      </c>
    </row>
    <row r="1915" spans="1:8" x14ac:dyDescent="0.25">
      <c r="A1915" t="s">
        <v>437</v>
      </c>
      <c r="B1915" t="s">
        <v>18</v>
      </c>
      <c r="C1915" t="s">
        <v>397</v>
      </c>
      <c r="D1915">
        <v>483</v>
      </c>
      <c r="E1915">
        <v>71.680999999999997</v>
      </c>
      <c r="F1915">
        <v>142.96799999999999</v>
      </c>
      <c r="G1915">
        <v>4098592</v>
      </c>
      <c r="H1915" t="s">
        <v>579</v>
      </c>
    </row>
    <row r="1916" spans="1:8" x14ac:dyDescent="0.25">
      <c r="A1916" t="s">
        <v>437</v>
      </c>
      <c r="B1916" t="s">
        <v>18</v>
      </c>
      <c r="C1916" t="s">
        <v>397</v>
      </c>
      <c r="D1916">
        <v>13</v>
      </c>
      <c r="E1916">
        <v>1.929</v>
      </c>
      <c r="F1916">
        <v>3.8479999999999999</v>
      </c>
      <c r="G1916">
        <v>4098592</v>
      </c>
      <c r="H1916" t="s">
        <v>579</v>
      </c>
    </row>
    <row r="1917" spans="1:8" x14ac:dyDescent="0.25">
      <c r="A1917" t="s">
        <v>6018</v>
      </c>
      <c r="B1917" t="s">
        <v>21</v>
      </c>
      <c r="C1917" t="s">
        <v>397</v>
      </c>
      <c r="D1917">
        <v>5000</v>
      </c>
      <c r="E1917">
        <v>1365.0319999999999</v>
      </c>
      <c r="F1917">
        <v>809.88900000000001</v>
      </c>
      <c r="G1917">
        <v>3508381</v>
      </c>
      <c r="H1917" t="s">
        <v>6054</v>
      </c>
    </row>
    <row r="1918" spans="1:8" x14ac:dyDescent="0.25">
      <c r="A1918" t="s">
        <v>6018</v>
      </c>
      <c r="B1918" t="s">
        <v>21</v>
      </c>
      <c r="C1918" t="s">
        <v>397</v>
      </c>
      <c r="D1918">
        <v>365</v>
      </c>
      <c r="E1918">
        <v>200.006</v>
      </c>
      <c r="F1918">
        <v>168.26499999999999</v>
      </c>
      <c r="G1918">
        <v>3676836</v>
      </c>
      <c r="H1918" t="s">
        <v>1367</v>
      </c>
    </row>
    <row r="1919" spans="1:8" x14ac:dyDescent="0.25">
      <c r="A1919" t="s">
        <v>6018</v>
      </c>
      <c r="B1919" t="s">
        <v>21</v>
      </c>
      <c r="C1919" t="s">
        <v>397</v>
      </c>
      <c r="D1919">
        <v>192</v>
      </c>
      <c r="E1919">
        <v>105.209</v>
      </c>
      <c r="F1919">
        <v>88.512</v>
      </c>
      <c r="G1919">
        <v>3676836</v>
      </c>
      <c r="H1919" t="s">
        <v>1367</v>
      </c>
    </row>
    <row r="1920" spans="1:8" x14ac:dyDescent="0.25">
      <c r="A1920" t="s">
        <v>6018</v>
      </c>
      <c r="B1920" t="s">
        <v>21</v>
      </c>
      <c r="C1920" t="s">
        <v>397</v>
      </c>
      <c r="D1920">
        <v>18</v>
      </c>
      <c r="E1920">
        <v>9.8629999999999995</v>
      </c>
      <c r="F1920">
        <v>8.298</v>
      </c>
      <c r="G1920">
        <v>3676836</v>
      </c>
      <c r="H1920" t="s">
        <v>1367</v>
      </c>
    </row>
    <row r="1921" spans="1:8" x14ac:dyDescent="0.25">
      <c r="A1921" t="s">
        <v>6018</v>
      </c>
      <c r="B1921" t="s">
        <v>21</v>
      </c>
      <c r="C1921" t="s">
        <v>397</v>
      </c>
      <c r="D1921">
        <v>240</v>
      </c>
      <c r="E1921">
        <v>69.819000000000003</v>
      </c>
      <c r="F1921">
        <v>206.88</v>
      </c>
      <c r="G1921">
        <v>1940857</v>
      </c>
      <c r="H1921" t="s">
        <v>1689</v>
      </c>
    </row>
    <row r="1922" spans="1:8" x14ac:dyDescent="0.25">
      <c r="A1922" t="s">
        <v>6018</v>
      </c>
      <c r="B1922" t="s">
        <v>21</v>
      </c>
      <c r="C1922" t="s">
        <v>397</v>
      </c>
      <c r="D1922">
        <v>1500</v>
      </c>
      <c r="E1922">
        <v>1581.0139999999999</v>
      </c>
      <c r="F1922">
        <v>2379.9</v>
      </c>
      <c r="G1922">
        <v>3605736</v>
      </c>
      <c r="H1922" t="s">
        <v>1698</v>
      </c>
    </row>
    <row r="1923" spans="1:8" x14ac:dyDescent="0.25">
      <c r="A1923" t="s">
        <v>6018</v>
      </c>
      <c r="B1923" t="s">
        <v>21</v>
      </c>
      <c r="C1923" t="s">
        <v>397</v>
      </c>
      <c r="D1923">
        <v>738</v>
      </c>
      <c r="E1923">
        <v>135.87</v>
      </c>
      <c r="F1923">
        <v>515.12400000000002</v>
      </c>
      <c r="G1923">
        <v>1940868</v>
      </c>
      <c r="H1923" t="s">
        <v>1715</v>
      </c>
    </row>
    <row r="1924" spans="1:8" x14ac:dyDescent="0.25">
      <c r="A1924" t="s">
        <v>6018</v>
      </c>
      <c r="B1924" t="s">
        <v>21</v>
      </c>
      <c r="C1924" t="s">
        <v>397</v>
      </c>
      <c r="D1924">
        <v>749</v>
      </c>
      <c r="E1924">
        <v>137.89500000000001</v>
      </c>
      <c r="F1924">
        <v>522.80200000000002</v>
      </c>
      <c r="G1924">
        <v>1940868</v>
      </c>
      <c r="H1924" t="s">
        <v>1715</v>
      </c>
    </row>
    <row r="1925" spans="1:8" x14ac:dyDescent="0.25">
      <c r="A1925" t="s">
        <v>6018</v>
      </c>
      <c r="B1925" t="s">
        <v>21</v>
      </c>
      <c r="C1925" t="s">
        <v>397</v>
      </c>
      <c r="D1925">
        <v>560</v>
      </c>
      <c r="E1925">
        <v>103.099</v>
      </c>
      <c r="F1925">
        <v>390.88</v>
      </c>
      <c r="G1925">
        <v>1940868</v>
      </c>
      <c r="H1925" t="s">
        <v>1715</v>
      </c>
    </row>
    <row r="1926" spans="1:8" x14ac:dyDescent="0.25">
      <c r="A1926" t="s">
        <v>6018</v>
      </c>
      <c r="B1926" t="s">
        <v>21</v>
      </c>
      <c r="C1926" t="s">
        <v>397</v>
      </c>
      <c r="D1926">
        <v>17</v>
      </c>
      <c r="E1926">
        <v>3.13</v>
      </c>
      <c r="F1926">
        <v>11.866</v>
      </c>
      <c r="G1926">
        <v>1940868</v>
      </c>
      <c r="H1926" t="s">
        <v>1715</v>
      </c>
    </row>
    <row r="1927" spans="1:8" x14ac:dyDescent="0.25">
      <c r="A1927" t="s">
        <v>6018</v>
      </c>
      <c r="B1927" t="s">
        <v>21</v>
      </c>
      <c r="C1927" t="s">
        <v>397</v>
      </c>
      <c r="D1927">
        <v>1000</v>
      </c>
      <c r="E1927">
        <v>737.03700000000003</v>
      </c>
      <c r="F1927">
        <v>1275</v>
      </c>
      <c r="G1927">
        <v>1932730</v>
      </c>
      <c r="H1927" t="s">
        <v>1738</v>
      </c>
    </row>
    <row r="1928" spans="1:8" x14ac:dyDescent="0.25">
      <c r="A1928" t="s">
        <v>6018</v>
      </c>
      <c r="B1928" t="s">
        <v>21</v>
      </c>
      <c r="C1928" t="s">
        <v>397</v>
      </c>
      <c r="D1928">
        <v>906</v>
      </c>
      <c r="E1928">
        <v>667.755</v>
      </c>
      <c r="F1928">
        <v>1155.1500000000001</v>
      </c>
      <c r="G1928">
        <v>1932730</v>
      </c>
      <c r="H1928" t="s">
        <v>1738</v>
      </c>
    </row>
    <row r="1929" spans="1:8" x14ac:dyDescent="0.25">
      <c r="A1929" t="s">
        <v>6018</v>
      </c>
      <c r="B1929" t="s">
        <v>21</v>
      </c>
      <c r="C1929" t="s">
        <v>397</v>
      </c>
      <c r="D1929">
        <v>899</v>
      </c>
      <c r="E1929">
        <v>662.596</v>
      </c>
      <c r="F1929">
        <v>1146.2249999999999</v>
      </c>
      <c r="G1929">
        <v>1932730</v>
      </c>
      <c r="H1929" t="s">
        <v>1738</v>
      </c>
    </row>
    <row r="1930" spans="1:8" x14ac:dyDescent="0.25">
      <c r="A1930" t="s">
        <v>6018</v>
      </c>
      <c r="B1930" t="s">
        <v>21</v>
      </c>
      <c r="C1930" t="s">
        <v>397</v>
      </c>
      <c r="D1930">
        <v>880</v>
      </c>
      <c r="E1930">
        <v>648.59199999999998</v>
      </c>
      <c r="F1930">
        <v>1122</v>
      </c>
      <c r="G1930">
        <v>1932730</v>
      </c>
      <c r="H1930" t="s">
        <v>1738</v>
      </c>
    </row>
    <row r="1931" spans="1:8" x14ac:dyDescent="0.25">
      <c r="A1931" t="s">
        <v>6018</v>
      </c>
      <c r="B1931" t="s">
        <v>21</v>
      </c>
      <c r="C1931" t="s">
        <v>397</v>
      </c>
      <c r="D1931">
        <v>875</v>
      </c>
      <c r="E1931">
        <v>644.90700000000004</v>
      </c>
      <c r="F1931">
        <v>1115.625</v>
      </c>
      <c r="G1931">
        <v>1932730</v>
      </c>
      <c r="H1931" t="s">
        <v>1738</v>
      </c>
    </row>
    <row r="1932" spans="1:8" x14ac:dyDescent="0.25">
      <c r="A1932" t="s">
        <v>6018</v>
      </c>
      <c r="B1932" t="s">
        <v>21</v>
      </c>
      <c r="C1932" t="s">
        <v>397</v>
      </c>
      <c r="D1932">
        <v>440</v>
      </c>
      <c r="E1932">
        <v>324.29599999999999</v>
      </c>
      <c r="F1932">
        <v>561</v>
      </c>
      <c r="G1932">
        <v>1932730</v>
      </c>
      <c r="H1932" t="s">
        <v>1738</v>
      </c>
    </row>
    <row r="1933" spans="1:8" x14ac:dyDescent="0.25">
      <c r="A1933" t="s">
        <v>6018</v>
      </c>
      <c r="B1933" t="s">
        <v>21</v>
      </c>
      <c r="C1933" t="s">
        <v>397</v>
      </c>
      <c r="D1933">
        <v>3860</v>
      </c>
      <c r="E1933">
        <v>2108.5720000000001</v>
      </c>
      <c r="F1933">
        <v>3037.82</v>
      </c>
      <c r="G1933">
        <v>1940817</v>
      </c>
      <c r="H1933" t="s">
        <v>1679</v>
      </c>
    </row>
    <row r="1934" spans="1:8" x14ac:dyDescent="0.25">
      <c r="A1934" t="s">
        <v>6018</v>
      </c>
      <c r="B1934" t="s">
        <v>21</v>
      </c>
      <c r="C1934" t="s">
        <v>397</v>
      </c>
      <c r="D1934">
        <v>1269</v>
      </c>
      <c r="E1934">
        <v>757.57100000000003</v>
      </c>
      <c r="F1934">
        <v>1471.279</v>
      </c>
      <c r="G1934">
        <v>3676838</v>
      </c>
      <c r="H1934" t="s">
        <v>1728</v>
      </c>
    </row>
    <row r="1935" spans="1:8" x14ac:dyDescent="0.25">
      <c r="A1935" t="s">
        <v>6018</v>
      </c>
      <c r="B1935" t="s">
        <v>21</v>
      </c>
      <c r="C1935" t="s">
        <v>397</v>
      </c>
      <c r="D1935">
        <v>21</v>
      </c>
      <c r="E1935">
        <v>12.537000000000001</v>
      </c>
      <c r="F1935">
        <v>24.347000000000001</v>
      </c>
      <c r="G1935">
        <v>3676838</v>
      </c>
      <c r="H1935" t="s">
        <v>1728</v>
      </c>
    </row>
    <row r="1936" spans="1:8" x14ac:dyDescent="0.25">
      <c r="A1936" t="s">
        <v>6018</v>
      </c>
      <c r="B1936" t="s">
        <v>21</v>
      </c>
      <c r="C1936" t="s">
        <v>397</v>
      </c>
      <c r="D1936">
        <v>1500</v>
      </c>
      <c r="E1936">
        <v>672.51199999999994</v>
      </c>
      <c r="F1936">
        <v>882</v>
      </c>
      <c r="G1936">
        <v>1940624</v>
      </c>
      <c r="H1936" t="s">
        <v>6021</v>
      </c>
    </row>
    <row r="1937" spans="1:8" x14ac:dyDescent="0.25">
      <c r="A1937" t="s">
        <v>5966</v>
      </c>
      <c r="B1937" t="s">
        <v>37</v>
      </c>
      <c r="C1937" t="s">
        <v>397</v>
      </c>
      <c r="D1937">
        <v>1164</v>
      </c>
      <c r="E1937">
        <v>3015.6210000000001</v>
      </c>
      <c r="F1937">
        <v>2833.1759999999999</v>
      </c>
      <c r="G1937">
        <v>2409618</v>
      </c>
      <c r="H1937" t="s">
        <v>469</v>
      </c>
    </row>
    <row r="1938" spans="1:8" x14ac:dyDescent="0.25">
      <c r="A1938" t="s">
        <v>5966</v>
      </c>
      <c r="B1938" t="s">
        <v>37</v>
      </c>
      <c r="C1938" t="s">
        <v>397</v>
      </c>
      <c r="D1938">
        <v>57</v>
      </c>
      <c r="E1938">
        <v>147.672</v>
      </c>
      <c r="F1938">
        <v>138.738</v>
      </c>
      <c r="G1938">
        <v>2409618</v>
      </c>
      <c r="H1938" t="s">
        <v>469</v>
      </c>
    </row>
    <row r="1939" spans="1:8" x14ac:dyDescent="0.25">
      <c r="A1939" t="s">
        <v>5966</v>
      </c>
      <c r="B1939" t="s">
        <v>37</v>
      </c>
      <c r="C1939" t="s">
        <v>397</v>
      </c>
      <c r="D1939">
        <v>1209</v>
      </c>
      <c r="E1939">
        <v>3132.2040000000002</v>
      </c>
      <c r="F1939">
        <v>2942.7060000000001</v>
      </c>
      <c r="G1939">
        <v>2409618</v>
      </c>
      <c r="H1939" t="s">
        <v>469</v>
      </c>
    </row>
    <row r="1940" spans="1:8" x14ac:dyDescent="0.25">
      <c r="A1940" t="s">
        <v>5966</v>
      </c>
      <c r="B1940" t="s">
        <v>37</v>
      </c>
      <c r="C1940" t="s">
        <v>397</v>
      </c>
      <c r="D1940">
        <v>70</v>
      </c>
      <c r="E1940">
        <v>181.352</v>
      </c>
      <c r="F1940">
        <v>170.38</v>
      </c>
      <c r="G1940">
        <v>2409618</v>
      </c>
      <c r="H1940" t="s">
        <v>469</v>
      </c>
    </row>
    <row r="1941" spans="1:8" x14ac:dyDescent="0.25">
      <c r="A1941" t="s">
        <v>5966</v>
      </c>
      <c r="B1941" t="s">
        <v>37</v>
      </c>
      <c r="C1941" t="s">
        <v>397</v>
      </c>
      <c r="D1941">
        <v>3538</v>
      </c>
      <c r="E1941">
        <v>1167.569</v>
      </c>
      <c r="F1941">
        <v>593.00800000000004</v>
      </c>
      <c r="G1941">
        <v>3239890</v>
      </c>
      <c r="H1941" t="s">
        <v>1315</v>
      </c>
    </row>
    <row r="1942" spans="1:8" x14ac:dyDescent="0.25">
      <c r="A1942" t="s">
        <v>5966</v>
      </c>
      <c r="B1942" t="s">
        <v>37</v>
      </c>
      <c r="C1942" t="s">
        <v>397</v>
      </c>
      <c r="D1942">
        <v>2911</v>
      </c>
      <c r="E1942">
        <v>960.654</v>
      </c>
      <c r="F1942">
        <v>487.916</v>
      </c>
      <c r="G1942">
        <v>3239890</v>
      </c>
      <c r="H1942" t="s">
        <v>1315</v>
      </c>
    </row>
    <row r="1943" spans="1:8" x14ac:dyDescent="0.25">
      <c r="A1943" t="s">
        <v>5966</v>
      </c>
      <c r="B1943" t="s">
        <v>37</v>
      </c>
      <c r="C1943" t="s">
        <v>397</v>
      </c>
      <c r="D1943">
        <v>1199</v>
      </c>
      <c r="E1943">
        <v>395.68</v>
      </c>
      <c r="F1943">
        <v>200.96600000000001</v>
      </c>
      <c r="G1943">
        <v>3239890</v>
      </c>
      <c r="H1943" t="s">
        <v>1315</v>
      </c>
    </row>
    <row r="1944" spans="1:8" x14ac:dyDescent="0.25">
      <c r="A1944" t="s">
        <v>5966</v>
      </c>
      <c r="B1944" t="s">
        <v>37</v>
      </c>
      <c r="C1944" t="s">
        <v>397</v>
      </c>
      <c r="D1944">
        <v>52</v>
      </c>
      <c r="E1944">
        <v>17.16</v>
      </c>
      <c r="F1944">
        <v>8.7159999999999993</v>
      </c>
      <c r="G1944">
        <v>3239890</v>
      </c>
      <c r="H1944" t="s">
        <v>1315</v>
      </c>
    </row>
    <row r="1945" spans="1:8" x14ac:dyDescent="0.25">
      <c r="A1945" t="s">
        <v>5966</v>
      </c>
      <c r="B1945" t="s">
        <v>37</v>
      </c>
      <c r="C1945" t="s">
        <v>397</v>
      </c>
      <c r="D1945">
        <v>2600</v>
      </c>
      <c r="E1945">
        <v>1338.127</v>
      </c>
      <c r="F1945">
        <v>707.2</v>
      </c>
      <c r="G1945">
        <v>2409616</v>
      </c>
      <c r="H1945" t="s">
        <v>1317</v>
      </c>
    </row>
    <row r="1946" spans="1:8" x14ac:dyDescent="0.25">
      <c r="A1946" t="s">
        <v>5966</v>
      </c>
      <c r="B1946" t="s">
        <v>37</v>
      </c>
      <c r="C1946" t="s">
        <v>397</v>
      </c>
      <c r="D1946">
        <v>1190</v>
      </c>
      <c r="E1946">
        <v>1429.71</v>
      </c>
      <c r="F1946">
        <v>636.65</v>
      </c>
      <c r="G1946">
        <v>3635694</v>
      </c>
      <c r="H1946" t="s">
        <v>649</v>
      </c>
    </row>
    <row r="1947" spans="1:8" x14ac:dyDescent="0.25">
      <c r="A1947" t="s">
        <v>5966</v>
      </c>
      <c r="B1947" t="s">
        <v>37</v>
      </c>
      <c r="C1947" t="s">
        <v>397</v>
      </c>
      <c r="D1947">
        <v>1117</v>
      </c>
      <c r="E1947">
        <v>1342.0050000000001</v>
      </c>
      <c r="F1947">
        <v>597.59500000000003</v>
      </c>
      <c r="G1947">
        <v>3635694</v>
      </c>
      <c r="H1947" t="s">
        <v>649</v>
      </c>
    </row>
    <row r="1948" spans="1:8" x14ac:dyDescent="0.25">
      <c r="A1948" t="s">
        <v>5966</v>
      </c>
      <c r="B1948" t="s">
        <v>37</v>
      </c>
      <c r="C1948" t="s">
        <v>397</v>
      </c>
      <c r="D1948">
        <v>174</v>
      </c>
      <c r="E1948">
        <v>209.05</v>
      </c>
      <c r="F1948">
        <v>93.09</v>
      </c>
      <c r="G1948">
        <v>3635694</v>
      </c>
      <c r="H1948" t="s">
        <v>649</v>
      </c>
    </row>
    <row r="1949" spans="1:8" x14ac:dyDescent="0.25">
      <c r="A1949" t="s">
        <v>5966</v>
      </c>
      <c r="B1949" t="s">
        <v>37</v>
      </c>
      <c r="C1949" t="s">
        <v>397</v>
      </c>
      <c r="D1949">
        <v>3910</v>
      </c>
      <c r="E1949">
        <v>4697.62</v>
      </c>
      <c r="F1949">
        <v>2091.85</v>
      </c>
      <c r="G1949">
        <v>3635694</v>
      </c>
      <c r="H1949" t="s">
        <v>649</v>
      </c>
    </row>
    <row r="1950" spans="1:8" x14ac:dyDescent="0.25">
      <c r="A1950" t="s">
        <v>5966</v>
      </c>
      <c r="B1950" t="s">
        <v>37</v>
      </c>
      <c r="C1950" t="s">
        <v>397</v>
      </c>
      <c r="D1950">
        <v>499</v>
      </c>
      <c r="E1950">
        <v>599.51700000000005</v>
      </c>
      <c r="F1950">
        <v>266.96499999999997</v>
      </c>
      <c r="G1950">
        <v>3635694</v>
      </c>
      <c r="H1950" t="s">
        <v>649</v>
      </c>
    </row>
    <row r="1951" spans="1:8" x14ac:dyDescent="0.25">
      <c r="A1951" t="s">
        <v>5966</v>
      </c>
      <c r="B1951" t="s">
        <v>37</v>
      </c>
      <c r="C1951" t="s">
        <v>397</v>
      </c>
      <c r="D1951">
        <v>60</v>
      </c>
      <c r="E1951">
        <v>72.085999999999999</v>
      </c>
      <c r="F1951">
        <v>32.1</v>
      </c>
      <c r="G1951">
        <v>3635694</v>
      </c>
      <c r="H1951" t="s">
        <v>649</v>
      </c>
    </row>
    <row r="1952" spans="1:8" x14ac:dyDescent="0.25">
      <c r="A1952" t="s">
        <v>437</v>
      </c>
      <c r="B1952" t="s">
        <v>18</v>
      </c>
      <c r="C1952" t="s">
        <v>397</v>
      </c>
      <c r="D1952">
        <v>1210</v>
      </c>
      <c r="E1952">
        <v>620.37400000000002</v>
      </c>
      <c r="F1952">
        <v>971.63</v>
      </c>
      <c r="G1952">
        <v>1940821</v>
      </c>
      <c r="H1952" t="s">
        <v>571</v>
      </c>
    </row>
    <row r="1953" spans="1:8" x14ac:dyDescent="0.25">
      <c r="A1953" t="s">
        <v>437</v>
      </c>
      <c r="B1953" t="s">
        <v>18</v>
      </c>
      <c r="C1953" t="s">
        <v>397</v>
      </c>
      <c r="D1953">
        <v>500</v>
      </c>
      <c r="E1953">
        <v>256.35300000000001</v>
      </c>
      <c r="F1953">
        <v>401.5</v>
      </c>
      <c r="G1953">
        <v>1940821</v>
      </c>
      <c r="H1953" t="s">
        <v>571</v>
      </c>
    </row>
    <row r="1954" spans="1:8" x14ac:dyDescent="0.25">
      <c r="A1954" t="s">
        <v>437</v>
      </c>
      <c r="B1954" t="s">
        <v>18</v>
      </c>
      <c r="C1954" t="s">
        <v>397</v>
      </c>
      <c r="D1954">
        <v>490</v>
      </c>
      <c r="E1954">
        <v>251.226</v>
      </c>
      <c r="F1954">
        <v>393.47</v>
      </c>
      <c r="G1954">
        <v>1940821</v>
      </c>
      <c r="H1954" t="s">
        <v>571</v>
      </c>
    </row>
    <row r="1955" spans="1:8" x14ac:dyDescent="0.25">
      <c r="A1955" t="s">
        <v>437</v>
      </c>
      <c r="B1955" t="s">
        <v>18</v>
      </c>
      <c r="C1955" t="s">
        <v>397</v>
      </c>
      <c r="D1955">
        <v>161</v>
      </c>
      <c r="E1955">
        <v>82.546000000000006</v>
      </c>
      <c r="F1955">
        <v>129.28299999999999</v>
      </c>
      <c r="G1955">
        <v>1940821</v>
      </c>
      <c r="H1955" t="s">
        <v>571</v>
      </c>
    </row>
    <row r="1956" spans="1:8" x14ac:dyDescent="0.25">
      <c r="A1956" t="s">
        <v>437</v>
      </c>
      <c r="B1956" t="s">
        <v>18</v>
      </c>
      <c r="C1956" t="s">
        <v>397</v>
      </c>
      <c r="D1956">
        <v>99</v>
      </c>
      <c r="E1956">
        <v>50.758000000000003</v>
      </c>
      <c r="F1956">
        <v>79.497</v>
      </c>
      <c r="G1956">
        <v>1940821</v>
      </c>
      <c r="H1956" t="s">
        <v>571</v>
      </c>
    </row>
    <row r="1957" spans="1:8" x14ac:dyDescent="0.25">
      <c r="A1957" t="s">
        <v>437</v>
      </c>
      <c r="B1957" t="s">
        <v>18</v>
      </c>
      <c r="C1957" t="s">
        <v>397</v>
      </c>
      <c r="D1957">
        <v>2118</v>
      </c>
      <c r="E1957">
        <v>1017.322</v>
      </c>
      <c r="F1957">
        <v>1465.6559999999999</v>
      </c>
      <c r="G1957">
        <v>1940815</v>
      </c>
      <c r="H1957" t="s">
        <v>790</v>
      </c>
    </row>
    <row r="1958" spans="1:8" x14ac:dyDescent="0.25">
      <c r="A1958" t="s">
        <v>437</v>
      </c>
      <c r="B1958" t="s">
        <v>18</v>
      </c>
      <c r="C1958" t="s">
        <v>397</v>
      </c>
      <c r="D1958">
        <v>1618</v>
      </c>
      <c r="E1958">
        <v>777.16099999999994</v>
      </c>
      <c r="F1958">
        <v>1119.6559999999999</v>
      </c>
      <c r="G1958">
        <v>1940815</v>
      </c>
      <c r="H1958" t="s">
        <v>790</v>
      </c>
    </row>
    <row r="1959" spans="1:8" x14ac:dyDescent="0.25">
      <c r="A1959" t="s">
        <v>437</v>
      </c>
      <c r="B1959" t="s">
        <v>18</v>
      </c>
      <c r="C1959" t="s">
        <v>397</v>
      </c>
      <c r="D1959">
        <v>424</v>
      </c>
      <c r="E1959">
        <v>203.65700000000001</v>
      </c>
      <c r="F1959">
        <v>293.40800000000002</v>
      </c>
      <c r="G1959">
        <v>1940815</v>
      </c>
      <c r="H1959" t="s">
        <v>790</v>
      </c>
    </row>
    <row r="1960" spans="1:8" x14ac:dyDescent="0.25">
      <c r="A1960" t="s">
        <v>437</v>
      </c>
      <c r="B1960" t="s">
        <v>18</v>
      </c>
      <c r="C1960" t="s">
        <v>397</v>
      </c>
      <c r="D1960">
        <v>2090</v>
      </c>
      <c r="E1960">
        <v>310.173</v>
      </c>
      <c r="F1960">
        <v>618.64</v>
      </c>
      <c r="G1960">
        <v>4098592</v>
      </c>
      <c r="H1960" t="s">
        <v>579</v>
      </c>
    </row>
    <row r="1961" spans="1:8" x14ac:dyDescent="0.25">
      <c r="A1961" t="s">
        <v>437</v>
      </c>
      <c r="B1961" t="s">
        <v>18</v>
      </c>
      <c r="C1961" t="s">
        <v>397</v>
      </c>
      <c r="D1961">
        <v>439</v>
      </c>
      <c r="E1961">
        <v>65.150999999999996</v>
      </c>
      <c r="F1961">
        <v>129.94399999999999</v>
      </c>
      <c r="G1961">
        <v>4098592</v>
      </c>
      <c r="H1961" t="s">
        <v>579</v>
      </c>
    </row>
    <row r="1962" spans="1:8" x14ac:dyDescent="0.25">
      <c r="A1962" t="s">
        <v>437</v>
      </c>
      <c r="B1962" t="s">
        <v>18</v>
      </c>
      <c r="C1962" t="s">
        <v>397</v>
      </c>
      <c r="D1962">
        <v>11</v>
      </c>
      <c r="E1962">
        <v>1.6319999999999999</v>
      </c>
      <c r="F1962">
        <v>3.2559999999999998</v>
      </c>
      <c r="G1962">
        <v>4098592</v>
      </c>
      <c r="H1962" t="s">
        <v>579</v>
      </c>
    </row>
    <row r="1963" spans="1:8" x14ac:dyDescent="0.25">
      <c r="A1963" t="s">
        <v>396</v>
      </c>
      <c r="B1963" t="s">
        <v>61</v>
      </c>
      <c r="C1963" t="s">
        <v>397</v>
      </c>
      <c r="D1963">
        <v>10738</v>
      </c>
      <c r="E1963">
        <v>4686.0879999999997</v>
      </c>
      <c r="F1963">
        <v>2641.5479999999998</v>
      </c>
      <c r="G1963">
        <v>3620428</v>
      </c>
      <c r="H1963" t="s">
        <v>507</v>
      </c>
    </row>
    <row r="1964" spans="1:8" x14ac:dyDescent="0.25">
      <c r="A1964" t="s">
        <v>396</v>
      </c>
      <c r="B1964" t="s">
        <v>61</v>
      </c>
      <c r="C1964" t="s">
        <v>397</v>
      </c>
      <c r="D1964">
        <v>5012</v>
      </c>
      <c r="E1964">
        <v>2187.2489999999998</v>
      </c>
      <c r="F1964">
        <v>1232.952</v>
      </c>
      <c r="G1964">
        <v>3620428</v>
      </c>
      <c r="H1964" t="s">
        <v>507</v>
      </c>
    </row>
    <row r="1965" spans="1:8" x14ac:dyDescent="0.25">
      <c r="A1965" t="s">
        <v>396</v>
      </c>
      <c r="B1965" t="s">
        <v>61</v>
      </c>
      <c r="C1965" t="s">
        <v>397</v>
      </c>
      <c r="D1965">
        <v>3906</v>
      </c>
      <c r="E1965">
        <v>3469.2040000000002</v>
      </c>
      <c r="F1965">
        <v>1507.7159999999999</v>
      </c>
      <c r="G1965">
        <v>1940043</v>
      </c>
      <c r="H1965" t="s">
        <v>486</v>
      </c>
    </row>
    <row r="1966" spans="1:8" x14ac:dyDescent="0.25">
      <c r="A1966" t="s">
        <v>396</v>
      </c>
      <c r="B1966" t="s">
        <v>61</v>
      </c>
      <c r="C1966" t="s">
        <v>397</v>
      </c>
      <c r="D1966">
        <v>3608</v>
      </c>
      <c r="E1966">
        <v>3204.5279999999998</v>
      </c>
      <c r="F1966">
        <v>1392.6880000000001</v>
      </c>
      <c r="G1966">
        <v>1940043</v>
      </c>
      <c r="H1966" t="s">
        <v>486</v>
      </c>
    </row>
    <row r="1967" spans="1:8" x14ac:dyDescent="0.25">
      <c r="A1967" t="s">
        <v>396</v>
      </c>
      <c r="B1967" t="s">
        <v>61</v>
      </c>
      <c r="C1967" t="s">
        <v>397</v>
      </c>
      <c r="D1967">
        <v>2150</v>
      </c>
      <c r="E1967">
        <v>1909.5719999999999</v>
      </c>
      <c r="F1967">
        <v>829.9</v>
      </c>
      <c r="G1967">
        <v>1940043</v>
      </c>
      <c r="H1967" t="s">
        <v>486</v>
      </c>
    </row>
    <row r="1968" spans="1:8" x14ac:dyDescent="0.25">
      <c r="A1968" t="s">
        <v>396</v>
      </c>
      <c r="B1968" t="s">
        <v>61</v>
      </c>
      <c r="C1968" t="s">
        <v>397</v>
      </c>
      <c r="D1968">
        <v>1468</v>
      </c>
      <c r="E1968">
        <v>1303.838</v>
      </c>
      <c r="F1968">
        <v>566.64800000000002</v>
      </c>
      <c r="G1968">
        <v>1940043</v>
      </c>
      <c r="H1968" t="s">
        <v>486</v>
      </c>
    </row>
    <row r="1969" spans="1:8" x14ac:dyDescent="0.25">
      <c r="A1969" t="s">
        <v>396</v>
      </c>
      <c r="B1969" t="s">
        <v>61</v>
      </c>
      <c r="C1969" t="s">
        <v>397</v>
      </c>
      <c r="D1969">
        <v>1349</v>
      </c>
      <c r="E1969">
        <v>1198.145</v>
      </c>
      <c r="F1969">
        <v>520.71400000000006</v>
      </c>
      <c r="G1969">
        <v>1940043</v>
      </c>
      <c r="H1969" t="s">
        <v>486</v>
      </c>
    </row>
    <row r="1970" spans="1:8" x14ac:dyDescent="0.25">
      <c r="A1970" t="s">
        <v>396</v>
      </c>
      <c r="B1970" t="s">
        <v>61</v>
      </c>
      <c r="C1970" t="s">
        <v>397</v>
      </c>
      <c r="D1970">
        <v>19</v>
      </c>
      <c r="E1970">
        <v>16.875</v>
      </c>
      <c r="F1970">
        <v>7.3339999999999996</v>
      </c>
      <c r="G1970">
        <v>1940043</v>
      </c>
      <c r="H1970" t="s">
        <v>486</v>
      </c>
    </row>
    <row r="1971" spans="1:8" x14ac:dyDescent="0.25">
      <c r="A1971" t="s">
        <v>396</v>
      </c>
      <c r="B1971" t="s">
        <v>61</v>
      </c>
      <c r="C1971" t="s">
        <v>397</v>
      </c>
      <c r="D1971">
        <v>650</v>
      </c>
      <c r="E1971">
        <v>370.68599999999998</v>
      </c>
      <c r="F1971">
        <v>352.3</v>
      </c>
      <c r="G1971">
        <v>1940325</v>
      </c>
      <c r="H1971" t="s">
        <v>715</v>
      </c>
    </row>
    <row r="1972" spans="1:8" x14ac:dyDescent="0.25">
      <c r="A1972" t="s">
        <v>396</v>
      </c>
      <c r="B1972" t="s">
        <v>61</v>
      </c>
      <c r="C1972" t="s">
        <v>397</v>
      </c>
      <c r="D1972">
        <v>4218</v>
      </c>
      <c r="E1972">
        <v>1185.277</v>
      </c>
      <c r="F1972">
        <v>1336.6369999999999</v>
      </c>
      <c r="G1972">
        <v>1940584</v>
      </c>
      <c r="H1972" t="s">
        <v>779</v>
      </c>
    </row>
    <row r="1973" spans="1:8" x14ac:dyDescent="0.25">
      <c r="A1973" t="s">
        <v>396</v>
      </c>
      <c r="B1973" t="s">
        <v>61</v>
      </c>
      <c r="C1973" t="s">
        <v>397</v>
      </c>
      <c r="D1973">
        <v>1915</v>
      </c>
      <c r="E1973">
        <v>538.12400000000002</v>
      </c>
      <c r="F1973">
        <v>606.84199999999998</v>
      </c>
      <c r="G1973">
        <v>1940584</v>
      </c>
      <c r="H1973" t="s">
        <v>779</v>
      </c>
    </row>
    <row r="1974" spans="1:8" x14ac:dyDescent="0.25">
      <c r="A1974" t="s">
        <v>396</v>
      </c>
      <c r="B1974" t="s">
        <v>61</v>
      </c>
      <c r="C1974" t="s">
        <v>397</v>
      </c>
      <c r="D1974">
        <v>117</v>
      </c>
      <c r="E1974">
        <v>32.878</v>
      </c>
      <c r="F1974">
        <v>37.076000000000001</v>
      </c>
      <c r="G1974">
        <v>1940584</v>
      </c>
      <c r="H1974" t="s">
        <v>779</v>
      </c>
    </row>
    <row r="1975" spans="1:8" x14ac:dyDescent="0.25">
      <c r="A1975" t="s">
        <v>678</v>
      </c>
      <c r="B1975" t="s">
        <v>181</v>
      </c>
      <c r="C1975" t="s">
        <v>397</v>
      </c>
      <c r="D1975">
        <v>3174</v>
      </c>
      <c r="E1975">
        <v>2666.1979999999999</v>
      </c>
      <c r="F1975">
        <v>2661.3989999999999</v>
      </c>
      <c r="G1975">
        <v>3943202</v>
      </c>
      <c r="H1975" t="s">
        <v>768</v>
      </c>
    </row>
    <row r="1976" spans="1:8" x14ac:dyDescent="0.25">
      <c r="A1976" t="s">
        <v>678</v>
      </c>
      <c r="B1976" t="s">
        <v>181</v>
      </c>
      <c r="C1976" t="s">
        <v>397</v>
      </c>
      <c r="D1976">
        <v>1324</v>
      </c>
      <c r="E1976">
        <v>1112.1759999999999</v>
      </c>
      <c r="F1976">
        <v>1110.174</v>
      </c>
      <c r="G1976">
        <v>3943202</v>
      </c>
      <c r="H1976" t="s">
        <v>768</v>
      </c>
    </row>
    <row r="1977" spans="1:8" x14ac:dyDescent="0.25">
      <c r="A1977" t="s">
        <v>678</v>
      </c>
      <c r="B1977" t="s">
        <v>181</v>
      </c>
      <c r="C1977" t="s">
        <v>397</v>
      </c>
      <c r="D1977">
        <v>1049</v>
      </c>
      <c r="E1977">
        <v>881.173</v>
      </c>
      <c r="F1977">
        <v>879.58699999999999</v>
      </c>
      <c r="G1977">
        <v>3943202</v>
      </c>
      <c r="H1977" t="s">
        <v>768</v>
      </c>
    </row>
    <row r="1978" spans="1:8" x14ac:dyDescent="0.25">
      <c r="A1978" t="s">
        <v>678</v>
      </c>
      <c r="B1978" t="s">
        <v>181</v>
      </c>
      <c r="C1978" t="s">
        <v>397</v>
      </c>
      <c r="D1978">
        <v>503</v>
      </c>
      <c r="E1978">
        <v>422.52600000000001</v>
      </c>
      <c r="F1978">
        <v>421.76600000000002</v>
      </c>
      <c r="G1978">
        <v>3943202</v>
      </c>
      <c r="H1978" t="s">
        <v>768</v>
      </c>
    </row>
    <row r="1979" spans="1:8" x14ac:dyDescent="0.25">
      <c r="A1979" t="s">
        <v>678</v>
      </c>
      <c r="B1979" t="s">
        <v>181</v>
      </c>
      <c r="C1979" t="s">
        <v>397</v>
      </c>
      <c r="D1979">
        <v>2851</v>
      </c>
      <c r="E1979">
        <v>2650.7640000000001</v>
      </c>
      <c r="F1979">
        <v>2645.7280000000001</v>
      </c>
      <c r="G1979">
        <v>1940479</v>
      </c>
      <c r="H1979" t="s">
        <v>698</v>
      </c>
    </row>
    <row r="1980" spans="1:8" x14ac:dyDescent="0.25">
      <c r="A1980" t="s">
        <v>678</v>
      </c>
      <c r="B1980" t="s">
        <v>181</v>
      </c>
      <c r="C1980" t="s">
        <v>397</v>
      </c>
      <c r="D1980">
        <v>2024</v>
      </c>
      <c r="E1980">
        <v>1881.848</v>
      </c>
      <c r="F1980">
        <v>1878.2719999999999</v>
      </c>
      <c r="G1980">
        <v>1940479</v>
      </c>
      <c r="H1980" t="s">
        <v>698</v>
      </c>
    </row>
    <row r="1981" spans="1:8" x14ac:dyDescent="0.25">
      <c r="A1981" t="s">
        <v>678</v>
      </c>
      <c r="B1981" t="s">
        <v>181</v>
      </c>
      <c r="C1981" t="s">
        <v>397</v>
      </c>
      <c r="D1981">
        <v>78</v>
      </c>
      <c r="E1981">
        <v>66.692999999999998</v>
      </c>
      <c r="F1981">
        <v>66.572999999999993</v>
      </c>
      <c r="G1981">
        <v>3943203</v>
      </c>
      <c r="H1981" t="s">
        <v>680</v>
      </c>
    </row>
    <row r="1982" spans="1:8" x14ac:dyDescent="0.25">
      <c r="A1982" t="s">
        <v>678</v>
      </c>
      <c r="B1982" t="s">
        <v>181</v>
      </c>
      <c r="C1982" t="s">
        <v>397</v>
      </c>
      <c r="D1982">
        <v>2875</v>
      </c>
      <c r="E1982">
        <v>2458.2370000000001</v>
      </c>
      <c r="F1982">
        <v>2453.8130000000001</v>
      </c>
      <c r="G1982">
        <v>3943203</v>
      </c>
      <c r="H1982" t="s">
        <v>680</v>
      </c>
    </row>
    <row r="1983" spans="1:8" x14ac:dyDescent="0.25">
      <c r="A1983" t="s">
        <v>678</v>
      </c>
      <c r="B1983" t="s">
        <v>181</v>
      </c>
      <c r="C1983" t="s">
        <v>397</v>
      </c>
      <c r="D1983">
        <v>466</v>
      </c>
      <c r="E1983">
        <v>398.44799999999998</v>
      </c>
      <c r="F1983">
        <v>397.73099999999999</v>
      </c>
      <c r="G1983">
        <v>3943203</v>
      </c>
      <c r="H1983" t="s">
        <v>680</v>
      </c>
    </row>
    <row r="1984" spans="1:8" x14ac:dyDescent="0.25">
      <c r="A1984" t="s">
        <v>678</v>
      </c>
      <c r="B1984" t="s">
        <v>181</v>
      </c>
      <c r="C1984" t="s">
        <v>397</v>
      </c>
      <c r="D1984">
        <v>6</v>
      </c>
      <c r="E1984">
        <v>5.13</v>
      </c>
      <c r="F1984">
        <v>5.1210000000000004</v>
      </c>
      <c r="G1984">
        <v>3943203</v>
      </c>
      <c r="H1984" t="s">
        <v>680</v>
      </c>
    </row>
    <row r="1985" spans="1:8" x14ac:dyDescent="0.25">
      <c r="A1985" t="s">
        <v>641</v>
      </c>
      <c r="B1985" t="s">
        <v>180</v>
      </c>
      <c r="C1985" t="s">
        <v>397</v>
      </c>
      <c r="D1985">
        <v>278</v>
      </c>
      <c r="E1985">
        <v>251.512</v>
      </c>
      <c r="F1985">
        <v>251.03399999999999</v>
      </c>
      <c r="G1985">
        <v>1940478</v>
      </c>
      <c r="H1985" t="s">
        <v>643</v>
      </c>
    </row>
    <row r="1986" spans="1:8" x14ac:dyDescent="0.25">
      <c r="A1986" t="s">
        <v>641</v>
      </c>
      <c r="B1986" t="s">
        <v>180</v>
      </c>
      <c r="C1986" t="s">
        <v>397</v>
      </c>
      <c r="D1986">
        <v>2651</v>
      </c>
      <c r="E1986">
        <v>2398.41</v>
      </c>
      <c r="F1986">
        <v>2393.8530000000001</v>
      </c>
      <c r="G1986">
        <v>1940478</v>
      </c>
      <c r="H1986" t="s">
        <v>643</v>
      </c>
    </row>
    <row r="1987" spans="1:8" x14ac:dyDescent="0.25">
      <c r="A1987" t="s">
        <v>641</v>
      </c>
      <c r="B1987" t="s">
        <v>180</v>
      </c>
      <c r="C1987" t="s">
        <v>397</v>
      </c>
      <c r="D1987">
        <v>524</v>
      </c>
      <c r="E1987">
        <v>474.07299999999998</v>
      </c>
      <c r="F1987">
        <v>473.17200000000003</v>
      </c>
      <c r="G1987">
        <v>1940478</v>
      </c>
      <c r="H1987" t="s">
        <v>643</v>
      </c>
    </row>
    <row r="1988" spans="1:8" x14ac:dyDescent="0.25">
      <c r="A1988" t="s">
        <v>641</v>
      </c>
      <c r="B1988" t="s">
        <v>180</v>
      </c>
      <c r="C1988" t="s">
        <v>397</v>
      </c>
      <c r="D1988">
        <v>22</v>
      </c>
      <c r="E1988">
        <v>19.904</v>
      </c>
      <c r="F1988">
        <v>19.866</v>
      </c>
      <c r="G1988">
        <v>1940478</v>
      </c>
      <c r="H1988" t="s">
        <v>643</v>
      </c>
    </row>
    <row r="1989" spans="1:8" x14ac:dyDescent="0.25">
      <c r="A1989" t="s">
        <v>653</v>
      </c>
      <c r="B1989" t="s">
        <v>39</v>
      </c>
      <c r="C1989" t="s">
        <v>397</v>
      </c>
      <c r="D1989">
        <v>2449</v>
      </c>
      <c r="E1989">
        <v>823.721</v>
      </c>
      <c r="F1989">
        <v>1155.9280000000001</v>
      </c>
      <c r="G1989">
        <v>2325421</v>
      </c>
      <c r="H1989" t="s">
        <v>795</v>
      </c>
    </row>
    <row r="1990" spans="1:8" x14ac:dyDescent="0.25">
      <c r="A1990" t="s">
        <v>653</v>
      </c>
      <c r="B1990" t="s">
        <v>39</v>
      </c>
      <c r="C1990" t="s">
        <v>397</v>
      </c>
      <c r="D1990">
        <v>1349</v>
      </c>
      <c r="E1990">
        <v>453.73599999999999</v>
      </c>
      <c r="F1990">
        <v>636.72799999999995</v>
      </c>
      <c r="G1990">
        <v>2325421</v>
      </c>
      <c r="H1990" t="s">
        <v>795</v>
      </c>
    </row>
    <row r="1991" spans="1:8" x14ac:dyDescent="0.25">
      <c r="A1991" t="s">
        <v>653</v>
      </c>
      <c r="B1991" t="s">
        <v>39</v>
      </c>
      <c r="C1991" t="s">
        <v>397</v>
      </c>
      <c r="D1991">
        <v>88</v>
      </c>
      <c r="E1991">
        <v>29.599</v>
      </c>
      <c r="F1991">
        <v>41.536000000000001</v>
      </c>
      <c r="G1991">
        <v>2325421</v>
      </c>
      <c r="H1991" t="s">
        <v>795</v>
      </c>
    </row>
    <row r="1992" spans="1:8" x14ac:dyDescent="0.25">
      <c r="A1992" t="s">
        <v>653</v>
      </c>
      <c r="B1992" t="s">
        <v>39</v>
      </c>
      <c r="C1992" t="s">
        <v>397</v>
      </c>
      <c r="D1992">
        <v>67</v>
      </c>
      <c r="E1992">
        <v>22.535</v>
      </c>
      <c r="F1992">
        <v>31.623999999999999</v>
      </c>
      <c r="G1992">
        <v>2325421</v>
      </c>
      <c r="H1992" t="s">
        <v>795</v>
      </c>
    </row>
    <row r="1993" spans="1:8" x14ac:dyDescent="0.25">
      <c r="A1993" t="s">
        <v>653</v>
      </c>
      <c r="B1993" t="s">
        <v>39</v>
      </c>
      <c r="C1993" t="s">
        <v>397</v>
      </c>
      <c r="D1993">
        <v>47</v>
      </c>
      <c r="E1993">
        <v>15.808</v>
      </c>
      <c r="F1993">
        <v>22.184000000000001</v>
      </c>
      <c r="G1993">
        <v>2325421</v>
      </c>
      <c r="H1993" t="s">
        <v>795</v>
      </c>
    </row>
    <row r="1994" spans="1:8" x14ac:dyDescent="0.25">
      <c r="A1994" t="s">
        <v>653</v>
      </c>
      <c r="B1994" t="s">
        <v>39</v>
      </c>
      <c r="C1994" t="s">
        <v>397</v>
      </c>
      <c r="D1994">
        <v>450</v>
      </c>
      <c r="E1994">
        <v>110.70099999999999</v>
      </c>
      <c r="F1994">
        <v>332.79</v>
      </c>
      <c r="G1994">
        <v>3768907</v>
      </c>
      <c r="H1994" t="s">
        <v>655</v>
      </c>
    </row>
    <row r="1995" spans="1:8" x14ac:dyDescent="0.25">
      <c r="A1995" t="s">
        <v>653</v>
      </c>
      <c r="B1995" t="s">
        <v>39</v>
      </c>
      <c r="C1995" t="s">
        <v>397</v>
      </c>
      <c r="D1995">
        <v>300</v>
      </c>
      <c r="E1995">
        <v>73.801000000000002</v>
      </c>
      <c r="F1995">
        <v>221.86</v>
      </c>
      <c r="G1995">
        <v>3768907</v>
      </c>
      <c r="H1995" t="s">
        <v>655</v>
      </c>
    </row>
    <row r="1996" spans="1:8" x14ac:dyDescent="0.25">
      <c r="A1996" t="s">
        <v>653</v>
      </c>
      <c r="B1996" t="s">
        <v>39</v>
      </c>
      <c r="C1996" t="s">
        <v>397</v>
      </c>
      <c r="D1996">
        <v>40</v>
      </c>
      <c r="E1996">
        <v>9.84</v>
      </c>
      <c r="F1996">
        <v>29.581</v>
      </c>
      <c r="G1996">
        <v>3768907</v>
      </c>
      <c r="H1996" t="s">
        <v>655</v>
      </c>
    </row>
    <row r="1997" spans="1:8" x14ac:dyDescent="0.25">
      <c r="A1997" t="s">
        <v>653</v>
      </c>
      <c r="B1997" t="s">
        <v>39</v>
      </c>
      <c r="C1997" t="s">
        <v>397</v>
      </c>
      <c r="D1997">
        <v>990</v>
      </c>
      <c r="E1997">
        <v>870.947</v>
      </c>
      <c r="F1997">
        <v>1473.12</v>
      </c>
      <c r="G1997">
        <v>1940831</v>
      </c>
      <c r="H1997" t="s">
        <v>657</v>
      </c>
    </row>
    <row r="1998" spans="1:8" x14ac:dyDescent="0.25">
      <c r="A1998" t="s">
        <v>6025</v>
      </c>
      <c r="B1998" t="s">
        <v>40</v>
      </c>
      <c r="C1998" t="s">
        <v>397</v>
      </c>
      <c r="D1998">
        <v>138</v>
      </c>
      <c r="E1998">
        <v>122.071</v>
      </c>
      <c r="F1998">
        <v>116.334</v>
      </c>
      <c r="G1998">
        <v>1942696</v>
      </c>
      <c r="H1998" t="s">
        <v>1532</v>
      </c>
    </row>
    <row r="1999" spans="1:8" x14ac:dyDescent="0.25">
      <c r="A1999" t="s">
        <v>6025</v>
      </c>
      <c r="B1999" t="s">
        <v>40</v>
      </c>
      <c r="C1999" t="s">
        <v>397</v>
      </c>
      <c r="D1999">
        <v>149</v>
      </c>
      <c r="E1999">
        <v>131.80199999999999</v>
      </c>
      <c r="F1999">
        <v>125.607</v>
      </c>
      <c r="G1999">
        <v>1942696</v>
      </c>
      <c r="H1999" t="s">
        <v>1532</v>
      </c>
    </row>
    <row r="2000" spans="1:8" x14ac:dyDescent="0.25">
      <c r="A2000" t="s">
        <v>6025</v>
      </c>
      <c r="B2000" t="s">
        <v>40</v>
      </c>
      <c r="C2000" t="s">
        <v>397</v>
      </c>
      <c r="D2000">
        <v>13</v>
      </c>
      <c r="E2000">
        <v>11.499000000000001</v>
      </c>
      <c r="F2000">
        <v>10.959</v>
      </c>
      <c r="G2000">
        <v>1942696</v>
      </c>
      <c r="H2000" t="s">
        <v>1532</v>
      </c>
    </row>
    <row r="2001" spans="1:8" x14ac:dyDescent="0.25">
      <c r="A2001" t="s">
        <v>6025</v>
      </c>
      <c r="B2001" t="s">
        <v>40</v>
      </c>
      <c r="C2001" t="s">
        <v>397</v>
      </c>
      <c r="D2001">
        <v>1175</v>
      </c>
      <c r="E2001">
        <v>1051.626</v>
      </c>
      <c r="F2001">
        <v>871.798</v>
      </c>
      <c r="G2001">
        <v>4229937</v>
      </c>
      <c r="H2001" t="s">
        <v>6038</v>
      </c>
    </row>
    <row r="2002" spans="1:8" x14ac:dyDescent="0.25">
      <c r="A2002" t="s">
        <v>6025</v>
      </c>
      <c r="B2002" t="s">
        <v>40</v>
      </c>
      <c r="C2002" t="s">
        <v>397</v>
      </c>
      <c r="D2002">
        <v>1341</v>
      </c>
      <c r="E2002">
        <v>624.90099999999995</v>
      </c>
      <c r="F2002">
        <v>518.04300000000001</v>
      </c>
      <c r="G2002">
        <v>4229936</v>
      </c>
      <c r="H2002" t="s">
        <v>6039</v>
      </c>
    </row>
    <row r="2003" spans="1:8" x14ac:dyDescent="0.25">
      <c r="A2003" t="s">
        <v>6025</v>
      </c>
      <c r="B2003" t="s">
        <v>40</v>
      </c>
      <c r="C2003" t="s">
        <v>397</v>
      </c>
      <c r="D2003">
        <v>994</v>
      </c>
      <c r="E2003">
        <v>463.20100000000002</v>
      </c>
      <c r="F2003">
        <v>383.99299999999999</v>
      </c>
      <c r="G2003">
        <v>4229936</v>
      </c>
      <c r="H2003" t="s">
        <v>6039</v>
      </c>
    </row>
    <row r="2004" spans="1:8" x14ac:dyDescent="0.25">
      <c r="A2004" t="s">
        <v>6025</v>
      </c>
      <c r="B2004" t="s">
        <v>40</v>
      </c>
      <c r="C2004" t="s">
        <v>397</v>
      </c>
      <c r="D2004">
        <v>740</v>
      </c>
      <c r="E2004">
        <v>344.83699999999999</v>
      </c>
      <c r="F2004">
        <v>285.87</v>
      </c>
      <c r="G2004">
        <v>4229936</v>
      </c>
      <c r="H2004" t="s">
        <v>6039</v>
      </c>
    </row>
    <row r="2005" spans="1:8" x14ac:dyDescent="0.25">
      <c r="A2005" t="s">
        <v>6040</v>
      </c>
      <c r="B2005" t="s">
        <v>40</v>
      </c>
      <c r="C2005" t="s">
        <v>397</v>
      </c>
      <c r="D2005">
        <v>2559</v>
      </c>
      <c r="E2005">
        <v>591.06200000000001</v>
      </c>
      <c r="F2005">
        <v>555.303</v>
      </c>
      <c r="G2005">
        <v>2398620</v>
      </c>
      <c r="H2005" t="s">
        <v>1567</v>
      </c>
    </row>
    <row r="2006" spans="1:8" x14ac:dyDescent="0.25">
      <c r="A2006" t="s">
        <v>6040</v>
      </c>
      <c r="B2006" t="s">
        <v>40</v>
      </c>
      <c r="C2006" t="s">
        <v>397</v>
      </c>
      <c r="D2006">
        <v>1096</v>
      </c>
      <c r="E2006">
        <v>253.14699999999999</v>
      </c>
      <c r="F2006">
        <v>237.83199999999999</v>
      </c>
      <c r="G2006">
        <v>2398620</v>
      </c>
      <c r="H2006" t="s">
        <v>1567</v>
      </c>
    </row>
    <row r="2007" spans="1:8" x14ac:dyDescent="0.25">
      <c r="A2007" t="s">
        <v>6040</v>
      </c>
      <c r="B2007" t="s">
        <v>40</v>
      </c>
      <c r="C2007" t="s">
        <v>397</v>
      </c>
      <c r="D2007">
        <v>14</v>
      </c>
      <c r="E2007">
        <v>3.234</v>
      </c>
      <c r="F2007">
        <v>3.0379999999999998</v>
      </c>
      <c r="G2007">
        <v>2398620</v>
      </c>
      <c r="H2007" t="s">
        <v>1567</v>
      </c>
    </row>
    <row r="2008" spans="1:8" x14ac:dyDescent="0.25">
      <c r="A2008" t="s">
        <v>6040</v>
      </c>
      <c r="B2008" t="s">
        <v>40</v>
      </c>
      <c r="C2008" t="s">
        <v>397</v>
      </c>
      <c r="D2008">
        <v>6</v>
      </c>
      <c r="E2008">
        <v>1.3859999999999999</v>
      </c>
      <c r="F2008">
        <v>1.302</v>
      </c>
      <c r="G2008">
        <v>2398620</v>
      </c>
      <c r="H2008" t="s">
        <v>1567</v>
      </c>
    </row>
    <row r="2009" spans="1:8" x14ac:dyDescent="0.25">
      <c r="A2009" t="s">
        <v>6040</v>
      </c>
      <c r="B2009" t="s">
        <v>40</v>
      </c>
      <c r="C2009" t="s">
        <v>397</v>
      </c>
      <c r="D2009">
        <v>825</v>
      </c>
      <c r="E2009">
        <v>386.096</v>
      </c>
      <c r="F2009">
        <v>375.98899999999998</v>
      </c>
      <c r="G2009">
        <v>3620716</v>
      </c>
      <c r="H2009" t="s">
        <v>1523</v>
      </c>
    </row>
    <row r="2010" spans="1:8" x14ac:dyDescent="0.25">
      <c r="A2010" t="s">
        <v>6015</v>
      </c>
      <c r="B2010" t="s">
        <v>65</v>
      </c>
      <c r="C2010" t="s">
        <v>397</v>
      </c>
      <c r="D2010">
        <v>365</v>
      </c>
      <c r="E2010">
        <v>264.91399999999999</v>
      </c>
      <c r="F2010">
        <v>305.87</v>
      </c>
      <c r="G2010">
        <v>4027991</v>
      </c>
      <c r="H2010" t="s">
        <v>6028</v>
      </c>
    </row>
    <row r="2011" spans="1:8" x14ac:dyDescent="0.25">
      <c r="A2011" t="s">
        <v>6015</v>
      </c>
      <c r="B2011" t="s">
        <v>65</v>
      </c>
      <c r="C2011" t="s">
        <v>397</v>
      </c>
      <c r="D2011">
        <v>929</v>
      </c>
      <c r="E2011">
        <v>674.26099999999997</v>
      </c>
      <c r="F2011">
        <v>778.50199999999995</v>
      </c>
      <c r="G2011">
        <v>4027991</v>
      </c>
      <c r="H2011" t="s">
        <v>6028</v>
      </c>
    </row>
    <row r="2012" spans="1:8" x14ac:dyDescent="0.25">
      <c r="A2012" t="s">
        <v>6015</v>
      </c>
      <c r="B2012" t="s">
        <v>65</v>
      </c>
      <c r="C2012" t="s">
        <v>397</v>
      </c>
      <c r="D2012">
        <v>415</v>
      </c>
      <c r="E2012">
        <v>301.20400000000001</v>
      </c>
      <c r="F2012">
        <v>347.77</v>
      </c>
      <c r="G2012">
        <v>4027991</v>
      </c>
      <c r="H2012" t="s">
        <v>6028</v>
      </c>
    </row>
    <row r="2013" spans="1:8" x14ac:dyDescent="0.25">
      <c r="A2013" t="s">
        <v>6015</v>
      </c>
      <c r="B2013" t="s">
        <v>65</v>
      </c>
      <c r="C2013" t="s">
        <v>397</v>
      </c>
      <c r="D2013">
        <v>279</v>
      </c>
      <c r="E2013">
        <v>202.49600000000001</v>
      </c>
      <c r="F2013">
        <v>233.80199999999999</v>
      </c>
      <c r="G2013">
        <v>4027991</v>
      </c>
      <c r="H2013" t="s">
        <v>6028</v>
      </c>
    </row>
    <row r="2014" spans="1:8" x14ac:dyDescent="0.25">
      <c r="A2014" t="s">
        <v>6015</v>
      </c>
      <c r="B2014" t="s">
        <v>65</v>
      </c>
      <c r="C2014" t="s">
        <v>397</v>
      </c>
      <c r="D2014">
        <v>12</v>
      </c>
      <c r="E2014">
        <v>8.7100000000000009</v>
      </c>
      <c r="F2014">
        <v>10.055999999999999</v>
      </c>
      <c r="G2014">
        <v>4027991</v>
      </c>
      <c r="H2014" t="s">
        <v>6028</v>
      </c>
    </row>
    <row r="2015" spans="1:8" x14ac:dyDescent="0.25">
      <c r="A2015" t="s">
        <v>6015</v>
      </c>
      <c r="B2015" t="s">
        <v>65</v>
      </c>
      <c r="C2015" t="s">
        <v>397</v>
      </c>
      <c r="D2015">
        <v>624</v>
      </c>
      <c r="E2015">
        <v>356.197</v>
      </c>
      <c r="F2015">
        <v>660.81600000000003</v>
      </c>
      <c r="G2015">
        <v>3781648</v>
      </c>
      <c r="H2015" t="s">
        <v>1755</v>
      </c>
    </row>
    <row r="2016" spans="1:8" x14ac:dyDescent="0.25">
      <c r="A2016" t="s">
        <v>6015</v>
      </c>
      <c r="B2016" t="s">
        <v>65</v>
      </c>
      <c r="C2016" t="s">
        <v>397</v>
      </c>
      <c r="D2016">
        <v>870</v>
      </c>
      <c r="E2016">
        <v>496.62</v>
      </c>
      <c r="F2016">
        <v>921.33</v>
      </c>
      <c r="G2016">
        <v>3781648</v>
      </c>
      <c r="H2016" t="s">
        <v>1755</v>
      </c>
    </row>
    <row r="2017" spans="1:8" x14ac:dyDescent="0.25">
      <c r="A2017" t="s">
        <v>6015</v>
      </c>
      <c r="B2017" t="s">
        <v>65</v>
      </c>
      <c r="C2017" t="s">
        <v>397</v>
      </c>
      <c r="D2017">
        <v>700</v>
      </c>
      <c r="E2017">
        <v>399.58</v>
      </c>
      <c r="F2017">
        <v>741.3</v>
      </c>
      <c r="G2017">
        <v>3781648</v>
      </c>
      <c r="H2017" t="s">
        <v>1755</v>
      </c>
    </row>
    <row r="2018" spans="1:8" x14ac:dyDescent="0.25">
      <c r="A2018" t="s">
        <v>6015</v>
      </c>
      <c r="B2018" t="s">
        <v>65</v>
      </c>
      <c r="C2018" t="s">
        <v>397</v>
      </c>
      <c r="D2018">
        <v>426</v>
      </c>
      <c r="E2018">
        <v>243.173</v>
      </c>
      <c r="F2018">
        <v>451.13400000000001</v>
      </c>
      <c r="G2018">
        <v>3781648</v>
      </c>
      <c r="H2018" t="s">
        <v>1755</v>
      </c>
    </row>
    <row r="2019" spans="1:8" x14ac:dyDescent="0.25">
      <c r="A2019" t="s">
        <v>6015</v>
      </c>
      <c r="B2019" t="s">
        <v>65</v>
      </c>
      <c r="C2019" t="s">
        <v>397</v>
      </c>
      <c r="D2019">
        <v>380</v>
      </c>
      <c r="E2019">
        <v>216.91499999999999</v>
      </c>
      <c r="F2019">
        <v>402.42</v>
      </c>
      <c r="G2019">
        <v>3781648</v>
      </c>
      <c r="H2019" t="s">
        <v>1755</v>
      </c>
    </row>
    <row r="2020" spans="1:8" x14ac:dyDescent="0.25">
      <c r="A2020" t="s">
        <v>6015</v>
      </c>
      <c r="B2020" t="s">
        <v>65</v>
      </c>
      <c r="C2020" t="s">
        <v>397</v>
      </c>
      <c r="D2020">
        <v>6002</v>
      </c>
      <c r="E2020">
        <v>1028.087</v>
      </c>
      <c r="F2020">
        <v>426.142</v>
      </c>
      <c r="G2020">
        <v>3204542</v>
      </c>
      <c r="H2020" t="s">
        <v>1141</v>
      </c>
    </row>
    <row r="2021" spans="1:8" x14ac:dyDescent="0.25">
      <c r="A2021" t="s">
        <v>6015</v>
      </c>
      <c r="B2021" t="s">
        <v>65</v>
      </c>
      <c r="C2021" t="s">
        <v>397</v>
      </c>
      <c r="D2021">
        <v>3802</v>
      </c>
      <c r="E2021">
        <v>651.24699999999996</v>
      </c>
      <c r="F2021">
        <v>269.94200000000001</v>
      </c>
      <c r="G2021">
        <v>3204542</v>
      </c>
      <c r="H2021" t="s">
        <v>1141</v>
      </c>
    </row>
    <row r="2022" spans="1:8" x14ac:dyDescent="0.25">
      <c r="A2022" t="s">
        <v>6015</v>
      </c>
      <c r="B2022" t="s">
        <v>65</v>
      </c>
      <c r="C2022" t="s">
        <v>397</v>
      </c>
      <c r="D2022">
        <v>67</v>
      </c>
      <c r="E2022">
        <v>11.476000000000001</v>
      </c>
      <c r="F2022">
        <v>4.7569999999999997</v>
      </c>
      <c r="G2022">
        <v>3204542</v>
      </c>
      <c r="H2022" t="s">
        <v>1141</v>
      </c>
    </row>
    <row r="2023" spans="1:8" x14ac:dyDescent="0.25">
      <c r="A2023" t="s">
        <v>6015</v>
      </c>
      <c r="B2023" t="s">
        <v>65</v>
      </c>
      <c r="C2023" t="s">
        <v>397</v>
      </c>
      <c r="D2023">
        <v>29</v>
      </c>
      <c r="E2023">
        <v>4.9669999999999996</v>
      </c>
      <c r="F2023">
        <v>2.0590000000000002</v>
      </c>
      <c r="G2023">
        <v>3204542</v>
      </c>
      <c r="H2023" t="s">
        <v>1141</v>
      </c>
    </row>
    <row r="2024" spans="1:8" x14ac:dyDescent="0.25">
      <c r="A2024" t="s">
        <v>6015</v>
      </c>
      <c r="B2024" t="s">
        <v>65</v>
      </c>
      <c r="C2024" t="s">
        <v>397</v>
      </c>
      <c r="D2024">
        <v>1745</v>
      </c>
      <c r="E2024">
        <v>324.16199999999998</v>
      </c>
      <c r="F2024">
        <v>134.36500000000001</v>
      </c>
      <c r="G2024">
        <v>3204544</v>
      </c>
      <c r="H2024" t="s">
        <v>1145</v>
      </c>
    </row>
    <row r="2025" spans="1:8" x14ac:dyDescent="0.25">
      <c r="A2025" t="s">
        <v>6015</v>
      </c>
      <c r="B2025" t="s">
        <v>65</v>
      </c>
      <c r="C2025" t="s">
        <v>397</v>
      </c>
      <c r="D2025">
        <v>4558</v>
      </c>
      <c r="E2025">
        <v>846.721</v>
      </c>
      <c r="F2025">
        <v>350.96600000000001</v>
      </c>
      <c r="G2025">
        <v>3204544</v>
      </c>
      <c r="H2025" t="s">
        <v>1145</v>
      </c>
    </row>
    <row r="2026" spans="1:8" x14ac:dyDescent="0.25">
      <c r="A2026" t="s">
        <v>6015</v>
      </c>
      <c r="B2026" t="s">
        <v>65</v>
      </c>
      <c r="C2026" t="s">
        <v>397</v>
      </c>
      <c r="D2026">
        <v>3766</v>
      </c>
      <c r="E2026">
        <v>699.59500000000003</v>
      </c>
      <c r="F2026">
        <v>289.98200000000003</v>
      </c>
      <c r="G2026">
        <v>3204544</v>
      </c>
      <c r="H2026" t="s">
        <v>1145</v>
      </c>
    </row>
    <row r="2027" spans="1:8" x14ac:dyDescent="0.25">
      <c r="A2027" t="s">
        <v>6015</v>
      </c>
      <c r="B2027" t="s">
        <v>65</v>
      </c>
      <c r="C2027" t="s">
        <v>397</v>
      </c>
      <c r="D2027">
        <v>131</v>
      </c>
      <c r="E2027">
        <v>24.335000000000001</v>
      </c>
      <c r="F2027">
        <v>10.087</v>
      </c>
      <c r="G2027">
        <v>3204544</v>
      </c>
      <c r="H2027" t="s">
        <v>1145</v>
      </c>
    </row>
    <row r="2028" spans="1:8" x14ac:dyDescent="0.25">
      <c r="A2028" t="s">
        <v>6018</v>
      </c>
      <c r="B2028" t="s">
        <v>21</v>
      </c>
      <c r="C2028" t="s">
        <v>397</v>
      </c>
      <c r="D2028">
        <v>1500</v>
      </c>
      <c r="E2028">
        <v>821.94200000000001</v>
      </c>
      <c r="F2028">
        <v>691.5</v>
      </c>
      <c r="G2028">
        <v>3676836</v>
      </c>
      <c r="H2028" t="s">
        <v>1367</v>
      </c>
    </row>
    <row r="2029" spans="1:8" x14ac:dyDescent="0.25">
      <c r="A2029" t="s">
        <v>6018</v>
      </c>
      <c r="B2029" t="s">
        <v>21</v>
      </c>
      <c r="C2029" t="s">
        <v>397</v>
      </c>
      <c r="D2029">
        <v>2000</v>
      </c>
      <c r="E2029">
        <v>2108.018</v>
      </c>
      <c r="F2029">
        <v>3173.2</v>
      </c>
      <c r="G2029">
        <v>3605736</v>
      </c>
      <c r="H2029" t="s">
        <v>1698</v>
      </c>
    </row>
    <row r="2030" spans="1:8" x14ac:dyDescent="0.25">
      <c r="A2030" t="s">
        <v>6018</v>
      </c>
      <c r="B2030" t="s">
        <v>21</v>
      </c>
      <c r="C2030" t="s">
        <v>397</v>
      </c>
      <c r="D2030">
        <v>906</v>
      </c>
      <c r="E2030">
        <v>166.8</v>
      </c>
      <c r="F2030">
        <v>632.38800000000003</v>
      </c>
      <c r="G2030">
        <v>1940868</v>
      </c>
      <c r="H2030" t="s">
        <v>1715</v>
      </c>
    </row>
    <row r="2031" spans="1:8" x14ac:dyDescent="0.25">
      <c r="A2031" t="s">
        <v>6018</v>
      </c>
      <c r="B2031" t="s">
        <v>21</v>
      </c>
      <c r="C2031" t="s">
        <v>397</v>
      </c>
      <c r="D2031">
        <v>859</v>
      </c>
      <c r="E2031">
        <v>633.11500000000001</v>
      </c>
      <c r="F2031">
        <v>1095.2249999999999</v>
      </c>
      <c r="G2031">
        <v>1932730</v>
      </c>
      <c r="H2031" t="s">
        <v>1738</v>
      </c>
    </row>
    <row r="2032" spans="1:8" x14ac:dyDescent="0.25">
      <c r="A2032" t="s">
        <v>6018</v>
      </c>
      <c r="B2032" t="s">
        <v>21</v>
      </c>
      <c r="C2032" t="s">
        <v>397</v>
      </c>
      <c r="D2032">
        <v>850</v>
      </c>
      <c r="E2032">
        <v>626.48099999999999</v>
      </c>
      <c r="F2032">
        <v>1083.75</v>
      </c>
      <c r="G2032">
        <v>1932730</v>
      </c>
      <c r="H2032" t="s">
        <v>1738</v>
      </c>
    </row>
    <row r="2033" spans="1:8" x14ac:dyDescent="0.25">
      <c r="A2033" t="s">
        <v>6018</v>
      </c>
      <c r="B2033" t="s">
        <v>21</v>
      </c>
      <c r="C2033" t="s">
        <v>397</v>
      </c>
      <c r="D2033">
        <v>791</v>
      </c>
      <c r="E2033">
        <v>582.99599999999998</v>
      </c>
      <c r="F2033">
        <v>1008.525</v>
      </c>
      <c r="G2033">
        <v>1932730</v>
      </c>
      <c r="H2033" t="s">
        <v>1738</v>
      </c>
    </row>
    <row r="2034" spans="1:8" x14ac:dyDescent="0.25">
      <c r="A2034" t="s">
        <v>6018</v>
      </c>
      <c r="B2034" t="s">
        <v>21</v>
      </c>
      <c r="C2034" t="s">
        <v>397</v>
      </c>
      <c r="D2034">
        <v>4493</v>
      </c>
      <c r="E2034">
        <v>2454.3560000000002</v>
      </c>
      <c r="F2034">
        <v>3535.991</v>
      </c>
      <c r="G2034">
        <v>1940817</v>
      </c>
      <c r="H2034" t="s">
        <v>1679</v>
      </c>
    </row>
    <row r="2035" spans="1:8" x14ac:dyDescent="0.25">
      <c r="A2035" t="s">
        <v>6018</v>
      </c>
      <c r="B2035" t="s">
        <v>21</v>
      </c>
      <c r="C2035" t="s">
        <v>397</v>
      </c>
      <c r="D2035">
        <v>107</v>
      </c>
      <c r="E2035">
        <v>58.45</v>
      </c>
      <c r="F2035">
        <v>84.209000000000003</v>
      </c>
      <c r="G2035">
        <v>1940817</v>
      </c>
      <c r="H2035" t="s">
        <v>1679</v>
      </c>
    </row>
    <row r="2036" spans="1:8" x14ac:dyDescent="0.25">
      <c r="A2036" t="s">
        <v>6018</v>
      </c>
      <c r="B2036" t="s">
        <v>21</v>
      </c>
      <c r="C2036" t="s">
        <v>397</v>
      </c>
      <c r="D2036">
        <v>1000</v>
      </c>
      <c r="E2036">
        <v>628.79</v>
      </c>
      <c r="F2036">
        <v>1317</v>
      </c>
      <c r="G2036">
        <v>1940871</v>
      </c>
      <c r="H2036" t="s">
        <v>1721</v>
      </c>
    </row>
    <row r="2037" spans="1:8" x14ac:dyDescent="0.25">
      <c r="A2037" t="s">
        <v>5966</v>
      </c>
      <c r="B2037" t="s">
        <v>37</v>
      </c>
      <c r="C2037" t="s">
        <v>392</v>
      </c>
      <c r="D2037">
        <v>5</v>
      </c>
      <c r="E2037">
        <v>28.649000000000001</v>
      </c>
      <c r="F2037">
        <v>39</v>
      </c>
      <c r="G2037">
        <v>3502256</v>
      </c>
      <c r="H2037" t="s">
        <v>1580</v>
      </c>
    </row>
    <row r="2038" spans="1:8" x14ac:dyDescent="0.25">
      <c r="A2038" t="s">
        <v>5966</v>
      </c>
      <c r="B2038" t="s">
        <v>37</v>
      </c>
      <c r="C2038" t="s">
        <v>392</v>
      </c>
      <c r="D2038">
        <v>360</v>
      </c>
      <c r="E2038">
        <v>1990.7439999999999</v>
      </c>
      <c r="F2038">
        <v>2710</v>
      </c>
      <c r="G2038">
        <v>3502256</v>
      </c>
      <c r="H2038" t="s">
        <v>1580</v>
      </c>
    </row>
    <row r="2039" spans="1:8" x14ac:dyDescent="0.25">
      <c r="A2039" t="s">
        <v>5966</v>
      </c>
      <c r="B2039" t="s">
        <v>37</v>
      </c>
      <c r="C2039" t="s">
        <v>392</v>
      </c>
      <c r="D2039">
        <v>398</v>
      </c>
      <c r="E2039">
        <v>2200.837</v>
      </c>
      <c r="F2039">
        <v>2996</v>
      </c>
      <c r="G2039">
        <v>3502256</v>
      </c>
      <c r="H2039" t="s">
        <v>1580</v>
      </c>
    </row>
    <row r="2040" spans="1:8" x14ac:dyDescent="0.25">
      <c r="A2040" t="s">
        <v>5966</v>
      </c>
      <c r="B2040" t="s">
        <v>37</v>
      </c>
      <c r="C2040" t="s">
        <v>392</v>
      </c>
      <c r="D2040">
        <v>416</v>
      </c>
      <c r="E2040">
        <v>2302.2109999999998</v>
      </c>
      <c r="F2040">
        <v>3134</v>
      </c>
      <c r="G2040">
        <v>3502256</v>
      </c>
      <c r="H2040" t="s">
        <v>1580</v>
      </c>
    </row>
    <row r="2041" spans="1:8" x14ac:dyDescent="0.25">
      <c r="A2041" t="s">
        <v>5966</v>
      </c>
      <c r="B2041" t="s">
        <v>37</v>
      </c>
      <c r="C2041" t="s">
        <v>392</v>
      </c>
      <c r="D2041">
        <v>357</v>
      </c>
      <c r="E2041">
        <v>1976.787</v>
      </c>
      <c r="F2041">
        <v>2691</v>
      </c>
      <c r="G2041">
        <v>3502256</v>
      </c>
      <c r="H2041" t="s">
        <v>1580</v>
      </c>
    </row>
    <row r="2042" spans="1:8" x14ac:dyDescent="0.25">
      <c r="A2042" t="s">
        <v>5966</v>
      </c>
      <c r="B2042" t="s">
        <v>37</v>
      </c>
      <c r="C2042" t="s">
        <v>392</v>
      </c>
      <c r="D2042">
        <v>386</v>
      </c>
      <c r="E2042">
        <v>2134.7240000000002</v>
      </c>
      <c r="F2042">
        <v>2906</v>
      </c>
      <c r="G2042">
        <v>3502256</v>
      </c>
      <c r="H2042" t="s">
        <v>1580</v>
      </c>
    </row>
    <row r="2043" spans="1:8" x14ac:dyDescent="0.25">
      <c r="A2043" t="s">
        <v>5966</v>
      </c>
      <c r="B2043" t="s">
        <v>37</v>
      </c>
      <c r="C2043" t="s">
        <v>392</v>
      </c>
      <c r="D2043">
        <v>164</v>
      </c>
      <c r="E2043">
        <v>906.48599999999999</v>
      </c>
      <c r="F2043">
        <v>1234</v>
      </c>
      <c r="G2043">
        <v>3502256</v>
      </c>
      <c r="H2043" t="s">
        <v>1580</v>
      </c>
    </row>
    <row r="2044" spans="1:8" x14ac:dyDescent="0.25">
      <c r="A2044" t="s">
        <v>5966</v>
      </c>
      <c r="B2044" t="s">
        <v>37</v>
      </c>
      <c r="C2044" t="s">
        <v>392</v>
      </c>
      <c r="D2044">
        <v>415</v>
      </c>
      <c r="E2044">
        <v>2294.8649999999998</v>
      </c>
      <c r="F2044">
        <v>3124</v>
      </c>
      <c r="G2044">
        <v>3502256</v>
      </c>
      <c r="H2044" t="s">
        <v>1580</v>
      </c>
    </row>
    <row r="2045" spans="1:8" x14ac:dyDescent="0.25">
      <c r="A2045" t="s">
        <v>5966</v>
      </c>
      <c r="B2045" t="s">
        <v>37</v>
      </c>
      <c r="C2045" t="s">
        <v>392</v>
      </c>
      <c r="D2045">
        <v>320</v>
      </c>
      <c r="E2045">
        <v>1767.4280000000001</v>
      </c>
      <c r="F2045">
        <v>2406</v>
      </c>
      <c r="G2045">
        <v>3502256</v>
      </c>
      <c r="H2045" t="s">
        <v>1580</v>
      </c>
    </row>
    <row r="2046" spans="1:8" x14ac:dyDescent="0.25">
      <c r="A2046" t="s">
        <v>5966</v>
      </c>
      <c r="B2046" t="s">
        <v>37</v>
      </c>
      <c r="C2046" t="s">
        <v>392</v>
      </c>
      <c r="D2046">
        <v>339</v>
      </c>
      <c r="E2046">
        <v>1876.1479999999999</v>
      </c>
      <c r="F2046">
        <v>2554</v>
      </c>
      <c r="G2046">
        <v>3502256</v>
      </c>
      <c r="H2046" t="s">
        <v>1580</v>
      </c>
    </row>
    <row r="2047" spans="1:8" x14ac:dyDescent="0.25">
      <c r="A2047" t="s">
        <v>5966</v>
      </c>
      <c r="B2047" t="s">
        <v>37</v>
      </c>
      <c r="C2047" t="s">
        <v>392</v>
      </c>
      <c r="D2047">
        <v>71</v>
      </c>
      <c r="E2047">
        <v>393.74099999999999</v>
      </c>
      <c r="F2047">
        <v>536</v>
      </c>
      <c r="G2047">
        <v>3502256</v>
      </c>
      <c r="H2047" t="s">
        <v>1580</v>
      </c>
    </row>
    <row r="2048" spans="1:8" x14ac:dyDescent="0.25">
      <c r="A2048" t="s">
        <v>517</v>
      </c>
      <c r="B2048" t="s">
        <v>19</v>
      </c>
      <c r="C2048" t="s">
        <v>397</v>
      </c>
      <c r="D2048">
        <v>3749</v>
      </c>
      <c r="E2048">
        <v>723.56799999999998</v>
      </c>
      <c r="F2048">
        <v>1281.367</v>
      </c>
      <c r="G2048">
        <v>3509016</v>
      </c>
      <c r="H2048" t="s">
        <v>800</v>
      </c>
    </row>
    <row r="2049" spans="1:8" x14ac:dyDescent="0.25">
      <c r="A2049" t="s">
        <v>517</v>
      </c>
      <c r="B2049" t="s">
        <v>19</v>
      </c>
      <c r="C2049" t="s">
        <v>397</v>
      </c>
      <c r="D2049">
        <v>1242</v>
      </c>
      <c r="E2049">
        <v>239.71</v>
      </c>
      <c r="F2049">
        <v>424.50200000000001</v>
      </c>
      <c r="G2049">
        <v>3509016</v>
      </c>
      <c r="H2049" t="s">
        <v>800</v>
      </c>
    </row>
    <row r="2050" spans="1:8" x14ac:dyDescent="0.25">
      <c r="A2050" t="s">
        <v>517</v>
      </c>
      <c r="B2050" t="s">
        <v>19</v>
      </c>
      <c r="C2050" t="s">
        <v>397</v>
      </c>
      <c r="D2050">
        <v>49</v>
      </c>
      <c r="E2050">
        <v>9.4570000000000007</v>
      </c>
      <c r="F2050">
        <v>16.748000000000001</v>
      </c>
      <c r="G2050">
        <v>3509016</v>
      </c>
      <c r="H2050" t="s">
        <v>800</v>
      </c>
    </row>
    <row r="2051" spans="1:8" x14ac:dyDescent="0.25">
      <c r="A2051" t="s">
        <v>517</v>
      </c>
      <c r="B2051" t="s">
        <v>19</v>
      </c>
      <c r="C2051" t="s">
        <v>397</v>
      </c>
      <c r="D2051">
        <v>10</v>
      </c>
      <c r="E2051">
        <v>1.93</v>
      </c>
      <c r="F2051">
        <v>3.4180000000000001</v>
      </c>
      <c r="G2051">
        <v>3509016</v>
      </c>
      <c r="H2051" t="s">
        <v>800</v>
      </c>
    </row>
    <row r="2052" spans="1:8" x14ac:dyDescent="0.25">
      <c r="A2052" t="s">
        <v>517</v>
      </c>
      <c r="B2052" t="s">
        <v>19</v>
      </c>
      <c r="C2052" t="s">
        <v>397</v>
      </c>
      <c r="D2052">
        <v>490</v>
      </c>
      <c r="E2052">
        <v>843.298</v>
      </c>
      <c r="F2052">
        <v>1686.09</v>
      </c>
      <c r="G2052">
        <v>1940715</v>
      </c>
      <c r="H2052" t="s">
        <v>674</v>
      </c>
    </row>
    <row r="2053" spans="1:8" x14ac:dyDescent="0.25">
      <c r="A2053" t="s">
        <v>517</v>
      </c>
      <c r="B2053" t="s">
        <v>19</v>
      </c>
      <c r="C2053" t="s">
        <v>397</v>
      </c>
      <c r="D2053">
        <v>372</v>
      </c>
      <c r="E2053">
        <v>640.21799999999996</v>
      </c>
      <c r="F2053">
        <v>1280.0519999999999</v>
      </c>
      <c r="G2053">
        <v>1940715</v>
      </c>
      <c r="H2053" t="s">
        <v>674</v>
      </c>
    </row>
    <row r="2054" spans="1:8" x14ac:dyDescent="0.25">
      <c r="A2054" t="s">
        <v>517</v>
      </c>
      <c r="B2054" t="s">
        <v>19</v>
      </c>
      <c r="C2054" t="s">
        <v>397</v>
      </c>
      <c r="D2054">
        <v>138</v>
      </c>
      <c r="E2054">
        <v>237.5</v>
      </c>
      <c r="F2054">
        <v>474.858</v>
      </c>
      <c r="G2054">
        <v>1940715</v>
      </c>
      <c r="H2054" t="s">
        <v>674</v>
      </c>
    </row>
    <row r="2055" spans="1:8" x14ac:dyDescent="0.25">
      <c r="A2055" t="s">
        <v>517</v>
      </c>
      <c r="B2055" t="s">
        <v>19</v>
      </c>
      <c r="C2055" t="s">
        <v>397</v>
      </c>
      <c r="D2055">
        <v>1259</v>
      </c>
      <c r="E2055">
        <v>800.65099999999995</v>
      </c>
      <c r="F2055">
        <v>1554.865</v>
      </c>
      <c r="G2055">
        <v>1940879</v>
      </c>
      <c r="H2055" t="s">
        <v>676</v>
      </c>
    </row>
    <row r="2056" spans="1:8" x14ac:dyDescent="0.25">
      <c r="A2056" t="s">
        <v>517</v>
      </c>
      <c r="B2056" t="s">
        <v>19</v>
      </c>
      <c r="C2056" t="s">
        <v>397</v>
      </c>
      <c r="D2056">
        <v>659</v>
      </c>
      <c r="E2056">
        <v>419.08600000000001</v>
      </c>
      <c r="F2056">
        <v>813.86500000000001</v>
      </c>
      <c r="G2056">
        <v>1940879</v>
      </c>
      <c r="H2056" t="s">
        <v>676</v>
      </c>
    </row>
    <row r="2057" spans="1:8" x14ac:dyDescent="0.25">
      <c r="A2057" t="s">
        <v>517</v>
      </c>
      <c r="B2057" t="s">
        <v>19</v>
      </c>
      <c r="C2057" t="s">
        <v>397</v>
      </c>
      <c r="D2057">
        <v>510</v>
      </c>
      <c r="E2057">
        <v>324.33100000000002</v>
      </c>
      <c r="F2057">
        <v>629.85</v>
      </c>
      <c r="G2057">
        <v>1940879</v>
      </c>
      <c r="H2057" t="s">
        <v>676</v>
      </c>
    </row>
    <row r="2058" spans="1:8" x14ac:dyDescent="0.25">
      <c r="A2058" t="s">
        <v>517</v>
      </c>
      <c r="B2058" t="s">
        <v>19</v>
      </c>
      <c r="C2058" t="s">
        <v>397</v>
      </c>
      <c r="D2058">
        <v>2</v>
      </c>
      <c r="E2058">
        <v>1.272</v>
      </c>
      <c r="F2058">
        <v>2.4700000000000002</v>
      </c>
      <c r="G2058">
        <v>1940879</v>
      </c>
      <c r="H2058" t="s">
        <v>676</v>
      </c>
    </row>
    <row r="2059" spans="1:8" x14ac:dyDescent="0.25">
      <c r="A2059" t="s">
        <v>5999</v>
      </c>
      <c r="B2059" t="s">
        <v>36</v>
      </c>
      <c r="C2059" t="s">
        <v>397</v>
      </c>
      <c r="D2059">
        <v>2504</v>
      </c>
      <c r="E2059">
        <v>1554.6569999999999</v>
      </c>
      <c r="F2059">
        <v>1552.48</v>
      </c>
      <c r="G2059">
        <v>2397073</v>
      </c>
      <c r="H2059" t="s">
        <v>1617</v>
      </c>
    </row>
    <row r="2060" spans="1:8" x14ac:dyDescent="0.25">
      <c r="A2060" t="s">
        <v>5999</v>
      </c>
      <c r="B2060" t="s">
        <v>36</v>
      </c>
      <c r="C2060" t="s">
        <v>397</v>
      </c>
      <c r="D2060">
        <v>2496</v>
      </c>
      <c r="E2060">
        <v>1549.69</v>
      </c>
      <c r="F2060">
        <v>1547.52</v>
      </c>
      <c r="G2060">
        <v>2397073</v>
      </c>
      <c r="H2060" t="s">
        <v>1617</v>
      </c>
    </row>
    <row r="2061" spans="1:8" x14ac:dyDescent="0.25">
      <c r="A2061" t="s">
        <v>5968</v>
      </c>
      <c r="B2061" t="s">
        <v>32</v>
      </c>
      <c r="C2061" t="s">
        <v>397</v>
      </c>
      <c r="D2061">
        <v>2321</v>
      </c>
      <c r="E2061">
        <v>965.71199999999999</v>
      </c>
      <c r="F2061">
        <v>1566.675</v>
      </c>
      <c r="G2061">
        <v>3731691</v>
      </c>
      <c r="H2061" t="s">
        <v>1690</v>
      </c>
    </row>
    <row r="2062" spans="1:8" x14ac:dyDescent="0.25">
      <c r="A2062" t="s">
        <v>5968</v>
      </c>
      <c r="B2062" t="s">
        <v>32</v>
      </c>
      <c r="C2062" t="s">
        <v>397</v>
      </c>
      <c r="D2062">
        <v>29</v>
      </c>
      <c r="E2062">
        <v>12.066000000000001</v>
      </c>
      <c r="F2062">
        <v>19.574999999999999</v>
      </c>
      <c r="G2062">
        <v>3731691</v>
      </c>
      <c r="H2062" t="s">
        <v>1690</v>
      </c>
    </row>
    <row r="2063" spans="1:8" x14ac:dyDescent="0.25">
      <c r="A2063" t="s">
        <v>415</v>
      </c>
      <c r="B2063" t="s">
        <v>9</v>
      </c>
      <c r="C2063" t="s">
        <v>397</v>
      </c>
      <c r="D2063">
        <v>2360</v>
      </c>
      <c r="E2063">
        <v>3009.0250000000001</v>
      </c>
      <c r="F2063">
        <v>1528.2840000000001</v>
      </c>
      <c r="G2063">
        <v>3409367</v>
      </c>
      <c r="H2063" t="s">
        <v>667</v>
      </c>
    </row>
    <row r="2064" spans="1:8" x14ac:dyDescent="0.25">
      <c r="A2064" t="s">
        <v>415</v>
      </c>
      <c r="B2064" t="s">
        <v>9</v>
      </c>
      <c r="C2064" t="s">
        <v>397</v>
      </c>
      <c r="D2064">
        <v>680</v>
      </c>
      <c r="E2064">
        <v>867.00699999999995</v>
      </c>
      <c r="F2064">
        <v>440.35300000000001</v>
      </c>
      <c r="G2064">
        <v>3409367</v>
      </c>
      <c r="H2064" t="s">
        <v>667</v>
      </c>
    </row>
    <row r="2065" spans="1:8" x14ac:dyDescent="0.25">
      <c r="A2065" t="s">
        <v>415</v>
      </c>
      <c r="B2065" t="s">
        <v>9</v>
      </c>
      <c r="C2065" t="s">
        <v>397</v>
      </c>
      <c r="D2065">
        <v>270</v>
      </c>
      <c r="E2065">
        <v>344.25299999999999</v>
      </c>
      <c r="F2065">
        <v>174.846</v>
      </c>
      <c r="G2065">
        <v>3409367</v>
      </c>
      <c r="H2065" t="s">
        <v>667</v>
      </c>
    </row>
    <row r="2066" spans="1:8" x14ac:dyDescent="0.25">
      <c r="A2066" t="s">
        <v>415</v>
      </c>
      <c r="B2066" t="s">
        <v>9</v>
      </c>
      <c r="C2066" t="s">
        <v>397</v>
      </c>
      <c r="D2066">
        <v>90</v>
      </c>
      <c r="E2066">
        <v>114.751</v>
      </c>
      <c r="F2066">
        <v>58.281999999999996</v>
      </c>
      <c r="G2066">
        <v>3409367</v>
      </c>
      <c r="H2066" t="s">
        <v>667</v>
      </c>
    </row>
    <row r="2067" spans="1:8" x14ac:dyDescent="0.25">
      <c r="A2067" t="s">
        <v>415</v>
      </c>
      <c r="B2067" t="s">
        <v>9</v>
      </c>
      <c r="C2067" t="s">
        <v>397</v>
      </c>
      <c r="D2067">
        <v>88</v>
      </c>
      <c r="E2067">
        <v>227.98500000000001</v>
      </c>
      <c r="F2067">
        <v>214.19200000000001</v>
      </c>
      <c r="G2067">
        <v>2409618</v>
      </c>
      <c r="H2067" t="s">
        <v>469</v>
      </c>
    </row>
    <row r="2068" spans="1:8" x14ac:dyDescent="0.25">
      <c r="A2068" t="s">
        <v>415</v>
      </c>
      <c r="B2068" t="s">
        <v>9</v>
      </c>
      <c r="C2068" t="s">
        <v>397</v>
      </c>
      <c r="D2068">
        <v>220</v>
      </c>
      <c r="E2068">
        <v>569.96299999999997</v>
      </c>
      <c r="F2068">
        <v>535.48</v>
      </c>
      <c r="G2068">
        <v>2409618</v>
      </c>
      <c r="H2068" t="s">
        <v>469</v>
      </c>
    </row>
    <row r="2069" spans="1:8" x14ac:dyDescent="0.25">
      <c r="A2069" t="s">
        <v>415</v>
      </c>
      <c r="B2069" t="s">
        <v>9</v>
      </c>
      <c r="C2069" t="s">
        <v>397</v>
      </c>
      <c r="D2069">
        <v>2</v>
      </c>
      <c r="E2069">
        <v>5.181</v>
      </c>
      <c r="F2069">
        <v>4.8680000000000003</v>
      </c>
      <c r="G2069">
        <v>2409618</v>
      </c>
      <c r="H2069" t="s">
        <v>469</v>
      </c>
    </row>
    <row r="2070" spans="1:8" x14ac:dyDescent="0.25">
      <c r="A2070" t="s">
        <v>415</v>
      </c>
      <c r="B2070" t="s">
        <v>9</v>
      </c>
      <c r="C2070" t="s">
        <v>397</v>
      </c>
      <c r="D2070">
        <v>1586</v>
      </c>
      <c r="E2070">
        <v>1815.9839999999999</v>
      </c>
      <c r="F2070">
        <v>959.28300000000002</v>
      </c>
      <c r="G2070">
        <v>4110464</v>
      </c>
      <c r="H2070" t="s">
        <v>477</v>
      </c>
    </row>
    <row r="2071" spans="1:8" x14ac:dyDescent="0.25">
      <c r="A2071" t="s">
        <v>415</v>
      </c>
      <c r="B2071" t="s">
        <v>9</v>
      </c>
      <c r="C2071" t="s">
        <v>397</v>
      </c>
      <c r="D2071">
        <v>414</v>
      </c>
      <c r="E2071">
        <v>474.03399999999999</v>
      </c>
      <c r="F2071">
        <v>250.40600000000001</v>
      </c>
      <c r="G2071">
        <v>4110464</v>
      </c>
      <c r="H2071" t="s">
        <v>477</v>
      </c>
    </row>
    <row r="2072" spans="1:8" x14ac:dyDescent="0.25">
      <c r="A2072" t="s">
        <v>453</v>
      </c>
      <c r="B2072" t="s">
        <v>60</v>
      </c>
      <c r="C2072" t="s">
        <v>397</v>
      </c>
      <c r="D2072">
        <v>1500</v>
      </c>
      <c r="E2072">
        <v>1965.5830000000001</v>
      </c>
      <c r="F2072">
        <v>2164.5</v>
      </c>
      <c r="G2072">
        <v>1940801</v>
      </c>
      <c r="H2072" t="s">
        <v>478</v>
      </c>
    </row>
    <row r="2073" spans="1:8" x14ac:dyDescent="0.25">
      <c r="A2073" t="s">
        <v>453</v>
      </c>
      <c r="B2073" t="s">
        <v>60</v>
      </c>
      <c r="C2073" t="s">
        <v>397</v>
      </c>
      <c r="D2073">
        <v>500</v>
      </c>
      <c r="E2073">
        <v>623.41099999999994</v>
      </c>
      <c r="F2073">
        <v>686.5</v>
      </c>
      <c r="G2073">
        <v>3233554</v>
      </c>
      <c r="H2073" t="s">
        <v>480</v>
      </c>
    </row>
    <row r="2074" spans="1:8" x14ac:dyDescent="0.25">
      <c r="A2074" t="s">
        <v>453</v>
      </c>
      <c r="B2074" t="s">
        <v>60</v>
      </c>
      <c r="C2074" t="s">
        <v>397</v>
      </c>
      <c r="D2074">
        <v>2000</v>
      </c>
      <c r="E2074">
        <v>2241.1909999999998</v>
      </c>
      <c r="F2074">
        <v>2468</v>
      </c>
      <c r="G2074">
        <v>3233555</v>
      </c>
      <c r="H2074" t="s">
        <v>482</v>
      </c>
    </row>
    <row r="2075" spans="1:8" x14ac:dyDescent="0.25">
      <c r="A2075" t="s">
        <v>453</v>
      </c>
      <c r="B2075" t="s">
        <v>60</v>
      </c>
      <c r="C2075" t="s">
        <v>397</v>
      </c>
      <c r="D2075">
        <v>2000</v>
      </c>
      <c r="E2075">
        <v>1720.981</v>
      </c>
      <c r="F2075">
        <v>1880</v>
      </c>
      <c r="G2075">
        <v>3572051</v>
      </c>
      <c r="H2075" t="s">
        <v>484</v>
      </c>
    </row>
    <row r="2076" spans="1:8" x14ac:dyDescent="0.25">
      <c r="A2076" t="s">
        <v>453</v>
      </c>
      <c r="B2076" t="s">
        <v>60</v>
      </c>
      <c r="C2076" t="s">
        <v>397</v>
      </c>
      <c r="D2076">
        <v>1000</v>
      </c>
      <c r="E2076">
        <v>754.99400000000003</v>
      </c>
      <c r="F2076">
        <v>824.75599999999997</v>
      </c>
      <c r="G2076">
        <v>4151472</v>
      </c>
      <c r="H2076" t="s">
        <v>488</v>
      </c>
    </row>
    <row r="2077" spans="1:8" x14ac:dyDescent="0.25">
      <c r="A2077" t="s">
        <v>453</v>
      </c>
      <c r="B2077" t="s">
        <v>60</v>
      </c>
      <c r="C2077" t="s">
        <v>397</v>
      </c>
      <c r="D2077">
        <v>1000</v>
      </c>
      <c r="E2077">
        <v>120.777</v>
      </c>
      <c r="F2077">
        <v>133</v>
      </c>
      <c r="G2077">
        <v>3233559</v>
      </c>
      <c r="H2077" t="s">
        <v>490</v>
      </c>
    </row>
    <row r="2078" spans="1:8" x14ac:dyDescent="0.25">
      <c r="A2078" t="s">
        <v>453</v>
      </c>
      <c r="B2078" t="s">
        <v>60</v>
      </c>
      <c r="C2078" t="s">
        <v>397</v>
      </c>
      <c r="D2078">
        <v>1000</v>
      </c>
      <c r="E2078">
        <v>110.765</v>
      </c>
      <c r="F2078">
        <v>121</v>
      </c>
      <c r="G2078">
        <v>3572047</v>
      </c>
      <c r="H2078" t="s">
        <v>492</v>
      </c>
    </row>
    <row r="2079" spans="1:8" x14ac:dyDescent="0.25">
      <c r="A2079" t="s">
        <v>453</v>
      </c>
      <c r="B2079" t="s">
        <v>60</v>
      </c>
      <c r="C2079" t="s">
        <v>397</v>
      </c>
      <c r="D2079">
        <v>1000</v>
      </c>
      <c r="E2079">
        <v>794.99099999999999</v>
      </c>
      <c r="F2079">
        <v>439.78899999999999</v>
      </c>
      <c r="G2079">
        <v>4151429</v>
      </c>
      <c r="H2079" t="s">
        <v>494</v>
      </c>
    </row>
    <row r="2080" spans="1:8" x14ac:dyDescent="0.25">
      <c r="A2080" t="s">
        <v>453</v>
      </c>
      <c r="B2080" t="s">
        <v>60</v>
      </c>
      <c r="C2080" t="s">
        <v>397</v>
      </c>
      <c r="D2080">
        <v>1000</v>
      </c>
      <c r="E2080">
        <v>469.99400000000003</v>
      </c>
      <c r="F2080">
        <v>256.10000000000002</v>
      </c>
      <c r="G2080">
        <v>3230488</v>
      </c>
      <c r="H2080" t="s">
        <v>496</v>
      </c>
    </row>
    <row r="2081" spans="1:8" x14ac:dyDescent="0.25">
      <c r="A2081" t="s">
        <v>453</v>
      </c>
      <c r="B2081" t="s">
        <v>60</v>
      </c>
      <c r="C2081" t="s">
        <v>397</v>
      </c>
      <c r="D2081">
        <v>4000</v>
      </c>
      <c r="E2081">
        <v>1597.9749999999999</v>
      </c>
      <c r="F2081">
        <v>884</v>
      </c>
      <c r="G2081">
        <v>3230487</v>
      </c>
      <c r="H2081" t="s">
        <v>498</v>
      </c>
    </row>
    <row r="2082" spans="1:8" x14ac:dyDescent="0.25">
      <c r="A2082" t="s">
        <v>453</v>
      </c>
      <c r="B2082" t="s">
        <v>60</v>
      </c>
      <c r="C2082" t="s">
        <v>397</v>
      </c>
      <c r="D2082">
        <v>2000</v>
      </c>
      <c r="E2082">
        <v>199.99600000000001</v>
      </c>
      <c r="F2082">
        <v>109</v>
      </c>
      <c r="G2082">
        <v>3931834</v>
      </c>
      <c r="H2082" t="s">
        <v>500</v>
      </c>
    </row>
    <row r="2083" spans="1:8" x14ac:dyDescent="0.25">
      <c r="A2083" t="s">
        <v>453</v>
      </c>
      <c r="B2083" t="s">
        <v>60</v>
      </c>
      <c r="C2083" t="s">
        <v>397</v>
      </c>
      <c r="D2083">
        <v>1000</v>
      </c>
      <c r="E2083">
        <v>115.006</v>
      </c>
      <c r="F2083">
        <v>62.667000000000002</v>
      </c>
      <c r="G2083">
        <v>4151428</v>
      </c>
      <c r="H2083" t="s">
        <v>504</v>
      </c>
    </row>
    <row r="2084" spans="1:8" x14ac:dyDescent="0.25">
      <c r="A2084" t="s">
        <v>453</v>
      </c>
      <c r="B2084" t="s">
        <v>60</v>
      </c>
      <c r="C2084" t="s">
        <v>397</v>
      </c>
      <c r="D2084">
        <v>1000</v>
      </c>
      <c r="E2084">
        <v>962.99</v>
      </c>
      <c r="F2084">
        <v>524.73299999999995</v>
      </c>
      <c r="G2084">
        <v>4151427</v>
      </c>
      <c r="H2084" t="s">
        <v>509</v>
      </c>
    </row>
    <row r="2085" spans="1:8" x14ac:dyDescent="0.25">
      <c r="A2085" t="s">
        <v>453</v>
      </c>
      <c r="B2085" t="s">
        <v>60</v>
      </c>
      <c r="C2085" t="s">
        <v>397</v>
      </c>
      <c r="D2085">
        <v>1000</v>
      </c>
      <c r="E2085">
        <v>755.00099999999998</v>
      </c>
      <c r="F2085">
        <v>411.4</v>
      </c>
      <c r="G2085">
        <v>4151426</v>
      </c>
      <c r="H2085" t="s">
        <v>511</v>
      </c>
    </row>
    <row r="2086" spans="1:8" x14ac:dyDescent="0.25">
      <c r="A2086" t="s">
        <v>453</v>
      </c>
      <c r="B2086" t="s">
        <v>60</v>
      </c>
      <c r="C2086" t="s">
        <v>397</v>
      </c>
      <c r="D2086">
        <v>1000</v>
      </c>
      <c r="E2086">
        <v>356.11</v>
      </c>
      <c r="F2086">
        <v>197</v>
      </c>
      <c r="G2086">
        <v>3230490</v>
      </c>
      <c r="H2086" t="s">
        <v>515</v>
      </c>
    </row>
    <row r="2087" spans="1:8" x14ac:dyDescent="0.25">
      <c r="A2087" t="s">
        <v>453</v>
      </c>
      <c r="B2087" t="s">
        <v>60</v>
      </c>
      <c r="C2087" t="s">
        <v>397</v>
      </c>
      <c r="D2087">
        <v>1000</v>
      </c>
      <c r="E2087">
        <v>1303.991</v>
      </c>
      <c r="F2087">
        <v>710.54399999999998</v>
      </c>
      <c r="G2087">
        <v>3572039</v>
      </c>
      <c r="H2087" t="s">
        <v>519</v>
      </c>
    </row>
    <row r="2088" spans="1:8" x14ac:dyDescent="0.25">
      <c r="A2088" t="s">
        <v>453</v>
      </c>
      <c r="B2088" t="s">
        <v>60</v>
      </c>
      <c r="C2088" t="s">
        <v>397</v>
      </c>
      <c r="D2088">
        <v>500</v>
      </c>
      <c r="E2088">
        <v>622.99900000000002</v>
      </c>
      <c r="F2088">
        <v>339.47199999999998</v>
      </c>
      <c r="G2088">
        <v>3572038</v>
      </c>
      <c r="H2088" t="s">
        <v>521</v>
      </c>
    </row>
    <row r="2089" spans="1:8" x14ac:dyDescent="0.25">
      <c r="A2089" t="s">
        <v>453</v>
      </c>
      <c r="B2089" t="s">
        <v>60</v>
      </c>
      <c r="C2089" t="s">
        <v>397</v>
      </c>
      <c r="D2089">
        <v>1000</v>
      </c>
      <c r="E2089">
        <v>835</v>
      </c>
      <c r="F2089">
        <v>461.92200000000003</v>
      </c>
      <c r="G2089">
        <v>4151425</v>
      </c>
      <c r="H2089" t="s">
        <v>523</v>
      </c>
    </row>
    <row r="2090" spans="1:8" x14ac:dyDescent="0.25">
      <c r="A2090" t="s">
        <v>453</v>
      </c>
      <c r="B2090" t="s">
        <v>60</v>
      </c>
      <c r="C2090" t="s">
        <v>397</v>
      </c>
      <c r="D2090">
        <v>1000</v>
      </c>
      <c r="E2090">
        <v>539.99699999999996</v>
      </c>
      <c r="F2090">
        <v>294.24400000000003</v>
      </c>
      <c r="G2090">
        <v>3571870</v>
      </c>
      <c r="H2090" t="s">
        <v>525</v>
      </c>
    </row>
    <row r="2091" spans="1:8" x14ac:dyDescent="0.25">
      <c r="A2091" t="s">
        <v>453</v>
      </c>
      <c r="B2091" t="s">
        <v>60</v>
      </c>
      <c r="C2091" t="s">
        <v>397</v>
      </c>
      <c r="D2091">
        <v>1000</v>
      </c>
      <c r="E2091">
        <v>110.008</v>
      </c>
      <c r="F2091">
        <v>59.956000000000003</v>
      </c>
      <c r="G2091">
        <v>3931835</v>
      </c>
      <c r="H2091" t="s">
        <v>527</v>
      </c>
    </row>
    <row r="2092" spans="1:8" x14ac:dyDescent="0.25">
      <c r="A2092" t="s">
        <v>453</v>
      </c>
      <c r="B2092" t="s">
        <v>60</v>
      </c>
      <c r="C2092" t="s">
        <v>397</v>
      </c>
      <c r="D2092">
        <v>1000</v>
      </c>
      <c r="E2092">
        <v>639.99800000000005</v>
      </c>
      <c r="F2092">
        <v>578.87800000000004</v>
      </c>
      <c r="G2092">
        <v>4151430</v>
      </c>
      <c r="H2092" t="s">
        <v>530</v>
      </c>
    </row>
    <row r="2093" spans="1:8" x14ac:dyDescent="0.25">
      <c r="A2093" t="s">
        <v>453</v>
      </c>
      <c r="B2093" t="s">
        <v>60</v>
      </c>
      <c r="C2093" t="s">
        <v>397</v>
      </c>
      <c r="D2093">
        <v>500</v>
      </c>
      <c r="E2093">
        <v>615.00400000000002</v>
      </c>
      <c r="F2093">
        <v>324.87200000000001</v>
      </c>
      <c r="G2093">
        <v>3929692</v>
      </c>
      <c r="H2093" t="s">
        <v>533</v>
      </c>
    </row>
    <row r="2094" spans="1:8" x14ac:dyDescent="0.25">
      <c r="A2094" t="s">
        <v>453</v>
      </c>
      <c r="B2094" t="s">
        <v>60</v>
      </c>
      <c r="C2094" t="s">
        <v>397</v>
      </c>
      <c r="D2094">
        <v>3000</v>
      </c>
      <c r="E2094">
        <v>599.97500000000002</v>
      </c>
      <c r="F2094">
        <v>316.93299999999999</v>
      </c>
      <c r="G2094">
        <v>3929691</v>
      </c>
      <c r="H2094" t="s">
        <v>535</v>
      </c>
    </row>
    <row r="2095" spans="1:8" x14ac:dyDescent="0.25">
      <c r="A2095" t="s">
        <v>453</v>
      </c>
      <c r="B2095" t="s">
        <v>60</v>
      </c>
      <c r="C2095" t="s">
        <v>397</v>
      </c>
      <c r="D2095">
        <v>1000</v>
      </c>
      <c r="E2095">
        <v>150</v>
      </c>
      <c r="F2095">
        <v>65.167000000000002</v>
      </c>
      <c r="G2095">
        <v>4104140</v>
      </c>
      <c r="H2095" t="s">
        <v>502</v>
      </c>
    </row>
    <row r="2096" spans="1:8" x14ac:dyDescent="0.25">
      <c r="A2096" t="s">
        <v>453</v>
      </c>
      <c r="B2096" t="s">
        <v>60</v>
      </c>
      <c r="C2096" t="s">
        <v>397</v>
      </c>
      <c r="D2096">
        <v>2000</v>
      </c>
      <c r="E2096">
        <v>317.35199999999998</v>
      </c>
      <c r="F2096">
        <v>466</v>
      </c>
      <c r="G2096">
        <v>3572055</v>
      </c>
      <c r="H2096" t="s">
        <v>542</v>
      </c>
    </row>
    <row r="2097" spans="1:8" x14ac:dyDescent="0.25">
      <c r="A2097" t="s">
        <v>453</v>
      </c>
      <c r="B2097" t="s">
        <v>60</v>
      </c>
      <c r="C2097" t="s">
        <v>397</v>
      </c>
      <c r="D2097">
        <v>1000</v>
      </c>
      <c r="E2097">
        <v>115</v>
      </c>
      <c r="F2097">
        <v>168.86699999999999</v>
      </c>
      <c r="G2097">
        <v>4151471</v>
      </c>
      <c r="H2097" t="s">
        <v>544</v>
      </c>
    </row>
    <row r="2098" spans="1:8" x14ac:dyDescent="0.25">
      <c r="A2098" t="s">
        <v>453</v>
      </c>
      <c r="B2098" t="s">
        <v>60</v>
      </c>
      <c r="C2098" t="s">
        <v>397</v>
      </c>
      <c r="D2098">
        <v>1000</v>
      </c>
      <c r="E2098">
        <v>190</v>
      </c>
      <c r="F2098">
        <v>207.55600000000001</v>
      </c>
      <c r="G2098">
        <v>4151424</v>
      </c>
      <c r="H2098" t="s">
        <v>550</v>
      </c>
    </row>
    <row r="2099" spans="1:8" x14ac:dyDescent="0.25">
      <c r="A2099" t="s">
        <v>453</v>
      </c>
      <c r="B2099" t="s">
        <v>60</v>
      </c>
      <c r="C2099" t="s">
        <v>397</v>
      </c>
      <c r="D2099">
        <v>500</v>
      </c>
      <c r="E2099">
        <v>503.50700000000001</v>
      </c>
      <c r="F2099">
        <v>274.41699999999997</v>
      </c>
      <c r="G2099">
        <v>4100796</v>
      </c>
      <c r="H2099" t="s">
        <v>552</v>
      </c>
    </row>
    <row r="2100" spans="1:8" x14ac:dyDescent="0.25">
      <c r="A2100" t="s">
        <v>453</v>
      </c>
      <c r="B2100" t="s">
        <v>60</v>
      </c>
      <c r="C2100" t="s">
        <v>397</v>
      </c>
      <c r="D2100">
        <v>1000</v>
      </c>
      <c r="E2100">
        <v>129.00899999999999</v>
      </c>
      <c r="F2100">
        <v>70.311000000000007</v>
      </c>
      <c r="G2100">
        <v>3938687</v>
      </c>
      <c r="H2100" t="s">
        <v>554</v>
      </c>
    </row>
    <row r="2101" spans="1:8" x14ac:dyDescent="0.25">
      <c r="A2101" t="s">
        <v>453</v>
      </c>
      <c r="B2101" t="s">
        <v>60</v>
      </c>
      <c r="C2101" t="s">
        <v>397</v>
      </c>
      <c r="D2101">
        <v>500</v>
      </c>
      <c r="E2101">
        <v>164.995</v>
      </c>
      <c r="F2101">
        <v>87.183000000000007</v>
      </c>
      <c r="G2101">
        <v>3935313</v>
      </c>
      <c r="H2101" t="s">
        <v>560</v>
      </c>
    </row>
    <row r="2102" spans="1:8" x14ac:dyDescent="0.25">
      <c r="A2102" t="s">
        <v>6015</v>
      </c>
      <c r="B2102" t="s">
        <v>65</v>
      </c>
      <c r="C2102" t="s">
        <v>397</v>
      </c>
      <c r="D2102">
        <v>1024</v>
      </c>
      <c r="E2102">
        <v>584.52800000000002</v>
      </c>
      <c r="F2102">
        <v>1084.4159999999999</v>
      </c>
      <c r="G2102">
        <v>3781648</v>
      </c>
      <c r="H2102" t="s">
        <v>1755</v>
      </c>
    </row>
    <row r="2103" spans="1:8" x14ac:dyDescent="0.25">
      <c r="A2103" t="s">
        <v>6015</v>
      </c>
      <c r="B2103" t="s">
        <v>65</v>
      </c>
      <c r="C2103" t="s">
        <v>397</v>
      </c>
      <c r="D2103">
        <v>1100</v>
      </c>
      <c r="E2103">
        <v>627.91099999999994</v>
      </c>
      <c r="F2103">
        <v>1164.9000000000001</v>
      </c>
      <c r="G2103">
        <v>3781648</v>
      </c>
      <c r="H2103" t="s">
        <v>1755</v>
      </c>
    </row>
    <row r="2104" spans="1:8" x14ac:dyDescent="0.25">
      <c r="A2104" t="s">
        <v>6015</v>
      </c>
      <c r="B2104" t="s">
        <v>65</v>
      </c>
      <c r="C2104" t="s">
        <v>397</v>
      </c>
      <c r="D2104">
        <v>376</v>
      </c>
      <c r="E2104">
        <v>214.631</v>
      </c>
      <c r="F2104">
        <v>398.18400000000003</v>
      </c>
      <c r="G2104">
        <v>3781648</v>
      </c>
      <c r="H2104" t="s">
        <v>1755</v>
      </c>
    </row>
    <row r="2105" spans="1:8" x14ac:dyDescent="0.25">
      <c r="A2105" t="s">
        <v>6018</v>
      </c>
      <c r="B2105" t="s">
        <v>21</v>
      </c>
      <c r="C2105" t="s">
        <v>397</v>
      </c>
      <c r="D2105">
        <v>1150</v>
      </c>
      <c r="E2105">
        <v>630.15599999999995</v>
      </c>
      <c r="F2105">
        <v>530.15</v>
      </c>
      <c r="G2105">
        <v>3676836</v>
      </c>
      <c r="H2105" t="s">
        <v>1367</v>
      </c>
    </row>
    <row r="2106" spans="1:8" x14ac:dyDescent="0.25">
      <c r="A2106" t="s">
        <v>6018</v>
      </c>
      <c r="B2106" t="s">
        <v>21</v>
      </c>
      <c r="C2106" t="s">
        <v>397</v>
      </c>
      <c r="D2106">
        <v>7000</v>
      </c>
      <c r="E2106">
        <v>2251.9650000000001</v>
      </c>
      <c r="F2106">
        <v>1834</v>
      </c>
      <c r="G2106">
        <v>3868655</v>
      </c>
      <c r="H2106" t="s">
        <v>1509</v>
      </c>
    </row>
    <row r="2107" spans="1:8" x14ac:dyDescent="0.25">
      <c r="A2107" t="s">
        <v>6018</v>
      </c>
      <c r="B2107" t="s">
        <v>21</v>
      </c>
      <c r="C2107" t="s">
        <v>397</v>
      </c>
      <c r="D2107">
        <v>860</v>
      </c>
      <c r="E2107">
        <v>906.44799999999998</v>
      </c>
      <c r="F2107">
        <v>1364.4760000000001</v>
      </c>
      <c r="G2107">
        <v>3605736</v>
      </c>
      <c r="H2107" t="s">
        <v>1698</v>
      </c>
    </row>
    <row r="2108" spans="1:8" x14ac:dyDescent="0.25">
      <c r="A2108" t="s">
        <v>6018</v>
      </c>
      <c r="B2108" t="s">
        <v>21</v>
      </c>
      <c r="C2108" t="s">
        <v>397</v>
      </c>
      <c r="D2108">
        <v>600</v>
      </c>
      <c r="E2108">
        <v>632.40599999999995</v>
      </c>
      <c r="F2108">
        <v>951.96</v>
      </c>
      <c r="G2108">
        <v>3605736</v>
      </c>
      <c r="H2108" t="s">
        <v>1698</v>
      </c>
    </row>
    <row r="2109" spans="1:8" x14ac:dyDescent="0.25">
      <c r="A2109" t="s">
        <v>6018</v>
      </c>
      <c r="B2109" t="s">
        <v>21</v>
      </c>
      <c r="C2109" t="s">
        <v>397</v>
      </c>
      <c r="D2109">
        <v>560</v>
      </c>
      <c r="E2109">
        <v>590.245</v>
      </c>
      <c r="F2109">
        <v>888.49599999999998</v>
      </c>
      <c r="G2109">
        <v>3605736</v>
      </c>
      <c r="H2109" t="s">
        <v>1698</v>
      </c>
    </row>
    <row r="2110" spans="1:8" x14ac:dyDescent="0.25">
      <c r="A2110" t="s">
        <v>6018</v>
      </c>
      <c r="B2110" t="s">
        <v>21</v>
      </c>
      <c r="C2110" t="s">
        <v>397</v>
      </c>
      <c r="D2110">
        <v>480</v>
      </c>
      <c r="E2110">
        <v>505.92399999999998</v>
      </c>
      <c r="F2110">
        <v>761.56799999999998</v>
      </c>
      <c r="G2110">
        <v>3605736</v>
      </c>
      <c r="H2110" t="s">
        <v>1698</v>
      </c>
    </row>
    <row r="2111" spans="1:8" x14ac:dyDescent="0.25">
      <c r="A2111" t="s">
        <v>6018</v>
      </c>
      <c r="B2111" t="s">
        <v>21</v>
      </c>
      <c r="C2111" t="s">
        <v>397</v>
      </c>
      <c r="D2111">
        <v>960</v>
      </c>
      <c r="E2111">
        <v>176.74100000000001</v>
      </c>
      <c r="F2111">
        <v>670.08</v>
      </c>
      <c r="G2111">
        <v>1940868</v>
      </c>
      <c r="H2111" t="s">
        <v>1715</v>
      </c>
    </row>
    <row r="2112" spans="1:8" x14ac:dyDescent="0.25">
      <c r="A2112" t="s">
        <v>6018</v>
      </c>
      <c r="B2112" t="s">
        <v>21</v>
      </c>
      <c r="C2112" t="s">
        <v>397</v>
      </c>
      <c r="D2112">
        <v>840</v>
      </c>
      <c r="E2112">
        <v>619.11099999999999</v>
      </c>
      <c r="F2112">
        <v>1071</v>
      </c>
      <c r="G2112">
        <v>1932730</v>
      </c>
      <c r="H2112" t="s">
        <v>1738</v>
      </c>
    </row>
    <row r="2113" spans="1:8" x14ac:dyDescent="0.25">
      <c r="A2113" t="s">
        <v>6018</v>
      </c>
      <c r="B2113" t="s">
        <v>21</v>
      </c>
      <c r="C2113" t="s">
        <v>397</v>
      </c>
      <c r="D2113">
        <v>840</v>
      </c>
      <c r="E2113">
        <v>619.11099999999999</v>
      </c>
      <c r="F2113">
        <v>1071</v>
      </c>
      <c r="G2113">
        <v>1932730</v>
      </c>
      <c r="H2113" t="s">
        <v>1738</v>
      </c>
    </row>
    <row r="2114" spans="1:8" x14ac:dyDescent="0.25">
      <c r="A2114" t="s">
        <v>6018</v>
      </c>
      <c r="B2114" t="s">
        <v>21</v>
      </c>
      <c r="C2114" t="s">
        <v>397</v>
      </c>
      <c r="D2114">
        <v>620</v>
      </c>
      <c r="E2114">
        <v>456.96300000000002</v>
      </c>
      <c r="F2114">
        <v>790.5</v>
      </c>
      <c r="G2114">
        <v>1932730</v>
      </c>
      <c r="H2114" t="s">
        <v>1738</v>
      </c>
    </row>
    <row r="2115" spans="1:8" x14ac:dyDescent="0.25">
      <c r="A2115" t="s">
        <v>6018</v>
      </c>
      <c r="B2115" t="s">
        <v>21</v>
      </c>
      <c r="C2115" t="s">
        <v>397</v>
      </c>
      <c r="D2115">
        <v>1875</v>
      </c>
      <c r="E2115">
        <v>1119.3420000000001</v>
      </c>
      <c r="F2115">
        <v>2173.875</v>
      </c>
      <c r="G2115">
        <v>3676838</v>
      </c>
      <c r="H2115" t="s">
        <v>1728</v>
      </c>
    </row>
    <row r="2116" spans="1:8" x14ac:dyDescent="0.25">
      <c r="A2116" t="s">
        <v>6018</v>
      </c>
      <c r="B2116" t="s">
        <v>21</v>
      </c>
      <c r="C2116" t="s">
        <v>397</v>
      </c>
      <c r="D2116">
        <v>615</v>
      </c>
      <c r="E2116">
        <v>367.14400000000001</v>
      </c>
      <c r="F2116">
        <v>713.03099999999995</v>
      </c>
      <c r="G2116">
        <v>3676838</v>
      </c>
      <c r="H2116" t="s">
        <v>1728</v>
      </c>
    </row>
    <row r="2117" spans="1:8" x14ac:dyDescent="0.25">
      <c r="A2117" t="s">
        <v>5966</v>
      </c>
      <c r="B2117" t="s">
        <v>37</v>
      </c>
      <c r="C2117" t="s">
        <v>392</v>
      </c>
      <c r="D2117">
        <v>134</v>
      </c>
      <c r="E2117">
        <v>806.39099999999996</v>
      </c>
      <c r="F2117">
        <v>1928</v>
      </c>
      <c r="G2117">
        <v>3994149</v>
      </c>
      <c r="H2117" t="s">
        <v>2395</v>
      </c>
    </row>
    <row r="2118" spans="1:8" x14ac:dyDescent="0.25">
      <c r="A2118" t="s">
        <v>5966</v>
      </c>
      <c r="B2118" t="s">
        <v>37</v>
      </c>
      <c r="C2118" t="s">
        <v>392</v>
      </c>
      <c r="D2118">
        <v>143</v>
      </c>
      <c r="E2118">
        <v>857.83600000000001</v>
      </c>
      <c r="F2118">
        <v>2051</v>
      </c>
      <c r="G2118">
        <v>3994149</v>
      </c>
      <c r="H2118" t="s">
        <v>2395</v>
      </c>
    </row>
    <row r="2119" spans="1:8" x14ac:dyDescent="0.25">
      <c r="A2119" t="s">
        <v>5966</v>
      </c>
      <c r="B2119" t="s">
        <v>37</v>
      </c>
      <c r="C2119" t="s">
        <v>392</v>
      </c>
      <c r="D2119">
        <v>29</v>
      </c>
      <c r="E2119">
        <v>176.084</v>
      </c>
      <c r="F2119">
        <v>421</v>
      </c>
      <c r="G2119">
        <v>3994149</v>
      </c>
      <c r="H2119" t="s">
        <v>2395</v>
      </c>
    </row>
    <row r="2120" spans="1:8" x14ac:dyDescent="0.25">
      <c r="A2120" t="s">
        <v>5966</v>
      </c>
      <c r="B2120" t="s">
        <v>37</v>
      </c>
      <c r="C2120" t="s">
        <v>392</v>
      </c>
      <c r="D2120">
        <v>282</v>
      </c>
      <c r="E2120">
        <v>1493.9760000000001</v>
      </c>
      <c r="F2120">
        <v>930</v>
      </c>
      <c r="G2120">
        <v>3929640</v>
      </c>
      <c r="H2120" t="s">
        <v>6041</v>
      </c>
    </row>
    <row r="2121" spans="1:8" x14ac:dyDescent="0.25">
      <c r="A2121" t="s">
        <v>5966</v>
      </c>
      <c r="B2121" t="s">
        <v>37</v>
      </c>
      <c r="C2121" t="s">
        <v>392</v>
      </c>
      <c r="D2121">
        <v>118</v>
      </c>
      <c r="E2121">
        <v>700.25599999999997</v>
      </c>
      <c r="F2121">
        <v>2075</v>
      </c>
      <c r="G2121">
        <v>3597050</v>
      </c>
      <c r="H2121" t="s">
        <v>2486</v>
      </c>
    </row>
    <row r="2122" spans="1:8" x14ac:dyDescent="0.25">
      <c r="A2122" t="s">
        <v>5966</v>
      </c>
      <c r="B2122" t="s">
        <v>37</v>
      </c>
      <c r="C2122" t="s">
        <v>392</v>
      </c>
      <c r="D2122">
        <v>31</v>
      </c>
      <c r="E2122">
        <v>185.61</v>
      </c>
      <c r="F2122">
        <v>550</v>
      </c>
      <c r="G2122">
        <v>3597050</v>
      </c>
      <c r="H2122" t="s">
        <v>2486</v>
      </c>
    </row>
    <row r="2123" spans="1:8" x14ac:dyDescent="0.25">
      <c r="A2123" t="s">
        <v>5966</v>
      </c>
      <c r="B2123" t="s">
        <v>37</v>
      </c>
      <c r="C2123" t="s">
        <v>392</v>
      </c>
      <c r="D2123">
        <v>3</v>
      </c>
      <c r="E2123">
        <v>15.186</v>
      </c>
      <c r="F2123">
        <v>45</v>
      </c>
      <c r="G2123">
        <v>3597050</v>
      </c>
      <c r="H2123" t="s">
        <v>2486</v>
      </c>
    </row>
    <row r="2124" spans="1:8" x14ac:dyDescent="0.25">
      <c r="A2124" t="s">
        <v>5966</v>
      </c>
      <c r="B2124" t="s">
        <v>37</v>
      </c>
      <c r="C2124" t="s">
        <v>392</v>
      </c>
      <c r="D2124">
        <v>458</v>
      </c>
      <c r="E2124">
        <v>2744.9409999999998</v>
      </c>
      <c r="F2124">
        <v>2740</v>
      </c>
      <c r="G2124">
        <v>3410966</v>
      </c>
      <c r="H2124" t="s">
        <v>6055</v>
      </c>
    </row>
    <row r="2125" spans="1:8" x14ac:dyDescent="0.25">
      <c r="A2125" t="s">
        <v>5966</v>
      </c>
      <c r="B2125" t="s">
        <v>37</v>
      </c>
      <c r="C2125" t="s">
        <v>392</v>
      </c>
      <c r="D2125">
        <v>405</v>
      </c>
      <c r="E2125">
        <v>2430.375</v>
      </c>
      <c r="F2125">
        <v>2426</v>
      </c>
      <c r="G2125">
        <v>3410966</v>
      </c>
      <c r="H2125" t="s">
        <v>6055</v>
      </c>
    </row>
    <row r="2126" spans="1:8" x14ac:dyDescent="0.25">
      <c r="A2126" t="s">
        <v>5966</v>
      </c>
      <c r="B2126" t="s">
        <v>37</v>
      </c>
      <c r="C2126" t="s">
        <v>392</v>
      </c>
      <c r="D2126">
        <v>348</v>
      </c>
      <c r="E2126">
        <v>2087.7579999999998</v>
      </c>
      <c r="F2126">
        <v>2084</v>
      </c>
      <c r="G2126">
        <v>3410966</v>
      </c>
      <c r="H2126" t="s">
        <v>6055</v>
      </c>
    </row>
    <row r="2127" spans="1:8" x14ac:dyDescent="0.25">
      <c r="A2127" t="s">
        <v>5966</v>
      </c>
      <c r="B2127" t="s">
        <v>37</v>
      </c>
      <c r="C2127" t="s">
        <v>392</v>
      </c>
      <c r="D2127">
        <v>439</v>
      </c>
      <c r="E2127">
        <v>2611.4690000000001</v>
      </c>
      <c r="F2127">
        <v>2484</v>
      </c>
      <c r="G2127">
        <v>4272693</v>
      </c>
      <c r="H2127" t="s">
        <v>6056</v>
      </c>
    </row>
    <row r="2128" spans="1:8" x14ac:dyDescent="0.25">
      <c r="A2128" t="s">
        <v>5966</v>
      </c>
      <c r="B2128" t="s">
        <v>37</v>
      </c>
      <c r="C2128" t="s">
        <v>392</v>
      </c>
      <c r="D2128">
        <v>473</v>
      </c>
      <c r="E2128">
        <v>2812.27</v>
      </c>
      <c r="F2128">
        <v>2675</v>
      </c>
      <c r="G2128">
        <v>4272693</v>
      </c>
      <c r="H2128" t="s">
        <v>6056</v>
      </c>
    </row>
    <row r="2129" spans="1:8" x14ac:dyDescent="0.25">
      <c r="A2129" t="s">
        <v>5966</v>
      </c>
      <c r="B2129" t="s">
        <v>37</v>
      </c>
      <c r="C2129" t="s">
        <v>392</v>
      </c>
      <c r="D2129">
        <v>356</v>
      </c>
      <c r="E2129">
        <v>2118.402</v>
      </c>
      <c r="F2129">
        <v>2015</v>
      </c>
      <c r="G2129">
        <v>4272693</v>
      </c>
      <c r="H2129" t="s">
        <v>6056</v>
      </c>
    </row>
    <row r="2130" spans="1:8" x14ac:dyDescent="0.25">
      <c r="A2130" t="s">
        <v>5966</v>
      </c>
      <c r="B2130" t="s">
        <v>37</v>
      </c>
      <c r="C2130" t="s">
        <v>392</v>
      </c>
      <c r="D2130">
        <v>326</v>
      </c>
      <c r="E2130">
        <v>1940.729</v>
      </c>
      <c r="F2130">
        <v>1846</v>
      </c>
      <c r="G2130">
        <v>4272693</v>
      </c>
      <c r="H2130" t="s">
        <v>6056</v>
      </c>
    </row>
    <row r="2131" spans="1:8" x14ac:dyDescent="0.25">
      <c r="A2131" t="s">
        <v>641</v>
      </c>
      <c r="B2131" t="s">
        <v>180</v>
      </c>
      <c r="C2131" t="s">
        <v>397</v>
      </c>
      <c r="D2131">
        <v>2649</v>
      </c>
      <c r="E2131">
        <v>2396.6010000000001</v>
      </c>
      <c r="F2131">
        <v>2392.047</v>
      </c>
      <c r="G2131">
        <v>1940478</v>
      </c>
      <c r="H2131" t="s">
        <v>643</v>
      </c>
    </row>
    <row r="2132" spans="1:8" x14ac:dyDescent="0.25">
      <c r="A2132" t="s">
        <v>641</v>
      </c>
      <c r="B2132" t="s">
        <v>180</v>
      </c>
      <c r="C2132" t="s">
        <v>397</v>
      </c>
      <c r="D2132">
        <v>2476</v>
      </c>
      <c r="E2132">
        <v>2240.0839999999998</v>
      </c>
      <c r="F2132">
        <v>2235.828</v>
      </c>
      <c r="G2132">
        <v>1940478</v>
      </c>
      <c r="H2132" t="s">
        <v>643</v>
      </c>
    </row>
    <row r="2133" spans="1:8" x14ac:dyDescent="0.25">
      <c r="A2133" t="s">
        <v>678</v>
      </c>
      <c r="B2133" t="s">
        <v>181</v>
      </c>
      <c r="C2133" t="s">
        <v>397</v>
      </c>
      <c r="D2133">
        <v>2600</v>
      </c>
      <c r="E2133">
        <v>2223.1019999999999</v>
      </c>
      <c r="F2133">
        <v>2219.1</v>
      </c>
      <c r="G2133">
        <v>3943203</v>
      </c>
      <c r="H2133" t="s">
        <v>680</v>
      </c>
    </row>
    <row r="2134" spans="1:8" x14ac:dyDescent="0.25">
      <c r="A2134" t="s">
        <v>6040</v>
      </c>
      <c r="B2134" t="s">
        <v>40</v>
      </c>
      <c r="C2134" t="s">
        <v>397</v>
      </c>
      <c r="D2134">
        <v>5723</v>
      </c>
      <c r="E2134">
        <v>1321.864</v>
      </c>
      <c r="F2134">
        <v>1241.8910000000001</v>
      </c>
      <c r="G2134">
        <v>2398620</v>
      </c>
      <c r="H2134" t="s">
        <v>1567</v>
      </c>
    </row>
    <row r="2135" spans="1:8" x14ac:dyDescent="0.25">
      <c r="A2135" t="s">
        <v>6040</v>
      </c>
      <c r="B2135" t="s">
        <v>40</v>
      </c>
      <c r="C2135" t="s">
        <v>397</v>
      </c>
      <c r="D2135">
        <v>1077</v>
      </c>
      <c r="E2135">
        <v>248.75899999999999</v>
      </c>
      <c r="F2135">
        <v>233.709</v>
      </c>
      <c r="G2135">
        <v>2398620</v>
      </c>
      <c r="H2135" t="s">
        <v>1567</v>
      </c>
    </row>
    <row r="2136" spans="1:8" x14ac:dyDescent="0.25">
      <c r="A2136" t="s">
        <v>6040</v>
      </c>
      <c r="B2136" t="s">
        <v>40</v>
      </c>
      <c r="C2136" t="s">
        <v>397</v>
      </c>
      <c r="D2136">
        <v>4322</v>
      </c>
      <c r="E2136">
        <v>2022.6769999999999</v>
      </c>
      <c r="F2136">
        <v>1969.7270000000001</v>
      </c>
      <c r="G2136">
        <v>3620716</v>
      </c>
      <c r="H2136" t="s">
        <v>1523</v>
      </c>
    </row>
    <row r="2137" spans="1:8" x14ac:dyDescent="0.25">
      <c r="A2137" t="s">
        <v>6040</v>
      </c>
      <c r="B2137" t="s">
        <v>40</v>
      </c>
      <c r="C2137" t="s">
        <v>397</v>
      </c>
      <c r="D2137">
        <v>1119</v>
      </c>
      <c r="E2137">
        <v>523.68700000000001</v>
      </c>
      <c r="F2137">
        <v>509.97800000000001</v>
      </c>
      <c r="G2137">
        <v>3620716</v>
      </c>
      <c r="H2137" t="s">
        <v>1523</v>
      </c>
    </row>
    <row r="2138" spans="1:8" x14ac:dyDescent="0.25">
      <c r="A2138" t="s">
        <v>6040</v>
      </c>
      <c r="B2138" t="s">
        <v>40</v>
      </c>
      <c r="C2138" t="s">
        <v>397</v>
      </c>
      <c r="D2138">
        <v>9</v>
      </c>
      <c r="E2138">
        <v>4.2119999999999997</v>
      </c>
      <c r="F2138">
        <v>4.1020000000000003</v>
      </c>
      <c r="G2138">
        <v>3620716</v>
      </c>
      <c r="H2138" t="s">
        <v>1523</v>
      </c>
    </row>
    <row r="2139" spans="1:8" x14ac:dyDescent="0.25">
      <c r="A2139" t="s">
        <v>6025</v>
      </c>
      <c r="B2139" t="s">
        <v>40</v>
      </c>
      <c r="C2139" t="s">
        <v>397</v>
      </c>
      <c r="D2139">
        <v>3651</v>
      </c>
      <c r="E2139">
        <v>3229.5830000000001</v>
      </c>
      <c r="F2139">
        <v>3077.7930000000001</v>
      </c>
      <c r="G2139">
        <v>1942696</v>
      </c>
      <c r="H2139" t="s">
        <v>1532</v>
      </c>
    </row>
    <row r="2140" spans="1:8" x14ac:dyDescent="0.25">
      <c r="A2140" t="s">
        <v>6025</v>
      </c>
      <c r="B2140" t="s">
        <v>40</v>
      </c>
      <c r="C2140" t="s">
        <v>397</v>
      </c>
      <c r="D2140">
        <v>1874</v>
      </c>
      <c r="E2140">
        <v>1657.694</v>
      </c>
      <c r="F2140">
        <v>1579.7819999999999</v>
      </c>
      <c r="G2140">
        <v>1942696</v>
      </c>
      <c r="H2140" t="s">
        <v>1532</v>
      </c>
    </row>
    <row r="2141" spans="1:8" x14ac:dyDescent="0.25">
      <c r="A2141" t="s">
        <v>5966</v>
      </c>
      <c r="B2141" t="s">
        <v>37</v>
      </c>
      <c r="C2141" t="s">
        <v>392</v>
      </c>
      <c r="D2141">
        <v>509</v>
      </c>
      <c r="E2141">
        <v>2746.9450000000002</v>
      </c>
      <c r="F2141">
        <v>2742</v>
      </c>
      <c r="G2141">
        <v>2431251</v>
      </c>
      <c r="H2141" t="s">
        <v>2300</v>
      </c>
    </row>
    <row r="2142" spans="1:8" x14ac:dyDescent="0.25">
      <c r="A2142" t="s">
        <v>5966</v>
      </c>
      <c r="B2142" t="s">
        <v>37</v>
      </c>
      <c r="C2142" t="s">
        <v>392</v>
      </c>
      <c r="D2142">
        <v>505</v>
      </c>
      <c r="E2142">
        <v>2729.9140000000002</v>
      </c>
      <c r="F2142">
        <v>2725</v>
      </c>
      <c r="G2142">
        <v>2431251</v>
      </c>
      <c r="H2142" t="s">
        <v>2300</v>
      </c>
    </row>
    <row r="2143" spans="1:8" x14ac:dyDescent="0.25">
      <c r="A2143" t="s">
        <v>5966</v>
      </c>
      <c r="B2143" t="s">
        <v>37</v>
      </c>
      <c r="C2143" t="s">
        <v>392</v>
      </c>
      <c r="D2143">
        <v>504</v>
      </c>
      <c r="E2143">
        <v>2719.8960000000002</v>
      </c>
      <c r="F2143">
        <v>2715</v>
      </c>
      <c r="G2143">
        <v>2431251</v>
      </c>
      <c r="H2143" t="s">
        <v>2300</v>
      </c>
    </row>
    <row r="2144" spans="1:8" x14ac:dyDescent="0.25">
      <c r="A2144" t="s">
        <v>5966</v>
      </c>
      <c r="B2144" t="s">
        <v>37</v>
      </c>
      <c r="C2144" t="s">
        <v>392</v>
      </c>
      <c r="D2144">
        <v>501</v>
      </c>
      <c r="E2144">
        <v>2704.8690000000001</v>
      </c>
      <c r="F2144">
        <v>2700</v>
      </c>
      <c r="G2144">
        <v>2431251</v>
      </c>
      <c r="H2144" t="s">
        <v>2300</v>
      </c>
    </row>
    <row r="2145" spans="1:8" x14ac:dyDescent="0.25">
      <c r="A2145" t="s">
        <v>5966</v>
      </c>
      <c r="B2145" t="s">
        <v>37</v>
      </c>
      <c r="C2145" t="s">
        <v>392</v>
      </c>
      <c r="D2145">
        <v>501</v>
      </c>
      <c r="E2145">
        <v>2704.8690000000001</v>
      </c>
      <c r="F2145">
        <v>2700</v>
      </c>
      <c r="G2145">
        <v>2431251</v>
      </c>
      <c r="H2145" t="s">
        <v>2300</v>
      </c>
    </row>
    <row r="2146" spans="1:8" x14ac:dyDescent="0.25">
      <c r="A2146" t="s">
        <v>5966</v>
      </c>
      <c r="B2146" t="s">
        <v>37</v>
      </c>
      <c r="C2146" t="s">
        <v>392</v>
      </c>
      <c r="D2146">
        <v>497</v>
      </c>
      <c r="E2146">
        <v>2682.8290000000002</v>
      </c>
      <c r="F2146">
        <v>2678</v>
      </c>
      <c r="G2146">
        <v>2431251</v>
      </c>
      <c r="H2146" t="s">
        <v>2300</v>
      </c>
    </row>
    <row r="2147" spans="1:8" x14ac:dyDescent="0.25">
      <c r="A2147" t="s">
        <v>5966</v>
      </c>
      <c r="B2147" t="s">
        <v>37</v>
      </c>
      <c r="C2147" t="s">
        <v>392</v>
      </c>
      <c r="D2147">
        <v>492</v>
      </c>
      <c r="E2147">
        <v>2659.788</v>
      </c>
      <c r="F2147">
        <v>2655</v>
      </c>
      <c r="G2147">
        <v>2431251</v>
      </c>
      <c r="H2147" t="s">
        <v>2300</v>
      </c>
    </row>
    <row r="2148" spans="1:8" x14ac:dyDescent="0.25">
      <c r="A2148" t="s">
        <v>5966</v>
      </c>
      <c r="B2148" t="s">
        <v>37</v>
      </c>
      <c r="C2148" t="s">
        <v>392</v>
      </c>
      <c r="D2148">
        <v>482</v>
      </c>
      <c r="E2148">
        <v>2604.6880000000001</v>
      </c>
      <c r="F2148">
        <v>2600</v>
      </c>
      <c r="G2148">
        <v>2431251</v>
      </c>
      <c r="H2148" t="s">
        <v>2300</v>
      </c>
    </row>
    <row r="2149" spans="1:8" x14ac:dyDescent="0.25">
      <c r="A2149" t="s">
        <v>5966</v>
      </c>
      <c r="B2149" t="s">
        <v>37</v>
      </c>
      <c r="C2149" t="s">
        <v>392</v>
      </c>
      <c r="D2149">
        <v>190</v>
      </c>
      <c r="E2149">
        <v>1026.848</v>
      </c>
      <c r="F2149">
        <v>1025</v>
      </c>
      <c r="G2149">
        <v>2431251</v>
      </c>
      <c r="H2149" t="s">
        <v>2300</v>
      </c>
    </row>
    <row r="2150" spans="1:8" x14ac:dyDescent="0.25">
      <c r="A2150" t="s">
        <v>422</v>
      </c>
      <c r="B2150" t="s">
        <v>30</v>
      </c>
      <c r="C2150" t="s">
        <v>397</v>
      </c>
      <c r="D2150">
        <v>1973</v>
      </c>
      <c r="E2150">
        <v>3385.971</v>
      </c>
      <c r="F2150">
        <v>1242.99</v>
      </c>
      <c r="G2150">
        <v>3672607</v>
      </c>
      <c r="H2150" t="s">
        <v>460</v>
      </c>
    </row>
    <row r="2151" spans="1:8" x14ac:dyDescent="0.25">
      <c r="A2151" t="s">
        <v>422</v>
      </c>
      <c r="B2151" t="s">
        <v>30</v>
      </c>
      <c r="C2151" t="s">
        <v>397</v>
      </c>
      <c r="D2151">
        <v>319</v>
      </c>
      <c r="E2151">
        <v>547.45299999999997</v>
      </c>
      <c r="F2151">
        <v>200.97</v>
      </c>
      <c r="G2151">
        <v>3672607</v>
      </c>
      <c r="H2151" t="s">
        <v>460</v>
      </c>
    </row>
    <row r="2152" spans="1:8" x14ac:dyDescent="0.25">
      <c r="A2152" t="s">
        <v>422</v>
      </c>
      <c r="B2152" t="s">
        <v>30</v>
      </c>
      <c r="C2152" t="s">
        <v>397</v>
      </c>
      <c r="D2152">
        <v>55</v>
      </c>
      <c r="E2152">
        <v>94.388000000000005</v>
      </c>
      <c r="F2152">
        <v>34.65</v>
      </c>
      <c r="G2152">
        <v>3672607</v>
      </c>
      <c r="H2152" t="s">
        <v>460</v>
      </c>
    </row>
    <row r="2153" spans="1:8" x14ac:dyDescent="0.25">
      <c r="A2153" t="s">
        <v>422</v>
      </c>
      <c r="B2153" t="s">
        <v>30</v>
      </c>
      <c r="C2153" t="s">
        <v>397</v>
      </c>
      <c r="D2153">
        <v>49</v>
      </c>
      <c r="E2153">
        <v>84.091999999999999</v>
      </c>
      <c r="F2153">
        <v>30.87</v>
      </c>
      <c r="G2153">
        <v>3672607</v>
      </c>
      <c r="H2153" t="s">
        <v>460</v>
      </c>
    </row>
    <row r="2154" spans="1:8" x14ac:dyDescent="0.25">
      <c r="A2154" t="s">
        <v>422</v>
      </c>
      <c r="B2154" t="s">
        <v>30</v>
      </c>
      <c r="C2154" t="s">
        <v>397</v>
      </c>
      <c r="D2154">
        <v>4</v>
      </c>
      <c r="E2154">
        <v>6.8650000000000002</v>
      </c>
      <c r="F2154">
        <v>2.52</v>
      </c>
      <c r="G2154">
        <v>3672607</v>
      </c>
      <c r="H2154" t="s">
        <v>460</v>
      </c>
    </row>
    <row r="2155" spans="1:8" x14ac:dyDescent="0.25">
      <c r="A2155" t="s">
        <v>422</v>
      </c>
      <c r="B2155" t="s">
        <v>30</v>
      </c>
      <c r="C2155" t="s">
        <v>397</v>
      </c>
      <c r="D2155">
        <v>875</v>
      </c>
      <c r="E2155">
        <v>2231.1579999999999</v>
      </c>
      <c r="F2155">
        <v>1598.625</v>
      </c>
      <c r="G2155">
        <v>2426142</v>
      </c>
      <c r="H2155" t="s">
        <v>786</v>
      </c>
    </row>
    <row r="2156" spans="1:8" x14ac:dyDescent="0.25">
      <c r="A2156" t="s">
        <v>422</v>
      </c>
      <c r="B2156" t="s">
        <v>30</v>
      </c>
      <c r="C2156" t="s">
        <v>397</v>
      </c>
      <c r="D2156">
        <v>875</v>
      </c>
      <c r="E2156">
        <v>2231.1579999999999</v>
      </c>
      <c r="F2156">
        <v>1598.625</v>
      </c>
      <c r="G2156">
        <v>2426142</v>
      </c>
      <c r="H2156" t="s">
        <v>786</v>
      </c>
    </row>
    <row r="2157" spans="1:8" x14ac:dyDescent="0.25">
      <c r="A2157" t="s">
        <v>422</v>
      </c>
      <c r="B2157" t="s">
        <v>30</v>
      </c>
      <c r="C2157" t="s">
        <v>397</v>
      </c>
      <c r="D2157">
        <v>620</v>
      </c>
      <c r="E2157">
        <v>1580.9349999999999</v>
      </c>
      <c r="F2157">
        <v>1132.74</v>
      </c>
      <c r="G2157">
        <v>2426142</v>
      </c>
      <c r="H2157" t="s">
        <v>786</v>
      </c>
    </row>
    <row r="2158" spans="1:8" x14ac:dyDescent="0.25">
      <c r="A2158" t="s">
        <v>422</v>
      </c>
      <c r="B2158" t="s">
        <v>30</v>
      </c>
      <c r="C2158" t="s">
        <v>397</v>
      </c>
      <c r="D2158">
        <v>270</v>
      </c>
      <c r="E2158">
        <v>688.47199999999998</v>
      </c>
      <c r="F2158">
        <v>493.29</v>
      </c>
      <c r="G2158">
        <v>2426142</v>
      </c>
      <c r="H2158" t="s">
        <v>786</v>
      </c>
    </row>
    <row r="2159" spans="1:8" x14ac:dyDescent="0.25">
      <c r="A2159" t="s">
        <v>422</v>
      </c>
      <c r="B2159" t="s">
        <v>30</v>
      </c>
      <c r="C2159" t="s">
        <v>397</v>
      </c>
      <c r="D2159">
        <v>880</v>
      </c>
      <c r="E2159">
        <v>1409.5340000000001</v>
      </c>
      <c r="F2159">
        <v>517.44000000000005</v>
      </c>
      <c r="G2159">
        <v>1941846</v>
      </c>
      <c r="H2159" t="s">
        <v>440</v>
      </c>
    </row>
    <row r="2160" spans="1:8" x14ac:dyDescent="0.25">
      <c r="A2160" t="s">
        <v>422</v>
      </c>
      <c r="B2160" t="s">
        <v>30</v>
      </c>
      <c r="C2160" t="s">
        <v>397</v>
      </c>
      <c r="D2160">
        <v>370</v>
      </c>
      <c r="E2160">
        <v>592.64499999999998</v>
      </c>
      <c r="F2160">
        <v>217.56</v>
      </c>
      <c r="G2160">
        <v>1941846</v>
      </c>
      <c r="H2160" t="s">
        <v>440</v>
      </c>
    </row>
    <row r="2161" spans="1:8" x14ac:dyDescent="0.25">
      <c r="A2161" t="s">
        <v>422</v>
      </c>
      <c r="B2161" t="s">
        <v>30</v>
      </c>
      <c r="C2161" t="s">
        <v>397</v>
      </c>
      <c r="D2161">
        <v>949</v>
      </c>
      <c r="E2161">
        <v>1140.164</v>
      </c>
      <c r="F2161">
        <v>507.71499999999997</v>
      </c>
      <c r="G2161">
        <v>3635694</v>
      </c>
      <c r="H2161" t="s">
        <v>649</v>
      </c>
    </row>
    <row r="2162" spans="1:8" x14ac:dyDescent="0.25">
      <c r="A2162" t="s">
        <v>422</v>
      </c>
      <c r="B2162" t="s">
        <v>30</v>
      </c>
      <c r="C2162" t="s">
        <v>397</v>
      </c>
      <c r="D2162">
        <v>51</v>
      </c>
      <c r="E2162">
        <v>61.273000000000003</v>
      </c>
      <c r="F2162">
        <v>27.285</v>
      </c>
      <c r="G2162">
        <v>3635694</v>
      </c>
      <c r="H2162" t="s">
        <v>649</v>
      </c>
    </row>
    <row r="2163" spans="1:8" x14ac:dyDescent="0.25">
      <c r="A2163" t="s">
        <v>453</v>
      </c>
      <c r="B2163" t="s">
        <v>60</v>
      </c>
      <c r="C2163" t="s">
        <v>392</v>
      </c>
      <c r="D2163">
        <v>263</v>
      </c>
      <c r="E2163">
        <v>1604.6130000000001</v>
      </c>
      <c r="F2163">
        <v>1767</v>
      </c>
      <c r="G2163">
        <v>4201127</v>
      </c>
      <c r="H2163" t="s">
        <v>457</v>
      </c>
    </row>
    <row r="2164" spans="1:8" x14ac:dyDescent="0.25">
      <c r="A2164" t="s">
        <v>453</v>
      </c>
      <c r="B2164" t="s">
        <v>60</v>
      </c>
      <c r="C2164" t="s">
        <v>392</v>
      </c>
      <c r="D2164">
        <v>121</v>
      </c>
      <c r="E2164">
        <v>738.28599999999994</v>
      </c>
      <c r="F2164">
        <v>813</v>
      </c>
      <c r="G2164">
        <v>4201127</v>
      </c>
      <c r="H2164" t="s">
        <v>457</v>
      </c>
    </row>
    <row r="2165" spans="1:8" x14ac:dyDescent="0.25">
      <c r="A2165" t="s">
        <v>453</v>
      </c>
      <c r="B2165" t="s">
        <v>60</v>
      </c>
      <c r="C2165" t="s">
        <v>392</v>
      </c>
      <c r="D2165">
        <v>145</v>
      </c>
      <c r="E2165">
        <v>885.39800000000002</v>
      </c>
      <c r="F2165">
        <v>975</v>
      </c>
      <c r="G2165">
        <v>4201127</v>
      </c>
      <c r="H2165" t="s">
        <v>457</v>
      </c>
    </row>
    <row r="2166" spans="1:8" x14ac:dyDescent="0.25">
      <c r="A2166" t="s">
        <v>453</v>
      </c>
      <c r="B2166" t="s">
        <v>60</v>
      </c>
      <c r="C2166" t="s">
        <v>392</v>
      </c>
      <c r="D2166">
        <v>402</v>
      </c>
      <c r="E2166">
        <v>2465.654</v>
      </c>
      <c r="F2166">
        <v>1364</v>
      </c>
      <c r="G2166">
        <v>3597679</v>
      </c>
      <c r="H2166" t="s">
        <v>459</v>
      </c>
    </row>
    <row r="2167" spans="1:8" x14ac:dyDescent="0.25">
      <c r="A2167" t="s">
        <v>453</v>
      </c>
      <c r="B2167" t="s">
        <v>60</v>
      </c>
      <c r="C2167" t="s">
        <v>392</v>
      </c>
      <c r="D2167">
        <v>357</v>
      </c>
      <c r="E2167">
        <v>2142.4699999999998</v>
      </c>
      <c r="F2167">
        <v>1185</v>
      </c>
      <c r="G2167">
        <v>1940146</v>
      </c>
      <c r="H2167" t="s">
        <v>451</v>
      </c>
    </row>
    <row r="2168" spans="1:8" x14ac:dyDescent="0.25">
      <c r="A2168" t="s">
        <v>453</v>
      </c>
      <c r="B2168" t="s">
        <v>60</v>
      </c>
      <c r="C2168" t="s">
        <v>392</v>
      </c>
      <c r="D2168">
        <v>246</v>
      </c>
      <c r="E2168">
        <v>1475.3209999999999</v>
      </c>
      <c r="F2168">
        <v>816</v>
      </c>
      <c r="G2168">
        <v>1940146</v>
      </c>
      <c r="H2168" t="s">
        <v>451</v>
      </c>
    </row>
    <row r="2169" spans="1:8" x14ac:dyDescent="0.25">
      <c r="A2169" t="s">
        <v>453</v>
      </c>
      <c r="B2169" t="s">
        <v>60</v>
      </c>
      <c r="C2169" t="s">
        <v>392</v>
      </c>
      <c r="D2169">
        <v>210</v>
      </c>
      <c r="E2169">
        <v>1116.0550000000001</v>
      </c>
      <c r="F2169">
        <v>1229</v>
      </c>
      <c r="G2169">
        <v>3731692</v>
      </c>
      <c r="H2169" t="s">
        <v>462</v>
      </c>
    </row>
    <row r="2170" spans="1:8" x14ac:dyDescent="0.25">
      <c r="A2170" t="s">
        <v>453</v>
      </c>
      <c r="B2170" t="s">
        <v>60</v>
      </c>
      <c r="C2170" t="s">
        <v>392</v>
      </c>
      <c r="D2170">
        <v>361</v>
      </c>
      <c r="E2170">
        <v>1917</v>
      </c>
      <c r="F2170">
        <v>2111</v>
      </c>
      <c r="G2170">
        <v>3731692</v>
      </c>
      <c r="H2170" t="s">
        <v>462</v>
      </c>
    </row>
    <row r="2171" spans="1:8" x14ac:dyDescent="0.25">
      <c r="A2171" t="s">
        <v>6012</v>
      </c>
      <c r="B2171" t="s">
        <v>22</v>
      </c>
      <c r="C2171" t="s">
        <v>397</v>
      </c>
      <c r="D2171">
        <v>3600</v>
      </c>
      <c r="E2171">
        <v>1624.739</v>
      </c>
      <c r="F2171">
        <v>1555.2</v>
      </c>
      <c r="G2171">
        <v>3614495</v>
      </c>
      <c r="H2171" t="s">
        <v>1438</v>
      </c>
    </row>
    <row r="2172" spans="1:8" x14ac:dyDescent="0.25">
      <c r="A2172" t="s">
        <v>678</v>
      </c>
      <c r="B2172" t="s">
        <v>181</v>
      </c>
      <c r="C2172" t="s">
        <v>397</v>
      </c>
      <c r="D2172">
        <v>48</v>
      </c>
      <c r="E2172">
        <v>41.042000000000002</v>
      </c>
      <c r="F2172">
        <v>40.968000000000004</v>
      </c>
      <c r="G2172">
        <v>3943203</v>
      </c>
      <c r="H2172" t="s">
        <v>680</v>
      </c>
    </row>
    <row r="2173" spans="1:8" x14ac:dyDescent="0.25">
      <c r="A2173" t="s">
        <v>678</v>
      </c>
      <c r="B2173" t="s">
        <v>181</v>
      </c>
      <c r="C2173" t="s">
        <v>397</v>
      </c>
      <c r="D2173">
        <v>272</v>
      </c>
      <c r="E2173">
        <v>232.571</v>
      </c>
      <c r="F2173">
        <v>232.15199999999999</v>
      </c>
      <c r="G2173">
        <v>3943203</v>
      </c>
      <c r="H2173" t="s">
        <v>680</v>
      </c>
    </row>
    <row r="2174" spans="1:8" x14ac:dyDescent="0.25">
      <c r="A2174" t="s">
        <v>678</v>
      </c>
      <c r="B2174" t="s">
        <v>181</v>
      </c>
      <c r="C2174" t="s">
        <v>397</v>
      </c>
      <c r="D2174">
        <v>5</v>
      </c>
      <c r="E2174">
        <v>4.2750000000000004</v>
      </c>
      <c r="F2174">
        <v>4.2679999999999998</v>
      </c>
      <c r="G2174">
        <v>3943203</v>
      </c>
      <c r="H2174" t="s">
        <v>680</v>
      </c>
    </row>
    <row r="2175" spans="1:8" x14ac:dyDescent="0.25">
      <c r="A2175" t="s">
        <v>437</v>
      </c>
      <c r="B2175" t="s">
        <v>18</v>
      </c>
      <c r="C2175" t="s">
        <v>397</v>
      </c>
      <c r="D2175">
        <v>4049</v>
      </c>
      <c r="E2175">
        <v>1676.6279999999999</v>
      </c>
      <c r="F2175">
        <v>1785.6089999999999</v>
      </c>
      <c r="G2175">
        <v>3598957</v>
      </c>
      <c r="H2175" t="s">
        <v>665</v>
      </c>
    </row>
    <row r="2176" spans="1:8" x14ac:dyDescent="0.25">
      <c r="A2176" t="s">
        <v>437</v>
      </c>
      <c r="B2176" t="s">
        <v>18</v>
      </c>
      <c r="C2176" t="s">
        <v>397</v>
      </c>
      <c r="D2176">
        <v>1951</v>
      </c>
      <c r="E2176">
        <v>807.87900000000002</v>
      </c>
      <c r="F2176">
        <v>860.39099999999996</v>
      </c>
      <c r="G2176">
        <v>3598957</v>
      </c>
      <c r="H2176" t="s">
        <v>665</v>
      </c>
    </row>
    <row r="2177" spans="1:8" x14ac:dyDescent="0.25">
      <c r="A2177" t="s">
        <v>437</v>
      </c>
      <c r="B2177" t="s">
        <v>18</v>
      </c>
      <c r="C2177" t="s">
        <v>397</v>
      </c>
      <c r="D2177">
        <v>1765</v>
      </c>
      <c r="E2177">
        <v>1032.269</v>
      </c>
      <c r="F2177">
        <v>1616.74</v>
      </c>
      <c r="G2177">
        <v>1940825</v>
      </c>
      <c r="H2177" t="s">
        <v>788</v>
      </c>
    </row>
    <row r="2178" spans="1:8" x14ac:dyDescent="0.25">
      <c r="A2178" t="s">
        <v>437</v>
      </c>
      <c r="B2178" t="s">
        <v>18</v>
      </c>
      <c r="C2178" t="s">
        <v>397</v>
      </c>
      <c r="D2178">
        <v>95</v>
      </c>
      <c r="E2178">
        <v>55.561</v>
      </c>
      <c r="F2178">
        <v>87.02</v>
      </c>
      <c r="G2178">
        <v>1940825</v>
      </c>
      <c r="H2178" t="s">
        <v>788</v>
      </c>
    </row>
    <row r="2179" spans="1:8" x14ac:dyDescent="0.25">
      <c r="A2179" t="s">
        <v>437</v>
      </c>
      <c r="B2179" t="s">
        <v>18</v>
      </c>
      <c r="C2179" t="s">
        <v>397</v>
      </c>
      <c r="D2179">
        <v>2998</v>
      </c>
      <c r="E2179">
        <v>1440.0060000000001</v>
      </c>
      <c r="F2179">
        <v>2074.616</v>
      </c>
      <c r="G2179">
        <v>1940815</v>
      </c>
      <c r="H2179" t="s">
        <v>790</v>
      </c>
    </row>
    <row r="2180" spans="1:8" x14ac:dyDescent="0.25">
      <c r="A2180" t="s">
        <v>437</v>
      </c>
      <c r="B2180" t="s">
        <v>18</v>
      </c>
      <c r="C2180" t="s">
        <v>397</v>
      </c>
      <c r="D2180">
        <v>442</v>
      </c>
      <c r="E2180">
        <v>212.30199999999999</v>
      </c>
      <c r="F2180">
        <v>305.86399999999998</v>
      </c>
      <c r="G2180">
        <v>1940815</v>
      </c>
      <c r="H2180" t="s">
        <v>790</v>
      </c>
    </row>
    <row r="2181" spans="1:8" x14ac:dyDescent="0.25">
      <c r="A2181" t="s">
        <v>437</v>
      </c>
      <c r="B2181" t="s">
        <v>18</v>
      </c>
      <c r="C2181" t="s">
        <v>397</v>
      </c>
      <c r="D2181">
        <v>1780</v>
      </c>
      <c r="E2181">
        <v>264.166</v>
      </c>
      <c r="F2181">
        <v>526.88</v>
      </c>
      <c r="G2181">
        <v>4098592</v>
      </c>
      <c r="H2181" t="s">
        <v>579</v>
      </c>
    </row>
    <row r="2182" spans="1:8" x14ac:dyDescent="0.25">
      <c r="A2182" t="s">
        <v>437</v>
      </c>
      <c r="B2182" t="s">
        <v>18</v>
      </c>
      <c r="C2182" t="s">
        <v>397</v>
      </c>
      <c r="D2182">
        <v>380</v>
      </c>
      <c r="E2182">
        <v>56.395000000000003</v>
      </c>
      <c r="F2182">
        <v>112.48</v>
      </c>
      <c r="G2182">
        <v>4098592</v>
      </c>
      <c r="H2182" t="s">
        <v>579</v>
      </c>
    </row>
    <row r="2183" spans="1:8" x14ac:dyDescent="0.25">
      <c r="A2183" t="s">
        <v>437</v>
      </c>
      <c r="B2183" t="s">
        <v>18</v>
      </c>
      <c r="C2183" t="s">
        <v>397</v>
      </c>
      <c r="D2183">
        <v>1385</v>
      </c>
      <c r="E2183">
        <v>836.52</v>
      </c>
      <c r="F2183">
        <v>1624.605</v>
      </c>
      <c r="G2183">
        <v>2427158</v>
      </c>
      <c r="H2183" t="s">
        <v>671</v>
      </c>
    </row>
    <row r="2184" spans="1:8" x14ac:dyDescent="0.25">
      <c r="A2184" t="s">
        <v>437</v>
      </c>
      <c r="B2184" t="s">
        <v>18</v>
      </c>
      <c r="C2184" t="s">
        <v>397</v>
      </c>
      <c r="D2184">
        <v>1380</v>
      </c>
      <c r="E2184">
        <v>833.5</v>
      </c>
      <c r="F2184">
        <v>1618.74</v>
      </c>
      <c r="G2184">
        <v>2427158</v>
      </c>
      <c r="H2184" t="s">
        <v>671</v>
      </c>
    </row>
    <row r="2185" spans="1:8" x14ac:dyDescent="0.25">
      <c r="A2185" t="s">
        <v>437</v>
      </c>
      <c r="B2185" t="s">
        <v>18</v>
      </c>
      <c r="C2185" t="s">
        <v>397</v>
      </c>
      <c r="D2185">
        <v>235</v>
      </c>
      <c r="E2185">
        <v>141.93700000000001</v>
      </c>
      <c r="F2185">
        <v>275.65499999999997</v>
      </c>
      <c r="G2185">
        <v>2427158</v>
      </c>
      <c r="H2185" t="s">
        <v>671</v>
      </c>
    </row>
    <row r="2186" spans="1:8" x14ac:dyDescent="0.25">
      <c r="A2186" t="s">
        <v>641</v>
      </c>
      <c r="B2186" t="s">
        <v>180</v>
      </c>
      <c r="C2186" t="s">
        <v>397</v>
      </c>
      <c r="D2186">
        <v>26</v>
      </c>
      <c r="E2186">
        <v>23.523</v>
      </c>
      <c r="F2186">
        <v>23.478000000000002</v>
      </c>
      <c r="G2186">
        <v>1940478</v>
      </c>
      <c r="H2186" t="s">
        <v>643</v>
      </c>
    </row>
    <row r="2187" spans="1:8" x14ac:dyDescent="0.25">
      <c r="A2187" t="s">
        <v>641</v>
      </c>
      <c r="B2187" t="s">
        <v>180</v>
      </c>
      <c r="C2187" t="s">
        <v>397</v>
      </c>
      <c r="D2187">
        <v>2100</v>
      </c>
      <c r="E2187">
        <v>1899.91</v>
      </c>
      <c r="F2187">
        <v>1896.3</v>
      </c>
      <c r="G2187">
        <v>1940478</v>
      </c>
      <c r="H2187" t="s">
        <v>643</v>
      </c>
    </row>
    <row r="2188" spans="1:8" x14ac:dyDescent="0.25">
      <c r="A2188" t="s">
        <v>641</v>
      </c>
      <c r="B2188" t="s">
        <v>180</v>
      </c>
      <c r="C2188" t="s">
        <v>397</v>
      </c>
      <c r="D2188">
        <v>1950</v>
      </c>
      <c r="E2188">
        <v>1764.202</v>
      </c>
      <c r="F2188">
        <v>1760.85</v>
      </c>
      <c r="G2188">
        <v>1940478</v>
      </c>
      <c r="H2188" t="s">
        <v>643</v>
      </c>
    </row>
    <row r="2189" spans="1:8" x14ac:dyDescent="0.25">
      <c r="A2189" t="s">
        <v>641</v>
      </c>
      <c r="B2189" t="s">
        <v>180</v>
      </c>
      <c r="C2189" t="s">
        <v>397</v>
      </c>
      <c r="D2189">
        <v>24</v>
      </c>
      <c r="E2189">
        <v>21.713000000000001</v>
      </c>
      <c r="F2189">
        <v>21.672000000000001</v>
      </c>
      <c r="G2189">
        <v>1940478</v>
      </c>
      <c r="H2189" t="s">
        <v>643</v>
      </c>
    </row>
    <row r="2190" spans="1:8" x14ac:dyDescent="0.25">
      <c r="A2190" t="s">
        <v>5966</v>
      </c>
      <c r="B2190" t="s">
        <v>37</v>
      </c>
      <c r="C2190" t="s">
        <v>392</v>
      </c>
      <c r="D2190">
        <v>443</v>
      </c>
      <c r="E2190">
        <v>2657.7840000000001</v>
      </c>
      <c r="F2190">
        <v>2653</v>
      </c>
      <c r="G2190">
        <v>3410966</v>
      </c>
      <c r="H2190" t="s">
        <v>6055</v>
      </c>
    </row>
    <row r="2191" spans="1:8" x14ac:dyDescent="0.25">
      <c r="A2191" t="s">
        <v>5966</v>
      </c>
      <c r="B2191" t="s">
        <v>37</v>
      </c>
      <c r="C2191" t="s">
        <v>392</v>
      </c>
      <c r="D2191">
        <v>440</v>
      </c>
      <c r="E2191">
        <v>2639.752</v>
      </c>
      <c r="F2191">
        <v>2635</v>
      </c>
      <c r="G2191">
        <v>3410966</v>
      </c>
      <c r="H2191" t="s">
        <v>6055</v>
      </c>
    </row>
    <row r="2192" spans="1:8" x14ac:dyDescent="0.25">
      <c r="A2192" t="s">
        <v>5966</v>
      </c>
      <c r="B2192" t="s">
        <v>37</v>
      </c>
      <c r="C2192" t="s">
        <v>392</v>
      </c>
      <c r="D2192">
        <v>416</v>
      </c>
      <c r="E2192">
        <v>2495.4920000000002</v>
      </c>
      <c r="F2192">
        <v>2491</v>
      </c>
      <c r="G2192">
        <v>3410966</v>
      </c>
      <c r="H2192" t="s">
        <v>6055</v>
      </c>
    </row>
    <row r="2193" spans="1:8" x14ac:dyDescent="0.25">
      <c r="A2193" t="s">
        <v>5966</v>
      </c>
      <c r="B2193" t="s">
        <v>37</v>
      </c>
      <c r="C2193" t="s">
        <v>392</v>
      </c>
      <c r="D2193">
        <v>441</v>
      </c>
      <c r="E2193">
        <v>2645.7620000000002</v>
      </c>
      <c r="F2193">
        <v>2641</v>
      </c>
      <c r="G2193">
        <v>3410966</v>
      </c>
      <c r="H2193" t="s">
        <v>6055</v>
      </c>
    </row>
    <row r="2194" spans="1:8" x14ac:dyDescent="0.25">
      <c r="A2194" t="s">
        <v>5966</v>
      </c>
      <c r="B2194" t="s">
        <v>37</v>
      </c>
      <c r="C2194" t="s">
        <v>392</v>
      </c>
      <c r="D2194">
        <v>444</v>
      </c>
      <c r="E2194">
        <v>2663.7950000000001</v>
      </c>
      <c r="F2194">
        <v>2659</v>
      </c>
      <c r="G2194">
        <v>3410966</v>
      </c>
      <c r="H2194" t="s">
        <v>6055</v>
      </c>
    </row>
    <row r="2195" spans="1:8" x14ac:dyDescent="0.25">
      <c r="A2195" t="s">
        <v>5966</v>
      </c>
      <c r="B2195" t="s">
        <v>37</v>
      </c>
      <c r="C2195" t="s">
        <v>392</v>
      </c>
      <c r="D2195">
        <v>421</v>
      </c>
      <c r="E2195">
        <v>2525.5459999999998</v>
      </c>
      <c r="F2195">
        <v>2521</v>
      </c>
      <c r="G2195">
        <v>3410966</v>
      </c>
      <c r="H2195" t="s">
        <v>6055</v>
      </c>
    </row>
    <row r="2196" spans="1:8" x14ac:dyDescent="0.25">
      <c r="A2196" t="s">
        <v>5966</v>
      </c>
      <c r="B2196" t="s">
        <v>37</v>
      </c>
      <c r="C2196" t="s">
        <v>392</v>
      </c>
      <c r="D2196">
        <v>451</v>
      </c>
      <c r="E2196">
        <v>2704.8690000000001</v>
      </c>
      <c r="F2196">
        <v>2700</v>
      </c>
      <c r="G2196">
        <v>3410966</v>
      </c>
      <c r="H2196" t="s">
        <v>6055</v>
      </c>
    </row>
    <row r="2197" spans="1:8" x14ac:dyDescent="0.25">
      <c r="A2197" t="s">
        <v>5966</v>
      </c>
      <c r="B2197" t="s">
        <v>37</v>
      </c>
      <c r="C2197" t="s">
        <v>392</v>
      </c>
      <c r="D2197">
        <v>326</v>
      </c>
      <c r="E2197">
        <v>1953.5160000000001</v>
      </c>
      <c r="F2197">
        <v>1950</v>
      </c>
      <c r="G2197">
        <v>3410966</v>
      </c>
      <c r="H2197" t="s">
        <v>6055</v>
      </c>
    </row>
    <row r="2198" spans="1:8" x14ac:dyDescent="0.25">
      <c r="A2198" t="s">
        <v>5966</v>
      </c>
      <c r="B2198" t="s">
        <v>37</v>
      </c>
      <c r="C2198" t="s">
        <v>392</v>
      </c>
      <c r="D2198">
        <v>410</v>
      </c>
      <c r="E2198">
        <v>2458.4250000000002</v>
      </c>
      <c r="F2198">
        <v>2454</v>
      </c>
      <c r="G2198">
        <v>3410966</v>
      </c>
      <c r="H2198" t="s">
        <v>6055</v>
      </c>
    </row>
    <row r="2199" spans="1:8" x14ac:dyDescent="0.25">
      <c r="A2199" t="s">
        <v>5966</v>
      </c>
      <c r="B2199" t="s">
        <v>37</v>
      </c>
      <c r="C2199" t="s">
        <v>392</v>
      </c>
      <c r="D2199">
        <v>537</v>
      </c>
      <c r="E2199">
        <v>3220.797</v>
      </c>
      <c r="F2199">
        <v>3215</v>
      </c>
      <c r="G2199">
        <v>3410966</v>
      </c>
      <c r="H2199" t="s">
        <v>6055</v>
      </c>
    </row>
    <row r="2200" spans="1:8" x14ac:dyDescent="0.25">
      <c r="A2200" t="s">
        <v>5966</v>
      </c>
      <c r="B2200" t="s">
        <v>37</v>
      </c>
      <c r="C2200" t="s">
        <v>392</v>
      </c>
      <c r="D2200">
        <v>110</v>
      </c>
      <c r="E2200">
        <v>662.19200000000001</v>
      </c>
      <c r="F2200">
        <v>661</v>
      </c>
      <c r="G2200">
        <v>3410966</v>
      </c>
      <c r="H2200" t="s">
        <v>6055</v>
      </c>
    </row>
    <row r="2201" spans="1:8" x14ac:dyDescent="0.25">
      <c r="A2201" t="s">
        <v>6010</v>
      </c>
      <c r="B2201" t="s">
        <v>66</v>
      </c>
      <c r="C2201" t="s">
        <v>397</v>
      </c>
      <c r="D2201">
        <v>2292</v>
      </c>
      <c r="E2201">
        <v>1171.7080000000001</v>
      </c>
      <c r="F2201">
        <v>767.82</v>
      </c>
      <c r="G2201">
        <v>2420714</v>
      </c>
      <c r="H2201" t="s">
        <v>1217</v>
      </c>
    </row>
    <row r="2202" spans="1:8" x14ac:dyDescent="0.25">
      <c r="A2202" t="s">
        <v>6010</v>
      </c>
      <c r="B2202" t="s">
        <v>66</v>
      </c>
      <c r="C2202" t="s">
        <v>397</v>
      </c>
      <c r="D2202">
        <v>1926</v>
      </c>
      <c r="E2202">
        <v>984.60199999999998</v>
      </c>
      <c r="F2202">
        <v>645.21</v>
      </c>
      <c r="G2202">
        <v>2420714</v>
      </c>
      <c r="H2202" t="s">
        <v>1217</v>
      </c>
    </row>
    <row r="2203" spans="1:8" x14ac:dyDescent="0.25">
      <c r="A2203" t="s">
        <v>6010</v>
      </c>
      <c r="B2203" t="s">
        <v>66</v>
      </c>
      <c r="C2203" t="s">
        <v>397</v>
      </c>
      <c r="D2203">
        <v>1459</v>
      </c>
      <c r="E2203">
        <v>745.86400000000003</v>
      </c>
      <c r="F2203">
        <v>488.76499999999999</v>
      </c>
      <c r="G2203">
        <v>2420714</v>
      </c>
      <c r="H2203" t="s">
        <v>1217</v>
      </c>
    </row>
    <row r="2204" spans="1:8" x14ac:dyDescent="0.25">
      <c r="A2204" t="s">
        <v>6010</v>
      </c>
      <c r="B2204" t="s">
        <v>66</v>
      </c>
      <c r="C2204" t="s">
        <v>397</v>
      </c>
      <c r="D2204">
        <v>1073</v>
      </c>
      <c r="E2204">
        <v>548.53499999999997</v>
      </c>
      <c r="F2204">
        <v>359.45499999999998</v>
      </c>
      <c r="G2204">
        <v>2420714</v>
      </c>
      <c r="H2204" t="s">
        <v>1217</v>
      </c>
    </row>
    <row r="2205" spans="1:8" x14ac:dyDescent="0.25">
      <c r="A2205" t="s">
        <v>6057</v>
      </c>
      <c r="B2205" t="s">
        <v>51</v>
      </c>
      <c r="C2205" t="s">
        <v>397</v>
      </c>
      <c r="D2205">
        <v>1796</v>
      </c>
      <c r="E2205">
        <v>1115.0809999999999</v>
      </c>
      <c r="F2205">
        <v>1113.52</v>
      </c>
      <c r="G2205">
        <v>2397073</v>
      </c>
      <c r="H2205" t="s">
        <v>1617</v>
      </c>
    </row>
    <row r="2206" spans="1:8" x14ac:dyDescent="0.25">
      <c r="A2206" t="s">
        <v>6057</v>
      </c>
      <c r="B2206" t="s">
        <v>51</v>
      </c>
      <c r="C2206" t="s">
        <v>397</v>
      </c>
      <c r="D2206">
        <v>1617</v>
      </c>
      <c r="E2206">
        <v>1003.946</v>
      </c>
      <c r="F2206">
        <v>1002.54</v>
      </c>
      <c r="G2206">
        <v>2397073</v>
      </c>
      <c r="H2206" t="s">
        <v>1617</v>
      </c>
    </row>
    <row r="2207" spans="1:8" x14ac:dyDescent="0.25">
      <c r="A2207" t="s">
        <v>6057</v>
      </c>
      <c r="B2207" t="s">
        <v>51</v>
      </c>
      <c r="C2207" t="s">
        <v>397</v>
      </c>
      <c r="D2207">
        <v>1138</v>
      </c>
      <c r="E2207">
        <v>706.54899999999998</v>
      </c>
      <c r="F2207">
        <v>705.56</v>
      </c>
      <c r="G2207">
        <v>2397073</v>
      </c>
      <c r="H2207" t="s">
        <v>1617</v>
      </c>
    </row>
    <row r="2208" spans="1:8" x14ac:dyDescent="0.25">
      <c r="A2208" t="s">
        <v>6057</v>
      </c>
      <c r="B2208" t="s">
        <v>51</v>
      </c>
      <c r="C2208" t="s">
        <v>397</v>
      </c>
      <c r="D2208">
        <v>521</v>
      </c>
      <c r="E2208">
        <v>323.47300000000001</v>
      </c>
      <c r="F2208">
        <v>323.02</v>
      </c>
      <c r="G2208">
        <v>2397073</v>
      </c>
      <c r="H2208" t="s">
        <v>1617</v>
      </c>
    </row>
    <row r="2209" spans="1:8" x14ac:dyDescent="0.25">
      <c r="A2209" t="s">
        <v>6057</v>
      </c>
      <c r="B2209" t="s">
        <v>51</v>
      </c>
      <c r="C2209" t="s">
        <v>397</v>
      </c>
      <c r="D2209">
        <v>438</v>
      </c>
      <c r="E2209">
        <v>271.94099999999997</v>
      </c>
      <c r="F2209">
        <v>271.56</v>
      </c>
      <c r="G2209">
        <v>2397073</v>
      </c>
      <c r="H2209" t="s">
        <v>1617</v>
      </c>
    </row>
    <row r="2210" spans="1:8" x14ac:dyDescent="0.25">
      <c r="A2210" t="s">
        <v>6057</v>
      </c>
      <c r="B2210" t="s">
        <v>51</v>
      </c>
      <c r="C2210" t="s">
        <v>397</v>
      </c>
      <c r="D2210">
        <v>400</v>
      </c>
      <c r="E2210">
        <v>248.34800000000001</v>
      </c>
      <c r="F2210">
        <v>248</v>
      </c>
      <c r="G2210">
        <v>2397073</v>
      </c>
      <c r="H2210" t="s">
        <v>1617</v>
      </c>
    </row>
    <row r="2211" spans="1:8" x14ac:dyDescent="0.25">
      <c r="A2211" t="s">
        <v>6057</v>
      </c>
      <c r="B2211" t="s">
        <v>51</v>
      </c>
      <c r="C2211" t="s">
        <v>397</v>
      </c>
      <c r="D2211">
        <v>18</v>
      </c>
      <c r="E2211">
        <v>11.176</v>
      </c>
      <c r="F2211">
        <v>11.16</v>
      </c>
      <c r="G2211">
        <v>2397073</v>
      </c>
      <c r="H2211" t="s">
        <v>1617</v>
      </c>
    </row>
    <row r="2212" spans="1:8" x14ac:dyDescent="0.25">
      <c r="A2212" t="s">
        <v>6057</v>
      </c>
      <c r="B2212" t="s">
        <v>51</v>
      </c>
      <c r="C2212" t="s">
        <v>397</v>
      </c>
      <c r="D2212">
        <v>2</v>
      </c>
      <c r="E2212">
        <v>1.242</v>
      </c>
      <c r="F2212">
        <v>1.24</v>
      </c>
      <c r="G2212">
        <v>2397073</v>
      </c>
      <c r="H2212" t="s">
        <v>1617</v>
      </c>
    </row>
    <row r="2213" spans="1:8" x14ac:dyDescent="0.25">
      <c r="A2213" t="s">
        <v>653</v>
      </c>
      <c r="B2213" t="s">
        <v>39</v>
      </c>
      <c r="C2213" t="s">
        <v>397</v>
      </c>
      <c r="D2213">
        <v>840</v>
      </c>
      <c r="E2213">
        <v>739.13599999999997</v>
      </c>
      <c r="F2213">
        <v>1548.12</v>
      </c>
      <c r="G2213">
        <v>1940838</v>
      </c>
      <c r="H2213" t="s">
        <v>659</v>
      </c>
    </row>
    <row r="2214" spans="1:8" x14ac:dyDescent="0.25">
      <c r="A2214" t="s">
        <v>6058</v>
      </c>
      <c r="B2214" t="s">
        <v>6059</v>
      </c>
      <c r="C2214" t="s">
        <v>397</v>
      </c>
      <c r="D2214">
        <v>1649</v>
      </c>
      <c r="E2214">
        <v>1218.7249999999999</v>
      </c>
      <c r="F2214">
        <v>2079.3890000000001</v>
      </c>
      <c r="G2214">
        <v>3531648</v>
      </c>
      <c r="H2214" t="s">
        <v>1737</v>
      </c>
    </row>
    <row r="2215" spans="1:8" x14ac:dyDescent="0.25">
      <c r="A2215" t="s">
        <v>6058</v>
      </c>
      <c r="B2215" t="s">
        <v>6059</v>
      </c>
      <c r="C2215" t="s">
        <v>397</v>
      </c>
      <c r="D2215">
        <v>111</v>
      </c>
      <c r="E2215">
        <v>82.037000000000006</v>
      </c>
      <c r="F2215">
        <v>139.971</v>
      </c>
      <c r="G2215">
        <v>3531648</v>
      </c>
      <c r="H2215" t="s">
        <v>1737</v>
      </c>
    </row>
    <row r="2216" spans="1:8" x14ac:dyDescent="0.25">
      <c r="A2216" t="s">
        <v>6058</v>
      </c>
      <c r="B2216" t="s">
        <v>6059</v>
      </c>
      <c r="C2216" t="s">
        <v>397</v>
      </c>
      <c r="D2216">
        <v>2485</v>
      </c>
      <c r="E2216">
        <v>1036.33</v>
      </c>
      <c r="F2216">
        <v>1761.865</v>
      </c>
      <c r="G2216">
        <v>3531649</v>
      </c>
      <c r="H2216" t="s">
        <v>1691</v>
      </c>
    </row>
    <row r="2217" spans="1:8" x14ac:dyDescent="0.25">
      <c r="A2217" t="s">
        <v>6058</v>
      </c>
      <c r="B2217" t="s">
        <v>6059</v>
      </c>
      <c r="C2217" t="s">
        <v>397</v>
      </c>
      <c r="D2217">
        <v>15</v>
      </c>
      <c r="E2217">
        <v>6.2560000000000002</v>
      </c>
      <c r="F2217">
        <v>10.635</v>
      </c>
      <c r="G2217">
        <v>3531649</v>
      </c>
      <c r="H2217" t="s">
        <v>1691</v>
      </c>
    </row>
    <row r="2218" spans="1:8" x14ac:dyDescent="0.25">
      <c r="A2218" t="s">
        <v>573</v>
      </c>
      <c r="B2218" t="s">
        <v>52</v>
      </c>
      <c r="C2218" t="s">
        <v>397</v>
      </c>
      <c r="D2218">
        <v>975</v>
      </c>
      <c r="E2218">
        <v>579.75</v>
      </c>
      <c r="F2218">
        <v>443.625</v>
      </c>
      <c r="G2218">
        <v>1940614</v>
      </c>
      <c r="H2218" t="s">
        <v>693</v>
      </c>
    </row>
    <row r="2219" spans="1:8" x14ac:dyDescent="0.25">
      <c r="A2219" t="s">
        <v>573</v>
      </c>
      <c r="B2219" t="s">
        <v>52</v>
      </c>
      <c r="C2219" t="s">
        <v>397</v>
      </c>
      <c r="D2219">
        <v>1057</v>
      </c>
      <c r="E2219">
        <v>861.95</v>
      </c>
      <c r="F2219">
        <v>860.39800000000002</v>
      </c>
      <c r="G2219">
        <v>2413708</v>
      </c>
      <c r="H2219" t="s">
        <v>634</v>
      </c>
    </row>
    <row r="2220" spans="1:8" x14ac:dyDescent="0.25">
      <c r="A2220" t="s">
        <v>573</v>
      </c>
      <c r="B2220" t="s">
        <v>52</v>
      </c>
      <c r="C2220" t="s">
        <v>397</v>
      </c>
      <c r="D2220">
        <v>808</v>
      </c>
      <c r="E2220">
        <v>658.89800000000002</v>
      </c>
      <c r="F2220">
        <v>657.71199999999999</v>
      </c>
      <c r="G2220">
        <v>2413708</v>
      </c>
      <c r="H2220" t="s">
        <v>634</v>
      </c>
    </row>
    <row r="2221" spans="1:8" x14ac:dyDescent="0.25">
      <c r="A2221" t="s">
        <v>573</v>
      </c>
      <c r="B2221" t="s">
        <v>52</v>
      </c>
      <c r="C2221" t="s">
        <v>397</v>
      </c>
      <c r="D2221">
        <v>10</v>
      </c>
      <c r="E2221">
        <v>8.1549999999999994</v>
      </c>
      <c r="F2221">
        <v>8.14</v>
      </c>
      <c r="G2221">
        <v>2413708</v>
      </c>
      <c r="H2221" t="s">
        <v>634</v>
      </c>
    </row>
    <row r="2222" spans="1:8" x14ac:dyDescent="0.25">
      <c r="A2222" t="s">
        <v>573</v>
      </c>
      <c r="B2222" t="s">
        <v>52</v>
      </c>
      <c r="C2222" t="s">
        <v>397</v>
      </c>
      <c r="D2222">
        <v>2350</v>
      </c>
      <c r="E2222">
        <v>925.90700000000004</v>
      </c>
      <c r="F2222">
        <v>901.66899999999998</v>
      </c>
      <c r="G2222">
        <v>1940437</v>
      </c>
      <c r="H2222" t="s">
        <v>637</v>
      </c>
    </row>
    <row r="2223" spans="1:8" x14ac:dyDescent="0.25">
      <c r="A2223" t="s">
        <v>422</v>
      </c>
      <c r="B2223" t="s">
        <v>30</v>
      </c>
      <c r="C2223" t="s">
        <v>397</v>
      </c>
      <c r="D2223">
        <v>500</v>
      </c>
      <c r="E2223">
        <v>164.995</v>
      </c>
      <c r="F2223">
        <v>87.183000000000007</v>
      </c>
      <c r="G2223">
        <v>3935313</v>
      </c>
      <c r="H2223" t="s">
        <v>560</v>
      </c>
    </row>
    <row r="2224" spans="1:8" x14ac:dyDescent="0.25">
      <c r="A2224" t="s">
        <v>422</v>
      </c>
      <c r="B2224" t="s">
        <v>30</v>
      </c>
      <c r="C2224" t="s">
        <v>397</v>
      </c>
      <c r="D2224">
        <v>1500</v>
      </c>
      <c r="E2224">
        <v>1965.5830000000001</v>
      </c>
      <c r="F2224">
        <v>2164.5</v>
      </c>
      <c r="G2224">
        <v>1940801</v>
      </c>
      <c r="H2224" t="s">
        <v>478</v>
      </c>
    </row>
    <row r="2225" spans="1:8" x14ac:dyDescent="0.25">
      <c r="A2225" t="s">
        <v>422</v>
      </c>
      <c r="B2225" t="s">
        <v>30</v>
      </c>
      <c r="C2225" t="s">
        <v>397</v>
      </c>
      <c r="D2225">
        <v>859</v>
      </c>
      <c r="E2225">
        <v>962.59199999999998</v>
      </c>
      <c r="F2225">
        <v>1060.0060000000001</v>
      </c>
      <c r="G2225">
        <v>3233555</v>
      </c>
      <c r="H2225" t="s">
        <v>482</v>
      </c>
    </row>
    <row r="2226" spans="1:8" x14ac:dyDescent="0.25">
      <c r="A2226" t="s">
        <v>422</v>
      </c>
      <c r="B2226" t="s">
        <v>30</v>
      </c>
      <c r="C2226" t="s">
        <v>397</v>
      </c>
      <c r="D2226">
        <v>790</v>
      </c>
      <c r="E2226">
        <v>885.27099999999996</v>
      </c>
      <c r="F2226">
        <v>974.86</v>
      </c>
      <c r="G2226">
        <v>3233555</v>
      </c>
      <c r="H2226" t="s">
        <v>482</v>
      </c>
    </row>
    <row r="2227" spans="1:8" x14ac:dyDescent="0.25">
      <c r="A2227" t="s">
        <v>422</v>
      </c>
      <c r="B2227" t="s">
        <v>30</v>
      </c>
      <c r="C2227" t="s">
        <v>397</v>
      </c>
      <c r="D2227">
        <v>351</v>
      </c>
      <c r="E2227">
        <v>393.32900000000001</v>
      </c>
      <c r="F2227">
        <v>433.13400000000001</v>
      </c>
      <c r="G2227">
        <v>3233555</v>
      </c>
      <c r="H2227" t="s">
        <v>482</v>
      </c>
    </row>
    <row r="2228" spans="1:8" x14ac:dyDescent="0.25">
      <c r="A2228" t="s">
        <v>422</v>
      </c>
      <c r="B2228" t="s">
        <v>30</v>
      </c>
      <c r="C2228" t="s">
        <v>397</v>
      </c>
      <c r="D2228">
        <v>1766</v>
      </c>
      <c r="E2228">
        <v>213.29300000000001</v>
      </c>
      <c r="F2228">
        <v>234.87799999999999</v>
      </c>
      <c r="G2228">
        <v>3233559</v>
      </c>
      <c r="H2228" t="s">
        <v>490</v>
      </c>
    </row>
    <row r="2229" spans="1:8" x14ac:dyDescent="0.25">
      <c r="A2229" t="s">
        <v>422</v>
      </c>
      <c r="B2229" t="s">
        <v>30</v>
      </c>
      <c r="C2229" t="s">
        <v>397</v>
      </c>
      <c r="D2229">
        <v>234</v>
      </c>
      <c r="E2229">
        <v>28.262</v>
      </c>
      <c r="F2229">
        <v>31.122</v>
      </c>
      <c r="G2229">
        <v>3233559</v>
      </c>
      <c r="H2229" t="s">
        <v>490</v>
      </c>
    </row>
    <row r="2230" spans="1:8" x14ac:dyDescent="0.25">
      <c r="A2230" t="s">
        <v>422</v>
      </c>
      <c r="B2230" t="s">
        <v>30</v>
      </c>
      <c r="C2230" t="s">
        <v>397</v>
      </c>
      <c r="D2230">
        <v>487</v>
      </c>
      <c r="E2230">
        <v>53.942999999999998</v>
      </c>
      <c r="F2230">
        <v>58.927</v>
      </c>
      <c r="G2230">
        <v>3572047</v>
      </c>
      <c r="H2230" t="s">
        <v>492</v>
      </c>
    </row>
    <row r="2231" spans="1:8" x14ac:dyDescent="0.25">
      <c r="A2231" t="s">
        <v>422</v>
      </c>
      <c r="B2231" t="s">
        <v>30</v>
      </c>
      <c r="C2231" t="s">
        <v>397</v>
      </c>
      <c r="D2231">
        <v>454</v>
      </c>
      <c r="E2231">
        <v>50.286999999999999</v>
      </c>
      <c r="F2231">
        <v>54.933999999999997</v>
      </c>
      <c r="G2231">
        <v>3572047</v>
      </c>
      <c r="H2231" t="s">
        <v>492</v>
      </c>
    </row>
    <row r="2232" spans="1:8" x14ac:dyDescent="0.25">
      <c r="A2232" t="s">
        <v>422</v>
      </c>
      <c r="B2232" t="s">
        <v>30</v>
      </c>
      <c r="C2232" t="s">
        <v>397</v>
      </c>
      <c r="D2232">
        <v>59</v>
      </c>
      <c r="E2232">
        <v>6.5350000000000001</v>
      </c>
      <c r="F2232">
        <v>7.1390000000000002</v>
      </c>
      <c r="G2232">
        <v>3572047</v>
      </c>
      <c r="H2232" t="s">
        <v>492</v>
      </c>
    </row>
    <row r="2233" spans="1:8" x14ac:dyDescent="0.25">
      <c r="A2233" t="s">
        <v>422</v>
      </c>
      <c r="B2233" t="s">
        <v>30</v>
      </c>
      <c r="C2233" t="s">
        <v>397</v>
      </c>
      <c r="D2233">
        <v>1000</v>
      </c>
      <c r="E2233">
        <v>794.99099999999999</v>
      </c>
      <c r="F2233">
        <v>439.78899999999999</v>
      </c>
      <c r="G2233">
        <v>4151429</v>
      </c>
      <c r="H2233" t="s">
        <v>494</v>
      </c>
    </row>
    <row r="2234" spans="1:8" x14ac:dyDescent="0.25">
      <c r="A2234" t="s">
        <v>422</v>
      </c>
      <c r="B2234" t="s">
        <v>30</v>
      </c>
      <c r="C2234" t="s">
        <v>397</v>
      </c>
      <c r="D2234">
        <v>1000</v>
      </c>
      <c r="E2234">
        <v>469.99400000000003</v>
      </c>
      <c r="F2234">
        <v>256.10000000000002</v>
      </c>
      <c r="G2234">
        <v>3230488</v>
      </c>
      <c r="H2234" t="s">
        <v>496</v>
      </c>
    </row>
    <row r="2235" spans="1:8" x14ac:dyDescent="0.25">
      <c r="A2235" t="s">
        <v>422</v>
      </c>
      <c r="B2235" t="s">
        <v>30</v>
      </c>
      <c r="C2235" t="s">
        <v>397</v>
      </c>
      <c r="D2235">
        <v>4000</v>
      </c>
      <c r="E2235">
        <v>1597.9749999999999</v>
      </c>
      <c r="F2235">
        <v>884</v>
      </c>
      <c r="G2235">
        <v>3230487</v>
      </c>
      <c r="H2235" t="s">
        <v>498</v>
      </c>
    </row>
    <row r="2236" spans="1:8" x14ac:dyDescent="0.25">
      <c r="A2236" t="s">
        <v>422</v>
      </c>
      <c r="B2236" t="s">
        <v>30</v>
      </c>
      <c r="C2236" t="s">
        <v>397</v>
      </c>
      <c r="D2236">
        <v>2000</v>
      </c>
      <c r="E2236">
        <v>199.99600000000001</v>
      </c>
      <c r="F2236">
        <v>109</v>
      </c>
      <c r="G2236">
        <v>3931834</v>
      </c>
      <c r="H2236" t="s">
        <v>500</v>
      </c>
    </row>
    <row r="2237" spans="1:8" x14ac:dyDescent="0.25">
      <c r="A2237" t="s">
        <v>422</v>
      </c>
      <c r="B2237" t="s">
        <v>30</v>
      </c>
      <c r="C2237" t="s">
        <v>397</v>
      </c>
      <c r="D2237">
        <v>1000</v>
      </c>
      <c r="E2237">
        <v>115.006</v>
      </c>
      <c r="F2237">
        <v>62.667000000000002</v>
      </c>
      <c r="G2237">
        <v>4151428</v>
      </c>
      <c r="H2237" t="s">
        <v>504</v>
      </c>
    </row>
    <row r="2238" spans="1:8" x14ac:dyDescent="0.25">
      <c r="A2238" t="s">
        <v>422</v>
      </c>
      <c r="B2238" t="s">
        <v>30</v>
      </c>
      <c r="C2238" t="s">
        <v>397</v>
      </c>
      <c r="D2238">
        <v>1000</v>
      </c>
      <c r="E2238">
        <v>962.99</v>
      </c>
      <c r="F2238">
        <v>524.73299999999995</v>
      </c>
      <c r="G2238">
        <v>4151427</v>
      </c>
      <c r="H2238" t="s">
        <v>509</v>
      </c>
    </row>
    <row r="2239" spans="1:8" x14ac:dyDescent="0.25">
      <c r="A2239" t="s">
        <v>422</v>
      </c>
      <c r="B2239" t="s">
        <v>30</v>
      </c>
      <c r="C2239" t="s">
        <v>397</v>
      </c>
      <c r="D2239">
        <v>1000</v>
      </c>
      <c r="E2239">
        <v>755.00099999999998</v>
      </c>
      <c r="F2239">
        <v>411.4</v>
      </c>
      <c r="G2239">
        <v>4151426</v>
      </c>
      <c r="H2239" t="s">
        <v>511</v>
      </c>
    </row>
    <row r="2240" spans="1:8" x14ac:dyDescent="0.25">
      <c r="A2240" t="s">
        <v>422</v>
      </c>
      <c r="B2240" t="s">
        <v>30</v>
      </c>
      <c r="C2240" t="s">
        <v>397</v>
      </c>
      <c r="D2240">
        <v>1000</v>
      </c>
      <c r="E2240">
        <v>356.11</v>
      </c>
      <c r="F2240">
        <v>197</v>
      </c>
      <c r="G2240">
        <v>3230490</v>
      </c>
      <c r="H2240" t="s">
        <v>515</v>
      </c>
    </row>
    <row r="2241" spans="1:8" x14ac:dyDescent="0.25">
      <c r="A2241" t="s">
        <v>422</v>
      </c>
      <c r="B2241" t="s">
        <v>30</v>
      </c>
      <c r="C2241" t="s">
        <v>397</v>
      </c>
      <c r="D2241">
        <v>796</v>
      </c>
      <c r="E2241">
        <v>1037.9760000000001</v>
      </c>
      <c r="F2241">
        <v>565.59299999999996</v>
      </c>
      <c r="G2241">
        <v>3572039</v>
      </c>
      <c r="H2241" t="s">
        <v>519</v>
      </c>
    </row>
    <row r="2242" spans="1:8" x14ac:dyDescent="0.25">
      <c r="A2242" t="s">
        <v>422</v>
      </c>
      <c r="B2242" t="s">
        <v>30</v>
      </c>
      <c r="C2242" t="s">
        <v>397</v>
      </c>
      <c r="D2242">
        <v>204</v>
      </c>
      <c r="E2242">
        <v>266.01400000000001</v>
      </c>
      <c r="F2242">
        <v>144.95099999999999</v>
      </c>
      <c r="G2242">
        <v>3572039</v>
      </c>
      <c r="H2242" t="s">
        <v>519</v>
      </c>
    </row>
    <row r="2243" spans="1:8" x14ac:dyDescent="0.25">
      <c r="A2243" t="s">
        <v>422</v>
      </c>
      <c r="B2243" t="s">
        <v>30</v>
      </c>
      <c r="C2243" t="s">
        <v>397</v>
      </c>
      <c r="D2243">
        <v>1000</v>
      </c>
      <c r="E2243">
        <v>835</v>
      </c>
      <c r="F2243">
        <v>461.92200000000003</v>
      </c>
      <c r="G2243">
        <v>4151425</v>
      </c>
      <c r="H2243" t="s">
        <v>523</v>
      </c>
    </row>
    <row r="2244" spans="1:8" x14ac:dyDescent="0.25">
      <c r="A2244" t="s">
        <v>422</v>
      </c>
      <c r="B2244" t="s">
        <v>30</v>
      </c>
      <c r="C2244" t="s">
        <v>397</v>
      </c>
      <c r="D2244">
        <v>1000</v>
      </c>
      <c r="E2244">
        <v>110.008</v>
      </c>
      <c r="F2244">
        <v>59.956000000000003</v>
      </c>
      <c r="G2244">
        <v>3931835</v>
      </c>
      <c r="H2244" t="s">
        <v>527</v>
      </c>
    </row>
    <row r="2245" spans="1:8" x14ac:dyDescent="0.25">
      <c r="A2245" t="s">
        <v>422</v>
      </c>
      <c r="B2245" t="s">
        <v>30</v>
      </c>
      <c r="C2245" t="s">
        <v>397</v>
      </c>
      <c r="D2245">
        <v>850</v>
      </c>
      <c r="E2245">
        <v>543.99800000000005</v>
      </c>
      <c r="F2245">
        <v>492.04599999999999</v>
      </c>
      <c r="G2245">
        <v>4151430</v>
      </c>
      <c r="H2245" t="s">
        <v>530</v>
      </c>
    </row>
    <row r="2246" spans="1:8" x14ac:dyDescent="0.25">
      <c r="A2246" t="s">
        <v>422</v>
      </c>
      <c r="B2246" t="s">
        <v>30</v>
      </c>
      <c r="C2246" t="s">
        <v>397</v>
      </c>
      <c r="D2246">
        <v>150</v>
      </c>
      <c r="E2246">
        <v>96</v>
      </c>
      <c r="F2246">
        <v>86.831999999999994</v>
      </c>
      <c r="G2246">
        <v>4151430</v>
      </c>
      <c r="H2246" t="s">
        <v>530</v>
      </c>
    </row>
    <row r="2247" spans="1:8" x14ac:dyDescent="0.25">
      <c r="A2247" t="s">
        <v>422</v>
      </c>
      <c r="B2247" t="s">
        <v>30</v>
      </c>
      <c r="C2247" t="s">
        <v>397</v>
      </c>
      <c r="D2247">
        <v>3000</v>
      </c>
      <c r="E2247">
        <v>599.97500000000002</v>
      </c>
      <c r="F2247">
        <v>316.93299999999999</v>
      </c>
      <c r="G2247">
        <v>3929691</v>
      </c>
      <c r="H2247" t="s">
        <v>535</v>
      </c>
    </row>
    <row r="2248" spans="1:8" x14ac:dyDescent="0.25">
      <c r="A2248" t="s">
        <v>422</v>
      </c>
      <c r="B2248" t="s">
        <v>30</v>
      </c>
      <c r="C2248" t="s">
        <v>397</v>
      </c>
      <c r="D2248">
        <v>1000</v>
      </c>
      <c r="E2248">
        <v>190</v>
      </c>
      <c r="F2248">
        <v>207.55600000000001</v>
      </c>
      <c r="G2248">
        <v>4151424</v>
      </c>
      <c r="H2248" t="s">
        <v>550</v>
      </c>
    </row>
    <row r="2249" spans="1:8" x14ac:dyDescent="0.25">
      <c r="A2249" t="s">
        <v>422</v>
      </c>
      <c r="B2249" t="s">
        <v>30</v>
      </c>
      <c r="C2249" t="s">
        <v>397</v>
      </c>
      <c r="D2249">
        <v>500</v>
      </c>
      <c r="E2249">
        <v>622.99900000000002</v>
      </c>
      <c r="F2249">
        <v>339.47199999999998</v>
      </c>
      <c r="G2249">
        <v>3572038</v>
      </c>
      <c r="H2249" t="s">
        <v>521</v>
      </c>
    </row>
    <row r="2250" spans="1:8" x14ac:dyDescent="0.25">
      <c r="A2250" t="s">
        <v>422</v>
      </c>
      <c r="B2250" t="s">
        <v>30</v>
      </c>
      <c r="C2250" t="s">
        <v>397</v>
      </c>
      <c r="D2250">
        <v>457</v>
      </c>
      <c r="E2250">
        <v>460.20499999999998</v>
      </c>
      <c r="F2250">
        <v>250.81700000000001</v>
      </c>
      <c r="G2250">
        <v>4100796</v>
      </c>
      <c r="H2250" t="s">
        <v>552</v>
      </c>
    </row>
    <row r="2251" spans="1:8" x14ac:dyDescent="0.25">
      <c r="A2251" t="s">
        <v>422</v>
      </c>
      <c r="B2251" t="s">
        <v>30</v>
      </c>
      <c r="C2251" t="s">
        <v>397</v>
      </c>
      <c r="D2251">
        <v>43</v>
      </c>
      <c r="E2251">
        <v>43.302</v>
      </c>
      <c r="F2251">
        <v>23.6</v>
      </c>
      <c r="G2251">
        <v>4100796</v>
      </c>
      <c r="H2251" t="s">
        <v>552</v>
      </c>
    </row>
    <row r="2252" spans="1:8" x14ac:dyDescent="0.25">
      <c r="A2252" t="s">
        <v>422</v>
      </c>
      <c r="B2252" t="s">
        <v>30</v>
      </c>
      <c r="C2252" t="s">
        <v>397</v>
      </c>
      <c r="D2252">
        <v>500</v>
      </c>
      <c r="E2252">
        <v>623.41099999999994</v>
      </c>
      <c r="F2252">
        <v>686.5</v>
      </c>
      <c r="G2252">
        <v>3233554</v>
      </c>
      <c r="H2252" t="s">
        <v>480</v>
      </c>
    </row>
    <row r="2253" spans="1:8" x14ac:dyDescent="0.25">
      <c r="A2253" t="s">
        <v>422</v>
      </c>
      <c r="B2253" t="s">
        <v>30</v>
      </c>
      <c r="C2253" t="s">
        <v>397</v>
      </c>
      <c r="D2253">
        <v>1000</v>
      </c>
      <c r="E2253">
        <v>129.00899999999999</v>
      </c>
      <c r="F2253">
        <v>70.311000000000007</v>
      </c>
      <c r="G2253">
        <v>3938687</v>
      </c>
      <c r="H2253" t="s">
        <v>554</v>
      </c>
    </row>
    <row r="2254" spans="1:8" x14ac:dyDescent="0.25">
      <c r="A2254" t="s">
        <v>422</v>
      </c>
      <c r="B2254" t="s">
        <v>30</v>
      </c>
      <c r="C2254" t="s">
        <v>397</v>
      </c>
      <c r="D2254">
        <v>1000</v>
      </c>
      <c r="E2254">
        <v>884.99699999999996</v>
      </c>
      <c r="F2254">
        <v>482.33300000000003</v>
      </c>
      <c r="G2254">
        <v>4177673</v>
      </c>
      <c r="H2254" t="s">
        <v>263</v>
      </c>
    </row>
    <row r="2255" spans="1:8" x14ac:dyDescent="0.25">
      <c r="A2255" t="s">
        <v>422</v>
      </c>
      <c r="B2255" t="s">
        <v>30</v>
      </c>
      <c r="C2255" t="s">
        <v>397</v>
      </c>
      <c r="D2255">
        <v>1000</v>
      </c>
      <c r="E2255">
        <v>754.99400000000003</v>
      </c>
      <c r="F2255">
        <v>824.75599999999997</v>
      </c>
      <c r="G2255">
        <v>4151472</v>
      </c>
      <c r="H2255" t="s">
        <v>488</v>
      </c>
    </row>
    <row r="2256" spans="1:8" x14ac:dyDescent="0.25">
      <c r="A2256" t="s">
        <v>422</v>
      </c>
      <c r="B2256" t="s">
        <v>30</v>
      </c>
      <c r="C2256" t="s">
        <v>397</v>
      </c>
      <c r="D2256">
        <v>1000</v>
      </c>
      <c r="E2256">
        <v>539.99699999999996</v>
      </c>
      <c r="F2256">
        <v>294.24400000000003</v>
      </c>
      <c r="G2256">
        <v>3571870</v>
      </c>
      <c r="H2256" t="s">
        <v>525</v>
      </c>
    </row>
    <row r="2257" spans="1:8" x14ac:dyDescent="0.25">
      <c r="A2257" t="s">
        <v>422</v>
      </c>
      <c r="B2257" t="s">
        <v>30</v>
      </c>
      <c r="C2257" t="s">
        <v>397</v>
      </c>
      <c r="D2257">
        <v>1000</v>
      </c>
      <c r="E2257">
        <v>860.49099999999999</v>
      </c>
      <c r="F2257">
        <v>940</v>
      </c>
      <c r="G2257">
        <v>3572051</v>
      </c>
      <c r="H2257" t="s">
        <v>484</v>
      </c>
    </row>
    <row r="2258" spans="1:8" x14ac:dyDescent="0.25">
      <c r="A2258" t="s">
        <v>422</v>
      </c>
      <c r="B2258" t="s">
        <v>30</v>
      </c>
      <c r="C2258" t="s">
        <v>397</v>
      </c>
      <c r="D2258">
        <v>500</v>
      </c>
      <c r="E2258">
        <v>615.00400000000002</v>
      </c>
      <c r="F2258">
        <v>324.87200000000001</v>
      </c>
      <c r="G2258">
        <v>3929692</v>
      </c>
      <c r="H2258" t="s">
        <v>533</v>
      </c>
    </row>
    <row r="2259" spans="1:8" x14ac:dyDescent="0.25">
      <c r="A2259" t="s">
        <v>6018</v>
      </c>
      <c r="B2259" t="s">
        <v>21</v>
      </c>
      <c r="C2259" t="s">
        <v>397</v>
      </c>
      <c r="D2259">
        <v>363</v>
      </c>
      <c r="E2259">
        <v>382.60500000000002</v>
      </c>
      <c r="F2259">
        <v>575.93600000000004</v>
      </c>
      <c r="G2259">
        <v>3605736</v>
      </c>
      <c r="H2259" t="s">
        <v>1698</v>
      </c>
    </row>
    <row r="2260" spans="1:8" x14ac:dyDescent="0.25">
      <c r="A2260" t="s">
        <v>6018</v>
      </c>
      <c r="B2260" t="s">
        <v>21</v>
      </c>
      <c r="C2260" t="s">
        <v>397</v>
      </c>
      <c r="D2260">
        <v>199</v>
      </c>
      <c r="E2260">
        <v>209.74799999999999</v>
      </c>
      <c r="F2260">
        <v>315.733</v>
      </c>
      <c r="G2260">
        <v>3605736</v>
      </c>
      <c r="H2260" t="s">
        <v>1698</v>
      </c>
    </row>
    <row r="2261" spans="1:8" x14ac:dyDescent="0.25">
      <c r="A2261" t="s">
        <v>6018</v>
      </c>
      <c r="B2261" t="s">
        <v>21</v>
      </c>
      <c r="C2261" t="s">
        <v>397</v>
      </c>
      <c r="D2261">
        <v>199</v>
      </c>
      <c r="E2261">
        <v>209.74799999999999</v>
      </c>
      <c r="F2261">
        <v>315.733</v>
      </c>
      <c r="G2261">
        <v>3605736</v>
      </c>
      <c r="H2261" t="s">
        <v>1698</v>
      </c>
    </row>
    <row r="2262" spans="1:8" x14ac:dyDescent="0.25">
      <c r="A2262" t="s">
        <v>6018</v>
      </c>
      <c r="B2262" t="s">
        <v>21</v>
      </c>
      <c r="C2262" t="s">
        <v>397</v>
      </c>
      <c r="D2262">
        <v>175</v>
      </c>
      <c r="E2262">
        <v>184.452</v>
      </c>
      <c r="F2262">
        <v>277.65499999999997</v>
      </c>
      <c r="G2262">
        <v>3605736</v>
      </c>
      <c r="H2262" t="s">
        <v>1698</v>
      </c>
    </row>
    <row r="2263" spans="1:8" x14ac:dyDescent="0.25">
      <c r="A2263" t="s">
        <v>6018</v>
      </c>
      <c r="B2263" t="s">
        <v>21</v>
      </c>
      <c r="C2263" t="s">
        <v>397</v>
      </c>
      <c r="D2263">
        <v>140</v>
      </c>
      <c r="E2263">
        <v>147.56100000000001</v>
      </c>
      <c r="F2263">
        <v>222.124</v>
      </c>
      <c r="G2263">
        <v>3605736</v>
      </c>
      <c r="H2263" t="s">
        <v>1698</v>
      </c>
    </row>
    <row r="2264" spans="1:8" x14ac:dyDescent="0.25">
      <c r="A2264" t="s">
        <v>6018</v>
      </c>
      <c r="B2264" t="s">
        <v>21</v>
      </c>
      <c r="C2264" t="s">
        <v>397</v>
      </c>
      <c r="D2264">
        <v>105</v>
      </c>
      <c r="E2264">
        <v>110.67100000000001</v>
      </c>
      <c r="F2264">
        <v>166.59299999999999</v>
      </c>
      <c r="G2264">
        <v>3605736</v>
      </c>
      <c r="H2264" t="s">
        <v>1698</v>
      </c>
    </row>
    <row r="2265" spans="1:8" x14ac:dyDescent="0.25">
      <c r="A2265" t="s">
        <v>6018</v>
      </c>
      <c r="B2265" t="s">
        <v>21</v>
      </c>
      <c r="C2265" t="s">
        <v>397</v>
      </c>
      <c r="D2265">
        <v>69</v>
      </c>
      <c r="E2265">
        <v>72.727000000000004</v>
      </c>
      <c r="F2265">
        <v>109.47499999999999</v>
      </c>
      <c r="G2265">
        <v>3605736</v>
      </c>
      <c r="H2265" t="s">
        <v>1698</v>
      </c>
    </row>
    <row r="2266" spans="1:8" x14ac:dyDescent="0.25">
      <c r="A2266" t="s">
        <v>6018</v>
      </c>
      <c r="B2266" t="s">
        <v>21</v>
      </c>
      <c r="C2266" t="s">
        <v>397</v>
      </c>
      <c r="D2266">
        <v>60</v>
      </c>
      <c r="E2266">
        <v>63.241</v>
      </c>
      <c r="F2266">
        <v>95.195999999999998</v>
      </c>
      <c r="G2266">
        <v>3605736</v>
      </c>
      <c r="H2266" t="s">
        <v>1698</v>
      </c>
    </row>
    <row r="2267" spans="1:8" x14ac:dyDescent="0.25">
      <c r="A2267" t="s">
        <v>6018</v>
      </c>
      <c r="B2267" t="s">
        <v>21</v>
      </c>
      <c r="C2267" t="s">
        <v>397</v>
      </c>
      <c r="D2267">
        <v>980</v>
      </c>
      <c r="E2267">
        <v>180.42400000000001</v>
      </c>
      <c r="F2267">
        <v>684.04</v>
      </c>
      <c r="G2267">
        <v>1940868</v>
      </c>
      <c r="H2267" t="s">
        <v>1715</v>
      </c>
    </row>
    <row r="2268" spans="1:8" x14ac:dyDescent="0.25">
      <c r="A2268" t="s">
        <v>6018</v>
      </c>
      <c r="B2268" t="s">
        <v>21</v>
      </c>
      <c r="C2268" t="s">
        <v>397</v>
      </c>
      <c r="D2268">
        <v>318</v>
      </c>
      <c r="E2268">
        <v>58.545999999999999</v>
      </c>
      <c r="F2268">
        <v>221.964</v>
      </c>
      <c r="G2268">
        <v>1940868</v>
      </c>
      <c r="H2268" t="s">
        <v>1715</v>
      </c>
    </row>
    <row r="2269" spans="1:8" x14ac:dyDescent="0.25">
      <c r="A2269" t="s">
        <v>6018</v>
      </c>
      <c r="B2269" t="s">
        <v>21</v>
      </c>
      <c r="C2269" t="s">
        <v>397</v>
      </c>
      <c r="D2269">
        <v>142</v>
      </c>
      <c r="E2269">
        <v>26.143000000000001</v>
      </c>
      <c r="F2269">
        <v>99.116</v>
      </c>
      <c r="G2269">
        <v>1940868</v>
      </c>
      <c r="H2269" t="s">
        <v>1715</v>
      </c>
    </row>
    <row r="2270" spans="1:8" x14ac:dyDescent="0.25">
      <c r="A2270" t="s">
        <v>6018</v>
      </c>
      <c r="B2270" t="s">
        <v>21</v>
      </c>
      <c r="C2270" t="s">
        <v>397</v>
      </c>
      <c r="D2270">
        <v>879</v>
      </c>
      <c r="E2270">
        <v>647.85500000000002</v>
      </c>
      <c r="F2270">
        <v>1120.7249999999999</v>
      </c>
      <c r="G2270">
        <v>1932730</v>
      </c>
      <c r="H2270" t="s">
        <v>1738</v>
      </c>
    </row>
    <row r="2271" spans="1:8" x14ac:dyDescent="0.25">
      <c r="A2271" t="s">
        <v>6018</v>
      </c>
      <c r="B2271" t="s">
        <v>21</v>
      </c>
      <c r="C2271" t="s">
        <v>397</v>
      </c>
      <c r="D2271">
        <v>774</v>
      </c>
      <c r="E2271">
        <v>570.46699999999998</v>
      </c>
      <c r="F2271">
        <v>986.85</v>
      </c>
      <c r="G2271">
        <v>1932730</v>
      </c>
      <c r="H2271" t="s">
        <v>1738</v>
      </c>
    </row>
    <row r="2272" spans="1:8" x14ac:dyDescent="0.25">
      <c r="A2272" t="s">
        <v>6018</v>
      </c>
      <c r="B2272" t="s">
        <v>21</v>
      </c>
      <c r="C2272" t="s">
        <v>397</v>
      </c>
      <c r="D2272">
        <v>727</v>
      </c>
      <c r="E2272">
        <v>535.82600000000002</v>
      </c>
      <c r="F2272">
        <v>926.92499999999995</v>
      </c>
      <c r="G2272">
        <v>1932730</v>
      </c>
      <c r="H2272" t="s">
        <v>1738</v>
      </c>
    </row>
    <row r="2273" spans="1:8" x14ac:dyDescent="0.25">
      <c r="A2273" t="s">
        <v>6018</v>
      </c>
      <c r="B2273" t="s">
        <v>21</v>
      </c>
      <c r="C2273" t="s">
        <v>397</v>
      </c>
      <c r="D2273">
        <v>690</v>
      </c>
      <c r="E2273">
        <v>508.55500000000001</v>
      </c>
      <c r="F2273">
        <v>879.75</v>
      </c>
      <c r="G2273">
        <v>1932730</v>
      </c>
      <c r="H2273" t="s">
        <v>1738</v>
      </c>
    </row>
    <row r="2274" spans="1:8" x14ac:dyDescent="0.25">
      <c r="A2274" t="s">
        <v>6018</v>
      </c>
      <c r="B2274" t="s">
        <v>21</v>
      </c>
      <c r="C2274" t="s">
        <v>397</v>
      </c>
      <c r="D2274">
        <v>200</v>
      </c>
      <c r="E2274">
        <v>147.40700000000001</v>
      </c>
      <c r="F2274">
        <v>255</v>
      </c>
      <c r="G2274">
        <v>1932730</v>
      </c>
      <c r="H2274" t="s">
        <v>1738</v>
      </c>
    </row>
    <row r="2275" spans="1:8" x14ac:dyDescent="0.25">
      <c r="A2275" t="s">
        <v>6018</v>
      </c>
      <c r="B2275" t="s">
        <v>21</v>
      </c>
      <c r="C2275" t="s">
        <v>397</v>
      </c>
      <c r="D2275">
        <v>1500</v>
      </c>
      <c r="E2275">
        <v>1134.011</v>
      </c>
      <c r="F2275">
        <v>1131.5170000000001</v>
      </c>
      <c r="G2275">
        <v>4027993</v>
      </c>
      <c r="H2275" t="s">
        <v>6060</v>
      </c>
    </row>
    <row r="2276" spans="1:8" x14ac:dyDescent="0.25">
      <c r="A2276" t="s">
        <v>636</v>
      </c>
      <c r="B2276" t="s">
        <v>151</v>
      </c>
      <c r="C2276" t="s">
        <v>397</v>
      </c>
      <c r="D2276">
        <v>1424</v>
      </c>
      <c r="E2276">
        <v>1039.701</v>
      </c>
      <c r="F2276">
        <v>2503.3919999999998</v>
      </c>
      <c r="G2276">
        <v>1940881</v>
      </c>
      <c r="H2276" t="s">
        <v>842</v>
      </c>
    </row>
    <row r="2277" spans="1:8" x14ac:dyDescent="0.25">
      <c r="A2277" t="s">
        <v>636</v>
      </c>
      <c r="B2277" t="s">
        <v>151</v>
      </c>
      <c r="C2277" t="s">
        <v>397</v>
      </c>
      <c r="D2277">
        <v>1415</v>
      </c>
      <c r="E2277">
        <v>1033.1300000000001</v>
      </c>
      <c r="F2277">
        <v>2487.5700000000002</v>
      </c>
      <c r="G2277">
        <v>1940881</v>
      </c>
      <c r="H2277" t="s">
        <v>842</v>
      </c>
    </row>
    <row r="2278" spans="1:8" x14ac:dyDescent="0.25">
      <c r="A2278" t="s">
        <v>636</v>
      </c>
      <c r="B2278" t="s">
        <v>151</v>
      </c>
      <c r="C2278" t="s">
        <v>397</v>
      </c>
      <c r="D2278">
        <v>1399</v>
      </c>
      <c r="E2278">
        <v>1021.448</v>
      </c>
      <c r="F2278">
        <v>2459.442</v>
      </c>
      <c r="G2278">
        <v>1940881</v>
      </c>
      <c r="H2278" t="s">
        <v>842</v>
      </c>
    </row>
    <row r="2279" spans="1:8" x14ac:dyDescent="0.25">
      <c r="A2279" t="s">
        <v>636</v>
      </c>
      <c r="B2279" t="s">
        <v>151</v>
      </c>
      <c r="C2279" t="s">
        <v>397</v>
      </c>
      <c r="D2279">
        <v>1226</v>
      </c>
      <c r="E2279">
        <v>895.13599999999997</v>
      </c>
      <c r="F2279">
        <v>2155.308</v>
      </c>
      <c r="G2279">
        <v>1940881</v>
      </c>
      <c r="H2279" t="s">
        <v>842</v>
      </c>
    </row>
    <row r="2280" spans="1:8" x14ac:dyDescent="0.25">
      <c r="A2280" t="s">
        <v>636</v>
      </c>
      <c r="B2280" t="s">
        <v>151</v>
      </c>
      <c r="C2280" t="s">
        <v>397</v>
      </c>
      <c r="D2280">
        <v>1115</v>
      </c>
      <c r="E2280">
        <v>814.09199999999998</v>
      </c>
      <c r="F2280">
        <v>1960.17</v>
      </c>
      <c r="G2280">
        <v>1940881</v>
      </c>
      <c r="H2280" t="s">
        <v>842</v>
      </c>
    </row>
    <row r="2281" spans="1:8" x14ac:dyDescent="0.25">
      <c r="A2281" t="s">
        <v>636</v>
      </c>
      <c r="B2281" t="s">
        <v>151</v>
      </c>
      <c r="C2281" t="s">
        <v>397</v>
      </c>
      <c r="D2281">
        <v>699</v>
      </c>
      <c r="E2281">
        <v>510.35899999999998</v>
      </c>
      <c r="F2281">
        <v>1228.8420000000001</v>
      </c>
      <c r="G2281">
        <v>1940881</v>
      </c>
      <c r="H2281" t="s">
        <v>842</v>
      </c>
    </row>
    <row r="2282" spans="1:8" x14ac:dyDescent="0.25">
      <c r="A2282" t="s">
        <v>636</v>
      </c>
      <c r="B2282" t="s">
        <v>151</v>
      </c>
      <c r="C2282" t="s">
        <v>397</v>
      </c>
      <c r="D2282">
        <v>18</v>
      </c>
      <c r="E2282">
        <v>13.141999999999999</v>
      </c>
      <c r="F2282">
        <v>31.643999999999998</v>
      </c>
      <c r="G2282">
        <v>1940881</v>
      </c>
      <c r="H2282" t="s">
        <v>842</v>
      </c>
    </row>
    <row r="2283" spans="1:8" x14ac:dyDescent="0.25">
      <c r="A2283" t="s">
        <v>419</v>
      </c>
      <c r="B2283" t="s">
        <v>46</v>
      </c>
      <c r="C2283" t="s">
        <v>397</v>
      </c>
      <c r="D2283">
        <v>3826</v>
      </c>
      <c r="E2283">
        <v>2965.163</v>
      </c>
      <c r="F2283">
        <v>2438.3519999999999</v>
      </c>
      <c r="G2283">
        <v>3507464</v>
      </c>
      <c r="H2283" t="s">
        <v>684</v>
      </c>
    </row>
    <row r="2284" spans="1:8" x14ac:dyDescent="0.25">
      <c r="A2284" t="s">
        <v>419</v>
      </c>
      <c r="B2284" t="s">
        <v>46</v>
      </c>
      <c r="C2284" t="s">
        <v>397</v>
      </c>
      <c r="D2284">
        <v>3784</v>
      </c>
      <c r="E2284">
        <v>2932.6129999999998</v>
      </c>
      <c r="F2284">
        <v>2411.585</v>
      </c>
      <c r="G2284">
        <v>3507464</v>
      </c>
      <c r="H2284" t="s">
        <v>684</v>
      </c>
    </row>
    <row r="2285" spans="1:8" x14ac:dyDescent="0.25">
      <c r="A2285" t="s">
        <v>419</v>
      </c>
      <c r="B2285" t="s">
        <v>46</v>
      </c>
      <c r="C2285" t="s">
        <v>397</v>
      </c>
      <c r="D2285">
        <v>2394</v>
      </c>
      <c r="E2285">
        <v>1855.3579999999999</v>
      </c>
      <c r="F2285">
        <v>1525.723</v>
      </c>
      <c r="G2285">
        <v>3507464</v>
      </c>
      <c r="H2285" t="s">
        <v>684</v>
      </c>
    </row>
    <row r="2286" spans="1:8" x14ac:dyDescent="0.25">
      <c r="A2286" t="s">
        <v>419</v>
      </c>
      <c r="B2286" t="s">
        <v>46</v>
      </c>
      <c r="C2286" t="s">
        <v>397</v>
      </c>
      <c r="D2286">
        <v>1749</v>
      </c>
      <c r="E2286">
        <v>1355.481</v>
      </c>
      <c r="F2286">
        <v>1114.6569999999999</v>
      </c>
      <c r="G2286">
        <v>3507464</v>
      </c>
      <c r="H2286" t="s">
        <v>684</v>
      </c>
    </row>
    <row r="2287" spans="1:8" x14ac:dyDescent="0.25">
      <c r="A2287" t="s">
        <v>419</v>
      </c>
      <c r="B2287" t="s">
        <v>46</v>
      </c>
      <c r="C2287" t="s">
        <v>397</v>
      </c>
      <c r="D2287">
        <v>1319</v>
      </c>
      <c r="E2287">
        <v>1022.229</v>
      </c>
      <c r="F2287">
        <v>840.61300000000006</v>
      </c>
      <c r="G2287">
        <v>3507464</v>
      </c>
      <c r="H2287" t="s">
        <v>684</v>
      </c>
    </row>
    <row r="2288" spans="1:8" x14ac:dyDescent="0.25">
      <c r="A2288" t="s">
        <v>419</v>
      </c>
      <c r="B2288" t="s">
        <v>46</v>
      </c>
      <c r="C2288" t="s">
        <v>397</v>
      </c>
      <c r="D2288">
        <v>3</v>
      </c>
      <c r="E2288">
        <v>2.3250000000000002</v>
      </c>
      <c r="F2288">
        <v>1.9119999999999999</v>
      </c>
      <c r="G2288">
        <v>3507464</v>
      </c>
      <c r="H2288" t="s">
        <v>684</v>
      </c>
    </row>
    <row r="2289" spans="1:8" x14ac:dyDescent="0.25">
      <c r="A2289" t="s">
        <v>419</v>
      </c>
      <c r="B2289" t="s">
        <v>46</v>
      </c>
      <c r="C2289" t="s">
        <v>397</v>
      </c>
      <c r="D2289">
        <v>12806</v>
      </c>
      <c r="E2289">
        <v>3215.3850000000002</v>
      </c>
      <c r="F2289">
        <v>1408.66</v>
      </c>
      <c r="G2289">
        <v>1939993</v>
      </c>
      <c r="H2289" t="s">
        <v>420</v>
      </c>
    </row>
    <row r="2290" spans="1:8" x14ac:dyDescent="0.25">
      <c r="A2290" t="s">
        <v>419</v>
      </c>
      <c r="B2290" t="s">
        <v>46</v>
      </c>
      <c r="C2290" t="s">
        <v>397</v>
      </c>
      <c r="D2290">
        <v>5181</v>
      </c>
      <c r="E2290">
        <v>1300.867</v>
      </c>
      <c r="F2290">
        <v>569.91</v>
      </c>
      <c r="G2290">
        <v>1939993</v>
      </c>
      <c r="H2290" t="s">
        <v>420</v>
      </c>
    </row>
    <row r="2291" spans="1:8" x14ac:dyDescent="0.25">
      <c r="A2291" t="s">
        <v>419</v>
      </c>
      <c r="B2291" t="s">
        <v>46</v>
      </c>
      <c r="C2291" t="s">
        <v>397</v>
      </c>
      <c r="D2291">
        <v>1390</v>
      </c>
      <c r="E2291">
        <v>349.00700000000001</v>
      </c>
      <c r="F2291">
        <v>152.9</v>
      </c>
      <c r="G2291">
        <v>1939993</v>
      </c>
      <c r="H2291" t="s">
        <v>420</v>
      </c>
    </row>
    <row r="2292" spans="1:8" x14ac:dyDescent="0.25">
      <c r="A2292" t="s">
        <v>419</v>
      </c>
      <c r="B2292" t="s">
        <v>46</v>
      </c>
      <c r="C2292" t="s">
        <v>397</v>
      </c>
      <c r="D2292">
        <v>1490</v>
      </c>
      <c r="E2292">
        <v>374.11500000000001</v>
      </c>
      <c r="F2292">
        <v>163.9</v>
      </c>
      <c r="G2292">
        <v>1939993</v>
      </c>
      <c r="H2292" t="s">
        <v>420</v>
      </c>
    </row>
    <row r="2293" spans="1:8" x14ac:dyDescent="0.25">
      <c r="A2293" t="s">
        <v>419</v>
      </c>
      <c r="B2293" t="s">
        <v>46</v>
      </c>
      <c r="C2293" t="s">
        <v>397</v>
      </c>
      <c r="D2293">
        <v>33</v>
      </c>
      <c r="E2293">
        <v>8.2859999999999996</v>
      </c>
      <c r="F2293">
        <v>3.63</v>
      </c>
      <c r="G2293">
        <v>1939993</v>
      </c>
      <c r="H2293" t="s">
        <v>420</v>
      </c>
    </row>
    <row r="2294" spans="1:8" x14ac:dyDescent="0.25">
      <c r="A2294" t="s">
        <v>419</v>
      </c>
      <c r="B2294" t="s">
        <v>46</v>
      </c>
      <c r="C2294" t="s">
        <v>397</v>
      </c>
      <c r="D2294">
        <v>5731</v>
      </c>
      <c r="E2294">
        <v>1687.5119999999999</v>
      </c>
      <c r="F2294">
        <v>739.29899999999998</v>
      </c>
      <c r="G2294">
        <v>1939996</v>
      </c>
      <c r="H2294" t="s">
        <v>433</v>
      </c>
    </row>
    <row r="2295" spans="1:8" x14ac:dyDescent="0.25">
      <c r="A2295" t="s">
        <v>419</v>
      </c>
      <c r="B2295" t="s">
        <v>46</v>
      </c>
      <c r="C2295" t="s">
        <v>397</v>
      </c>
      <c r="D2295">
        <v>2705</v>
      </c>
      <c r="E2295">
        <v>796.49599999999998</v>
      </c>
      <c r="F2295">
        <v>348.94499999999999</v>
      </c>
      <c r="G2295">
        <v>1939996</v>
      </c>
      <c r="H2295" t="s">
        <v>433</v>
      </c>
    </row>
    <row r="2296" spans="1:8" x14ac:dyDescent="0.25">
      <c r="A2296" t="s">
        <v>419</v>
      </c>
      <c r="B2296" t="s">
        <v>46</v>
      </c>
      <c r="C2296" t="s">
        <v>397</v>
      </c>
      <c r="D2296">
        <v>2410</v>
      </c>
      <c r="E2296">
        <v>709.63300000000004</v>
      </c>
      <c r="F2296">
        <v>310.89</v>
      </c>
      <c r="G2296">
        <v>1939996</v>
      </c>
      <c r="H2296" t="s">
        <v>433</v>
      </c>
    </row>
    <row r="2297" spans="1:8" x14ac:dyDescent="0.25">
      <c r="A2297" t="s">
        <v>419</v>
      </c>
      <c r="B2297" t="s">
        <v>46</v>
      </c>
      <c r="C2297" t="s">
        <v>397</v>
      </c>
      <c r="D2297">
        <v>154</v>
      </c>
      <c r="E2297">
        <v>45.345999999999997</v>
      </c>
      <c r="F2297">
        <v>19.866</v>
      </c>
      <c r="G2297">
        <v>1939996</v>
      </c>
      <c r="H2297" t="s">
        <v>433</v>
      </c>
    </row>
    <row r="2298" spans="1:8" x14ac:dyDescent="0.25">
      <c r="A2298" t="s">
        <v>419</v>
      </c>
      <c r="B2298" t="s">
        <v>46</v>
      </c>
      <c r="C2298" t="s">
        <v>397</v>
      </c>
      <c r="D2298">
        <v>1409</v>
      </c>
      <c r="E2298">
        <v>410.68099999999998</v>
      </c>
      <c r="F2298">
        <v>269.11900000000003</v>
      </c>
      <c r="G2298">
        <v>1940090</v>
      </c>
      <c r="H2298" t="s">
        <v>538</v>
      </c>
    </row>
    <row r="2299" spans="1:8" x14ac:dyDescent="0.25">
      <c r="A2299" t="s">
        <v>419</v>
      </c>
      <c r="B2299" t="s">
        <v>46</v>
      </c>
      <c r="C2299" t="s">
        <v>397</v>
      </c>
      <c r="D2299">
        <v>43</v>
      </c>
      <c r="E2299">
        <v>12.532999999999999</v>
      </c>
      <c r="F2299">
        <v>8.2129999999999992</v>
      </c>
      <c r="G2299">
        <v>1940090</v>
      </c>
      <c r="H2299" t="s">
        <v>538</v>
      </c>
    </row>
    <row r="2300" spans="1:8" x14ac:dyDescent="0.25">
      <c r="A2300" t="s">
        <v>419</v>
      </c>
      <c r="B2300" t="s">
        <v>46</v>
      </c>
      <c r="C2300" t="s">
        <v>397</v>
      </c>
      <c r="D2300">
        <v>548</v>
      </c>
      <c r="E2300">
        <v>159.72499999999999</v>
      </c>
      <c r="F2300">
        <v>104.66800000000001</v>
      </c>
      <c r="G2300">
        <v>1940090</v>
      </c>
      <c r="H2300" t="s">
        <v>538</v>
      </c>
    </row>
    <row r="2301" spans="1:8" x14ac:dyDescent="0.25">
      <c r="A2301" t="s">
        <v>6015</v>
      </c>
      <c r="B2301" t="s">
        <v>65</v>
      </c>
      <c r="C2301" t="s">
        <v>397</v>
      </c>
      <c r="D2301">
        <v>1000</v>
      </c>
      <c r="E2301">
        <v>725.79200000000003</v>
      </c>
      <c r="F2301">
        <v>838</v>
      </c>
      <c r="G2301">
        <v>4027991</v>
      </c>
      <c r="H2301" t="s">
        <v>6028</v>
      </c>
    </row>
    <row r="2302" spans="1:8" x14ac:dyDescent="0.25">
      <c r="A2302" t="s">
        <v>6015</v>
      </c>
      <c r="B2302" t="s">
        <v>65</v>
      </c>
      <c r="C2302" t="s">
        <v>397</v>
      </c>
      <c r="D2302">
        <v>1184</v>
      </c>
      <c r="E2302">
        <v>675.86</v>
      </c>
      <c r="F2302">
        <v>1253.856</v>
      </c>
      <c r="G2302">
        <v>3781648</v>
      </c>
      <c r="H2302" t="s">
        <v>1755</v>
      </c>
    </row>
    <row r="2303" spans="1:8" x14ac:dyDescent="0.25">
      <c r="A2303" t="s">
        <v>6015</v>
      </c>
      <c r="B2303" t="s">
        <v>65</v>
      </c>
      <c r="C2303" t="s">
        <v>397</v>
      </c>
      <c r="D2303">
        <v>196</v>
      </c>
      <c r="E2303">
        <v>111.88200000000001</v>
      </c>
      <c r="F2303">
        <v>207.56399999999999</v>
      </c>
      <c r="G2303">
        <v>3781648</v>
      </c>
      <c r="H2303" t="s">
        <v>1755</v>
      </c>
    </row>
    <row r="2304" spans="1:8" x14ac:dyDescent="0.25">
      <c r="A2304" t="s">
        <v>6015</v>
      </c>
      <c r="B2304" t="s">
        <v>65</v>
      </c>
      <c r="C2304" t="s">
        <v>397</v>
      </c>
      <c r="D2304">
        <v>53</v>
      </c>
      <c r="E2304">
        <v>13.939</v>
      </c>
      <c r="F2304">
        <v>9.6</v>
      </c>
      <c r="G2304">
        <v>2382571</v>
      </c>
      <c r="H2304" t="s">
        <v>6016</v>
      </c>
    </row>
    <row r="2305" spans="1:8" x14ac:dyDescent="0.25">
      <c r="A2305" t="s">
        <v>6015</v>
      </c>
      <c r="B2305" t="s">
        <v>65</v>
      </c>
      <c r="C2305" t="s">
        <v>397</v>
      </c>
      <c r="D2305">
        <v>797</v>
      </c>
      <c r="E2305">
        <v>209.61699999999999</v>
      </c>
      <c r="F2305">
        <v>144.363</v>
      </c>
      <c r="G2305">
        <v>2382571</v>
      </c>
      <c r="H2305" t="s">
        <v>6016</v>
      </c>
    </row>
    <row r="2306" spans="1:8" x14ac:dyDescent="0.25">
      <c r="A2306" t="s">
        <v>6015</v>
      </c>
      <c r="B2306" t="s">
        <v>65</v>
      </c>
      <c r="C2306" t="s">
        <v>397</v>
      </c>
      <c r="D2306">
        <v>150</v>
      </c>
      <c r="E2306">
        <v>39.451000000000001</v>
      </c>
      <c r="F2306">
        <v>27.17</v>
      </c>
      <c r="G2306">
        <v>2382571</v>
      </c>
      <c r="H2306" t="s">
        <v>6016</v>
      </c>
    </row>
    <row r="2307" spans="1:8" x14ac:dyDescent="0.25">
      <c r="A2307" t="s">
        <v>437</v>
      </c>
      <c r="B2307" t="s">
        <v>18</v>
      </c>
      <c r="C2307" t="s">
        <v>397</v>
      </c>
      <c r="D2307">
        <v>3219</v>
      </c>
      <c r="E2307">
        <v>1143.0709999999999</v>
      </c>
      <c r="F2307">
        <v>1319.79</v>
      </c>
      <c r="G2307">
        <v>1940588</v>
      </c>
      <c r="H2307" t="s">
        <v>797</v>
      </c>
    </row>
    <row r="2308" spans="1:8" x14ac:dyDescent="0.25">
      <c r="A2308" t="s">
        <v>437</v>
      </c>
      <c r="B2308" t="s">
        <v>18</v>
      </c>
      <c r="C2308" t="s">
        <v>397</v>
      </c>
      <c r="D2308">
        <v>3085</v>
      </c>
      <c r="E2308">
        <v>1095.4880000000001</v>
      </c>
      <c r="F2308">
        <v>1264.8499999999999</v>
      </c>
      <c r="G2308">
        <v>1940588</v>
      </c>
      <c r="H2308" t="s">
        <v>797</v>
      </c>
    </row>
    <row r="2309" spans="1:8" x14ac:dyDescent="0.25">
      <c r="A2309" t="s">
        <v>437</v>
      </c>
      <c r="B2309" t="s">
        <v>18</v>
      </c>
      <c r="C2309" t="s">
        <v>397</v>
      </c>
      <c r="D2309">
        <v>21</v>
      </c>
      <c r="E2309">
        <v>7.4569999999999999</v>
      </c>
      <c r="F2309">
        <v>8.61</v>
      </c>
      <c r="G2309">
        <v>1940588</v>
      </c>
      <c r="H2309" t="s">
        <v>797</v>
      </c>
    </row>
    <row r="2310" spans="1:8" x14ac:dyDescent="0.25">
      <c r="A2310" t="s">
        <v>437</v>
      </c>
      <c r="B2310" t="s">
        <v>18</v>
      </c>
      <c r="C2310" t="s">
        <v>397</v>
      </c>
      <c r="D2310">
        <v>442</v>
      </c>
      <c r="E2310">
        <v>266.96199999999999</v>
      </c>
      <c r="F2310">
        <v>518.46600000000001</v>
      </c>
      <c r="G2310">
        <v>2427158</v>
      </c>
      <c r="H2310" t="s">
        <v>671</v>
      </c>
    </row>
    <row r="2311" spans="1:8" x14ac:dyDescent="0.25">
      <c r="A2311" t="s">
        <v>437</v>
      </c>
      <c r="B2311" t="s">
        <v>18</v>
      </c>
      <c r="C2311" t="s">
        <v>397</v>
      </c>
      <c r="D2311">
        <v>1350</v>
      </c>
      <c r="E2311">
        <v>815.38</v>
      </c>
      <c r="F2311">
        <v>1583.55</v>
      </c>
      <c r="G2311">
        <v>2427158</v>
      </c>
      <c r="H2311" t="s">
        <v>671</v>
      </c>
    </row>
    <row r="2312" spans="1:8" x14ac:dyDescent="0.25">
      <c r="A2312" t="s">
        <v>437</v>
      </c>
      <c r="B2312" t="s">
        <v>18</v>
      </c>
      <c r="C2312" t="s">
        <v>397</v>
      </c>
      <c r="D2312">
        <v>1140</v>
      </c>
      <c r="E2312">
        <v>688.54300000000001</v>
      </c>
      <c r="F2312">
        <v>1337.22</v>
      </c>
      <c r="G2312">
        <v>2427158</v>
      </c>
      <c r="H2312" t="s">
        <v>671</v>
      </c>
    </row>
    <row r="2313" spans="1:8" x14ac:dyDescent="0.25">
      <c r="A2313" t="s">
        <v>437</v>
      </c>
      <c r="B2313" t="s">
        <v>18</v>
      </c>
      <c r="C2313" t="s">
        <v>397</v>
      </c>
      <c r="D2313">
        <v>570</v>
      </c>
      <c r="E2313">
        <v>344.27199999999999</v>
      </c>
      <c r="F2313">
        <v>668.61</v>
      </c>
      <c r="G2313">
        <v>2427158</v>
      </c>
      <c r="H2313" t="s">
        <v>671</v>
      </c>
    </row>
    <row r="2314" spans="1:8" x14ac:dyDescent="0.25">
      <c r="A2314" t="s">
        <v>437</v>
      </c>
      <c r="B2314" t="s">
        <v>18</v>
      </c>
      <c r="C2314" t="s">
        <v>397</v>
      </c>
      <c r="D2314">
        <v>3</v>
      </c>
      <c r="E2314">
        <v>1.8120000000000001</v>
      </c>
      <c r="F2314">
        <v>3.5190000000000001</v>
      </c>
      <c r="G2314">
        <v>2427158</v>
      </c>
      <c r="H2314" t="s">
        <v>671</v>
      </c>
    </row>
    <row r="2315" spans="1:8" x14ac:dyDescent="0.25">
      <c r="A2315" t="s">
        <v>437</v>
      </c>
      <c r="B2315" t="s">
        <v>18</v>
      </c>
      <c r="C2315" t="s">
        <v>397</v>
      </c>
      <c r="D2315">
        <v>3</v>
      </c>
      <c r="E2315">
        <v>1.8120000000000001</v>
      </c>
      <c r="F2315">
        <v>3.5190000000000001</v>
      </c>
      <c r="G2315">
        <v>2427158</v>
      </c>
      <c r="H2315" t="s">
        <v>671</v>
      </c>
    </row>
    <row r="2316" spans="1:8" x14ac:dyDescent="0.25">
      <c r="A2316" t="s">
        <v>437</v>
      </c>
      <c r="B2316" t="s">
        <v>18</v>
      </c>
      <c r="C2316" t="s">
        <v>397</v>
      </c>
      <c r="D2316">
        <v>1</v>
      </c>
      <c r="E2316">
        <v>0.60399999999999998</v>
      </c>
      <c r="F2316">
        <v>1.173</v>
      </c>
      <c r="G2316">
        <v>2427158</v>
      </c>
      <c r="H2316" t="s">
        <v>671</v>
      </c>
    </row>
    <row r="2317" spans="1:8" x14ac:dyDescent="0.25">
      <c r="A2317" t="s">
        <v>437</v>
      </c>
      <c r="B2317" t="s">
        <v>18</v>
      </c>
      <c r="C2317" t="s">
        <v>397</v>
      </c>
      <c r="D2317">
        <v>1</v>
      </c>
      <c r="E2317">
        <v>0.60399999999999998</v>
      </c>
      <c r="F2317">
        <v>1.173</v>
      </c>
      <c r="G2317">
        <v>2427158</v>
      </c>
      <c r="H2317" t="s">
        <v>671</v>
      </c>
    </row>
    <row r="2318" spans="1:8" x14ac:dyDescent="0.25">
      <c r="A2318" t="s">
        <v>401</v>
      </c>
      <c r="B2318" t="s">
        <v>17</v>
      </c>
      <c r="C2318" t="s">
        <v>397</v>
      </c>
      <c r="D2318">
        <v>196</v>
      </c>
      <c r="E2318">
        <v>80.034999999999997</v>
      </c>
      <c r="F2318">
        <v>27.244</v>
      </c>
      <c r="G2318">
        <v>1939966</v>
      </c>
      <c r="H2318" t="s">
        <v>402</v>
      </c>
    </row>
    <row r="2319" spans="1:8" x14ac:dyDescent="0.25">
      <c r="A2319" t="s">
        <v>401</v>
      </c>
      <c r="B2319" t="s">
        <v>17</v>
      </c>
      <c r="C2319" t="s">
        <v>397</v>
      </c>
      <c r="D2319">
        <v>1985</v>
      </c>
      <c r="E2319">
        <v>810.56100000000004</v>
      </c>
      <c r="F2319">
        <v>275.91500000000002</v>
      </c>
      <c r="G2319">
        <v>1939966</v>
      </c>
      <c r="H2319" t="s">
        <v>402</v>
      </c>
    </row>
    <row r="2320" spans="1:8" x14ac:dyDescent="0.25">
      <c r="A2320" t="s">
        <v>401</v>
      </c>
      <c r="B2320" t="s">
        <v>17</v>
      </c>
      <c r="C2320" t="s">
        <v>397</v>
      </c>
      <c r="D2320">
        <v>7219</v>
      </c>
      <c r="E2320">
        <v>2947.8290000000002</v>
      </c>
      <c r="F2320">
        <v>1003.441</v>
      </c>
      <c r="G2320">
        <v>1939966</v>
      </c>
      <c r="H2320" t="s">
        <v>402</v>
      </c>
    </row>
    <row r="2321" spans="1:8" x14ac:dyDescent="0.25">
      <c r="A2321" t="s">
        <v>854</v>
      </c>
      <c r="B2321" t="s">
        <v>18</v>
      </c>
      <c r="C2321" t="s">
        <v>397</v>
      </c>
      <c r="D2321">
        <v>1800</v>
      </c>
      <c r="E2321">
        <v>1328.404</v>
      </c>
      <c r="F2321">
        <v>1325.88</v>
      </c>
      <c r="G2321">
        <v>4267147</v>
      </c>
      <c r="H2321" t="s">
        <v>264</v>
      </c>
    </row>
    <row r="2322" spans="1:8" x14ac:dyDescent="0.25">
      <c r="A2322" t="s">
        <v>854</v>
      </c>
      <c r="B2322" t="s">
        <v>18</v>
      </c>
      <c r="C2322" t="s">
        <v>397</v>
      </c>
      <c r="D2322">
        <v>2049</v>
      </c>
      <c r="E2322">
        <v>1512.1669999999999</v>
      </c>
      <c r="F2322">
        <v>1509.2929999999999</v>
      </c>
      <c r="G2322">
        <v>4267147</v>
      </c>
      <c r="H2322" t="s">
        <v>264</v>
      </c>
    </row>
    <row r="2323" spans="1:8" x14ac:dyDescent="0.25">
      <c r="A2323" t="s">
        <v>854</v>
      </c>
      <c r="B2323" t="s">
        <v>18</v>
      </c>
      <c r="C2323" t="s">
        <v>397</v>
      </c>
      <c r="D2323">
        <v>475</v>
      </c>
      <c r="E2323">
        <v>350.55099999999999</v>
      </c>
      <c r="F2323">
        <v>349.88499999999999</v>
      </c>
      <c r="G2323">
        <v>4267147</v>
      </c>
      <c r="H2323" t="s">
        <v>264</v>
      </c>
    </row>
    <row r="2324" spans="1:8" x14ac:dyDescent="0.25">
      <c r="A2324" t="s">
        <v>854</v>
      </c>
      <c r="B2324" t="s">
        <v>18</v>
      </c>
      <c r="C2324" t="s">
        <v>397</v>
      </c>
      <c r="D2324">
        <v>51</v>
      </c>
      <c r="E2324">
        <v>37.637999999999998</v>
      </c>
      <c r="F2324">
        <v>37.567</v>
      </c>
      <c r="G2324">
        <v>4267147</v>
      </c>
      <c r="H2324" t="s">
        <v>264</v>
      </c>
    </row>
    <row r="2325" spans="1:8" x14ac:dyDescent="0.25">
      <c r="A2325" t="s">
        <v>6061</v>
      </c>
      <c r="B2325" t="s">
        <v>132</v>
      </c>
      <c r="C2325" t="s">
        <v>392</v>
      </c>
      <c r="D2325">
        <v>685</v>
      </c>
      <c r="E2325">
        <v>4109.9830000000002</v>
      </c>
      <c r="F2325">
        <v>20000</v>
      </c>
      <c r="G2325">
        <v>1942368</v>
      </c>
      <c r="H2325" t="s">
        <v>6062</v>
      </c>
    </row>
    <row r="2326" spans="1:8" x14ac:dyDescent="0.25">
      <c r="A2326" t="s">
        <v>6061</v>
      </c>
      <c r="B2326" t="s">
        <v>132</v>
      </c>
      <c r="C2326" t="s">
        <v>392</v>
      </c>
      <c r="D2326">
        <v>159</v>
      </c>
      <c r="E2326">
        <v>953.51599999999996</v>
      </c>
      <c r="F2326">
        <v>4640</v>
      </c>
      <c r="G2326">
        <v>1942364</v>
      </c>
      <c r="H2326" t="s">
        <v>6063</v>
      </c>
    </row>
    <row r="2327" spans="1:8" x14ac:dyDescent="0.25">
      <c r="A2327" t="s">
        <v>585</v>
      </c>
      <c r="B2327" t="s">
        <v>48</v>
      </c>
      <c r="C2327" t="s">
        <v>397</v>
      </c>
      <c r="D2327">
        <v>1976</v>
      </c>
      <c r="E2327">
        <v>1649.9380000000001</v>
      </c>
      <c r="F2327">
        <v>2790.7049999999999</v>
      </c>
      <c r="G2327">
        <v>3712521</v>
      </c>
      <c r="H2327" t="s">
        <v>631</v>
      </c>
    </row>
    <row r="2328" spans="1:8" x14ac:dyDescent="0.25">
      <c r="A2328" t="s">
        <v>585</v>
      </c>
      <c r="B2328" t="s">
        <v>48</v>
      </c>
      <c r="C2328" t="s">
        <v>397</v>
      </c>
      <c r="D2328">
        <v>19</v>
      </c>
      <c r="E2328">
        <v>15.865</v>
      </c>
      <c r="F2328">
        <v>26.834</v>
      </c>
      <c r="G2328">
        <v>3712521</v>
      </c>
      <c r="H2328" t="s">
        <v>631</v>
      </c>
    </row>
    <row r="2329" spans="1:8" x14ac:dyDescent="0.25">
      <c r="A2329" t="s">
        <v>585</v>
      </c>
      <c r="B2329" t="s">
        <v>48</v>
      </c>
      <c r="C2329" t="s">
        <v>397</v>
      </c>
      <c r="D2329">
        <v>890</v>
      </c>
      <c r="E2329">
        <v>765.60799999999995</v>
      </c>
      <c r="F2329">
        <v>1294.95</v>
      </c>
      <c r="G2329">
        <v>1940830</v>
      </c>
      <c r="H2329" t="s">
        <v>587</v>
      </c>
    </row>
    <row r="2330" spans="1:8" x14ac:dyDescent="0.25">
      <c r="A2330" t="s">
        <v>585</v>
      </c>
      <c r="B2330" t="s">
        <v>48</v>
      </c>
      <c r="C2330" t="s">
        <v>397</v>
      </c>
      <c r="D2330">
        <v>752</v>
      </c>
      <c r="E2330">
        <v>646.89599999999996</v>
      </c>
      <c r="F2330">
        <v>1094.1600000000001</v>
      </c>
      <c r="G2330">
        <v>1940830</v>
      </c>
      <c r="H2330" t="s">
        <v>587</v>
      </c>
    </row>
    <row r="2331" spans="1:8" x14ac:dyDescent="0.25">
      <c r="A2331" t="s">
        <v>585</v>
      </c>
      <c r="B2331" t="s">
        <v>48</v>
      </c>
      <c r="C2331" t="s">
        <v>397</v>
      </c>
      <c r="D2331">
        <v>274</v>
      </c>
      <c r="E2331">
        <v>235.70400000000001</v>
      </c>
      <c r="F2331">
        <v>398.67</v>
      </c>
      <c r="G2331">
        <v>1940830</v>
      </c>
      <c r="H2331" t="s">
        <v>587</v>
      </c>
    </row>
    <row r="2332" spans="1:8" x14ac:dyDescent="0.25">
      <c r="A2332" t="s">
        <v>585</v>
      </c>
      <c r="B2332" t="s">
        <v>48</v>
      </c>
      <c r="C2332" t="s">
        <v>397</v>
      </c>
      <c r="D2332">
        <v>2</v>
      </c>
      <c r="E2332">
        <v>1.72</v>
      </c>
      <c r="F2332">
        <v>2.91</v>
      </c>
      <c r="G2332">
        <v>1940830</v>
      </c>
      <c r="H2332" t="s">
        <v>587</v>
      </c>
    </row>
    <row r="2333" spans="1:8" x14ac:dyDescent="0.25">
      <c r="A2333" t="s">
        <v>585</v>
      </c>
      <c r="B2333" t="s">
        <v>48</v>
      </c>
      <c r="C2333" t="s">
        <v>397</v>
      </c>
      <c r="D2333">
        <v>2</v>
      </c>
      <c r="E2333">
        <v>1.72</v>
      </c>
      <c r="F2333">
        <v>2.91</v>
      </c>
      <c r="G2333">
        <v>1940830</v>
      </c>
      <c r="H2333" t="s">
        <v>587</v>
      </c>
    </row>
    <row r="2334" spans="1:8" x14ac:dyDescent="0.25">
      <c r="A2334" t="s">
        <v>396</v>
      </c>
      <c r="B2334" t="s">
        <v>61</v>
      </c>
      <c r="C2334" t="s">
        <v>397</v>
      </c>
      <c r="D2334">
        <v>3000</v>
      </c>
      <c r="E2334">
        <v>837.25</v>
      </c>
      <c r="F2334">
        <v>285</v>
      </c>
      <c r="G2334">
        <v>1939963</v>
      </c>
      <c r="H2334" t="s">
        <v>399</v>
      </c>
    </row>
    <row r="2335" spans="1:8" x14ac:dyDescent="0.25">
      <c r="A2335" t="s">
        <v>396</v>
      </c>
      <c r="B2335" t="s">
        <v>61</v>
      </c>
      <c r="C2335" t="s">
        <v>397</v>
      </c>
      <c r="D2335">
        <v>1100</v>
      </c>
      <c r="E2335">
        <v>480.04300000000001</v>
      </c>
      <c r="F2335">
        <v>270.60000000000002</v>
      </c>
      <c r="G2335">
        <v>3620428</v>
      </c>
      <c r="H2335" t="s">
        <v>507</v>
      </c>
    </row>
    <row r="2336" spans="1:8" x14ac:dyDescent="0.25">
      <c r="A2336" t="s">
        <v>396</v>
      </c>
      <c r="B2336" t="s">
        <v>61</v>
      </c>
      <c r="C2336" t="s">
        <v>397</v>
      </c>
      <c r="D2336">
        <v>1958</v>
      </c>
      <c r="E2336">
        <v>430.767</v>
      </c>
      <c r="F2336">
        <v>419.49099999999999</v>
      </c>
      <c r="G2336">
        <v>1940430</v>
      </c>
      <c r="H2336" t="s">
        <v>762</v>
      </c>
    </row>
    <row r="2337" spans="1:8" x14ac:dyDescent="0.25">
      <c r="A2337" t="s">
        <v>396</v>
      </c>
      <c r="B2337" t="s">
        <v>61</v>
      </c>
      <c r="C2337" t="s">
        <v>397</v>
      </c>
      <c r="D2337">
        <v>1300</v>
      </c>
      <c r="E2337">
        <v>286.005</v>
      </c>
      <c r="F2337">
        <v>278.51799999999997</v>
      </c>
      <c r="G2337">
        <v>1940430</v>
      </c>
      <c r="H2337" t="s">
        <v>762</v>
      </c>
    </row>
    <row r="2338" spans="1:8" x14ac:dyDescent="0.25">
      <c r="A2338" t="s">
        <v>396</v>
      </c>
      <c r="B2338" t="s">
        <v>61</v>
      </c>
      <c r="C2338" t="s">
        <v>397</v>
      </c>
      <c r="D2338">
        <v>924</v>
      </c>
      <c r="E2338">
        <v>203.28299999999999</v>
      </c>
      <c r="F2338">
        <v>197.96199999999999</v>
      </c>
      <c r="G2338">
        <v>1940430</v>
      </c>
      <c r="H2338" t="s">
        <v>762</v>
      </c>
    </row>
    <row r="2339" spans="1:8" x14ac:dyDescent="0.25">
      <c r="A2339" t="s">
        <v>396</v>
      </c>
      <c r="B2339" t="s">
        <v>61</v>
      </c>
      <c r="C2339" t="s">
        <v>397</v>
      </c>
      <c r="D2339">
        <v>18</v>
      </c>
      <c r="E2339">
        <v>3.96</v>
      </c>
      <c r="F2339">
        <v>3.8559999999999999</v>
      </c>
      <c r="G2339">
        <v>1940430</v>
      </c>
      <c r="H2339" t="s">
        <v>762</v>
      </c>
    </row>
    <row r="2340" spans="1:8" x14ac:dyDescent="0.25">
      <c r="A2340" t="s">
        <v>396</v>
      </c>
      <c r="B2340" t="s">
        <v>61</v>
      </c>
      <c r="C2340" t="s">
        <v>397</v>
      </c>
      <c r="D2340">
        <v>5396</v>
      </c>
      <c r="E2340">
        <v>1430.758</v>
      </c>
      <c r="F2340">
        <v>1359.7919999999999</v>
      </c>
      <c r="G2340">
        <v>1940309</v>
      </c>
      <c r="H2340" t="s">
        <v>703</v>
      </c>
    </row>
    <row r="2341" spans="1:8" x14ac:dyDescent="0.25">
      <c r="A2341" t="s">
        <v>396</v>
      </c>
      <c r="B2341" t="s">
        <v>61</v>
      </c>
      <c r="C2341" t="s">
        <v>397</v>
      </c>
      <c r="D2341">
        <v>3599</v>
      </c>
      <c r="E2341">
        <v>954.28</v>
      </c>
      <c r="F2341">
        <v>906.94799999999998</v>
      </c>
      <c r="G2341">
        <v>1940309</v>
      </c>
      <c r="H2341" t="s">
        <v>703</v>
      </c>
    </row>
    <row r="2342" spans="1:8" x14ac:dyDescent="0.25">
      <c r="A2342" t="s">
        <v>396</v>
      </c>
      <c r="B2342" t="s">
        <v>61</v>
      </c>
      <c r="C2342" t="s">
        <v>397</v>
      </c>
      <c r="D2342">
        <v>105</v>
      </c>
      <c r="E2342">
        <v>27.841000000000001</v>
      </c>
      <c r="F2342">
        <v>26.46</v>
      </c>
      <c r="G2342">
        <v>1940309</v>
      </c>
      <c r="H2342" t="s">
        <v>703</v>
      </c>
    </row>
    <row r="2343" spans="1:8" x14ac:dyDescent="0.25">
      <c r="A2343" t="s">
        <v>396</v>
      </c>
      <c r="B2343" t="s">
        <v>61</v>
      </c>
      <c r="C2343" t="s">
        <v>397</v>
      </c>
      <c r="D2343">
        <v>650</v>
      </c>
      <c r="E2343">
        <v>172.34800000000001</v>
      </c>
      <c r="F2343">
        <v>163.80000000000001</v>
      </c>
      <c r="G2343">
        <v>1940309</v>
      </c>
      <c r="H2343" t="s">
        <v>703</v>
      </c>
    </row>
    <row r="2344" spans="1:8" x14ac:dyDescent="0.25">
      <c r="A2344" t="s">
        <v>396</v>
      </c>
      <c r="B2344" t="s">
        <v>61</v>
      </c>
      <c r="C2344" t="s">
        <v>397</v>
      </c>
      <c r="D2344">
        <v>158</v>
      </c>
      <c r="E2344">
        <v>41.893999999999998</v>
      </c>
      <c r="F2344">
        <v>39.816000000000003</v>
      </c>
      <c r="G2344">
        <v>1940309</v>
      </c>
      <c r="H2344" t="s">
        <v>703</v>
      </c>
    </row>
    <row r="2345" spans="1:8" x14ac:dyDescent="0.25">
      <c r="A2345" t="s">
        <v>396</v>
      </c>
      <c r="B2345" t="s">
        <v>61</v>
      </c>
      <c r="C2345" t="s">
        <v>397</v>
      </c>
      <c r="D2345">
        <v>92</v>
      </c>
      <c r="E2345">
        <v>24.393999999999998</v>
      </c>
      <c r="F2345">
        <v>23.184000000000001</v>
      </c>
      <c r="G2345">
        <v>1940309</v>
      </c>
      <c r="H2345" t="s">
        <v>703</v>
      </c>
    </row>
    <row r="2346" spans="1:8" x14ac:dyDescent="0.25">
      <c r="A2346" t="s">
        <v>396</v>
      </c>
      <c r="B2346" t="s">
        <v>61</v>
      </c>
      <c r="C2346" t="s">
        <v>397</v>
      </c>
      <c r="D2346">
        <v>5857</v>
      </c>
      <c r="E2346">
        <v>1725.547</v>
      </c>
      <c r="F2346">
        <v>1639.96</v>
      </c>
      <c r="G2346">
        <v>1940312</v>
      </c>
      <c r="H2346" t="s">
        <v>410</v>
      </c>
    </row>
    <row r="2347" spans="1:8" x14ac:dyDescent="0.25">
      <c r="A2347" t="s">
        <v>396</v>
      </c>
      <c r="B2347" t="s">
        <v>61</v>
      </c>
      <c r="C2347" t="s">
        <v>397</v>
      </c>
      <c r="D2347">
        <v>5071</v>
      </c>
      <c r="E2347">
        <v>1493.981</v>
      </c>
      <c r="F2347">
        <v>1419.88</v>
      </c>
      <c r="G2347">
        <v>1940312</v>
      </c>
      <c r="H2347" t="s">
        <v>410</v>
      </c>
    </row>
    <row r="2348" spans="1:8" x14ac:dyDescent="0.25">
      <c r="A2348" t="s">
        <v>396</v>
      </c>
      <c r="B2348" t="s">
        <v>61</v>
      </c>
      <c r="C2348" t="s">
        <v>397</v>
      </c>
      <c r="D2348">
        <v>257</v>
      </c>
      <c r="E2348">
        <v>75.715000000000003</v>
      </c>
      <c r="F2348">
        <v>71.959999999999994</v>
      </c>
      <c r="G2348">
        <v>1940312</v>
      </c>
      <c r="H2348" t="s">
        <v>410</v>
      </c>
    </row>
    <row r="2349" spans="1:8" x14ac:dyDescent="0.25">
      <c r="A2349" t="s">
        <v>396</v>
      </c>
      <c r="B2349" t="s">
        <v>61</v>
      </c>
      <c r="C2349" t="s">
        <v>397</v>
      </c>
      <c r="D2349">
        <v>15</v>
      </c>
      <c r="E2349">
        <v>4.4189999999999996</v>
      </c>
      <c r="F2349">
        <v>4.2</v>
      </c>
      <c r="G2349">
        <v>1940312</v>
      </c>
      <c r="H2349" t="s">
        <v>410</v>
      </c>
    </row>
    <row r="2350" spans="1:8" x14ac:dyDescent="0.25">
      <c r="A2350" t="s">
        <v>396</v>
      </c>
      <c r="B2350" t="s">
        <v>61</v>
      </c>
      <c r="C2350" t="s">
        <v>397</v>
      </c>
      <c r="D2350">
        <v>2170</v>
      </c>
      <c r="E2350">
        <v>2829.74</v>
      </c>
      <c r="F2350">
        <v>2304.54</v>
      </c>
      <c r="G2350">
        <v>3673011</v>
      </c>
      <c r="H2350" t="s">
        <v>651</v>
      </c>
    </row>
    <row r="2351" spans="1:8" x14ac:dyDescent="0.25">
      <c r="A2351" t="s">
        <v>396</v>
      </c>
      <c r="B2351" t="s">
        <v>61</v>
      </c>
      <c r="C2351" t="s">
        <v>397</v>
      </c>
      <c r="D2351">
        <v>1149</v>
      </c>
      <c r="E2351">
        <v>1498.328</v>
      </c>
      <c r="F2351">
        <v>1220.2380000000001</v>
      </c>
      <c r="G2351">
        <v>3673011</v>
      </c>
      <c r="H2351" t="s">
        <v>651</v>
      </c>
    </row>
    <row r="2352" spans="1:8" x14ac:dyDescent="0.25">
      <c r="A2352" t="s">
        <v>396</v>
      </c>
      <c r="B2352" t="s">
        <v>61</v>
      </c>
      <c r="C2352" t="s">
        <v>397</v>
      </c>
      <c r="D2352">
        <v>923</v>
      </c>
      <c r="E2352">
        <v>1203.617</v>
      </c>
      <c r="F2352">
        <v>980.226</v>
      </c>
      <c r="G2352">
        <v>3673011</v>
      </c>
      <c r="H2352" t="s">
        <v>651</v>
      </c>
    </row>
    <row r="2353" spans="1:8" x14ac:dyDescent="0.25">
      <c r="A2353" t="s">
        <v>396</v>
      </c>
      <c r="B2353" t="s">
        <v>61</v>
      </c>
      <c r="C2353" t="s">
        <v>397</v>
      </c>
      <c r="D2353">
        <v>564</v>
      </c>
      <c r="E2353">
        <v>735.47199999999998</v>
      </c>
      <c r="F2353">
        <v>598.96799999999996</v>
      </c>
      <c r="G2353">
        <v>3673011</v>
      </c>
      <c r="H2353" t="s">
        <v>651</v>
      </c>
    </row>
    <row r="2354" spans="1:8" x14ac:dyDescent="0.25">
      <c r="A2354" t="s">
        <v>396</v>
      </c>
      <c r="B2354" t="s">
        <v>61</v>
      </c>
      <c r="C2354" t="s">
        <v>397</v>
      </c>
      <c r="D2354">
        <v>387</v>
      </c>
      <c r="E2354">
        <v>504.65899999999999</v>
      </c>
      <c r="F2354">
        <v>410.99400000000003</v>
      </c>
      <c r="G2354">
        <v>3673011</v>
      </c>
      <c r="H2354" t="s">
        <v>651</v>
      </c>
    </row>
    <row r="2355" spans="1:8" x14ac:dyDescent="0.25">
      <c r="A2355" t="s">
        <v>396</v>
      </c>
      <c r="B2355" t="s">
        <v>61</v>
      </c>
      <c r="C2355" t="s">
        <v>397</v>
      </c>
      <c r="D2355">
        <v>161</v>
      </c>
      <c r="E2355">
        <v>209.94800000000001</v>
      </c>
      <c r="F2355">
        <v>170.982</v>
      </c>
      <c r="G2355">
        <v>3673011</v>
      </c>
      <c r="H2355" t="s">
        <v>651</v>
      </c>
    </row>
    <row r="2356" spans="1:8" x14ac:dyDescent="0.25">
      <c r="A2356" t="s">
        <v>396</v>
      </c>
      <c r="B2356" t="s">
        <v>61</v>
      </c>
      <c r="C2356" t="s">
        <v>397</v>
      </c>
      <c r="D2356">
        <v>83</v>
      </c>
      <c r="E2356">
        <v>108.23399999999999</v>
      </c>
      <c r="F2356">
        <v>88.146000000000001</v>
      </c>
      <c r="G2356">
        <v>3673011</v>
      </c>
      <c r="H2356" t="s">
        <v>651</v>
      </c>
    </row>
    <row r="2357" spans="1:8" x14ac:dyDescent="0.25">
      <c r="A2357" t="s">
        <v>396</v>
      </c>
      <c r="B2357" t="s">
        <v>61</v>
      </c>
      <c r="C2357" t="s">
        <v>397</v>
      </c>
      <c r="D2357">
        <v>13</v>
      </c>
      <c r="E2357">
        <v>16.952000000000002</v>
      </c>
      <c r="F2357">
        <v>13.805999999999999</v>
      </c>
      <c r="G2357">
        <v>3673011</v>
      </c>
      <c r="H2357" t="s">
        <v>651</v>
      </c>
    </row>
    <row r="2358" spans="1:8" x14ac:dyDescent="0.25">
      <c r="A2358" t="s">
        <v>453</v>
      </c>
      <c r="B2358" t="s">
        <v>60</v>
      </c>
      <c r="C2358" t="s">
        <v>397</v>
      </c>
      <c r="D2358">
        <v>819</v>
      </c>
      <c r="E2358">
        <v>1073.2080000000001</v>
      </c>
      <c r="F2358">
        <v>1181.817</v>
      </c>
      <c r="G2358">
        <v>1940801</v>
      </c>
      <c r="H2358" t="s">
        <v>478</v>
      </c>
    </row>
    <row r="2359" spans="1:8" x14ac:dyDescent="0.25">
      <c r="A2359" t="s">
        <v>453</v>
      </c>
      <c r="B2359" t="s">
        <v>60</v>
      </c>
      <c r="C2359" t="s">
        <v>397</v>
      </c>
      <c r="D2359">
        <v>648</v>
      </c>
      <c r="E2359">
        <v>849.13199999999995</v>
      </c>
      <c r="F2359">
        <v>935.06399999999996</v>
      </c>
      <c r="G2359">
        <v>1940801</v>
      </c>
      <c r="H2359" t="s">
        <v>478</v>
      </c>
    </row>
    <row r="2360" spans="1:8" x14ac:dyDescent="0.25">
      <c r="A2360" t="s">
        <v>453</v>
      </c>
      <c r="B2360" t="s">
        <v>60</v>
      </c>
      <c r="C2360" t="s">
        <v>397</v>
      </c>
      <c r="D2360">
        <v>33</v>
      </c>
      <c r="E2360">
        <v>43.243000000000002</v>
      </c>
      <c r="F2360">
        <v>47.619</v>
      </c>
      <c r="G2360">
        <v>1940801</v>
      </c>
      <c r="H2360" t="s">
        <v>478</v>
      </c>
    </row>
    <row r="2361" spans="1:8" x14ac:dyDescent="0.25">
      <c r="A2361" t="s">
        <v>453</v>
      </c>
      <c r="B2361" t="s">
        <v>60</v>
      </c>
      <c r="C2361" t="s">
        <v>397</v>
      </c>
      <c r="D2361">
        <v>500</v>
      </c>
      <c r="E2361">
        <v>623.41099999999994</v>
      </c>
      <c r="F2361">
        <v>686.5</v>
      </c>
      <c r="G2361">
        <v>3233554</v>
      </c>
      <c r="H2361" t="s">
        <v>480</v>
      </c>
    </row>
    <row r="2362" spans="1:8" x14ac:dyDescent="0.25">
      <c r="A2362" t="s">
        <v>453</v>
      </c>
      <c r="B2362" t="s">
        <v>60</v>
      </c>
      <c r="C2362" t="s">
        <v>397</v>
      </c>
      <c r="D2362">
        <v>964</v>
      </c>
      <c r="E2362">
        <v>1080.2539999999999</v>
      </c>
      <c r="F2362">
        <v>1189.576</v>
      </c>
      <c r="G2362">
        <v>3233555</v>
      </c>
      <c r="H2362" t="s">
        <v>482</v>
      </c>
    </row>
    <row r="2363" spans="1:8" x14ac:dyDescent="0.25">
      <c r="A2363" t="s">
        <v>453</v>
      </c>
      <c r="B2363" t="s">
        <v>60</v>
      </c>
      <c r="C2363" t="s">
        <v>397</v>
      </c>
      <c r="D2363">
        <v>684</v>
      </c>
      <c r="E2363">
        <v>766.48699999999997</v>
      </c>
      <c r="F2363">
        <v>844.05600000000004</v>
      </c>
      <c r="G2363">
        <v>3233555</v>
      </c>
      <c r="H2363" t="s">
        <v>482</v>
      </c>
    </row>
    <row r="2364" spans="1:8" x14ac:dyDescent="0.25">
      <c r="A2364" t="s">
        <v>453</v>
      </c>
      <c r="B2364" t="s">
        <v>60</v>
      </c>
      <c r="C2364" t="s">
        <v>397</v>
      </c>
      <c r="D2364">
        <v>348</v>
      </c>
      <c r="E2364">
        <v>389.96699999999998</v>
      </c>
      <c r="F2364">
        <v>429.43200000000002</v>
      </c>
      <c r="G2364">
        <v>3233555</v>
      </c>
      <c r="H2364" t="s">
        <v>482</v>
      </c>
    </row>
    <row r="2365" spans="1:8" x14ac:dyDescent="0.25">
      <c r="A2365" t="s">
        <v>453</v>
      </c>
      <c r="B2365" t="s">
        <v>60</v>
      </c>
      <c r="C2365" t="s">
        <v>397</v>
      </c>
      <c r="D2365">
        <v>4</v>
      </c>
      <c r="E2365">
        <v>4.4820000000000002</v>
      </c>
      <c r="F2365">
        <v>4.9359999999999999</v>
      </c>
      <c r="G2365">
        <v>3233555</v>
      </c>
      <c r="H2365" t="s">
        <v>482</v>
      </c>
    </row>
    <row r="2366" spans="1:8" x14ac:dyDescent="0.25">
      <c r="A2366" t="s">
        <v>453</v>
      </c>
      <c r="B2366" t="s">
        <v>60</v>
      </c>
      <c r="C2366" t="s">
        <v>397</v>
      </c>
      <c r="D2366">
        <v>2000</v>
      </c>
      <c r="E2366">
        <v>1720.981</v>
      </c>
      <c r="F2366">
        <v>1880</v>
      </c>
      <c r="G2366">
        <v>3572051</v>
      </c>
      <c r="H2366" t="s">
        <v>484</v>
      </c>
    </row>
    <row r="2367" spans="1:8" x14ac:dyDescent="0.25">
      <c r="A2367" t="s">
        <v>453</v>
      </c>
      <c r="B2367" t="s">
        <v>60</v>
      </c>
      <c r="C2367" t="s">
        <v>397</v>
      </c>
      <c r="D2367">
        <v>1000</v>
      </c>
      <c r="E2367">
        <v>754.99400000000003</v>
      </c>
      <c r="F2367">
        <v>824.75599999999997</v>
      </c>
      <c r="G2367">
        <v>4151472</v>
      </c>
      <c r="H2367" t="s">
        <v>488</v>
      </c>
    </row>
    <row r="2368" spans="1:8" x14ac:dyDescent="0.25">
      <c r="A2368" t="s">
        <v>453</v>
      </c>
      <c r="B2368" t="s">
        <v>60</v>
      </c>
      <c r="C2368" t="s">
        <v>397</v>
      </c>
      <c r="D2368">
        <v>1000</v>
      </c>
      <c r="E2368">
        <v>120.777</v>
      </c>
      <c r="F2368">
        <v>133</v>
      </c>
      <c r="G2368">
        <v>3233559</v>
      </c>
      <c r="H2368" t="s">
        <v>490</v>
      </c>
    </row>
    <row r="2369" spans="1:8" x14ac:dyDescent="0.25">
      <c r="A2369" t="s">
        <v>453</v>
      </c>
      <c r="B2369" t="s">
        <v>60</v>
      </c>
      <c r="C2369" t="s">
        <v>397</v>
      </c>
      <c r="D2369">
        <v>1000</v>
      </c>
      <c r="E2369">
        <v>110.765</v>
      </c>
      <c r="F2369">
        <v>121</v>
      </c>
      <c r="G2369">
        <v>3572047</v>
      </c>
      <c r="H2369" t="s">
        <v>492</v>
      </c>
    </row>
    <row r="2370" spans="1:8" x14ac:dyDescent="0.25">
      <c r="A2370" t="s">
        <v>453</v>
      </c>
      <c r="B2370" t="s">
        <v>60</v>
      </c>
      <c r="C2370" t="s">
        <v>397</v>
      </c>
      <c r="D2370">
        <v>999</v>
      </c>
      <c r="E2370">
        <v>794.19600000000003</v>
      </c>
      <c r="F2370">
        <v>439.34899999999999</v>
      </c>
      <c r="G2370">
        <v>4151429</v>
      </c>
      <c r="H2370" t="s">
        <v>494</v>
      </c>
    </row>
    <row r="2371" spans="1:8" x14ac:dyDescent="0.25">
      <c r="A2371" t="s">
        <v>453</v>
      </c>
      <c r="B2371" t="s">
        <v>60</v>
      </c>
      <c r="C2371" t="s">
        <v>397</v>
      </c>
      <c r="D2371">
        <v>1</v>
      </c>
      <c r="E2371">
        <v>0.79500000000000004</v>
      </c>
      <c r="F2371">
        <v>0.44</v>
      </c>
      <c r="G2371">
        <v>4151429</v>
      </c>
      <c r="H2371" t="s">
        <v>494</v>
      </c>
    </row>
    <row r="2372" spans="1:8" x14ac:dyDescent="0.25">
      <c r="A2372" t="s">
        <v>453</v>
      </c>
      <c r="B2372" t="s">
        <v>60</v>
      </c>
      <c r="C2372" t="s">
        <v>397</v>
      </c>
      <c r="D2372">
        <v>1000</v>
      </c>
      <c r="E2372">
        <v>469.99400000000003</v>
      </c>
      <c r="F2372">
        <v>256.10000000000002</v>
      </c>
      <c r="G2372">
        <v>3230488</v>
      </c>
      <c r="H2372" t="s">
        <v>496</v>
      </c>
    </row>
    <row r="2373" spans="1:8" x14ac:dyDescent="0.25">
      <c r="A2373" t="s">
        <v>453</v>
      </c>
      <c r="B2373" t="s">
        <v>60</v>
      </c>
      <c r="C2373" t="s">
        <v>397</v>
      </c>
      <c r="D2373">
        <v>3675</v>
      </c>
      <c r="E2373">
        <v>1468.14</v>
      </c>
      <c r="F2373">
        <v>812.17499999999995</v>
      </c>
      <c r="G2373">
        <v>3230487</v>
      </c>
      <c r="H2373" t="s">
        <v>498</v>
      </c>
    </row>
    <row r="2374" spans="1:8" x14ac:dyDescent="0.25">
      <c r="A2374" t="s">
        <v>453</v>
      </c>
      <c r="B2374" t="s">
        <v>60</v>
      </c>
      <c r="C2374" t="s">
        <v>397</v>
      </c>
      <c r="D2374">
        <v>325</v>
      </c>
      <c r="E2374">
        <v>129.83600000000001</v>
      </c>
      <c r="F2374">
        <v>71.825000000000003</v>
      </c>
      <c r="G2374">
        <v>3230487</v>
      </c>
      <c r="H2374" t="s">
        <v>498</v>
      </c>
    </row>
    <row r="2375" spans="1:8" x14ac:dyDescent="0.25">
      <c r="A2375" t="s">
        <v>453</v>
      </c>
      <c r="B2375" t="s">
        <v>60</v>
      </c>
      <c r="C2375" t="s">
        <v>397</v>
      </c>
      <c r="D2375">
        <v>1158</v>
      </c>
      <c r="E2375">
        <v>115.798</v>
      </c>
      <c r="F2375">
        <v>63.110999999999997</v>
      </c>
      <c r="G2375">
        <v>3931834</v>
      </c>
      <c r="H2375" t="s">
        <v>500</v>
      </c>
    </row>
    <row r="2376" spans="1:8" x14ac:dyDescent="0.25">
      <c r="A2376" t="s">
        <v>453</v>
      </c>
      <c r="B2376" t="s">
        <v>60</v>
      </c>
      <c r="C2376" t="s">
        <v>397</v>
      </c>
      <c r="D2376">
        <v>842</v>
      </c>
      <c r="E2376">
        <v>84.197999999999993</v>
      </c>
      <c r="F2376">
        <v>45.889000000000003</v>
      </c>
      <c r="G2376">
        <v>3931834</v>
      </c>
      <c r="H2376" t="s">
        <v>500</v>
      </c>
    </row>
    <row r="2377" spans="1:8" x14ac:dyDescent="0.25">
      <c r="A2377" t="s">
        <v>453</v>
      </c>
      <c r="B2377" t="s">
        <v>60</v>
      </c>
      <c r="C2377" t="s">
        <v>397</v>
      </c>
      <c r="D2377">
        <v>1000</v>
      </c>
      <c r="E2377">
        <v>115.006</v>
      </c>
      <c r="F2377">
        <v>62.667000000000002</v>
      </c>
      <c r="G2377">
        <v>4151428</v>
      </c>
      <c r="H2377" t="s">
        <v>504</v>
      </c>
    </row>
    <row r="2378" spans="1:8" x14ac:dyDescent="0.25">
      <c r="A2378" t="s">
        <v>453</v>
      </c>
      <c r="B2378" t="s">
        <v>60</v>
      </c>
      <c r="C2378" t="s">
        <v>397</v>
      </c>
      <c r="D2378">
        <v>1000</v>
      </c>
      <c r="E2378">
        <v>962.99</v>
      </c>
      <c r="F2378">
        <v>524.73299999999995</v>
      </c>
      <c r="G2378">
        <v>4151427</v>
      </c>
      <c r="H2378" t="s">
        <v>509</v>
      </c>
    </row>
    <row r="2379" spans="1:8" x14ac:dyDescent="0.25">
      <c r="A2379" t="s">
        <v>453</v>
      </c>
      <c r="B2379" t="s">
        <v>60</v>
      </c>
      <c r="C2379" t="s">
        <v>397</v>
      </c>
      <c r="D2379">
        <v>1000</v>
      </c>
      <c r="E2379">
        <v>755.00099999999998</v>
      </c>
      <c r="F2379">
        <v>411.4</v>
      </c>
      <c r="G2379">
        <v>4151426</v>
      </c>
      <c r="H2379" t="s">
        <v>511</v>
      </c>
    </row>
    <row r="2380" spans="1:8" x14ac:dyDescent="0.25">
      <c r="A2380" t="s">
        <v>453</v>
      </c>
      <c r="B2380" t="s">
        <v>60</v>
      </c>
      <c r="C2380" t="s">
        <v>397</v>
      </c>
      <c r="D2380">
        <v>527</v>
      </c>
      <c r="E2380">
        <v>187.67</v>
      </c>
      <c r="F2380">
        <v>103.819</v>
      </c>
      <c r="G2380">
        <v>3230490</v>
      </c>
      <c r="H2380" t="s">
        <v>515</v>
      </c>
    </row>
    <row r="2381" spans="1:8" x14ac:dyDescent="0.25">
      <c r="A2381" t="s">
        <v>453</v>
      </c>
      <c r="B2381" t="s">
        <v>60</v>
      </c>
      <c r="C2381" t="s">
        <v>397</v>
      </c>
      <c r="D2381">
        <v>273</v>
      </c>
      <c r="E2381">
        <v>97.218000000000004</v>
      </c>
      <c r="F2381">
        <v>53.780999999999999</v>
      </c>
      <c r="G2381">
        <v>3230490</v>
      </c>
      <c r="H2381" t="s">
        <v>515</v>
      </c>
    </row>
    <row r="2382" spans="1:8" x14ac:dyDescent="0.25">
      <c r="A2382" t="s">
        <v>453</v>
      </c>
      <c r="B2382" t="s">
        <v>60</v>
      </c>
      <c r="C2382" t="s">
        <v>397</v>
      </c>
      <c r="D2382">
        <v>109</v>
      </c>
      <c r="E2382">
        <v>38.816000000000003</v>
      </c>
      <c r="F2382">
        <v>21.472999999999999</v>
      </c>
      <c r="G2382">
        <v>3230490</v>
      </c>
      <c r="H2382" t="s">
        <v>515</v>
      </c>
    </row>
    <row r="2383" spans="1:8" x14ac:dyDescent="0.25">
      <c r="A2383" t="s">
        <v>453</v>
      </c>
      <c r="B2383" t="s">
        <v>60</v>
      </c>
      <c r="C2383" t="s">
        <v>397</v>
      </c>
      <c r="D2383">
        <v>75</v>
      </c>
      <c r="E2383">
        <v>26.707999999999998</v>
      </c>
      <c r="F2383">
        <v>14.775</v>
      </c>
      <c r="G2383">
        <v>3230490</v>
      </c>
      <c r="H2383" t="s">
        <v>515</v>
      </c>
    </row>
    <row r="2384" spans="1:8" x14ac:dyDescent="0.25">
      <c r="A2384" t="s">
        <v>453</v>
      </c>
      <c r="B2384" t="s">
        <v>60</v>
      </c>
      <c r="C2384" t="s">
        <v>397</v>
      </c>
      <c r="D2384">
        <v>16</v>
      </c>
      <c r="E2384">
        <v>5.6980000000000004</v>
      </c>
      <c r="F2384">
        <v>3.1520000000000001</v>
      </c>
      <c r="G2384">
        <v>3230490</v>
      </c>
      <c r="H2384" t="s">
        <v>515</v>
      </c>
    </row>
    <row r="2385" spans="1:8" x14ac:dyDescent="0.25">
      <c r="A2385" t="s">
        <v>453</v>
      </c>
      <c r="B2385" t="s">
        <v>60</v>
      </c>
      <c r="C2385" t="s">
        <v>397</v>
      </c>
      <c r="D2385">
        <v>1000</v>
      </c>
      <c r="E2385">
        <v>1303.991</v>
      </c>
      <c r="F2385">
        <v>710.54399999999998</v>
      </c>
      <c r="G2385">
        <v>3572039</v>
      </c>
      <c r="H2385" t="s">
        <v>519</v>
      </c>
    </row>
    <row r="2386" spans="1:8" x14ac:dyDescent="0.25">
      <c r="A2386" t="s">
        <v>453</v>
      </c>
      <c r="B2386" t="s">
        <v>60</v>
      </c>
      <c r="C2386" t="s">
        <v>397</v>
      </c>
      <c r="D2386">
        <v>500</v>
      </c>
      <c r="E2386">
        <v>622.99900000000002</v>
      </c>
      <c r="F2386">
        <v>339.47199999999998</v>
      </c>
      <c r="G2386">
        <v>3572038</v>
      </c>
      <c r="H2386" t="s">
        <v>521</v>
      </c>
    </row>
    <row r="2387" spans="1:8" x14ac:dyDescent="0.25">
      <c r="A2387" t="s">
        <v>453</v>
      </c>
      <c r="B2387" t="s">
        <v>60</v>
      </c>
      <c r="C2387" t="s">
        <v>397</v>
      </c>
      <c r="D2387">
        <v>898</v>
      </c>
      <c r="E2387">
        <v>749.83</v>
      </c>
      <c r="F2387">
        <v>414.80599999999998</v>
      </c>
      <c r="G2387">
        <v>4151425</v>
      </c>
      <c r="H2387" t="s">
        <v>523</v>
      </c>
    </row>
    <row r="2388" spans="1:8" x14ac:dyDescent="0.25">
      <c r="A2388" t="s">
        <v>453</v>
      </c>
      <c r="B2388" t="s">
        <v>60</v>
      </c>
      <c r="C2388" t="s">
        <v>397</v>
      </c>
      <c r="D2388">
        <v>102</v>
      </c>
      <c r="E2388">
        <v>85.17</v>
      </c>
      <c r="F2388">
        <v>47.116</v>
      </c>
      <c r="G2388">
        <v>4151425</v>
      </c>
      <c r="H2388" t="s">
        <v>523</v>
      </c>
    </row>
    <row r="2389" spans="1:8" x14ac:dyDescent="0.25">
      <c r="A2389" t="s">
        <v>453</v>
      </c>
      <c r="B2389" t="s">
        <v>60</v>
      </c>
      <c r="C2389" t="s">
        <v>397</v>
      </c>
      <c r="D2389">
        <v>989</v>
      </c>
      <c r="E2389">
        <v>534.05700000000002</v>
      </c>
      <c r="F2389">
        <v>291.00799999999998</v>
      </c>
      <c r="G2389">
        <v>3571870</v>
      </c>
      <c r="H2389" t="s">
        <v>525</v>
      </c>
    </row>
    <row r="2390" spans="1:8" x14ac:dyDescent="0.25">
      <c r="A2390" t="s">
        <v>453</v>
      </c>
      <c r="B2390" t="s">
        <v>60</v>
      </c>
      <c r="C2390" t="s">
        <v>397</v>
      </c>
      <c r="D2390">
        <v>11</v>
      </c>
      <c r="E2390">
        <v>5.94</v>
      </c>
      <c r="F2390">
        <v>3.2370000000000001</v>
      </c>
      <c r="G2390">
        <v>3571870</v>
      </c>
      <c r="H2390" t="s">
        <v>525</v>
      </c>
    </row>
    <row r="2391" spans="1:8" x14ac:dyDescent="0.25">
      <c r="A2391" t="s">
        <v>453</v>
      </c>
      <c r="B2391" t="s">
        <v>60</v>
      </c>
      <c r="C2391" t="s">
        <v>397</v>
      </c>
      <c r="D2391">
        <v>1000</v>
      </c>
      <c r="E2391">
        <v>110.008</v>
      </c>
      <c r="F2391">
        <v>59.956000000000003</v>
      </c>
      <c r="G2391">
        <v>3931835</v>
      </c>
      <c r="H2391" t="s">
        <v>527</v>
      </c>
    </row>
    <row r="2392" spans="1:8" x14ac:dyDescent="0.25">
      <c r="A2392" t="s">
        <v>453</v>
      </c>
      <c r="B2392" t="s">
        <v>60</v>
      </c>
      <c r="C2392" t="s">
        <v>397</v>
      </c>
      <c r="D2392">
        <v>1000</v>
      </c>
      <c r="E2392">
        <v>639.99800000000005</v>
      </c>
      <c r="F2392">
        <v>578.87800000000004</v>
      </c>
      <c r="G2392">
        <v>4151430</v>
      </c>
      <c r="H2392" t="s">
        <v>530</v>
      </c>
    </row>
    <row r="2393" spans="1:8" x14ac:dyDescent="0.25">
      <c r="A2393" t="s">
        <v>453</v>
      </c>
      <c r="B2393" t="s">
        <v>60</v>
      </c>
      <c r="C2393" t="s">
        <v>397</v>
      </c>
      <c r="D2393">
        <v>276</v>
      </c>
      <c r="E2393">
        <v>339.48200000000003</v>
      </c>
      <c r="F2393">
        <v>179.32900000000001</v>
      </c>
      <c r="G2393">
        <v>3929692</v>
      </c>
      <c r="H2393" t="s">
        <v>533</v>
      </c>
    </row>
    <row r="2394" spans="1:8" x14ac:dyDescent="0.25">
      <c r="A2394" t="s">
        <v>453</v>
      </c>
      <c r="B2394" t="s">
        <v>60</v>
      </c>
      <c r="C2394" t="s">
        <v>397</v>
      </c>
      <c r="D2394">
        <v>217</v>
      </c>
      <c r="E2394">
        <v>266.91199999999998</v>
      </c>
      <c r="F2394">
        <v>140.995</v>
      </c>
      <c r="G2394">
        <v>3929692</v>
      </c>
      <c r="H2394" t="s">
        <v>533</v>
      </c>
    </row>
    <row r="2395" spans="1:8" x14ac:dyDescent="0.25">
      <c r="A2395" t="s">
        <v>453</v>
      </c>
      <c r="B2395" t="s">
        <v>60</v>
      </c>
      <c r="C2395" t="s">
        <v>397</v>
      </c>
      <c r="D2395">
        <v>5</v>
      </c>
      <c r="E2395">
        <v>6.15</v>
      </c>
      <c r="F2395">
        <v>3.2490000000000001</v>
      </c>
      <c r="G2395">
        <v>3929692</v>
      </c>
      <c r="H2395" t="s">
        <v>533</v>
      </c>
    </row>
    <row r="2396" spans="1:8" x14ac:dyDescent="0.25">
      <c r="A2396" t="s">
        <v>453</v>
      </c>
      <c r="B2396" t="s">
        <v>60</v>
      </c>
      <c r="C2396" t="s">
        <v>397</v>
      </c>
      <c r="D2396">
        <v>2</v>
      </c>
      <c r="E2396">
        <v>2.46</v>
      </c>
      <c r="F2396">
        <v>1.2989999999999999</v>
      </c>
      <c r="G2396">
        <v>3929692</v>
      </c>
      <c r="H2396" t="s">
        <v>533</v>
      </c>
    </row>
    <row r="2397" spans="1:8" x14ac:dyDescent="0.25">
      <c r="A2397" t="s">
        <v>453</v>
      </c>
      <c r="B2397" t="s">
        <v>60</v>
      </c>
      <c r="C2397" t="s">
        <v>397</v>
      </c>
      <c r="D2397">
        <v>3000</v>
      </c>
      <c r="E2397">
        <v>599.97500000000002</v>
      </c>
      <c r="F2397">
        <v>316.93299999999999</v>
      </c>
      <c r="G2397">
        <v>3929691</v>
      </c>
      <c r="H2397" t="s">
        <v>535</v>
      </c>
    </row>
    <row r="2398" spans="1:8" x14ac:dyDescent="0.25">
      <c r="A2398" t="s">
        <v>453</v>
      </c>
      <c r="B2398" t="s">
        <v>60</v>
      </c>
      <c r="C2398" t="s">
        <v>397</v>
      </c>
      <c r="D2398">
        <v>501</v>
      </c>
      <c r="E2398">
        <v>75.150000000000006</v>
      </c>
      <c r="F2398">
        <v>32.648000000000003</v>
      </c>
      <c r="G2398">
        <v>4104140</v>
      </c>
      <c r="H2398" t="s">
        <v>502</v>
      </c>
    </row>
    <row r="2399" spans="1:8" x14ac:dyDescent="0.25">
      <c r="A2399" t="s">
        <v>453</v>
      </c>
      <c r="B2399" t="s">
        <v>60</v>
      </c>
      <c r="C2399" t="s">
        <v>397</v>
      </c>
      <c r="D2399">
        <v>499</v>
      </c>
      <c r="E2399">
        <v>74.849999999999994</v>
      </c>
      <c r="F2399">
        <v>32.518000000000001</v>
      </c>
      <c r="G2399">
        <v>4104140</v>
      </c>
      <c r="H2399" t="s">
        <v>502</v>
      </c>
    </row>
    <row r="2400" spans="1:8" x14ac:dyDescent="0.25">
      <c r="A2400" t="s">
        <v>453</v>
      </c>
      <c r="B2400" t="s">
        <v>60</v>
      </c>
      <c r="C2400" t="s">
        <v>397</v>
      </c>
      <c r="D2400">
        <v>1643</v>
      </c>
      <c r="E2400">
        <v>260.70499999999998</v>
      </c>
      <c r="F2400">
        <v>382.81900000000002</v>
      </c>
      <c r="G2400">
        <v>3572055</v>
      </c>
      <c r="H2400" t="s">
        <v>542</v>
      </c>
    </row>
    <row r="2401" spans="1:8" x14ac:dyDescent="0.25">
      <c r="A2401" t="s">
        <v>453</v>
      </c>
      <c r="B2401" t="s">
        <v>60</v>
      </c>
      <c r="C2401" t="s">
        <v>397</v>
      </c>
      <c r="D2401">
        <v>357</v>
      </c>
      <c r="E2401">
        <v>56.646999999999998</v>
      </c>
      <c r="F2401">
        <v>83.180999999999997</v>
      </c>
      <c r="G2401">
        <v>3572055</v>
      </c>
      <c r="H2401" t="s">
        <v>542</v>
      </c>
    </row>
    <row r="2402" spans="1:8" x14ac:dyDescent="0.25">
      <c r="A2402" t="s">
        <v>453</v>
      </c>
      <c r="B2402" t="s">
        <v>60</v>
      </c>
      <c r="C2402" t="s">
        <v>397</v>
      </c>
      <c r="D2402">
        <v>1000</v>
      </c>
      <c r="E2402">
        <v>115</v>
      </c>
      <c r="F2402">
        <v>168.86699999999999</v>
      </c>
      <c r="G2402">
        <v>4151471</v>
      </c>
      <c r="H2402" t="s">
        <v>544</v>
      </c>
    </row>
    <row r="2403" spans="1:8" x14ac:dyDescent="0.25">
      <c r="A2403" t="s">
        <v>453</v>
      </c>
      <c r="B2403" t="s">
        <v>60</v>
      </c>
      <c r="C2403" t="s">
        <v>397</v>
      </c>
      <c r="D2403">
        <v>1000</v>
      </c>
      <c r="E2403">
        <v>190</v>
      </c>
      <c r="F2403">
        <v>207.55600000000001</v>
      </c>
      <c r="G2403">
        <v>4151424</v>
      </c>
      <c r="H2403" t="s">
        <v>550</v>
      </c>
    </row>
    <row r="2404" spans="1:8" x14ac:dyDescent="0.25">
      <c r="A2404" t="s">
        <v>453</v>
      </c>
      <c r="B2404" t="s">
        <v>60</v>
      </c>
      <c r="C2404" t="s">
        <v>397</v>
      </c>
      <c r="D2404">
        <v>218</v>
      </c>
      <c r="E2404">
        <v>219.529</v>
      </c>
      <c r="F2404">
        <v>119.646</v>
      </c>
      <c r="G2404">
        <v>4100796</v>
      </c>
      <c r="H2404" t="s">
        <v>552</v>
      </c>
    </row>
    <row r="2405" spans="1:8" x14ac:dyDescent="0.25">
      <c r="A2405" t="s">
        <v>453</v>
      </c>
      <c r="B2405" t="s">
        <v>60</v>
      </c>
      <c r="C2405" t="s">
        <v>397</v>
      </c>
      <c r="D2405">
        <v>125</v>
      </c>
      <c r="E2405">
        <v>125.877</v>
      </c>
      <c r="F2405">
        <v>68.603999999999999</v>
      </c>
      <c r="G2405">
        <v>4100796</v>
      </c>
      <c r="H2405" t="s">
        <v>552</v>
      </c>
    </row>
    <row r="2406" spans="1:8" x14ac:dyDescent="0.25">
      <c r="A2406" t="s">
        <v>453</v>
      </c>
      <c r="B2406" t="s">
        <v>60</v>
      </c>
      <c r="C2406" t="s">
        <v>397</v>
      </c>
      <c r="D2406">
        <v>59</v>
      </c>
      <c r="E2406">
        <v>59.414000000000001</v>
      </c>
      <c r="F2406">
        <v>32.381</v>
      </c>
      <c r="G2406">
        <v>4100796</v>
      </c>
      <c r="H2406" t="s">
        <v>552</v>
      </c>
    </row>
    <row r="2407" spans="1:8" x14ac:dyDescent="0.25">
      <c r="A2407" t="s">
        <v>453</v>
      </c>
      <c r="B2407" t="s">
        <v>60</v>
      </c>
      <c r="C2407" t="s">
        <v>397</v>
      </c>
      <c r="D2407">
        <v>51</v>
      </c>
      <c r="E2407">
        <v>51.357999999999997</v>
      </c>
      <c r="F2407">
        <v>27.99</v>
      </c>
      <c r="G2407">
        <v>4100796</v>
      </c>
      <c r="H2407" t="s">
        <v>552</v>
      </c>
    </row>
    <row r="2408" spans="1:8" x14ac:dyDescent="0.25">
      <c r="A2408" t="s">
        <v>453</v>
      </c>
      <c r="B2408" t="s">
        <v>60</v>
      </c>
      <c r="C2408" t="s">
        <v>397</v>
      </c>
      <c r="D2408">
        <v>29</v>
      </c>
      <c r="E2408">
        <v>29.202999999999999</v>
      </c>
      <c r="F2408">
        <v>15.916</v>
      </c>
      <c r="G2408">
        <v>4100796</v>
      </c>
      <c r="H2408" t="s">
        <v>552</v>
      </c>
    </row>
    <row r="2409" spans="1:8" x14ac:dyDescent="0.25">
      <c r="A2409" t="s">
        <v>453</v>
      </c>
      <c r="B2409" t="s">
        <v>60</v>
      </c>
      <c r="C2409" t="s">
        <v>397</v>
      </c>
      <c r="D2409">
        <v>18</v>
      </c>
      <c r="E2409">
        <v>18.126000000000001</v>
      </c>
      <c r="F2409">
        <v>9.8789999999999996</v>
      </c>
      <c r="G2409">
        <v>4100796</v>
      </c>
      <c r="H2409" t="s">
        <v>552</v>
      </c>
    </row>
    <row r="2410" spans="1:8" x14ac:dyDescent="0.25">
      <c r="A2410" t="s">
        <v>453</v>
      </c>
      <c r="B2410" t="s">
        <v>60</v>
      </c>
      <c r="C2410" t="s">
        <v>397</v>
      </c>
      <c r="D2410">
        <v>1000</v>
      </c>
      <c r="E2410">
        <v>129.00899999999999</v>
      </c>
      <c r="F2410">
        <v>70.311000000000007</v>
      </c>
      <c r="G2410">
        <v>3938687</v>
      </c>
      <c r="H2410" t="s">
        <v>554</v>
      </c>
    </row>
    <row r="2411" spans="1:8" x14ac:dyDescent="0.25">
      <c r="A2411" t="s">
        <v>453</v>
      </c>
      <c r="B2411" t="s">
        <v>60</v>
      </c>
      <c r="C2411" t="s">
        <v>397</v>
      </c>
      <c r="D2411">
        <v>500</v>
      </c>
      <c r="E2411">
        <v>164.995</v>
      </c>
      <c r="F2411">
        <v>87.183000000000007</v>
      </c>
      <c r="G2411">
        <v>3935313</v>
      </c>
      <c r="H2411" t="s">
        <v>560</v>
      </c>
    </row>
    <row r="2412" spans="1:8" x14ac:dyDescent="0.25">
      <c r="A2412" t="s">
        <v>5966</v>
      </c>
      <c r="B2412" t="s">
        <v>37</v>
      </c>
      <c r="C2412" t="s">
        <v>397</v>
      </c>
      <c r="D2412">
        <v>2</v>
      </c>
      <c r="E2412">
        <v>2.2010000000000001</v>
      </c>
      <c r="F2412">
        <v>4.274</v>
      </c>
      <c r="G2412">
        <v>2430128</v>
      </c>
      <c r="H2412" t="s">
        <v>475</v>
      </c>
    </row>
    <row r="2413" spans="1:8" x14ac:dyDescent="0.25">
      <c r="A2413" t="s">
        <v>5966</v>
      </c>
      <c r="B2413" t="s">
        <v>37</v>
      </c>
      <c r="C2413" t="s">
        <v>397</v>
      </c>
      <c r="D2413">
        <v>1465</v>
      </c>
      <c r="E2413">
        <v>1612.02</v>
      </c>
      <c r="F2413">
        <v>3130.7049999999999</v>
      </c>
      <c r="G2413">
        <v>2430128</v>
      </c>
      <c r="H2413" t="s">
        <v>475</v>
      </c>
    </row>
    <row r="2414" spans="1:8" x14ac:dyDescent="0.25">
      <c r="A2414" t="s">
        <v>5966</v>
      </c>
      <c r="B2414" t="s">
        <v>37</v>
      </c>
      <c r="C2414" t="s">
        <v>397</v>
      </c>
      <c r="D2414">
        <v>399</v>
      </c>
      <c r="E2414">
        <v>1033.7049999999999</v>
      </c>
      <c r="F2414">
        <v>971.16600000000005</v>
      </c>
      <c r="G2414">
        <v>2409618</v>
      </c>
      <c r="H2414" t="s">
        <v>469</v>
      </c>
    </row>
    <row r="2415" spans="1:8" x14ac:dyDescent="0.25">
      <c r="A2415" t="s">
        <v>5966</v>
      </c>
      <c r="B2415" t="s">
        <v>37</v>
      </c>
      <c r="C2415" t="s">
        <v>397</v>
      </c>
      <c r="D2415">
        <v>401</v>
      </c>
      <c r="E2415">
        <v>1038.8869999999999</v>
      </c>
      <c r="F2415">
        <v>976.03399999999999</v>
      </c>
      <c r="G2415">
        <v>2409618</v>
      </c>
      <c r="H2415" t="s">
        <v>469</v>
      </c>
    </row>
    <row r="2416" spans="1:8" x14ac:dyDescent="0.25">
      <c r="A2416" t="s">
        <v>5966</v>
      </c>
      <c r="B2416" t="s">
        <v>37</v>
      </c>
      <c r="C2416" t="s">
        <v>397</v>
      </c>
      <c r="D2416">
        <v>2275</v>
      </c>
      <c r="E2416">
        <v>2977.806</v>
      </c>
      <c r="F2416">
        <v>1244.425</v>
      </c>
      <c r="G2416">
        <v>1940046</v>
      </c>
      <c r="H2416" t="s">
        <v>466</v>
      </c>
    </row>
    <row r="2417" spans="1:8" x14ac:dyDescent="0.25">
      <c r="A2417" t="s">
        <v>5966</v>
      </c>
      <c r="B2417" t="s">
        <v>37</v>
      </c>
      <c r="C2417" t="s">
        <v>397</v>
      </c>
      <c r="D2417">
        <v>4800</v>
      </c>
      <c r="E2417">
        <v>526.774</v>
      </c>
      <c r="F2417">
        <v>278.39999999999998</v>
      </c>
      <c r="G2417">
        <v>3409366</v>
      </c>
      <c r="H2417" t="s">
        <v>1313</v>
      </c>
    </row>
    <row r="2418" spans="1:8" x14ac:dyDescent="0.25">
      <c r="A2418" t="s">
        <v>5966</v>
      </c>
      <c r="B2418" t="s">
        <v>37</v>
      </c>
      <c r="C2418" t="s">
        <v>397</v>
      </c>
      <c r="D2418">
        <v>1439</v>
      </c>
      <c r="E2418">
        <v>1647.6669999999999</v>
      </c>
      <c r="F2418">
        <v>870.37099999999998</v>
      </c>
      <c r="G2418">
        <v>4110464</v>
      </c>
      <c r="H2418" t="s">
        <v>477</v>
      </c>
    </row>
    <row r="2419" spans="1:8" x14ac:dyDescent="0.25">
      <c r="A2419" t="s">
        <v>5966</v>
      </c>
      <c r="B2419" t="s">
        <v>37</v>
      </c>
      <c r="C2419" t="s">
        <v>397</v>
      </c>
      <c r="D2419">
        <v>436</v>
      </c>
      <c r="E2419">
        <v>499.22399999999999</v>
      </c>
      <c r="F2419">
        <v>263.71199999999999</v>
      </c>
      <c r="G2419">
        <v>4110464</v>
      </c>
      <c r="H2419" t="s">
        <v>477</v>
      </c>
    </row>
    <row r="2420" spans="1:8" x14ac:dyDescent="0.25">
      <c r="A2420" t="s">
        <v>5966</v>
      </c>
      <c r="B2420" t="s">
        <v>37</v>
      </c>
      <c r="C2420" t="s">
        <v>397</v>
      </c>
      <c r="D2420">
        <v>3550</v>
      </c>
      <c r="E2420">
        <v>1827.058</v>
      </c>
      <c r="F2420">
        <v>965.6</v>
      </c>
      <c r="G2420">
        <v>2409616</v>
      </c>
      <c r="H2420" t="s">
        <v>1317</v>
      </c>
    </row>
    <row r="2421" spans="1:8" x14ac:dyDescent="0.25">
      <c r="A2421" t="s">
        <v>5966</v>
      </c>
      <c r="B2421" t="s">
        <v>37</v>
      </c>
      <c r="C2421" t="s">
        <v>397</v>
      </c>
      <c r="D2421">
        <v>66</v>
      </c>
      <c r="E2421">
        <v>48.18</v>
      </c>
      <c r="F2421">
        <v>20.939</v>
      </c>
      <c r="G2421">
        <v>4241099</v>
      </c>
      <c r="H2421" t="s">
        <v>2203</v>
      </c>
    </row>
    <row r="2422" spans="1:8" x14ac:dyDescent="0.25">
      <c r="A2422" t="s">
        <v>5966</v>
      </c>
      <c r="B2422" t="s">
        <v>37</v>
      </c>
      <c r="C2422" t="s">
        <v>397</v>
      </c>
      <c r="D2422">
        <v>7</v>
      </c>
      <c r="E2422">
        <v>5.1100000000000003</v>
      </c>
      <c r="F2422">
        <v>2.2210000000000001</v>
      </c>
      <c r="G2422">
        <v>4241099</v>
      </c>
      <c r="H2422" t="s">
        <v>2203</v>
      </c>
    </row>
    <row r="2423" spans="1:8" x14ac:dyDescent="0.25">
      <c r="A2423" t="s">
        <v>5966</v>
      </c>
      <c r="B2423" t="s">
        <v>37</v>
      </c>
      <c r="C2423" t="s">
        <v>397</v>
      </c>
      <c r="D2423">
        <v>2849</v>
      </c>
      <c r="E2423">
        <v>2079.7539999999999</v>
      </c>
      <c r="F2423">
        <v>903.86099999999999</v>
      </c>
      <c r="G2423">
        <v>4241099</v>
      </c>
      <c r="H2423" t="s">
        <v>2203</v>
      </c>
    </row>
    <row r="2424" spans="1:8" x14ac:dyDescent="0.25">
      <c r="A2424" t="s">
        <v>5966</v>
      </c>
      <c r="B2424" t="s">
        <v>37</v>
      </c>
      <c r="C2424" t="s">
        <v>397</v>
      </c>
      <c r="D2424">
        <v>3178</v>
      </c>
      <c r="E2424">
        <v>2319.922</v>
      </c>
      <c r="F2424">
        <v>1008.2380000000001</v>
      </c>
      <c r="G2424">
        <v>4241099</v>
      </c>
      <c r="H2424" t="s">
        <v>2203</v>
      </c>
    </row>
    <row r="2425" spans="1:8" x14ac:dyDescent="0.25">
      <c r="A2425" t="s">
        <v>636</v>
      </c>
      <c r="B2425" t="s">
        <v>151</v>
      </c>
      <c r="C2425" t="s">
        <v>397</v>
      </c>
      <c r="D2425">
        <v>7588</v>
      </c>
      <c r="E2425">
        <v>9363.5630000000001</v>
      </c>
      <c r="F2425">
        <v>3437.364</v>
      </c>
      <c r="G2425">
        <v>1941845</v>
      </c>
      <c r="H2425" t="s">
        <v>1173</v>
      </c>
    </row>
    <row r="2426" spans="1:8" x14ac:dyDescent="0.25">
      <c r="A2426" t="s">
        <v>636</v>
      </c>
      <c r="B2426" t="s">
        <v>151</v>
      </c>
      <c r="C2426" t="s">
        <v>397</v>
      </c>
      <c r="D2426">
        <v>37</v>
      </c>
      <c r="E2426">
        <v>45.658000000000001</v>
      </c>
      <c r="F2426">
        <v>16.760999999999999</v>
      </c>
      <c r="G2426">
        <v>1941845</v>
      </c>
      <c r="H2426" t="s">
        <v>1173</v>
      </c>
    </row>
    <row r="2427" spans="1:8" x14ac:dyDescent="0.25">
      <c r="A2427" t="s">
        <v>636</v>
      </c>
      <c r="B2427" t="s">
        <v>151</v>
      </c>
      <c r="C2427" t="s">
        <v>397</v>
      </c>
      <c r="D2427">
        <v>1358</v>
      </c>
      <c r="E2427">
        <v>3947.1149999999998</v>
      </c>
      <c r="F2427">
        <v>1448.9860000000001</v>
      </c>
      <c r="G2427">
        <v>3541434</v>
      </c>
      <c r="H2427" t="s">
        <v>1176</v>
      </c>
    </row>
    <row r="2428" spans="1:8" x14ac:dyDescent="0.25">
      <c r="A2428" t="s">
        <v>636</v>
      </c>
      <c r="B2428" t="s">
        <v>151</v>
      </c>
      <c r="C2428" t="s">
        <v>397</v>
      </c>
      <c r="D2428">
        <v>442</v>
      </c>
      <c r="E2428">
        <v>1284.702</v>
      </c>
      <c r="F2428">
        <v>471.61399999999998</v>
      </c>
      <c r="G2428">
        <v>3541434</v>
      </c>
      <c r="H2428" t="s">
        <v>1176</v>
      </c>
    </row>
    <row r="2429" spans="1:8" x14ac:dyDescent="0.25">
      <c r="A2429" t="s">
        <v>437</v>
      </c>
      <c r="B2429" t="s">
        <v>18</v>
      </c>
      <c r="C2429" t="s">
        <v>397</v>
      </c>
      <c r="D2429">
        <v>1598</v>
      </c>
      <c r="E2429">
        <v>661.70699999999999</v>
      </c>
      <c r="F2429">
        <v>704.71799999999996</v>
      </c>
      <c r="G2429">
        <v>3598957</v>
      </c>
      <c r="H2429" t="s">
        <v>665</v>
      </c>
    </row>
    <row r="2430" spans="1:8" x14ac:dyDescent="0.25">
      <c r="A2430" t="s">
        <v>437</v>
      </c>
      <c r="B2430" t="s">
        <v>18</v>
      </c>
      <c r="C2430" t="s">
        <v>397</v>
      </c>
      <c r="D2430">
        <v>1058</v>
      </c>
      <c r="E2430">
        <v>438.101</v>
      </c>
      <c r="F2430">
        <v>466.57799999999997</v>
      </c>
      <c r="G2430">
        <v>3598957</v>
      </c>
      <c r="H2430" t="s">
        <v>665</v>
      </c>
    </row>
    <row r="2431" spans="1:8" x14ac:dyDescent="0.25">
      <c r="A2431" t="s">
        <v>437</v>
      </c>
      <c r="B2431" t="s">
        <v>18</v>
      </c>
      <c r="C2431" t="s">
        <v>397</v>
      </c>
      <c r="D2431">
        <v>850</v>
      </c>
      <c r="E2431">
        <v>351.97199999999998</v>
      </c>
      <c r="F2431">
        <v>374.85</v>
      </c>
      <c r="G2431">
        <v>3598957</v>
      </c>
      <c r="H2431" t="s">
        <v>665</v>
      </c>
    </row>
    <row r="2432" spans="1:8" x14ac:dyDescent="0.25">
      <c r="A2432" t="s">
        <v>437</v>
      </c>
      <c r="B2432" t="s">
        <v>18</v>
      </c>
      <c r="C2432" t="s">
        <v>397</v>
      </c>
      <c r="D2432">
        <v>775</v>
      </c>
      <c r="E2432">
        <v>320.91500000000002</v>
      </c>
      <c r="F2432">
        <v>341.77499999999998</v>
      </c>
      <c r="G2432">
        <v>3598957</v>
      </c>
      <c r="H2432" t="s">
        <v>665</v>
      </c>
    </row>
    <row r="2433" spans="1:8" x14ac:dyDescent="0.25">
      <c r="A2433" t="s">
        <v>437</v>
      </c>
      <c r="B2433" t="s">
        <v>18</v>
      </c>
      <c r="C2433" t="s">
        <v>397</v>
      </c>
      <c r="D2433">
        <v>750</v>
      </c>
      <c r="E2433">
        <v>310.56299999999999</v>
      </c>
      <c r="F2433">
        <v>330.75</v>
      </c>
      <c r="G2433">
        <v>3598957</v>
      </c>
      <c r="H2433" t="s">
        <v>665</v>
      </c>
    </row>
    <row r="2434" spans="1:8" x14ac:dyDescent="0.25">
      <c r="A2434" t="s">
        <v>437</v>
      </c>
      <c r="B2434" t="s">
        <v>18</v>
      </c>
      <c r="C2434" t="s">
        <v>397</v>
      </c>
      <c r="D2434">
        <v>616</v>
      </c>
      <c r="E2434">
        <v>255.07599999999999</v>
      </c>
      <c r="F2434">
        <v>271.65600000000001</v>
      </c>
      <c r="G2434">
        <v>3598957</v>
      </c>
      <c r="H2434" t="s">
        <v>665</v>
      </c>
    </row>
    <row r="2435" spans="1:8" x14ac:dyDescent="0.25">
      <c r="A2435" t="s">
        <v>437</v>
      </c>
      <c r="B2435" t="s">
        <v>18</v>
      </c>
      <c r="C2435" t="s">
        <v>397</v>
      </c>
      <c r="D2435">
        <v>469</v>
      </c>
      <c r="E2435">
        <v>194.20599999999999</v>
      </c>
      <c r="F2435">
        <v>206.82900000000001</v>
      </c>
      <c r="G2435">
        <v>3598957</v>
      </c>
      <c r="H2435" t="s">
        <v>665</v>
      </c>
    </row>
    <row r="2436" spans="1:8" x14ac:dyDescent="0.25">
      <c r="A2436" t="s">
        <v>437</v>
      </c>
      <c r="B2436" t="s">
        <v>18</v>
      </c>
      <c r="C2436" t="s">
        <v>397</v>
      </c>
      <c r="D2436">
        <v>448</v>
      </c>
      <c r="E2436">
        <v>185.51</v>
      </c>
      <c r="F2436">
        <v>197.56800000000001</v>
      </c>
      <c r="G2436">
        <v>3598957</v>
      </c>
      <c r="H2436" t="s">
        <v>665</v>
      </c>
    </row>
    <row r="2437" spans="1:8" x14ac:dyDescent="0.25">
      <c r="A2437" t="s">
        <v>437</v>
      </c>
      <c r="B2437" t="s">
        <v>18</v>
      </c>
      <c r="C2437" t="s">
        <v>397</v>
      </c>
      <c r="D2437">
        <v>171</v>
      </c>
      <c r="E2437">
        <v>70.808000000000007</v>
      </c>
      <c r="F2437">
        <v>75.411000000000001</v>
      </c>
      <c r="G2437">
        <v>3598957</v>
      </c>
      <c r="H2437" t="s">
        <v>665</v>
      </c>
    </row>
    <row r="2438" spans="1:8" x14ac:dyDescent="0.25">
      <c r="A2438" t="s">
        <v>437</v>
      </c>
      <c r="B2438" t="s">
        <v>18</v>
      </c>
      <c r="C2438" t="s">
        <v>397</v>
      </c>
      <c r="D2438">
        <v>127</v>
      </c>
      <c r="E2438">
        <v>52.588999999999999</v>
      </c>
      <c r="F2438">
        <v>56.006999999999998</v>
      </c>
      <c r="G2438">
        <v>3598957</v>
      </c>
      <c r="H2438" t="s">
        <v>665</v>
      </c>
    </row>
    <row r="2439" spans="1:8" x14ac:dyDescent="0.25">
      <c r="A2439" t="s">
        <v>437</v>
      </c>
      <c r="B2439" t="s">
        <v>18</v>
      </c>
      <c r="C2439" t="s">
        <v>397</v>
      </c>
      <c r="D2439">
        <v>13</v>
      </c>
      <c r="E2439">
        <v>5.383</v>
      </c>
      <c r="F2439">
        <v>5.7329999999999997</v>
      </c>
      <c r="G2439">
        <v>3598957</v>
      </c>
      <c r="H2439" t="s">
        <v>665</v>
      </c>
    </row>
    <row r="2440" spans="1:8" x14ac:dyDescent="0.25">
      <c r="A2440" t="s">
        <v>437</v>
      </c>
      <c r="B2440" t="s">
        <v>18</v>
      </c>
      <c r="C2440" t="s">
        <v>397</v>
      </c>
      <c r="D2440">
        <v>1598</v>
      </c>
      <c r="E2440">
        <v>767.55499999999995</v>
      </c>
      <c r="F2440">
        <v>1105.816</v>
      </c>
      <c r="G2440">
        <v>1940815</v>
      </c>
      <c r="H2440" t="s">
        <v>790</v>
      </c>
    </row>
    <row r="2441" spans="1:8" x14ac:dyDescent="0.25">
      <c r="A2441" t="s">
        <v>437</v>
      </c>
      <c r="B2441" t="s">
        <v>18</v>
      </c>
      <c r="C2441" t="s">
        <v>397</v>
      </c>
      <c r="D2441">
        <v>619</v>
      </c>
      <c r="E2441">
        <v>297.31900000000002</v>
      </c>
      <c r="F2441">
        <v>428.34800000000001</v>
      </c>
      <c r="G2441">
        <v>1940815</v>
      </c>
      <c r="H2441" t="s">
        <v>790</v>
      </c>
    </row>
    <row r="2442" spans="1:8" x14ac:dyDescent="0.25">
      <c r="A2442" t="s">
        <v>437</v>
      </c>
      <c r="B2442" t="s">
        <v>18</v>
      </c>
      <c r="C2442" t="s">
        <v>397</v>
      </c>
      <c r="D2442">
        <v>119</v>
      </c>
      <c r="E2442">
        <v>57.158000000000001</v>
      </c>
      <c r="F2442">
        <v>82.347999999999999</v>
      </c>
      <c r="G2442">
        <v>1940815</v>
      </c>
      <c r="H2442" t="s">
        <v>790</v>
      </c>
    </row>
    <row r="2443" spans="1:8" x14ac:dyDescent="0.25">
      <c r="A2443" t="s">
        <v>437</v>
      </c>
      <c r="B2443" t="s">
        <v>18</v>
      </c>
      <c r="C2443" t="s">
        <v>397</v>
      </c>
      <c r="D2443">
        <v>4</v>
      </c>
      <c r="E2443">
        <v>1.921</v>
      </c>
      <c r="F2443">
        <v>2.7679999999999998</v>
      </c>
      <c r="G2443">
        <v>1940815</v>
      </c>
      <c r="H2443" t="s">
        <v>790</v>
      </c>
    </row>
    <row r="2444" spans="1:8" x14ac:dyDescent="0.25">
      <c r="A2444" t="s">
        <v>437</v>
      </c>
      <c r="B2444" t="s">
        <v>18</v>
      </c>
      <c r="C2444" t="s">
        <v>397</v>
      </c>
      <c r="D2444">
        <v>180</v>
      </c>
      <c r="E2444">
        <v>29.24</v>
      </c>
      <c r="F2444">
        <v>58.32</v>
      </c>
      <c r="G2444">
        <v>4098593</v>
      </c>
      <c r="H2444" t="s">
        <v>1896</v>
      </c>
    </row>
    <row r="2445" spans="1:8" x14ac:dyDescent="0.25">
      <c r="A2445" t="s">
        <v>437</v>
      </c>
      <c r="B2445" t="s">
        <v>18</v>
      </c>
      <c r="C2445" t="s">
        <v>397</v>
      </c>
      <c r="D2445">
        <v>1300</v>
      </c>
      <c r="E2445">
        <v>785.18100000000004</v>
      </c>
      <c r="F2445">
        <v>1524.9</v>
      </c>
      <c r="G2445">
        <v>2427158</v>
      </c>
      <c r="H2445" t="s">
        <v>671</v>
      </c>
    </row>
    <row r="2446" spans="1:8" x14ac:dyDescent="0.25">
      <c r="A2446" t="s">
        <v>437</v>
      </c>
      <c r="B2446" t="s">
        <v>18</v>
      </c>
      <c r="C2446" t="s">
        <v>397</v>
      </c>
      <c r="D2446">
        <v>927</v>
      </c>
      <c r="E2446">
        <v>559.89400000000001</v>
      </c>
      <c r="F2446">
        <v>1087.3710000000001</v>
      </c>
      <c r="G2446">
        <v>2427158</v>
      </c>
      <c r="H2446" t="s">
        <v>671</v>
      </c>
    </row>
    <row r="2447" spans="1:8" x14ac:dyDescent="0.25">
      <c r="A2447" t="s">
        <v>437</v>
      </c>
      <c r="B2447" t="s">
        <v>18</v>
      </c>
      <c r="C2447" t="s">
        <v>397</v>
      </c>
      <c r="D2447">
        <v>905</v>
      </c>
      <c r="E2447">
        <v>546.60699999999997</v>
      </c>
      <c r="F2447">
        <v>1061.5650000000001</v>
      </c>
      <c r="G2447">
        <v>2427158</v>
      </c>
      <c r="H2447" t="s">
        <v>671</v>
      </c>
    </row>
    <row r="2448" spans="1:8" x14ac:dyDescent="0.25">
      <c r="A2448" t="s">
        <v>437</v>
      </c>
      <c r="B2448" t="s">
        <v>18</v>
      </c>
      <c r="C2448" t="s">
        <v>397</v>
      </c>
      <c r="D2448">
        <v>63</v>
      </c>
      <c r="E2448">
        <v>38.051000000000002</v>
      </c>
      <c r="F2448">
        <v>73.899000000000001</v>
      </c>
      <c r="G2448">
        <v>2427158</v>
      </c>
      <c r="H2448" t="s">
        <v>671</v>
      </c>
    </row>
    <row r="2449" spans="1:8" x14ac:dyDescent="0.25">
      <c r="A2449" t="s">
        <v>437</v>
      </c>
      <c r="B2449" t="s">
        <v>18</v>
      </c>
      <c r="C2449" t="s">
        <v>397</v>
      </c>
      <c r="D2449">
        <v>1260</v>
      </c>
      <c r="E2449">
        <v>186.994</v>
      </c>
      <c r="F2449">
        <v>372.96</v>
      </c>
      <c r="G2449">
        <v>4098592</v>
      </c>
      <c r="H2449" t="s">
        <v>579</v>
      </c>
    </row>
    <row r="2450" spans="1:8" x14ac:dyDescent="0.25">
      <c r="A2450" t="s">
        <v>641</v>
      </c>
      <c r="B2450" t="s">
        <v>180</v>
      </c>
      <c r="C2450" t="s">
        <v>397</v>
      </c>
      <c r="D2450">
        <v>2124</v>
      </c>
      <c r="E2450">
        <v>1921.623</v>
      </c>
      <c r="F2450">
        <v>1917.972</v>
      </c>
      <c r="G2450">
        <v>1940478</v>
      </c>
      <c r="H2450" t="s">
        <v>643</v>
      </c>
    </row>
    <row r="2451" spans="1:8" x14ac:dyDescent="0.25">
      <c r="A2451" t="s">
        <v>641</v>
      </c>
      <c r="B2451" t="s">
        <v>180</v>
      </c>
      <c r="C2451" t="s">
        <v>397</v>
      </c>
      <c r="D2451">
        <v>651</v>
      </c>
      <c r="E2451">
        <v>588.97199999999998</v>
      </c>
      <c r="F2451">
        <v>587.85299999999995</v>
      </c>
      <c r="G2451">
        <v>1940478</v>
      </c>
      <c r="H2451" t="s">
        <v>643</v>
      </c>
    </row>
    <row r="2452" spans="1:8" x14ac:dyDescent="0.25">
      <c r="A2452" t="s">
        <v>641</v>
      </c>
      <c r="B2452" t="s">
        <v>180</v>
      </c>
      <c r="C2452" t="s">
        <v>397</v>
      </c>
      <c r="D2452">
        <v>1874</v>
      </c>
      <c r="E2452">
        <v>1453.1859999999999</v>
      </c>
      <c r="F2452">
        <v>1384.886</v>
      </c>
      <c r="G2452">
        <v>2422186</v>
      </c>
      <c r="H2452" t="s">
        <v>2098</v>
      </c>
    </row>
    <row r="2453" spans="1:8" x14ac:dyDescent="0.25">
      <c r="A2453" t="s">
        <v>641</v>
      </c>
      <c r="B2453" t="s">
        <v>180</v>
      </c>
      <c r="C2453" t="s">
        <v>397</v>
      </c>
      <c r="D2453">
        <v>2098</v>
      </c>
      <c r="E2453">
        <v>1626.886</v>
      </c>
      <c r="F2453">
        <v>1550.422</v>
      </c>
      <c r="G2453">
        <v>2422186</v>
      </c>
      <c r="H2453" t="s">
        <v>2098</v>
      </c>
    </row>
    <row r="2454" spans="1:8" x14ac:dyDescent="0.25">
      <c r="A2454" t="s">
        <v>641</v>
      </c>
      <c r="B2454" t="s">
        <v>180</v>
      </c>
      <c r="C2454" t="s">
        <v>397</v>
      </c>
      <c r="D2454">
        <v>1698</v>
      </c>
      <c r="E2454">
        <v>1316.7070000000001</v>
      </c>
      <c r="F2454">
        <v>1254.8219999999999</v>
      </c>
      <c r="G2454">
        <v>2422186</v>
      </c>
      <c r="H2454" t="s">
        <v>2098</v>
      </c>
    </row>
    <row r="2455" spans="1:8" x14ac:dyDescent="0.25">
      <c r="A2455" t="s">
        <v>641</v>
      </c>
      <c r="B2455" t="s">
        <v>180</v>
      </c>
      <c r="C2455" t="s">
        <v>397</v>
      </c>
      <c r="D2455">
        <v>775</v>
      </c>
      <c r="E2455">
        <v>600.971</v>
      </c>
      <c r="F2455">
        <v>572.72500000000002</v>
      </c>
      <c r="G2455">
        <v>2422186</v>
      </c>
      <c r="H2455" t="s">
        <v>2098</v>
      </c>
    </row>
    <row r="2456" spans="1:8" x14ac:dyDescent="0.25">
      <c r="A2456" t="s">
        <v>641</v>
      </c>
      <c r="B2456" t="s">
        <v>180</v>
      </c>
      <c r="C2456" t="s">
        <v>397</v>
      </c>
      <c r="D2456">
        <v>500</v>
      </c>
      <c r="E2456">
        <v>387.72300000000001</v>
      </c>
      <c r="F2456">
        <v>369.5</v>
      </c>
      <c r="G2456">
        <v>2422186</v>
      </c>
      <c r="H2456" t="s">
        <v>2098</v>
      </c>
    </row>
    <row r="2457" spans="1:8" x14ac:dyDescent="0.25">
      <c r="A2457" t="s">
        <v>641</v>
      </c>
      <c r="B2457" t="s">
        <v>180</v>
      </c>
      <c r="C2457" t="s">
        <v>397</v>
      </c>
      <c r="D2457">
        <v>237</v>
      </c>
      <c r="E2457">
        <v>183.78100000000001</v>
      </c>
      <c r="F2457">
        <v>175.143</v>
      </c>
      <c r="G2457">
        <v>2422186</v>
      </c>
      <c r="H2457" t="s">
        <v>2098</v>
      </c>
    </row>
    <row r="2458" spans="1:8" x14ac:dyDescent="0.25">
      <c r="A2458" t="s">
        <v>641</v>
      </c>
      <c r="B2458" t="s">
        <v>180</v>
      </c>
      <c r="C2458" t="s">
        <v>397</v>
      </c>
      <c r="D2458">
        <v>18</v>
      </c>
      <c r="E2458">
        <v>13.958</v>
      </c>
      <c r="F2458">
        <v>13.302</v>
      </c>
      <c r="G2458">
        <v>2422186</v>
      </c>
      <c r="H2458" t="s">
        <v>2098</v>
      </c>
    </row>
    <row r="2459" spans="1:8" x14ac:dyDescent="0.25">
      <c r="A2459" t="s">
        <v>757</v>
      </c>
      <c r="B2459" t="s">
        <v>53</v>
      </c>
      <c r="C2459" t="s">
        <v>397</v>
      </c>
      <c r="D2459">
        <v>2775</v>
      </c>
      <c r="E2459">
        <v>2172.8069999999998</v>
      </c>
      <c r="F2459">
        <v>3068.873</v>
      </c>
      <c r="G2459">
        <v>3775636</v>
      </c>
      <c r="H2459" t="s">
        <v>811</v>
      </c>
    </row>
    <row r="2460" spans="1:8" x14ac:dyDescent="0.25">
      <c r="A2460" t="s">
        <v>757</v>
      </c>
      <c r="B2460" t="s">
        <v>53</v>
      </c>
      <c r="C2460" t="s">
        <v>397</v>
      </c>
      <c r="D2460">
        <v>2099</v>
      </c>
      <c r="E2460">
        <v>1643.5029999999999</v>
      </c>
      <c r="F2460">
        <v>2321.2840000000001</v>
      </c>
      <c r="G2460">
        <v>3775636</v>
      </c>
      <c r="H2460" t="s">
        <v>811</v>
      </c>
    </row>
    <row r="2461" spans="1:8" x14ac:dyDescent="0.25">
      <c r="A2461" t="s">
        <v>757</v>
      </c>
      <c r="B2461" t="s">
        <v>53</v>
      </c>
      <c r="C2461" t="s">
        <v>397</v>
      </c>
      <c r="D2461">
        <v>126</v>
      </c>
      <c r="E2461">
        <v>98.656999999999996</v>
      </c>
      <c r="F2461">
        <v>139.34299999999999</v>
      </c>
      <c r="G2461">
        <v>3775636</v>
      </c>
      <c r="H2461" t="s">
        <v>811</v>
      </c>
    </row>
    <row r="2462" spans="1:8" x14ac:dyDescent="0.25">
      <c r="A2462" t="s">
        <v>6042</v>
      </c>
      <c r="B2462" t="s">
        <v>187</v>
      </c>
      <c r="C2462" t="s">
        <v>392</v>
      </c>
      <c r="D2462">
        <v>337</v>
      </c>
      <c r="E2462">
        <v>2022.3219999999999</v>
      </c>
      <c r="F2462">
        <v>2120</v>
      </c>
      <c r="G2462">
        <v>1940790</v>
      </c>
      <c r="H2462" t="s">
        <v>6064</v>
      </c>
    </row>
    <row r="2463" spans="1:8" x14ac:dyDescent="0.25">
      <c r="A2463" t="s">
        <v>6042</v>
      </c>
      <c r="B2463" t="s">
        <v>187</v>
      </c>
      <c r="C2463" t="s">
        <v>392</v>
      </c>
      <c r="D2463">
        <v>351</v>
      </c>
      <c r="E2463">
        <v>2108.1750000000002</v>
      </c>
      <c r="F2463">
        <v>2210</v>
      </c>
      <c r="G2463">
        <v>1940790</v>
      </c>
      <c r="H2463" t="s">
        <v>6064</v>
      </c>
    </row>
    <row r="2464" spans="1:8" x14ac:dyDescent="0.25">
      <c r="A2464" t="s">
        <v>6042</v>
      </c>
      <c r="B2464" t="s">
        <v>187</v>
      </c>
      <c r="C2464" t="s">
        <v>392</v>
      </c>
      <c r="D2464">
        <v>358</v>
      </c>
      <c r="E2464">
        <v>2146.3319999999999</v>
      </c>
      <c r="F2464">
        <v>2250</v>
      </c>
      <c r="G2464">
        <v>1940790</v>
      </c>
      <c r="H2464" t="s">
        <v>6064</v>
      </c>
    </row>
    <row r="2465" spans="1:8" x14ac:dyDescent="0.25">
      <c r="A2465" t="s">
        <v>6042</v>
      </c>
      <c r="B2465" t="s">
        <v>187</v>
      </c>
      <c r="C2465" t="s">
        <v>392</v>
      </c>
      <c r="D2465">
        <v>367</v>
      </c>
      <c r="E2465">
        <v>2203.5680000000002</v>
      </c>
      <c r="F2465">
        <v>2310</v>
      </c>
      <c r="G2465">
        <v>1940790</v>
      </c>
      <c r="H2465" t="s">
        <v>6064</v>
      </c>
    </row>
    <row r="2466" spans="1:8" x14ac:dyDescent="0.25">
      <c r="A2466" t="s">
        <v>6042</v>
      </c>
      <c r="B2466" t="s">
        <v>187</v>
      </c>
      <c r="C2466" t="s">
        <v>392</v>
      </c>
      <c r="D2466">
        <v>342</v>
      </c>
      <c r="E2466">
        <v>2050.94</v>
      </c>
      <c r="F2466">
        <v>2150</v>
      </c>
      <c r="G2466">
        <v>1940790</v>
      </c>
      <c r="H2466" t="s">
        <v>6064</v>
      </c>
    </row>
    <row r="2467" spans="1:8" x14ac:dyDescent="0.25">
      <c r="A2467" t="s">
        <v>6042</v>
      </c>
      <c r="B2467" t="s">
        <v>187</v>
      </c>
      <c r="C2467" t="s">
        <v>392</v>
      </c>
      <c r="D2467">
        <v>326</v>
      </c>
      <c r="E2467">
        <v>1955.547</v>
      </c>
      <c r="F2467">
        <v>2050</v>
      </c>
      <c r="G2467">
        <v>1940790</v>
      </c>
      <c r="H2467" t="s">
        <v>6064</v>
      </c>
    </row>
    <row r="2468" spans="1:8" x14ac:dyDescent="0.25">
      <c r="A2468" t="s">
        <v>6042</v>
      </c>
      <c r="B2468" t="s">
        <v>187</v>
      </c>
      <c r="C2468" t="s">
        <v>392</v>
      </c>
      <c r="D2468">
        <v>322</v>
      </c>
      <c r="E2468">
        <v>1932.653</v>
      </c>
      <c r="F2468">
        <v>2026</v>
      </c>
      <c r="G2468">
        <v>1940790</v>
      </c>
      <c r="H2468" t="s">
        <v>6064</v>
      </c>
    </row>
    <row r="2469" spans="1:8" x14ac:dyDescent="0.25">
      <c r="A2469" t="s">
        <v>6042</v>
      </c>
      <c r="B2469" t="s">
        <v>187</v>
      </c>
      <c r="C2469" t="s">
        <v>392</v>
      </c>
      <c r="D2469">
        <v>174</v>
      </c>
      <c r="E2469">
        <v>1042.6310000000001</v>
      </c>
      <c r="F2469">
        <v>1531</v>
      </c>
      <c r="G2469">
        <v>1940852</v>
      </c>
      <c r="H2469" t="s">
        <v>446</v>
      </c>
    </row>
    <row r="2470" spans="1:8" x14ac:dyDescent="0.25">
      <c r="A2470" t="s">
        <v>6042</v>
      </c>
      <c r="B2470" t="s">
        <v>187</v>
      </c>
      <c r="C2470" t="s">
        <v>392</v>
      </c>
      <c r="D2470">
        <v>150</v>
      </c>
      <c r="E2470">
        <v>898.25699999999995</v>
      </c>
      <c r="F2470">
        <v>1319</v>
      </c>
      <c r="G2470">
        <v>1940852</v>
      </c>
      <c r="H2470" t="s">
        <v>446</v>
      </c>
    </row>
    <row r="2471" spans="1:8" x14ac:dyDescent="0.25">
      <c r="A2471" t="s">
        <v>6042</v>
      </c>
      <c r="B2471" t="s">
        <v>187</v>
      </c>
      <c r="C2471" t="s">
        <v>392</v>
      </c>
      <c r="D2471">
        <v>211</v>
      </c>
      <c r="E2471">
        <v>1265.5940000000001</v>
      </c>
      <c r="F2471">
        <v>700</v>
      </c>
      <c r="G2471">
        <v>1940146</v>
      </c>
      <c r="H2471" t="s">
        <v>451</v>
      </c>
    </row>
    <row r="2472" spans="1:8" x14ac:dyDescent="0.25">
      <c r="A2472" t="s">
        <v>6042</v>
      </c>
      <c r="B2472" t="s">
        <v>187</v>
      </c>
      <c r="C2472" t="s">
        <v>392</v>
      </c>
      <c r="D2472">
        <v>359</v>
      </c>
      <c r="E2472">
        <v>2151.5100000000002</v>
      </c>
      <c r="F2472">
        <v>1190</v>
      </c>
      <c r="G2472">
        <v>1940146</v>
      </c>
      <c r="H2472" t="s">
        <v>451</v>
      </c>
    </row>
    <row r="2473" spans="1:8" x14ac:dyDescent="0.25">
      <c r="A2473" t="s">
        <v>6042</v>
      </c>
      <c r="B2473" t="s">
        <v>187</v>
      </c>
      <c r="C2473" t="s">
        <v>392</v>
      </c>
      <c r="D2473">
        <v>40</v>
      </c>
      <c r="E2473">
        <v>242.27099999999999</v>
      </c>
      <c r="F2473">
        <v>134</v>
      </c>
      <c r="G2473">
        <v>1940146</v>
      </c>
      <c r="H2473" t="s">
        <v>451</v>
      </c>
    </row>
    <row r="2474" spans="1:8" x14ac:dyDescent="0.25">
      <c r="A2474" t="s">
        <v>757</v>
      </c>
      <c r="B2474" t="s">
        <v>53</v>
      </c>
      <c r="C2474" t="s">
        <v>397</v>
      </c>
      <c r="D2474">
        <v>1224</v>
      </c>
      <c r="E2474">
        <v>844.65599999999995</v>
      </c>
      <c r="F2474">
        <v>687.88800000000003</v>
      </c>
      <c r="G2474">
        <v>3714733</v>
      </c>
      <c r="H2474" t="s">
        <v>758</v>
      </c>
    </row>
    <row r="2475" spans="1:8" x14ac:dyDescent="0.25">
      <c r="A2475" t="s">
        <v>757</v>
      </c>
      <c r="B2475" t="s">
        <v>53</v>
      </c>
      <c r="C2475" t="s">
        <v>397</v>
      </c>
      <c r="D2475">
        <v>2270</v>
      </c>
      <c r="E2475">
        <v>1566.4780000000001</v>
      </c>
      <c r="F2475">
        <v>1275.74</v>
      </c>
      <c r="G2475">
        <v>3714733</v>
      </c>
      <c r="H2475" t="s">
        <v>758</v>
      </c>
    </row>
    <row r="2476" spans="1:8" x14ac:dyDescent="0.25">
      <c r="A2476" t="s">
        <v>757</v>
      </c>
      <c r="B2476" t="s">
        <v>53</v>
      </c>
      <c r="C2476" t="s">
        <v>397</v>
      </c>
      <c r="D2476">
        <v>619</v>
      </c>
      <c r="E2476">
        <v>427.15899999999999</v>
      </c>
      <c r="F2476">
        <v>347.87799999999999</v>
      </c>
      <c r="G2476">
        <v>3714733</v>
      </c>
      <c r="H2476" t="s">
        <v>758</v>
      </c>
    </row>
    <row r="2477" spans="1:8" x14ac:dyDescent="0.25">
      <c r="A2477" t="s">
        <v>757</v>
      </c>
      <c r="B2477" t="s">
        <v>53</v>
      </c>
      <c r="C2477" t="s">
        <v>397</v>
      </c>
      <c r="D2477">
        <v>787</v>
      </c>
      <c r="E2477">
        <v>543.09199999999998</v>
      </c>
      <c r="F2477">
        <v>442.29399999999998</v>
      </c>
      <c r="G2477">
        <v>3714733</v>
      </c>
      <c r="H2477" t="s">
        <v>758</v>
      </c>
    </row>
    <row r="2478" spans="1:8" x14ac:dyDescent="0.25">
      <c r="A2478" t="s">
        <v>6057</v>
      </c>
      <c r="B2478" t="s">
        <v>51</v>
      </c>
      <c r="C2478" t="s">
        <v>397</v>
      </c>
      <c r="D2478">
        <v>719</v>
      </c>
      <c r="E2478">
        <v>287.59899999999999</v>
      </c>
      <c r="F2478">
        <v>378.39400000000001</v>
      </c>
      <c r="G2478">
        <v>3863799</v>
      </c>
      <c r="H2478" t="s">
        <v>1621</v>
      </c>
    </row>
    <row r="2479" spans="1:8" x14ac:dyDescent="0.25">
      <c r="A2479" t="s">
        <v>6057</v>
      </c>
      <c r="B2479" t="s">
        <v>51</v>
      </c>
      <c r="C2479" t="s">
        <v>397</v>
      </c>
      <c r="D2479">
        <v>725</v>
      </c>
      <c r="E2479">
        <v>289.99900000000002</v>
      </c>
      <c r="F2479">
        <v>381.55099999999999</v>
      </c>
      <c r="G2479">
        <v>3863799</v>
      </c>
      <c r="H2479" t="s">
        <v>1621</v>
      </c>
    </row>
    <row r="2480" spans="1:8" x14ac:dyDescent="0.25">
      <c r="A2480" t="s">
        <v>6057</v>
      </c>
      <c r="B2480" t="s">
        <v>51</v>
      </c>
      <c r="C2480" t="s">
        <v>397</v>
      </c>
      <c r="D2480">
        <v>475</v>
      </c>
      <c r="E2480">
        <v>189.999</v>
      </c>
      <c r="F2480">
        <v>249.982</v>
      </c>
      <c r="G2480">
        <v>3863799</v>
      </c>
      <c r="H2480" t="s">
        <v>1621</v>
      </c>
    </row>
    <row r="2481" spans="1:8" x14ac:dyDescent="0.25">
      <c r="A2481" t="s">
        <v>6057</v>
      </c>
      <c r="B2481" t="s">
        <v>51</v>
      </c>
      <c r="C2481" t="s">
        <v>397</v>
      </c>
      <c r="D2481">
        <v>28</v>
      </c>
      <c r="E2481">
        <v>11.2</v>
      </c>
      <c r="F2481">
        <v>14.736000000000001</v>
      </c>
      <c r="G2481">
        <v>3863799</v>
      </c>
      <c r="H2481" t="s">
        <v>1621</v>
      </c>
    </row>
    <row r="2482" spans="1:8" x14ac:dyDescent="0.25">
      <c r="A2482" t="s">
        <v>6057</v>
      </c>
      <c r="B2482" t="s">
        <v>51</v>
      </c>
      <c r="C2482" t="s">
        <v>397</v>
      </c>
      <c r="D2482">
        <v>28</v>
      </c>
      <c r="E2482">
        <v>11.2</v>
      </c>
      <c r="F2482">
        <v>14.736000000000001</v>
      </c>
      <c r="G2482">
        <v>3863799</v>
      </c>
      <c r="H2482" t="s">
        <v>1621</v>
      </c>
    </row>
    <row r="2483" spans="1:8" x14ac:dyDescent="0.25">
      <c r="A2483" t="s">
        <v>6057</v>
      </c>
      <c r="B2483" t="s">
        <v>51</v>
      </c>
      <c r="C2483" t="s">
        <v>397</v>
      </c>
      <c r="D2483">
        <v>25</v>
      </c>
      <c r="E2483">
        <v>10</v>
      </c>
      <c r="F2483">
        <v>13.157</v>
      </c>
      <c r="G2483">
        <v>3863799</v>
      </c>
      <c r="H2483" t="s">
        <v>1621</v>
      </c>
    </row>
    <row r="2484" spans="1:8" x14ac:dyDescent="0.25">
      <c r="A2484" t="s">
        <v>6057</v>
      </c>
      <c r="B2484" t="s">
        <v>51</v>
      </c>
      <c r="C2484" t="s">
        <v>397</v>
      </c>
      <c r="D2484">
        <v>873</v>
      </c>
      <c r="E2484">
        <v>506.34300000000002</v>
      </c>
      <c r="F2484">
        <v>666.19600000000003</v>
      </c>
      <c r="G2484">
        <v>3863797</v>
      </c>
      <c r="H2484" t="s">
        <v>1624</v>
      </c>
    </row>
    <row r="2485" spans="1:8" x14ac:dyDescent="0.25">
      <c r="A2485" t="s">
        <v>6057</v>
      </c>
      <c r="B2485" t="s">
        <v>51</v>
      </c>
      <c r="C2485" t="s">
        <v>397</v>
      </c>
      <c r="D2485">
        <v>470</v>
      </c>
      <c r="E2485">
        <v>272.60199999999998</v>
      </c>
      <c r="F2485">
        <v>358.66199999999998</v>
      </c>
      <c r="G2485">
        <v>3863797</v>
      </c>
      <c r="H2485" t="s">
        <v>1624</v>
      </c>
    </row>
    <row r="2486" spans="1:8" x14ac:dyDescent="0.25">
      <c r="A2486" t="s">
        <v>6057</v>
      </c>
      <c r="B2486" t="s">
        <v>51</v>
      </c>
      <c r="C2486" t="s">
        <v>397</v>
      </c>
      <c r="D2486">
        <v>344</v>
      </c>
      <c r="E2486">
        <v>199.52099999999999</v>
      </c>
      <c r="F2486">
        <v>262.51</v>
      </c>
      <c r="G2486">
        <v>3863797</v>
      </c>
      <c r="H2486" t="s">
        <v>1624</v>
      </c>
    </row>
    <row r="2487" spans="1:8" x14ac:dyDescent="0.25">
      <c r="A2487" t="s">
        <v>6057</v>
      </c>
      <c r="B2487" t="s">
        <v>51</v>
      </c>
      <c r="C2487" t="s">
        <v>397</v>
      </c>
      <c r="D2487">
        <v>300</v>
      </c>
      <c r="E2487">
        <v>174.001</v>
      </c>
      <c r="F2487">
        <v>228.93299999999999</v>
      </c>
      <c r="G2487">
        <v>3863797</v>
      </c>
      <c r="H2487" t="s">
        <v>1624</v>
      </c>
    </row>
    <row r="2488" spans="1:8" x14ac:dyDescent="0.25">
      <c r="A2488" t="s">
        <v>6057</v>
      </c>
      <c r="B2488" t="s">
        <v>51</v>
      </c>
      <c r="C2488" t="s">
        <v>397</v>
      </c>
      <c r="D2488">
        <v>9</v>
      </c>
      <c r="E2488">
        <v>5.22</v>
      </c>
      <c r="F2488">
        <v>6.8680000000000003</v>
      </c>
      <c r="G2488">
        <v>3863797</v>
      </c>
      <c r="H2488" t="s">
        <v>1624</v>
      </c>
    </row>
    <row r="2489" spans="1:8" x14ac:dyDescent="0.25">
      <c r="A2489" t="s">
        <v>6057</v>
      </c>
      <c r="B2489" t="s">
        <v>51</v>
      </c>
      <c r="C2489" t="s">
        <v>397</v>
      </c>
      <c r="D2489">
        <v>4</v>
      </c>
      <c r="E2489">
        <v>2.3199999999999998</v>
      </c>
      <c r="F2489">
        <v>3.052</v>
      </c>
      <c r="G2489">
        <v>3863797</v>
      </c>
      <c r="H2489" t="s">
        <v>1624</v>
      </c>
    </row>
    <row r="2490" spans="1:8" x14ac:dyDescent="0.25">
      <c r="A2490" t="s">
        <v>6057</v>
      </c>
      <c r="B2490" t="s">
        <v>51</v>
      </c>
      <c r="C2490" t="s">
        <v>397</v>
      </c>
      <c r="D2490">
        <v>1842</v>
      </c>
      <c r="E2490">
        <v>1142.027</v>
      </c>
      <c r="F2490">
        <v>1582.278</v>
      </c>
      <c r="G2490">
        <v>2397072</v>
      </c>
      <c r="H2490" t="s">
        <v>1703</v>
      </c>
    </row>
    <row r="2491" spans="1:8" x14ac:dyDescent="0.25">
      <c r="A2491" t="s">
        <v>6057</v>
      </c>
      <c r="B2491" t="s">
        <v>51</v>
      </c>
      <c r="C2491" t="s">
        <v>397</v>
      </c>
      <c r="D2491">
        <v>1849</v>
      </c>
      <c r="E2491">
        <v>1146.367</v>
      </c>
      <c r="F2491">
        <v>1588.2909999999999</v>
      </c>
      <c r="G2491">
        <v>2397072</v>
      </c>
      <c r="H2491" t="s">
        <v>1703</v>
      </c>
    </row>
    <row r="2492" spans="1:8" x14ac:dyDescent="0.25">
      <c r="A2492" t="s">
        <v>6057</v>
      </c>
      <c r="B2492" t="s">
        <v>51</v>
      </c>
      <c r="C2492" t="s">
        <v>397</v>
      </c>
      <c r="D2492">
        <v>1265</v>
      </c>
      <c r="E2492">
        <v>784.29100000000005</v>
      </c>
      <c r="F2492">
        <v>1086.635</v>
      </c>
      <c r="G2492">
        <v>2397072</v>
      </c>
      <c r="H2492" t="s">
        <v>1703</v>
      </c>
    </row>
    <row r="2493" spans="1:8" x14ac:dyDescent="0.25">
      <c r="A2493" t="s">
        <v>6057</v>
      </c>
      <c r="B2493" t="s">
        <v>51</v>
      </c>
      <c r="C2493" t="s">
        <v>397</v>
      </c>
      <c r="D2493">
        <v>19</v>
      </c>
      <c r="E2493">
        <v>11.78</v>
      </c>
      <c r="F2493">
        <v>16.321000000000002</v>
      </c>
      <c r="G2493">
        <v>2397072</v>
      </c>
      <c r="H2493" t="s">
        <v>1703</v>
      </c>
    </row>
    <row r="2494" spans="1:8" x14ac:dyDescent="0.25">
      <c r="A2494" t="s">
        <v>6057</v>
      </c>
      <c r="B2494" t="s">
        <v>51</v>
      </c>
      <c r="C2494" t="s">
        <v>397</v>
      </c>
      <c r="D2494">
        <v>16</v>
      </c>
      <c r="E2494">
        <v>9.92</v>
      </c>
      <c r="F2494">
        <v>13.744</v>
      </c>
      <c r="G2494">
        <v>2397072</v>
      </c>
      <c r="H2494" t="s">
        <v>1703</v>
      </c>
    </row>
    <row r="2495" spans="1:8" x14ac:dyDescent="0.25">
      <c r="A2495" t="s">
        <v>6057</v>
      </c>
      <c r="B2495" t="s">
        <v>51</v>
      </c>
      <c r="C2495" t="s">
        <v>397</v>
      </c>
      <c r="D2495">
        <v>9</v>
      </c>
      <c r="E2495">
        <v>5.58</v>
      </c>
      <c r="F2495">
        <v>7.7309999999999999</v>
      </c>
      <c r="G2495">
        <v>2397072</v>
      </c>
      <c r="H2495" t="s">
        <v>1703</v>
      </c>
    </row>
    <row r="2496" spans="1:8" x14ac:dyDescent="0.25">
      <c r="A2496" t="s">
        <v>6057</v>
      </c>
      <c r="B2496" t="s">
        <v>51</v>
      </c>
      <c r="C2496" t="s">
        <v>397</v>
      </c>
      <c r="D2496">
        <v>200</v>
      </c>
      <c r="E2496">
        <v>80</v>
      </c>
      <c r="F2496">
        <v>146.529</v>
      </c>
      <c r="G2496">
        <v>3863798</v>
      </c>
      <c r="H2496" t="s">
        <v>1707</v>
      </c>
    </row>
    <row r="2497" spans="1:8" x14ac:dyDescent="0.25">
      <c r="A2497" t="s">
        <v>6057</v>
      </c>
      <c r="B2497" t="s">
        <v>51</v>
      </c>
      <c r="C2497" t="s">
        <v>397</v>
      </c>
      <c r="D2497">
        <v>1005</v>
      </c>
      <c r="E2497">
        <v>582.88499999999999</v>
      </c>
      <c r="F2497">
        <v>1067.6120000000001</v>
      </c>
      <c r="G2497">
        <v>3863796</v>
      </c>
      <c r="H2497" t="s">
        <v>1710</v>
      </c>
    </row>
    <row r="2498" spans="1:8" x14ac:dyDescent="0.25">
      <c r="A2498" t="s">
        <v>6057</v>
      </c>
      <c r="B2498" t="s">
        <v>51</v>
      </c>
      <c r="C2498" t="s">
        <v>397</v>
      </c>
      <c r="D2498">
        <v>899</v>
      </c>
      <c r="E2498">
        <v>521.40599999999995</v>
      </c>
      <c r="F2498">
        <v>955.00800000000004</v>
      </c>
      <c r="G2498">
        <v>3863796</v>
      </c>
      <c r="H2498" t="s">
        <v>1710</v>
      </c>
    </row>
    <row r="2499" spans="1:8" x14ac:dyDescent="0.25">
      <c r="A2499" t="s">
        <v>6057</v>
      </c>
      <c r="B2499" t="s">
        <v>51</v>
      </c>
      <c r="C2499" t="s">
        <v>397</v>
      </c>
      <c r="D2499">
        <v>199</v>
      </c>
      <c r="E2499">
        <v>115.417</v>
      </c>
      <c r="F2499">
        <v>211.398</v>
      </c>
      <c r="G2499">
        <v>3863796</v>
      </c>
      <c r="H2499" t="s">
        <v>1710</v>
      </c>
    </row>
    <row r="2500" spans="1:8" x14ac:dyDescent="0.25">
      <c r="A2500" t="s">
        <v>6057</v>
      </c>
      <c r="B2500" t="s">
        <v>51</v>
      </c>
      <c r="C2500" t="s">
        <v>397</v>
      </c>
      <c r="D2500">
        <v>17</v>
      </c>
      <c r="E2500">
        <v>9.86</v>
      </c>
      <c r="F2500">
        <v>18.059000000000001</v>
      </c>
      <c r="G2500">
        <v>3863796</v>
      </c>
      <c r="H2500" t="s">
        <v>1710</v>
      </c>
    </row>
    <row r="2501" spans="1:8" x14ac:dyDescent="0.25">
      <c r="A2501" t="s">
        <v>6040</v>
      </c>
      <c r="B2501" t="s">
        <v>40</v>
      </c>
      <c r="C2501" t="s">
        <v>397</v>
      </c>
      <c r="D2501">
        <v>1554</v>
      </c>
      <c r="E2501">
        <v>358.93299999999999</v>
      </c>
      <c r="F2501">
        <v>337.21800000000002</v>
      </c>
      <c r="G2501">
        <v>2398620</v>
      </c>
      <c r="H2501" t="s">
        <v>1567</v>
      </c>
    </row>
    <row r="2502" spans="1:8" x14ac:dyDescent="0.25">
      <c r="A2502" t="s">
        <v>6040</v>
      </c>
      <c r="B2502" t="s">
        <v>40</v>
      </c>
      <c r="C2502" t="s">
        <v>397</v>
      </c>
      <c r="D2502">
        <v>1096</v>
      </c>
      <c r="E2502">
        <v>253.14699999999999</v>
      </c>
      <c r="F2502">
        <v>237.83199999999999</v>
      </c>
      <c r="G2502">
        <v>2398620</v>
      </c>
      <c r="H2502" t="s">
        <v>1567</v>
      </c>
    </row>
    <row r="2503" spans="1:8" x14ac:dyDescent="0.25">
      <c r="A2503" t="s">
        <v>6025</v>
      </c>
      <c r="B2503" t="s">
        <v>40</v>
      </c>
      <c r="C2503" t="s">
        <v>397</v>
      </c>
      <c r="D2503">
        <v>2739</v>
      </c>
      <c r="E2503">
        <v>2422.8510000000001</v>
      </c>
      <c r="F2503">
        <v>2308.9769999999999</v>
      </c>
      <c r="G2503">
        <v>1942696</v>
      </c>
      <c r="H2503" t="s">
        <v>1532</v>
      </c>
    </row>
    <row r="2504" spans="1:8" x14ac:dyDescent="0.25">
      <c r="A2504" t="s">
        <v>6025</v>
      </c>
      <c r="B2504" t="s">
        <v>40</v>
      </c>
      <c r="C2504" t="s">
        <v>397</v>
      </c>
      <c r="D2504">
        <v>2291</v>
      </c>
      <c r="E2504">
        <v>2026.5609999999999</v>
      </c>
      <c r="F2504">
        <v>1931.3130000000001</v>
      </c>
      <c r="G2504">
        <v>1942696</v>
      </c>
      <c r="H2504" t="s">
        <v>1532</v>
      </c>
    </row>
    <row r="2505" spans="1:8" x14ac:dyDescent="0.25">
      <c r="A2505" t="s">
        <v>6025</v>
      </c>
      <c r="B2505" t="s">
        <v>40</v>
      </c>
      <c r="C2505" t="s">
        <v>397</v>
      </c>
      <c r="D2505">
        <v>1637</v>
      </c>
      <c r="E2505">
        <v>1448.049</v>
      </c>
      <c r="F2505">
        <v>1379.991</v>
      </c>
      <c r="G2505">
        <v>1942696</v>
      </c>
      <c r="H2505" t="s">
        <v>1532</v>
      </c>
    </row>
    <row r="2506" spans="1:8" x14ac:dyDescent="0.25">
      <c r="A2506" t="s">
        <v>6025</v>
      </c>
      <c r="B2506" t="s">
        <v>40</v>
      </c>
      <c r="C2506" t="s">
        <v>397</v>
      </c>
      <c r="D2506">
        <v>1460</v>
      </c>
      <c r="E2506">
        <v>1291.48</v>
      </c>
      <c r="F2506">
        <v>1230.78</v>
      </c>
      <c r="G2506">
        <v>1942696</v>
      </c>
      <c r="H2506" t="s">
        <v>1532</v>
      </c>
    </row>
    <row r="2507" spans="1:8" x14ac:dyDescent="0.25">
      <c r="A2507" t="s">
        <v>6025</v>
      </c>
      <c r="B2507" t="s">
        <v>40</v>
      </c>
      <c r="C2507" t="s">
        <v>397</v>
      </c>
      <c r="D2507">
        <v>698</v>
      </c>
      <c r="E2507">
        <v>617.43299999999999</v>
      </c>
      <c r="F2507">
        <v>588.41399999999999</v>
      </c>
      <c r="G2507">
        <v>1942696</v>
      </c>
      <c r="H2507" t="s">
        <v>1532</v>
      </c>
    </row>
    <row r="2508" spans="1:8" x14ac:dyDescent="0.25">
      <c r="A2508" t="s">
        <v>6033</v>
      </c>
      <c r="B2508" t="s">
        <v>178</v>
      </c>
      <c r="C2508" t="s">
        <v>392</v>
      </c>
      <c r="D2508">
        <v>369</v>
      </c>
      <c r="E2508">
        <v>2212.3890000000001</v>
      </c>
      <c r="F2508">
        <v>2025</v>
      </c>
      <c r="G2508">
        <v>1940789</v>
      </c>
      <c r="H2508" t="s">
        <v>6065</v>
      </c>
    </row>
    <row r="2509" spans="1:8" x14ac:dyDescent="0.25">
      <c r="A2509" t="s">
        <v>6033</v>
      </c>
      <c r="B2509" t="s">
        <v>178</v>
      </c>
      <c r="C2509" t="s">
        <v>392</v>
      </c>
      <c r="D2509">
        <v>39</v>
      </c>
      <c r="E2509">
        <v>234.89599999999999</v>
      </c>
      <c r="F2509">
        <v>215</v>
      </c>
      <c r="G2509">
        <v>1940789</v>
      </c>
      <c r="H2509" t="s">
        <v>6065</v>
      </c>
    </row>
    <row r="2510" spans="1:8" x14ac:dyDescent="0.25">
      <c r="A2510" t="s">
        <v>6033</v>
      </c>
      <c r="B2510" t="s">
        <v>178</v>
      </c>
      <c r="C2510" t="s">
        <v>392</v>
      </c>
      <c r="D2510">
        <v>842</v>
      </c>
      <c r="E2510">
        <v>4632.7139999999999</v>
      </c>
      <c r="F2510">
        <v>1700</v>
      </c>
      <c r="G2510">
        <v>4269798</v>
      </c>
      <c r="H2510" t="s">
        <v>6066</v>
      </c>
    </row>
    <row r="2511" spans="1:8" x14ac:dyDescent="0.25">
      <c r="A2511" t="s">
        <v>6033</v>
      </c>
      <c r="B2511" t="s">
        <v>178</v>
      </c>
      <c r="C2511" t="s">
        <v>392</v>
      </c>
      <c r="D2511">
        <v>1090</v>
      </c>
      <c r="E2511">
        <v>5995.2759999999998</v>
      </c>
      <c r="F2511">
        <v>2200</v>
      </c>
      <c r="G2511">
        <v>4269798</v>
      </c>
      <c r="H2511" t="s">
        <v>6066</v>
      </c>
    </row>
    <row r="2512" spans="1:8" x14ac:dyDescent="0.25">
      <c r="A2512" t="s">
        <v>6033</v>
      </c>
      <c r="B2512" t="s">
        <v>178</v>
      </c>
      <c r="C2512" t="s">
        <v>392</v>
      </c>
      <c r="D2512">
        <v>555</v>
      </c>
      <c r="E2512">
        <v>3052.1410000000001</v>
      </c>
      <c r="F2512">
        <v>1120</v>
      </c>
      <c r="G2512">
        <v>4269798</v>
      </c>
      <c r="H2512" t="s">
        <v>6066</v>
      </c>
    </row>
    <row r="2513" spans="1:8" x14ac:dyDescent="0.25">
      <c r="A2513" t="s">
        <v>6033</v>
      </c>
      <c r="B2513" t="s">
        <v>178</v>
      </c>
      <c r="C2513" t="s">
        <v>392</v>
      </c>
      <c r="D2513">
        <v>736</v>
      </c>
      <c r="E2513">
        <v>4414.7039999999997</v>
      </c>
      <c r="F2513">
        <v>1620</v>
      </c>
      <c r="G2513">
        <v>4269799</v>
      </c>
      <c r="H2513" t="s">
        <v>2192</v>
      </c>
    </row>
    <row r="2514" spans="1:8" x14ac:dyDescent="0.25">
      <c r="A2514" t="s">
        <v>6033</v>
      </c>
      <c r="B2514" t="s">
        <v>178</v>
      </c>
      <c r="C2514" t="s">
        <v>392</v>
      </c>
      <c r="D2514">
        <v>733</v>
      </c>
      <c r="E2514">
        <v>4401.0780000000004</v>
      </c>
      <c r="F2514">
        <v>1615</v>
      </c>
      <c r="G2514">
        <v>4269799</v>
      </c>
      <c r="H2514" t="s">
        <v>2192</v>
      </c>
    </row>
    <row r="2515" spans="1:8" x14ac:dyDescent="0.25">
      <c r="A2515" t="s">
        <v>6033</v>
      </c>
      <c r="B2515" t="s">
        <v>178</v>
      </c>
      <c r="C2515" t="s">
        <v>392</v>
      </c>
      <c r="D2515">
        <v>361</v>
      </c>
      <c r="E2515">
        <v>2166.4749999999999</v>
      </c>
      <c r="F2515">
        <v>795</v>
      </c>
      <c r="G2515">
        <v>4269799</v>
      </c>
      <c r="H2515" t="s">
        <v>2192</v>
      </c>
    </row>
    <row r="2516" spans="1:8" x14ac:dyDescent="0.25">
      <c r="A2516" t="s">
        <v>6033</v>
      </c>
      <c r="B2516" t="s">
        <v>178</v>
      </c>
      <c r="C2516" t="s">
        <v>392</v>
      </c>
      <c r="D2516">
        <v>347</v>
      </c>
      <c r="E2516">
        <v>2084.721</v>
      </c>
      <c r="F2516">
        <v>765</v>
      </c>
      <c r="G2516">
        <v>4269799</v>
      </c>
      <c r="H2516" t="s">
        <v>2192</v>
      </c>
    </row>
    <row r="2517" spans="1:8" x14ac:dyDescent="0.25">
      <c r="A2517" t="s">
        <v>6033</v>
      </c>
      <c r="B2517" t="s">
        <v>178</v>
      </c>
      <c r="C2517" t="s">
        <v>392</v>
      </c>
      <c r="D2517">
        <v>347</v>
      </c>
      <c r="E2517">
        <v>2084.721</v>
      </c>
      <c r="F2517">
        <v>765</v>
      </c>
      <c r="G2517">
        <v>4269799</v>
      </c>
      <c r="H2517" t="s">
        <v>2192</v>
      </c>
    </row>
    <row r="2518" spans="1:8" x14ac:dyDescent="0.25">
      <c r="A2518" t="s">
        <v>6033</v>
      </c>
      <c r="B2518" t="s">
        <v>178</v>
      </c>
      <c r="C2518" t="s">
        <v>392</v>
      </c>
      <c r="D2518">
        <v>228</v>
      </c>
      <c r="E2518">
        <v>1368.3050000000001</v>
      </c>
      <c r="F2518">
        <v>1865</v>
      </c>
      <c r="G2518">
        <v>1931893</v>
      </c>
      <c r="H2518" t="s">
        <v>6067</v>
      </c>
    </row>
    <row r="2519" spans="1:8" x14ac:dyDescent="0.25">
      <c r="A2519" t="s">
        <v>6033</v>
      </c>
      <c r="B2519" t="s">
        <v>178</v>
      </c>
      <c r="C2519" t="s">
        <v>392</v>
      </c>
      <c r="D2519">
        <v>257</v>
      </c>
      <c r="E2519">
        <v>1540.7190000000001</v>
      </c>
      <c r="F2519">
        <v>2100</v>
      </c>
      <c r="G2519">
        <v>1931893</v>
      </c>
      <c r="H2519" t="s">
        <v>6067</v>
      </c>
    </row>
    <row r="2520" spans="1:8" x14ac:dyDescent="0.25">
      <c r="A2520" t="s">
        <v>6033</v>
      </c>
      <c r="B2520" t="s">
        <v>178</v>
      </c>
      <c r="C2520" t="s">
        <v>392</v>
      </c>
      <c r="D2520">
        <v>175</v>
      </c>
      <c r="E2520">
        <v>1052.825</v>
      </c>
      <c r="F2520">
        <v>1435</v>
      </c>
      <c r="G2520">
        <v>1931893</v>
      </c>
      <c r="H2520" t="s">
        <v>6067</v>
      </c>
    </row>
    <row r="2521" spans="1:8" x14ac:dyDescent="0.25">
      <c r="A2521" t="s">
        <v>5966</v>
      </c>
      <c r="B2521" t="s">
        <v>37</v>
      </c>
      <c r="C2521" t="s">
        <v>392</v>
      </c>
      <c r="D2521">
        <v>26</v>
      </c>
      <c r="E2521">
        <v>156.64599999999999</v>
      </c>
      <c r="F2521">
        <v>149</v>
      </c>
      <c r="G2521">
        <v>4272693</v>
      </c>
      <c r="H2521" t="s">
        <v>6056</v>
      </c>
    </row>
    <row r="2522" spans="1:8" x14ac:dyDescent="0.25">
      <c r="A2522" t="s">
        <v>5966</v>
      </c>
      <c r="B2522" t="s">
        <v>37</v>
      </c>
      <c r="C2522" t="s">
        <v>392</v>
      </c>
      <c r="D2522">
        <v>233</v>
      </c>
      <c r="E2522">
        <v>1387.7370000000001</v>
      </c>
      <c r="F2522">
        <v>1320</v>
      </c>
      <c r="G2522">
        <v>4272693</v>
      </c>
      <c r="H2522" t="s">
        <v>6056</v>
      </c>
    </row>
    <row r="2523" spans="1:8" x14ac:dyDescent="0.25">
      <c r="A2523" t="s">
        <v>5966</v>
      </c>
      <c r="B2523" t="s">
        <v>37</v>
      </c>
      <c r="C2523" t="s">
        <v>392</v>
      </c>
      <c r="D2523">
        <v>491</v>
      </c>
      <c r="E2523">
        <v>2922.6579999999999</v>
      </c>
      <c r="F2523">
        <v>2780</v>
      </c>
      <c r="G2523">
        <v>4272693</v>
      </c>
      <c r="H2523" t="s">
        <v>6056</v>
      </c>
    </row>
    <row r="2524" spans="1:8" x14ac:dyDescent="0.25">
      <c r="A2524" t="s">
        <v>5966</v>
      </c>
      <c r="B2524" t="s">
        <v>37</v>
      </c>
      <c r="C2524" t="s">
        <v>392</v>
      </c>
      <c r="D2524">
        <v>489</v>
      </c>
      <c r="E2524">
        <v>2906.8879999999999</v>
      </c>
      <c r="F2524">
        <v>2765</v>
      </c>
      <c r="G2524">
        <v>4272693</v>
      </c>
      <c r="H2524" t="s">
        <v>6056</v>
      </c>
    </row>
    <row r="2525" spans="1:8" x14ac:dyDescent="0.25">
      <c r="A2525" t="s">
        <v>5966</v>
      </c>
      <c r="B2525" t="s">
        <v>37</v>
      </c>
      <c r="C2525" t="s">
        <v>392</v>
      </c>
      <c r="D2525">
        <v>495</v>
      </c>
      <c r="E2525">
        <v>2943.6849999999999</v>
      </c>
      <c r="F2525">
        <v>2800</v>
      </c>
      <c r="G2525">
        <v>4272693</v>
      </c>
      <c r="H2525" t="s">
        <v>6056</v>
      </c>
    </row>
    <row r="2526" spans="1:8" x14ac:dyDescent="0.25">
      <c r="A2526" t="s">
        <v>5966</v>
      </c>
      <c r="B2526" t="s">
        <v>37</v>
      </c>
      <c r="C2526" t="s">
        <v>392</v>
      </c>
      <c r="D2526">
        <v>292</v>
      </c>
      <c r="E2526">
        <v>1735.723</v>
      </c>
      <c r="F2526">
        <v>1651</v>
      </c>
      <c r="G2526">
        <v>4272693</v>
      </c>
      <c r="H2526" t="s">
        <v>6056</v>
      </c>
    </row>
    <row r="2527" spans="1:8" x14ac:dyDescent="0.25">
      <c r="A2527" t="s">
        <v>5966</v>
      </c>
      <c r="B2527" t="s">
        <v>37</v>
      </c>
      <c r="C2527" t="s">
        <v>392</v>
      </c>
      <c r="D2527">
        <v>366</v>
      </c>
      <c r="E2527">
        <v>2176.2240000000002</v>
      </c>
      <c r="F2527">
        <v>2070</v>
      </c>
      <c r="G2527">
        <v>4272693</v>
      </c>
      <c r="H2527" t="s">
        <v>6056</v>
      </c>
    </row>
    <row r="2528" spans="1:8" x14ac:dyDescent="0.25">
      <c r="A2528" t="s">
        <v>5966</v>
      </c>
      <c r="B2528" t="s">
        <v>37</v>
      </c>
      <c r="C2528" t="s">
        <v>392</v>
      </c>
      <c r="D2528">
        <v>402</v>
      </c>
      <c r="E2528">
        <v>2391.7440000000001</v>
      </c>
      <c r="F2528">
        <v>2275</v>
      </c>
      <c r="G2528">
        <v>4272693</v>
      </c>
      <c r="H2528" t="s">
        <v>6056</v>
      </c>
    </row>
    <row r="2529" spans="1:8" x14ac:dyDescent="0.25">
      <c r="A2529" t="s">
        <v>5966</v>
      </c>
      <c r="B2529" t="s">
        <v>37</v>
      </c>
      <c r="C2529" t="s">
        <v>392</v>
      </c>
      <c r="D2529">
        <v>382</v>
      </c>
      <c r="E2529">
        <v>2272.9450000000002</v>
      </c>
      <c r="F2529">
        <v>2162</v>
      </c>
      <c r="G2529">
        <v>4272693</v>
      </c>
      <c r="H2529" t="s">
        <v>6056</v>
      </c>
    </row>
    <row r="2530" spans="1:8" x14ac:dyDescent="0.25">
      <c r="A2530" t="s">
        <v>5966</v>
      </c>
      <c r="B2530" t="s">
        <v>37</v>
      </c>
      <c r="C2530" t="s">
        <v>392</v>
      </c>
      <c r="D2530">
        <v>515</v>
      </c>
      <c r="E2530">
        <v>3063.5349999999999</v>
      </c>
      <c r="F2530">
        <v>2914</v>
      </c>
      <c r="G2530">
        <v>4272693</v>
      </c>
      <c r="H2530" t="s">
        <v>6056</v>
      </c>
    </row>
    <row r="2531" spans="1:8" x14ac:dyDescent="0.25">
      <c r="A2531" t="s">
        <v>5966</v>
      </c>
      <c r="B2531" t="s">
        <v>37</v>
      </c>
      <c r="C2531" t="s">
        <v>392</v>
      </c>
      <c r="D2531">
        <v>48</v>
      </c>
      <c r="E2531">
        <v>288.06099999999998</v>
      </c>
      <c r="F2531">
        <v>274</v>
      </c>
      <c r="G2531">
        <v>4272693</v>
      </c>
      <c r="H2531" t="s">
        <v>6056</v>
      </c>
    </row>
    <row r="2532" spans="1:8" x14ac:dyDescent="0.25">
      <c r="A2532" t="s">
        <v>422</v>
      </c>
      <c r="B2532" t="s">
        <v>30</v>
      </c>
      <c r="C2532" t="s">
        <v>444</v>
      </c>
      <c r="D2532">
        <v>58</v>
      </c>
      <c r="E2532">
        <v>348</v>
      </c>
      <c r="F2532">
        <v>192.47900000000001</v>
      </c>
      <c r="G2532">
        <v>1940146</v>
      </c>
      <c r="H2532" t="s">
        <v>451</v>
      </c>
    </row>
    <row r="2533" spans="1:8" x14ac:dyDescent="0.25">
      <c r="A2533" t="s">
        <v>422</v>
      </c>
      <c r="B2533" t="s">
        <v>30</v>
      </c>
      <c r="C2533" t="s">
        <v>444</v>
      </c>
      <c r="D2533">
        <v>155</v>
      </c>
      <c r="E2533">
        <v>931</v>
      </c>
      <c r="F2533">
        <v>514.93600000000004</v>
      </c>
      <c r="G2533">
        <v>1940146</v>
      </c>
      <c r="H2533" t="s">
        <v>451</v>
      </c>
    </row>
    <row r="2534" spans="1:8" x14ac:dyDescent="0.25">
      <c r="A2534" t="s">
        <v>422</v>
      </c>
      <c r="B2534" t="s">
        <v>30</v>
      </c>
      <c r="C2534" t="s">
        <v>444</v>
      </c>
      <c r="D2534">
        <v>147</v>
      </c>
      <c r="E2534">
        <v>885</v>
      </c>
      <c r="F2534">
        <v>489.49400000000003</v>
      </c>
      <c r="G2534">
        <v>1940146</v>
      </c>
      <c r="H2534" t="s">
        <v>451</v>
      </c>
    </row>
    <row r="2535" spans="1:8" x14ac:dyDescent="0.25">
      <c r="A2535" t="s">
        <v>422</v>
      </c>
      <c r="B2535" t="s">
        <v>30</v>
      </c>
      <c r="C2535" t="s">
        <v>444</v>
      </c>
      <c r="D2535">
        <v>144</v>
      </c>
      <c r="E2535">
        <v>865</v>
      </c>
      <c r="F2535">
        <v>478.43200000000002</v>
      </c>
      <c r="G2535">
        <v>1940146</v>
      </c>
      <c r="H2535" t="s">
        <v>451</v>
      </c>
    </row>
    <row r="2536" spans="1:8" x14ac:dyDescent="0.25">
      <c r="A2536" t="s">
        <v>422</v>
      </c>
      <c r="B2536" t="s">
        <v>30</v>
      </c>
      <c r="C2536" t="s">
        <v>444</v>
      </c>
      <c r="D2536">
        <v>126</v>
      </c>
      <c r="E2536">
        <v>756</v>
      </c>
      <c r="F2536">
        <v>418.14400000000001</v>
      </c>
      <c r="G2536">
        <v>1940146</v>
      </c>
      <c r="H2536" t="s">
        <v>451</v>
      </c>
    </row>
    <row r="2537" spans="1:8" x14ac:dyDescent="0.25">
      <c r="A2537" t="s">
        <v>422</v>
      </c>
      <c r="B2537" t="s">
        <v>30</v>
      </c>
      <c r="C2537" t="s">
        <v>444</v>
      </c>
      <c r="D2537">
        <v>200</v>
      </c>
      <c r="E2537">
        <v>1200</v>
      </c>
      <c r="F2537">
        <v>663.72</v>
      </c>
      <c r="G2537">
        <v>1940146</v>
      </c>
      <c r="H2537" t="s">
        <v>451</v>
      </c>
    </row>
    <row r="2538" spans="1:8" x14ac:dyDescent="0.25">
      <c r="A2538" t="s">
        <v>422</v>
      </c>
      <c r="B2538" t="s">
        <v>30</v>
      </c>
      <c r="C2538" t="s">
        <v>444</v>
      </c>
      <c r="D2538">
        <v>115</v>
      </c>
      <c r="E2538">
        <v>691</v>
      </c>
      <c r="F2538">
        <v>382.19200000000001</v>
      </c>
      <c r="G2538">
        <v>1940146</v>
      </c>
      <c r="H2538" t="s">
        <v>451</v>
      </c>
    </row>
    <row r="2539" spans="1:8" x14ac:dyDescent="0.25">
      <c r="A2539" t="s">
        <v>422</v>
      </c>
      <c r="B2539" t="s">
        <v>30</v>
      </c>
      <c r="C2539" t="s">
        <v>444</v>
      </c>
      <c r="D2539">
        <v>31</v>
      </c>
      <c r="E2539">
        <v>178</v>
      </c>
      <c r="F2539">
        <v>194.447</v>
      </c>
      <c r="G2539">
        <v>3597714</v>
      </c>
      <c r="H2539" t="s">
        <v>744</v>
      </c>
    </row>
    <row r="2540" spans="1:8" x14ac:dyDescent="0.25">
      <c r="A2540" t="s">
        <v>422</v>
      </c>
      <c r="B2540" t="s">
        <v>30</v>
      </c>
      <c r="C2540" t="s">
        <v>444</v>
      </c>
      <c r="D2540">
        <v>169</v>
      </c>
      <c r="E2540">
        <v>958</v>
      </c>
      <c r="F2540">
        <v>1046.519</v>
      </c>
      <c r="G2540">
        <v>3597714</v>
      </c>
      <c r="H2540" t="s">
        <v>744</v>
      </c>
    </row>
    <row r="2541" spans="1:8" x14ac:dyDescent="0.25">
      <c r="A2541" t="s">
        <v>422</v>
      </c>
      <c r="B2541" t="s">
        <v>30</v>
      </c>
      <c r="C2541" t="s">
        <v>444</v>
      </c>
      <c r="D2541">
        <v>998</v>
      </c>
      <c r="E2541">
        <v>5988</v>
      </c>
      <c r="F2541">
        <v>2623.3429999999998</v>
      </c>
      <c r="G2541">
        <v>1940014</v>
      </c>
      <c r="H2541" t="s">
        <v>448</v>
      </c>
    </row>
    <row r="2542" spans="1:8" x14ac:dyDescent="0.25">
      <c r="A2542" t="s">
        <v>422</v>
      </c>
      <c r="B2542" t="s">
        <v>30</v>
      </c>
      <c r="C2542" t="s">
        <v>444</v>
      </c>
      <c r="D2542">
        <v>200</v>
      </c>
      <c r="E2542">
        <v>1172</v>
      </c>
      <c r="F2542">
        <v>1611.383</v>
      </c>
      <c r="G2542">
        <v>3929636</v>
      </c>
      <c r="H2542" t="s">
        <v>742</v>
      </c>
    </row>
    <row r="2543" spans="1:8" x14ac:dyDescent="0.25">
      <c r="A2543" t="s">
        <v>422</v>
      </c>
      <c r="B2543" t="s">
        <v>30</v>
      </c>
      <c r="C2543" t="s">
        <v>397</v>
      </c>
      <c r="D2543">
        <v>814</v>
      </c>
      <c r="E2543">
        <v>1066.6559999999999</v>
      </c>
      <c r="F2543">
        <v>1174.6020000000001</v>
      </c>
      <c r="G2543">
        <v>1940801</v>
      </c>
      <c r="H2543" t="s">
        <v>478</v>
      </c>
    </row>
    <row r="2544" spans="1:8" x14ac:dyDescent="0.25">
      <c r="A2544" t="s">
        <v>422</v>
      </c>
      <c r="B2544" t="s">
        <v>30</v>
      </c>
      <c r="C2544" t="s">
        <v>397</v>
      </c>
      <c r="D2544">
        <v>565</v>
      </c>
      <c r="E2544">
        <v>740.37</v>
      </c>
      <c r="F2544">
        <v>815.29499999999996</v>
      </c>
      <c r="G2544">
        <v>1940801</v>
      </c>
      <c r="H2544" t="s">
        <v>478</v>
      </c>
    </row>
    <row r="2545" spans="1:8" x14ac:dyDescent="0.25">
      <c r="A2545" t="s">
        <v>422</v>
      </c>
      <c r="B2545" t="s">
        <v>30</v>
      </c>
      <c r="C2545" t="s">
        <v>397</v>
      </c>
      <c r="D2545">
        <v>121</v>
      </c>
      <c r="E2545">
        <v>158.55699999999999</v>
      </c>
      <c r="F2545">
        <v>174.60300000000001</v>
      </c>
      <c r="G2545">
        <v>1940801</v>
      </c>
      <c r="H2545" t="s">
        <v>478</v>
      </c>
    </row>
    <row r="2546" spans="1:8" x14ac:dyDescent="0.25">
      <c r="A2546" t="s">
        <v>422</v>
      </c>
      <c r="B2546" t="s">
        <v>30</v>
      </c>
      <c r="C2546" t="s">
        <v>397</v>
      </c>
      <c r="D2546">
        <v>449</v>
      </c>
      <c r="E2546">
        <v>559.82299999999998</v>
      </c>
      <c r="F2546">
        <v>616.47699999999998</v>
      </c>
      <c r="G2546">
        <v>3233554</v>
      </c>
      <c r="H2546" t="s">
        <v>480</v>
      </c>
    </row>
    <row r="2547" spans="1:8" x14ac:dyDescent="0.25">
      <c r="A2547" t="s">
        <v>422</v>
      </c>
      <c r="B2547" t="s">
        <v>30</v>
      </c>
      <c r="C2547" t="s">
        <v>397</v>
      </c>
      <c r="D2547">
        <v>51</v>
      </c>
      <c r="E2547">
        <v>63.588000000000001</v>
      </c>
      <c r="F2547">
        <v>70.022999999999996</v>
      </c>
      <c r="G2547">
        <v>3233554</v>
      </c>
      <c r="H2547" t="s">
        <v>480</v>
      </c>
    </row>
    <row r="2548" spans="1:8" x14ac:dyDescent="0.25">
      <c r="A2548" t="s">
        <v>422</v>
      </c>
      <c r="B2548" t="s">
        <v>30</v>
      </c>
      <c r="C2548" t="s">
        <v>397</v>
      </c>
      <c r="D2548">
        <v>1699</v>
      </c>
      <c r="E2548">
        <v>1903.8920000000001</v>
      </c>
      <c r="F2548">
        <v>2096.5659999999998</v>
      </c>
      <c r="G2548">
        <v>3233555</v>
      </c>
      <c r="H2548" t="s">
        <v>482</v>
      </c>
    </row>
    <row r="2549" spans="1:8" x14ac:dyDescent="0.25">
      <c r="A2549" t="s">
        <v>422</v>
      </c>
      <c r="B2549" t="s">
        <v>30</v>
      </c>
      <c r="C2549" t="s">
        <v>397</v>
      </c>
      <c r="D2549">
        <v>301</v>
      </c>
      <c r="E2549">
        <v>337.29899999999998</v>
      </c>
      <c r="F2549">
        <v>371.43400000000003</v>
      </c>
      <c r="G2549">
        <v>3233555</v>
      </c>
      <c r="H2549" t="s">
        <v>482</v>
      </c>
    </row>
    <row r="2550" spans="1:8" x14ac:dyDescent="0.25">
      <c r="A2550" t="s">
        <v>422</v>
      </c>
      <c r="B2550" t="s">
        <v>30</v>
      </c>
      <c r="C2550" t="s">
        <v>397</v>
      </c>
      <c r="D2550">
        <v>1797</v>
      </c>
      <c r="E2550">
        <v>1546.3019999999999</v>
      </c>
      <c r="F2550">
        <v>1689.18</v>
      </c>
      <c r="G2550">
        <v>3572051</v>
      </c>
      <c r="H2550" t="s">
        <v>484</v>
      </c>
    </row>
    <row r="2551" spans="1:8" x14ac:dyDescent="0.25">
      <c r="A2551" t="s">
        <v>422</v>
      </c>
      <c r="B2551" t="s">
        <v>30</v>
      </c>
      <c r="C2551" t="s">
        <v>397</v>
      </c>
      <c r="D2551">
        <v>203</v>
      </c>
      <c r="E2551">
        <v>174.68</v>
      </c>
      <c r="F2551">
        <v>190.82</v>
      </c>
      <c r="G2551">
        <v>3572051</v>
      </c>
      <c r="H2551" t="s">
        <v>484</v>
      </c>
    </row>
    <row r="2552" spans="1:8" x14ac:dyDescent="0.25">
      <c r="A2552" t="s">
        <v>422</v>
      </c>
      <c r="B2552" t="s">
        <v>30</v>
      </c>
      <c r="C2552" t="s">
        <v>397</v>
      </c>
      <c r="D2552">
        <v>1000</v>
      </c>
      <c r="E2552">
        <v>800.03599999999994</v>
      </c>
      <c r="F2552">
        <v>881</v>
      </c>
      <c r="G2552">
        <v>3233557</v>
      </c>
      <c r="H2552" t="s">
        <v>610</v>
      </c>
    </row>
    <row r="2553" spans="1:8" x14ac:dyDescent="0.25">
      <c r="A2553" t="s">
        <v>422</v>
      </c>
      <c r="B2553" t="s">
        <v>30</v>
      </c>
      <c r="C2553" t="s">
        <v>397</v>
      </c>
      <c r="D2553">
        <v>500</v>
      </c>
      <c r="E2553">
        <v>622.99900000000002</v>
      </c>
      <c r="F2553">
        <v>339.47199999999998</v>
      </c>
      <c r="G2553">
        <v>3572038</v>
      </c>
      <c r="H2553" t="s">
        <v>521</v>
      </c>
    </row>
    <row r="2554" spans="1:8" x14ac:dyDescent="0.25">
      <c r="A2554" t="s">
        <v>422</v>
      </c>
      <c r="B2554" t="s">
        <v>30</v>
      </c>
      <c r="C2554" t="s">
        <v>397</v>
      </c>
      <c r="D2554">
        <v>1500</v>
      </c>
      <c r="E2554">
        <v>1320.499</v>
      </c>
      <c r="F2554">
        <v>730.5</v>
      </c>
      <c r="G2554">
        <v>3230492</v>
      </c>
      <c r="H2554" t="s">
        <v>614</v>
      </c>
    </row>
    <row r="2555" spans="1:8" x14ac:dyDescent="0.25">
      <c r="A2555" t="s">
        <v>422</v>
      </c>
      <c r="B2555" t="s">
        <v>30</v>
      </c>
      <c r="C2555" t="s">
        <v>397</v>
      </c>
      <c r="D2555">
        <v>648</v>
      </c>
      <c r="E2555">
        <v>565.14300000000003</v>
      </c>
      <c r="F2555">
        <v>315.57600000000002</v>
      </c>
      <c r="G2555">
        <v>3605739</v>
      </c>
      <c r="H2555" t="s">
        <v>620</v>
      </c>
    </row>
    <row r="2556" spans="1:8" x14ac:dyDescent="0.25">
      <c r="A2556" t="s">
        <v>422</v>
      </c>
      <c r="B2556" t="s">
        <v>30</v>
      </c>
      <c r="C2556" t="s">
        <v>397</v>
      </c>
      <c r="D2556">
        <v>268</v>
      </c>
      <c r="E2556">
        <v>233.732</v>
      </c>
      <c r="F2556">
        <v>130.51599999999999</v>
      </c>
      <c r="G2556">
        <v>3605739</v>
      </c>
      <c r="H2556" t="s">
        <v>620</v>
      </c>
    </row>
    <row r="2557" spans="1:8" x14ac:dyDescent="0.25">
      <c r="A2557" t="s">
        <v>422</v>
      </c>
      <c r="B2557" t="s">
        <v>30</v>
      </c>
      <c r="C2557" t="s">
        <v>397</v>
      </c>
      <c r="D2557">
        <v>32</v>
      </c>
      <c r="E2557">
        <v>27.908000000000001</v>
      </c>
      <c r="F2557">
        <v>15.584</v>
      </c>
      <c r="G2557">
        <v>3605739</v>
      </c>
      <c r="H2557" t="s">
        <v>620</v>
      </c>
    </row>
    <row r="2558" spans="1:8" x14ac:dyDescent="0.25">
      <c r="A2558" t="s">
        <v>422</v>
      </c>
      <c r="B2558" t="s">
        <v>30</v>
      </c>
      <c r="C2558" t="s">
        <v>397</v>
      </c>
      <c r="D2558">
        <v>24</v>
      </c>
      <c r="E2558">
        <v>20.931000000000001</v>
      </c>
      <c r="F2558">
        <v>11.688000000000001</v>
      </c>
      <c r="G2558">
        <v>3605739</v>
      </c>
      <c r="H2558" t="s">
        <v>620</v>
      </c>
    </row>
    <row r="2559" spans="1:8" x14ac:dyDescent="0.25">
      <c r="A2559" t="s">
        <v>422</v>
      </c>
      <c r="B2559" t="s">
        <v>30</v>
      </c>
      <c r="C2559" t="s">
        <v>397</v>
      </c>
      <c r="D2559">
        <v>24</v>
      </c>
      <c r="E2559">
        <v>20.931000000000001</v>
      </c>
      <c r="F2559">
        <v>11.688000000000001</v>
      </c>
      <c r="G2559">
        <v>3605739</v>
      </c>
      <c r="H2559" t="s">
        <v>620</v>
      </c>
    </row>
    <row r="2560" spans="1:8" x14ac:dyDescent="0.25">
      <c r="A2560" t="s">
        <v>422</v>
      </c>
      <c r="B2560" t="s">
        <v>30</v>
      </c>
      <c r="C2560" t="s">
        <v>397</v>
      </c>
      <c r="D2560">
        <v>4</v>
      </c>
      <c r="E2560">
        <v>3.4889999999999999</v>
      </c>
      <c r="F2560">
        <v>1.948</v>
      </c>
      <c r="G2560">
        <v>3605739</v>
      </c>
      <c r="H2560" t="s">
        <v>620</v>
      </c>
    </row>
    <row r="2561" spans="1:8" x14ac:dyDescent="0.25">
      <c r="A2561" t="s">
        <v>422</v>
      </c>
      <c r="B2561" t="s">
        <v>30</v>
      </c>
      <c r="C2561" t="s">
        <v>397</v>
      </c>
      <c r="D2561">
        <v>1000</v>
      </c>
      <c r="E2561">
        <v>840.56399999999996</v>
      </c>
      <c r="F2561">
        <v>465</v>
      </c>
      <c r="G2561">
        <v>3230485</v>
      </c>
      <c r="H2561" t="s">
        <v>616</v>
      </c>
    </row>
    <row r="2562" spans="1:8" x14ac:dyDescent="0.25">
      <c r="A2562" t="s">
        <v>422</v>
      </c>
      <c r="B2562" t="s">
        <v>30</v>
      </c>
      <c r="C2562" t="s">
        <v>397</v>
      </c>
      <c r="D2562">
        <v>1000</v>
      </c>
      <c r="E2562">
        <v>800.00400000000002</v>
      </c>
      <c r="F2562">
        <v>436.01100000000002</v>
      </c>
      <c r="G2562">
        <v>3931836</v>
      </c>
      <c r="H2562" t="s">
        <v>612</v>
      </c>
    </row>
    <row r="2563" spans="1:8" x14ac:dyDescent="0.25">
      <c r="A2563" t="s">
        <v>422</v>
      </c>
      <c r="B2563" t="s">
        <v>30</v>
      </c>
      <c r="C2563" t="s">
        <v>397</v>
      </c>
      <c r="D2563">
        <v>500</v>
      </c>
      <c r="E2563">
        <v>503.50700000000001</v>
      </c>
      <c r="F2563">
        <v>274.41699999999997</v>
      </c>
      <c r="G2563">
        <v>4100796</v>
      </c>
      <c r="H2563" t="s">
        <v>552</v>
      </c>
    </row>
    <row r="2564" spans="1:8" x14ac:dyDescent="0.25">
      <c r="A2564" t="s">
        <v>422</v>
      </c>
      <c r="B2564" t="s">
        <v>30</v>
      </c>
      <c r="C2564" t="s">
        <v>397</v>
      </c>
      <c r="D2564">
        <v>575</v>
      </c>
      <c r="E2564">
        <v>310.49799999999999</v>
      </c>
      <c r="F2564">
        <v>169.191</v>
      </c>
      <c r="G2564">
        <v>3571870</v>
      </c>
      <c r="H2564" t="s">
        <v>525</v>
      </c>
    </row>
    <row r="2565" spans="1:8" x14ac:dyDescent="0.25">
      <c r="A2565" t="s">
        <v>422</v>
      </c>
      <c r="B2565" t="s">
        <v>30</v>
      </c>
      <c r="C2565" t="s">
        <v>397</v>
      </c>
      <c r="D2565">
        <v>425</v>
      </c>
      <c r="E2565">
        <v>229.499</v>
      </c>
      <c r="F2565">
        <v>125.054</v>
      </c>
      <c r="G2565">
        <v>3571870</v>
      </c>
      <c r="H2565" t="s">
        <v>525</v>
      </c>
    </row>
    <row r="2566" spans="1:8" x14ac:dyDescent="0.25">
      <c r="A2566" t="s">
        <v>422</v>
      </c>
      <c r="B2566" t="s">
        <v>30</v>
      </c>
      <c r="C2566" t="s">
        <v>397</v>
      </c>
      <c r="D2566">
        <v>1000</v>
      </c>
      <c r="E2566">
        <v>469.99400000000003</v>
      </c>
      <c r="F2566">
        <v>256.10000000000002</v>
      </c>
      <c r="G2566">
        <v>3230488</v>
      </c>
      <c r="H2566" t="s">
        <v>496</v>
      </c>
    </row>
    <row r="2567" spans="1:8" x14ac:dyDescent="0.25">
      <c r="A2567" t="s">
        <v>422</v>
      </c>
      <c r="B2567" t="s">
        <v>30</v>
      </c>
      <c r="C2567" t="s">
        <v>397</v>
      </c>
      <c r="D2567">
        <v>2891</v>
      </c>
      <c r="E2567">
        <v>1154.9369999999999</v>
      </c>
      <c r="F2567">
        <v>638.91099999999994</v>
      </c>
      <c r="G2567">
        <v>3230487</v>
      </c>
      <c r="H2567" t="s">
        <v>498</v>
      </c>
    </row>
    <row r="2568" spans="1:8" x14ac:dyDescent="0.25">
      <c r="A2568" t="s">
        <v>422</v>
      </c>
      <c r="B2568" t="s">
        <v>30</v>
      </c>
      <c r="C2568" t="s">
        <v>397</v>
      </c>
      <c r="D2568">
        <v>109</v>
      </c>
      <c r="E2568">
        <v>43.545000000000002</v>
      </c>
      <c r="F2568">
        <v>24.088999999999999</v>
      </c>
      <c r="G2568">
        <v>3230487</v>
      </c>
      <c r="H2568" t="s">
        <v>498</v>
      </c>
    </row>
    <row r="2569" spans="1:8" x14ac:dyDescent="0.25">
      <c r="A2569" t="s">
        <v>422</v>
      </c>
      <c r="B2569" t="s">
        <v>30</v>
      </c>
      <c r="C2569" t="s">
        <v>397</v>
      </c>
      <c r="D2569">
        <v>1000</v>
      </c>
      <c r="E2569">
        <v>356.11</v>
      </c>
      <c r="F2569">
        <v>197</v>
      </c>
      <c r="G2569">
        <v>3230490</v>
      </c>
      <c r="H2569" t="s">
        <v>515</v>
      </c>
    </row>
    <row r="2570" spans="1:8" x14ac:dyDescent="0.25">
      <c r="A2570" t="s">
        <v>422</v>
      </c>
      <c r="B2570" t="s">
        <v>30</v>
      </c>
      <c r="C2570" t="s">
        <v>397</v>
      </c>
      <c r="D2570">
        <v>500</v>
      </c>
      <c r="E2570">
        <v>649.00599999999997</v>
      </c>
      <c r="F2570">
        <v>563.15</v>
      </c>
      <c r="G2570">
        <v>3935311</v>
      </c>
      <c r="H2570" t="s">
        <v>622</v>
      </c>
    </row>
    <row r="2571" spans="1:8" x14ac:dyDescent="0.25">
      <c r="A2571" t="s">
        <v>422</v>
      </c>
      <c r="B2571" t="s">
        <v>30</v>
      </c>
      <c r="C2571" t="s">
        <v>397</v>
      </c>
      <c r="D2571">
        <v>724</v>
      </c>
      <c r="E2571">
        <v>569.91499999999996</v>
      </c>
      <c r="F2571">
        <v>515.48800000000006</v>
      </c>
      <c r="G2571">
        <v>3230482</v>
      </c>
      <c r="H2571" t="s">
        <v>624</v>
      </c>
    </row>
    <row r="2572" spans="1:8" x14ac:dyDescent="0.25">
      <c r="A2572" t="s">
        <v>422</v>
      </c>
      <c r="B2572" t="s">
        <v>30</v>
      </c>
      <c r="C2572" t="s">
        <v>397</v>
      </c>
      <c r="D2572">
        <v>276</v>
      </c>
      <c r="E2572">
        <v>217.26</v>
      </c>
      <c r="F2572">
        <v>196.512</v>
      </c>
      <c r="G2572">
        <v>3230482</v>
      </c>
      <c r="H2572" t="s">
        <v>624</v>
      </c>
    </row>
    <row r="2573" spans="1:8" x14ac:dyDescent="0.25">
      <c r="A2573" t="s">
        <v>422</v>
      </c>
      <c r="B2573" t="s">
        <v>30</v>
      </c>
      <c r="C2573" t="s">
        <v>397</v>
      </c>
      <c r="D2573">
        <v>500</v>
      </c>
      <c r="E2573">
        <v>615.00400000000002</v>
      </c>
      <c r="F2573">
        <v>324.87200000000001</v>
      </c>
      <c r="G2573">
        <v>3929692</v>
      </c>
      <c r="H2573" t="s">
        <v>533</v>
      </c>
    </row>
    <row r="2574" spans="1:8" x14ac:dyDescent="0.25">
      <c r="A2574" t="s">
        <v>422</v>
      </c>
      <c r="B2574" t="s">
        <v>30</v>
      </c>
      <c r="C2574" t="s">
        <v>397</v>
      </c>
      <c r="D2574">
        <v>800</v>
      </c>
      <c r="E2574">
        <v>545.60599999999999</v>
      </c>
      <c r="F2574">
        <v>288.21300000000002</v>
      </c>
      <c r="G2574">
        <v>3929540</v>
      </c>
      <c r="H2574" t="s">
        <v>627</v>
      </c>
    </row>
    <row r="2575" spans="1:8" x14ac:dyDescent="0.25">
      <c r="A2575" t="s">
        <v>422</v>
      </c>
      <c r="B2575" t="s">
        <v>30</v>
      </c>
      <c r="C2575" t="s">
        <v>397</v>
      </c>
      <c r="D2575">
        <v>200</v>
      </c>
      <c r="E2575">
        <v>136.40100000000001</v>
      </c>
      <c r="F2575">
        <v>72.052999999999997</v>
      </c>
      <c r="G2575">
        <v>3929540</v>
      </c>
      <c r="H2575" t="s">
        <v>627</v>
      </c>
    </row>
    <row r="2576" spans="1:8" x14ac:dyDescent="0.25">
      <c r="A2576" t="s">
        <v>422</v>
      </c>
      <c r="B2576" t="s">
        <v>30</v>
      </c>
      <c r="C2576" t="s">
        <v>397</v>
      </c>
      <c r="D2576">
        <v>2000</v>
      </c>
      <c r="E2576">
        <v>399.983</v>
      </c>
      <c r="F2576">
        <v>211.28899999999999</v>
      </c>
      <c r="G2576">
        <v>3929691</v>
      </c>
      <c r="H2576" t="s">
        <v>535</v>
      </c>
    </row>
    <row r="2577" spans="1:8" x14ac:dyDescent="0.25">
      <c r="A2577" t="s">
        <v>422</v>
      </c>
      <c r="B2577" t="s">
        <v>30</v>
      </c>
      <c r="C2577" t="s">
        <v>397</v>
      </c>
      <c r="D2577">
        <v>336</v>
      </c>
      <c r="E2577">
        <v>74.126999999999995</v>
      </c>
      <c r="F2577">
        <v>80.975999999999999</v>
      </c>
      <c r="G2577">
        <v>3230495</v>
      </c>
      <c r="H2577" t="s">
        <v>629</v>
      </c>
    </row>
    <row r="2578" spans="1:8" x14ac:dyDescent="0.25">
      <c r="A2578" t="s">
        <v>422</v>
      </c>
      <c r="B2578" t="s">
        <v>30</v>
      </c>
      <c r="C2578" t="s">
        <v>397</v>
      </c>
      <c r="D2578">
        <v>293</v>
      </c>
      <c r="E2578">
        <v>64.64</v>
      </c>
      <c r="F2578">
        <v>70.613</v>
      </c>
      <c r="G2578">
        <v>3230495</v>
      </c>
      <c r="H2578" t="s">
        <v>629</v>
      </c>
    </row>
    <row r="2579" spans="1:8" x14ac:dyDescent="0.25">
      <c r="A2579" t="s">
        <v>422</v>
      </c>
      <c r="B2579" t="s">
        <v>30</v>
      </c>
      <c r="C2579" t="s">
        <v>397</v>
      </c>
      <c r="D2579">
        <v>286</v>
      </c>
      <c r="E2579">
        <v>63.095999999999997</v>
      </c>
      <c r="F2579">
        <v>68.926000000000002</v>
      </c>
      <c r="G2579">
        <v>3230495</v>
      </c>
      <c r="H2579" t="s">
        <v>629</v>
      </c>
    </row>
    <row r="2580" spans="1:8" x14ac:dyDescent="0.25">
      <c r="A2580" t="s">
        <v>422</v>
      </c>
      <c r="B2580" t="s">
        <v>30</v>
      </c>
      <c r="C2580" t="s">
        <v>397</v>
      </c>
      <c r="D2580">
        <v>35</v>
      </c>
      <c r="E2580">
        <v>7.7220000000000004</v>
      </c>
      <c r="F2580">
        <v>8.4350000000000005</v>
      </c>
      <c r="G2580">
        <v>3230495</v>
      </c>
      <c r="H2580" t="s">
        <v>629</v>
      </c>
    </row>
    <row r="2581" spans="1:8" x14ac:dyDescent="0.25">
      <c r="A2581" t="s">
        <v>422</v>
      </c>
      <c r="B2581" t="s">
        <v>30</v>
      </c>
      <c r="C2581" t="s">
        <v>397</v>
      </c>
      <c r="D2581">
        <v>15</v>
      </c>
      <c r="E2581">
        <v>3.3090000000000002</v>
      </c>
      <c r="F2581">
        <v>3.6150000000000002</v>
      </c>
      <c r="G2581">
        <v>3230495</v>
      </c>
      <c r="H2581" t="s">
        <v>629</v>
      </c>
    </row>
    <row r="2582" spans="1:8" x14ac:dyDescent="0.25">
      <c r="A2582" t="s">
        <v>422</v>
      </c>
      <c r="B2582" t="s">
        <v>30</v>
      </c>
      <c r="C2582" t="s">
        <v>397</v>
      </c>
      <c r="D2582">
        <v>8</v>
      </c>
      <c r="E2582">
        <v>1.7649999999999999</v>
      </c>
      <c r="F2582">
        <v>1.9279999999999999</v>
      </c>
      <c r="G2582">
        <v>3230495</v>
      </c>
      <c r="H2582" t="s">
        <v>629</v>
      </c>
    </row>
    <row r="2583" spans="1:8" x14ac:dyDescent="0.25">
      <c r="A2583" t="s">
        <v>422</v>
      </c>
      <c r="B2583" t="s">
        <v>30</v>
      </c>
      <c r="C2583" t="s">
        <v>397</v>
      </c>
      <c r="D2583">
        <v>8</v>
      </c>
      <c r="E2583">
        <v>1.7649999999999999</v>
      </c>
      <c r="F2583">
        <v>1.9279999999999999</v>
      </c>
      <c r="G2583">
        <v>3230495</v>
      </c>
      <c r="H2583" t="s">
        <v>629</v>
      </c>
    </row>
    <row r="2584" spans="1:8" x14ac:dyDescent="0.25">
      <c r="A2584" t="s">
        <v>422</v>
      </c>
      <c r="B2584" t="s">
        <v>30</v>
      </c>
      <c r="C2584" t="s">
        <v>397</v>
      </c>
      <c r="D2584">
        <v>8</v>
      </c>
      <c r="E2584">
        <v>1.7649999999999999</v>
      </c>
      <c r="F2584">
        <v>1.9279999999999999</v>
      </c>
      <c r="G2584">
        <v>3230495</v>
      </c>
      <c r="H2584" t="s">
        <v>629</v>
      </c>
    </row>
    <row r="2585" spans="1:8" x14ac:dyDescent="0.25">
      <c r="A2585" t="s">
        <v>422</v>
      </c>
      <c r="B2585" t="s">
        <v>30</v>
      </c>
      <c r="C2585" t="s">
        <v>397</v>
      </c>
      <c r="D2585">
        <v>7</v>
      </c>
      <c r="E2585">
        <v>1.544</v>
      </c>
      <c r="F2585">
        <v>1.6870000000000001</v>
      </c>
      <c r="G2585">
        <v>3230495</v>
      </c>
      <c r="H2585" t="s">
        <v>629</v>
      </c>
    </row>
    <row r="2586" spans="1:8" x14ac:dyDescent="0.25">
      <c r="A2586" t="s">
        <v>422</v>
      </c>
      <c r="B2586" t="s">
        <v>30</v>
      </c>
      <c r="C2586" t="s">
        <v>397</v>
      </c>
      <c r="D2586">
        <v>4</v>
      </c>
      <c r="E2586">
        <v>0.88200000000000001</v>
      </c>
      <c r="F2586">
        <v>0.96399999999999997</v>
      </c>
      <c r="G2586">
        <v>3230495</v>
      </c>
      <c r="H2586" t="s">
        <v>629</v>
      </c>
    </row>
    <row r="2587" spans="1:8" x14ac:dyDescent="0.25">
      <c r="A2587" t="s">
        <v>422</v>
      </c>
      <c r="B2587" t="s">
        <v>30</v>
      </c>
      <c r="C2587" t="s">
        <v>397</v>
      </c>
      <c r="D2587">
        <v>500</v>
      </c>
      <c r="E2587">
        <v>164.995</v>
      </c>
      <c r="F2587">
        <v>87.183000000000007</v>
      </c>
      <c r="G2587">
        <v>3935313</v>
      </c>
      <c r="H2587" t="s">
        <v>560</v>
      </c>
    </row>
    <row r="2588" spans="1:8" x14ac:dyDescent="0.25">
      <c r="A2588" t="s">
        <v>437</v>
      </c>
      <c r="B2588" t="s">
        <v>18</v>
      </c>
      <c r="C2588" t="s">
        <v>397</v>
      </c>
      <c r="D2588">
        <v>1340</v>
      </c>
      <c r="E2588">
        <v>718.68200000000002</v>
      </c>
      <c r="F2588">
        <v>1125.5999999999999</v>
      </c>
      <c r="G2588">
        <v>1940822</v>
      </c>
      <c r="H2588" t="s">
        <v>574</v>
      </c>
    </row>
    <row r="2589" spans="1:8" x14ac:dyDescent="0.25">
      <c r="A2589" t="s">
        <v>437</v>
      </c>
      <c r="B2589" t="s">
        <v>18</v>
      </c>
      <c r="C2589" t="s">
        <v>397</v>
      </c>
      <c r="D2589">
        <v>2580</v>
      </c>
      <c r="E2589">
        <v>1444.681</v>
      </c>
      <c r="F2589">
        <v>2262.66</v>
      </c>
      <c r="G2589">
        <v>1940823</v>
      </c>
      <c r="H2589" t="s">
        <v>576</v>
      </c>
    </row>
    <row r="2590" spans="1:8" x14ac:dyDescent="0.25">
      <c r="A2590" t="s">
        <v>437</v>
      </c>
      <c r="B2590" t="s">
        <v>18</v>
      </c>
      <c r="C2590" t="s">
        <v>397</v>
      </c>
      <c r="D2590">
        <v>1500</v>
      </c>
      <c r="E2590">
        <v>222.61199999999999</v>
      </c>
      <c r="F2590">
        <v>444</v>
      </c>
      <c r="G2590">
        <v>4098592</v>
      </c>
      <c r="H2590" t="s">
        <v>579</v>
      </c>
    </row>
    <row r="2591" spans="1:8" x14ac:dyDescent="0.25">
      <c r="A2591" t="s">
        <v>437</v>
      </c>
      <c r="B2591" t="s">
        <v>18</v>
      </c>
      <c r="C2591" t="s">
        <v>397</v>
      </c>
      <c r="D2591">
        <v>1000</v>
      </c>
      <c r="E2591">
        <v>162.447</v>
      </c>
      <c r="F2591">
        <v>324</v>
      </c>
      <c r="G2591">
        <v>4098593</v>
      </c>
      <c r="H2591" t="s">
        <v>1896</v>
      </c>
    </row>
    <row r="2592" spans="1:8" x14ac:dyDescent="0.25">
      <c r="A2592" t="s">
        <v>419</v>
      </c>
      <c r="B2592" t="s">
        <v>46</v>
      </c>
      <c r="C2592" t="s">
        <v>397</v>
      </c>
      <c r="D2592">
        <v>2426</v>
      </c>
      <c r="E2592">
        <v>707.10500000000002</v>
      </c>
      <c r="F2592">
        <v>463.36599999999999</v>
      </c>
      <c r="G2592">
        <v>1940090</v>
      </c>
      <c r="H2592" t="s">
        <v>538</v>
      </c>
    </row>
    <row r="2593" spans="1:8" x14ac:dyDescent="0.25">
      <c r="A2593" t="s">
        <v>419</v>
      </c>
      <c r="B2593" t="s">
        <v>46</v>
      </c>
      <c r="C2593" t="s">
        <v>397</v>
      </c>
      <c r="D2593">
        <v>840</v>
      </c>
      <c r="E2593">
        <v>244.834</v>
      </c>
      <c r="F2593">
        <v>160.44</v>
      </c>
      <c r="G2593">
        <v>1940090</v>
      </c>
      <c r="H2593" t="s">
        <v>538</v>
      </c>
    </row>
    <row r="2594" spans="1:8" x14ac:dyDescent="0.25">
      <c r="A2594" t="s">
        <v>419</v>
      </c>
      <c r="B2594" t="s">
        <v>46</v>
      </c>
      <c r="C2594" t="s">
        <v>397</v>
      </c>
      <c r="D2594">
        <v>159</v>
      </c>
      <c r="E2594">
        <v>46.344000000000001</v>
      </c>
      <c r="F2594">
        <v>30.369</v>
      </c>
      <c r="G2594">
        <v>1940090</v>
      </c>
      <c r="H2594" t="s">
        <v>538</v>
      </c>
    </row>
    <row r="2595" spans="1:8" x14ac:dyDescent="0.25">
      <c r="A2595" t="s">
        <v>419</v>
      </c>
      <c r="B2595" t="s">
        <v>46</v>
      </c>
      <c r="C2595" t="s">
        <v>397</v>
      </c>
      <c r="D2595">
        <v>25</v>
      </c>
      <c r="E2595">
        <v>7.2869999999999999</v>
      </c>
      <c r="F2595">
        <v>4.7750000000000004</v>
      </c>
      <c r="G2595">
        <v>1940090</v>
      </c>
      <c r="H2595" t="s">
        <v>538</v>
      </c>
    </row>
    <row r="2596" spans="1:8" x14ac:dyDescent="0.25">
      <c r="A2596" t="s">
        <v>419</v>
      </c>
      <c r="B2596" t="s">
        <v>46</v>
      </c>
      <c r="C2596" t="s">
        <v>397</v>
      </c>
      <c r="D2596">
        <v>133</v>
      </c>
      <c r="E2596">
        <v>115.696</v>
      </c>
      <c r="F2596">
        <v>242.32599999999999</v>
      </c>
      <c r="G2596">
        <v>1940837</v>
      </c>
      <c r="H2596" t="s">
        <v>593</v>
      </c>
    </row>
    <row r="2597" spans="1:8" x14ac:dyDescent="0.25">
      <c r="A2597" t="s">
        <v>419</v>
      </c>
      <c r="B2597" t="s">
        <v>46</v>
      </c>
      <c r="C2597" t="s">
        <v>397</v>
      </c>
      <c r="D2597">
        <v>677</v>
      </c>
      <c r="E2597">
        <v>588.92100000000005</v>
      </c>
      <c r="F2597">
        <v>1233.4939999999999</v>
      </c>
      <c r="G2597">
        <v>1940837</v>
      </c>
      <c r="H2597" t="s">
        <v>593</v>
      </c>
    </row>
    <row r="2598" spans="1:8" x14ac:dyDescent="0.25">
      <c r="A2598" t="s">
        <v>419</v>
      </c>
      <c r="B2598" t="s">
        <v>46</v>
      </c>
      <c r="C2598" t="s">
        <v>397</v>
      </c>
      <c r="D2598">
        <v>655</v>
      </c>
      <c r="E2598">
        <v>569.78300000000002</v>
      </c>
      <c r="F2598">
        <v>1193.4100000000001</v>
      </c>
      <c r="G2598">
        <v>1940837</v>
      </c>
      <c r="H2598" t="s">
        <v>593</v>
      </c>
    </row>
    <row r="2599" spans="1:8" x14ac:dyDescent="0.25">
      <c r="A2599" t="s">
        <v>419</v>
      </c>
      <c r="B2599" t="s">
        <v>46</v>
      </c>
      <c r="C2599" t="s">
        <v>397</v>
      </c>
      <c r="D2599">
        <v>620</v>
      </c>
      <c r="E2599">
        <v>539.33600000000001</v>
      </c>
      <c r="F2599">
        <v>1129.6400000000001</v>
      </c>
      <c r="G2599">
        <v>1940837</v>
      </c>
      <c r="H2599" t="s">
        <v>593</v>
      </c>
    </row>
    <row r="2600" spans="1:8" x14ac:dyDescent="0.25">
      <c r="A2600" t="s">
        <v>419</v>
      </c>
      <c r="B2600" t="s">
        <v>46</v>
      </c>
      <c r="C2600" t="s">
        <v>397</v>
      </c>
      <c r="D2600">
        <v>590</v>
      </c>
      <c r="E2600">
        <v>513.23900000000003</v>
      </c>
      <c r="F2600">
        <v>1074.98</v>
      </c>
      <c r="G2600">
        <v>1940837</v>
      </c>
      <c r="H2600" t="s">
        <v>593</v>
      </c>
    </row>
    <row r="2601" spans="1:8" x14ac:dyDescent="0.25">
      <c r="A2601" t="s">
        <v>419</v>
      </c>
      <c r="B2601" t="s">
        <v>46</v>
      </c>
      <c r="C2601" t="s">
        <v>397</v>
      </c>
      <c r="D2601">
        <v>549</v>
      </c>
      <c r="E2601">
        <v>477.57400000000001</v>
      </c>
      <c r="F2601">
        <v>1000.278</v>
      </c>
      <c r="G2601">
        <v>1940837</v>
      </c>
      <c r="H2601" t="s">
        <v>593</v>
      </c>
    </row>
    <row r="2602" spans="1:8" x14ac:dyDescent="0.25">
      <c r="A2602" t="s">
        <v>419</v>
      </c>
      <c r="B2602" t="s">
        <v>46</v>
      </c>
      <c r="C2602" t="s">
        <v>397</v>
      </c>
      <c r="D2602">
        <v>500</v>
      </c>
      <c r="E2602">
        <v>434.94900000000001</v>
      </c>
      <c r="F2602">
        <v>911</v>
      </c>
      <c r="G2602">
        <v>1940837</v>
      </c>
      <c r="H2602" t="s">
        <v>593</v>
      </c>
    </row>
    <row r="2603" spans="1:8" x14ac:dyDescent="0.25">
      <c r="A2603" t="s">
        <v>419</v>
      </c>
      <c r="B2603" t="s">
        <v>46</v>
      </c>
      <c r="C2603" t="s">
        <v>397</v>
      </c>
      <c r="D2603">
        <v>334</v>
      </c>
      <c r="E2603">
        <v>290.54599999999999</v>
      </c>
      <c r="F2603">
        <v>608.548</v>
      </c>
      <c r="G2603">
        <v>1940837</v>
      </c>
      <c r="H2603" t="s">
        <v>593</v>
      </c>
    </row>
    <row r="2604" spans="1:8" x14ac:dyDescent="0.25">
      <c r="A2604" t="s">
        <v>419</v>
      </c>
      <c r="B2604" t="s">
        <v>46</v>
      </c>
      <c r="C2604" t="s">
        <v>397</v>
      </c>
      <c r="D2604">
        <v>332</v>
      </c>
      <c r="E2604">
        <v>288.80599999999998</v>
      </c>
      <c r="F2604">
        <v>604.904</v>
      </c>
      <c r="G2604">
        <v>1940837</v>
      </c>
      <c r="H2604" t="s">
        <v>593</v>
      </c>
    </row>
    <row r="2605" spans="1:8" x14ac:dyDescent="0.25">
      <c r="A2605" t="s">
        <v>419</v>
      </c>
      <c r="B2605" t="s">
        <v>46</v>
      </c>
      <c r="C2605" t="s">
        <v>397</v>
      </c>
      <c r="D2605">
        <v>239</v>
      </c>
      <c r="E2605">
        <v>207.905</v>
      </c>
      <c r="F2605">
        <v>435.45800000000003</v>
      </c>
      <c r="G2605">
        <v>1940837</v>
      </c>
      <c r="H2605" t="s">
        <v>593</v>
      </c>
    </row>
    <row r="2606" spans="1:8" x14ac:dyDescent="0.25">
      <c r="A2606" t="s">
        <v>419</v>
      </c>
      <c r="B2606" t="s">
        <v>46</v>
      </c>
      <c r="C2606" t="s">
        <v>397</v>
      </c>
      <c r="D2606">
        <v>229</v>
      </c>
      <c r="E2606">
        <v>199.20599999999999</v>
      </c>
      <c r="F2606">
        <v>417.238</v>
      </c>
      <c r="G2606">
        <v>1940837</v>
      </c>
      <c r="H2606" t="s">
        <v>593</v>
      </c>
    </row>
    <row r="2607" spans="1:8" x14ac:dyDescent="0.25">
      <c r="A2607" t="s">
        <v>419</v>
      </c>
      <c r="B2607" t="s">
        <v>46</v>
      </c>
      <c r="C2607" t="s">
        <v>397</v>
      </c>
      <c r="D2607">
        <v>108</v>
      </c>
      <c r="E2607">
        <v>93.948999999999998</v>
      </c>
      <c r="F2607">
        <v>196.77600000000001</v>
      </c>
      <c r="G2607">
        <v>1940837</v>
      </c>
      <c r="H2607" t="s">
        <v>593</v>
      </c>
    </row>
    <row r="2608" spans="1:8" x14ac:dyDescent="0.25">
      <c r="A2608" t="s">
        <v>419</v>
      </c>
      <c r="B2608" t="s">
        <v>46</v>
      </c>
      <c r="C2608" t="s">
        <v>397</v>
      </c>
      <c r="D2608">
        <v>13</v>
      </c>
      <c r="E2608">
        <v>11.308999999999999</v>
      </c>
      <c r="F2608">
        <v>23.686</v>
      </c>
      <c r="G2608">
        <v>1940837</v>
      </c>
      <c r="H2608" t="s">
        <v>593</v>
      </c>
    </row>
    <row r="2609" spans="1:8" x14ac:dyDescent="0.25">
      <c r="A2609" t="s">
        <v>419</v>
      </c>
      <c r="B2609" t="s">
        <v>46</v>
      </c>
      <c r="C2609" t="s">
        <v>397</v>
      </c>
      <c r="D2609">
        <v>8</v>
      </c>
      <c r="E2609">
        <v>6.9589999999999996</v>
      </c>
      <c r="F2609">
        <v>14.576000000000001</v>
      </c>
      <c r="G2609">
        <v>1940837</v>
      </c>
      <c r="H2609" t="s">
        <v>593</v>
      </c>
    </row>
    <row r="2610" spans="1:8" x14ac:dyDescent="0.25">
      <c r="A2610" t="s">
        <v>419</v>
      </c>
      <c r="B2610" t="s">
        <v>46</v>
      </c>
      <c r="C2610" t="s">
        <v>397</v>
      </c>
      <c r="D2610">
        <v>5</v>
      </c>
      <c r="E2610">
        <v>4.3490000000000002</v>
      </c>
      <c r="F2610">
        <v>9.11</v>
      </c>
      <c r="G2610">
        <v>1940837</v>
      </c>
      <c r="H2610" t="s">
        <v>593</v>
      </c>
    </row>
    <row r="2611" spans="1:8" x14ac:dyDescent="0.25">
      <c r="A2611" t="s">
        <v>5999</v>
      </c>
      <c r="B2611" t="s">
        <v>36</v>
      </c>
      <c r="C2611" t="s">
        <v>392</v>
      </c>
      <c r="D2611">
        <v>201</v>
      </c>
      <c r="E2611">
        <v>1139.6610000000001</v>
      </c>
      <c r="F2611">
        <v>1579</v>
      </c>
      <c r="G2611">
        <v>3460088</v>
      </c>
      <c r="H2611" t="s">
        <v>2249</v>
      </c>
    </row>
    <row r="2612" spans="1:8" x14ac:dyDescent="0.25">
      <c r="A2612" t="s">
        <v>5999</v>
      </c>
      <c r="B2612" t="s">
        <v>36</v>
      </c>
      <c r="C2612" t="s">
        <v>392</v>
      </c>
      <c r="D2612">
        <v>191</v>
      </c>
      <c r="E2612">
        <v>1082.6420000000001</v>
      </c>
      <c r="F2612">
        <v>1500</v>
      </c>
      <c r="G2612">
        <v>3460088</v>
      </c>
      <c r="H2612" t="s">
        <v>2249</v>
      </c>
    </row>
    <row r="2613" spans="1:8" x14ac:dyDescent="0.25">
      <c r="A2613" t="s">
        <v>5999</v>
      </c>
      <c r="B2613" t="s">
        <v>36</v>
      </c>
      <c r="C2613" t="s">
        <v>392</v>
      </c>
      <c r="D2613">
        <v>154</v>
      </c>
      <c r="E2613">
        <v>873.33100000000002</v>
      </c>
      <c r="F2613">
        <v>1210</v>
      </c>
      <c r="G2613">
        <v>3460088</v>
      </c>
      <c r="H2613" t="s">
        <v>2249</v>
      </c>
    </row>
    <row r="2614" spans="1:8" x14ac:dyDescent="0.25">
      <c r="A2614" t="s">
        <v>5999</v>
      </c>
      <c r="B2614" t="s">
        <v>36</v>
      </c>
      <c r="C2614" t="s">
        <v>392</v>
      </c>
      <c r="D2614">
        <v>197</v>
      </c>
      <c r="E2614">
        <v>1118.73</v>
      </c>
      <c r="F2614">
        <v>1550</v>
      </c>
      <c r="G2614">
        <v>3460088</v>
      </c>
      <c r="H2614" t="s">
        <v>2249</v>
      </c>
    </row>
    <row r="2615" spans="1:8" x14ac:dyDescent="0.25">
      <c r="A2615" t="s">
        <v>5999</v>
      </c>
      <c r="B2615" t="s">
        <v>36</v>
      </c>
      <c r="C2615" t="s">
        <v>392</v>
      </c>
      <c r="D2615">
        <v>202</v>
      </c>
      <c r="E2615">
        <v>1143.991</v>
      </c>
      <c r="F2615">
        <v>1585</v>
      </c>
      <c r="G2615">
        <v>3460088</v>
      </c>
      <c r="H2615" t="s">
        <v>2249</v>
      </c>
    </row>
    <row r="2616" spans="1:8" x14ac:dyDescent="0.25">
      <c r="A2616" t="s">
        <v>5999</v>
      </c>
      <c r="B2616" t="s">
        <v>36</v>
      </c>
      <c r="C2616" t="s">
        <v>392</v>
      </c>
      <c r="D2616">
        <v>195</v>
      </c>
      <c r="E2616">
        <v>1104.2940000000001</v>
      </c>
      <c r="F2616">
        <v>1530</v>
      </c>
      <c r="G2616">
        <v>3460088</v>
      </c>
      <c r="H2616" t="s">
        <v>2249</v>
      </c>
    </row>
    <row r="2617" spans="1:8" x14ac:dyDescent="0.25">
      <c r="A2617" t="s">
        <v>5999</v>
      </c>
      <c r="B2617" t="s">
        <v>36</v>
      </c>
      <c r="C2617" t="s">
        <v>392</v>
      </c>
      <c r="D2617">
        <v>59</v>
      </c>
      <c r="E2617">
        <v>336.34100000000001</v>
      </c>
      <c r="F2617">
        <v>466</v>
      </c>
      <c r="G2617">
        <v>3460088</v>
      </c>
      <c r="H2617" t="s">
        <v>2249</v>
      </c>
    </row>
    <row r="2618" spans="1:8" x14ac:dyDescent="0.25">
      <c r="A2618" t="s">
        <v>573</v>
      </c>
      <c r="B2618" t="s">
        <v>52</v>
      </c>
      <c r="C2618" t="s">
        <v>397</v>
      </c>
      <c r="D2618">
        <v>2848</v>
      </c>
      <c r="E2618">
        <v>1695.2380000000001</v>
      </c>
      <c r="F2618">
        <v>1167.68</v>
      </c>
      <c r="G2618">
        <v>1940247</v>
      </c>
      <c r="H2618" t="s">
        <v>1349</v>
      </c>
    </row>
    <row r="2619" spans="1:8" x14ac:dyDescent="0.25">
      <c r="A2619" t="s">
        <v>573</v>
      </c>
      <c r="B2619" t="s">
        <v>52</v>
      </c>
      <c r="C2619" t="s">
        <v>397</v>
      </c>
      <c r="D2619">
        <v>700</v>
      </c>
      <c r="E2619">
        <v>416.66699999999997</v>
      </c>
      <c r="F2619">
        <v>287</v>
      </c>
      <c r="G2619">
        <v>1940247</v>
      </c>
      <c r="H2619" t="s">
        <v>1349</v>
      </c>
    </row>
    <row r="2620" spans="1:8" x14ac:dyDescent="0.25">
      <c r="A2620" t="s">
        <v>573</v>
      </c>
      <c r="B2620" t="s">
        <v>52</v>
      </c>
      <c r="C2620" t="s">
        <v>397</v>
      </c>
      <c r="D2620">
        <v>685</v>
      </c>
      <c r="E2620">
        <v>407.738</v>
      </c>
      <c r="F2620">
        <v>280.85000000000002</v>
      </c>
      <c r="G2620">
        <v>1940247</v>
      </c>
      <c r="H2620" t="s">
        <v>1349</v>
      </c>
    </row>
    <row r="2621" spans="1:8" x14ac:dyDescent="0.25">
      <c r="A2621" t="s">
        <v>573</v>
      </c>
      <c r="B2621" t="s">
        <v>52</v>
      </c>
      <c r="C2621" t="s">
        <v>397</v>
      </c>
      <c r="D2621">
        <v>39</v>
      </c>
      <c r="E2621">
        <v>23.213999999999999</v>
      </c>
      <c r="F2621">
        <v>15.99</v>
      </c>
      <c r="G2621">
        <v>1940247</v>
      </c>
      <c r="H2621" t="s">
        <v>1349</v>
      </c>
    </row>
    <row r="2622" spans="1:8" x14ac:dyDescent="0.25">
      <c r="A2622" t="s">
        <v>573</v>
      </c>
      <c r="B2622" t="s">
        <v>52</v>
      </c>
      <c r="C2622" t="s">
        <v>397</v>
      </c>
      <c r="D2622">
        <v>28</v>
      </c>
      <c r="E2622">
        <v>16.667000000000002</v>
      </c>
      <c r="F2622">
        <v>11.48</v>
      </c>
      <c r="G2622">
        <v>1940247</v>
      </c>
      <c r="H2622" t="s">
        <v>1349</v>
      </c>
    </row>
    <row r="2623" spans="1:8" x14ac:dyDescent="0.25">
      <c r="A2623" t="s">
        <v>573</v>
      </c>
      <c r="B2623" t="s">
        <v>52</v>
      </c>
      <c r="C2623" t="s">
        <v>397</v>
      </c>
      <c r="D2623">
        <v>1395</v>
      </c>
      <c r="E2623">
        <v>495.36599999999999</v>
      </c>
      <c r="F2623">
        <v>571.95000000000005</v>
      </c>
      <c r="G2623">
        <v>1940588</v>
      </c>
      <c r="H2623" t="s">
        <v>797</v>
      </c>
    </row>
    <row r="2624" spans="1:8" x14ac:dyDescent="0.25">
      <c r="A2624" t="s">
        <v>573</v>
      </c>
      <c r="B2624" t="s">
        <v>52</v>
      </c>
      <c r="C2624" t="s">
        <v>397</v>
      </c>
      <c r="D2624">
        <v>105</v>
      </c>
      <c r="E2624">
        <v>37.286000000000001</v>
      </c>
      <c r="F2624">
        <v>43.05</v>
      </c>
      <c r="G2624">
        <v>1940588</v>
      </c>
      <c r="H2624" t="s">
        <v>797</v>
      </c>
    </row>
    <row r="2625" spans="1:8" x14ac:dyDescent="0.25">
      <c r="A2625" t="s">
        <v>573</v>
      </c>
      <c r="B2625" t="s">
        <v>52</v>
      </c>
      <c r="C2625" t="s">
        <v>397</v>
      </c>
      <c r="D2625">
        <v>443</v>
      </c>
      <c r="E2625">
        <v>121.84699999999999</v>
      </c>
      <c r="F2625">
        <v>99.231999999999999</v>
      </c>
      <c r="G2625">
        <v>3553684</v>
      </c>
      <c r="H2625" t="s">
        <v>1505</v>
      </c>
    </row>
    <row r="2626" spans="1:8" x14ac:dyDescent="0.25">
      <c r="A2626" t="s">
        <v>573</v>
      </c>
      <c r="B2626" t="s">
        <v>52</v>
      </c>
      <c r="C2626" t="s">
        <v>397</v>
      </c>
      <c r="D2626">
        <v>85</v>
      </c>
      <c r="E2626">
        <v>23.379000000000001</v>
      </c>
      <c r="F2626">
        <v>19.04</v>
      </c>
      <c r="G2626">
        <v>3553684</v>
      </c>
      <c r="H2626" t="s">
        <v>1505</v>
      </c>
    </row>
    <row r="2627" spans="1:8" x14ac:dyDescent="0.25">
      <c r="A2627" t="s">
        <v>573</v>
      </c>
      <c r="B2627" t="s">
        <v>52</v>
      </c>
      <c r="C2627" t="s">
        <v>397</v>
      </c>
      <c r="D2627">
        <v>72</v>
      </c>
      <c r="E2627">
        <v>19.803999999999998</v>
      </c>
      <c r="F2627">
        <v>16.128</v>
      </c>
      <c r="G2627">
        <v>3553684</v>
      </c>
      <c r="H2627" t="s">
        <v>1505</v>
      </c>
    </row>
    <row r="2628" spans="1:8" x14ac:dyDescent="0.25">
      <c r="A2628" t="s">
        <v>573</v>
      </c>
      <c r="B2628" t="s">
        <v>52</v>
      </c>
      <c r="C2628" t="s">
        <v>397</v>
      </c>
      <c r="D2628">
        <v>125</v>
      </c>
      <c r="E2628">
        <v>101.93300000000001</v>
      </c>
      <c r="F2628">
        <v>101.75</v>
      </c>
      <c r="G2628">
        <v>2413708</v>
      </c>
      <c r="H2628" t="s">
        <v>634</v>
      </c>
    </row>
    <row r="2629" spans="1:8" x14ac:dyDescent="0.25">
      <c r="A2629" t="s">
        <v>573</v>
      </c>
      <c r="B2629" t="s">
        <v>52</v>
      </c>
      <c r="C2629" t="s">
        <v>397</v>
      </c>
      <c r="D2629">
        <v>1787</v>
      </c>
      <c r="E2629">
        <v>704.08299999999997</v>
      </c>
      <c r="F2629">
        <v>685.65200000000004</v>
      </c>
      <c r="G2629">
        <v>1940437</v>
      </c>
      <c r="H2629" t="s">
        <v>637</v>
      </c>
    </row>
    <row r="2630" spans="1:8" x14ac:dyDescent="0.25">
      <c r="A2630" t="s">
        <v>573</v>
      </c>
      <c r="B2630" t="s">
        <v>52</v>
      </c>
      <c r="C2630" t="s">
        <v>397</v>
      </c>
      <c r="D2630">
        <v>571</v>
      </c>
      <c r="E2630">
        <v>224.976</v>
      </c>
      <c r="F2630">
        <v>219.08600000000001</v>
      </c>
      <c r="G2630">
        <v>1940437</v>
      </c>
      <c r="H2630" t="s">
        <v>637</v>
      </c>
    </row>
    <row r="2631" spans="1:8" x14ac:dyDescent="0.25">
      <c r="A2631" t="s">
        <v>573</v>
      </c>
      <c r="B2631" t="s">
        <v>52</v>
      </c>
      <c r="C2631" t="s">
        <v>397</v>
      </c>
      <c r="D2631">
        <v>17</v>
      </c>
      <c r="E2631">
        <v>6.6980000000000004</v>
      </c>
      <c r="F2631">
        <v>6.5229999999999997</v>
      </c>
      <c r="G2631">
        <v>1940437</v>
      </c>
      <c r="H2631" t="s">
        <v>637</v>
      </c>
    </row>
    <row r="2632" spans="1:8" x14ac:dyDescent="0.25">
      <c r="A2632" t="s">
        <v>573</v>
      </c>
      <c r="B2632" t="s">
        <v>52</v>
      </c>
      <c r="C2632" t="s">
        <v>397</v>
      </c>
      <c r="D2632">
        <v>641</v>
      </c>
      <c r="E2632">
        <v>134.66399999999999</v>
      </c>
      <c r="F2632">
        <v>121.79</v>
      </c>
      <c r="G2632">
        <v>2256593</v>
      </c>
      <c r="H2632" t="s">
        <v>1598</v>
      </c>
    </row>
    <row r="2633" spans="1:8" x14ac:dyDescent="0.25">
      <c r="A2633" t="s">
        <v>573</v>
      </c>
      <c r="B2633" t="s">
        <v>52</v>
      </c>
      <c r="C2633" t="s">
        <v>397</v>
      </c>
      <c r="D2633">
        <v>9</v>
      </c>
      <c r="E2633">
        <v>1.891</v>
      </c>
      <c r="F2633">
        <v>1.71</v>
      </c>
      <c r="G2633">
        <v>2256593</v>
      </c>
      <c r="H2633" t="s">
        <v>1598</v>
      </c>
    </row>
    <row r="2634" spans="1:8" x14ac:dyDescent="0.25">
      <c r="A2634" t="s">
        <v>573</v>
      </c>
      <c r="B2634" t="s">
        <v>52</v>
      </c>
      <c r="C2634" t="s">
        <v>397</v>
      </c>
      <c r="D2634">
        <v>1356</v>
      </c>
      <c r="E2634">
        <v>880.22</v>
      </c>
      <c r="F2634">
        <v>465.108</v>
      </c>
      <c r="G2634">
        <v>1937022</v>
      </c>
      <c r="H2634" t="s">
        <v>1321</v>
      </c>
    </row>
    <row r="2635" spans="1:8" x14ac:dyDescent="0.25">
      <c r="A2635" t="s">
        <v>573</v>
      </c>
      <c r="B2635" t="s">
        <v>52</v>
      </c>
      <c r="C2635" t="s">
        <v>397</v>
      </c>
      <c r="D2635">
        <v>1472</v>
      </c>
      <c r="E2635">
        <v>955.51900000000001</v>
      </c>
      <c r="F2635">
        <v>504.89600000000002</v>
      </c>
      <c r="G2635">
        <v>1937022</v>
      </c>
      <c r="H2635" t="s">
        <v>1321</v>
      </c>
    </row>
    <row r="2636" spans="1:8" x14ac:dyDescent="0.25">
      <c r="A2636" t="s">
        <v>573</v>
      </c>
      <c r="B2636" t="s">
        <v>52</v>
      </c>
      <c r="C2636" t="s">
        <v>397</v>
      </c>
      <c r="D2636">
        <v>1166</v>
      </c>
      <c r="E2636">
        <v>756.88499999999999</v>
      </c>
      <c r="F2636">
        <v>399.93799999999999</v>
      </c>
      <c r="G2636">
        <v>1937022</v>
      </c>
      <c r="H2636" t="s">
        <v>1321</v>
      </c>
    </row>
    <row r="2637" spans="1:8" x14ac:dyDescent="0.25">
      <c r="A2637" t="s">
        <v>573</v>
      </c>
      <c r="B2637" t="s">
        <v>52</v>
      </c>
      <c r="C2637" t="s">
        <v>397</v>
      </c>
      <c r="D2637">
        <v>6</v>
      </c>
      <c r="E2637">
        <v>3.895</v>
      </c>
      <c r="F2637">
        <v>2.0579999999999998</v>
      </c>
      <c r="G2637">
        <v>1937022</v>
      </c>
      <c r="H2637" t="s">
        <v>1321</v>
      </c>
    </row>
    <row r="2638" spans="1:8" x14ac:dyDescent="0.25">
      <c r="A2638" t="s">
        <v>573</v>
      </c>
      <c r="B2638" t="s">
        <v>52</v>
      </c>
      <c r="C2638" t="s">
        <v>397</v>
      </c>
      <c r="D2638">
        <v>100</v>
      </c>
      <c r="E2638">
        <v>67.298000000000002</v>
      </c>
      <c r="F2638">
        <v>41.9</v>
      </c>
      <c r="G2638">
        <v>3667938</v>
      </c>
      <c r="H2638" t="s">
        <v>639</v>
      </c>
    </row>
    <row r="2639" spans="1:8" x14ac:dyDescent="0.25">
      <c r="A2639" t="s">
        <v>6068</v>
      </c>
      <c r="B2639" t="s">
        <v>56</v>
      </c>
      <c r="C2639" t="s">
        <v>392</v>
      </c>
      <c r="D2639">
        <v>29368</v>
      </c>
      <c r="E2639">
        <v>13591.726000000001</v>
      </c>
      <c r="F2639">
        <v>13010</v>
      </c>
      <c r="G2639">
        <v>3482551</v>
      </c>
      <c r="H2639" t="s">
        <v>6069</v>
      </c>
    </row>
    <row r="2640" spans="1:8" x14ac:dyDescent="0.25">
      <c r="A2640" t="s">
        <v>5966</v>
      </c>
      <c r="B2640" t="s">
        <v>37</v>
      </c>
      <c r="C2640" t="s">
        <v>392</v>
      </c>
      <c r="D2640">
        <v>464</v>
      </c>
      <c r="E2640">
        <v>2565.1950000000002</v>
      </c>
      <c r="F2640">
        <v>3492</v>
      </c>
      <c r="G2640">
        <v>3502256</v>
      </c>
      <c r="H2640" t="s">
        <v>1580</v>
      </c>
    </row>
    <row r="2641" spans="1:8" x14ac:dyDescent="0.25">
      <c r="A2641" t="s">
        <v>5966</v>
      </c>
      <c r="B2641" t="s">
        <v>37</v>
      </c>
      <c r="C2641" t="s">
        <v>392</v>
      </c>
      <c r="D2641">
        <v>167</v>
      </c>
      <c r="E2641">
        <v>924.11699999999996</v>
      </c>
      <c r="F2641">
        <v>1258</v>
      </c>
      <c r="G2641">
        <v>3502256</v>
      </c>
      <c r="H2641" t="s">
        <v>1580</v>
      </c>
    </row>
    <row r="2642" spans="1:8" x14ac:dyDescent="0.25">
      <c r="A2642" t="s">
        <v>5966</v>
      </c>
      <c r="B2642" t="s">
        <v>37</v>
      </c>
      <c r="C2642" t="s">
        <v>392</v>
      </c>
      <c r="D2642">
        <v>316</v>
      </c>
      <c r="E2642">
        <v>1746.125</v>
      </c>
      <c r="F2642">
        <v>2377</v>
      </c>
      <c r="G2642">
        <v>3502256</v>
      </c>
      <c r="H2642" t="s">
        <v>1580</v>
      </c>
    </row>
    <row r="2643" spans="1:8" x14ac:dyDescent="0.25">
      <c r="A2643" t="s">
        <v>5966</v>
      </c>
      <c r="B2643" t="s">
        <v>37</v>
      </c>
      <c r="C2643" t="s">
        <v>392</v>
      </c>
      <c r="D2643">
        <v>264</v>
      </c>
      <c r="E2643">
        <v>1459.634</v>
      </c>
      <c r="F2643">
        <v>1987</v>
      </c>
      <c r="G2643">
        <v>3502256</v>
      </c>
      <c r="H2643" t="s">
        <v>1580</v>
      </c>
    </row>
    <row r="2644" spans="1:8" x14ac:dyDescent="0.25">
      <c r="A2644" t="s">
        <v>5966</v>
      </c>
      <c r="B2644" t="s">
        <v>37</v>
      </c>
      <c r="C2644" t="s">
        <v>392</v>
      </c>
      <c r="D2644">
        <v>231</v>
      </c>
      <c r="E2644">
        <v>1275.252</v>
      </c>
      <c r="F2644">
        <v>1736</v>
      </c>
      <c r="G2644">
        <v>3502256</v>
      </c>
      <c r="H2644" t="s">
        <v>1580</v>
      </c>
    </row>
    <row r="2645" spans="1:8" x14ac:dyDescent="0.25">
      <c r="A2645" t="s">
        <v>5966</v>
      </c>
      <c r="B2645" t="s">
        <v>37</v>
      </c>
      <c r="C2645" t="s">
        <v>392</v>
      </c>
      <c r="D2645">
        <v>129</v>
      </c>
      <c r="E2645">
        <v>777.47799999999995</v>
      </c>
      <c r="F2645">
        <v>1929</v>
      </c>
      <c r="G2645">
        <v>3457574</v>
      </c>
      <c r="H2645" t="s">
        <v>6070</v>
      </c>
    </row>
    <row r="2646" spans="1:8" x14ac:dyDescent="0.25">
      <c r="A2646" t="s">
        <v>5966</v>
      </c>
      <c r="B2646" t="s">
        <v>37</v>
      </c>
      <c r="C2646" t="s">
        <v>392</v>
      </c>
      <c r="D2646">
        <v>124</v>
      </c>
      <c r="E2646">
        <v>748.45799999999997</v>
      </c>
      <c r="F2646">
        <v>1857</v>
      </c>
      <c r="G2646">
        <v>3457574</v>
      </c>
      <c r="H2646" t="s">
        <v>6070</v>
      </c>
    </row>
    <row r="2647" spans="1:8" x14ac:dyDescent="0.25">
      <c r="A2647" t="s">
        <v>5966</v>
      </c>
      <c r="B2647" t="s">
        <v>37</v>
      </c>
      <c r="C2647" t="s">
        <v>392</v>
      </c>
      <c r="D2647">
        <v>183</v>
      </c>
      <c r="E2647">
        <v>1103.1400000000001</v>
      </c>
      <c r="F2647">
        <v>2737</v>
      </c>
      <c r="G2647">
        <v>3457574</v>
      </c>
      <c r="H2647" t="s">
        <v>6070</v>
      </c>
    </row>
    <row r="2648" spans="1:8" x14ac:dyDescent="0.25">
      <c r="A2648" t="s">
        <v>5966</v>
      </c>
      <c r="B2648" t="s">
        <v>37</v>
      </c>
      <c r="C2648" t="s">
        <v>392</v>
      </c>
      <c r="D2648">
        <v>186</v>
      </c>
      <c r="E2648">
        <v>1119.2619999999999</v>
      </c>
      <c r="F2648">
        <v>2777</v>
      </c>
      <c r="G2648">
        <v>3457574</v>
      </c>
      <c r="H2648" t="s">
        <v>6070</v>
      </c>
    </row>
    <row r="2649" spans="1:8" x14ac:dyDescent="0.25">
      <c r="A2649" t="s">
        <v>6018</v>
      </c>
      <c r="B2649" t="s">
        <v>21</v>
      </c>
      <c r="C2649" t="s">
        <v>397</v>
      </c>
      <c r="D2649">
        <v>4597</v>
      </c>
      <c r="E2649">
        <v>1769.873</v>
      </c>
      <c r="F2649">
        <v>1176.9849999999999</v>
      </c>
      <c r="G2649">
        <v>4018307</v>
      </c>
      <c r="H2649" t="s">
        <v>6020</v>
      </c>
    </row>
    <row r="2650" spans="1:8" x14ac:dyDescent="0.25">
      <c r="A2650" t="s">
        <v>6018</v>
      </c>
      <c r="B2650" t="s">
        <v>21</v>
      </c>
      <c r="C2650" t="s">
        <v>397</v>
      </c>
      <c r="D2650">
        <v>2403</v>
      </c>
      <c r="E2650">
        <v>925.17</v>
      </c>
      <c r="F2650">
        <v>615.24800000000005</v>
      </c>
      <c r="G2650">
        <v>4018307</v>
      </c>
      <c r="H2650" t="s">
        <v>6020</v>
      </c>
    </row>
    <row r="2651" spans="1:8" x14ac:dyDescent="0.25">
      <c r="A2651" t="s">
        <v>6018</v>
      </c>
      <c r="B2651" t="s">
        <v>21</v>
      </c>
      <c r="C2651" t="s">
        <v>397</v>
      </c>
      <c r="D2651">
        <v>575</v>
      </c>
      <c r="E2651">
        <v>167.274</v>
      </c>
      <c r="F2651">
        <v>495.65</v>
      </c>
      <c r="G2651">
        <v>1940857</v>
      </c>
      <c r="H2651" t="s">
        <v>1689</v>
      </c>
    </row>
    <row r="2652" spans="1:8" x14ac:dyDescent="0.25">
      <c r="A2652" t="s">
        <v>6018</v>
      </c>
      <c r="B2652" t="s">
        <v>21</v>
      </c>
      <c r="C2652" t="s">
        <v>397</v>
      </c>
      <c r="D2652">
        <v>195</v>
      </c>
      <c r="E2652">
        <v>56.728000000000002</v>
      </c>
      <c r="F2652">
        <v>168.09</v>
      </c>
      <c r="G2652">
        <v>1940857</v>
      </c>
      <c r="H2652" t="s">
        <v>1689</v>
      </c>
    </row>
    <row r="2653" spans="1:8" x14ac:dyDescent="0.25">
      <c r="A2653" t="s">
        <v>6018</v>
      </c>
      <c r="B2653" t="s">
        <v>21</v>
      </c>
      <c r="C2653" t="s">
        <v>397</v>
      </c>
      <c r="D2653">
        <v>394</v>
      </c>
      <c r="E2653">
        <v>415.28</v>
      </c>
      <c r="F2653">
        <v>625.12</v>
      </c>
      <c r="G2653">
        <v>3605736</v>
      </c>
      <c r="H2653" t="s">
        <v>1698</v>
      </c>
    </row>
    <row r="2654" spans="1:8" x14ac:dyDescent="0.25">
      <c r="A2654" t="s">
        <v>6018</v>
      </c>
      <c r="B2654" t="s">
        <v>21</v>
      </c>
      <c r="C2654" t="s">
        <v>397</v>
      </c>
      <c r="D2654">
        <v>37</v>
      </c>
      <c r="E2654">
        <v>38.997999999999998</v>
      </c>
      <c r="F2654">
        <v>58.704000000000001</v>
      </c>
      <c r="G2654">
        <v>3605736</v>
      </c>
      <c r="H2654" t="s">
        <v>1698</v>
      </c>
    </row>
    <row r="2655" spans="1:8" x14ac:dyDescent="0.25">
      <c r="A2655" t="s">
        <v>6018</v>
      </c>
      <c r="B2655" t="s">
        <v>21</v>
      </c>
      <c r="C2655" t="s">
        <v>397</v>
      </c>
      <c r="D2655">
        <v>9</v>
      </c>
      <c r="E2655">
        <v>9.4860000000000007</v>
      </c>
      <c r="F2655">
        <v>14.279</v>
      </c>
      <c r="G2655">
        <v>3605736</v>
      </c>
      <c r="H2655" t="s">
        <v>1698</v>
      </c>
    </row>
    <row r="2656" spans="1:8" x14ac:dyDescent="0.25">
      <c r="A2656" t="s">
        <v>6018</v>
      </c>
      <c r="B2656" t="s">
        <v>21</v>
      </c>
      <c r="C2656" t="s">
        <v>397</v>
      </c>
      <c r="D2656">
        <v>303</v>
      </c>
      <c r="E2656">
        <v>319.36099999999999</v>
      </c>
      <c r="F2656">
        <v>547.09699999999998</v>
      </c>
      <c r="G2656">
        <v>3605737</v>
      </c>
      <c r="H2656" t="s">
        <v>1699</v>
      </c>
    </row>
    <row r="2657" spans="1:8" x14ac:dyDescent="0.25">
      <c r="A2657" t="s">
        <v>6018</v>
      </c>
      <c r="B2657" t="s">
        <v>21</v>
      </c>
      <c r="C2657" t="s">
        <v>397</v>
      </c>
      <c r="D2657">
        <v>219</v>
      </c>
      <c r="E2657">
        <v>230.82499999999999</v>
      </c>
      <c r="F2657">
        <v>395.42599999999999</v>
      </c>
      <c r="G2657">
        <v>3605737</v>
      </c>
      <c r="H2657" t="s">
        <v>1699</v>
      </c>
    </row>
    <row r="2658" spans="1:8" x14ac:dyDescent="0.25">
      <c r="A2658" t="s">
        <v>6018</v>
      </c>
      <c r="B2658" t="s">
        <v>21</v>
      </c>
      <c r="C2658" t="s">
        <v>397</v>
      </c>
      <c r="D2658">
        <v>78</v>
      </c>
      <c r="E2658">
        <v>82.212000000000003</v>
      </c>
      <c r="F2658">
        <v>140.83699999999999</v>
      </c>
      <c r="G2658">
        <v>3605737</v>
      </c>
      <c r="H2658" t="s">
        <v>1699</v>
      </c>
    </row>
    <row r="2659" spans="1:8" x14ac:dyDescent="0.25">
      <c r="A2659" t="s">
        <v>6018</v>
      </c>
      <c r="B2659" t="s">
        <v>21</v>
      </c>
      <c r="C2659" t="s">
        <v>397</v>
      </c>
      <c r="D2659">
        <v>1349</v>
      </c>
      <c r="E2659">
        <v>248.35900000000001</v>
      </c>
      <c r="F2659">
        <v>941.60199999999998</v>
      </c>
      <c r="G2659">
        <v>1940868</v>
      </c>
      <c r="H2659" t="s">
        <v>1715</v>
      </c>
    </row>
    <row r="2660" spans="1:8" x14ac:dyDescent="0.25">
      <c r="A2660" t="s">
        <v>6018</v>
      </c>
      <c r="B2660" t="s">
        <v>21</v>
      </c>
      <c r="C2660" t="s">
        <v>397</v>
      </c>
      <c r="D2660">
        <v>245</v>
      </c>
      <c r="E2660">
        <v>45.106000000000002</v>
      </c>
      <c r="F2660">
        <v>171.01</v>
      </c>
      <c r="G2660">
        <v>1940868</v>
      </c>
      <c r="H2660" t="s">
        <v>1715</v>
      </c>
    </row>
    <row r="2661" spans="1:8" x14ac:dyDescent="0.25">
      <c r="A2661" t="s">
        <v>6018</v>
      </c>
      <c r="B2661" t="s">
        <v>21</v>
      </c>
      <c r="C2661" t="s">
        <v>397</v>
      </c>
      <c r="D2661">
        <v>145</v>
      </c>
      <c r="E2661">
        <v>26.695</v>
      </c>
      <c r="F2661">
        <v>101.21</v>
      </c>
      <c r="G2661">
        <v>1940868</v>
      </c>
      <c r="H2661" t="s">
        <v>1715</v>
      </c>
    </row>
    <row r="2662" spans="1:8" x14ac:dyDescent="0.25">
      <c r="A2662" t="s">
        <v>6018</v>
      </c>
      <c r="B2662" t="s">
        <v>21</v>
      </c>
      <c r="C2662" t="s">
        <v>397</v>
      </c>
      <c r="D2662">
        <v>101</v>
      </c>
      <c r="E2662">
        <v>18.594999999999999</v>
      </c>
      <c r="F2662">
        <v>70.498000000000005</v>
      </c>
      <c r="G2662">
        <v>1940868</v>
      </c>
      <c r="H2662" t="s">
        <v>1715</v>
      </c>
    </row>
    <row r="2663" spans="1:8" x14ac:dyDescent="0.25">
      <c r="A2663" t="s">
        <v>6018</v>
      </c>
      <c r="B2663" t="s">
        <v>21</v>
      </c>
      <c r="C2663" t="s">
        <v>397</v>
      </c>
      <c r="D2663">
        <v>60</v>
      </c>
      <c r="E2663">
        <v>11.045999999999999</v>
      </c>
      <c r="F2663">
        <v>41.88</v>
      </c>
      <c r="G2663">
        <v>1940868</v>
      </c>
      <c r="H2663" t="s">
        <v>1715</v>
      </c>
    </row>
    <row r="2664" spans="1:8" x14ac:dyDescent="0.25">
      <c r="A2664" t="s">
        <v>6018</v>
      </c>
      <c r="B2664" t="s">
        <v>21</v>
      </c>
      <c r="C2664" t="s">
        <v>397</v>
      </c>
      <c r="D2664">
        <v>47</v>
      </c>
      <c r="E2664">
        <v>8.6530000000000005</v>
      </c>
      <c r="F2664">
        <v>32.805999999999997</v>
      </c>
      <c r="G2664">
        <v>1940868</v>
      </c>
      <c r="H2664" t="s">
        <v>1715</v>
      </c>
    </row>
    <row r="2665" spans="1:8" x14ac:dyDescent="0.25">
      <c r="A2665" t="s">
        <v>6018</v>
      </c>
      <c r="B2665" t="s">
        <v>21</v>
      </c>
      <c r="C2665" t="s">
        <v>397</v>
      </c>
      <c r="D2665">
        <v>21</v>
      </c>
      <c r="E2665">
        <v>3.8660000000000001</v>
      </c>
      <c r="F2665">
        <v>14.657999999999999</v>
      </c>
      <c r="G2665">
        <v>1940868</v>
      </c>
      <c r="H2665" t="s">
        <v>1715</v>
      </c>
    </row>
    <row r="2666" spans="1:8" x14ac:dyDescent="0.25">
      <c r="A2666" t="s">
        <v>6018</v>
      </c>
      <c r="B2666" t="s">
        <v>21</v>
      </c>
      <c r="C2666" t="s">
        <v>397</v>
      </c>
      <c r="D2666">
        <v>1650</v>
      </c>
      <c r="E2666">
        <v>1216.1110000000001</v>
      </c>
      <c r="F2666">
        <v>2103.75</v>
      </c>
      <c r="G2666">
        <v>1932730</v>
      </c>
      <c r="H2666" t="s">
        <v>1738</v>
      </c>
    </row>
    <row r="2667" spans="1:8" x14ac:dyDescent="0.25">
      <c r="A2667" t="s">
        <v>6018</v>
      </c>
      <c r="B2667" t="s">
        <v>21</v>
      </c>
      <c r="C2667" t="s">
        <v>397</v>
      </c>
      <c r="D2667">
        <v>850</v>
      </c>
      <c r="E2667">
        <v>626.48099999999999</v>
      </c>
      <c r="F2667">
        <v>1083.75</v>
      </c>
      <c r="G2667">
        <v>1932730</v>
      </c>
      <c r="H2667" t="s">
        <v>1738</v>
      </c>
    </row>
    <row r="2668" spans="1:8" x14ac:dyDescent="0.25">
      <c r="A2668" t="s">
        <v>6018</v>
      </c>
      <c r="B2668" t="s">
        <v>21</v>
      </c>
      <c r="C2668" t="s">
        <v>397</v>
      </c>
      <c r="D2668">
        <v>4500</v>
      </c>
      <c r="E2668">
        <v>2458.1799999999998</v>
      </c>
      <c r="F2668">
        <v>3541.5</v>
      </c>
      <c r="G2668">
        <v>1940817</v>
      </c>
      <c r="H2668" t="s">
        <v>1679</v>
      </c>
    </row>
    <row r="2669" spans="1:8" x14ac:dyDescent="0.25">
      <c r="A2669" t="s">
        <v>6015</v>
      </c>
      <c r="B2669" t="s">
        <v>65</v>
      </c>
      <c r="C2669" t="s">
        <v>397</v>
      </c>
      <c r="D2669">
        <v>914</v>
      </c>
      <c r="E2669">
        <v>521.73699999999997</v>
      </c>
      <c r="F2669">
        <v>967.92600000000004</v>
      </c>
      <c r="G2669">
        <v>3781648</v>
      </c>
      <c r="H2669" t="s">
        <v>1755</v>
      </c>
    </row>
    <row r="2670" spans="1:8" x14ac:dyDescent="0.25">
      <c r="A2670" t="s">
        <v>6015</v>
      </c>
      <c r="B2670" t="s">
        <v>65</v>
      </c>
      <c r="C2670" t="s">
        <v>397</v>
      </c>
      <c r="D2670">
        <v>346</v>
      </c>
      <c r="E2670">
        <v>197.506</v>
      </c>
      <c r="F2670">
        <v>366.41399999999999</v>
      </c>
      <c r="G2670">
        <v>3781648</v>
      </c>
      <c r="H2670" t="s">
        <v>1755</v>
      </c>
    </row>
    <row r="2671" spans="1:8" x14ac:dyDescent="0.25">
      <c r="A2671" t="s">
        <v>6015</v>
      </c>
      <c r="B2671" t="s">
        <v>65</v>
      </c>
      <c r="C2671" t="s">
        <v>397</v>
      </c>
      <c r="D2671">
        <v>220</v>
      </c>
      <c r="E2671">
        <v>125.58199999999999</v>
      </c>
      <c r="F2671">
        <v>232.98</v>
      </c>
      <c r="G2671">
        <v>3781648</v>
      </c>
      <c r="H2671" t="s">
        <v>1755</v>
      </c>
    </row>
    <row r="2672" spans="1:8" x14ac:dyDescent="0.25">
      <c r="A2672" t="s">
        <v>6015</v>
      </c>
      <c r="B2672" t="s">
        <v>65</v>
      </c>
      <c r="C2672" t="s">
        <v>397</v>
      </c>
      <c r="D2672">
        <v>859</v>
      </c>
      <c r="E2672">
        <v>416.65499999999997</v>
      </c>
      <c r="F2672">
        <v>611.60799999999995</v>
      </c>
      <c r="G2672">
        <v>2385283</v>
      </c>
      <c r="H2672" t="s">
        <v>1607</v>
      </c>
    </row>
    <row r="2673" spans="1:8" x14ac:dyDescent="0.25">
      <c r="A2673" t="s">
        <v>6015</v>
      </c>
      <c r="B2673" t="s">
        <v>65</v>
      </c>
      <c r="C2673" t="s">
        <v>397</v>
      </c>
      <c r="D2673">
        <v>16</v>
      </c>
      <c r="E2673">
        <v>7.7610000000000001</v>
      </c>
      <c r="F2673">
        <v>11.391999999999999</v>
      </c>
      <c r="G2673">
        <v>2385283</v>
      </c>
      <c r="H2673" t="s">
        <v>1607</v>
      </c>
    </row>
    <row r="2674" spans="1:8" x14ac:dyDescent="0.25">
      <c r="A2674" t="s">
        <v>437</v>
      </c>
      <c r="B2674" t="s">
        <v>18</v>
      </c>
      <c r="C2674" t="s">
        <v>397</v>
      </c>
      <c r="D2674">
        <v>4620</v>
      </c>
      <c r="E2674">
        <v>2477.8440000000001</v>
      </c>
      <c r="F2674">
        <v>3880.8</v>
      </c>
      <c r="G2674">
        <v>1940822</v>
      </c>
      <c r="H2674" t="s">
        <v>574</v>
      </c>
    </row>
    <row r="2675" spans="1:8" x14ac:dyDescent="0.25">
      <c r="A2675" t="s">
        <v>437</v>
      </c>
      <c r="B2675" t="s">
        <v>18</v>
      </c>
      <c r="C2675" t="s">
        <v>397</v>
      </c>
      <c r="D2675">
        <v>1885</v>
      </c>
      <c r="E2675">
        <v>279.74900000000002</v>
      </c>
      <c r="F2675">
        <v>557.96</v>
      </c>
      <c r="G2675">
        <v>4098592</v>
      </c>
      <c r="H2675" t="s">
        <v>579</v>
      </c>
    </row>
    <row r="2676" spans="1:8" x14ac:dyDescent="0.25">
      <c r="A2676" t="s">
        <v>437</v>
      </c>
      <c r="B2676" t="s">
        <v>18</v>
      </c>
      <c r="C2676" t="s">
        <v>397</v>
      </c>
      <c r="D2676">
        <v>175</v>
      </c>
      <c r="E2676">
        <v>25.971</v>
      </c>
      <c r="F2676">
        <v>51.8</v>
      </c>
      <c r="G2676">
        <v>4098592</v>
      </c>
      <c r="H2676" t="s">
        <v>579</v>
      </c>
    </row>
    <row r="2677" spans="1:8" x14ac:dyDescent="0.25">
      <c r="A2677" t="s">
        <v>437</v>
      </c>
      <c r="B2677" t="s">
        <v>18</v>
      </c>
      <c r="C2677" t="s">
        <v>397</v>
      </c>
      <c r="D2677">
        <v>120</v>
      </c>
      <c r="E2677">
        <v>17.809000000000001</v>
      </c>
      <c r="F2677">
        <v>35.520000000000003</v>
      </c>
      <c r="G2677">
        <v>4098592</v>
      </c>
      <c r="H2677" t="s">
        <v>579</v>
      </c>
    </row>
    <row r="2678" spans="1:8" x14ac:dyDescent="0.25">
      <c r="A2678" t="s">
        <v>437</v>
      </c>
      <c r="B2678" t="s">
        <v>18</v>
      </c>
      <c r="C2678" t="s">
        <v>397</v>
      </c>
      <c r="D2678">
        <v>629</v>
      </c>
      <c r="E2678">
        <v>102.179</v>
      </c>
      <c r="F2678">
        <v>203.79599999999999</v>
      </c>
      <c r="G2678">
        <v>4098593</v>
      </c>
      <c r="H2678" t="s">
        <v>1896</v>
      </c>
    </row>
    <row r="2679" spans="1:8" x14ac:dyDescent="0.25">
      <c r="A2679" t="s">
        <v>437</v>
      </c>
      <c r="B2679" t="s">
        <v>18</v>
      </c>
      <c r="C2679" t="s">
        <v>397</v>
      </c>
      <c r="D2679">
        <v>524</v>
      </c>
      <c r="E2679">
        <v>85.122</v>
      </c>
      <c r="F2679">
        <v>169.77600000000001</v>
      </c>
      <c r="G2679">
        <v>4098593</v>
      </c>
      <c r="H2679" t="s">
        <v>1896</v>
      </c>
    </row>
    <row r="2680" spans="1:8" x14ac:dyDescent="0.25">
      <c r="A2680" t="s">
        <v>437</v>
      </c>
      <c r="B2680" t="s">
        <v>18</v>
      </c>
      <c r="C2680" t="s">
        <v>397</v>
      </c>
      <c r="D2680">
        <v>426</v>
      </c>
      <c r="E2680">
        <v>69.201999999999998</v>
      </c>
      <c r="F2680">
        <v>138.024</v>
      </c>
      <c r="G2680">
        <v>4098593</v>
      </c>
      <c r="H2680" t="s">
        <v>1896</v>
      </c>
    </row>
    <row r="2681" spans="1:8" x14ac:dyDescent="0.25">
      <c r="A2681" t="s">
        <v>437</v>
      </c>
      <c r="B2681" t="s">
        <v>18</v>
      </c>
      <c r="C2681" t="s">
        <v>397</v>
      </c>
      <c r="D2681">
        <v>41</v>
      </c>
      <c r="E2681">
        <v>6.66</v>
      </c>
      <c r="F2681">
        <v>13.284000000000001</v>
      </c>
      <c r="G2681">
        <v>4098593</v>
      </c>
      <c r="H2681" t="s">
        <v>1896</v>
      </c>
    </row>
    <row r="2682" spans="1:8" x14ac:dyDescent="0.25">
      <c r="A2682" t="s">
        <v>422</v>
      </c>
      <c r="B2682" t="s">
        <v>30</v>
      </c>
      <c r="C2682" t="s">
        <v>397</v>
      </c>
      <c r="D2682">
        <v>1154</v>
      </c>
      <c r="E2682">
        <v>2700.3159999999998</v>
      </c>
      <c r="F2682">
        <v>991.28599999999994</v>
      </c>
      <c r="G2682">
        <v>3672608</v>
      </c>
      <c r="H2682" t="s">
        <v>1939</v>
      </c>
    </row>
    <row r="2683" spans="1:8" x14ac:dyDescent="0.25">
      <c r="A2683" t="s">
        <v>422</v>
      </c>
      <c r="B2683" t="s">
        <v>30</v>
      </c>
      <c r="C2683" t="s">
        <v>397</v>
      </c>
      <c r="D2683">
        <v>471</v>
      </c>
      <c r="E2683">
        <v>1102.1220000000001</v>
      </c>
      <c r="F2683">
        <v>404.589</v>
      </c>
      <c r="G2683">
        <v>3672608</v>
      </c>
      <c r="H2683" t="s">
        <v>1939</v>
      </c>
    </row>
    <row r="2684" spans="1:8" x14ac:dyDescent="0.25">
      <c r="A2684" t="s">
        <v>422</v>
      </c>
      <c r="B2684" t="s">
        <v>30</v>
      </c>
      <c r="C2684" t="s">
        <v>397</v>
      </c>
      <c r="D2684">
        <v>379</v>
      </c>
      <c r="E2684">
        <v>966.41</v>
      </c>
      <c r="F2684">
        <v>692.43299999999999</v>
      </c>
      <c r="G2684">
        <v>2426142</v>
      </c>
      <c r="H2684" t="s">
        <v>786</v>
      </c>
    </row>
    <row r="2685" spans="1:8" x14ac:dyDescent="0.25">
      <c r="A2685" t="s">
        <v>422</v>
      </c>
      <c r="B2685" t="s">
        <v>30</v>
      </c>
      <c r="C2685" t="s">
        <v>397</v>
      </c>
      <c r="D2685">
        <v>246</v>
      </c>
      <c r="E2685">
        <v>627.274</v>
      </c>
      <c r="F2685">
        <v>449.44200000000001</v>
      </c>
      <c r="G2685">
        <v>2426142</v>
      </c>
      <c r="H2685" t="s">
        <v>786</v>
      </c>
    </row>
    <row r="2686" spans="1:8" x14ac:dyDescent="0.25">
      <c r="A2686" t="s">
        <v>422</v>
      </c>
      <c r="B2686" t="s">
        <v>30</v>
      </c>
      <c r="C2686" t="s">
        <v>397</v>
      </c>
      <c r="D2686">
        <v>215</v>
      </c>
      <c r="E2686">
        <v>548.22699999999998</v>
      </c>
      <c r="F2686">
        <v>392.80500000000001</v>
      </c>
      <c r="G2686">
        <v>2426142</v>
      </c>
      <c r="H2686" t="s">
        <v>786</v>
      </c>
    </row>
    <row r="2687" spans="1:8" x14ac:dyDescent="0.25">
      <c r="A2687" t="s">
        <v>422</v>
      </c>
      <c r="B2687" t="s">
        <v>30</v>
      </c>
      <c r="C2687" t="s">
        <v>397</v>
      </c>
      <c r="D2687">
        <v>1971</v>
      </c>
      <c r="E2687">
        <v>2368.0329999999999</v>
      </c>
      <c r="F2687">
        <v>1054.4849999999999</v>
      </c>
      <c r="G2687">
        <v>3635694</v>
      </c>
      <c r="H2687" t="s">
        <v>649</v>
      </c>
    </row>
    <row r="2688" spans="1:8" x14ac:dyDescent="0.25">
      <c r="A2688" t="s">
        <v>422</v>
      </c>
      <c r="B2688" t="s">
        <v>30</v>
      </c>
      <c r="C2688" t="s">
        <v>397</v>
      </c>
      <c r="D2688">
        <v>29</v>
      </c>
      <c r="E2688">
        <v>34.841999999999999</v>
      </c>
      <c r="F2688">
        <v>15.515000000000001</v>
      </c>
      <c r="G2688">
        <v>3635694</v>
      </c>
      <c r="H2688" t="s">
        <v>649</v>
      </c>
    </row>
    <row r="2689" spans="1:8" x14ac:dyDescent="0.25">
      <c r="A2689" t="s">
        <v>422</v>
      </c>
      <c r="B2689" t="s">
        <v>30</v>
      </c>
      <c r="C2689" t="s">
        <v>397</v>
      </c>
      <c r="D2689">
        <v>2375</v>
      </c>
      <c r="E2689">
        <v>3804.1410000000001</v>
      </c>
      <c r="F2689">
        <v>1396.5</v>
      </c>
      <c r="G2689">
        <v>1941846</v>
      </c>
      <c r="H2689" t="s">
        <v>440</v>
      </c>
    </row>
    <row r="2690" spans="1:8" x14ac:dyDescent="0.25">
      <c r="A2690" t="s">
        <v>422</v>
      </c>
      <c r="B2690" t="s">
        <v>30</v>
      </c>
      <c r="C2690" t="s">
        <v>397</v>
      </c>
      <c r="D2690">
        <v>825</v>
      </c>
      <c r="E2690">
        <v>1802.37</v>
      </c>
      <c r="F2690">
        <v>661.65</v>
      </c>
      <c r="G2690">
        <v>1941847</v>
      </c>
      <c r="H2690" t="s">
        <v>442</v>
      </c>
    </row>
    <row r="2691" spans="1:8" x14ac:dyDescent="0.25">
      <c r="A2691" t="s">
        <v>6599</v>
      </c>
      <c r="B2691" t="s">
        <v>58</v>
      </c>
      <c r="C2691" t="s">
        <v>397</v>
      </c>
      <c r="D2691">
        <v>882</v>
      </c>
      <c r="E2691">
        <v>657.97199999999998</v>
      </c>
      <c r="F2691">
        <v>657.05100000000004</v>
      </c>
      <c r="G2691">
        <v>3960245</v>
      </c>
      <c r="H2691" t="s">
        <v>6600</v>
      </c>
    </row>
    <row r="2692" spans="1:8" x14ac:dyDescent="0.25">
      <c r="A2692" t="s">
        <v>6599</v>
      </c>
      <c r="B2692" t="s">
        <v>58</v>
      </c>
      <c r="C2692" t="s">
        <v>397</v>
      </c>
      <c r="D2692">
        <v>649</v>
      </c>
      <c r="E2692">
        <v>484.154</v>
      </c>
      <c r="F2692">
        <v>483.476</v>
      </c>
      <c r="G2692">
        <v>3960245</v>
      </c>
      <c r="H2692" t="s">
        <v>6600</v>
      </c>
    </row>
    <row r="2693" spans="1:8" x14ac:dyDescent="0.25">
      <c r="A2693" t="s">
        <v>6599</v>
      </c>
      <c r="B2693" t="s">
        <v>58</v>
      </c>
      <c r="C2693" t="s">
        <v>397</v>
      </c>
      <c r="D2693">
        <v>9</v>
      </c>
      <c r="E2693">
        <v>6.7140000000000004</v>
      </c>
      <c r="F2693">
        <v>6.7050000000000001</v>
      </c>
      <c r="G2693">
        <v>3960245</v>
      </c>
      <c r="H2693" t="s">
        <v>6600</v>
      </c>
    </row>
    <row r="2694" spans="1:8" x14ac:dyDescent="0.25">
      <c r="A2694" t="s">
        <v>6599</v>
      </c>
      <c r="B2694" t="s">
        <v>58</v>
      </c>
      <c r="C2694" t="s">
        <v>397</v>
      </c>
      <c r="D2694">
        <v>1660</v>
      </c>
      <c r="E2694">
        <v>1221.7260000000001</v>
      </c>
      <c r="F2694">
        <v>1692.702</v>
      </c>
      <c r="G2694">
        <v>3960244</v>
      </c>
      <c r="H2694" t="s">
        <v>6601</v>
      </c>
    </row>
    <row r="2695" spans="1:8" x14ac:dyDescent="0.25">
      <c r="A2695" t="s">
        <v>6599</v>
      </c>
      <c r="B2695" t="s">
        <v>58</v>
      </c>
      <c r="C2695" t="s">
        <v>397</v>
      </c>
      <c r="D2695">
        <v>1650</v>
      </c>
      <c r="E2695">
        <v>1214.367</v>
      </c>
      <c r="F2695">
        <v>1682.5050000000001</v>
      </c>
      <c r="G2695">
        <v>3960244</v>
      </c>
      <c r="H2695" t="s">
        <v>6601</v>
      </c>
    </row>
    <row r="2696" spans="1:8" x14ac:dyDescent="0.25">
      <c r="A2696" t="s">
        <v>6599</v>
      </c>
      <c r="B2696" t="s">
        <v>58</v>
      </c>
      <c r="C2696" t="s">
        <v>397</v>
      </c>
      <c r="D2696">
        <v>1500</v>
      </c>
      <c r="E2696">
        <v>1103.97</v>
      </c>
      <c r="F2696">
        <v>1529.55</v>
      </c>
      <c r="G2696">
        <v>3960244</v>
      </c>
      <c r="H2696" t="s">
        <v>6601</v>
      </c>
    </row>
    <row r="2697" spans="1:8" x14ac:dyDescent="0.25">
      <c r="A2697" t="s">
        <v>6599</v>
      </c>
      <c r="B2697" t="s">
        <v>58</v>
      </c>
      <c r="C2697" t="s">
        <v>397</v>
      </c>
      <c r="D2697">
        <v>1470</v>
      </c>
      <c r="E2697">
        <v>1081.8900000000001</v>
      </c>
      <c r="F2697">
        <v>1498.9590000000001</v>
      </c>
      <c r="G2697">
        <v>3960244</v>
      </c>
      <c r="H2697" t="s">
        <v>6601</v>
      </c>
    </row>
    <row r="2698" spans="1:8" x14ac:dyDescent="0.25">
      <c r="A2698" t="s">
        <v>6599</v>
      </c>
      <c r="B2698" t="s">
        <v>58</v>
      </c>
      <c r="C2698" t="s">
        <v>397</v>
      </c>
      <c r="D2698">
        <v>1460</v>
      </c>
      <c r="E2698">
        <v>1074.53</v>
      </c>
      <c r="F2698">
        <v>1488.7619999999999</v>
      </c>
      <c r="G2698">
        <v>3960244</v>
      </c>
      <c r="H2698" t="s">
        <v>6601</v>
      </c>
    </row>
    <row r="2699" spans="1:8" x14ac:dyDescent="0.25">
      <c r="A2699" t="s">
        <v>6599</v>
      </c>
      <c r="B2699" t="s">
        <v>58</v>
      </c>
      <c r="C2699" t="s">
        <v>397</v>
      </c>
      <c r="D2699">
        <v>320</v>
      </c>
      <c r="E2699">
        <v>235.51400000000001</v>
      </c>
      <c r="F2699">
        <v>326.30399999999997</v>
      </c>
      <c r="G2699">
        <v>3960244</v>
      </c>
      <c r="H2699" t="s">
        <v>6601</v>
      </c>
    </row>
    <row r="2700" spans="1:8" x14ac:dyDescent="0.25">
      <c r="A2700" t="s">
        <v>6599</v>
      </c>
      <c r="B2700" t="s">
        <v>58</v>
      </c>
      <c r="C2700" t="s">
        <v>397</v>
      </c>
      <c r="D2700">
        <v>290</v>
      </c>
      <c r="E2700">
        <v>188.589</v>
      </c>
      <c r="F2700">
        <v>261.29000000000002</v>
      </c>
      <c r="G2700">
        <v>2397060</v>
      </c>
      <c r="H2700" t="s">
        <v>1704</v>
      </c>
    </row>
    <row r="2701" spans="1:8" x14ac:dyDescent="0.25">
      <c r="A2701" t="s">
        <v>453</v>
      </c>
      <c r="B2701" t="s">
        <v>60</v>
      </c>
      <c r="C2701" t="s">
        <v>397</v>
      </c>
      <c r="D2701">
        <v>1500</v>
      </c>
      <c r="E2701">
        <v>1965.5830000000001</v>
      </c>
      <c r="F2701">
        <v>2164.5</v>
      </c>
      <c r="G2701">
        <v>1940801</v>
      </c>
      <c r="H2701" t="s">
        <v>478</v>
      </c>
    </row>
    <row r="2702" spans="1:8" x14ac:dyDescent="0.25">
      <c r="A2702" t="s">
        <v>453</v>
      </c>
      <c r="B2702" t="s">
        <v>60</v>
      </c>
      <c r="C2702" t="s">
        <v>397</v>
      </c>
      <c r="D2702">
        <v>500</v>
      </c>
      <c r="E2702">
        <v>623.41099999999994</v>
      </c>
      <c r="F2702">
        <v>686.5</v>
      </c>
      <c r="G2702">
        <v>3233554</v>
      </c>
      <c r="H2702" t="s">
        <v>480</v>
      </c>
    </row>
    <row r="2703" spans="1:8" x14ac:dyDescent="0.25">
      <c r="A2703" t="s">
        <v>453</v>
      </c>
      <c r="B2703" t="s">
        <v>60</v>
      </c>
      <c r="C2703" t="s">
        <v>397</v>
      </c>
      <c r="D2703">
        <v>1649</v>
      </c>
      <c r="E2703">
        <v>1847.8620000000001</v>
      </c>
      <c r="F2703">
        <v>2034.866</v>
      </c>
      <c r="G2703">
        <v>3233555</v>
      </c>
      <c r="H2703" t="s">
        <v>482</v>
      </c>
    </row>
    <row r="2704" spans="1:8" x14ac:dyDescent="0.25">
      <c r="A2704" t="s">
        <v>453</v>
      </c>
      <c r="B2704" t="s">
        <v>60</v>
      </c>
      <c r="C2704" t="s">
        <v>397</v>
      </c>
      <c r="D2704">
        <v>351</v>
      </c>
      <c r="E2704">
        <v>393.32900000000001</v>
      </c>
      <c r="F2704">
        <v>433.13400000000001</v>
      </c>
      <c r="G2704">
        <v>3233555</v>
      </c>
      <c r="H2704" t="s">
        <v>482</v>
      </c>
    </row>
    <row r="2705" spans="1:8" x14ac:dyDescent="0.25">
      <c r="A2705" t="s">
        <v>453</v>
      </c>
      <c r="B2705" t="s">
        <v>60</v>
      </c>
      <c r="C2705" t="s">
        <v>397</v>
      </c>
      <c r="D2705">
        <v>2000</v>
      </c>
      <c r="E2705">
        <v>1720.981</v>
      </c>
      <c r="F2705">
        <v>1880</v>
      </c>
      <c r="G2705">
        <v>3572051</v>
      </c>
      <c r="H2705" t="s">
        <v>484</v>
      </c>
    </row>
    <row r="2706" spans="1:8" x14ac:dyDescent="0.25">
      <c r="A2706" t="s">
        <v>453</v>
      </c>
      <c r="B2706" t="s">
        <v>60</v>
      </c>
      <c r="C2706" t="s">
        <v>397</v>
      </c>
      <c r="D2706">
        <v>500</v>
      </c>
      <c r="E2706">
        <v>377.49700000000001</v>
      </c>
      <c r="F2706">
        <v>412.37799999999999</v>
      </c>
      <c r="G2706">
        <v>4151472</v>
      </c>
      <c r="H2706" t="s">
        <v>488</v>
      </c>
    </row>
    <row r="2707" spans="1:8" x14ac:dyDescent="0.25">
      <c r="A2707" t="s">
        <v>453</v>
      </c>
      <c r="B2707" t="s">
        <v>60</v>
      </c>
      <c r="C2707" t="s">
        <v>397</v>
      </c>
      <c r="D2707">
        <v>200</v>
      </c>
      <c r="E2707">
        <v>150.999</v>
      </c>
      <c r="F2707">
        <v>164.95099999999999</v>
      </c>
      <c r="G2707">
        <v>4151472</v>
      </c>
      <c r="H2707" t="s">
        <v>488</v>
      </c>
    </row>
    <row r="2708" spans="1:8" x14ac:dyDescent="0.25">
      <c r="A2708" t="s">
        <v>453</v>
      </c>
      <c r="B2708" t="s">
        <v>60</v>
      </c>
      <c r="C2708" t="s">
        <v>397</v>
      </c>
      <c r="D2708">
        <v>190</v>
      </c>
      <c r="E2708">
        <v>143.44900000000001</v>
      </c>
      <c r="F2708">
        <v>156.70400000000001</v>
      </c>
      <c r="G2708">
        <v>4151472</v>
      </c>
      <c r="H2708" t="s">
        <v>488</v>
      </c>
    </row>
    <row r="2709" spans="1:8" x14ac:dyDescent="0.25">
      <c r="A2709" t="s">
        <v>453</v>
      </c>
      <c r="B2709" t="s">
        <v>60</v>
      </c>
      <c r="C2709" t="s">
        <v>397</v>
      </c>
      <c r="D2709">
        <v>110</v>
      </c>
      <c r="E2709">
        <v>83.049000000000007</v>
      </c>
      <c r="F2709">
        <v>90.722999999999999</v>
      </c>
      <c r="G2709">
        <v>4151472</v>
      </c>
      <c r="H2709" t="s">
        <v>488</v>
      </c>
    </row>
    <row r="2710" spans="1:8" x14ac:dyDescent="0.25">
      <c r="A2710" t="s">
        <v>453</v>
      </c>
      <c r="B2710" t="s">
        <v>60</v>
      </c>
      <c r="C2710" t="s">
        <v>397</v>
      </c>
      <c r="D2710">
        <v>1000</v>
      </c>
      <c r="E2710">
        <v>120.777</v>
      </c>
      <c r="F2710">
        <v>133</v>
      </c>
      <c r="G2710">
        <v>3233559</v>
      </c>
      <c r="H2710" t="s">
        <v>490</v>
      </c>
    </row>
    <row r="2711" spans="1:8" x14ac:dyDescent="0.25">
      <c r="A2711" t="s">
        <v>453</v>
      </c>
      <c r="B2711" t="s">
        <v>60</v>
      </c>
      <c r="C2711" t="s">
        <v>397</v>
      </c>
      <c r="D2711">
        <v>1000</v>
      </c>
      <c r="E2711">
        <v>110.765</v>
      </c>
      <c r="F2711">
        <v>121</v>
      </c>
      <c r="G2711">
        <v>3572047</v>
      </c>
      <c r="H2711" t="s">
        <v>492</v>
      </c>
    </row>
    <row r="2712" spans="1:8" x14ac:dyDescent="0.25">
      <c r="A2712" t="s">
        <v>453</v>
      </c>
      <c r="B2712" t="s">
        <v>60</v>
      </c>
      <c r="C2712" t="s">
        <v>397</v>
      </c>
      <c r="D2712">
        <v>1000</v>
      </c>
      <c r="E2712">
        <v>794.99099999999999</v>
      </c>
      <c r="F2712">
        <v>439.78899999999999</v>
      </c>
      <c r="G2712">
        <v>4151429</v>
      </c>
      <c r="H2712" t="s">
        <v>494</v>
      </c>
    </row>
    <row r="2713" spans="1:8" x14ac:dyDescent="0.25">
      <c r="A2713" t="s">
        <v>453</v>
      </c>
      <c r="B2713" t="s">
        <v>60</v>
      </c>
      <c r="C2713" t="s">
        <v>397</v>
      </c>
      <c r="D2713">
        <v>1000</v>
      </c>
      <c r="E2713">
        <v>469.99400000000003</v>
      </c>
      <c r="F2713">
        <v>256.10000000000002</v>
      </c>
      <c r="G2713">
        <v>3230488</v>
      </c>
      <c r="H2713" t="s">
        <v>496</v>
      </c>
    </row>
    <row r="2714" spans="1:8" x14ac:dyDescent="0.25">
      <c r="A2714" t="s">
        <v>453</v>
      </c>
      <c r="B2714" t="s">
        <v>60</v>
      </c>
      <c r="C2714" t="s">
        <v>397</v>
      </c>
      <c r="D2714">
        <v>4000</v>
      </c>
      <c r="E2714">
        <v>1597.9749999999999</v>
      </c>
      <c r="F2714">
        <v>884</v>
      </c>
      <c r="G2714">
        <v>3230487</v>
      </c>
      <c r="H2714" t="s">
        <v>498</v>
      </c>
    </row>
    <row r="2715" spans="1:8" x14ac:dyDescent="0.25">
      <c r="A2715" t="s">
        <v>453</v>
      </c>
      <c r="B2715" t="s">
        <v>60</v>
      </c>
      <c r="C2715" t="s">
        <v>397</v>
      </c>
      <c r="D2715">
        <v>2000</v>
      </c>
      <c r="E2715">
        <v>199.99600000000001</v>
      </c>
      <c r="F2715">
        <v>109</v>
      </c>
      <c r="G2715">
        <v>3931834</v>
      </c>
      <c r="H2715" t="s">
        <v>500</v>
      </c>
    </row>
    <row r="2716" spans="1:8" x14ac:dyDescent="0.25">
      <c r="A2716" t="s">
        <v>453</v>
      </c>
      <c r="B2716" t="s">
        <v>60</v>
      </c>
      <c r="C2716" t="s">
        <v>397</v>
      </c>
      <c r="D2716">
        <v>630</v>
      </c>
      <c r="E2716">
        <v>72.453999999999994</v>
      </c>
      <c r="F2716">
        <v>39.479999999999997</v>
      </c>
      <c r="G2716">
        <v>4151428</v>
      </c>
      <c r="H2716" t="s">
        <v>504</v>
      </c>
    </row>
    <row r="2717" spans="1:8" x14ac:dyDescent="0.25">
      <c r="A2717" t="s">
        <v>453</v>
      </c>
      <c r="B2717" t="s">
        <v>60</v>
      </c>
      <c r="C2717" t="s">
        <v>397</v>
      </c>
      <c r="D2717">
        <v>370</v>
      </c>
      <c r="E2717">
        <v>42.552</v>
      </c>
      <c r="F2717">
        <v>23.187000000000001</v>
      </c>
      <c r="G2717">
        <v>4151428</v>
      </c>
      <c r="H2717" t="s">
        <v>504</v>
      </c>
    </row>
    <row r="2718" spans="1:8" x14ac:dyDescent="0.25">
      <c r="A2718" t="s">
        <v>453</v>
      </c>
      <c r="B2718" t="s">
        <v>60</v>
      </c>
      <c r="C2718" t="s">
        <v>397</v>
      </c>
      <c r="D2718">
        <v>1000</v>
      </c>
      <c r="E2718">
        <v>962.99</v>
      </c>
      <c r="F2718">
        <v>524.73299999999995</v>
      </c>
      <c r="G2718">
        <v>4151427</v>
      </c>
      <c r="H2718" t="s">
        <v>509</v>
      </c>
    </row>
    <row r="2719" spans="1:8" x14ac:dyDescent="0.25">
      <c r="A2719" t="s">
        <v>453</v>
      </c>
      <c r="B2719" t="s">
        <v>60</v>
      </c>
      <c r="C2719" t="s">
        <v>397</v>
      </c>
      <c r="D2719">
        <v>1000</v>
      </c>
      <c r="E2719">
        <v>755.00099999999998</v>
      </c>
      <c r="F2719">
        <v>411.4</v>
      </c>
      <c r="G2719">
        <v>4151426</v>
      </c>
      <c r="H2719" t="s">
        <v>511</v>
      </c>
    </row>
    <row r="2720" spans="1:8" x14ac:dyDescent="0.25">
      <c r="A2720" t="s">
        <v>453</v>
      </c>
      <c r="B2720" t="s">
        <v>60</v>
      </c>
      <c r="C2720" t="s">
        <v>397</v>
      </c>
      <c r="D2720">
        <v>1000</v>
      </c>
      <c r="E2720">
        <v>356.11</v>
      </c>
      <c r="F2720">
        <v>197</v>
      </c>
      <c r="G2720">
        <v>3230490</v>
      </c>
      <c r="H2720" t="s">
        <v>515</v>
      </c>
    </row>
    <row r="2721" spans="1:8" x14ac:dyDescent="0.25">
      <c r="A2721" t="s">
        <v>453</v>
      </c>
      <c r="B2721" t="s">
        <v>60</v>
      </c>
      <c r="C2721" t="s">
        <v>397</v>
      </c>
      <c r="D2721">
        <v>1000</v>
      </c>
      <c r="E2721">
        <v>1303.991</v>
      </c>
      <c r="F2721">
        <v>710.54399999999998</v>
      </c>
      <c r="G2721">
        <v>3572039</v>
      </c>
      <c r="H2721" t="s">
        <v>519</v>
      </c>
    </row>
    <row r="2722" spans="1:8" x14ac:dyDescent="0.25">
      <c r="A2722" t="s">
        <v>453</v>
      </c>
      <c r="B2722" t="s">
        <v>60</v>
      </c>
      <c r="C2722" t="s">
        <v>397</v>
      </c>
      <c r="D2722">
        <v>500</v>
      </c>
      <c r="E2722">
        <v>622.99900000000002</v>
      </c>
      <c r="F2722">
        <v>339.47199999999998</v>
      </c>
      <c r="G2722">
        <v>3572038</v>
      </c>
      <c r="H2722" t="s">
        <v>521</v>
      </c>
    </row>
    <row r="2723" spans="1:8" x14ac:dyDescent="0.25">
      <c r="A2723" t="s">
        <v>453</v>
      </c>
      <c r="B2723" t="s">
        <v>60</v>
      </c>
      <c r="C2723" t="s">
        <v>397</v>
      </c>
      <c r="D2723">
        <v>588</v>
      </c>
      <c r="E2723">
        <v>490.98</v>
      </c>
      <c r="F2723">
        <v>271.61</v>
      </c>
      <c r="G2723">
        <v>4151425</v>
      </c>
      <c r="H2723" t="s">
        <v>523</v>
      </c>
    </row>
    <row r="2724" spans="1:8" x14ac:dyDescent="0.25">
      <c r="A2724" t="s">
        <v>453</v>
      </c>
      <c r="B2724" t="s">
        <v>60</v>
      </c>
      <c r="C2724" t="s">
        <v>397</v>
      </c>
      <c r="D2724">
        <v>195</v>
      </c>
      <c r="E2724">
        <v>162.82499999999999</v>
      </c>
      <c r="F2724">
        <v>90.075000000000003</v>
      </c>
      <c r="G2724">
        <v>4151425</v>
      </c>
      <c r="H2724" t="s">
        <v>523</v>
      </c>
    </row>
    <row r="2725" spans="1:8" x14ac:dyDescent="0.25">
      <c r="A2725" t="s">
        <v>453</v>
      </c>
      <c r="B2725" t="s">
        <v>60</v>
      </c>
      <c r="C2725" t="s">
        <v>397</v>
      </c>
      <c r="D2725">
        <v>96</v>
      </c>
      <c r="E2725">
        <v>80.16</v>
      </c>
      <c r="F2725">
        <v>44.344999999999999</v>
      </c>
      <c r="G2725">
        <v>4151425</v>
      </c>
      <c r="H2725" t="s">
        <v>523</v>
      </c>
    </row>
    <row r="2726" spans="1:8" x14ac:dyDescent="0.25">
      <c r="A2726" t="s">
        <v>453</v>
      </c>
      <c r="B2726" t="s">
        <v>60</v>
      </c>
      <c r="C2726" t="s">
        <v>397</v>
      </c>
      <c r="D2726">
        <v>67</v>
      </c>
      <c r="E2726">
        <v>55.945</v>
      </c>
      <c r="F2726">
        <v>30.949000000000002</v>
      </c>
      <c r="G2726">
        <v>4151425</v>
      </c>
      <c r="H2726" t="s">
        <v>523</v>
      </c>
    </row>
    <row r="2727" spans="1:8" x14ac:dyDescent="0.25">
      <c r="A2727" t="s">
        <v>453</v>
      </c>
      <c r="B2727" t="s">
        <v>60</v>
      </c>
      <c r="C2727" t="s">
        <v>397</v>
      </c>
      <c r="D2727">
        <v>54</v>
      </c>
      <c r="E2727">
        <v>45.09</v>
      </c>
      <c r="F2727">
        <v>24.943999999999999</v>
      </c>
      <c r="G2727">
        <v>4151425</v>
      </c>
      <c r="H2727" t="s">
        <v>523</v>
      </c>
    </row>
    <row r="2728" spans="1:8" x14ac:dyDescent="0.25">
      <c r="A2728" t="s">
        <v>453</v>
      </c>
      <c r="B2728" t="s">
        <v>60</v>
      </c>
      <c r="C2728" t="s">
        <v>397</v>
      </c>
      <c r="D2728">
        <v>1000</v>
      </c>
      <c r="E2728">
        <v>539.99699999999996</v>
      </c>
      <c r="F2728">
        <v>294.24400000000003</v>
      </c>
      <c r="G2728">
        <v>3571870</v>
      </c>
      <c r="H2728" t="s">
        <v>525</v>
      </c>
    </row>
    <row r="2729" spans="1:8" x14ac:dyDescent="0.25">
      <c r="A2729" t="s">
        <v>453</v>
      </c>
      <c r="B2729" t="s">
        <v>60</v>
      </c>
      <c r="C2729" t="s">
        <v>397</v>
      </c>
      <c r="D2729">
        <v>835</v>
      </c>
      <c r="E2729">
        <v>91.856999999999999</v>
      </c>
      <c r="F2729">
        <v>50.063000000000002</v>
      </c>
      <c r="G2729">
        <v>3931835</v>
      </c>
      <c r="H2729" t="s">
        <v>527</v>
      </c>
    </row>
    <row r="2730" spans="1:8" x14ac:dyDescent="0.25">
      <c r="A2730" t="s">
        <v>453</v>
      </c>
      <c r="B2730" t="s">
        <v>60</v>
      </c>
      <c r="C2730" t="s">
        <v>397</v>
      </c>
      <c r="D2730">
        <v>165</v>
      </c>
      <c r="E2730">
        <v>18.151</v>
      </c>
      <c r="F2730">
        <v>9.8930000000000007</v>
      </c>
      <c r="G2730">
        <v>3931835</v>
      </c>
      <c r="H2730" t="s">
        <v>527</v>
      </c>
    </row>
    <row r="2731" spans="1:8" x14ac:dyDescent="0.25">
      <c r="A2731" t="s">
        <v>453</v>
      </c>
      <c r="B2731" t="s">
        <v>60</v>
      </c>
      <c r="C2731" t="s">
        <v>397</v>
      </c>
      <c r="D2731">
        <v>670</v>
      </c>
      <c r="E2731">
        <v>428.798</v>
      </c>
      <c r="F2731">
        <v>387.84800000000001</v>
      </c>
      <c r="G2731">
        <v>4151430</v>
      </c>
      <c r="H2731" t="s">
        <v>530</v>
      </c>
    </row>
    <row r="2732" spans="1:8" x14ac:dyDescent="0.25">
      <c r="A2732" t="s">
        <v>453</v>
      </c>
      <c r="B2732" t="s">
        <v>60</v>
      </c>
      <c r="C2732" t="s">
        <v>397</v>
      </c>
      <c r="D2732">
        <v>330</v>
      </c>
      <c r="E2732">
        <v>211.19900000000001</v>
      </c>
      <c r="F2732">
        <v>191.03</v>
      </c>
      <c r="G2732">
        <v>4151430</v>
      </c>
      <c r="H2732" t="s">
        <v>530</v>
      </c>
    </row>
    <row r="2733" spans="1:8" x14ac:dyDescent="0.25">
      <c r="A2733" t="s">
        <v>453</v>
      </c>
      <c r="B2733" t="s">
        <v>60</v>
      </c>
      <c r="C2733" t="s">
        <v>397</v>
      </c>
      <c r="D2733">
        <v>500</v>
      </c>
      <c r="E2733">
        <v>615.00400000000002</v>
      </c>
      <c r="F2733">
        <v>324.87200000000001</v>
      </c>
      <c r="G2733">
        <v>3929692</v>
      </c>
      <c r="H2733" t="s">
        <v>533</v>
      </c>
    </row>
    <row r="2734" spans="1:8" x14ac:dyDescent="0.25">
      <c r="A2734" t="s">
        <v>453</v>
      </c>
      <c r="B2734" t="s">
        <v>60</v>
      </c>
      <c r="C2734" t="s">
        <v>397</v>
      </c>
      <c r="D2734">
        <v>3000</v>
      </c>
      <c r="E2734">
        <v>599.97500000000002</v>
      </c>
      <c r="F2734">
        <v>316.93299999999999</v>
      </c>
      <c r="G2734">
        <v>3929691</v>
      </c>
      <c r="H2734" t="s">
        <v>535</v>
      </c>
    </row>
    <row r="2735" spans="1:8" x14ac:dyDescent="0.25">
      <c r="A2735" t="s">
        <v>453</v>
      </c>
      <c r="B2735" t="s">
        <v>60</v>
      </c>
      <c r="C2735" t="s">
        <v>397</v>
      </c>
      <c r="D2735">
        <v>1000</v>
      </c>
      <c r="E2735">
        <v>150</v>
      </c>
      <c r="F2735">
        <v>65.167000000000002</v>
      </c>
      <c r="G2735">
        <v>4104140</v>
      </c>
      <c r="H2735" t="s">
        <v>502</v>
      </c>
    </row>
    <row r="2736" spans="1:8" x14ac:dyDescent="0.25">
      <c r="A2736" t="s">
        <v>453</v>
      </c>
      <c r="B2736" t="s">
        <v>60</v>
      </c>
      <c r="C2736" t="s">
        <v>397</v>
      </c>
      <c r="D2736">
        <v>2000</v>
      </c>
      <c r="E2736">
        <v>317.35199999999998</v>
      </c>
      <c r="F2736">
        <v>466</v>
      </c>
      <c r="G2736">
        <v>3572055</v>
      </c>
      <c r="H2736" t="s">
        <v>542</v>
      </c>
    </row>
    <row r="2737" spans="1:8" x14ac:dyDescent="0.25">
      <c r="A2737" t="s">
        <v>453</v>
      </c>
      <c r="B2737" t="s">
        <v>60</v>
      </c>
      <c r="C2737" t="s">
        <v>397</v>
      </c>
      <c r="D2737">
        <v>1000</v>
      </c>
      <c r="E2737">
        <v>115</v>
      </c>
      <c r="F2737">
        <v>168.86699999999999</v>
      </c>
      <c r="G2737">
        <v>4151471</v>
      </c>
      <c r="H2737" t="s">
        <v>544</v>
      </c>
    </row>
    <row r="2738" spans="1:8" x14ac:dyDescent="0.25">
      <c r="A2738" t="s">
        <v>453</v>
      </c>
      <c r="B2738" t="s">
        <v>60</v>
      </c>
      <c r="C2738" t="s">
        <v>397</v>
      </c>
      <c r="D2738">
        <v>896</v>
      </c>
      <c r="E2738">
        <v>170.24</v>
      </c>
      <c r="F2738">
        <v>185.97</v>
      </c>
      <c r="G2738">
        <v>4151424</v>
      </c>
      <c r="H2738" t="s">
        <v>550</v>
      </c>
    </row>
    <row r="2739" spans="1:8" x14ac:dyDescent="0.25">
      <c r="A2739" t="s">
        <v>453</v>
      </c>
      <c r="B2739" t="s">
        <v>60</v>
      </c>
      <c r="C2739" t="s">
        <v>397</v>
      </c>
      <c r="D2739">
        <v>102</v>
      </c>
      <c r="E2739">
        <v>19.38</v>
      </c>
      <c r="F2739">
        <v>21.170999999999999</v>
      </c>
      <c r="G2739">
        <v>4151424</v>
      </c>
      <c r="H2739" t="s">
        <v>550</v>
      </c>
    </row>
    <row r="2740" spans="1:8" x14ac:dyDescent="0.25">
      <c r="A2740" t="s">
        <v>453</v>
      </c>
      <c r="B2740" t="s">
        <v>60</v>
      </c>
      <c r="C2740" t="s">
        <v>397</v>
      </c>
      <c r="D2740">
        <v>2</v>
      </c>
      <c r="E2740">
        <v>0.38</v>
      </c>
      <c r="F2740">
        <v>0.41499999999999998</v>
      </c>
      <c r="G2740">
        <v>4151424</v>
      </c>
      <c r="H2740" t="s">
        <v>550</v>
      </c>
    </row>
    <row r="2741" spans="1:8" x14ac:dyDescent="0.25">
      <c r="A2741" t="s">
        <v>453</v>
      </c>
      <c r="B2741" t="s">
        <v>60</v>
      </c>
      <c r="C2741" t="s">
        <v>397</v>
      </c>
      <c r="D2741">
        <v>500</v>
      </c>
      <c r="E2741">
        <v>503.50700000000001</v>
      </c>
      <c r="F2741">
        <v>274.41699999999997</v>
      </c>
      <c r="G2741">
        <v>4100796</v>
      </c>
      <c r="H2741" t="s">
        <v>552</v>
      </c>
    </row>
    <row r="2742" spans="1:8" x14ac:dyDescent="0.25">
      <c r="A2742" t="s">
        <v>453</v>
      </c>
      <c r="B2742" t="s">
        <v>60</v>
      </c>
      <c r="C2742" t="s">
        <v>397</v>
      </c>
      <c r="D2742">
        <v>1000</v>
      </c>
      <c r="E2742">
        <v>129.00899999999999</v>
      </c>
      <c r="F2742">
        <v>70.311000000000007</v>
      </c>
      <c r="G2742">
        <v>3938687</v>
      </c>
      <c r="H2742" t="s">
        <v>554</v>
      </c>
    </row>
    <row r="2743" spans="1:8" x14ac:dyDescent="0.25">
      <c r="A2743" t="s">
        <v>453</v>
      </c>
      <c r="B2743" t="s">
        <v>60</v>
      </c>
      <c r="C2743" t="s">
        <v>397</v>
      </c>
      <c r="D2743">
        <v>500</v>
      </c>
      <c r="E2743">
        <v>164.995</v>
      </c>
      <c r="F2743">
        <v>87.183000000000007</v>
      </c>
      <c r="G2743">
        <v>3935313</v>
      </c>
      <c r="H2743" t="s">
        <v>560</v>
      </c>
    </row>
    <row r="2744" spans="1:8" x14ac:dyDescent="0.25">
      <c r="A2744" t="s">
        <v>6053</v>
      </c>
      <c r="B2744" t="s">
        <v>179</v>
      </c>
      <c r="C2744" t="s">
        <v>392</v>
      </c>
      <c r="D2744">
        <v>340</v>
      </c>
      <c r="E2744">
        <v>2040.203</v>
      </c>
      <c r="F2744">
        <v>1289</v>
      </c>
      <c r="G2744">
        <v>1940148</v>
      </c>
      <c r="H2744" t="s">
        <v>6035</v>
      </c>
    </row>
    <row r="2745" spans="1:8" x14ac:dyDescent="0.25">
      <c r="A2745" t="s">
        <v>6053</v>
      </c>
      <c r="B2745" t="s">
        <v>179</v>
      </c>
      <c r="C2745" t="s">
        <v>392</v>
      </c>
      <c r="D2745">
        <v>657</v>
      </c>
      <c r="E2745">
        <v>3941.1210000000001</v>
      </c>
      <c r="F2745">
        <v>2490</v>
      </c>
      <c r="G2745">
        <v>1940148</v>
      </c>
      <c r="H2745" t="s">
        <v>6035</v>
      </c>
    </row>
    <row r="2746" spans="1:8" x14ac:dyDescent="0.25">
      <c r="A2746" t="s">
        <v>6053</v>
      </c>
      <c r="B2746" t="s">
        <v>179</v>
      </c>
      <c r="C2746" t="s">
        <v>392</v>
      </c>
      <c r="D2746">
        <v>409</v>
      </c>
      <c r="E2746">
        <v>2453.308</v>
      </c>
      <c r="F2746">
        <v>1550</v>
      </c>
      <c r="G2746">
        <v>1940148</v>
      </c>
      <c r="H2746" t="s">
        <v>6035</v>
      </c>
    </row>
    <row r="2747" spans="1:8" x14ac:dyDescent="0.25">
      <c r="A2747" t="s">
        <v>6053</v>
      </c>
      <c r="B2747" t="s">
        <v>179</v>
      </c>
      <c r="C2747" t="s">
        <v>392</v>
      </c>
      <c r="D2747">
        <v>401</v>
      </c>
      <c r="E2747">
        <v>2405.8249999999998</v>
      </c>
      <c r="F2747">
        <v>1520</v>
      </c>
      <c r="G2747">
        <v>1940148</v>
      </c>
      <c r="H2747" t="s">
        <v>6035</v>
      </c>
    </row>
    <row r="2748" spans="1:8" x14ac:dyDescent="0.25">
      <c r="A2748" t="s">
        <v>6053</v>
      </c>
      <c r="B2748" t="s">
        <v>179</v>
      </c>
      <c r="C2748" t="s">
        <v>392</v>
      </c>
      <c r="D2748">
        <v>395</v>
      </c>
      <c r="E2748">
        <v>2371.0030000000002</v>
      </c>
      <c r="F2748">
        <v>1498</v>
      </c>
      <c r="G2748">
        <v>1940148</v>
      </c>
      <c r="H2748" t="s">
        <v>6035</v>
      </c>
    </row>
    <row r="2749" spans="1:8" x14ac:dyDescent="0.25">
      <c r="A2749" t="s">
        <v>6053</v>
      </c>
      <c r="B2749" t="s">
        <v>179</v>
      </c>
      <c r="C2749" t="s">
        <v>392</v>
      </c>
      <c r="D2749">
        <v>398</v>
      </c>
      <c r="E2749">
        <v>2389.9969999999998</v>
      </c>
      <c r="F2749">
        <v>1510</v>
      </c>
      <c r="G2749">
        <v>1940148</v>
      </c>
      <c r="H2749" t="s">
        <v>6035</v>
      </c>
    </row>
    <row r="2750" spans="1:8" x14ac:dyDescent="0.25">
      <c r="A2750" t="s">
        <v>6053</v>
      </c>
      <c r="B2750" t="s">
        <v>179</v>
      </c>
      <c r="C2750" t="s">
        <v>392</v>
      </c>
      <c r="D2750">
        <v>262</v>
      </c>
      <c r="E2750">
        <v>1571.7</v>
      </c>
      <c r="F2750">
        <v>993</v>
      </c>
      <c r="G2750">
        <v>1940148</v>
      </c>
      <c r="H2750" t="s">
        <v>6035</v>
      </c>
    </row>
    <row r="2751" spans="1:8" x14ac:dyDescent="0.25">
      <c r="A2751" t="s">
        <v>6029</v>
      </c>
      <c r="B2751" t="s">
        <v>64</v>
      </c>
      <c r="C2751" t="s">
        <v>397</v>
      </c>
      <c r="D2751">
        <v>786</v>
      </c>
      <c r="E2751">
        <v>622.73900000000003</v>
      </c>
      <c r="F2751">
        <v>914.11800000000005</v>
      </c>
      <c r="G2751">
        <v>3447256</v>
      </c>
      <c r="H2751" t="s">
        <v>1608</v>
      </c>
    </row>
    <row r="2752" spans="1:8" x14ac:dyDescent="0.25">
      <c r="A2752" t="s">
        <v>6029</v>
      </c>
      <c r="B2752" t="s">
        <v>64</v>
      </c>
      <c r="C2752" t="s">
        <v>397</v>
      </c>
      <c r="D2752">
        <v>4</v>
      </c>
      <c r="E2752">
        <v>3.169</v>
      </c>
      <c r="F2752">
        <v>4.6520000000000001</v>
      </c>
      <c r="G2752">
        <v>3447256</v>
      </c>
      <c r="H2752" t="s">
        <v>1608</v>
      </c>
    </row>
    <row r="2753" spans="1:8" x14ac:dyDescent="0.25">
      <c r="A2753" t="s">
        <v>6029</v>
      </c>
      <c r="B2753" t="s">
        <v>64</v>
      </c>
      <c r="C2753" t="s">
        <v>397</v>
      </c>
      <c r="D2753">
        <v>955</v>
      </c>
      <c r="E2753">
        <v>1237.1489999999999</v>
      </c>
      <c r="F2753">
        <v>537.66499999999996</v>
      </c>
      <c r="G2753">
        <v>3241514</v>
      </c>
      <c r="H2753" t="s">
        <v>1194</v>
      </c>
    </row>
    <row r="2754" spans="1:8" x14ac:dyDescent="0.25">
      <c r="A2754" t="s">
        <v>6029</v>
      </c>
      <c r="B2754" t="s">
        <v>64</v>
      </c>
      <c r="C2754" t="s">
        <v>397</v>
      </c>
      <c r="D2754">
        <v>719</v>
      </c>
      <c r="E2754">
        <v>931.42399999999998</v>
      </c>
      <c r="F2754">
        <v>404.79700000000003</v>
      </c>
      <c r="G2754">
        <v>3241514</v>
      </c>
      <c r="H2754" t="s">
        <v>1194</v>
      </c>
    </row>
    <row r="2755" spans="1:8" x14ac:dyDescent="0.25">
      <c r="A2755" t="s">
        <v>6029</v>
      </c>
      <c r="B2755" t="s">
        <v>64</v>
      </c>
      <c r="C2755" t="s">
        <v>397</v>
      </c>
      <c r="D2755">
        <v>545</v>
      </c>
      <c r="E2755">
        <v>706.01700000000005</v>
      </c>
      <c r="F2755">
        <v>306.83499999999998</v>
      </c>
      <c r="G2755">
        <v>3241514</v>
      </c>
      <c r="H2755" t="s">
        <v>1194</v>
      </c>
    </row>
    <row r="2756" spans="1:8" x14ac:dyDescent="0.25">
      <c r="A2756" t="s">
        <v>6029</v>
      </c>
      <c r="B2756" t="s">
        <v>64</v>
      </c>
      <c r="C2756" t="s">
        <v>397</v>
      </c>
      <c r="D2756">
        <v>4</v>
      </c>
      <c r="E2756">
        <v>5.1820000000000004</v>
      </c>
      <c r="F2756">
        <v>2.2519999999999998</v>
      </c>
      <c r="G2756">
        <v>3241514</v>
      </c>
      <c r="H2756" t="s">
        <v>1194</v>
      </c>
    </row>
    <row r="2757" spans="1:8" x14ac:dyDescent="0.25">
      <c r="A2757" t="s">
        <v>6029</v>
      </c>
      <c r="B2757" t="s">
        <v>64</v>
      </c>
      <c r="C2757" t="s">
        <v>397</v>
      </c>
      <c r="D2757">
        <v>2</v>
      </c>
      <c r="E2757">
        <v>2.5910000000000002</v>
      </c>
      <c r="F2757">
        <v>1.1259999999999999</v>
      </c>
      <c r="G2757">
        <v>3241514</v>
      </c>
      <c r="H2757" t="s">
        <v>1194</v>
      </c>
    </row>
    <row r="2758" spans="1:8" x14ac:dyDescent="0.25">
      <c r="A2758" t="s">
        <v>6029</v>
      </c>
      <c r="B2758" t="s">
        <v>64</v>
      </c>
      <c r="C2758" t="s">
        <v>397</v>
      </c>
      <c r="D2758">
        <v>414</v>
      </c>
      <c r="E2758">
        <v>519.16700000000003</v>
      </c>
      <c r="F2758">
        <v>225.63</v>
      </c>
      <c r="G2758">
        <v>3241515</v>
      </c>
      <c r="H2758" t="s">
        <v>1192</v>
      </c>
    </row>
    <row r="2759" spans="1:8" x14ac:dyDescent="0.25">
      <c r="A2759" t="s">
        <v>6029</v>
      </c>
      <c r="B2759" t="s">
        <v>64</v>
      </c>
      <c r="C2759" t="s">
        <v>397</v>
      </c>
      <c r="D2759">
        <v>9</v>
      </c>
      <c r="E2759">
        <v>11.286</v>
      </c>
      <c r="F2759">
        <v>4.9050000000000002</v>
      </c>
      <c r="G2759">
        <v>3241515</v>
      </c>
      <c r="H2759" t="s">
        <v>1192</v>
      </c>
    </row>
    <row r="2760" spans="1:8" x14ac:dyDescent="0.25">
      <c r="A2760" t="s">
        <v>6029</v>
      </c>
      <c r="B2760" t="s">
        <v>64</v>
      </c>
      <c r="C2760" t="s">
        <v>397</v>
      </c>
      <c r="D2760">
        <v>2</v>
      </c>
      <c r="E2760">
        <v>2.508</v>
      </c>
      <c r="F2760">
        <v>1.0900000000000001</v>
      </c>
      <c r="G2760">
        <v>3241515</v>
      </c>
      <c r="H2760" t="s">
        <v>1192</v>
      </c>
    </row>
    <row r="2761" spans="1:8" x14ac:dyDescent="0.25">
      <c r="A2761" t="s">
        <v>6029</v>
      </c>
      <c r="B2761" t="s">
        <v>64</v>
      </c>
      <c r="C2761" t="s">
        <v>397</v>
      </c>
      <c r="D2761">
        <v>1700</v>
      </c>
      <c r="E2761">
        <v>860.56100000000004</v>
      </c>
      <c r="F2761">
        <v>374</v>
      </c>
      <c r="G2761">
        <v>3447258</v>
      </c>
      <c r="H2761" t="s">
        <v>1182</v>
      </c>
    </row>
    <row r="2762" spans="1:8" x14ac:dyDescent="0.25">
      <c r="A2762" t="s">
        <v>6029</v>
      </c>
      <c r="B2762" t="s">
        <v>64</v>
      </c>
      <c r="C2762" t="s">
        <v>397</v>
      </c>
      <c r="D2762">
        <v>1800</v>
      </c>
      <c r="E2762">
        <v>873.90700000000004</v>
      </c>
      <c r="F2762">
        <v>379.8</v>
      </c>
      <c r="G2762">
        <v>3241517</v>
      </c>
      <c r="H2762" t="s">
        <v>1180</v>
      </c>
    </row>
    <row r="2763" spans="1:8" x14ac:dyDescent="0.25">
      <c r="A2763" t="s">
        <v>6029</v>
      </c>
      <c r="B2763" t="s">
        <v>64</v>
      </c>
      <c r="C2763" t="s">
        <v>397</v>
      </c>
      <c r="D2763">
        <v>500</v>
      </c>
      <c r="E2763">
        <v>298.28399999999999</v>
      </c>
      <c r="F2763">
        <v>109.5</v>
      </c>
      <c r="G2763">
        <v>3398266</v>
      </c>
      <c r="H2763" t="s">
        <v>1169</v>
      </c>
    </row>
    <row r="2764" spans="1:8" x14ac:dyDescent="0.25">
      <c r="A2764" t="s">
        <v>6029</v>
      </c>
      <c r="B2764" t="s">
        <v>64</v>
      </c>
      <c r="C2764" t="s">
        <v>397</v>
      </c>
      <c r="D2764">
        <v>569</v>
      </c>
      <c r="E2764">
        <v>550.78099999999995</v>
      </c>
      <c r="F2764">
        <v>808.49199999999996</v>
      </c>
      <c r="G2764">
        <v>3776929</v>
      </c>
      <c r="H2764" t="s">
        <v>1609</v>
      </c>
    </row>
    <row r="2765" spans="1:8" x14ac:dyDescent="0.25">
      <c r="A2765" t="s">
        <v>6029</v>
      </c>
      <c r="B2765" t="s">
        <v>64</v>
      </c>
      <c r="C2765" t="s">
        <v>397</v>
      </c>
      <c r="D2765">
        <v>21</v>
      </c>
      <c r="E2765">
        <v>20.327999999999999</v>
      </c>
      <c r="F2765">
        <v>29.838999999999999</v>
      </c>
      <c r="G2765">
        <v>3776929</v>
      </c>
      <c r="H2765" t="s">
        <v>1609</v>
      </c>
    </row>
    <row r="2766" spans="1:8" x14ac:dyDescent="0.25">
      <c r="A2766" t="s">
        <v>6029</v>
      </c>
      <c r="B2766" t="s">
        <v>64</v>
      </c>
      <c r="C2766" t="s">
        <v>397</v>
      </c>
      <c r="D2766">
        <v>600</v>
      </c>
      <c r="E2766">
        <v>468.36399999999998</v>
      </c>
      <c r="F2766">
        <v>557.4</v>
      </c>
      <c r="G2766">
        <v>3447257</v>
      </c>
      <c r="H2766" t="s">
        <v>1605</v>
      </c>
    </row>
    <row r="2767" spans="1:8" x14ac:dyDescent="0.25">
      <c r="A2767" t="s">
        <v>6018</v>
      </c>
      <c r="B2767" t="s">
        <v>21</v>
      </c>
      <c r="C2767" t="s">
        <v>397</v>
      </c>
      <c r="D2767">
        <v>1656</v>
      </c>
      <c r="E2767">
        <v>481.75</v>
      </c>
      <c r="F2767">
        <v>1427.472</v>
      </c>
      <c r="G2767">
        <v>1940857</v>
      </c>
      <c r="H2767" t="s">
        <v>1689</v>
      </c>
    </row>
    <row r="2768" spans="1:8" x14ac:dyDescent="0.25">
      <c r="A2768" t="s">
        <v>6018</v>
      </c>
      <c r="B2768" t="s">
        <v>21</v>
      </c>
      <c r="C2768" t="s">
        <v>397</v>
      </c>
      <c r="D2768">
        <v>160</v>
      </c>
      <c r="E2768">
        <v>46.545999999999999</v>
      </c>
      <c r="F2768">
        <v>137.91999999999999</v>
      </c>
      <c r="G2768">
        <v>1940857</v>
      </c>
      <c r="H2768" t="s">
        <v>1689</v>
      </c>
    </row>
    <row r="2769" spans="1:8" x14ac:dyDescent="0.25">
      <c r="A2769" t="s">
        <v>6018</v>
      </c>
      <c r="B2769" t="s">
        <v>21</v>
      </c>
      <c r="C2769" t="s">
        <v>397</v>
      </c>
      <c r="D2769">
        <v>4</v>
      </c>
      <c r="E2769">
        <v>1.1639999999999999</v>
      </c>
      <c r="F2769">
        <v>3.448</v>
      </c>
      <c r="G2769">
        <v>1940857</v>
      </c>
      <c r="H2769" t="s">
        <v>1689</v>
      </c>
    </row>
    <row r="2770" spans="1:8" x14ac:dyDescent="0.25">
      <c r="A2770" t="s">
        <v>6018</v>
      </c>
      <c r="B2770" t="s">
        <v>21</v>
      </c>
      <c r="C2770" t="s">
        <v>397</v>
      </c>
      <c r="D2770">
        <v>1075</v>
      </c>
      <c r="E2770">
        <v>197.91399999999999</v>
      </c>
      <c r="F2770">
        <v>750.35</v>
      </c>
      <c r="G2770">
        <v>1940868</v>
      </c>
      <c r="H2770" t="s">
        <v>1715</v>
      </c>
    </row>
    <row r="2771" spans="1:8" x14ac:dyDescent="0.25">
      <c r="A2771" t="s">
        <v>6018</v>
      </c>
      <c r="B2771" t="s">
        <v>21</v>
      </c>
      <c r="C2771" t="s">
        <v>397</v>
      </c>
      <c r="D2771">
        <v>1058</v>
      </c>
      <c r="E2771">
        <v>194.78399999999999</v>
      </c>
      <c r="F2771">
        <v>738.48400000000004</v>
      </c>
      <c r="G2771">
        <v>1940868</v>
      </c>
      <c r="H2771" t="s">
        <v>1715</v>
      </c>
    </row>
    <row r="2772" spans="1:8" x14ac:dyDescent="0.25">
      <c r="A2772" t="s">
        <v>6018</v>
      </c>
      <c r="B2772" t="s">
        <v>21</v>
      </c>
      <c r="C2772" t="s">
        <v>397</v>
      </c>
      <c r="D2772">
        <v>8</v>
      </c>
      <c r="E2772">
        <v>1.4730000000000001</v>
      </c>
      <c r="F2772">
        <v>5.5839999999999996</v>
      </c>
      <c r="G2772">
        <v>1940868</v>
      </c>
      <c r="H2772" t="s">
        <v>1715</v>
      </c>
    </row>
    <row r="2773" spans="1:8" x14ac:dyDescent="0.25">
      <c r="A2773" t="s">
        <v>6018</v>
      </c>
      <c r="B2773" t="s">
        <v>21</v>
      </c>
      <c r="C2773" t="s">
        <v>397</v>
      </c>
      <c r="D2773">
        <v>7</v>
      </c>
      <c r="E2773">
        <v>1.2889999999999999</v>
      </c>
      <c r="F2773">
        <v>4.8860000000000001</v>
      </c>
      <c r="G2773">
        <v>1940868</v>
      </c>
      <c r="H2773" t="s">
        <v>1715</v>
      </c>
    </row>
    <row r="2774" spans="1:8" x14ac:dyDescent="0.25">
      <c r="A2774" t="s">
        <v>6018</v>
      </c>
      <c r="B2774" t="s">
        <v>21</v>
      </c>
      <c r="C2774" t="s">
        <v>397</v>
      </c>
      <c r="D2774">
        <v>1250</v>
      </c>
      <c r="E2774">
        <v>921.29600000000005</v>
      </c>
      <c r="F2774">
        <v>1593.75</v>
      </c>
      <c r="G2774">
        <v>1932730</v>
      </c>
      <c r="H2774" t="s">
        <v>1738</v>
      </c>
    </row>
    <row r="2775" spans="1:8" x14ac:dyDescent="0.25">
      <c r="A2775" t="s">
        <v>6018</v>
      </c>
      <c r="B2775" t="s">
        <v>21</v>
      </c>
      <c r="C2775" t="s">
        <v>397</v>
      </c>
      <c r="D2775">
        <v>1149</v>
      </c>
      <c r="E2775">
        <v>846.85500000000002</v>
      </c>
      <c r="F2775">
        <v>1464.9749999999999</v>
      </c>
      <c r="G2775">
        <v>1932730</v>
      </c>
      <c r="H2775" t="s">
        <v>1738</v>
      </c>
    </row>
    <row r="2776" spans="1:8" x14ac:dyDescent="0.25">
      <c r="A2776" t="s">
        <v>6018</v>
      </c>
      <c r="B2776" t="s">
        <v>21</v>
      </c>
      <c r="C2776" t="s">
        <v>397</v>
      </c>
      <c r="D2776">
        <v>601</v>
      </c>
      <c r="E2776">
        <v>442.959</v>
      </c>
      <c r="F2776">
        <v>766.27499999999998</v>
      </c>
      <c r="G2776">
        <v>1932730</v>
      </c>
      <c r="H2776" t="s">
        <v>1738</v>
      </c>
    </row>
    <row r="2777" spans="1:8" x14ac:dyDescent="0.25">
      <c r="A2777" t="s">
        <v>6018</v>
      </c>
      <c r="B2777" t="s">
        <v>21</v>
      </c>
      <c r="C2777" t="s">
        <v>397</v>
      </c>
      <c r="D2777">
        <v>4176</v>
      </c>
      <c r="E2777">
        <v>2281.1909999999998</v>
      </c>
      <c r="F2777">
        <v>3286.5120000000002</v>
      </c>
      <c r="G2777">
        <v>1940817</v>
      </c>
      <c r="H2777" t="s">
        <v>1679</v>
      </c>
    </row>
    <row r="2778" spans="1:8" x14ac:dyDescent="0.25">
      <c r="A2778" t="s">
        <v>6018</v>
      </c>
      <c r="B2778" t="s">
        <v>21</v>
      </c>
      <c r="C2778" t="s">
        <v>397</v>
      </c>
      <c r="D2778">
        <v>1644</v>
      </c>
      <c r="E2778">
        <v>898.05499999999995</v>
      </c>
      <c r="F2778">
        <v>1293.828</v>
      </c>
      <c r="G2778">
        <v>1940817</v>
      </c>
      <c r="H2778" t="s">
        <v>1679</v>
      </c>
    </row>
    <row r="2779" spans="1:8" x14ac:dyDescent="0.25">
      <c r="A2779" t="s">
        <v>396</v>
      </c>
      <c r="B2779" t="s">
        <v>61</v>
      </c>
      <c r="C2779" t="s">
        <v>397</v>
      </c>
      <c r="D2779">
        <v>3650</v>
      </c>
      <c r="E2779">
        <v>3241.8319999999999</v>
      </c>
      <c r="F2779">
        <v>1408.9</v>
      </c>
      <c r="G2779">
        <v>1940043</v>
      </c>
      <c r="H2779" t="s">
        <v>486</v>
      </c>
    </row>
    <row r="2780" spans="1:8" x14ac:dyDescent="0.25">
      <c r="A2780" t="s">
        <v>396</v>
      </c>
      <c r="B2780" t="s">
        <v>61</v>
      </c>
      <c r="C2780" t="s">
        <v>397</v>
      </c>
      <c r="D2780">
        <v>2797</v>
      </c>
      <c r="E2780">
        <v>741.62900000000002</v>
      </c>
      <c r="F2780">
        <v>704.84400000000005</v>
      </c>
      <c r="G2780">
        <v>1940309</v>
      </c>
      <c r="H2780" t="s">
        <v>703</v>
      </c>
    </row>
    <row r="2781" spans="1:8" x14ac:dyDescent="0.25">
      <c r="A2781" t="s">
        <v>396</v>
      </c>
      <c r="B2781" t="s">
        <v>61</v>
      </c>
      <c r="C2781" t="s">
        <v>397</v>
      </c>
      <c r="D2781">
        <v>2744</v>
      </c>
      <c r="E2781">
        <v>727.57600000000002</v>
      </c>
      <c r="F2781">
        <v>691.48800000000006</v>
      </c>
      <c r="G2781">
        <v>1940309</v>
      </c>
      <c r="H2781" t="s">
        <v>703</v>
      </c>
    </row>
    <row r="2782" spans="1:8" x14ac:dyDescent="0.25">
      <c r="A2782" t="s">
        <v>396</v>
      </c>
      <c r="B2782" t="s">
        <v>61</v>
      </c>
      <c r="C2782" t="s">
        <v>397</v>
      </c>
      <c r="D2782">
        <v>1609</v>
      </c>
      <c r="E2782">
        <v>426.62900000000002</v>
      </c>
      <c r="F2782">
        <v>405.46800000000002</v>
      </c>
      <c r="G2782">
        <v>1940309</v>
      </c>
      <c r="H2782" t="s">
        <v>703</v>
      </c>
    </row>
    <row r="2783" spans="1:8" x14ac:dyDescent="0.25">
      <c r="A2783" t="s">
        <v>396</v>
      </c>
      <c r="B2783" t="s">
        <v>61</v>
      </c>
      <c r="C2783" t="s">
        <v>397</v>
      </c>
      <c r="D2783">
        <v>2218</v>
      </c>
      <c r="E2783">
        <v>653.45100000000002</v>
      </c>
      <c r="F2783">
        <v>621.04</v>
      </c>
      <c r="G2783">
        <v>1940312</v>
      </c>
      <c r="H2783" t="s">
        <v>410</v>
      </c>
    </row>
    <row r="2784" spans="1:8" x14ac:dyDescent="0.25">
      <c r="A2784" t="s">
        <v>396</v>
      </c>
      <c r="B2784" t="s">
        <v>61</v>
      </c>
      <c r="C2784" t="s">
        <v>397</v>
      </c>
      <c r="D2784">
        <v>1753</v>
      </c>
      <c r="E2784">
        <v>516.45600000000002</v>
      </c>
      <c r="F2784">
        <v>490.84</v>
      </c>
      <c r="G2784">
        <v>1940312</v>
      </c>
      <c r="H2784" t="s">
        <v>410</v>
      </c>
    </row>
    <row r="2785" spans="1:8" x14ac:dyDescent="0.25">
      <c r="A2785" t="s">
        <v>396</v>
      </c>
      <c r="B2785" t="s">
        <v>61</v>
      </c>
      <c r="C2785" t="s">
        <v>397</v>
      </c>
      <c r="D2785">
        <v>1653</v>
      </c>
      <c r="E2785">
        <v>486.995</v>
      </c>
      <c r="F2785">
        <v>462.84</v>
      </c>
      <c r="G2785">
        <v>1940312</v>
      </c>
      <c r="H2785" t="s">
        <v>410</v>
      </c>
    </row>
    <row r="2786" spans="1:8" x14ac:dyDescent="0.25">
      <c r="A2786" t="s">
        <v>396</v>
      </c>
      <c r="B2786" t="s">
        <v>61</v>
      </c>
      <c r="C2786" t="s">
        <v>397</v>
      </c>
      <c r="D2786">
        <v>1100</v>
      </c>
      <c r="E2786">
        <v>324.07400000000001</v>
      </c>
      <c r="F2786">
        <v>308</v>
      </c>
      <c r="G2786">
        <v>1940312</v>
      </c>
      <c r="H2786" t="s">
        <v>410</v>
      </c>
    </row>
    <row r="2787" spans="1:8" x14ac:dyDescent="0.25">
      <c r="A2787" t="s">
        <v>396</v>
      </c>
      <c r="B2787" t="s">
        <v>61</v>
      </c>
      <c r="C2787" t="s">
        <v>397</v>
      </c>
      <c r="D2787">
        <v>626</v>
      </c>
      <c r="E2787">
        <v>184.428</v>
      </c>
      <c r="F2787">
        <v>175.28</v>
      </c>
      <c r="G2787">
        <v>1940312</v>
      </c>
      <c r="H2787" t="s">
        <v>410</v>
      </c>
    </row>
    <row r="2788" spans="1:8" x14ac:dyDescent="0.25">
      <c r="A2788" t="s">
        <v>396</v>
      </c>
      <c r="B2788" t="s">
        <v>61</v>
      </c>
      <c r="C2788" t="s">
        <v>397</v>
      </c>
      <c r="D2788">
        <v>2218</v>
      </c>
      <c r="E2788">
        <v>1353.577</v>
      </c>
      <c r="F2788">
        <v>1286.44</v>
      </c>
      <c r="G2788">
        <v>1940329</v>
      </c>
      <c r="H2788" t="s">
        <v>1419</v>
      </c>
    </row>
    <row r="2789" spans="1:8" x14ac:dyDescent="0.25">
      <c r="A2789" t="s">
        <v>396</v>
      </c>
      <c r="B2789" t="s">
        <v>61</v>
      </c>
      <c r="C2789" t="s">
        <v>397</v>
      </c>
      <c r="D2789">
        <v>2129</v>
      </c>
      <c r="E2789">
        <v>1299.2629999999999</v>
      </c>
      <c r="F2789">
        <v>1234.82</v>
      </c>
      <c r="G2789">
        <v>1940329</v>
      </c>
      <c r="H2789" t="s">
        <v>1419</v>
      </c>
    </row>
    <row r="2790" spans="1:8" x14ac:dyDescent="0.25">
      <c r="A2790" t="s">
        <v>396</v>
      </c>
      <c r="B2790" t="s">
        <v>61</v>
      </c>
      <c r="C2790" t="s">
        <v>397</v>
      </c>
      <c r="D2790">
        <v>1600</v>
      </c>
      <c r="E2790">
        <v>976.43100000000004</v>
      </c>
      <c r="F2790">
        <v>928</v>
      </c>
      <c r="G2790">
        <v>1940329</v>
      </c>
      <c r="H2790" t="s">
        <v>1419</v>
      </c>
    </row>
    <row r="2791" spans="1:8" x14ac:dyDescent="0.25">
      <c r="A2791" t="s">
        <v>396</v>
      </c>
      <c r="B2791" t="s">
        <v>61</v>
      </c>
      <c r="C2791" t="s">
        <v>397</v>
      </c>
      <c r="D2791">
        <v>556</v>
      </c>
      <c r="E2791">
        <v>339.31</v>
      </c>
      <c r="F2791">
        <v>322.48</v>
      </c>
      <c r="G2791">
        <v>1940329</v>
      </c>
      <c r="H2791" t="s">
        <v>1419</v>
      </c>
    </row>
    <row r="2792" spans="1:8" x14ac:dyDescent="0.25">
      <c r="A2792" t="s">
        <v>396</v>
      </c>
      <c r="B2792" t="s">
        <v>61</v>
      </c>
      <c r="C2792" t="s">
        <v>397</v>
      </c>
      <c r="D2792">
        <v>532</v>
      </c>
      <c r="E2792">
        <v>324.66300000000001</v>
      </c>
      <c r="F2792">
        <v>308.56</v>
      </c>
      <c r="G2792">
        <v>1940329</v>
      </c>
      <c r="H2792" t="s">
        <v>1419</v>
      </c>
    </row>
    <row r="2793" spans="1:8" x14ac:dyDescent="0.25">
      <c r="A2793" t="s">
        <v>396</v>
      </c>
      <c r="B2793" t="s">
        <v>61</v>
      </c>
      <c r="C2793" t="s">
        <v>397</v>
      </c>
      <c r="D2793">
        <v>222</v>
      </c>
      <c r="E2793">
        <v>135.47999999999999</v>
      </c>
      <c r="F2793">
        <v>128.76</v>
      </c>
      <c r="G2793">
        <v>1940329</v>
      </c>
      <c r="H2793" t="s">
        <v>1419</v>
      </c>
    </row>
    <row r="2794" spans="1:8" x14ac:dyDescent="0.25">
      <c r="A2794" t="s">
        <v>396</v>
      </c>
      <c r="B2794" t="s">
        <v>61</v>
      </c>
      <c r="C2794" t="s">
        <v>397</v>
      </c>
      <c r="D2794">
        <v>168</v>
      </c>
      <c r="E2794">
        <v>102.52500000000001</v>
      </c>
      <c r="F2794">
        <v>97.44</v>
      </c>
      <c r="G2794">
        <v>1940329</v>
      </c>
      <c r="H2794" t="s">
        <v>1419</v>
      </c>
    </row>
    <row r="2795" spans="1:8" x14ac:dyDescent="0.25">
      <c r="A2795" t="s">
        <v>396</v>
      </c>
      <c r="B2795" t="s">
        <v>61</v>
      </c>
      <c r="C2795" t="s">
        <v>397</v>
      </c>
      <c r="D2795">
        <v>2075</v>
      </c>
      <c r="E2795">
        <v>583.08500000000004</v>
      </c>
      <c r="F2795">
        <v>657.54399999999998</v>
      </c>
      <c r="G2795">
        <v>1940584</v>
      </c>
      <c r="H2795" t="s">
        <v>779</v>
      </c>
    </row>
    <row r="2796" spans="1:8" x14ac:dyDescent="0.25">
      <c r="A2796" t="s">
        <v>396</v>
      </c>
      <c r="B2796" t="s">
        <v>61</v>
      </c>
      <c r="C2796" t="s">
        <v>397</v>
      </c>
      <c r="D2796">
        <v>8000</v>
      </c>
      <c r="E2796">
        <v>2232.6669999999999</v>
      </c>
      <c r="F2796">
        <v>760</v>
      </c>
      <c r="G2796">
        <v>1939963</v>
      </c>
      <c r="H2796" t="s">
        <v>399</v>
      </c>
    </row>
    <row r="2797" spans="1:8" x14ac:dyDescent="0.25">
      <c r="A2797" t="s">
        <v>6012</v>
      </c>
      <c r="B2797" t="s">
        <v>22</v>
      </c>
      <c r="C2797" t="s">
        <v>397</v>
      </c>
      <c r="D2797">
        <v>108</v>
      </c>
      <c r="E2797">
        <v>23.228999999999999</v>
      </c>
      <c r="F2797">
        <v>100.008</v>
      </c>
      <c r="G2797">
        <v>3614493</v>
      </c>
      <c r="H2797" t="s">
        <v>1701</v>
      </c>
    </row>
    <row r="2798" spans="1:8" x14ac:dyDescent="0.25">
      <c r="A2798" t="s">
        <v>6012</v>
      </c>
      <c r="B2798" t="s">
        <v>22</v>
      </c>
      <c r="C2798" t="s">
        <v>397</v>
      </c>
      <c r="D2798">
        <v>2532</v>
      </c>
      <c r="E2798">
        <v>544.57899999999995</v>
      </c>
      <c r="F2798">
        <v>2344.6320000000001</v>
      </c>
      <c r="G2798">
        <v>3614493</v>
      </c>
      <c r="H2798" t="s">
        <v>1701</v>
      </c>
    </row>
    <row r="2799" spans="1:8" x14ac:dyDescent="0.25">
      <c r="A2799" t="s">
        <v>6012</v>
      </c>
      <c r="B2799" t="s">
        <v>22</v>
      </c>
      <c r="C2799" t="s">
        <v>397</v>
      </c>
      <c r="D2799">
        <v>10</v>
      </c>
      <c r="E2799">
        <v>2.1509999999999998</v>
      </c>
      <c r="F2799">
        <v>9.26</v>
      </c>
      <c r="G2799">
        <v>3614493</v>
      </c>
      <c r="H2799" t="s">
        <v>1701</v>
      </c>
    </row>
    <row r="2800" spans="1:8" x14ac:dyDescent="0.25">
      <c r="A2800" t="s">
        <v>6012</v>
      </c>
      <c r="B2800" t="s">
        <v>22</v>
      </c>
      <c r="C2800" t="s">
        <v>397</v>
      </c>
      <c r="D2800">
        <v>800</v>
      </c>
      <c r="E2800">
        <v>132.43700000000001</v>
      </c>
      <c r="F2800">
        <v>132</v>
      </c>
      <c r="G2800">
        <v>3614496</v>
      </c>
      <c r="H2800" t="s">
        <v>6013</v>
      </c>
    </row>
    <row r="2801" spans="1:8" x14ac:dyDescent="0.25">
      <c r="A2801" t="s">
        <v>6012</v>
      </c>
      <c r="B2801" t="s">
        <v>22</v>
      </c>
      <c r="C2801" t="s">
        <v>397</v>
      </c>
      <c r="D2801">
        <v>3000</v>
      </c>
      <c r="E2801">
        <v>409.351</v>
      </c>
      <c r="F2801">
        <v>408</v>
      </c>
      <c r="G2801">
        <v>3614494</v>
      </c>
      <c r="H2801" t="s">
        <v>6014</v>
      </c>
    </row>
    <row r="2802" spans="1:8" x14ac:dyDescent="0.25">
      <c r="A2802" t="s">
        <v>422</v>
      </c>
      <c r="B2802" t="s">
        <v>30</v>
      </c>
      <c r="C2802" t="s">
        <v>397</v>
      </c>
      <c r="D2802">
        <v>1082.6310000000001</v>
      </c>
      <c r="E2802">
        <v>525.04399999999998</v>
      </c>
      <c r="F2802">
        <v>808.72500000000002</v>
      </c>
      <c r="G2802">
        <v>2359755</v>
      </c>
      <c r="H2802" t="s">
        <v>828</v>
      </c>
    </row>
    <row r="2803" spans="1:8" x14ac:dyDescent="0.25">
      <c r="A2803" t="s">
        <v>422</v>
      </c>
      <c r="B2803" t="s">
        <v>30</v>
      </c>
      <c r="C2803" t="s">
        <v>397</v>
      </c>
      <c r="D2803">
        <v>1803.6310000000001</v>
      </c>
      <c r="E2803">
        <v>874.70799999999997</v>
      </c>
      <c r="F2803">
        <v>1347.3119999999999</v>
      </c>
      <c r="G2803">
        <v>2359755</v>
      </c>
      <c r="H2803" t="s">
        <v>828</v>
      </c>
    </row>
    <row r="2804" spans="1:8" x14ac:dyDescent="0.25">
      <c r="A2804" t="s">
        <v>422</v>
      </c>
      <c r="B2804" t="s">
        <v>30</v>
      </c>
      <c r="C2804" t="s">
        <v>397</v>
      </c>
      <c r="D2804">
        <v>613.73800000000006</v>
      </c>
      <c r="E2804">
        <v>297.64499999999998</v>
      </c>
      <c r="F2804">
        <v>458.46199999999999</v>
      </c>
      <c r="G2804">
        <v>2359755</v>
      </c>
      <c r="H2804" t="s">
        <v>828</v>
      </c>
    </row>
    <row r="2805" spans="1:8" x14ac:dyDescent="0.25">
      <c r="A2805" t="s">
        <v>809</v>
      </c>
      <c r="B2805" t="s">
        <v>72</v>
      </c>
      <c r="C2805" t="s">
        <v>397</v>
      </c>
      <c r="D2805">
        <v>1110</v>
      </c>
      <c r="E2805">
        <v>516.154</v>
      </c>
      <c r="F2805">
        <v>795.03099999999995</v>
      </c>
      <c r="G2805">
        <v>3781608</v>
      </c>
      <c r="H2805" t="s">
        <v>830</v>
      </c>
    </row>
    <row r="2806" spans="1:8" x14ac:dyDescent="0.25">
      <c r="A2806" t="s">
        <v>809</v>
      </c>
      <c r="B2806" t="s">
        <v>72</v>
      </c>
      <c r="C2806" t="s">
        <v>397</v>
      </c>
      <c r="D2806">
        <v>300</v>
      </c>
      <c r="E2806">
        <v>139.501</v>
      </c>
      <c r="F2806">
        <v>214.87299999999999</v>
      </c>
      <c r="G2806">
        <v>3781608</v>
      </c>
      <c r="H2806" t="s">
        <v>830</v>
      </c>
    </row>
    <row r="2807" spans="1:8" x14ac:dyDescent="0.25">
      <c r="A2807" t="s">
        <v>809</v>
      </c>
      <c r="B2807" t="s">
        <v>72</v>
      </c>
      <c r="C2807" t="s">
        <v>397</v>
      </c>
      <c r="D2807">
        <v>200</v>
      </c>
      <c r="E2807">
        <v>93.001000000000005</v>
      </c>
      <c r="F2807">
        <v>143.249</v>
      </c>
      <c r="G2807">
        <v>3781608</v>
      </c>
      <c r="H2807" t="s">
        <v>830</v>
      </c>
    </row>
    <row r="2808" spans="1:8" x14ac:dyDescent="0.25">
      <c r="A2808" t="s">
        <v>809</v>
      </c>
      <c r="B2808" t="s">
        <v>72</v>
      </c>
      <c r="C2808" t="s">
        <v>397</v>
      </c>
      <c r="D2808">
        <v>830</v>
      </c>
      <c r="E2808">
        <v>385.95299999999997</v>
      </c>
      <c r="F2808">
        <v>594.48299999999995</v>
      </c>
      <c r="G2808">
        <v>3781608</v>
      </c>
      <c r="H2808" t="s">
        <v>830</v>
      </c>
    </row>
    <row r="2809" spans="1:8" x14ac:dyDescent="0.25">
      <c r="A2809" t="s">
        <v>809</v>
      </c>
      <c r="B2809" t="s">
        <v>72</v>
      </c>
      <c r="C2809" t="s">
        <v>397</v>
      </c>
      <c r="D2809">
        <v>200</v>
      </c>
      <c r="E2809">
        <v>93.001000000000005</v>
      </c>
      <c r="F2809">
        <v>143.249</v>
      </c>
      <c r="G2809">
        <v>3781608</v>
      </c>
      <c r="H2809" t="s">
        <v>830</v>
      </c>
    </row>
    <row r="2810" spans="1:8" x14ac:dyDescent="0.25">
      <c r="A2810" t="s">
        <v>809</v>
      </c>
      <c r="B2810" t="s">
        <v>72</v>
      </c>
      <c r="C2810" t="s">
        <v>397</v>
      </c>
      <c r="D2810">
        <v>360</v>
      </c>
      <c r="E2810">
        <v>167.40100000000001</v>
      </c>
      <c r="F2810">
        <v>257.84800000000001</v>
      </c>
      <c r="G2810">
        <v>3781608</v>
      </c>
      <c r="H2810" t="s">
        <v>830</v>
      </c>
    </row>
    <row r="2811" spans="1:8" x14ac:dyDescent="0.25">
      <c r="A2811" t="s">
        <v>809</v>
      </c>
      <c r="B2811" t="s">
        <v>72</v>
      </c>
      <c r="C2811" t="s">
        <v>397</v>
      </c>
      <c r="D2811">
        <v>531.63199999999995</v>
      </c>
      <c r="E2811">
        <v>144.53299999999999</v>
      </c>
      <c r="F2811">
        <v>325.35899999999998</v>
      </c>
      <c r="G2811">
        <v>1938125</v>
      </c>
      <c r="H2811" t="s">
        <v>870</v>
      </c>
    </row>
    <row r="2812" spans="1:8" x14ac:dyDescent="0.25">
      <c r="A2812" t="s">
        <v>809</v>
      </c>
      <c r="B2812" t="s">
        <v>72</v>
      </c>
      <c r="C2812" t="s">
        <v>397</v>
      </c>
      <c r="D2812">
        <v>616</v>
      </c>
      <c r="E2812">
        <v>167.47</v>
      </c>
      <c r="F2812">
        <v>376.99200000000002</v>
      </c>
      <c r="G2812">
        <v>1938125</v>
      </c>
      <c r="H2812" t="s">
        <v>870</v>
      </c>
    </row>
    <row r="2813" spans="1:8" x14ac:dyDescent="0.25">
      <c r="A2813" t="s">
        <v>809</v>
      </c>
      <c r="B2813" t="s">
        <v>72</v>
      </c>
      <c r="C2813" t="s">
        <v>397</v>
      </c>
      <c r="D2813">
        <v>2852.3679999999999</v>
      </c>
      <c r="E2813">
        <v>775.46500000000003</v>
      </c>
      <c r="F2813">
        <v>1745.6489999999999</v>
      </c>
      <c r="G2813">
        <v>1938125</v>
      </c>
      <c r="H2813" t="s">
        <v>870</v>
      </c>
    </row>
    <row r="2814" spans="1:8" x14ac:dyDescent="0.25">
      <c r="A2814" t="s">
        <v>581</v>
      </c>
      <c r="B2814" t="s">
        <v>18</v>
      </c>
      <c r="C2814" t="s">
        <v>397</v>
      </c>
      <c r="D2814">
        <v>3000</v>
      </c>
      <c r="E2814">
        <v>1424.999</v>
      </c>
      <c r="F2814">
        <v>1825.567</v>
      </c>
      <c r="G2814">
        <v>1940626</v>
      </c>
      <c r="H2814" t="s">
        <v>583</v>
      </c>
    </row>
    <row r="2815" spans="1:8" x14ac:dyDescent="0.25">
      <c r="A2815" t="s">
        <v>581</v>
      </c>
      <c r="B2815" t="s">
        <v>18</v>
      </c>
      <c r="C2815" t="s">
        <v>397</v>
      </c>
      <c r="D2815">
        <v>586.39700000000005</v>
      </c>
      <c r="E2815">
        <v>177.67699999999999</v>
      </c>
      <c r="F2815">
        <v>162.43199999999999</v>
      </c>
      <c r="G2815">
        <v>1940313</v>
      </c>
      <c r="H2815" t="s">
        <v>707</v>
      </c>
    </row>
    <row r="2816" spans="1:8" x14ac:dyDescent="0.25">
      <c r="A2816" t="s">
        <v>581</v>
      </c>
      <c r="B2816" t="s">
        <v>18</v>
      </c>
      <c r="C2816" t="s">
        <v>397</v>
      </c>
      <c r="D2816">
        <v>2237.6390000000001</v>
      </c>
      <c r="E2816">
        <v>677.99800000000005</v>
      </c>
      <c r="F2816">
        <v>619.82600000000002</v>
      </c>
      <c r="G2816">
        <v>1940313</v>
      </c>
      <c r="H2816" t="s">
        <v>707</v>
      </c>
    </row>
    <row r="2817" spans="1:8" x14ac:dyDescent="0.25">
      <c r="A2817" t="s">
        <v>581</v>
      </c>
      <c r="B2817" t="s">
        <v>18</v>
      </c>
      <c r="C2817" t="s">
        <v>397</v>
      </c>
      <c r="D2817">
        <v>175.964</v>
      </c>
      <c r="E2817">
        <v>53.317</v>
      </c>
      <c r="F2817">
        <v>48.741999999999997</v>
      </c>
      <c r="G2817">
        <v>1940313</v>
      </c>
      <c r="H2817" t="s">
        <v>707</v>
      </c>
    </row>
    <row r="2818" spans="1:8" x14ac:dyDescent="0.25">
      <c r="A2818" t="s">
        <v>636</v>
      </c>
      <c r="B2818" t="s">
        <v>151</v>
      </c>
      <c r="C2818" t="s">
        <v>397</v>
      </c>
      <c r="D2818">
        <v>500</v>
      </c>
      <c r="E2818">
        <v>117.998</v>
      </c>
      <c r="F2818">
        <v>676.4</v>
      </c>
      <c r="G2818">
        <v>3784473</v>
      </c>
      <c r="H2818" t="s">
        <v>873</v>
      </c>
    </row>
    <row r="2819" spans="1:8" x14ac:dyDescent="0.25">
      <c r="A2819" t="s">
        <v>391</v>
      </c>
      <c r="B2819" t="s">
        <v>71</v>
      </c>
      <c r="C2819" t="s">
        <v>392</v>
      </c>
      <c r="D2819">
        <v>261</v>
      </c>
      <c r="E2819">
        <v>1462.7180000000001</v>
      </c>
      <c r="F2819">
        <v>2766</v>
      </c>
      <c r="G2819">
        <v>3770392</v>
      </c>
      <c r="H2819" t="s">
        <v>405</v>
      </c>
    </row>
    <row r="2820" spans="1:8" x14ac:dyDescent="0.25">
      <c r="A2820" t="s">
        <v>391</v>
      </c>
      <c r="B2820" t="s">
        <v>71</v>
      </c>
      <c r="C2820" t="s">
        <v>392</v>
      </c>
      <c r="D2820">
        <v>281</v>
      </c>
      <c r="E2820">
        <v>1574.299</v>
      </c>
      <c r="F2820">
        <v>2977</v>
      </c>
      <c r="G2820">
        <v>3770392</v>
      </c>
      <c r="H2820" t="s">
        <v>405</v>
      </c>
    </row>
    <row r="2821" spans="1:8" x14ac:dyDescent="0.25">
      <c r="A2821" t="s">
        <v>391</v>
      </c>
      <c r="B2821" t="s">
        <v>71</v>
      </c>
      <c r="C2821" t="s">
        <v>392</v>
      </c>
      <c r="D2821">
        <v>213</v>
      </c>
      <c r="E2821">
        <v>1194.606</v>
      </c>
      <c r="F2821">
        <v>2259</v>
      </c>
      <c r="G2821">
        <v>3770392</v>
      </c>
      <c r="H2821" t="s">
        <v>405</v>
      </c>
    </row>
    <row r="2822" spans="1:8" x14ac:dyDescent="0.25">
      <c r="A2822" t="s">
        <v>391</v>
      </c>
      <c r="B2822" t="s">
        <v>71</v>
      </c>
      <c r="C2822" t="s">
        <v>392</v>
      </c>
      <c r="D2822">
        <v>73</v>
      </c>
      <c r="E2822">
        <v>411.423</v>
      </c>
      <c r="F2822">
        <v>778</v>
      </c>
      <c r="G2822">
        <v>3770392</v>
      </c>
      <c r="H2822" t="s">
        <v>405</v>
      </c>
    </row>
    <row r="2823" spans="1:8" x14ac:dyDescent="0.25">
      <c r="A2823" t="s">
        <v>391</v>
      </c>
      <c r="B2823" t="s">
        <v>71</v>
      </c>
      <c r="C2823" t="s">
        <v>392</v>
      </c>
      <c r="D2823">
        <v>122</v>
      </c>
      <c r="E2823">
        <v>682.17899999999997</v>
      </c>
      <c r="F2823">
        <v>1290</v>
      </c>
      <c r="G2823">
        <v>3770392</v>
      </c>
      <c r="H2823" t="s">
        <v>405</v>
      </c>
    </row>
    <row r="2824" spans="1:8" x14ac:dyDescent="0.25">
      <c r="A2824" t="s">
        <v>5966</v>
      </c>
      <c r="B2824" t="s">
        <v>37</v>
      </c>
      <c r="C2824" t="s">
        <v>392</v>
      </c>
      <c r="D2824">
        <v>163</v>
      </c>
      <c r="E2824">
        <v>929.08</v>
      </c>
      <c r="F2824">
        <v>1330.8140000000001</v>
      </c>
      <c r="G2824">
        <v>3545558</v>
      </c>
      <c r="H2824" t="s">
        <v>2378</v>
      </c>
    </row>
    <row r="2825" spans="1:8" x14ac:dyDescent="0.25">
      <c r="A2825" t="s">
        <v>5966</v>
      </c>
      <c r="B2825" t="s">
        <v>37</v>
      </c>
      <c r="C2825" t="s">
        <v>392</v>
      </c>
      <c r="D2825">
        <v>148</v>
      </c>
      <c r="E2825">
        <v>843.58100000000002</v>
      </c>
      <c r="F2825">
        <v>1208.346</v>
      </c>
      <c r="G2825">
        <v>3545558</v>
      </c>
      <c r="H2825" t="s">
        <v>2378</v>
      </c>
    </row>
    <row r="2826" spans="1:8" x14ac:dyDescent="0.25">
      <c r="A2826" t="s">
        <v>5966</v>
      </c>
      <c r="B2826" t="s">
        <v>37</v>
      </c>
      <c r="C2826" t="s">
        <v>392</v>
      </c>
      <c r="D2826">
        <v>145</v>
      </c>
      <c r="E2826">
        <v>826.48199999999997</v>
      </c>
      <c r="F2826">
        <v>1183.8530000000001</v>
      </c>
      <c r="G2826">
        <v>3545558</v>
      </c>
      <c r="H2826" t="s">
        <v>2378</v>
      </c>
    </row>
    <row r="2827" spans="1:8" x14ac:dyDescent="0.25">
      <c r="A2827" t="s">
        <v>5966</v>
      </c>
      <c r="B2827" t="s">
        <v>37</v>
      </c>
      <c r="C2827" t="s">
        <v>392</v>
      </c>
      <c r="D2827">
        <v>40</v>
      </c>
      <c r="E2827">
        <v>228.279</v>
      </c>
      <c r="F2827">
        <v>326.98700000000002</v>
      </c>
      <c r="G2827">
        <v>3545558</v>
      </c>
      <c r="H2827" t="s">
        <v>2378</v>
      </c>
    </row>
    <row r="2828" spans="1:8" x14ac:dyDescent="0.25">
      <c r="A2828" t="s">
        <v>589</v>
      </c>
      <c r="B2828" t="s">
        <v>45</v>
      </c>
      <c r="C2828" t="s">
        <v>397</v>
      </c>
      <c r="D2828">
        <v>599.9</v>
      </c>
      <c r="E2828">
        <v>352.96600000000001</v>
      </c>
      <c r="F2828">
        <v>445.726</v>
      </c>
      <c r="G2828">
        <v>1938191</v>
      </c>
      <c r="H2828" t="s">
        <v>591</v>
      </c>
    </row>
    <row r="2829" spans="1:8" x14ac:dyDescent="0.25">
      <c r="A2829" t="s">
        <v>589</v>
      </c>
      <c r="B2829" t="s">
        <v>45</v>
      </c>
      <c r="C2829" t="s">
        <v>397</v>
      </c>
      <c r="D2829">
        <v>608.86900000000003</v>
      </c>
      <c r="E2829">
        <v>358.24299999999999</v>
      </c>
      <c r="F2829">
        <v>452.39</v>
      </c>
      <c r="G2829">
        <v>1938191</v>
      </c>
      <c r="H2829" t="s">
        <v>591</v>
      </c>
    </row>
    <row r="2830" spans="1:8" x14ac:dyDescent="0.25">
      <c r="A2830" t="s">
        <v>589</v>
      </c>
      <c r="B2830" t="s">
        <v>45</v>
      </c>
      <c r="C2830" t="s">
        <v>397</v>
      </c>
      <c r="D2830">
        <v>685.47</v>
      </c>
      <c r="E2830">
        <v>403.31299999999999</v>
      </c>
      <c r="F2830">
        <v>509.30399999999997</v>
      </c>
      <c r="G2830">
        <v>1938191</v>
      </c>
      <c r="H2830" t="s">
        <v>591</v>
      </c>
    </row>
    <row r="2831" spans="1:8" x14ac:dyDescent="0.25">
      <c r="A2831" t="s">
        <v>589</v>
      </c>
      <c r="B2831" t="s">
        <v>45</v>
      </c>
      <c r="C2831" t="s">
        <v>397</v>
      </c>
      <c r="D2831">
        <v>1102.31</v>
      </c>
      <c r="E2831">
        <v>648.572</v>
      </c>
      <c r="F2831">
        <v>819.01599999999996</v>
      </c>
      <c r="G2831">
        <v>1938191</v>
      </c>
      <c r="H2831" t="s">
        <v>591</v>
      </c>
    </row>
    <row r="2832" spans="1:8" x14ac:dyDescent="0.25">
      <c r="A2832" t="s">
        <v>589</v>
      </c>
      <c r="B2832" t="s">
        <v>45</v>
      </c>
      <c r="C2832" t="s">
        <v>397</v>
      </c>
      <c r="D2832">
        <v>1034.6099999999999</v>
      </c>
      <c r="E2832">
        <v>608.73900000000003</v>
      </c>
      <c r="F2832">
        <v>768.71500000000003</v>
      </c>
      <c r="G2832">
        <v>1938191</v>
      </c>
      <c r="H2832" t="s">
        <v>591</v>
      </c>
    </row>
    <row r="2833" spans="1:8" x14ac:dyDescent="0.25">
      <c r="A2833" t="s">
        <v>589</v>
      </c>
      <c r="B2833" t="s">
        <v>45</v>
      </c>
      <c r="C2833" t="s">
        <v>397</v>
      </c>
      <c r="D2833">
        <v>429.64499999999998</v>
      </c>
      <c r="E2833">
        <v>252.792</v>
      </c>
      <c r="F2833">
        <v>319.226</v>
      </c>
      <c r="G2833">
        <v>1938191</v>
      </c>
      <c r="H2833" t="s">
        <v>591</v>
      </c>
    </row>
    <row r="2834" spans="1:8" x14ac:dyDescent="0.25">
      <c r="A2834" t="s">
        <v>589</v>
      </c>
      <c r="B2834" t="s">
        <v>45</v>
      </c>
      <c r="C2834" t="s">
        <v>397</v>
      </c>
      <c r="D2834">
        <v>826.41</v>
      </c>
      <c r="E2834">
        <v>486.23899999999998</v>
      </c>
      <c r="F2834">
        <v>614.02300000000002</v>
      </c>
      <c r="G2834">
        <v>1938191</v>
      </c>
      <c r="H2834" t="s">
        <v>591</v>
      </c>
    </row>
    <row r="2835" spans="1:8" x14ac:dyDescent="0.25">
      <c r="A2835" t="s">
        <v>589</v>
      </c>
      <c r="B2835" t="s">
        <v>45</v>
      </c>
      <c r="C2835" t="s">
        <v>397</v>
      </c>
      <c r="D2835">
        <v>460.786</v>
      </c>
      <c r="E2835">
        <v>271.11500000000001</v>
      </c>
      <c r="F2835">
        <v>342.36399999999998</v>
      </c>
      <c r="G2835">
        <v>1938191</v>
      </c>
      <c r="H2835" t="s">
        <v>591</v>
      </c>
    </row>
    <row r="2836" spans="1:8" x14ac:dyDescent="0.25">
      <c r="A2836" t="s">
        <v>5966</v>
      </c>
      <c r="B2836" t="s">
        <v>37</v>
      </c>
      <c r="C2836" t="s">
        <v>392</v>
      </c>
      <c r="D2836">
        <v>407</v>
      </c>
      <c r="E2836">
        <v>2444.384</v>
      </c>
      <c r="F2836">
        <v>6062.56</v>
      </c>
      <c r="G2836">
        <v>3501716</v>
      </c>
      <c r="H2836" t="s">
        <v>6071</v>
      </c>
    </row>
    <row r="2837" spans="1:8" x14ac:dyDescent="0.25">
      <c r="A2837" t="s">
        <v>5966</v>
      </c>
      <c r="B2837" t="s">
        <v>37</v>
      </c>
      <c r="C2837" t="s">
        <v>392</v>
      </c>
      <c r="D2837">
        <v>223</v>
      </c>
      <c r="E2837">
        <v>1335.864</v>
      </c>
      <c r="F2837">
        <v>3313.21</v>
      </c>
      <c r="G2837">
        <v>3501716</v>
      </c>
      <c r="H2837" t="s">
        <v>6071</v>
      </c>
    </row>
    <row r="2838" spans="1:8" x14ac:dyDescent="0.25">
      <c r="A2838" t="s">
        <v>5966</v>
      </c>
      <c r="B2838" t="s">
        <v>37</v>
      </c>
      <c r="C2838" t="s">
        <v>392</v>
      </c>
      <c r="D2838">
        <v>36</v>
      </c>
      <c r="E2838">
        <v>214.864</v>
      </c>
      <c r="F2838">
        <v>532.90499999999997</v>
      </c>
      <c r="G2838">
        <v>3501716</v>
      </c>
      <c r="H2838" t="s">
        <v>6071</v>
      </c>
    </row>
    <row r="2839" spans="1:8" x14ac:dyDescent="0.25">
      <c r="A2839" t="s">
        <v>5966</v>
      </c>
      <c r="B2839" t="s">
        <v>37</v>
      </c>
      <c r="C2839" t="s">
        <v>392</v>
      </c>
      <c r="D2839">
        <v>8</v>
      </c>
      <c r="E2839">
        <v>47.707999999999998</v>
      </c>
      <c r="F2839">
        <v>118.325</v>
      </c>
      <c r="G2839">
        <v>3501716</v>
      </c>
      <c r="H2839" t="s">
        <v>6071</v>
      </c>
    </row>
    <row r="2840" spans="1:8" x14ac:dyDescent="0.25">
      <c r="A2840" t="s">
        <v>517</v>
      </c>
      <c r="B2840" t="s">
        <v>19</v>
      </c>
      <c r="C2840" t="s">
        <v>444</v>
      </c>
      <c r="D2840">
        <v>82</v>
      </c>
      <c r="E2840">
        <v>407.65600000000001</v>
      </c>
      <c r="F2840">
        <v>371.70100000000002</v>
      </c>
      <c r="G2840">
        <v>3188792</v>
      </c>
      <c r="H2840" t="s">
        <v>547</v>
      </c>
    </row>
    <row r="2841" spans="1:8" x14ac:dyDescent="0.25">
      <c r="A2841" t="s">
        <v>517</v>
      </c>
      <c r="B2841" t="s">
        <v>19</v>
      </c>
      <c r="C2841" t="s">
        <v>444</v>
      </c>
      <c r="D2841">
        <v>144</v>
      </c>
      <c r="E2841">
        <v>720.36599999999999</v>
      </c>
      <c r="F2841">
        <v>656.83</v>
      </c>
      <c r="G2841">
        <v>3188792</v>
      </c>
      <c r="H2841" t="s">
        <v>547</v>
      </c>
    </row>
    <row r="2842" spans="1:8" x14ac:dyDescent="0.25">
      <c r="A2842" t="s">
        <v>517</v>
      </c>
      <c r="B2842" t="s">
        <v>19</v>
      </c>
      <c r="C2842" t="s">
        <v>444</v>
      </c>
      <c r="D2842">
        <v>121</v>
      </c>
      <c r="E2842">
        <v>604.29899999999998</v>
      </c>
      <c r="F2842">
        <v>551</v>
      </c>
      <c r="G2842">
        <v>3188792</v>
      </c>
      <c r="H2842" t="s">
        <v>547</v>
      </c>
    </row>
    <row r="2843" spans="1:8" x14ac:dyDescent="0.25">
      <c r="A2843" t="s">
        <v>517</v>
      </c>
      <c r="B2843" t="s">
        <v>19</v>
      </c>
      <c r="C2843" t="s">
        <v>444</v>
      </c>
      <c r="D2843">
        <v>156</v>
      </c>
      <c r="E2843">
        <v>778.02099999999996</v>
      </c>
      <c r="F2843">
        <v>709.4</v>
      </c>
      <c r="G2843">
        <v>3188792</v>
      </c>
      <c r="H2843" t="s">
        <v>547</v>
      </c>
    </row>
    <row r="2844" spans="1:8" x14ac:dyDescent="0.25">
      <c r="A2844" t="s">
        <v>517</v>
      </c>
      <c r="B2844" t="s">
        <v>19</v>
      </c>
      <c r="C2844" t="s">
        <v>444</v>
      </c>
      <c r="D2844">
        <v>311</v>
      </c>
      <c r="E2844">
        <v>1552.972</v>
      </c>
      <c r="F2844">
        <v>1416</v>
      </c>
      <c r="G2844">
        <v>3188792</v>
      </c>
      <c r="H2844" t="s">
        <v>547</v>
      </c>
    </row>
    <row r="2845" spans="1:8" x14ac:dyDescent="0.25">
      <c r="A2845" t="s">
        <v>517</v>
      </c>
      <c r="B2845" t="s">
        <v>19</v>
      </c>
      <c r="C2845" t="s">
        <v>444</v>
      </c>
      <c r="D2845">
        <v>584</v>
      </c>
      <c r="E2845">
        <v>2918.4029999999998</v>
      </c>
      <c r="F2845">
        <v>2661</v>
      </c>
      <c r="G2845">
        <v>3188792</v>
      </c>
      <c r="H2845" t="s">
        <v>547</v>
      </c>
    </row>
    <row r="2846" spans="1:8" x14ac:dyDescent="0.25">
      <c r="A2846" t="s">
        <v>517</v>
      </c>
      <c r="B2846" t="s">
        <v>19</v>
      </c>
      <c r="C2846" t="s">
        <v>444</v>
      </c>
      <c r="D2846">
        <v>104</v>
      </c>
      <c r="E2846">
        <v>518.28300000000002</v>
      </c>
      <c r="F2846">
        <v>472.57</v>
      </c>
      <c r="G2846">
        <v>3188792</v>
      </c>
      <c r="H2846" t="s">
        <v>547</v>
      </c>
    </row>
    <row r="2847" spans="1:8" x14ac:dyDescent="0.25">
      <c r="A2847" t="s">
        <v>5966</v>
      </c>
      <c r="B2847" t="s">
        <v>37</v>
      </c>
      <c r="C2847" t="s">
        <v>392</v>
      </c>
      <c r="D2847">
        <v>53</v>
      </c>
      <c r="E2847">
        <v>320.37700000000001</v>
      </c>
      <c r="F2847">
        <v>794.6</v>
      </c>
      <c r="G2847">
        <v>3501716</v>
      </c>
      <c r="H2847" t="s">
        <v>6071</v>
      </c>
    </row>
    <row r="2848" spans="1:8" x14ac:dyDescent="0.25">
      <c r="A2848" t="s">
        <v>5966</v>
      </c>
      <c r="B2848" t="s">
        <v>37</v>
      </c>
      <c r="C2848" t="s">
        <v>392</v>
      </c>
      <c r="D2848">
        <v>47</v>
      </c>
      <c r="E2848">
        <v>281.38900000000001</v>
      </c>
      <c r="F2848">
        <v>697.9</v>
      </c>
      <c r="G2848">
        <v>3501716</v>
      </c>
      <c r="H2848" t="s">
        <v>6071</v>
      </c>
    </row>
    <row r="2849" spans="1:8" x14ac:dyDescent="0.25">
      <c r="A2849" t="s">
        <v>5966</v>
      </c>
      <c r="B2849" t="s">
        <v>37</v>
      </c>
      <c r="C2849" t="s">
        <v>392</v>
      </c>
      <c r="D2849">
        <v>274</v>
      </c>
      <c r="E2849">
        <v>1640.9970000000001</v>
      </c>
      <c r="F2849">
        <v>4070</v>
      </c>
      <c r="G2849">
        <v>3501716</v>
      </c>
      <c r="H2849" t="s">
        <v>6071</v>
      </c>
    </row>
    <row r="2850" spans="1:8" x14ac:dyDescent="0.25">
      <c r="A2850" t="s">
        <v>5966</v>
      </c>
      <c r="B2850" t="s">
        <v>37</v>
      </c>
      <c r="C2850" t="s">
        <v>392</v>
      </c>
      <c r="D2850">
        <v>24</v>
      </c>
      <c r="E2850">
        <v>141.92400000000001</v>
      </c>
      <c r="F2850">
        <v>352</v>
      </c>
      <c r="G2850">
        <v>3501716</v>
      </c>
      <c r="H2850" t="s">
        <v>6071</v>
      </c>
    </row>
    <row r="2851" spans="1:8" x14ac:dyDescent="0.25">
      <c r="A2851" t="s">
        <v>5966</v>
      </c>
      <c r="B2851" t="s">
        <v>37</v>
      </c>
      <c r="C2851" t="s">
        <v>392</v>
      </c>
      <c r="D2851">
        <v>13</v>
      </c>
      <c r="E2851">
        <v>80.234999999999999</v>
      </c>
      <c r="F2851">
        <v>199</v>
      </c>
      <c r="G2851">
        <v>3501716</v>
      </c>
      <c r="H2851" t="s">
        <v>6071</v>
      </c>
    </row>
    <row r="2852" spans="1:8" x14ac:dyDescent="0.25">
      <c r="A2852" t="s">
        <v>5966</v>
      </c>
      <c r="B2852" t="s">
        <v>37</v>
      </c>
      <c r="C2852" t="s">
        <v>392</v>
      </c>
      <c r="D2852">
        <v>6</v>
      </c>
      <c r="E2852">
        <v>36.085999999999999</v>
      </c>
      <c r="F2852">
        <v>89.5</v>
      </c>
      <c r="G2852">
        <v>3501716</v>
      </c>
      <c r="H2852" t="s">
        <v>6071</v>
      </c>
    </row>
    <row r="2853" spans="1:8" x14ac:dyDescent="0.25">
      <c r="A2853" t="s">
        <v>422</v>
      </c>
      <c r="B2853" t="s">
        <v>30</v>
      </c>
      <c r="C2853" t="s">
        <v>397</v>
      </c>
      <c r="D2853">
        <v>3343.5160000000001</v>
      </c>
      <c r="E2853">
        <v>908.99199999999996</v>
      </c>
      <c r="F2853">
        <v>2046.232</v>
      </c>
      <c r="G2853">
        <v>1938125</v>
      </c>
      <c r="H2853" t="s">
        <v>870</v>
      </c>
    </row>
    <row r="2854" spans="1:8" x14ac:dyDescent="0.25">
      <c r="A2854" t="s">
        <v>422</v>
      </c>
      <c r="B2854" t="s">
        <v>30</v>
      </c>
      <c r="C2854" t="s">
        <v>397</v>
      </c>
      <c r="D2854">
        <v>1656.4839999999999</v>
      </c>
      <c r="E2854">
        <v>450.34300000000002</v>
      </c>
      <c r="F2854">
        <v>1013.768</v>
      </c>
      <c r="G2854">
        <v>1938125</v>
      </c>
      <c r="H2854" t="s">
        <v>870</v>
      </c>
    </row>
    <row r="2855" spans="1:8" x14ac:dyDescent="0.25">
      <c r="A2855" t="s">
        <v>422</v>
      </c>
      <c r="B2855" t="s">
        <v>30</v>
      </c>
      <c r="C2855" t="s">
        <v>397</v>
      </c>
      <c r="D2855">
        <v>6000</v>
      </c>
      <c r="E2855">
        <v>1299.915</v>
      </c>
      <c r="F2855">
        <v>1836</v>
      </c>
      <c r="G2855">
        <v>1939544</v>
      </c>
      <c r="H2855" t="s">
        <v>807</v>
      </c>
    </row>
    <row r="2856" spans="1:8" x14ac:dyDescent="0.25">
      <c r="A2856" t="s">
        <v>821</v>
      </c>
      <c r="B2856" t="s">
        <v>177</v>
      </c>
      <c r="C2856" t="s">
        <v>397</v>
      </c>
      <c r="D2856">
        <v>108.408</v>
      </c>
      <c r="E2856">
        <v>38.701000000000001</v>
      </c>
      <c r="F2856">
        <v>116.441</v>
      </c>
      <c r="G2856">
        <v>3909903</v>
      </c>
      <c r="H2856" t="s">
        <v>822</v>
      </c>
    </row>
    <row r="2857" spans="1:8" x14ac:dyDescent="0.25">
      <c r="A2857" t="s">
        <v>821</v>
      </c>
      <c r="B2857" t="s">
        <v>177</v>
      </c>
      <c r="C2857" t="s">
        <v>397</v>
      </c>
      <c r="D2857">
        <v>558.57600000000002</v>
      </c>
      <c r="E2857">
        <v>199.411</v>
      </c>
      <c r="F2857">
        <v>599.96600000000001</v>
      </c>
      <c r="G2857">
        <v>3909903</v>
      </c>
      <c r="H2857" t="s">
        <v>822</v>
      </c>
    </row>
    <row r="2858" spans="1:8" x14ac:dyDescent="0.25">
      <c r="A2858" t="s">
        <v>821</v>
      </c>
      <c r="B2858" t="s">
        <v>177</v>
      </c>
      <c r="C2858" t="s">
        <v>397</v>
      </c>
      <c r="D2858">
        <v>1499.4960000000001</v>
      </c>
      <c r="E2858">
        <v>535.31700000000001</v>
      </c>
      <c r="F2858">
        <v>1610.6089999999999</v>
      </c>
      <c r="G2858">
        <v>3909903</v>
      </c>
      <c r="H2858" t="s">
        <v>822</v>
      </c>
    </row>
    <row r="2859" spans="1:8" x14ac:dyDescent="0.25">
      <c r="A2859" t="s">
        <v>821</v>
      </c>
      <c r="B2859" t="s">
        <v>177</v>
      </c>
      <c r="C2859" t="s">
        <v>397</v>
      </c>
      <c r="D2859">
        <v>1696.5340000000001</v>
      </c>
      <c r="E2859">
        <v>605.65899999999999</v>
      </c>
      <c r="F2859">
        <v>1822.2470000000001</v>
      </c>
      <c r="G2859">
        <v>3909903</v>
      </c>
      <c r="H2859" t="s">
        <v>822</v>
      </c>
    </row>
    <row r="2860" spans="1:8" x14ac:dyDescent="0.25">
      <c r="A2860" t="s">
        <v>821</v>
      </c>
      <c r="B2860" t="s">
        <v>177</v>
      </c>
      <c r="C2860" t="s">
        <v>397</v>
      </c>
      <c r="D2860">
        <v>1986.3019999999999</v>
      </c>
      <c r="E2860">
        <v>709.10599999999999</v>
      </c>
      <c r="F2860">
        <v>2133.4870000000001</v>
      </c>
      <c r="G2860">
        <v>3909903</v>
      </c>
      <c r="H2860" t="s">
        <v>822</v>
      </c>
    </row>
    <row r="2861" spans="1:8" x14ac:dyDescent="0.25">
      <c r="A2861" t="s">
        <v>821</v>
      </c>
      <c r="B2861" t="s">
        <v>177</v>
      </c>
      <c r="C2861" t="s">
        <v>397</v>
      </c>
      <c r="D2861">
        <v>150.684</v>
      </c>
      <c r="E2861">
        <v>53.793999999999997</v>
      </c>
      <c r="F2861">
        <v>161.85</v>
      </c>
      <c r="G2861">
        <v>3909903</v>
      </c>
      <c r="H2861" t="s">
        <v>822</v>
      </c>
    </row>
    <row r="2862" spans="1:8" x14ac:dyDescent="0.25">
      <c r="A2862" t="s">
        <v>809</v>
      </c>
      <c r="B2862" t="s">
        <v>72</v>
      </c>
      <c r="C2862" t="s">
        <v>397</v>
      </c>
      <c r="D2862">
        <v>1000</v>
      </c>
      <c r="E2862">
        <v>465.00299999999999</v>
      </c>
      <c r="F2862">
        <v>716.24400000000003</v>
      </c>
      <c r="G2862">
        <v>3781608</v>
      </c>
      <c r="H2862" t="s">
        <v>830</v>
      </c>
    </row>
    <row r="2863" spans="1:8" x14ac:dyDescent="0.25">
      <c r="A2863" t="s">
        <v>809</v>
      </c>
      <c r="B2863" t="s">
        <v>72</v>
      </c>
      <c r="C2863" t="s">
        <v>397</v>
      </c>
      <c r="D2863">
        <v>800</v>
      </c>
      <c r="E2863">
        <v>372.00299999999999</v>
      </c>
      <c r="F2863">
        <v>572.99599999999998</v>
      </c>
      <c r="G2863">
        <v>3781608</v>
      </c>
      <c r="H2863" t="s">
        <v>830</v>
      </c>
    </row>
    <row r="2864" spans="1:8" x14ac:dyDescent="0.25">
      <c r="A2864" t="s">
        <v>809</v>
      </c>
      <c r="B2864" t="s">
        <v>72</v>
      </c>
      <c r="C2864" t="s">
        <v>397</v>
      </c>
      <c r="D2864">
        <v>200</v>
      </c>
      <c r="E2864">
        <v>93.001000000000005</v>
      </c>
      <c r="F2864">
        <v>143.249</v>
      </c>
      <c r="G2864">
        <v>3781608</v>
      </c>
      <c r="H2864" t="s">
        <v>830</v>
      </c>
    </row>
    <row r="2865" spans="1:8" x14ac:dyDescent="0.25">
      <c r="A2865" t="s">
        <v>809</v>
      </c>
      <c r="B2865" t="s">
        <v>72</v>
      </c>
      <c r="C2865" t="s">
        <v>397</v>
      </c>
      <c r="D2865">
        <v>110.372</v>
      </c>
      <c r="E2865">
        <v>53.527000000000001</v>
      </c>
      <c r="F2865">
        <v>82.447999999999993</v>
      </c>
      <c r="G2865">
        <v>2359755</v>
      </c>
      <c r="H2865" t="s">
        <v>828</v>
      </c>
    </row>
    <row r="2866" spans="1:8" x14ac:dyDescent="0.25">
      <c r="A2866" t="s">
        <v>809</v>
      </c>
      <c r="B2866" t="s">
        <v>72</v>
      </c>
      <c r="C2866" t="s">
        <v>397</v>
      </c>
      <c r="D2866">
        <v>926.70299999999997</v>
      </c>
      <c r="E2866">
        <v>449.42399999999998</v>
      </c>
      <c r="F2866">
        <v>692.24699999999996</v>
      </c>
      <c r="G2866">
        <v>2359755</v>
      </c>
      <c r="H2866" t="s">
        <v>828</v>
      </c>
    </row>
    <row r="2867" spans="1:8" x14ac:dyDescent="0.25">
      <c r="A2867" t="s">
        <v>809</v>
      </c>
      <c r="B2867" t="s">
        <v>72</v>
      </c>
      <c r="C2867" t="s">
        <v>397</v>
      </c>
      <c r="D2867">
        <v>42.853999999999999</v>
      </c>
      <c r="E2867">
        <v>20.783000000000001</v>
      </c>
      <c r="F2867">
        <v>32.012</v>
      </c>
      <c r="G2867">
        <v>2359755</v>
      </c>
      <c r="H2867" t="s">
        <v>828</v>
      </c>
    </row>
    <row r="2868" spans="1:8" x14ac:dyDescent="0.25">
      <c r="A2868" t="s">
        <v>809</v>
      </c>
      <c r="B2868" t="s">
        <v>72</v>
      </c>
      <c r="C2868" t="s">
        <v>397</v>
      </c>
      <c r="D2868">
        <v>128.67599999999999</v>
      </c>
      <c r="E2868">
        <v>62.404000000000003</v>
      </c>
      <c r="F2868">
        <v>96.120999999999995</v>
      </c>
      <c r="G2868">
        <v>2359755</v>
      </c>
      <c r="H2868" t="s">
        <v>828</v>
      </c>
    </row>
    <row r="2869" spans="1:8" x14ac:dyDescent="0.25">
      <c r="A2869" t="s">
        <v>809</v>
      </c>
      <c r="B2869" t="s">
        <v>72</v>
      </c>
      <c r="C2869" t="s">
        <v>397</v>
      </c>
      <c r="D2869">
        <v>351.39499999999998</v>
      </c>
      <c r="E2869">
        <v>170.416</v>
      </c>
      <c r="F2869">
        <v>262.49200000000002</v>
      </c>
      <c r="G2869">
        <v>2359755</v>
      </c>
      <c r="H2869" t="s">
        <v>828</v>
      </c>
    </row>
    <row r="2870" spans="1:8" x14ac:dyDescent="0.25">
      <c r="A2870" t="s">
        <v>809</v>
      </c>
      <c r="B2870" t="s">
        <v>72</v>
      </c>
      <c r="C2870" t="s">
        <v>397</v>
      </c>
      <c r="D2870">
        <v>2500</v>
      </c>
      <c r="E2870">
        <v>679.66800000000001</v>
      </c>
      <c r="F2870">
        <v>1530</v>
      </c>
      <c r="G2870">
        <v>1938125</v>
      </c>
      <c r="H2870" t="s">
        <v>870</v>
      </c>
    </row>
    <row r="2871" spans="1:8" x14ac:dyDescent="0.25">
      <c r="A2871" t="s">
        <v>809</v>
      </c>
      <c r="B2871" t="s">
        <v>72</v>
      </c>
      <c r="C2871" t="s">
        <v>397</v>
      </c>
      <c r="D2871">
        <v>350</v>
      </c>
      <c r="E2871">
        <v>95.153000000000006</v>
      </c>
      <c r="F2871">
        <v>214.2</v>
      </c>
      <c r="G2871">
        <v>1938125</v>
      </c>
      <c r="H2871" t="s">
        <v>870</v>
      </c>
    </row>
    <row r="2872" spans="1:8" x14ac:dyDescent="0.25">
      <c r="A2872" t="s">
        <v>6015</v>
      </c>
      <c r="B2872" t="s">
        <v>65</v>
      </c>
      <c r="C2872" t="s">
        <v>397</v>
      </c>
      <c r="D2872">
        <v>2000</v>
      </c>
      <c r="E2872">
        <v>638.08900000000006</v>
      </c>
      <c r="F2872">
        <v>1758</v>
      </c>
      <c r="G2872">
        <v>1939479</v>
      </c>
      <c r="H2872" t="s">
        <v>1656</v>
      </c>
    </row>
    <row r="2873" spans="1:8" x14ac:dyDescent="0.25">
      <c r="A2873" t="s">
        <v>6015</v>
      </c>
      <c r="B2873" t="s">
        <v>65</v>
      </c>
      <c r="C2873" t="s">
        <v>397</v>
      </c>
      <c r="D2873">
        <v>5850</v>
      </c>
      <c r="E2873">
        <v>1263.6030000000001</v>
      </c>
      <c r="F2873">
        <v>5438.42</v>
      </c>
      <c r="G2873">
        <v>4186550</v>
      </c>
      <c r="H2873" t="s">
        <v>6072</v>
      </c>
    </row>
    <row r="2874" spans="1:8" x14ac:dyDescent="0.25">
      <c r="A2874" t="s">
        <v>6012</v>
      </c>
      <c r="B2874" t="s">
        <v>22</v>
      </c>
      <c r="C2874" t="s">
        <v>397</v>
      </c>
      <c r="D2874">
        <v>6000</v>
      </c>
      <c r="E2874">
        <v>1290.472</v>
      </c>
      <c r="F2874">
        <v>5556</v>
      </c>
      <c r="G2874">
        <v>3614493</v>
      </c>
      <c r="H2874" t="s">
        <v>1701</v>
      </c>
    </row>
    <row r="2875" spans="1:8" x14ac:dyDescent="0.25">
      <c r="A2875" t="s">
        <v>6012</v>
      </c>
      <c r="B2875" t="s">
        <v>22</v>
      </c>
      <c r="C2875" t="s">
        <v>397</v>
      </c>
      <c r="D2875">
        <v>4574.1940000000004</v>
      </c>
      <c r="E2875">
        <v>594.76199999999994</v>
      </c>
      <c r="F2875">
        <v>1838.826</v>
      </c>
      <c r="G2875">
        <v>3623581</v>
      </c>
      <c r="H2875" t="s">
        <v>1740</v>
      </c>
    </row>
    <row r="2876" spans="1:8" x14ac:dyDescent="0.25">
      <c r="A2876" t="s">
        <v>6012</v>
      </c>
      <c r="B2876" t="s">
        <v>22</v>
      </c>
      <c r="C2876" t="s">
        <v>397</v>
      </c>
      <c r="D2876">
        <v>180.69900000000001</v>
      </c>
      <c r="E2876">
        <v>23.495000000000001</v>
      </c>
      <c r="F2876">
        <v>72.641000000000005</v>
      </c>
      <c r="G2876">
        <v>3623581</v>
      </c>
      <c r="H2876" t="s">
        <v>1740</v>
      </c>
    </row>
    <row r="2877" spans="1:8" x14ac:dyDescent="0.25">
      <c r="A2877" t="s">
        <v>6012</v>
      </c>
      <c r="B2877" t="s">
        <v>22</v>
      </c>
      <c r="C2877" t="s">
        <v>397</v>
      </c>
      <c r="D2877">
        <v>104.63200000000001</v>
      </c>
      <c r="E2877">
        <v>13.605</v>
      </c>
      <c r="F2877">
        <v>42.061999999999998</v>
      </c>
      <c r="G2877">
        <v>3623581</v>
      </c>
      <c r="H2877" t="s">
        <v>1740</v>
      </c>
    </row>
    <row r="2878" spans="1:8" x14ac:dyDescent="0.25">
      <c r="A2878" t="s">
        <v>6012</v>
      </c>
      <c r="B2878" t="s">
        <v>22</v>
      </c>
      <c r="C2878" t="s">
        <v>397</v>
      </c>
      <c r="D2878">
        <v>940.47500000000002</v>
      </c>
      <c r="E2878">
        <v>122.286</v>
      </c>
      <c r="F2878">
        <v>378.07100000000003</v>
      </c>
      <c r="G2878">
        <v>3623581</v>
      </c>
      <c r="H2878" t="s">
        <v>1740</v>
      </c>
    </row>
    <row r="2879" spans="1:8" x14ac:dyDescent="0.25">
      <c r="A2879" t="s">
        <v>6012</v>
      </c>
      <c r="B2879" t="s">
        <v>22</v>
      </c>
      <c r="C2879" t="s">
        <v>397</v>
      </c>
      <c r="D2879">
        <v>1310</v>
      </c>
      <c r="E2879">
        <v>417.89</v>
      </c>
      <c r="F2879">
        <v>1150.951</v>
      </c>
      <c r="G2879">
        <v>4157557</v>
      </c>
      <c r="H2879" t="s">
        <v>6073</v>
      </c>
    </row>
    <row r="2880" spans="1:8" x14ac:dyDescent="0.25">
      <c r="A2880" t="s">
        <v>636</v>
      </c>
      <c r="B2880" t="s">
        <v>151</v>
      </c>
      <c r="C2880" t="s">
        <v>397</v>
      </c>
      <c r="D2880">
        <v>900.39400000000001</v>
      </c>
      <c r="E2880">
        <v>188.87299999999999</v>
      </c>
      <c r="F2880">
        <v>639.28</v>
      </c>
      <c r="G2880">
        <v>2417648</v>
      </c>
      <c r="H2880" t="s">
        <v>876</v>
      </c>
    </row>
    <row r="2881" spans="1:8" x14ac:dyDescent="0.25">
      <c r="A2881" t="s">
        <v>636</v>
      </c>
      <c r="B2881" t="s">
        <v>151</v>
      </c>
      <c r="C2881" t="s">
        <v>397</v>
      </c>
      <c r="D2881">
        <v>99.605999999999995</v>
      </c>
      <c r="E2881">
        <v>20.893999999999998</v>
      </c>
      <c r="F2881">
        <v>70.72</v>
      </c>
      <c r="G2881">
        <v>2417648</v>
      </c>
      <c r="H2881" t="s">
        <v>876</v>
      </c>
    </row>
    <row r="2882" spans="1:8" x14ac:dyDescent="0.25">
      <c r="A2882" t="s">
        <v>585</v>
      </c>
      <c r="B2882" t="s">
        <v>48</v>
      </c>
      <c r="C2882" t="s">
        <v>397</v>
      </c>
      <c r="D2882">
        <v>1621.4359999999999</v>
      </c>
      <c r="E2882">
        <v>372.93400000000003</v>
      </c>
      <c r="F2882">
        <v>1121.115</v>
      </c>
      <c r="G2882">
        <v>4010435</v>
      </c>
      <c r="H2882" t="s">
        <v>878</v>
      </c>
    </row>
    <row r="2883" spans="1:8" x14ac:dyDescent="0.25">
      <c r="A2883" t="s">
        <v>585</v>
      </c>
      <c r="B2883" t="s">
        <v>48</v>
      </c>
      <c r="C2883" t="s">
        <v>397</v>
      </c>
      <c r="D2883">
        <v>1398.5640000000001</v>
      </c>
      <c r="E2883">
        <v>321.673</v>
      </c>
      <c r="F2883">
        <v>967.01400000000001</v>
      </c>
      <c r="G2883">
        <v>4010435</v>
      </c>
      <c r="H2883" t="s">
        <v>878</v>
      </c>
    </row>
    <row r="2884" spans="1:8" x14ac:dyDescent="0.25">
      <c r="A2884" t="s">
        <v>396</v>
      </c>
      <c r="B2884" t="s">
        <v>61</v>
      </c>
      <c r="C2884" t="s">
        <v>397</v>
      </c>
      <c r="D2884">
        <v>123.869</v>
      </c>
      <c r="E2884">
        <v>72.881</v>
      </c>
      <c r="F2884">
        <v>92.034999999999997</v>
      </c>
      <c r="G2884">
        <v>1938191</v>
      </c>
      <c r="H2884" t="s">
        <v>591</v>
      </c>
    </row>
    <row r="2885" spans="1:8" x14ac:dyDescent="0.25">
      <c r="A2885" t="s">
        <v>396</v>
      </c>
      <c r="B2885" t="s">
        <v>61</v>
      </c>
      <c r="C2885" t="s">
        <v>397</v>
      </c>
      <c r="D2885">
        <v>283.87299999999999</v>
      </c>
      <c r="E2885">
        <v>167.024</v>
      </c>
      <c r="F2885">
        <v>210.91800000000001</v>
      </c>
      <c r="G2885">
        <v>1938191</v>
      </c>
      <c r="H2885" t="s">
        <v>591</v>
      </c>
    </row>
    <row r="2886" spans="1:8" x14ac:dyDescent="0.25">
      <c r="A2886" t="s">
        <v>396</v>
      </c>
      <c r="B2886" t="s">
        <v>61</v>
      </c>
      <c r="C2886" t="s">
        <v>397</v>
      </c>
      <c r="D2886">
        <v>592.25800000000004</v>
      </c>
      <c r="E2886">
        <v>348.47</v>
      </c>
      <c r="F2886">
        <v>440.048</v>
      </c>
      <c r="G2886">
        <v>1938191</v>
      </c>
      <c r="H2886" t="s">
        <v>591</v>
      </c>
    </row>
    <row r="2887" spans="1:8" x14ac:dyDescent="0.25">
      <c r="A2887" t="s">
        <v>636</v>
      </c>
      <c r="B2887" t="s">
        <v>151</v>
      </c>
      <c r="C2887" t="s">
        <v>397</v>
      </c>
      <c r="D2887">
        <v>1500</v>
      </c>
      <c r="E2887">
        <v>314.65100000000001</v>
      </c>
      <c r="F2887">
        <v>1065</v>
      </c>
      <c r="G2887">
        <v>2417648</v>
      </c>
      <c r="H2887" t="s">
        <v>876</v>
      </c>
    </row>
    <row r="2888" spans="1:8" x14ac:dyDescent="0.25">
      <c r="A2888" t="s">
        <v>636</v>
      </c>
      <c r="B2888" t="s">
        <v>151</v>
      </c>
      <c r="C2888" t="s">
        <v>397</v>
      </c>
      <c r="D2888">
        <v>1432.2439999999999</v>
      </c>
      <c r="E2888">
        <v>300.43799999999999</v>
      </c>
      <c r="F2888">
        <v>1016.893</v>
      </c>
      <c r="G2888">
        <v>2417648</v>
      </c>
      <c r="H2888" t="s">
        <v>876</v>
      </c>
    </row>
    <row r="2889" spans="1:8" x14ac:dyDescent="0.25">
      <c r="A2889" t="s">
        <v>636</v>
      </c>
      <c r="B2889" t="s">
        <v>151</v>
      </c>
      <c r="C2889" t="s">
        <v>397</v>
      </c>
      <c r="D2889">
        <v>1067.7560000000001</v>
      </c>
      <c r="E2889">
        <v>223.98</v>
      </c>
      <c r="F2889">
        <v>758.10699999999997</v>
      </c>
      <c r="G2889">
        <v>2417648</v>
      </c>
      <c r="H2889" t="s">
        <v>876</v>
      </c>
    </row>
    <row r="2890" spans="1:8" x14ac:dyDescent="0.25">
      <c r="A2890" t="s">
        <v>636</v>
      </c>
      <c r="B2890" t="s">
        <v>151</v>
      </c>
      <c r="C2890" t="s">
        <v>397</v>
      </c>
      <c r="D2890">
        <v>1519</v>
      </c>
      <c r="E2890">
        <v>1233.143</v>
      </c>
      <c r="F2890">
        <v>2196.4740000000002</v>
      </c>
      <c r="G2890">
        <v>1940743</v>
      </c>
      <c r="H2890" t="s">
        <v>867</v>
      </c>
    </row>
    <row r="2891" spans="1:8" x14ac:dyDescent="0.25">
      <c r="A2891" t="s">
        <v>636</v>
      </c>
      <c r="B2891" t="s">
        <v>151</v>
      </c>
      <c r="C2891" t="s">
        <v>397</v>
      </c>
      <c r="D2891">
        <v>1512</v>
      </c>
      <c r="E2891">
        <v>1227.46</v>
      </c>
      <c r="F2891">
        <v>2186.3519999999999</v>
      </c>
      <c r="G2891">
        <v>1940743</v>
      </c>
      <c r="H2891" t="s">
        <v>867</v>
      </c>
    </row>
    <row r="2892" spans="1:8" x14ac:dyDescent="0.25">
      <c r="A2892" t="s">
        <v>636</v>
      </c>
      <c r="B2892" t="s">
        <v>151</v>
      </c>
      <c r="C2892" t="s">
        <v>397</v>
      </c>
      <c r="D2892">
        <v>1519</v>
      </c>
      <c r="E2892">
        <v>1233.143</v>
      </c>
      <c r="F2892">
        <v>2196.4740000000002</v>
      </c>
      <c r="G2892">
        <v>1940743</v>
      </c>
      <c r="H2892" t="s">
        <v>867</v>
      </c>
    </row>
    <row r="2893" spans="1:8" x14ac:dyDescent="0.25">
      <c r="A2893" t="s">
        <v>636</v>
      </c>
      <c r="B2893" t="s">
        <v>151</v>
      </c>
      <c r="C2893" t="s">
        <v>397</v>
      </c>
      <c r="D2893">
        <v>450</v>
      </c>
      <c r="E2893">
        <v>365.31599999999997</v>
      </c>
      <c r="F2893">
        <v>650.70000000000005</v>
      </c>
      <c r="G2893">
        <v>1940743</v>
      </c>
      <c r="H2893" t="s">
        <v>867</v>
      </c>
    </row>
    <row r="2894" spans="1:8" x14ac:dyDescent="0.25">
      <c r="A2894" t="s">
        <v>6015</v>
      </c>
      <c r="B2894" t="s">
        <v>65</v>
      </c>
      <c r="C2894" t="s">
        <v>397</v>
      </c>
      <c r="D2894">
        <v>1907.28</v>
      </c>
      <c r="E2894">
        <v>608.50800000000004</v>
      </c>
      <c r="F2894">
        <v>1676.499</v>
      </c>
      <c r="G2894">
        <v>1939479</v>
      </c>
      <c r="H2894" t="s">
        <v>1656</v>
      </c>
    </row>
    <row r="2895" spans="1:8" x14ac:dyDescent="0.25">
      <c r="A2895" t="s">
        <v>6015</v>
      </c>
      <c r="B2895" t="s">
        <v>65</v>
      </c>
      <c r="C2895" t="s">
        <v>397</v>
      </c>
      <c r="D2895">
        <v>692.72</v>
      </c>
      <c r="E2895">
        <v>221.00899999999999</v>
      </c>
      <c r="F2895">
        <v>608.90099999999995</v>
      </c>
      <c r="G2895">
        <v>1939479</v>
      </c>
      <c r="H2895" t="s">
        <v>1656</v>
      </c>
    </row>
    <row r="2896" spans="1:8" x14ac:dyDescent="0.25">
      <c r="A2896" t="s">
        <v>6015</v>
      </c>
      <c r="B2896" t="s">
        <v>65</v>
      </c>
      <c r="C2896" t="s">
        <v>397</v>
      </c>
      <c r="D2896">
        <v>2370.2220000000002</v>
      </c>
      <c r="E2896">
        <v>511.96899999999999</v>
      </c>
      <c r="F2896">
        <v>2203.4639999999999</v>
      </c>
      <c r="G2896">
        <v>4186550</v>
      </c>
      <c r="H2896" t="s">
        <v>6072</v>
      </c>
    </row>
    <row r="2897" spans="1:8" x14ac:dyDescent="0.25">
      <c r="A2897" t="s">
        <v>6015</v>
      </c>
      <c r="B2897" t="s">
        <v>65</v>
      </c>
      <c r="C2897" t="s">
        <v>397</v>
      </c>
      <c r="D2897">
        <v>1129.778</v>
      </c>
      <c r="E2897">
        <v>244.03299999999999</v>
      </c>
      <c r="F2897">
        <v>1050.2919999999999</v>
      </c>
      <c r="G2897">
        <v>4186550</v>
      </c>
      <c r="H2897" t="s">
        <v>6072</v>
      </c>
    </row>
    <row r="2898" spans="1:8" x14ac:dyDescent="0.25">
      <c r="A2898" t="s">
        <v>723</v>
      </c>
      <c r="B2898" t="s">
        <v>27</v>
      </c>
      <c r="C2898" t="s">
        <v>397</v>
      </c>
      <c r="D2898">
        <v>600</v>
      </c>
      <c r="E2898">
        <v>140.404</v>
      </c>
      <c r="F2898">
        <v>804.84</v>
      </c>
      <c r="G2898">
        <v>3746291</v>
      </c>
      <c r="H2898" t="s">
        <v>880</v>
      </c>
    </row>
    <row r="2899" spans="1:8" x14ac:dyDescent="0.25">
      <c r="A2899" t="s">
        <v>723</v>
      </c>
      <c r="B2899" t="s">
        <v>27</v>
      </c>
      <c r="C2899" t="s">
        <v>397</v>
      </c>
      <c r="D2899">
        <v>300</v>
      </c>
      <c r="E2899">
        <v>78.900000000000006</v>
      </c>
      <c r="F2899">
        <v>452.28</v>
      </c>
      <c r="G2899">
        <v>4196298</v>
      </c>
      <c r="H2899" t="s">
        <v>882</v>
      </c>
    </row>
    <row r="2900" spans="1:8" x14ac:dyDescent="0.25">
      <c r="A2900" t="s">
        <v>6018</v>
      </c>
      <c r="B2900" t="s">
        <v>21</v>
      </c>
      <c r="C2900" t="s">
        <v>444</v>
      </c>
      <c r="D2900">
        <v>160</v>
      </c>
      <c r="E2900">
        <v>960</v>
      </c>
      <c r="F2900">
        <v>1923.1679999999999</v>
      </c>
      <c r="G2900">
        <v>3702207</v>
      </c>
      <c r="H2900" t="s">
        <v>5171</v>
      </c>
    </row>
    <row r="2901" spans="1:8" x14ac:dyDescent="0.25">
      <c r="A2901" t="s">
        <v>6012</v>
      </c>
      <c r="B2901" t="s">
        <v>22</v>
      </c>
      <c r="C2901" t="s">
        <v>397</v>
      </c>
      <c r="D2901">
        <v>1890</v>
      </c>
      <c r="E2901">
        <v>406.49900000000002</v>
      </c>
      <c r="F2901">
        <v>1750.14</v>
      </c>
      <c r="G2901">
        <v>3614493</v>
      </c>
      <c r="H2901" t="s">
        <v>1701</v>
      </c>
    </row>
    <row r="2902" spans="1:8" x14ac:dyDescent="0.25">
      <c r="A2902" t="s">
        <v>6012</v>
      </c>
      <c r="B2902" t="s">
        <v>22</v>
      </c>
      <c r="C2902" t="s">
        <v>397</v>
      </c>
      <c r="D2902">
        <v>1559.395</v>
      </c>
      <c r="E2902">
        <v>335.39299999999997</v>
      </c>
      <c r="F2902">
        <v>1444</v>
      </c>
      <c r="G2902">
        <v>3614493</v>
      </c>
      <c r="H2902" t="s">
        <v>1701</v>
      </c>
    </row>
    <row r="2903" spans="1:8" x14ac:dyDescent="0.25">
      <c r="A2903" t="s">
        <v>6012</v>
      </c>
      <c r="B2903" t="s">
        <v>22</v>
      </c>
      <c r="C2903" t="s">
        <v>397</v>
      </c>
      <c r="D2903">
        <v>175</v>
      </c>
      <c r="E2903">
        <v>37.639000000000003</v>
      </c>
      <c r="F2903">
        <v>162.05000000000001</v>
      </c>
      <c r="G2903">
        <v>3614493</v>
      </c>
      <c r="H2903" t="s">
        <v>1701</v>
      </c>
    </row>
    <row r="2904" spans="1:8" x14ac:dyDescent="0.25">
      <c r="A2904" t="s">
        <v>6012</v>
      </c>
      <c r="B2904" t="s">
        <v>22</v>
      </c>
      <c r="C2904" t="s">
        <v>397</v>
      </c>
      <c r="D2904">
        <v>15.605</v>
      </c>
      <c r="E2904">
        <v>3.3559999999999999</v>
      </c>
      <c r="F2904">
        <v>14.45</v>
      </c>
      <c r="G2904">
        <v>3614493</v>
      </c>
      <c r="H2904" t="s">
        <v>1701</v>
      </c>
    </row>
    <row r="2905" spans="1:8" x14ac:dyDescent="0.25">
      <c r="A2905" t="s">
        <v>6012</v>
      </c>
      <c r="B2905" t="s">
        <v>22</v>
      </c>
      <c r="C2905" t="s">
        <v>397</v>
      </c>
      <c r="D2905">
        <v>899.68100000000004</v>
      </c>
      <c r="E2905">
        <v>286.99799999999999</v>
      </c>
      <c r="F2905">
        <v>790.45</v>
      </c>
      <c r="G2905">
        <v>4157557</v>
      </c>
      <c r="H2905" t="s">
        <v>6073</v>
      </c>
    </row>
    <row r="2906" spans="1:8" x14ac:dyDescent="0.25">
      <c r="A2906" t="s">
        <v>6012</v>
      </c>
      <c r="B2906" t="s">
        <v>22</v>
      </c>
      <c r="C2906" t="s">
        <v>397</v>
      </c>
      <c r="D2906">
        <v>960.31899999999996</v>
      </c>
      <c r="E2906">
        <v>306.34100000000001</v>
      </c>
      <c r="F2906">
        <v>843.726</v>
      </c>
      <c r="G2906">
        <v>4157557</v>
      </c>
      <c r="H2906" t="s">
        <v>6073</v>
      </c>
    </row>
    <row r="2907" spans="1:8" x14ac:dyDescent="0.25">
      <c r="A2907" t="s">
        <v>6018</v>
      </c>
      <c r="B2907" t="s">
        <v>21</v>
      </c>
      <c r="C2907" t="s">
        <v>397</v>
      </c>
      <c r="D2907">
        <v>570</v>
      </c>
      <c r="E2907">
        <v>176.69900000000001</v>
      </c>
      <c r="F2907">
        <v>444.822</v>
      </c>
      <c r="G2907">
        <v>2244441</v>
      </c>
      <c r="H2907" t="s">
        <v>1714</v>
      </c>
    </row>
    <row r="2908" spans="1:8" x14ac:dyDescent="0.25">
      <c r="A2908" t="s">
        <v>6074</v>
      </c>
      <c r="B2908" t="s">
        <v>152</v>
      </c>
      <c r="C2908" t="s">
        <v>397</v>
      </c>
      <c r="D2908">
        <v>3000</v>
      </c>
      <c r="E2908">
        <v>612</v>
      </c>
      <c r="F2908">
        <v>1408.3330000000001</v>
      </c>
      <c r="G2908">
        <v>3557583</v>
      </c>
      <c r="H2908" t="s">
        <v>1686</v>
      </c>
    </row>
    <row r="2909" spans="1:8" x14ac:dyDescent="0.25">
      <c r="A2909" t="s">
        <v>517</v>
      </c>
      <c r="B2909" t="s">
        <v>19</v>
      </c>
      <c r="C2909" t="s">
        <v>444</v>
      </c>
      <c r="D2909">
        <v>356</v>
      </c>
      <c r="E2909">
        <v>2137.06</v>
      </c>
      <c r="F2909">
        <v>2133</v>
      </c>
      <c r="G2909">
        <v>1931535</v>
      </c>
      <c r="H2909" t="s">
        <v>781</v>
      </c>
    </row>
    <row r="2910" spans="1:8" x14ac:dyDescent="0.25">
      <c r="A2910" t="s">
        <v>517</v>
      </c>
      <c r="B2910" t="s">
        <v>19</v>
      </c>
      <c r="C2910" t="s">
        <v>444</v>
      </c>
      <c r="D2910">
        <v>338</v>
      </c>
      <c r="E2910">
        <v>2026.8510000000001</v>
      </c>
      <c r="F2910">
        <v>2023</v>
      </c>
      <c r="G2910">
        <v>1931535</v>
      </c>
      <c r="H2910" t="s">
        <v>781</v>
      </c>
    </row>
    <row r="2911" spans="1:8" x14ac:dyDescent="0.25">
      <c r="A2911" t="s">
        <v>517</v>
      </c>
      <c r="B2911" t="s">
        <v>19</v>
      </c>
      <c r="C2911" t="s">
        <v>444</v>
      </c>
      <c r="D2911">
        <v>358</v>
      </c>
      <c r="E2911">
        <v>2149.0830000000001</v>
      </c>
      <c r="F2911">
        <v>2145</v>
      </c>
      <c r="G2911">
        <v>1931535</v>
      </c>
      <c r="H2911" t="s">
        <v>781</v>
      </c>
    </row>
    <row r="2912" spans="1:8" x14ac:dyDescent="0.25">
      <c r="A2912" t="s">
        <v>517</v>
      </c>
      <c r="B2912" t="s">
        <v>19</v>
      </c>
      <c r="C2912" t="s">
        <v>444</v>
      </c>
      <c r="D2912">
        <v>352</v>
      </c>
      <c r="E2912">
        <v>2111.7620000000002</v>
      </c>
      <c r="F2912">
        <v>2107.75</v>
      </c>
      <c r="G2912">
        <v>1931535</v>
      </c>
      <c r="H2912" t="s">
        <v>781</v>
      </c>
    </row>
    <row r="2913" spans="1:8" x14ac:dyDescent="0.25">
      <c r="A2913" t="s">
        <v>517</v>
      </c>
      <c r="B2913" t="s">
        <v>19</v>
      </c>
      <c r="C2913" t="s">
        <v>444</v>
      </c>
      <c r="D2913">
        <v>365</v>
      </c>
      <c r="E2913">
        <v>2189.9110000000001</v>
      </c>
      <c r="F2913">
        <v>2185.75</v>
      </c>
      <c r="G2913">
        <v>1931535</v>
      </c>
      <c r="H2913" t="s">
        <v>781</v>
      </c>
    </row>
    <row r="2914" spans="1:8" x14ac:dyDescent="0.25">
      <c r="A2914" t="s">
        <v>517</v>
      </c>
      <c r="B2914" t="s">
        <v>19</v>
      </c>
      <c r="C2914" t="s">
        <v>444</v>
      </c>
      <c r="D2914">
        <v>181</v>
      </c>
      <c r="E2914">
        <v>1086.8150000000001</v>
      </c>
      <c r="F2914">
        <v>1084.75</v>
      </c>
      <c r="G2914">
        <v>1931535</v>
      </c>
      <c r="H2914" t="s">
        <v>781</v>
      </c>
    </row>
    <row r="2915" spans="1:8" x14ac:dyDescent="0.25">
      <c r="A2915" t="s">
        <v>517</v>
      </c>
      <c r="B2915" t="s">
        <v>19</v>
      </c>
      <c r="C2915" t="s">
        <v>444</v>
      </c>
      <c r="D2915">
        <v>192</v>
      </c>
      <c r="E2915">
        <v>1154.193</v>
      </c>
      <c r="F2915">
        <v>1152</v>
      </c>
      <c r="G2915">
        <v>1931535</v>
      </c>
      <c r="H2915" t="s">
        <v>781</v>
      </c>
    </row>
    <row r="2916" spans="1:8" x14ac:dyDescent="0.25">
      <c r="A2916" t="s">
        <v>517</v>
      </c>
      <c r="B2916" t="s">
        <v>19</v>
      </c>
      <c r="C2916" t="s">
        <v>444</v>
      </c>
      <c r="D2916">
        <v>12</v>
      </c>
      <c r="E2916">
        <v>74.325000000000003</v>
      </c>
      <c r="F2916">
        <v>74.183999999999997</v>
      </c>
      <c r="G2916">
        <v>1931535</v>
      </c>
      <c r="H2916" t="s">
        <v>781</v>
      </c>
    </row>
    <row r="2917" spans="1:8" x14ac:dyDescent="0.25">
      <c r="A2917" t="s">
        <v>821</v>
      </c>
      <c r="B2917" t="s">
        <v>177</v>
      </c>
      <c r="C2917" t="s">
        <v>397</v>
      </c>
      <c r="D2917">
        <v>1476.3689999999999</v>
      </c>
      <c r="E2917">
        <v>527.06100000000004</v>
      </c>
      <c r="F2917">
        <v>1585.768</v>
      </c>
      <c r="G2917">
        <v>3909903</v>
      </c>
      <c r="H2917" t="s">
        <v>822</v>
      </c>
    </row>
    <row r="2918" spans="1:8" x14ac:dyDescent="0.25">
      <c r="A2918" t="s">
        <v>821</v>
      </c>
      <c r="B2918" t="s">
        <v>177</v>
      </c>
      <c r="C2918" t="s">
        <v>397</v>
      </c>
      <c r="D2918">
        <v>1398.9480000000001</v>
      </c>
      <c r="E2918">
        <v>499.42200000000003</v>
      </c>
      <c r="F2918">
        <v>1502.61</v>
      </c>
      <c r="G2918">
        <v>3909903</v>
      </c>
      <c r="H2918" t="s">
        <v>822</v>
      </c>
    </row>
    <row r="2919" spans="1:8" x14ac:dyDescent="0.25">
      <c r="A2919" t="s">
        <v>821</v>
      </c>
      <c r="B2919" t="s">
        <v>177</v>
      </c>
      <c r="C2919" t="s">
        <v>397</v>
      </c>
      <c r="D2919">
        <v>124.68300000000001</v>
      </c>
      <c r="E2919">
        <v>44.512</v>
      </c>
      <c r="F2919">
        <v>133.922</v>
      </c>
      <c r="G2919">
        <v>3909903</v>
      </c>
      <c r="H2919" t="s">
        <v>822</v>
      </c>
    </row>
    <row r="2920" spans="1:8" x14ac:dyDescent="0.25">
      <c r="A2920" t="s">
        <v>6025</v>
      </c>
      <c r="B2920" t="s">
        <v>40</v>
      </c>
      <c r="C2920" t="s">
        <v>397</v>
      </c>
      <c r="D2920">
        <v>150.846</v>
      </c>
      <c r="E2920">
        <v>51.738999999999997</v>
      </c>
      <c r="F2920">
        <v>201.78700000000001</v>
      </c>
      <c r="G2920">
        <v>4184750</v>
      </c>
      <c r="H2920" t="s">
        <v>6075</v>
      </c>
    </row>
    <row r="2921" spans="1:8" x14ac:dyDescent="0.25">
      <c r="A2921" t="s">
        <v>6025</v>
      </c>
      <c r="B2921" t="s">
        <v>40</v>
      </c>
      <c r="C2921" t="s">
        <v>397</v>
      </c>
      <c r="D2921">
        <v>2999.154</v>
      </c>
      <c r="E2921">
        <v>1028.683</v>
      </c>
      <c r="F2921">
        <v>4011.9679999999998</v>
      </c>
      <c r="G2921">
        <v>4184750</v>
      </c>
      <c r="H2921" t="s">
        <v>6075</v>
      </c>
    </row>
    <row r="2922" spans="1:8" x14ac:dyDescent="0.25">
      <c r="A2922" t="s">
        <v>573</v>
      </c>
      <c r="B2922" t="s">
        <v>52</v>
      </c>
      <c r="C2922" t="s">
        <v>397</v>
      </c>
      <c r="D2922">
        <v>2848.1320000000001</v>
      </c>
      <c r="E2922">
        <v>592.41499999999996</v>
      </c>
      <c r="F2922">
        <v>2005.1479999999999</v>
      </c>
      <c r="G2922">
        <v>3722021</v>
      </c>
      <c r="H2922" t="s">
        <v>884</v>
      </c>
    </row>
    <row r="2923" spans="1:8" x14ac:dyDescent="0.25">
      <c r="A2923" t="s">
        <v>573</v>
      </c>
      <c r="B2923" t="s">
        <v>52</v>
      </c>
      <c r="C2923" t="s">
        <v>397</v>
      </c>
      <c r="D2923">
        <v>2904.692</v>
      </c>
      <c r="E2923">
        <v>604.17999999999995</v>
      </c>
      <c r="F2923">
        <v>2044.9680000000001</v>
      </c>
      <c r="G2923">
        <v>3722021</v>
      </c>
      <c r="H2923" t="s">
        <v>884</v>
      </c>
    </row>
    <row r="2924" spans="1:8" x14ac:dyDescent="0.25">
      <c r="A2924" t="s">
        <v>573</v>
      </c>
      <c r="B2924" t="s">
        <v>52</v>
      </c>
      <c r="C2924" t="s">
        <v>397</v>
      </c>
      <c r="D2924">
        <v>3035.7040000000002</v>
      </c>
      <c r="E2924">
        <v>631.43100000000004</v>
      </c>
      <c r="F2924">
        <v>2137.203</v>
      </c>
      <c r="G2924">
        <v>3722021</v>
      </c>
      <c r="H2924" t="s">
        <v>884</v>
      </c>
    </row>
    <row r="2925" spans="1:8" x14ac:dyDescent="0.25">
      <c r="A2925" t="s">
        <v>573</v>
      </c>
      <c r="B2925" t="s">
        <v>52</v>
      </c>
      <c r="C2925" t="s">
        <v>397</v>
      </c>
      <c r="D2925">
        <v>536.47199999999998</v>
      </c>
      <c r="E2925">
        <v>111.587</v>
      </c>
      <c r="F2925">
        <v>377.68799999999999</v>
      </c>
      <c r="G2925">
        <v>3722021</v>
      </c>
      <c r="H2925" t="s">
        <v>884</v>
      </c>
    </row>
    <row r="2926" spans="1:8" x14ac:dyDescent="0.25">
      <c r="A2926" t="s">
        <v>6015</v>
      </c>
      <c r="B2926" t="s">
        <v>65</v>
      </c>
      <c r="C2926" t="s">
        <v>397</v>
      </c>
      <c r="D2926">
        <v>2919.9059999999999</v>
      </c>
      <c r="E2926">
        <v>931.58</v>
      </c>
      <c r="F2926">
        <v>2566.5970000000002</v>
      </c>
      <c r="G2926">
        <v>1939479</v>
      </c>
      <c r="H2926" t="s">
        <v>1656</v>
      </c>
    </row>
    <row r="2927" spans="1:8" x14ac:dyDescent="0.25">
      <c r="A2927" t="s">
        <v>6015</v>
      </c>
      <c r="B2927" t="s">
        <v>65</v>
      </c>
      <c r="C2927" t="s">
        <v>397</v>
      </c>
      <c r="D2927">
        <v>1290.0940000000001</v>
      </c>
      <c r="E2927">
        <v>411.59800000000001</v>
      </c>
      <c r="F2927">
        <v>1133.9929999999999</v>
      </c>
      <c r="G2927">
        <v>1939479</v>
      </c>
      <c r="H2927" t="s">
        <v>1656</v>
      </c>
    </row>
    <row r="2928" spans="1:8" x14ac:dyDescent="0.25">
      <c r="A2928" t="s">
        <v>6015</v>
      </c>
      <c r="B2928" t="s">
        <v>65</v>
      </c>
      <c r="C2928" t="s">
        <v>397</v>
      </c>
      <c r="D2928">
        <v>635.274</v>
      </c>
      <c r="E2928">
        <v>137.21899999999999</v>
      </c>
      <c r="F2928">
        <v>590.57899999999995</v>
      </c>
      <c r="G2928">
        <v>4186550</v>
      </c>
      <c r="H2928" t="s">
        <v>6072</v>
      </c>
    </row>
    <row r="2929" spans="1:8" x14ac:dyDescent="0.25">
      <c r="A2929" t="s">
        <v>6015</v>
      </c>
      <c r="B2929" t="s">
        <v>65</v>
      </c>
      <c r="C2929" t="s">
        <v>397</v>
      </c>
      <c r="D2929">
        <v>349.53899999999999</v>
      </c>
      <c r="E2929">
        <v>75.501000000000005</v>
      </c>
      <c r="F2929">
        <v>324.947</v>
      </c>
      <c r="G2929">
        <v>4186550</v>
      </c>
      <c r="H2929" t="s">
        <v>6072</v>
      </c>
    </row>
    <row r="2930" spans="1:8" x14ac:dyDescent="0.25">
      <c r="A2930" t="s">
        <v>6015</v>
      </c>
      <c r="B2930" t="s">
        <v>65</v>
      </c>
      <c r="C2930" t="s">
        <v>397</v>
      </c>
      <c r="D2930">
        <v>549.98199999999997</v>
      </c>
      <c r="E2930">
        <v>118.79600000000001</v>
      </c>
      <c r="F2930">
        <v>511.28800000000001</v>
      </c>
      <c r="G2930">
        <v>4186550</v>
      </c>
      <c r="H2930" t="s">
        <v>6072</v>
      </c>
    </row>
    <row r="2931" spans="1:8" x14ac:dyDescent="0.25">
      <c r="A2931" t="s">
        <v>6015</v>
      </c>
      <c r="B2931" t="s">
        <v>65</v>
      </c>
      <c r="C2931" t="s">
        <v>397</v>
      </c>
      <c r="D2931">
        <v>554.69100000000003</v>
      </c>
      <c r="E2931">
        <v>119.81399999999999</v>
      </c>
      <c r="F2931">
        <v>515.66499999999996</v>
      </c>
      <c r="G2931">
        <v>4186550</v>
      </c>
      <c r="H2931" t="s">
        <v>6072</v>
      </c>
    </row>
    <row r="2932" spans="1:8" x14ac:dyDescent="0.25">
      <c r="A2932" t="s">
        <v>6015</v>
      </c>
      <c r="B2932" t="s">
        <v>65</v>
      </c>
      <c r="C2932" t="s">
        <v>397</v>
      </c>
      <c r="D2932">
        <v>2027.82</v>
      </c>
      <c r="E2932">
        <v>438.01</v>
      </c>
      <c r="F2932">
        <v>1885.152</v>
      </c>
      <c r="G2932">
        <v>4186550</v>
      </c>
      <c r="H2932" t="s">
        <v>6072</v>
      </c>
    </row>
    <row r="2933" spans="1:8" x14ac:dyDescent="0.25">
      <c r="A2933" t="s">
        <v>6015</v>
      </c>
      <c r="B2933" t="s">
        <v>65</v>
      </c>
      <c r="C2933" t="s">
        <v>397</v>
      </c>
      <c r="D2933">
        <v>882.69399999999996</v>
      </c>
      <c r="E2933">
        <v>190.66200000000001</v>
      </c>
      <c r="F2933">
        <v>820.59199999999998</v>
      </c>
      <c r="G2933">
        <v>4186550</v>
      </c>
      <c r="H2933" t="s">
        <v>6072</v>
      </c>
    </row>
    <row r="2934" spans="1:8" x14ac:dyDescent="0.25">
      <c r="A2934" t="s">
        <v>396</v>
      </c>
      <c r="B2934" t="s">
        <v>61</v>
      </c>
      <c r="C2934" t="s">
        <v>397</v>
      </c>
      <c r="D2934">
        <v>3020</v>
      </c>
      <c r="E2934">
        <v>1776.893</v>
      </c>
      <c r="F2934">
        <v>2243.86</v>
      </c>
      <c r="G2934">
        <v>1938191</v>
      </c>
      <c r="H2934" t="s">
        <v>591</v>
      </c>
    </row>
    <row r="2935" spans="1:8" x14ac:dyDescent="0.25">
      <c r="A2935" t="s">
        <v>585</v>
      </c>
      <c r="B2935" t="s">
        <v>48</v>
      </c>
      <c r="C2935" t="s">
        <v>397</v>
      </c>
      <c r="D2935">
        <v>132.839</v>
      </c>
      <c r="E2935">
        <v>110.919</v>
      </c>
      <c r="F2935">
        <v>187.60900000000001</v>
      </c>
      <c r="G2935">
        <v>3712521</v>
      </c>
      <c r="H2935" t="s">
        <v>631</v>
      </c>
    </row>
    <row r="2936" spans="1:8" x14ac:dyDescent="0.25">
      <c r="A2936" t="s">
        <v>585</v>
      </c>
      <c r="B2936" t="s">
        <v>48</v>
      </c>
      <c r="C2936" t="s">
        <v>397</v>
      </c>
      <c r="D2936">
        <v>354.03199999999998</v>
      </c>
      <c r="E2936">
        <v>295.613</v>
      </c>
      <c r="F2936">
        <v>499.99900000000002</v>
      </c>
      <c r="G2936">
        <v>3712521</v>
      </c>
      <c r="H2936" t="s">
        <v>631</v>
      </c>
    </row>
    <row r="2937" spans="1:8" x14ac:dyDescent="0.25">
      <c r="A2937" t="s">
        <v>585</v>
      </c>
      <c r="B2937" t="s">
        <v>48</v>
      </c>
      <c r="C2937" t="s">
        <v>397</v>
      </c>
      <c r="D2937">
        <v>226.87299999999999</v>
      </c>
      <c r="E2937">
        <v>189.43600000000001</v>
      </c>
      <c r="F2937">
        <v>320.41300000000001</v>
      </c>
      <c r="G2937">
        <v>3712521</v>
      </c>
      <c r="H2937" t="s">
        <v>631</v>
      </c>
    </row>
    <row r="2938" spans="1:8" x14ac:dyDescent="0.25">
      <c r="A2938" t="s">
        <v>585</v>
      </c>
      <c r="B2938" t="s">
        <v>48</v>
      </c>
      <c r="C2938" t="s">
        <v>397</v>
      </c>
      <c r="D2938">
        <v>1563.2560000000001</v>
      </c>
      <c r="E2938">
        <v>1305.3009999999999</v>
      </c>
      <c r="F2938">
        <v>2207.7860000000001</v>
      </c>
      <c r="G2938">
        <v>3712521</v>
      </c>
      <c r="H2938" t="s">
        <v>631</v>
      </c>
    </row>
    <row r="2939" spans="1:8" x14ac:dyDescent="0.25">
      <c r="A2939" t="s">
        <v>723</v>
      </c>
      <c r="B2939" t="s">
        <v>27</v>
      </c>
      <c r="C2939" t="s">
        <v>397</v>
      </c>
      <c r="D2939">
        <v>102.72499999999999</v>
      </c>
      <c r="E2939">
        <v>24.038</v>
      </c>
      <c r="F2939">
        <v>137.79499999999999</v>
      </c>
      <c r="G2939">
        <v>3746291</v>
      </c>
      <c r="H2939" t="s">
        <v>880</v>
      </c>
    </row>
    <row r="2940" spans="1:8" x14ac:dyDescent="0.25">
      <c r="A2940" t="s">
        <v>723</v>
      </c>
      <c r="B2940" t="s">
        <v>27</v>
      </c>
      <c r="C2940" t="s">
        <v>397</v>
      </c>
      <c r="D2940">
        <v>326.27499999999998</v>
      </c>
      <c r="E2940">
        <v>76.350999999999999</v>
      </c>
      <c r="F2940">
        <v>437.66500000000002</v>
      </c>
      <c r="G2940">
        <v>3746291</v>
      </c>
      <c r="H2940" t="s">
        <v>880</v>
      </c>
    </row>
    <row r="2941" spans="1:8" x14ac:dyDescent="0.25">
      <c r="A2941" t="s">
        <v>636</v>
      </c>
      <c r="B2941" t="s">
        <v>151</v>
      </c>
      <c r="C2941" t="s">
        <v>397</v>
      </c>
      <c r="D2941">
        <v>1836.9069999999999</v>
      </c>
      <c r="E2941">
        <v>385.32299999999998</v>
      </c>
      <c r="F2941">
        <v>1304.204</v>
      </c>
      <c r="G2941">
        <v>2417648</v>
      </c>
      <c r="H2941" t="s">
        <v>876</v>
      </c>
    </row>
    <row r="2942" spans="1:8" x14ac:dyDescent="0.25">
      <c r="A2942" t="s">
        <v>636</v>
      </c>
      <c r="B2942" t="s">
        <v>151</v>
      </c>
      <c r="C2942" t="s">
        <v>397</v>
      </c>
      <c r="D2942">
        <v>3009.4960000000001</v>
      </c>
      <c r="E2942">
        <v>631.29399999999998</v>
      </c>
      <c r="F2942">
        <v>2136.7420000000002</v>
      </c>
      <c r="G2942">
        <v>2417648</v>
      </c>
      <c r="H2942" t="s">
        <v>876</v>
      </c>
    </row>
    <row r="2943" spans="1:8" x14ac:dyDescent="0.25">
      <c r="A2943" t="s">
        <v>636</v>
      </c>
      <c r="B2943" t="s">
        <v>151</v>
      </c>
      <c r="C2943" t="s">
        <v>397</v>
      </c>
      <c r="D2943">
        <v>1653.597</v>
      </c>
      <c r="E2943">
        <v>346.87099999999998</v>
      </c>
      <c r="F2943">
        <v>1174.0540000000001</v>
      </c>
      <c r="G2943">
        <v>2417648</v>
      </c>
      <c r="H2943" t="s">
        <v>876</v>
      </c>
    </row>
    <row r="2944" spans="1:8" x14ac:dyDescent="0.25">
      <c r="A2944" t="s">
        <v>5966</v>
      </c>
      <c r="B2944" t="s">
        <v>37</v>
      </c>
      <c r="C2944" t="s">
        <v>392</v>
      </c>
      <c r="D2944">
        <v>150</v>
      </c>
      <c r="E2944">
        <v>929.68</v>
      </c>
      <c r="F2944">
        <v>1174</v>
      </c>
      <c r="G2944">
        <v>3775569</v>
      </c>
      <c r="H2944" t="s">
        <v>595</v>
      </c>
    </row>
    <row r="2945" spans="1:8" x14ac:dyDescent="0.25">
      <c r="A2945" t="s">
        <v>5966</v>
      </c>
      <c r="B2945" t="s">
        <v>37</v>
      </c>
      <c r="C2945" t="s">
        <v>392</v>
      </c>
      <c r="D2945">
        <v>34</v>
      </c>
      <c r="E2945">
        <v>210.643</v>
      </c>
      <c r="F2945">
        <v>266</v>
      </c>
      <c r="G2945">
        <v>3775569</v>
      </c>
      <c r="H2945" t="s">
        <v>595</v>
      </c>
    </row>
    <row r="2946" spans="1:8" x14ac:dyDescent="0.25">
      <c r="A2946" t="s">
        <v>6012</v>
      </c>
      <c r="B2946" t="s">
        <v>22</v>
      </c>
      <c r="C2946" t="s">
        <v>397</v>
      </c>
      <c r="D2946">
        <v>1188</v>
      </c>
      <c r="E2946">
        <v>643.471</v>
      </c>
      <c r="F2946">
        <v>1531.3320000000001</v>
      </c>
      <c r="G2946">
        <v>3191790</v>
      </c>
      <c r="H2946" t="s">
        <v>1727</v>
      </c>
    </row>
    <row r="2947" spans="1:8" x14ac:dyDescent="0.25">
      <c r="A2947" t="s">
        <v>6012</v>
      </c>
      <c r="B2947" t="s">
        <v>22</v>
      </c>
      <c r="C2947" t="s">
        <v>397</v>
      </c>
      <c r="D2947">
        <v>1100</v>
      </c>
      <c r="E2947">
        <v>595.80600000000004</v>
      </c>
      <c r="F2947">
        <v>1417.9</v>
      </c>
      <c r="G2947">
        <v>3191790</v>
      </c>
      <c r="H2947" t="s">
        <v>1727</v>
      </c>
    </row>
    <row r="2948" spans="1:8" x14ac:dyDescent="0.25">
      <c r="A2948" t="s">
        <v>6012</v>
      </c>
      <c r="B2948" t="s">
        <v>22</v>
      </c>
      <c r="C2948" t="s">
        <v>397</v>
      </c>
      <c r="D2948">
        <v>660</v>
      </c>
      <c r="E2948">
        <v>357.48399999999998</v>
      </c>
      <c r="F2948">
        <v>850.74</v>
      </c>
      <c r="G2948">
        <v>3191790</v>
      </c>
      <c r="H2948" t="s">
        <v>1727</v>
      </c>
    </row>
    <row r="2949" spans="1:8" x14ac:dyDescent="0.25">
      <c r="A2949" t="s">
        <v>6012</v>
      </c>
      <c r="B2949" t="s">
        <v>22</v>
      </c>
      <c r="C2949" t="s">
        <v>397</v>
      </c>
      <c r="D2949">
        <v>499</v>
      </c>
      <c r="E2949">
        <v>270.279</v>
      </c>
      <c r="F2949">
        <v>643.21100000000001</v>
      </c>
      <c r="G2949">
        <v>3191790</v>
      </c>
      <c r="H2949" t="s">
        <v>1727</v>
      </c>
    </row>
    <row r="2950" spans="1:8" x14ac:dyDescent="0.25">
      <c r="A2950" t="s">
        <v>821</v>
      </c>
      <c r="B2950" t="s">
        <v>177</v>
      </c>
      <c r="C2950" t="s">
        <v>397</v>
      </c>
      <c r="D2950">
        <v>27</v>
      </c>
      <c r="E2950">
        <v>10.154999999999999</v>
      </c>
      <c r="F2950">
        <v>28.053000000000001</v>
      </c>
      <c r="G2950">
        <v>2359912</v>
      </c>
      <c r="H2950" t="s">
        <v>825</v>
      </c>
    </row>
    <row r="2951" spans="1:8" x14ac:dyDescent="0.25">
      <c r="A2951" t="s">
        <v>821</v>
      </c>
      <c r="B2951" t="s">
        <v>177</v>
      </c>
      <c r="C2951" t="s">
        <v>397</v>
      </c>
      <c r="D2951">
        <v>4000</v>
      </c>
      <c r="E2951">
        <v>1427.992</v>
      </c>
      <c r="F2951">
        <v>4296.3999999999996</v>
      </c>
      <c r="G2951">
        <v>3909903</v>
      </c>
      <c r="H2951" t="s">
        <v>822</v>
      </c>
    </row>
    <row r="2952" spans="1:8" x14ac:dyDescent="0.25">
      <c r="A2952" t="s">
        <v>653</v>
      </c>
      <c r="B2952" t="s">
        <v>39</v>
      </c>
      <c r="C2952" t="s">
        <v>397</v>
      </c>
      <c r="D2952">
        <v>2647.7330000000002</v>
      </c>
      <c r="E2952">
        <v>890.56500000000005</v>
      </c>
      <c r="F2952">
        <v>1249.73</v>
      </c>
      <c r="G2952">
        <v>2325421</v>
      </c>
      <c r="H2952" t="s">
        <v>795</v>
      </c>
    </row>
    <row r="2953" spans="1:8" x14ac:dyDescent="0.25">
      <c r="A2953" t="s">
        <v>653</v>
      </c>
      <c r="B2953" t="s">
        <v>39</v>
      </c>
      <c r="C2953" t="s">
        <v>397</v>
      </c>
      <c r="D2953">
        <v>163.82599999999999</v>
      </c>
      <c r="E2953">
        <v>55.103000000000002</v>
      </c>
      <c r="F2953">
        <v>77.325999999999993</v>
      </c>
      <c r="G2953">
        <v>2325421</v>
      </c>
      <c r="H2953" t="s">
        <v>795</v>
      </c>
    </row>
    <row r="2954" spans="1:8" x14ac:dyDescent="0.25">
      <c r="A2954" t="s">
        <v>653</v>
      </c>
      <c r="B2954" t="s">
        <v>39</v>
      </c>
      <c r="C2954" t="s">
        <v>397</v>
      </c>
      <c r="D2954">
        <v>406.44099999999997</v>
      </c>
      <c r="E2954">
        <v>136.70599999999999</v>
      </c>
      <c r="F2954">
        <v>191.84</v>
      </c>
      <c r="G2954">
        <v>2325421</v>
      </c>
      <c r="H2954" t="s">
        <v>795</v>
      </c>
    </row>
    <row r="2955" spans="1:8" x14ac:dyDescent="0.25">
      <c r="A2955" t="s">
        <v>653</v>
      </c>
      <c r="B2955" t="s">
        <v>39</v>
      </c>
      <c r="C2955" t="s">
        <v>397</v>
      </c>
      <c r="D2955">
        <v>500</v>
      </c>
      <c r="E2955">
        <v>104.884</v>
      </c>
      <c r="F2955">
        <v>355</v>
      </c>
      <c r="G2955">
        <v>2417648</v>
      </c>
      <c r="H2955" t="s">
        <v>876</v>
      </c>
    </row>
    <row r="2956" spans="1:8" x14ac:dyDescent="0.25">
      <c r="A2956" t="s">
        <v>585</v>
      </c>
      <c r="B2956" t="s">
        <v>48</v>
      </c>
      <c r="C2956" t="s">
        <v>444</v>
      </c>
      <c r="D2956">
        <v>188</v>
      </c>
      <c r="E2956">
        <v>1165.664</v>
      </c>
      <c r="F2956">
        <v>1472</v>
      </c>
      <c r="G2956">
        <v>3775569</v>
      </c>
      <c r="H2956" t="s">
        <v>595</v>
      </c>
    </row>
    <row r="2957" spans="1:8" x14ac:dyDescent="0.25">
      <c r="A2957" t="s">
        <v>585</v>
      </c>
      <c r="B2957" t="s">
        <v>48</v>
      </c>
      <c r="C2957" t="s">
        <v>444</v>
      </c>
      <c r="D2957">
        <v>221</v>
      </c>
      <c r="E2957">
        <v>1369.971</v>
      </c>
      <c r="F2957">
        <v>1729.999</v>
      </c>
      <c r="G2957">
        <v>3775569</v>
      </c>
      <c r="H2957" t="s">
        <v>595</v>
      </c>
    </row>
    <row r="2958" spans="1:8" x14ac:dyDescent="0.25">
      <c r="A2958" t="s">
        <v>585</v>
      </c>
      <c r="B2958" t="s">
        <v>48</v>
      </c>
      <c r="C2958" t="s">
        <v>444</v>
      </c>
      <c r="D2958">
        <v>225</v>
      </c>
      <c r="E2958">
        <v>1394.52</v>
      </c>
      <c r="F2958">
        <v>1761</v>
      </c>
      <c r="G2958">
        <v>3775569</v>
      </c>
      <c r="H2958" t="s">
        <v>595</v>
      </c>
    </row>
    <row r="2959" spans="1:8" x14ac:dyDescent="0.25">
      <c r="A2959" t="s">
        <v>585</v>
      </c>
      <c r="B2959" t="s">
        <v>48</v>
      </c>
      <c r="C2959" t="s">
        <v>444</v>
      </c>
      <c r="D2959">
        <v>217</v>
      </c>
      <c r="E2959">
        <v>1344.845</v>
      </c>
      <c r="F2959">
        <v>1698.27</v>
      </c>
      <c r="G2959">
        <v>3775569</v>
      </c>
      <c r="H2959" t="s">
        <v>595</v>
      </c>
    </row>
    <row r="2960" spans="1:8" x14ac:dyDescent="0.25">
      <c r="A2960" t="s">
        <v>653</v>
      </c>
      <c r="B2960" t="s">
        <v>39</v>
      </c>
      <c r="C2960" t="s">
        <v>444</v>
      </c>
      <c r="D2960">
        <v>216</v>
      </c>
      <c r="E2960">
        <v>1337.0640000000001</v>
      </c>
      <c r="F2960">
        <v>1925.64</v>
      </c>
      <c r="G2960">
        <v>3502254</v>
      </c>
      <c r="H2960" t="s">
        <v>858</v>
      </c>
    </row>
    <row r="2961" spans="1:8" x14ac:dyDescent="0.25">
      <c r="A2961" t="s">
        <v>653</v>
      </c>
      <c r="B2961" t="s">
        <v>39</v>
      </c>
      <c r="C2961" t="s">
        <v>444</v>
      </c>
      <c r="D2961">
        <v>216</v>
      </c>
      <c r="E2961">
        <v>1337.0640000000001</v>
      </c>
      <c r="F2961">
        <v>1925.64</v>
      </c>
      <c r="G2961">
        <v>3502254</v>
      </c>
      <c r="H2961" t="s">
        <v>858</v>
      </c>
    </row>
    <row r="2962" spans="1:8" x14ac:dyDescent="0.25">
      <c r="A2962" t="s">
        <v>653</v>
      </c>
      <c r="B2962" t="s">
        <v>39</v>
      </c>
      <c r="C2962" t="s">
        <v>444</v>
      </c>
      <c r="D2962">
        <v>217</v>
      </c>
      <c r="E2962">
        <v>1342.8720000000001</v>
      </c>
      <c r="F2962">
        <v>1934.0039999999999</v>
      </c>
      <c r="G2962">
        <v>3502254</v>
      </c>
      <c r="H2962" t="s">
        <v>858</v>
      </c>
    </row>
    <row r="2963" spans="1:8" x14ac:dyDescent="0.25">
      <c r="A2963" t="s">
        <v>636</v>
      </c>
      <c r="B2963" t="s">
        <v>151</v>
      </c>
      <c r="C2963" t="s">
        <v>397</v>
      </c>
      <c r="D2963">
        <v>88.25</v>
      </c>
      <c r="E2963">
        <v>20.827000000000002</v>
      </c>
      <c r="F2963">
        <v>119.38500000000001</v>
      </c>
      <c r="G2963">
        <v>3784473</v>
      </c>
      <c r="H2963" t="s">
        <v>873</v>
      </c>
    </row>
    <row r="2964" spans="1:8" x14ac:dyDescent="0.25">
      <c r="A2964" t="s">
        <v>636</v>
      </c>
      <c r="B2964" t="s">
        <v>151</v>
      </c>
      <c r="C2964" t="s">
        <v>397</v>
      </c>
      <c r="D2964">
        <v>60.573999999999998</v>
      </c>
      <c r="E2964">
        <v>14.295</v>
      </c>
      <c r="F2964">
        <v>81.944999999999993</v>
      </c>
      <c r="G2964">
        <v>3784473</v>
      </c>
      <c r="H2964" t="s">
        <v>873</v>
      </c>
    </row>
    <row r="2965" spans="1:8" x14ac:dyDescent="0.25">
      <c r="A2965" t="s">
        <v>636</v>
      </c>
      <c r="B2965" t="s">
        <v>151</v>
      </c>
      <c r="C2965" t="s">
        <v>397</v>
      </c>
      <c r="D2965">
        <v>1091.1759999999999</v>
      </c>
      <c r="E2965">
        <v>257.51299999999998</v>
      </c>
      <c r="F2965">
        <v>1476.143</v>
      </c>
      <c r="G2965">
        <v>3784473</v>
      </c>
      <c r="H2965" t="s">
        <v>873</v>
      </c>
    </row>
    <row r="2966" spans="1:8" x14ac:dyDescent="0.25">
      <c r="A2966" t="s">
        <v>757</v>
      </c>
      <c r="B2966" t="s">
        <v>53</v>
      </c>
      <c r="C2966" t="s">
        <v>397</v>
      </c>
      <c r="D2966">
        <v>1180</v>
      </c>
      <c r="E2966">
        <v>1002.967</v>
      </c>
      <c r="F2966">
        <v>2487.558</v>
      </c>
      <c r="G2966">
        <v>3910648</v>
      </c>
      <c r="H2966" t="s">
        <v>887</v>
      </c>
    </row>
    <row r="2967" spans="1:8" x14ac:dyDescent="0.25">
      <c r="A2967" t="s">
        <v>757</v>
      </c>
      <c r="B2967" t="s">
        <v>53</v>
      </c>
      <c r="C2967" t="s">
        <v>397</v>
      </c>
      <c r="D2967">
        <v>1180</v>
      </c>
      <c r="E2967">
        <v>1002.967</v>
      </c>
      <c r="F2967">
        <v>2487.558</v>
      </c>
      <c r="G2967">
        <v>3910648</v>
      </c>
      <c r="H2967" t="s">
        <v>887</v>
      </c>
    </row>
    <row r="2968" spans="1:8" x14ac:dyDescent="0.25">
      <c r="A2968" t="s">
        <v>757</v>
      </c>
      <c r="B2968" t="s">
        <v>53</v>
      </c>
      <c r="C2968" t="s">
        <v>397</v>
      </c>
      <c r="D2968">
        <v>1180</v>
      </c>
      <c r="E2968">
        <v>1002.967</v>
      </c>
      <c r="F2968">
        <v>2487.558</v>
      </c>
      <c r="G2968">
        <v>3910648</v>
      </c>
      <c r="H2968" t="s">
        <v>887</v>
      </c>
    </row>
    <row r="2969" spans="1:8" x14ac:dyDescent="0.25">
      <c r="A2969" t="s">
        <v>757</v>
      </c>
      <c r="B2969" t="s">
        <v>53</v>
      </c>
      <c r="C2969" t="s">
        <v>397</v>
      </c>
      <c r="D2969">
        <v>1170</v>
      </c>
      <c r="E2969">
        <v>994.46699999999998</v>
      </c>
      <c r="F2969">
        <v>2466.4769999999999</v>
      </c>
      <c r="G2969">
        <v>3910648</v>
      </c>
      <c r="H2969" t="s">
        <v>887</v>
      </c>
    </row>
    <row r="2970" spans="1:8" x14ac:dyDescent="0.25">
      <c r="A2970" t="s">
        <v>757</v>
      </c>
      <c r="B2970" t="s">
        <v>53</v>
      </c>
      <c r="C2970" t="s">
        <v>397</v>
      </c>
      <c r="D2970">
        <v>910</v>
      </c>
      <c r="E2970">
        <v>773.47400000000005</v>
      </c>
      <c r="F2970">
        <v>1918.3710000000001</v>
      </c>
      <c r="G2970">
        <v>3910648</v>
      </c>
      <c r="H2970" t="s">
        <v>887</v>
      </c>
    </row>
    <row r="2971" spans="1:8" x14ac:dyDescent="0.25">
      <c r="A2971" t="s">
        <v>757</v>
      </c>
      <c r="B2971" t="s">
        <v>53</v>
      </c>
      <c r="C2971" t="s">
        <v>397</v>
      </c>
      <c r="D2971">
        <v>20</v>
      </c>
      <c r="E2971">
        <v>16.998999999999999</v>
      </c>
      <c r="F2971">
        <v>42.161999999999999</v>
      </c>
      <c r="G2971">
        <v>3910648</v>
      </c>
      <c r="H2971" t="s">
        <v>887</v>
      </c>
    </row>
    <row r="2972" spans="1:8" x14ac:dyDescent="0.25">
      <c r="A2972" t="s">
        <v>723</v>
      </c>
      <c r="B2972" t="s">
        <v>27</v>
      </c>
      <c r="C2972" t="s">
        <v>397</v>
      </c>
      <c r="D2972">
        <v>560</v>
      </c>
      <c r="E2972">
        <v>131.04400000000001</v>
      </c>
      <c r="F2972">
        <v>751.18399999999997</v>
      </c>
      <c r="G2972">
        <v>3746291</v>
      </c>
      <c r="H2972" t="s">
        <v>880</v>
      </c>
    </row>
    <row r="2973" spans="1:8" x14ac:dyDescent="0.25">
      <c r="A2973" t="s">
        <v>6015</v>
      </c>
      <c r="B2973" t="s">
        <v>65</v>
      </c>
      <c r="C2973" t="s">
        <v>397</v>
      </c>
      <c r="D2973">
        <v>1839.7619999999999</v>
      </c>
      <c r="E2973">
        <v>586.96600000000001</v>
      </c>
      <c r="F2973">
        <v>1617.1510000000001</v>
      </c>
      <c r="G2973">
        <v>1939479</v>
      </c>
      <c r="H2973" t="s">
        <v>1656</v>
      </c>
    </row>
    <row r="2974" spans="1:8" x14ac:dyDescent="0.25">
      <c r="A2974" t="s">
        <v>6015</v>
      </c>
      <c r="B2974" t="s">
        <v>65</v>
      </c>
      <c r="C2974" t="s">
        <v>397</v>
      </c>
      <c r="D2974">
        <v>1174.258</v>
      </c>
      <c r="E2974">
        <v>374.64100000000002</v>
      </c>
      <c r="F2974">
        <v>1032.173</v>
      </c>
      <c r="G2974">
        <v>1939479</v>
      </c>
      <c r="H2974" t="s">
        <v>1656</v>
      </c>
    </row>
    <row r="2975" spans="1:8" x14ac:dyDescent="0.25">
      <c r="A2975" t="s">
        <v>6015</v>
      </c>
      <c r="B2975" t="s">
        <v>65</v>
      </c>
      <c r="C2975" t="s">
        <v>397</v>
      </c>
      <c r="D2975">
        <v>485.98</v>
      </c>
      <c r="E2975">
        <v>155.04900000000001</v>
      </c>
      <c r="F2975">
        <v>427.17599999999999</v>
      </c>
      <c r="G2975">
        <v>1939479</v>
      </c>
      <c r="H2975" t="s">
        <v>1656</v>
      </c>
    </row>
    <row r="2976" spans="1:8" x14ac:dyDescent="0.25">
      <c r="A2976" t="s">
        <v>6015</v>
      </c>
      <c r="B2976" t="s">
        <v>65</v>
      </c>
      <c r="C2976" t="s">
        <v>397</v>
      </c>
      <c r="D2976">
        <v>1833.3720000000001</v>
      </c>
      <c r="E2976">
        <v>396.00900000000001</v>
      </c>
      <c r="F2976">
        <v>1704.384</v>
      </c>
      <c r="G2976">
        <v>4186550</v>
      </c>
      <c r="H2976" t="s">
        <v>6072</v>
      </c>
    </row>
    <row r="2977" spans="1:8" x14ac:dyDescent="0.25">
      <c r="A2977" t="s">
        <v>6015</v>
      </c>
      <c r="B2977" t="s">
        <v>65</v>
      </c>
      <c r="C2977" t="s">
        <v>397</v>
      </c>
      <c r="D2977">
        <v>2166.6280000000002</v>
      </c>
      <c r="E2977">
        <v>467.99299999999999</v>
      </c>
      <c r="F2977">
        <v>2014.194</v>
      </c>
      <c r="G2977">
        <v>4186550</v>
      </c>
      <c r="H2977" t="s">
        <v>6072</v>
      </c>
    </row>
    <row r="2978" spans="1:8" x14ac:dyDescent="0.25">
      <c r="A2978" t="s">
        <v>391</v>
      </c>
      <c r="B2978" t="s">
        <v>71</v>
      </c>
      <c r="C2978" t="s">
        <v>392</v>
      </c>
      <c r="D2978">
        <v>25</v>
      </c>
      <c r="E2978">
        <v>137.78299999999999</v>
      </c>
      <c r="F2978">
        <v>260.548</v>
      </c>
      <c r="G2978">
        <v>3770392</v>
      </c>
      <c r="H2978" t="s">
        <v>405</v>
      </c>
    </row>
    <row r="2979" spans="1:8" x14ac:dyDescent="0.25">
      <c r="A2979" t="s">
        <v>391</v>
      </c>
      <c r="B2979" t="s">
        <v>71</v>
      </c>
      <c r="C2979" t="s">
        <v>392</v>
      </c>
      <c r="D2979">
        <v>47</v>
      </c>
      <c r="E2979">
        <v>264.93900000000002</v>
      </c>
      <c r="F2979">
        <v>501</v>
      </c>
      <c r="G2979">
        <v>3770392</v>
      </c>
      <c r="H2979" t="s">
        <v>405</v>
      </c>
    </row>
    <row r="2980" spans="1:8" x14ac:dyDescent="0.25">
      <c r="A2980" t="s">
        <v>391</v>
      </c>
      <c r="B2980" t="s">
        <v>71</v>
      </c>
      <c r="C2980" t="s">
        <v>392</v>
      </c>
      <c r="D2980">
        <v>47</v>
      </c>
      <c r="E2980">
        <v>262.82400000000001</v>
      </c>
      <c r="F2980">
        <v>497</v>
      </c>
      <c r="G2980">
        <v>3770392</v>
      </c>
      <c r="H2980" t="s">
        <v>405</v>
      </c>
    </row>
    <row r="2981" spans="1:8" x14ac:dyDescent="0.25">
      <c r="A2981" t="s">
        <v>391</v>
      </c>
      <c r="B2981" t="s">
        <v>71</v>
      </c>
      <c r="C2981" t="s">
        <v>392</v>
      </c>
      <c r="D2981">
        <v>19</v>
      </c>
      <c r="E2981">
        <v>107.879</v>
      </c>
      <c r="F2981">
        <v>204</v>
      </c>
      <c r="G2981">
        <v>3770392</v>
      </c>
      <c r="H2981" t="s">
        <v>405</v>
      </c>
    </row>
    <row r="2982" spans="1:8" x14ac:dyDescent="0.25">
      <c r="A2982" t="s">
        <v>391</v>
      </c>
      <c r="B2982" t="s">
        <v>71</v>
      </c>
      <c r="C2982" t="s">
        <v>392</v>
      </c>
      <c r="D2982">
        <v>71</v>
      </c>
      <c r="E2982">
        <v>397.673</v>
      </c>
      <c r="F2982">
        <v>752</v>
      </c>
      <c r="G2982">
        <v>3770392</v>
      </c>
      <c r="H2982" t="s">
        <v>405</v>
      </c>
    </row>
    <row r="2983" spans="1:8" x14ac:dyDescent="0.25">
      <c r="A2983" t="s">
        <v>391</v>
      </c>
      <c r="B2983" t="s">
        <v>71</v>
      </c>
      <c r="C2983" t="s">
        <v>392</v>
      </c>
      <c r="D2983">
        <v>55</v>
      </c>
      <c r="E2983">
        <v>307.774</v>
      </c>
      <c r="F2983">
        <v>582</v>
      </c>
      <c r="G2983">
        <v>3770392</v>
      </c>
      <c r="H2983" t="s">
        <v>405</v>
      </c>
    </row>
    <row r="2984" spans="1:8" x14ac:dyDescent="0.25">
      <c r="A2984" t="s">
        <v>391</v>
      </c>
      <c r="B2984" t="s">
        <v>71</v>
      </c>
      <c r="C2984" t="s">
        <v>392</v>
      </c>
      <c r="D2984">
        <v>138</v>
      </c>
      <c r="E2984">
        <v>774.19399999999996</v>
      </c>
      <c r="F2984">
        <v>1464</v>
      </c>
      <c r="G2984">
        <v>3770392</v>
      </c>
      <c r="H2984" t="s">
        <v>405</v>
      </c>
    </row>
    <row r="2985" spans="1:8" x14ac:dyDescent="0.25">
      <c r="A2985" t="s">
        <v>391</v>
      </c>
      <c r="B2985" t="s">
        <v>71</v>
      </c>
      <c r="C2985" t="s">
        <v>392</v>
      </c>
      <c r="D2985">
        <v>125</v>
      </c>
      <c r="E2985">
        <v>701.745</v>
      </c>
      <c r="F2985">
        <v>1327</v>
      </c>
      <c r="G2985">
        <v>3770392</v>
      </c>
      <c r="H2985" t="s">
        <v>405</v>
      </c>
    </row>
    <row r="2986" spans="1:8" x14ac:dyDescent="0.25">
      <c r="A2986" t="s">
        <v>391</v>
      </c>
      <c r="B2986" t="s">
        <v>71</v>
      </c>
      <c r="C2986" t="s">
        <v>392</v>
      </c>
      <c r="D2986">
        <v>139</v>
      </c>
      <c r="E2986">
        <v>780.01099999999997</v>
      </c>
      <c r="F2986">
        <v>1475</v>
      </c>
      <c r="G2986">
        <v>3770392</v>
      </c>
      <c r="H2986" t="s">
        <v>405</v>
      </c>
    </row>
    <row r="2987" spans="1:8" x14ac:dyDescent="0.25">
      <c r="A2987" t="s">
        <v>391</v>
      </c>
      <c r="B2987" t="s">
        <v>71</v>
      </c>
      <c r="C2987" t="s">
        <v>392</v>
      </c>
      <c r="D2987">
        <v>157</v>
      </c>
      <c r="E2987">
        <v>880.48699999999997</v>
      </c>
      <c r="F2987">
        <v>1665</v>
      </c>
      <c r="G2987">
        <v>3770392</v>
      </c>
      <c r="H2987" t="s">
        <v>405</v>
      </c>
    </row>
    <row r="2988" spans="1:8" x14ac:dyDescent="0.25">
      <c r="A2988" t="s">
        <v>391</v>
      </c>
      <c r="B2988" t="s">
        <v>71</v>
      </c>
      <c r="C2988" t="s">
        <v>392</v>
      </c>
      <c r="D2988">
        <v>151</v>
      </c>
      <c r="E2988">
        <v>847.7</v>
      </c>
      <c r="F2988">
        <v>1603</v>
      </c>
      <c r="G2988">
        <v>3770392</v>
      </c>
      <c r="H2988" t="s">
        <v>405</v>
      </c>
    </row>
    <row r="2989" spans="1:8" x14ac:dyDescent="0.25">
      <c r="A2989" t="s">
        <v>391</v>
      </c>
      <c r="B2989" t="s">
        <v>71</v>
      </c>
      <c r="C2989" t="s">
        <v>392</v>
      </c>
      <c r="D2989">
        <v>139</v>
      </c>
      <c r="E2989">
        <v>780.53899999999999</v>
      </c>
      <c r="F2989">
        <v>1476</v>
      </c>
      <c r="G2989">
        <v>3770392</v>
      </c>
      <c r="H2989" t="s">
        <v>405</v>
      </c>
    </row>
    <row r="2990" spans="1:8" x14ac:dyDescent="0.25">
      <c r="A2990" t="s">
        <v>391</v>
      </c>
      <c r="B2990" t="s">
        <v>71</v>
      </c>
      <c r="C2990" t="s">
        <v>392</v>
      </c>
      <c r="D2990">
        <v>108</v>
      </c>
      <c r="E2990">
        <v>604.68100000000004</v>
      </c>
      <c r="F2990">
        <v>1143.452</v>
      </c>
      <c r="G2990">
        <v>3770392</v>
      </c>
      <c r="H2990" t="s">
        <v>405</v>
      </c>
    </row>
    <row r="2991" spans="1:8" x14ac:dyDescent="0.25">
      <c r="A2991" t="s">
        <v>636</v>
      </c>
      <c r="B2991" t="s">
        <v>151</v>
      </c>
      <c r="C2991" t="s">
        <v>397</v>
      </c>
      <c r="D2991">
        <v>230.465</v>
      </c>
      <c r="E2991">
        <v>48.344000000000001</v>
      </c>
      <c r="F2991">
        <v>163.63</v>
      </c>
      <c r="G2991">
        <v>2417648</v>
      </c>
      <c r="H2991" t="s">
        <v>876</v>
      </c>
    </row>
    <row r="2992" spans="1:8" x14ac:dyDescent="0.25">
      <c r="A2992" t="s">
        <v>636</v>
      </c>
      <c r="B2992" t="s">
        <v>151</v>
      </c>
      <c r="C2992" t="s">
        <v>397</v>
      </c>
      <c r="D2992">
        <v>313.48</v>
      </c>
      <c r="E2992">
        <v>65.757999999999996</v>
      </c>
      <c r="F2992">
        <v>222.571</v>
      </c>
      <c r="G2992">
        <v>2417648</v>
      </c>
      <c r="H2992" t="s">
        <v>876</v>
      </c>
    </row>
    <row r="2993" spans="1:8" x14ac:dyDescent="0.25">
      <c r="A2993" t="s">
        <v>636</v>
      </c>
      <c r="B2993" t="s">
        <v>151</v>
      </c>
      <c r="C2993" t="s">
        <v>397</v>
      </c>
      <c r="D2993">
        <v>826.94600000000003</v>
      </c>
      <c r="E2993">
        <v>173.46600000000001</v>
      </c>
      <c r="F2993">
        <v>587.13199999999995</v>
      </c>
      <c r="G2993">
        <v>2417648</v>
      </c>
      <c r="H2993" t="s">
        <v>876</v>
      </c>
    </row>
    <row r="2994" spans="1:8" x14ac:dyDescent="0.25">
      <c r="A2994" t="s">
        <v>636</v>
      </c>
      <c r="B2994" t="s">
        <v>151</v>
      </c>
      <c r="C2994" t="s">
        <v>397</v>
      </c>
      <c r="D2994">
        <v>68.819999999999993</v>
      </c>
      <c r="E2994">
        <v>14.436</v>
      </c>
      <c r="F2994">
        <v>48.862000000000002</v>
      </c>
      <c r="G2994">
        <v>2417648</v>
      </c>
      <c r="H2994" t="s">
        <v>876</v>
      </c>
    </row>
    <row r="2995" spans="1:8" x14ac:dyDescent="0.25">
      <c r="A2995" t="s">
        <v>636</v>
      </c>
      <c r="B2995" t="s">
        <v>151</v>
      </c>
      <c r="C2995" t="s">
        <v>397</v>
      </c>
      <c r="D2995">
        <v>2897.7759999999998</v>
      </c>
      <c r="E2995">
        <v>607.85900000000004</v>
      </c>
      <c r="F2995">
        <v>2057.4209999999998</v>
      </c>
      <c r="G2995">
        <v>2417648</v>
      </c>
      <c r="H2995" t="s">
        <v>876</v>
      </c>
    </row>
    <row r="2996" spans="1:8" x14ac:dyDescent="0.25">
      <c r="A2996" t="s">
        <v>636</v>
      </c>
      <c r="B2996" t="s">
        <v>151</v>
      </c>
      <c r="C2996" t="s">
        <v>397</v>
      </c>
      <c r="D2996">
        <v>1292.5129999999999</v>
      </c>
      <c r="E2996">
        <v>271.12700000000001</v>
      </c>
      <c r="F2996">
        <v>917.68399999999997</v>
      </c>
      <c r="G2996">
        <v>2417648</v>
      </c>
      <c r="H2996" t="s">
        <v>876</v>
      </c>
    </row>
    <row r="2997" spans="1:8" x14ac:dyDescent="0.25">
      <c r="A2997" t="s">
        <v>6076</v>
      </c>
      <c r="B2997" t="s">
        <v>68</v>
      </c>
      <c r="C2997" t="s">
        <v>444</v>
      </c>
      <c r="D2997">
        <v>161</v>
      </c>
      <c r="E2997">
        <v>886</v>
      </c>
      <c r="F2997">
        <v>1725.8389999999999</v>
      </c>
      <c r="G2997">
        <v>3770405</v>
      </c>
      <c r="H2997" t="s">
        <v>1767</v>
      </c>
    </row>
    <row r="2998" spans="1:8" x14ac:dyDescent="0.25">
      <c r="A2998" t="s">
        <v>6076</v>
      </c>
      <c r="B2998" t="s">
        <v>68</v>
      </c>
      <c r="C2998" t="s">
        <v>444</v>
      </c>
      <c r="D2998">
        <v>153</v>
      </c>
      <c r="E2998">
        <v>842</v>
      </c>
      <c r="F2998">
        <v>1640.1320000000001</v>
      </c>
      <c r="G2998">
        <v>3770405</v>
      </c>
      <c r="H2998" t="s">
        <v>1767</v>
      </c>
    </row>
    <row r="2999" spans="1:8" x14ac:dyDescent="0.25">
      <c r="A2999" t="s">
        <v>6076</v>
      </c>
      <c r="B2999" t="s">
        <v>68</v>
      </c>
      <c r="C2999" t="s">
        <v>444</v>
      </c>
      <c r="D2999">
        <v>140</v>
      </c>
      <c r="E2999">
        <v>769</v>
      </c>
      <c r="F2999">
        <v>1497.9349999999999</v>
      </c>
      <c r="G2999">
        <v>3770405</v>
      </c>
      <c r="H2999" t="s">
        <v>1767</v>
      </c>
    </row>
    <row r="3000" spans="1:8" x14ac:dyDescent="0.25">
      <c r="A3000" t="s">
        <v>422</v>
      </c>
      <c r="B3000" t="s">
        <v>30</v>
      </c>
      <c r="C3000" t="s">
        <v>397</v>
      </c>
      <c r="D3000">
        <v>1000</v>
      </c>
      <c r="E3000">
        <v>484.97</v>
      </c>
      <c r="F3000">
        <v>747</v>
      </c>
      <c r="G3000">
        <v>2359755</v>
      </c>
      <c r="H3000" t="s">
        <v>828</v>
      </c>
    </row>
    <row r="3001" spans="1:8" x14ac:dyDescent="0.25">
      <c r="A3001" t="s">
        <v>636</v>
      </c>
      <c r="B3001" t="s">
        <v>151</v>
      </c>
      <c r="C3001" t="s">
        <v>397</v>
      </c>
      <c r="D3001">
        <v>2800</v>
      </c>
      <c r="E3001">
        <v>1190.221</v>
      </c>
      <c r="F3001">
        <v>2069.1999999999998</v>
      </c>
      <c r="G3001">
        <v>1940738</v>
      </c>
      <c r="H3001" t="s">
        <v>863</v>
      </c>
    </row>
    <row r="3002" spans="1:8" x14ac:dyDescent="0.25">
      <c r="A3002" t="s">
        <v>636</v>
      </c>
      <c r="B3002" t="s">
        <v>151</v>
      </c>
      <c r="C3002" t="s">
        <v>397</v>
      </c>
      <c r="D3002">
        <v>2800</v>
      </c>
      <c r="E3002">
        <v>1190.221</v>
      </c>
      <c r="F3002">
        <v>2069.1999999999998</v>
      </c>
      <c r="G3002">
        <v>1940738</v>
      </c>
      <c r="H3002" t="s">
        <v>863</v>
      </c>
    </row>
    <row r="3003" spans="1:8" x14ac:dyDescent="0.25">
      <c r="A3003" t="s">
        <v>636</v>
      </c>
      <c r="B3003" t="s">
        <v>151</v>
      </c>
      <c r="C3003" t="s">
        <v>397</v>
      </c>
      <c r="D3003">
        <v>400</v>
      </c>
      <c r="E3003">
        <v>170.03200000000001</v>
      </c>
      <c r="F3003">
        <v>295.60000000000002</v>
      </c>
      <c r="G3003">
        <v>1940738</v>
      </c>
      <c r="H3003" t="s">
        <v>863</v>
      </c>
    </row>
    <row r="3004" spans="1:8" x14ac:dyDescent="0.25">
      <c r="A3004" t="s">
        <v>636</v>
      </c>
      <c r="B3004" t="s">
        <v>151</v>
      </c>
      <c r="C3004" t="s">
        <v>397</v>
      </c>
      <c r="D3004">
        <v>300</v>
      </c>
      <c r="E3004">
        <v>127.524</v>
      </c>
      <c r="F3004">
        <v>221.7</v>
      </c>
      <c r="G3004">
        <v>1940738</v>
      </c>
      <c r="H3004" t="s">
        <v>863</v>
      </c>
    </row>
    <row r="3005" spans="1:8" x14ac:dyDescent="0.25">
      <c r="A3005" t="s">
        <v>636</v>
      </c>
      <c r="B3005" t="s">
        <v>151</v>
      </c>
      <c r="C3005" t="s">
        <v>397</v>
      </c>
      <c r="D3005">
        <v>700</v>
      </c>
      <c r="E3005">
        <v>297.55500000000001</v>
      </c>
      <c r="F3005">
        <v>517.29999999999995</v>
      </c>
      <c r="G3005">
        <v>1940738</v>
      </c>
      <c r="H3005" t="s">
        <v>863</v>
      </c>
    </row>
    <row r="3006" spans="1:8" x14ac:dyDescent="0.25">
      <c r="A3006" t="s">
        <v>391</v>
      </c>
      <c r="B3006" t="s">
        <v>71</v>
      </c>
      <c r="C3006" t="s">
        <v>392</v>
      </c>
      <c r="D3006">
        <v>72</v>
      </c>
      <c r="E3006">
        <v>405.35199999999998</v>
      </c>
      <c r="F3006">
        <v>766.52</v>
      </c>
      <c r="G3006">
        <v>3770392</v>
      </c>
      <c r="H3006" t="s">
        <v>405</v>
      </c>
    </row>
    <row r="3007" spans="1:8" x14ac:dyDescent="0.25">
      <c r="A3007" t="s">
        <v>391</v>
      </c>
      <c r="B3007" t="s">
        <v>71</v>
      </c>
      <c r="C3007" t="s">
        <v>392</v>
      </c>
      <c r="D3007">
        <v>8</v>
      </c>
      <c r="E3007">
        <v>43.363</v>
      </c>
      <c r="F3007">
        <v>82</v>
      </c>
      <c r="G3007">
        <v>3770392</v>
      </c>
      <c r="H3007" t="s">
        <v>405</v>
      </c>
    </row>
    <row r="3008" spans="1:8" x14ac:dyDescent="0.25">
      <c r="A3008" t="s">
        <v>391</v>
      </c>
      <c r="B3008" t="s">
        <v>71</v>
      </c>
      <c r="C3008" t="s">
        <v>392</v>
      </c>
      <c r="D3008">
        <v>33</v>
      </c>
      <c r="E3008">
        <v>185.08699999999999</v>
      </c>
      <c r="F3008">
        <v>350</v>
      </c>
      <c r="G3008">
        <v>3770392</v>
      </c>
      <c r="H3008" t="s">
        <v>405</v>
      </c>
    </row>
    <row r="3009" spans="1:8" x14ac:dyDescent="0.25">
      <c r="A3009" t="s">
        <v>391</v>
      </c>
      <c r="B3009" t="s">
        <v>71</v>
      </c>
      <c r="C3009" t="s">
        <v>392</v>
      </c>
      <c r="D3009">
        <v>38</v>
      </c>
      <c r="E3009">
        <v>211.52799999999999</v>
      </c>
      <c r="F3009">
        <v>400</v>
      </c>
      <c r="G3009">
        <v>3770392</v>
      </c>
      <c r="H3009" t="s">
        <v>405</v>
      </c>
    </row>
    <row r="3010" spans="1:8" x14ac:dyDescent="0.25">
      <c r="A3010" t="s">
        <v>391</v>
      </c>
      <c r="B3010" t="s">
        <v>71</v>
      </c>
      <c r="C3010" t="s">
        <v>392</v>
      </c>
      <c r="D3010">
        <v>128</v>
      </c>
      <c r="E3010">
        <v>714.18799999999999</v>
      </c>
      <c r="F3010">
        <v>1350.529</v>
      </c>
      <c r="G3010">
        <v>3770392</v>
      </c>
      <c r="H3010" t="s">
        <v>405</v>
      </c>
    </row>
    <row r="3011" spans="1:8" x14ac:dyDescent="0.25">
      <c r="A3011" t="s">
        <v>391</v>
      </c>
      <c r="B3011" t="s">
        <v>71</v>
      </c>
      <c r="C3011" t="s">
        <v>392</v>
      </c>
      <c r="D3011">
        <v>23</v>
      </c>
      <c r="E3011">
        <v>130.90899999999999</v>
      </c>
      <c r="F3011">
        <v>247.548</v>
      </c>
      <c r="G3011">
        <v>3770392</v>
      </c>
      <c r="H3011" t="s">
        <v>405</v>
      </c>
    </row>
    <row r="3012" spans="1:8" x14ac:dyDescent="0.25">
      <c r="A3012" t="s">
        <v>391</v>
      </c>
      <c r="B3012" t="s">
        <v>71</v>
      </c>
      <c r="C3012" t="s">
        <v>392</v>
      </c>
      <c r="D3012">
        <v>19</v>
      </c>
      <c r="E3012">
        <v>107.56399999999999</v>
      </c>
      <c r="F3012">
        <v>203.40299999999999</v>
      </c>
      <c r="G3012">
        <v>3770392</v>
      </c>
      <c r="H3012" t="s">
        <v>405</v>
      </c>
    </row>
    <row r="3013" spans="1:8" x14ac:dyDescent="0.25">
      <c r="A3013" t="s">
        <v>809</v>
      </c>
      <c r="B3013" t="s">
        <v>72</v>
      </c>
      <c r="C3013" t="s">
        <v>397</v>
      </c>
      <c r="D3013">
        <v>2654.0639999999999</v>
      </c>
      <c r="E3013">
        <v>1287.143</v>
      </c>
      <c r="F3013">
        <v>1982.586</v>
      </c>
      <c r="G3013">
        <v>2359755</v>
      </c>
      <c r="H3013" t="s">
        <v>828</v>
      </c>
    </row>
    <row r="3014" spans="1:8" x14ac:dyDescent="0.25">
      <c r="A3014" t="s">
        <v>809</v>
      </c>
      <c r="B3014" t="s">
        <v>72</v>
      </c>
      <c r="C3014" t="s">
        <v>397</v>
      </c>
      <c r="D3014">
        <v>1085.9359999999999</v>
      </c>
      <c r="E3014">
        <v>526.64700000000005</v>
      </c>
      <c r="F3014">
        <v>811.19399999999996</v>
      </c>
      <c r="G3014">
        <v>2359755</v>
      </c>
      <c r="H3014" t="s">
        <v>828</v>
      </c>
    </row>
    <row r="3015" spans="1:8" x14ac:dyDescent="0.25">
      <c r="A3015" t="s">
        <v>809</v>
      </c>
      <c r="B3015" t="s">
        <v>72</v>
      </c>
      <c r="C3015" t="s">
        <v>397</v>
      </c>
      <c r="D3015">
        <v>1000</v>
      </c>
      <c r="E3015">
        <v>271.86700000000002</v>
      </c>
      <c r="F3015">
        <v>612</v>
      </c>
      <c r="G3015">
        <v>1938125</v>
      </c>
      <c r="H3015" t="s">
        <v>870</v>
      </c>
    </row>
    <row r="3016" spans="1:8" x14ac:dyDescent="0.25">
      <c r="A3016" t="s">
        <v>723</v>
      </c>
      <c r="B3016" t="s">
        <v>27</v>
      </c>
      <c r="C3016" t="s">
        <v>397</v>
      </c>
      <c r="D3016">
        <v>307.2</v>
      </c>
      <c r="E3016">
        <v>71.887</v>
      </c>
      <c r="F3016">
        <v>412.07799999999997</v>
      </c>
      <c r="G3016">
        <v>3746291</v>
      </c>
      <c r="H3016" t="s">
        <v>880</v>
      </c>
    </row>
    <row r="3017" spans="1:8" x14ac:dyDescent="0.25">
      <c r="A3017" t="s">
        <v>723</v>
      </c>
      <c r="B3017" t="s">
        <v>27</v>
      </c>
      <c r="C3017" t="s">
        <v>397</v>
      </c>
      <c r="D3017">
        <v>192.8</v>
      </c>
      <c r="E3017">
        <v>45.116999999999997</v>
      </c>
      <c r="F3017">
        <v>258.62200000000001</v>
      </c>
      <c r="G3017">
        <v>3746291</v>
      </c>
      <c r="H3017" t="s">
        <v>880</v>
      </c>
    </row>
    <row r="3018" spans="1:8" x14ac:dyDescent="0.25">
      <c r="A3018" t="s">
        <v>723</v>
      </c>
      <c r="B3018" t="s">
        <v>27</v>
      </c>
      <c r="C3018" t="s">
        <v>397</v>
      </c>
      <c r="D3018">
        <v>220</v>
      </c>
      <c r="E3018">
        <v>57.86</v>
      </c>
      <c r="F3018">
        <v>331.67200000000003</v>
      </c>
      <c r="G3018">
        <v>4196298</v>
      </c>
      <c r="H3018" t="s">
        <v>882</v>
      </c>
    </row>
    <row r="3019" spans="1:8" x14ac:dyDescent="0.25">
      <c r="A3019" t="s">
        <v>422</v>
      </c>
      <c r="B3019" t="s">
        <v>30</v>
      </c>
      <c r="C3019" t="s">
        <v>397</v>
      </c>
      <c r="D3019">
        <v>3100.3939999999998</v>
      </c>
      <c r="E3019">
        <v>842.89499999999998</v>
      </c>
      <c r="F3019">
        <v>1897.441</v>
      </c>
      <c r="G3019">
        <v>1938125</v>
      </c>
      <c r="H3019" t="s">
        <v>870</v>
      </c>
    </row>
    <row r="3020" spans="1:8" x14ac:dyDescent="0.25">
      <c r="A3020" t="s">
        <v>422</v>
      </c>
      <c r="B3020" t="s">
        <v>30</v>
      </c>
      <c r="C3020" t="s">
        <v>397</v>
      </c>
      <c r="D3020">
        <v>160.636</v>
      </c>
      <c r="E3020">
        <v>43.671999999999997</v>
      </c>
      <c r="F3020">
        <v>98.308999999999997</v>
      </c>
      <c r="G3020">
        <v>1938125</v>
      </c>
      <c r="H3020" t="s">
        <v>870</v>
      </c>
    </row>
    <row r="3021" spans="1:8" x14ac:dyDescent="0.25">
      <c r="A3021" t="s">
        <v>422</v>
      </c>
      <c r="B3021" t="s">
        <v>30</v>
      </c>
      <c r="C3021" t="s">
        <v>397</v>
      </c>
      <c r="D3021">
        <v>98.668000000000006</v>
      </c>
      <c r="E3021">
        <v>26.824999999999999</v>
      </c>
      <c r="F3021">
        <v>60.384999999999998</v>
      </c>
      <c r="G3021">
        <v>1938125</v>
      </c>
      <c r="H3021" t="s">
        <v>870</v>
      </c>
    </row>
    <row r="3022" spans="1:8" x14ac:dyDescent="0.25">
      <c r="A3022" t="s">
        <v>422</v>
      </c>
      <c r="B3022" t="s">
        <v>30</v>
      </c>
      <c r="C3022" t="s">
        <v>397</v>
      </c>
      <c r="D3022">
        <v>70.302000000000007</v>
      </c>
      <c r="E3022">
        <v>19.113</v>
      </c>
      <c r="F3022">
        <v>43.024999999999999</v>
      </c>
      <c r="G3022">
        <v>1938125</v>
      </c>
      <c r="H3022" t="s">
        <v>870</v>
      </c>
    </row>
    <row r="3023" spans="1:8" x14ac:dyDescent="0.25">
      <c r="A3023" t="s">
        <v>422</v>
      </c>
      <c r="B3023" t="s">
        <v>30</v>
      </c>
      <c r="C3023" t="s">
        <v>397</v>
      </c>
      <c r="D3023">
        <v>65.355999999999995</v>
      </c>
      <c r="E3023">
        <v>14.16</v>
      </c>
      <c r="F3023">
        <v>19.998999999999999</v>
      </c>
      <c r="G3023">
        <v>1939544</v>
      </c>
      <c r="H3023" t="s">
        <v>807</v>
      </c>
    </row>
    <row r="3024" spans="1:8" x14ac:dyDescent="0.25">
      <c r="A3024" t="s">
        <v>422</v>
      </c>
      <c r="B3024" t="s">
        <v>30</v>
      </c>
      <c r="C3024" t="s">
        <v>397</v>
      </c>
      <c r="D3024">
        <v>339</v>
      </c>
      <c r="E3024">
        <v>73.444999999999993</v>
      </c>
      <c r="F3024">
        <v>103.73399999999999</v>
      </c>
      <c r="G3024">
        <v>1939544</v>
      </c>
      <c r="H3024" t="s">
        <v>807</v>
      </c>
    </row>
    <row r="3025" spans="1:8" x14ac:dyDescent="0.25">
      <c r="A3025" t="s">
        <v>422</v>
      </c>
      <c r="B3025" t="s">
        <v>30</v>
      </c>
      <c r="C3025" t="s">
        <v>397</v>
      </c>
      <c r="D3025">
        <v>1946.722</v>
      </c>
      <c r="E3025">
        <v>421.762</v>
      </c>
      <c r="F3025">
        <v>595.697</v>
      </c>
      <c r="G3025">
        <v>1939544</v>
      </c>
      <c r="H3025" t="s">
        <v>807</v>
      </c>
    </row>
    <row r="3026" spans="1:8" x14ac:dyDescent="0.25">
      <c r="A3026" t="s">
        <v>422</v>
      </c>
      <c r="B3026" t="s">
        <v>30</v>
      </c>
      <c r="C3026" t="s">
        <v>397</v>
      </c>
      <c r="D3026">
        <v>932.03899999999999</v>
      </c>
      <c r="E3026">
        <v>201.929</v>
      </c>
      <c r="F3026">
        <v>285.20400000000001</v>
      </c>
      <c r="G3026">
        <v>1939544</v>
      </c>
      <c r="H3026" t="s">
        <v>807</v>
      </c>
    </row>
    <row r="3027" spans="1:8" x14ac:dyDescent="0.25">
      <c r="A3027" t="s">
        <v>422</v>
      </c>
      <c r="B3027" t="s">
        <v>30</v>
      </c>
      <c r="C3027" t="s">
        <v>397</v>
      </c>
      <c r="D3027">
        <v>166.88300000000001</v>
      </c>
      <c r="E3027">
        <v>36.155999999999999</v>
      </c>
      <c r="F3027">
        <v>51.066000000000003</v>
      </c>
      <c r="G3027">
        <v>1939544</v>
      </c>
      <c r="H3027" t="s">
        <v>807</v>
      </c>
    </row>
    <row r="3028" spans="1:8" x14ac:dyDescent="0.25">
      <c r="A3028" t="s">
        <v>6012</v>
      </c>
      <c r="B3028" t="s">
        <v>22</v>
      </c>
      <c r="C3028" t="s">
        <v>397</v>
      </c>
      <c r="D3028">
        <v>124.78</v>
      </c>
      <c r="E3028">
        <v>67.585999999999999</v>
      </c>
      <c r="F3028">
        <v>160.84100000000001</v>
      </c>
      <c r="G3028">
        <v>3191790</v>
      </c>
      <c r="H3028" t="s">
        <v>1727</v>
      </c>
    </row>
    <row r="3029" spans="1:8" x14ac:dyDescent="0.25">
      <c r="A3029" t="s">
        <v>6012</v>
      </c>
      <c r="B3029" t="s">
        <v>22</v>
      </c>
      <c r="C3029" t="s">
        <v>397</v>
      </c>
      <c r="D3029">
        <v>124</v>
      </c>
      <c r="E3029">
        <v>67.164000000000001</v>
      </c>
      <c r="F3029">
        <v>159.83600000000001</v>
      </c>
      <c r="G3029">
        <v>3191790</v>
      </c>
      <c r="H3029" t="s">
        <v>1727</v>
      </c>
    </row>
    <row r="3030" spans="1:8" x14ac:dyDescent="0.25">
      <c r="A3030" t="s">
        <v>6012</v>
      </c>
      <c r="B3030" t="s">
        <v>22</v>
      </c>
      <c r="C3030" t="s">
        <v>397</v>
      </c>
      <c r="D3030">
        <v>461</v>
      </c>
      <c r="E3030">
        <v>249.697</v>
      </c>
      <c r="F3030">
        <v>594.22900000000004</v>
      </c>
      <c r="G3030">
        <v>3191790</v>
      </c>
      <c r="H3030" t="s">
        <v>1727</v>
      </c>
    </row>
    <row r="3031" spans="1:8" x14ac:dyDescent="0.25">
      <c r="A3031" t="s">
        <v>6012</v>
      </c>
      <c r="B3031" t="s">
        <v>22</v>
      </c>
      <c r="C3031" t="s">
        <v>397</v>
      </c>
      <c r="D3031">
        <v>992.56299999999999</v>
      </c>
      <c r="E3031">
        <v>537.61400000000003</v>
      </c>
      <c r="F3031">
        <v>1279.414</v>
      </c>
      <c r="G3031">
        <v>3191790</v>
      </c>
      <c r="H3031" t="s">
        <v>1727</v>
      </c>
    </row>
    <row r="3032" spans="1:8" x14ac:dyDescent="0.25">
      <c r="A3032" t="s">
        <v>6012</v>
      </c>
      <c r="B3032" t="s">
        <v>22</v>
      </c>
      <c r="C3032" t="s">
        <v>397</v>
      </c>
      <c r="D3032">
        <v>992.56299999999999</v>
      </c>
      <c r="E3032">
        <v>537.61400000000003</v>
      </c>
      <c r="F3032">
        <v>1279.414</v>
      </c>
      <c r="G3032">
        <v>3191790</v>
      </c>
      <c r="H3032" t="s">
        <v>1727</v>
      </c>
    </row>
    <row r="3033" spans="1:8" x14ac:dyDescent="0.25">
      <c r="A3033" t="s">
        <v>6012</v>
      </c>
      <c r="B3033" t="s">
        <v>22</v>
      </c>
      <c r="C3033" t="s">
        <v>397</v>
      </c>
      <c r="D3033">
        <v>329.09399999999999</v>
      </c>
      <c r="E3033">
        <v>178.251</v>
      </c>
      <c r="F3033">
        <v>424.202</v>
      </c>
      <c r="G3033">
        <v>3191790</v>
      </c>
      <c r="H3033" t="s">
        <v>1727</v>
      </c>
    </row>
    <row r="3034" spans="1:8" x14ac:dyDescent="0.25">
      <c r="A3034" t="s">
        <v>422</v>
      </c>
      <c r="B3034" t="s">
        <v>30</v>
      </c>
      <c r="C3034" t="s">
        <v>397</v>
      </c>
      <c r="D3034">
        <v>2582.0520000000001</v>
      </c>
      <c r="E3034">
        <v>1252.2190000000001</v>
      </c>
      <c r="F3034">
        <v>1928.7929999999999</v>
      </c>
      <c r="G3034">
        <v>2359755</v>
      </c>
      <c r="H3034" t="s">
        <v>828</v>
      </c>
    </row>
    <row r="3035" spans="1:8" x14ac:dyDescent="0.25">
      <c r="A3035" t="s">
        <v>422</v>
      </c>
      <c r="B3035" t="s">
        <v>30</v>
      </c>
      <c r="C3035" t="s">
        <v>397</v>
      </c>
      <c r="D3035">
        <v>600</v>
      </c>
      <c r="E3035">
        <v>290.98200000000003</v>
      </c>
      <c r="F3035">
        <v>448.2</v>
      </c>
      <c r="G3035">
        <v>2359755</v>
      </c>
      <c r="H3035" t="s">
        <v>828</v>
      </c>
    </row>
    <row r="3036" spans="1:8" x14ac:dyDescent="0.25">
      <c r="A3036" t="s">
        <v>422</v>
      </c>
      <c r="B3036" t="s">
        <v>30</v>
      </c>
      <c r="C3036" t="s">
        <v>397</v>
      </c>
      <c r="D3036">
        <v>114.06399999999999</v>
      </c>
      <c r="E3036">
        <v>55.317999999999998</v>
      </c>
      <c r="F3036">
        <v>85.206000000000003</v>
      </c>
      <c r="G3036">
        <v>2359755</v>
      </c>
      <c r="H3036" t="s">
        <v>828</v>
      </c>
    </row>
    <row r="3037" spans="1:8" x14ac:dyDescent="0.25">
      <c r="A3037" t="s">
        <v>422</v>
      </c>
      <c r="B3037" t="s">
        <v>30</v>
      </c>
      <c r="C3037" t="s">
        <v>397</v>
      </c>
      <c r="D3037">
        <v>200</v>
      </c>
      <c r="E3037">
        <v>96.994</v>
      </c>
      <c r="F3037">
        <v>149.4</v>
      </c>
      <c r="G3037">
        <v>2359755</v>
      </c>
      <c r="H3037" t="s">
        <v>828</v>
      </c>
    </row>
    <row r="3038" spans="1:8" x14ac:dyDescent="0.25">
      <c r="A3038" t="s">
        <v>422</v>
      </c>
      <c r="B3038" t="s">
        <v>30</v>
      </c>
      <c r="C3038" t="s">
        <v>397</v>
      </c>
      <c r="D3038">
        <v>503.88400000000001</v>
      </c>
      <c r="E3038">
        <v>244.369</v>
      </c>
      <c r="F3038">
        <v>376.40100000000001</v>
      </c>
      <c r="G3038">
        <v>2359755</v>
      </c>
      <c r="H3038" t="s">
        <v>828</v>
      </c>
    </row>
    <row r="3039" spans="1:8" x14ac:dyDescent="0.25">
      <c r="A3039" t="s">
        <v>396</v>
      </c>
      <c r="B3039" t="s">
        <v>61</v>
      </c>
      <c r="C3039" t="s">
        <v>444</v>
      </c>
      <c r="D3039">
        <v>505</v>
      </c>
      <c r="E3039">
        <v>2272</v>
      </c>
      <c r="F3039">
        <v>2920.8829999999998</v>
      </c>
      <c r="G3039">
        <v>2410999</v>
      </c>
      <c r="H3039" t="s">
        <v>728</v>
      </c>
    </row>
    <row r="3040" spans="1:8" x14ac:dyDescent="0.25">
      <c r="A3040" t="s">
        <v>6018</v>
      </c>
      <c r="B3040" t="s">
        <v>21</v>
      </c>
      <c r="C3040" t="s">
        <v>397</v>
      </c>
      <c r="D3040">
        <v>2478.279</v>
      </c>
      <c r="E3040">
        <v>767.45600000000002</v>
      </c>
      <c r="F3040">
        <v>1764.5350000000001</v>
      </c>
      <c r="G3040">
        <v>2244440</v>
      </c>
      <c r="H3040" t="s">
        <v>1713</v>
      </c>
    </row>
    <row r="3041" spans="1:8" x14ac:dyDescent="0.25">
      <c r="A3041" t="s">
        <v>6018</v>
      </c>
      <c r="B3041" t="s">
        <v>21</v>
      </c>
      <c r="C3041" t="s">
        <v>397</v>
      </c>
      <c r="D3041">
        <v>521.721</v>
      </c>
      <c r="E3041">
        <v>161.56299999999999</v>
      </c>
      <c r="F3041">
        <v>371.46499999999997</v>
      </c>
      <c r="G3041">
        <v>2244440</v>
      </c>
      <c r="H3041" t="s">
        <v>1713</v>
      </c>
    </row>
    <row r="3042" spans="1:8" x14ac:dyDescent="0.25">
      <c r="A3042" t="s">
        <v>6018</v>
      </c>
      <c r="B3042" t="s">
        <v>21</v>
      </c>
      <c r="C3042" t="s">
        <v>397</v>
      </c>
      <c r="D3042">
        <v>159.1</v>
      </c>
      <c r="E3042">
        <v>49.320999999999998</v>
      </c>
      <c r="F3042">
        <v>129.571</v>
      </c>
      <c r="G3042">
        <v>3508035</v>
      </c>
      <c r="H3042" t="s">
        <v>6077</v>
      </c>
    </row>
    <row r="3043" spans="1:8" x14ac:dyDescent="0.25">
      <c r="A3043" t="s">
        <v>6018</v>
      </c>
      <c r="B3043" t="s">
        <v>21</v>
      </c>
      <c r="C3043" t="s">
        <v>397</v>
      </c>
      <c r="D3043">
        <v>2740.56</v>
      </c>
      <c r="E3043">
        <v>849.57299999999998</v>
      </c>
      <c r="F3043">
        <v>2231.9119999999998</v>
      </c>
      <c r="G3043">
        <v>3508035</v>
      </c>
      <c r="H3043" t="s">
        <v>6077</v>
      </c>
    </row>
    <row r="3044" spans="1:8" x14ac:dyDescent="0.25">
      <c r="A3044" t="s">
        <v>6018</v>
      </c>
      <c r="B3044" t="s">
        <v>21</v>
      </c>
      <c r="C3044" t="s">
        <v>397</v>
      </c>
      <c r="D3044">
        <v>100.34</v>
      </c>
      <c r="E3044">
        <v>31.105</v>
      </c>
      <c r="F3044">
        <v>81.716999999999999</v>
      </c>
      <c r="G3044">
        <v>3508035</v>
      </c>
      <c r="H3044" t="s">
        <v>6077</v>
      </c>
    </row>
    <row r="3045" spans="1:8" x14ac:dyDescent="0.25">
      <c r="A3045" t="s">
        <v>556</v>
      </c>
      <c r="B3045" t="s">
        <v>151</v>
      </c>
      <c r="C3045" t="s">
        <v>444</v>
      </c>
      <c r="D3045">
        <v>202</v>
      </c>
      <c r="E3045">
        <v>909.50599999999997</v>
      </c>
      <c r="F3045">
        <v>1594</v>
      </c>
      <c r="G3045">
        <v>2410997</v>
      </c>
      <c r="H3045" t="s">
        <v>814</v>
      </c>
    </row>
    <row r="3046" spans="1:8" x14ac:dyDescent="0.25">
      <c r="A3046" t="s">
        <v>556</v>
      </c>
      <c r="B3046" t="s">
        <v>151</v>
      </c>
      <c r="C3046" t="s">
        <v>444</v>
      </c>
      <c r="D3046">
        <v>66</v>
      </c>
      <c r="E3046">
        <v>298.77</v>
      </c>
      <c r="F3046">
        <v>523.62400000000002</v>
      </c>
      <c r="G3046">
        <v>2410997</v>
      </c>
      <c r="H3046" t="s">
        <v>814</v>
      </c>
    </row>
    <row r="3047" spans="1:8" x14ac:dyDescent="0.25">
      <c r="A3047" t="s">
        <v>556</v>
      </c>
      <c r="B3047" t="s">
        <v>151</v>
      </c>
      <c r="C3047" t="s">
        <v>444</v>
      </c>
      <c r="D3047">
        <v>201</v>
      </c>
      <c r="E3047">
        <v>905.51199999999994</v>
      </c>
      <c r="F3047">
        <v>1587</v>
      </c>
      <c r="G3047">
        <v>2410997</v>
      </c>
      <c r="H3047" t="s">
        <v>814</v>
      </c>
    </row>
    <row r="3048" spans="1:8" x14ac:dyDescent="0.25">
      <c r="A3048" t="s">
        <v>556</v>
      </c>
      <c r="B3048" t="s">
        <v>151</v>
      </c>
      <c r="C3048" t="s">
        <v>444</v>
      </c>
      <c r="D3048">
        <v>64</v>
      </c>
      <c r="E3048">
        <v>286.21199999999999</v>
      </c>
      <c r="F3048">
        <v>501.61500000000001</v>
      </c>
      <c r="G3048">
        <v>2410997</v>
      </c>
      <c r="H3048" t="s">
        <v>814</v>
      </c>
    </row>
    <row r="3049" spans="1:8" x14ac:dyDescent="0.25">
      <c r="A3049" t="s">
        <v>585</v>
      </c>
      <c r="B3049" t="s">
        <v>48</v>
      </c>
      <c r="C3049" t="s">
        <v>397</v>
      </c>
      <c r="D3049">
        <v>1290</v>
      </c>
      <c r="E3049">
        <v>1077.136</v>
      </c>
      <c r="F3049">
        <v>1821.867</v>
      </c>
      <c r="G3049">
        <v>3712521</v>
      </c>
      <c r="H3049" t="s">
        <v>631</v>
      </c>
    </row>
    <row r="3050" spans="1:8" x14ac:dyDescent="0.25">
      <c r="A3050" t="s">
        <v>585</v>
      </c>
      <c r="B3050" t="s">
        <v>48</v>
      </c>
      <c r="C3050" t="s">
        <v>397</v>
      </c>
      <c r="D3050">
        <v>760</v>
      </c>
      <c r="E3050">
        <v>193.04</v>
      </c>
      <c r="F3050">
        <v>737.2</v>
      </c>
      <c r="G3050">
        <v>1938358</v>
      </c>
      <c r="H3050" t="s">
        <v>892</v>
      </c>
    </row>
    <row r="3051" spans="1:8" x14ac:dyDescent="0.25">
      <c r="A3051" t="s">
        <v>6076</v>
      </c>
      <c r="B3051" t="s">
        <v>68</v>
      </c>
      <c r="C3051" t="s">
        <v>444</v>
      </c>
      <c r="D3051">
        <v>151</v>
      </c>
      <c r="E3051">
        <v>828</v>
      </c>
      <c r="F3051">
        <v>1612.8610000000001</v>
      </c>
      <c r="G3051">
        <v>3770405</v>
      </c>
      <c r="H3051" t="s">
        <v>1767</v>
      </c>
    </row>
    <row r="3052" spans="1:8" x14ac:dyDescent="0.25">
      <c r="A3052" t="s">
        <v>6076</v>
      </c>
      <c r="B3052" t="s">
        <v>68</v>
      </c>
      <c r="C3052" t="s">
        <v>444</v>
      </c>
      <c r="D3052">
        <v>151</v>
      </c>
      <c r="E3052">
        <v>828</v>
      </c>
      <c r="F3052">
        <v>1612.8610000000001</v>
      </c>
      <c r="G3052">
        <v>3770405</v>
      </c>
      <c r="H3052" t="s">
        <v>1767</v>
      </c>
    </row>
    <row r="3053" spans="1:8" x14ac:dyDescent="0.25">
      <c r="A3053" t="s">
        <v>6076</v>
      </c>
      <c r="B3053" t="s">
        <v>68</v>
      </c>
      <c r="C3053" t="s">
        <v>444</v>
      </c>
      <c r="D3053">
        <v>147</v>
      </c>
      <c r="E3053">
        <v>806</v>
      </c>
      <c r="F3053">
        <v>1570.0070000000001</v>
      </c>
      <c r="G3053">
        <v>3770405</v>
      </c>
      <c r="H3053" t="s">
        <v>1767</v>
      </c>
    </row>
    <row r="3054" spans="1:8" x14ac:dyDescent="0.25">
      <c r="A3054" t="s">
        <v>6076</v>
      </c>
      <c r="B3054" t="s">
        <v>68</v>
      </c>
      <c r="C3054" t="s">
        <v>444</v>
      </c>
      <c r="D3054">
        <v>80</v>
      </c>
      <c r="E3054">
        <v>442</v>
      </c>
      <c r="F3054">
        <v>860.97199999999998</v>
      </c>
      <c r="G3054">
        <v>3770405</v>
      </c>
      <c r="H3054" t="s">
        <v>1767</v>
      </c>
    </row>
    <row r="3055" spans="1:8" x14ac:dyDescent="0.25">
      <c r="A3055" t="s">
        <v>6015</v>
      </c>
      <c r="B3055" t="s">
        <v>65</v>
      </c>
      <c r="C3055" t="s">
        <v>397</v>
      </c>
      <c r="D3055">
        <v>987</v>
      </c>
      <c r="E3055">
        <v>314.89699999999999</v>
      </c>
      <c r="F3055">
        <v>867.57299999999998</v>
      </c>
      <c r="G3055">
        <v>1939479</v>
      </c>
      <c r="H3055" t="s">
        <v>1656</v>
      </c>
    </row>
    <row r="3056" spans="1:8" x14ac:dyDescent="0.25">
      <c r="A3056" t="s">
        <v>6015</v>
      </c>
      <c r="B3056" t="s">
        <v>65</v>
      </c>
      <c r="C3056" t="s">
        <v>397</v>
      </c>
      <c r="D3056">
        <v>1755</v>
      </c>
      <c r="E3056">
        <v>379.08100000000002</v>
      </c>
      <c r="F3056">
        <v>1631.5260000000001</v>
      </c>
      <c r="G3056">
        <v>4186550</v>
      </c>
      <c r="H3056" t="s">
        <v>6072</v>
      </c>
    </row>
    <row r="3057" spans="1:8" x14ac:dyDescent="0.25">
      <c r="A3057" t="s">
        <v>6015</v>
      </c>
      <c r="B3057" t="s">
        <v>65</v>
      </c>
      <c r="C3057" t="s">
        <v>397</v>
      </c>
      <c r="D3057">
        <v>2419.1729999999998</v>
      </c>
      <c r="E3057">
        <v>522.54300000000001</v>
      </c>
      <c r="F3057">
        <v>2248.971</v>
      </c>
      <c r="G3057">
        <v>4186550</v>
      </c>
      <c r="H3057" t="s">
        <v>6072</v>
      </c>
    </row>
    <row r="3058" spans="1:8" x14ac:dyDescent="0.25">
      <c r="A3058" t="s">
        <v>6015</v>
      </c>
      <c r="B3058" t="s">
        <v>65</v>
      </c>
      <c r="C3058" t="s">
        <v>397</v>
      </c>
      <c r="D3058">
        <v>2325.8270000000002</v>
      </c>
      <c r="E3058">
        <v>502.38</v>
      </c>
      <c r="F3058">
        <v>2162.192</v>
      </c>
      <c r="G3058">
        <v>4186550</v>
      </c>
      <c r="H3058" t="s">
        <v>6072</v>
      </c>
    </row>
    <row r="3059" spans="1:8" x14ac:dyDescent="0.25">
      <c r="A3059" t="s">
        <v>723</v>
      </c>
      <c r="B3059" t="s">
        <v>27</v>
      </c>
      <c r="C3059" t="s">
        <v>397</v>
      </c>
      <c r="D3059">
        <v>3000</v>
      </c>
      <c r="E3059">
        <v>815.91899999999998</v>
      </c>
      <c r="F3059">
        <v>531</v>
      </c>
      <c r="G3059">
        <v>3228788</v>
      </c>
      <c r="H3059" t="s">
        <v>725</v>
      </c>
    </row>
    <row r="3060" spans="1:8" x14ac:dyDescent="0.25">
      <c r="A3060" t="s">
        <v>723</v>
      </c>
      <c r="B3060" t="s">
        <v>27</v>
      </c>
      <c r="C3060" t="s">
        <v>397</v>
      </c>
      <c r="D3060">
        <v>795</v>
      </c>
      <c r="E3060">
        <v>186.036</v>
      </c>
      <c r="F3060">
        <v>1066.413</v>
      </c>
      <c r="G3060">
        <v>3746291</v>
      </c>
      <c r="H3060" t="s">
        <v>880</v>
      </c>
    </row>
    <row r="3061" spans="1:8" x14ac:dyDescent="0.25">
      <c r="A3061" t="s">
        <v>809</v>
      </c>
      <c r="B3061" t="s">
        <v>72</v>
      </c>
      <c r="C3061" t="s">
        <v>397</v>
      </c>
      <c r="D3061">
        <v>2630.4969999999998</v>
      </c>
      <c r="E3061">
        <v>1275.713</v>
      </c>
      <c r="F3061">
        <v>1964.981</v>
      </c>
      <c r="G3061">
        <v>2359755</v>
      </c>
      <c r="H3061" t="s">
        <v>828</v>
      </c>
    </row>
    <row r="3062" spans="1:8" x14ac:dyDescent="0.25">
      <c r="A3062" t="s">
        <v>809</v>
      </c>
      <c r="B3062" t="s">
        <v>72</v>
      </c>
      <c r="C3062" t="s">
        <v>397</v>
      </c>
      <c r="D3062">
        <v>1369.5029999999999</v>
      </c>
      <c r="E3062">
        <v>664.16899999999998</v>
      </c>
      <c r="F3062">
        <v>1023.019</v>
      </c>
      <c r="G3062">
        <v>2359755</v>
      </c>
      <c r="H3062" t="s">
        <v>828</v>
      </c>
    </row>
    <row r="3063" spans="1:8" x14ac:dyDescent="0.25">
      <c r="A3063" t="s">
        <v>809</v>
      </c>
      <c r="B3063" t="s">
        <v>72</v>
      </c>
      <c r="C3063" t="s">
        <v>397</v>
      </c>
      <c r="D3063">
        <v>1000</v>
      </c>
      <c r="E3063">
        <v>271.86700000000002</v>
      </c>
      <c r="F3063">
        <v>612</v>
      </c>
      <c r="G3063">
        <v>1938125</v>
      </c>
      <c r="H3063" t="s">
        <v>870</v>
      </c>
    </row>
    <row r="3064" spans="1:8" x14ac:dyDescent="0.25">
      <c r="A3064" t="s">
        <v>6074</v>
      </c>
      <c r="B3064" t="s">
        <v>152</v>
      </c>
      <c r="C3064" t="s">
        <v>397</v>
      </c>
      <c r="D3064">
        <v>3000</v>
      </c>
      <c r="E3064">
        <v>612</v>
      </c>
      <c r="F3064">
        <v>1408.3330000000001</v>
      </c>
      <c r="G3064">
        <v>3557583</v>
      </c>
      <c r="H3064" t="s">
        <v>1686</v>
      </c>
    </row>
    <row r="3065" spans="1:8" x14ac:dyDescent="0.25">
      <c r="A3065" t="s">
        <v>6018</v>
      </c>
      <c r="B3065" t="s">
        <v>21</v>
      </c>
      <c r="C3065" t="s">
        <v>397</v>
      </c>
      <c r="D3065">
        <v>1000</v>
      </c>
      <c r="E3065">
        <v>309.673</v>
      </c>
      <c r="F3065">
        <v>712</v>
      </c>
      <c r="G3065">
        <v>2244440</v>
      </c>
      <c r="H3065" t="s">
        <v>1713</v>
      </c>
    </row>
    <row r="3066" spans="1:8" x14ac:dyDescent="0.25">
      <c r="A3066" t="s">
        <v>6018</v>
      </c>
      <c r="B3066" t="s">
        <v>21</v>
      </c>
      <c r="C3066" t="s">
        <v>397</v>
      </c>
      <c r="D3066">
        <v>1000</v>
      </c>
      <c r="E3066">
        <v>309.99799999999999</v>
      </c>
      <c r="F3066">
        <v>780.38900000000001</v>
      </c>
      <c r="G3066">
        <v>2244441</v>
      </c>
      <c r="H3066" t="s">
        <v>1714</v>
      </c>
    </row>
    <row r="3067" spans="1:8" x14ac:dyDescent="0.25">
      <c r="A3067" t="s">
        <v>6012</v>
      </c>
      <c r="B3067" t="s">
        <v>22</v>
      </c>
      <c r="C3067" t="s">
        <v>397</v>
      </c>
      <c r="D3067">
        <v>1100</v>
      </c>
      <c r="E3067">
        <v>595.80600000000004</v>
      </c>
      <c r="F3067">
        <v>1417.9</v>
      </c>
      <c r="G3067">
        <v>3191790</v>
      </c>
      <c r="H3067" t="s">
        <v>1727</v>
      </c>
    </row>
    <row r="3068" spans="1:8" x14ac:dyDescent="0.25">
      <c r="A3068" t="s">
        <v>6012</v>
      </c>
      <c r="B3068" t="s">
        <v>22</v>
      </c>
      <c r="C3068" t="s">
        <v>397</v>
      </c>
      <c r="D3068">
        <v>1087.4760000000001</v>
      </c>
      <c r="E3068">
        <v>589.02300000000002</v>
      </c>
      <c r="F3068">
        <v>1401.7570000000001</v>
      </c>
      <c r="G3068">
        <v>3191790</v>
      </c>
      <c r="H3068" t="s">
        <v>1727</v>
      </c>
    </row>
    <row r="3069" spans="1:8" x14ac:dyDescent="0.25">
      <c r="A3069" t="s">
        <v>6012</v>
      </c>
      <c r="B3069" t="s">
        <v>22</v>
      </c>
      <c r="C3069" t="s">
        <v>397</v>
      </c>
      <c r="D3069">
        <v>836.524</v>
      </c>
      <c r="E3069">
        <v>453.09699999999998</v>
      </c>
      <c r="F3069">
        <v>1078.279</v>
      </c>
      <c r="G3069">
        <v>3191790</v>
      </c>
      <c r="H3069" t="s">
        <v>1727</v>
      </c>
    </row>
    <row r="3070" spans="1:8" x14ac:dyDescent="0.25">
      <c r="A3070" t="s">
        <v>6012</v>
      </c>
      <c r="B3070" t="s">
        <v>22</v>
      </c>
      <c r="C3070" t="s">
        <v>397</v>
      </c>
      <c r="D3070">
        <v>989.4</v>
      </c>
      <c r="E3070">
        <v>212.79900000000001</v>
      </c>
      <c r="F3070">
        <v>916.18399999999997</v>
      </c>
      <c r="G3070">
        <v>3614493</v>
      </c>
      <c r="H3070" t="s">
        <v>1701</v>
      </c>
    </row>
    <row r="3071" spans="1:8" x14ac:dyDescent="0.25">
      <c r="A3071" t="s">
        <v>6012</v>
      </c>
      <c r="B3071" t="s">
        <v>22</v>
      </c>
      <c r="C3071" t="s">
        <v>397</v>
      </c>
      <c r="D3071">
        <v>1020.085</v>
      </c>
      <c r="E3071">
        <v>219.399</v>
      </c>
      <c r="F3071">
        <v>944.59900000000005</v>
      </c>
      <c r="G3071">
        <v>3614493</v>
      </c>
      <c r="H3071" t="s">
        <v>1701</v>
      </c>
    </row>
    <row r="3072" spans="1:8" x14ac:dyDescent="0.25">
      <c r="A3072" t="s">
        <v>6012</v>
      </c>
      <c r="B3072" t="s">
        <v>22</v>
      </c>
      <c r="C3072" t="s">
        <v>397</v>
      </c>
      <c r="D3072">
        <v>940.51499999999999</v>
      </c>
      <c r="E3072">
        <v>202.285</v>
      </c>
      <c r="F3072">
        <v>870.91700000000003</v>
      </c>
      <c r="G3072">
        <v>3614493</v>
      </c>
      <c r="H3072" t="s">
        <v>1701</v>
      </c>
    </row>
    <row r="3073" spans="1:8" x14ac:dyDescent="0.25">
      <c r="A3073" t="s">
        <v>6012</v>
      </c>
      <c r="B3073" t="s">
        <v>22</v>
      </c>
      <c r="C3073" t="s">
        <v>397</v>
      </c>
      <c r="D3073">
        <v>1434</v>
      </c>
      <c r="E3073">
        <v>203.62899999999999</v>
      </c>
      <c r="F3073">
        <v>629.33500000000004</v>
      </c>
      <c r="G3073">
        <v>4157556</v>
      </c>
      <c r="H3073" t="s">
        <v>6078</v>
      </c>
    </row>
    <row r="3074" spans="1:8" x14ac:dyDescent="0.25">
      <c r="A3074" t="s">
        <v>821</v>
      </c>
      <c r="B3074" t="s">
        <v>177</v>
      </c>
      <c r="C3074" t="s">
        <v>397</v>
      </c>
      <c r="D3074">
        <v>154.62100000000001</v>
      </c>
      <c r="E3074">
        <v>55.198999999999998</v>
      </c>
      <c r="F3074">
        <v>166.078</v>
      </c>
      <c r="G3074">
        <v>3909903</v>
      </c>
      <c r="H3074" t="s">
        <v>822</v>
      </c>
    </row>
    <row r="3075" spans="1:8" x14ac:dyDescent="0.25">
      <c r="A3075" t="s">
        <v>821</v>
      </c>
      <c r="B3075" t="s">
        <v>177</v>
      </c>
      <c r="C3075" t="s">
        <v>397</v>
      </c>
      <c r="D3075">
        <v>589.78499999999997</v>
      </c>
      <c r="E3075">
        <v>210.55199999999999</v>
      </c>
      <c r="F3075">
        <v>633.48800000000006</v>
      </c>
      <c r="G3075">
        <v>3909903</v>
      </c>
      <c r="H3075" t="s">
        <v>822</v>
      </c>
    </row>
    <row r="3076" spans="1:8" x14ac:dyDescent="0.25">
      <c r="A3076" t="s">
        <v>821</v>
      </c>
      <c r="B3076" t="s">
        <v>177</v>
      </c>
      <c r="C3076" t="s">
        <v>397</v>
      </c>
      <c r="D3076">
        <v>2041</v>
      </c>
      <c r="E3076">
        <v>728.63300000000004</v>
      </c>
      <c r="F3076">
        <v>2192.2379999999998</v>
      </c>
      <c r="G3076">
        <v>3909903</v>
      </c>
      <c r="H3076" t="s">
        <v>822</v>
      </c>
    </row>
    <row r="3077" spans="1:8" x14ac:dyDescent="0.25">
      <c r="A3077" t="s">
        <v>821</v>
      </c>
      <c r="B3077" t="s">
        <v>177</v>
      </c>
      <c r="C3077" t="s">
        <v>397</v>
      </c>
      <c r="D3077">
        <v>1944.5940000000001</v>
      </c>
      <c r="E3077">
        <v>694.21600000000001</v>
      </c>
      <c r="F3077">
        <v>2088.6880000000001</v>
      </c>
      <c r="G3077">
        <v>3909903</v>
      </c>
      <c r="H3077" t="s">
        <v>822</v>
      </c>
    </row>
    <row r="3078" spans="1:8" x14ac:dyDescent="0.25">
      <c r="A3078" t="s">
        <v>5966</v>
      </c>
      <c r="B3078" t="s">
        <v>37</v>
      </c>
      <c r="C3078" t="s">
        <v>392</v>
      </c>
      <c r="D3078">
        <v>104</v>
      </c>
      <c r="E3078">
        <v>623.798</v>
      </c>
      <c r="F3078">
        <v>1751</v>
      </c>
      <c r="G3078">
        <v>3702875</v>
      </c>
      <c r="H3078" t="s">
        <v>2007</v>
      </c>
    </row>
    <row r="3079" spans="1:8" x14ac:dyDescent="0.25">
      <c r="A3079" t="s">
        <v>5966</v>
      </c>
      <c r="B3079" t="s">
        <v>37</v>
      </c>
      <c r="C3079" t="s">
        <v>392</v>
      </c>
      <c r="D3079">
        <v>108</v>
      </c>
      <c r="E3079">
        <v>648.37900000000002</v>
      </c>
      <c r="F3079">
        <v>1820</v>
      </c>
      <c r="G3079">
        <v>3702875</v>
      </c>
      <c r="H3079" t="s">
        <v>2007</v>
      </c>
    </row>
    <row r="3080" spans="1:8" x14ac:dyDescent="0.25">
      <c r="A3080" t="s">
        <v>5966</v>
      </c>
      <c r="B3080" t="s">
        <v>37</v>
      </c>
      <c r="C3080" t="s">
        <v>392</v>
      </c>
      <c r="D3080">
        <v>132</v>
      </c>
      <c r="E3080">
        <v>792.66099999999994</v>
      </c>
      <c r="F3080">
        <v>2225</v>
      </c>
      <c r="G3080">
        <v>3702875</v>
      </c>
      <c r="H3080" t="s">
        <v>2007</v>
      </c>
    </row>
    <row r="3081" spans="1:8" x14ac:dyDescent="0.25">
      <c r="A3081" t="s">
        <v>5966</v>
      </c>
      <c r="B3081" t="s">
        <v>37</v>
      </c>
      <c r="C3081" t="s">
        <v>392</v>
      </c>
      <c r="D3081">
        <v>159</v>
      </c>
      <c r="E3081">
        <v>955.46799999999996</v>
      </c>
      <c r="F3081">
        <v>2682</v>
      </c>
      <c r="G3081">
        <v>3702875</v>
      </c>
      <c r="H3081" t="s">
        <v>2007</v>
      </c>
    </row>
    <row r="3082" spans="1:8" x14ac:dyDescent="0.25">
      <c r="A3082" t="s">
        <v>5966</v>
      </c>
      <c r="B3082" t="s">
        <v>37</v>
      </c>
      <c r="C3082" t="s">
        <v>392</v>
      </c>
      <c r="D3082">
        <v>101</v>
      </c>
      <c r="E3082">
        <v>608.12300000000005</v>
      </c>
      <c r="F3082">
        <v>1707</v>
      </c>
      <c r="G3082">
        <v>3702875</v>
      </c>
      <c r="H3082" t="s">
        <v>2007</v>
      </c>
    </row>
    <row r="3083" spans="1:8" x14ac:dyDescent="0.25">
      <c r="A3083" t="s">
        <v>5966</v>
      </c>
      <c r="B3083" t="s">
        <v>37</v>
      </c>
      <c r="C3083" t="s">
        <v>392</v>
      </c>
      <c r="D3083">
        <v>112</v>
      </c>
      <c r="E3083">
        <v>669.75400000000002</v>
      </c>
      <c r="F3083">
        <v>1880</v>
      </c>
      <c r="G3083">
        <v>3702875</v>
      </c>
      <c r="H3083" t="s">
        <v>2007</v>
      </c>
    </row>
    <row r="3084" spans="1:8" x14ac:dyDescent="0.25">
      <c r="A3084" t="s">
        <v>5966</v>
      </c>
      <c r="B3084" t="s">
        <v>37</v>
      </c>
      <c r="C3084" t="s">
        <v>392</v>
      </c>
      <c r="D3084">
        <v>29</v>
      </c>
      <c r="E3084">
        <v>172.78200000000001</v>
      </c>
      <c r="F3084">
        <v>485</v>
      </c>
      <c r="G3084">
        <v>3702875</v>
      </c>
      <c r="H3084" t="s">
        <v>2007</v>
      </c>
    </row>
    <row r="3085" spans="1:8" x14ac:dyDescent="0.25">
      <c r="A3085" t="s">
        <v>5966</v>
      </c>
      <c r="B3085" t="s">
        <v>37</v>
      </c>
      <c r="C3085" t="s">
        <v>392</v>
      </c>
      <c r="D3085">
        <v>41</v>
      </c>
      <c r="E3085">
        <v>243.447</v>
      </c>
      <c r="F3085">
        <v>683.35699999999997</v>
      </c>
      <c r="G3085">
        <v>3702875</v>
      </c>
      <c r="H3085" t="s">
        <v>2007</v>
      </c>
    </row>
    <row r="3086" spans="1:8" x14ac:dyDescent="0.25">
      <c r="A3086" t="s">
        <v>5966</v>
      </c>
      <c r="B3086" t="s">
        <v>37</v>
      </c>
      <c r="C3086" t="s">
        <v>392</v>
      </c>
      <c r="D3086">
        <v>4</v>
      </c>
      <c r="E3086">
        <v>25.436</v>
      </c>
      <c r="F3086">
        <v>71.400000000000006</v>
      </c>
      <c r="G3086">
        <v>3702875</v>
      </c>
      <c r="H3086" t="s">
        <v>2007</v>
      </c>
    </row>
    <row r="3087" spans="1:8" x14ac:dyDescent="0.25">
      <c r="A3087" t="s">
        <v>5966</v>
      </c>
      <c r="B3087" t="s">
        <v>37</v>
      </c>
      <c r="C3087" t="s">
        <v>392</v>
      </c>
      <c r="D3087">
        <v>6</v>
      </c>
      <c r="E3087">
        <v>35.020000000000003</v>
      </c>
      <c r="F3087">
        <v>98.3</v>
      </c>
      <c r="G3087">
        <v>3702875</v>
      </c>
      <c r="H3087" t="s">
        <v>2007</v>
      </c>
    </row>
    <row r="3088" spans="1:8" x14ac:dyDescent="0.25">
      <c r="A3088" t="s">
        <v>5966</v>
      </c>
      <c r="B3088" t="s">
        <v>37</v>
      </c>
      <c r="C3088" t="s">
        <v>392</v>
      </c>
      <c r="D3088">
        <v>71</v>
      </c>
      <c r="E3088">
        <v>427.50299999999999</v>
      </c>
      <c r="F3088">
        <v>1200</v>
      </c>
      <c r="G3088">
        <v>3702875</v>
      </c>
      <c r="H3088" t="s">
        <v>2007</v>
      </c>
    </row>
    <row r="3089" spans="1:8" x14ac:dyDescent="0.25">
      <c r="A3089" t="s">
        <v>5966</v>
      </c>
      <c r="B3089" t="s">
        <v>37</v>
      </c>
      <c r="C3089" t="s">
        <v>392</v>
      </c>
      <c r="D3089">
        <v>5</v>
      </c>
      <c r="E3089">
        <v>27.411000000000001</v>
      </c>
      <c r="F3089">
        <v>76.942999999999998</v>
      </c>
      <c r="G3089">
        <v>3702875</v>
      </c>
      <c r="H3089" t="s">
        <v>2007</v>
      </c>
    </row>
    <row r="3090" spans="1:8" x14ac:dyDescent="0.25">
      <c r="A3090" t="s">
        <v>5966</v>
      </c>
      <c r="B3090" t="s">
        <v>37</v>
      </c>
      <c r="C3090" t="s">
        <v>392</v>
      </c>
      <c r="D3090">
        <v>216</v>
      </c>
      <c r="E3090">
        <v>1337.0640000000001</v>
      </c>
      <c r="F3090">
        <v>1925.64</v>
      </c>
      <c r="G3090">
        <v>3502254</v>
      </c>
      <c r="H3090" t="s">
        <v>858</v>
      </c>
    </row>
    <row r="3091" spans="1:8" x14ac:dyDescent="0.25">
      <c r="A3091" t="s">
        <v>5966</v>
      </c>
      <c r="B3091" t="s">
        <v>37</v>
      </c>
      <c r="C3091" t="s">
        <v>392</v>
      </c>
      <c r="D3091">
        <v>217</v>
      </c>
      <c r="E3091">
        <v>1343.2539999999999</v>
      </c>
      <c r="F3091">
        <v>1934.5550000000001</v>
      </c>
      <c r="G3091">
        <v>3502254</v>
      </c>
      <c r="H3091" t="s">
        <v>858</v>
      </c>
    </row>
    <row r="3092" spans="1:8" x14ac:dyDescent="0.25">
      <c r="A3092" t="s">
        <v>5966</v>
      </c>
      <c r="B3092" t="s">
        <v>37</v>
      </c>
      <c r="C3092" t="s">
        <v>392</v>
      </c>
      <c r="D3092">
        <v>214</v>
      </c>
      <c r="E3092">
        <v>1324.684</v>
      </c>
      <c r="F3092">
        <v>1907.81</v>
      </c>
      <c r="G3092">
        <v>3502254</v>
      </c>
      <c r="H3092" t="s">
        <v>858</v>
      </c>
    </row>
    <row r="3093" spans="1:8" x14ac:dyDescent="0.25">
      <c r="A3093" t="s">
        <v>5966</v>
      </c>
      <c r="B3093" t="s">
        <v>37</v>
      </c>
      <c r="C3093" t="s">
        <v>392</v>
      </c>
      <c r="D3093">
        <v>216</v>
      </c>
      <c r="E3093">
        <v>1337.0640000000001</v>
      </c>
      <c r="F3093">
        <v>1925.64</v>
      </c>
      <c r="G3093">
        <v>3502254</v>
      </c>
      <c r="H3093" t="s">
        <v>858</v>
      </c>
    </row>
    <row r="3094" spans="1:8" x14ac:dyDescent="0.25">
      <c r="A3094" t="s">
        <v>5966</v>
      </c>
      <c r="B3094" t="s">
        <v>37</v>
      </c>
      <c r="C3094" t="s">
        <v>392</v>
      </c>
      <c r="D3094">
        <v>217</v>
      </c>
      <c r="E3094">
        <v>1343.2539999999999</v>
      </c>
      <c r="F3094">
        <v>1934.5550000000001</v>
      </c>
      <c r="G3094">
        <v>3502254</v>
      </c>
      <c r="H3094" t="s">
        <v>858</v>
      </c>
    </row>
    <row r="3095" spans="1:8" x14ac:dyDescent="0.25">
      <c r="A3095" t="s">
        <v>5966</v>
      </c>
      <c r="B3095" t="s">
        <v>37</v>
      </c>
      <c r="C3095" t="s">
        <v>392</v>
      </c>
      <c r="D3095">
        <v>216</v>
      </c>
      <c r="E3095">
        <v>1337.0640000000001</v>
      </c>
      <c r="F3095">
        <v>1925.64</v>
      </c>
      <c r="G3095">
        <v>3502254</v>
      </c>
      <c r="H3095" t="s">
        <v>858</v>
      </c>
    </row>
    <row r="3096" spans="1:8" x14ac:dyDescent="0.25">
      <c r="A3096" t="s">
        <v>5966</v>
      </c>
      <c r="B3096" t="s">
        <v>37</v>
      </c>
      <c r="C3096" t="s">
        <v>392</v>
      </c>
      <c r="D3096">
        <v>216</v>
      </c>
      <c r="E3096">
        <v>1337.0640000000001</v>
      </c>
      <c r="F3096">
        <v>1925.64</v>
      </c>
      <c r="G3096">
        <v>3502254</v>
      </c>
      <c r="H3096" t="s">
        <v>858</v>
      </c>
    </row>
    <row r="3097" spans="1:8" x14ac:dyDescent="0.25">
      <c r="A3097" t="s">
        <v>5966</v>
      </c>
      <c r="B3097" t="s">
        <v>37</v>
      </c>
      <c r="C3097" t="s">
        <v>392</v>
      </c>
      <c r="D3097">
        <v>7</v>
      </c>
      <c r="E3097">
        <v>42.021999999999998</v>
      </c>
      <c r="F3097">
        <v>60.52</v>
      </c>
      <c r="G3097">
        <v>3502254</v>
      </c>
      <c r="H3097" t="s">
        <v>858</v>
      </c>
    </row>
    <row r="3098" spans="1:8" x14ac:dyDescent="0.25">
      <c r="A3098" t="s">
        <v>6025</v>
      </c>
      <c r="B3098" t="s">
        <v>40</v>
      </c>
      <c r="C3098" t="s">
        <v>397</v>
      </c>
      <c r="D3098">
        <v>5000</v>
      </c>
      <c r="E3098">
        <v>2039.998</v>
      </c>
      <c r="F3098">
        <v>1610.556</v>
      </c>
      <c r="G3098">
        <v>3723531</v>
      </c>
      <c r="H3098" t="s">
        <v>1557</v>
      </c>
    </row>
    <row r="3099" spans="1:8" x14ac:dyDescent="0.25">
      <c r="A3099" t="s">
        <v>6025</v>
      </c>
      <c r="B3099" t="s">
        <v>40</v>
      </c>
      <c r="C3099" t="s">
        <v>397</v>
      </c>
      <c r="D3099">
        <v>6225</v>
      </c>
      <c r="E3099">
        <v>4873.9589999999998</v>
      </c>
      <c r="F3099">
        <v>4040.0250000000001</v>
      </c>
      <c r="G3099">
        <v>2371410</v>
      </c>
      <c r="H3099" t="s">
        <v>1561</v>
      </c>
    </row>
    <row r="3100" spans="1:8" x14ac:dyDescent="0.25">
      <c r="A3100" t="s">
        <v>419</v>
      </c>
      <c r="B3100" t="s">
        <v>46</v>
      </c>
      <c r="C3100" t="s">
        <v>444</v>
      </c>
      <c r="D3100">
        <v>410</v>
      </c>
      <c r="E3100">
        <v>2550</v>
      </c>
      <c r="F3100">
        <v>2767.0050000000001</v>
      </c>
      <c r="G3100">
        <v>3500367</v>
      </c>
      <c r="H3100" t="s">
        <v>755</v>
      </c>
    </row>
    <row r="3101" spans="1:8" x14ac:dyDescent="0.25">
      <c r="A3101" t="s">
        <v>419</v>
      </c>
      <c r="B3101" t="s">
        <v>46</v>
      </c>
      <c r="C3101" t="s">
        <v>444</v>
      </c>
      <c r="D3101">
        <v>155</v>
      </c>
      <c r="E3101">
        <v>928.34299999999996</v>
      </c>
      <c r="F3101">
        <v>1644.0029999999999</v>
      </c>
      <c r="G3101">
        <v>3702361</v>
      </c>
      <c r="H3101" t="s">
        <v>844</v>
      </c>
    </row>
    <row r="3102" spans="1:8" x14ac:dyDescent="0.25">
      <c r="A3102" t="s">
        <v>419</v>
      </c>
      <c r="B3102" t="s">
        <v>46</v>
      </c>
      <c r="C3102" t="s">
        <v>444</v>
      </c>
      <c r="D3102">
        <v>141</v>
      </c>
      <c r="E3102">
        <v>846.65700000000004</v>
      </c>
      <c r="F3102">
        <v>1499.345</v>
      </c>
      <c r="G3102">
        <v>3702361</v>
      </c>
      <c r="H3102" t="s">
        <v>844</v>
      </c>
    </row>
    <row r="3103" spans="1:8" x14ac:dyDescent="0.25">
      <c r="A3103" t="s">
        <v>5966</v>
      </c>
      <c r="B3103" t="s">
        <v>37</v>
      </c>
      <c r="C3103" t="s">
        <v>392</v>
      </c>
      <c r="D3103">
        <v>217</v>
      </c>
      <c r="E3103">
        <v>1343.2539999999999</v>
      </c>
      <c r="F3103">
        <v>1934.5550000000001</v>
      </c>
      <c r="G3103">
        <v>3502254</v>
      </c>
      <c r="H3103" t="s">
        <v>858</v>
      </c>
    </row>
    <row r="3104" spans="1:8" x14ac:dyDescent="0.25">
      <c r="A3104" t="s">
        <v>5966</v>
      </c>
      <c r="B3104" t="s">
        <v>37</v>
      </c>
      <c r="C3104" t="s">
        <v>392</v>
      </c>
      <c r="D3104">
        <v>5</v>
      </c>
      <c r="E3104">
        <v>31.555</v>
      </c>
      <c r="F3104">
        <v>45.445</v>
      </c>
      <c r="G3104">
        <v>3502254</v>
      </c>
      <c r="H3104" t="s">
        <v>858</v>
      </c>
    </row>
    <row r="3105" spans="1:8" x14ac:dyDescent="0.25">
      <c r="A3105" t="s">
        <v>437</v>
      </c>
      <c r="B3105" t="s">
        <v>18</v>
      </c>
      <c r="C3105" t="s">
        <v>444</v>
      </c>
      <c r="D3105">
        <v>3</v>
      </c>
      <c r="E3105">
        <v>12.154</v>
      </c>
      <c r="F3105">
        <v>20.619</v>
      </c>
      <c r="G3105">
        <v>2410388</v>
      </c>
      <c r="H3105" t="s">
        <v>819</v>
      </c>
    </row>
    <row r="3106" spans="1:8" x14ac:dyDescent="0.25">
      <c r="A3106" t="s">
        <v>437</v>
      </c>
      <c r="B3106" t="s">
        <v>18</v>
      </c>
      <c r="C3106" t="s">
        <v>444</v>
      </c>
      <c r="D3106">
        <v>209</v>
      </c>
      <c r="E3106">
        <v>939.58100000000002</v>
      </c>
      <c r="F3106">
        <v>1593.999</v>
      </c>
      <c r="G3106">
        <v>2410388</v>
      </c>
      <c r="H3106" t="s">
        <v>819</v>
      </c>
    </row>
    <row r="3107" spans="1:8" x14ac:dyDescent="0.25">
      <c r="A3107" t="s">
        <v>437</v>
      </c>
      <c r="B3107" t="s">
        <v>18</v>
      </c>
      <c r="C3107" t="s">
        <v>444</v>
      </c>
      <c r="D3107">
        <v>97</v>
      </c>
      <c r="E3107">
        <v>434.26499999999999</v>
      </c>
      <c r="F3107">
        <v>736.73099999999999</v>
      </c>
      <c r="G3107">
        <v>2410388</v>
      </c>
      <c r="H3107" t="s">
        <v>819</v>
      </c>
    </row>
    <row r="3108" spans="1:8" x14ac:dyDescent="0.25">
      <c r="A3108" t="s">
        <v>636</v>
      </c>
      <c r="B3108" t="s">
        <v>151</v>
      </c>
      <c r="C3108" t="s">
        <v>397</v>
      </c>
      <c r="D3108">
        <v>2542</v>
      </c>
      <c r="E3108">
        <v>599.62</v>
      </c>
      <c r="F3108">
        <v>3520.67</v>
      </c>
      <c r="G3108">
        <v>2429059</v>
      </c>
      <c r="H3108" t="s">
        <v>894</v>
      </c>
    </row>
    <row r="3109" spans="1:8" x14ac:dyDescent="0.25">
      <c r="A3109" t="s">
        <v>6025</v>
      </c>
      <c r="B3109" t="s">
        <v>40</v>
      </c>
      <c r="C3109" t="s">
        <v>397</v>
      </c>
      <c r="D3109">
        <v>3000</v>
      </c>
      <c r="E3109">
        <v>1223.999</v>
      </c>
      <c r="F3109">
        <v>966.33299999999997</v>
      </c>
      <c r="G3109">
        <v>3723531</v>
      </c>
      <c r="H3109" t="s">
        <v>1557</v>
      </c>
    </row>
    <row r="3110" spans="1:8" x14ac:dyDescent="0.25">
      <c r="A3110" t="s">
        <v>422</v>
      </c>
      <c r="B3110" t="s">
        <v>30</v>
      </c>
      <c r="C3110" t="s">
        <v>397</v>
      </c>
      <c r="D3110">
        <v>1841.366</v>
      </c>
      <c r="E3110">
        <v>500.60700000000003</v>
      </c>
      <c r="F3110">
        <v>1126.9159999999999</v>
      </c>
      <c r="G3110">
        <v>1938125</v>
      </c>
      <c r="H3110" t="s">
        <v>870</v>
      </c>
    </row>
    <row r="3111" spans="1:8" x14ac:dyDescent="0.25">
      <c r="A3111" t="s">
        <v>422</v>
      </c>
      <c r="B3111" t="s">
        <v>30</v>
      </c>
      <c r="C3111" t="s">
        <v>397</v>
      </c>
      <c r="D3111">
        <v>2795.297</v>
      </c>
      <c r="E3111">
        <v>759.94899999999996</v>
      </c>
      <c r="F3111">
        <v>1710.722</v>
      </c>
      <c r="G3111">
        <v>1938125</v>
      </c>
      <c r="H3111" t="s">
        <v>870</v>
      </c>
    </row>
    <row r="3112" spans="1:8" x14ac:dyDescent="0.25">
      <c r="A3112" t="s">
        <v>422</v>
      </c>
      <c r="B3112" t="s">
        <v>30</v>
      </c>
      <c r="C3112" t="s">
        <v>397</v>
      </c>
      <c r="D3112">
        <v>1936</v>
      </c>
      <c r="E3112">
        <v>526.33500000000004</v>
      </c>
      <c r="F3112">
        <v>1184.8320000000001</v>
      </c>
      <c r="G3112">
        <v>1938125</v>
      </c>
      <c r="H3112" t="s">
        <v>870</v>
      </c>
    </row>
    <row r="3113" spans="1:8" x14ac:dyDescent="0.25">
      <c r="A3113" t="s">
        <v>422</v>
      </c>
      <c r="B3113" t="s">
        <v>30</v>
      </c>
      <c r="C3113" t="s">
        <v>397</v>
      </c>
      <c r="D3113">
        <v>2378.9259999999999</v>
      </c>
      <c r="E3113">
        <v>646.75199999999995</v>
      </c>
      <c r="F3113">
        <v>1455.903</v>
      </c>
      <c r="G3113">
        <v>1938125</v>
      </c>
      <c r="H3113" t="s">
        <v>870</v>
      </c>
    </row>
    <row r="3114" spans="1:8" x14ac:dyDescent="0.25">
      <c r="A3114" t="s">
        <v>422</v>
      </c>
      <c r="B3114" t="s">
        <v>30</v>
      </c>
      <c r="C3114" t="s">
        <v>397</v>
      </c>
      <c r="D3114">
        <v>966.30600000000004</v>
      </c>
      <c r="E3114">
        <v>262.70699999999999</v>
      </c>
      <c r="F3114">
        <v>591.37900000000002</v>
      </c>
      <c r="G3114">
        <v>1938125</v>
      </c>
      <c r="H3114" t="s">
        <v>870</v>
      </c>
    </row>
    <row r="3115" spans="1:8" x14ac:dyDescent="0.25">
      <c r="A3115" t="s">
        <v>422</v>
      </c>
      <c r="B3115" t="s">
        <v>30</v>
      </c>
      <c r="C3115" t="s">
        <v>397</v>
      </c>
      <c r="D3115">
        <v>232.10499999999999</v>
      </c>
      <c r="E3115">
        <v>63.101999999999997</v>
      </c>
      <c r="F3115">
        <v>142.048</v>
      </c>
      <c r="G3115">
        <v>1938125</v>
      </c>
      <c r="H3115" t="s">
        <v>870</v>
      </c>
    </row>
    <row r="3116" spans="1:8" x14ac:dyDescent="0.25">
      <c r="A3116" t="s">
        <v>422</v>
      </c>
      <c r="B3116" t="s">
        <v>30</v>
      </c>
      <c r="C3116" t="s">
        <v>397</v>
      </c>
      <c r="D3116">
        <v>8500</v>
      </c>
      <c r="E3116">
        <v>1841.546</v>
      </c>
      <c r="F3116">
        <v>2601</v>
      </c>
      <c r="G3116">
        <v>1939544</v>
      </c>
      <c r="H3116" t="s">
        <v>807</v>
      </c>
    </row>
    <row r="3117" spans="1:8" x14ac:dyDescent="0.25">
      <c r="A3117" t="s">
        <v>723</v>
      </c>
      <c r="B3117" t="s">
        <v>27</v>
      </c>
      <c r="C3117" t="s">
        <v>397</v>
      </c>
      <c r="D3117">
        <v>377</v>
      </c>
      <c r="E3117">
        <v>319.32100000000003</v>
      </c>
      <c r="F3117">
        <v>733.00099999999998</v>
      </c>
      <c r="G3117">
        <v>3781664</v>
      </c>
      <c r="H3117" t="s">
        <v>896</v>
      </c>
    </row>
    <row r="3118" spans="1:8" x14ac:dyDescent="0.25">
      <c r="A3118" t="s">
        <v>723</v>
      </c>
      <c r="B3118" t="s">
        <v>27</v>
      </c>
      <c r="C3118" t="s">
        <v>397</v>
      </c>
      <c r="D3118">
        <v>631</v>
      </c>
      <c r="E3118">
        <v>534.46</v>
      </c>
      <c r="F3118">
        <v>1226.8530000000001</v>
      </c>
      <c r="G3118">
        <v>3781664</v>
      </c>
      <c r="H3118" t="s">
        <v>896</v>
      </c>
    </row>
    <row r="3119" spans="1:8" x14ac:dyDescent="0.25">
      <c r="A3119" t="s">
        <v>723</v>
      </c>
      <c r="B3119" t="s">
        <v>27</v>
      </c>
      <c r="C3119" t="s">
        <v>397</v>
      </c>
      <c r="D3119">
        <v>100</v>
      </c>
      <c r="E3119">
        <v>23.401</v>
      </c>
      <c r="F3119">
        <v>134.13999999999999</v>
      </c>
      <c r="G3119">
        <v>3746291</v>
      </c>
      <c r="H3119" t="s">
        <v>880</v>
      </c>
    </row>
    <row r="3120" spans="1:8" x14ac:dyDescent="0.25">
      <c r="A3120" t="s">
        <v>723</v>
      </c>
      <c r="B3120" t="s">
        <v>27</v>
      </c>
      <c r="C3120" t="s">
        <v>397</v>
      </c>
      <c r="D3120">
        <v>550</v>
      </c>
      <c r="E3120">
        <v>144.65</v>
      </c>
      <c r="F3120">
        <v>829.18</v>
      </c>
      <c r="G3120">
        <v>4196298</v>
      </c>
      <c r="H3120" t="s">
        <v>882</v>
      </c>
    </row>
    <row r="3121" spans="1:8" x14ac:dyDescent="0.25">
      <c r="A3121" t="s">
        <v>6012</v>
      </c>
      <c r="B3121" t="s">
        <v>22</v>
      </c>
      <c r="C3121" t="s">
        <v>397</v>
      </c>
      <c r="D3121">
        <v>1782</v>
      </c>
      <c r="E3121">
        <v>383.27</v>
      </c>
      <c r="F3121">
        <v>1650.1320000000001</v>
      </c>
      <c r="G3121">
        <v>3614493</v>
      </c>
      <c r="H3121" t="s">
        <v>1701</v>
      </c>
    </row>
    <row r="3122" spans="1:8" x14ac:dyDescent="0.25">
      <c r="A3122" t="s">
        <v>6012</v>
      </c>
      <c r="B3122" t="s">
        <v>22</v>
      </c>
      <c r="C3122" t="s">
        <v>397</v>
      </c>
      <c r="D3122">
        <v>2348.19</v>
      </c>
      <c r="E3122">
        <v>505.04599999999999</v>
      </c>
      <c r="F3122">
        <v>2174.424</v>
      </c>
      <c r="G3122">
        <v>3614493</v>
      </c>
      <c r="H3122" t="s">
        <v>1701</v>
      </c>
    </row>
    <row r="3123" spans="1:8" x14ac:dyDescent="0.25">
      <c r="A3123" t="s">
        <v>6012</v>
      </c>
      <c r="B3123" t="s">
        <v>22</v>
      </c>
      <c r="C3123" t="s">
        <v>397</v>
      </c>
      <c r="D3123">
        <v>399.81</v>
      </c>
      <c r="E3123">
        <v>85.991</v>
      </c>
      <c r="F3123">
        <v>370.22399999999999</v>
      </c>
      <c r="G3123">
        <v>3614493</v>
      </c>
      <c r="H3123" t="s">
        <v>1701</v>
      </c>
    </row>
    <row r="3124" spans="1:8" x14ac:dyDescent="0.25">
      <c r="A3124" t="s">
        <v>6012</v>
      </c>
      <c r="B3124" t="s">
        <v>22</v>
      </c>
      <c r="C3124" t="s">
        <v>397</v>
      </c>
      <c r="D3124">
        <v>1440.674</v>
      </c>
      <c r="E3124">
        <v>459.57499999999999</v>
      </c>
      <c r="F3124">
        <v>1265.76</v>
      </c>
      <c r="G3124">
        <v>4157557</v>
      </c>
      <c r="H3124" t="s">
        <v>6073</v>
      </c>
    </row>
    <row r="3125" spans="1:8" x14ac:dyDescent="0.25">
      <c r="A3125" t="s">
        <v>6012</v>
      </c>
      <c r="B3125" t="s">
        <v>22</v>
      </c>
      <c r="C3125" t="s">
        <v>397</v>
      </c>
      <c r="D3125">
        <v>289.19600000000003</v>
      </c>
      <c r="E3125">
        <v>92.253</v>
      </c>
      <c r="F3125">
        <v>254.084</v>
      </c>
      <c r="G3125">
        <v>4157557</v>
      </c>
      <c r="H3125" t="s">
        <v>6073</v>
      </c>
    </row>
    <row r="3126" spans="1:8" x14ac:dyDescent="0.25">
      <c r="A3126" t="s">
        <v>6012</v>
      </c>
      <c r="B3126" t="s">
        <v>22</v>
      </c>
      <c r="C3126" t="s">
        <v>397</v>
      </c>
      <c r="D3126">
        <v>398.30599999999998</v>
      </c>
      <c r="E3126">
        <v>127.059</v>
      </c>
      <c r="F3126">
        <v>349.947</v>
      </c>
      <c r="G3126">
        <v>4157557</v>
      </c>
      <c r="H3126" t="s">
        <v>6073</v>
      </c>
    </row>
    <row r="3127" spans="1:8" x14ac:dyDescent="0.25">
      <c r="A3127" t="s">
        <v>6012</v>
      </c>
      <c r="B3127" t="s">
        <v>22</v>
      </c>
      <c r="C3127" t="s">
        <v>397</v>
      </c>
      <c r="D3127">
        <v>219.52199999999999</v>
      </c>
      <c r="E3127">
        <v>70.027000000000001</v>
      </c>
      <c r="F3127">
        <v>192.87</v>
      </c>
      <c r="G3127">
        <v>4157557</v>
      </c>
      <c r="H3127" t="s">
        <v>6073</v>
      </c>
    </row>
    <row r="3128" spans="1:8" x14ac:dyDescent="0.25">
      <c r="A3128" t="s">
        <v>6012</v>
      </c>
      <c r="B3128" t="s">
        <v>22</v>
      </c>
      <c r="C3128" t="s">
        <v>397</v>
      </c>
      <c r="D3128">
        <v>205.31800000000001</v>
      </c>
      <c r="E3128">
        <v>65.495999999999995</v>
      </c>
      <c r="F3128">
        <v>180.39</v>
      </c>
      <c r="G3128">
        <v>4157557</v>
      </c>
      <c r="H3128" t="s">
        <v>6073</v>
      </c>
    </row>
    <row r="3129" spans="1:8" x14ac:dyDescent="0.25">
      <c r="A3129" t="s">
        <v>6012</v>
      </c>
      <c r="B3129" t="s">
        <v>22</v>
      </c>
      <c r="C3129" t="s">
        <v>397</v>
      </c>
      <c r="D3129">
        <v>193.87700000000001</v>
      </c>
      <c r="E3129">
        <v>61.847000000000001</v>
      </c>
      <c r="F3129">
        <v>170.33799999999999</v>
      </c>
      <c r="G3129">
        <v>4157557</v>
      </c>
      <c r="H3129" t="s">
        <v>6073</v>
      </c>
    </row>
    <row r="3130" spans="1:8" x14ac:dyDescent="0.25">
      <c r="A3130" t="s">
        <v>6012</v>
      </c>
      <c r="B3130" t="s">
        <v>22</v>
      </c>
      <c r="C3130" t="s">
        <v>397</v>
      </c>
      <c r="D3130">
        <v>83.106999999999999</v>
      </c>
      <c r="E3130">
        <v>26.510999999999999</v>
      </c>
      <c r="F3130">
        <v>73.016999999999996</v>
      </c>
      <c r="G3130">
        <v>4157557</v>
      </c>
      <c r="H3130" t="s">
        <v>6073</v>
      </c>
    </row>
    <row r="3131" spans="1:8" x14ac:dyDescent="0.25">
      <c r="A3131" t="s">
        <v>6015</v>
      </c>
      <c r="B3131" t="s">
        <v>65</v>
      </c>
      <c r="C3131" t="s">
        <v>397</v>
      </c>
      <c r="D3131">
        <v>950.67700000000002</v>
      </c>
      <c r="E3131">
        <v>205.34700000000001</v>
      </c>
      <c r="F3131">
        <v>883.79200000000003</v>
      </c>
      <c r="G3131">
        <v>4186550</v>
      </c>
      <c r="H3131" t="s">
        <v>6072</v>
      </c>
    </row>
    <row r="3132" spans="1:8" x14ac:dyDescent="0.25">
      <c r="A3132" t="s">
        <v>6015</v>
      </c>
      <c r="B3132" t="s">
        <v>65</v>
      </c>
      <c r="C3132" t="s">
        <v>397</v>
      </c>
      <c r="D3132">
        <v>1942.623</v>
      </c>
      <c r="E3132">
        <v>419.60700000000003</v>
      </c>
      <c r="F3132">
        <v>1805.9490000000001</v>
      </c>
      <c r="G3132">
        <v>4186550</v>
      </c>
      <c r="H3132" t="s">
        <v>6072</v>
      </c>
    </row>
    <row r="3133" spans="1:8" x14ac:dyDescent="0.25">
      <c r="A3133" t="s">
        <v>6015</v>
      </c>
      <c r="B3133" t="s">
        <v>65</v>
      </c>
      <c r="C3133" t="s">
        <v>397</v>
      </c>
      <c r="D3133">
        <v>2166.6999999999998</v>
      </c>
      <c r="E3133">
        <v>468.00799999999998</v>
      </c>
      <c r="F3133">
        <v>2014.261</v>
      </c>
      <c r="G3133">
        <v>4186550</v>
      </c>
      <c r="H3133" t="s">
        <v>6072</v>
      </c>
    </row>
    <row r="3134" spans="1:8" x14ac:dyDescent="0.25">
      <c r="A3134" t="s">
        <v>809</v>
      </c>
      <c r="B3134" t="s">
        <v>72</v>
      </c>
      <c r="C3134" t="s">
        <v>397</v>
      </c>
      <c r="D3134">
        <v>44.604999999999997</v>
      </c>
      <c r="E3134">
        <v>21.632000000000001</v>
      </c>
      <c r="F3134">
        <v>33.32</v>
      </c>
      <c r="G3134">
        <v>2359755</v>
      </c>
      <c r="H3134" t="s">
        <v>828</v>
      </c>
    </row>
    <row r="3135" spans="1:8" x14ac:dyDescent="0.25">
      <c r="A3135" t="s">
        <v>809</v>
      </c>
      <c r="B3135" t="s">
        <v>72</v>
      </c>
      <c r="C3135" t="s">
        <v>397</v>
      </c>
      <c r="D3135">
        <v>240</v>
      </c>
      <c r="E3135">
        <v>116.393</v>
      </c>
      <c r="F3135">
        <v>179.28</v>
      </c>
      <c r="G3135">
        <v>2359755</v>
      </c>
      <c r="H3135" t="s">
        <v>828</v>
      </c>
    </row>
    <row r="3136" spans="1:8" x14ac:dyDescent="0.25">
      <c r="A3136" t="s">
        <v>809</v>
      </c>
      <c r="B3136" t="s">
        <v>72</v>
      </c>
      <c r="C3136" t="s">
        <v>397</v>
      </c>
      <c r="D3136">
        <v>70.497</v>
      </c>
      <c r="E3136">
        <v>34.189</v>
      </c>
      <c r="F3136">
        <v>52.661000000000001</v>
      </c>
      <c r="G3136">
        <v>2359755</v>
      </c>
      <c r="H3136" t="s">
        <v>828</v>
      </c>
    </row>
    <row r="3137" spans="1:8" x14ac:dyDescent="0.25">
      <c r="A3137" t="s">
        <v>809</v>
      </c>
      <c r="B3137" t="s">
        <v>72</v>
      </c>
      <c r="C3137" t="s">
        <v>397</v>
      </c>
      <c r="D3137">
        <v>96.116</v>
      </c>
      <c r="E3137">
        <v>46.613</v>
      </c>
      <c r="F3137">
        <v>71.799000000000007</v>
      </c>
      <c r="G3137">
        <v>2359755</v>
      </c>
      <c r="H3137" t="s">
        <v>828</v>
      </c>
    </row>
    <row r="3138" spans="1:8" x14ac:dyDescent="0.25">
      <c r="A3138" t="s">
        <v>809</v>
      </c>
      <c r="B3138" t="s">
        <v>72</v>
      </c>
      <c r="C3138" t="s">
        <v>397</v>
      </c>
      <c r="D3138">
        <v>2548.7820000000002</v>
      </c>
      <c r="E3138">
        <v>1236.0840000000001</v>
      </c>
      <c r="F3138">
        <v>1903.94</v>
      </c>
      <c r="G3138">
        <v>2359755</v>
      </c>
      <c r="H3138" t="s">
        <v>828</v>
      </c>
    </row>
    <row r="3139" spans="1:8" x14ac:dyDescent="0.25">
      <c r="A3139" t="s">
        <v>809</v>
      </c>
      <c r="B3139" t="s">
        <v>72</v>
      </c>
      <c r="C3139" t="s">
        <v>397</v>
      </c>
      <c r="D3139">
        <v>2000</v>
      </c>
      <c r="E3139">
        <v>543.73400000000004</v>
      </c>
      <c r="F3139">
        <v>1224</v>
      </c>
      <c r="G3139">
        <v>1938125</v>
      </c>
      <c r="H3139" t="s">
        <v>870</v>
      </c>
    </row>
    <row r="3140" spans="1:8" x14ac:dyDescent="0.25">
      <c r="A3140" t="s">
        <v>6018</v>
      </c>
      <c r="B3140" t="s">
        <v>21</v>
      </c>
      <c r="C3140" t="s">
        <v>397</v>
      </c>
      <c r="D3140">
        <v>1860</v>
      </c>
      <c r="E3140">
        <v>575.99199999999996</v>
      </c>
      <c r="F3140">
        <v>1324.32</v>
      </c>
      <c r="G3140">
        <v>2244440</v>
      </c>
      <c r="H3140" t="s">
        <v>1713</v>
      </c>
    </row>
    <row r="3141" spans="1:8" x14ac:dyDescent="0.25">
      <c r="A3141" t="s">
        <v>6018</v>
      </c>
      <c r="B3141" t="s">
        <v>21</v>
      </c>
      <c r="C3141" t="s">
        <v>397</v>
      </c>
      <c r="D3141">
        <v>515.41800000000001</v>
      </c>
      <c r="E3141">
        <v>237.15100000000001</v>
      </c>
      <c r="F3141">
        <v>950.43100000000004</v>
      </c>
      <c r="G3141">
        <v>3136139</v>
      </c>
      <c r="H3141" t="s">
        <v>1753</v>
      </c>
    </row>
    <row r="3142" spans="1:8" x14ac:dyDescent="0.25">
      <c r="A3142" t="s">
        <v>6018</v>
      </c>
      <c r="B3142" t="s">
        <v>21</v>
      </c>
      <c r="C3142" t="s">
        <v>397</v>
      </c>
      <c r="D3142">
        <v>1276.5820000000001</v>
      </c>
      <c r="E3142">
        <v>587.37400000000002</v>
      </c>
      <c r="F3142">
        <v>2354.0169999999998</v>
      </c>
      <c r="G3142">
        <v>3136139</v>
      </c>
      <c r="H3142" t="s">
        <v>1753</v>
      </c>
    </row>
    <row r="3143" spans="1:8" x14ac:dyDescent="0.25">
      <c r="A3143" t="s">
        <v>556</v>
      </c>
      <c r="B3143" t="s">
        <v>151</v>
      </c>
      <c r="C3143" t="s">
        <v>397</v>
      </c>
      <c r="D3143">
        <v>1000</v>
      </c>
      <c r="E3143">
        <v>196</v>
      </c>
      <c r="F3143">
        <v>762.98900000000003</v>
      </c>
      <c r="G3143">
        <v>3781594</v>
      </c>
      <c r="H3143" t="s">
        <v>900</v>
      </c>
    </row>
    <row r="3144" spans="1:8" x14ac:dyDescent="0.25">
      <c r="A3144" t="s">
        <v>636</v>
      </c>
      <c r="B3144" t="s">
        <v>151</v>
      </c>
      <c r="C3144" t="s">
        <v>397</v>
      </c>
      <c r="D3144">
        <v>540</v>
      </c>
      <c r="E3144">
        <v>127.438</v>
      </c>
      <c r="F3144">
        <v>730.51199999999994</v>
      </c>
      <c r="G3144">
        <v>3784473</v>
      </c>
      <c r="H3144" t="s">
        <v>873</v>
      </c>
    </row>
    <row r="3145" spans="1:8" x14ac:dyDescent="0.25">
      <c r="A3145" t="s">
        <v>809</v>
      </c>
      <c r="B3145" t="s">
        <v>72</v>
      </c>
      <c r="C3145" t="s">
        <v>397</v>
      </c>
      <c r="D3145">
        <v>2642.28</v>
      </c>
      <c r="E3145">
        <v>1281.4280000000001</v>
      </c>
      <c r="F3145">
        <v>1973.7829999999999</v>
      </c>
      <c r="G3145">
        <v>2359755</v>
      </c>
      <c r="H3145" t="s">
        <v>828</v>
      </c>
    </row>
    <row r="3146" spans="1:8" x14ac:dyDescent="0.25">
      <c r="A3146" t="s">
        <v>809</v>
      </c>
      <c r="B3146" t="s">
        <v>72</v>
      </c>
      <c r="C3146" t="s">
        <v>397</v>
      </c>
      <c r="D3146">
        <v>1357.72</v>
      </c>
      <c r="E3146">
        <v>658.45399999999995</v>
      </c>
      <c r="F3146">
        <v>1014.217</v>
      </c>
      <c r="G3146">
        <v>2359755</v>
      </c>
      <c r="H3146" t="s">
        <v>828</v>
      </c>
    </row>
    <row r="3147" spans="1:8" x14ac:dyDescent="0.25">
      <c r="A3147" t="s">
        <v>636</v>
      </c>
      <c r="B3147" t="s">
        <v>151</v>
      </c>
      <c r="C3147" t="s">
        <v>397</v>
      </c>
      <c r="D3147">
        <v>680</v>
      </c>
      <c r="E3147">
        <v>160.477</v>
      </c>
      <c r="F3147">
        <v>919.904</v>
      </c>
      <c r="G3147">
        <v>3784473</v>
      </c>
      <c r="H3147" t="s">
        <v>873</v>
      </c>
    </row>
    <row r="3148" spans="1:8" x14ac:dyDescent="0.25">
      <c r="A3148" t="s">
        <v>809</v>
      </c>
      <c r="B3148" t="s">
        <v>72</v>
      </c>
      <c r="C3148" t="s">
        <v>397</v>
      </c>
      <c r="D3148">
        <v>1500</v>
      </c>
      <c r="E3148">
        <v>407.80099999999999</v>
      </c>
      <c r="F3148">
        <v>918</v>
      </c>
      <c r="G3148">
        <v>1938125</v>
      </c>
      <c r="H3148" t="s">
        <v>870</v>
      </c>
    </row>
    <row r="3149" spans="1:8" x14ac:dyDescent="0.25">
      <c r="A3149" t="s">
        <v>809</v>
      </c>
      <c r="B3149" t="s">
        <v>72</v>
      </c>
      <c r="C3149" t="s">
        <v>397</v>
      </c>
      <c r="D3149">
        <v>3940</v>
      </c>
      <c r="E3149">
        <v>853.61099999999999</v>
      </c>
      <c r="F3149">
        <v>1205.6400000000001</v>
      </c>
      <c r="G3149">
        <v>1939544</v>
      </c>
      <c r="H3149" t="s">
        <v>807</v>
      </c>
    </row>
    <row r="3150" spans="1:8" x14ac:dyDescent="0.25">
      <c r="A3150" t="s">
        <v>589</v>
      </c>
      <c r="B3150" t="s">
        <v>45</v>
      </c>
      <c r="C3150" t="s">
        <v>397</v>
      </c>
      <c r="D3150">
        <v>480</v>
      </c>
      <c r="E3150">
        <v>282.42</v>
      </c>
      <c r="F3150">
        <v>356.64</v>
      </c>
      <c r="G3150">
        <v>1938191</v>
      </c>
      <c r="H3150" t="s">
        <v>591</v>
      </c>
    </row>
    <row r="3151" spans="1:8" x14ac:dyDescent="0.25">
      <c r="A3151" t="s">
        <v>589</v>
      </c>
      <c r="B3151" t="s">
        <v>45</v>
      </c>
      <c r="C3151" t="s">
        <v>397</v>
      </c>
      <c r="D3151">
        <v>1470.17</v>
      </c>
      <c r="E3151">
        <v>865.01099999999997</v>
      </c>
      <c r="F3151">
        <v>1092.336</v>
      </c>
      <c r="G3151">
        <v>1938191</v>
      </c>
      <c r="H3151" t="s">
        <v>591</v>
      </c>
    </row>
    <row r="3152" spans="1:8" x14ac:dyDescent="0.25">
      <c r="A3152" t="s">
        <v>589</v>
      </c>
      <c r="B3152" t="s">
        <v>45</v>
      </c>
      <c r="C3152" t="s">
        <v>397</v>
      </c>
      <c r="D3152">
        <v>49.83</v>
      </c>
      <c r="E3152">
        <v>29.318999999999999</v>
      </c>
      <c r="F3152">
        <v>37.024000000000001</v>
      </c>
      <c r="G3152">
        <v>1938191</v>
      </c>
      <c r="H3152" t="s">
        <v>591</v>
      </c>
    </row>
    <row r="3153" spans="1:8" x14ac:dyDescent="0.25">
      <c r="A3153" t="s">
        <v>6015</v>
      </c>
      <c r="B3153" t="s">
        <v>65</v>
      </c>
      <c r="C3153" t="s">
        <v>397</v>
      </c>
      <c r="D3153">
        <v>1809</v>
      </c>
      <c r="E3153">
        <v>390.745</v>
      </c>
      <c r="F3153">
        <v>1681.7270000000001</v>
      </c>
      <c r="G3153">
        <v>4186550</v>
      </c>
      <c r="H3153" t="s">
        <v>6072</v>
      </c>
    </row>
    <row r="3154" spans="1:8" x14ac:dyDescent="0.25">
      <c r="A3154" t="s">
        <v>6015</v>
      </c>
      <c r="B3154" t="s">
        <v>65</v>
      </c>
      <c r="C3154" t="s">
        <v>397</v>
      </c>
      <c r="D3154">
        <v>256.892</v>
      </c>
      <c r="E3154">
        <v>55.488999999999997</v>
      </c>
      <c r="F3154">
        <v>238.81800000000001</v>
      </c>
      <c r="G3154">
        <v>4186550</v>
      </c>
      <c r="H3154" t="s">
        <v>6072</v>
      </c>
    </row>
    <row r="3155" spans="1:8" x14ac:dyDescent="0.25">
      <c r="A3155" t="s">
        <v>6015</v>
      </c>
      <c r="B3155" t="s">
        <v>65</v>
      </c>
      <c r="C3155" t="s">
        <v>397</v>
      </c>
      <c r="D3155">
        <v>1284.1079999999999</v>
      </c>
      <c r="E3155">
        <v>277.36799999999999</v>
      </c>
      <c r="F3155">
        <v>1193.7639999999999</v>
      </c>
      <c r="G3155">
        <v>4186550</v>
      </c>
      <c r="H3155" t="s">
        <v>6072</v>
      </c>
    </row>
    <row r="3156" spans="1:8" x14ac:dyDescent="0.25">
      <c r="A3156" t="s">
        <v>556</v>
      </c>
      <c r="B3156" t="s">
        <v>151</v>
      </c>
      <c r="C3156" t="s">
        <v>397</v>
      </c>
      <c r="D3156">
        <v>1660.732</v>
      </c>
      <c r="E3156">
        <v>325.50400000000002</v>
      </c>
      <c r="F3156">
        <v>1267.1199999999999</v>
      </c>
      <c r="G3156">
        <v>3781594</v>
      </c>
      <c r="H3156" t="s">
        <v>900</v>
      </c>
    </row>
    <row r="3157" spans="1:8" x14ac:dyDescent="0.25">
      <c r="A3157" t="s">
        <v>556</v>
      </c>
      <c r="B3157" t="s">
        <v>151</v>
      </c>
      <c r="C3157" t="s">
        <v>397</v>
      </c>
      <c r="D3157">
        <v>469.26799999999997</v>
      </c>
      <c r="E3157">
        <v>91.977000000000004</v>
      </c>
      <c r="F3157">
        <v>358.04599999999999</v>
      </c>
      <c r="G3157">
        <v>3781594</v>
      </c>
      <c r="H3157" t="s">
        <v>900</v>
      </c>
    </row>
    <row r="3158" spans="1:8" x14ac:dyDescent="0.25">
      <c r="A3158" t="s">
        <v>422</v>
      </c>
      <c r="B3158" t="s">
        <v>30</v>
      </c>
      <c r="C3158" t="s">
        <v>397</v>
      </c>
      <c r="D3158">
        <v>2293.9920000000002</v>
      </c>
      <c r="E3158">
        <v>1112.518</v>
      </c>
      <c r="F3158">
        <v>1713.6120000000001</v>
      </c>
      <c r="G3158">
        <v>2359755</v>
      </c>
      <c r="H3158" t="s">
        <v>828</v>
      </c>
    </row>
    <row r="3159" spans="1:8" x14ac:dyDescent="0.25">
      <c r="A3159" t="s">
        <v>422</v>
      </c>
      <c r="B3159" t="s">
        <v>30</v>
      </c>
      <c r="C3159" t="s">
        <v>397</v>
      </c>
      <c r="D3159">
        <v>1706.008</v>
      </c>
      <c r="E3159">
        <v>827.36300000000006</v>
      </c>
      <c r="F3159">
        <v>1274.3879999999999</v>
      </c>
      <c r="G3159">
        <v>2359755</v>
      </c>
      <c r="H3159" t="s">
        <v>828</v>
      </c>
    </row>
    <row r="3160" spans="1:8" x14ac:dyDescent="0.25">
      <c r="A3160" t="s">
        <v>6012</v>
      </c>
      <c r="B3160" t="s">
        <v>22</v>
      </c>
      <c r="C3160" t="s">
        <v>397</v>
      </c>
      <c r="D3160">
        <v>3000</v>
      </c>
      <c r="E3160">
        <v>426.00099999999998</v>
      </c>
      <c r="F3160">
        <v>1316.6</v>
      </c>
      <c r="G3160">
        <v>4157556</v>
      </c>
      <c r="H3160" t="s">
        <v>6078</v>
      </c>
    </row>
    <row r="3161" spans="1:8" x14ac:dyDescent="0.25">
      <c r="A3161" t="s">
        <v>723</v>
      </c>
      <c r="B3161" t="s">
        <v>27</v>
      </c>
      <c r="C3161" t="s">
        <v>397</v>
      </c>
      <c r="D3161">
        <v>1325.1579999999999</v>
      </c>
      <c r="E3161">
        <v>360.40699999999998</v>
      </c>
      <c r="F3161">
        <v>234.553</v>
      </c>
      <c r="G3161">
        <v>3228788</v>
      </c>
      <c r="H3161" t="s">
        <v>725</v>
      </c>
    </row>
    <row r="3162" spans="1:8" x14ac:dyDescent="0.25">
      <c r="A3162" t="s">
        <v>723</v>
      </c>
      <c r="B3162" t="s">
        <v>27</v>
      </c>
      <c r="C3162" t="s">
        <v>397</v>
      </c>
      <c r="D3162">
        <v>93.48</v>
      </c>
      <c r="E3162">
        <v>25.423999999999999</v>
      </c>
      <c r="F3162">
        <v>16.545999999999999</v>
      </c>
      <c r="G3162">
        <v>3228788</v>
      </c>
      <c r="H3162" t="s">
        <v>725</v>
      </c>
    </row>
    <row r="3163" spans="1:8" x14ac:dyDescent="0.25">
      <c r="A3163" t="s">
        <v>723</v>
      </c>
      <c r="B3163" t="s">
        <v>27</v>
      </c>
      <c r="C3163" t="s">
        <v>397</v>
      </c>
      <c r="D3163">
        <v>779.52499999999998</v>
      </c>
      <c r="E3163">
        <v>212.01</v>
      </c>
      <c r="F3163">
        <v>137.976</v>
      </c>
      <c r="G3163">
        <v>3228788</v>
      </c>
      <c r="H3163" t="s">
        <v>725</v>
      </c>
    </row>
    <row r="3164" spans="1:8" x14ac:dyDescent="0.25">
      <c r="A3164" t="s">
        <v>723</v>
      </c>
      <c r="B3164" t="s">
        <v>27</v>
      </c>
      <c r="C3164" t="s">
        <v>397</v>
      </c>
      <c r="D3164">
        <v>2752.1019999999999</v>
      </c>
      <c r="E3164">
        <v>748.49699999999996</v>
      </c>
      <c r="F3164">
        <v>487.12200000000001</v>
      </c>
      <c r="G3164">
        <v>3228788</v>
      </c>
      <c r="H3164" t="s">
        <v>725</v>
      </c>
    </row>
    <row r="3165" spans="1:8" x14ac:dyDescent="0.25">
      <c r="A3165" t="s">
        <v>723</v>
      </c>
      <c r="B3165" t="s">
        <v>27</v>
      </c>
      <c r="C3165" t="s">
        <v>397</v>
      </c>
      <c r="D3165">
        <v>1049.7349999999999</v>
      </c>
      <c r="E3165">
        <v>285.5</v>
      </c>
      <c r="F3165">
        <v>185.803</v>
      </c>
      <c r="G3165">
        <v>3228788</v>
      </c>
      <c r="H3165" t="s">
        <v>725</v>
      </c>
    </row>
    <row r="3166" spans="1:8" x14ac:dyDescent="0.25">
      <c r="A3166" t="s">
        <v>723</v>
      </c>
      <c r="B3166" t="s">
        <v>27</v>
      </c>
      <c r="C3166" t="s">
        <v>397</v>
      </c>
      <c r="D3166">
        <v>99.917000000000002</v>
      </c>
      <c r="E3166">
        <v>84.63</v>
      </c>
      <c r="F3166">
        <v>194.26900000000001</v>
      </c>
      <c r="G3166">
        <v>3781664</v>
      </c>
      <c r="H3166" t="s">
        <v>896</v>
      </c>
    </row>
    <row r="3167" spans="1:8" x14ac:dyDescent="0.25">
      <c r="A3167" t="s">
        <v>723</v>
      </c>
      <c r="B3167" t="s">
        <v>27</v>
      </c>
      <c r="C3167" t="s">
        <v>397</v>
      </c>
      <c r="D3167">
        <v>453.88799999999998</v>
      </c>
      <c r="E3167">
        <v>384.44499999999999</v>
      </c>
      <c r="F3167">
        <v>882.49400000000003</v>
      </c>
      <c r="G3167">
        <v>3781664</v>
      </c>
      <c r="H3167" t="s">
        <v>896</v>
      </c>
    </row>
    <row r="3168" spans="1:8" x14ac:dyDescent="0.25">
      <c r="A3168" t="s">
        <v>723</v>
      </c>
      <c r="B3168" t="s">
        <v>27</v>
      </c>
      <c r="C3168" t="s">
        <v>397</v>
      </c>
      <c r="D3168">
        <v>553.19500000000005</v>
      </c>
      <c r="E3168">
        <v>468.55900000000003</v>
      </c>
      <c r="F3168">
        <v>1075.577</v>
      </c>
      <c r="G3168">
        <v>3781664</v>
      </c>
      <c r="H3168" t="s">
        <v>896</v>
      </c>
    </row>
    <row r="3169" spans="1:8" x14ac:dyDescent="0.25">
      <c r="A3169" t="s">
        <v>723</v>
      </c>
      <c r="B3169" t="s">
        <v>27</v>
      </c>
      <c r="C3169" t="s">
        <v>397</v>
      </c>
      <c r="D3169">
        <v>555</v>
      </c>
      <c r="E3169">
        <v>129.874</v>
      </c>
      <c r="F3169">
        <v>744.47699999999998</v>
      </c>
      <c r="G3169">
        <v>3746291</v>
      </c>
      <c r="H3169" t="s">
        <v>880</v>
      </c>
    </row>
    <row r="3170" spans="1:8" x14ac:dyDescent="0.25">
      <c r="A3170" t="s">
        <v>723</v>
      </c>
      <c r="B3170" t="s">
        <v>27</v>
      </c>
      <c r="C3170" t="s">
        <v>397</v>
      </c>
      <c r="D3170">
        <v>35</v>
      </c>
      <c r="E3170">
        <v>9.2050000000000001</v>
      </c>
      <c r="F3170">
        <v>52.765999999999998</v>
      </c>
      <c r="G3170">
        <v>4196298</v>
      </c>
      <c r="H3170" t="s">
        <v>882</v>
      </c>
    </row>
    <row r="3171" spans="1:8" x14ac:dyDescent="0.25">
      <c r="A3171" t="s">
        <v>437</v>
      </c>
      <c r="B3171" t="s">
        <v>18</v>
      </c>
      <c r="C3171" t="s">
        <v>397</v>
      </c>
      <c r="D3171">
        <v>1347</v>
      </c>
      <c r="E3171">
        <v>478.32100000000003</v>
      </c>
      <c r="F3171">
        <v>552.27</v>
      </c>
      <c r="G3171">
        <v>1940588</v>
      </c>
      <c r="H3171" t="s">
        <v>797</v>
      </c>
    </row>
    <row r="3172" spans="1:8" x14ac:dyDescent="0.25">
      <c r="A3172" t="s">
        <v>437</v>
      </c>
      <c r="B3172" t="s">
        <v>18</v>
      </c>
      <c r="C3172" t="s">
        <v>397</v>
      </c>
      <c r="D3172">
        <v>613.15099999999995</v>
      </c>
      <c r="E3172">
        <v>217.73099999999999</v>
      </c>
      <c r="F3172">
        <v>251.392</v>
      </c>
      <c r="G3172">
        <v>1940588</v>
      </c>
      <c r="H3172" t="s">
        <v>797</v>
      </c>
    </row>
    <row r="3173" spans="1:8" x14ac:dyDescent="0.25">
      <c r="A3173" t="s">
        <v>437</v>
      </c>
      <c r="B3173" t="s">
        <v>18</v>
      </c>
      <c r="C3173" t="s">
        <v>397</v>
      </c>
      <c r="D3173">
        <v>3039.8490000000002</v>
      </c>
      <c r="E3173">
        <v>1079.454</v>
      </c>
      <c r="F3173">
        <v>1246.338</v>
      </c>
      <c r="G3173">
        <v>1940588</v>
      </c>
      <c r="H3173" t="s">
        <v>797</v>
      </c>
    </row>
    <row r="3174" spans="1:8" x14ac:dyDescent="0.25">
      <c r="A3174" t="s">
        <v>437</v>
      </c>
      <c r="B3174" t="s">
        <v>18</v>
      </c>
      <c r="C3174" t="s">
        <v>397</v>
      </c>
      <c r="D3174">
        <v>560</v>
      </c>
      <c r="E3174">
        <v>231.887</v>
      </c>
      <c r="F3174">
        <v>246.96</v>
      </c>
      <c r="G3174">
        <v>3598957</v>
      </c>
      <c r="H3174" t="s">
        <v>665</v>
      </c>
    </row>
    <row r="3175" spans="1:8" x14ac:dyDescent="0.25">
      <c r="A3175" t="s">
        <v>581</v>
      </c>
      <c r="B3175" t="s">
        <v>18</v>
      </c>
      <c r="C3175" t="s">
        <v>397</v>
      </c>
      <c r="D3175">
        <v>207.828</v>
      </c>
      <c r="E3175">
        <v>98.718000000000004</v>
      </c>
      <c r="F3175">
        <v>126.468</v>
      </c>
      <c r="G3175">
        <v>1940626</v>
      </c>
      <c r="H3175" t="s">
        <v>583</v>
      </c>
    </row>
    <row r="3176" spans="1:8" x14ac:dyDescent="0.25">
      <c r="A3176" t="s">
        <v>581</v>
      </c>
      <c r="B3176" t="s">
        <v>18</v>
      </c>
      <c r="C3176" t="s">
        <v>397</v>
      </c>
      <c r="D3176">
        <v>659.99900000000002</v>
      </c>
      <c r="E3176">
        <v>313.49900000000002</v>
      </c>
      <c r="F3176">
        <v>401.62400000000002</v>
      </c>
      <c r="G3176">
        <v>1940626</v>
      </c>
      <c r="H3176" t="s">
        <v>583</v>
      </c>
    </row>
    <row r="3177" spans="1:8" x14ac:dyDescent="0.25">
      <c r="A3177" t="s">
        <v>581</v>
      </c>
      <c r="B3177" t="s">
        <v>18</v>
      </c>
      <c r="C3177" t="s">
        <v>397</v>
      </c>
      <c r="D3177">
        <v>1143.296</v>
      </c>
      <c r="E3177">
        <v>543.06500000000005</v>
      </c>
      <c r="F3177">
        <v>695.721</v>
      </c>
      <c r="G3177">
        <v>1940626</v>
      </c>
      <c r="H3177" t="s">
        <v>583</v>
      </c>
    </row>
    <row r="3178" spans="1:8" x14ac:dyDescent="0.25">
      <c r="A3178" t="s">
        <v>581</v>
      </c>
      <c r="B3178" t="s">
        <v>18</v>
      </c>
      <c r="C3178" t="s">
        <v>397</v>
      </c>
      <c r="D3178">
        <v>988.87699999999995</v>
      </c>
      <c r="E3178">
        <v>469.71600000000001</v>
      </c>
      <c r="F3178">
        <v>601.75400000000002</v>
      </c>
      <c r="G3178">
        <v>1940626</v>
      </c>
      <c r="H3178" t="s">
        <v>583</v>
      </c>
    </row>
    <row r="3179" spans="1:8" x14ac:dyDescent="0.25">
      <c r="A3179" t="s">
        <v>581</v>
      </c>
      <c r="B3179" t="s">
        <v>18</v>
      </c>
      <c r="C3179" t="s">
        <v>397</v>
      </c>
      <c r="D3179">
        <v>3000</v>
      </c>
      <c r="E3179">
        <v>908.99099999999999</v>
      </c>
      <c r="F3179">
        <v>831</v>
      </c>
      <c r="G3179">
        <v>1940313</v>
      </c>
      <c r="H3179" t="s">
        <v>707</v>
      </c>
    </row>
    <row r="3180" spans="1:8" x14ac:dyDescent="0.25">
      <c r="A3180" t="s">
        <v>401</v>
      </c>
      <c r="B3180" t="s">
        <v>17</v>
      </c>
      <c r="C3180" t="s">
        <v>397</v>
      </c>
      <c r="D3180">
        <v>112.199</v>
      </c>
      <c r="E3180">
        <v>37.475000000000001</v>
      </c>
      <c r="F3180">
        <v>66.548000000000002</v>
      </c>
      <c r="G3180">
        <v>3911992</v>
      </c>
      <c r="H3180" t="s">
        <v>1629</v>
      </c>
    </row>
    <row r="3181" spans="1:8" x14ac:dyDescent="0.25">
      <c r="A3181" t="s">
        <v>401</v>
      </c>
      <c r="B3181" t="s">
        <v>17</v>
      </c>
      <c r="C3181" t="s">
        <v>397</v>
      </c>
      <c r="D3181">
        <v>757.80100000000004</v>
      </c>
      <c r="E3181">
        <v>253.108</v>
      </c>
      <c r="F3181">
        <v>449.46899999999999</v>
      </c>
      <c r="G3181">
        <v>3911992</v>
      </c>
      <c r="H3181" t="s">
        <v>1629</v>
      </c>
    </row>
    <row r="3182" spans="1:8" x14ac:dyDescent="0.25">
      <c r="A3182" t="s">
        <v>6025</v>
      </c>
      <c r="B3182" t="s">
        <v>40</v>
      </c>
      <c r="C3182" t="s">
        <v>397</v>
      </c>
      <c r="D3182">
        <v>534.52300000000002</v>
      </c>
      <c r="E3182">
        <v>183.33699999999999</v>
      </c>
      <c r="F3182">
        <v>715.03099999999995</v>
      </c>
      <c r="G3182">
        <v>4184750</v>
      </c>
      <c r="H3182" t="s">
        <v>6075</v>
      </c>
    </row>
    <row r="3183" spans="1:8" x14ac:dyDescent="0.25">
      <c r="A3183" t="s">
        <v>6025</v>
      </c>
      <c r="B3183" t="s">
        <v>40</v>
      </c>
      <c r="C3183" t="s">
        <v>397</v>
      </c>
      <c r="D3183">
        <v>226.03700000000001</v>
      </c>
      <c r="E3183">
        <v>77.528999999999996</v>
      </c>
      <c r="F3183">
        <v>302.37</v>
      </c>
      <c r="G3183">
        <v>4184750</v>
      </c>
      <c r="H3183" t="s">
        <v>6075</v>
      </c>
    </row>
    <row r="3184" spans="1:8" x14ac:dyDescent="0.25">
      <c r="A3184" t="s">
        <v>6025</v>
      </c>
      <c r="B3184" t="s">
        <v>40</v>
      </c>
      <c r="C3184" t="s">
        <v>397</v>
      </c>
      <c r="D3184">
        <v>2239.44</v>
      </c>
      <c r="E3184">
        <v>768.10799999999995</v>
      </c>
      <c r="F3184">
        <v>2995.6990000000001</v>
      </c>
      <c r="G3184">
        <v>4184750</v>
      </c>
      <c r="H3184" t="s">
        <v>6075</v>
      </c>
    </row>
    <row r="3185" spans="1:8" x14ac:dyDescent="0.25">
      <c r="A3185" t="s">
        <v>6025</v>
      </c>
      <c r="B3185" t="s">
        <v>40</v>
      </c>
      <c r="C3185" t="s">
        <v>397</v>
      </c>
      <c r="D3185">
        <v>2530.431</v>
      </c>
      <c r="E3185">
        <v>1032.415</v>
      </c>
      <c r="F3185">
        <v>815.08</v>
      </c>
      <c r="G3185">
        <v>3723531</v>
      </c>
      <c r="H3185" t="s">
        <v>1557</v>
      </c>
    </row>
    <row r="3186" spans="1:8" x14ac:dyDescent="0.25">
      <c r="A3186" t="s">
        <v>6025</v>
      </c>
      <c r="B3186" t="s">
        <v>40</v>
      </c>
      <c r="C3186" t="s">
        <v>397</v>
      </c>
      <c r="D3186">
        <v>179.56899999999999</v>
      </c>
      <c r="E3186">
        <v>73.263999999999996</v>
      </c>
      <c r="F3186">
        <v>57.841000000000001</v>
      </c>
      <c r="G3186">
        <v>3723531</v>
      </c>
      <c r="H3186" t="s">
        <v>1557</v>
      </c>
    </row>
    <row r="3187" spans="1:8" x14ac:dyDescent="0.25">
      <c r="A3187" t="s">
        <v>636</v>
      </c>
      <c r="B3187" t="s">
        <v>151</v>
      </c>
      <c r="C3187" t="s">
        <v>397</v>
      </c>
      <c r="D3187">
        <v>875</v>
      </c>
      <c r="E3187">
        <v>206.49700000000001</v>
      </c>
      <c r="F3187">
        <v>1183.7</v>
      </c>
      <c r="G3187">
        <v>3784473</v>
      </c>
      <c r="H3187" t="s">
        <v>873</v>
      </c>
    </row>
    <row r="3188" spans="1:8" x14ac:dyDescent="0.25">
      <c r="A3188" t="s">
        <v>401</v>
      </c>
      <c r="B3188" t="s">
        <v>17</v>
      </c>
      <c r="C3188" t="s">
        <v>397</v>
      </c>
      <c r="D3188">
        <v>281.63900000000001</v>
      </c>
      <c r="E3188">
        <v>104.202</v>
      </c>
      <c r="F3188">
        <v>117.8</v>
      </c>
      <c r="G3188">
        <v>3926424</v>
      </c>
      <c r="H3188" t="s">
        <v>783</v>
      </c>
    </row>
    <row r="3189" spans="1:8" x14ac:dyDescent="0.25">
      <c r="A3189" t="s">
        <v>401</v>
      </c>
      <c r="B3189" t="s">
        <v>17</v>
      </c>
      <c r="C3189" t="s">
        <v>397</v>
      </c>
      <c r="D3189">
        <v>318.36099999999999</v>
      </c>
      <c r="E3189">
        <v>117.788</v>
      </c>
      <c r="F3189">
        <v>133.16</v>
      </c>
      <c r="G3189">
        <v>3926424</v>
      </c>
      <c r="H3189" t="s">
        <v>783</v>
      </c>
    </row>
    <row r="3190" spans="1:8" x14ac:dyDescent="0.25">
      <c r="A3190" t="s">
        <v>401</v>
      </c>
      <c r="B3190" t="s">
        <v>17</v>
      </c>
      <c r="C3190" t="s">
        <v>397</v>
      </c>
      <c r="D3190">
        <v>389.99900000000002</v>
      </c>
      <c r="E3190">
        <v>155.99799999999999</v>
      </c>
      <c r="F3190">
        <v>96.671999999999997</v>
      </c>
      <c r="G3190">
        <v>1938119</v>
      </c>
      <c r="H3190" t="s">
        <v>1235</v>
      </c>
    </row>
    <row r="3191" spans="1:8" x14ac:dyDescent="0.25">
      <c r="A3191" t="s">
        <v>401</v>
      </c>
      <c r="B3191" t="s">
        <v>17</v>
      </c>
      <c r="C3191" t="s">
        <v>397</v>
      </c>
      <c r="D3191">
        <v>146.29</v>
      </c>
      <c r="E3191">
        <v>58.515000000000001</v>
      </c>
      <c r="F3191">
        <v>36.262</v>
      </c>
      <c r="G3191">
        <v>1938119</v>
      </c>
      <c r="H3191" t="s">
        <v>1235</v>
      </c>
    </row>
    <row r="3192" spans="1:8" x14ac:dyDescent="0.25">
      <c r="A3192" t="s">
        <v>401</v>
      </c>
      <c r="B3192" t="s">
        <v>17</v>
      </c>
      <c r="C3192" t="s">
        <v>397</v>
      </c>
      <c r="D3192">
        <v>463.71100000000001</v>
      </c>
      <c r="E3192">
        <v>185.483</v>
      </c>
      <c r="F3192">
        <v>114.944</v>
      </c>
      <c r="G3192">
        <v>1938119</v>
      </c>
      <c r="H3192" t="s">
        <v>1235</v>
      </c>
    </row>
    <row r="3193" spans="1:8" x14ac:dyDescent="0.25">
      <c r="A3193" t="s">
        <v>585</v>
      </c>
      <c r="B3193" t="s">
        <v>48</v>
      </c>
      <c r="C3193" t="s">
        <v>397</v>
      </c>
      <c r="D3193">
        <v>2842</v>
      </c>
      <c r="E3193">
        <v>2373.038</v>
      </c>
      <c r="F3193">
        <v>4013.7570000000001</v>
      </c>
      <c r="G3193">
        <v>3712521</v>
      </c>
      <c r="H3193" t="s">
        <v>631</v>
      </c>
    </row>
    <row r="3194" spans="1:8" x14ac:dyDescent="0.25">
      <c r="A3194" t="s">
        <v>585</v>
      </c>
      <c r="B3194" t="s">
        <v>48</v>
      </c>
      <c r="C3194" t="s">
        <v>397</v>
      </c>
      <c r="D3194">
        <v>158</v>
      </c>
      <c r="E3194">
        <v>131.928</v>
      </c>
      <c r="F3194">
        <v>223.143</v>
      </c>
      <c r="G3194">
        <v>3712521</v>
      </c>
      <c r="H3194" t="s">
        <v>631</v>
      </c>
    </row>
    <row r="3195" spans="1:8" x14ac:dyDescent="0.25">
      <c r="A3195" t="s">
        <v>6018</v>
      </c>
      <c r="B3195" t="s">
        <v>21</v>
      </c>
      <c r="C3195" t="s">
        <v>397</v>
      </c>
      <c r="D3195">
        <v>2579.9609999999998</v>
      </c>
      <c r="E3195">
        <v>798.94399999999996</v>
      </c>
      <c r="F3195">
        <v>1836.932</v>
      </c>
      <c r="G3195">
        <v>2244440</v>
      </c>
      <c r="H3195" t="s">
        <v>1713</v>
      </c>
    </row>
    <row r="3196" spans="1:8" x14ac:dyDescent="0.25">
      <c r="A3196" t="s">
        <v>6018</v>
      </c>
      <c r="B3196" t="s">
        <v>21</v>
      </c>
      <c r="C3196" t="s">
        <v>397</v>
      </c>
      <c r="D3196">
        <v>3.9E-2</v>
      </c>
      <c r="E3196">
        <v>1.2E-2</v>
      </c>
      <c r="F3196">
        <v>2.8000000000000001E-2</v>
      </c>
      <c r="G3196">
        <v>2244440</v>
      </c>
      <c r="H3196" t="s">
        <v>1713</v>
      </c>
    </row>
    <row r="3197" spans="1:8" x14ac:dyDescent="0.25">
      <c r="A3197" t="s">
        <v>6018</v>
      </c>
      <c r="B3197" t="s">
        <v>21</v>
      </c>
      <c r="C3197" t="s">
        <v>397</v>
      </c>
      <c r="D3197">
        <v>1430</v>
      </c>
      <c r="E3197">
        <v>443.29700000000003</v>
      </c>
      <c r="F3197">
        <v>1115.9559999999999</v>
      </c>
      <c r="G3197">
        <v>2244441</v>
      </c>
      <c r="H3197" t="s">
        <v>1714</v>
      </c>
    </row>
    <row r="3198" spans="1:8" x14ac:dyDescent="0.25">
      <c r="A3198" t="s">
        <v>6018</v>
      </c>
      <c r="B3198" t="s">
        <v>21</v>
      </c>
      <c r="C3198" t="s">
        <v>397</v>
      </c>
      <c r="D3198">
        <v>1133</v>
      </c>
      <c r="E3198">
        <v>351.22800000000001</v>
      </c>
      <c r="F3198">
        <v>884.18100000000004</v>
      </c>
      <c r="G3198">
        <v>2244441</v>
      </c>
      <c r="H3198" t="s">
        <v>1714</v>
      </c>
    </row>
    <row r="3199" spans="1:8" x14ac:dyDescent="0.25">
      <c r="A3199" t="s">
        <v>821</v>
      </c>
      <c r="B3199" t="s">
        <v>177</v>
      </c>
      <c r="C3199" t="s">
        <v>397</v>
      </c>
      <c r="D3199">
        <v>1501.836</v>
      </c>
      <c r="E3199">
        <v>536.15300000000002</v>
      </c>
      <c r="F3199">
        <v>1613.1220000000001</v>
      </c>
      <c r="G3199">
        <v>3909903</v>
      </c>
      <c r="H3199" t="s">
        <v>822</v>
      </c>
    </row>
    <row r="3200" spans="1:8" x14ac:dyDescent="0.25">
      <c r="A3200" t="s">
        <v>821</v>
      </c>
      <c r="B3200" t="s">
        <v>177</v>
      </c>
      <c r="C3200" t="s">
        <v>397</v>
      </c>
      <c r="D3200">
        <v>1498.164</v>
      </c>
      <c r="E3200">
        <v>534.84199999999998</v>
      </c>
      <c r="F3200">
        <v>1609.1780000000001</v>
      </c>
      <c r="G3200">
        <v>3909903</v>
      </c>
      <c r="H3200" t="s">
        <v>822</v>
      </c>
    </row>
    <row r="3201" spans="1:8" x14ac:dyDescent="0.25">
      <c r="A3201" t="s">
        <v>5966</v>
      </c>
      <c r="B3201" t="s">
        <v>37</v>
      </c>
      <c r="C3201" t="s">
        <v>392</v>
      </c>
      <c r="D3201">
        <v>127</v>
      </c>
      <c r="E3201">
        <v>730.255</v>
      </c>
      <c r="F3201">
        <v>2366.3910000000001</v>
      </c>
      <c r="G3201">
        <v>3501047</v>
      </c>
      <c r="H3201" t="s">
        <v>2371</v>
      </c>
    </row>
    <row r="3202" spans="1:8" x14ac:dyDescent="0.25">
      <c r="A3202" t="s">
        <v>5966</v>
      </c>
      <c r="B3202" t="s">
        <v>37</v>
      </c>
      <c r="C3202" t="s">
        <v>392</v>
      </c>
      <c r="D3202">
        <v>127</v>
      </c>
      <c r="E3202">
        <v>730.255</v>
      </c>
      <c r="F3202">
        <v>2366.3910000000001</v>
      </c>
      <c r="G3202">
        <v>3501047</v>
      </c>
      <c r="H3202" t="s">
        <v>2371</v>
      </c>
    </row>
    <row r="3203" spans="1:8" x14ac:dyDescent="0.25">
      <c r="A3203" t="s">
        <v>5966</v>
      </c>
      <c r="B3203" t="s">
        <v>37</v>
      </c>
      <c r="C3203" t="s">
        <v>392</v>
      </c>
      <c r="D3203">
        <v>126</v>
      </c>
      <c r="E3203">
        <v>724.505</v>
      </c>
      <c r="F3203">
        <v>2347.7579999999998</v>
      </c>
      <c r="G3203">
        <v>3501047</v>
      </c>
      <c r="H3203" t="s">
        <v>2371</v>
      </c>
    </row>
    <row r="3204" spans="1:8" x14ac:dyDescent="0.25">
      <c r="A3204" t="s">
        <v>5966</v>
      </c>
      <c r="B3204" t="s">
        <v>37</v>
      </c>
      <c r="C3204" t="s">
        <v>392</v>
      </c>
      <c r="D3204">
        <v>127</v>
      </c>
      <c r="E3204">
        <v>730.255</v>
      </c>
      <c r="F3204">
        <v>2366.3910000000001</v>
      </c>
      <c r="G3204">
        <v>3501047</v>
      </c>
      <c r="H3204" t="s">
        <v>2371</v>
      </c>
    </row>
    <row r="3205" spans="1:8" x14ac:dyDescent="0.25">
      <c r="A3205" t="s">
        <v>5966</v>
      </c>
      <c r="B3205" t="s">
        <v>37</v>
      </c>
      <c r="C3205" t="s">
        <v>392</v>
      </c>
      <c r="D3205">
        <v>127</v>
      </c>
      <c r="E3205">
        <v>730.255</v>
      </c>
      <c r="F3205">
        <v>2366.3910000000001</v>
      </c>
      <c r="G3205">
        <v>3501047</v>
      </c>
      <c r="H3205" t="s">
        <v>2371</v>
      </c>
    </row>
    <row r="3206" spans="1:8" x14ac:dyDescent="0.25">
      <c r="A3206" t="s">
        <v>5966</v>
      </c>
      <c r="B3206" t="s">
        <v>37</v>
      </c>
      <c r="C3206" t="s">
        <v>392</v>
      </c>
      <c r="D3206">
        <v>127</v>
      </c>
      <c r="E3206">
        <v>730.255</v>
      </c>
      <c r="F3206">
        <v>2366.3910000000001</v>
      </c>
      <c r="G3206">
        <v>3501047</v>
      </c>
      <c r="H3206" t="s">
        <v>2371</v>
      </c>
    </row>
    <row r="3207" spans="1:8" x14ac:dyDescent="0.25">
      <c r="A3207" t="s">
        <v>5966</v>
      </c>
      <c r="B3207" t="s">
        <v>37</v>
      </c>
      <c r="C3207" t="s">
        <v>392</v>
      </c>
      <c r="D3207">
        <v>1</v>
      </c>
      <c r="E3207">
        <v>3.1749999999999998</v>
      </c>
      <c r="F3207">
        <v>10.287000000000001</v>
      </c>
      <c r="G3207">
        <v>3501047</v>
      </c>
      <c r="H3207" t="s">
        <v>2371</v>
      </c>
    </row>
    <row r="3208" spans="1:8" x14ac:dyDescent="0.25">
      <c r="A3208" t="s">
        <v>5966</v>
      </c>
      <c r="B3208" t="s">
        <v>37</v>
      </c>
      <c r="C3208" t="s">
        <v>392</v>
      </c>
      <c r="D3208">
        <v>83</v>
      </c>
      <c r="E3208">
        <v>478.32100000000003</v>
      </c>
      <c r="F3208">
        <v>1550</v>
      </c>
      <c r="G3208">
        <v>3501047</v>
      </c>
      <c r="H3208" t="s">
        <v>2371</v>
      </c>
    </row>
    <row r="3209" spans="1:8" x14ac:dyDescent="0.25">
      <c r="A3209" t="s">
        <v>6033</v>
      </c>
      <c r="B3209" t="s">
        <v>178</v>
      </c>
      <c r="C3209" t="s">
        <v>392</v>
      </c>
      <c r="D3209">
        <v>313</v>
      </c>
      <c r="E3209">
        <v>1880.2670000000001</v>
      </c>
      <c r="F3209">
        <v>1985.75</v>
      </c>
      <c r="G3209">
        <v>3656419</v>
      </c>
      <c r="H3209" t="s">
        <v>6602</v>
      </c>
    </row>
    <row r="3210" spans="1:8" x14ac:dyDescent="0.25">
      <c r="A3210" t="s">
        <v>6033</v>
      </c>
      <c r="B3210" t="s">
        <v>178</v>
      </c>
      <c r="C3210" t="s">
        <v>392</v>
      </c>
      <c r="D3210">
        <v>297</v>
      </c>
      <c r="E3210">
        <v>1780.845</v>
      </c>
      <c r="F3210">
        <v>1880.75</v>
      </c>
      <c r="G3210">
        <v>3656419</v>
      </c>
      <c r="H3210" t="s">
        <v>6602</v>
      </c>
    </row>
    <row r="3211" spans="1:8" x14ac:dyDescent="0.25">
      <c r="A3211" t="s">
        <v>6033</v>
      </c>
      <c r="B3211" t="s">
        <v>178</v>
      </c>
      <c r="C3211" t="s">
        <v>392</v>
      </c>
      <c r="D3211">
        <v>296</v>
      </c>
      <c r="E3211">
        <v>1775.163</v>
      </c>
      <c r="F3211">
        <v>1874.75</v>
      </c>
      <c r="G3211">
        <v>3656419</v>
      </c>
      <c r="H3211" t="s">
        <v>6602</v>
      </c>
    </row>
    <row r="3212" spans="1:8" x14ac:dyDescent="0.25">
      <c r="A3212" t="s">
        <v>6033</v>
      </c>
      <c r="B3212" t="s">
        <v>178</v>
      </c>
      <c r="C3212" t="s">
        <v>392</v>
      </c>
      <c r="D3212">
        <v>265</v>
      </c>
      <c r="E3212">
        <v>1589.575</v>
      </c>
      <c r="F3212">
        <v>1678.75</v>
      </c>
      <c r="G3212">
        <v>3656419</v>
      </c>
      <c r="H3212" t="s">
        <v>6602</v>
      </c>
    </row>
    <row r="3213" spans="1:8" x14ac:dyDescent="0.25">
      <c r="A3213" t="s">
        <v>6033</v>
      </c>
      <c r="B3213" t="s">
        <v>178</v>
      </c>
      <c r="C3213" t="s">
        <v>392</v>
      </c>
      <c r="D3213">
        <v>17</v>
      </c>
      <c r="E3213">
        <v>103.92</v>
      </c>
      <c r="F3213">
        <v>109.75</v>
      </c>
      <c r="G3213">
        <v>3656419</v>
      </c>
      <c r="H3213" t="s">
        <v>6602</v>
      </c>
    </row>
    <row r="3214" spans="1:8" x14ac:dyDescent="0.25">
      <c r="A3214" t="s">
        <v>6033</v>
      </c>
      <c r="B3214" t="s">
        <v>178</v>
      </c>
      <c r="C3214" t="s">
        <v>392</v>
      </c>
      <c r="D3214">
        <v>71</v>
      </c>
      <c r="E3214">
        <v>426.33300000000003</v>
      </c>
      <c r="F3214">
        <v>450.25</v>
      </c>
      <c r="G3214">
        <v>3656419</v>
      </c>
      <c r="H3214" t="s">
        <v>6602</v>
      </c>
    </row>
    <row r="3215" spans="1:8" x14ac:dyDescent="0.25">
      <c r="A3215" t="s">
        <v>422</v>
      </c>
      <c r="B3215" t="s">
        <v>30</v>
      </c>
      <c r="C3215" t="s">
        <v>397</v>
      </c>
      <c r="D3215">
        <v>2365.62</v>
      </c>
      <c r="E3215">
        <v>1147.2560000000001</v>
      </c>
      <c r="F3215">
        <v>1767.1179999999999</v>
      </c>
      <c r="G3215">
        <v>2359755</v>
      </c>
      <c r="H3215" t="s">
        <v>828</v>
      </c>
    </row>
    <row r="3216" spans="1:8" x14ac:dyDescent="0.25">
      <c r="A3216" t="s">
        <v>422</v>
      </c>
      <c r="B3216" t="s">
        <v>30</v>
      </c>
      <c r="C3216" t="s">
        <v>397</v>
      </c>
      <c r="D3216">
        <v>634.38</v>
      </c>
      <c r="E3216">
        <v>307.65600000000001</v>
      </c>
      <c r="F3216">
        <v>473.88200000000001</v>
      </c>
      <c r="G3216">
        <v>2359755</v>
      </c>
      <c r="H3216" t="s">
        <v>828</v>
      </c>
    </row>
    <row r="3217" spans="1:8" x14ac:dyDescent="0.25">
      <c r="A3217" t="s">
        <v>636</v>
      </c>
      <c r="B3217" t="s">
        <v>151</v>
      </c>
      <c r="C3217" t="s">
        <v>397</v>
      </c>
      <c r="D3217">
        <v>1000</v>
      </c>
      <c r="E3217">
        <v>235.99600000000001</v>
      </c>
      <c r="F3217">
        <v>1352.8</v>
      </c>
      <c r="G3217">
        <v>3784473</v>
      </c>
      <c r="H3217" t="s">
        <v>873</v>
      </c>
    </row>
    <row r="3218" spans="1:8" x14ac:dyDescent="0.25">
      <c r="A3218" t="s">
        <v>6033</v>
      </c>
      <c r="B3218" t="s">
        <v>178</v>
      </c>
      <c r="C3218" t="s">
        <v>392</v>
      </c>
      <c r="D3218">
        <v>183</v>
      </c>
      <c r="E3218">
        <v>1100</v>
      </c>
      <c r="F3218">
        <v>1161.71</v>
      </c>
      <c r="G3218">
        <v>3656419</v>
      </c>
      <c r="H3218" t="s">
        <v>6602</v>
      </c>
    </row>
    <row r="3219" spans="1:8" x14ac:dyDescent="0.25">
      <c r="A3219" t="s">
        <v>6033</v>
      </c>
      <c r="B3219" t="s">
        <v>178</v>
      </c>
      <c r="C3219" t="s">
        <v>392</v>
      </c>
      <c r="D3219">
        <v>236</v>
      </c>
      <c r="E3219">
        <v>1418.701</v>
      </c>
      <c r="F3219">
        <v>1498.29</v>
      </c>
      <c r="G3219">
        <v>3656419</v>
      </c>
      <c r="H3219" t="s">
        <v>6602</v>
      </c>
    </row>
    <row r="3220" spans="1:8" x14ac:dyDescent="0.25">
      <c r="A3220" t="s">
        <v>5968</v>
      </c>
      <c r="B3220" t="s">
        <v>32</v>
      </c>
      <c r="C3220" t="s">
        <v>392</v>
      </c>
      <c r="D3220">
        <v>161</v>
      </c>
      <c r="E3220">
        <v>917.68</v>
      </c>
      <c r="F3220">
        <v>1314.4849999999999</v>
      </c>
      <c r="G3220">
        <v>3545558</v>
      </c>
      <c r="H3220" t="s">
        <v>2378</v>
      </c>
    </row>
    <row r="3221" spans="1:8" x14ac:dyDescent="0.25">
      <c r="A3221" t="s">
        <v>5968</v>
      </c>
      <c r="B3221" t="s">
        <v>32</v>
      </c>
      <c r="C3221" t="s">
        <v>392</v>
      </c>
      <c r="D3221">
        <v>136</v>
      </c>
      <c r="E3221">
        <v>775.18299999999999</v>
      </c>
      <c r="F3221">
        <v>1110.3720000000001</v>
      </c>
      <c r="G3221">
        <v>3545558</v>
      </c>
      <c r="H3221" t="s">
        <v>2378</v>
      </c>
    </row>
    <row r="3222" spans="1:8" x14ac:dyDescent="0.25">
      <c r="A3222" t="s">
        <v>5968</v>
      </c>
      <c r="B3222" t="s">
        <v>32</v>
      </c>
      <c r="C3222" t="s">
        <v>392</v>
      </c>
      <c r="D3222">
        <v>103</v>
      </c>
      <c r="E3222">
        <v>586.803</v>
      </c>
      <c r="F3222">
        <v>840.53700000000003</v>
      </c>
      <c r="G3222">
        <v>3545558</v>
      </c>
      <c r="H3222" t="s">
        <v>2378</v>
      </c>
    </row>
    <row r="3223" spans="1:8" x14ac:dyDescent="0.25">
      <c r="A3223" t="s">
        <v>5968</v>
      </c>
      <c r="B3223" t="s">
        <v>32</v>
      </c>
      <c r="C3223" t="s">
        <v>392</v>
      </c>
      <c r="D3223">
        <v>4</v>
      </c>
      <c r="E3223">
        <v>24.158999999999999</v>
      </c>
      <c r="F3223">
        <v>34.606000000000002</v>
      </c>
      <c r="G3223">
        <v>3545558</v>
      </c>
      <c r="H3223" t="s">
        <v>2378</v>
      </c>
    </row>
    <row r="3224" spans="1:8" x14ac:dyDescent="0.25">
      <c r="A3224" t="s">
        <v>5968</v>
      </c>
      <c r="B3224" t="s">
        <v>32</v>
      </c>
      <c r="C3224" t="s">
        <v>392</v>
      </c>
      <c r="D3224">
        <v>117</v>
      </c>
      <c r="E3224">
        <v>709.72199999999998</v>
      </c>
      <c r="F3224">
        <v>1422</v>
      </c>
      <c r="G3224">
        <v>3701546</v>
      </c>
      <c r="H3224" t="s">
        <v>6082</v>
      </c>
    </row>
    <row r="3225" spans="1:8" x14ac:dyDescent="0.25">
      <c r="A3225" t="s">
        <v>5968</v>
      </c>
      <c r="B3225" t="s">
        <v>32</v>
      </c>
      <c r="C3225" t="s">
        <v>392</v>
      </c>
      <c r="D3225">
        <v>113</v>
      </c>
      <c r="E3225">
        <v>687.76199999999994</v>
      </c>
      <c r="F3225">
        <v>1378</v>
      </c>
      <c r="G3225">
        <v>3701546</v>
      </c>
      <c r="H3225" t="s">
        <v>6082</v>
      </c>
    </row>
    <row r="3226" spans="1:8" x14ac:dyDescent="0.25">
      <c r="A3226" t="s">
        <v>5999</v>
      </c>
      <c r="B3226" t="s">
        <v>36</v>
      </c>
      <c r="C3226" t="s">
        <v>392</v>
      </c>
      <c r="D3226">
        <v>169</v>
      </c>
      <c r="E3226">
        <v>999.76099999999997</v>
      </c>
      <c r="F3226">
        <v>1670</v>
      </c>
      <c r="G3226">
        <v>4072797</v>
      </c>
      <c r="H3226" t="s">
        <v>2362</v>
      </c>
    </row>
    <row r="3227" spans="1:8" x14ac:dyDescent="0.25">
      <c r="A3227" t="s">
        <v>6018</v>
      </c>
      <c r="B3227" t="s">
        <v>21</v>
      </c>
      <c r="C3227" t="s">
        <v>397</v>
      </c>
      <c r="D3227">
        <v>1394.143</v>
      </c>
      <c r="E3227">
        <v>641.46500000000003</v>
      </c>
      <c r="F3227">
        <v>2570.8000000000002</v>
      </c>
      <c r="G3227">
        <v>3136139</v>
      </c>
      <c r="H3227" t="s">
        <v>1753</v>
      </c>
    </row>
    <row r="3228" spans="1:8" x14ac:dyDescent="0.25">
      <c r="A3228" t="s">
        <v>6018</v>
      </c>
      <c r="B3228" t="s">
        <v>21</v>
      </c>
      <c r="C3228" t="s">
        <v>397</v>
      </c>
      <c r="D3228">
        <v>1105.857</v>
      </c>
      <c r="E3228">
        <v>508.82100000000003</v>
      </c>
      <c r="F3228">
        <v>2039.2</v>
      </c>
      <c r="G3228">
        <v>3136139</v>
      </c>
      <c r="H3228" t="s">
        <v>1753</v>
      </c>
    </row>
    <row r="3229" spans="1:8" x14ac:dyDescent="0.25">
      <c r="A3229" t="s">
        <v>6015</v>
      </c>
      <c r="B3229" t="s">
        <v>65</v>
      </c>
      <c r="C3229" t="s">
        <v>397</v>
      </c>
      <c r="D3229">
        <v>2514</v>
      </c>
      <c r="E3229">
        <v>802.07799999999997</v>
      </c>
      <c r="F3229">
        <v>2209.806</v>
      </c>
      <c r="G3229">
        <v>1939479</v>
      </c>
      <c r="H3229" t="s">
        <v>1656</v>
      </c>
    </row>
    <row r="3230" spans="1:8" x14ac:dyDescent="0.25">
      <c r="A3230" t="s">
        <v>6015</v>
      </c>
      <c r="B3230" t="s">
        <v>65</v>
      </c>
      <c r="C3230" t="s">
        <v>397</v>
      </c>
      <c r="D3230">
        <v>2370</v>
      </c>
      <c r="E3230">
        <v>756.13599999999997</v>
      </c>
      <c r="F3230">
        <v>2083.23</v>
      </c>
      <c r="G3230">
        <v>1939479</v>
      </c>
      <c r="H3230" t="s">
        <v>1656</v>
      </c>
    </row>
    <row r="3231" spans="1:8" x14ac:dyDescent="0.25">
      <c r="A3231" t="s">
        <v>6015</v>
      </c>
      <c r="B3231" t="s">
        <v>65</v>
      </c>
      <c r="C3231" t="s">
        <v>397</v>
      </c>
      <c r="D3231">
        <v>115</v>
      </c>
      <c r="E3231">
        <v>36.69</v>
      </c>
      <c r="F3231">
        <v>101.08499999999999</v>
      </c>
      <c r="G3231">
        <v>1939479</v>
      </c>
      <c r="H3231" t="s">
        <v>1656</v>
      </c>
    </row>
    <row r="3232" spans="1:8" x14ac:dyDescent="0.25">
      <c r="A3232" t="s">
        <v>6015</v>
      </c>
      <c r="B3232" t="s">
        <v>65</v>
      </c>
      <c r="C3232" t="s">
        <v>397</v>
      </c>
      <c r="D3232">
        <v>1</v>
      </c>
      <c r="E3232">
        <v>0.31900000000000001</v>
      </c>
      <c r="F3232">
        <v>0.879</v>
      </c>
      <c r="G3232">
        <v>1939479</v>
      </c>
      <c r="H3232" t="s">
        <v>1656</v>
      </c>
    </row>
    <row r="3233" spans="1:8" x14ac:dyDescent="0.25">
      <c r="A3233" t="s">
        <v>5966</v>
      </c>
      <c r="B3233" t="s">
        <v>37</v>
      </c>
      <c r="C3233" t="s">
        <v>392</v>
      </c>
      <c r="D3233">
        <v>117</v>
      </c>
      <c r="E3233">
        <v>702.29200000000003</v>
      </c>
      <c r="F3233">
        <v>1100</v>
      </c>
      <c r="G3233">
        <v>3597718</v>
      </c>
      <c r="H3233" t="s">
        <v>2383</v>
      </c>
    </row>
    <row r="3234" spans="1:8" x14ac:dyDescent="0.25">
      <c r="A3234" t="s">
        <v>5966</v>
      </c>
      <c r="B3234" t="s">
        <v>37</v>
      </c>
      <c r="C3234" t="s">
        <v>392</v>
      </c>
      <c r="D3234">
        <v>42</v>
      </c>
      <c r="E3234">
        <v>236.63</v>
      </c>
      <c r="F3234">
        <v>500</v>
      </c>
      <c r="G3234">
        <v>3500240</v>
      </c>
      <c r="H3234" t="s">
        <v>2358</v>
      </c>
    </row>
    <row r="3235" spans="1:8" x14ac:dyDescent="0.25">
      <c r="A3235" t="s">
        <v>6079</v>
      </c>
      <c r="B3235" t="s">
        <v>40</v>
      </c>
      <c r="C3235" t="s">
        <v>397</v>
      </c>
      <c r="D3235">
        <v>730</v>
      </c>
      <c r="E3235">
        <v>250.38399999999999</v>
      </c>
      <c r="F3235">
        <v>976.52099999999996</v>
      </c>
      <c r="G3235">
        <v>4184750</v>
      </c>
      <c r="H3235" t="s">
        <v>6075</v>
      </c>
    </row>
    <row r="3236" spans="1:8" x14ac:dyDescent="0.25">
      <c r="A3236" t="s">
        <v>6079</v>
      </c>
      <c r="B3236" t="s">
        <v>40</v>
      </c>
      <c r="C3236" t="s">
        <v>397</v>
      </c>
      <c r="D3236">
        <v>935</v>
      </c>
      <c r="E3236">
        <v>320.697</v>
      </c>
      <c r="F3236">
        <v>1250.749</v>
      </c>
      <c r="G3236">
        <v>4184750</v>
      </c>
      <c r="H3236" t="s">
        <v>6075</v>
      </c>
    </row>
    <row r="3237" spans="1:8" x14ac:dyDescent="0.25">
      <c r="A3237" t="s">
        <v>556</v>
      </c>
      <c r="B3237" t="s">
        <v>151</v>
      </c>
      <c r="C3237" t="s">
        <v>397</v>
      </c>
      <c r="D3237">
        <v>801</v>
      </c>
      <c r="E3237">
        <v>1093.3720000000001</v>
      </c>
      <c r="F3237">
        <v>3259.6689999999999</v>
      </c>
      <c r="G3237">
        <v>3781680</v>
      </c>
      <c r="H3237" t="s">
        <v>905</v>
      </c>
    </row>
    <row r="3238" spans="1:8" x14ac:dyDescent="0.25">
      <c r="A3238" t="s">
        <v>401</v>
      </c>
      <c r="B3238" t="s">
        <v>17</v>
      </c>
      <c r="C3238" t="s">
        <v>397</v>
      </c>
      <c r="D3238">
        <v>1615</v>
      </c>
      <c r="E3238">
        <v>481.27</v>
      </c>
      <c r="F3238">
        <v>854.64</v>
      </c>
      <c r="G3238">
        <v>3910451</v>
      </c>
      <c r="H3238" t="s">
        <v>850</v>
      </c>
    </row>
    <row r="3239" spans="1:8" x14ac:dyDescent="0.25">
      <c r="A3239" t="s">
        <v>556</v>
      </c>
      <c r="B3239" t="s">
        <v>151</v>
      </c>
      <c r="C3239" t="s">
        <v>397</v>
      </c>
      <c r="D3239">
        <v>1016</v>
      </c>
      <c r="E3239">
        <v>1386.8489999999999</v>
      </c>
      <c r="F3239">
        <v>4134.6120000000001</v>
      </c>
      <c r="G3239">
        <v>3781680</v>
      </c>
      <c r="H3239" t="s">
        <v>905</v>
      </c>
    </row>
    <row r="3240" spans="1:8" x14ac:dyDescent="0.25">
      <c r="A3240" t="s">
        <v>581</v>
      </c>
      <c r="B3240" t="s">
        <v>18</v>
      </c>
      <c r="C3240" t="s">
        <v>397</v>
      </c>
      <c r="D3240">
        <v>1513.9659999999999</v>
      </c>
      <c r="E3240">
        <v>504.15600000000001</v>
      </c>
      <c r="F3240">
        <v>933.44399999999996</v>
      </c>
      <c r="G3240">
        <v>3729146</v>
      </c>
      <c r="H3240" t="s">
        <v>852</v>
      </c>
    </row>
    <row r="3241" spans="1:8" x14ac:dyDescent="0.25">
      <c r="A3241" t="s">
        <v>581</v>
      </c>
      <c r="B3241" t="s">
        <v>18</v>
      </c>
      <c r="C3241" t="s">
        <v>397</v>
      </c>
      <c r="D3241">
        <v>1251.0340000000001</v>
      </c>
      <c r="E3241">
        <v>416.59800000000001</v>
      </c>
      <c r="F3241">
        <v>771.33199999999999</v>
      </c>
      <c r="G3241">
        <v>3729146</v>
      </c>
      <c r="H3241" t="s">
        <v>852</v>
      </c>
    </row>
    <row r="3242" spans="1:8" x14ac:dyDescent="0.25">
      <c r="A3242" t="s">
        <v>854</v>
      </c>
      <c r="B3242" t="s">
        <v>18</v>
      </c>
      <c r="C3242" t="s">
        <v>397</v>
      </c>
      <c r="D3242">
        <v>1260</v>
      </c>
      <c r="E3242">
        <v>1891.277</v>
      </c>
      <c r="F3242">
        <v>3358.53</v>
      </c>
      <c r="G3242">
        <v>3911993</v>
      </c>
      <c r="H3242" t="s">
        <v>855</v>
      </c>
    </row>
    <row r="3243" spans="1:8" x14ac:dyDescent="0.25">
      <c r="A3243" t="s">
        <v>556</v>
      </c>
      <c r="B3243" t="s">
        <v>151</v>
      </c>
      <c r="C3243" t="s">
        <v>397</v>
      </c>
      <c r="D3243">
        <v>6950</v>
      </c>
      <c r="E3243">
        <v>5622.55</v>
      </c>
      <c r="F3243">
        <v>5475.3639999999996</v>
      </c>
      <c r="G3243">
        <v>1940466</v>
      </c>
      <c r="H3243" t="s">
        <v>764</v>
      </c>
    </row>
    <row r="3244" spans="1:8" x14ac:dyDescent="0.25">
      <c r="A3244" t="s">
        <v>556</v>
      </c>
      <c r="B3244" t="s">
        <v>151</v>
      </c>
      <c r="C3244" t="s">
        <v>397</v>
      </c>
      <c r="D3244">
        <v>3000</v>
      </c>
      <c r="E3244">
        <v>446.916</v>
      </c>
      <c r="F3244">
        <v>213</v>
      </c>
      <c r="G3244">
        <v>1938195</v>
      </c>
      <c r="H3244" t="s">
        <v>558</v>
      </c>
    </row>
    <row r="3245" spans="1:8" x14ac:dyDescent="0.25">
      <c r="A3245" t="s">
        <v>556</v>
      </c>
      <c r="B3245" t="s">
        <v>151</v>
      </c>
      <c r="C3245" t="s">
        <v>397</v>
      </c>
      <c r="D3245">
        <v>5000</v>
      </c>
      <c r="E3245">
        <v>1970.0150000000001</v>
      </c>
      <c r="F3245">
        <v>1918.444</v>
      </c>
      <c r="G3245">
        <v>1940437</v>
      </c>
      <c r="H3245" t="s">
        <v>637</v>
      </c>
    </row>
    <row r="3246" spans="1:8" x14ac:dyDescent="0.25">
      <c r="A3246" t="s">
        <v>636</v>
      </c>
      <c r="B3246" t="s">
        <v>151</v>
      </c>
      <c r="C3246" t="s">
        <v>397</v>
      </c>
      <c r="D3246">
        <v>2500</v>
      </c>
      <c r="E3246">
        <v>1825.318</v>
      </c>
      <c r="F3246">
        <v>4395</v>
      </c>
      <c r="G3246">
        <v>1940881</v>
      </c>
      <c r="H3246" t="s">
        <v>842</v>
      </c>
    </row>
    <row r="3247" spans="1:8" x14ac:dyDescent="0.25">
      <c r="A3247" t="s">
        <v>401</v>
      </c>
      <c r="B3247" t="s">
        <v>17</v>
      </c>
      <c r="C3247" t="s">
        <v>397</v>
      </c>
      <c r="D3247">
        <v>700</v>
      </c>
      <c r="E3247">
        <v>202.999</v>
      </c>
      <c r="F3247">
        <v>774.97</v>
      </c>
      <c r="G3247">
        <v>3781701</v>
      </c>
      <c r="H3247" t="s">
        <v>907</v>
      </c>
    </row>
    <row r="3248" spans="1:8" x14ac:dyDescent="0.25">
      <c r="A3248" t="s">
        <v>401</v>
      </c>
      <c r="B3248" t="s">
        <v>17</v>
      </c>
      <c r="C3248" t="s">
        <v>397</v>
      </c>
      <c r="D3248">
        <v>2500</v>
      </c>
      <c r="E3248">
        <v>724.99699999999996</v>
      </c>
      <c r="F3248">
        <v>2767.75</v>
      </c>
      <c r="G3248">
        <v>3781701</v>
      </c>
      <c r="H3248" t="s">
        <v>907</v>
      </c>
    </row>
    <row r="3249" spans="1:8" x14ac:dyDescent="0.25">
      <c r="A3249" t="s">
        <v>401</v>
      </c>
      <c r="B3249" t="s">
        <v>17</v>
      </c>
      <c r="C3249" t="s">
        <v>397</v>
      </c>
      <c r="D3249">
        <v>8000</v>
      </c>
      <c r="E3249">
        <v>2959.87</v>
      </c>
      <c r="F3249">
        <v>3346.1329999999998</v>
      </c>
      <c r="G3249">
        <v>3926424</v>
      </c>
      <c r="H3249" t="s">
        <v>783</v>
      </c>
    </row>
    <row r="3250" spans="1:8" x14ac:dyDescent="0.25">
      <c r="A3250" t="s">
        <v>401</v>
      </c>
      <c r="B3250" t="s">
        <v>17</v>
      </c>
      <c r="C3250" t="s">
        <v>397</v>
      </c>
      <c r="D3250">
        <v>2000</v>
      </c>
      <c r="E3250">
        <v>449.995</v>
      </c>
      <c r="F3250">
        <v>499.04399999999998</v>
      </c>
      <c r="G3250">
        <v>3484652</v>
      </c>
      <c r="H3250" t="s">
        <v>749</v>
      </c>
    </row>
    <row r="3251" spans="1:8" x14ac:dyDescent="0.25">
      <c r="A3251" t="s">
        <v>585</v>
      </c>
      <c r="B3251" t="s">
        <v>48</v>
      </c>
      <c r="C3251" t="s">
        <v>397</v>
      </c>
      <c r="D3251">
        <v>834.48500000000001</v>
      </c>
      <c r="E3251">
        <v>341.29399999999998</v>
      </c>
      <c r="F3251">
        <v>906</v>
      </c>
      <c r="G3251">
        <v>4020857</v>
      </c>
      <c r="H3251" t="s">
        <v>910</v>
      </c>
    </row>
    <row r="3252" spans="1:8" x14ac:dyDescent="0.25">
      <c r="A3252" t="s">
        <v>585</v>
      </c>
      <c r="B3252" t="s">
        <v>48</v>
      </c>
      <c r="C3252" t="s">
        <v>397</v>
      </c>
      <c r="D3252">
        <v>180.51499999999999</v>
      </c>
      <c r="E3252">
        <v>73.828000000000003</v>
      </c>
      <c r="F3252">
        <v>195.98500000000001</v>
      </c>
      <c r="G3252">
        <v>4020857</v>
      </c>
      <c r="H3252" t="s">
        <v>910</v>
      </c>
    </row>
    <row r="3253" spans="1:8" x14ac:dyDescent="0.25">
      <c r="A3253" t="s">
        <v>636</v>
      </c>
      <c r="B3253" t="s">
        <v>151</v>
      </c>
      <c r="C3253" t="s">
        <v>397</v>
      </c>
      <c r="D3253">
        <v>5000</v>
      </c>
      <c r="E3253">
        <v>3650.6350000000002</v>
      </c>
      <c r="F3253">
        <v>8790</v>
      </c>
      <c r="G3253">
        <v>1940881</v>
      </c>
      <c r="H3253" t="s">
        <v>842</v>
      </c>
    </row>
    <row r="3254" spans="1:8" x14ac:dyDescent="0.25">
      <c r="A3254" t="s">
        <v>517</v>
      </c>
      <c r="B3254" t="s">
        <v>19</v>
      </c>
      <c r="C3254" t="s">
        <v>397</v>
      </c>
      <c r="D3254">
        <v>1250</v>
      </c>
      <c r="E3254">
        <v>891.23599999999999</v>
      </c>
      <c r="F3254">
        <v>2365.875</v>
      </c>
      <c r="G3254">
        <v>3783938</v>
      </c>
      <c r="H3254" t="s">
        <v>912</v>
      </c>
    </row>
    <row r="3255" spans="1:8" x14ac:dyDescent="0.25">
      <c r="A3255" t="s">
        <v>517</v>
      </c>
      <c r="B3255" t="s">
        <v>19</v>
      </c>
      <c r="C3255" t="s">
        <v>397</v>
      </c>
      <c r="D3255">
        <v>2938</v>
      </c>
      <c r="E3255">
        <v>567.04300000000001</v>
      </c>
      <c r="F3255">
        <v>1004.176</v>
      </c>
      <c r="G3255">
        <v>3509016</v>
      </c>
      <c r="H3255" t="s">
        <v>800</v>
      </c>
    </row>
    <row r="3256" spans="1:8" x14ac:dyDescent="0.25">
      <c r="A3256" t="s">
        <v>636</v>
      </c>
      <c r="B3256" t="s">
        <v>151</v>
      </c>
      <c r="C3256" t="s">
        <v>397</v>
      </c>
      <c r="D3256">
        <v>460.00200000000001</v>
      </c>
      <c r="E3256">
        <v>96.6</v>
      </c>
      <c r="F3256">
        <v>326.85700000000003</v>
      </c>
      <c r="G3256">
        <v>3690546</v>
      </c>
      <c r="H3256" t="s">
        <v>901</v>
      </c>
    </row>
    <row r="3257" spans="1:8" x14ac:dyDescent="0.25">
      <c r="A3257" t="s">
        <v>636</v>
      </c>
      <c r="B3257" t="s">
        <v>151</v>
      </c>
      <c r="C3257" t="s">
        <v>397</v>
      </c>
      <c r="D3257">
        <v>539.99800000000005</v>
      </c>
      <c r="E3257">
        <v>113.4</v>
      </c>
      <c r="F3257">
        <v>383.69900000000001</v>
      </c>
      <c r="G3257">
        <v>3690546</v>
      </c>
      <c r="H3257" t="s">
        <v>901</v>
      </c>
    </row>
    <row r="3258" spans="1:8" x14ac:dyDescent="0.25">
      <c r="A3258" t="s">
        <v>636</v>
      </c>
      <c r="B3258" t="s">
        <v>151</v>
      </c>
      <c r="C3258" t="s">
        <v>397</v>
      </c>
      <c r="D3258">
        <v>999</v>
      </c>
      <c r="E3258">
        <v>209.79</v>
      </c>
      <c r="F3258">
        <v>709.84500000000003</v>
      </c>
      <c r="G3258">
        <v>3690546</v>
      </c>
      <c r="H3258" t="s">
        <v>901</v>
      </c>
    </row>
    <row r="3259" spans="1:8" x14ac:dyDescent="0.25">
      <c r="A3259" t="s">
        <v>401</v>
      </c>
      <c r="B3259" t="s">
        <v>17</v>
      </c>
      <c r="C3259" t="s">
        <v>397</v>
      </c>
      <c r="D3259">
        <v>4000</v>
      </c>
      <c r="E3259">
        <v>1479.9349999999999</v>
      </c>
      <c r="F3259">
        <v>1673.067</v>
      </c>
      <c r="G3259">
        <v>3926424</v>
      </c>
      <c r="H3259" t="s">
        <v>783</v>
      </c>
    </row>
    <row r="3260" spans="1:8" x14ac:dyDescent="0.25">
      <c r="A3260" t="s">
        <v>401</v>
      </c>
      <c r="B3260" t="s">
        <v>17</v>
      </c>
      <c r="C3260" t="s">
        <v>397</v>
      </c>
      <c r="D3260">
        <v>1999</v>
      </c>
      <c r="E3260">
        <v>449.77</v>
      </c>
      <c r="F3260">
        <v>498.79500000000002</v>
      </c>
      <c r="G3260">
        <v>3484652</v>
      </c>
      <c r="H3260" t="s">
        <v>749</v>
      </c>
    </row>
    <row r="3261" spans="1:8" x14ac:dyDescent="0.25">
      <c r="A3261" t="s">
        <v>401</v>
      </c>
      <c r="B3261" t="s">
        <v>17</v>
      </c>
      <c r="C3261" t="s">
        <v>397</v>
      </c>
      <c r="D3261">
        <v>500</v>
      </c>
      <c r="E3261">
        <v>184.99199999999999</v>
      </c>
      <c r="F3261">
        <v>209.13300000000001</v>
      </c>
      <c r="G3261">
        <v>3926424</v>
      </c>
      <c r="H3261" t="s">
        <v>783</v>
      </c>
    </row>
    <row r="3262" spans="1:8" x14ac:dyDescent="0.25">
      <c r="A3262" t="s">
        <v>401</v>
      </c>
      <c r="B3262" t="s">
        <v>17</v>
      </c>
      <c r="C3262" t="s">
        <v>397</v>
      </c>
      <c r="D3262">
        <v>2000</v>
      </c>
      <c r="E3262">
        <v>449.995</v>
      </c>
      <c r="F3262">
        <v>499.04399999999998</v>
      </c>
      <c r="G3262">
        <v>3484652</v>
      </c>
      <c r="H3262" t="s">
        <v>749</v>
      </c>
    </row>
    <row r="3263" spans="1:8" x14ac:dyDescent="0.25">
      <c r="A3263" t="s">
        <v>636</v>
      </c>
      <c r="B3263" t="s">
        <v>151</v>
      </c>
      <c r="C3263" t="s">
        <v>397</v>
      </c>
      <c r="D3263">
        <v>3000</v>
      </c>
      <c r="E3263">
        <v>2445.0050000000001</v>
      </c>
      <c r="F3263">
        <v>2381</v>
      </c>
      <c r="G3263">
        <v>3781605</v>
      </c>
      <c r="H3263" t="s">
        <v>747</v>
      </c>
    </row>
    <row r="3264" spans="1:8" x14ac:dyDescent="0.25">
      <c r="A3264" t="s">
        <v>636</v>
      </c>
      <c r="B3264" t="s">
        <v>151</v>
      </c>
      <c r="C3264" t="s">
        <v>397</v>
      </c>
      <c r="D3264">
        <v>2000</v>
      </c>
      <c r="E3264">
        <v>420</v>
      </c>
      <c r="F3264">
        <v>1421.1110000000001</v>
      </c>
      <c r="G3264">
        <v>3690546</v>
      </c>
      <c r="H3264" t="s">
        <v>901</v>
      </c>
    </row>
    <row r="3265" spans="1:8" x14ac:dyDescent="0.25">
      <c r="A3265" t="s">
        <v>636</v>
      </c>
      <c r="B3265" t="s">
        <v>151</v>
      </c>
      <c r="C3265" t="s">
        <v>397</v>
      </c>
      <c r="D3265">
        <v>660</v>
      </c>
      <c r="E3265">
        <v>323.399</v>
      </c>
      <c r="F3265">
        <v>1654.0260000000001</v>
      </c>
      <c r="G3265">
        <v>3781610</v>
      </c>
      <c r="H3265" t="s">
        <v>915</v>
      </c>
    </row>
    <row r="3266" spans="1:8" x14ac:dyDescent="0.25">
      <c r="A3266" t="s">
        <v>641</v>
      </c>
      <c r="B3266" t="s">
        <v>180</v>
      </c>
      <c r="C3266" t="s">
        <v>397</v>
      </c>
      <c r="D3266">
        <v>2000</v>
      </c>
      <c r="E3266">
        <v>2769.2620000000002</v>
      </c>
      <c r="F3266">
        <v>2764</v>
      </c>
      <c r="G3266">
        <v>1940489</v>
      </c>
      <c r="H3266" t="s">
        <v>777</v>
      </c>
    </row>
    <row r="3267" spans="1:8" x14ac:dyDescent="0.25">
      <c r="A3267" t="s">
        <v>573</v>
      </c>
      <c r="B3267" t="s">
        <v>52</v>
      </c>
      <c r="C3267" t="s">
        <v>397</v>
      </c>
      <c r="D3267">
        <v>4567</v>
      </c>
      <c r="E3267">
        <v>3722.1120000000001</v>
      </c>
      <c r="F3267">
        <v>3624.6759999999999</v>
      </c>
      <c r="G3267">
        <v>3781605</v>
      </c>
      <c r="H3267" t="s">
        <v>747</v>
      </c>
    </row>
    <row r="3268" spans="1:8" x14ac:dyDescent="0.25">
      <c r="A3268" t="s">
        <v>573</v>
      </c>
      <c r="B3268" t="s">
        <v>52</v>
      </c>
      <c r="C3268" t="s">
        <v>397</v>
      </c>
      <c r="D3268">
        <v>1000</v>
      </c>
      <c r="E3268">
        <v>208.001</v>
      </c>
      <c r="F3268">
        <v>704.02200000000005</v>
      </c>
      <c r="G3268">
        <v>3722021</v>
      </c>
      <c r="H3268" t="s">
        <v>884</v>
      </c>
    </row>
    <row r="3269" spans="1:8" x14ac:dyDescent="0.25">
      <c r="A3269" t="s">
        <v>5966</v>
      </c>
      <c r="B3269" t="s">
        <v>37</v>
      </c>
      <c r="C3269" t="s">
        <v>397</v>
      </c>
      <c r="D3269">
        <v>5900</v>
      </c>
      <c r="E3269">
        <v>2118.1109999999999</v>
      </c>
      <c r="F3269">
        <v>5855.0940000000001</v>
      </c>
      <c r="G3269">
        <v>3948187</v>
      </c>
      <c r="H3269" t="s">
        <v>6080</v>
      </c>
    </row>
    <row r="3270" spans="1:8" x14ac:dyDescent="0.25">
      <c r="A3270" t="s">
        <v>6046</v>
      </c>
      <c r="B3270" t="s">
        <v>57</v>
      </c>
      <c r="C3270" t="s">
        <v>397</v>
      </c>
      <c r="D3270">
        <v>7255</v>
      </c>
      <c r="E3270">
        <v>5999.8829999999998</v>
      </c>
      <c r="F3270">
        <v>5989.0829999999996</v>
      </c>
      <c r="G3270">
        <v>3915667</v>
      </c>
      <c r="H3270" t="s">
        <v>1529</v>
      </c>
    </row>
    <row r="3271" spans="1:8" x14ac:dyDescent="0.25">
      <c r="A3271" t="s">
        <v>6046</v>
      </c>
      <c r="B3271" t="s">
        <v>57</v>
      </c>
      <c r="C3271" t="s">
        <v>397</v>
      </c>
      <c r="D3271">
        <v>2516</v>
      </c>
      <c r="E3271">
        <v>2054.2379999999998</v>
      </c>
      <c r="F3271">
        <v>2050.54</v>
      </c>
      <c r="G3271">
        <v>2332780</v>
      </c>
      <c r="H3271" t="s">
        <v>1527</v>
      </c>
    </row>
    <row r="3272" spans="1:8" x14ac:dyDescent="0.25">
      <c r="A3272" t="s">
        <v>6010</v>
      </c>
      <c r="B3272" t="s">
        <v>66</v>
      </c>
      <c r="C3272" t="s">
        <v>444</v>
      </c>
      <c r="D3272">
        <v>150</v>
      </c>
      <c r="E3272">
        <v>826.01800000000003</v>
      </c>
      <c r="F3272">
        <v>1609</v>
      </c>
      <c r="G3272">
        <v>3770405</v>
      </c>
      <c r="H3272" t="s">
        <v>1767</v>
      </c>
    </row>
    <row r="3273" spans="1:8" x14ac:dyDescent="0.25">
      <c r="A3273" t="s">
        <v>6010</v>
      </c>
      <c r="B3273" t="s">
        <v>66</v>
      </c>
      <c r="C3273" t="s">
        <v>444</v>
      </c>
      <c r="D3273">
        <v>150</v>
      </c>
      <c r="E3273">
        <v>826.01800000000003</v>
      </c>
      <c r="F3273">
        <v>1609</v>
      </c>
      <c r="G3273">
        <v>3770405</v>
      </c>
      <c r="H3273" t="s">
        <v>1767</v>
      </c>
    </row>
    <row r="3274" spans="1:8" x14ac:dyDescent="0.25">
      <c r="A3274" t="s">
        <v>6010</v>
      </c>
      <c r="B3274" t="s">
        <v>66</v>
      </c>
      <c r="C3274" t="s">
        <v>444</v>
      </c>
      <c r="D3274">
        <v>148</v>
      </c>
      <c r="E3274">
        <v>811.96400000000006</v>
      </c>
      <c r="F3274">
        <v>1581.625</v>
      </c>
      <c r="G3274">
        <v>3770405</v>
      </c>
      <c r="H3274" t="s">
        <v>1767</v>
      </c>
    </row>
    <row r="3275" spans="1:8" x14ac:dyDescent="0.25">
      <c r="A3275" t="s">
        <v>437</v>
      </c>
      <c r="B3275" t="s">
        <v>18</v>
      </c>
      <c r="C3275" t="s">
        <v>444</v>
      </c>
      <c r="D3275">
        <v>187</v>
      </c>
      <c r="E3275">
        <v>839.37400000000002</v>
      </c>
      <c r="F3275">
        <v>1423.998</v>
      </c>
      <c r="G3275">
        <v>2410388</v>
      </c>
      <c r="H3275" t="s">
        <v>819</v>
      </c>
    </row>
    <row r="3276" spans="1:8" x14ac:dyDescent="0.25">
      <c r="A3276" t="s">
        <v>437</v>
      </c>
      <c r="B3276" t="s">
        <v>18</v>
      </c>
      <c r="C3276" t="s">
        <v>444</v>
      </c>
      <c r="D3276">
        <v>208</v>
      </c>
      <c r="E3276">
        <v>934.27499999999998</v>
      </c>
      <c r="F3276">
        <v>1584.998</v>
      </c>
      <c r="G3276">
        <v>2410388</v>
      </c>
      <c r="H3276" t="s">
        <v>819</v>
      </c>
    </row>
    <row r="3277" spans="1:8" x14ac:dyDescent="0.25">
      <c r="A3277" t="s">
        <v>437</v>
      </c>
      <c r="B3277" t="s">
        <v>18</v>
      </c>
      <c r="C3277" t="s">
        <v>444</v>
      </c>
      <c r="D3277">
        <v>233</v>
      </c>
      <c r="E3277">
        <v>1047.45</v>
      </c>
      <c r="F3277">
        <v>1776.999</v>
      </c>
      <c r="G3277">
        <v>2410388</v>
      </c>
      <c r="H3277" t="s">
        <v>819</v>
      </c>
    </row>
    <row r="3278" spans="1:8" x14ac:dyDescent="0.25">
      <c r="A3278" t="s">
        <v>437</v>
      </c>
      <c r="B3278" t="s">
        <v>18</v>
      </c>
      <c r="C3278" t="s">
        <v>444</v>
      </c>
      <c r="D3278">
        <v>226</v>
      </c>
      <c r="E3278">
        <v>1016.798</v>
      </c>
      <c r="F3278">
        <v>1724.998</v>
      </c>
      <c r="G3278">
        <v>2410388</v>
      </c>
      <c r="H3278" t="s">
        <v>819</v>
      </c>
    </row>
    <row r="3279" spans="1:8" x14ac:dyDescent="0.25">
      <c r="A3279" t="s">
        <v>437</v>
      </c>
      <c r="B3279" t="s">
        <v>18</v>
      </c>
      <c r="C3279" t="s">
        <v>444</v>
      </c>
      <c r="D3279">
        <v>223</v>
      </c>
      <c r="E3279">
        <v>1003.83</v>
      </c>
      <c r="F3279">
        <v>1702.998</v>
      </c>
      <c r="G3279">
        <v>2410388</v>
      </c>
      <c r="H3279" t="s">
        <v>819</v>
      </c>
    </row>
    <row r="3280" spans="1:8" x14ac:dyDescent="0.25">
      <c r="A3280" t="s">
        <v>437</v>
      </c>
      <c r="B3280" t="s">
        <v>18</v>
      </c>
      <c r="C3280" t="s">
        <v>444</v>
      </c>
      <c r="D3280">
        <v>179</v>
      </c>
      <c r="E3280">
        <v>806.95399999999995</v>
      </c>
      <c r="F3280">
        <v>1368.9970000000001</v>
      </c>
      <c r="G3280">
        <v>2410388</v>
      </c>
      <c r="H3280" t="s">
        <v>819</v>
      </c>
    </row>
    <row r="3281" spans="1:8" x14ac:dyDescent="0.25">
      <c r="A3281" t="s">
        <v>437</v>
      </c>
      <c r="B3281" t="s">
        <v>18</v>
      </c>
      <c r="C3281" t="s">
        <v>444</v>
      </c>
      <c r="D3281">
        <v>205</v>
      </c>
      <c r="E3281">
        <v>924.255</v>
      </c>
      <c r="F3281">
        <v>1567.999</v>
      </c>
      <c r="G3281">
        <v>2410388</v>
      </c>
      <c r="H3281" t="s">
        <v>819</v>
      </c>
    </row>
    <row r="3282" spans="1:8" x14ac:dyDescent="0.25">
      <c r="A3282" t="s">
        <v>437</v>
      </c>
      <c r="B3282" t="s">
        <v>18</v>
      </c>
      <c r="C3282" t="s">
        <v>444</v>
      </c>
      <c r="D3282">
        <v>180</v>
      </c>
      <c r="E3282">
        <v>811.67</v>
      </c>
      <c r="F3282">
        <v>1376.998</v>
      </c>
      <c r="G3282">
        <v>2410388</v>
      </c>
      <c r="H3282" t="s">
        <v>819</v>
      </c>
    </row>
    <row r="3283" spans="1:8" x14ac:dyDescent="0.25">
      <c r="A3283" t="s">
        <v>437</v>
      </c>
      <c r="B3283" t="s">
        <v>18</v>
      </c>
      <c r="C3283" t="s">
        <v>444</v>
      </c>
      <c r="D3283">
        <v>58</v>
      </c>
      <c r="E3283">
        <v>261.392</v>
      </c>
      <c r="F3283">
        <v>443.452</v>
      </c>
      <c r="G3283">
        <v>2410388</v>
      </c>
      <c r="H3283" t="s">
        <v>819</v>
      </c>
    </row>
    <row r="3284" spans="1:8" x14ac:dyDescent="0.25">
      <c r="A3284" t="s">
        <v>437</v>
      </c>
      <c r="B3284" t="s">
        <v>18</v>
      </c>
      <c r="C3284" t="s">
        <v>444</v>
      </c>
      <c r="D3284">
        <v>169</v>
      </c>
      <c r="E3284">
        <v>760.21100000000001</v>
      </c>
      <c r="F3284">
        <v>1795.998</v>
      </c>
      <c r="G3284">
        <v>2410960</v>
      </c>
      <c r="H3284" t="s">
        <v>847</v>
      </c>
    </row>
    <row r="3285" spans="1:8" x14ac:dyDescent="0.25">
      <c r="A3285" t="s">
        <v>437</v>
      </c>
      <c r="B3285" t="s">
        <v>18</v>
      </c>
      <c r="C3285" t="s">
        <v>444</v>
      </c>
      <c r="D3285">
        <v>167</v>
      </c>
      <c r="E3285">
        <v>751.322</v>
      </c>
      <c r="F3285">
        <v>1774.998</v>
      </c>
      <c r="G3285">
        <v>2410960</v>
      </c>
      <c r="H3285" t="s">
        <v>847</v>
      </c>
    </row>
    <row r="3286" spans="1:8" x14ac:dyDescent="0.25">
      <c r="A3286" t="s">
        <v>437</v>
      </c>
      <c r="B3286" t="s">
        <v>18</v>
      </c>
      <c r="C3286" t="s">
        <v>444</v>
      </c>
      <c r="D3286">
        <v>163</v>
      </c>
      <c r="E3286">
        <v>734.39099999999996</v>
      </c>
      <c r="F3286">
        <v>1734.999</v>
      </c>
      <c r="G3286">
        <v>2410960</v>
      </c>
      <c r="H3286" t="s">
        <v>847</v>
      </c>
    </row>
    <row r="3287" spans="1:8" x14ac:dyDescent="0.25">
      <c r="A3287" t="s">
        <v>437</v>
      </c>
      <c r="B3287" t="s">
        <v>18</v>
      </c>
      <c r="C3287" t="s">
        <v>444</v>
      </c>
      <c r="D3287">
        <v>150</v>
      </c>
      <c r="E3287">
        <v>673.86099999999999</v>
      </c>
      <c r="F3287">
        <v>1591.9970000000001</v>
      </c>
      <c r="G3287">
        <v>2410960</v>
      </c>
      <c r="H3287" t="s">
        <v>847</v>
      </c>
    </row>
    <row r="3288" spans="1:8" x14ac:dyDescent="0.25">
      <c r="A3288" t="s">
        <v>437</v>
      </c>
      <c r="B3288" t="s">
        <v>18</v>
      </c>
      <c r="C3288" t="s">
        <v>444</v>
      </c>
      <c r="D3288">
        <v>156</v>
      </c>
      <c r="E3288">
        <v>701.41</v>
      </c>
      <c r="F3288">
        <v>1657.0809999999999</v>
      </c>
      <c r="G3288">
        <v>2410960</v>
      </c>
      <c r="H3288" t="s">
        <v>847</v>
      </c>
    </row>
    <row r="3289" spans="1:8" x14ac:dyDescent="0.25">
      <c r="A3289" t="s">
        <v>636</v>
      </c>
      <c r="B3289" t="s">
        <v>151</v>
      </c>
      <c r="C3289" t="s">
        <v>397</v>
      </c>
      <c r="D3289">
        <v>2615</v>
      </c>
      <c r="E3289">
        <v>549.15</v>
      </c>
      <c r="F3289">
        <v>1858.1030000000001</v>
      </c>
      <c r="G3289">
        <v>3690546</v>
      </c>
      <c r="H3289" t="s">
        <v>901</v>
      </c>
    </row>
    <row r="3290" spans="1:8" x14ac:dyDescent="0.25">
      <c r="A3290" t="s">
        <v>636</v>
      </c>
      <c r="B3290" t="s">
        <v>151</v>
      </c>
      <c r="C3290" t="s">
        <v>397</v>
      </c>
      <c r="D3290">
        <v>2711.6039999999998</v>
      </c>
      <c r="E3290">
        <v>1979.816</v>
      </c>
      <c r="F3290">
        <v>4767</v>
      </c>
      <c r="G3290">
        <v>1940881</v>
      </c>
      <c r="H3290" t="s">
        <v>842</v>
      </c>
    </row>
    <row r="3291" spans="1:8" x14ac:dyDescent="0.25">
      <c r="A3291" t="s">
        <v>636</v>
      </c>
      <c r="B3291" t="s">
        <v>151</v>
      </c>
      <c r="C3291" t="s">
        <v>397</v>
      </c>
      <c r="D3291">
        <v>402.39600000000002</v>
      </c>
      <c r="E3291">
        <v>293.8</v>
      </c>
      <c r="F3291">
        <v>707.41200000000003</v>
      </c>
      <c r="G3291">
        <v>1940881</v>
      </c>
      <c r="H3291" t="s">
        <v>842</v>
      </c>
    </row>
    <row r="3292" spans="1:8" x14ac:dyDescent="0.25">
      <c r="A3292" t="s">
        <v>732</v>
      </c>
      <c r="B3292" t="s">
        <v>25</v>
      </c>
      <c r="C3292" t="s">
        <v>397</v>
      </c>
      <c r="D3292">
        <v>2595</v>
      </c>
      <c r="E3292">
        <v>3171.0830000000001</v>
      </c>
      <c r="F3292">
        <v>2488.1729999999998</v>
      </c>
      <c r="G3292">
        <v>3533249</v>
      </c>
      <c r="H3292" t="s">
        <v>733</v>
      </c>
    </row>
    <row r="3293" spans="1:8" x14ac:dyDescent="0.25">
      <c r="A3293" t="s">
        <v>732</v>
      </c>
      <c r="B3293" t="s">
        <v>25</v>
      </c>
      <c r="C3293" t="s">
        <v>397</v>
      </c>
      <c r="D3293">
        <v>2170</v>
      </c>
      <c r="E3293">
        <v>2799.3240000000001</v>
      </c>
      <c r="F3293">
        <v>2196.4740000000002</v>
      </c>
      <c r="G3293">
        <v>3533248</v>
      </c>
      <c r="H3293" t="s">
        <v>735</v>
      </c>
    </row>
    <row r="3294" spans="1:8" x14ac:dyDescent="0.25">
      <c r="A3294" t="s">
        <v>437</v>
      </c>
      <c r="B3294" t="s">
        <v>18</v>
      </c>
      <c r="C3294" t="s">
        <v>397</v>
      </c>
      <c r="D3294">
        <v>584.76300000000003</v>
      </c>
      <c r="E3294">
        <v>122.364</v>
      </c>
      <c r="F3294">
        <v>207.59100000000001</v>
      </c>
      <c r="G3294">
        <v>3617058</v>
      </c>
      <c r="H3294" t="s">
        <v>817</v>
      </c>
    </row>
    <row r="3295" spans="1:8" x14ac:dyDescent="0.25">
      <c r="A3295" t="s">
        <v>437</v>
      </c>
      <c r="B3295" t="s">
        <v>18</v>
      </c>
      <c r="C3295" t="s">
        <v>397</v>
      </c>
      <c r="D3295">
        <v>1415.2370000000001</v>
      </c>
      <c r="E3295">
        <v>296.14400000000001</v>
      </c>
      <c r="F3295">
        <v>502.40899999999999</v>
      </c>
      <c r="G3295">
        <v>3617058</v>
      </c>
      <c r="H3295" t="s">
        <v>817</v>
      </c>
    </row>
    <row r="3296" spans="1:8" x14ac:dyDescent="0.25">
      <c r="A3296" t="s">
        <v>573</v>
      </c>
      <c r="B3296" t="s">
        <v>52</v>
      </c>
      <c r="C3296" t="s">
        <v>397</v>
      </c>
      <c r="D3296">
        <v>2000</v>
      </c>
      <c r="E3296">
        <v>1072.6600000000001</v>
      </c>
      <c r="F3296">
        <v>1680</v>
      </c>
      <c r="G3296">
        <v>1940822</v>
      </c>
      <c r="H3296" t="s">
        <v>574</v>
      </c>
    </row>
    <row r="3297" spans="1:8" x14ac:dyDescent="0.25">
      <c r="A3297" t="s">
        <v>573</v>
      </c>
      <c r="B3297" t="s">
        <v>52</v>
      </c>
      <c r="C3297" t="s">
        <v>397</v>
      </c>
      <c r="D3297">
        <v>2000</v>
      </c>
      <c r="E3297">
        <v>416.00299999999999</v>
      </c>
      <c r="F3297">
        <v>1408.0440000000001</v>
      </c>
      <c r="G3297">
        <v>3722021</v>
      </c>
      <c r="H3297" t="s">
        <v>884</v>
      </c>
    </row>
    <row r="3298" spans="1:8" x14ac:dyDescent="0.25">
      <c r="A3298" t="s">
        <v>573</v>
      </c>
      <c r="B3298" t="s">
        <v>52</v>
      </c>
      <c r="C3298" t="s">
        <v>397</v>
      </c>
      <c r="D3298">
        <v>2000</v>
      </c>
      <c r="E3298">
        <v>1025.412</v>
      </c>
      <c r="F3298">
        <v>1606</v>
      </c>
      <c r="G3298">
        <v>1940821</v>
      </c>
      <c r="H3298" t="s">
        <v>571</v>
      </c>
    </row>
    <row r="3299" spans="1:8" x14ac:dyDescent="0.25">
      <c r="A3299" t="s">
        <v>6076</v>
      </c>
      <c r="B3299" t="s">
        <v>68</v>
      </c>
      <c r="C3299" t="s">
        <v>444</v>
      </c>
      <c r="D3299">
        <v>136</v>
      </c>
      <c r="E3299">
        <v>749.52499999999998</v>
      </c>
      <c r="F3299">
        <v>1460</v>
      </c>
      <c r="G3299">
        <v>3770405</v>
      </c>
      <c r="H3299" t="s">
        <v>1767</v>
      </c>
    </row>
    <row r="3300" spans="1:8" x14ac:dyDescent="0.25">
      <c r="A3300" t="s">
        <v>6076</v>
      </c>
      <c r="B3300" t="s">
        <v>68</v>
      </c>
      <c r="C3300" t="s">
        <v>444</v>
      </c>
      <c r="D3300">
        <v>158</v>
      </c>
      <c r="E3300">
        <v>870.16800000000001</v>
      </c>
      <c r="F3300">
        <v>1695</v>
      </c>
      <c r="G3300">
        <v>3770405</v>
      </c>
      <c r="H3300" t="s">
        <v>1767</v>
      </c>
    </row>
    <row r="3301" spans="1:8" x14ac:dyDescent="0.25">
      <c r="A3301" t="s">
        <v>6076</v>
      </c>
      <c r="B3301" t="s">
        <v>68</v>
      </c>
      <c r="C3301" t="s">
        <v>444</v>
      </c>
      <c r="D3301">
        <v>116</v>
      </c>
      <c r="E3301">
        <v>635.30700000000002</v>
      </c>
      <c r="F3301">
        <v>1237.5150000000001</v>
      </c>
      <c r="G3301">
        <v>3770405</v>
      </c>
      <c r="H3301" t="s">
        <v>1767</v>
      </c>
    </row>
    <row r="3302" spans="1:8" x14ac:dyDescent="0.25">
      <c r="A3302" t="s">
        <v>573</v>
      </c>
      <c r="B3302" t="s">
        <v>52</v>
      </c>
      <c r="C3302" t="s">
        <v>397</v>
      </c>
      <c r="D3302">
        <v>1240</v>
      </c>
      <c r="E3302">
        <v>635.755</v>
      </c>
      <c r="F3302">
        <v>995.72</v>
      </c>
      <c r="G3302">
        <v>1940821</v>
      </c>
      <c r="H3302" t="s">
        <v>571</v>
      </c>
    </row>
    <row r="3303" spans="1:8" x14ac:dyDescent="0.25">
      <c r="A3303" t="s">
        <v>573</v>
      </c>
      <c r="B3303" t="s">
        <v>52</v>
      </c>
      <c r="C3303" t="s">
        <v>397</v>
      </c>
      <c r="D3303">
        <v>1867</v>
      </c>
      <c r="E3303">
        <v>957.22199999999998</v>
      </c>
      <c r="F3303">
        <v>1499.201</v>
      </c>
      <c r="G3303">
        <v>1940821</v>
      </c>
      <c r="H3303" t="s">
        <v>571</v>
      </c>
    </row>
    <row r="3304" spans="1:8" x14ac:dyDescent="0.25">
      <c r="A3304" t="s">
        <v>573</v>
      </c>
      <c r="B3304" t="s">
        <v>52</v>
      </c>
      <c r="C3304" t="s">
        <v>397</v>
      </c>
      <c r="D3304">
        <v>1097.6189999999999</v>
      </c>
      <c r="E3304">
        <v>588.68600000000004</v>
      </c>
      <c r="F3304">
        <v>922</v>
      </c>
      <c r="G3304">
        <v>1940822</v>
      </c>
      <c r="H3304" t="s">
        <v>574</v>
      </c>
    </row>
    <row r="3305" spans="1:8" x14ac:dyDescent="0.25">
      <c r="A3305" t="s">
        <v>573</v>
      </c>
      <c r="B3305" t="s">
        <v>52</v>
      </c>
      <c r="C3305" t="s">
        <v>397</v>
      </c>
      <c r="D3305">
        <v>2352.3809999999999</v>
      </c>
      <c r="E3305">
        <v>1261.652</v>
      </c>
      <c r="F3305">
        <v>1976</v>
      </c>
      <c r="G3305">
        <v>1940822</v>
      </c>
      <c r="H3305" t="s">
        <v>574</v>
      </c>
    </row>
    <row r="3306" spans="1:8" x14ac:dyDescent="0.25">
      <c r="A3306" t="s">
        <v>401</v>
      </c>
      <c r="B3306" t="s">
        <v>17</v>
      </c>
      <c r="C3306" t="s">
        <v>397</v>
      </c>
      <c r="D3306">
        <v>4660</v>
      </c>
      <c r="E3306">
        <v>2595.5610000000001</v>
      </c>
      <c r="F3306">
        <v>11158.835999999999</v>
      </c>
      <c r="G3306">
        <v>4079374</v>
      </c>
      <c r="H3306" t="s">
        <v>918</v>
      </c>
    </row>
    <row r="3307" spans="1:8" x14ac:dyDescent="0.25">
      <c r="A3307" t="s">
        <v>723</v>
      </c>
      <c r="B3307" t="s">
        <v>27</v>
      </c>
      <c r="C3307" t="s">
        <v>397</v>
      </c>
      <c r="D3307">
        <v>2500</v>
      </c>
      <c r="E3307">
        <v>2849.384</v>
      </c>
      <c r="F3307">
        <v>10755</v>
      </c>
      <c r="G3307">
        <v>2396464</v>
      </c>
      <c r="H3307" t="s">
        <v>921</v>
      </c>
    </row>
    <row r="3308" spans="1:8" x14ac:dyDescent="0.25">
      <c r="A3308" t="s">
        <v>723</v>
      </c>
      <c r="B3308" t="s">
        <v>27</v>
      </c>
      <c r="C3308" t="s">
        <v>397</v>
      </c>
      <c r="D3308">
        <v>250</v>
      </c>
      <c r="E3308">
        <v>128.00200000000001</v>
      </c>
      <c r="F3308">
        <v>674.77499999999998</v>
      </c>
      <c r="G3308">
        <v>3801263</v>
      </c>
      <c r="H3308" t="s">
        <v>923</v>
      </c>
    </row>
    <row r="3309" spans="1:8" x14ac:dyDescent="0.25">
      <c r="A3309" t="s">
        <v>437</v>
      </c>
      <c r="B3309" t="s">
        <v>18</v>
      </c>
      <c r="C3309" t="s">
        <v>397</v>
      </c>
      <c r="D3309">
        <v>3000</v>
      </c>
      <c r="E3309">
        <v>627.76300000000003</v>
      </c>
      <c r="F3309">
        <v>1065</v>
      </c>
      <c r="G3309">
        <v>3617058</v>
      </c>
      <c r="H3309" t="s">
        <v>817</v>
      </c>
    </row>
    <row r="3310" spans="1:8" x14ac:dyDescent="0.25">
      <c r="A3310" t="s">
        <v>636</v>
      </c>
      <c r="B3310" t="s">
        <v>151</v>
      </c>
      <c r="C3310" t="s">
        <v>397</v>
      </c>
      <c r="D3310">
        <v>1480</v>
      </c>
      <c r="E3310">
        <v>310.8</v>
      </c>
      <c r="F3310">
        <v>1051.6220000000001</v>
      </c>
      <c r="G3310">
        <v>3690546</v>
      </c>
      <c r="H3310" t="s">
        <v>901</v>
      </c>
    </row>
    <row r="3311" spans="1:8" x14ac:dyDescent="0.25">
      <c r="A3311" t="s">
        <v>636</v>
      </c>
      <c r="B3311" t="s">
        <v>151</v>
      </c>
      <c r="C3311" t="s">
        <v>397</v>
      </c>
      <c r="D3311">
        <v>2000</v>
      </c>
      <c r="E3311">
        <v>2280.0219999999999</v>
      </c>
      <c r="F3311">
        <v>8468</v>
      </c>
      <c r="G3311">
        <v>3711330</v>
      </c>
      <c r="H3311" t="s">
        <v>925</v>
      </c>
    </row>
    <row r="3312" spans="1:8" x14ac:dyDescent="0.25">
      <c r="A3312" t="s">
        <v>636</v>
      </c>
      <c r="B3312" t="s">
        <v>151</v>
      </c>
      <c r="C3312" t="s">
        <v>397</v>
      </c>
      <c r="D3312">
        <v>725</v>
      </c>
      <c r="E3312">
        <v>586.52499999999998</v>
      </c>
      <c r="F3312">
        <v>571.17100000000005</v>
      </c>
      <c r="G3312">
        <v>1940466</v>
      </c>
      <c r="H3312" t="s">
        <v>764</v>
      </c>
    </row>
    <row r="3313" spans="1:8" x14ac:dyDescent="0.25">
      <c r="A3313" t="s">
        <v>636</v>
      </c>
      <c r="B3313" t="s">
        <v>151</v>
      </c>
      <c r="C3313" t="s">
        <v>397</v>
      </c>
      <c r="D3313">
        <v>4000</v>
      </c>
      <c r="E3313">
        <v>3247.2489999999998</v>
      </c>
      <c r="F3313">
        <v>5784</v>
      </c>
      <c r="G3313">
        <v>1940743</v>
      </c>
      <c r="H3313" t="s">
        <v>867</v>
      </c>
    </row>
    <row r="3314" spans="1:8" x14ac:dyDescent="0.25">
      <c r="A3314" t="s">
        <v>419</v>
      </c>
      <c r="B3314" t="s">
        <v>46</v>
      </c>
      <c r="C3314" t="s">
        <v>397</v>
      </c>
      <c r="D3314">
        <v>600</v>
      </c>
      <c r="E3314">
        <v>463.20600000000002</v>
      </c>
      <c r="F3314">
        <v>1501.02</v>
      </c>
      <c r="G3314">
        <v>3784472</v>
      </c>
      <c r="H3314" t="s">
        <v>927</v>
      </c>
    </row>
    <row r="3315" spans="1:8" x14ac:dyDescent="0.25">
      <c r="A3315" t="s">
        <v>396</v>
      </c>
      <c r="B3315" t="s">
        <v>61</v>
      </c>
      <c r="C3315" t="s">
        <v>397</v>
      </c>
      <c r="D3315">
        <v>7000</v>
      </c>
      <c r="E3315">
        <v>2988.9720000000002</v>
      </c>
      <c r="F3315">
        <v>3243.3330000000001</v>
      </c>
      <c r="G3315">
        <v>3629057</v>
      </c>
      <c r="H3315" t="s">
        <v>753</v>
      </c>
    </row>
    <row r="3316" spans="1:8" x14ac:dyDescent="0.25">
      <c r="A3316" t="s">
        <v>723</v>
      </c>
      <c r="B3316" t="s">
        <v>27</v>
      </c>
      <c r="C3316" t="s">
        <v>397</v>
      </c>
      <c r="D3316">
        <v>630</v>
      </c>
      <c r="E3316">
        <v>718.04499999999996</v>
      </c>
      <c r="F3316">
        <v>2710.26</v>
      </c>
      <c r="G3316">
        <v>2396464</v>
      </c>
      <c r="H3316" t="s">
        <v>921</v>
      </c>
    </row>
    <row r="3317" spans="1:8" x14ac:dyDescent="0.25">
      <c r="A3317" t="s">
        <v>723</v>
      </c>
      <c r="B3317" t="s">
        <v>27</v>
      </c>
      <c r="C3317" t="s">
        <v>397</v>
      </c>
      <c r="D3317">
        <v>500</v>
      </c>
      <c r="E3317">
        <v>256.00400000000002</v>
      </c>
      <c r="F3317">
        <v>1349.55</v>
      </c>
      <c r="G3317">
        <v>3801263</v>
      </c>
      <c r="H3317" t="s">
        <v>923</v>
      </c>
    </row>
    <row r="3318" spans="1:8" x14ac:dyDescent="0.25">
      <c r="A3318" t="s">
        <v>757</v>
      </c>
      <c r="B3318" t="s">
        <v>53</v>
      </c>
      <c r="C3318" t="s">
        <v>397</v>
      </c>
      <c r="D3318">
        <v>1441.2809999999999</v>
      </c>
      <c r="E3318">
        <v>994.59699999999998</v>
      </c>
      <c r="F3318">
        <v>810</v>
      </c>
      <c r="G3318">
        <v>3714733</v>
      </c>
      <c r="H3318" t="s">
        <v>758</v>
      </c>
    </row>
    <row r="3319" spans="1:8" x14ac:dyDescent="0.25">
      <c r="A3319" t="s">
        <v>757</v>
      </c>
      <c r="B3319" t="s">
        <v>53</v>
      </c>
      <c r="C3319" t="s">
        <v>397</v>
      </c>
      <c r="D3319">
        <v>3558.7190000000001</v>
      </c>
      <c r="E3319">
        <v>2455.7959999999998</v>
      </c>
      <c r="F3319">
        <v>2000</v>
      </c>
      <c r="G3319">
        <v>3714733</v>
      </c>
      <c r="H3319" t="s">
        <v>758</v>
      </c>
    </row>
    <row r="3320" spans="1:8" x14ac:dyDescent="0.25">
      <c r="A3320" t="s">
        <v>396</v>
      </c>
      <c r="B3320" t="s">
        <v>61</v>
      </c>
      <c r="C3320" t="s">
        <v>397</v>
      </c>
      <c r="D3320">
        <v>35617</v>
      </c>
      <c r="E3320">
        <v>10008.312</v>
      </c>
      <c r="F3320">
        <v>10860.019</v>
      </c>
      <c r="G3320">
        <v>3508156</v>
      </c>
      <c r="H3320" t="s">
        <v>751</v>
      </c>
    </row>
    <row r="3321" spans="1:8" x14ac:dyDescent="0.25">
      <c r="A3321" t="s">
        <v>636</v>
      </c>
      <c r="B3321" t="s">
        <v>151</v>
      </c>
      <c r="C3321" t="s">
        <v>397</v>
      </c>
      <c r="D3321">
        <v>500</v>
      </c>
      <c r="E3321">
        <v>245</v>
      </c>
      <c r="F3321">
        <v>1253.05</v>
      </c>
      <c r="G3321">
        <v>3781610</v>
      </c>
      <c r="H3321" t="s">
        <v>915</v>
      </c>
    </row>
    <row r="3322" spans="1:8" x14ac:dyDescent="0.25">
      <c r="A3322" t="s">
        <v>636</v>
      </c>
      <c r="B3322" t="s">
        <v>151</v>
      </c>
      <c r="C3322" t="s">
        <v>397</v>
      </c>
      <c r="D3322">
        <v>540.33900000000006</v>
      </c>
      <c r="E3322">
        <v>438.654</v>
      </c>
      <c r="F3322">
        <v>781.33</v>
      </c>
      <c r="G3322">
        <v>1940743</v>
      </c>
      <c r="H3322" t="s">
        <v>867</v>
      </c>
    </row>
    <row r="3323" spans="1:8" x14ac:dyDescent="0.25">
      <c r="A3323" t="s">
        <v>636</v>
      </c>
      <c r="B3323" t="s">
        <v>151</v>
      </c>
      <c r="C3323" t="s">
        <v>397</v>
      </c>
      <c r="D3323">
        <v>417.661</v>
      </c>
      <c r="E3323">
        <v>339.06200000000001</v>
      </c>
      <c r="F3323">
        <v>603.93799999999999</v>
      </c>
      <c r="G3323">
        <v>1940743</v>
      </c>
      <c r="H3323" t="s">
        <v>867</v>
      </c>
    </row>
    <row r="3324" spans="1:8" x14ac:dyDescent="0.25">
      <c r="A3324" t="s">
        <v>419</v>
      </c>
      <c r="B3324" t="s">
        <v>46</v>
      </c>
      <c r="C3324" t="s">
        <v>397</v>
      </c>
      <c r="D3324">
        <v>1030.9280000000001</v>
      </c>
      <c r="E3324">
        <v>261.85599999999999</v>
      </c>
      <c r="F3324">
        <v>1000</v>
      </c>
      <c r="G3324">
        <v>1938358</v>
      </c>
      <c r="H3324" t="s">
        <v>892</v>
      </c>
    </row>
    <row r="3325" spans="1:8" x14ac:dyDescent="0.25">
      <c r="A3325" t="s">
        <v>419</v>
      </c>
      <c r="B3325" t="s">
        <v>46</v>
      </c>
      <c r="C3325" t="s">
        <v>397</v>
      </c>
      <c r="D3325">
        <v>824.072</v>
      </c>
      <c r="E3325">
        <v>209.31399999999999</v>
      </c>
      <c r="F3325">
        <v>799.35</v>
      </c>
      <c r="G3325">
        <v>1938358</v>
      </c>
      <c r="H3325" t="s">
        <v>892</v>
      </c>
    </row>
    <row r="3326" spans="1:8" x14ac:dyDescent="0.25">
      <c r="A3326" t="s">
        <v>419</v>
      </c>
      <c r="B3326" t="s">
        <v>46</v>
      </c>
      <c r="C3326" t="s">
        <v>397</v>
      </c>
      <c r="D3326">
        <v>799</v>
      </c>
      <c r="E3326">
        <v>616.83600000000001</v>
      </c>
      <c r="F3326">
        <v>1998.8579999999999</v>
      </c>
      <c r="G3326">
        <v>3784472</v>
      </c>
      <c r="H3326" t="s">
        <v>927</v>
      </c>
    </row>
    <row r="3327" spans="1:8" x14ac:dyDescent="0.25">
      <c r="A3327" t="s">
        <v>419</v>
      </c>
      <c r="B3327" t="s">
        <v>46</v>
      </c>
      <c r="C3327" t="s">
        <v>397</v>
      </c>
      <c r="D3327">
        <v>215</v>
      </c>
      <c r="E3327">
        <v>165.982</v>
      </c>
      <c r="F3327">
        <v>537.86599999999999</v>
      </c>
      <c r="G3327">
        <v>3784472</v>
      </c>
      <c r="H3327" t="s">
        <v>927</v>
      </c>
    </row>
    <row r="3328" spans="1:8" x14ac:dyDescent="0.25">
      <c r="A3328" t="s">
        <v>419</v>
      </c>
      <c r="B3328" t="s">
        <v>46</v>
      </c>
      <c r="C3328" t="s">
        <v>397</v>
      </c>
      <c r="D3328">
        <v>185</v>
      </c>
      <c r="E3328">
        <v>142.822</v>
      </c>
      <c r="F3328">
        <v>462.815</v>
      </c>
      <c r="G3328">
        <v>3784472</v>
      </c>
      <c r="H3328" t="s">
        <v>927</v>
      </c>
    </row>
    <row r="3329" spans="1:8" x14ac:dyDescent="0.25">
      <c r="A3329" t="s">
        <v>589</v>
      </c>
      <c r="B3329" t="s">
        <v>45</v>
      </c>
      <c r="C3329" t="s">
        <v>397</v>
      </c>
      <c r="D3329">
        <v>2077</v>
      </c>
      <c r="E3329">
        <v>2440.471</v>
      </c>
      <c r="F3329">
        <v>1914.902</v>
      </c>
      <c r="G3329">
        <v>3781609</v>
      </c>
      <c r="H3329" t="s">
        <v>730</v>
      </c>
    </row>
    <row r="3330" spans="1:8" x14ac:dyDescent="0.25">
      <c r="A3330" t="s">
        <v>396</v>
      </c>
      <c r="B3330" t="s">
        <v>61</v>
      </c>
      <c r="C3330" t="s">
        <v>397</v>
      </c>
      <c r="D3330">
        <v>1000</v>
      </c>
      <c r="E3330">
        <v>426.99599999999998</v>
      </c>
      <c r="F3330">
        <v>463.33300000000003</v>
      </c>
      <c r="G3330">
        <v>3629057</v>
      </c>
      <c r="H3330" t="s">
        <v>753</v>
      </c>
    </row>
    <row r="3331" spans="1:8" x14ac:dyDescent="0.25">
      <c r="A3331" t="s">
        <v>732</v>
      </c>
      <c r="B3331" t="s">
        <v>25</v>
      </c>
      <c r="C3331" t="s">
        <v>397</v>
      </c>
      <c r="D3331">
        <v>323.67700000000002</v>
      </c>
      <c r="E3331">
        <v>395.53199999999998</v>
      </c>
      <c r="F3331">
        <v>310.35199999999998</v>
      </c>
      <c r="G3331">
        <v>3533249</v>
      </c>
      <c r="H3331" t="s">
        <v>733</v>
      </c>
    </row>
    <row r="3332" spans="1:8" x14ac:dyDescent="0.25">
      <c r="A3332" t="s">
        <v>732</v>
      </c>
      <c r="B3332" t="s">
        <v>25</v>
      </c>
      <c r="C3332" t="s">
        <v>397</v>
      </c>
      <c r="D3332">
        <v>922.32299999999998</v>
      </c>
      <c r="E3332">
        <v>1127.076</v>
      </c>
      <c r="F3332">
        <v>884.35400000000004</v>
      </c>
      <c r="G3332">
        <v>3533249</v>
      </c>
      <c r="H3332" t="s">
        <v>733</v>
      </c>
    </row>
    <row r="3333" spans="1:8" x14ac:dyDescent="0.25">
      <c r="A3333" t="s">
        <v>732</v>
      </c>
      <c r="B3333" t="s">
        <v>25</v>
      </c>
      <c r="C3333" t="s">
        <v>397</v>
      </c>
      <c r="D3333">
        <v>1223</v>
      </c>
      <c r="E3333">
        <v>1577.684</v>
      </c>
      <c r="F3333">
        <v>1237.921</v>
      </c>
      <c r="G3333">
        <v>3533248</v>
      </c>
      <c r="H3333" t="s">
        <v>735</v>
      </c>
    </row>
    <row r="3334" spans="1:8" x14ac:dyDescent="0.25">
      <c r="A3334" t="s">
        <v>437</v>
      </c>
      <c r="B3334" t="s">
        <v>18</v>
      </c>
      <c r="C3334" t="s">
        <v>397</v>
      </c>
      <c r="D3334">
        <v>170.679</v>
      </c>
      <c r="E3334">
        <v>35.715000000000003</v>
      </c>
      <c r="F3334">
        <v>60.591000000000001</v>
      </c>
      <c r="G3334">
        <v>3617058</v>
      </c>
      <c r="H3334" t="s">
        <v>817</v>
      </c>
    </row>
    <row r="3335" spans="1:8" x14ac:dyDescent="0.25">
      <c r="A3335" t="s">
        <v>437</v>
      </c>
      <c r="B3335" t="s">
        <v>18</v>
      </c>
      <c r="C3335" t="s">
        <v>397</v>
      </c>
      <c r="D3335">
        <v>4017.3209999999999</v>
      </c>
      <c r="E3335">
        <v>840.64200000000005</v>
      </c>
      <c r="F3335">
        <v>1426.1489999999999</v>
      </c>
      <c r="G3335">
        <v>3617058</v>
      </c>
      <c r="H3335" t="s">
        <v>817</v>
      </c>
    </row>
    <row r="3336" spans="1:8" x14ac:dyDescent="0.25">
      <c r="A3336" t="s">
        <v>556</v>
      </c>
      <c r="B3336" t="s">
        <v>151</v>
      </c>
      <c r="C3336" t="s">
        <v>397</v>
      </c>
      <c r="D3336">
        <v>630.03</v>
      </c>
      <c r="E3336">
        <v>859.99599999999998</v>
      </c>
      <c r="F3336">
        <v>2563.9070000000002</v>
      </c>
      <c r="G3336">
        <v>3781680</v>
      </c>
      <c r="H3336" t="s">
        <v>905</v>
      </c>
    </row>
    <row r="3337" spans="1:8" x14ac:dyDescent="0.25">
      <c r="A3337" t="s">
        <v>556</v>
      </c>
      <c r="B3337" t="s">
        <v>151</v>
      </c>
      <c r="C3337" t="s">
        <v>397</v>
      </c>
      <c r="D3337">
        <v>1120.97</v>
      </c>
      <c r="E3337">
        <v>1530.134</v>
      </c>
      <c r="F3337">
        <v>4561.7870000000003</v>
      </c>
      <c r="G3337">
        <v>3781680</v>
      </c>
      <c r="H3337" t="s">
        <v>905</v>
      </c>
    </row>
    <row r="3338" spans="1:8" x14ac:dyDescent="0.25">
      <c r="A3338" t="s">
        <v>556</v>
      </c>
      <c r="B3338" t="s">
        <v>151</v>
      </c>
      <c r="C3338" t="s">
        <v>397</v>
      </c>
      <c r="D3338">
        <v>5000</v>
      </c>
      <c r="E3338">
        <v>744.85900000000004</v>
      </c>
      <c r="F3338">
        <v>355</v>
      </c>
      <c r="G3338">
        <v>1938195</v>
      </c>
      <c r="H3338" t="s">
        <v>558</v>
      </c>
    </row>
    <row r="3339" spans="1:8" x14ac:dyDescent="0.25">
      <c r="A3339" t="s">
        <v>757</v>
      </c>
      <c r="B3339" t="s">
        <v>53</v>
      </c>
      <c r="C3339" t="s">
        <v>397</v>
      </c>
      <c r="D3339">
        <v>2064</v>
      </c>
      <c r="E3339">
        <v>847.06</v>
      </c>
      <c r="F3339">
        <v>1508.7840000000001</v>
      </c>
      <c r="G3339">
        <v>3508742</v>
      </c>
      <c r="H3339" t="s">
        <v>861</v>
      </c>
    </row>
    <row r="3340" spans="1:8" x14ac:dyDescent="0.25">
      <c r="A3340" t="s">
        <v>757</v>
      </c>
      <c r="B3340" t="s">
        <v>53</v>
      </c>
      <c r="C3340" t="s">
        <v>397</v>
      </c>
      <c r="D3340">
        <v>4898</v>
      </c>
      <c r="E3340">
        <v>3835.1019999999999</v>
      </c>
      <c r="F3340">
        <v>5416.6980000000003</v>
      </c>
      <c r="G3340">
        <v>3775636</v>
      </c>
      <c r="H3340" t="s">
        <v>811</v>
      </c>
    </row>
    <row r="3341" spans="1:8" x14ac:dyDescent="0.25">
      <c r="A3341" t="s">
        <v>757</v>
      </c>
      <c r="B3341" t="s">
        <v>53</v>
      </c>
      <c r="C3341" t="s">
        <v>397</v>
      </c>
      <c r="D3341">
        <v>2375.297</v>
      </c>
      <c r="E3341">
        <v>1441.8130000000001</v>
      </c>
      <c r="F3341">
        <v>2800</v>
      </c>
      <c r="G3341">
        <v>3775637</v>
      </c>
      <c r="H3341" t="s">
        <v>929</v>
      </c>
    </row>
    <row r="3342" spans="1:8" x14ac:dyDescent="0.25">
      <c r="A3342" t="s">
        <v>757</v>
      </c>
      <c r="B3342" t="s">
        <v>53</v>
      </c>
      <c r="C3342" t="s">
        <v>397</v>
      </c>
      <c r="D3342">
        <v>1224.703</v>
      </c>
      <c r="E3342">
        <v>743.399</v>
      </c>
      <c r="F3342">
        <v>1443.68</v>
      </c>
      <c r="G3342">
        <v>3775637</v>
      </c>
      <c r="H3342" t="s">
        <v>929</v>
      </c>
    </row>
    <row r="3343" spans="1:8" x14ac:dyDescent="0.25">
      <c r="A3343" t="s">
        <v>757</v>
      </c>
      <c r="B3343" t="s">
        <v>53</v>
      </c>
      <c r="C3343" t="s">
        <v>397</v>
      </c>
      <c r="D3343">
        <v>5741.6469999999999</v>
      </c>
      <c r="E3343">
        <v>1234.4449999999999</v>
      </c>
      <c r="F3343">
        <v>4712.616</v>
      </c>
      <c r="G3343">
        <v>3901714</v>
      </c>
      <c r="H3343" t="s">
        <v>902</v>
      </c>
    </row>
    <row r="3344" spans="1:8" x14ac:dyDescent="0.25">
      <c r="A3344" t="s">
        <v>757</v>
      </c>
      <c r="B3344" t="s">
        <v>53</v>
      </c>
      <c r="C3344" t="s">
        <v>397</v>
      </c>
      <c r="D3344">
        <v>4258.3530000000001</v>
      </c>
      <c r="E3344">
        <v>915.53899999999999</v>
      </c>
      <c r="F3344">
        <v>3495.1619999999998</v>
      </c>
      <c r="G3344">
        <v>3901714</v>
      </c>
      <c r="H3344" t="s">
        <v>902</v>
      </c>
    </row>
    <row r="3345" spans="1:8" x14ac:dyDescent="0.25">
      <c r="A3345" t="s">
        <v>723</v>
      </c>
      <c r="B3345" t="s">
        <v>27</v>
      </c>
      <c r="C3345" t="s">
        <v>397</v>
      </c>
      <c r="D3345">
        <v>441.98</v>
      </c>
      <c r="E3345">
        <v>226.297</v>
      </c>
      <c r="F3345">
        <v>1192.9480000000001</v>
      </c>
      <c r="G3345">
        <v>3801263</v>
      </c>
      <c r="H3345" t="s">
        <v>923</v>
      </c>
    </row>
    <row r="3346" spans="1:8" x14ac:dyDescent="0.25">
      <c r="A3346" t="s">
        <v>723</v>
      </c>
      <c r="B3346" t="s">
        <v>27</v>
      </c>
      <c r="C3346" t="s">
        <v>397</v>
      </c>
      <c r="D3346">
        <v>58.02</v>
      </c>
      <c r="E3346">
        <v>29.707000000000001</v>
      </c>
      <c r="F3346">
        <v>156.602</v>
      </c>
      <c r="G3346">
        <v>3801263</v>
      </c>
      <c r="H3346" t="s">
        <v>923</v>
      </c>
    </row>
    <row r="3347" spans="1:8" x14ac:dyDescent="0.25">
      <c r="A3347" t="s">
        <v>573</v>
      </c>
      <c r="B3347" t="s">
        <v>52</v>
      </c>
      <c r="C3347" t="s">
        <v>397</v>
      </c>
      <c r="D3347">
        <v>3650</v>
      </c>
      <c r="E3347">
        <v>2481.7579999999998</v>
      </c>
      <c r="F3347">
        <v>2244.75</v>
      </c>
      <c r="G3347">
        <v>3819143</v>
      </c>
      <c r="H3347" t="s">
        <v>839</v>
      </c>
    </row>
    <row r="3348" spans="1:8" x14ac:dyDescent="0.25">
      <c r="A3348" t="s">
        <v>573</v>
      </c>
      <c r="B3348" t="s">
        <v>52</v>
      </c>
      <c r="C3348" t="s">
        <v>397</v>
      </c>
      <c r="D3348">
        <v>2900</v>
      </c>
      <c r="E3348">
        <v>2354.2559999999999</v>
      </c>
      <c r="F3348">
        <v>4193.3999999999996</v>
      </c>
      <c r="G3348">
        <v>1940743</v>
      </c>
      <c r="H3348" t="s">
        <v>867</v>
      </c>
    </row>
    <row r="3349" spans="1:8" x14ac:dyDescent="0.25">
      <c r="A3349" t="s">
        <v>6012</v>
      </c>
      <c r="B3349" t="s">
        <v>22</v>
      </c>
      <c r="C3349" t="s">
        <v>397</v>
      </c>
      <c r="D3349">
        <v>3000</v>
      </c>
      <c r="E3349">
        <v>956.99900000000002</v>
      </c>
      <c r="F3349">
        <v>2635.7669999999998</v>
      </c>
      <c r="G3349">
        <v>4157557</v>
      </c>
      <c r="H3349" t="s">
        <v>6073</v>
      </c>
    </row>
    <row r="3350" spans="1:8" x14ac:dyDescent="0.25">
      <c r="A3350" t="s">
        <v>396</v>
      </c>
      <c r="B3350" t="s">
        <v>61</v>
      </c>
      <c r="C3350" t="s">
        <v>397</v>
      </c>
      <c r="D3350">
        <v>3000</v>
      </c>
      <c r="E3350">
        <v>883.83799999999997</v>
      </c>
      <c r="F3350">
        <v>840</v>
      </c>
      <c r="G3350">
        <v>1940312</v>
      </c>
      <c r="H3350" t="s">
        <v>410</v>
      </c>
    </row>
    <row r="3351" spans="1:8" x14ac:dyDescent="0.25">
      <c r="A3351" t="s">
        <v>396</v>
      </c>
      <c r="B3351" t="s">
        <v>61</v>
      </c>
      <c r="C3351" t="s">
        <v>397</v>
      </c>
      <c r="D3351">
        <v>3000</v>
      </c>
      <c r="E3351">
        <v>1709.9829999999999</v>
      </c>
      <c r="F3351">
        <v>1563.2670000000001</v>
      </c>
      <c r="G3351">
        <v>3507077</v>
      </c>
      <c r="H3351" t="s">
        <v>717</v>
      </c>
    </row>
    <row r="3352" spans="1:8" x14ac:dyDescent="0.25">
      <c r="A3352" t="s">
        <v>556</v>
      </c>
      <c r="B3352" t="s">
        <v>151</v>
      </c>
      <c r="C3352" t="s">
        <v>397</v>
      </c>
      <c r="D3352">
        <v>2400</v>
      </c>
      <c r="E3352">
        <v>3276.0210000000002</v>
      </c>
      <c r="F3352">
        <v>9766.7999999999993</v>
      </c>
      <c r="G3352">
        <v>3781680</v>
      </c>
      <c r="H3352" t="s">
        <v>905</v>
      </c>
    </row>
    <row r="3353" spans="1:8" x14ac:dyDescent="0.25">
      <c r="A3353" t="s">
        <v>556</v>
      </c>
      <c r="B3353" t="s">
        <v>151</v>
      </c>
      <c r="C3353" t="s">
        <v>397</v>
      </c>
      <c r="D3353">
        <v>2000</v>
      </c>
      <c r="E3353">
        <v>823.99800000000005</v>
      </c>
      <c r="F3353">
        <v>929.22199999999998</v>
      </c>
      <c r="G3353">
        <v>3863819</v>
      </c>
      <c r="H3353" t="s">
        <v>802</v>
      </c>
    </row>
    <row r="3354" spans="1:8" x14ac:dyDescent="0.25">
      <c r="A3354" t="s">
        <v>585</v>
      </c>
      <c r="B3354" t="s">
        <v>48</v>
      </c>
      <c r="C3354" t="s">
        <v>397</v>
      </c>
      <c r="D3354">
        <v>3218</v>
      </c>
      <c r="E3354">
        <v>1316.124</v>
      </c>
      <c r="F3354">
        <v>3493.7829999999999</v>
      </c>
      <c r="G3354">
        <v>4020857</v>
      </c>
      <c r="H3354" t="s">
        <v>910</v>
      </c>
    </row>
    <row r="3355" spans="1:8" x14ac:dyDescent="0.25">
      <c r="A3355" t="s">
        <v>597</v>
      </c>
      <c r="B3355" t="s">
        <v>78</v>
      </c>
      <c r="C3355" t="s">
        <v>397</v>
      </c>
      <c r="D3355">
        <v>4835</v>
      </c>
      <c r="E3355">
        <v>2755.9229999999998</v>
      </c>
      <c r="F3355">
        <v>2519.4650000000001</v>
      </c>
      <c r="G3355">
        <v>3781672</v>
      </c>
      <c r="H3355" t="s">
        <v>718</v>
      </c>
    </row>
    <row r="3356" spans="1:8" x14ac:dyDescent="0.25">
      <c r="A3356" t="s">
        <v>597</v>
      </c>
      <c r="B3356" t="s">
        <v>78</v>
      </c>
      <c r="C3356" t="s">
        <v>397</v>
      </c>
      <c r="D3356">
        <v>5784.692</v>
      </c>
      <c r="E3356">
        <v>3384.1419999999998</v>
      </c>
      <c r="F3356">
        <v>3216.2890000000002</v>
      </c>
      <c r="G3356">
        <v>1940327</v>
      </c>
      <c r="H3356" t="s">
        <v>719</v>
      </c>
    </row>
    <row r="3357" spans="1:8" x14ac:dyDescent="0.25">
      <c r="A3357" t="s">
        <v>597</v>
      </c>
      <c r="B3357" t="s">
        <v>78</v>
      </c>
      <c r="C3357" t="s">
        <v>397</v>
      </c>
      <c r="D3357">
        <v>1215.308</v>
      </c>
      <c r="E3357">
        <v>710.976</v>
      </c>
      <c r="F3357">
        <v>675.71100000000001</v>
      </c>
      <c r="G3357">
        <v>1940327</v>
      </c>
      <c r="H3357" t="s">
        <v>719</v>
      </c>
    </row>
    <row r="3358" spans="1:8" x14ac:dyDescent="0.25">
      <c r="A3358" t="s">
        <v>835</v>
      </c>
      <c r="B3358" t="s">
        <v>44</v>
      </c>
      <c r="C3358" t="s">
        <v>397</v>
      </c>
      <c r="D3358">
        <v>1723</v>
      </c>
      <c r="E3358">
        <v>1030.5619999999999</v>
      </c>
      <c r="F3358">
        <v>932.14300000000003</v>
      </c>
      <c r="G3358">
        <v>4082199</v>
      </c>
      <c r="H3358" t="s">
        <v>837</v>
      </c>
    </row>
    <row r="3359" spans="1:8" x14ac:dyDescent="0.25">
      <c r="A3359" t="s">
        <v>636</v>
      </c>
      <c r="B3359" t="s">
        <v>151</v>
      </c>
      <c r="C3359" t="s">
        <v>397</v>
      </c>
      <c r="D3359">
        <v>100</v>
      </c>
      <c r="E3359">
        <v>23.6</v>
      </c>
      <c r="F3359">
        <v>135.28</v>
      </c>
      <c r="G3359">
        <v>3784473</v>
      </c>
      <c r="H3359" t="s">
        <v>873</v>
      </c>
    </row>
    <row r="3360" spans="1:8" x14ac:dyDescent="0.25">
      <c r="A3360" t="s">
        <v>757</v>
      </c>
      <c r="B3360" t="s">
        <v>53</v>
      </c>
      <c r="C3360" t="s">
        <v>397</v>
      </c>
      <c r="D3360">
        <v>220.005</v>
      </c>
      <c r="E3360">
        <v>172.262</v>
      </c>
      <c r="F3360">
        <v>243.304</v>
      </c>
      <c r="G3360">
        <v>3775636</v>
      </c>
      <c r="H3360" t="s">
        <v>811</v>
      </c>
    </row>
    <row r="3361" spans="1:8" x14ac:dyDescent="0.25">
      <c r="A3361" t="s">
        <v>757</v>
      </c>
      <c r="B3361" t="s">
        <v>53</v>
      </c>
      <c r="C3361" t="s">
        <v>397</v>
      </c>
      <c r="D3361">
        <v>6279.9949999999999</v>
      </c>
      <c r="E3361">
        <v>4917.1949999999997</v>
      </c>
      <c r="F3361">
        <v>6945.0460000000003</v>
      </c>
      <c r="G3361">
        <v>3775636</v>
      </c>
      <c r="H3361" t="s">
        <v>811</v>
      </c>
    </row>
    <row r="3362" spans="1:8" x14ac:dyDescent="0.25">
      <c r="A3362" t="s">
        <v>757</v>
      </c>
      <c r="B3362" t="s">
        <v>53</v>
      </c>
      <c r="C3362" t="s">
        <v>397</v>
      </c>
      <c r="D3362">
        <v>500</v>
      </c>
      <c r="E3362">
        <v>107.499</v>
      </c>
      <c r="F3362">
        <v>410.38900000000001</v>
      </c>
      <c r="G3362">
        <v>3901714</v>
      </c>
      <c r="H3362" t="s">
        <v>902</v>
      </c>
    </row>
    <row r="3363" spans="1:8" x14ac:dyDescent="0.25">
      <c r="A3363" t="s">
        <v>757</v>
      </c>
      <c r="B3363" t="s">
        <v>53</v>
      </c>
      <c r="C3363" t="s">
        <v>397</v>
      </c>
      <c r="D3363">
        <v>4000</v>
      </c>
      <c r="E3363">
        <v>1671.9970000000001</v>
      </c>
      <c r="F3363">
        <v>1885.511</v>
      </c>
      <c r="G3363">
        <v>3926270</v>
      </c>
      <c r="H3363" t="s">
        <v>804</v>
      </c>
    </row>
    <row r="3364" spans="1:8" x14ac:dyDescent="0.25">
      <c r="A3364" t="s">
        <v>517</v>
      </c>
      <c r="B3364" t="s">
        <v>19</v>
      </c>
      <c r="C3364" t="s">
        <v>397</v>
      </c>
      <c r="D3364">
        <v>800</v>
      </c>
      <c r="E3364">
        <v>570.39099999999996</v>
      </c>
      <c r="F3364">
        <v>1514.16</v>
      </c>
      <c r="G3364">
        <v>3783938</v>
      </c>
      <c r="H3364" t="s">
        <v>912</v>
      </c>
    </row>
    <row r="3365" spans="1:8" x14ac:dyDescent="0.25">
      <c r="A3365" t="s">
        <v>517</v>
      </c>
      <c r="B3365" t="s">
        <v>19</v>
      </c>
      <c r="C3365" t="s">
        <v>397</v>
      </c>
      <c r="D3365">
        <v>292.57799999999997</v>
      </c>
      <c r="E3365">
        <v>56.468000000000004</v>
      </c>
      <c r="F3365">
        <v>100</v>
      </c>
      <c r="G3365">
        <v>3509016</v>
      </c>
      <c r="H3365" t="s">
        <v>800</v>
      </c>
    </row>
    <row r="3366" spans="1:8" x14ac:dyDescent="0.25">
      <c r="A3366" t="s">
        <v>517</v>
      </c>
      <c r="B3366" t="s">
        <v>19</v>
      </c>
      <c r="C3366" t="s">
        <v>397</v>
      </c>
      <c r="D3366">
        <v>707.42200000000003</v>
      </c>
      <c r="E3366">
        <v>136.535</v>
      </c>
      <c r="F3366">
        <v>241.78899999999999</v>
      </c>
      <c r="G3366">
        <v>3509016</v>
      </c>
      <c r="H3366" t="s">
        <v>800</v>
      </c>
    </row>
    <row r="3367" spans="1:8" x14ac:dyDescent="0.25">
      <c r="A3367" t="s">
        <v>757</v>
      </c>
      <c r="B3367" t="s">
        <v>53</v>
      </c>
      <c r="C3367" t="s">
        <v>397</v>
      </c>
      <c r="D3367">
        <v>772</v>
      </c>
      <c r="E3367">
        <v>604.471</v>
      </c>
      <c r="F3367">
        <v>853.755</v>
      </c>
      <c r="G3367">
        <v>3775636</v>
      </c>
      <c r="H3367" t="s">
        <v>811</v>
      </c>
    </row>
    <row r="3368" spans="1:8" x14ac:dyDescent="0.25">
      <c r="A3368" t="s">
        <v>757</v>
      </c>
      <c r="B3368" t="s">
        <v>53</v>
      </c>
      <c r="C3368" t="s">
        <v>397</v>
      </c>
      <c r="D3368">
        <v>1500</v>
      </c>
      <c r="E3368">
        <v>841.79300000000001</v>
      </c>
      <c r="F3368">
        <v>1318.5</v>
      </c>
      <c r="G3368">
        <v>3801265</v>
      </c>
      <c r="H3368" t="s">
        <v>889</v>
      </c>
    </row>
    <row r="3369" spans="1:8" x14ac:dyDescent="0.25">
      <c r="A3369" t="s">
        <v>757</v>
      </c>
      <c r="B3369" t="s">
        <v>53</v>
      </c>
      <c r="C3369" t="s">
        <v>397</v>
      </c>
      <c r="D3369">
        <v>685.02</v>
      </c>
      <c r="E3369">
        <v>147.27799999999999</v>
      </c>
      <c r="F3369">
        <v>562.24900000000002</v>
      </c>
      <c r="G3369">
        <v>3901714</v>
      </c>
      <c r="H3369" t="s">
        <v>902</v>
      </c>
    </row>
    <row r="3370" spans="1:8" x14ac:dyDescent="0.25">
      <c r="A3370" t="s">
        <v>757</v>
      </c>
      <c r="B3370" t="s">
        <v>53</v>
      </c>
      <c r="C3370" t="s">
        <v>397</v>
      </c>
      <c r="D3370">
        <v>814.98</v>
      </c>
      <c r="E3370">
        <v>175.21899999999999</v>
      </c>
      <c r="F3370">
        <v>668.91700000000003</v>
      </c>
      <c r="G3370">
        <v>3901714</v>
      </c>
      <c r="H3370" t="s">
        <v>902</v>
      </c>
    </row>
    <row r="3371" spans="1:8" x14ac:dyDescent="0.25">
      <c r="A3371" t="s">
        <v>757</v>
      </c>
      <c r="B3371" t="s">
        <v>53</v>
      </c>
      <c r="C3371" t="s">
        <v>397</v>
      </c>
      <c r="D3371">
        <v>3499</v>
      </c>
      <c r="E3371">
        <v>1462.579</v>
      </c>
      <c r="F3371">
        <v>1649.3510000000001</v>
      </c>
      <c r="G3371">
        <v>3926270</v>
      </c>
      <c r="H3371" t="s">
        <v>804</v>
      </c>
    </row>
    <row r="3372" spans="1:8" x14ac:dyDescent="0.25">
      <c r="A3372" t="s">
        <v>636</v>
      </c>
      <c r="B3372" t="s">
        <v>151</v>
      </c>
      <c r="C3372" t="s">
        <v>397</v>
      </c>
      <c r="D3372">
        <v>500</v>
      </c>
      <c r="E3372">
        <v>117.998</v>
      </c>
      <c r="F3372">
        <v>676.4</v>
      </c>
      <c r="G3372">
        <v>3784473</v>
      </c>
      <c r="H3372" t="s">
        <v>873</v>
      </c>
    </row>
    <row r="3373" spans="1:8" x14ac:dyDescent="0.25">
      <c r="A3373" t="s">
        <v>585</v>
      </c>
      <c r="B3373" t="s">
        <v>48</v>
      </c>
      <c r="C3373" t="s">
        <v>397</v>
      </c>
      <c r="D3373">
        <v>1819.7270000000001</v>
      </c>
      <c r="E3373">
        <v>1519.452</v>
      </c>
      <c r="F3373">
        <v>2570</v>
      </c>
      <c r="G3373">
        <v>3712521</v>
      </c>
      <c r="H3373" t="s">
        <v>631</v>
      </c>
    </row>
    <row r="3374" spans="1:8" x14ac:dyDescent="0.25">
      <c r="A3374" t="s">
        <v>585</v>
      </c>
      <c r="B3374" t="s">
        <v>48</v>
      </c>
      <c r="C3374" t="s">
        <v>397</v>
      </c>
      <c r="D3374">
        <v>3180.2730000000001</v>
      </c>
      <c r="E3374">
        <v>2655.4920000000002</v>
      </c>
      <c r="F3374">
        <v>4491.5</v>
      </c>
      <c r="G3374">
        <v>3712521</v>
      </c>
      <c r="H3374" t="s">
        <v>631</v>
      </c>
    </row>
    <row r="3375" spans="1:8" x14ac:dyDescent="0.25">
      <c r="A3375" t="s">
        <v>636</v>
      </c>
      <c r="B3375" t="s">
        <v>151</v>
      </c>
      <c r="C3375" t="s">
        <v>397</v>
      </c>
      <c r="D3375">
        <v>400</v>
      </c>
      <c r="E3375">
        <v>94.397999999999996</v>
      </c>
      <c r="F3375">
        <v>541.12</v>
      </c>
      <c r="G3375">
        <v>3784473</v>
      </c>
      <c r="H3375" t="s">
        <v>873</v>
      </c>
    </row>
    <row r="3376" spans="1:8" x14ac:dyDescent="0.25">
      <c r="A3376" t="s">
        <v>585</v>
      </c>
      <c r="B3376" t="s">
        <v>48</v>
      </c>
      <c r="C3376" t="s">
        <v>397</v>
      </c>
      <c r="D3376">
        <v>1329</v>
      </c>
      <c r="E3376">
        <v>1109.7</v>
      </c>
      <c r="F3376">
        <v>1876.9469999999999</v>
      </c>
      <c r="G3376">
        <v>3712521</v>
      </c>
      <c r="H3376" t="s">
        <v>631</v>
      </c>
    </row>
    <row r="3377" spans="1:8" x14ac:dyDescent="0.25">
      <c r="A3377" t="s">
        <v>396</v>
      </c>
      <c r="B3377" t="s">
        <v>61</v>
      </c>
      <c r="C3377" t="s">
        <v>397</v>
      </c>
      <c r="D3377">
        <v>5000</v>
      </c>
      <c r="E3377">
        <v>2849.9720000000002</v>
      </c>
      <c r="F3377">
        <v>2605.444</v>
      </c>
      <c r="G3377">
        <v>3507077</v>
      </c>
      <c r="H3377" t="s">
        <v>717</v>
      </c>
    </row>
    <row r="3378" spans="1:8" x14ac:dyDescent="0.25">
      <c r="A3378" t="s">
        <v>636</v>
      </c>
      <c r="B3378" t="s">
        <v>151</v>
      </c>
      <c r="C3378" t="s">
        <v>397</v>
      </c>
      <c r="D3378">
        <v>1500</v>
      </c>
      <c r="E3378">
        <v>1710.0160000000001</v>
      </c>
      <c r="F3378">
        <v>6351</v>
      </c>
      <c r="G3378">
        <v>3711330</v>
      </c>
      <c r="H3378" t="s">
        <v>925</v>
      </c>
    </row>
    <row r="3379" spans="1:8" x14ac:dyDescent="0.25">
      <c r="A3379" t="s">
        <v>636</v>
      </c>
      <c r="B3379" t="s">
        <v>151</v>
      </c>
      <c r="C3379" t="s">
        <v>397</v>
      </c>
      <c r="D3379">
        <v>516.13199999999995</v>
      </c>
      <c r="E3379">
        <v>419.00200000000001</v>
      </c>
      <c r="F3379">
        <v>746.327</v>
      </c>
      <c r="G3379">
        <v>1940743</v>
      </c>
      <c r="H3379" t="s">
        <v>867</v>
      </c>
    </row>
    <row r="3380" spans="1:8" x14ac:dyDescent="0.25">
      <c r="A3380" t="s">
        <v>636</v>
      </c>
      <c r="B3380" t="s">
        <v>151</v>
      </c>
      <c r="C3380" t="s">
        <v>397</v>
      </c>
      <c r="D3380">
        <v>1513.4469999999999</v>
      </c>
      <c r="E3380">
        <v>1228.635</v>
      </c>
      <c r="F3380">
        <v>2188.444</v>
      </c>
      <c r="G3380">
        <v>1940743</v>
      </c>
      <c r="H3380" t="s">
        <v>867</v>
      </c>
    </row>
    <row r="3381" spans="1:8" x14ac:dyDescent="0.25">
      <c r="A3381" t="s">
        <v>636</v>
      </c>
      <c r="B3381" t="s">
        <v>151</v>
      </c>
      <c r="C3381" t="s">
        <v>397</v>
      </c>
      <c r="D3381">
        <v>3970.4209999999998</v>
      </c>
      <c r="E3381">
        <v>3223.2359999999999</v>
      </c>
      <c r="F3381">
        <v>5741.2290000000003</v>
      </c>
      <c r="G3381">
        <v>1940743</v>
      </c>
      <c r="H3381" t="s">
        <v>867</v>
      </c>
    </row>
    <row r="3382" spans="1:8" x14ac:dyDescent="0.25">
      <c r="A3382" t="s">
        <v>636</v>
      </c>
      <c r="B3382" t="s">
        <v>151</v>
      </c>
      <c r="C3382" t="s">
        <v>397</v>
      </c>
      <c r="D3382">
        <v>10000</v>
      </c>
      <c r="E3382">
        <v>3935.1849999999999</v>
      </c>
      <c r="F3382">
        <v>3740</v>
      </c>
      <c r="G3382">
        <v>1940318</v>
      </c>
      <c r="H3382" t="s">
        <v>710</v>
      </c>
    </row>
    <row r="3383" spans="1:8" x14ac:dyDescent="0.25">
      <c r="A3383" t="s">
        <v>723</v>
      </c>
      <c r="B3383" t="s">
        <v>27</v>
      </c>
      <c r="C3383" t="s">
        <v>397</v>
      </c>
      <c r="D3383">
        <v>175.67099999999999</v>
      </c>
      <c r="E3383">
        <v>200.22200000000001</v>
      </c>
      <c r="F3383">
        <v>755.73699999999997</v>
      </c>
      <c r="G3383">
        <v>2396464</v>
      </c>
      <c r="H3383" t="s">
        <v>921</v>
      </c>
    </row>
    <row r="3384" spans="1:8" x14ac:dyDescent="0.25">
      <c r="A3384" t="s">
        <v>723</v>
      </c>
      <c r="B3384" t="s">
        <v>27</v>
      </c>
      <c r="C3384" t="s">
        <v>397</v>
      </c>
      <c r="D3384">
        <v>1824.329</v>
      </c>
      <c r="E3384">
        <v>2079.2860000000001</v>
      </c>
      <c r="F3384">
        <v>7848.2629999999999</v>
      </c>
      <c r="G3384">
        <v>2396464</v>
      </c>
      <c r="H3384" t="s">
        <v>921</v>
      </c>
    </row>
    <row r="3385" spans="1:8" x14ac:dyDescent="0.25">
      <c r="A3385" t="s">
        <v>723</v>
      </c>
      <c r="B3385" t="s">
        <v>27</v>
      </c>
      <c r="C3385" t="s">
        <v>397</v>
      </c>
      <c r="D3385">
        <v>259.34500000000003</v>
      </c>
      <c r="E3385">
        <v>132.78700000000001</v>
      </c>
      <c r="F3385">
        <v>699.99800000000005</v>
      </c>
      <c r="G3385">
        <v>3801263</v>
      </c>
      <c r="H3385" t="s">
        <v>923</v>
      </c>
    </row>
    <row r="3386" spans="1:8" x14ac:dyDescent="0.25">
      <c r="A3386" t="s">
        <v>723</v>
      </c>
      <c r="B3386" t="s">
        <v>27</v>
      </c>
      <c r="C3386" t="s">
        <v>397</v>
      </c>
      <c r="D3386">
        <v>340.65499999999997</v>
      </c>
      <c r="E3386">
        <v>174.41800000000001</v>
      </c>
      <c r="F3386">
        <v>919.46199999999999</v>
      </c>
      <c r="G3386">
        <v>3801263</v>
      </c>
      <c r="H3386" t="s">
        <v>923</v>
      </c>
    </row>
    <row r="3387" spans="1:8" x14ac:dyDescent="0.25">
      <c r="A3387" t="s">
        <v>854</v>
      </c>
      <c r="B3387" t="s">
        <v>18</v>
      </c>
      <c r="C3387" t="s">
        <v>397</v>
      </c>
      <c r="D3387">
        <v>1043</v>
      </c>
      <c r="E3387">
        <v>1565.557</v>
      </c>
      <c r="F3387">
        <v>2780.1170000000002</v>
      </c>
      <c r="G3387">
        <v>3911993</v>
      </c>
      <c r="H3387" t="s">
        <v>855</v>
      </c>
    </row>
    <row r="3388" spans="1:8" x14ac:dyDescent="0.25">
      <c r="A3388" t="s">
        <v>6012</v>
      </c>
      <c r="B3388" t="s">
        <v>22</v>
      </c>
      <c r="C3388" t="s">
        <v>397</v>
      </c>
      <c r="D3388">
        <v>1198.778</v>
      </c>
      <c r="E3388">
        <v>382.41</v>
      </c>
      <c r="F3388">
        <v>1053.2329999999999</v>
      </c>
      <c r="G3388">
        <v>4157557</v>
      </c>
      <c r="H3388" t="s">
        <v>6073</v>
      </c>
    </row>
    <row r="3389" spans="1:8" x14ac:dyDescent="0.25">
      <c r="A3389" t="s">
        <v>6012</v>
      </c>
      <c r="B3389" t="s">
        <v>22</v>
      </c>
      <c r="C3389" t="s">
        <v>397</v>
      </c>
      <c r="D3389">
        <v>4801.2219999999998</v>
      </c>
      <c r="E3389">
        <v>1531.588</v>
      </c>
      <c r="F3389">
        <v>4218.3</v>
      </c>
      <c r="G3389">
        <v>4157557</v>
      </c>
      <c r="H3389" t="s">
        <v>6073</v>
      </c>
    </row>
    <row r="3390" spans="1:8" x14ac:dyDescent="0.25">
      <c r="A3390" t="s">
        <v>636</v>
      </c>
      <c r="B3390" t="s">
        <v>151</v>
      </c>
      <c r="C3390" t="s">
        <v>397</v>
      </c>
      <c r="D3390">
        <v>1800</v>
      </c>
      <c r="E3390">
        <v>1314.229</v>
      </c>
      <c r="F3390">
        <v>3164.4</v>
      </c>
      <c r="G3390">
        <v>1940881</v>
      </c>
      <c r="H3390" t="s">
        <v>842</v>
      </c>
    </row>
    <row r="3391" spans="1:8" x14ac:dyDescent="0.25">
      <c r="A3391" t="s">
        <v>422</v>
      </c>
      <c r="B3391" t="s">
        <v>30</v>
      </c>
      <c r="C3391" t="s">
        <v>397</v>
      </c>
      <c r="D3391">
        <v>610</v>
      </c>
      <c r="E3391">
        <v>1574.296</v>
      </c>
      <c r="F3391">
        <v>1504.87</v>
      </c>
      <c r="G3391">
        <v>3605861</v>
      </c>
      <c r="H3391" t="s">
        <v>792</v>
      </c>
    </row>
    <row r="3392" spans="1:8" x14ac:dyDescent="0.25">
      <c r="A3392" t="s">
        <v>422</v>
      </c>
      <c r="B3392" t="s">
        <v>30</v>
      </c>
      <c r="C3392" t="s">
        <v>397</v>
      </c>
      <c r="D3392">
        <v>3389</v>
      </c>
      <c r="E3392">
        <v>8746.3780000000006</v>
      </c>
      <c r="F3392">
        <v>8360.6630000000005</v>
      </c>
      <c r="G3392">
        <v>3605861</v>
      </c>
      <c r="H3392" t="s">
        <v>792</v>
      </c>
    </row>
    <row r="3393" spans="1:8" x14ac:dyDescent="0.25">
      <c r="A3393" t="s">
        <v>396</v>
      </c>
      <c r="B3393" t="s">
        <v>61</v>
      </c>
      <c r="C3393" t="s">
        <v>397</v>
      </c>
      <c r="D3393">
        <v>181.458</v>
      </c>
      <c r="E3393">
        <v>103.43</v>
      </c>
      <c r="F3393">
        <v>94.555999999999997</v>
      </c>
      <c r="G3393">
        <v>3507077</v>
      </c>
      <c r="H3393" t="s">
        <v>717</v>
      </c>
    </row>
    <row r="3394" spans="1:8" x14ac:dyDescent="0.25">
      <c r="A3394" t="s">
        <v>396</v>
      </c>
      <c r="B3394" t="s">
        <v>61</v>
      </c>
      <c r="C3394" t="s">
        <v>397</v>
      </c>
      <c r="D3394">
        <v>4818.5420000000004</v>
      </c>
      <c r="E3394">
        <v>2746.5419999999999</v>
      </c>
      <c r="F3394">
        <v>2510.8890000000001</v>
      </c>
      <c r="G3394">
        <v>3507077</v>
      </c>
      <c r="H3394" t="s">
        <v>717</v>
      </c>
    </row>
    <row r="3395" spans="1:8" x14ac:dyDescent="0.25">
      <c r="A3395" t="s">
        <v>636</v>
      </c>
      <c r="B3395" t="s">
        <v>151</v>
      </c>
      <c r="C3395" t="s">
        <v>397</v>
      </c>
      <c r="D3395">
        <v>300</v>
      </c>
      <c r="E3395">
        <v>70.799000000000007</v>
      </c>
      <c r="F3395">
        <v>405.84</v>
      </c>
      <c r="G3395">
        <v>3784473</v>
      </c>
      <c r="H3395" t="s">
        <v>873</v>
      </c>
    </row>
    <row r="3396" spans="1:8" x14ac:dyDescent="0.25">
      <c r="A3396" t="s">
        <v>636</v>
      </c>
      <c r="B3396" t="s">
        <v>151</v>
      </c>
      <c r="C3396" t="s">
        <v>397</v>
      </c>
      <c r="D3396">
        <v>300</v>
      </c>
      <c r="E3396">
        <v>70.799000000000007</v>
      </c>
      <c r="F3396">
        <v>405.84</v>
      </c>
      <c r="G3396">
        <v>3784473</v>
      </c>
      <c r="H3396" t="s">
        <v>873</v>
      </c>
    </row>
    <row r="3397" spans="1:8" x14ac:dyDescent="0.25">
      <c r="A3397" t="s">
        <v>6046</v>
      </c>
      <c r="B3397" t="s">
        <v>57</v>
      </c>
      <c r="C3397" t="s">
        <v>397</v>
      </c>
      <c r="D3397">
        <v>981.66700000000003</v>
      </c>
      <c r="E3397">
        <v>811.83799999999997</v>
      </c>
      <c r="F3397">
        <v>810.37699999999995</v>
      </c>
      <c r="G3397">
        <v>3915667</v>
      </c>
      <c r="H3397" t="s">
        <v>1529</v>
      </c>
    </row>
    <row r="3398" spans="1:8" x14ac:dyDescent="0.25">
      <c r="A3398" t="s">
        <v>6046</v>
      </c>
      <c r="B3398" t="s">
        <v>57</v>
      </c>
      <c r="C3398" t="s">
        <v>397</v>
      </c>
      <c r="D3398">
        <v>1518.3330000000001</v>
      </c>
      <c r="E3398">
        <v>1255.6610000000001</v>
      </c>
      <c r="F3398">
        <v>1253.4010000000001</v>
      </c>
      <c r="G3398">
        <v>3915667</v>
      </c>
      <c r="H3398" t="s">
        <v>1529</v>
      </c>
    </row>
    <row r="3399" spans="1:8" x14ac:dyDescent="0.25">
      <c r="A3399" t="s">
        <v>573</v>
      </c>
      <c r="B3399" t="s">
        <v>52</v>
      </c>
      <c r="C3399" t="s">
        <v>397</v>
      </c>
      <c r="D3399">
        <v>3000</v>
      </c>
      <c r="E3399">
        <v>2445.0050000000001</v>
      </c>
      <c r="F3399">
        <v>2381</v>
      </c>
      <c r="G3399">
        <v>3781605</v>
      </c>
      <c r="H3399" t="s">
        <v>747</v>
      </c>
    </row>
    <row r="3400" spans="1:8" x14ac:dyDescent="0.25">
      <c r="A3400" t="s">
        <v>573</v>
      </c>
      <c r="B3400" t="s">
        <v>52</v>
      </c>
      <c r="C3400" t="s">
        <v>397</v>
      </c>
      <c r="D3400">
        <v>1000</v>
      </c>
      <c r="E3400">
        <v>431.99799999999999</v>
      </c>
      <c r="F3400">
        <v>732.75599999999997</v>
      </c>
      <c r="G3400">
        <v>1903849</v>
      </c>
      <c r="H3400" t="s">
        <v>865</v>
      </c>
    </row>
    <row r="3401" spans="1:8" x14ac:dyDescent="0.25">
      <c r="A3401" t="s">
        <v>573</v>
      </c>
      <c r="B3401" t="s">
        <v>52</v>
      </c>
      <c r="C3401" t="s">
        <v>397</v>
      </c>
      <c r="D3401">
        <v>2950</v>
      </c>
      <c r="E3401">
        <v>619.49800000000005</v>
      </c>
      <c r="F3401">
        <v>537.62099999999998</v>
      </c>
      <c r="G3401">
        <v>3508456</v>
      </c>
      <c r="H3401" t="s">
        <v>833</v>
      </c>
    </row>
    <row r="3402" spans="1:8" x14ac:dyDescent="0.25">
      <c r="A3402" t="s">
        <v>573</v>
      </c>
      <c r="B3402" t="s">
        <v>52</v>
      </c>
      <c r="C3402" t="s">
        <v>397</v>
      </c>
      <c r="D3402">
        <v>1020.649</v>
      </c>
      <c r="E3402">
        <v>828.57500000000005</v>
      </c>
      <c r="F3402">
        <v>1475.8579999999999</v>
      </c>
      <c r="G3402">
        <v>1940743</v>
      </c>
      <c r="H3402" t="s">
        <v>867</v>
      </c>
    </row>
    <row r="3403" spans="1:8" x14ac:dyDescent="0.25">
      <c r="A3403" t="s">
        <v>573</v>
      </c>
      <c r="B3403" t="s">
        <v>52</v>
      </c>
      <c r="C3403" t="s">
        <v>397</v>
      </c>
      <c r="D3403">
        <v>979.351</v>
      </c>
      <c r="E3403">
        <v>795.04899999999998</v>
      </c>
      <c r="F3403">
        <v>1416.1420000000001</v>
      </c>
      <c r="G3403">
        <v>1940743</v>
      </c>
      <c r="H3403" t="s">
        <v>867</v>
      </c>
    </row>
    <row r="3404" spans="1:8" x14ac:dyDescent="0.25">
      <c r="A3404" t="s">
        <v>585</v>
      </c>
      <c r="B3404" t="s">
        <v>48</v>
      </c>
      <c r="C3404" t="s">
        <v>397</v>
      </c>
      <c r="D3404">
        <v>5000</v>
      </c>
      <c r="E3404">
        <v>1150.0119999999999</v>
      </c>
      <c r="F3404">
        <v>3457.1669999999999</v>
      </c>
      <c r="G3404">
        <v>4010435</v>
      </c>
      <c r="H3404" t="s">
        <v>878</v>
      </c>
    </row>
    <row r="3405" spans="1:8" x14ac:dyDescent="0.25">
      <c r="A3405" t="s">
        <v>556</v>
      </c>
      <c r="B3405" t="s">
        <v>151</v>
      </c>
      <c r="C3405" t="s">
        <v>397</v>
      </c>
      <c r="D3405">
        <v>563.29700000000003</v>
      </c>
      <c r="E3405">
        <v>768.90499999999997</v>
      </c>
      <c r="F3405">
        <v>2292.337</v>
      </c>
      <c r="G3405">
        <v>3781680</v>
      </c>
      <c r="H3405" t="s">
        <v>905</v>
      </c>
    </row>
    <row r="3406" spans="1:8" x14ac:dyDescent="0.25">
      <c r="A3406" t="s">
        <v>556</v>
      </c>
      <c r="B3406" t="s">
        <v>151</v>
      </c>
      <c r="C3406" t="s">
        <v>397</v>
      </c>
      <c r="D3406">
        <v>646.625</v>
      </c>
      <c r="E3406">
        <v>882.649</v>
      </c>
      <c r="F3406">
        <v>2631.44</v>
      </c>
      <c r="G3406">
        <v>3781680</v>
      </c>
      <c r="H3406" t="s">
        <v>905</v>
      </c>
    </row>
    <row r="3407" spans="1:8" x14ac:dyDescent="0.25">
      <c r="A3407" t="s">
        <v>556</v>
      </c>
      <c r="B3407" t="s">
        <v>151</v>
      </c>
      <c r="C3407" t="s">
        <v>397</v>
      </c>
      <c r="D3407">
        <v>1190.078</v>
      </c>
      <c r="E3407">
        <v>1624.4670000000001</v>
      </c>
      <c r="F3407">
        <v>4843.0219999999999</v>
      </c>
      <c r="G3407">
        <v>3781680</v>
      </c>
      <c r="H3407" t="s">
        <v>905</v>
      </c>
    </row>
    <row r="3408" spans="1:8" x14ac:dyDescent="0.25">
      <c r="A3408" t="s">
        <v>6012</v>
      </c>
      <c r="B3408" t="s">
        <v>22</v>
      </c>
      <c r="C3408" t="s">
        <v>397</v>
      </c>
      <c r="D3408">
        <v>1000</v>
      </c>
      <c r="E3408">
        <v>319</v>
      </c>
      <c r="F3408">
        <v>878.58900000000006</v>
      </c>
      <c r="G3408">
        <v>4157557</v>
      </c>
      <c r="H3408" t="s">
        <v>6073</v>
      </c>
    </row>
    <row r="3409" spans="1:8" x14ac:dyDescent="0.25">
      <c r="A3409" t="s">
        <v>6012</v>
      </c>
      <c r="B3409" t="s">
        <v>22</v>
      </c>
      <c r="C3409" t="s">
        <v>397</v>
      </c>
      <c r="D3409">
        <v>1500</v>
      </c>
      <c r="E3409">
        <v>478.5</v>
      </c>
      <c r="F3409">
        <v>1317.883</v>
      </c>
      <c r="G3409">
        <v>4157557</v>
      </c>
      <c r="H3409" t="s">
        <v>6073</v>
      </c>
    </row>
    <row r="3410" spans="1:8" x14ac:dyDescent="0.25">
      <c r="A3410" t="s">
        <v>723</v>
      </c>
      <c r="B3410" t="s">
        <v>27</v>
      </c>
      <c r="C3410" t="s">
        <v>397</v>
      </c>
      <c r="D3410">
        <v>159.51400000000001</v>
      </c>
      <c r="E3410">
        <v>81.671999999999997</v>
      </c>
      <c r="F3410">
        <v>430.54399999999998</v>
      </c>
      <c r="G3410">
        <v>3801263</v>
      </c>
      <c r="H3410" t="s">
        <v>923</v>
      </c>
    </row>
    <row r="3411" spans="1:8" x14ac:dyDescent="0.25">
      <c r="A3411" t="s">
        <v>723</v>
      </c>
      <c r="B3411" t="s">
        <v>27</v>
      </c>
      <c r="C3411" t="s">
        <v>397</v>
      </c>
      <c r="D3411">
        <v>740.48599999999999</v>
      </c>
      <c r="E3411">
        <v>379.13499999999999</v>
      </c>
      <c r="F3411">
        <v>1998.646</v>
      </c>
      <c r="G3411">
        <v>3801263</v>
      </c>
      <c r="H3411" t="s">
        <v>923</v>
      </c>
    </row>
    <row r="3412" spans="1:8" x14ac:dyDescent="0.25">
      <c r="A3412" t="s">
        <v>5966</v>
      </c>
      <c r="B3412" t="s">
        <v>37</v>
      </c>
      <c r="C3412" t="s">
        <v>397</v>
      </c>
      <c r="D3412">
        <v>6720</v>
      </c>
      <c r="E3412">
        <v>4968.8010000000004</v>
      </c>
      <c r="F3412">
        <v>4959.3599999999997</v>
      </c>
      <c r="G3412">
        <v>1940458</v>
      </c>
      <c r="H3412" t="s">
        <v>6081</v>
      </c>
    </row>
    <row r="3413" spans="1:8" x14ac:dyDescent="0.25">
      <c r="A3413" t="s">
        <v>6046</v>
      </c>
      <c r="B3413" t="s">
        <v>57</v>
      </c>
      <c r="C3413" t="s">
        <v>397</v>
      </c>
      <c r="D3413">
        <v>2543.8789999999999</v>
      </c>
      <c r="E3413">
        <v>2103.7869999999998</v>
      </c>
      <c r="F3413">
        <v>2100</v>
      </c>
      <c r="G3413">
        <v>3915667</v>
      </c>
      <c r="H3413" t="s">
        <v>1529</v>
      </c>
    </row>
    <row r="3414" spans="1:8" x14ac:dyDescent="0.25">
      <c r="A3414" t="s">
        <v>6046</v>
      </c>
      <c r="B3414" t="s">
        <v>57</v>
      </c>
      <c r="C3414" t="s">
        <v>397</v>
      </c>
      <c r="D3414">
        <v>84.796000000000006</v>
      </c>
      <c r="E3414">
        <v>70.126000000000005</v>
      </c>
      <c r="F3414">
        <v>70</v>
      </c>
      <c r="G3414">
        <v>3915667</v>
      </c>
      <c r="H3414" t="s">
        <v>1529</v>
      </c>
    </row>
    <row r="3415" spans="1:8" x14ac:dyDescent="0.25">
      <c r="A3415" t="s">
        <v>6046</v>
      </c>
      <c r="B3415" t="s">
        <v>57</v>
      </c>
      <c r="C3415" t="s">
        <v>397</v>
      </c>
      <c r="D3415">
        <v>2240.5500000000002</v>
      </c>
      <c r="E3415">
        <v>1852.934</v>
      </c>
      <c r="F3415">
        <v>1849.5989999999999</v>
      </c>
      <c r="G3415">
        <v>3915667</v>
      </c>
      <c r="H3415" t="s">
        <v>1529</v>
      </c>
    </row>
    <row r="3416" spans="1:8" x14ac:dyDescent="0.25">
      <c r="A3416" t="s">
        <v>6046</v>
      </c>
      <c r="B3416" t="s">
        <v>57</v>
      </c>
      <c r="C3416" t="s">
        <v>397</v>
      </c>
      <c r="D3416">
        <v>2266.7750000000001</v>
      </c>
      <c r="E3416">
        <v>1874.6220000000001</v>
      </c>
      <c r="F3416">
        <v>1871.248</v>
      </c>
      <c r="G3416">
        <v>3915667</v>
      </c>
      <c r="H3416" t="s">
        <v>1529</v>
      </c>
    </row>
    <row r="3417" spans="1:8" x14ac:dyDescent="0.25">
      <c r="A3417" t="s">
        <v>6046</v>
      </c>
      <c r="B3417" t="s">
        <v>57</v>
      </c>
      <c r="C3417" t="s">
        <v>397</v>
      </c>
      <c r="D3417">
        <v>1000</v>
      </c>
      <c r="E3417">
        <v>816.47</v>
      </c>
      <c r="F3417">
        <v>815</v>
      </c>
      <c r="G3417">
        <v>2332780</v>
      </c>
      <c r="H3417" t="s">
        <v>1527</v>
      </c>
    </row>
    <row r="3418" spans="1:8" x14ac:dyDescent="0.25">
      <c r="A3418" t="s">
        <v>396</v>
      </c>
      <c r="B3418" t="s">
        <v>61</v>
      </c>
      <c r="C3418" t="s">
        <v>397</v>
      </c>
      <c r="D3418">
        <v>1000</v>
      </c>
      <c r="E3418">
        <v>588.375</v>
      </c>
      <c r="F3418">
        <v>743</v>
      </c>
      <c r="G3418">
        <v>1938191</v>
      </c>
      <c r="H3418" t="s">
        <v>591</v>
      </c>
    </row>
    <row r="3419" spans="1:8" x14ac:dyDescent="0.25">
      <c r="A3419" t="s">
        <v>396</v>
      </c>
      <c r="B3419" t="s">
        <v>61</v>
      </c>
      <c r="C3419" t="s">
        <v>397</v>
      </c>
      <c r="D3419">
        <v>6000</v>
      </c>
      <c r="E3419">
        <v>3659.9580000000001</v>
      </c>
      <c r="F3419">
        <v>3345.933</v>
      </c>
      <c r="G3419">
        <v>3508521</v>
      </c>
      <c r="H3419" t="s">
        <v>721</v>
      </c>
    </row>
    <row r="3420" spans="1:8" x14ac:dyDescent="0.25">
      <c r="A3420" t="s">
        <v>757</v>
      </c>
      <c r="B3420" t="s">
        <v>53</v>
      </c>
      <c r="C3420" t="s">
        <v>397</v>
      </c>
      <c r="D3420">
        <v>145.76300000000001</v>
      </c>
      <c r="E3420">
        <v>114.131</v>
      </c>
      <c r="F3420">
        <v>161.19900000000001</v>
      </c>
      <c r="G3420">
        <v>3775636</v>
      </c>
      <c r="H3420" t="s">
        <v>811</v>
      </c>
    </row>
    <row r="3421" spans="1:8" x14ac:dyDescent="0.25">
      <c r="A3421" t="s">
        <v>757</v>
      </c>
      <c r="B3421" t="s">
        <v>53</v>
      </c>
      <c r="C3421" t="s">
        <v>397</v>
      </c>
      <c r="D3421">
        <v>4754.2370000000001</v>
      </c>
      <c r="E3421">
        <v>3722.5369999999998</v>
      </c>
      <c r="F3421">
        <v>5257.7110000000002</v>
      </c>
      <c r="G3421">
        <v>3775636</v>
      </c>
      <c r="H3421" t="s">
        <v>811</v>
      </c>
    </row>
    <row r="3422" spans="1:8" x14ac:dyDescent="0.25">
      <c r="A3422" t="s">
        <v>636</v>
      </c>
      <c r="B3422" t="s">
        <v>151</v>
      </c>
      <c r="C3422" t="s">
        <v>397</v>
      </c>
      <c r="D3422">
        <v>666</v>
      </c>
      <c r="E3422">
        <v>486.26499999999999</v>
      </c>
      <c r="F3422">
        <v>1170.828</v>
      </c>
      <c r="G3422">
        <v>1940881</v>
      </c>
      <c r="H3422" t="s">
        <v>842</v>
      </c>
    </row>
    <row r="3423" spans="1:8" x14ac:dyDescent="0.25">
      <c r="A3423" t="s">
        <v>585</v>
      </c>
      <c r="B3423" t="s">
        <v>48</v>
      </c>
      <c r="C3423" t="s">
        <v>397</v>
      </c>
      <c r="D3423">
        <v>3176</v>
      </c>
      <c r="E3423">
        <v>730.48800000000006</v>
      </c>
      <c r="F3423">
        <v>2195.9920000000002</v>
      </c>
      <c r="G3423">
        <v>4010435</v>
      </c>
      <c r="H3423" t="s">
        <v>878</v>
      </c>
    </row>
    <row r="3424" spans="1:8" x14ac:dyDescent="0.25">
      <c r="A3424" t="s">
        <v>636</v>
      </c>
      <c r="B3424" t="s">
        <v>151</v>
      </c>
      <c r="C3424" t="s">
        <v>397</v>
      </c>
      <c r="D3424">
        <v>1400</v>
      </c>
      <c r="E3424">
        <v>330.39400000000001</v>
      </c>
      <c r="F3424">
        <v>1893.92</v>
      </c>
      <c r="G3424">
        <v>3784473</v>
      </c>
      <c r="H3424" t="s">
        <v>873</v>
      </c>
    </row>
    <row r="3425" spans="1:8" x14ac:dyDescent="0.25">
      <c r="A3425" t="s">
        <v>732</v>
      </c>
      <c r="B3425" t="s">
        <v>25</v>
      </c>
      <c r="C3425" t="s">
        <v>397</v>
      </c>
      <c r="D3425">
        <v>500</v>
      </c>
      <c r="E3425">
        <v>405.77100000000002</v>
      </c>
      <c r="F3425">
        <v>405</v>
      </c>
      <c r="G3425">
        <v>1940467</v>
      </c>
      <c r="H3425" t="s">
        <v>766</v>
      </c>
    </row>
    <row r="3426" spans="1:8" x14ac:dyDescent="0.25">
      <c r="A3426" t="s">
        <v>732</v>
      </c>
      <c r="B3426" t="s">
        <v>25</v>
      </c>
      <c r="C3426" t="s">
        <v>397</v>
      </c>
      <c r="D3426">
        <v>1000</v>
      </c>
      <c r="E3426">
        <v>1290.011</v>
      </c>
      <c r="F3426">
        <v>1012.2</v>
      </c>
      <c r="G3426">
        <v>3533248</v>
      </c>
      <c r="H3426" t="s">
        <v>735</v>
      </c>
    </row>
    <row r="3427" spans="1:8" x14ac:dyDescent="0.25">
      <c r="A3427" t="s">
        <v>5968</v>
      </c>
      <c r="B3427" t="s">
        <v>32</v>
      </c>
      <c r="C3427" t="s">
        <v>392</v>
      </c>
      <c r="D3427">
        <v>116</v>
      </c>
      <c r="E3427">
        <v>702.15200000000004</v>
      </c>
      <c r="F3427">
        <v>1426</v>
      </c>
      <c r="G3427">
        <v>1931046</v>
      </c>
      <c r="H3427" t="s">
        <v>6082</v>
      </c>
    </row>
    <row r="3428" spans="1:8" x14ac:dyDescent="0.25">
      <c r="A3428" t="s">
        <v>5968</v>
      </c>
      <c r="B3428" t="s">
        <v>32</v>
      </c>
      <c r="C3428" t="s">
        <v>392</v>
      </c>
      <c r="D3428">
        <v>223</v>
      </c>
      <c r="E3428">
        <v>1350.14</v>
      </c>
      <c r="F3428">
        <v>2742</v>
      </c>
      <c r="G3428">
        <v>1931046</v>
      </c>
      <c r="H3428" t="s">
        <v>6082</v>
      </c>
    </row>
    <row r="3429" spans="1:8" x14ac:dyDescent="0.25">
      <c r="A3429" t="s">
        <v>5968</v>
      </c>
      <c r="B3429" t="s">
        <v>32</v>
      </c>
      <c r="C3429" t="s">
        <v>392</v>
      </c>
      <c r="D3429">
        <v>230</v>
      </c>
      <c r="E3429">
        <v>1392.4860000000001</v>
      </c>
      <c r="F3429">
        <v>2828</v>
      </c>
      <c r="G3429">
        <v>1931046</v>
      </c>
      <c r="H3429" t="s">
        <v>6082</v>
      </c>
    </row>
    <row r="3430" spans="1:8" x14ac:dyDescent="0.25">
      <c r="A3430" t="s">
        <v>6083</v>
      </c>
      <c r="B3430" t="s">
        <v>56</v>
      </c>
      <c r="C3430" t="s">
        <v>392</v>
      </c>
      <c r="D3430">
        <v>89</v>
      </c>
      <c r="E3430">
        <v>553.83100000000002</v>
      </c>
      <c r="F3430">
        <v>1160</v>
      </c>
      <c r="G3430">
        <v>3569652</v>
      </c>
      <c r="H3430" t="s">
        <v>6084</v>
      </c>
    </row>
    <row r="3431" spans="1:8" x14ac:dyDescent="0.25">
      <c r="A3431" t="s">
        <v>6083</v>
      </c>
      <c r="B3431" t="s">
        <v>56</v>
      </c>
      <c r="C3431" t="s">
        <v>392</v>
      </c>
      <c r="D3431">
        <v>172</v>
      </c>
      <c r="E3431">
        <v>1074.242</v>
      </c>
      <c r="F3431">
        <v>2250</v>
      </c>
      <c r="G3431">
        <v>3569652</v>
      </c>
      <c r="H3431" t="s">
        <v>6084</v>
      </c>
    </row>
    <row r="3432" spans="1:8" x14ac:dyDescent="0.25">
      <c r="A3432" t="s">
        <v>6083</v>
      </c>
      <c r="B3432" t="s">
        <v>56</v>
      </c>
      <c r="C3432" t="s">
        <v>392</v>
      </c>
      <c r="D3432">
        <v>164</v>
      </c>
      <c r="E3432">
        <v>1026.9749999999999</v>
      </c>
      <c r="F3432">
        <v>2151</v>
      </c>
      <c r="G3432">
        <v>3569652</v>
      </c>
      <c r="H3432" t="s">
        <v>6084</v>
      </c>
    </row>
    <row r="3433" spans="1:8" x14ac:dyDescent="0.25">
      <c r="A3433" t="s">
        <v>6083</v>
      </c>
      <c r="B3433" t="s">
        <v>56</v>
      </c>
      <c r="C3433" t="s">
        <v>392</v>
      </c>
      <c r="D3433">
        <v>116</v>
      </c>
      <c r="E3433">
        <v>725.23299999999995</v>
      </c>
      <c r="F3433">
        <v>1519</v>
      </c>
      <c r="G3433">
        <v>3569652</v>
      </c>
      <c r="H3433" t="s">
        <v>6084</v>
      </c>
    </row>
    <row r="3434" spans="1:8" x14ac:dyDescent="0.25">
      <c r="A3434" t="s">
        <v>585</v>
      </c>
      <c r="B3434" t="s">
        <v>48</v>
      </c>
      <c r="C3434" t="s">
        <v>397</v>
      </c>
      <c r="D3434">
        <v>1038</v>
      </c>
      <c r="E3434">
        <v>424.53</v>
      </c>
      <c r="F3434">
        <v>1126.9570000000001</v>
      </c>
      <c r="G3434">
        <v>4020857</v>
      </c>
      <c r="H3434" t="s">
        <v>910</v>
      </c>
    </row>
    <row r="3435" spans="1:8" x14ac:dyDescent="0.25">
      <c r="A3435" t="s">
        <v>636</v>
      </c>
      <c r="B3435" t="s">
        <v>151</v>
      </c>
      <c r="C3435" t="s">
        <v>397</v>
      </c>
      <c r="D3435">
        <v>500</v>
      </c>
      <c r="E3435">
        <v>117.998</v>
      </c>
      <c r="F3435">
        <v>676.4</v>
      </c>
      <c r="G3435">
        <v>3784473</v>
      </c>
      <c r="H3435" t="s">
        <v>873</v>
      </c>
    </row>
    <row r="3436" spans="1:8" x14ac:dyDescent="0.25">
      <c r="A3436" t="s">
        <v>556</v>
      </c>
      <c r="B3436" t="s">
        <v>151</v>
      </c>
      <c r="C3436" t="s">
        <v>397</v>
      </c>
      <c r="D3436">
        <v>931</v>
      </c>
      <c r="E3436">
        <v>753.17899999999997</v>
      </c>
      <c r="F3436">
        <v>733.46199999999999</v>
      </c>
      <c r="G3436">
        <v>1940466</v>
      </c>
      <c r="H3436" t="s">
        <v>764</v>
      </c>
    </row>
    <row r="3437" spans="1:8" x14ac:dyDescent="0.25">
      <c r="A3437" t="s">
        <v>556</v>
      </c>
      <c r="B3437" t="s">
        <v>151</v>
      </c>
      <c r="C3437" t="s">
        <v>397</v>
      </c>
      <c r="D3437">
        <v>2500</v>
      </c>
      <c r="E3437">
        <v>985.00800000000004</v>
      </c>
      <c r="F3437">
        <v>959.22199999999998</v>
      </c>
      <c r="G3437">
        <v>1940437</v>
      </c>
      <c r="H3437" t="s">
        <v>637</v>
      </c>
    </row>
    <row r="3438" spans="1:8" x14ac:dyDescent="0.25">
      <c r="A3438" t="s">
        <v>573</v>
      </c>
      <c r="B3438" t="s">
        <v>52</v>
      </c>
      <c r="C3438" t="s">
        <v>397</v>
      </c>
      <c r="D3438">
        <v>1220</v>
      </c>
      <c r="E3438">
        <v>990.41099999999994</v>
      </c>
      <c r="F3438">
        <v>1764.12</v>
      </c>
      <c r="G3438">
        <v>1940743</v>
      </c>
      <c r="H3438" t="s">
        <v>867</v>
      </c>
    </row>
    <row r="3439" spans="1:8" x14ac:dyDescent="0.25">
      <c r="A3439" t="s">
        <v>573</v>
      </c>
      <c r="B3439" t="s">
        <v>52</v>
      </c>
      <c r="C3439" t="s">
        <v>397</v>
      </c>
      <c r="D3439">
        <v>244</v>
      </c>
      <c r="E3439">
        <v>105.408</v>
      </c>
      <c r="F3439">
        <v>178.792</v>
      </c>
      <c r="G3439">
        <v>1903849</v>
      </c>
      <c r="H3439" t="s">
        <v>865</v>
      </c>
    </row>
    <row r="3440" spans="1:8" x14ac:dyDescent="0.25">
      <c r="A3440" t="s">
        <v>573</v>
      </c>
      <c r="B3440" t="s">
        <v>52</v>
      </c>
      <c r="C3440" t="s">
        <v>397</v>
      </c>
      <c r="D3440">
        <v>4500</v>
      </c>
      <c r="E3440">
        <v>936.00599999999997</v>
      </c>
      <c r="F3440">
        <v>3168.1</v>
      </c>
      <c r="G3440">
        <v>3722021</v>
      </c>
      <c r="H3440" t="s">
        <v>884</v>
      </c>
    </row>
    <row r="3441" spans="1:8" x14ac:dyDescent="0.25">
      <c r="A3441" t="s">
        <v>573</v>
      </c>
      <c r="B3441" t="s">
        <v>52</v>
      </c>
      <c r="C3441" t="s">
        <v>397</v>
      </c>
      <c r="D3441">
        <v>546</v>
      </c>
      <c r="E3441">
        <v>113.569</v>
      </c>
      <c r="F3441">
        <v>384.39600000000002</v>
      </c>
      <c r="G3441">
        <v>3722021</v>
      </c>
      <c r="H3441" t="s">
        <v>884</v>
      </c>
    </row>
    <row r="3442" spans="1:8" x14ac:dyDescent="0.25">
      <c r="A3442" t="s">
        <v>573</v>
      </c>
      <c r="B3442" t="s">
        <v>52</v>
      </c>
      <c r="C3442" t="s">
        <v>397</v>
      </c>
      <c r="D3442">
        <v>2000</v>
      </c>
      <c r="E3442">
        <v>1609.99</v>
      </c>
      <c r="F3442">
        <v>1603.711</v>
      </c>
      <c r="G3442">
        <v>3694069</v>
      </c>
      <c r="H3442" t="s">
        <v>745</v>
      </c>
    </row>
    <row r="3443" spans="1:8" x14ac:dyDescent="0.25">
      <c r="A3443" t="s">
        <v>573</v>
      </c>
      <c r="B3443" t="s">
        <v>52</v>
      </c>
      <c r="C3443" t="s">
        <v>397</v>
      </c>
      <c r="D3443">
        <v>153</v>
      </c>
      <c r="E3443">
        <v>123.164</v>
      </c>
      <c r="F3443">
        <v>122.684</v>
      </c>
      <c r="G3443">
        <v>3694069</v>
      </c>
      <c r="H3443" t="s">
        <v>745</v>
      </c>
    </row>
    <row r="3444" spans="1:8" x14ac:dyDescent="0.25">
      <c r="A3444" t="s">
        <v>6012</v>
      </c>
      <c r="B3444" t="s">
        <v>22</v>
      </c>
      <c r="C3444" t="s">
        <v>397</v>
      </c>
      <c r="D3444">
        <v>1920</v>
      </c>
      <c r="E3444">
        <v>612.47900000000004</v>
      </c>
      <c r="F3444">
        <v>1686.8910000000001</v>
      </c>
      <c r="G3444">
        <v>4157557</v>
      </c>
      <c r="H3444" t="s">
        <v>6073</v>
      </c>
    </row>
    <row r="3445" spans="1:8" x14ac:dyDescent="0.25">
      <c r="A3445" t="s">
        <v>517</v>
      </c>
      <c r="B3445" t="s">
        <v>19</v>
      </c>
      <c r="C3445" t="s">
        <v>397</v>
      </c>
      <c r="D3445">
        <v>289</v>
      </c>
      <c r="E3445">
        <v>206.054</v>
      </c>
      <c r="F3445">
        <v>546.99</v>
      </c>
      <c r="G3445">
        <v>3783938</v>
      </c>
      <c r="H3445" t="s">
        <v>912</v>
      </c>
    </row>
    <row r="3446" spans="1:8" x14ac:dyDescent="0.25">
      <c r="A3446" t="s">
        <v>517</v>
      </c>
      <c r="B3446" t="s">
        <v>19</v>
      </c>
      <c r="C3446" t="s">
        <v>397</v>
      </c>
      <c r="D3446">
        <v>49.375999999999998</v>
      </c>
      <c r="E3446">
        <v>9.5299999999999994</v>
      </c>
      <c r="F3446">
        <v>16.876000000000001</v>
      </c>
      <c r="G3446">
        <v>3509016</v>
      </c>
      <c r="H3446" t="s">
        <v>800</v>
      </c>
    </row>
    <row r="3447" spans="1:8" x14ac:dyDescent="0.25">
      <c r="A3447" t="s">
        <v>517</v>
      </c>
      <c r="B3447" t="s">
        <v>19</v>
      </c>
      <c r="C3447" t="s">
        <v>397</v>
      </c>
      <c r="D3447">
        <v>900.62400000000002</v>
      </c>
      <c r="E3447">
        <v>173.82300000000001</v>
      </c>
      <c r="F3447">
        <v>307.82299999999998</v>
      </c>
      <c r="G3447">
        <v>3509016</v>
      </c>
      <c r="H3447" t="s">
        <v>800</v>
      </c>
    </row>
    <row r="3448" spans="1:8" x14ac:dyDescent="0.25">
      <c r="A3448" t="s">
        <v>396</v>
      </c>
      <c r="B3448" t="s">
        <v>61</v>
      </c>
      <c r="C3448" t="s">
        <v>397</v>
      </c>
      <c r="D3448">
        <v>1148.048</v>
      </c>
      <c r="E3448">
        <v>675.48299999999995</v>
      </c>
      <c r="F3448">
        <v>853</v>
      </c>
      <c r="G3448">
        <v>1938191</v>
      </c>
      <c r="H3448" t="s">
        <v>591</v>
      </c>
    </row>
    <row r="3449" spans="1:8" x14ac:dyDescent="0.25">
      <c r="A3449" t="s">
        <v>396</v>
      </c>
      <c r="B3449" t="s">
        <v>61</v>
      </c>
      <c r="C3449" t="s">
        <v>397</v>
      </c>
      <c r="D3449">
        <v>5212.6509999999998</v>
      </c>
      <c r="E3449">
        <v>3066.9940000000001</v>
      </c>
      <c r="F3449">
        <v>3873</v>
      </c>
      <c r="G3449">
        <v>1938191</v>
      </c>
      <c r="H3449" t="s">
        <v>591</v>
      </c>
    </row>
    <row r="3450" spans="1:8" x14ac:dyDescent="0.25">
      <c r="A3450" t="s">
        <v>396</v>
      </c>
      <c r="B3450" t="s">
        <v>61</v>
      </c>
      <c r="C3450" t="s">
        <v>397</v>
      </c>
      <c r="D3450">
        <v>2639.3009999999999</v>
      </c>
      <c r="E3450">
        <v>1552.8989999999999</v>
      </c>
      <c r="F3450">
        <v>1961.001</v>
      </c>
      <c r="G3450">
        <v>1938191</v>
      </c>
      <c r="H3450" t="s">
        <v>591</v>
      </c>
    </row>
    <row r="3451" spans="1:8" x14ac:dyDescent="0.25">
      <c r="A3451" t="s">
        <v>396</v>
      </c>
      <c r="B3451" t="s">
        <v>61</v>
      </c>
      <c r="C3451" t="s">
        <v>397</v>
      </c>
      <c r="D3451">
        <v>3000</v>
      </c>
      <c r="E3451">
        <v>1829.979</v>
      </c>
      <c r="F3451">
        <v>1672.9670000000001</v>
      </c>
      <c r="G3451">
        <v>3508521</v>
      </c>
      <c r="H3451" t="s">
        <v>721</v>
      </c>
    </row>
    <row r="3452" spans="1:8" x14ac:dyDescent="0.25">
      <c r="A3452" t="s">
        <v>396</v>
      </c>
      <c r="B3452" t="s">
        <v>61</v>
      </c>
      <c r="C3452" t="s">
        <v>397</v>
      </c>
      <c r="D3452">
        <v>450</v>
      </c>
      <c r="E3452">
        <v>274.49700000000001</v>
      </c>
      <c r="F3452">
        <v>250.94499999999999</v>
      </c>
      <c r="G3452">
        <v>3508521</v>
      </c>
      <c r="H3452" t="s">
        <v>721</v>
      </c>
    </row>
    <row r="3453" spans="1:8" x14ac:dyDescent="0.25">
      <c r="A3453" t="s">
        <v>757</v>
      </c>
      <c r="B3453" t="s">
        <v>53</v>
      </c>
      <c r="C3453" t="s">
        <v>397</v>
      </c>
      <c r="D3453">
        <v>1321.3879999999999</v>
      </c>
      <c r="E3453">
        <v>741.55700000000002</v>
      </c>
      <c r="F3453">
        <v>1161.5</v>
      </c>
      <c r="G3453">
        <v>3801265</v>
      </c>
      <c r="H3453" t="s">
        <v>889</v>
      </c>
    </row>
    <row r="3454" spans="1:8" x14ac:dyDescent="0.25">
      <c r="A3454" t="s">
        <v>757</v>
      </c>
      <c r="B3454" t="s">
        <v>53</v>
      </c>
      <c r="C3454" t="s">
        <v>397</v>
      </c>
      <c r="D3454">
        <v>58.612000000000002</v>
      </c>
      <c r="E3454">
        <v>32.893000000000001</v>
      </c>
      <c r="F3454">
        <v>51.52</v>
      </c>
      <c r="G3454">
        <v>3801265</v>
      </c>
      <c r="H3454" t="s">
        <v>889</v>
      </c>
    </row>
    <row r="3455" spans="1:8" x14ac:dyDescent="0.25">
      <c r="A3455" t="s">
        <v>757</v>
      </c>
      <c r="B3455" t="s">
        <v>53</v>
      </c>
      <c r="C3455" t="s">
        <v>397</v>
      </c>
      <c r="D3455">
        <v>1725</v>
      </c>
      <c r="E3455">
        <v>370.87200000000001</v>
      </c>
      <c r="F3455">
        <v>1415.8420000000001</v>
      </c>
      <c r="G3455">
        <v>3901714</v>
      </c>
      <c r="H3455" t="s">
        <v>902</v>
      </c>
    </row>
    <row r="3456" spans="1:8" x14ac:dyDescent="0.25">
      <c r="A3456" t="s">
        <v>757</v>
      </c>
      <c r="B3456" t="s">
        <v>53</v>
      </c>
      <c r="C3456" t="s">
        <v>397</v>
      </c>
      <c r="D3456">
        <v>2610</v>
      </c>
      <c r="E3456">
        <v>2253.877</v>
      </c>
      <c r="F3456">
        <v>2249.8200000000002</v>
      </c>
      <c r="G3456">
        <v>3910649</v>
      </c>
      <c r="H3456" t="s">
        <v>773</v>
      </c>
    </row>
    <row r="3457" spans="1:8" x14ac:dyDescent="0.25">
      <c r="A3457" t="s">
        <v>757</v>
      </c>
      <c r="B3457" t="s">
        <v>53</v>
      </c>
      <c r="C3457" t="s">
        <v>397</v>
      </c>
      <c r="D3457">
        <v>2497</v>
      </c>
      <c r="E3457">
        <v>2136.2829999999999</v>
      </c>
      <c r="F3457">
        <v>2132.4380000000001</v>
      </c>
      <c r="G3457">
        <v>3910650</v>
      </c>
      <c r="H3457" t="s">
        <v>771</v>
      </c>
    </row>
    <row r="3458" spans="1:8" x14ac:dyDescent="0.25">
      <c r="A3458" t="s">
        <v>757</v>
      </c>
      <c r="B3458" t="s">
        <v>53</v>
      </c>
      <c r="C3458" t="s">
        <v>397</v>
      </c>
      <c r="D3458">
        <v>2000</v>
      </c>
      <c r="E3458">
        <v>1699.944</v>
      </c>
      <c r="F3458">
        <v>4216.2</v>
      </c>
      <c r="G3458">
        <v>3910648</v>
      </c>
      <c r="H3458" t="s">
        <v>887</v>
      </c>
    </row>
    <row r="3459" spans="1:8" x14ac:dyDescent="0.25">
      <c r="A3459" t="s">
        <v>401</v>
      </c>
      <c r="B3459" t="s">
        <v>17</v>
      </c>
      <c r="C3459" t="s">
        <v>397</v>
      </c>
      <c r="D3459">
        <v>1000</v>
      </c>
      <c r="E3459">
        <v>302.99700000000001</v>
      </c>
      <c r="F3459">
        <v>277</v>
      </c>
      <c r="G3459">
        <v>3781671</v>
      </c>
      <c r="H3459" t="s">
        <v>709</v>
      </c>
    </row>
    <row r="3460" spans="1:8" x14ac:dyDescent="0.25">
      <c r="A3460" t="s">
        <v>401</v>
      </c>
      <c r="B3460" t="s">
        <v>17</v>
      </c>
      <c r="C3460" t="s">
        <v>397</v>
      </c>
      <c r="D3460">
        <v>1000</v>
      </c>
      <c r="E3460">
        <v>254.994</v>
      </c>
      <c r="F3460">
        <v>242.267</v>
      </c>
      <c r="G3460">
        <v>3508993</v>
      </c>
      <c r="H3460" t="s">
        <v>702</v>
      </c>
    </row>
    <row r="3461" spans="1:8" x14ac:dyDescent="0.25">
      <c r="A3461" t="s">
        <v>401</v>
      </c>
      <c r="B3461" t="s">
        <v>17</v>
      </c>
      <c r="C3461" t="s">
        <v>397</v>
      </c>
      <c r="D3461">
        <v>1000</v>
      </c>
      <c r="E3461">
        <v>285.00400000000002</v>
      </c>
      <c r="F3461">
        <v>265.767</v>
      </c>
      <c r="G3461">
        <v>2427711</v>
      </c>
      <c r="H3461" t="s">
        <v>705</v>
      </c>
    </row>
    <row r="3462" spans="1:8" x14ac:dyDescent="0.25">
      <c r="A3462" t="s">
        <v>396</v>
      </c>
      <c r="B3462" t="s">
        <v>61</v>
      </c>
      <c r="C3462" t="s">
        <v>397</v>
      </c>
      <c r="D3462">
        <v>1600</v>
      </c>
      <c r="E3462">
        <v>941.4</v>
      </c>
      <c r="F3462">
        <v>1188.8</v>
      </c>
      <c r="G3462">
        <v>1938191</v>
      </c>
      <c r="H3462" t="s">
        <v>591</v>
      </c>
    </row>
    <row r="3463" spans="1:8" x14ac:dyDescent="0.25">
      <c r="A3463" t="s">
        <v>636</v>
      </c>
      <c r="B3463" t="s">
        <v>151</v>
      </c>
      <c r="C3463" t="s">
        <v>397</v>
      </c>
      <c r="D3463">
        <v>480</v>
      </c>
      <c r="E3463">
        <v>113.27800000000001</v>
      </c>
      <c r="F3463">
        <v>649.34400000000005</v>
      </c>
      <c r="G3463">
        <v>3784473</v>
      </c>
      <c r="H3463" t="s">
        <v>873</v>
      </c>
    </row>
    <row r="3464" spans="1:8" x14ac:dyDescent="0.25">
      <c r="A3464" t="s">
        <v>636</v>
      </c>
      <c r="B3464" t="s">
        <v>151</v>
      </c>
      <c r="C3464" t="s">
        <v>397</v>
      </c>
      <c r="D3464">
        <v>2441.5079999999998</v>
      </c>
      <c r="E3464">
        <v>1782.6110000000001</v>
      </c>
      <c r="F3464">
        <v>4292.1710000000003</v>
      </c>
      <c r="G3464">
        <v>1940881</v>
      </c>
      <c r="H3464" t="s">
        <v>842</v>
      </c>
    </row>
    <row r="3465" spans="1:8" x14ac:dyDescent="0.25">
      <c r="A3465" t="s">
        <v>636</v>
      </c>
      <c r="B3465" t="s">
        <v>151</v>
      </c>
      <c r="C3465" t="s">
        <v>397</v>
      </c>
      <c r="D3465">
        <v>9.4440000000000008</v>
      </c>
      <c r="E3465">
        <v>6.8949999999999996</v>
      </c>
      <c r="F3465">
        <v>16.603000000000002</v>
      </c>
      <c r="G3465">
        <v>1940881</v>
      </c>
      <c r="H3465" t="s">
        <v>842</v>
      </c>
    </row>
    <row r="3466" spans="1:8" x14ac:dyDescent="0.25">
      <c r="A3466" t="s">
        <v>636</v>
      </c>
      <c r="B3466" t="s">
        <v>151</v>
      </c>
      <c r="C3466" t="s">
        <v>397</v>
      </c>
      <c r="D3466">
        <v>239.048</v>
      </c>
      <c r="E3466">
        <v>174.535</v>
      </c>
      <c r="F3466">
        <v>420.24599999999998</v>
      </c>
      <c r="G3466">
        <v>1940881</v>
      </c>
      <c r="H3466" t="s">
        <v>842</v>
      </c>
    </row>
    <row r="3467" spans="1:8" x14ac:dyDescent="0.25">
      <c r="A3467" t="s">
        <v>556</v>
      </c>
      <c r="B3467" t="s">
        <v>151</v>
      </c>
      <c r="C3467" t="s">
        <v>397</v>
      </c>
      <c r="D3467">
        <v>97.706000000000003</v>
      </c>
      <c r="E3467">
        <v>133.37</v>
      </c>
      <c r="F3467">
        <v>397.61500000000001</v>
      </c>
      <c r="G3467">
        <v>3781680</v>
      </c>
      <c r="H3467" t="s">
        <v>905</v>
      </c>
    </row>
    <row r="3468" spans="1:8" x14ac:dyDescent="0.25">
      <c r="A3468" t="s">
        <v>556</v>
      </c>
      <c r="B3468" t="s">
        <v>151</v>
      </c>
      <c r="C3468" t="s">
        <v>397</v>
      </c>
      <c r="D3468">
        <v>646.62400000000002</v>
      </c>
      <c r="E3468">
        <v>882.64700000000005</v>
      </c>
      <c r="F3468">
        <v>2631.4360000000001</v>
      </c>
      <c r="G3468">
        <v>3781680</v>
      </c>
      <c r="H3468" t="s">
        <v>905</v>
      </c>
    </row>
    <row r="3469" spans="1:8" x14ac:dyDescent="0.25">
      <c r="A3469" t="s">
        <v>556</v>
      </c>
      <c r="B3469" t="s">
        <v>151</v>
      </c>
      <c r="C3469" t="s">
        <v>397</v>
      </c>
      <c r="D3469">
        <v>1055.67</v>
      </c>
      <c r="E3469">
        <v>1440.999</v>
      </c>
      <c r="F3469">
        <v>4296.049</v>
      </c>
      <c r="G3469">
        <v>3781680</v>
      </c>
      <c r="H3469" t="s">
        <v>905</v>
      </c>
    </row>
    <row r="3470" spans="1:8" x14ac:dyDescent="0.25">
      <c r="A3470" t="s">
        <v>556</v>
      </c>
      <c r="B3470" t="s">
        <v>151</v>
      </c>
      <c r="C3470" t="s">
        <v>397</v>
      </c>
      <c r="D3470">
        <v>2063</v>
      </c>
      <c r="E3470">
        <v>422.91899999999998</v>
      </c>
      <c r="F3470">
        <v>1430.9880000000001</v>
      </c>
      <c r="G3470">
        <v>4114991</v>
      </c>
      <c r="H3470" t="s">
        <v>898</v>
      </c>
    </row>
    <row r="3471" spans="1:8" x14ac:dyDescent="0.25">
      <c r="A3471" t="s">
        <v>401</v>
      </c>
      <c r="B3471" t="s">
        <v>17</v>
      </c>
      <c r="C3471" t="s">
        <v>397</v>
      </c>
      <c r="D3471">
        <v>583.46400000000006</v>
      </c>
      <c r="E3471">
        <v>324.98200000000003</v>
      </c>
      <c r="F3471">
        <v>1397.163</v>
      </c>
      <c r="G3471">
        <v>4079374</v>
      </c>
      <c r="H3471" t="s">
        <v>918</v>
      </c>
    </row>
    <row r="3472" spans="1:8" x14ac:dyDescent="0.25">
      <c r="A3472" t="s">
        <v>401</v>
      </c>
      <c r="B3472" t="s">
        <v>17</v>
      </c>
      <c r="C3472" t="s">
        <v>397</v>
      </c>
      <c r="D3472">
        <v>686.53599999999994</v>
      </c>
      <c r="E3472">
        <v>382.392</v>
      </c>
      <c r="F3472">
        <v>1643.979</v>
      </c>
      <c r="G3472">
        <v>4079374</v>
      </c>
      <c r="H3472" t="s">
        <v>918</v>
      </c>
    </row>
    <row r="3473" spans="1:8" x14ac:dyDescent="0.25">
      <c r="A3473" t="s">
        <v>732</v>
      </c>
      <c r="B3473" t="s">
        <v>25</v>
      </c>
      <c r="C3473" t="s">
        <v>397</v>
      </c>
      <c r="D3473">
        <v>467.05</v>
      </c>
      <c r="E3473">
        <v>570.73400000000004</v>
      </c>
      <c r="F3473">
        <v>447.82299999999998</v>
      </c>
      <c r="G3473">
        <v>3533249</v>
      </c>
      <c r="H3473" t="s">
        <v>733</v>
      </c>
    </row>
    <row r="3474" spans="1:8" x14ac:dyDescent="0.25">
      <c r="A3474" t="s">
        <v>732</v>
      </c>
      <c r="B3474" t="s">
        <v>25</v>
      </c>
      <c r="C3474" t="s">
        <v>397</v>
      </c>
      <c r="D3474">
        <v>585.95000000000005</v>
      </c>
      <c r="E3474">
        <v>716.029</v>
      </c>
      <c r="F3474">
        <v>561.82799999999997</v>
      </c>
      <c r="G3474">
        <v>3533249</v>
      </c>
      <c r="H3474" t="s">
        <v>733</v>
      </c>
    </row>
    <row r="3475" spans="1:8" x14ac:dyDescent="0.25">
      <c r="A3475" t="s">
        <v>636</v>
      </c>
      <c r="B3475" t="s">
        <v>151</v>
      </c>
      <c r="C3475" t="s">
        <v>397</v>
      </c>
      <c r="D3475">
        <v>1700</v>
      </c>
      <c r="E3475">
        <v>357</v>
      </c>
      <c r="F3475">
        <v>1207.944</v>
      </c>
      <c r="G3475">
        <v>3690546</v>
      </c>
      <c r="H3475" t="s">
        <v>901</v>
      </c>
    </row>
    <row r="3476" spans="1:8" x14ac:dyDescent="0.25">
      <c r="A3476" t="s">
        <v>636</v>
      </c>
      <c r="B3476" t="s">
        <v>151</v>
      </c>
      <c r="C3476" t="s">
        <v>397</v>
      </c>
      <c r="D3476">
        <v>6590</v>
      </c>
      <c r="E3476">
        <v>2593.2869999999998</v>
      </c>
      <c r="F3476">
        <v>2464.66</v>
      </c>
      <c r="G3476">
        <v>1940318</v>
      </c>
      <c r="H3476" t="s">
        <v>710</v>
      </c>
    </row>
    <row r="3477" spans="1:8" x14ac:dyDescent="0.25">
      <c r="A3477" t="s">
        <v>821</v>
      </c>
      <c r="B3477" t="s">
        <v>177</v>
      </c>
      <c r="C3477" t="s">
        <v>397</v>
      </c>
      <c r="D3477">
        <v>1108</v>
      </c>
      <c r="E3477">
        <v>416.74299999999999</v>
      </c>
      <c r="F3477">
        <v>1151.212</v>
      </c>
      <c r="G3477">
        <v>2359912</v>
      </c>
      <c r="H3477" t="s">
        <v>825</v>
      </c>
    </row>
    <row r="3478" spans="1:8" x14ac:dyDescent="0.25">
      <c r="A3478" t="s">
        <v>415</v>
      </c>
      <c r="B3478" t="s">
        <v>9</v>
      </c>
      <c r="C3478" t="s">
        <v>397</v>
      </c>
      <c r="D3478">
        <v>935.95</v>
      </c>
      <c r="E3478">
        <v>2424.8029999999999</v>
      </c>
      <c r="F3478">
        <v>2278.1019999999999</v>
      </c>
      <c r="G3478">
        <v>2409618</v>
      </c>
      <c r="H3478" t="s">
        <v>469</v>
      </c>
    </row>
    <row r="3479" spans="1:8" x14ac:dyDescent="0.25">
      <c r="A3479" t="s">
        <v>415</v>
      </c>
      <c r="B3479" t="s">
        <v>9</v>
      </c>
      <c r="C3479" t="s">
        <v>397</v>
      </c>
      <c r="D3479">
        <v>1064.05</v>
      </c>
      <c r="E3479">
        <v>2756.6770000000001</v>
      </c>
      <c r="F3479">
        <v>2589.8980000000001</v>
      </c>
      <c r="G3479">
        <v>2409618</v>
      </c>
      <c r="H3479" t="s">
        <v>469</v>
      </c>
    </row>
    <row r="3480" spans="1:8" x14ac:dyDescent="0.25">
      <c r="A3480" t="s">
        <v>396</v>
      </c>
      <c r="B3480" t="s">
        <v>61</v>
      </c>
      <c r="C3480" t="s">
        <v>397</v>
      </c>
      <c r="D3480">
        <v>9606</v>
      </c>
      <c r="E3480">
        <v>2545.6329999999998</v>
      </c>
      <c r="F3480">
        <v>2418.5770000000002</v>
      </c>
      <c r="G3480">
        <v>3507718</v>
      </c>
      <c r="H3480" t="s">
        <v>931</v>
      </c>
    </row>
    <row r="3481" spans="1:8" x14ac:dyDescent="0.25">
      <c r="A3481" t="s">
        <v>573</v>
      </c>
      <c r="B3481" t="s">
        <v>52</v>
      </c>
      <c r="C3481" t="s">
        <v>397</v>
      </c>
      <c r="D3481">
        <v>2000</v>
      </c>
      <c r="E3481">
        <v>1623.625</v>
      </c>
      <c r="F3481">
        <v>2892</v>
      </c>
      <c r="G3481">
        <v>1940743</v>
      </c>
      <c r="H3481" t="s">
        <v>867</v>
      </c>
    </row>
    <row r="3482" spans="1:8" x14ac:dyDescent="0.25">
      <c r="A3482" t="s">
        <v>573</v>
      </c>
      <c r="B3482" t="s">
        <v>52</v>
      </c>
      <c r="C3482" t="s">
        <v>397</v>
      </c>
      <c r="D3482">
        <v>497</v>
      </c>
      <c r="E3482">
        <v>214.703</v>
      </c>
      <c r="F3482">
        <v>364.18</v>
      </c>
      <c r="G3482">
        <v>1903849</v>
      </c>
      <c r="H3482" t="s">
        <v>865</v>
      </c>
    </row>
    <row r="3483" spans="1:8" x14ac:dyDescent="0.25">
      <c r="A3483" t="s">
        <v>573</v>
      </c>
      <c r="B3483" t="s">
        <v>52</v>
      </c>
      <c r="C3483" t="s">
        <v>397</v>
      </c>
      <c r="D3483">
        <v>1343</v>
      </c>
      <c r="E3483">
        <v>279.346</v>
      </c>
      <c r="F3483">
        <v>945.50199999999995</v>
      </c>
      <c r="G3483">
        <v>3722021</v>
      </c>
      <c r="H3483" t="s">
        <v>884</v>
      </c>
    </row>
    <row r="3484" spans="1:8" x14ac:dyDescent="0.25">
      <c r="A3484" t="s">
        <v>732</v>
      </c>
      <c r="B3484" t="s">
        <v>25</v>
      </c>
      <c r="C3484" t="s">
        <v>397</v>
      </c>
      <c r="D3484">
        <v>31.288</v>
      </c>
      <c r="E3484">
        <v>38.234000000000002</v>
      </c>
      <c r="F3484">
        <v>30</v>
      </c>
      <c r="G3484">
        <v>3533249</v>
      </c>
      <c r="H3484" t="s">
        <v>733</v>
      </c>
    </row>
    <row r="3485" spans="1:8" x14ac:dyDescent="0.25">
      <c r="A3485" t="s">
        <v>732</v>
      </c>
      <c r="B3485" t="s">
        <v>25</v>
      </c>
      <c r="C3485" t="s">
        <v>397</v>
      </c>
      <c r="D3485">
        <v>1928.712</v>
      </c>
      <c r="E3485">
        <v>2356.8809999999999</v>
      </c>
      <c r="F3485">
        <v>1849.3130000000001</v>
      </c>
      <c r="G3485">
        <v>3533249</v>
      </c>
      <c r="H3485" t="s">
        <v>733</v>
      </c>
    </row>
    <row r="3486" spans="1:8" x14ac:dyDescent="0.25">
      <c r="A3486" t="s">
        <v>732</v>
      </c>
      <c r="B3486" t="s">
        <v>25</v>
      </c>
      <c r="C3486" t="s">
        <v>397</v>
      </c>
      <c r="D3486">
        <v>1620</v>
      </c>
      <c r="E3486">
        <v>2089.8180000000002</v>
      </c>
      <c r="F3486">
        <v>1639.7639999999999</v>
      </c>
      <c r="G3486">
        <v>3533248</v>
      </c>
      <c r="H3486" t="s">
        <v>735</v>
      </c>
    </row>
    <row r="3487" spans="1:8" x14ac:dyDescent="0.25">
      <c r="A3487" t="s">
        <v>415</v>
      </c>
      <c r="B3487" t="s">
        <v>9</v>
      </c>
      <c r="C3487" t="s">
        <v>397</v>
      </c>
      <c r="D3487">
        <v>687.29100000000005</v>
      </c>
      <c r="E3487">
        <v>1780.5920000000001</v>
      </c>
      <c r="F3487">
        <v>1672.866</v>
      </c>
      <c r="G3487">
        <v>2409618</v>
      </c>
      <c r="H3487" t="s">
        <v>469</v>
      </c>
    </row>
    <row r="3488" spans="1:8" x14ac:dyDescent="0.25">
      <c r="A3488" t="s">
        <v>415</v>
      </c>
      <c r="B3488" t="s">
        <v>9</v>
      </c>
      <c r="C3488" t="s">
        <v>397</v>
      </c>
      <c r="D3488">
        <v>266.709</v>
      </c>
      <c r="E3488">
        <v>690.97400000000005</v>
      </c>
      <c r="F3488">
        <v>649.16999999999996</v>
      </c>
      <c r="G3488">
        <v>2409618</v>
      </c>
      <c r="H3488" t="s">
        <v>469</v>
      </c>
    </row>
    <row r="3489" spans="1:8" x14ac:dyDescent="0.25">
      <c r="A3489" t="s">
        <v>6045</v>
      </c>
      <c r="B3489" t="s">
        <v>70</v>
      </c>
      <c r="C3489" t="s">
        <v>397</v>
      </c>
      <c r="D3489">
        <v>2877.962</v>
      </c>
      <c r="E3489">
        <v>2433.38</v>
      </c>
      <c r="F3489">
        <v>2429</v>
      </c>
      <c r="G3489">
        <v>2409619</v>
      </c>
      <c r="H3489" t="s">
        <v>1530</v>
      </c>
    </row>
    <row r="3490" spans="1:8" x14ac:dyDescent="0.25">
      <c r="A3490" t="s">
        <v>6045</v>
      </c>
      <c r="B3490" t="s">
        <v>70</v>
      </c>
      <c r="C3490" t="s">
        <v>397</v>
      </c>
      <c r="D3490">
        <v>1920.652</v>
      </c>
      <c r="E3490">
        <v>1623.953</v>
      </c>
      <c r="F3490">
        <v>1621.03</v>
      </c>
      <c r="G3490">
        <v>2409619</v>
      </c>
      <c r="H3490" t="s">
        <v>1530</v>
      </c>
    </row>
    <row r="3491" spans="1:8" x14ac:dyDescent="0.25">
      <c r="A3491" t="s">
        <v>6045</v>
      </c>
      <c r="B3491" t="s">
        <v>70</v>
      </c>
      <c r="C3491" t="s">
        <v>397</v>
      </c>
      <c r="D3491">
        <v>2201.386</v>
      </c>
      <c r="E3491">
        <v>1861.32</v>
      </c>
      <c r="F3491">
        <v>1857.97</v>
      </c>
      <c r="G3491">
        <v>2409619</v>
      </c>
      <c r="H3491" t="s">
        <v>1530</v>
      </c>
    </row>
    <row r="3492" spans="1:8" x14ac:dyDescent="0.25">
      <c r="A3492" t="s">
        <v>6045</v>
      </c>
      <c r="B3492" t="s">
        <v>70</v>
      </c>
      <c r="C3492" t="s">
        <v>397</v>
      </c>
      <c r="D3492">
        <v>3487</v>
      </c>
      <c r="E3492">
        <v>3242.096</v>
      </c>
      <c r="F3492">
        <v>3235.9360000000001</v>
      </c>
      <c r="G3492">
        <v>1940479</v>
      </c>
      <c r="H3492" t="s">
        <v>698</v>
      </c>
    </row>
    <row r="3493" spans="1:8" x14ac:dyDescent="0.25">
      <c r="A3493" t="s">
        <v>636</v>
      </c>
      <c r="B3493" t="s">
        <v>151</v>
      </c>
      <c r="C3493" t="s">
        <v>397</v>
      </c>
      <c r="D3493">
        <v>3710.4740000000002</v>
      </c>
      <c r="E3493">
        <v>779.19899999999996</v>
      </c>
      <c r="F3493">
        <v>2636.498</v>
      </c>
      <c r="G3493">
        <v>3690546</v>
      </c>
      <c r="H3493" t="s">
        <v>901</v>
      </c>
    </row>
    <row r="3494" spans="1:8" x14ac:dyDescent="0.25">
      <c r="A3494" t="s">
        <v>636</v>
      </c>
      <c r="B3494" t="s">
        <v>151</v>
      </c>
      <c r="C3494" t="s">
        <v>397</v>
      </c>
      <c r="D3494">
        <v>765.52599999999995</v>
      </c>
      <c r="E3494">
        <v>160.76</v>
      </c>
      <c r="F3494">
        <v>543.94899999999996</v>
      </c>
      <c r="G3494">
        <v>3690546</v>
      </c>
      <c r="H3494" t="s">
        <v>901</v>
      </c>
    </row>
    <row r="3495" spans="1:8" x14ac:dyDescent="0.25">
      <c r="A3495" t="s">
        <v>636</v>
      </c>
      <c r="B3495" t="s">
        <v>151</v>
      </c>
      <c r="C3495" t="s">
        <v>397</v>
      </c>
      <c r="D3495">
        <v>1100</v>
      </c>
      <c r="E3495">
        <v>1254.0119999999999</v>
      </c>
      <c r="F3495">
        <v>4657.3999999999996</v>
      </c>
      <c r="G3495">
        <v>3711330</v>
      </c>
      <c r="H3495" t="s">
        <v>925</v>
      </c>
    </row>
    <row r="3496" spans="1:8" x14ac:dyDescent="0.25">
      <c r="A3496" t="s">
        <v>636</v>
      </c>
      <c r="B3496" t="s">
        <v>151</v>
      </c>
      <c r="C3496" t="s">
        <v>397</v>
      </c>
      <c r="D3496">
        <v>300</v>
      </c>
      <c r="E3496">
        <v>147</v>
      </c>
      <c r="F3496">
        <v>751.83</v>
      </c>
      <c r="G3496">
        <v>3781610</v>
      </c>
      <c r="H3496" t="s">
        <v>915</v>
      </c>
    </row>
    <row r="3497" spans="1:8" x14ac:dyDescent="0.25">
      <c r="A3497" t="s">
        <v>636</v>
      </c>
      <c r="B3497" t="s">
        <v>151</v>
      </c>
      <c r="C3497" t="s">
        <v>397</v>
      </c>
      <c r="D3497">
        <v>2500</v>
      </c>
      <c r="E3497">
        <v>2029.5309999999999</v>
      </c>
      <c r="F3497">
        <v>3615</v>
      </c>
      <c r="G3497">
        <v>1940743</v>
      </c>
      <c r="H3497" t="s">
        <v>867</v>
      </c>
    </row>
    <row r="3498" spans="1:8" x14ac:dyDescent="0.25">
      <c r="A3498" t="s">
        <v>854</v>
      </c>
      <c r="B3498" t="s">
        <v>18</v>
      </c>
      <c r="C3498" t="s">
        <v>397</v>
      </c>
      <c r="D3498">
        <v>1936</v>
      </c>
      <c r="E3498">
        <v>2249.643</v>
      </c>
      <c r="F3498">
        <v>1354.06</v>
      </c>
      <c r="G3498">
        <v>3781676</v>
      </c>
      <c r="H3498" t="s">
        <v>932</v>
      </c>
    </row>
    <row r="3499" spans="1:8" x14ac:dyDescent="0.25">
      <c r="A3499" t="s">
        <v>401</v>
      </c>
      <c r="B3499" t="s">
        <v>17</v>
      </c>
      <c r="C3499" t="s">
        <v>397</v>
      </c>
      <c r="D3499">
        <v>1000</v>
      </c>
      <c r="E3499">
        <v>302.99700000000001</v>
      </c>
      <c r="F3499">
        <v>277</v>
      </c>
      <c r="G3499">
        <v>3781671</v>
      </c>
      <c r="H3499" t="s">
        <v>709</v>
      </c>
    </row>
    <row r="3500" spans="1:8" x14ac:dyDescent="0.25">
      <c r="A3500" t="s">
        <v>401</v>
      </c>
      <c r="B3500" t="s">
        <v>17</v>
      </c>
      <c r="C3500" t="s">
        <v>397</v>
      </c>
      <c r="D3500">
        <v>1000</v>
      </c>
      <c r="E3500">
        <v>285.00400000000002</v>
      </c>
      <c r="F3500">
        <v>265.767</v>
      </c>
      <c r="G3500">
        <v>2427711</v>
      </c>
      <c r="H3500" t="s">
        <v>705</v>
      </c>
    </row>
    <row r="3501" spans="1:8" x14ac:dyDescent="0.25">
      <c r="A3501" t="s">
        <v>732</v>
      </c>
      <c r="B3501" t="s">
        <v>25</v>
      </c>
      <c r="C3501" t="s">
        <v>397</v>
      </c>
      <c r="D3501">
        <v>526</v>
      </c>
      <c r="E3501">
        <v>642.77099999999996</v>
      </c>
      <c r="F3501">
        <v>504.346</v>
      </c>
      <c r="G3501">
        <v>3533249</v>
      </c>
      <c r="H3501" t="s">
        <v>733</v>
      </c>
    </row>
    <row r="3502" spans="1:8" x14ac:dyDescent="0.25">
      <c r="A3502" t="s">
        <v>556</v>
      </c>
      <c r="B3502" t="s">
        <v>151</v>
      </c>
      <c r="C3502" t="s">
        <v>397</v>
      </c>
      <c r="D3502">
        <v>1800</v>
      </c>
      <c r="E3502">
        <v>2457.0149999999999</v>
      </c>
      <c r="F3502">
        <v>7325.1</v>
      </c>
      <c r="G3502">
        <v>3781680</v>
      </c>
      <c r="H3502" t="s">
        <v>905</v>
      </c>
    </row>
    <row r="3503" spans="1:8" x14ac:dyDescent="0.25">
      <c r="A3503" t="s">
        <v>573</v>
      </c>
      <c r="B3503" t="s">
        <v>52</v>
      </c>
      <c r="C3503" t="s">
        <v>397</v>
      </c>
      <c r="D3503">
        <v>1147.6690000000001</v>
      </c>
      <c r="E3503">
        <v>931.69200000000001</v>
      </c>
      <c r="F3503">
        <v>1659.529</v>
      </c>
      <c r="G3503">
        <v>1940743</v>
      </c>
      <c r="H3503" t="s">
        <v>867</v>
      </c>
    </row>
    <row r="3504" spans="1:8" x14ac:dyDescent="0.25">
      <c r="A3504" t="s">
        <v>573</v>
      </c>
      <c r="B3504" t="s">
        <v>52</v>
      </c>
      <c r="C3504" t="s">
        <v>397</v>
      </c>
      <c r="D3504">
        <v>2852.3310000000001</v>
      </c>
      <c r="E3504">
        <v>2315.5569999999998</v>
      </c>
      <c r="F3504">
        <v>4124.4709999999995</v>
      </c>
      <c r="G3504">
        <v>1940743</v>
      </c>
      <c r="H3504" t="s">
        <v>867</v>
      </c>
    </row>
    <row r="3505" spans="1:8" x14ac:dyDescent="0.25">
      <c r="A3505" t="s">
        <v>573</v>
      </c>
      <c r="B3505" t="s">
        <v>52</v>
      </c>
      <c r="C3505" t="s">
        <v>397</v>
      </c>
      <c r="D3505">
        <v>2000</v>
      </c>
      <c r="E3505">
        <v>710.20299999999997</v>
      </c>
      <c r="F3505">
        <v>820</v>
      </c>
      <c r="G3505">
        <v>1940588</v>
      </c>
      <c r="H3505" t="s">
        <v>797</v>
      </c>
    </row>
    <row r="3506" spans="1:8" x14ac:dyDescent="0.25">
      <c r="A3506" t="s">
        <v>573</v>
      </c>
      <c r="B3506" t="s">
        <v>52</v>
      </c>
      <c r="C3506" t="s">
        <v>397</v>
      </c>
      <c r="D3506">
        <v>783.99800000000005</v>
      </c>
      <c r="E3506">
        <v>338.68599999999998</v>
      </c>
      <c r="F3506">
        <v>574.47900000000004</v>
      </c>
      <c r="G3506">
        <v>1903849</v>
      </c>
      <c r="H3506" t="s">
        <v>865</v>
      </c>
    </row>
    <row r="3507" spans="1:8" x14ac:dyDescent="0.25">
      <c r="A3507" t="s">
        <v>573</v>
      </c>
      <c r="B3507" t="s">
        <v>52</v>
      </c>
      <c r="C3507" t="s">
        <v>397</v>
      </c>
      <c r="D3507">
        <v>1216.002</v>
      </c>
      <c r="E3507">
        <v>525.31100000000004</v>
      </c>
      <c r="F3507">
        <v>891.03200000000004</v>
      </c>
      <c r="G3507">
        <v>1903849</v>
      </c>
      <c r="H3507" t="s">
        <v>865</v>
      </c>
    </row>
    <row r="3508" spans="1:8" x14ac:dyDescent="0.25">
      <c r="A3508" t="s">
        <v>396</v>
      </c>
      <c r="B3508" t="s">
        <v>61</v>
      </c>
      <c r="C3508" t="s">
        <v>397</v>
      </c>
      <c r="D3508">
        <v>4000</v>
      </c>
      <c r="E3508">
        <v>1178.451</v>
      </c>
      <c r="F3508">
        <v>1120</v>
      </c>
      <c r="G3508">
        <v>1940312</v>
      </c>
      <c r="H3508" t="s">
        <v>410</v>
      </c>
    </row>
    <row r="3509" spans="1:8" x14ac:dyDescent="0.25">
      <c r="A3509" t="s">
        <v>396</v>
      </c>
      <c r="B3509" t="s">
        <v>61</v>
      </c>
      <c r="C3509" t="s">
        <v>397</v>
      </c>
      <c r="D3509">
        <v>2780</v>
      </c>
      <c r="E3509">
        <v>1635.683</v>
      </c>
      <c r="F3509">
        <v>2065.54</v>
      </c>
      <c r="G3509">
        <v>1938191</v>
      </c>
      <c r="H3509" t="s">
        <v>591</v>
      </c>
    </row>
    <row r="3510" spans="1:8" x14ac:dyDescent="0.25">
      <c r="A3510" t="s">
        <v>636</v>
      </c>
      <c r="B3510" t="s">
        <v>151</v>
      </c>
      <c r="C3510" t="s">
        <v>397</v>
      </c>
      <c r="D3510">
        <v>4990</v>
      </c>
      <c r="E3510">
        <v>2121.145</v>
      </c>
      <c r="F3510">
        <v>3687.61</v>
      </c>
      <c r="G3510">
        <v>1940738</v>
      </c>
      <c r="H3510" t="s">
        <v>863</v>
      </c>
    </row>
    <row r="3511" spans="1:8" x14ac:dyDescent="0.25">
      <c r="A3511" t="s">
        <v>636</v>
      </c>
      <c r="B3511" t="s">
        <v>151</v>
      </c>
      <c r="C3511" t="s">
        <v>397</v>
      </c>
      <c r="D3511">
        <v>10</v>
      </c>
      <c r="E3511">
        <v>4.2510000000000003</v>
      </c>
      <c r="F3511">
        <v>7.39</v>
      </c>
      <c r="G3511">
        <v>1940738</v>
      </c>
      <c r="H3511" t="s">
        <v>863</v>
      </c>
    </row>
    <row r="3512" spans="1:8" x14ac:dyDescent="0.25">
      <c r="A3512" t="s">
        <v>573</v>
      </c>
      <c r="B3512" t="s">
        <v>52</v>
      </c>
      <c r="C3512" t="s">
        <v>397</v>
      </c>
      <c r="D3512">
        <v>3999.5590000000002</v>
      </c>
      <c r="E3512">
        <v>1727.8030000000001</v>
      </c>
      <c r="F3512">
        <v>2930.6990000000001</v>
      </c>
      <c r="G3512">
        <v>1903849</v>
      </c>
      <c r="H3512" t="s">
        <v>865</v>
      </c>
    </row>
    <row r="3513" spans="1:8" x14ac:dyDescent="0.25">
      <c r="A3513" t="s">
        <v>573</v>
      </c>
      <c r="B3513" t="s">
        <v>52</v>
      </c>
      <c r="C3513" t="s">
        <v>397</v>
      </c>
      <c r="D3513">
        <v>1000.441</v>
      </c>
      <c r="E3513">
        <v>432.18900000000002</v>
      </c>
      <c r="F3513">
        <v>733.07899999999995</v>
      </c>
      <c r="G3513">
        <v>1903849</v>
      </c>
      <c r="H3513" t="s">
        <v>865</v>
      </c>
    </row>
    <row r="3514" spans="1:8" x14ac:dyDescent="0.25">
      <c r="A3514" t="s">
        <v>573</v>
      </c>
      <c r="B3514" t="s">
        <v>52</v>
      </c>
      <c r="C3514" t="s">
        <v>397</v>
      </c>
      <c r="D3514">
        <v>3000</v>
      </c>
      <c r="E3514">
        <v>1065.3040000000001</v>
      </c>
      <c r="F3514">
        <v>1230</v>
      </c>
      <c r="G3514">
        <v>1940588</v>
      </c>
      <c r="H3514" t="s">
        <v>797</v>
      </c>
    </row>
    <row r="3515" spans="1:8" x14ac:dyDescent="0.25">
      <c r="A3515" t="s">
        <v>636</v>
      </c>
      <c r="B3515" t="s">
        <v>151</v>
      </c>
      <c r="C3515" t="s">
        <v>397</v>
      </c>
      <c r="D3515">
        <v>460</v>
      </c>
      <c r="E3515">
        <v>225.4</v>
      </c>
      <c r="F3515">
        <v>1152.806</v>
      </c>
      <c r="G3515">
        <v>3781610</v>
      </c>
      <c r="H3515" t="s">
        <v>915</v>
      </c>
    </row>
    <row r="3516" spans="1:8" x14ac:dyDescent="0.25">
      <c r="A3516" t="s">
        <v>636</v>
      </c>
      <c r="B3516" t="s">
        <v>151</v>
      </c>
      <c r="C3516" t="s">
        <v>397</v>
      </c>
      <c r="D3516">
        <v>3000</v>
      </c>
      <c r="E3516">
        <v>2435.4369999999999</v>
      </c>
      <c r="F3516">
        <v>4338</v>
      </c>
      <c r="G3516">
        <v>1940743</v>
      </c>
      <c r="H3516" t="s">
        <v>867</v>
      </c>
    </row>
    <row r="3517" spans="1:8" x14ac:dyDescent="0.25">
      <c r="A3517" t="s">
        <v>757</v>
      </c>
      <c r="B3517" t="s">
        <v>53</v>
      </c>
      <c r="C3517" t="s">
        <v>397</v>
      </c>
      <c r="D3517">
        <v>2000</v>
      </c>
      <c r="E3517">
        <v>429.99700000000001</v>
      </c>
      <c r="F3517">
        <v>1641.556</v>
      </c>
      <c r="G3517">
        <v>3901714</v>
      </c>
      <c r="H3517" t="s">
        <v>902</v>
      </c>
    </row>
    <row r="3518" spans="1:8" x14ac:dyDescent="0.25">
      <c r="A3518" t="s">
        <v>757</v>
      </c>
      <c r="B3518" t="s">
        <v>53</v>
      </c>
      <c r="C3518" t="s">
        <v>397</v>
      </c>
      <c r="D3518">
        <v>1500</v>
      </c>
      <c r="E3518">
        <v>1274.9580000000001</v>
      </c>
      <c r="F3518">
        <v>3162.15</v>
      </c>
      <c r="G3518">
        <v>3910648</v>
      </c>
      <c r="H3518" t="s">
        <v>887</v>
      </c>
    </row>
    <row r="3519" spans="1:8" x14ac:dyDescent="0.25">
      <c r="A3519" t="s">
        <v>757</v>
      </c>
      <c r="B3519" t="s">
        <v>53</v>
      </c>
      <c r="C3519" t="s">
        <v>397</v>
      </c>
      <c r="D3519">
        <v>1000</v>
      </c>
      <c r="E3519">
        <v>863.55399999999997</v>
      </c>
      <c r="F3519">
        <v>862</v>
      </c>
      <c r="G3519">
        <v>3910649</v>
      </c>
      <c r="H3519" t="s">
        <v>773</v>
      </c>
    </row>
    <row r="3520" spans="1:8" x14ac:dyDescent="0.25">
      <c r="A3520" t="s">
        <v>757</v>
      </c>
      <c r="B3520" t="s">
        <v>53</v>
      </c>
      <c r="C3520" t="s">
        <v>397</v>
      </c>
      <c r="D3520">
        <v>2000</v>
      </c>
      <c r="E3520">
        <v>1711.08</v>
      </c>
      <c r="F3520">
        <v>1708</v>
      </c>
      <c r="G3520">
        <v>3910650</v>
      </c>
      <c r="H3520" t="s">
        <v>771</v>
      </c>
    </row>
    <row r="3521" spans="1:8" x14ac:dyDescent="0.25">
      <c r="A3521" t="s">
        <v>757</v>
      </c>
      <c r="B3521" t="s">
        <v>53</v>
      </c>
      <c r="C3521" t="s">
        <v>397</v>
      </c>
      <c r="D3521">
        <v>3000</v>
      </c>
      <c r="E3521">
        <v>1253.998</v>
      </c>
      <c r="F3521">
        <v>1414.133</v>
      </c>
      <c r="G3521">
        <v>3926270</v>
      </c>
      <c r="H3521" t="s">
        <v>804</v>
      </c>
    </row>
    <row r="3522" spans="1:8" x14ac:dyDescent="0.25">
      <c r="A3522" t="s">
        <v>517</v>
      </c>
      <c r="B3522" t="s">
        <v>19</v>
      </c>
      <c r="C3522" t="s">
        <v>397</v>
      </c>
      <c r="D3522">
        <v>975</v>
      </c>
      <c r="E3522">
        <v>695.16399999999999</v>
      </c>
      <c r="F3522">
        <v>1845.3820000000001</v>
      </c>
      <c r="G3522">
        <v>3783938</v>
      </c>
      <c r="H3522" t="s">
        <v>912</v>
      </c>
    </row>
    <row r="3523" spans="1:8" x14ac:dyDescent="0.25">
      <c r="A3523" t="s">
        <v>5966</v>
      </c>
      <c r="B3523" t="s">
        <v>37</v>
      </c>
      <c r="C3523" t="s">
        <v>397</v>
      </c>
      <c r="D3523">
        <v>3000</v>
      </c>
      <c r="E3523">
        <v>2544.0329999999999</v>
      </c>
      <c r="F3523">
        <v>6312</v>
      </c>
      <c r="G3523">
        <v>3186831</v>
      </c>
      <c r="H3523" t="s">
        <v>2068</v>
      </c>
    </row>
    <row r="3524" spans="1:8" x14ac:dyDescent="0.25">
      <c r="A3524" t="s">
        <v>6046</v>
      </c>
      <c r="B3524" t="s">
        <v>57</v>
      </c>
      <c r="C3524" t="s">
        <v>397</v>
      </c>
      <c r="D3524">
        <v>5000</v>
      </c>
      <c r="E3524">
        <v>4134.9989999999998</v>
      </c>
      <c r="F3524">
        <v>4127.5559999999996</v>
      </c>
      <c r="G3524">
        <v>3915667</v>
      </c>
      <c r="H3524" t="s">
        <v>1529</v>
      </c>
    </row>
    <row r="3525" spans="1:8" x14ac:dyDescent="0.25">
      <c r="A3525" t="s">
        <v>6046</v>
      </c>
      <c r="B3525" t="s">
        <v>57</v>
      </c>
      <c r="C3525" t="s">
        <v>397</v>
      </c>
      <c r="D3525">
        <v>7274</v>
      </c>
      <c r="E3525">
        <v>5717.3909999999996</v>
      </c>
      <c r="F3525">
        <v>5707.1</v>
      </c>
      <c r="G3525">
        <v>3915668</v>
      </c>
      <c r="H3525" t="s">
        <v>1526</v>
      </c>
    </row>
    <row r="3526" spans="1:8" x14ac:dyDescent="0.25">
      <c r="A3526" t="s">
        <v>732</v>
      </c>
      <c r="B3526" t="s">
        <v>25</v>
      </c>
      <c r="C3526" t="s">
        <v>397</v>
      </c>
      <c r="D3526">
        <v>1000</v>
      </c>
      <c r="E3526">
        <v>739.00400000000002</v>
      </c>
      <c r="F3526">
        <v>702.11099999999999</v>
      </c>
      <c r="G3526">
        <v>3984123</v>
      </c>
      <c r="H3526" t="s">
        <v>6603</v>
      </c>
    </row>
    <row r="3527" spans="1:8" x14ac:dyDescent="0.25">
      <c r="A3527" t="s">
        <v>732</v>
      </c>
      <c r="B3527" t="s">
        <v>25</v>
      </c>
      <c r="C3527" t="s">
        <v>397</v>
      </c>
      <c r="D3527">
        <v>1000</v>
      </c>
      <c r="E3527">
        <v>887.00300000000004</v>
      </c>
      <c r="F3527">
        <v>842.72199999999998</v>
      </c>
      <c r="G3527">
        <v>3984124</v>
      </c>
      <c r="H3527" t="s">
        <v>6604</v>
      </c>
    </row>
    <row r="3528" spans="1:8" x14ac:dyDescent="0.25">
      <c r="A3528" t="s">
        <v>636</v>
      </c>
      <c r="B3528" t="s">
        <v>151</v>
      </c>
      <c r="C3528" t="s">
        <v>397</v>
      </c>
      <c r="D3528">
        <v>500</v>
      </c>
      <c r="E3528">
        <v>117.998</v>
      </c>
      <c r="F3528">
        <v>676.4</v>
      </c>
      <c r="G3528">
        <v>3784473</v>
      </c>
      <c r="H3528" t="s">
        <v>873</v>
      </c>
    </row>
    <row r="3529" spans="1:8" x14ac:dyDescent="0.25">
      <c r="A3529" t="s">
        <v>396</v>
      </c>
      <c r="B3529" t="s">
        <v>61</v>
      </c>
      <c r="C3529" t="s">
        <v>397</v>
      </c>
      <c r="D3529">
        <v>5183</v>
      </c>
      <c r="E3529">
        <v>1526.9780000000001</v>
      </c>
      <c r="F3529">
        <v>1451.24</v>
      </c>
      <c r="G3529">
        <v>1940312</v>
      </c>
      <c r="H3529" t="s">
        <v>410</v>
      </c>
    </row>
    <row r="3530" spans="1:8" x14ac:dyDescent="0.25">
      <c r="A3530" t="s">
        <v>396</v>
      </c>
      <c r="B3530" t="s">
        <v>61</v>
      </c>
      <c r="C3530" t="s">
        <v>397</v>
      </c>
      <c r="D3530">
        <v>643.75900000000001</v>
      </c>
      <c r="E3530">
        <v>180.899</v>
      </c>
      <c r="F3530">
        <v>204</v>
      </c>
      <c r="G3530">
        <v>1940584</v>
      </c>
      <c r="H3530" t="s">
        <v>779</v>
      </c>
    </row>
    <row r="3531" spans="1:8" x14ac:dyDescent="0.25">
      <c r="A3531" t="s">
        <v>396</v>
      </c>
      <c r="B3531" t="s">
        <v>61</v>
      </c>
      <c r="C3531" t="s">
        <v>397</v>
      </c>
      <c r="D3531">
        <v>1356.241</v>
      </c>
      <c r="E3531">
        <v>381.11</v>
      </c>
      <c r="F3531">
        <v>429.77800000000002</v>
      </c>
      <c r="G3531">
        <v>1940584</v>
      </c>
      <c r="H3531" t="s">
        <v>779</v>
      </c>
    </row>
    <row r="3532" spans="1:8" x14ac:dyDescent="0.25">
      <c r="A3532" t="s">
        <v>573</v>
      </c>
      <c r="B3532" t="s">
        <v>52</v>
      </c>
      <c r="C3532" t="s">
        <v>397</v>
      </c>
      <c r="D3532">
        <v>2000</v>
      </c>
      <c r="E3532">
        <v>1623.625</v>
      </c>
      <c r="F3532">
        <v>2892</v>
      </c>
      <c r="G3532">
        <v>1940743</v>
      </c>
      <c r="H3532" t="s">
        <v>867</v>
      </c>
    </row>
    <row r="3533" spans="1:8" x14ac:dyDescent="0.25">
      <c r="A3533" t="s">
        <v>573</v>
      </c>
      <c r="B3533" t="s">
        <v>52</v>
      </c>
      <c r="C3533" t="s">
        <v>397</v>
      </c>
      <c r="D3533">
        <v>2004</v>
      </c>
      <c r="E3533">
        <v>711.62300000000005</v>
      </c>
      <c r="F3533">
        <v>821.64</v>
      </c>
      <c r="G3533">
        <v>1940588</v>
      </c>
      <c r="H3533" t="s">
        <v>797</v>
      </c>
    </row>
    <row r="3534" spans="1:8" x14ac:dyDescent="0.25">
      <c r="A3534" t="s">
        <v>573</v>
      </c>
      <c r="B3534" t="s">
        <v>52</v>
      </c>
      <c r="C3534" t="s">
        <v>397</v>
      </c>
      <c r="D3534">
        <v>1925</v>
      </c>
      <c r="E3534">
        <v>1549.615</v>
      </c>
      <c r="F3534">
        <v>1543.5719999999999</v>
      </c>
      <c r="G3534">
        <v>3694069</v>
      </c>
      <c r="H3534" t="s">
        <v>745</v>
      </c>
    </row>
    <row r="3535" spans="1:8" x14ac:dyDescent="0.25">
      <c r="A3535" t="s">
        <v>396</v>
      </c>
      <c r="B3535" t="s">
        <v>61</v>
      </c>
      <c r="C3535" t="s">
        <v>397</v>
      </c>
      <c r="D3535">
        <v>3500</v>
      </c>
      <c r="E3535">
        <v>1031.145</v>
      </c>
      <c r="F3535">
        <v>980</v>
      </c>
      <c r="G3535">
        <v>1940312</v>
      </c>
      <c r="H3535" t="s">
        <v>410</v>
      </c>
    </row>
    <row r="3536" spans="1:8" x14ac:dyDescent="0.25">
      <c r="A3536" t="s">
        <v>396</v>
      </c>
      <c r="B3536" t="s">
        <v>61</v>
      </c>
      <c r="C3536" t="s">
        <v>397</v>
      </c>
      <c r="D3536">
        <v>2862.9029999999998</v>
      </c>
      <c r="E3536">
        <v>804.48900000000003</v>
      </c>
      <c r="F3536">
        <v>907.22199999999998</v>
      </c>
      <c r="G3536">
        <v>1940584</v>
      </c>
      <c r="H3536" t="s">
        <v>779</v>
      </c>
    </row>
    <row r="3537" spans="1:8" x14ac:dyDescent="0.25">
      <c r="A3537" t="s">
        <v>396</v>
      </c>
      <c r="B3537" t="s">
        <v>61</v>
      </c>
      <c r="C3537" t="s">
        <v>397</v>
      </c>
      <c r="D3537">
        <v>380.09699999999998</v>
      </c>
      <c r="E3537">
        <v>106.809</v>
      </c>
      <c r="F3537">
        <v>120.449</v>
      </c>
      <c r="G3537">
        <v>1940584</v>
      </c>
      <c r="H3537" t="s">
        <v>779</v>
      </c>
    </row>
    <row r="3538" spans="1:8" x14ac:dyDescent="0.25">
      <c r="A3538" t="s">
        <v>1914</v>
      </c>
      <c r="B3538" t="s">
        <v>1914</v>
      </c>
      <c r="C3538" t="s">
        <v>1914</v>
      </c>
      <c r="D3538">
        <v>3264461</v>
      </c>
      <c r="F3538">
        <v>3765452.2680000002</v>
      </c>
      <c r="H3538" t="s">
        <v>1914</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6" filterMode="1"/>
  <dimension ref="A1:W148"/>
  <sheetViews>
    <sheetView topLeftCell="F46" zoomScale="70" zoomScaleNormal="70" workbookViewId="0">
      <selection activeCell="W148" sqref="W148"/>
    </sheetView>
  </sheetViews>
  <sheetFormatPr defaultRowHeight="15" outlineLevelCol="1" x14ac:dyDescent="0.25"/>
  <cols>
    <col min="1" max="2" width="13.42578125" customWidth="1"/>
    <col min="4" max="5" width="11.85546875" customWidth="1"/>
    <col min="6" max="6" width="10.42578125" customWidth="1"/>
    <col min="7" max="7" width="37.140625" bestFit="1" customWidth="1"/>
    <col min="8" max="8" width="10.42578125" hidden="1" customWidth="1" outlineLevel="1"/>
    <col min="9" max="9" width="13.7109375" hidden="1" customWidth="1" outlineLevel="1"/>
    <col min="10" max="10" width="15" customWidth="1" collapsed="1"/>
    <col min="11" max="11" width="16" customWidth="1"/>
    <col min="12" max="12" width="18.140625" customWidth="1"/>
    <col min="13" max="13" width="18.28515625" customWidth="1"/>
    <col min="14" max="14" width="12.140625" customWidth="1" outlineLevel="1"/>
    <col min="15" max="16" width="9.140625" customWidth="1" outlineLevel="1"/>
    <col min="17" max="17" width="31.140625" bestFit="1" customWidth="1" outlineLevel="1"/>
    <col min="18" max="18" width="16.42578125" bestFit="1" customWidth="1"/>
    <col min="19" max="19" width="12.42578125" bestFit="1" customWidth="1"/>
    <col min="20" max="23" width="12.85546875" bestFit="1" customWidth="1"/>
  </cols>
  <sheetData>
    <row r="1" spans="1:23" x14ac:dyDescent="0.25">
      <c r="A1" s="178" t="s">
        <v>199</v>
      </c>
      <c r="B1" s="38" t="s">
        <v>937</v>
      </c>
      <c r="C1" s="38" t="s">
        <v>316</v>
      </c>
      <c r="D1" s="38" t="s">
        <v>317</v>
      </c>
      <c r="E1" s="38" t="s">
        <v>938</v>
      </c>
      <c r="F1" s="38" t="s">
        <v>319</v>
      </c>
      <c r="G1" s="38" t="s">
        <v>6085</v>
      </c>
      <c r="H1" s="38" t="s">
        <v>1850</v>
      </c>
      <c r="I1" s="38" t="s">
        <v>6086</v>
      </c>
      <c r="J1" s="38" t="s">
        <v>939</v>
      </c>
      <c r="K1" s="39" t="s">
        <v>278</v>
      </c>
      <c r="L1" s="40" t="s">
        <v>940</v>
      </c>
      <c r="M1" s="41" t="s">
        <v>941</v>
      </c>
      <c r="N1" s="39" t="s">
        <v>6087</v>
      </c>
      <c r="O1" s="40" t="s">
        <v>6088</v>
      </c>
      <c r="P1" s="179" t="s">
        <v>6089</v>
      </c>
      <c r="Q1" s="206" t="s">
        <v>258</v>
      </c>
      <c r="R1" s="205" t="s">
        <v>6090</v>
      </c>
    </row>
    <row r="2" spans="1:23" x14ac:dyDescent="0.25">
      <c r="A2" s="176" t="s">
        <v>340</v>
      </c>
      <c r="B2" s="1">
        <v>22.23</v>
      </c>
      <c r="C2" s="1">
        <v>22.23</v>
      </c>
      <c r="D2" s="1">
        <v>0</v>
      </c>
      <c r="E2" s="1">
        <v>2</v>
      </c>
      <c r="F2" s="24">
        <v>845</v>
      </c>
      <c r="G2" s="24" t="s">
        <v>6091</v>
      </c>
      <c r="H2" s="24"/>
      <c r="I2" s="24">
        <v>2409619</v>
      </c>
      <c r="J2" s="22" t="s">
        <v>397</v>
      </c>
      <c r="K2" s="2">
        <v>60000</v>
      </c>
      <c r="L2" s="2" cm="1">
        <f t="array" ref="L2">SUM(_xlfn.MAP(_xlfn.TEXTSPLIT(chamfering[[#This Row],[Material codes]],"|"),_xlfn.LAMBDA(_xlpm.a,SUMIFS(salesALL[qty in no],salesALL[MATERAIL NUMBER],_xlpm.a))))</f>
        <v>7000</v>
      </c>
      <c r="M2" s="4">
        <f>chamfering[[#This Row],[SCHEDULE]]-chamfering[[#This Row],[DISPATCH]]</f>
        <v>53000</v>
      </c>
      <c r="N2" s="3">
        <f t="shared" ref="N2:N30" si="0">(3.14*(C2-E2)*E2*F2*7.85)/1000000*K2/1000</f>
        <v>50.563035978000002</v>
      </c>
      <c r="O2" s="3">
        <f t="shared" ref="O2:O30" si="1">(3.14*(C2-E2)*E2*F2*7.85)/1000000*L2/1000</f>
        <v>5.8990208640999997</v>
      </c>
      <c r="P2" s="177">
        <f t="shared" ref="P2:P30" si="2">(3.14*(C2-E2)*E2*F2*7.85)/1000000*M2/1000</f>
        <v>44.6640151139</v>
      </c>
      <c r="Q2" s="15" t="s">
        <v>6092</v>
      </c>
      <c r="R2" s="15">
        <v>15000</v>
      </c>
    </row>
    <row r="3" spans="1:23" x14ac:dyDescent="0.25">
      <c r="A3" s="176" t="s">
        <v>340</v>
      </c>
      <c r="B3" s="1">
        <v>22.23</v>
      </c>
      <c r="C3" s="1">
        <v>22.23</v>
      </c>
      <c r="D3" s="1">
        <v>0</v>
      </c>
      <c r="E3" s="1">
        <v>2.6</v>
      </c>
      <c r="F3" s="24">
        <v>872</v>
      </c>
      <c r="G3" s="24" t="s">
        <v>6091</v>
      </c>
      <c r="H3" s="24"/>
      <c r="I3" s="24">
        <v>3515988</v>
      </c>
      <c r="J3" s="22" t="s">
        <v>397</v>
      </c>
      <c r="K3" s="2">
        <v>1000</v>
      </c>
      <c r="L3" s="2" cm="1">
        <f t="array" ref="L3">SUM(_xlfn.MAP(_xlfn.TEXTSPLIT(chamfering[[#This Row],[Material codes]],"|"),_xlfn.LAMBDA(_xlpm.a,SUMIFS(salesALL[qty in no],salesALL[MATERAIL NUMBER],_xlpm.a))))</f>
        <v>0</v>
      </c>
      <c r="M3" s="4">
        <f>chamfering[[#This Row],[SCHEDULE]]-chamfering[[#This Row],[DISPATCH]]</f>
        <v>1000</v>
      </c>
      <c r="N3" s="3">
        <f t="shared" si="0"/>
        <v>1.097007097264</v>
      </c>
      <c r="O3" s="3">
        <f t="shared" si="1"/>
        <v>0</v>
      </c>
      <c r="P3" s="177">
        <f t="shared" si="2"/>
        <v>1.097007097264</v>
      </c>
      <c r="Q3" s="15" t="s">
        <v>6093</v>
      </c>
      <c r="R3" s="15">
        <v>250</v>
      </c>
    </row>
    <row r="4" spans="1:23" x14ac:dyDescent="0.25">
      <c r="A4" s="176" t="s">
        <v>340</v>
      </c>
      <c r="B4" s="1">
        <v>22.23</v>
      </c>
      <c r="C4" s="1">
        <v>22.23</v>
      </c>
      <c r="D4" s="1">
        <v>0</v>
      </c>
      <c r="E4" s="1">
        <v>2.6</v>
      </c>
      <c r="F4" s="24">
        <v>896</v>
      </c>
      <c r="G4" s="24" t="s">
        <v>6091</v>
      </c>
      <c r="H4" s="24"/>
      <c r="I4" s="24">
        <v>3765472</v>
      </c>
      <c r="J4" s="22" t="s">
        <v>397</v>
      </c>
      <c r="K4" s="2">
        <v>3000</v>
      </c>
      <c r="L4" s="2" cm="1">
        <f t="array" ref="L4">SUM(_xlfn.MAP(_xlfn.TEXTSPLIT(chamfering[[#This Row],[Material codes]],"|"),_xlfn.LAMBDA(_xlpm.a,SUMIFS(salesALL[qty in no],salesALL[MATERAIL NUMBER],_xlpm.a))))</f>
        <v>0</v>
      </c>
      <c r="M4" s="4">
        <f>chamfering[[#This Row],[SCHEDULE]]-chamfering[[#This Row],[DISPATCH]]</f>
        <v>3000</v>
      </c>
      <c r="N4" s="3">
        <f t="shared" si="0"/>
        <v>3.3815998594559997</v>
      </c>
      <c r="O4" s="3">
        <f t="shared" si="1"/>
        <v>0</v>
      </c>
      <c r="P4" s="177">
        <f t="shared" si="2"/>
        <v>3.3815998594559997</v>
      </c>
      <c r="Q4" s="15" t="s">
        <v>6092</v>
      </c>
      <c r="R4" s="15">
        <v>750</v>
      </c>
    </row>
    <row r="5" spans="1:23" x14ac:dyDescent="0.25">
      <c r="A5" s="176" t="s">
        <v>340</v>
      </c>
      <c r="B5" s="1">
        <v>22.23</v>
      </c>
      <c r="C5" s="1">
        <v>22.23</v>
      </c>
      <c r="D5" s="1">
        <v>0</v>
      </c>
      <c r="E5" s="1">
        <v>2.6</v>
      </c>
      <c r="F5" s="24">
        <v>907</v>
      </c>
      <c r="G5" s="24" t="s">
        <v>6091</v>
      </c>
      <c r="H5" s="24"/>
      <c r="I5" s="24">
        <v>3765473</v>
      </c>
      <c r="J5" s="22" t="s">
        <v>397</v>
      </c>
      <c r="K5" s="2">
        <v>1000</v>
      </c>
      <c r="L5" s="2" cm="1">
        <f t="array" ref="L5">SUM(_xlfn.MAP(_xlfn.TEXTSPLIT(chamfering[[#This Row],[Material codes]],"|"),_xlfn.LAMBDA(_xlpm.a,SUMIFS(salesALL[qty in no],salesALL[MATERAIL NUMBER],_xlpm.a))))</f>
        <v>0</v>
      </c>
      <c r="M5" s="4">
        <f>chamfering[[#This Row],[SCHEDULE]]-chamfering[[#This Row],[DISPATCH]]</f>
        <v>1000</v>
      </c>
      <c r="N5" s="3">
        <f t="shared" si="0"/>
        <v>1.1410383454340001</v>
      </c>
      <c r="O5" s="3">
        <f t="shared" si="1"/>
        <v>0</v>
      </c>
      <c r="P5" s="177">
        <f t="shared" si="2"/>
        <v>1.1410383454340001</v>
      </c>
      <c r="Q5" s="15" t="s">
        <v>6092</v>
      </c>
      <c r="R5" s="15">
        <v>250</v>
      </c>
    </row>
    <row r="6" spans="1:23" x14ac:dyDescent="0.25">
      <c r="A6" s="176" t="s">
        <v>6094</v>
      </c>
      <c r="B6" s="1">
        <v>29.4</v>
      </c>
      <c r="C6" s="1">
        <v>29.4</v>
      </c>
      <c r="D6" s="1">
        <v>20.399999999999999</v>
      </c>
      <c r="E6" s="1">
        <v>4.5</v>
      </c>
      <c r="F6" s="24">
        <v>376</v>
      </c>
      <c r="G6" s="24" t="s">
        <v>5954</v>
      </c>
      <c r="H6" s="24" t="s">
        <v>826</v>
      </c>
      <c r="I6" s="24">
        <v>2359912</v>
      </c>
      <c r="J6" s="22" t="s">
        <v>397</v>
      </c>
      <c r="K6" s="2">
        <v>5000</v>
      </c>
      <c r="L6" s="2" cm="1">
        <f t="array" ref="L6">SUM(_xlfn.MAP(_xlfn.TEXTSPLIT(chamfering[[#This Row],[Material codes]],"|"),_xlfn.LAMBDA(_xlpm.a,SUMIFS(salesALL[qty in no],salesALL[MATERAIL NUMBER],_xlpm.a))))</f>
        <v>1135</v>
      </c>
      <c r="M6" s="4">
        <f>chamfering[[#This Row],[SCHEDULE]]-chamfering[[#This Row],[DISPATCH]]</f>
        <v>3865</v>
      </c>
      <c r="N6" s="3">
        <f t="shared" si="0"/>
        <v>5.1924104460000002</v>
      </c>
      <c r="O6" s="3">
        <f t="shared" si="1"/>
        <v>1.1786771712419999</v>
      </c>
      <c r="P6" s="177">
        <f t="shared" si="2"/>
        <v>4.0137332747579997</v>
      </c>
      <c r="Q6" s="15" t="s">
        <v>6095</v>
      </c>
      <c r="R6" s="15">
        <v>1250</v>
      </c>
      <c r="T6" s="18" t="str" cm="1">
        <f t="array" ref="T6:T9">_xlfn.UNIQUE(G1:G30)</f>
        <v>Machine</v>
      </c>
      <c r="U6" s="18" t="s">
        <v>6096</v>
      </c>
      <c r="V6" s="18" t="s">
        <v>2168</v>
      </c>
    </row>
    <row r="7" spans="1:23" x14ac:dyDescent="0.25">
      <c r="A7" s="176" t="s">
        <v>6097</v>
      </c>
      <c r="B7" s="1">
        <v>29.4</v>
      </c>
      <c r="C7" s="1">
        <v>29.4</v>
      </c>
      <c r="D7" s="1">
        <v>20.399999999999999</v>
      </c>
      <c r="E7" s="1">
        <v>4.5</v>
      </c>
      <c r="F7" s="24">
        <v>360</v>
      </c>
      <c r="G7" s="24" t="s">
        <v>5954</v>
      </c>
      <c r="H7" s="24" t="s">
        <v>4500</v>
      </c>
      <c r="I7" s="24">
        <v>3940551</v>
      </c>
      <c r="J7" s="22" t="s">
        <v>397</v>
      </c>
      <c r="K7" s="2">
        <v>22000</v>
      </c>
      <c r="L7" s="2" cm="1">
        <f t="array" ref="L7">SUM(_xlfn.MAP(_xlfn.TEXTSPLIT(chamfering[[#This Row],[Material codes]],"|"),_xlfn.LAMBDA(_xlpm.a,SUMIFS(salesALL[qty in no],salesALL[MATERAIL NUMBER],_xlpm.a))))</f>
        <v>0</v>
      </c>
      <c r="M7" s="4">
        <f>chamfering[[#This Row],[SCHEDULE]]-chamfering[[#This Row],[DISPATCH]]</f>
        <v>22000</v>
      </c>
      <c r="N7" s="3">
        <f t="shared" si="0"/>
        <v>21.874409963999998</v>
      </c>
      <c r="O7" s="3">
        <f t="shared" si="1"/>
        <v>0</v>
      </c>
      <c r="P7" s="177">
        <f t="shared" si="2"/>
        <v>21.874409963999998</v>
      </c>
      <c r="Q7" s="15" t="s">
        <v>6095</v>
      </c>
      <c r="R7" s="15">
        <v>5500</v>
      </c>
      <c r="T7" s="15" t="str">
        <v>DEC</v>
      </c>
      <c r="U7" s="109">
        <f>SUMIFS($K$2:$K$30,$G$2:$G$30,T7)</f>
        <v>65000</v>
      </c>
      <c r="V7" s="62">
        <f>SUMIFS($N$2:$N$30,$G$2:$G$30,T7)</f>
        <v>56.182681280154</v>
      </c>
      <c r="W7">
        <v>70</v>
      </c>
    </row>
    <row r="8" spans="1:23" x14ac:dyDescent="0.25">
      <c r="A8" s="176" t="s">
        <v>6094</v>
      </c>
      <c r="B8" s="1">
        <v>29.4</v>
      </c>
      <c r="C8" s="1">
        <v>29.4</v>
      </c>
      <c r="D8" s="1">
        <v>20.399999999999999</v>
      </c>
      <c r="E8" s="1">
        <v>4.5</v>
      </c>
      <c r="F8" s="24">
        <v>361</v>
      </c>
      <c r="G8" s="24" t="s">
        <v>5954</v>
      </c>
      <c r="H8" s="24" t="s">
        <v>4502</v>
      </c>
      <c r="I8" s="24" t="s">
        <v>6098</v>
      </c>
      <c r="J8" s="22" t="s">
        <v>397</v>
      </c>
      <c r="K8" s="2">
        <v>5000</v>
      </c>
      <c r="L8" s="2" cm="1">
        <f t="array" ref="L8">SUM(_xlfn.MAP(_xlfn.TEXTSPLIT(chamfering[[#This Row],[Material codes]],"|"),_xlfn.LAMBDA(_xlpm.a,SUMIFS(salesALL[qty in no],salesALL[MATERAIL NUMBER],_xlpm.a))))</f>
        <v>0</v>
      </c>
      <c r="M8" s="4">
        <f>chamfering[[#This Row],[SCHEDULE]]-chamfering[[#This Row],[DISPATCH]]</f>
        <v>5000</v>
      </c>
      <c r="N8" s="3">
        <f t="shared" si="0"/>
        <v>4.9852664122499988</v>
      </c>
      <c r="O8" s="3">
        <f t="shared" si="1"/>
        <v>0</v>
      </c>
      <c r="P8" s="177">
        <f t="shared" si="2"/>
        <v>4.9852664122499988</v>
      </c>
      <c r="Q8" s="15" t="s">
        <v>6095</v>
      </c>
      <c r="R8" s="15">
        <v>1250</v>
      </c>
      <c r="T8" s="15" t="str">
        <v>Lathe</v>
      </c>
      <c r="U8" s="109">
        <f>SUMIFS($K$2:$K$30,$G$2:$G$30,T8)</f>
        <v>333559</v>
      </c>
      <c r="V8" s="62">
        <f>SUMIFS($N$2:$N$30,$G$2:$G$30,T8)</f>
        <v>272.73125628728508</v>
      </c>
      <c r="W8">
        <v>100</v>
      </c>
    </row>
    <row r="9" spans="1:23" x14ac:dyDescent="0.25">
      <c r="A9" s="176" t="s">
        <v>6097</v>
      </c>
      <c r="B9" s="1">
        <v>29.4</v>
      </c>
      <c r="C9" s="1">
        <v>29.4</v>
      </c>
      <c r="D9" s="1">
        <v>20.399999999999999</v>
      </c>
      <c r="E9" s="1">
        <v>4.5</v>
      </c>
      <c r="F9" s="23">
        <v>357</v>
      </c>
      <c r="G9" s="24" t="s">
        <v>5954</v>
      </c>
      <c r="H9" s="24" t="s">
        <v>823</v>
      </c>
      <c r="I9" s="24" t="s">
        <v>6099</v>
      </c>
      <c r="J9" s="22" t="s">
        <v>397</v>
      </c>
      <c r="K9" s="2">
        <v>8000</v>
      </c>
      <c r="L9" s="2" cm="1">
        <f t="array" ref="L9">SUM(_xlfn.MAP(_xlfn.TEXTSPLIT(chamfering[[#This Row],[Material codes]],"|"),_xlfn.LAMBDA(_xlpm.a,SUMIFS(salesALL[qty in no],salesALL[MATERAIL NUMBER],_xlpm.a))))</f>
        <v>20730</v>
      </c>
      <c r="M9" s="4">
        <f>chamfering[[#This Row],[SCHEDULE]]-chamfering[[#This Row],[DISPATCH]]</f>
        <v>-12730</v>
      </c>
      <c r="N9" s="3">
        <f t="shared" si="0"/>
        <v>7.888044805199999</v>
      </c>
      <c r="O9" s="3">
        <f t="shared" si="1"/>
        <v>20.439896101474496</v>
      </c>
      <c r="P9" s="177">
        <f t="shared" si="2"/>
        <v>-12.551851296274499</v>
      </c>
      <c r="Q9" s="15" t="s">
        <v>6095</v>
      </c>
      <c r="R9" s="15">
        <v>2000</v>
      </c>
      <c r="T9" s="15" t="str">
        <v>SEC</v>
      </c>
      <c r="U9" s="109">
        <f>SUMIFS($K$2:$K$30,$G$2:$G$30,T9)</f>
        <v>85950</v>
      </c>
      <c r="V9" s="62">
        <f>SUMIFS($N$2:$N$30,$G$2:$G$30,T9)</f>
        <v>59.092884774564368</v>
      </c>
      <c r="W9">
        <v>35</v>
      </c>
    </row>
    <row r="10" spans="1:23" x14ac:dyDescent="0.25">
      <c r="A10" s="176" t="s">
        <v>357</v>
      </c>
      <c r="B10" s="1">
        <v>30.15</v>
      </c>
      <c r="C10" s="1">
        <v>30</v>
      </c>
      <c r="D10" s="1">
        <v>25.5</v>
      </c>
      <c r="E10" s="1">
        <v>2.25</v>
      </c>
      <c r="F10" s="24">
        <v>465</v>
      </c>
      <c r="G10" s="24" t="s">
        <v>6100</v>
      </c>
      <c r="H10" s="24" t="s">
        <v>831</v>
      </c>
      <c r="I10" s="24" t="s">
        <v>6101</v>
      </c>
      <c r="J10" s="22" t="s">
        <v>397</v>
      </c>
      <c r="K10" s="2">
        <v>3000</v>
      </c>
      <c r="L10" s="2" cm="1">
        <f t="array" ref="L10">SUM(_xlfn.MAP(_xlfn.TEXTSPLIT(chamfering[[#This Row],[Material codes]],"|"),_xlfn.LAMBDA(_xlpm.a,SUMIFS(salesALL[qty in no],salesALL[MATERAIL NUMBER],_xlpm.a))))</f>
        <v>0</v>
      </c>
      <c r="M10" s="4">
        <f>chamfering[[#This Row],[SCHEDULE]]-chamfering[[#This Row],[DISPATCH]]</f>
        <v>3000</v>
      </c>
      <c r="N10" s="3">
        <f t="shared" si="0"/>
        <v>2.1469356028125</v>
      </c>
      <c r="O10" s="3">
        <f t="shared" si="1"/>
        <v>0</v>
      </c>
      <c r="P10" s="177">
        <f t="shared" si="2"/>
        <v>2.1469356028125</v>
      </c>
      <c r="Q10" s="15" t="s">
        <v>955</v>
      </c>
      <c r="R10" s="15">
        <v>1000</v>
      </c>
      <c r="U10" s="108">
        <f>SUBTOTAL(9,U7:U9)</f>
        <v>484509</v>
      </c>
      <c r="V10" s="52">
        <f>SUBTOTAL(9,V7:V9)</f>
        <v>388.00682234200343</v>
      </c>
      <c r="W10">
        <f>SUM(W7:W9)</f>
        <v>205</v>
      </c>
    </row>
    <row r="11" spans="1:23" x14ac:dyDescent="0.25">
      <c r="A11" s="176" t="s">
        <v>357</v>
      </c>
      <c r="B11" s="1">
        <v>30.15</v>
      </c>
      <c r="C11" s="1">
        <v>30</v>
      </c>
      <c r="D11" s="1">
        <v>25.5</v>
      </c>
      <c r="E11" s="1">
        <v>2.25</v>
      </c>
      <c r="F11" s="24">
        <v>485</v>
      </c>
      <c r="G11" s="24" t="s">
        <v>6100</v>
      </c>
      <c r="H11" s="24" t="s">
        <v>829</v>
      </c>
      <c r="I11" s="24" t="s">
        <v>6102</v>
      </c>
      <c r="J11" s="22" t="s">
        <v>397</v>
      </c>
      <c r="K11" s="2">
        <v>39450</v>
      </c>
      <c r="L11" s="2" cm="1">
        <f t="array" ref="L11">SUM(_xlfn.MAP(_xlfn.TEXTSPLIT(chamfering[[#This Row],[Material codes]],"|"),_xlfn.LAMBDA(_xlpm.a,SUMIFS(salesALL[qty in no],salesALL[MATERAIL NUMBER],_xlpm.a))))</f>
        <v>31800</v>
      </c>
      <c r="M11" s="4">
        <f>chamfering[[#This Row],[SCHEDULE]]-chamfering[[#This Row],[DISPATCH]]</f>
        <v>7650</v>
      </c>
      <c r="N11" s="3">
        <f t="shared" si="0"/>
        <v>29.446491485671874</v>
      </c>
      <c r="O11" s="3">
        <f t="shared" si="1"/>
        <v>23.7363353420625</v>
      </c>
      <c r="P11" s="177">
        <f t="shared" si="2"/>
        <v>5.7101561436093755</v>
      </c>
      <c r="Q11" s="15" t="s">
        <v>6103</v>
      </c>
      <c r="R11" s="15">
        <v>10000</v>
      </c>
    </row>
    <row r="12" spans="1:23" x14ac:dyDescent="0.25">
      <c r="A12" s="176" t="s">
        <v>357</v>
      </c>
      <c r="B12" s="1">
        <v>37.6</v>
      </c>
      <c r="C12" s="1">
        <v>37.6</v>
      </c>
      <c r="D12" s="1">
        <v>0</v>
      </c>
      <c r="E12" s="1">
        <v>3.2</v>
      </c>
      <c r="F12" s="24">
        <v>295</v>
      </c>
      <c r="G12" s="24" t="s">
        <v>6100</v>
      </c>
      <c r="H12" s="24" t="s">
        <v>4671</v>
      </c>
      <c r="I12" s="24" t="s">
        <v>6104</v>
      </c>
      <c r="J12" s="22" t="s">
        <v>397</v>
      </c>
      <c r="K12" s="2">
        <v>4700</v>
      </c>
      <c r="L12" s="2" cm="1">
        <f t="array" ref="L12">SUM(_xlfn.MAP(_xlfn.TEXTSPLIT(chamfering[[#This Row],[Material codes]],"|"),_xlfn.LAMBDA(_xlpm.a,SUMIFS(salesALL[qty in no],salesALL[MATERAIL NUMBER],_xlpm.a))))</f>
        <v>0</v>
      </c>
      <c r="M12" s="4">
        <f>chamfering[[#This Row],[SCHEDULE]]-chamfering[[#This Row],[DISPATCH]]</f>
        <v>4700</v>
      </c>
      <c r="N12" s="3">
        <f t="shared" si="0"/>
        <v>3.7620763020800001</v>
      </c>
      <c r="O12" s="3">
        <f t="shared" si="1"/>
        <v>0</v>
      </c>
      <c r="P12" s="177">
        <f t="shared" si="2"/>
        <v>3.7620763020800001</v>
      </c>
      <c r="Q12" s="15" t="s">
        <v>948</v>
      </c>
      <c r="R12" s="15">
        <v>1200</v>
      </c>
    </row>
    <row r="13" spans="1:23" x14ac:dyDescent="0.25">
      <c r="A13" s="176" t="s">
        <v>357</v>
      </c>
      <c r="B13" s="1">
        <v>39</v>
      </c>
      <c r="C13" s="1">
        <v>39</v>
      </c>
      <c r="D13" s="1">
        <v>34</v>
      </c>
      <c r="E13" s="1">
        <v>2.5</v>
      </c>
      <c r="F13" s="24">
        <v>272</v>
      </c>
      <c r="G13" s="24" t="s">
        <v>6100</v>
      </c>
      <c r="H13" s="24" t="s">
        <v>871</v>
      </c>
      <c r="I13" s="24" t="s">
        <v>6105</v>
      </c>
      <c r="J13" s="22" t="s">
        <v>397</v>
      </c>
      <c r="K13" s="2">
        <v>38800</v>
      </c>
      <c r="L13" s="2" cm="1">
        <f t="array" ref="L13">SUM(_xlfn.MAP(_xlfn.TEXTSPLIT(chamfering[[#This Row],[Material codes]],"|"),_xlfn.LAMBDA(_xlpm.a,SUMIFS(salesALL[qty in no],salesALL[MATERAIL NUMBER],_xlpm.a))))</f>
        <v>30930</v>
      </c>
      <c r="M13" s="4">
        <f>chamfering[[#This Row],[SCHEDULE]]-chamfering[[#This Row],[DISPATCH]]</f>
        <v>7870</v>
      </c>
      <c r="N13" s="3">
        <f t="shared" si="0"/>
        <v>23.737381383999995</v>
      </c>
      <c r="O13" s="3">
        <f t="shared" si="1"/>
        <v>18.922608407399995</v>
      </c>
      <c r="P13" s="177">
        <f t="shared" si="2"/>
        <v>4.8147729765999996</v>
      </c>
      <c r="Q13" s="15" t="s">
        <v>6103</v>
      </c>
      <c r="R13" s="15">
        <v>10000</v>
      </c>
    </row>
    <row r="14" spans="1:23" x14ac:dyDescent="0.25">
      <c r="A14" s="176" t="s">
        <v>340</v>
      </c>
      <c r="B14" s="1">
        <v>41.28</v>
      </c>
      <c r="C14" s="1">
        <v>41.28</v>
      </c>
      <c r="D14" s="1">
        <v>0</v>
      </c>
      <c r="E14" s="1">
        <v>2.4</v>
      </c>
      <c r="F14" s="24">
        <v>204.5</v>
      </c>
      <c r="G14" s="24" t="s">
        <v>5954</v>
      </c>
      <c r="H14" s="24" t="s">
        <v>6106</v>
      </c>
      <c r="I14" s="24">
        <v>3557583</v>
      </c>
      <c r="J14" s="22" t="s">
        <v>397</v>
      </c>
      <c r="K14" s="2">
        <v>4000</v>
      </c>
      <c r="L14" s="2" cm="1">
        <f t="array" ref="L14">SUM(_xlfn.MAP(_xlfn.TEXTSPLIT(chamfering[[#This Row],[Material codes]],"|"),_xlfn.LAMBDA(_xlpm.a,SUMIFS(salesALL[qty in no],salesALL[MATERAIL NUMBER],_xlpm.a))))</f>
        <v>6000</v>
      </c>
      <c r="M14" s="4">
        <f>chamfering[[#This Row],[SCHEDULE]]-chamfering[[#This Row],[DISPATCH]]</f>
        <v>-2000</v>
      </c>
      <c r="N14" s="3">
        <f t="shared" si="0"/>
        <v>1.8814388451840001</v>
      </c>
      <c r="O14" s="3">
        <f t="shared" si="1"/>
        <v>2.8221582677760004</v>
      </c>
      <c r="P14" s="177">
        <f t="shared" si="2"/>
        <v>-0.94071942259200003</v>
      </c>
      <c r="Q14" s="15" t="s">
        <v>6106</v>
      </c>
      <c r="R14" s="15">
        <v>1000</v>
      </c>
    </row>
    <row r="15" spans="1:23" x14ac:dyDescent="0.25">
      <c r="A15" s="176" t="s">
        <v>340</v>
      </c>
      <c r="B15" s="1">
        <v>41.28</v>
      </c>
      <c r="C15" s="1">
        <v>41.28</v>
      </c>
      <c r="D15" s="1">
        <v>0</v>
      </c>
      <c r="E15" s="1">
        <v>3.2</v>
      </c>
      <c r="F15" s="24">
        <v>230</v>
      </c>
      <c r="G15" s="24" t="s">
        <v>5954</v>
      </c>
      <c r="H15" s="24" t="s">
        <v>879</v>
      </c>
      <c r="I15" s="24" t="s">
        <v>6107</v>
      </c>
      <c r="J15" s="22" t="s">
        <v>397</v>
      </c>
      <c r="K15" s="2">
        <v>10000</v>
      </c>
      <c r="L15" s="2" cm="1">
        <f t="array" ref="L15">SUM(_xlfn.MAP(_xlfn.TEXTSPLIT(chamfering[[#This Row],[Material codes]],"|"),_xlfn.LAMBDA(_xlpm.a,SUMIFS(salesALL[qty in no],salesALL[MATERAIL NUMBER],_xlpm.a))))</f>
        <v>0</v>
      </c>
      <c r="M15" s="4">
        <f>chamfering[[#This Row],[SCHEDULE]]-chamfering[[#This Row],[DISPATCH]]</f>
        <v>10000</v>
      </c>
      <c r="N15" s="3">
        <f t="shared" si="0"/>
        <v>6.9083456512000012</v>
      </c>
      <c r="O15" s="3">
        <f t="shared" si="1"/>
        <v>0</v>
      </c>
      <c r="P15" s="177">
        <f t="shared" si="2"/>
        <v>6.9083456512000012</v>
      </c>
      <c r="Q15" s="15" t="s">
        <v>955</v>
      </c>
      <c r="R15" s="15">
        <v>2500</v>
      </c>
    </row>
    <row r="16" spans="1:23" x14ac:dyDescent="0.25">
      <c r="A16" s="176" t="s">
        <v>340</v>
      </c>
      <c r="B16" s="1">
        <v>41.28</v>
      </c>
      <c r="C16" s="1">
        <v>41.28</v>
      </c>
      <c r="D16" s="1">
        <v>0</v>
      </c>
      <c r="E16" s="1">
        <v>3.2</v>
      </c>
      <c r="F16" s="24">
        <v>246</v>
      </c>
      <c r="G16" s="24" t="s">
        <v>5954</v>
      </c>
      <c r="H16" s="24" t="s">
        <v>656</v>
      </c>
      <c r="I16" s="24" t="s">
        <v>6108</v>
      </c>
      <c r="J16" s="22" t="s">
        <v>397</v>
      </c>
      <c r="K16" s="2">
        <v>8000</v>
      </c>
      <c r="L16" s="2" cm="1">
        <f t="array" ref="L16">SUM(_xlfn.MAP(_xlfn.TEXTSPLIT(chamfering[[#This Row],[Material codes]],"|"),_xlfn.LAMBDA(_xlpm.a,SUMIFS(salesALL[qty in no],salesALL[MATERAIL NUMBER],_xlpm.a))))</f>
        <v>1000</v>
      </c>
      <c r="M16" s="4">
        <f>chamfering[[#This Row],[SCHEDULE]]-chamfering[[#This Row],[DISPATCH]]</f>
        <v>7000</v>
      </c>
      <c r="N16" s="3">
        <f t="shared" si="0"/>
        <v>5.9111409745920005</v>
      </c>
      <c r="O16" s="3">
        <f t="shared" si="1"/>
        <v>0.73889262182400006</v>
      </c>
      <c r="P16" s="177">
        <f t="shared" si="2"/>
        <v>5.1722483527680012</v>
      </c>
      <c r="Q16" s="15" t="s">
        <v>290</v>
      </c>
      <c r="R16" s="15">
        <v>2000</v>
      </c>
    </row>
    <row r="17" spans="1:18" x14ac:dyDescent="0.25">
      <c r="A17" s="176" t="s">
        <v>340</v>
      </c>
      <c r="B17" s="1">
        <v>42.7</v>
      </c>
      <c r="C17" s="1">
        <v>42.7</v>
      </c>
      <c r="D17" s="1">
        <v>0</v>
      </c>
      <c r="E17" s="1">
        <v>3.5</v>
      </c>
      <c r="F17" s="22">
        <v>210</v>
      </c>
      <c r="G17" s="24" t="s">
        <v>5954</v>
      </c>
      <c r="H17" s="24" t="s">
        <v>877</v>
      </c>
      <c r="I17" s="24" t="s">
        <v>6109</v>
      </c>
      <c r="J17" s="22" t="s">
        <v>397</v>
      </c>
      <c r="K17" s="2">
        <v>40000</v>
      </c>
      <c r="L17" s="2" cm="1">
        <f t="array" ref="L17">SUM(_xlfn.MAP(_xlfn.TEXTSPLIT(chamfering[[#This Row],[Material codes]],"|"),_xlfn.LAMBDA(_xlpm.a,SUMIFS(salesALL[qty in no],salesALL[MATERAIL NUMBER],_xlpm.a))))</f>
        <v>17630</v>
      </c>
      <c r="M17" s="4">
        <f>chamfering[[#This Row],[SCHEDULE]]-chamfering[[#This Row],[DISPATCH]]</f>
        <v>22370</v>
      </c>
      <c r="N17" s="3">
        <f t="shared" si="0"/>
        <v>28.407479520000003</v>
      </c>
      <c r="O17" s="3">
        <f t="shared" si="1"/>
        <v>12.520596598440001</v>
      </c>
      <c r="P17" s="177">
        <f t="shared" si="2"/>
        <v>15.88688292156</v>
      </c>
      <c r="Q17" s="15" t="s">
        <v>952</v>
      </c>
      <c r="R17" s="15">
        <v>7500</v>
      </c>
    </row>
    <row r="18" spans="1:18" x14ac:dyDescent="0.25">
      <c r="A18" s="176" t="s">
        <v>340</v>
      </c>
      <c r="B18" s="1">
        <v>42.7</v>
      </c>
      <c r="C18" s="1">
        <v>42.7</v>
      </c>
      <c r="D18" s="1">
        <v>0</v>
      </c>
      <c r="E18" s="1">
        <v>3.5</v>
      </c>
      <c r="F18" s="24">
        <v>208</v>
      </c>
      <c r="G18" s="24" t="s">
        <v>5954</v>
      </c>
      <c r="H18" s="24" t="s">
        <v>885</v>
      </c>
      <c r="I18" s="24" t="s">
        <v>6110</v>
      </c>
      <c r="J18" s="22" t="s">
        <v>397</v>
      </c>
      <c r="K18" s="2">
        <v>40000</v>
      </c>
      <c r="L18" s="2" cm="1">
        <f t="array" ref="L18">SUM(_xlfn.MAP(_xlfn.TEXTSPLIT(chamfering[[#This Row],[Material codes]],"|"),_xlfn.LAMBDA(_xlpm.a,SUMIFS(salesALL[qty in no],salesALL[MATERAIL NUMBER],_xlpm.a))))</f>
        <v>18714</v>
      </c>
      <c r="M18" s="4">
        <f>chamfering[[#This Row],[SCHEDULE]]-chamfering[[#This Row],[DISPATCH]]</f>
        <v>21286</v>
      </c>
      <c r="N18" s="3">
        <f t="shared" si="0"/>
        <v>28.136932096000002</v>
      </c>
      <c r="O18" s="3">
        <f t="shared" si="1"/>
        <v>13.1638636811136</v>
      </c>
      <c r="P18" s="177">
        <f t="shared" si="2"/>
        <v>14.973068414886402</v>
      </c>
      <c r="Q18" s="15" t="s">
        <v>936</v>
      </c>
      <c r="R18" s="15">
        <v>7000</v>
      </c>
    </row>
    <row r="19" spans="1:18" x14ac:dyDescent="0.25">
      <c r="A19" s="176" t="s">
        <v>340</v>
      </c>
      <c r="B19" s="1">
        <v>42.7</v>
      </c>
      <c r="C19" s="1">
        <v>42.7</v>
      </c>
      <c r="D19" s="1">
        <v>0</v>
      </c>
      <c r="E19" s="1">
        <v>3.5</v>
      </c>
      <c r="F19" s="24">
        <v>247</v>
      </c>
      <c r="G19" s="24" t="s">
        <v>5954</v>
      </c>
      <c r="H19" s="24" t="s">
        <v>5031</v>
      </c>
      <c r="I19" s="24" t="s">
        <v>6111</v>
      </c>
      <c r="J19" s="22" t="s">
        <v>397</v>
      </c>
      <c r="K19" s="2">
        <v>11170</v>
      </c>
      <c r="L19" s="2" cm="1">
        <f t="array" ref="L19">SUM(_xlfn.MAP(_xlfn.TEXTSPLIT(chamfering[[#This Row],[Material codes]],"|"),_xlfn.LAMBDA(_xlpm.a,SUMIFS(salesALL[qty in no],salesALL[MATERAIL NUMBER],_xlpm.a))))</f>
        <v>0</v>
      </c>
      <c r="M19" s="4">
        <f>chamfering[[#This Row],[SCHEDULE]]-chamfering[[#This Row],[DISPATCH]]</f>
        <v>11170</v>
      </c>
      <c r="N19" s="3">
        <f t="shared" si="0"/>
        <v>9.3304704667720024</v>
      </c>
      <c r="O19" s="3">
        <f t="shared" si="1"/>
        <v>0</v>
      </c>
      <c r="P19" s="177">
        <f t="shared" si="2"/>
        <v>9.3304704667720024</v>
      </c>
      <c r="Q19" s="15" t="s">
        <v>343</v>
      </c>
      <c r="R19" s="15">
        <v>3000</v>
      </c>
    </row>
    <row r="20" spans="1:18" x14ac:dyDescent="0.25">
      <c r="A20" s="176" t="s">
        <v>340</v>
      </c>
      <c r="B20" s="1">
        <v>42.7</v>
      </c>
      <c r="C20" s="1">
        <v>42.7</v>
      </c>
      <c r="D20" s="1">
        <v>0</v>
      </c>
      <c r="E20" s="1">
        <v>4</v>
      </c>
      <c r="F20" s="23">
        <v>254</v>
      </c>
      <c r="G20" s="24" t="s">
        <v>5954</v>
      </c>
      <c r="H20" s="24" t="s">
        <v>893</v>
      </c>
      <c r="I20" s="24" t="s">
        <v>6112</v>
      </c>
      <c r="J20" s="22" t="s">
        <v>397</v>
      </c>
      <c r="K20" s="2">
        <v>10000</v>
      </c>
      <c r="L20" s="2" cm="1">
        <f t="array" ref="L20">SUM(_xlfn.MAP(_xlfn.TEXTSPLIT(chamfering[[#This Row],[Material codes]],"|"),_xlfn.LAMBDA(_xlpm.a,SUMIFS(salesALL[qty in no],salesALL[MATERAIL NUMBER],_xlpm.a))))</f>
        <v>2615</v>
      </c>
      <c r="M20" s="4">
        <f>chamfering[[#This Row],[SCHEDULE]]-chamfering[[#This Row],[DISPATCH]]</f>
        <v>7385</v>
      </c>
      <c r="N20" s="3">
        <f t="shared" si="0"/>
        <v>9.6917896080000006</v>
      </c>
      <c r="O20" s="3">
        <f t="shared" si="1"/>
        <v>2.5344029824920002</v>
      </c>
      <c r="P20" s="177">
        <f t="shared" si="2"/>
        <v>7.1573866255080008</v>
      </c>
      <c r="Q20" s="15" t="s">
        <v>955</v>
      </c>
      <c r="R20" s="15">
        <v>2500</v>
      </c>
    </row>
    <row r="21" spans="1:18" x14ac:dyDescent="0.25">
      <c r="A21" s="176" t="s">
        <v>340</v>
      </c>
      <c r="B21" s="1">
        <v>42.7</v>
      </c>
      <c r="C21" s="1">
        <v>42.7</v>
      </c>
      <c r="D21" s="1">
        <v>0</v>
      </c>
      <c r="E21" s="1">
        <v>4</v>
      </c>
      <c r="F21" s="24">
        <v>235</v>
      </c>
      <c r="G21" s="24" t="s">
        <v>5954</v>
      </c>
      <c r="H21" s="24" t="s">
        <v>2348</v>
      </c>
      <c r="I21" s="24" t="s">
        <v>6113</v>
      </c>
      <c r="J21" s="22" t="s">
        <v>397</v>
      </c>
      <c r="K21" s="2">
        <v>3000</v>
      </c>
      <c r="L21" s="2" cm="1">
        <f t="array" ref="L21">SUM(_xlfn.MAP(_xlfn.TEXTSPLIT(chamfering[[#This Row],[Material codes]],"|"),_xlfn.LAMBDA(_xlpm.a,SUMIFS(salesALL[qty in no],salesALL[MATERAIL NUMBER],_xlpm.a))))</f>
        <v>0</v>
      </c>
      <c r="M21" s="4">
        <f>chamfering[[#This Row],[SCHEDULE]]-chamfering[[#This Row],[DISPATCH]]</f>
        <v>3000</v>
      </c>
      <c r="N21" s="3">
        <f t="shared" si="0"/>
        <v>2.6900439660000002</v>
      </c>
      <c r="O21" s="3">
        <f t="shared" si="1"/>
        <v>0</v>
      </c>
      <c r="P21" s="177">
        <f t="shared" si="2"/>
        <v>2.6900439660000002</v>
      </c>
      <c r="Q21" s="15" t="s">
        <v>290</v>
      </c>
      <c r="R21" s="15">
        <v>1000</v>
      </c>
    </row>
    <row r="22" spans="1:18" x14ac:dyDescent="0.25">
      <c r="A22" s="176" t="s">
        <v>340</v>
      </c>
      <c r="B22" s="1">
        <v>42.7</v>
      </c>
      <c r="C22" s="1">
        <v>42.7</v>
      </c>
      <c r="D22" s="1">
        <v>0</v>
      </c>
      <c r="E22" s="1">
        <v>4</v>
      </c>
      <c r="F22" s="24">
        <v>215</v>
      </c>
      <c r="G22" s="24" t="s">
        <v>5954</v>
      </c>
      <c r="H22" s="24" t="s">
        <v>903</v>
      </c>
      <c r="I22" s="24" t="s">
        <v>6114</v>
      </c>
      <c r="J22" s="22" t="s">
        <v>397</v>
      </c>
      <c r="K22" s="2">
        <v>40000</v>
      </c>
      <c r="L22" s="2" cm="1">
        <f t="array" ref="L22">SUM(_xlfn.MAP(_xlfn.TEXTSPLIT(chamfering[[#This Row],[Material codes]],"|"),_xlfn.LAMBDA(_xlpm.a,SUMIFS(salesALL[qty in no],salesALL[MATERAIL NUMBER],_xlpm.a))))</f>
        <v>15725</v>
      </c>
      <c r="M22" s="4">
        <f>chamfering[[#This Row],[SCHEDULE]]-chamfering[[#This Row],[DISPATCH]]</f>
        <v>24275</v>
      </c>
      <c r="N22" s="3">
        <f t="shared" si="0"/>
        <v>32.814720720000004</v>
      </c>
      <c r="O22" s="3">
        <f t="shared" si="1"/>
        <v>12.900287083049999</v>
      </c>
      <c r="P22" s="177">
        <f t="shared" si="2"/>
        <v>19.914433636950001</v>
      </c>
      <c r="Q22" s="15" t="s">
        <v>5956</v>
      </c>
      <c r="R22" s="15">
        <v>8000</v>
      </c>
    </row>
    <row r="23" spans="1:18" x14ac:dyDescent="0.25">
      <c r="A23" s="176" t="s">
        <v>340</v>
      </c>
      <c r="B23" s="1">
        <v>42.7</v>
      </c>
      <c r="C23" s="1">
        <v>42.7</v>
      </c>
      <c r="D23" s="1">
        <v>0</v>
      </c>
      <c r="E23" s="1">
        <v>4</v>
      </c>
      <c r="F23" s="24">
        <v>290</v>
      </c>
      <c r="G23" s="24" t="s">
        <v>5954</v>
      </c>
      <c r="H23" s="24" t="s">
        <v>5053</v>
      </c>
      <c r="I23" s="24" t="s">
        <v>6115</v>
      </c>
      <c r="J23" s="22" t="s">
        <v>397</v>
      </c>
      <c r="K23" s="2">
        <v>6000</v>
      </c>
      <c r="L23" s="2" cm="1">
        <f t="array" ref="L23">SUM(_xlfn.MAP(_xlfn.TEXTSPLIT(chamfering[[#This Row],[Material codes]],"|"),_xlfn.LAMBDA(_xlpm.a,SUMIFS(salesALL[qty in no],salesALL[MATERAIL NUMBER],_xlpm.a))))</f>
        <v>0</v>
      </c>
      <c r="M23" s="4">
        <f>chamfering[[#This Row],[SCHEDULE]]-chamfering[[#This Row],[DISPATCH]]</f>
        <v>6000</v>
      </c>
      <c r="N23" s="3">
        <f t="shared" si="0"/>
        <v>6.6392574480000004</v>
      </c>
      <c r="O23" s="3">
        <f t="shared" si="1"/>
        <v>0</v>
      </c>
      <c r="P23" s="177">
        <f t="shared" si="2"/>
        <v>6.6392574480000004</v>
      </c>
      <c r="Q23" s="15" t="s">
        <v>948</v>
      </c>
      <c r="R23" s="15">
        <v>1500</v>
      </c>
    </row>
    <row r="24" spans="1:18" x14ac:dyDescent="0.25">
      <c r="A24" s="176" t="s">
        <v>357</v>
      </c>
      <c r="B24" s="1">
        <v>47.63</v>
      </c>
      <c r="C24" s="1">
        <v>47.63</v>
      </c>
      <c r="D24" s="1">
        <v>0</v>
      </c>
      <c r="E24" s="1">
        <v>4</v>
      </c>
      <c r="F24" s="103">
        <v>212</v>
      </c>
      <c r="G24" s="24" t="s">
        <v>5954</v>
      </c>
      <c r="H24" s="24" t="s">
        <v>6106</v>
      </c>
      <c r="I24" s="24">
        <v>1938350</v>
      </c>
      <c r="J24" s="22" t="s">
        <v>397</v>
      </c>
      <c r="K24" s="2">
        <v>60000</v>
      </c>
      <c r="L24" s="2" cm="1">
        <f t="array" ref="L24">SUM(_xlfn.MAP(_xlfn.TEXTSPLIT(chamfering[[#This Row],[Material codes]],"|"),_xlfn.LAMBDA(_xlpm.a,SUMIFS(salesALL[qty in no],salesALL[MATERAIL NUMBER],_xlpm.a))))</f>
        <v>0</v>
      </c>
      <c r="M24" s="4">
        <f>chamfering[[#This Row],[SCHEDULE]]-chamfering[[#This Row],[DISPATCH]]</f>
        <v>60000</v>
      </c>
      <c r="N24" s="3">
        <f t="shared" si="0"/>
        <v>54.71817706560001</v>
      </c>
      <c r="O24" s="3">
        <f t="shared" si="1"/>
        <v>0</v>
      </c>
      <c r="P24" s="177">
        <f t="shared" si="2"/>
        <v>54.71817706560001</v>
      </c>
      <c r="Q24" s="15" t="s">
        <v>6116</v>
      </c>
      <c r="R24" s="15">
        <v>15000</v>
      </c>
    </row>
    <row r="25" spans="1:18" x14ac:dyDescent="0.25">
      <c r="A25" s="176" t="s">
        <v>357</v>
      </c>
      <c r="B25" s="1">
        <v>47.63</v>
      </c>
      <c r="C25" s="1">
        <v>47.63</v>
      </c>
      <c r="D25" s="1">
        <v>0</v>
      </c>
      <c r="E25" s="1">
        <v>4</v>
      </c>
      <c r="F25" s="103">
        <v>215</v>
      </c>
      <c r="G25" s="24" t="s">
        <v>5954</v>
      </c>
      <c r="H25" s="24" t="s">
        <v>6106</v>
      </c>
      <c r="I25" s="24">
        <v>3614493</v>
      </c>
      <c r="J25" s="22" t="s">
        <v>397</v>
      </c>
      <c r="K25" s="2">
        <v>20000</v>
      </c>
      <c r="L25" s="2" cm="1">
        <f t="array" ref="L25">SUM(_xlfn.MAP(_xlfn.TEXTSPLIT(chamfering[[#This Row],[Material codes]],"|"),_xlfn.LAMBDA(_xlpm.a,SUMIFS(salesALL[qty in no],salesALL[MATERAIL NUMBER],_xlpm.a))))</f>
        <v>19770</v>
      </c>
      <c r="M25" s="4">
        <f>chamfering[[#This Row],[SCHEDULE]]-chamfering[[#This Row],[DISPATCH]]</f>
        <v>230</v>
      </c>
      <c r="N25" s="3">
        <f t="shared" si="0"/>
        <v>18.497496964000003</v>
      </c>
      <c r="O25" s="3">
        <f t="shared" si="1"/>
        <v>18.284775748914001</v>
      </c>
      <c r="P25" s="177">
        <f t="shared" si="2"/>
        <v>0.21272121508600003</v>
      </c>
      <c r="Q25" s="15" t="s">
        <v>5960</v>
      </c>
      <c r="R25" s="15">
        <v>5000</v>
      </c>
    </row>
    <row r="26" spans="1:18" x14ac:dyDescent="0.25">
      <c r="A26" s="176" t="s">
        <v>340</v>
      </c>
      <c r="B26" s="1">
        <v>48.6</v>
      </c>
      <c r="C26" s="1">
        <v>48.6</v>
      </c>
      <c r="D26" s="1">
        <v>0</v>
      </c>
      <c r="E26" s="1">
        <v>3.5</v>
      </c>
      <c r="F26" s="24">
        <v>185</v>
      </c>
      <c r="G26" s="24" t="s">
        <v>5954</v>
      </c>
      <c r="H26" s="24" t="s">
        <v>2376</v>
      </c>
      <c r="I26" s="24" t="s">
        <v>6117</v>
      </c>
      <c r="J26" s="22" t="s">
        <v>397</v>
      </c>
      <c r="K26" s="2">
        <v>12000</v>
      </c>
      <c r="L26" s="2" cm="1">
        <f t="array" ref="L26">SUM(_xlfn.MAP(_xlfn.TEXTSPLIT(chamfering[[#This Row],[Material codes]],"|"),_xlfn.LAMBDA(_xlpm.a,SUMIFS(salesALL[qty in no],salesALL[MATERAIL NUMBER],_xlpm.a))))</f>
        <v>0</v>
      </c>
      <c r="M26" s="4">
        <f>chamfering[[#This Row],[SCHEDULE]]-chamfering[[#This Row],[DISPATCH]]</f>
        <v>12000</v>
      </c>
      <c r="N26" s="3">
        <f t="shared" si="0"/>
        <v>8.6376751229999993</v>
      </c>
      <c r="O26" s="3">
        <f t="shared" si="1"/>
        <v>0</v>
      </c>
      <c r="P26" s="177">
        <f t="shared" si="2"/>
        <v>8.6376751229999993</v>
      </c>
      <c r="Q26" s="15" t="s">
        <v>290</v>
      </c>
      <c r="R26" s="15">
        <v>3000</v>
      </c>
    </row>
    <row r="27" spans="1:18" x14ac:dyDescent="0.25">
      <c r="A27" s="176" t="s">
        <v>340</v>
      </c>
      <c r="B27" s="1">
        <v>48.6</v>
      </c>
      <c r="C27" s="1">
        <v>48.6</v>
      </c>
      <c r="D27" s="1">
        <v>0</v>
      </c>
      <c r="E27" s="1">
        <v>3.5</v>
      </c>
      <c r="F27" s="22">
        <v>196</v>
      </c>
      <c r="G27" s="24" t="s">
        <v>5954</v>
      </c>
      <c r="H27" s="24" t="s">
        <v>714</v>
      </c>
      <c r="I27" s="24" t="s">
        <v>6118</v>
      </c>
      <c r="J27" s="22" t="s">
        <v>397</v>
      </c>
      <c r="K27" s="2">
        <v>10000</v>
      </c>
      <c r="L27" s="2" cm="1">
        <f t="array" ref="L27">SUM(_xlfn.MAP(_xlfn.TEXTSPLIT(chamfering[[#This Row],[Material codes]],"|"),_xlfn.LAMBDA(_xlpm.a,SUMIFS(salesALL[qty in no],salesALL[MATERAIL NUMBER],_xlpm.a))))</f>
        <v>2750</v>
      </c>
      <c r="M27" s="4">
        <f>chamfering[[#This Row],[SCHEDULE]]-chamfering[[#This Row],[DISPATCH]]</f>
        <v>7250</v>
      </c>
      <c r="N27" s="3">
        <f t="shared" si="0"/>
        <v>7.6260555139999999</v>
      </c>
      <c r="O27" s="3">
        <f t="shared" si="1"/>
        <v>2.0971652663499998</v>
      </c>
      <c r="P27" s="177">
        <f t="shared" si="2"/>
        <v>5.5288902476499997</v>
      </c>
      <c r="Q27" s="15" t="s">
        <v>952</v>
      </c>
      <c r="R27" s="15">
        <v>2500</v>
      </c>
    </row>
    <row r="28" spans="1:18" x14ac:dyDescent="0.25">
      <c r="A28" s="176" t="s">
        <v>340</v>
      </c>
      <c r="B28" s="1">
        <v>48.6</v>
      </c>
      <c r="C28" s="1">
        <v>48.6</v>
      </c>
      <c r="D28" s="1">
        <v>0</v>
      </c>
      <c r="E28" s="1">
        <v>3.5</v>
      </c>
      <c r="F28" s="24">
        <v>202.5</v>
      </c>
      <c r="G28" s="24" t="s">
        <v>5954</v>
      </c>
      <c r="H28" s="24" t="s">
        <v>5121</v>
      </c>
      <c r="I28" s="24" t="s">
        <v>6119</v>
      </c>
      <c r="J28" s="22" t="s">
        <v>397</v>
      </c>
      <c r="K28" s="2">
        <v>7389</v>
      </c>
      <c r="L28" s="2" cm="1">
        <f t="array" ref="L28">SUM(_xlfn.MAP(_xlfn.TEXTSPLIT(chamfering[[#This Row],[Material codes]],"|"),_xlfn.LAMBDA(_xlpm.a,SUMIFS(salesALL[qty in no],salesALL[MATERAIL NUMBER],_xlpm.a))))</f>
        <v>0</v>
      </c>
      <c r="M28" s="4">
        <f>chamfering[[#This Row],[SCHEDULE]]-chamfering[[#This Row],[DISPATCH]]</f>
        <v>7389</v>
      </c>
      <c r="N28" s="3">
        <f t="shared" si="0"/>
        <v>5.8217638515671242</v>
      </c>
      <c r="O28" s="3">
        <f t="shared" si="1"/>
        <v>0</v>
      </c>
      <c r="P28" s="177">
        <f t="shared" si="2"/>
        <v>5.8217638515671242</v>
      </c>
      <c r="Q28" s="15" t="s">
        <v>952</v>
      </c>
      <c r="R28" s="15">
        <v>2000</v>
      </c>
    </row>
    <row r="29" spans="1:18" s="74" customFormat="1" x14ac:dyDescent="0.25">
      <c r="A29" s="207" t="s">
        <v>357</v>
      </c>
      <c r="B29" s="208">
        <v>50.8</v>
      </c>
      <c r="C29" s="208">
        <v>50.8</v>
      </c>
      <c r="D29" s="208">
        <v>0</v>
      </c>
      <c r="E29" s="208">
        <v>2.6</v>
      </c>
      <c r="F29" s="209">
        <v>142</v>
      </c>
      <c r="G29" s="209" t="s">
        <v>5954</v>
      </c>
      <c r="H29" s="209" t="s">
        <v>6106</v>
      </c>
      <c r="I29" s="209" t="s">
        <v>6120</v>
      </c>
      <c r="J29" s="210" t="s">
        <v>397</v>
      </c>
      <c r="K29" s="209">
        <v>7000</v>
      </c>
      <c r="L29" s="209" cm="1">
        <f t="array" ref="L29">SUM(_xlfn.MAP(_xlfn.TEXTSPLIT(chamfering[[#This Row],[Material codes]],"|"),_xlfn.LAMBDA(_xlpm.a,SUMIFS(salesALL[qty in no],salesALL[MATERAIL NUMBER],_xlpm.a))))</f>
        <v>0</v>
      </c>
      <c r="M29" s="211">
        <f>chamfering[[#This Row],[SCHEDULE]]-chamfering[[#This Row],[DISPATCH]]</f>
        <v>7000</v>
      </c>
      <c r="N29" s="210">
        <f t="shared" si="0"/>
        <v>3.0704786039199998</v>
      </c>
      <c r="O29" s="210">
        <f t="shared" si="1"/>
        <v>0</v>
      </c>
      <c r="P29" s="212">
        <f t="shared" si="2"/>
        <v>3.0704786039199998</v>
      </c>
      <c r="Q29" s="213" t="s">
        <v>6106</v>
      </c>
      <c r="R29" s="213">
        <v>2000</v>
      </c>
    </row>
    <row r="30" spans="1:18" x14ac:dyDescent="0.25">
      <c r="A30" s="180" t="s">
        <v>340</v>
      </c>
      <c r="B30" s="129">
        <v>50.8</v>
      </c>
      <c r="C30" s="129">
        <v>50.8</v>
      </c>
      <c r="D30" s="129">
        <v>0</v>
      </c>
      <c r="E30" s="129">
        <v>2.6</v>
      </c>
      <c r="F30" s="181">
        <v>130</v>
      </c>
      <c r="G30" s="181" t="s">
        <v>5954</v>
      </c>
      <c r="H30" s="181" t="s">
        <v>6106</v>
      </c>
      <c r="I30" s="24">
        <v>3623581</v>
      </c>
      <c r="J30" s="182" t="s">
        <v>397</v>
      </c>
      <c r="K30" s="100">
        <v>5000</v>
      </c>
      <c r="L30" s="2" cm="1">
        <f t="array" ref="L30">SUM(_xlfn.MAP(_xlfn.TEXTSPLIT(chamfering[[#This Row],[Material codes]],"|"),_xlfn.LAMBDA(_xlpm.a,SUMIFS(salesALL[qty in no],salesALL[MATERAIL NUMBER],_xlpm.a))))</f>
        <v>5800</v>
      </c>
      <c r="M30" s="4">
        <f>chamfering[[#This Row],[SCHEDULE]]-chamfering[[#This Row],[DISPATCH]]</f>
        <v>-800</v>
      </c>
      <c r="N30" s="183">
        <f t="shared" si="0"/>
        <v>2.0078582419999997</v>
      </c>
      <c r="O30" s="183">
        <f t="shared" si="1"/>
        <v>2.3291155607199996</v>
      </c>
      <c r="P30" s="184">
        <f t="shared" si="2"/>
        <v>-0.32125731871999996</v>
      </c>
      <c r="Q30" s="15" t="s">
        <v>6106</v>
      </c>
      <c r="R30" s="15">
        <v>1500</v>
      </c>
    </row>
    <row r="31" spans="1:18" x14ac:dyDescent="0.25">
      <c r="A31" s="180"/>
      <c r="B31" s="129"/>
      <c r="C31" s="129"/>
      <c r="D31" s="129"/>
      <c r="E31" s="129"/>
      <c r="F31" s="181"/>
      <c r="G31" s="181"/>
      <c r="H31" s="181"/>
      <c r="I31" s="181"/>
      <c r="J31" s="186"/>
      <c r="K31" s="182">
        <f t="shared" ref="K31:P31" si="3">SUBTOTAL(9,K2:K30)</f>
        <v>484509</v>
      </c>
      <c r="L31" s="182">
        <f t="shared" si="3"/>
        <v>181599</v>
      </c>
      <c r="M31" s="182">
        <f t="shared" si="3"/>
        <v>302910</v>
      </c>
      <c r="N31" s="182">
        <f t="shared" si="3"/>
        <v>388.00682234200349</v>
      </c>
      <c r="O31" s="182">
        <f t="shared" si="3"/>
        <v>137.5677956969586</v>
      </c>
      <c r="P31" s="182">
        <f t="shared" si="3"/>
        <v>250.43902664504492</v>
      </c>
      <c r="Q31" s="2"/>
      <c r="R31" s="186"/>
    </row>
    <row r="32" spans="1:18" x14ac:dyDescent="0.25">
      <c r="L32" s="193">
        <f>chamfering[[#Totals],[DISPATCH]]/chamfering[[#Totals],[SCHEDULE]]</f>
        <v>0.37481037503947295</v>
      </c>
    </row>
    <row r="35" spans="1:11" x14ac:dyDescent="0.25">
      <c r="A35" s="178" t="s">
        <v>937</v>
      </c>
      <c r="B35" s="38" t="s">
        <v>316</v>
      </c>
      <c r="C35" s="38" t="s">
        <v>317</v>
      </c>
      <c r="D35" s="38" t="s">
        <v>938</v>
      </c>
      <c r="E35" s="38" t="s">
        <v>319</v>
      </c>
      <c r="F35" s="38" t="s">
        <v>939</v>
      </c>
      <c r="G35" s="38" t="s">
        <v>6121</v>
      </c>
      <c r="H35" s="38" t="s">
        <v>274</v>
      </c>
      <c r="I35" s="39" t="s">
        <v>278</v>
      </c>
      <c r="J35" s="40" t="s">
        <v>940</v>
      </c>
      <c r="K35" s="179" t="s">
        <v>941</v>
      </c>
    </row>
    <row r="36" spans="1:11" x14ac:dyDescent="0.25">
      <c r="A36" s="176">
        <v>22.23</v>
      </c>
      <c r="B36" s="1">
        <v>22.23</v>
      </c>
      <c r="C36" s="6">
        <v>0</v>
      </c>
      <c r="D36" s="1">
        <v>1.6</v>
      </c>
      <c r="E36" s="22">
        <v>675</v>
      </c>
      <c r="F36" s="22" t="s">
        <v>397</v>
      </c>
      <c r="G36" s="22" t="s">
        <v>3866</v>
      </c>
      <c r="H36" s="24" t="s">
        <v>6122</v>
      </c>
      <c r="I36" s="2">
        <v>14000</v>
      </c>
      <c r="J36" s="2" cm="1">
        <f t="array" ref="J36">SUM(_xlfn.MAP(_xlfn.TEXTSPLIT(anglecut[[#This Row],[Material Codes]],"|"),_xlfn.LAMBDA(_xlpm.a,SUMIFS(salesALL[qty in no],salesALL[MATERAIL NUMBER],_xlpm.a))))</f>
        <v>0</v>
      </c>
      <c r="K36" s="177">
        <v>14000</v>
      </c>
    </row>
    <row r="37" spans="1:11" x14ac:dyDescent="0.25">
      <c r="A37" s="176">
        <v>25.4</v>
      </c>
      <c r="B37" s="1">
        <v>25.4</v>
      </c>
      <c r="C37" s="1">
        <v>0</v>
      </c>
      <c r="D37" s="1">
        <v>1.2</v>
      </c>
      <c r="E37" s="22">
        <v>845</v>
      </c>
      <c r="F37" s="22" t="s">
        <v>397</v>
      </c>
      <c r="G37" s="22" t="s">
        <v>2263</v>
      </c>
      <c r="H37" s="24" t="s">
        <v>6123</v>
      </c>
      <c r="I37" s="2">
        <v>9000</v>
      </c>
      <c r="J37" s="2" cm="1">
        <f t="array" ref="J37">SUM(_xlfn.MAP(_xlfn.TEXTSPLIT(anglecut[[#This Row],[Material Codes]],"|"),_xlfn.LAMBDA(_xlpm.a,SUMIFS(salesALL[qty in no],salesALL[MATERAIL NUMBER],_xlpm.a))))</f>
        <v>0</v>
      </c>
      <c r="K37" s="177">
        <v>7676</v>
      </c>
    </row>
    <row r="38" spans="1:11" x14ac:dyDescent="0.25">
      <c r="A38" s="176">
        <v>50.8</v>
      </c>
      <c r="B38" s="1">
        <v>50.8</v>
      </c>
      <c r="C38" s="6">
        <v>0</v>
      </c>
      <c r="D38" s="1">
        <v>1.6</v>
      </c>
      <c r="E38" s="22">
        <v>385</v>
      </c>
      <c r="F38" s="22" t="s">
        <v>397</v>
      </c>
      <c r="G38" s="22" t="s">
        <v>2191</v>
      </c>
      <c r="H38" s="24" t="s">
        <v>6124</v>
      </c>
      <c r="I38" s="2">
        <v>6000</v>
      </c>
      <c r="J38" s="2" cm="1">
        <f t="array" ref="J38">SUM(_xlfn.MAP(_xlfn.TEXTSPLIT(anglecut[[#This Row],[Material Codes]],"|"),_xlfn.LAMBDA(_xlpm.a,SUMIFS(salesALL[qty in no],salesALL[MATERAIL NUMBER],_xlpm.a))))</f>
        <v>0</v>
      </c>
      <c r="K38" s="177">
        <v>3127</v>
      </c>
    </row>
    <row r="39" spans="1:11" x14ac:dyDescent="0.25">
      <c r="A39" s="176">
        <v>57.15</v>
      </c>
      <c r="B39" s="1">
        <v>57.15</v>
      </c>
      <c r="C39" s="6">
        <v>0</v>
      </c>
      <c r="D39" s="1">
        <v>2.2999999999999998</v>
      </c>
      <c r="E39" s="22">
        <v>1365</v>
      </c>
      <c r="F39" s="22" t="s">
        <v>397</v>
      </c>
      <c r="G39" s="22" t="s">
        <v>906</v>
      </c>
      <c r="H39" s="24" t="s">
        <v>6125</v>
      </c>
      <c r="I39" s="2">
        <v>15000</v>
      </c>
      <c r="J39" s="2" cm="1">
        <f t="array" ref="J39">SUM(_xlfn.MAP(_xlfn.TEXTSPLIT(anglecut[[#This Row],[Material Codes]],"|"),_xlfn.LAMBDA(_xlpm.a,SUMIFS(salesALL[qty in no],salesALL[MATERAIL NUMBER],_xlpm.a))))</f>
        <v>0</v>
      </c>
      <c r="K39" s="177">
        <v>4200</v>
      </c>
    </row>
    <row r="40" spans="1:11" x14ac:dyDescent="0.25">
      <c r="A40" s="176">
        <v>19.05</v>
      </c>
      <c r="B40" s="1">
        <v>19.05</v>
      </c>
      <c r="C40" s="1">
        <v>0</v>
      </c>
      <c r="D40" s="1">
        <v>1.6</v>
      </c>
      <c r="E40" s="24">
        <v>394</v>
      </c>
      <c r="F40" s="22" t="s">
        <v>397</v>
      </c>
      <c r="G40" s="22" t="s">
        <v>2282</v>
      </c>
      <c r="H40" s="24" t="s">
        <v>6126</v>
      </c>
      <c r="I40" s="2">
        <v>70000</v>
      </c>
      <c r="J40" s="2" cm="1">
        <f t="array" ref="J40">SUM(_xlfn.MAP(_xlfn.TEXTSPLIT(anglecut[[#This Row],[Material Codes]],"|"),_xlfn.LAMBDA(_xlpm.a,SUMIFS(salesALL[qty in no],salesALL[MATERAIL NUMBER],_xlpm.a))))</f>
        <v>0</v>
      </c>
      <c r="K40" s="177">
        <v>25000</v>
      </c>
    </row>
    <row r="41" spans="1:11" x14ac:dyDescent="0.25">
      <c r="A41" s="176">
        <v>19.05</v>
      </c>
      <c r="B41" s="1">
        <v>19.05</v>
      </c>
      <c r="C41" s="1">
        <v>0</v>
      </c>
      <c r="D41" s="1">
        <v>1.6</v>
      </c>
      <c r="E41" s="24">
        <v>775</v>
      </c>
      <c r="F41" s="22" t="s">
        <v>397</v>
      </c>
      <c r="G41" s="22" t="s">
        <v>2285</v>
      </c>
      <c r="H41" s="24" t="s">
        <v>6127</v>
      </c>
      <c r="I41" s="2">
        <v>5000</v>
      </c>
      <c r="J41" s="2" cm="1">
        <f t="array" ref="J41">SUM(_xlfn.MAP(_xlfn.TEXTSPLIT(anglecut[[#This Row],[Material Codes]],"|"),_xlfn.LAMBDA(_xlpm.a,SUMIFS(salesALL[qty in no],salesALL[MATERAIL NUMBER],_xlpm.a))))</f>
        <v>0</v>
      </c>
      <c r="K41" s="177">
        <v>-2000</v>
      </c>
    </row>
    <row r="42" spans="1:11" x14ac:dyDescent="0.25">
      <c r="A42" s="176">
        <v>57.15</v>
      </c>
      <c r="B42" s="1">
        <v>57.15</v>
      </c>
      <c r="C42" s="1">
        <v>0</v>
      </c>
      <c r="D42" s="1">
        <v>2.5</v>
      </c>
      <c r="E42" s="24">
        <v>772</v>
      </c>
      <c r="F42" s="22" t="s">
        <v>397</v>
      </c>
      <c r="G42" s="22" t="s">
        <v>928</v>
      </c>
      <c r="H42" s="24" t="s">
        <v>6128</v>
      </c>
      <c r="I42" s="2">
        <v>6000</v>
      </c>
      <c r="J42" s="2" cm="1">
        <f t="array" ref="J42">SUM(_xlfn.MAP(_xlfn.TEXTSPLIT(anglecut[[#This Row],[Material Codes]],"|"),_xlfn.LAMBDA(_xlpm.a,SUMIFS(salesALL[qty in no],salesALL[MATERAIL NUMBER],_xlpm.a))))</f>
        <v>0</v>
      </c>
      <c r="K42" s="177">
        <v>3000</v>
      </c>
    </row>
    <row r="43" spans="1:11" x14ac:dyDescent="0.25">
      <c r="A43" s="176">
        <v>60.3</v>
      </c>
      <c r="B43" s="1">
        <v>60.3</v>
      </c>
      <c r="C43" s="1">
        <v>0</v>
      </c>
      <c r="D43" s="1">
        <v>2</v>
      </c>
      <c r="E43" s="24">
        <v>491</v>
      </c>
      <c r="F43" s="22" t="s">
        <v>397</v>
      </c>
      <c r="G43" s="22" t="s">
        <v>5288</v>
      </c>
      <c r="H43" s="24" t="s">
        <v>6129</v>
      </c>
      <c r="I43" s="2">
        <v>3000</v>
      </c>
      <c r="J43" s="2" cm="1">
        <f t="array" ref="J43">SUM(_xlfn.MAP(_xlfn.TEXTSPLIT(anglecut[[#This Row],[Material Codes]],"|"),_xlfn.LAMBDA(_xlpm.a,SUMIFS(salesALL[qty in no],salesALL[MATERAIL NUMBER],_xlpm.a))))</f>
        <v>0</v>
      </c>
      <c r="K43" s="177">
        <v>3000</v>
      </c>
    </row>
    <row r="44" spans="1:11" x14ac:dyDescent="0.25">
      <c r="A44" s="176">
        <v>60.3</v>
      </c>
      <c r="B44" s="1">
        <v>60.3</v>
      </c>
      <c r="C44" s="1">
        <v>0</v>
      </c>
      <c r="D44" s="1">
        <v>2</v>
      </c>
      <c r="E44" s="24">
        <v>525</v>
      </c>
      <c r="F44" s="22" t="s">
        <v>397</v>
      </c>
      <c r="G44" s="22" t="s">
        <v>5290</v>
      </c>
      <c r="H44" s="24" t="s">
        <v>6130</v>
      </c>
      <c r="I44" s="2">
        <v>6000</v>
      </c>
      <c r="J44" s="2" cm="1">
        <f t="array" ref="J44">SUM(_xlfn.MAP(_xlfn.TEXTSPLIT(anglecut[[#This Row],[Material Codes]],"|"),_xlfn.LAMBDA(_xlpm.a,SUMIFS(salesALL[qty in no],salesALL[MATERAIL NUMBER],_xlpm.a))))</f>
        <v>0</v>
      </c>
      <c r="K44" s="177">
        <v>6000</v>
      </c>
    </row>
    <row r="45" spans="1:11" x14ac:dyDescent="0.25">
      <c r="A45" s="176">
        <v>57.15</v>
      </c>
      <c r="B45" s="1">
        <v>57.15</v>
      </c>
      <c r="C45" s="1">
        <v>0</v>
      </c>
      <c r="D45" s="1">
        <v>2.5</v>
      </c>
      <c r="E45" s="24">
        <v>346</v>
      </c>
      <c r="F45" s="24" t="s">
        <v>397</v>
      </c>
      <c r="G45" s="24" t="s">
        <v>5221</v>
      </c>
      <c r="H45" s="24" t="s">
        <v>6131</v>
      </c>
      <c r="I45" s="2">
        <v>0</v>
      </c>
      <c r="J45" s="2" cm="1">
        <f t="array" ref="J45">SUM(_xlfn.MAP(_xlfn.TEXTSPLIT(anglecut[[#This Row],[Material Codes]],"|"),_xlfn.LAMBDA(_xlpm.a,SUMIFS(salesALL[qty in no],salesALL[MATERAIL NUMBER],_xlpm.a))))</f>
        <v>0</v>
      </c>
      <c r="K45" s="177">
        <v>0</v>
      </c>
    </row>
    <row r="46" spans="1:11" x14ac:dyDescent="0.25">
      <c r="A46" s="176">
        <v>70</v>
      </c>
      <c r="B46" s="1">
        <v>70</v>
      </c>
      <c r="C46" s="1">
        <v>0</v>
      </c>
      <c r="D46" s="1">
        <v>3.2</v>
      </c>
      <c r="E46" s="22">
        <v>490</v>
      </c>
      <c r="F46" s="22" t="s">
        <v>397</v>
      </c>
      <c r="G46" s="22" t="s">
        <v>916</v>
      </c>
      <c r="H46" s="24" t="s">
        <v>6132</v>
      </c>
      <c r="I46" s="2">
        <v>2000</v>
      </c>
      <c r="J46" s="2" cm="1">
        <f t="array" ref="J46">SUM(_xlfn.MAP(_xlfn.TEXTSPLIT(anglecut[[#This Row],[Material Codes]],"|"),_xlfn.LAMBDA(_xlpm.a,SUMIFS(salesALL[qty in no],salesALL[MATERAIL NUMBER],_xlpm.a))))</f>
        <v>2750</v>
      </c>
      <c r="K46" s="177">
        <v>940</v>
      </c>
    </row>
    <row r="47" spans="1:11" x14ac:dyDescent="0.25">
      <c r="A47" s="176">
        <v>57.15</v>
      </c>
      <c r="B47" s="1">
        <v>57.15</v>
      </c>
      <c r="C47" s="1">
        <v>0</v>
      </c>
      <c r="D47" s="1">
        <v>2</v>
      </c>
      <c r="E47" s="24">
        <v>713</v>
      </c>
      <c r="F47" s="22" t="s">
        <v>397</v>
      </c>
      <c r="G47" s="22" t="s">
        <v>913</v>
      </c>
      <c r="H47" s="24" t="s">
        <v>1743</v>
      </c>
      <c r="I47" s="2">
        <v>4550</v>
      </c>
      <c r="J47" s="2" cm="1">
        <f t="array" ref="J47">SUM(_xlfn.MAP(_xlfn.TEXTSPLIT(anglecut[[#This Row],[Material Codes]],"|"),_xlfn.LAMBDA(_xlpm.a,SUMIFS(salesALL[qty in no],salesALL[MATERAIL NUMBER],_xlpm.a))))</f>
        <v>0</v>
      </c>
      <c r="K47" s="177">
        <v>286</v>
      </c>
    </row>
    <row r="48" spans="1:11" x14ac:dyDescent="0.25">
      <c r="A48" s="176">
        <v>57.15</v>
      </c>
      <c r="B48" s="1">
        <v>57.15</v>
      </c>
      <c r="C48" s="1">
        <v>0</v>
      </c>
      <c r="D48" s="1">
        <v>2.5</v>
      </c>
      <c r="E48" s="24">
        <v>326</v>
      </c>
      <c r="F48" s="22" t="s">
        <v>397</v>
      </c>
      <c r="G48" s="22" t="s">
        <v>5219</v>
      </c>
      <c r="H48" s="24" t="s">
        <v>6133</v>
      </c>
      <c r="I48" s="2">
        <v>10553</v>
      </c>
      <c r="J48" s="2" cm="1">
        <f t="array" ref="J48">SUM(_xlfn.MAP(_xlfn.TEXTSPLIT(anglecut[[#This Row],[Material Codes]],"|"),_xlfn.LAMBDA(_xlpm.a,SUMIFS(salesALL[qty in no],salesALL[MATERAIL NUMBER],_xlpm.a))))</f>
        <v>0</v>
      </c>
      <c r="K48" s="177">
        <v>10553</v>
      </c>
    </row>
    <row r="49" spans="1:11" x14ac:dyDescent="0.25">
      <c r="A49" s="180">
        <v>57.15</v>
      </c>
      <c r="B49" s="129">
        <v>57.15</v>
      </c>
      <c r="C49" s="129">
        <v>0</v>
      </c>
      <c r="D49" s="129">
        <v>2.5</v>
      </c>
      <c r="E49" s="181">
        <v>526</v>
      </c>
      <c r="F49" s="182" t="s">
        <v>397</v>
      </c>
      <c r="G49" s="182" t="s">
        <v>5231</v>
      </c>
      <c r="H49" s="24" t="s">
        <v>6134</v>
      </c>
      <c r="I49" s="100">
        <v>6837</v>
      </c>
      <c r="J49" s="2" cm="1">
        <f t="array" ref="J49">SUM(_xlfn.MAP(_xlfn.TEXTSPLIT(anglecut[[#This Row],[Material Codes]],"|"),_xlfn.LAMBDA(_xlpm.a,SUMIFS(salesALL[qty in no],salesALL[MATERAIL NUMBER],_xlpm.a))))</f>
        <v>0</v>
      </c>
      <c r="K49" s="184">
        <v>6837</v>
      </c>
    </row>
    <row r="52" spans="1:11" x14ac:dyDescent="0.25">
      <c r="G52">
        <v>3801263</v>
      </c>
      <c r="H52" t="str">
        <f>_xlfn.TEXTJOIN("|",TRUE,G52:G57)</f>
        <v>3801263|424601|1931860</v>
      </c>
    </row>
    <row r="53" spans="1:11" x14ac:dyDescent="0.25">
      <c r="G53">
        <v>424601</v>
      </c>
    </row>
    <row r="54" spans="1:11" x14ac:dyDescent="0.25">
      <c r="G54">
        <v>1931860</v>
      </c>
    </row>
    <row r="68" spans="1:13" x14ac:dyDescent="0.25">
      <c r="J68" s="107">
        <v>45710</v>
      </c>
      <c r="K68" s="107">
        <f>J68+1</f>
        <v>45711</v>
      </c>
      <c r="L68" s="107">
        <f>K68+1</f>
        <v>45712</v>
      </c>
    </row>
    <row r="69" spans="1:13" x14ac:dyDescent="0.25">
      <c r="A69" s="101" t="s">
        <v>199</v>
      </c>
      <c r="B69" s="101" t="s">
        <v>937</v>
      </c>
      <c r="C69" s="101" t="s">
        <v>316</v>
      </c>
      <c r="D69" s="101" t="s">
        <v>317</v>
      </c>
      <c r="E69" s="101" t="s">
        <v>938</v>
      </c>
      <c r="F69" s="101" t="s">
        <v>319</v>
      </c>
      <c r="G69" s="101"/>
      <c r="H69" s="101" t="s">
        <v>939</v>
      </c>
      <c r="I69" s="102" t="s">
        <v>278</v>
      </c>
      <c r="J69" s="101" t="s">
        <v>6135</v>
      </c>
      <c r="K69" s="101" t="s">
        <v>6136</v>
      </c>
      <c r="L69" s="101" t="s">
        <v>6137</v>
      </c>
    </row>
    <row r="70" spans="1:13" x14ac:dyDescent="0.25">
      <c r="A70" s="1" t="s">
        <v>340</v>
      </c>
      <c r="B70" s="1">
        <v>22.23</v>
      </c>
      <c r="C70" s="1">
        <v>22.23</v>
      </c>
      <c r="D70" s="1">
        <v>0</v>
      </c>
      <c r="E70" s="1">
        <v>2</v>
      </c>
      <c r="F70" s="24">
        <v>845</v>
      </c>
      <c r="G70" s="24"/>
      <c r="H70" s="22" t="s">
        <v>397</v>
      </c>
      <c r="I70" s="2"/>
      <c r="J70" s="15"/>
      <c r="K70" s="15"/>
      <c r="L70" s="15"/>
    </row>
    <row r="71" spans="1:13" x14ac:dyDescent="0.25">
      <c r="A71" s="1" t="s">
        <v>340</v>
      </c>
      <c r="B71" s="1">
        <v>22.23</v>
      </c>
      <c r="C71" s="1">
        <v>22.23</v>
      </c>
      <c r="D71" s="1">
        <v>0</v>
      </c>
      <c r="E71" s="1">
        <v>2.6</v>
      </c>
      <c r="F71" s="24">
        <v>872</v>
      </c>
      <c r="G71" s="24"/>
      <c r="H71" s="22" t="s">
        <v>397</v>
      </c>
      <c r="I71" s="2"/>
      <c r="J71" s="15"/>
      <c r="K71" s="15"/>
      <c r="L71" s="15"/>
    </row>
    <row r="72" spans="1:13" x14ac:dyDescent="0.25">
      <c r="A72" s="1" t="s">
        <v>340</v>
      </c>
      <c r="B72" s="1">
        <v>22.23</v>
      </c>
      <c r="C72" s="1">
        <v>22.23</v>
      </c>
      <c r="D72" s="1">
        <v>0</v>
      </c>
      <c r="E72" s="1">
        <v>2.6</v>
      </c>
      <c r="F72" s="24">
        <v>896</v>
      </c>
      <c r="G72" s="24"/>
      <c r="H72" s="22" t="s">
        <v>397</v>
      </c>
      <c r="I72" s="2"/>
      <c r="J72" s="15"/>
      <c r="K72" s="15"/>
      <c r="L72" s="15"/>
    </row>
    <row r="73" spans="1:13" x14ac:dyDescent="0.25">
      <c r="A73" s="1" t="s">
        <v>340</v>
      </c>
      <c r="B73" s="1">
        <v>22.23</v>
      </c>
      <c r="C73" s="1">
        <v>22.23</v>
      </c>
      <c r="D73" s="1">
        <v>0</v>
      </c>
      <c r="E73" s="1">
        <v>2.6</v>
      </c>
      <c r="F73" s="24">
        <v>907</v>
      </c>
      <c r="G73" s="24"/>
      <c r="H73" s="22" t="s">
        <v>397</v>
      </c>
      <c r="I73" s="2"/>
      <c r="J73" s="15"/>
      <c r="K73" s="15"/>
      <c r="L73" s="15"/>
    </row>
    <row r="74" spans="1:13" x14ac:dyDescent="0.25">
      <c r="A74" s="1" t="s">
        <v>340</v>
      </c>
      <c r="B74" s="1">
        <v>29.4</v>
      </c>
      <c r="C74" s="1">
        <v>29.4</v>
      </c>
      <c r="D74" s="1">
        <v>20.399999999999999</v>
      </c>
      <c r="E74" s="1">
        <v>4.5</v>
      </c>
      <c r="F74" s="24">
        <v>376</v>
      </c>
      <c r="G74" s="24"/>
      <c r="H74" s="22" t="s">
        <v>397</v>
      </c>
      <c r="I74" s="2"/>
      <c r="J74" s="15"/>
      <c r="K74" s="15"/>
      <c r="L74" s="15"/>
    </row>
    <row r="75" spans="1:13" x14ac:dyDescent="0.25">
      <c r="A75" s="1" t="s">
        <v>6097</v>
      </c>
      <c r="B75" s="1">
        <v>29.4</v>
      </c>
      <c r="C75" s="1">
        <v>29.4</v>
      </c>
      <c r="D75" s="1">
        <v>20.399999999999999</v>
      </c>
      <c r="E75" s="1">
        <v>4.5</v>
      </c>
      <c r="F75" s="24">
        <v>360</v>
      </c>
      <c r="G75" s="24"/>
      <c r="H75" s="22" t="s">
        <v>397</v>
      </c>
      <c r="I75" s="2">
        <v>5000</v>
      </c>
      <c r="J75" s="15"/>
      <c r="K75" s="15"/>
      <c r="L75" s="15"/>
    </row>
    <row r="76" spans="1:13" x14ac:dyDescent="0.25">
      <c r="A76" s="1" t="s">
        <v>6094</v>
      </c>
      <c r="B76" s="1">
        <v>29.4</v>
      </c>
      <c r="C76" s="1">
        <v>29.4</v>
      </c>
      <c r="D76" s="1">
        <v>20.399999999999999</v>
      </c>
      <c r="E76" s="1">
        <v>4.5</v>
      </c>
      <c r="F76" s="24">
        <v>361</v>
      </c>
      <c r="G76" s="24"/>
      <c r="H76" s="22" t="s">
        <v>397</v>
      </c>
      <c r="I76" s="2"/>
      <c r="J76" s="15"/>
      <c r="K76" s="15"/>
      <c r="L76" s="15"/>
    </row>
    <row r="77" spans="1:13" x14ac:dyDescent="0.25">
      <c r="A77" s="1" t="s">
        <v>6094</v>
      </c>
      <c r="B77" s="1">
        <v>29.4</v>
      </c>
      <c r="C77" s="1">
        <v>29.4</v>
      </c>
      <c r="D77" s="1">
        <v>20.399999999999999</v>
      </c>
      <c r="E77" s="1">
        <v>4.5</v>
      </c>
      <c r="F77" s="24">
        <v>361</v>
      </c>
      <c r="G77" s="24"/>
      <c r="H77" s="22" t="s">
        <v>397</v>
      </c>
      <c r="I77" s="2"/>
      <c r="J77" s="15"/>
      <c r="K77" s="15"/>
      <c r="L77" s="15"/>
      <c r="M77" t="s">
        <v>5954</v>
      </c>
    </row>
    <row r="78" spans="1:13" x14ac:dyDescent="0.25">
      <c r="A78" s="1" t="s">
        <v>6097</v>
      </c>
      <c r="B78" s="1">
        <v>29.4</v>
      </c>
      <c r="C78" s="1">
        <v>29.4</v>
      </c>
      <c r="D78" s="1">
        <v>20.399999999999999</v>
      </c>
      <c r="E78" s="1">
        <v>4.5</v>
      </c>
      <c r="F78" s="23">
        <v>357</v>
      </c>
      <c r="G78" s="23"/>
      <c r="H78" s="22" t="s">
        <v>397</v>
      </c>
      <c r="I78" s="2">
        <v>8000</v>
      </c>
      <c r="J78" s="15"/>
      <c r="K78" s="15"/>
      <c r="L78" s="15"/>
    </row>
    <row r="79" spans="1:13" x14ac:dyDescent="0.25">
      <c r="A79" s="1" t="s">
        <v>357</v>
      </c>
      <c r="B79" s="1">
        <v>30.15</v>
      </c>
      <c r="C79" s="1">
        <v>30</v>
      </c>
      <c r="D79" s="1">
        <v>25.5</v>
      </c>
      <c r="E79" s="1">
        <v>2.25</v>
      </c>
      <c r="F79" s="24">
        <v>465</v>
      </c>
      <c r="G79" s="24"/>
      <c r="H79" s="22" t="s">
        <v>397</v>
      </c>
      <c r="I79" s="2">
        <v>10000</v>
      </c>
      <c r="J79" s="15"/>
      <c r="K79" s="15"/>
      <c r="L79" s="15"/>
    </row>
    <row r="80" spans="1:13" x14ac:dyDescent="0.25">
      <c r="A80" s="1" t="s">
        <v>357</v>
      </c>
      <c r="B80" s="1">
        <v>30.15</v>
      </c>
      <c r="C80" s="1">
        <v>30</v>
      </c>
      <c r="D80" s="1">
        <v>25.5</v>
      </c>
      <c r="E80" s="1">
        <v>2.25</v>
      </c>
      <c r="F80" s="24">
        <v>485</v>
      </c>
      <c r="G80" s="24"/>
      <c r="H80" s="22" t="s">
        <v>397</v>
      </c>
      <c r="I80" s="2">
        <v>20000</v>
      </c>
      <c r="J80" s="15"/>
      <c r="K80" s="15"/>
      <c r="L80" s="15"/>
    </row>
    <row r="81" spans="1:12" x14ac:dyDescent="0.25">
      <c r="A81" s="1" t="s">
        <v>357</v>
      </c>
      <c r="B81" s="1">
        <v>30.15</v>
      </c>
      <c r="C81" s="1">
        <v>30</v>
      </c>
      <c r="D81" s="1">
        <v>25.5</v>
      </c>
      <c r="E81" s="1">
        <v>2.25</v>
      </c>
      <c r="F81" s="24">
        <v>485</v>
      </c>
      <c r="G81" s="24"/>
      <c r="H81" s="22" t="s">
        <v>397</v>
      </c>
      <c r="I81" s="2"/>
      <c r="J81" s="15"/>
      <c r="K81" s="15"/>
      <c r="L81" s="15"/>
    </row>
    <row r="82" spans="1:12" x14ac:dyDescent="0.25">
      <c r="A82" s="1" t="s">
        <v>357</v>
      </c>
      <c r="B82" s="1">
        <v>37.6</v>
      </c>
      <c r="C82" s="1">
        <v>37.6</v>
      </c>
      <c r="D82" s="1">
        <v>0</v>
      </c>
      <c r="E82" s="1">
        <v>3.2</v>
      </c>
      <c r="F82" s="24">
        <v>295</v>
      </c>
      <c r="G82" s="24"/>
      <c r="H82" s="22" t="s">
        <v>397</v>
      </c>
      <c r="I82" s="2">
        <v>5000</v>
      </c>
      <c r="J82" s="15"/>
      <c r="K82" s="15"/>
      <c r="L82" s="15"/>
    </row>
    <row r="83" spans="1:12" x14ac:dyDescent="0.25">
      <c r="A83" s="1" t="s">
        <v>357</v>
      </c>
      <c r="B83" s="1">
        <v>39</v>
      </c>
      <c r="C83" s="1">
        <v>39</v>
      </c>
      <c r="D83" s="1">
        <v>34</v>
      </c>
      <c r="E83" s="1">
        <v>2.5</v>
      </c>
      <c r="F83" s="24">
        <v>271.5</v>
      </c>
      <c r="G83" s="24"/>
      <c r="H83" s="22" t="s">
        <v>397</v>
      </c>
      <c r="I83" s="2">
        <v>5000</v>
      </c>
      <c r="J83" s="15"/>
      <c r="K83" s="15"/>
      <c r="L83" s="15"/>
    </row>
    <row r="84" spans="1:12" x14ac:dyDescent="0.25">
      <c r="A84" s="1" t="s">
        <v>357</v>
      </c>
      <c r="B84" s="1">
        <v>39</v>
      </c>
      <c r="C84" s="1">
        <v>39</v>
      </c>
      <c r="D84" s="1">
        <v>34</v>
      </c>
      <c r="E84" s="1">
        <v>2.5</v>
      </c>
      <c r="F84" s="24">
        <v>272</v>
      </c>
      <c r="G84" s="24"/>
      <c r="H84" s="22" t="s">
        <v>397</v>
      </c>
      <c r="I84" s="2">
        <v>5000</v>
      </c>
      <c r="J84" s="15"/>
      <c r="K84" s="15"/>
      <c r="L84" s="15"/>
    </row>
    <row r="85" spans="1:12" x14ac:dyDescent="0.25">
      <c r="A85" s="1" t="s">
        <v>340</v>
      </c>
      <c r="B85" s="1">
        <v>41.28</v>
      </c>
      <c r="C85" s="1">
        <v>41.28</v>
      </c>
      <c r="D85" s="1">
        <v>0</v>
      </c>
      <c r="E85" s="1">
        <v>2.4</v>
      </c>
      <c r="F85" s="24">
        <v>204.5</v>
      </c>
      <c r="G85" s="24"/>
      <c r="H85" s="22" t="s">
        <v>397</v>
      </c>
      <c r="I85" s="2"/>
      <c r="J85" s="15"/>
      <c r="K85" s="15"/>
      <c r="L85" s="15"/>
    </row>
    <row r="86" spans="1:12" x14ac:dyDescent="0.25">
      <c r="A86" s="1" t="s">
        <v>340</v>
      </c>
      <c r="B86" s="1">
        <v>41.28</v>
      </c>
      <c r="C86" s="1">
        <v>41.28</v>
      </c>
      <c r="D86" s="1">
        <v>0</v>
      </c>
      <c r="E86" s="1">
        <v>3.2</v>
      </c>
      <c r="F86" s="24">
        <v>230</v>
      </c>
      <c r="G86" s="24"/>
      <c r="H86" s="22" t="s">
        <v>397</v>
      </c>
      <c r="I86" s="2"/>
      <c r="J86" s="15"/>
      <c r="K86" s="15"/>
      <c r="L86" s="15"/>
    </row>
    <row r="87" spans="1:12" x14ac:dyDescent="0.25">
      <c r="A87" s="1" t="s">
        <v>340</v>
      </c>
      <c r="B87" s="1">
        <v>41.28</v>
      </c>
      <c r="C87" s="1">
        <v>41.28</v>
      </c>
      <c r="D87" s="1">
        <v>0</v>
      </c>
      <c r="E87" s="1">
        <v>3.2</v>
      </c>
      <c r="F87" s="24">
        <v>246</v>
      </c>
      <c r="G87" s="24"/>
      <c r="H87" s="22" t="s">
        <v>397</v>
      </c>
      <c r="I87" s="2"/>
      <c r="J87" s="15"/>
      <c r="K87" s="15"/>
      <c r="L87" s="15"/>
    </row>
    <row r="88" spans="1:12" x14ac:dyDescent="0.25">
      <c r="A88" s="1" t="s">
        <v>340</v>
      </c>
      <c r="B88" s="1">
        <v>42.7</v>
      </c>
      <c r="C88" s="1">
        <v>42.7</v>
      </c>
      <c r="D88" s="1">
        <v>0</v>
      </c>
      <c r="E88" s="1">
        <v>3.5</v>
      </c>
      <c r="F88" s="22">
        <v>210</v>
      </c>
      <c r="G88" s="22"/>
      <c r="H88" s="22" t="s">
        <v>397</v>
      </c>
      <c r="I88" s="2">
        <v>6000</v>
      </c>
      <c r="J88" s="15"/>
      <c r="K88" s="15"/>
      <c r="L88" s="15"/>
    </row>
    <row r="89" spans="1:12" x14ac:dyDescent="0.25">
      <c r="A89" s="1" t="s">
        <v>340</v>
      </c>
      <c r="B89" s="1">
        <v>42.7</v>
      </c>
      <c r="C89" s="1">
        <v>42.7</v>
      </c>
      <c r="D89" s="1">
        <v>0</v>
      </c>
      <c r="E89" s="1">
        <v>3.5</v>
      </c>
      <c r="F89" s="24">
        <v>208</v>
      </c>
      <c r="G89" s="24"/>
      <c r="H89" s="22" t="s">
        <v>397</v>
      </c>
      <c r="I89" s="2">
        <v>5000</v>
      </c>
      <c r="J89" s="15"/>
      <c r="K89" s="15"/>
      <c r="L89" s="15"/>
    </row>
    <row r="90" spans="1:12" x14ac:dyDescent="0.25">
      <c r="A90" s="1" t="s">
        <v>340</v>
      </c>
      <c r="B90" s="1">
        <v>42.7</v>
      </c>
      <c r="C90" s="1">
        <v>42.7</v>
      </c>
      <c r="D90" s="1">
        <v>0</v>
      </c>
      <c r="E90" s="1">
        <v>3.5</v>
      </c>
      <c r="F90" s="24">
        <v>247</v>
      </c>
      <c r="G90" s="24"/>
      <c r="H90" s="22" t="s">
        <v>397</v>
      </c>
      <c r="I90" s="2"/>
      <c r="J90" s="15"/>
      <c r="K90" s="15"/>
      <c r="L90" s="15"/>
    </row>
    <row r="91" spans="1:12" x14ac:dyDescent="0.25">
      <c r="A91" s="1" t="s">
        <v>340</v>
      </c>
      <c r="B91" s="1">
        <v>42.7</v>
      </c>
      <c r="C91" s="1">
        <v>42.7</v>
      </c>
      <c r="D91" s="1">
        <v>0</v>
      </c>
      <c r="E91" s="1">
        <v>4</v>
      </c>
      <c r="F91" s="23">
        <v>254</v>
      </c>
      <c r="G91" s="23"/>
      <c r="H91" s="22" t="s">
        <v>397</v>
      </c>
      <c r="I91" s="2">
        <v>5000</v>
      </c>
      <c r="J91" s="15"/>
      <c r="K91" s="15"/>
      <c r="L91" s="15"/>
    </row>
    <row r="92" spans="1:12" x14ac:dyDescent="0.25">
      <c r="A92" s="1" t="s">
        <v>340</v>
      </c>
      <c r="B92" s="1">
        <v>42.7</v>
      </c>
      <c r="C92" s="1">
        <v>42.7</v>
      </c>
      <c r="D92" s="1">
        <v>0</v>
      </c>
      <c r="E92" s="1">
        <v>4</v>
      </c>
      <c r="F92" s="24">
        <v>235</v>
      </c>
      <c r="G92" s="24"/>
      <c r="H92" s="22" t="s">
        <v>397</v>
      </c>
      <c r="I92" s="2">
        <v>3000</v>
      </c>
      <c r="J92" s="15"/>
      <c r="K92" s="15"/>
      <c r="L92" s="15"/>
    </row>
    <row r="93" spans="1:12" x14ac:dyDescent="0.25">
      <c r="A93" s="1" t="s">
        <v>340</v>
      </c>
      <c r="B93" s="1">
        <v>42.7</v>
      </c>
      <c r="C93" s="1">
        <v>42.7</v>
      </c>
      <c r="D93" s="1">
        <v>0</v>
      </c>
      <c r="E93" s="1">
        <v>4</v>
      </c>
      <c r="F93" s="24">
        <v>215</v>
      </c>
      <c r="G93" s="24"/>
      <c r="H93" s="22" t="s">
        <v>397</v>
      </c>
      <c r="I93" s="2">
        <v>7000</v>
      </c>
      <c r="J93" s="15"/>
      <c r="K93" s="15"/>
      <c r="L93" s="15"/>
    </row>
    <row r="94" spans="1:12" x14ac:dyDescent="0.25">
      <c r="A94" s="1" t="s">
        <v>340</v>
      </c>
      <c r="B94" s="1">
        <v>42.7</v>
      </c>
      <c r="C94" s="1">
        <v>42.7</v>
      </c>
      <c r="D94" s="1">
        <v>0</v>
      </c>
      <c r="E94" s="1">
        <v>4</v>
      </c>
      <c r="F94" s="24">
        <v>290</v>
      </c>
      <c r="G94" s="24"/>
      <c r="H94" s="22" t="s">
        <v>397</v>
      </c>
      <c r="I94" s="2">
        <v>2000</v>
      </c>
      <c r="J94" s="15"/>
      <c r="K94" s="15"/>
      <c r="L94" s="15"/>
    </row>
    <row r="95" spans="1:12" x14ac:dyDescent="0.25">
      <c r="A95" s="1" t="s">
        <v>357</v>
      </c>
      <c r="B95" s="1">
        <v>47.63</v>
      </c>
      <c r="C95" s="1">
        <v>47.63</v>
      </c>
      <c r="D95" s="1">
        <v>0</v>
      </c>
      <c r="E95" s="1">
        <v>4</v>
      </c>
      <c r="F95" s="103">
        <v>0.21199999999999999</v>
      </c>
      <c r="G95" s="103"/>
      <c r="H95" s="22" t="s">
        <v>397</v>
      </c>
      <c r="I95" s="2"/>
      <c r="J95" s="15"/>
      <c r="K95" s="15"/>
      <c r="L95" s="15"/>
    </row>
    <row r="96" spans="1:12" x14ac:dyDescent="0.25">
      <c r="A96" s="1" t="s">
        <v>357</v>
      </c>
      <c r="B96" s="1">
        <v>47.63</v>
      </c>
      <c r="C96" s="1">
        <v>47.63</v>
      </c>
      <c r="D96" s="1">
        <v>0</v>
      </c>
      <c r="E96" s="1">
        <v>4</v>
      </c>
      <c r="F96" s="103">
        <v>0.215</v>
      </c>
      <c r="G96" s="103"/>
      <c r="H96" s="22" t="s">
        <v>397</v>
      </c>
      <c r="I96" s="2"/>
      <c r="J96" s="15"/>
      <c r="K96" s="15"/>
      <c r="L96" s="15"/>
    </row>
    <row r="97" spans="1:23" x14ac:dyDescent="0.25">
      <c r="A97" s="1" t="s">
        <v>340</v>
      </c>
      <c r="B97" s="1">
        <v>48.6</v>
      </c>
      <c r="C97" s="1">
        <v>48.6</v>
      </c>
      <c r="D97" s="1">
        <v>0</v>
      </c>
      <c r="E97" s="1">
        <v>3.5</v>
      </c>
      <c r="F97" s="24">
        <v>185</v>
      </c>
      <c r="G97" s="24"/>
      <c r="H97" s="22" t="s">
        <v>397</v>
      </c>
      <c r="I97" s="2">
        <v>4000</v>
      </c>
      <c r="J97" s="15"/>
      <c r="K97" s="15"/>
      <c r="L97" s="15"/>
    </row>
    <row r="98" spans="1:23" x14ac:dyDescent="0.25">
      <c r="A98" s="1" t="s">
        <v>340</v>
      </c>
      <c r="B98" s="1">
        <v>48.6</v>
      </c>
      <c r="C98" s="1">
        <v>48.6</v>
      </c>
      <c r="D98" s="1">
        <v>0</v>
      </c>
      <c r="E98" s="1">
        <v>3.5</v>
      </c>
      <c r="F98" s="22">
        <v>196</v>
      </c>
      <c r="G98" s="22"/>
      <c r="H98" s="22" t="s">
        <v>397</v>
      </c>
      <c r="I98" s="2"/>
      <c r="J98" s="15"/>
      <c r="K98" s="15"/>
      <c r="L98" s="15"/>
    </row>
    <row r="99" spans="1:23" x14ac:dyDescent="0.25">
      <c r="A99" s="1" t="s">
        <v>340</v>
      </c>
      <c r="B99" s="1">
        <v>48.6</v>
      </c>
      <c r="C99" s="1">
        <v>48.6</v>
      </c>
      <c r="D99" s="1">
        <v>0</v>
      </c>
      <c r="E99" s="1">
        <v>3.5</v>
      </c>
      <c r="F99" s="24">
        <v>202.5</v>
      </c>
      <c r="G99" s="24"/>
      <c r="H99" s="22" t="s">
        <v>397</v>
      </c>
      <c r="I99" s="2"/>
      <c r="J99" s="15"/>
      <c r="K99" s="15"/>
      <c r="L99" s="15"/>
    </row>
    <row r="100" spans="1:23" x14ac:dyDescent="0.25">
      <c r="A100" s="1" t="s">
        <v>357</v>
      </c>
      <c r="B100" s="1">
        <v>50.8</v>
      </c>
      <c r="C100" s="1">
        <v>50.8</v>
      </c>
      <c r="D100" s="1">
        <v>0</v>
      </c>
      <c r="E100" s="1">
        <v>2.6</v>
      </c>
      <c r="F100" s="24">
        <v>142</v>
      </c>
      <c r="G100" s="24"/>
      <c r="H100" s="22" t="s">
        <v>397</v>
      </c>
      <c r="I100" s="2"/>
      <c r="J100" s="15"/>
      <c r="K100" s="15"/>
      <c r="L100" s="15"/>
    </row>
    <row r="101" spans="1:23" x14ac:dyDescent="0.25">
      <c r="A101" s="1" t="s">
        <v>340</v>
      </c>
      <c r="B101" s="1">
        <v>50.8</v>
      </c>
      <c r="C101" s="1">
        <v>50.8</v>
      </c>
      <c r="D101" s="1">
        <v>0</v>
      </c>
      <c r="E101" s="1">
        <v>2.6</v>
      </c>
      <c r="F101" s="24">
        <v>130</v>
      </c>
      <c r="G101" s="24"/>
      <c r="H101" s="22" t="s">
        <v>397</v>
      </c>
      <c r="I101" s="2"/>
      <c r="J101" s="15"/>
      <c r="K101" s="15"/>
      <c r="L101" s="15"/>
    </row>
    <row r="104" spans="1:23" x14ac:dyDescent="0.25">
      <c r="A104" s="101" t="s">
        <v>199</v>
      </c>
      <c r="B104" s="101" t="s">
        <v>937</v>
      </c>
      <c r="C104" s="101" t="s">
        <v>316</v>
      </c>
      <c r="D104" s="101" t="s">
        <v>317</v>
      </c>
      <c r="E104" s="101" t="s">
        <v>938</v>
      </c>
      <c r="F104" s="101" t="s">
        <v>319</v>
      </c>
      <c r="G104" s="101" t="s">
        <v>258</v>
      </c>
      <c r="H104" s="101" t="s">
        <v>6085</v>
      </c>
      <c r="I104" s="101" t="s">
        <v>939</v>
      </c>
      <c r="J104" s="101" t="s">
        <v>278</v>
      </c>
      <c r="K104" s="102" t="s">
        <v>940</v>
      </c>
      <c r="L104" s="191" t="s">
        <v>941</v>
      </c>
      <c r="M104" s="101" t="s">
        <v>1801</v>
      </c>
      <c r="N104" s="194">
        <v>45757</v>
      </c>
      <c r="O104" s="194">
        <f>N104+1</f>
        <v>45758</v>
      </c>
      <c r="P104" s="194">
        <f>O104+1</f>
        <v>45759</v>
      </c>
      <c r="Q104" s="194">
        <f>P104+1</f>
        <v>45760</v>
      </c>
      <c r="R104" s="194" t="s">
        <v>6138</v>
      </c>
      <c r="S104" s="194" t="s">
        <v>6139</v>
      </c>
      <c r="T104" s="194">
        <v>45762</v>
      </c>
      <c r="U104" s="194">
        <v>45763</v>
      </c>
      <c r="V104" s="194">
        <v>45794</v>
      </c>
      <c r="W104" s="194">
        <v>45795</v>
      </c>
    </row>
    <row r="105" spans="1:23" x14ac:dyDescent="0.25">
      <c r="A105" s="1" t="s">
        <v>6094</v>
      </c>
      <c r="B105" s="1">
        <v>29.4</v>
      </c>
      <c r="C105" s="1">
        <v>29.4</v>
      </c>
      <c r="D105" s="1">
        <v>20.399999999999999</v>
      </c>
      <c r="E105" s="1">
        <v>4.5</v>
      </c>
      <c r="F105" s="1">
        <v>376</v>
      </c>
      <c r="G105" s="1" t="s">
        <v>6140</v>
      </c>
      <c r="H105" s="24" t="s">
        <v>5954</v>
      </c>
      <c r="I105" s="24" t="s">
        <v>397</v>
      </c>
      <c r="J105" s="22">
        <v>5000</v>
      </c>
      <c r="K105" s="2">
        <v>0</v>
      </c>
      <c r="L105" s="4">
        <v>5000</v>
      </c>
      <c r="M105" s="15">
        <v>4731</v>
      </c>
      <c r="N105" s="15"/>
      <c r="O105" s="15"/>
      <c r="P105" s="15"/>
      <c r="Q105" s="15"/>
      <c r="R105" s="15">
        <v>1500</v>
      </c>
    </row>
    <row r="106" spans="1:23" x14ac:dyDescent="0.25">
      <c r="A106" s="1" t="s">
        <v>6097</v>
      </c>
      <c r="B106" s="1">
        <v>29.4</v>
      </c>
      <c r="C106" s="1">
        <v>29.4</v>
      </c>
      <c r="D106" s="1">
        <v>20.399999999999999</v>
      </c>
      <c r="E106" s="1">
        <v>4.5</v>
      </c>
      <c r="F106" s="1">
        <v>360</v>
      </c>
      <c r="G106" s="1" t="s">
        <v>6140</v>
      </c>
      <c r="H106" s="24" t="s">
        <v>5954</v>
      </c>
      <c r="I106" s="24" t="s">
        <v>397</v>
      </c>
      <c r="J106" s="22">
        <v>22000</v>
      </c>
      <c r="K106" s="2">
        <v>0</v>
      </c>
      <c r="L106" s="4">
        <v>22000</v>
      </c>
      <c r="M106" s="15">
        <v>4731</v>
      </c>
      <c r="N106" s="15"/>
      <c r="O106" s="15"/>
      <c r="P106" s="15"/>
      <c r="Q106" s="15"/>
      <c r="R106" s="15">
        <v>2000</v>
      </c>
    </row>
    <row r="107" spans="1:23" x14ac:dyDescent="0.25">
      <c r="A107" s="1" t="s">
        <v>6094</v>
      </c>
      <c r="B107" s="1">
        <v>29.4</v>
      </c>
      <c r="C107" s="1">
        <v>29.4</v>
      </c>
      <c r="D107" s="1">
        <v>20.399999999999999</v>
      </c>
      <c r="E107" s="1">
        <v>4.5</v>
      </c>
      <c r="F107" s="1">
        <v>361</v>
      </c>
      <c r="G107" s="1" t="s">
        <v>6095</v>
      </c>
      <c r="H107" s="24" t="s">
        <v>5954</v>
      </c>
      <c r="I107" s="24" t="s">
        <v>397</v>
      </c>
      <c r="J107" s="22">
        <v>5000</v>
      </c>
      <c r="K107" s="2">
        <v>0</v>
      </c>
      <c r="L107" s="4">
        <v>5000</v>
      </c>
      <c r="M107" s="15">
        <v>4731</v>
      </c>
      <c r="N107" s="15"/>
      <c r="O107" s="15"/>
      <c r="P107" s="15"/>
      <c r="Q107" s="15"/>
      <c r="R107" s="15"/>
    </row>
    <row r="108" spans="1:23" x14ac:dyDescent="0.25">
      <c r="A108" s="1" t="s">
        <v>6097</v>
      </c>
      <c r="B108" s="1">
        <v>29.4</v>
      </c>
      <c r="C108" s="1">
        <v>29.4</v>
      </c>
      <c r="D108" s="1">
        <v>20.399999999999999</v>
      </c>
      <c r="E108" s="1">
        <v>4.5</v>
      </c>
      <c r="F108" s="1">
        <v>357</v>
      </c>
      <c r="G108" s="1" t="s">
        <v>6095</v>
      </c>
      <c r="H108" s="23" t="s">
        <v>5954</v>
      </c>
      <c r="I108" s="24" t="s">
        <v>397</v>
      </c>
      <c r="J108" s="22">
        <v>8000</v>
      </c>
      <c r="K108" s="2">
        <v>0</v>
      </c>
      <c r="L108" s="4">
        <v>8000</v>
      </c>
      <c r="M108" s="15">
        <v>4731</v>
      </c>
      <c r="N108" s="15"/>
      <c r="O108" s="15"/>
      <c r="P108" s="15"/>
      <c r="Q108" s="15"/>
      <c r="R108" s="15"/>
    </row>
    <row r="109" spans="1:23" x14ac:dyDescent="0.25">
      <c r="A109" s="1" t="s">
        <v>340</v>
      </c>
      <c r="B109" s="1">
        <v>41.28</v>
      </c>
      <c r="C109" s="1">
        <v>41.28</v>
      </c>
      <c r="D109" s="1">
        <v>0</v>
      </c>
      <c r="E109" s="1">
        <v>2.4</v>
      </c>
      <c r="F109" s="1">
        <v>204.5</v>
      </c>
      <c r="G109" s="1" t="s">
        <v>6106</v>
      </c>
      <c r="H109" s="24" t="s">
        <v>5954</v>
      </c>
      <c r="I109" s="24" t="s">
        <v>397</v>
      </c>
      <c r="J109" s="22">
        <v>4000</v>
      </c>
      <c r="K109" s="2">
        <v>4000</v>
      </c>
      <c r="L109" s="4">
        <v>0</v>
      </c>
      <c r="M109" s="15">
        <v>4731</v>
      </c>
      <c r="N109" s="15"/>
      <c r="O109" s="15"/>
      <c r="P109" s="15"/>
      <c r="Q109" s="15"/>
      <c r="R109" s="15"/>
    </row>
    <row r="110" spans="1:23" x14ac:dyDescent="0.25">
      <c r="A110" s="1" t="s">
        <v>340</v>
      </c>
      <c r="B110" s="1">
        <v>41.28</v>
      </c>
      <c r="C110" s="1">
        <v>41.28</v>
      </c>
      <c r="D110" s="1">
        <v>0</v>
      </c>
      <c r="E110" s="1">
        <v>3.2</v>
      </c>
      <c r="F110" s="1">
        <v>230</v>
      </c>
      <c r="G110" s="1" t="s">
        <v>955</v>
      </c>
      <c r="H110" s="24" t="s">
        <v>5954</v>
      </c>
      <c r="I110" s="24" t="s">
        <v>397</v>
      </c>
      <c r="J110" s="22">
        <v>10000</v>
      </c>
      <c r="K110" s="2">
        <v>0</v>
      </c>
      <c r="L110" s="4">
        <v>10000</v>
      </c>
      <c r="M110" s="15">
        <v>4731</v>
      </c>
      <c r="N110" s="15"/>
      <c r="O110" s="15"/>
      <c r="P110" s="15"/>
      <c r="Q110" s="15"/>
      <c r="R110" s="15">
        <v>2500</v>
      </c>
    </row>
    <row r="111" spans="1:23" x14ac:dyDescent="0.25">
      <c r="A111" s="1" t="s">
        <v>340</v>
      </c>
      <c r="B111" s="1">
        <v>41.28</v>
      </c>
      <c r="C111" s="1">
        <v>41.28</v>
      </c>
      <c r="D111" s="1">
        <v>0</v>
      </c>
      <c r="E111" s="1">
        <v>3.2</v>
      </c>
      <c r="F111" s="1">
        <v>246</v>
      </c>
      <c r="G111" s="1" t="s">
        <v>290</v>
      </c>
      <c r="H111" s="24" t="s">
        <v>5954</v>
      </c>
      <c r="I111" s="24" t="s">
        <v>397</v>
      </c>
      <c r="J111" s="22">
        <v>8000</v>
      </c>
      <c r="K111" s="2">
        <v>2359</v>
      </c>
      <c r="L111" s="4">
        <v>5641</v>
      </c>
      <c r="M111" s="15">
        <v>4731</v>
      </c>
      <c r="N111" s="15"/>
      <c r="O111" s="15"/>
      <c r="P111" s="15"/>
      <c r="Q111" s="15"/>
      <c r="R111" s="15"/>
    </row>
    <row r="112" spans="1:23" x14ac:dyDescent="0.25">
      <c r="A112" s="1" t="s">
        <v>340</v>
      </c>
      <c r="B112" s="1">
        <v>42.7</v>
      </c>
      <c r="C112" s="1">
        <v>42.7</v>
      </c>
      <c r="D112" s="1">
        <v>0</v>
      </c>
      <c r="E112" s="1">
        <v>3.5</v>
      </c>
      <c r="F112" s="79">
        <v>210</v>
      </c>
      <c r="G112" s="79" t="s">
        <v>952</v>
      </c>
      <c r="H112" s="22" t="s">
        <v>5954</v>
      </c>
      <c r="I112" s="24" t="s">
        <v>397</v>
      </c>
      <c r="J112" s="22">
        <v>30000</v>
      </c>
      <c r="K112" s="2">
        <v>2520</v>
      </c>
      <c r="L112" s="4">
        <f>J112-K112</f>
        <v>27480</v>
      </c>
      <c r="M112" s="15">
        <v>4318</v>
      </c>
      <c r="N112" s="15">
        <v>1000</v>
      </c>
      <c r="O112" s="15">
        <v>1500</v>
      </c>
      <c r="P112" s="15">
        <v>1500</v>
      </c>
      <c r="Q112" s="15">
        <v>1500</v>
      </c>
      <c r="R112" s="15">
        <f>SUM(N112:Q112)</f>
        <v>5500</v>
      </c>
      <c r="S112" s="15">
        <v>1450</v>
      </c>
      <c r="T112" s="15">
        <v>1000</v>
      </c>
      <c r="U112" s="15">
        <v>1000</v>
      </c>
      <c r="V112" s="15">
        <v>1000</v>
      </c>
      <c r="W112" s="15">
        <v>1000</v>
      </c>
    </row>
    <row r="113" spans="1:23" x14ac:dyDescent="0.25">
      <c r="A113" s="1" t="s">
        <v>340</v>
      </c>
      <c r="B113" s="1">
        <v>42.7</v>
      </c>
      <c r="C113" s="1">
        <v>42.7</v>
      </c>
      <c r="D113" s="1">
        <v>0</v>
      </c>
      <c r="E113" s="1">
        <v>3.5</v>
      </c>
      <c r="F113" s="79">
        <v>208</v>
      </c>
      <c r="G113" s="1" t="s">
        <v>936</v>
      </c>
      <c r="H113" s="24" t="s">
        <v>5954</v>
      </c>
      <c r="I113" s="24" t="s">
        <v>397</v>
      </c>
      <c r="J113" s="22">
        <v>28000</v>
      </c>
      <c r="K113" s="2">
        <v>10700</v>
      </c>
      <c r="L113" s="4">
        <f t="shared" ref="L113:L121" si="4">J113-K113</f>
        <v>17300</v>
      </c>
      <c r="M113" s="15">
        <v>4318</v>
      </c>
      <c r="N113" s="15"/>
      <c r="O113" s="15">
        <v>1000</v>
      </c>
      <c r="P113" s="15">
        <v>1500</v>
      </c>
      <c r="Q113" s="15">
        <v>2000</v>
      </c>
      <c r="R113" s="15">
        <f t="shared" ref="R113:R121" si="5">SUM(N113:Q113)</f>
        <v>4500</v>
      </c>
      <c r="S113" s="15">
        <v>500</v>
      </c>
      <c r="T113" s="15">
        <v>2000</v>
      </c>
      <c r="U113" s="15">
        <v>2000</v>
      </c>
      <c r="V113" s="15">
        <v>1000</v>
      </c>
      <c r="W113" s="15">
        <v>2000</v>
      </c>
    </row>
    <row r="114" spans="1:23" x14ac:dyDescent="0.25">
      <c r="A114" s="1" t="s">
        <v>340</v>
      </c>
      <c r="B114" s="1">
        <v>42.7</v>
      </c>
      <c r="C114" s="1">
        <v>42.7</v>
      </c>
      <c r="D114" s="1">
        <v>0</v>
      </c>
      <c r="E114" s="1">
        <v>3.5</v>
      </c>
      <c r="F114" s="1">
        <v>247</v>
      </c>
      <c r="G114" s="1" t="s">
        <v>343</v>
      </c>
      <c r="H114" s="24" t="s">
        <v>5954</v>
      </c>
      <c r="I114" s="24" t="s">
        <v>397</v>
      </c>
      <c r="J114" s="22">
        <v>11170</v>
      </c>
      <c r="K114" s="2">
        <v>2689.9999999999995</v>
      </c>
      <c r="L114" s="4">
        <f t="shared" si="4"/>
        <v>8480</v>
      </c>
      <c r="M114" s="15">
        <v>4318</v>
      </c>
      <c r="N114" s="15"/>
      <c r="O114" s="15"/>
      <c r="P114" s="15"/>
      <c r="Q114" s="15"/>
      <c r="R114" s="15">
        <f t="shared" si="5"/>
        <v>0</v>
      </c>
      <c r="S114" s="15">
        <v>0</v>
      </c>
      <c r="T114" s="15"/>
      <c r="U114" s="15"/>
      <c r="V114" s="15"/>
      <c r="W114" s="15"/>
    </row>
    <row r="115" spans="1:23" x14ac:dyDescent="0.25">
      <c r="A115" s="1" t="s">
        <v>340</v>
      </c>
      <c r="B115" s="1">
        <v>42.7</v>
      </c>
      <c r="C115" s="1">
        <v>42.7</v>
      </c>
      <c r="D115" s="1">
        <v>0</v>
      </c>
      <c r="E115" s="1">
        <v>4</v>
      </c>
      <c r="F115" s="1">
        <v>254</v>
      </c>
      <c r="G115" s="1" t="s">
        <v>955</v>
      </c>
      <c r="H115" s="23" t="s">
        <v>5954</v>
      </c>
      <c r="I115" s="24" t="s">
        <v>397</v>
      </c>
      <c r="J115" s="22">
        <v>10000</v>
      </c>
      <c r="K115" s="2">
        <v>0</v>
      </c>
      <c r="L115" s="4">
        <f t="shared" si="4"/>
        <v>10000</v>
      </c>
      <c r="M115" s="15">
        <v>4318</v>
      </c>
      <c r="N115" s="15"/>
      <c r="O115" s="15"/>
      <c r="P115" s="15"/>
      <c r="Q115" s="15"/>
      <c r="R115" s="15">
        <f t="shared" si="5"/>
        <v>0</v>
      </c>
      <c r="S115" s="15">
        <v>0</v>
      </c>
      <c r="T115" s="15"/>
      <c r="U115" s="15"/>
      <c r="V115" s="15"/>
      <c r="W115" s="15"/>
    </row>
    <row r="116" spans="1:23" x14ac:dyDescent="0.25">
      <c r="A116" s="1" t="s">
        <v>340</v>
      </c>
      <c r="B116" s="1">
        <v>42.7</v>
      </c>
      <c r="C116" s="1">
        <v>42.7</v>
      </c>
      <c r="D116" s="1">
        <v>0</v>
      </c>
      <c r="E116" s="1">
        <v>4</v>
      </c>
      <c r="F116" s="1">
        <v>235</v>
      </c>
      <c r="G116" s="1" t="s">
        <v>290</v>
      </c>
      <c r="H116" s="24" t="s">
        <v>5954</v>
      </c>
      <c r="I116" s="24" t="s">
        <v>397</v>
      </c>
      <c r="J116" s="22">
        <v>3000</v>
      </c>
      <c r="K116" s="2">
        <v>0</v>
      </c>
      <c r="L116" s="4">
        <f t="shared" si="4"/>
        <v>3000</v>
      </c>
      <c r="M116" s="15">
        <v>4318</v>
      </c>
      <c r="N116" s="15"/>
      <c r="O116" s="15"/>
      <c r="P116" s="15"/>
      <c r="Q116" s="15"/>
      <c r="R116" s="15">
        <f t="shared" si="5"/>
        <v>0</v>
      </c>
      <c r="S116" s="15">
        <v>0</v>
      </c>
      <c r="T116" s="15"/>
      <c r="U116" s="15"/>
      <c r="V116" s="15"/>
      <c r="W116" s="15"/>
    </row>
    <row r="117" spans="1:23" x14ac:dyDescent="0.25">
      <c r="A117" s="1" t="s">
        <v>340</v>
      </c>
      <c r="B117" s="1">
        <v>42.7</v>
      </c>
      <c r="C117" s="1">
        <v>42.7</v>
      </c>
      <c r="D117" s="1">
        <v>0</v>
      </c>
      <c r="E117" s="1">
        <v>4</v>
      </c>
      <c r="F117" s="1">
        <v>215</v>
      </c>
      <c r="G117" s="1" t="s">
        <v>5956</v>
      </c>
      <c r="H117" s="24" t="s">
        <v>5954</v>
      </c>
      <c r="I117" s="24" t="s">
        <v>397</v>
      </c>
      <c r="J117" s="22">
        <v>27167</v>
      </c>
      <c r="K117" s="2">
        <v>17041</v>
      </c>
      <c r="L117" s="4">
        <f t="shared" si="4"/>
        <v>10126</v>
      </c>
      <c r="M117" s="15">
        <v>4318</v>
      </c>
      <c r="N117" s="15">
        <v>1000</v>
      </c>
      <c r="O117" s="15">
        <v>1500</v>
      </c>
      <c r="P117" s="15">
        <v>3000</v>
      </c>
      <c r="Q117" s="15">
        <v>2500</v>
      </c>
      <c r="R117" s="15">
        <f t="shared" si="5"/>
        <v>8000</v>
      </c>
      <c r="S117" s="15">
        <v>5500</v>
      </c>
      <c r="T117" s="15">
        <v>2000</v>
      </c>
      <c r="U117" s="15">
        <v>2000</v>
      </c>
      <c r="V117" s="15">
        <v>2000</v>
      </c>
      <c r="W117" s="15">
        <v>1000</v>
      </c>
    </row>
    <row r="118" spans="1:23" x14ac:dyDescent="0.25">
      <c r="A118" s="1" t="s">
        <v>340</v>
      </c>
      <c r="B118" s="1">
        <v>42.7</v>
      </c>
      <c r="C118" s="1">
        <v>42.7</v>
      </c>
      <c r="D118" s="1">
        <v>0</v>
      </c>
      <c r="E118" s="1">
        <v>4</v>
      </c>
      <c r="F118" s="1">
        <v>290</v>
      </c>
      <c r="G118" s="1" t="s">
        <v>948</v>
      </c>
      <c r="H118" s="24" t="s">
        <v>5954</v>
      </c>
      <c r="I118" s="24" t="s">
        <v>397</v>
      </c>
      <c r="J118" s="22">
        <v>6000</v>
      </c>
      <c r="K118" s="2">
        <v>0</v>
      </c>
      <c r="L118" s="4">
        <f t="shared" si="4"/>
        <v>6000</v>
      </c>
      <c r="M118" s="15">
        <v>4318</v>
      </c>
      <c r="N118" s="15"/>
      <c r="O118" s="15"/>
      <c r="P118" s="15"/>
      <c r="Q118" s="15"/>
      <c r="R118" s="15">
        <f t="shared" si="5"/>
        <v>0</v>
      </c>
      <c r="S118" s="15">
        <v>0</v>
      </c>
      <c r="T118" s="15"/>
      <c r="U118" s="15"/>
      <c r="V118" s="15"/>
      <c r="W118" s="15"/>
    </row>
    <row r="119" spans="1:23" x14ac:dyDescent="0.25">
      <c r="A119" s="1" t="s">
        <v>340</v>
      </c>
      <c r="B119" s="1">
        <v>42.7</v>
      </c>
      <c r="C119" s="1">
        <v>42.7</v>
      </c>
      <c r="D119" s="1">
        <v>0</v>
      </c>
      <c r="E119" s="1">
        <v>4</v>
      </c>
      <c r="F119" s="1">
        <v>344</v>
      </c>
      <c r="G119" s="1" t="s">
        <v>5958</v>
      </c>
      <c r="H119" s="24" t="s">
        <v>5954</v>
      </c>
      <c r="I119" s="24" t="s">
        <v>397</v>
      </c>
      <c r="J119" s="22">
        <v>2000</v>
      </c>
      <c r="K119" s="2">
        <v>0</v>
      </c>
      <c r="L119" s="4">
        <f t="shared" si="4"/>
        <v>2000</v>
      </c>
      <c r="M119" s="15">
        <v>4318</v>
      </c>
      <c r="N119" s="15"/>
      <c r="O119" s="15"/>
      <c r="P119" s="15"/>
      <c r="Q119" s="15"/>
      <c r="R119" s="15">
        <v>0</v>
      </c>
      <c r="S119" s="15">
        <v>0</v>
      </c>
      <c r="T119" s="15">
        <v>1000</v>
      </c>
      <c r="U119" s="15">
        <v>1000</v>
      </c>
      <c r="V119" s="15"/>
      <c r="W119" s="15"/>
    </row>
    <row r="120" spans="1:23" x14ac:dyDescent="0.25">
      <c r="A120" s="1" t="s">
        <v>357</v>
      </c>
      <c r="B120" s="1">
        <v>47.63</v>
      </c>
      <c r="C120" s="1">
        <v>47.63</v>
      </c>
      <c r="D120" s="1">
        <v>0</v>
      </c>
      <c r="E120" s="1">
        <v>4</v>
      </c>
      <c r="F120" s="79">
        <v>212</v>
      </c>
      <c r="G120" s="24" t="s">
        <v>5959</v>
      </c>
      <c r="H120" s="103" t="s">
        <v>5954</v>
      </c>
      <c r="I120" s="24" t="s">
        <v>397</v>
      </c>
      <c r="J120" s="22">
        <v>60000</v>
      </c>
      <c r="K120" s="2">
        <v>8030</v>
      </c>
      <c r="L120" s="4">
        <f t="shared" si="4"/>
        <v>51970</v>
      </c>
      <c r="M120" s="15">
        <v>4318</v>
      </c>
      <c r="N120" s="15">
        <v>2000</v>
      </c>
      <c r="O120" s="15">
        <v>2000</v>
      </c>
      <c r="P120" s="15"/>
      <c r="Q120" s="15"/>
      <c r="R120" s="15">
        <f t="shared" si="5"/>
        <v>4000</v>
      </c>
      <c r="S120" s="15">
        <v>4000</v>
      </c>
      <c r="T120" s="15"/>
      <c r="U120" s="15"/>
      <c r="V120" s="15">
        <v>2000</v>
      </c>
      <c r="W120" s="15">
        <v>2000</v>
      </c>
    </row>
    <row r="121" spans="1:23" x14ac:dyDescent="0.25">
      <c r="A121" s="1" t="s">
        <v>357</v>
      </c>
      <c r="B121" s="1">
        <v>47.63</v>
      </c>
      <c r="C121" s="1">
        <v>47.63</v>
      </c>
      <c r="D121" s="1">
        <v>0</v>
      </c>
      <c r="E121" s="1">
        <v>4</v>
      </c>
      <c r="F121" s="1">
        <v>215</v>
      </c>
      <c r="G121" s="24" t="s">
        <v>5960</v>
      </c>
      <c r="H121" s="103" t="s">
        <v>5954</v>
      </c>
      <c r="I121" s="24" t="s">
        <v>397</v>
      </c>
      <c r="J121" s="22">
        <v>20000</v>
      </c>
      <c r="K121" s="2">
        <v>4800</v>
      </c>
      <c r="L121" s="4">
        <f t="shared" si="4"/>
        <v>15200</v>
      </c>
      <c r="M121" s="15">
        <v>4318</v>
      </c>
      <c r="N121" s="15"/>
      <c r="O121" s="15"/>
      <c r="P121" s="15"/>
      <c r="Q121" s="15"/>
      <c r="R121" s="15">
        <f t="shared" si="5"/>
        <v>0</v>
      </c>
      <c r="S121" s="15"/>
      <c r="T121" s="15"/>
      <c r="U121" s="15"/>
      <c r="V121" s="15"/>
      <c r="W121" s="15"/>
    </row>
    <row r="122" spans="1:23" x14ac:dyDescent="0.25">
      <c r="A122" s="1" t="s">
        <v>340</v>
      </c>
      <c r="B122" s="1">
        <v>48.6</v>
      </c>
      <c r="C122" s="1">
        <v>48.6</v>
      </c>
      <c r="D122" s="1">
        <v>0</v>
      </c>
      <c r="E122" s="1">
        <v>3.5</v>
      </c>
      <c r="F122" s="1">
        <v>185</v>
      </c>
      <c r="G122" s="24" t="s">
        <v>290</v>
      </c>
      <c r="H122" s="24" t="s">
        <v>5954</v>
      </c>
      <c r="I122" s="24" t="s">
        <v>397</v>
      </c>
      <c r="J122" s="22">
        <v>12000</v>
      </c>
      <c r="K122" s="2">
        <v>0</v>
      </c>
      <c r="L122" s="4">
        <v>12000</v>
      </c>
      <c r="M122" s="15">
        <v>4731</v>
      </c>
      <c r="N122" s="15"/>
      <c r="O122" s="15"/>
      <c r="P122" s="15"/>
      <c r="Q122" s="15"/>
    </row>
    <row r="123" spans="1:23" x14ac:dyDescent="0.25">
      <c r="A123" s="1" t="s">
        <v>340</v>
      </c>
      <c r="B123" s="1">
        <v>48.6</v>
      </c>
      <c r="C123" s="1">
        <v>48.6</v>
      </c>
      <c r="D123" s="1">
        <v>0</v>
      </c>
      <c r="E123" s="1">
        <v>3.5</v>
      </c>
      <c r="F123" s="1">
        <v>196</v>
      </c>
      <c r="G123" s="24" t="s">
        <v>310</v>
      </c>
      <c r="H123" s="22" t="s">
        <v>5954</v>
      </c>
      <c r="I123" s="24" t="s">
        <v>397</v>
      </c>
      <c r="J123" s="22">
        <v>10000</v>
      </c>
      <c r="K123" s="2">
        <v>3600</v>
      </c>
      <c r="L123" s="4">
        <v>6400</v>
      </c>
      <c r="M123" s="15">
        <v>4731</v>
      </c>
      <c r="N123" s="15"/>
      <c r="O123" s="15"/>
      <c r="P123" s="15"/>
      <c r="Q123" s="15"/>
    </row>
    <row r="124" spans="1:23" x14ac:dyDescent="0.25">
      <c r="A124" s="1" t="s">
        <v>340</v>
      </c>
      <c r="B124" s="1">
        <v>48.6</v>
      </c>
      <c r="C124" s="1">
        <v>48.6</v>
      </c>
      <c r="D124" s="1">
        <v>0</v>
      </c>
      <c r="E124" s="1">
        <v>3.5</v>
      </c>
      <c r="F124" s="1">
        <v>202.5</v>
      </c>
      <c r="G124" s="24" t="s">
        <v>5956</v>
      </c>
      <c r="H124" s="24" t="s">
        <v>5954</v>
      </c>
      <c r="I124" s="24" t="s">
        <v>397</v>
      </c>
      <c r="J124" s="22">
        <v>7389</v>
      </c>
      <c r="K124" s="2">
        <v>0</v>
      </c>
      <c r="L124" s="4">
        <v>7389</v>
      </c>
      <c r="M124" s="15">
        <v>4731</v>
      </c>
      <c r="N124" s="15"/>
      <c r="O124" s="15"/>
      <c r="P124" s="15"/>
      <c r="Q124" s="15"/>
    </row>
    <row r="125" spans="1:23" x14ac:dyDescent="0.25">
      <c r="A125" s="1" t="s">
        <v>357</v>
      </c>
      <c r="B125" s="1">
        <v>50.8</v>
      </c>
      <c r="C125" s="1">
        <v>50.8</v>
      </c>
      <c r="D125" s="1">
        <v>0</v>
      </c>
      <c r="E125" s="1">
        <v>2.6</v>
      </c>
      <c r="F125" s="1">
        <v>142</v>
      </c>
      <c r="G125" s="24" t="s">
        <v>6106</v>
      </c>
      <c r="H125" s="24" t="s">
        <v>5954</v>
      </c>
      <c r="I125" s="24" t="s">
        <v>397</v>
      </c>
      <c r="J125" s="22">
        <v>7000</v>
      </c>
      <c r="K125" s="2">
        <v>0</v>
      </c>
      <c r="L125" s="4">
        <v>7000</v>
      </c>
      <c r="M125" s="15">
        <v>4731</v>
      </c>
      <c r="N125" s="15"/>
      <c r="O125" s="15"/>
      <c r="P125" s="15"/>
      <c r="Q125" s="15"/>
    </row>
    <row r="126" spans="1:23" x14ac:dyDescent="0.25">
      <c r="A126" s="1" t="s">
        <v>340</v>
      </c>
      <c r="B126" s="1">
        <v>50.8</v>
      </c>
      <c r="C126" s="1">
        <v>50.8</v>
      </c>
      <c r="D126" s="1">
        <v>0</v>
      </c>
      <c r="E126" s="1">
        <v>2.6</v>
      </c>
      <c r="F126" s="1">
        <v>130</v>
      </c>
      <c r="G126" s="181" t="s">
        <v>6106</v>
      </c>
      <c r="H126" s="24" t="s">
        <v>5954</v>
      </c>
      <c r="I126" s="24" t="s">
        <v>397</v>
      </c>
      <c r="J126" s="22">
        <v>5000</v>
      </c>
      <c r="K126" s="2">
        <v>0</v>
      </c>
      <c r="L126" s="4">
        <v>5000</v>
      </c>
      <c r="M126" s="15">
        <v>4731</v>
      </c>
      <c r="N126" s="15"/>
      <c r="O126" s="15"/>
      <c r="P126" s="15"/>
      <c r="Q126" s="15"/>
    </row>
    <row r="127" spans="1:23" x14ac:dyDescent="0.25">
      <c r="J127" s="52">
        <f>SUM(J105:J126)</f>
        <v>300726</v>
      </c>
      <c r="K127" s="192">
        <f>SUM(K105:K126)</f>
        <v>55740</v>
      </c>
      <c r="N127">
        <f t="shared" ref="N127:S127" si="6">SUBTOTAL(9,N112:N121)</f>
        <v>4000</v>
      </c>
      <c r="O127">
        <f t="shared" si="6"/>
        <v>6000</v>
      </c>
      <c r="P127">
        <f t="shared" si="6"/>
        <v>6000</v>
      </c>
      <c r="Q127">
        <f t="shared" si="6"/>
        <v>6000</v>
      </c>
      <c r="R127">
        <f t="shared" si="6"/>
        <v>22000</v>
      </c>
      <c r="S127">
        <f t="shared" si="6"/>
        <v>11450</v>
      </c>
      <c r="T127">
        <f>SUBTOTAL(9,T112:T126)</f>
        <v>6000</v>
      </c>
      <c r="U127">
        <f t="shared" ref="U127:W127" si="7">SUBTOTAL(9,U112:U126)</f>
        <v>6000</v>
      </c>
      <c r="V127">
        <f t="shared" si="7"/>
        <v>6000</v>
      </c>
      <c r="W127">
        <f t="shared" si="7"/>
        <v>6000</v>
      </c>
    </row>
    <row r="128" spans="1:23" x14ac:dyDescent="0.25">
      <c r="K128" s="193">
        <f>K127/J127</f>
        <v>0.18535144949222881</v>
      </c>
      <c r="M128" t="s">
        <v>6141</v>
      </c>
      <c r="N128">
        <v>4000</v>
      </c>
      <c r="O128">
        <v>6000</v>
      </c>
      <c r="P128">
        <v>6000</v>
      </c>
      <c r="Q128">
        <v>6000</v>
      </c>
    </row>
    <row r="134" spans="1:9" x14ac:dyDescent="0.25">
      <c r="A134" s="101" t="s">
        <v>199</v>
      </c>
      <c r="B134" s="101" t="s">
        <v>937</v>
      </c>
      <c r="C134" s="101" t="s">
        <v>316</v>
      </c>
      <c r="D134" s="101" t="s">
        <v>317</v>
      </c>
      <c r="E134" s="101" t="s">
        <v>938</v>
      </c>
      <c r="F134" s="101" t="s">
        <v>319</v>
      </c>
      <c r="G134" s="101" t="s">
        <v>258</v>
      </c>
      <c r="H134" s="101" t="s">
        <v>939</v>
      </c>
      <c r="I134" s="101" t="s">
        <v>278</v>
      </c>
    </row>
    <row r="135" spans="1:9" x14ac:dyDescent="0.25">
      <c r="A135" s="1" t="s">
        <v>340</v>
      </c>
      <c r="B135" s="1">
        <v>42.7</v>
      </c>
      <c r="C135" s="1">
        <v>42.7</v>
      </c>
      <c r="D135" s="1">
        <v>0</v>
      </c>
      <c r="E135" s="1">
        <v>3.5</v>
      </c>
      <c r="F135" s="1">
        <v>210</v>
      </c>
      <c r="G135" s="1" t="s">
        <v>952</v>
      </c>
      <c r="H135" s="24" t="s">
        <v>397</v>
      </c>
      <c r="I135" s="22">
        <v>8000</v>
      </c>
    </row>
    <row r="136" spans="1:9" x14ac:dyDescent="0.25">
      <c r="A136" s="1" t="s">
        <v>340</v>
      </c>
      <c r="B136" s="1">
        <v>42.7</v>
      </c>
      <c r="C136" s="1">
        <v>42.7</v>
      </c>
      <c r="D136" s="1">
        <v>0</v>
      </c>
      <c r="E136" s="1">
        <v>3.5</v>
      </c>
      <c r="F136" s="1">
        <v>208</v>
      </c>
      <c r="G136" s="1" t="s">
        <v>936</v>
      </c>
      <c r="H136" s="24" t="s">
        <v>397</v>
      </c>
      <c r="I136" s="22">
        <v>8000</v>
      </c>
    </row>
    <row r="137" spans="1:9" hidden="1" x14ac:dyDescent="0.25">
      <c r="A137" s="1" t="s">
        <v>340</v>
      </c>
      <c r="B137" s="1">
        <v>42.7</v>
      </c>
      <c r="C137" s="1">
        <v>42.7</v>
      </c>
      <c r="D137" s="1">
        <v>0</v>
      </c>
      <c r="E137" s="1">
        <v>3.5</v>
      </c>
      <c r="F137" s="1">
        <v>247</v>
      </c>
      <c r="G137" s="1" t="s">
        <v>343</v>
      </c>
      <c r="H137" s="24" t="s">
        <v>397</v>
      </c>
      <c r="I137" s="22">
        <v>0</v>
      </c>
    </row>
    <row r="138" spans="1:9" hidden="1" x14ac:dyDescent="0.25">
      <c r="A138" s="1" t="s">
        <v>340</v>
      </c>
      <c r="B138" s="1">
        <v>42.7</v>
      </c>
      <c r="C138" s="1">
        <v>42.7</v>
      </c>
      <c r="D138" s="1">
        <v>0</v>
      </c>
      <c r="E138" s="1">
        <v>4</v>
      </c>
      <c r="F138" s="1">
        <v>254</v>
      </c>
      <c r="G138" s="1" t="s">
        <v>955</v>
      </c>
      <c r="H138" s="24" t="s">
        <v>397</v>
      </c>
      <c r="I138" s="22">
        <v>0</v>
      </c>
    </row>
    <row r="139" spans="1:9" hidden="1" x14ac:dyDescent="0.25">
      <c r="A139" s="1" t="s">
        <v>340</v>
      </c>
      <c r="B139" s="1">
        <v>42.7</v>
      </c>
      <c r="C139" s="1">
        <v>42.7</v>
      </c>
      <c r="D139" s="1">
        <v>0</v>
      </c>
      <c r="E139" s="1">
        <v>4</v>
      </c>
      <c r="F139" s="1">
        <v>235</v>
      </c>
      <c r="G139" s="1" t="s">
        <v>290</v>
      </c>
      <c r="H139" s="24" t="s">
        <v>397</v>
      </c>
      <c r="I139" s="22">
        <v>0</v>
      </c>
    </row>
    <row r="140" spans="1:9" x14ac:dyDescent="0.25">
      <c r="A140" s="1" t="s">
        <v>340</v>
      </c>
      <c r="B140" s="1">
        <v>42.7</v>
      </c>
      <c r="C140" s="1">
        <v>42.7</v>
      </c>
      <c r="D140" s="1">
        <v>0</v>
      </c>
      <c r="E140" s="1">
        <v>3.5</v>
      </c>
      <c r="F140" s="1">
        <v>202.5</v>
      </c>
      <c r="G140" s="1" t="s">
        <v>952</v>
      </c>
      <c r="H140" s="24" t="s">
        <v>397</v>
      </c>
      <c r="I140" s="22">
        <v>2000</v>
      </c>
    </row>
    <row r="141" spans="1:9" x14ac:dyDescent="0.25">
      <c r="A141" s="1" t="s">
        <v>340</v>
      </c>
      <c r="B141" s="1">
        <v>42.7</v>
      </c>
      <c r="C141" s="1">
        <v>42.7</v>
      </c>
      <c r="D141" s="1">
        <v>0</v>
      </c>
      <c r="E141" s="1">
        <v>4</v>
      </c>
      <c r="F141" s="1">
        <v>215</v>
      </c>
      <c r="G141" s="1" t="s">
        <v>5956</v>
      </c>
      <c r="H141" s="24" t="s">
        <v>397</v>
      </c>
      <c r="I141" s="22">
        <v>8000</v>
      </c>
    </row>
    <row r="142" spans="1:9" x14ac:dyDescent="0.25">
      <c r="A142" s="1" t="s">
        <v>340</v>
      </c>
      <c r="B142" s="1">
        <v>42.7</v>
      </c>
      <c r="C142" s="1">
        <v>42.7</v>
      </c>
      <c r="D142" s="1">
        <v>0</v>
      </c>
      <c r="E142" s="1">
        <v>4</v>
      </c>
      <c r="F142" s="1">
        <v>290</v>
      </c>
      <c r="G142" s="1" t="s">
        <v>948</v>
      </c>
      <c r="H142" s="24" t="s">
        <v>397</v>
      </c>
      <c r="I142" s="22">
        <v>2000</v>
      </c>
    </row>
    <row r="143" spans="1:9" hidden="1" x14ac:dyDescent="0.25">
      <c r="A143" s="1" t="s">
        <v>340</v>
      </c>
      <c r="B143" s="1">
        <v>42.7</v>
      </c>
      <c r="C143" s="1">
        <v>42.7</v>
      </c>
      <c r="D143" s="1">
        <v>0</v>
      </c>
      <c r="E143" s="1">
        <v>4</v>
      </c>
      <c r="F143" s="1">
        <v>344</v>
      </c>
      <c r="G143" s="1" t="s">
        <v>5958</v>
      </c>
      <c r="H143" s="24" t="s">
        <v>397</v>
      </c>
      <c r="I143" s="22">
        <v>0</v>
      </c>
    </row>
    <row r="144" spans="1:9" x14ac:dyDescent="0.25">
      <c r="A144" s="1" t="s">
        <v>357</v>
      </c>
      <c r="B144" s="1">
        <v>47.63</v>
      </c>
      <c r="C144" s="1">
        <v>47.63</v>
      </c>
      <c r="D144" s="1">
        <v>0</v>
      </c>
      <c r="E144" s="1">
        <v>4</v>
      </c>
      <c r="F144" s="1">
        <v>212</v>
      </c>
      <c r="G144" s="1" t="s">
        <v>5959</v>
      </c>
      <c r="H144" s="24" t="s">
        <v>397</v>
      </c>
      <c r="I144" s="22">
        <v>10000</v>
      </c>
    </row>
    <row r="145" spans="1:9" x14ac:dyDescent="0.25">
      <c r="A145" s="1" t="s">
        <v>357</v>
      </c>
      <c r="B145" s="1">
        <v>47.63</v>
      </c>
      <c r="C145" s="1">
        <v>47.63</v>
      </c>
      <c r="D145" s="1">
        <v>0</v>
      </c>
      <c r="E145" s="1">
        <v>4</v>
      </c>
      <c r="F145" s="1">
        <v>215</v>
      </c>
      <c r="G145" s="24" t="s">
        <v>5960</v>
      </c>
      <c r="H145" s="24" t="s">
        <v>397</v>
      </c>
      <c r="I145" s="22">
        <v>8000</v>
      </c>
    </row>
    <row r="146" spans="1:9" x14ac:dyDescent="0.25">
      <c r="A146" s="1" t="s">
        <v>357</v>
      </c>
      <c r="B146" s="1">
        <v>30.15</v>
      </c>
      <c r="C146" s="1">
        <v>30</v>
      </c>
      <c r="D146" s="1">
        <v>25.5</v>
      </c>
      <c r="E146" s="1">
        <v>2.25</v>
      </c>
      <c r="F146" s="24">
        <v>485</v>
      </c>
      <c r="G146" s="24" t="s">
        <v>6142</v>
      </c>
      <c r="H146" s="24" t="s">
        <v>397</v>
      </c>
      <c r="I146" s="22">
        <v>10000</v>
      </c>
    </row>
    <row r="147" spans="1:9" x14ac:dyDescent="0.25">
      <c r="A147" s="1" t="s">
        <v>357</v>
      </c>
      <c r="B147" s="1">
        <v>39</v>
      </c>
      <c r="C147" s="1">
        <v>39</v>
      </c>
      <c r="D147" s="1">
        <v>34</v>
      </c>
      <c r="E147" s="1">
        <v>2.5</v>
      </c>
      <c r="F147" s="24">
        <v>272</v>
      </c>
      <c r="G147" s="1" t="s">
        <v>6142</v>
      </c>
      <c r="H147" s="24" t="s">
        <v>397</v>
      </c>
      <c r="I147" s="22">
        <v>10000</v>
      </c>
    </row>
    <row r="148" spans="1:9" x14ac:dyDescent="0.25">
      <c r="I148">
        <f>SUBTOTAL(9,I135:I147)</f>
        <v>66000</v>
      </c>
    </row>
  </sheetData>
  <autoFilter ref="A134:J145" xr:uid="{00000000-0001-0000-0900-000000000000}">
    <filterColumn colId="9">
      <filters>
        <filter val="2000"/>
        <filter val="8000"/>
      </filters>
    </filterColumn>
  </autoFilter>
  <pageMargins left="0.7" right="0.7" top="0.75" bottom="0.75" header="0.3" footer="0.3"/>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7"/>
  <dimension ref="A1:W29"/>
  <sheetViews>
    <sheetView workbookViewId="0">
      <selection activeCell="B2" sqref="B2"/>
    </sheetView>
  </sheetViews>
  <sheetFormatPr defaultRowHeight="15" x14ac:dyDescent="0.25"/>
  <cols>
    <col min="1" max="1" width="12.140625" bestFit="1" customWidth="1"/>
  </cols>
  <sheetData>
    <row r="1" spans="1:23" x14ac:dyDescent="0.25">
      <c r="A1" s="61" t="s">
        <v>345</v>
      </c>
      <c r="B1" s="15" cm="1">
        <f t="array" ref="B1:K1">TRANSPOSE(_xlfn._xlws.SORT(_xlfn.UNIQUE(_xlfn._xlws.FILTER(salesforecast[TICKNESS],salesforecast[Plant]=$A$1))))</f>
        <v>1</v>
      </c>
      <c r="C1" s="15">
        <v>1.2</v>
      </c>
      <c r="D1" s="15">
        <v>1.4</v>
      </c>
      <c r="E1" s="15">
        <v>1.6</v>
      </c>
      <c r="F1" s="15">
        <v>2</v>
      </c>
      <c r="G1" s="15">
        <v>2.2999999999999998</v>
      </c>
      <c r="H1" s="15">
        <v>2.5</v>
      </c>
      <c r="I1" s="15">
        <v>2.6</v>
      </c>
      <c r="J1" s="15">
        <v>3.2</v>
      </c>
      <c r="K1" s="15">
        <v>3.5</v>
      </c>
    </row>
    <row r="2" spans="1:23" x14ac:dyDescent="0.25">
      <c r="A2" s="15" t="str" cm="1">
        <f t="array" ref="A2:A5">_xlfn._xlws.SORT(_xlfn.UNIQUE(_xlfn._xlws.FILTER(salesforecast[GRADE],salesforecast[Plant]=$A$1)))</f>
        <v>CRFH</v>
      </c>
      <c r="B2" s="62">
        <f>SUMIFS(salesforecast[[July Schedule]:[July Schedule]],salesforecast[[GRADE]:[GRADE]],'rm types'!$A2,salesforecast[[TICKNESS]:[TICKNESS]],'rm types'!B$1,salesforecast[[Plant]:[Plant]],'rm types'!$A$1)</f>
        <v>128.05832115050001</v>
      </c>
      <c r="C2" s="62">
        <f>SUMIFS(salesforecast[[July Schedule]:[July Schedule]],salesforecast[[GRADE]:[GRADE]],'rm types'!$A2,salesforecast[[TICKNESS]:[TICKNESS]],'rm types'!C$1,salesforecast[[Plant]:[Plant]],'rm types'!$A$1)</f>
        <v>288.64274615457003</v>
      </c>
      <c r="D2" s="62">
        <f>SUMIFS(salesforecast[[July Schedule]:[July Schedule]],salesforecast[[GRADE]:[GRADE]],'rm types'!$A2,salesforecast[[TICKNESS]:[TICKNESS]],'rm types'!D$1,salesforecast[[Plant]:[Plant]],'rm types'!$A$1)</f>
        <v>0</v>
      </c>
      <c r="E2" s="62">
        <f>SUMIFS(salesforecast[[July Schedule]:[July Schedule]],salesforecast[[GRADE]:[GRADE]],'rm types'!$A2,salesforecast[[TICKNESS]:[TICKNESS]],'rm types'!E$1,salesforecast[[Plant]:[Plant]],'rm types'!$A$1)</f>
        <v>0</v>
      </c>
      <c r="F2" s="62">
        <f>SUMIFS(salesforecast[[July Schedule]:[July Schedule]],salesforecast[[GRADE]:[GRADE]],'rm types'!$A2,salesforecast[[TICKNESS]:[TICKNESS]],'rm types'!F$1,salesforecast[[Plant]:[Plant]],'rm types'!$A$1)</f>
        <v>0</v>
      </c>
      <c r="G2" s="62">
        <f>SUMIFS(salesforecast[[July Schedule]:[July Schedule]],salesforecast[[GRADE]:[GRADE]],'rm types'!$A2,salesforecast[[TICKNESS]:[TICKNESS]],'rm types'!G$1,salesforecast[[Plant]:[Plant]],'rm types'!$A$1)</f>
        <v>0</v>
      </c>
      <c r="H2" s="62">
        <f>SUMIFS(salesforecast[[July Schedule]:[July Schedule]],salesforecast[[GRADE]:[GRADE]],'rm types'!$A2,salesforecast[[TICKNESS]:[TICKNESS]],'rm types'!H$1,salesforecast[[Plant]:[Plant]],'rm types'!$A$1)</f>
        <v>0</v>
      </c>
      <c r="I2" s="62">
        <f>SUMIFS(salesforecast[[July Schedule]:[July Schedule]],salesforecast[[GRADE]:[GRADE]],'rm types'!$A2,salesforecast[[TICKNESS]:[TICKNESS]],'rm types'!I$1,salesforecast[[Plant]:[Plant]],'rm types'!$A$1)</f>
        <v>0</v>
      </c>
      <c r="J2" s="62">
        <f>SUMIFS(salesforecast[[July Schedule]:[July Schedule]],salesforecast[[GRADE]:[GRADE]],'rm types'!$A2,salesforecast[[TICKNESS]:[TICKNESS]],'rm types'!J$1,salesforecast[[Plant]:[Plant]],'rm types'!$A$1)</f>
        <v>0</v>
      </c>
      <c r="K2" s="62">
        <f>SUMIFS(salesforecast[[July Schedule]:[July Schedule]],salesforecast[[GRADE]:[GRADE]],'rm types'!$A2,salesforecast[[TICKNESS]:[TICKNESS]],'rm types'!K$1,salesforecast[[Plant]:[Plant]],'rm types'!$A$1)</f>
        <v>0</v>
      </c>
      <c r="L2" s="52">
        <f>SUMIFS(salesforecast[[July Schedule]:[July Schedule]],salesforecast[[GRADE]:[GRADE]],'rm types'!$A2,salesforecast[[TICKNESS]:[TICKNESS]],'rm types'!L$1,salesforecast[[Plant]:[Plant]],'rm types'!$A$1)</f>
        <v>0</v>
      </c>
      <c r="M2" s="52">
        <f>SUMIFS(salesforecast[[July Schedule]:[July Schedule]],salesforecast[[GRADE]:[GRADE]],'rm types'!$A2,salesforecast[[TICKNESS]:[TICKNESS]],'rm types'!M$1,salesforecast[[Plant]:[Plant]],'rm types'!$A$1)</f>
        <v>0</v>
      </c>
      <c r="N2" s="52">
        <f>SUMIFS(salesforecast[[July Schedule]:[July Schedule]],salesforecast[[GRADE]:[GRADE]],'rm types'!$A2,salesforecast[[TICKNESS]:[TICKNESS]],'rm types'!N$1,salesforecast[[Plant]:[Plant]],'rm types'!$A$1)</f>
        <v>0</v>
      </c>
      <c r="O2" s="52">
        <f>SUMIFS(salesforecast[[July Schedule]:[July Schedule]],salesforecast[[GRADE]:[GRADE]],'rm types'!$A2,salesforecast[[TICKNESS]:[TICKNESS]],'rm types'!O$1,salesforecast[[Plant]:[Plant]],'rm types'!$A$1)</f>
        <v>0</v>
      </c>
      <c r="P2" s="52">
        <f>SUMIFS(salesforecast[[July Schedule]:[July Schedule]],salesforecast[[GRADE]:[GRADE]],'rm types'!$A2,salesforecast[[TICKNESS]:[TICKNESS]],'rm types'!P$1,salesforecast[[Plant]:[Plant]],'rm types'!$A$1)</f>
        <v>0</v>
      </c>
      <c r="Q2" s="52">
        <f>SUMIFS(salesforecast[[July Schedule]:[July Schedule]],salesforecast[[GRADE]:[GRADE]],'rm types'!$A2,salesforecast[[TICKNESS]:[TICKNESS]],'rm types'!Q$1,salesforecast[[Plant]:[Plant]],'rm types'!$A$1)</f>
        <v>0</v>
      </c>
      <c r="R2" s="52">
        <f>SUMIFS(salesforecast[[July Schedule]:[July Schedule]],salesforecast[[GRADE]:[GRADE]],'rm types'!$A2,salesforecast[[TICKNESS]:[TICKNESS]],'rm types'!R$1,salesforecast[[Plant]:[Plant]],'rm types'!$A$1)</f>
        <v>0</v>
      </c>
      <c r="S2" s="52">
        <f>SUMIFS(salesforecast[[July Schedule]:[July Schedule]],salesforecast[[GRADE]:[GRADE]],'rm types'!$A2,salesforecast[[TICKNESS]:[TICKNESS]],'rm types'!S$1,salesforecast[[Plant]:[Plant]],'rm types'!$A$1)</f>
        <v>0</v>
      </c>
      <c r="T2" s="52">
        <f>SUMIFS(salesforecast[[July Schedule]:[July Schedule]],salesforecast[[GRADE]:[GRADE]],'rm types'!$A2,salesforecast[[TICKNESS]:[TICKNESS]],'rm types'!T$1,salesforecast[[Plant]:[Plant]],'rm types'!$A$1)</f>
        <v>0</v>
      </c>
      <c r="U2" s="52">
        <f>SUMIFS(salesforecast[[July Schedule]:[July Schedule]],salesforecast[[GRADE]:[GRADE]],'rm types'!$A2,salesforecast[[TICKNESS]:[TICKNESS]],'rm types'!U$1,salesforecast[[Plant]:[Plant]],'rm types'!$A$1)</f>
        <v>0</v>
      </c>
      <c r="V2" s="52">
        <f>SUMIFS(salesforecast[[July Schedule]:[July Schedule]],salesforecast[[GRADE]:[GRADE]],'rm types'!$A2,salesforecast[[TICKNESS]:[TICKNESS]],'rm types'!V$1,salesforecast[[Plant]:[Plant]],'rm types'!$A$1)</f>
        <v>0</v>
      </c>
      <c r="W2" s="52">
        <f>SUMIFS(salesforecast[[July Schedule]:[July Schedule]],salesforecast[[GRADE]:[GRADE]],'rm types'!$A2,salesforecast[[TICKNESS]:[TICKNESS]],'rm types'!W$1,salesforecast[[Plant]:[Plant]],'rm types'!$A$1)</f>
        <v>0</v>
      </c>
    </row>
    <row r="3" spans="1:23" x14ac:dyDescent="0.25">
      <c r="A3" s="15" t="str">
        <v>ERW 1</v>
      </c>
      <c r="B3" s="62">
        <f>SUMIFS(salesforecast[[July Schedule]:[July Schedule]],salesforecast[[GRADE]:[GRADE]],'rm types'!$A3,salesforecast[[TICKNESS]:[TICKNESS]],'rm types'!B$1,salesforecast[[Plant]:[Plant]],'rm types'!$A$1)</f>
        <v>50.441529225479997</v>
      </c>
      <c r="C3" s="62">
        <f>SUMIFS(salesforecast[[July Schedule]:[July Schedule]],salesforecast[[GRADE]:[GRADE]],'rm types'!$A3,salesforecast[[TICKNESS]:[TICKNESS]],'rm types'!C$1,salesforecast[[Plant]:[Plant]],'rm types'!$A$1)</f>
        <v>139.43306752432201</v>
      </c>
      <c r="D3" s="62">
        <f>SUMIFS(salesforecast[[July Schedule]:[July Schedule]],salesforecast[[GRADE]:[GRADE]],'rm types'!$A3,salesforecast[[TICKNESS]:[TICKNESS]],'rm types'!D$1,salesforecast[[Plant]:[Plant]],'rm types'!$A$1)</f>
        <v>0</v>
      </c>
      <c r="E3" s="62">
        <f>SUMIFS(salesforecast[[July Schedule]:[July Schedule]],salesforecast[[GRADE]:[GRADE]],'rm types'!$A3,salesforecast[[TICKNESS]:[TICKNESS]],'rm types'!E$1,salesforecast[[Plant]:[Plant]],'rm types'!$A$1)</f>
        <v>635.43993733948025</v>
      </c>
      <c r="F3" s="62">
        <f>SUMIFS(salesforecast[[July Schedule]:[July Schedule]],salesforecast[[GRADE]:[GRADE]],'rm types'!$A3,salesforecast[[TICKNESS]:[TICKNESS]],'rm types'!F$1,salesforecast[[Plant]:[Plant]],'rm types'!$A$1)</f>
        <v>497.68766344024971</v>
      </c>
      <c r="G3" s="62">
        <f>SUMIFS(salesforecast[[July Schedule]:[July Schedule]],salesforecast[[GRADE]:[GRADE]],'rm types'!$A3,salesforecast[[TICKNESS]:[TICKNESS]],'rm types'!G$1,salesforecast[[Plant]:[Plant]],'rm types'!$A$1)</f>
        <v>141.62035026181749</v>
      </c>
      <c r="H3" s="62">
        <f>SUMIFS(salesforecast[[July Schedule]:[July Schedule]],salesforecast[[GRADE]:[GRADE]],'rm types'!$A3,salesforecast[[TICKNESS]:[TICKNESS]],'rm types'!H$1,salesforecast[[Plant]:[Plant]],'rm types'!$A$1)</f>
        <v>77.896483986288246</v>
      </c>
      <c r="I3" s="62">
        <f>SUMIFS(salesforecast[[July Schedule]:[July Schedule]],salesforecast[[GRADE]:[GRADE]],'rm types'!$A3,salesforecast[[TICKNESS]:[TICKNESS]],'rm types'!I$1,salesforecast[[Plant]:[Plant]],'rm types'!$A$1)</f>
        <v>77.402936126323596</v>
      </c>
      <c r="J3" s="62">
        <f>SUMIFS(salesforecast[[July Schedule]:[July Schedule]],salesforecast[[GRADE]:[GRADE]],'rm types'!$A3,salesforecast[[TICKNESS]:[TICKNESS]],'rm types'!J$1,salesforecast[[Plant]:[Plant]],'rm types'!$A$1)</f>
        <v>12.819486625792003</v>
      </c>
      <c r="K3" s="62">
        <f>SUMIFS(salesforecast[[July Schedule]:[July Schedule]],salesforecast[[GRADE]:[GRADE]],'rm types'!$A3,salesforecast[[TICKNESS]:[TICKNESS]],'rm types'!K$1,salesforecast[[Plant]:[Plant]],'rm types'!$A$1)</f>
        <v>15.252111028</v>
      </c>
      <c r="L3" s="52">
        <f>SUMIFS(salesforecast[[July Schedule]:[July Schedule]],salesforecast[[GRADE]:[GRADE]],'rm types'!$A3,salesforecast[[TICKNESS]:[TICKNESS]],'rm types'!L$1,salesforecast[[Plant]:[Plant]],'rm types'!$A$1)</f>
        <v>0</v>
      </c>
      <c r="M3" s="52">
        <f>SUMIFS(salesforecast[[July Schedule]:[July Schedule]],salesforecast[[GRADE]:[GRADE]],'rm types'!$A3,salesforecast[[TICKNESS]:[TICKNESS]],'rm types'!M$1,salesforecast[[Plant]:[Plant]],'rm types'!$A$1)</f>
        <v>0</v>
      </c>
      <c r="N3" s="52">
        <f>SUMIFS(salesforecast[[July Schedule]:[July Schedule]],salesforecast[[GRADE]:[GRADE]],'rm types'!$A3,salesforecast[[TICKNESS]:[TICKNESS]],'rm types'!N$1,salesforecast[[Plant]:[Plant]],'rm types'!$A$1)</f>
        <v>0</v>
      </c>
      <c r="O3" s="52">
        <f>SUMIFS(salesforecast[[July Schedule]:[July Schedule]],salesforecast[[GRADE]:[GRADE]],'rm types'!$A3,salesforecast[[TICKNESS]:[TICKNESS]],'rm types'!O$1,salesforecast[[Plant]:[Plant]],'rm types'!$A$1)</f>
        <v>0</v>
      </c>
      <c r="P3" s="52">
        <f>SUMIFS(salesforecast[[July Schedule]:[July Schedule]],salesforecast[[GRADE]:[GRADE]],'rm types'!$A3,salesforecast[[TICKNESS]:[TICKNESS]],'rm types'!P$1,salesforecast[[Plant]:[Plant]],'rm types'!$A$1)</f>
        <v>0</v>
      </c>
      <c r="Q3" s="52">
        <f>SUMIFS(salesforecast[[July Schedule]:[July Schedule]],salesforecast[[GRADE]:[GRADE]],'rm types'!$A3,salesforecast[[TICKNESS]:[TICKNESS]],'rm types'!Q$1,salesforecast[[Plant]:[Plant]],'rm types'!$A$1)</f>
        <v>0</v>
      </c>
      <c r="R3" s="52">
        <f>SUMIFS(salesforecast[[July Schedule]:[July Schedule]],salesforecast[[GRADE]:[GRADE]],'rm types'!$A3,salesforecast[[TICKNESS]:[TICKNESS]],'rm types'!R$1,salesforecast[[Plant]:[Plant]],'rm types'!$A$1)</f>
        <v>0</v>
      </c>
      <c r="S3" s="52">
        <f>SUMIFS(salesforecast[[July Schedule]:[July Schedule]],salesforecast[[GRADE]:[GRADE]],'rm types'!$A3,salesforecast[[TICKNESS]:[TICKNESS]],'rm types'!S$1,salesforecast[[Plant]:[Plant]],'rm types'!$A$1)</f>
        <v>0</v>
      </c>
      <c r="T3" s="52">
        <f>SUMIFS(salesforecast[[July Schedule]:[July Schedule]],salesforecast[[GRADE]:[GRADE]],'rm types'!$A3,salesforecast[[TICKNESS]:[TICKNESS]],'rm types'!T$1,salesforecast[[Plant]:[Plant]],'rm types'!$A$1)</f>
        <v>0</v>
      </c>
      <c r="U3" s="52">
        <f>SUMIFS(salesforecast[[July Schedule]:[July Schedule]],salesforecast[[GRADE]:[GRADE]],'rm types'!$A3,salesforecast[[TICKNESS]:[TICKNESS]],'rm types'!U$1,salesforecast[[Plant]:[Plant]],'rm types'!$A$1)</f>
        <v>0</v>
      </c>
      <c r="V3" s="52">
        <f>SUMIFS(salesforecast[[July Schedule]:[July Schedule]],salesforecast[[GRADE]:[GRADE]],'rm types'!$A3,salesforecast[[TICKNESS]:[TICKNESS]],'rm types'!V$1,salesforecast[[Plant]:[Plant]],'rm types'!$A$1)</f>
        <v>0</v>
      </c>
      <c r="W3" s="52">
        <f>SUMIFS(salesforecast[[July Schedule]:[July Schedule]],salesforecast[[GRADE]:[GRADE]],'rm types'!$A3,salesforecast[[TICKNESS]:[TICKNESS]],'rm types'!W$1,salesforecast[[Plant]:[Plant]],'rm types'!$A$1)</f>
        <v>0</v>
      </c>
    </row>
    <row r="4" spans="1:23" x14ac:dyDescent="0.25">
      <c r="A4" s="15" t="str">
        <v>ERW 2</v>
      </c>
      <c r="B4" s="62">
        <f>SUMIFS(salesforecast[[July Schedule]:[July Schedule]],salesforecast[[GRADE]:[GRADE]],'rm types'!$A4,salesforecast[[TICKNESS]:[TICKNESS]],'rm types'!B$1,salesforecast[[Plant]:[Plant]],'rm types'!$A$1)</f>
        <v>0</v>
      </c>
      <c r="C4" s="62">
        <f>SUMIFS(salesforecast[[July Schedule]:[July Schedule]],salesforecast[[GRADE]:[GRADE]],'rm types'!$A4,salesforecast[[TICKNESS]:[TICKNESS]],'rm types'!C$1,salesforecast[[Plant]:[Plant]],'rm types'!$A$1)</f>
        <v>0</v>
      </c>
      <c r="D4" s="62">
        <f>SUMIFS(salesforecast[[July Schedule]:[July Schedule]],salesforecast[[GRADE]:[GRADE]],'rm types'!$A4,salesforecast[[TICKNESS]:[TICKNESS]],'rm types'!D$1,salesforecast[[Plant]:[Plant]],'rm types'!$A$1)</f>
        <v>0</v>
      </c>
      <c r="E4" s="62">
        <f>SUMIFS(salesforecast[[July Schedule]:[July Schedule]],salesforecast[[GRADE]:[GRADE]],'rm types'!$A4,salesforecast[[TICKNESS]:[TICKNESS]],'rm types'!E$1,salesforecast[[Plant]:[Plant]],'rm types'!$A$1)</f>
        <v>0</v>
      </c>
      <c r="F4" s="62">
        <f>SUMIFS(salesforecast[[July Schedule]:[July Schedule]],salesforecast[[GRADE]:[GRADE]],'rm types'!$A4,salesforecast[[TICKNESS]:[TICKNESS]],'rm types'!F$1,salesforecast[[Plant]:[Plant]],'rm types'!$A$1)</f>
        <v>5.9726214963519997</v>
      </c>
      <c r="G4" s="62">
        <f>SUMIFS(salesforecast[[July Schedule]:[July Schedule]],salesforecast[[GRADE]:[GRADE]],'rm types'!$A4,salesforecast[[TICKNESS]:[TICKNESS]],'rm types'!G$1,salesforecast[[Plant]:[Plant]],'rm types'!$A$1)</f>
        <v>0</v>
      </c>
      <c r="H4" s="62">
        <f>SUMIFS(salesforecast[[July Schedule]:[July Schedule]],salesforecast[[GRADE]:[GRADE]],'rm types'!$A4,salesforecast[[TICKNESS]:[TICKNESS]],'rm types'!H$1,salesforecast[[Plant]:[Plant]],'rm types'!$A$1)</f>
        <v>0</v>
      </c>
      <c r="I4" s="62">
        <f>SUMIFS(salesforecast[[July Schedule]:[July Schedule]],salesforecast[[GRADE]:[GRADE]],'rm types'!$A4,salesforecast[[TICKNESS]:[TICKNESS]],'rm types'!I$1,salesforecast[[Plant]:[Plant]],'rm types'!$A$1)</f>
        <v>0</v>
      </c>
      <c r="J4" s="62">
        <f>SUMIFS(salesforecast[[July Schedule]:[July Schedule]],salesforecast[[GRADE]:[GRADE]],'rm types'!$A4,salesforecast[[TICKNESS]:[TICKNESS]],'rm types'!J$1,salesforecast[[Plant]:[Plant]],'rm types'!$A$1)</f>
        <v>0</v>
      </c>
      <c r="K4" s="62">
        <f>SUMIFS(salesforecast[[July Schedule]:[July Schedule]],salesforecast[[GRADE]:[GRADE]],'rm types'!$A4,salesforecast[[TICKNESS]:[TICKNESS]],'rm types'!K$1,salesforecast[[Plant]:[Plant]],'rm types'!$A$1)</f>
        <v>0</v>
      </c>
      <c r="L4" s="52">
        <f>SUMIFS(salesforecast[[July Schedule]:[July Schedule]],salesforecast[[GRADE]:[GRADE]],'rm types'!$A4,salesforecast[[TICKNESS]:[TICKNESS]],'rm types'!L$1,salesforecast[[Plant]:[Plant]],'rm types'!$A$1)</f>
        <v>0</v>
      </c>
      <c r="M4" s="52">
        <f>SUMIFS(salesforecast[[July Schedule]:[July Schedule]],salesforecast[[GRADE]:[GRADE]],'rm types'!$A4,salesforecast[[TICKNESS]:[TICKNESS]],'rm types'!M$1,salesforecast[[Plant]:[Plant]],'rm types'!$A$1)</f>
        <v>0</v>
      </c>
      <c r="N4" s="52">
        <f>SUMIFS(salesforecast[[July Schedule]:[July Schedule]],salesforecast[[GRADE]:[GRADE]],'rm types'!$A4,salesforecast[[TICKNESS]:[TICKNESS]],'rm types'!N$1,salesforecast[[Plant]:[Plant]],'rm types'!$A$1)</f>
        <v>0</v>
      </c>
      <c r="O4" s="52">
        <f>SUMIFS(salesforecast[[July Schedule]:[July Schedule]],salesforecast[[GRADE]:[GRADE]],'rm types'!$A4,salesforecast[[TICKNESS]:[TICKNESS]],'rm types'!O$1,salesforecast[[Plant]:[Plant]],'rm types'!$A$1)</f>
        <v>0</v>
      </c>
      <c r="P4" s="52">
        <f>SUMIFS(salesforecast[[July Schedule]:[July Schedule]],salesforecast[[GRADE]:[GRADE]],'rm types'!$A4,salesforecast[[TICKNESS]:[TICKNESS]],'rm types'!P$1,salesforecast[[Plant]:[Plant]],'rm types'!$A$1)</f>
        <v>0</v>
      </c>
      <c r="Q4" s="52">
        <f>SUMIFS(salesforecast[[July Schedule]:[July Schedule]],salesforecast[[GRADE]:[GRADE]],'rm types'!$A4,salesforecast[[TICKNESS]:[TICKNESS]],'rm types'!Q$1,salesforecast[[Plant]:[Plant]],'rm types'!$A$1)</f>
        <v>0</v>
      </c>
      <c r="R4" s="52">
        <f>SUMIFS(salesforecast[[July Schedule]:[July Schedule]],salesforecast[[GRADE]:[GRADE]],'rm types'!$A4,salesforecast[[TICKNESS]:[TICKNESS]],'rm types'!R$1,salesforecast[[Plant]:[Plant]],'rm types'!$A$1)</f>
        <v>0</v>
      </c>
      <c r="S4" s="52">
        <f>SUMIFS(salesforecast[[July Schedule]:[July Schedule]],salesforecast[[GRADE]:[GRADE]],'rm types'!$A4,salesforecast[[TICKNESS]:[TICKNESS]],'rm types'!S$1,salesforecast[[Plant]:[Plant]],'rm types'!$A$1)</f>
        <v>0</v>
      </c>
      <c r="T4" s="52">
        <f>SUMIFS(salesforecast[[July Schedule]:[July Schedule]],salesforecast[[GRADE]:[GRADE]],'rm types'!$A4,salesforecast[[TICKNESS]:[TICKNESS]],'rm types'!T$1,salesforecast[[Plant]:[Plant]],'rm types'!$A$1)</f>
        <v>0</v>
      </c>
      <c r="U4" s="52">
        <f>SUMIFS(salesforecast[[July Schedule]:[July Schedule]],salesforecast[[GRADE]:[GRADE]],'rm types'!$A4,salesforecast[[TICKNESS]:[TICKNESS]],'rm types'!U$1,salesforecast[[Plant]:[Plant]],'rm types'!$A$1)</f>
        <v>0</v>
      </c>
      <c r="V4" s="52">
        <f>SUMIFS(salesforecast[[July Schedule]:[July Schedule]],salesforecast[[GRADE]:[GRADE]],'rm types'!$A4,salesforecast[[TICKNESS]:[TICKNESS]],'rm types'!V$1,salesforecast[[Plant]:[Plant]],'rm types'!$A$1)</f>
        <v>0</v>
      </c>
      <c r="W4" s="52">
        <f>SUMIFS(salesforecast[[July Schedule]:[July Schedule]],salesforecast[[GRADE]:[GRADE]],'rm types'!$A4,salesforecast[[TICKNESS]:[TICKNESS]],'rm types'!W$1,salesforecast[[Plant]:[Plant]],'rm types'!$A$1)</f>
        <v>0</v>
      </c>
    </row>
    <row r="5" spans="1:23" x14ac:dyDescent="0.25">
      <c r="A5" s="15" t="str">
        <v>ERW 2 MAHS</v>
      </c>
      <c r="B5" s="62">
        <f>SUMIFS(salesforecast[[July Schedule]:[July Schedule]],salesforecast[[GRADE]:[GRADE]],'rm types'!$A5,salesforecast[[TICKNESS]:[TICKNESS]],'rm types'!B$1,salesforecast[[Plant]:[Plant]],'rm types'!$A$1)</f>
        <v>0</v>
      </c>
      <c r="C5" s="62">
        <f>SUMIFS(salesforecast[[July Schedule]:[July Schedule]],salesforecast[[GRADE]:[GRADE]],'rm types'!$A5,salesforecast[[TICKNESS]:[TICKNESS]],'rm types'!C$1,salesforecast[[Plant]:[Plant]],'rm types'!$A$1)</f>
        <v>0</v>
      </c>
      <c r="D5" s="62">
        <f>SUMIFS(salesforecast[[July Schedule]:[July Schedule]],salesforecast[[GRADE]:[GRADE]],'rm types'!$A5,salesforecast[[TICKNESS]:[TICKNESS]],'rm types'!D$1,salesforecast[[Plant]:[Plant]],'rm types'!$A$1)</f>
        <v>0</v>
      </c>
      <c r="E5" s="62">
        <f>SUMIFS(salesforecast[[July Schedule]:[July Schedule]],salesforecast[[GRADE]:[GRADE]],'rm types'!$A5,salesforecast[[TICKNESS]:[TICKNESS]],'rm types'!E$1,salesforecast[[Plant]:[Plant]],'rm types'!$A$1)</f>
        <v>32.898389285599997</v>
      </c>
      <c r="F5" s="62">
        <f>SUMIFS(salesforecast[[July Schedule]:[July Schedule]],salesforecast[[GRADE]:[GRADE]],'rm types'!$A5,salesforecast[[TICKNESS]:[TICKNESS]],'rm types'!F$1,salesforecast[[Plant]:[Plant]],'rm types'!$A$1)</f>
        <v>105.58599102688</v>
      </c>
      <c r="G5" s="62">
        <f>SUMIFS(salesforecast[[July Schedule]:[July Schedule]],salesforecast[[GRADE]:[GRADE]],'rm types'!$A5,salesforecast[[TICKNESS]:[TICKNESS]],'rm types'!G$1,salesforecast[[Plant]:[Plant]],'rm types'!$A$1)</f>
        <v>0</v>
      </c>
      <c r="H5" s="62">
        <f>SUMIFS(salesforecast[[July Schedule]:[July Schedule]],salesforecast[[GRADE]:[GRADE]],'rm types'!$A5,salesforecast[[TICKNESS]:[TICKNESS]],'rm types'!H$1,salesforecast[[Plant]:[Plant]],'rm types'!$A$1)</f>
        <v>0</v>
      </c>
      <c r="I5" s="62">
        <f>SUMIFS(salesforecast[[July Schedule]:[July Schedule]],salesforecast[[GRADE]:[GRADE]],'rm types'!$A5,salesforecast[[TICKNESS]:[TICKNESS]],'rm types'!I$1,salesforecast[[Plant]:[Plant]],'rm types'!$A$1)</f>
        <v>0</v>
      </c>
      <c r="J5" s="62">
        <f>SUMIFS(salesforecast[[July Schedule]:[July Schedule]],salesforecast[[GRADE]:[GRADE]],'rm types'!$A5,salesforecast[[TICKNESS]:[TICKNESS]],'rm types'!J$1,salesforecast[[Plant]:[Plant]],'rm types'!$A$1)</f>
        <v>0</v>
      </c>
      <c r="K5" s="62">
        <f>SUMIFS(salesforecast[[July Schedule]:[July Schedule]],salesforecast[[GRADE]:[GRADE]],'rm types'!$A5,salesforecast[[TICKNESS]:[TICKNESS]],'rm types'!K$1,salesforecast[[Plant]:[Plant]],'rm types'!$A$1)</f>
        <v>0</v>
      </c>
      <c r="L5" s="52">
        <f>SUMIFS(salesforecast[[July Schedule]:[July Schedule]],salesforecast[[GRADE]:[GRADE]],'rm types'!$A5,salesforecast[[TICKNESS]:[TICKNESS]],'rm types'!L$1,salesforecast[[Plant]:[Plant]],'rm types'!$A$1)</f>
        <v>0</v>
      </c>
      <c r="M5" s="52">
        <f>SUMIFS(salesforecast[[July Schedule]:[July Schedule]],salesforecast[[GRADE]:[GRADE]],'rm types'!$A5,salesforecast[[TICKNESS]:[TICKNESS]],'rm types'!M$1,salesforecast[[Plant]:[Plant]],'rm types'!$A$1)</f>
        <v>0</v>
      </c>
      <c r="N5" s="52">
        <f>SUMIFS(salesforecast[[July Schedule]:[July Schedule]],salesforecast[[GRADE]:[GRADE]],'rm types'!$A5,salesforecast[[TICKNESS]:[TICKNESS]],'rm types'!N$1,salesforecast[[Plant]:[Plant]],'rm types'!$A$1)</f>
        <v>0</v>
      </c>
      <c r="O5" s="52">
        <f>SUMIFS(salesforecast[[July Schedule]:[July Schedule]],salesforecast[[GRADE]:[GRADE]],'rm types'!$A5,salesforecast[[TICKNESS]:[TICKNESS]],'rm types'!O$1,salesforecast[[Plant]:[Plant]],'rm types'!$A$1)</f>
        <v>0</v>
      </c>
      <c r="P5" s="52">
        <f>SUMIFS(salesforecast[[July Schedule]:[July Schedule]],salesforecast[[GRADE]:[GRADE]],'rm types'!$A5,salesforecast[[TICKNESS]:[TICKNESS]],'rm types'!P$1,salesforecast[[Plant]:[Plant]],'rm types'!$A$1)</f>
        <v>0</v>
      </c>
      <c r="Q5" s="52">
        <f>SUMIFS(salesforecast[[July Schedule]:[July Schedule]],salesforecast[[GRADE]:[GRADE]],'rm types'!$A5,salesforecast[[TICKNESS]:[TICKNESS]],'rm types'!Q$1,salesforecast[[Plant]:[Plant]],'rm types'!$A$1)</f>
        <v>0</v>
      </c>
      <c r="R5" s="52">
        <f>SUMIFS(salesforecast[[July Schedule]:[July Schedule]],salesforecast[[GRADE]:[GRADE]],'rm types'!$A5,salesforecast[[TICKNESS]:[TICKNESS]],'rm types'!R$1,salesforecast[[Plant]:[Plant]],'rm types'!$A$1)</f>
        <v>0</v>
      </c>
      <c r="S5" s="52">
        <f>SUMIFS(salesforecast[[July Schedule]:[July Schedule]],salesforecast[[GRADE]:[GRADE]],'rm types'!$A5,salesforecast[[TICKNESS]:[TICKNESS]],'rm types'!S$1,salesforecast[[Plant]:[Plant]],'rm types'!$A$1)</f>
        <v>0</v>
      </c>
      <c r="T5" s="52">
        <f>SUMIFS(salesforecast[[July Schedule]:[July Schedule]],salesforecast[[GRADE]:[GRADE]],'rm types'!$A5,salesforecast[[TICKNESS]:[TICKNESS]],'rm types'!T$1,salesforecast[[Plant]:[Plant]],'rm types'!$A$1)</f>
        <v>0</v>
      </c>
      <c r="U5" s="52">
        <f>SUMIFS(salesforecast[[July Schedule]:[July Schedule]],salesforecast[[GRADE]:[GRADE]],'rm types'!$A5,salesforecast[[TICKNESS]:[TICKNESS]],'rm types'!U$1,salesforecast[[Plant]:[Plant]],'rm types'!$A$1)</f>
        <v>0</v>
      </c>
      <c r="V5" s="52">
        <f>SUMIFS(salesforecast[[July Schedule]:[July Schedule]],salesforecast[[GRADE]:[GRADE]],'rm types'!$A5,salesforecast[[TICKNESS]:[TICKNESS]],'rm types'!V$1,salesforecast[[Plant]:[Plant]],'rm types'!$A$1)</f>
        <v>0</v>
      </c>
      <c r="W5" s="52">
        <f>SUMIFS(salesforecast[[July Schedule]:[July Schedule]],salesforecast[[GRADE]:[GRADE]],'rm types'!$A5,salesforecast[[TICKNESS]:[TICKNESS]],'rm types'!W$1,salesforecast[[Plant]:[Plant]],'rm types'!$A$1)</f>
        <v>0</v>
      </c>
    </row>
    <row r="8" spans="1:23" x14ac:dyDescent="0.25">
      <c r="A8" t="s">
        <v>199</v>
      </c>
      <c r="B8" t="s">
        <v>962</v>
      </c>
    </row>
    <row r="9" spans="1:23" x14ac:dyDescent="0.25">
      <c r="A9" t="s">
        <v>1801</v>
      </c>
      <c r="B9" s="47" t="s">
        <v>345</v>
      </c>
    </row>
    <row r="10" spans="1:23" x14ac:dyDescent="0.25">
      <c r="B10" cm="1">
        <f t="array" ref="B10:J10">TRANSPOSE(_xlfn._xlws.SORT(_xlfn.UNIQUE(_xlfn._xlws.FILTER(salesforecast[TICKNESS],(salesforecast[Plant]=$B$9)*(salesforecast[GRADE]=$B$8)))))</f>
        <v>1</v>
      </c>
      <c r="C10">
        <v>1.2</v>
      </c>
      <c r="D10">
        <v>1.6</v>
      </c>
      <c r="E10">
        <v>2</v>
      </c>
      <c r="F10">
        <v>2.2999999999999998</v>
      </c>
      <c r="G10">
        <v>2.5</v>
      </c>
      <c r="H10">
        <v>2.6</v>
      </c>
      <c r="I10">
        <v>3.2</v>
      </c>
      <c r="J10">
        <v>3.5</v>
      </c>
    </row>
    <row r="11" spans="1:23" x14ac:dyDescent="0.25">
      <c r="A11" cm="1">
        <f t="array" ref="A11:A29">_xlfn._xlws.SORT(_xlfn.UNIQUE(_xlfn._xlws.FILTER(salesforecast[OD],salesforecast[Plant]=$A$1)))</f>
        <v>12.7</v>
      </c>
      <c r="B11" s="52">
        <f>SUMIFS(salesforecast[Schedule],salesforecast[OD],'rm types'!$A11,salesforecast[TICKNESS],'rm types'!B$10,salesforecast[Plant],'rm types'!$B$9,salesforecast[GRADE],$B$8)</f>
        <v>0</v>
      </c>
      <c r="C11" s="52">
        <f>SUMIFS(salesforecast[Schedule],salesforecast[OD],'rm types'!$A11,salesforecast[TICKNESS],'rm types'!C$10,salesforecast[Plant],'rm types'!$B$9,salesforecast[GRADE],$B$8)</f>
        <v>6.8466639936</v>
      </c>
      <c r="D11" s="52">
        <f>SUMIFS(salesforecast[Schedule],salesforecast[OD],'rm types'!$A11,salesforecast[TICKNESS],'rm types'!D$10,salesforecast[Plant],'rm types'!$B$9,salesforecast[GRADE],$B$8)</f>
        <v>35.701806820080002</v>
      </c>
      <c r="E11" s="52">
        <f>SUMIFS(salesforecast[Schedule],salesforecast[OD],'rm types'!$A11,salesforecast[TICKNESS],'rm types'!E$10,salesforecast[Plant],'rm types'!$B$9,salesforecast[GRADE],$B$8)</f>
        <v>0</v>
      </c>
      <c r="F11" s="52">
        <f>SUMIFS(salesforecast[Schedule],salesforecast[OD],'rm types'!$A11,salesforecast[TICKNESS],'rm types'!F$10,salesforecast[Plant],'rm types'!$B$9,salesforecast[GRADE],$B$8)</f>
        <v>0</v>
      </c>
      <c r="G11" s="52">
        <f>SUMIFS(salesforecast[Schedule],salesforecast[OD],'rm types'!$A11,salesforecast[TICKNESS],'rm types'!G$10,salesforecast[Plant],'rm types'!$B$9,salesforecast[GRADE],$B$8)</f>
        <v>0</v>
      </c>
      <c r="H11" s="52">
        <f>SUMIFS(salesforecast[Schedule],salesforecast[OD],'rm types'!$A11,salesforecast[TICKNESS],'rm types'!H$10,salesforecast[Plant],'rm types'!$B$9,salesforecast[GRADE],$B$8)</f>
        <v>0</v>
      </c>
      <c r="I11" s="52">
        <f>SUMIFS(salesforecast[Schedule],salesforecast[OD],'rm types'!$A11,salesforecast[TICKNESS],'rm types'!I$10,salesforecast[Plant],'rm types'!$B$9,salesforecast[GRADE],$B$8)</f>
        <v>0</v>
      </c>
      <c r="J11" s="52">
        <f>SUMIFS(salesforecast[Schedule],salesforecast[OD],'rm types'!$A11,salesforecast[TICKNESS],'rm types'!J$10,salesforecast[Plant],'rm types'!$B$9,salesforecast[GRADE],$B$8)</f>
        <v>0</v>
      </c>
    </row>
    <row r="12" spans="1:23" x14ac:dyDescent="0.25">
      <c r="A12">
        <v>15.88</v>
      </c>
      <c r="B12" s="52">
        <f>SUMIFS(salesforecast[Schedule],salesforecast[OD],'rm types'!$A12,salesforecast[TICKNESS],'rm types'!B$10,salesforecast[Plant],'rm types'!$B$9,salesforecast[GRADE],$B$8)</f>
        <v>34.61147309447999</v>
      </c>
      <c r="C12" s="52">
        <f>SUMIFS(salesforecast[Schedule],salesforecast[OD],'rm types'!$A12,salesforecast[TICKNESS],'rm types'!C$10,salesforecast[Plant],'rm types'!$B$9,salesforecast[GRADE],$B$8)</f>
        <v>17.993943528960003</v>
      </c>
      <c r="D12" s="52">
        <f>SUMIFS(salesforecast[Schedule],salesforecast[OD],'rm types'!$A12,salesforecast[TICKNESS],'rm types'!D$10,salesforecast[Plant],'rm types'!$B$9,salesforecast[GRADE],$B$8)</f>
        <v>15.081969826560002</v>
      </c>
      <c r="E12" s="52">
        <f>SUMIFS(salesforecast[Schedule],salesforecast[OD],'rm types'!$A12,salesforecast[TICKNESS],'rm types'!E$10,salesforecast[Plant],'rm types'!$B$9,salesforecast[GRADE],$B$8)</f>
        <v>12.835552252416001</v>
      </c>
      <c r="F12" s="52">
        <f>SUMIFS(salesforecast[Schedule],salesforecast[OD],'rm types'!$A12,salesforecast[TICKNESS],'rm types'!F$10,salesforecast[Plant],'rm types'!$B$9,salesforecast[GRADE],$B$8)</f>
        <v>0</v>
      </c>
      <c r="G12" s="52">
        <f>SUMIFS(salesforecast[Schedule],salesforecast[OD],'rm types'!$A12,salesforecast[TICKNESS],'rm types'!G$10,salesforecast[Plant],'rm types'!$B$9,salesforecast[GRADE],$B$8)</f>
        <v>0</v>
      </c>
      <c r="H12" s="52">
        <f>SUMIFS(salesforecast[Schedule],salesforecast[OD],'rm types'!$A12,salesforecast[TICKNESS],'rm types'!H$10,salesforecast[Plant],'rm types'!$B$9,salesforecast[GRADE],$B$8)</f>
        <v>0</v>
      </c>
      <c r="I12" s="52">
        <f>SUMIFS(salesforecast[Schedule],salesforecast[OD],'rm types'!$A12,salesforecast[TICKNESS],'rm types'!I$10,salesforecast[Plant],'rm types'!$B$9,salesforecast[GRADE],$B$8)</f>
        <v>0</v>
      </c>
      <c r="J12" s="52">
        <f>SUMIFS(salesforecast[Schedule],salesforecast[OD],'rm types'!$A12,salesforecast[TICKNESS],'rm types'!J$10,salesforecast[Plant],'rm types'!$B$9,salesforecast[GRADE],$B$8)</f>
        <v>0</v>
      </c>
    </row>
    <row r="13" spans="1:23" x14ac:dyDescent="0.25">
      <c r="A13">
        <v>19</v>
      </c>
      <c r="B13" s="52">
        <f>SUMIFS(salesforecast[Schedule],salesforecast[OD],'rm types'!$A13,salesforecast[TICKNESS],'rm types'!B$10,salesforecast[Plant],'rm types'!$B$9,salesforecast[GRADE],$B$8)</f>
        <v>0</v>
      </c>
      <c r="C13" s="52">
        <f>SUMIFS(salesforecast[Schedule],salesforecast[OD],'rm types'!$A13,salesforecast[TICKNESS],'rm types'!C$10,salesforecast[Plant],'rm types'!$B$9,salesforecast[GRADE],$B$8)</f>
        <v>0</v>
      </c>
      <c r="D13" s="52">
        <f>SUMIFS(salesforecast[Schedule],salesforecast[OD],'rm types'!$A13,salesforecast[TICKNESS],'rm types'!D$10,salesforecast[Plant],'rm types'!$B$9,salesforecast[GRADE],$B$8)</f>
        <v>0</v>
      </c>
      <c r="E13" s="52">
        <f>SUMIFS(salesforecast[Schedule],salesforecast[OD],'rm types'!$A13,salesforecast[TICKNESS],'rm types'!E$10,salesforecast[Plant],'rm types'!$B$9,salesforecast[GRADE],$B$8)</f>
        <v>0</v>
      </c>
      <c r="F13" s="52">
        <f>SUMIFS(salesforecast[Schedule],salesforecast[OD],'rm types'!$A13,salesforecast[TICKNESS],'rm types'!F$10,salesforecast[Plant],'rm types'!$B$9,salesforecast[GRADE],$B$8)</f>
        <v>0</v>
      </c>
      <c r="G13" s="52">
        <f>SUMIFS(salesforecast[Schedule],salesforecast[OD],'rm types'!$A13,salesforecast[TICKNESS],'rm types'!G$10,salesforecast[Plant],'rm types'!$B$9,salesforecast[GRADE],$B$8)</f>
        <v>0</v>
      </c>
      <c r="H13" s="52">
        <f>SUMIFS(salesforecast[Schedule],salesforecast[OD],'rm types'!$A13,salesforecast[TICKNESS],'rm types'!H$10,salesforecast[Plant],'rm types'!$B$9,salesforecast[GRADE],$B$8)</f>
        <v>0</v>
      </c>
      <c r="I13" s="52">
        <f>SUMIFS(salesforecast[Schedule],salesforecast[OD],'rm types'!$A13,salesforecast[TICKNESS],'rm types'!I$10,salesforecast[Plant],'rm types'!$B$9,salesforecast[GRADE],$B$8)</f>
        <v>0</v>
      </c>
      <c r="J13" s="52">
        <f>SUMIFS(salesforecast[Schedule],salesforecast[OD],'rm types'!$A13,salesforecast[TICKNESS],'rm types'!J$10,salesforecast[Plant],'rm types'!$B$9,salesforecast[GRADE],$B$8)</f>
        <v>0</v>
      </c>
    </row>
    <row r="14" spans="1:23" x14ac:dyDescent="0.25">
      <c r="A14">
        <v>19.05</v>
      </c>
      <c r="B14" s="52">
        <f>SUMIFS(salesforecast[Schedule],salesforecast[OD],'rm types'!$A14,salesforecast[TICKNESS],'rm types'!B$10,salesforecast[Plant],'rm types'!$B$9,salesforecast[GRADE],$B$8)</f>
        <v>15.830056131000003</v>
      </c>
      <c r="C14" s="52">
        <f>SUMIFS(salesforecast[Schedule],salesforecast[OD],'rm types'!$A14,salesforecast[TICKNESS],'rm types'!C$10,salesforecast[Plant],'rm types'!$B$9,salesforecast[GRADE],$B$8)</f>
        <v>40.782617193150003</v>
      </c>
      <c r="D14" s="52">
        <f>SUMIFS(salesforecast[Schedule],salesforecast[OD],'rm types'!$A14,salesforecast[TICKNESS],'rm types'!D$10,salesforecast[Plant],'rm types'!$B$9,salesforecast[GRADE],$B$8)</f>
        <v>4.1154364783999995</v>
      </c>
      <c r="E14" s="52">
        <f>SUMIFS(salesforecast[Schedule],salesforecast[OD],'rm types'!$A14,salesforecast[TICKNESS],'rm types'!E$10,salesforecast[Plant],'rm types'!$B$9,salesforecast[GRADE],$B$8)</f>
        <v>73.459038536400001</v>
      </c>
      <c r="F14" s="52">
        <f>SUMIFS(salesforecast[Schedule],salesforecast[OD],'rm types'!$A14,salesforecast[TICKNESS],'rm types'!F$10,salesforecast[Plant],'rm types'!$B$9,salesforecast[GRADE],$B$8)</f>
        <v>99.752442651712485</v>
      </c>
      <c r="G14" s="52">
        <f>SUMIFS(salesforecast[Schedule],salesforecast[OD],'rm types'!$A14,salesforecast[TICKNESS],'rm types'!G$10,salesforecast[Plant],'rm types'!$B$9,salesforecast[GRADE],$B$8)</f>
        <v>0</v>
      </c>
      <c r="H14" s="52">
        <f>SUMIFS(salesforecast[Schedule],salesforecast[OD],'rm types'!$A14,salesforecast[TICKNESS],'rm types'!H$10,salesforecast[Plant],'rm types'!$B$9,salesforecast[GRADE],$B$8)</f>
        <v>0</v>
      </c>
      <c r="I14" s="52">
        <f>SUMIFS(salesforecast[Schedule],salesforecast[OD],'rm types'!$A14,salesforecast[TICKNESS],'rm types'!I$10,salesforecast[Plant],'rm types'!$B$9,salesforecast[GRADE],$B$8)</f>
        <v>0</v>
      </c>
      <c r="J14" s="52">
        <f>SUMIFS(salesforecast[Schedule],salesforecast[OD],'rm types'!$A14,salesforecast[TICKNESS],'rm types'!J$10,salesforecast[Plant],'rm types'!$B$9,salesforecast[GRADE],$B$8)</f>
        <v>0</v>
      </c>
    </row>
    <row r="15" spans="1:23" x14ac:dyDescent="0.25">
      <c r="A15">
        <v>22.23</v>
      </c>
      <c r="B15" s="52">
        <f>SUMIFS(salesforecast[Schedule],salesforecast[OD],'rm types'!$A15,salesforecast[TICKNESS],'rm types'!B$10,salesforecast[Plant],'rm types'!$B$9,salesforecast[GRADE],$B$8)</f>
        <v>0</v>
      </c>
      <c r="C15" s="52">
        <f>SUMIFS(salesforecast[Schedule],salesforecast[OD],'rm types'!$A15,salesforecast[TICKNESS],'rm types'!C$10,salesforecast[Plant],'rm types'!$B$9,salesforecast[GRADE],$B$8)</f>
        <v>21.238385605452002</v>
      </c>
      <c r="D15" s="52">
        <f>SUMIFS(salesforecast[Schedule],salesforecast[OD],'rm types'!$A15,salesforecast[TICKNESS],'rm types'!D$10,salesforecast[Plant],'rm types'!$B$9,salesforecast[GRADE],$B$8)</f>
        <v>133.86215305853759</v>
      </c>
      <c r="E15" s="52">
        <f>SUMIFS(salesforecast[Schedule],salesforecast[OD],'rm types'!$A15,salesforecast[TICKNESS],'rm types'!E$10,salesforecast[Plant],'rm types'!$B$9,salesforecast[GRADE],$B$8)</f>
        <v>155.38715175553094</v>
      </c>
      <c r="F15" s="52">
        <f>SUMIFS(salesforecast[Schedule],salesforecast[OD],'rm types'!$A15,salesforecast[TICKNESS],'rm types'!F$10,salesforecast[Plant],'rm types'!$B$9,salesforecast[GRADE],$B$8)</f>
        <v>41.867907610105</v>
      </c>
      <c r="G15" s="52">
        <f>SUMIFS(salesforecast[Schedule],salesforecast[OD],'rm types'!$A15,salesforecast[TICKNESS],'rm types'!G$10,salesforecast[Plant],'rm types'!$B$9,salesforecast[GRADE],$B$8)</f>
        <v>0</v>
      </c>
      <c r="H15" s="52">
        <f>SUMIFS(salesforecast[Schedule],salesforecast[OD],'rm types'!$A15,salesforecast[TICKNESS],'rm types'!H$10,salesforecast[Plant],'rm types'!$B$9,salesforecast[GRADE],$B$8)</f>
        <v>0</v>
      </c>
      <c r="I15" s="52">
        <f>SUMIFS(salesforecast[Schedule],salesforecast[OD],'rm types'!$A15,salesforecast[TICKNESS],'rm types'!I$10,salesforecast[Plant],'rm types'!$B$9,salesforecast[GRADE],$B$8)</f>
        <v>0</v>
      </c>
      <c r="J15" s="52">
        <f>SUMIFS(salesforecast[Schedule],salesforecast[OD],'rm types'!$A15,salesforecast[TICKNESS],'rm types'!J$10,salesforecast[Plant],'rm types'!$B$9,salesforecast[GRADE],$B$8)</f>
        <v>0</v>
      </c>
    </row>
    <row r="16" spans="1:23" x14ac:dyDescent="0.25">
      <c r="A16">
        <v>25</v>
      </c>
      <c r="B16" s="52">
        <f>SUMIFS(salesforecast[Schedule],salesforecast[OD],'rm types'!$A16,salesforecast[TICKNESS],'rm types'!B$10,salesforecast[Plant],'rm types'!$B$9,salesforecast[GRADE],$B$8)</f>
        <v>0</v>
      </c>
      <c r="C16" s="52">
        <f>SUMIFS(salesforecast[Schedule],salesforecast[OD],'rm types'!$A16,salesforecast[TICKNESS],'rm types'!C$10,salesforecast[Plant],'rm types'!$B$9,salesforecast[GRADE],$B$8)</f>
        <v>0</v>
      </c>
      <c r="D16" s="52">
        <f>SUMIFS(salesforecast[Schedule],salesforecast[OD],'rm types'!$A16,salesforecast[TICKNESS],'rm types'!D$10,salesforecast[Plant],'rm types'!$B$9,salesforecast[GRADE],$B$8)</f>
        <v>0</v>
      </c>
      <c r="E16" s="52">
        <f>SUMIFS(salesforecast[Schedule],salesforecast[OD],'rm types'!$A16,salesforecast[TICKNESS],'rm types'!E$10,salesforecast[Plant],'rm types'!$B$9,salesforecast[GRADE],$B$8)</f>
        <v>0</v>
      </c>
      <c r="F16" s="52">
        <f>SUMIFS(salesforecast[Schedule],salesforecast[OD],'rm types'!$A16,salesforecast[TICKNESS],'rm types'!F$10,salesforecast[Plant],'rm types'!$B$9,salesforecast[GRADE],$B$8)</f>
        <v>0</v>
      </c>
      <c r="G16" s="52">
        <f>SUMIFS(salesforecast[Schedule],salesforecast[OD],'rm types'!$A16,salesforecast[TICKNESS],'rm types'!G$10,salesforecast[Plant],'rm types'!$B$9,salesforecast[GRADE],$B$8)</f>
        <v>0</v>
      </c>
      <c r="H16" s="52">
        <f>SUMIFS(salesforecast[Schedule],salesforecast[OD],'rm types'!$A16,salesforecast[TICKNESS],'rm types'!H$10,salesforecast[Plant],'rm types'!$B$9,salesforecast[GRADE],$B$8)</f>
        <v>0</v>
      </c>
      <c r="I16" s="52">
        <f>SUMIFS(salesforecast[Schedule],salesforecast[OD],'rm types'!$A16,salesforecast[TICKNESS],'rm types'!I$10,salesforecast[Plant],'rm types'!$B$9,salesforecast[GRADE],$B$8)</f>
        <v>0</v>
      </c>
      <c r="J16" s="52">
        <f>SUMIFS(salesforecast[Schedule],salesforecast[OD],'rm types'!$A16,salesforecast[TICKNESS],'rm types'!J$10,salesforecast[Plant],'rm types'!$B$9,salesforecast[GRADE],$B$8)</f>
        <v>0</v>
      </c>
    </row>
    <row r="17" spans="1:10" x14ac:dyDescent="0.25">
      <c r="A17">
        <v>25.4</v>
      </c>
      <c r="B17" s="52">
        <f>SUMIFS(salesforecast[Schedule],salesforecast[OD],'rm types'!$A17,salesforecast[TICKNESS],'rm types'!B$10,salesforecast[Plant],'rm types'!$B$9,salesforecast[GRADE],$B$8)</f>
        <v>0</v>
      </c>
      <c r="C17" s="52">
        <f>SUMIFS(salesforecast[Schedule],salesforecast[OD],'rm types'!$A17,salesforecast[TICKNESS],'rm types'!C$10,salesforecast[Plant],'rm types'!$B$9,salesforecast[GRADE],$B$8)</f>
        <v>11.596072752</v>
      </c>
      <c r="D17" s="52">
        <f>SUMIFS(salesforecast[Schedule],salesforecast[OD],'rm types'!$A17,salesforecast[TICKNESS],'rm types'!D$10,salesforecast[Plant],'rm types'!$B$9,salesforecast[GRADE],$B$8)</f>
        <v>24.291845849600001</v>
      </c>
      <c r="E17" s="52">
        <f>SUMIFS(salesforecast[Schedule],salesforecast[OD],'rm types'!$A17,salesforecast[TICKNESS],'rm types'!E$10,salesforecast[Plant],'rm types'!$B$9,salesforecast[GRADE],$B$8)</f>
        <v>52.3978602907968</v>
      </c>
      <c r="F17" s="52">
        <f>SUMIFS(salesforecast[Schedule],salesforecast[OD],'rm types'!$A17,salesforecast[TICKNESS],'rm types'!F$10,salesforecast[Plant],'rm types'!$B$9,salesforecast[GRADE],$B$8)</f>
        <v>0</v>
      </c>
      <c r="G17" s="52">
        <f>SUMIFS(salesforecast[Schedule],salesforecast[OD],'rm types'!$A17,salesforecast[TICKNESS],'rm types'!G$10,salesforecast[Plant],'rm types'!$B$9,salesforecast[GRADE],$B$8)</f>
        <v>32.453032983788248</v>
      </c>
      <c r="H17" s="52">
        <f>SUMIFS(salesforecast[Schedule],salesforecast[OD],'rm types'!$A17,salesforecast[TICKNESS],'rm types'!H$10,salesforecast[Plant],'rm types'!$B$9,salesforecast[GRADE],$B$8)</f>
        <v>0</v>
      </c>
      <c r="I17" s="52">
        <f>SUMIFS(salesforecast[Schedule],salesforecast[OD],'rm types'!$A17,salesforecast[TICKNESS],'rm types'!I$10,salesforecast[Plant],'rm types'!$B$9,salesforecast[GRADE],$B$8)</f>
        <v>0</v>
      </c>
      <c r="J17" s="52">
        <f>SUMIFS(salesforecast[Schedule],salesforecast[OD],'rm types'!$A17,salesforecast[TICKNESS],'rm types'!J$10,salesforecast[Plant],'rm types'!$B$9,salesforecast[GRADE],$B$8)</f>
        <v>0</v>
      </c>
    </row>
    <row r="18" spans="1:10" x14ac:dyDescent="0.25">
      <c r="A18">
        <v>28.58</v>
      </c>
      <c r="B18" s="52">
        <f>SUMIFS(salesforecast[Schedule],salesforecast[OD],'rm types'!$A18,salesforecast[TICKNESS],'rm types'!B$10,salesforecast[Plant],'rm types'!$B$9,salesforecast[GRADE],$B$8)</f>
        <v>0</v>
      </c>
      <c r="C18" s="52">
        <f>SUMIFS(salesforecast[Schedule],salesforecast[OD],'rm types'!$A18,salesforecast[TICKNESS],'rm types'!C$10,salesforecast[Plant],'rm types'!$B$9,salesforecast[GRADE],$B$8)</f>
        <v>4.8430079131199992</v>
      </c>
      <c r="D18" s="52">
        <f>SUMIFS(salesforecast[Schedule],salesforecast[OD],'rm types'!$A18,salesforecast[TICKNESS],'rm types'!D$10,salesforecast[Plant],'rm types'!$B$9,salesforecast[GRADE],$B$8)</f>
        <v>5.5490104868799985</v>
      </c>
      <c r="E18" s="52">
        <f>SUMIFS(salesforecast[Schedule],salesforecast[OD],'rm types'!$A18,salesforecast[TICKNESS],'rm types'!E$10,salesforecast[Plant],'rm types'!$B$9,salesforecast[GRADE],$B$8)</f>
        <v>6.8465308889999976</v>
      </c>
      <c r="F18" s="52">
        <f>SUMIFS(salesforecast[Schedule],salesforecast[OD],'rm types'!$A18,salesforecast[TICKNESS],'rm types'!F$10,salesforecast[Plant],'rm types'!$B$9,salesforecast[GRADE],$B$8)</f>
        <v>0</v>
      </c>
      <c r="G18" s="52">
        <f>SUMIFS(salesforecast[Schedule],salesforecast[OD],'rm types'!$A18,salesforecast[TICKNESS],'rm types'!G$10,salesforecast[Plant],'rm types'!$B$9,salesforecast[GRADE],$B$8)</f>
        <v>0</v>
      </c>
      <c r="H18" s="52">
        <f>SUMIFS(salesforecast[Schedule],salesforecast[OD],'rm types'!$A18,salesforecast[TICKNESS],'rm types'!H$10,salesforecast[Plant],'rm types'!$B$9,salesforecast[GRADE],$B$8)</f>
        <v>0</v>
      </c>
      <c r="I18" s="52">
        <f>SUMIFS(salesforecast[Schedule],salesforecast[OD],'rm types'!$A18,salesforecast[TICKNESS],'rm types'!I$10,salesforecast[Plant],'rm types'!$B$9,salesforecast[GRADE],$B$8)</f>
        <v>0</v>
      </c>
      <c r="J18" s="52">
        <f>SUMIFS(salesforecast[Schedule],salesforecast[OD],'rm types'!$A18,salesforecast[TICKNESS],'rm types'!J$10,salesforecast[Plant],'rm types'!$B$9,salesforecast[GRADE],$B$8)</f>
        <v>0</v>
      </c>
    </row>
    <row r="19" spans="1:10" x14ac:dyDescent="0.25">
      <c r="A19">
        <v>30</v>
      </c>
      <c r="B19" s="52">
        <f>SUMIFS(salesforecast[Schedule],salesforecast[OD],'rm types'!$A19,salesforecast[TICKNESS],'rm types'!B$10,salesforecast[Plant],'rm types'!$B$9,salesforecast[GRADE],$B$8)</f>
        <v>0</v>
      </c>
      <c r="C19" s="52">
        <f>SUMIFS(salesforecast[Schedule],salesforecast[OD],'rm types'!$A19,salesforecast[TICKNESS],'rm types'!C$10,salesforecast[Plant],'rm types'!$B$9,salesforecast[GRADE],$B$8)</f>
        <v>0</v>
      </c>
      <c r="D19" s="52">
        <f>SUMIFS(salesforecast[Schedule],salesforecast[OD],'rm types'!$A19,salesforecast[TICKNESS],'rm types'!D$10,salesforecast[Plant],'rm types'!$B$9,salesforecast[GRADE],$B$8)</f>
        <v>0</v>
      </c>
      <c r="E19" s="52">
        <f>SUMIFS(salesforecast[Schedule],salesforecast[OD],'rm types'!$A19,salesforecast[TICKNESS],'rm types'!E$10,salesforecast[Plant],'rm types'!$B$9,salesforecast[GRADE],$B$8)</f>
        <v>0</v>
      </c>
      <c r="F19" s="52">
        <f>SUMIFS(salesforecast[Schedule],salesforecast[OD],'rm types'!$A19,salesforecast[TICKNESS],'rm types'!F$10,salesforecast[Plant],'rm types'!$B$9,salesforecast[GRADE],$B$8)</f>
        <v>0</v>
      </c>
      <c r="G19" s="52">
        <f>SUMIFS(salesforecast[Schedule],salesforecast[OD],'rm types'!$A19,salesforecast[TICKNESS],'rm types'!G$10,salesforecast[Plant],'rm types'!$B$9,salesforecast[GRADE],$B$8)</f>
        <v>0</v>
      </c>
      <c r="H19" s="52">
        <f>SUMIFS(salesforecast[Schedule],salesforecast[OD],'rm types'!$A19,salesforecast[TICKNESS],'rm types'!H$10,salesforecast[Plant],'rm types'!$B$9,salesforecast[GRADE],$B$8)</f>
        <v>0</v>
      </c>
      <c r="I19" s="52">
        <f>SUMIFS(salesforecast[Schedule],salesforecast[OD],'rm types'!$A19,salesforecast[TICKNESS],'rm types'!I$10,salesforecast[Plant],'rm types'!$B$9,salesforecast[GRADE],$B$8)</f>
        <v>0</v>
      </c>
      <c r="J19" s="52">
        <f>SUMIFS(salesforecast[Schedule],salesforecast[OD],'rm types'!$A19,salesforecast[TICKNESS],'rm types'!J$10,salesforecast[Plant],'rm types'!$B$9,salesforecast[GRADE],$B$8)</f>
        <v>0</v>
      </c>
    </row>
    <row r="20" spans="1:10" x14ac:dyDescent="0.25">
      <c r="A20">
        <v>31.75</v>
      </c>
      <c r="B20" s="52">
        <f>SUMIFS(salesforecast[Schedule],salesforecast[OD],'rm types'!$A20,salesforecast[TICKNESS],'rm types'!B$10,salesforecast[Plant],'rm types'!$B$9,salesforecast[GRADE],$B$8)</f>
        <v>0</v>
      </c>
      <c r="C20" s="52">
        <f>SUMIFS(salesforecast[Schedule],salesforecast[OD],'rm types'!$A20,salesforecast[TICKNESS],'rm types'!C$10,salesforecast[Plant],'rm types'!$B$9,salesforecast[GRADE],$B$8)</f>
        <v>23.413113929399998</v>
      </c>
      <c r="D20" s="52">
        <f>SUMIFS(salesforecast[Schedule],salesforecast[OD],'rm types'!$A20,salesforecast[TICKNESS],'rm types'!D$10,salesforecast[Plant],'rm types'!$B$9,salesforecast[GRADE],$B$8)</f>
        <v>0</v>
      </c>
      <c r="E20" s="52">
        <f>SUMIFS(salesforecast[Schedule],salesforecast[OD],'rm types'!$A20,salesforecast[TICKNESS],'rm types'!E$10,salesforecast[Plant],'rm types'!$B$9,salesforecast[GRADE],$B$8)</f>
        <v>0</v>
      </c>
      <c r="F20" s="52">
        <f>SUMIFS(salesforecast[Schedule],salesforecast[OD],'rm types'!$A20,salesforecast[TICKNESS],'rm types'!F$10,salesforecast[Plant],'rm types'!$B$9,salesforecast[GRADE],$B$8)</f>
        <v>0</v>
      </c>
      <c r="G20" s="52">
        <f>SUMIFS(salesforecast[Schedule],salesforecast[OD],'rm types'!$A20,salesforecast[TICKNESS],'rm types'!G$10,salesforecast[Plant],'rm types'!$B$9,salesforecast[GRADE],$B$8)</f>
        <v>32.444246249999999</v>
      </c>
      <c r="H20" s="52">
        <f>SUMIFS(salesforecast[Schedule],salesforecast[OD],'rm types'!$A20,salesforecast[TICKNESS],'rm types'!H$10,salesforecast[Plant],'rm types'!$B$9,salesforecast[GRADE],$B$8)</f>
        <v>0</v>
      </c>
      <c r="I20" s="52">
        <f>SUMIFS(salesforecast[Schedule],salesforecast[OD],'rm types'!$A20,salesforecast[TICKNESS],'rm types'!I$10,salesforecast[Plant],'rm types'!$B$9,salesforecast[GRADE],$B$8)</f>
        <v>0</v>
      </c>
      <c r="J20" s="52">
        <f>SUMIFS(salesforecast[Schedule],salesforecast[OD],'rm types'!$A20,salesforecast[TICKNESS],'rm types'!J$10,salesforecast[Plant],'rm types'!$B$9,salesforecast[GRADE],$B$8)</f>
        <v>0</v>
      </c>
    </row>
    <row r="21" spans="1:10" x14ac:dyDescent="0.25">
      <c r="A21">
        <v>34.93</v>
      </c>
      <c r="B21" s="52">
        <f>SUMIFS(salesforecast[Schedule],salesforecast[OD],'rm types'!$A21,salesforecast[TICKNESS],'rm types'!B$10,salesforecast[Plant],'rm types'!$B$9,salesforecast[GRADE],$B$8)</f>
        <v>0</v>
      </c>
      <c r="C21" s="52">
        <f>SUMIFS(salesforecast[Schedule],salesforecast[OD],'rm types'!$A21,salesforecast[TICKNESS],'rm types'!C$10,salesforecast[Plant],'rm types'!$B$9,salesforecast[GRADE],$B$8)</f>
        <v>0</v>
      </c>
      <c r="D21" s="52">
        <f>SUMIFS(salesforecast[Schedule],salesforecast[OD],'rm types'!$A21,salesforecast[TICKNESS],'rm types'!D$10,salesforecast[Plant],'rm types'!$B$9,salesforecast[GRADE],$B$8)</f>
        <v>6.352627991001599</v>
      </c>
      <c r="E21" s="52">
        <f>SUMIFS(salesforecast[Schedule],salesforecast[OD],'rm types'!$A21,salesforecast[TICKNESS],'rm types'!E$10,salesforecast[Plant],'rm types'!$B$9,salesforecast[GRADE],$B$8)</f>
        <v>0</v>
      </c>
      <c r="F21" s="52">
        <f>SUMIFS(salesforecast[Schedule],salesforecast[OD],'rm types'!$A21,salesforecast[TICKNESS],'rm types'!F$10,salesforecast[Plant],'rm types'!$B$9,salesforecast[GRADE],$B$8)</f>
        <v>0</v>
      </c>
      <c r="G21" s="52">
        <f>SUMIFS(salesforecast[Schedule],salesforecast[OD],'rm types'!$A21,salesforecast[TICKNESS],'rm types'!G$10,salesforecast[Plant],'rm types'!$B$9,salesforecast[GRADE],$B$8)</f>
        <v>0</v>
      </c>
      <c r="H21" s="52">
        <f>SUMIFS(salesforecast[Schedule],salesforecast[OD],'rm types'!$A21,salesforecast[TICKNESS],'rm types'!H$10,salesforecast[Plant],'rm types'!$B$9,salesforecast[GRADE],$B$8)</f>
        <v>10.697455349645999</v>
      </c>
      <c r="I21" s="52">
        <f>SUMIFS(salesforecast[Schedule],salesforecast[OD],'rm types'!$A21,salesforecast[TICKNESS],'rm types'!I$10,salesforecast[Plant],'rm types'!$B$9,salesforecast[GRADE],$B$8)</f>
        <v>0</v>
      </c>
      <c r="J21" s="52">
        <f>SUMIFS(salesforecast[Schedule],salesforecast[OD],'rm types'!$A21,salesforecast[TICKNESS],'rm types'!J$10,salesforecast[Plant],'rm types'!$B$9,salesforecast[GRADE],$B$8)</f>
        <v>0</v>
      </c>
    </row>
    <row r="22" spans="1:10" x14ac:dyDescent="0.25">
      <c r="A22">
        <v>38.1</v>
      </c>
      <c r="B22" s="52">
        <f>SUMIFS(salesforecast[Schedule],salesforecast[OD],'rm types'!$A22,salesforecast[TICKNESS],'rm types'!B$10,salesforecast[Plant],'rm types'!$B$9,salesforecast[GRADE],$B$8)</f>
        <v>0</v>
      </c>
      <c r="C22" s="52">
        <f>SUMIFS(salesforecast[Schedule],salesforecast[OD],'rm types'!$A22,salesforecast[TICKNESS],'rm types'!C$10,salesforecast[Plant],'rm types'!$B$9,salesforecast[GRADE],$B$8)</f>
        <v>0</v>
      </c>
      <c r="D22" s="52">
        <f>SUMIFS(salesforecast[Schedule],salesforecast[OD],'rm types'!$A22,salesforecast[TICKNESS],'rm types'!D$10,salesforecast[Plant],'rm types'!$B$9,salesforecast[GRADE],$B$8)</f>
        <v>11.852136423599998</v>
      </c>
      <c r="E22" s="52">
        <f>SUMIFS(salesforecast[Schedule],salesforecast[OD],'rm types'!$A22,salesforecast[TICKNESS],'rm types'!E$10,salesforecast[Plant],'rm types'!$B$9,salesforecast[GRADE],$B$8)</f>
        <v>99.070826849566004</v>
      </c>
      <c r="F22" s="52">
        <f>SUMIFS(salesforecast[Schedule],salesforecast[OD],'rm types'!$A22,salesforecast[TICKNESS],'rm types'!F$10,salesforecast[Plant],'rm types'!$B$9,salesforecast[GRADE],$B$8)</f>
        <v>0</v>
      </c>
      <c r="G22" s="52">
        <f>SUMIFS(salesforecast[Schedule],salesforecast[OD],'rm types'!$A22,salesforecast[TICKNESS],'rm types'!G$10,salesforecast[Plant],'rm types'!$B$9,salesforecast[GRADE],$B$8)</f>
        <v>0</v>
      </c>
      <c r="H22" s="52">
        <f>SUMIFS(salesforecast[Schedule],salesforecast[OD],'rm types'!$A22,salesforecast[TICKNESS],'rm types'!H$10,salesforecast[Plant],'rm types'!$B$9,salesforecast[GRADE],$B$8)</f>
        <v>0</v>
      </c>
      <c r="I22" s="52">
        <f>SUMIFS(salesforecast[Schedule],salesforecast[OD],'rm types'!$A22,salesforecast[TICKNESS],'rm types'!I$10,salesforecast[Plant],'rm types'!$B$9,salesforecast[GRADE],$B$8)</f>
        <v>0</v>
      </c>
      <c r="J22" s="52">
        <f>SUMIFS(salesforecast[Schedule],salesforecast[OD],'rm types'!$A22,salesforecast[TICKNESS],'rm types'!J$10,salesforecast[Plant],'rm types'!$B$9,salesforecast[GRADE],$B$8)</f>
        <v>0</v>
      </c>
    </row>
    <row r="23" spans="1:10" x14ac:dyDescent="0.25">
      <c r="A23">
        <v>40</v>
      </c>
      <c r="B23" s="52">
        <f>SUMIFS(salesforecast[Schedule],salesforecast[OD],'rm types'!$A23,salesforecast[TICKNESS],'rm types'!B$10,salesforecast[Plant],'rm types'!$B$9,salesforecast[GRADE],$B$8)</f>
        <v>0</v>
      </c>
      <c r="C23" s="52">
        <f>SUMIFS(salesforecast[Schedule],salesforecast[OD],'rm types'!$A23,salesforecast[TICKNESS],'rm types'!C$10,salesforecast[Plant],'rm types'!$B$9,salesforecast[GRADE],$B$8)</f>
        <v>0</v>
      </c>
      <c r="D23" s="52">
        <f>SUMIFS(salesforecast[Schedule],salesforecast[OD],'rm types'!$A23,salesforecast[TICKNESS],'rm types'!D$10,salesforecast[Plant],'rm types'!$B$9,salesforecast[GRADE],$B$8)</f>
        <v>267.60957228978361</v>
      </c>
      <c r="E23" s="52">
        <f>SUMIFS(salesforecast[Schedule],salesforecast[OD],'rm types'!$A23,salesforecast[TICKNESS],'rm types'!E$10,salesforecast[Plant],'rm types'!$B$9,salesforecast[GRADE],$B$8)</f>
        <v>45.739622910674996</v>
      </c>
      <c r="F23" s="52">
        <f>SUMIFS(salesforecast[Schedule],salesforecast[OD],'rm types'!$A23,salesforecast[TICKNESS],'rm types'!F$10,salesforecast[Plant],'rm types'!$B$9,salesforecast[GRADE],$B$8)</f>
        <v>0</v>
      </c>
      <c r="G23" s="52">
        <f>SUMIFS(salesforecast[Schedule],salesforecast[OD],'rm types'!$A23,salesforecast[TICKNESS],'rm types'!G$10,salesforecast[Plant],'rm types'!$B$9,salesforecast[GRADE],$B$8)</f>
        <v>0</v>
      </c>
      <c r="H23" s="52">
        <f>SUMIFS(salesforecast[Schedule],salesforecast[OD],'rm types'!$A23,salesforecast[TICKNESS],'rm types'!H$10,salesforecast[Plant],'rm types'!$B$9,salesforecast[GRADE],$B$8)</f>
        <v>0</v>
      </c>
      <c r="I23" s="52">
        <f>SUMIFS(salesforecast[Schedule],salesforecast[OD],'rm types'!$A23,salesforecast[TICKNESS],'rm types'!I$10,salesforecast[Plant],'rm types'!$B$9,salesforecast[GRADE],$B$8)</f>
        <v>0</v>
      </c>
      <c r="J23" s="52">
        <f>SUMIFS(salesforecast[Schedule],salesforecast[OD],'rm types'!$A23,salesforecast[TICKNESS],'rm types'!J$10,salesforecast[Plant],'rm types'!$B$9,salesforecast[GRADE],$B$8)</f>
        <v>0</v>
      </c>
    </row>
    <row r="24" spans="1:10" x14ac:dyDescent="0.25">
      <c r="A24">
        <v>41.28</v>
      </c>
      <c r="B24" s="52">
        <f>SUMIFS(salesforecast[Schedule],salesforecast[OD],'rm types'!$A24,salesforecast[TICKNESS],'rm types'!B$10,salesforecast[Plant],'rm types'!$B$9,salesforecast[GRADE],$B$8)</f>
        <v>0</v>
      </c>
      <c r="C24" s="52">
        <f>SUMIFS(salesforecast[Schedule],salesforecast[OD],'rm types'!$A24,salesforecast[TICKNESS],'rm types'!C$10,salesforecast[Plant],'rm types'!$B$9,salesforecast[GRADE],$B$8)</f>
        <v>0</v>
      </c>
      <c r="D24" s="52">
        <f>SUMIFS(salesforecast[Schedule],salesforecast[OD],'rm types'!$A24,salesforecast[TICKNESS],'rm types'!D$10,salesforecast[Plant],'rm types'!$B$9,salesforecast[GRADE],$B$8)</f>
        <v>0</v>
      </c>
      <c r="E24" s="52">
        <f>SUMIFS(salesforecast[Schedule],salesforecast[OD],'rm types'!$A24,salesforecast[TICKNESS],'rm types'!E$10,salesforecast[Plant],'rm types'!$B$9,salesforecast[GRADE],$B$8)</f>
        <v>0</v>
      </c>
      <c r="F24" s="52">
        <f>SUMIFS(salesforecast[Schedule],salesforecast[OD],'rm types'!$A24,salesforecast[TICKNESS],'rm types'!F$10,salesforecast[Plant],'rm types'!$B$9,salesforecast[GRADE],$B$8)</f>
        <v>0</v>
      </c>
      <c r="G24" s="52">
        <f>SUMIFS(salesforecast[Schedule],salesforecast[OD],'rm types'!$A24,salesforecast[TICKNESS],'rm types'!G$10,salesforecast[Plant],'rm types'!$B$9,salesforecast[GRADE],$B$8)</f>
        <v>0</v>
      </c>
      <c r="H24" s="52">
        <f>SUMIFS(salesforecast[Schedule],salesforecast[OD],'rm types'!$A24,salesforecast[TICKNESS],'rm types'!H$10,salesforecast[Plant],'rm types'!$B$9,salesforecast[GRADE],$B$8)</f>
        <v>66.705480776677604</v>
      </c>
      <c r="I24" s="52">
        <f>SUMIFS(salesforecast[Schedule],salesforecast[OD],'rm types'!$A24,salesforecast[TICKNESS],'rm types'!I$10,salesforecast[Plant],'rm types'!$B$9,salesforecast[GRADE],$B$8)</f>
        <v>12.819486625792003</v>
      </c>
      <c r="J24" s="52">
        <f>SUMIFS(salesforecast[Schedule],salesforecast[OD],'rm types'!$A24,salesforecast[TICKNESS],'rm types'!J$10,salesforecast[Plant],'rm types'!$B$9,salesforecast[GRADE],$B$8)</f>
        <v>0</v>
      </c>
    </row>
    <row r="25" spans="1:10" x14ac:dyDescent="0.25">
      <c r="A25">
        <v>48.6</v>
      </c>
      <c r="B25" s="52">
        <f>SUMIFS(salesforecast[Schedule],salesforecast[OD],'rm types'!$A25,salesforecast[TICKNESS],'rm types'!B$10,salesforecast[Plant],'rm types'!$B$9,salesforecast[GRADE],$B$8)</f>
        <v>0</v>
      </c>
      <c r="C25" s="52">
        <f>SUMIFS(salesforecast[Schedule],salesforecast[OD],'rm types'!$A25,salesforecast[TICKNESS],'rm types'!C$10,salesforecast[Plant],'rm types'!$B$9,salesforecast[GRADE],$B$8)</f>
        <v>12.719262608640001</v>
      </c>
      <c r="D25" s="52">
        <f>SUMIFS(salesforecast[Schedule],salesforecast[OD],'rm types'!$A25,salesforecast[TICKNESS],'rm types'!D$10,salesforecast[Plant],'rm types'!$B$9,salesforecast[GRADE],$B$8)</f>
        <v>0</v>
      </c>
      <c r="E25" s="52">
        <f>SUMIFS(salesforecast[Schedule],salesforecast[OD],'rm types'!$A25,salesforecast[TICKNESS],'rm types'!E$10,salesforecast[Plant],'rm types'!$B$9,salesforecast[GRADE],$B$8)</f>
        <v>0</v>
      </c>
      <c r="F25" s="52">
        <f>SUMIFS(salesforecast[Schedule],salesforecast[OD],'rm types'!$A25,salesforecast[TICKNESS],'rm types'!F$10,salesforecast[Plant],'rm types'!$B$9,salesforecast[GRADE],$B$8)</f>
        <v>0</v>
      </c>
      <c r="G25" s="52">
        <f>SUMIFS(salesforecast[Schedule],salesforecast[OD],'rm types'!$A25,salesforecast[TICKNESS],'rm types'!G$10,salesforecast[Plant],'rm types'!$B$9,salesforecast[GRADE],$B$8)</f>
        <v>0</v>
      </c>
      <c r="H25" s="52">
        <f>SUMIFS(salesforecast[Schedule],salesforecast[OD],'rm types'!$A25,salesforecast[TICKNESS],'rm types'!H$10,salesforecast[Plant],'rm types'!$B$9,salesforecast[GRADE],$B$8)</f>
        <v>0</v>
      </c>
      <c r="I25" s="52">
        <f>SUMIFS(salesforecast[Schedule],salesforecast[OD],'rm types'!$A25,salesforecast[TICKNESS],'rm types'!I$10,salesforecast[Plant],'rm types'!$B$9,salesforecast[GRADE],$B$8)</f>
        <v>0</v>
      </c>
      <c r="J25" s="52">
        <f>SUMIFS(salesforecast[Schedule],salesforecast[OD],'rm types'!$A25,salesforecast[TICKNESS],'rm types'!J$10,salesforecast[Plant],'rm types'!$B$9,salesforecast[GRADE],$B$8)</f>
        <v>15.252111028</v>
      </c>
    </row>
    <row r="26" spans="1:10" x14ac:dyDescent="0.25">
      <c r="A26">
        <v>50</v>
      </c>
      <c r="B26" s="52">
        <f>SUMIFS(salesforecast[Schedule],salesforecast[OD],'rm types'!$A26,salesforecast[TICKNESS],'rm types'!B$10,salesforecast[Plant],'rm types'!$B$9,salesforecast[GRADE],$B$8)</f>
        <v>0</v>
      </c>
      <c r="C26" s="52">
        <f>SUMIFS(salesforecast[Schedule],salesforecast[OD],'rm types'!$A26,salesforecast[TICKNESS],'rm types'!C$10,salesforecast[Plant],'rm types'!$B$9,salesforecast[GRADE],$B$8)</f>
        <v>0</v>
      </c>
      <c r="D26" s="52">
        <f>SUMIFS(salesforecast[Schedule],salesforecast[OD],'rm types'!$A26,salesforecast[TICKNESS],'rm types'!D$10,salesforecast[Plant],'rm types'!$B$9,salesforecast[GRADE],$B$8)</f>
        <v>103.53994425087743</v>
      </c>
      <c r="E26" s="52">
        <f>SUMIFS(salesforecast[Schedule],salesforecast[OD],'rm types'!$A26,salesforecast[TICKNESS],'rm types'!E$10,salesforecast[Plant],'rm types'!$B$9,salesforecast[GRADE],$B$8)</f>
        <v>21.411107359999995</v>
      </c>
      <c r="F26" s="52">
        <f>SUMIFS(salesforecast[Schedule],salesforecast[OD],'rm types'!$A26,salesforecast[TICKNESS],'rm types'!F$10,salesforecast[Plant],'rm types'!$B$9,salesforecast[GRADE],$B$8)</f>
        <v>0</v>
      </c>
      <c r="G26" s="52">
        <f>SUMIFS(salesforecast[Schedule],salesforecast[OD],'rm types'!$A26,salesforecast[TICKNESS],'rm types'!G$10,salesforecast[Plant],'rm types'!$B$9,salesforecast[GRADE],$B$8)</f>
        <v>0</v>
      </c>
      <c r="H26" s="52">
        <f>SUMIFS(salesforecast[Schedule],salesforecast[OD],'rm types'!$A26,salesforecast[TICKNESS],'rm types'!H$10,salesforecast[Plant],'rm types'!$B$9,salesforecast[GRADE],$B$8)</f>
        <v>0</v>
      </c>
      <c r="I26" s="52">
        <f>SUMIFS(salesforecast[Schedule],salesforecast[OD],'rm types'!$A26,salesforecast[TICKNESS],'rm types'!I$10,salesforecast[Plant],'rm types'!$B$9,salesforecast[GRADE],$B$8)</f>
        <v>0</v>
      </c>
      <c r="J26" s="52">
        <f>SUMIFS(salesforecast[Schedule],salesforecast[OD],'rm types'!$A26,salesforecast[TICKNESS],'rm types'!J$10,salesforecast[Plant],'rm types'!$B$9,salesforecast[GRADE],$B$8)</f>
        <v>0</v>
      </c>
    </row>
    <row r="27" spans="1:10" x14ac:dyDescent="0.25">
      <c r="A27">
        <v>50.8</v>
      </c>
      <c r="B27" s="52">
        <f>SUMIFS(salesforecast[Schedule],salesforecast[OD],'rm types'!$A27,salesforecast[TICKNESS],'rm types'!B$10,salesforecast[Plant],'rm types'!$B$9,salesforecast[GRADE],$B$8)</f>
        <v>0</v>
      </c>
      <c r="C27" s="52">
        <f>SUMIFS(salesforecast[Schedule],salesforecast[OD],'rm types'!$A27,salesforecast[TICKNESS],'rm types'!C$10,salesforecast[Plant],'rm types'!$B$9,salesforecast[GRADE],$B$8)</f>
        <v>0</v>
      </c>
      <c r="D27" s="52">
        <f>SUMIFS(salesforecast[Schedule],salesforecast[OD],'rm types'!$A27,salesforecast[TICKNESS],'rm types'!D$10,salesforecast[Plant],'rm types'!$B$9,salesforecast[GRADE],$B$8)</f>
        <v>11.205632592000002</v>
      </c>
      <c r="E27" s="52">
        <f>SUMIFS(salesforecast[Schedule],salesforecast[OD],'rm types'!$A27,salesforecast[TICKNESS],'rm types'!E$10,salesforecast[Plant],'rm types'!$B$9,salesforecast[GRADE],$B$8)</f>
        <v>0</v>
      </c>
      <c r="F27" s="52">
        <f>SUMIFS(salesforecast[Schedule],salesforecast[OD],'rm types'!$A27,salesforecast[TICKNESS],'rm types'!F$10,salesforecast[Plant],'rm types'!$B$9,salesforecast[GRADE],$B$8)</f>
        <v>0</v>
      </c>
      <c r="G27" s="52">
        <f>SUMIFS(salesforecast[Schedule],salesforecast[OD],'rm types'!$A27,salesforecast[TICKNESS],'rm types'!G$10,salesforecast[Plant],'rm types'!$B$9,salesforecast[GRADE],$B$8)</f>
        <v>0</v>
      </c>
      <c r="H27" s="52">
        <f>SUMIFS(salesforecast[Schedule],salesforecast[OD],'rm types'!$A27,salesforecast[TICKNESS],'rm types'!H$10,salesforecast[Plant],'rm types'!$B$9,salesforecast[GRADE],$B$8)</f>
        <v>0</v>
      </c>
      <c r="I27" s="52">
        <f>SUMIFS(salesforecast[Schedule],salesforecast[OD],'rm types'!$A27,salesforecast[TICKNESS],'rm types'!I$10,salesforecast[Plant],'rm types'!$B$9,salesforecast[GRADE],$B$8)</f>
        <v>0</v>
      </c>
      <c r="J27" s="52">
        <f>SUMIFS(salesforecast[Schedule],salesforecast[OD],'rm types'!$A27,salesforecast[TICKNESS],'rm types'!J$10,salesforecast[Plant],'rm types'!$B$9,salesforecast[GRADE],$B$8)</f>
        <v>0</v>
      </c>
    </row>
    <row r="28" spans="1:10" x14ac:dyDescent="0.25">
      <c r="A28">
        <v>57.15</v>
      </c>
      <c r="B28" s="52">
        <f>SUMIFS(salesforecast[Schedule],salesforecast[OD],'rm types'!$A28,salesforecast[TICKNESS],'rm types'!B$10,salesforecast[Plant],'rm types'!$B$9,salesforecast[GRADE],$B$8)</f>
        <v>0</v>
      </c>
      <c r="C28" s="52">
        <f>SUMIFS(salesforecast[Schedule],salesforecast[OD],'rm types'!$A28,salesforecast[TICKNESS],'rm types'!C$10,salesforecast[Plant],'rm types'!$B$9,salesforecast[GRADE],$B$8)</f>
        <v>0</v>
      </c>
      <c r="D28" s="52">
        <f>SUMIFS(salesforecast[Schedule],salesforecast[OD],'rm types'!$A28,salesforecast[TICKNESS],'rm types'!D$10,salesforecast[Plant],'rm types'!$B$9,salesforecast[GRADE],$B$8)</f>
        <v>0</v>
      </c>
      <c r="E28" s="52">
        <f>SUMIFS(salesforecast[Schedule],salesforecast[OD],'rm types'!$A28,salesforecast[TICKNESS],'rm types'!E$10,salesforecast[Plant],'rm types'!$B$9,salesforecast[GRADE],$B$8)</f>
        <v>30.539972595865002</v>
      </c>
      <c r="F28" s="52">
        <f>SUMIFS(salesforecast[Schedule],salesforecast[OD],'rm types'!$A28,salesforecast[TICKNESS],'rm types'!F$10,salesforecast[Plant],'rm types'!$B$9,salesforecast[GRADE],$B$8)</f>
        <v>0</v>
      </c>
      <c r="G28" s="52">
        <f>SUMIFS(salesforecast[Schedule],salesforecast[OD],'rm types'!$A28,salesforecast[TICKNESS],'rm types'!G$10,salesforecast[Plant],'rm types'!$B$9,salesforecast[GRADE],$B$8)</f>
        <v>12.999204752499999</v>
      </c>
      <c r="H28" s="52">
        <f>SUMIFS(salesforecast[Schedule],salesforecast[OD],'rm types'!$A28,salesforecast[TICKNESS],'rm types'!H$10,salesforecast[Plant],'rm types'!$B$9,salesforecast[GRADE],$B$8)</f>
        <v>0</v>
      </c>
      <c r="I28" s="52">
        <f>SUMIFS(salesforecast[Schedule],salesforecast[OD],'rm types'!$A28,salesforecast[TICKNESS],'rm types'!I$10,salesforecast[Plant],'rm types'!$B$9,salesforecast[GRADE],$B$8)</f>
        <v>0</v>
      </c>
      <c r="J28" s="52">
        <f>SUMIFS(salesforecast[Schedule],salesforecast[OD],'rm types'!$A28,salesforecast[TICKNESS],'rm types'!J$10,salesforecast[Plant],'rm types'!$B$9,salesforecast[GRADE],$B$8)</f>
        <v>0</v>
      </c>
    </row>
    <row r="29" spans="1:10" x14ac:dyDescent="0.25">
      <c r="A29">
        <v>59</v>
      </c>
      <c r="B29" s="52">
        <f>SUMIFS(salesforecast[Schedule],salesforecast[OD],'rm types'!$A29,salesforecast[TICKNESS],'rm types'!B$10,salesforecast[Plant],'rm types'!$B$9,salesforecast[GRADE],$B$8)</f>
        <v>0</v>
      </c>
      <c r="C29" s="52">
        <f>SUMIFS(salesforecast[Schedule],salesforecast[OD],'rm types'!$A29,salesforecast[TICKNESS],'rm types'!C$10,salesforecast[Plant],'rm types'!$B$9,salesforecast[GRADE],$B$8)</f>
        <v>0</v>
      </c>
      <c r="D29" s="52">
        <f>SUMIFS(salesforecast[Schedule],salesforecast[OD],'rm types'!$A29,salesforecast[TICKNESS],'rm types'!D$10,salesforecast[Plant],'rm types'!$B$9,salesforecast[GRADE],$B$8)</f>
        <v>16.277801272160001</v>
      </c>
      <c r="E29" s="52">
        <f>SUMIFS(salesforecast[Schedule],salesforecast[OD],'rm types'!$A29,salesforecast[TICKNESS],'rm types'!E$10,salesforecast[Plant],'rm types'!$B$9,salesforecast[GRADE],$B$8)</f>
        <v>0</v>
      </c>
      <c r="F29" s="52">
        <f>SUMIFS(salesforecast[Schedule],salesforecast[OD],'rm types'!$A29,salesforecast[TICKNESS],'rm types'!F$10,salesforecast[Plant],'rm types'!$B$9,salesforecast[GRADE],$B$8)</f>
        <v>0</v>
      </c>
      <c r="G29" s="52">
        <f>SUMIFS(salesforecast[Schedule],salesforecast[OD],'rm types'!$A29,salesforecast[TICKNESS],'rm types'!G$10,salesforecast[Plant],'rm types'!$B$9,salesforecast[GRADE],$B$8)</f>
        <v>0</v>
      </c>
      <c r="H29" s="52">
        <f>SUMIFS(salesforecast[Schedule],salesforecast[OD],'rm types'!$A29,salesforecast[TICKNESS],'rm types'!H$10,salesforecast[Plant],'rm types'!$B$9,salesforecast[GRADE],$B$8)</f>
        <v>0</v>
      </c>
      <c r="I29" s="52">
        <f>SUMIFS(salesforecast[Schedule],salesforecast[OD],'rm types'!$A29,salesforecast[TICKNESS],'rm types'!I$10,salesforecast[Plant],'rm types'!$B$9,salesforecast[GRADE],$B$8)</f>
        <v>0</v>
      </c>
      <c r="J29" s="52">
        <f>SUMIFS(salesforecast[Schedule],salesforecast[OD],'rm types'!$A29,salesforecast[TICKNESS],'rm types'!J$10,salesforecast[Plant],'rm types'!$B$9,salesforecast[GRADE],$B$8)</f>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7C60-7070-4806-B2AE-70808236D3E0}">
  <sheetPr codeName="Sheet28">
    <tabColor rgb="FFFFC000"/>
  </sheetPr>
  <dimension ref="A1:G70"/>
  <sheetViews>
    <sheetView view="pageBreakPreview" zoomScale="60" zoomScaleNormal="100" workbookViewId="0">
      <selection activeCell="J16" sqref="J16"/>
    </sheetView>
  </sheetViews>
  <sheetFormatPr defaultRowHeight="15" x14ac:dyDescent="0.25"/>
  <cols>
    <col min="1" max="1" width="8.42578125" bestFit="1" customWidth="1"/>
    <col min="2" max="3" width="37" style="66" customWidth="1"/>
    <col min="4" max="4" width="31.140625" style="48" bestFit="1" customWidth="1"/>
    <col min="5" max="7" width="12.5703125" bestFit="1" customWidth="1"/>
  </cols>
  <sheetData>
    <row r="1" spans="1:7" x14ac:dyDescent="0.25">
      <c r="A1" s="71" t="s">
        <v>1801</v>
      </c>
      <c r="B1" s="214" t="s">
        <v>258</v>
      </c>
      <c r="C1" s="214" t="s">
        <v>2416</v>
      </c>
      <c r="D1" s="71" t="s">
        <v>2418</v>
      </c>
      <c r="E1" s="71" t="s">
        <v>1829</v>
      </c>
      <c r="F1" s="71" t="s">
        <v>1804</v>
      </c>
      <c r="G1" s="71" t="s">
        <v>944</v>
      </c>
    </row>
    <row r="2" spans="1:7" ht="30" x14ac:dyDescent="0.25">
      <c r="A2" s="2" t="str" cm="1">
        <f t="array" ref="A2:G70">_xlfn._xlws.FILTER(_xlfn.CHOOSECOLS(salesforecast[],_xlfn.XMATCH('Sales Forecast For Printing'!A1:G1,salesforecast[#Headers])),salesforecast[Plant]="0789")</f>
        <v>0789</v>
      </c>
      <c r="B2" s="5" t="str">
        <v>ELKAYEM AUTO|Sandhar Automach|SRIKAM HITECH</v>
      </c>
      <c r="C2" s="5" t="str">
        <v>278|408|600|772|1000</v>
      </c>
      <c r="D2" s="2" t="str">
        <v>12.7-0-1.2-ERW 1-PE</v>
      </c>
      <c r="E2" s="1">
        <v>6.8466639936</v>
      </c>
      <c r="F2" s="1">
        <v>20.176453000000002</v>
      </c>
      <c r="G2" s="1">
        <v>0</v>
      </c>
    </row>
    <row r="3" spans="1:7" ht="75" x14ac:dyDescent="0.25">
      <c r="A3" s="2" t="str">
        <v>0789</v>
      </c>
      <c r="B3" s="5" t="str">
        <v>Balaji press product|ELKAYEM AUTO|NMPL TVSM|Rajsriya Unit 2|Rajsriya Unit 5|Rajsriya Automotive|Rajsriya Mysore |SRIKAM HITECH</v>
      </c>
      <c r="C3" s="5" t="str">
        <v>145|187|189|250|252|255|257|260|280|295|320|393|907|950|1000|6000</v>
      </c>
      <c r="D3" s="2" t="str">
        <v>12.7-0-1.6-ERW 1-PE</v>
      </c>
      <c r="E3" s="1">
        <v>35.701806820080002</v>
      </c>
      <c r="F3" s="1">
        <v>6.5656999999999854E-2</v>
      </c>
      <c r="G3" s="1">
        <v>8.9860000000000007</v>
      </c>
    </row>
    <row r="4" spans="1:7" ht="30" x14ac:dyDescent="0.25">
      <c r="A4" s="2" t="str">
        <v>0789</v>
      </c>
      <c r="B4" s="5" t="str">
        <v>Marathwada|NMPL HUB|NMPL TVSM</v>
      </c>
      <c r="C4" s="5" t="str">
        <v>140|592|1234|1603|1715|1745|2185|2340|2490|2905</v>
      </c>
      <c r="D4" s="2" t="str">
        <v>15.88-0-1-ERW 1-PE</v>
      </c>
      <c r="E4" s="1">
        <v>34.61147309447999</v>
      </c>
      <c r="F4" s="1">
        <v>0.17900000000000027</v>
      </c>
      <c r="G4" s="1">
        <v>0</v>
      </c>
    </row>
    <row r="5" spans="1:7" ht="45" x14ac:dyDescent="0.25">
      <c r="A5" s="2" t="str">
        <v>0789</v>
      </c>
      <c r="B5" s="5" t="str">
        <v>Balaji press product|RUCHA|SRI BALAJI GEARS V4|Balaji Gears V3|SRI BALAJI GEARS V7|SRIKAM HITECH</v>
      </c>
      <c r="C5" s="5" t="str">
        <v>150|540|680|730|755|888|1130|1310</v>
      </c>
      <c r="D5" s="2" t="str">
        <v>15.88-0-1.2-ERW 1-PE</v>
      </c>
      <c r="E5" s="1">
        <v>17.993943528960003</v>
      </c>
      <c r="F5" s="1">
        <v>6.0695910000000008</v>
      </c>
      <c r="G5" s="1">
        <v>7.3860000000000001</v>
      </c>
    </row>
    <row r="6" spans="1:7" ht="60" x14ac:dyDescent="0.25">
      <c r="A6" s="2" t="str">
        <v>0789</v>
      </c>
      <c r="B6" s="5" t="str">
        <v>ELKAYEM AUTO|ELKAYEM AUTO MYSORE |Marathwada|Rajsriya Unit 2|Rajsriya Unit 5|Rajsriya Automotive|SRIKAM HITECH</v>
      </c>
      <c r="C6" s="5" t="str">
        <v>150|154|435|442|1000|6000</v>
      </c>
      <c r="D6" s="2" t="str">
        <v>15.88-0-1.6-ERW 1-PE</v>
      </c>
      <c r="E6" s="1">
        <v>15.081969826560002</v>
      </c>
      <c r="F6" s="1">
        <v>0</v>
      </c>
      <c r="G6" s="1">
        <v>3.8879999999999999</v>
      </c>
    </row>
    <row r="7" spans="1:7" ht="60" x14ac:dyDescent="0.25">
      <c r="A7" s="2" t="str">
        <v>0789</v>
      </c>
      <c r="B7" s="5" t="str">
        <v>ELKAYEM AUTO|ELKAYEM AUTO MYSORE |Rajsriya Unit 8|Rajsriya Unit 1|Rajsriya Mysore |RUCHA|SRIKAM HITECH</v>
      </c>
      <c r="C7" s="5" t="str">
        <v>155|160|291|442|537</v>
      </c>
      <c r="D7" s="2" t="str">
        <v>15.88-0-2-ERW 1-PE</v>
      </c>
      <c r="E7" s="1">
        <v>12.835552252416001</v>
      </c>
      <c r="F7" s="1">
        <v>0</v>
      </c>
      <c r="G7" s="1">
        <v>0.24399999999999999</v>
      </c>
    </row>
    <row r="8" spans="1:7" ht="60" x14ac:dyDescent="0.25">
      <c r="A8" s="2" t="str">
        <v>0789</v>
      </c>
      <c r="B8" s="5" t="str">
        <v>Marathwada v7|Marathwada|SRI BALAJI GEARS V7|SRI BALAJI GEARS V4|Balaji Gears V3</v>
      </c>
      <c r="C8" s="5" t="str">
        <v>100|110|115|129|150|290|330|355|392|400|470|486|540|675|682|710|750|755|790|795|800|835|840|871|875|880|890|962|963|1000|1007|1246|1304</v>
      </c>
      <c r="D8" s="2" t="str">
        <v>19-19-1-CRFH-PE</v>
      </c>
      <c r="E8" s="1">
        <v>128.05832115050001</v>
      </c>
      <c r="F8" s="1">
        <v>15.867808</v>
      </c>
      <c r="G8" s="1">
        <v>41.765000000000001</v>
      </c>
    </row>
    <row r="9" spans="1:7" x14ac:dyDescent="0.25">
      <c r="A9" s="2" t="str">
        <v>0789</v>
      </c>
      <c r="B9" s="5" t="e" vm="3">
        <v>#VALUE!</v>
      </c>
      <c r="C9" s="5" t="e" vm="3">
        <v>#VALUE!</v>
      </c>
      <c r="D9" s="2" t="str">
        <v>19-19-1.2-CRFH-PE</v>
      </c>
      <c r="E9" s="1">
        <v>0</v>
      </c>
      <c r="F9" s="1">
        <v>0</v>
      </c>
      <c r="G9" s="1">
        <v>3.4649999999999999</v>
      </c>
    </row>
    <row r="10" spans="1:7" ht="30" x14ac:dyDescent="0.25">
      <c r="A10" s="2" t="str">
        <v>0789</v>
      </c>
      <c r="B10" s="5" t="str">
        <v>Balaji press product|Marathwada|NMPL TVSM</v>
      </c>
      <c r="C10" s="5" t="str">
        <v>1095|1200</v>
      </c>
      <c r="D10" s="2" t="str">
        <v>19.05-0-1-ERW 1-PE</v>
      </c>
      <c r="E10" s="1">
        <v>15.830056131000003</v>
      </c>
      <c r="F10" s="1">
        <v>0</v>
      </c>
      <c r="G10" s="1">
        <v>18.324000000000002</v>
      </c>
    </row>
    <row r="11" spans="1:7" ht="60" x14ac:dyDescent="0.25">
      <c r="A11" s="2" t="str">
        <v>0789</v>
      </c>
      <c r="B11" s="5" t="str">
        <v>Balaji press product|Marathwada|NMPL TVSM|SANDHAR ENGINEERING PVT LTD.|Balaji Gears V3</v>
      </c>
      <c r="C11" s="5" t="str">
        <v>109|200|258|330|403|513|631|650|680|682|1075|1130|1145|1230|1275|1615</v>
      </c>
      <c r="D11" s="2" t="str">
        <v>19.05-0-1.2-ERW 1-PE</v>
      </c>
      <c r="E11" s="1">
        <v>40.782617193150003</v>
      </c>
      <c r="F11" s="1">
        <v>0</v>
      </c>
      <c r="G11" s="1">
        <v>20.588000000000001</v>
      </c>
    </row>
    <row r="12" spans="1:7" ht="30" x14ac:dyDescent="0.25">
      <c r="A12" s="2" t="str">
        <v>0789</v>
      </c>
      <c r="B12" s="5" t="str">
        <v>Marathwada v7|SRI BALAJI GEARS V4|SRI BALAJI GEARS V7</v>
      </c>
      <c r="C12" s="5" t="str">
        <v>200|220|320|330|377|682|1230</v>
      </c>
      <c r="D12" s="2" t="str">
        <v>19.05-0-1.2-CRFH-PE</v>
      </c>
      <c r="E12" s="1">
        <v>19.573069142970006</v>
      </c>
      <c r="F12" s="1">
        <v>2.2490960000000002</v>
      </c>
      <c r="G12" s="1">
        <v>16.085999999999999</v>
      </c>
    </row>
    <row r="13" spans="1:7" ht="30" x14ac:dyDescent="0.25">
      <c r="A13" s="2" t="str">
        <v>0789</v>
      </c>
      <c r="B13" s="5" t="str">
        <v>Metalman|NMPL TVSM|SANDHAR ENGINEERING PVT LTD.|SRIKAM HITECH</v>
      </c>
      <c r="C13" s="5" t="str">
        <v>258|268|275|595|610|1405</v>
      </c>
      <c r="D13" s="2" t="str">
        <v>19.05-0-1.6-ERW 1-PE</v>
      </c>
      <c r="E13" s="1">
        <v>4.1154364783999995</v>
      </c>
      <c r="F13" s="1">
        <v>0</v>
      </c>
      <c r="G13" s="1">
        <v>2.8860000000000001</v>
      </c>
    </row>
    <row r="14" spans="1:7" x14ac:dyDescent="0.25">
      <c r="A14" s="2" t="str">
        <v>0789</v>
      </c>
      <c r="B14" s="5" t="str">
        <v>Rajsriya Unit 8</v>
      </c>
      <c r="C14" s="5" t="str">
        <v>394</v>
      </c>
      <c r="D14" s="2" t="str">
        <v>19.05-0-1.6-ERW 2 MAHS-PE</v>
      </c>
      <c r="E14" s="1">
        <v>0</v>
      </c>
      <c r="F14" s="1">
        <v>0</v>
      </c>
      <c r="G14" s="1">
        <v>2.9860000000000002</v>
      </c>
    </row>
    <row r="15" spans="1:7" ht="75" x14ac:dyDescent="0.25">
      <c r="A15" s="2" t="str">
        <v>0789</v>
      </c>
      <c r="B15" s="5" t="str">
        <v>ELKAYEM AUTO|KNITVEL NEEDLES P LTD|Rajsriya Unit 2|Rajsriya Unit 1|Rajsriya Unit 5|Rajsriya Unit 8|Rajsriya Mysore |RUCHA|SRIKAM HITECH</v>
      </c>
      <c r="C15" s="5" t="str">
        <v>104|213|240|259|265|358|394|475|775|785|815|820|830|900|1000</v>
      </c>
      <c r="D15" s="2" t="str">
        <v>19.05-0-2-ERW 1-PE</v>
      </c>
      <c r="E15" s="1">
        <v>73.459038536400001</v>
      </c>
      <c r="F15" s="1">
        <v>0</v>
      </c>
      <c r="G15" s="1">
        <v>11.189</v>
      </c>
    </row>
    <row r="16" spans="1:7" ht="75" x14ac:dyDescent="0.25">
      <c r="A16" s="2" t="str">
        <v>0789</v>
      </c>
      <c r="B16" s="5" t="str">
        <v>ELKAYEM AUTO|NMPL TVSM|Rajsriya Unit 2|Rajsriya Unit 5|Rajsriya Unit 1|Rajsriya Automotive|RUCHA|SANDHAR ENGINEERING PVT LTD.|SRIKAM HITECH</v>
      </c>
      <c r="C16" s="5" t="str">
        <v>195|210|236|250|252|255|265|278|281|285|295|303|394|400|554|570|585|600|610|1000</v>
      </c>
      <c r="D16" s="2" t="str">
        <v>19.05-0-2.3-ERW 1-PE</v>
      </c>
      <c r="E16" s="1">
        <v>99.752442651712485</v>
      </c>
      <c r="F16" s="1">
        <v>73.955846000000008</v>
      </c>
      <c r="G16" s="1">
        <v>6.0149999999999997</v>
      </c>
    </row>
    <row r="17" spans="1:7" ht="60" x14ac:dyDescent="0.25">
      <c r="A17" s="2" t="str">
        <v>0789</v>
      </c>
      <c r="B17" s="5" t="str">
        <v>ELKAYEM AUTO|NMPL HUB|Rajsriya Unit 4|Rajsriya Unit 2|SANDHAR ENGINEERING PVT LTD.|Sandhar Automach|SRIKAM HITECH</v>
      </c>
      <c r="C17" s="5" t="str">
        <v>140|297|600|673|681|1162|1308|1328</v>
      </c>
      <c r="D17" s="2" t="str">
        <v>22.23-0-1.2-ERW 1-PE</v>
      </c>
      <c r="E17" s="1">
        <v>21.238385605452002</v>
      </c>
      <c r="F17" s="1">
        <v>8.4999999999999964E-2</v>
      </c>
      <c r="G17" s="1">
        <v>3.1040000000000001</v>
      </c>
    </row>
    <row r="18" spans="1:7" ht="90" x14ac:dyDescent="0.25">
      <c r="A18" s="2" t="str">
        <v>0789</v>
      </c>
      <c r="B18" s="5" t="str">
        <v>ELKAYEM AUTO|KNITVEL NEEDLES P LTD|Marathwada|Metalman|NMPL TVSM|NMPL HUB|Rajsriya Unit 2|Rajsriya Unit 5|SANDHAR ENGINEERING PVT LTD.|Sandhar Engg Mysore |SRIKAM HITECH</v>
      </c>
      <c r="C18" s="5" t="str">
        <v>210|274|283|285|394|401|640|670|675|690|700|740|809|880|945|949|967|1175|1210|1222|1290|1304|1337</v>
      </c>
      <c r="D18" s="2" t="str">
        <v>22.23-0-1.6-ERW 1-PE</v>
      </c>
      <c r="E18" s="1">
        <v>133.86215305853759</v>
      </c>
      <c r="F18" s="1">
        <v>62.742162000000008</v>
      </c>
      <c r="G18" s="1">
        <v>0</v>
      </c>
    </row>
    <row r="19" spans="1:7" x14ac:dyDescent="0.25">
      <c r="A19" s="2" t="str">
        <v>0789</v>
      </c>
      <c r="B19" s="5" t="str">
        <v>Sandhar Automach</v>
      </c>
      <c r="C19" s="5" t="str">
        <v>935</v>
      </c>
      <c r="D19" s="2" t="str">
        <v>22.23-0-1.6-ERW 2 MAHS-PE</v>
      </c>
      <c r="E19" s="1">
        <v>22.821878085599998</v>
      </c>
      <c r="F19" s="1">
        <v>0</v>
      </c>
      <c r="G19" s="1">
        <v>0</v>
      </c>
    </row>
    <row r="20" spans="1:7" ht="30" x14ac:dyDescent="0.25">
      <c r="A20" s="2" t="str">
        <v>0789</v>
      </c>
      <c r="B20" s="5" t="str">
        <v xml:space="preserve">ELKAYEM AUTO|ELKAYEM AUTO MYSORE |Sandhar Engg Mysore </v>
      </c>
      <c r="C20" s="5" t="str">
        <v>706|715|855|863|1000</v>
      </c>
      <c r="D20" s="2" t="str">
        <v>22.23-0-2-ERW 1-FC</v>
      </c>
      <c r="E20" s="1">
        <v>81.816438459730932</v>
      </c>
      <c r="F20" s="1">
        <v>7.6364609999999988</v>
      </c>
      <c r="G20" s="1">
        <v>2.7130000000000001</v>
      </c>
    </row>
    <row r="21" spans="1:7" x14ac:dyDescent="0.25">
      <c r="A21" s="2" t="str">
        <v>0789</v>
      </c>
      <c r="B21" s="5" t="str">
        <v>Sandhar Automach</v>
      </c>
      <c r="C21" s="5" t="str">
        <v>840|855|865</v>
      </c>
      <c r="D21" s="2" t="str">
        <v>22.23-0-2-ERW 2 MAHS-FC</v>
      </c>
      <c r="E21" s="1">
        <v>41.597322103399996</v>
      </c>
      <c r="F21" s="1">
        <v>1.6344689999999997</v>
      </c>
      <c r="G21" s="1">
        <v>0</v>
      </c>
    </row>
    <row r="22" spans="1:7" ht="75" x14ac:dyDescent="0.25">
      <c r="A22" s="2" t="str">
        <v>0789</v>
      </c>
      <c r="B22" s="5" t="str">
        <v>ELKAYEM AUTO MYSORE |NMPL TVSM|NMPL HUB|Rajsriya Unit 2|Rajsriya Unit 5|SANDHAR ENGINEERING PVT LTD.|Sandhar Automach|SRIKAM HITECH</v>
      </c>
      <c r="C22" s="5" t="str">
        <v>180|220|236|394|775|805|809|815|1000|1325|1385</v>
      </c>
      <c r="D22" s="2" t="str">
        <v>22.23-0-2-ERW 1-PE</v>
      </c>
      <c r="E22" s="1">
        <v>73.570713295800005</v>
      </c>
      <c r="F22" s="1">
        <v>11.690146999999998</v>
      </c>
      <c r="G22" s="1">
        <v>1.629</v>
      </c>
    </row>
    <row r="23" spans="1:7" ht="30" x14ac:dyDescent="0.25">
      <c r="A23" s="2" t="str">
        <v>0789</v>
      </c>
      <c r="B23" s="5" t="str">
        <v>NMPL HUB|SANDHAR ENGINEERING PVT LTD.</v>
      </c>
      <c r="C23" s="5" t="str">
        <v>394|855|863</v>
      </c>
      <c r="D23" s="2" t="str">
        <v>22.23-0-2-ERW 2-FC</v>
      </c>
      <c r="E23" s="1">
        <v>5.9726214963519997</v>
      </c>
      <c r="F23" s="1">
        <v>0</v>
      </c>
      <c r="G23" s="1">
        <v>15.21</v>
      </c>
    </row>
    <row r="24" spans="1:7" ht="30" x14ac:dyDescent="0.25">
      <c r="A24" s="2" t="str">
        <v>0789</v>
      </c>
      <c r="B24" s="5" t="str">
        <v>KNITVEL NEEDLES P LTD|Sandhar Automach|SRIKAM HITECH</v>
      </c>
      <c r="C24" s="5" t="str">
        <v>604|812|905|925</v>
      </c>
      <c r="D24" s="2" t="str">
        <v>22.23-0-2-ERW 2 MAHS-PE</v>
      </c>
      <c r="E24" s="1">
        <v>63.988668923479999</v>
      </c>
      <c r="F24" s="1">
        <v>5.8279100000000001</v>
      </c>
      <c r="G24" s="1">
        <v>0</v>
      </c>
    </row>
    <row r="25" spans="1:7" ht="60" x14ac:dyDescent="0.25">
      <c r="A25" s="2" t="str">
        <v>0789</v>
      </c>
      <c r="B25" s="5" t="str">
        <v>ELKAYEM AUTO|Marathwada|NMPL TVSM|Rajsriya Automotive|Rajsriya Unit 2|Rajsriya Unit 5|Rajsriya Mysore |SRIKAM HITECH</v>
      </c>
      <c r="C25" s="5" t="str">
        <v>188|220|281|295|350|425|427|430|499|1000</v>
      </c>
      <c r="D25" s="2" t="str">
        <v>22.23-0-2.3-ERW 1-PE</v>
      </c>
      <c r="E25" s="1">
        <v>41.867907610105</v>
      </c>
      <c r="F25" s="1">
        <v>6.8109740000000007</v>
      </c>
      <c r="G25" s="1">
        <v>0</v>
      </c>
    </row>
    <row r="26" spans="1:7" ht="30" x14ac:dyDescent="0.25">
      <c r="A26" s="2" t="str">
        <v>0789</v>
      </c>
      <c r="B26" s="5" t="str">
        <v>Marathwada v7|SRI BALAJI GEARS V7|SRI BALAJI GEARS V4|Balaji Gears V3</v>
      </c>
      <c r="C26" s="5" t="str">
        <v>330|640|642|787|1298</v>
      </c>
      <c r="D26" s="2" t="str">
        <v>25-25-1.2-CRFH-PE</v>
      </c>
      <c r="E26" s="1">
        <v>26.98426893708</v>
      </c>
      <c r="F26" s="1">
        <v>2.5459999999999994</v>
      </c>
      <c r="G26" s="1">
        <v>25.728999999999999</v>
      </c>
    </row>
    <row r="27" spans="1:7" x14ac:dyDescent="0.25">
      <c r="A27" s="2" t="str">
        <v>0789</v>
      </c>
      <c r="B27" s="5" t="str">
        <v>Marathwada|NMPL TVSM|NMPL HUB</v>
      </c>
      <c r="C27" s="5" t="str">
        <v>845|1000|2550|2585</v>
      </c>
      <c r="D27" s="2" t="str">
        <v>25.4-0-1.2-ERW 1-PE</v>
      </c>
      <c r="E27" s="1">
        <v>11.596072752</v>
      </c>
      <c r="F27" s="1">
        <v>0</v>
      </c>
      <c r="G27" s="1">
        <v>18.564</v>
      </c>
    </row>
    <row r="28" spans="1:7" x14ac:dyDescent="0.25">
      <c r="A28" s="2" t="str">
        <v>0789</v>
      </c>
      <c r="B28" s="5" t="e" vm="3">
        <v>#VALUE!</v>
      </c>
      <c r="C28" s="5" t="e" vm="3">
        <v>#VALUE!</v>
      </c>
      <c r="D28" s="2" t="str">
        <v>25.4-0-1.4-ERW 2-PE</v>
      </c>
      <c r="E28" s="1">
        <v>0</v>
      </c>
      <c r="F28" s="1">
        <v>0</v>
      </c>
      <c r="G28" s="1">
        <v>0</v>
      </c>
    </row>
    <row r="29" spans="1:7" x14ac:dyDescent="0.25">
      <c r="A29" s="2" t="str">
        <v>0789</v>
      </c>
      <c r="B29" s="5" t="str">
        <v>Metalman|Rajsriya Mysore |RUCHA</v>
      </c>
      <c r="C29" s="5" t="str">
        <v>208|360</v>
      </c>
      <c r="D29" s="2" t="str">
        <v>25.4-0-1.6-ERW 1-FC</v>
      </c>
      <c r="E29" s="1">
        <v>0</v>
      </c>
      <c r="F29" s="1">
        <v>0</v>
      </c>
      <c r="G29" s="1">
        <v>0</v>
      </c>
    </row>
    <row r="30" spans="1:7" ht="45" x14ac:dyDescent="0.25">
      <c r="A30" s="2" t="str">
        <v>0789</v>
      </c>
      <c r="B30" s="5" t="str">
        <v>Balaji press product|Marathwada|NMPL TVSM|Rajsriya Automotive</v>
      </c>
      <c r="C30" s="5" t="str">
        <v>360|512|2580|2590</v>
      </c>
      <c r="D30" s="2" t="str">
        <v>25.4-0-1.6-ERW 1-PE</v>
      </c>
      <c r="E30" s="1">
        <v>24.291845849600001</v>
      </c>
      <c r="F30" s="1">
        <v>0</v>
      </c>
      <c r="G30" s="1">
        <v>3.6459999999999999</v>
      </c>
    </row>
    <row r="31" spans="1:7" ht="30" x14ac:dyDescent="0.25">
      <c r="A31" s="2" t="str">
        <v>0789</v>
      </c>
      <c r="B31" s="5" t="str">
        <v xml:space="preserve">NMPL HUB|Rajsriya Unit 2|Sandhar Engg Mysore </v>
      </c>
      <c r="C31" s="5" t="str">
        <v>412|470|567</v>
      </c>
      <c r="D31" s="2" t="str">
        <v>25.4-0-2-ERW 1-PE</v>
      </c>
      <c r="E31" s="1">
        <v>16.9967475288</v>
      </c>
      <c r="F31" s="1">
        <v>1.1482299999999999</v>
      </c>
      <c r="G31" s="1">
        <v>5.56</v>
      </c>
    </row>
    <row r="32" spans="1:7" ht="75" x14ac:dyDescent="0.25">
      <c r="A32" s="2" t="str">
        <v>0789</v>
      </c>
      <c r="B32" s="5" t="str">
        <v>ELKAYEM AUTO|ELKAYEM AUTO MYSORE |Marathwada|Rajsriya Unit 8|Rajsriya Automotive|SANDHAR ENGINEERING PVT LTD.|Sandhar Engg Mysore |SRIKAM HITECH</v>
      </c>
      <c r="C32" s="5" t="str">
        <v>281|290|315|323|350|355|418|660</v>
      </c>
      <c r="D32" s="2" t="str">
        <v>25.4-0-2-ERW 1-FC</v>
      </c>
      <c r="E32" s="1">
        <v>35.401112761996799</v>
      </c>
      <c r="F32" s="1">
        <v>10.739000000000004</v>
      </c>
      <c r="G32" s="1">
        <v>25.931000000000001</v>
      </c>
    </row>
    <row r="33" spans="1:7" x14ac:dyDescent="0.25">
      <c r="A33" s="2" t="str">
        <v>0789</v>
      </c>
      <c r="B33" s="5" t="str">
        <v xml:space="preserve">Sandhar Engg Mysore </v>
      </c>
      <c r="C33" s="5" t="str">
        <v>783</v>
      </c>
      <c r="D33" s="2" t="str">
        <v>25.4-0-2.5-ERW 1-FC</v>
      </c>
      <c r="E33" s="1">
        <v>32.453032983788248</v>
      </c>
      <c r="F33" s="1">
        <v>8.2275149999999968</v>
      </c>
      <c r="G33" s="1">
        <v>11.911</v>
      </c>
    </row>
    <row r="34" spans="1:7" ht="30" x14ac:dyDescent="0.25">
      <c r="A34" s="2" t="str">
        <v>0789</v>
      </c>
      <c r="B34" s="5" t="str">
        <v>NMPL TVSM|SANDHAR ENGINEERING PVT LTD.</v>
      </c>
      <c r="C34" s="5" t="str">
        <v>595|610</v>
      </c>
      <c r="D34" s="2" t="str">
        <v>28.58-0-1.2-ERW 1-PE</v>
      </c>
      <c r="E34" s="1">
        <v>4.8430079131199992</v>
      </c>
      <c r="F34" s="1">
        <v>0.10090000000000021</v>
      </c>
      <c r="G34" s="1">
        <v>5.8879999999999999</v>
      </c>
    </row>
    <row r="35" spans="1:7" x14ac:dyDescent="0.25">
      <c r="A35" s="2" t="str">
        <v>0789</v>
      </c>
      <c r="B35" s="5" t="str">
        <v>ELKAYEM AUTO</v>
      </c>
      <c r="C35" s="5" t="str">
        <v>215|414</v>
      </c>
      <c r="D35" s="2" t="str">
        <v>28.58-0-1.6-ERW 1-FC</v>
      </c>
      <c r="E35" s="1">
        <v>5.5490104868799985</v>
      </c>
      <c r="F35" s="1">
        <v>0</v>
      </c>
      <c r="G35" s="1">
        <v>11.99</v>
      </c>
    </row>
    <row r="36" spans="1:7" x14ac:dyDescent="0.25">
      <c r="A36" s="2" t="str">
        <v>0789</v>
      </c>
      <c r="B36" s="5" t="str">
        <v>SRIKAM HITECH</v>
      </c>
      <c r="C36" s="5" t="str">
        <v>6000</v>
      </c>
      <c r="D36" s="2" t="str">
        <v>28.58-0-1.6-ERW 1-PE</v>
      </c>
      <c r="E36" s="1">
        <v>0</v>
      </c>
      <c r="F36" s="1">
        <v>0</v>
      </c>
      <c r="G36" s="1">
        <v>0</v>
      </c>
    </row>
    <row r="37" spans="1:7" x14ac:dyDescent="0.25">
      <c r="A37" s="2" t="str">
        <v>0789</v>
      </c>
      <c r="B37" s="5" t="str">
        <v>ELKAYEM AUTO</v>
      </c>
      <c r="C37" s="5" t="str">
        <v>469|475</v>
      </c>
      <c r="D37" s="2" t="str">
        <v>28.58-0-2-ERW 1-FC</v>
      </c>
      <c r="E37" s="1">
        <v>6.8465308889999976</v>
      </c>
      <c r="F37" s="1">
        <v>4.6774610000000001</v>
      </c>
      <c r="G37" s="1">
        <v>7.87</v>
      </c>
    </row>
    <row r="38" spans="1:7" x14ac:dyDescent="0.25">
      <c r="A38" s="2" t="str">
        <v>0789</v>
      </c>
      <c r="B38" s="5" t="e" vm="3">
        <v>#VALUE!</v>
      </c>
      <c r="C38" s="5" t="e" vm="3">
        <v>#VALUE!</v>
      </c>
      <c r="D38" s="2" t="str">
        <v>28.58-0-3.2-ERW 1-FC</v>
      </c>
      <c r="E38" s="1">
        <v>0</v>
      </c>
      <c r="F38" s="1">
        <v>0</v>
      </c>
      <c r="G38" s="1">
        <v>0</v>
      </c>
    </row>
    <row r="39" spans="1:7" ht="30" x14ac:dyDescent="0.25">
      <c r="A39" s="2" t="str">
        <v>0789</v>
      </c>
      <c r="B39" s="5" t="str">
        <v>Marathwada v7|SRI BALAJI GEARS V4|SRI BALAJI GEARS V7|Balaji Gears V3</v>
      </c>
      <c r="C39" s="5" t="str">
        <v>140|190|220</v>
      </c>
      <c r="D39" s="2" t="str">
        <v>30-30-1.2-CRFH-PE</v>
      </c>
      <c r="E39" s="1">
        <v>6.2431381583999999</v>
      </c>
      <c r="F39" s="1">
        <v>0</v>
      </c>
      <c r="G39" s="1">
        <v>22.942</v>
      </c>
    </row>
    <row r="40" spans="1:7" ht="45" x14ac:dyDescent="0.25">
      <c r="A40" s="2" t="str">
        <v>0789</v>
      </c>
      <c r="B40" s="5" t="str">
        <v>NMPL TVSM|Rajsriya Unit 4|Rajsriya Unit 2|Rajsriya Automotive|SANDHAR ENGINEERING PVT LTD.</v>
      </c>
      <c r="C40" s="5" t="str">
        <v>210|598|600|657|670|680|1000</v>
      </c>
      <c r="D40" s="2" t="str">
        <v>31.75-0-1.2-ERW 1-FC</v>
      </c>
      <c r="E40" s="1">
        <v>23.413113929399998</v>
      </c>
      <c r="F40" s="1">
        <v>0</v>
      </c>
      <c r="G40" s="1">
        <v>0</v>
      </c>
    </row>
    <row r="41" spans="1:7" x14ac:dyDescent="0.25">
      <c r="A41" s="2" t="str">
        <v>0789</v>
      </c>
      <c r="B41" s="5" t="e" vm="3">
        <v>#VALUE!</v>
      </c>
      <c r="C41" s="5" t="e" vm="3">
        <v>#VALUE!</v>
      </c>
      <c r="D41" s="2" t="str">
        <v>31.75-0-1.2-ERW 1-PE</v>
      </c>
      <c r="E41" s="1">
        <v>0</v>
      </c>
      <c r="F41" s="1">
        <v>16.845880000000001</v>
      </c>
      <c r="G41" s="1">
        <v>0</v>
      </c>
    </row>
    <row r="42" spans="1:7" x14ac:dyDescent="0.25">
      <c r="A42" s="2" t="str">
        <v>0789</v>
      </c>
      <c r="B42" s="5" t="str">
        <v>SANDHAR ENGINEERING PVT LTD.</v>
      </c>
      <c r="C42" s="5" t="str">
        <v>658</v>
      </c>
      <c r="D42" s="2" t="str">
        <v>31.75-0-1.6-ERW 1-FC</v>
      </c>
      <c r="E42" s="1">
        <v>0</v>
      </c>
      <c r="F42" s="1">
        <v>0</v>
      </c>
      <c r="G42" s="1">
        <v>1.9610000000000001</v>
      </c>
    </row>
    <row r="43" spans="1:7" x14ac:dyDescent="0.25">
      <c r="A43" s="2" t="str">
        <v>0789</v>
      </c>
      <c r="B43" s="5" t="str">
        <v xml:space="preserve">Rajsriya Unit 5|Rajsriya Mysore </v>
      </c>
      <c r="C43" s="5" t="str">
        <v>1000</v>
      </c>
      <c r="D43" s="2" t="str">
        <v>31.75-0-2.5-ERW 1-FC</v>
      </c>
      <c r="E43" s="1">
        <v>32.444246249999999</v>
      </c>
      <c r="F43" s="1">
        <v>5.0396819999999991</v>
      </c>
      <c r="G43" s="1">
        <v>0</v>
      </c>
    </row>
    <row r="44" spans="1:7" x14ac:dyDescent="0.25">
      <c r="A44" s="2" t="str">
        <v>0789</v>
      </c>
      <c r="B44" s="5" t="str">
        <v>KNITVEL NEEDLES P LTD|NMPL HUB</v>
      </c>
      <c r="C44" s="5" t="str">
        <v>390|1000</v>
      </c>
      <c r="D44" s="2" t="str">
        <v>34.93-0-1.2-ERW 1-FC</v>
      </c>
      <c r="E44" s="1">
        <v>0</v>
      </c>
      <c r="F44" s="1">
        <v>0</v>
      </c>
      <c r="G44" s="1">
        <v>0</v>
      </c>
    </row>
    <row r="45" spans="1:7" ht="30" x14ac:dyDescent="0.25">
      <c r="A45" s="2" t="str">
        <v>0789</v>
      </c>
      <c r="B45" s="5" t="str">
        <v xml:space="preserve">ELKAYEM AUTO|ELKAYEM AUTO MYSORE </v>
      </c>
      <c r="C45" s="5" t="str">
        <v>1726</v>
      </c>
      <c r="D45" s="2" t="str">
        <v>34.93-0-1.6-ERW 1-FC</v>
      </c>
      <c r="E45" s="1">
        <v>6.352627991001599</v>
      </c>
      <c r="F45" s="1">
        <v>0</v>
      </c>
      <c r="G45" s="1">
        <v>0</v>
      </c>
    </row>
    <row r="46" spans="1:7" x14ac:dyDescent="0.25">
      <c r="A46" s="2" t="str">
        <v>0789</v>
      </c>
      <c r="B46" s="5" t="str">
        <v xml:space="preserve">ELKAYEM AUTO MYSORE </v>
      </c>
      <c r="C46" s="5" t="str">
        <v>1721</v>
      </c>
      <c r="D46" s="2" t="str">
        <v>34.93-0-2.6-ERW 1-FC</v>
      </c>
      <c r="E46" s="1">
        <v>10.697455349645999</v>
      </c>
      <c r="F46" s="1">
        <v>0.75900000000000034</v>
      </c>
      <c r="G46" s="1">
        <v>0</v>
      </c>
    </row>
    <row r="47" spans="1:7" x14ac:dyDescent="0.25">
      <c r="A47" s="2" t="str">
        <v>0789</v>
      </c>
      <c r="B47" s="5" t="str">
        <v>Metalman|RUCHA</v>
      </c>
      <c r="C47" s="5" t="str">
        <v>875|878|930|1000</v>
      </c>
      <c r="D47" s="2" t="str">
        <v>38.1-0-1.6-ERW 2 MAHS-FC</v>
      </c>
      <c r="E47" s="1">
        <v>10.076511199999999</v>
      </c>
      <c r="F47" s="1">
        <v>0.37121100000000001</v>
      </c>
      <c r="G47" s="1">
        <v>3.1419999999999999</v>
      </c>
    </row>
    <row r="48" spans="1:7" x14ac:dyDescent="0.25">
      <c r="A48" s="2" t="str">
        <v>0789</v>
      </c>
      <c r="B48" s="5" t="str">
        <v>Metalman|NMPL TVSM|NMPL HUB</v>
      </c>
      <c r="C48" s="5" t="str">
        <v>488|812|815|821</v>
      </c>
      <c r="D48" s="2" t="str">
        <v>38.1-0-1.6-ERW 1-FC</v>
      </c>
      <c r="E48" s="1">
        <v>11.852136423599998</v>
      </c>
      <c r="F48" s="1">
        <v>8.149357000000002</v>
      </c>
      <c r="G48" s="1">
        <v>0</v>
      </c>
    </row>
    <row r="49" spans="1:7" ht="45" x14ac:dyDescent="0.25">
      <c r="A49" s="2" t="str">
        <v>0789</v>
      </c>
      <c r="B49" s="5" t="str">
        <v xml:space="preserve">NMPL HUB|NMPL TVSM|RUCHA|SANDHAR ENGINEERING PVT LTD.|Sandhar Engg Mysore </v>
      </c>
      <c r="C49" s="5" t="str">
        <v>278|406|410|425|432|488|494|812|1000</v>
      </c>
      <c r="D49" s="2" t="str">
        <v>38.1-0-2-ERW 1-FC</v>
      </c>
      <c r="E49" s="1">
        <v>99.070826849566004</v>
      </c>
      <c r="F49" s="1">
        <v>85.281796000000014</v>
      </c>
      <c r="G49" s="1">
        <v>1.9950000000000001</v>
      </c>
    </row>
    <row r="50" spans="1:7" ht="45" x14ac:dyDescent="0.25">
      <c r="A50" s="2" t="str">
        <v>0789</v>
      </c>
      <c r="B50" s="5" t="str">
        <v>Marathwada v7|Marathwada|SRI BALAJI GEARS V4|SRI BALAJI GEARS V7|Balaji Gears V3</v>
      </c>
      <c r="C50" s="5" t="str">
        <v>95|110|120|130|140|710|755|800|860|1000|1120|1246|1298|1310</v>
      </c>
      <c r="D50" s="2" t="str">
        <v>40-20-1.2-CRFH-PE</v>
      </c>
      <c r="E50" s="1">
        <v>227.66607435707999</v>
      </c>
      <c r="F50" s="1">
        <v>31.079671000000008</v>
      </c>
      <c r="G50" s="1">
        <v>129.15199999999999</v>
      </c>
    </row>
    <row r="51" spans="1:7" ht="30" x14ac:dyDescent="0.25">
      <c r="A51" s="2" t="str">
        <v>0789</v>
      </c>
      <c r="B51" s="5" t="str">
        <v>Marathwada|SRI BALAJI GEARS V4|SRI BALAJI GEARS V7|Balaji Gears V3</v>
      </c>
      <c r="C51" s="5" t="str">
        <v>85|115|125|140|158|1000</v>
      </c>
      <c r="D51" s="2" t="str">
        <v>40-40-1.2-CRFH-PE</v>
      </c>
      <c r="E51" s="1">
        <v>8.1761955590399999</v>
      </c>
      <c r="F51" s="1">
        <v>1.4509489999999996</v>
      </c>
      <c r="G51" s="1">
        <v>10.451000000000001</v>
      </c>
    </row>
    <row r="52" spans="1:7" x14ac:dyDescent="0.25">
      <c r="A52" s="2" t="str">
        <v>0789</v>
      </c>
      <c r="B52" s="5" t="str">
        <v>ELKAYEM AUTO|Marathwada</v>
      </c>
      <c r="C52" s="5" t="str">
        <v>356|480|1000</v>
      </c>
      <c r="D52" s="2" t="str">
        <v>40-20-1.6-ERW 1-FC</v>
      </c>
      <c r="E52" s="1">
        <v>16.133933932799998</v>
      </c>
      <c r="F52" s="1">
        <v>0.27499499999999966</v>
      </c>
      <c r="G52" s="1">
        <v>1.27</v>
      </c>
    </row>
    <row r="53" spans="1:7" x14ac:dyDescent="0.25">
      <c r="A53" s="2" t="str">
        <v>0789</v>
      </c>
      <c r="B53" s="5" t="e" vm="3">
        <v>#VALUE!</v>
      </c>
      <c r="C53" s="5" t="e" vm="3">
        <v>#VALUE!</v>
      </c>
      <c r="D53" s="2" t="str">
        <v>40-25-1.6-CRFH-FC</v>
      </c>
      <c r="E53" s="1">
        <v>0</v>
      </c>
      <c r="F53" s="1">
        <v>0</v>
      </c>
      <c r="G53" s="1">
        <v>0</v>
      </c>
    </row>
    <row r="54" spans="1:7" x14ac:dyDescent="0.25">
      <c r="A54" s="2" t="str">
        <v>0789</v>
      </c>
      <c r="B54" s="5" t="e" vm="3">
        <v>#VALUE!</v>
      </c>
      <c r="C54" s="5" t="e" vm="3">
        <v>#VALUE!</v>
      </c>
      <c r="D54" s="2" t="str">
        <v>40-25-1.6-ERW 2-FC</v>
      </c>
      <c r="E54" s="1">
        <v>0</v>
      </c>
      <c r="F54" s="1">
        <v>0</v>
      </c>
      <c r="G54" s="1">
        <v>0</v>
      </c>
    </row>
    <row r="55" spans="1:7" ht="60" x14ac:dyDescent="0.25">
      <c r="A55" s="2" t="str">
        <v>0789</v>
      </c>
      <c r="B55" s="5" t="str">
        <v xml:space="preserve">ELKAYEM AUTO|Marathwada|Metalman|RUCHA|SANDHAR ENGINEERING PVT LTD.|Sandhar Engg Mysore </v>
      </c>
      <c r="C55" s="5" t="str">
        <v>318|322|513|514|536|538|560|561|585|587</v>
      </c>
      <c r="D55" s="2" t="str">
        <v>40-25-1.6-ERW 1-FC</v>
      </c>
      <c r="E55" s="1">
        <v>151.92154158658357</v>
      </c>
      <c r="F55" s="1">
        <v>0.61827399999999999</v>
      </c>
      <c r="G55" s="1">
        <v>0</v>
      </c>
    </row>
    <row r="56" spans="1:7" ht="45" x14ac:dyDescent="0.25">
      <c r="A56" s="2" t="str">
        <v>0789</v>
      </c>
      <c r="B56" s="5" t="str">
        <v>ELKAYEM AUTO|Metalman|Rajsriya Unit 8|Rajsriya Mysore |TVS MOTOR COMPANY LIMITED</v>
      </c>
      <c r="C56" s="5" t="str">
        <v>400|835|860|880|1000</v>
      </c>
      <c r="D56" s="2" t="str">
        <v>40-30-1.6-ERW 1-FC</v>
      </c>
      <c r="E56" s="1">
        <v>99.554096770400008</v>
      </c>
      <c r="F56" s="1">
        <v>0.95786299999999991</v>
      </c>
      <c r="G56" s="1">
        <v>0</v>
      </c>
    </row>
    <row r="57" spans="1:7" x14ac:dyDescent="0.25">
      <c r="A57" s="2" t="str">
        <v>0789</v>
      </c>
      <c r="B57" s="5" t="str">
        <v>ELKAYEM AUTO</v>
      </c>
      <c r="C57" s="5" t="str">
        <v>1000</v>
      </c>
      <c r="D57" s="2" t="str">
        <v>40-25-2-ERW 1-FC</v>
      </c>
      <c r="E57" s="1">
        <v>0</v>
      </c>
      <c r="F57" s="1">
        <v>0</v>
      </c>
      <c r="G57" s="1">
        <v>0</v>
      </c>
    </row>
    <row r="58" spans="1:7" ht="60" x14ac:dyDescent="0.25">
      <c r="A58" s="2" t="str">
        <v>0789</v>
      </c>
      <c r="B58" s="5" t="str">
        <v xml:space="preserve">ELKAYEM AUTO|ELKAYEM AUTO MYSORE |Marathwada|Metalman|Rajsriya Unit 8|Rajsriya Mysore </v>
      </c>
      <c r="C58" s="5" t="str">
        <v>149|162|870|880|1000</v>
      </c>
      <c r="D58" s="2" t="str">
        <v>40-30-2-ERW 1-FC</v>
      </c>
      <c r="E58" s="1">
        <v>45.739622910674996</v>
      </c>
      <c r="F58" s="1">
        <v>0</v>
      </c>
      <c r="G58" s="1">
        <v>26.635999999999999</v>
      </c>
    </row>
    <row r="59" spans="1:7" ht="30" x14ac:dyDescent="0.25">
      <c r="A59" s="2" t="str">
        <v>0789</v>
      </c>
      <c r="B59" s="5" t="str">
        <v xml:space="preserve">Rajsriya Automotive|Rajsriya Mysore |Sandhar Engg Mysore </v>
      </c>
      <c r="C59" s="5" t="str">
        <v>848|850</v>
      </c>
      <c r="D59" s="2" t="str">
        <v>41.28-0-2.6-ERW 1-FC</v>
      </c>
      <c r="E59" s="1">
        <v>66.705480776677604</v>
      </c>
      <c r="F59" s="1">
        <v>0</v>
      </c>
      <c r="G59" s="1">
        <v>0</v>
      </c>
    </row>
    <row r="60" spans="1:7" x14ac:dyDescent="0.25">
      <c r="A60" s="2" t="str">
        <v>0789</v>
      </c>
      <c r="B60" s="5" t="str">
        <v>Metalman|Rajsriya Unit 8</v>
      </c>
      <c r="C60" s="5" t="str">
        <v>230|246</v>
      </c>
      <c r="D60" s="2" t="str">
        <v>41.28-0-3.2-ERW 1-FC</v>
      </c>
      <c r="E60" s="1">
        <v>12.819486625792003</v>
      </c>
      <c r="F60" s="1">
        <v>0</v>
      </c>
      <c r="G60" s="1">
        <v>7.141</v>
      </c>
    </row>
    <row r="61" spans="1:7" ht="30" x14ac:dyDescent="0.25">
      <c r="A61" s="2" t="str">
        <v>0789</v>
      </c>
      <c r="B61" s="5" t="str">
        <v>Metalman|SANDHAR ENGINEERING PVT LTD.</v>
      </c>
      <c r="C61" s="5" t="str">
        <v>336</v>
      </c>
      <c r="D61" s="2" t="str">
        <v>48.6-0-1.2-ERW 1-FC</v>
      </c>
      <c r="E61" s="1">
        <v>12.719262608640001</v>
      </c>
      <c r="F61" s="1">
        <v>3.9467830000000008</v>
      </c>
      <c r="G61" s="1">
        <v>17.024000000000001</v>
      </c>
    </row>
    <row r="62" spans="1:7" x14ac:dyDescent="0.25">
      <c r="A62" s="2" t="str">
        <v>0789</v>
      </c>
      <c r="B62" s="5" t="str">
        <v xml:space="preserve">NMPL HUB|Sandhar Engg Mysore </v>
      </c>
      <c r="C62" s="5" t="str">
        <v>196|202.5</v>
      </c>
      <c r="D62" s="2" t="str">
        <v>48.6-0-3.5-ERW 1-FC</v>
      </c>
      <c r="E62" s="1">
        <v>15.252111028</v>
      </c>
      <c r="F62" s="1">
        <v>8.7743119999999983</v>
      </c>
      <c r="G62" s="1">
        <v>0</v>
      </c>
    </row>
    <row r="63" spans="1:7" x14ac:dyDescent="0.25">
      <c r="A63" s="2" t="str">
        <v>0789</v>
      </c>
      <c r="B63" s="5" t="e" vm="3">
        <v>#VALUE!</v>
      </c>
      <c r="C63" s="5" t="e" vm="3">
        <v>#VALUE!</v>
      </c>
      <c r="D63" s="2" t="str">
        <v>50-30-1.6-ERW 2-FC</v>
      </c>
      <c r="E63" s="1">
        <v>0</v>
      </c>
      <c r="F63" s="1">
        <v>0</v>
      </c>
      <c r="G63" s="1">
        <v>11.55</v>
      </c>
    </row>
    <row r="64" spans="1:7" ht="45" x14ac:dyDescent="0.25">
      <c r="A64" s="2" t="str">
        <v>0789</v>
      </c>
      <c r="B64" s="5" t="str">
        <v xml:space="preserve">Balaji press product|ELKAYEM AUTO|ELKAYEM AUTO MYSORE |Sandhar Engg Mysore </v>
      </c>
      <c r="C64" s="5" t="str">
        <v>604|607|636|638|1100</v>
      </c>
      <c r="D64" s="2" t="str">
        <v>50-30-1.6-ERW 1-FC</v>
      </c>
      <c r="E64" s="1">
        <v>103.53994425087743</v>
      </c>
      <c r="F64" s="1">
        <v>0</v>
      </c>
      <c r="G64" s="1">
        <v>24.911000000000001</v>
      </c>
    </row>
    <row r="65" spans="1:7" x14ac:dyDescent="0.25">
      <c r="A65" s="2" t="str">
        <v>0789</v>
      </c>
      <c r="B65" s="5" t="str">
        <v>NMPL TVSM</v>
      </c>
      <c r="C65" s="5" t="str">
        <v>140|730</v>
      </c>
      <c r="D65" s="2" t="str">
        <v>50-30-2-ERW 1-FC</v>
      </c>
      <c r="E65" s="1">
        <v>21.411107359999995</v>
      </c>
      <c r="F65" s="1">
        <v>0</v>
      </c>
      <c r="G65" s="1">
        <v>0</v>
      </c>
    </row>
    <row r="66" spans="1:7" x14ac:dyDescent="0.25">
      <c r="A66" s="2" t="str">
        <v>0789</v>
      </c>
      <c r="B66" s="5" t="e" vm="3">
        <v>#VALUE!</v>
      </c>
      <c r="C66" s="5" t="e" vm="3">
        <v>#VALUE!</v>
      </c>
      <c r="D66" s="2" t="str">
        <v>50.8-0-1.4-ERW 2-FC</v>
      </c>
      <c r="E66" s="1">
        <v>0</v>
      </c>
      <c r="F66" s="1">
        <v>0</v>
      </c>
      <c r="G66" s="1">
        <v>0</v>
      </c>
    </row>
    <row r="67" spans="1:7" x14ac:dyDescent="0.25">
      <c r="A67" s="2" t="str">
        <v>0789</v>
      </c>
      <c r="B67" s="5" t="str">
        <v xml:space="preserve">NMPL HUB|Sandhar Engg Mysore </v>
      </c>
      <c r="C67" s="5" t="str">
        <v>385|753</v>
      </c>
      <c r="D67" s="2" t="str">
        <v>50.8-0-1.6-ERW 1-FC</v>
      </c>
      <c r="E67" s="1">
        <v>11.205632592000002</v>
      </c>
      <c r="F67" s="1">
        <v>0</v>
      </c>
      <c r="G67" s="1">
        <v>1.456</v>
      </c>
    </row>
    <row r="68" spans="1:7" x14ac:dyDescent="0.25">
      <c r="A68" s="2" t="str">
        <v>0789</v>
      </c>
      <c r="B68" s="5" t="str">
        <v>ELKAYEM AUTO MYSORE |Rajsriya Unit 8</v>
      </c>
      <c r="C68" s="5" t="str">
        <v>409|713</v>
      </c>
      <c r="D68" s="2" t="str">
        <v>57.15-0-2-ERW 1-FC</v>
      </c>
      <c r="E68" s="1">
        <v>30.539972595865002</v>
      </c>
      <c r="F68" s="1">
        <v>2.4550979999999996</v>
      </c>
      <c r="G68" s="1">
        <v>0</v>
      </c>
    </row>
    <row r="69" spans="1:7" ht="30" x14ac:dyDescent="0.25">
      <c r="A69" s="2" t="str">
        <v>0789</v>
      </c>
      <c r="B69" s="5" t="str">
        <v>Metalman|Rajsriya Unit 8|Rajsriya Mysore |RUCHA</v>
      </c>
      <c r="C69" s="5" t="str">
        <v>326|346|375|376|526|772</v>
      </c>
      <c r="D69" s="2" t="str">
        <v>57.15-0-2.5-ERW 1-FC</v>
      </c>
      <c r="E69" s="1">
        <v>12.999204752499999</v>
      </c>
      <c r="F69" s="1">
        <v>18.554921999999998</v>
      </c>
      <c r="G69" s="1">
        <v>0</v>
      </c>
    </row>
    <row r="70" spans="1:7" ht="30" x14ac:dyDescent="0.25">
      <c r="A70" s="2" t="str">
        <v>0789</v>
      </c>
      <c r="B70" s="5" t="str">
        <v>ELKAYEM AUTO|ELKAYEM AUTO MYSORE |Laxmi</v>
      </c>
      <c r="C70" s="5" t="str">
        <v>641|645</v>
      </c>
      <c r="D70" s="2" t="str">
        <v>59-30-1.6-ERW 1-FIN CUT</v>
      </c>
      <c r="E70" s="1">
        <v>16.277801272160001</v>
      </c>
      <c r="F70" s="1">
        <v>0</v>
      </c>
      <c r="G70" s="1">
        <v>0.95099999999999996</v>
      </c>
    </row>
  </sheetData>
  <pageMargins left="0.7" right="0.7" top="0.75" bottom="0.75" header="0.3" footer="0.3"/>
  <pageSetup scale="5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037F-7B83-41D1-9414-A60BD78F6714}">
  <sheetPr codeName="Sheet29"/>
  <dimension ref="A1:AB97"/>
  <sheetViews>
    <sheetView workbookViewId="0">
      <pane ySplit="1" topLeftCell="A59" activePane="bottomLeft" state="frozen"/>
      <selection activeCell="X3" sqref="X3"/>
      <selection pane="bottomLeft" activeCell="X3" sqref="X3"/>
    </sheetView>
  </sheetViews>
  <sheetFormatPr defaultRowHeight="15" outlineLevelCol="1" x14ac:dyDescent="0.25"/>
  <cols>
    <col min="2" max="2" width="16.42578125" bestFit="1" customWidth="1"/>
    <col min="3" max="3" width="10.42578125" customWidth="1"/>
    <col min="6" max="7" width="7.7109375" customWidth="1"/>
    <col min="8" max="8" width="5.7109375" customWidth="1"/>
    <col min="9" max="9" width="7.28515625" bestFit="1" customWidth="1"/>
    <col min="10" max="10" width="8.85546875" customWidth="1"/>
    <col min="11" max="12" width="16.140625" customWidth="1"/>
    <col min="13" max="13" width="14.7109375" style="161" customWidth="1"/>
    <col min="14" max="14" width="22.42578125" style="161" bestFit="1" customWidth="1"/>
    <col min="15" max="15" width="23.140625" style="161" customWidth="1"/>
    <col min="16" max="16" width="11.28515625" hidden="1" customWidth="1" outlineLevel="1"/>
    <col min="17" max="17" width="8" hidden="1" customWidth="1" outlineLevel="1"/>
    <col min="18" max="18" width="8.28515625" hidden="1" customWidth="1" outlineLevel="1"/>
    <col min="19" max="19" width="8.85546875" hidden="1" customWidth="1" outlineLevel="1"/>
    <col min="20" max="20" width="12.28515625" hidden="1" customWidth="1" outlineLevel="1"/>
    <col min="21" max="22" width="9.140625" hidden="1" customWidth="1" outlineLevel="1"/>
    <col min="23" max="23" width="12.5703125" style="162" customWidth="1" collapsed="1"/>
    <col min="24" max="25" width="16.85546875" style="174" customWidth="1"/>
    <col min="26" max="27" width="9.140625" customWidth="1"/>
  </cols>
  <sheetData>
    <row r="1" spans="1:28" ht="63.75" x14ac:dyDescent="0.25">
      <c r="A1" s="138"/>
      <c r="B1" s="138" t="s">
        <v>258</v>
      </c>
      <c r="C1" s="139" t="s">
        <v>313</v>
      </c>
      <c r="D1" s="140" t="s">
        <v>314</v>
      </c>
      <c r="E1" s="138" t="s">
        <v>315</v>
      </c>
      <c r="F1" s="141" t="s">
        <v>316</v>
      </c>
      <c r="G1" s="141" t="s">
        <v>317</v>
      </c>
      <c r="H1" s="141" t="s">
        <v>318</v>
      </c>
      <c r="I1" s="138" t="s">
        <v>319</v>
      </c>
      <c r="J1" s="140" t="s">
        <v>320</v>
      </c>
      <c r="K1" s="138" t="s">
        <v>202</v>
      </c>
      <c r="L1" s="138" t="s">
        <v>322</v>
      </c>
      <c r="M1" s="142" t="s">
        <v>323</v>
      </c>
      <c r="N1" s="142" t="s">
        <v>6143</v>
      </c>
      <c r="O1" s="142" t="s">
        <v>6144</v>
      </c>
      <c r="P1" s="143" t="s">
        <v>6145</v>
      </c>
      <c r="Q1" s="140" t="s">
        <v>325</v>
      </c>
      <c r="R1" s="144" t="s">
        <v>6146</v>
      </c>
      <c r="S1" s="140" t="s">
        <v>327</v>
      </c>
      <c r="T1" s="140" t="s">
        <v>6147</v>
      </c>
      <c r="U1" s="140" t="s">
        <v>329</v>
      </c>
      <c r="V1" s="140" t="s">
        <v>330</v>
      </c>
      <c r="W1" s="145" t="s">
        <v>6148</v>
      </c>
      <c r="X1" s="145" t="s">
        <v>6149</v>
      </c>
      <c r="Y1" s="145" t="s">
        <v>6150</v>
      </c>
      <c r="Z1" s="146" t="s">
        <v>6151</v>
      </c>
      <c r="AA1" s="146" t="s">
        <v>6152</v>
      </c>
      <c r="AB1" s="146" t="s">
        <v>6153</v>
      </c>
    </row>
    <row r="2" spans="1:28" x14ac:dyDescent="0.25">
      <c r="A2" s="147" t="s">
        <v>10</v>
      </c>
      <c r="B2" s="147" t="s">
        <v>116</v>
      </c>
      <c r="C2" s="147" t="s">
        <v>1079</v>
      </c>
      <c r="D2" s="147" t="s">
        <v>339</v>
      </c>
      <c r="E2" s="147" t="s">
        <v>1024</v>
      </c>
      <c r="F2" s="148">
        <v>11</v>
      </c>
      <c r="G2" s="148"/>
      <c r="H2" s="148">
        <v>1.5</v>
      </c>
      <c r="I2" s="147">
        <v>6000</v>
      </c>
      <c r="J2" s="147">
        <v>6</v>
      </c>
      <c r="K2" s="147" t="s">
        <v>1080</v>
      </c>
      <c r="L2" s="151" t="s">
        <v>345</v>
      </c>
      <c r="M2" s="150">
        <v>2442390</v>
      </c>
      <c r="N2" s="150" t="s">
        <v>6154</v>
      </c>
      <c r="O2" s="150" t="s">
        <v>6154</v>
      </c>
      <c r="P2" s="19">
        <v>1</v>
      </c>
      <c r="Q2" s="147">
        <v>0</v>
      </c>
      <c r="R2" s="147">
        <v>0</v>
      </c>
      <c r="S2" s="147">
        <v>0</v>
      </c>
      <c r="T2" s="147">
        <f>R2-Q2</f>
        <v>0</v>
      </c>
      <c r="U2" s="147">
        <v>0</v>
      </c>
      <c r="V2" s="147">
        <f>U2+T2+S2</f>
        <v>0</v>
      </c>
      <c r="W2" s="19">
        <f>P2*1.5-V2</f>
        <v>1.5</v>
      </c>
      <c r="X2" s="167">
        <f>IF(W2&gt;0,W2,0)</f>
        <v>1.5</v>
      </c>
      <c r="Y2" s="167">
        <f>X2+U2</f>
        <v>1.5</v>
      </c>
      <c r="Z2" s="185">
        <f>SUMIFS(meghsteelsales_previousmonth[Quantity],meghsteelsales_previousmonth[Length Bucket],O2)/1000</f>
        <v>0</v>
      </c>
      <c r="AA2" s="185">
        <f>SUMIFS(meghsteelsales_currentmonth[Quantity],meghsteelsales_currentmonth[Length Bucket],O2)/1000</f>
        <v>0</v>
      </c>
      <c r="AB2" s="185">
        <f>IF((Z2+AA2-Y2)&lt;0,(Z2+AA2-Y2),"")</f>
        <v>-1.5</v>
      </c>
    </row>
    <row r="3" spans="1:28" x14ac:dyDescent="0.25">
      <c r="A3" s="147" t="s">
        <v>10</v>
      </c>
      <c r="B3" s="147" t="s">
        <v>116</v>
      </c>
      <c r="C3" s="147" t="s">
        <v>338</v>
      </c>
      <c r="D3" s="147" t="s">
        <v>339</v>
      </c>
      <c r="E3" s="147" t="s">
        <v>340</v>
      </c>
      <c r="F3" s="148">
        <v>12.7</v>
      </c>
      <c r="G3" s="148"/>
      <c r="H3" s="148">
        <v>1.2</v>
      </c>
      <c r="I3" s="147">
        <v>6000</v>
      </c>
      <c r="J3" s="147">
        <v>6</v>
      </c>
      <c r="K3" s="147" t="s">
        <v>1081</v>
      </c>
      <c r="L3" s="151" t="s">
        <v>345</v>
      </c>
      <c r="M3" s="150">
        <v>1939985</v>
      </c>
      <c r="N3" s="150" t="s">
        <v>398</v>
      </c>
      <c r="O3" s="150" t="s">
        <v>6155</v>
      </c>
      <c r="P3" s="19">
        <v>8</v>
      </c>
      <c r="Q3" s="147">
        <v>5</v>
      </c>
      <c r="R3" s="147">
        <v>5</v>
      </c>
      <c r="S3" s="147">
        <v>0</v>
      </c>
      <c r="T3" s="147">
        <f t="shared" ref="T3:T67" si="0">R3-Q3</f>
        <v>0</v>
      </c>
      <c r="U3" s="147">
        <v>0</v>
      </c>
      <c r="V3" s="147">
        <f t="shared" ref="V3:V67" si="1">U3+T3+S3</f>
        <v>0</v>
      </c>
      <c r="W3" s="19">
        <f t="shared" ref="W3:W67" si="2">P3*1.5-V3</f>
        <v>12</v>
      </c>
      <c r="X3" s="167">
        <f t="shared" ref="X3:X67" si="3">IF(W3&gt;0,W3,0)</f>
        <v>12</v>
      </c>
      <c r="Y3" s="167">
        <f t="shared" ref="Y3:Y67" si="4">X3+U3</f>
        <v>12</v>
      </c>
      <c r="Z3" s="185">
        <f>SUMIFS(meghsteelsales_previousmonth[Quantity],meghsteelsales_previousmonth[Length Bucket],O3)/1000</f>
        <v>7.1989999999999998</v>
      </c>
      <c r="AA3" s="185">
        <f>SUMIFS(meghsteelsales_currentmonth[Quantity],meghsteelsales_currentmonth[Length Bucket],O3)/1000</f>
        <v>10.210000000000001</v>
      </c>
      <c r="AB3" s="185" t="str">
        <f t="shared" ref="AB3:AB66" si="5">IF((Z3+AA3-Y3)&lt;0,(Z3+AA3-Y3),"")</f>
        <v/>
      </c>
    </row>
    <row r="4" spans="1:28" x14ac:dyDescent="0.25">
      <c r="A4" s="147" t="s">
        <v>341</v>
      </c>
      <c r="B4" s="147" t="s">
        <v>342</v>
      </c>
      <c r="C4" s="147" t="s">
        <v>338</v>
      </c>
      <c r="D4" s="147" t="s">
        <v>339</v>
      </c>
      <c r="E4" s="147" t="s">
        <v>340</v>
      </c>
      <c r="F4" s="148">
        <v>12.7</v>
      </c>
      <c r="G4" s="148"/>
      <c r="H4" s="148">
        <v>1.4</v>
      </c>
      <c r="I4" s="147">
        <v>6000</v>
      </c>
      <c r="J4" s="147">
        <v>6</v>
      </c>
      <c r="K4" s="147" t="s">
        <v>1082</v>
      </c>
      <c r="L4" s="151" t="s">
        <v>345</v>
      </c>
      <c r="M4" s="150">
        <v>1931117</v>
      </c>
      <c r="N4" s="150" t="s">
        <v>6154</v>
      </c>
      <c r="O4" s="150" t="s">
        <v>6154</v>
      </c>
      <c r="P4" s="19">
        <v>5</v>
      </c>
      <c r="Q4" s="147">
        <v>0</v>
      </c>
      <c r="R4" s="147">
        <v>8</v>
      </c>
      <c r="S4" s="147">
        <v>0</v>
      </c>
      <c r="T4" s="147">
        <f t="shared" si="0"/>
        <v>8</v>
      </c>
      <c r="U4" s="147">
        <v>0</v>
      </c>
      <c r="V4" s="147">
        <f t="shared" si="1"/>
        <v>8</v>
      </c>
      <c r="W4" s="19">
        <f t="shared" si="2"/>
        <v>-0.5</v>
      </c>
      <c r="X4" s="167">
        <f t="shared" si="3"/>
        <v>0</v>
      </c>
      <c r="Y4" s="167">
        <f t="shared" si="4"/>
        <v>0</v>
      </c>
      <c r="Z4" s="185">
        <f>SUMIFS(meghsteelsales_previousmonth[Quantity],meghsteelsales_previousmonth[Length Bucket],O4)/1000</f>
        <v>0</v>
      </c>
      <c r="AA4" s="185">
        <f>SUMIFS(meghsteelsales_currentmonth[Quantity],meghsteelsales_currentmonth[Length Bucket],O4)/1000</f>
        <v>0</v>
      </c>
      <c r="AB4" s="185" t="str">
        <f t="shared" si="5"/>
        <v/>
      </c>
    </row>
    <row r="5" spans="1:28" x14ac:dyDescent="0.25">
      <c r="A5" s="147" t="s">
        <v>341</v>
      </c>
      <c r="B5" s="147" t="s">
        <v>342</v>
      </c>
      <c r="C5" s="147" t="s">
        <v>338</v>
      </c>
      <c r="D5" s="147" t="s">
        <v>339</v>
      </c>
      <c r="E5" s="147" t="s">
        <v>340</v>
      </c>
      <c r="F5" s="148">
        <v>12.7</v>
      </c>
      <c r="G5" s="148"/>
      <c r="H5" s="148">
        <v>1.6</v>
      </c>
      <c r="I5" s="147">
        <v>6000</v>
      </c>
      <c r="J5" s="147">
        <v>6</v>
      </c>
      <c r="K5" s="147" t="s">
        <v>1083</v>
      </c>
      <c r="L5" s="151" t="s">
        <v>345</v>
      </c>
      <c r="M5" s="150">
        <v>1931154</v>
      </c>
      <c r="N5" s="150" t="s">
        <v>6154</v>
      </c>
      <c r="O5" s="150" t="s">
        <v>6154</v>
      </c>
      <c r="P5" s="19">
        <v>2</v>
      </c>
      <c r="Q5" s="147">
        <v>0</v>
      </c>
      <c r="R5" s="147">
        <v>4</v>
      </c>
      <c r="S5" s="147">
        <v>0</v>
      </c>
      <c r="T5" s="147">
        <f t="shared" si="0"/>
        <v>4</v>
      </c>
      <c r="U5" s="147">
        <v>0</v>
      </c>
      <c r="V5" s="147">
        <f t="shared" si="1"/>
        <v>4</v>
      </c>
      <c r="W5" s="19">
        <f t="shared" si="2"/>
        <v>-1</v>
      </c>
      <c r="X5" s="167">
        <f t="shared" si="3"/>
        <v>0</v>
      </c>
      <c r="Y5" s="167">
        <f t="shared" si="4"/>
        <v>0</v>
      </c>
      <c r="Z5" s="185">
        <f>SUMIFS(meghsteelsales_previousmonth[Quantity],meghsteelsales_previousmonth[Length Bucket],O5)/1000</f>
        <v>0</v>
      </c>
      <c r="AA5" s="185">
        <f>SUMIFS(meghsteelsales_currentmonth[Quantity],meghsteelsales_currentmonth[Length Bucket],O5)/1000</f>
        <v>0</v>
      </c>
      <c r="AB5" s="185" t="str">
        <f t="shared" si="5"/>
        <v/>
      </c>
    </row>
    <row r="6" spans="1:28" x14ac:dyDescent="0.25">
      <c r="A6" s="147" t="s">
        <v>10</v>
      </c>
      <c r="B6" s="147" t="s">
        <v>116</v>
      </c>
      <c r="C6" s="147" t="s">
        <v>338</v>
      </c>
      <c r="D6" s="147" t="s">
        <v>339</v>
      </c>
      <c r="E6" s="147" t="s">
        <v>340</v>
      </c>
      <c r="F6" s="148">
        <v>12.7</v>
      </c>
      <c r="G6" s="148"/>
      <c r="H6" s="148">
        <v>2</v>
      </c>
      <c r="I6" s="147">
        <v>6000</v>
      </c>
      <c r="J6" s="147">
        <v>6</v>
      </c>
      <c r="K6" s="147" t="s">
        <v>1084</v>
      </c>
      <c r="L6" s="151" t="s">
        <v>345</v>
      </c>
      <c r="M6" s="149"/>
      <c r="N6" s="150"/>
      <c r="O6" s="150"/>
      <c r="P6" s="19">
        <v>3</v>
      </c>
      <c r="Q6" s="147">
        <v>0</v>
      </c>
      <c r="R6" s="147">
        <v>0</v>
      </c>
      <c r="S6" s="147">
        <v>0</v>
      </c>
      <c r="T6" s="147">
        <f t="shared" si="0"/>
        <v>0</v>
      </c>
      <c r="U6" s="147">
        <v>0</v>
      </c>
      <c r="V6" s="147">
        <f t="shared" si="1"/>
        <v>0</v>
      </c>
      <c r="W6" s="19">
        <f t="shared" si="2"/>
        <v>4.5</v>
      </c>
      <c r="X6" s="167">
        <f t="shared" si="3"/>
        <v>4.5</v>
      </c>
      <c r="Y6" s="167">
        <f t="shared" si="4"/>
        <v>4.5</v>
      </c>
      <c r="Z6" s="185">
        <f>SUMIFS(meghsteelsales_previousmonth[Quantity],meghsteelsales_previousmonth[Length Bucket],O6)/1000</f>
        <v>0</v>
      </c>
      <c r="AA6" s="185">
        <f>SUMIFS(meghsteelsales_currentmonth[Quantity],meghsteelsales_currentmonth[Length Bucket],O6)/1000</f>
        <v>0</v>
      </c>
      <c r="AB6" s="185">
        <f t="shared" si="5"/>
        <v>-4.5</v>
      </c>
    </row>
    <row r="7" spans="1:28" x14ac:dyDescent="0.25">
      <c r="A7" s="147" t="s">
        <v>341</v>
      </c>
      <c r="B7" s="147" t="s">
        <v>342</v>
      </c>
      <c r="C7" s="147" t="s">
        <v>338</v>
      </c>
      <c r="D7" s="147" t="s">
        <v>339</v>
      </c>
      <c r="E7" s="147" t="s">
        <v>340</v>
      </c>
      <c r="F7" s="148">
        <v>15.88</v>
      </c>
      <c r="G7" s="148"/>
      <c r="H7" s="148">
        <v>1</v>
      </c>
      <c r="I7" s="147">
        <v>6000</v>
      </c>
      <c r="J7" s="147">
        <v>6</v>
      </c>
      <c r="K7" s="147" t="s">
        <v>1085</v>
      </c>
      <c r="L7" s="151" t="s">
        <v>345</v>
      </c>
      <c r="M7" s="150">
        <v>1940054</v>
      </c>
      <c r="N7" s="150" t="s">
        <v>423</v>
      </c>
      <c r="O7" s="150" t="s">
        <v>6156</v>
      </c>
      <c r="P7" s="19">
        <v>1</v>
      </c>
      <c r="Q7" s="147">
        <v>0</v>
      </c>
      <c r="R7" s="147">
        <v>1.5</v>
      </c>
      <c r="S7" s="147">
        <v>0</v>
      </c>
      <c r="T7" s="147">
        <f t="shared" si="0"/>
        <v>1.5</v>
      </c>
      <c r="U7" s="147">
        <v>0</v>
      </c>
      <c r="V7" s="147">
        <f t="shared" si="1"/>
        <v>1.5</v>
      </c>
      <c r="W7" s="19">
        <f t="shared" si="2"/>
        <v>0</v>
      </c>
      <c r="X7" s="167">
        <f t="shared" si="3"/>
        <v>0</v>
      </c>
      <c r="Y7" s="167">
        <f t="shared" si="4"/>
        <v>0</v>
      </c>
      <c r="Z7" s="185">
        <f>SUMIFS(meghsteelsales_previousmonth[Quantity],meghsteelsales_previousmonth[Length Bucket],O7)/1000</f>
        <v>0</v>
      </c>
      <c r="AA7" s="185">
        <f>SUMIFS(meghsteelsales_currentmonth[Quantity],meghsteelsales_currentmonth[Length Bucket],O7)/1000</f>
        <v>0</v>
      </c>
      <c r="AB7" s="185" t="str">
        <f t="shared" si="5"/>
        <v/>
      </c>
    </row>
    <row r="8" spans="1:28" x14ac:dyDescent="0.25">
      <c r="A8" s="147" t="s">
        <v>10</v>
      </c>
      <c r="B8" s="147" t="s">
        <v>116</v>
      </c>
      <c r="C8" s="147" t="s">
        <v>338</v>
      </c>
      <c r="D8" s="147" t="s">
        <v>339</v>
      </c>
      <c r="E8" s="147" t="s">
        <v>340</v>
      </c>
      <c r="F8" s="148">
        <v>15.88</v>
      </c>
      <c r="G8" s="148"/>
      <c r="H8" s="148">
        <v>1.2</v>
      </c>
      <c r="I8" s="147">
        <v>6000</v>
      </c>
      <c r="J8" s="147">
        <v>6</v>
      </c>
      <c r="K8" s="147" t="s">
        <v>1086</v>
      </c>
      <c r="L8" s="151" t="s">
        <v>345</v>
      </c>
      <c r="M8" s="150">
        <v>1940054</v>
      </c>
      <c r="N8" s="150" t="s">
        <v>463</v>
      </c>
      <c r="O8" s="150" t="s">
        <v>6157</v>
      </c>
      <c r="P8" s="19">
        <v>5</v>
      </c>
      <c r="Q8" s="147">
        <v>2</v>
      </c>
      <c r="R8" s="147">
        <v>5</v>
      </c>
      <c r="S8" s="147">
        <v>0</v>
      </c>
      <c r="T8" s="147">
        <f t="shared" si="0"/>
        <v>3</v>
      </c>
      <c r="U8" s="147">
        <v>0</v>
      </c>
      <c r="V8" s="147">
        <f t="shared" si="1"/>
        <v>3</v>
      </c>
      <c r="W8" s="19">
        <f t="shared" si="2"/>
        <v>4.5</v>
      </c>
      <c r="X8" s="167">
        <f t="shared" si="3"/>
        <v>4.5</v>
      </c>
      <c r="Y8" s="167">
        <f t="shared" si="4"/>
        <v>4.5</v>
      </c>
      <c r="Z8" s="185">
        <f>SUMIFS(meghsteelsales_previousmonth[Quantity],meghsteelsales_previousmonth[Length Bucket],O8)/1000</f>
        <v>5.99</v>
      </c>
      <c r="AA8" s="185">
        <f>SUMIFS(meghsteelsales_currentmonth[Quantity],meghsteelsales_currentmonth[Length Bucket],O8)/1000</f>
        <v>0</v>
      </c>
      <c r="AB8" s="185" t="str">
        <f t="shared" si="5"/>
        <v/>
      </c>
    </row>
    <row r="9" spans="1:28" x14ac:dyDescent="0.25">
      <c r="A9" s="147" t="s">
        <v>341</v>
      </c>
      <c r="B9" s="147" t="s">
        <v>342</v>
      </c>
      <c r="C9" s="147" t="s">
        <v>338</v>
      </c>
      <c r="D9" s="147" t="s">
        <v>339</v>
      </c>
      <c r="E9" s="147" t="s">
        <v>340</v>
      </c>
      <c r="F9" s="148">
        <v>15.88</v>
      </c>
      <c r="G9" s="148"/>
      <c r="H9" s="148">
        <v>1.6</v>
      </c>
      <c r="I9" s="147">
        <v>6000</v>
      </c>
      <c r="J9" s="147">
        <v>6</v>
      </c>
      <c r="K9" s="147" t="s">
        <v>1087</v>
      </c>
      <c r="L9" s="151" t="s">
        <v>345</v>
      </c>
      <c r="M9" s="150">
        <v>1900224</v>
      </c>
      <c r="N9" s="150" t="s">
        <v>506</v>
      </c>
      <c r="O9" s="150" t="s">
        <v>6158</v>
      </c>
      <c r="P9" s="19">
        <v>2</v>
      </c>
      <c r="Q9" s="147">
        <v>1</v>
      </c>
      <c r="R9" s="147">
        <v>3</v>
      </c>
      <c r="S9" s="147">
        <v>0</v>
      </c>
      <c r="T9" s="147">
        <f t="shared" si="0"/>
        <v>2</v>
      </c>
      <c r="U9" s="147">
        <v>0</v>
      </c>
      <c r="V9" s="147">
        <f t="shared" si="1"/>
        <v>2</v>
      </c>
      <c r="W9" s="19">
        <f t="shared" si="2"/>
        <v>1</v>
      </c>
      <c r="X9" s="167">
        <f t="shared" si="3"/>
        <v>1</v>
      </c>
      <c r="Y9" s="167">
        <f t="shared" si="4"/>
        <v>1</v>
      </c>
      <c r="Z9" s="185">
        <f>SUMIFS(meghsteelsales_previousmonth[Quantity],meghsteelsales_previousmonth[Length Bucket],O9)/1000</f>
        <v>0</v>
      </c>
      <c r="AA9" s="185">
        <f>SUMIFS(meghsteelsales_currentmonth[Quantity],meghsteelsales_currentmonth[Length Bucket],O9)/1000</f>
        <v>0</v>
      </c>
      <c r="AB9" s="185">
        <f t="shared" si="5"/>
        <v>-1</v>
      </c>
    </row>
    <row r="10" spans="1:28" x14ac:dyDescent="0.25">
      <c r="A10" s="147" t="s">
        <v>341</v>
      </c>
      <c r="B10" s="147" t="s">
        <v>342</v>
      </c>
      <c r="C10" s="147" t="s">
        <v>338</v>
      </c>
      <c r="D10" s="147" t="s">
        <v>339</v>
      </c>
      <c r="E10" s="147" t="s">
        <v>340</v>
      </c>
      <c r="F10" s="148">
        <v>15.88</v>
      </c>
      <c r="G10" s="148"/>
      <c r="H10" s="148">
        <v>2</v>
      </c>
      <c r="I10" s="147">
        <v>6000</v>
      </c>
      <c r="J10" s="147">
        <v>6</v>
      </c>
      <c r="K10" s="147" t="s">
        <v>1088</v>
      </c>
      <c r="L10" s="151" t="s">
        <v>345</v>
      </c>
      <c r="M10" s="150">
        <v>1940120</v>
      </c>
      <c r="N10" s="150" t="s">
        <v>537</v>
      </c>
      <c r="O10" s="150" t="s">
        <v>6159</v>
      </c>
      <c r="P10" s="19">
        <v>0</v>
      </c>
      <c r="Q10" s="147">
        <v>0</v>
      </c>
      <c r="R10" s="147">
        <v>0</v>
      </c>
      <c r="S10" s="147">
        <v>0</v>
      </c>
      <c r="T10" s="147">
        <f t="shared" si="0"/>
        <v>0</v>
      </c>
      <c r="U10" s="147">
        <v>0</v>
      </c>
      <c r="V10" s="147">
        <f t="shared" si="1"/>
        <v>0</v>
      </c>
      <c r="W10" s="19">
        <f t="shared" si="2"/>
        <v>0</v>
      </c>
      <c r="X10" s="167">
        <f t="shared" si="3"/>
        <v>0</v>
      </c>
      <c r="Y10" s="167">
        <f t="shared" si="4"/>
        <v>0</v>
      </c>
      <c r="Z10" s="185">
        <f>SUMIFS(meghsteelsales_previousmonth[Quantity],meghsteelsales_previousmonth[Length Bucket],O10)/1000</f>
        <v>0</v>
      </c>
      <c r="AA10" s="185">
        <f>SUMIFS(meghsteelsales_currentmonth[Quantity],meghsteelsales_currentmonth[Length Bucket],O10)/1000</f>
        <v>0</v>
      </c>
      <c r="AB10" s="185" t="str">
        <f t="shared" si="5"/>
        <v/>
      </c>
    </row>
    <row r="11" spans="1:28" x14ac:dyDescent="0.25">
      <c r="A11" s="147" t="s">
        <v>10</v>
      </c>
      <c r="B11" s="147" t="s">
        <v>343</v>
      </c>
      <c r="C11" s="147" t="s">
        <v>338</v>
      </c>
      <c r="D11" s="147" t="s">
        <v>339</v>
      </c>
      <c r="E11" s="147" t="s">
        <v>340</v>
      </c>
      <c r="F11" s="148">
        <v>18.3</v>
      </c>
      <c r="G11" s="148"/>
      <c r="H11" s="148">
        <v>1</v>
      </c>
      <c r="I11" s="147">
        <v>6000</v>
      </c>
      <c r="J11" s="147">
        <v>6</v>
      </c>
      <c r="K11" s="147" t="s">
        <v>1089</v>
      </c>
      <c r="L11" s="151" t="s">
        <v>345</v>
      </c>
      <c r="M11" s="150"/>
      <c r="N11" s="150" t="s">
        <v>980</v>
      </c>
      <c r="O11" s="150" t="s">
        <v>6160</v>
      </c>
      <c r="P11" s="19">
        <v>3</v>
      </c>
      <c r="Q11" s="147">
        <v>3</v>
      </c>
      <c r="R11" s="147">
        <v>1</v>
      </c>
      <c r="S11" s="147">
        <v>0</v>
      </c>
      <c r="T11" s="147">
        <f t="shared" si="0"/>
        <v>-2</v>
      </c>
      <c r="U11" s="147">
        <v>0</v>
      </c>
      <c r="V11" s="147">
        <f t="shared" si="1"/>
        <v>-2</v>
      </c>
      <c r="W11" s="19">
        <f t="shared" si="2"/>
        <v>6.5</v>
      </c>
      <c r="X11" s="167">
        <f t="shared" si="3"/>
        <v>6.5</v>
      </c>
      <c r="Y11" s="167">
        <f t="shared" si="4"/>
        <v>6.5</v>
      </c>
      <c r="Z11" s="185">
        <f>SUMIFS(meghsteelsales_previousmonth[Quantity],meghsteelsales_previousmonth[Length Bucket],O11)/1000</f>
        <v>0</v>
      </c>
      <c r="AA11" s="185">
        <f>SUMIFS(meghsteelsales_currentmonth[Quantity],meghsteelsales_currentmonth[Length Bucket],O11)/1000</f>
        <v>0</v>
      </c>
      <c r="AB11" s="185">
        <f t="shared" si="5"/>
        <v>-6.5</v>
      </c>
    </row>
    <row r="12" spans="1:28" x14ac:dyDescent="0.25">
      <c r="A12" s="147" t="s">
        <v>341</v>
      </c>
      <c r="B12" s="147" t="s">
        <v>342</v>
      </c>
      <c r="C12" s="153" t="s">
        <v>338</v>
      </c>
      <c r="D12" s="147" t="s">
        <v>339</v>
      </c>
      <c r="E12" s="147" t="s">
        <v>340</v>
      </c>
      <c r="F12" s="148">
        <v>19.05</v>
      </c>
      <c r="G12" s="148"/>
      <c r="H12" s="148">
        <v>1.6</v>
      </c>
      <c r="I12" s="147">
        <v>6000</v>
      </c>
      <c r="J12" s="147">
        <v>6</v>
      </c>
      <c r="K12" s="147" t="s">
        <v>1090</v>
      </c>
      <c r="L12" s="151" t="s">
        <v>367</v>
      </c>
      <c r="M12" s="150">
        <v>3498997</v>
      </c>
      <c r="N12" s="150" t="s">
        <v>983</v>
      </c>
      <c r="O12" s="150" t="s">
        <v>6161</v>
      </c>
      <c r="P12" s="19">
        <v>5</v>
      </c>
      <c r="Q12" s="147">
        <v>2</v>
      </c>
      <c r="R12" s="147">
        <v>0</v>
      </c>
      <c r="S12" s="147">
        <v>0</v>
      </c>
      <c r="T12" s="147">
        <f t="shared" si="0"/>
        <v>-2</v>
      </c>
      <c r="U12" s="147">
        <v>1</v>
      </c>
      <c r="V12" s="147">
        <f t="shared" si="1"/>
        <v>-1</v>
      </c>
      <c r="W12" s="19">
        <f t="shared" si="2"/>
        <v>8.5</v>
      </c>
      <c r="X12" s="167">
        <f t="shared" si="3"/>
        <v>8.5</v>
      </c>
      <c r="Y12" s="167">
        <f t="shared" si="4"/>
        <v>9.5</v>
      </c>
      <c r="Z12" s="185">
        <f>SUMIFS(meghsteelsales_previousmonth[Quantity],meghsteelsales_previousmonth[Length Bucket],O12)/1000</f>
        <v>10.74</v>
      </c>
      <c r="AA12" s="185">
        <f>SUMIFS(meghsteelsales_currentmonth[Quantity],meghsteelsales_currentmonth[Length Bucket],O12)/1000</f>
        <v>12.04182</v>
      </c>
      <c r="AB12" s="185" t="str">
        <f t="shared" si="5"/>
        <v/>
      </c>
    </row>
    <row r="13" spans="1:28" x14ac:dyDescent="0.25">
      <c r="A13" s="147" t="s">
        <v>341</v>
      </c>
      <c r="B13" s="147" t="s">
        <v>342</v>
      </c>
      <c r="C13" s="147" t="s">
        <v>344</v>
      </c>
      <c r="D13" s="147" t="s">
        <v>339</v>
      </c>
      <c r="E13" s="147" t="s">
        <v>344</v>
      </c>
      <c r="F13" s="148">
        <v>19.05</v>
      </c>
      <c r="G13" s="148"/>
      <c r="H13" s="148">
        <v>1.4</v>
      </c>
      <c r="I13" s="147">
        <v>6000</v>
      </c>
      <c r="J13" s="147">
        <v>6</v>
      </c>
      <c r="K13" s="147" t="s">
        <v>1091</v>
      </c>
      <c r="L13" s="151" t="s">
        <v>367</v>
      </c>
      <c r="M13" s="149">
        <v>3891285</v>
      </c>
      <c r="N13" s="150" t="s">
        <v>6154</v>
      </c>
      <c r="O13" s="150" t="s">
        <v>6154</v>
      </c>
      <c r="P13" s="19">
        <v>0</v>
      </c>
      <c r="Q13" s="147">
        <v>2</v>
      </c>
      <c r="R13" s="147">
        <v>7</v>
      </c>
      <c r="S13" s="147">
        <v>0</v>
      </c>
      <c r="T13" s="147">
        <f t="shared" si="0"/>
        <v>5</v>
      </c>
      <c r="U13" s="147">
        <v>0.8</v>
      </c>
      <c r="V13" s="147">
        <f t="shared" si="1"/>
        <v>5.8</v>
      </c>
      <c r="W13" s="19">
        <f t="shared" si="2"/>
        <v>-5.8</v>
      </c>
      <c r="X13" s="167">
        <f t="shared" si="3"/>
        <v>0</v>
      </c>
      <c r="Y13" s="167">
        <f t="shared" si="4"/>
        <v>0.8</v>
      </c>
      <c r="Z13" s="185">
        <f>SUMIFS(meghsteelsales_previousmonth[Quantity],meghsteelsales_previousmonth[Length Bucket],O13)/1000</f>
        <v>0</v>
      </c>
      <c r="AA13" s="185">
        <f>SUMIFS(meghsteelsales_currentmonth[Quantity],meghsteelsales_currentmonth[Length Bucket],O13)/1000</f>
        <v>0</v>
      </c>
      <c r="AB13" s="185">
        <f t="shared" si="5"/>
        <v>-0.8</v>
      </c>
    </row>
    <row r="14" spans="1:28" x14ac:dyDescent="0.25">
      <c r="A14" s="147" t="s">
        <v>10</v>
      </c>
      <c r="B14" s="147" t="s">
        <v>116</v>
      </c>
      <c r="C14" s="153" t="s">
        <v>338</v>
      </c>
      <c r="D14" s="147" t="s">
        <v>339</v>
      </c>
      <c r="E14" s="147" t="s">
        <v>340</v>
      </c>
      <c r="F14" s="154">
        <v>19.05</v>
      </c>
      <c r="G14" s="154"/>
      <c r="H14" s="154">
        <v>2</v>
      </c>
      <c r="I14" s="155">
        <v>5841</v>
      </c>
      <c r="J14" s="147">
        <v>5.84</v>
      </c>
      <c r="K14" s="147" t="s">
        <v>6162</v>
      </c>
      <c r="L14" s="151" t="s">
        <v>367</v>
      </c>
      <c r="M14" s="150">
        <v>3673888</v>
      </c>
      <c r="N14" s="150" t="s">
        <v>604</v>
      </c>
      <c r="O14" s="150" t="s">
        <v>6163</v>
      </c>
      <c r="P14" s="19">
        <v>30</v>
      </c>
      <c r="Q14" s="147">
        <v>0</v>
      </c>
      <c r="R14" s="147">
        <v>0</v>
      </c>
      <c r="S14" s="147">
        <v>12</v>
      </c>
      <c r="T14" s="147">
        <f t="shared" si="0"/>
        <v>0</v>
      </c>
      <c r="U14" s="147">
        <v>20</v>
      </c>
      <c r="V14" s="147">
        <f t="shared" si="1"/>
        <v>32</v>
      </c>
      <c r="W14" s="19">
        <f t="shared" si="2"/>
        <v>13</v>
      </c>
      <c r="X14" s="167">
        <f t="shared" si="3"/>
        <v>13</v>
      </c>
      <c r="Y14" s="167">
        <f t="shared" si="4"/>
        <v>33</v>
      </c>
      <c r="Z14" s="185">
        <f>SUMIFS(meghsteelsales_previousmonth[Quantity],meghsteelsales_previousmonth[Length Bucket],O14)/1000</f>
        <v>0</v>
      </c>
      <c r="AA14" s="185">
        <f>SUMIFS(meghsteelsales_currentmonth[Quantity],meghsteelsales_currentmonth[Length Bucket],O14)/1000</f>
        <v>0</v>
      </c>
      <c r="AB14" s="185">
        <f t="shared" si="5"/>
        <v>-33</v>
      </c>
    </row>
    <row r="15" spans="1:28" x14ac:dyDescent="0.25">
      <c r="A15" s="147" t="s">
        <v>10</v>
      </c>
      <c r="B15" s="147" t="s">
        <v>346</v>
      </c>
      <c r="C15" s="153" t="s">
        <v>338</v>
      </c>
      <c r="D15" s="147" t="s">
        <v>339</v>
      </c>
      <c r="E15" s="147" t="s">
        <v>340</v>
      </c>
      <c r="F15" s="148">
        <v>19.05</v>
      </c>
      <c r="G15" s="148"/>
      <c r="H15" s="148">
        <v>2.2999999999999998</v>
      </c>
      <c r="I15" s="147">
        <v>7000</v>
      </c>
      <c r="J15" s="147">
        <v>7</v>
      </c>
      <c r="K15" s="147" t="s">
        <v>1092</v>
      </c>
      <c r="L15" s="151" t="s">
        <v>367</v>
      </c>
      <c r="M15" s="150">
        <v>3500582</v>
      </c>
      <c r="N15" s="150" t="s">
        <v>407</v>
      </c>
      <c r="O15" s="150" t="s">
        <v>6164</v>
      </c>
      <c r="P15" s="19">
        <v>18</v>
      </c>
      <c r="Q15" s="147">
        <v>4</v>
      </c>
      <c r="R15" s="147">
        <v>3</v>
      </c>
      <c r="S15" s="147">
        <v>25</v>
      </c>
      <c r="T15" s="147">
        <f t="shared" si="0"/>
        <v>-1</v>
      </c>
      <c r="U15" s="147">
        <v>31</v>
      </c>
      <c r="V15" s="147">
        <f t="shared" si="1"/>
        <v>55</v>
      </c>
      <c r="W15" s="19">
        <f t="shared" si="2"/>
        <v>-28</v>
      </c>
      <c r="X15" s="167">
        <f t="shared" si="3"/>
        <v>0</v>
      </c>
      <c r="Y15" s="167">
        <f t="shared" si="4"/>
        <v>31</v>
      </c>
      <c r="Z15" s="185">
        <f>SUMIFS(meghsteelsales_previousmonth[Quantity],meghsteelsales_previousmonth[Length Bucket],O15)/1000</f>
        <v>20.52</v>
      </c>
      <c r="AA15" s="185">
        <f>SUMIFS(meghsteelsales_currentmonth[Quantity],meghsteelsales_currentmonth[Length Bucket],O15)/1000</f>
        <v>4.2763360000000006</v>
      </c>
      <c r="AB15" s="185">
        <f t="shared" si="5"/>
        <v>-6.2036639999999998</v>
      </c>
    </row>
    <row r="16" spans="1:28" x14ac:dyDescent="0.25">
      <c r="A16" s="147" t="s">
        <v>10</v>
      </c>
      <c r="B16" s="147" t="s">
        <v>116</v>
      </c>
      <c r="C16" s="147" t="s">
        <v>338</v>
      </c>
      <c r="D16" s="147" t="s">
        <v>339</v>
      </c>
      <c r="E16" s="147" t="s">
        <v>340</v>
      </c>
      <c r="F16" s="148">
        <v>21.4</v>
      </c>
      <c r="G16" s="148"/>
      <c r="H16" s="148">
        <v>1.6</v>
      </c>
      <c r="I16" s="147">
        <v>6000</v>
      </c>
      <c r="J16" s="147">
        <v>6</v>
      </c>
      <c r="K16" s="147" t="s">
        <v>1093</v>
      </c>
      <c r="L16" s="149"/>
      <c r="M16" s="150">
        <v>3219710</v>
      </c>
      <c r="N16" s="150" t="s">
        <v>6154</v>
      </c>
      <c r="O16" s="150" t="s">
        <v>6154</v>
      </c>
      <c r="P16" s="19">
        <v>3</v>
      </c>
      <c r="Q16" s="147">
        <v>2</v>
      </c>
      <c r="R16" s="147">
        <v>23</v>
      </c>
      <c r="S16" s="147">
        <v>0</v>
      </c>
      <c r="T16" s="147">
        <f t="shared" si="0"/>
        <v>21</v>
      </c>
      <c r="U16" s="147"/>
      <c r="V16" s="147">
        <f t="shared" si="1"/>
        <v>21</v>
      </c>
      <c r="W16" s="19">
        <f t="shared" si="2"/>
        <v>-16.5</v>
      </c>
      <c r="X16" s="167">
        <f t="shared" si="3"/>
        <v>0</v>
      </c>
      <c r="Y16" s="167">
        <f t="shared" si="4"/>
        <v>0</v>
      </c>
      <c r="Z16" s="185">
        <f>SUMIFS(meghsteelsales_previousmonth[Quantity],meghsteelsales_previousmonth[Length Bucket],O16)/1000</f>
        <v>0</v>
      </c>
      <c r="AA16" s="185">
        <f>SUMIFS(meghsteelsales_currentmonth[Quantity],meghsteelsales_currentmonth[Length Bucket],O16)/1000</f>
        <v>0</v>
      </c>
      <c r="AB16" s="185" t="str">
        <f t="shared" si="5"/>
        <v/>
      </c>
    </row>
    <row r="17" spans="1:28" x14ac:dyDescent="0.25">
      <c r="A17" s="147" t="s">
        <v>10</v>
      </c>
      <c r="B17" s="147" t="s">
        <v>116</v>
      </c>
      <c r="C17" s="153" t="s">
        <v>338</v>
      </c>
      <c r="D17" s="147" t="s">
        <v>339</v>
      </c>
      <c r="E17" s="147" t="s">
        <v>340</v>
      </c>
      <c r="F17" s="148">
        <v>22.2</v>
      </c>
      <c r="G17" s="148"/>
      <c r="H17" s="148">
        <v>1.2</v>
      </c>
      <c r="I17" s="147">
        <v>5870</v>
      </c>
      <c r="J17" s="147">
        <v>5.87</v>
      </c>
      <c r="K17" s="147" t="s">
        <v>1094</v>
      </c>
      <c r="L17" s="151" t="s">
        <v>367</v>
      </c>
      <c r="M17" s="150">
        <v>3974562</v>
      </c>
      <c r="N17" s="150" t="s">
        <v>607</v>
      </c>
      <c r="O17" s="150" t="s">
        <v>6165</v>
      </c>
      <c r="P17" s="19">
        <v>15</v>
      </c>
      <c r="Q17" s="147">
        <v>0</v>
      </c>
      <c r="R17" s="147">
        <v>0</v>
      </c>
      <c r="S17" s="147">
        <v>0</v>
      </c>
      <c r="T17" s="147">
        <f t="shared" si="0"/>
        <v>0</v>
      </c>
      <c r="U17" s="147">
        <v>20</v>
      </c>
      <c r="V17" s="147">
        <f t="shared" si="1"/>
        <v>20</v>
      </c>
      <c r="W17" s="19">
        <f t="shared" si="2"/>
        <v>2.5</v>
      </c>
      <c r="X17" s="167">
        <f t="shared" si="3"/>
        <v>2.5</v>
      </c>
      <c r="Y17" s="167">
        <f t="shared" si="4"/>
        <v>22.5</v>
      </c>
      <c r="Z17" s="185">
        <f>SUMIFS(meghsteelsales_previousmonth[Quantity],meghsteelsales_previousmonth[Length Bucket],O17)/1000</f>
        <v>7.3276850000000016</v>
      </c>
      <c r="AA17" s="185">
        <f>SUMIFS(meghsteelsales_currentmonth[Quantity],meghsteelsales_currentmonth[Length Bucket],O17)/1000</f>
        <v>12.956144999999999</v>
      </c>
      <c r="AB17" s="185">
        <f t="shared" si="5"/>
        <v>-2.2161699999999982</v>
      </c>
    </row>
    <row r="18" spans="1:28" x14ac:dyDescent="0.25">
      <c r="A18" s="147" t="s">
        <v>341</v>
      </c>
      <c r="B18" s="147" t="s">
        <v>342</v>
      </c>
      <c r="C18" s="153" t="s">
        <v>344</v>
      </c>
      <c r="D18" s="147" t="s">
        <v>339</v>
      </c>
      <c r="E18" s="147" t="s">
        <v>347</v>
      </c>
      <c r="F18" s="148">
        <v>22.2</v>
      </c>
      <c r="G18" s="148"/>
      <c r="H18" s="148">
        <v>1.4</v>
      </c>
      <c r="I18" s="147">
        <v>6000</v>
      </c>
      <c r="J18" s="147">
        <v>6</v>
      </c>
      <c r="K18" s="147" t="s">
        <v>1095</v>
      </c>
      <c r="L18" s="151" t="s">
        <v>367</v>
      </c>
      <c r="M18" s="150">
        <v>3829175</v>
      </c>
      <c r="N18" s="150" t="s">
        <v>6154</v>
      </c>
      <c r="O18" s="150" t="s">
        <v>6154</v>
      </c>
      <c r="P18" s="19">
        <v>0</v>
      </c>
      <c r="Q18" s="147">
        <v>0</v>
      </c>
      <c r="R18" s="147">
        <v>20</v>
      </c>
      <c r="S18" s="147">
        <v>0</v>
      </c>
      <c r="T18" s="147">
        <f t="shared" si="0"/>
        <v>20</v>
      </c>
      <c r="U18" s="147"/>
      <c r="V18" s="147">
        <f t="shared" si="1"/>
        <v>20</v>
      </c>
      <c r="W18" s="19">
        <f t="shared" si="2"/>
        <v>-20</v>
      </c>
      <c r="X18" s="167">
        <f t="shared" si="3"/>
        <v>0</v>
      </c>
      <c r="Y18" s="167">
        <f t="shared" si="4"/>
        <v>0</v>
      </c>
      <c r="Z18" s="185">
        <f>SUMIFS(meghsteelsales_previousmonth[Quantity],meghsteelsales_previousmonth[Length Bucket],O18)/1000</f>
        <v>0</v>
      </c>
      <c r="AA18" s="185">
        <f>SUMIFS(meghsteelsales_currentmonth[Quantity],meghsteelsales_currentmonth[Length Bucket],O18)/1000</f>
        <v>0</v>
      </c>
      <c r="AB18" s="185" t="str">
        <f t="shared" si="5"/>
        <v/>
      </c>
    </row>
    <row r="19" spans="1:28" s="45" customFormat="1" x14ac:dyDescent="0.25">
      <c r="A19" s="156" t="s">
        <v>10</v>
      </c>
      <c r="B19" s="156" t="s">
        <v>116</v>
      </c>
      <c r="C19" s="157" t="s">
        <v>338</v>
      </c>
      <c r="D19" s="147" t="s">
        <v>339</v>
      </c>
      <c r="E19" s="147" t="s">
        <v>340</v>
      </c>
      <c r="F19" s="148">
        <v>22.2</v>
      </c>
      <c r="G19" s="148"/>
      <c r="H19" s="148">
        <v>1.6</v>
      </c>
      <c r="I19" s="147">
        <v>5670</v>
      </c>
      <c r="J19" s="147">
        <v>6</v>
      </c>
      <c r="K19" s="147" t="s">
        <v>6166</v>
      </c>
      <c r="L19" s="165" t="s">
        <v>367</v>
      </c>
      <c r="M19" s="150">
        <v>3534935</v>
      </c>
      <c r="N19" s="150" t="s">
        <v>412</v>
      </c>
      <c r="O19" s="150" t="s">
        <v>6167</v>
      </c>
      <c r="P19" s="19">
        <v>55</v>
      </c>
      <c r="Q19" s="147">
        <v>20</v>
      </c>
      <c r="R19" s="147">
        <v>75</v>
      </c>
      <c r="S19" s="147">
        <v>0</v>
      </c>
      <c r="T19" s="147">
        <f t="shared" si="0"/>
        <v>55</v>
      </c>
      <c r="U19" s="147">
        <v>0.5</v>
      </c>
      <c r="V19" s="147">
        <f t="shared" si="1"/>
        <v>55.5</v>
      </c>
      <c r="W19" s="19">
        <f t="shared" si="2"/>
        <v>27</v>
      </c>
      <c r="X19" s="167">
        <f t="shared" si="3"/>
        <v>27</v>
      </c>
      <c r="Y19" s="167">
        <f t="shared" si="4"/>
        <v>27.5</v>
      </c>
      <c r="Z19" s="185">
        <f>SUMIFS(meghsteelsales_previousmonth[Quantity],meghsteelsales_previousmonth[Length Bucket],O19)/1000</f>
        <v>27.178328</v>
      </c>
      <c r="AA19" s="185">
        <f>SUMIFS(meghsteelsales_currentmonth[Quantity],meghsteelsales_currentmonth[Length Bucket],O19)/1000</f>
        <v>1.881885</v>
      </c>
      <c r="AB19" s="185" t="str">
        <f t="shared" si="5"/>
        <v/>
      </c>
    </row>
    <row r="20" spans="1:28" x14ac:dyDescent="0.25">
      <c r="A20" s="147" t="s">
        <v>10</v>
      </c>
      <c r="B20" s="147" t="s">
        <v>116</v>
      </c>
      <c r="C20" s="155" t="s">
        <v>338</v>
      </c>
      <c r="D20" s="147" t="s">
        <v>339</v>
      </c>
      <c r="E20" s="147" t="s">
        <v>340</v>
      </c>
      <c r="F20" s="154">
        <v>22.2</v>
      </c>
      <c r="G20" s="154"/>
      <c r="H20" s="154">
        <v>2</v>
      </c>
      <c r="I20" s="155">
        <v>5950</v>
      </c>
      <c r="J20" s="147">
        <v>5.95</v>
      </c>
      <c r="K20" s="147"/>
      <c r="L20" s="151" t="s">
        <v>367</v>
      </c>
      <c r="M20" s="150">
        <v>3905466</v>
      </c>
      <c r="N20" s="150" t="s">
        <v>633</v>
      </c>
      <c r="O20" s="150" t="s">
        <v>6168</v>
      </c>
      <c r="P20" s="19">
        <v>50</v>
      </c>
      <c r="Q20" s="147">
        <v>20</v>
      </c>
      <c r="R20" s="147">
        <v>42</v>
      </c>
      <c r="S20" s="147">
        <v>4</v>
      </c>
      <c r="T20" s="147">
        <f t="shared" si="0"/>
        <v>22</v>
      </c>
      <c r="U20" s="147">
        <v>70</v>
      </c>
      <c r="V20" s="147">
        <f t="shared" si="1"/>
        <v>96</v>
      </c>
      <c r="W20" s="19">
        <v>50</v>
      </c>
      <c r="X20" s="167">
        <f t="shared" si="3"/>
        <v>50</v>
      </c>
      <c r="Y20" s="167">
        <f t="shared" si="4"/>
        <v>120</v>
      </c>
      <c r="Z20" s="185">
        <f>SUMIFS(meghsteelsales_previousmonth[Quantity],meghsteelsales_previousmonth[Length Bucket],O20)/1000</f>
        <v>85.542945999999958</v>
      </c>
      <c r="AA20" s="185">
        <f>SUMIFS(meghsteelsales_currentmonth[Quantity],meghsteelsales_currentmonth[Length Bucket],O20)/1000</f>
        <v>51.635232000000002</v>
      </c>
      <c r="AB20" s="185" t="str">
        <f t="shared" si="5"/>
        <v/>
      </c>
    </row>
    <row r="21" spans="1:28" x14ac:dyDescent="0.25">
      <c r="A21" s="147" t="s">
        <v>10</v>
      </c>
      <c r="B21" s="147" t="s">
        <v>116</v>
      </c>
      <c r="C21" s="155" t="s">
        <v>338</v>
      </c>
      <c r="D21" s="147" t="s">
        <v>339</v>
      </c>
      <c r="E21" s="147" t="s">
        <v>340</v>
      </c>
      <c r="F21" s="154">
        <v>22.2</v>
      </c>
      <c r="G21" s="154"/>
      <c r="H21" s="154">
        <v>2</v>
      </c>
      <c r="I21" s="155">
        <v>5100</v>
      </c>
      <c r="J21" s="147">
        <v>5.95</v>
      </c>
      <c r="K21" s="147"/>
      <c r="L21" s="151" t="s">
        <v>367</v>
      </c>
      <c r="M21" s="150">
        <v>3500554</v>
      </c>
      <c r="N21" s="150" t="s">
        <v>633</v>
      </c>
      <c r="O21" s="150" t="s">
        <v>6169</v>
      </c>
      <c r="P21" s="19">
        <v>20</v>
      </c>
      <c r="Q21" s="147">
        <v>0</v>
      </c>
      <c r="R21" s="147">
        <v>0</v>
      </c>
      <c r="S21" s="147">
        <v>0</v>
      </c>
      <c r="T21" s="147">
        <f t="shared" si="0"/>
        <v>0</v>
      </c>
      <c r="U21" s="147">
        <v>0</v>
      </c>
      <c r="V21" s="147">
        <f t="shared" si="1"/>
        <v>0</v>
      </c>
      <c r="W21" s="19">
        <f t="shared" si="2"/>
        <v>30</v>
      </c>
      <c r="X21" s="167">
        <f t="shared" si="3"/>
        <v>30</v>
      </c>
      <c r="Y21" s="167">
        <f t="shared" si="4"/>
        <v>30</v>
      </c>
      <c r="Z21" s="185">
        <f>SUMIFS(meghsteelsales_previousmonth[Quantity],meghsteelsales_previousmonth[Length Bucket],O21)/1000</f>
        <v>0</v>
      </c>
      <c r="AA21" s="185">
        <f>SUMIFS(meghsteelsales_currentmonth[Quantity],meghsteelsales_currentmonth[Length Bucket],O21)/1000</f>
        <v>0</v>
      </c>
      <c r="AB21" s="185">
        <f t="shared" si="5"/>
        <v>-30</v>
      </c>
    </row>
    <row r="22" spans="1:28" x14ac:dyDescent="0.25">
      <c r="A22" s="147" t="s">
        <v>10</v>
      </c>
      <c r="B22" s="147" t="s">
        <v>116</v>
      </c>
      <c r="C22" s="147" t="s">
        <v>344</v>
      </c>
      <c r="D22" s="147" t="s">
        <v>348</v>
      </c>
      <c r="E22" s="147" t="s">
        <v>349</v>
      </c>
      <c r="F22" s="148">
        <v>22.2</v>
      </c>
      <c r="G22" s="148"/>
      <c r="H22" s="148">
        <v>2</v>
      </c>
      <c r="I22" s="147">
        <v>6000</v>
      </c>
      <c r="J22" s="147">
        <v>6000</v>
      </c>
      <c r="K22" s="147" t="s">
        <v>1097</v>
      </c>
      <c r="L22" s="151" t="s">
        <v>367</v>
      </c>
      <c r="M22" s="150">
        <v>3502494</v>
      </c>
      <c r="N22" s="150" t="s">
        <v>679</v>
      </c>
      <c r="O22" s="150" t="s">
        <v>6170</v>
      </c>
      <c r="P22" s="19">
        <v>50</v>
      </c>
      <c r="Q22" s="147">
        <v>0</v>
      </c>
      <c r="R22" s="147">
        <v>0</v>
      </c>
      <c r="S22" s="147">
        <v>0</v>
      </c>
      <c r="T22" s="147">
        <f t="shared" si="0"/>
        <v>0</v>
      </c>
      <c r="U22" s="147">
        <v>0</v>
      </c>
      <c r="V22" s="147">
        <f t="shared" si="1"/>
        <v>0</v>
      </c>
      <c r="W22" s="19">
        <f t="shared" si="2"/>
        <v>75</v>
      </c>
      <c r="X22" s="167">
        <f t="shared" si="3"/>
        <v>75</v>
      </c>
      <c r="Y22" s="167">
        <f t="shared" si="4"/>
        <v>75</v>
      </c>
      <c r="Z22" s="185">
        <f>SUMIFS(meghsteelsales_previousmonth[Quantity],meghsteelsales_previousmonth[Length Bucket],O22)/1000</f>
        <v>0</v>
      </c>
      <c r="AA22" s="185">
        <f>SUMIFS(meghsteelsales_currentmonth[Quantity],meghsteelsales_currentmonth[Length Bucket],O22)/1000</f>
        <v>0</v>
      </c>
      <c r="AB22" s="185">
        <f t="shared" si="5"/>
        <v>-75</v>
      </c>
    </row>
    <row r="23" spans="1:28" x14ac:dyDescent="0.25">
      <c r="A23" s="147" t="s">
        <v>341</v>
      </c>
      <c r="B23" s="147" t="s">
        <v>342</v>
      </c>
      <c r="C23" s="147" t="s">
        <v>350</v>
      </c>
      <c r="D23" s="147" t="s">
        <v>348</v>
      </c>
      <c r="E23" s="147" t="s">
        <v>351</v>
      </c>
      <c r="F23" s="148">
        <v>22.2</v>
      </c>
      <c r="G23" s="148"/>
      <c r="H23" s="148">
        <v>2</v>
      </c>
      <c r="I23" s="147">
        <v>5390</v>
      </c>
      <c r="J23" s="147">
        <v>5.39</v>
      </c>
      <c r="K23" s="147" t="s">
        <v>1098</v>
      </c>
      <c r="L23" s="151" t="s">
        <v>367</v>
      </c>
      <c r="M23" s="149">
        <v>3568328</v>
      </c>
      <c r="N23" s="150" t="s">
        <v>562</v>
      </c>
      <c r="O23" s="150" t="s">
        <v>6171</v>
      </c>
      <c r="P23" s="19">
        <v>20</v>
      </c>
      <c r="Q23" s="147">
        <v>15</v>
      </c>
      <c r="R23" s="147">
        <v>0</v>
      </c>
      <c r="S23" s="147">
        <v>6</v>
      </c>
      <c r="T23" s="147">
        <f t="shared" si="0"/>
        <v>-15</v>
      </c>
      <c r="U23" s="147">
        <v>33</v>
      </c>
      <c r="V23" s="147">
        <f t="shared" si="1"/>
        <v>24</v>
      </c>
      <c r="W23" s="19">
        <f t="shared" si="2"/>
        <v>6</v>
      </c>
      <c r="X23" s="167">
        <f t="shared" si="3"/>
        <v>6</v>
      </c>
      <c r="Y23" s="167">
        <f t="shared" si="4"/>
        <v>39</v>
      </c>
      <c r="Z23" s="185">
        <f>SUMIFS(meghsteelsales_previousmonth[Quantity],meghsteelsales_previousmonth[Length Bucket],O23)/1000</f>
        <v>4.5</v>
      </c>
      <c r="AA23" s="185">
        <f>SUMIFS(meghsteelsales_currentmonth[Quantity],meghsteelsales_currentmonth[Length Bucket],O23)/1000</f>
        <v>22.54</v>
      </c>
      <c r="AB23" s="185">
        <f t="shared" si="5"/>
        <v>-11.96</v>
      </c>
    </row>
    <row r="24" spans="1:28" x14ac:dyDescent="0.25">
      <c r="A24" s="147" t="s">
        <v>341</v>
      </c>
      <c r="B24" s="147" t="s">
        <v>342</v>
      </c>
      <c r="C24" s="153" t="s">
        <v>344</v>
      </c>
      <c r="D24" s="147" t="s">
        <v>348</v>
      </c>
      <c r="E24" s="147" t="s">
        <v>349</v>
      </c>
      <c r="F24" s="148">
        <v>25.4</v>
      </c>
      <c r="G24" s="148"/>
      <c r="H24" s="148">
        <v>1.4</v>
      </c>
      <c r="I24" s="147">
        <v>5531</v>
      </c>
      <c r="J24" s="147">
        <v>5.5309999999999997</v>
      </c>
      <c r="K24" s="147" t="s">
        <v>1099</v>
      </c>
      <c r="L24" s="151" t="s">
        <v>367</v>
      </c>
      <c r="M24" s="150">
        <v>3501900</v>
      </c>
      <c r="N24" s="150" t="s">
        <v>6154</v>
      </c>
      <c r="O24" s="150" t="s">
        <v>6154</v>
      </c>
      <c r="P24" s="19">
        <v>10</v>
      </c>
      <c r="Q24" s="147">
        <v>2</v>
      </c>
      <c r="R24" s="147">
        <v>25</v>
      </c>
      <c r="S24" s="147">
        <v>0</v>
      </c>
      <c r="T24" s="147">
        <f t="shared" si="0"/>
        <v>23</v>
      </c>
      <c r="U24" s="147"/>
      <c r="V24" s="147">
        <f t="shared" si="1"/>
        <v>23</v>
      </c>
      <c r="W24" s="19">
        <f t="shared" si="2"/>
        <v>-8</v>
      </c>
      <c r="X24" s="167">
        <f t="shared" si="3"/>
        <v>0</v>
      </c>
      <c r="Y24" s="167">
        <f t="shared" si="4"/>
        <v>0</v>
      </c>
      <c r="Z24" s="185">
        <f>SUMIFS(meghsteelsales_previousmonth[Quantity],meghsteelsales_previousmonth[Length Bucket],O24)/1000</f>
        <v>0</v>
      </c>
      <c r="AA24" s="185">
        <f>SUMIFS(meghsteelsales_currentmonth[Quantity],meghsteelsales_currentmonth[Length Bucket],O24)/1000</f>
        <v>0</v>
      </c>
      <c r="AB24" s="185" t="str">
        <f t="shared" si="5"/>
        <v/>
      </c>
    </row>
    <row r="25" spans="1:28" x14ac:dyDescent="0.25">
      <c r="A25" s="147" t="s">
        <v>341</v>
      </c>
      <c r="B25" s="147" t="s">
        <v>342</v>
      </c>
      <c r="C25" s="153" t="s">
        <v>338</v>
      </c>
      <c r="D25" s="147" t="s">
        <v>348</v>
      </c>
      <c r="E25" s="147" t="s">
        <v>340</v>
      </c>
      <c r="F25" s="148">
        <v>25.4</v>
      </c>
      <c r="G25" s="148"/>
      <c r="H25" s="148">
        <v>1.4</v>
      </c>
      <c r="I25" s="147">
        <v>6060</v>
      </c>
      <c r="J25" s="147">
        <v>6.06</v>
      </c>
      <c r="K25" s="147" t="s">
        <v>1100</v>
      </c>
      <c r="L25" s="151"/>
      <c r="M25" s="149">
        <v>3557792</v>
      </c>
      <c r="N25" s="150" t="s">
        <v>6154</v>
      </c>
      <c r="O25" s="150" t="s">
        <v>6154</v>
      </c>
      <c r="P25" s="19">
        <v>0</v>
      </c>
      <c r="Q25" s="147">
        <v>1</v>
      </c>
      <c r="R25" s="147">
        <v>22</v>
      </c>
      <c r="S25" s="147">
        <v>0</v>
      </c>
      <c r="T25" s="147">
        <f t="shared" si="0"/>
        <v>21</v>
      </c>
      <c r="U25" s="147"/>
      <c r="V25" s="147">
        <f t="shared" si="1"/>
        <v>21</v>
      </c>
      <c r="W25" s="19">
        <f t="shared" si="2"/>
        <v>-21</v>
      </c>
      <c r="X25" s="167">
        <f t="shared" si="3"/>
        <v>0</v>
      </c>
      <c r="Y25" s="167">
        <f t="shared" si="4"/>
        <v>0</v>
      </c>
      <c r="Z25" s="185">
        <f>SUMIFS(meghsteelsales_previousmonth[Quantity],meghsteelsales_previousmonth[Length Bucket],O25)/1000</f>
        <v>0</v>
      </c>
      <c r="AA25" s="185">
        <f>SUMIFS(meghsteelsales_currentmonth[Quantity],meghsteelsales_currentmonth[Length Bucket],O25)/1000</f>
        <v>0</v>
      </c>
      <c r="AB25" s="185" t="str">
        <f t="shared" si="5"/>
        <v/>
      </c>
    </row>
    <row r="26" spans="1:28" x14ac:dyDescent="0.25">
      <c r="A26" s="147" t="s">
        <v>10</v>
      </c>
      <c r="B26" s="147" t="s">
        <v>116</v>
      </c>
      <c r="C26" s="153" t="s">
        <v>338</v>
      </c>
      <c r="D26" s="147" t="s">
        <v>339</v>
      </c>
      <c r="E26" s="147" t="s">
        <v>340</v>
      </c>
      <c r="F26" s="148">
        <v>25.4</v>
      </c>
      <c r="G26" s="148"/>
      <c r="H26" s="148">
        <v>1.6</v>
      </c>
      <c r="I26" s="147">
        <v>6000</v>
      </c>
      <c r="J26" s="147">
        <v>6</v>
      </c>
      <c r="K26" s="147" t="s">
        <v>1101</v>
      </c>
      <c r="L26" s="151" t="s">
        <v>367</v>
      </c>
      <c r="M26" s="150">
        <v>3500097</v>
      </c>
      <c r="N26" s="150" t="s">
        <v>468</v>
      </c>
      <c r="O26" s="150" t="s">
        <v>6172</v>
      </c>
      <c r="P26" s="19">
        <v>25</v>
      </c>
      <c r="Q26" s="147">
        <v>3</v>
      </c>
      <c r="R26" s="147">
        <v>30</v>
      </c>
      <c r="S26" s="147">
        <v>0</v>
      </c>
      <c r="T26" s="147">
        <f t="shared" si="0"/>
        <v>27</v>
      </c>
      <c r="U26" s="147"/>
      <c r="V26" s="147">
        <f t="shared" si="1"/>
        <v>27</v>
      </c>
      <c r="W26" s="19">
        <f t="shared" si="2"/>
        <v>10.5</v>
      </c>
      <c r="X26" s="167">
        <f t="shared" si="3"/>
        <v>10.5</v>
      </c>
      <c r="Y26" s="167">
        <f t="shared" si="4"/>
        <v>10.5</v>
      </c>
      <c r="Z26" s="185">
        <f>SUMIFS(meghsteelsales_previousmonth[Quantity],meghsteelsales_previousmonth[Length Bucket],O26)/1000</f>
        <v>63.302988000000028</v>
      </c>
      <c r="AA26" s="185">
        <f>SUMIFS(meghsteelsales_currentmonth[Quantity],meghsteelsales_currentmonth[Length Bucket],O26)/1000</f>
        <v>0</v>
      </c>
      <c r="AB26" s="185" t="str">
        <f t="shared" si="5"/>
        <v/>
      </c>
    </row>
    <row r="27" spans="1:28" x14ac:dyDescent="0.25">
      <c r="A27" s="147" t="s">
        <v>10</v>
      </c>
      <c r="B27" s="147" t="s">
        <v>116</v>
      </c>
      <c r="C27" s="153" t="s">
        <v>338</v>
      </c>
      <c r="D27" s="147" t="s">
        <v>339</v>
      </c>
      <c r="E27" s="147" t="s">
        <v>340</v>
      </c>
      <c r="F27" s="148">
        <v>25.4</v>
      </c>
      <c r="G27" s="148"/>
      <c r="H27" s="148">
        <v>2</v>
      </c>
      <c r="I27" s="147">
        <v>5840</v>
      </c>
      <c r="J27" s="147">
        <v>5.82</v>
      </c>
      <c r="K27" s="147" t="s">
        <v>6173</v>
      </c>
      <c r="L27" s="151" t="s">
        <v>367</v>
      </c>
      <c r="M27" s="149">
        <v>3240023</v>
      </c>
      <c r="N27" s="150" t="s">
        <v>1008</v>
      </c>
      <c r="O27" s="150" t="s">
        <v>6174</v>
      </c>
      <c r="P27" s="19">
        <v>10</v>
      </c>
      <c r="Q27" s="147">
        <v>3</v>
      </c>
      <c r="R27" s="147">
        <v>0</v>
      </c>
      <c r="S27" s="147">
        <v>0</v>
      </c>
      <c r="T27" s="147">
        <f t="shared" si="0"/>
        <v>-3</v>
      </c>
      <c r="U27" s="147"/>
      <c r="V27" s="147">
        <f t="shared" si="1"/>
        <v>-3</v>
      </c>
      <c r="W27" s="19">
        <f t="shared" si="2"/>
        <v>18</v>
      </c>
      <c r="X27" s="167">
        <f t="shared" si="3"/>
        <v>18</v>
      </c>
      <c r="Y27" s="167">
        <f t="shared" si="4"/>
        <v>18</v>
      </c>
      <c r="Z27" s="185">
        <f>SUMIFS(meghsteelsales_previousmonth[Quantity],meghsteelsales_previousmonth[Length Bucket],O27)/1000</f>
        <v>46.943582000000006</v>
      </c>
      <c r="AA27" s="185">
        <f>SUMIFS(meghsteelsales_currentmonth[Quantity],meghsteelsales_currentmonth[Length Bucket],O27)/1000</f>
        <v>0</v>
      </c>
      <c r="AB27" s="185" t="str">
        <f t="shared" si="5"/>
        <v/>
      </c>
    </row>
    <row r="28" spans="1:28" x14ac:dyDescent="0.25">
      <c r="A28" s="147" t="s">
        <v>10</v>
      </c>
      <c r="B28" s="147" t="s">
        <v>116</v>
      </c>
      <c r="C28" s="153" t="s">
        <v>338</v>
      </c>
      <c r="D28" s="147" t="s">
        <v>339</v>
      </c>
      <c r="E28" s="147" t="s">
        <v>340</v>
      </c>
      <c r="F28" s="148">
        <v>25.4</v>
      </c>
      <c r="G28" s="148"/>
      <c r="H28" s="148">
        <v>2.5</v>
      </c>
      <c r="I28" s="147">
        <v>5530</v>
      </c>
      <c r="J28" s="147">
        <v>5.53</v>
      </c>
      <c r="K28" s="147" t="s">
        <v>1102</v>
      </c>
      <c r="L28" s="151" t="s">
        <v>367</v>
      </c>
      <c r="M28" s="150">
        <v>3502256</v>
      </c>
      <c r="N28" s="150" t="s">
        <v>2222</v>
      </c>
      <c r="O28" s="150" t="s">
        <v>6175</v>
      </c>
      <c r="P28" s="19">
        <v>50</v>
      </c>
      <c r="Q28" s="147">
        <v>10</v>
      </c>
      <c r="R28" s="147">
        <v>10</v>
      </c>
      <c r="S28" s="147">
        <v>0</v>
      </c>
      <c r="T28" s="147">
        <f t="shared" si="0"/>
        <v>0</v>
      </c>
      <c r="U28" s="147">
        <v>17</v>
      </c>
      <c r="V28" s="147">
        <f t="shared" si="1"/>
        <v>17</v>
      </c>
      <c r="W28" s="19">
        <f t="shared" si="2"/>
        <v>58</v>
      </c>
      <c r="X28" s="167">
        <f t="shared" si="3"/>
        <v>58</v>
      </c>
      <c r="Y28" s="167">
        <f t="shared" si="4"/>
        <v>75</v>
      </c>
      <c r="Z28" s="185">
        <f>SUMIFS(meghsteelsales_previousmonth[Quantity],meghsteelsales_previousmonth[Length Bucket],O28)/1000</f>
        <v>105.75507600000003</v>
      </c>
      <c r="AA28" s="185">
        <f>SUMIFS(meghsteelsales_currentmonth[Quantity],meghsteelsales_currentmonth[Length Bucket],O28)/1000</f>
        <v>37.814835000000002</v>
      </c>
      <c r="AB28" s="185" t="str">
        <f t="shared" si="5"/>
        <v/>
      </c>
    </row>
    <row r="29" spans="1:28" x14ac:dyDescent="0.25">
      <c r="A29" s="147" t="s">
        <v>5</v>
      </c>
      <c r="B29" s="147" t="s">
        <v>369</v>
      </c>
      <c r="C29" s="155" t="s">
        <v>356</v>
      </c>
      <c r="D29" s="147" t="s">
        <v>348</v>
      </c>
      <c r="E29" s="147" t="s">
        <v>357</v>
      </c>
      <c r="F29" s="154">
        <v>25.4</v>
      </c>
      <c r="G29" s="154"/>
      <c r="H29" s="154">
        <v>2.6</v>
      </c>
      <c r="I29" s="155">
        <v>6000</v>
      </c>
      <c r="J29" s="147">
        <v>6</v>
      </c>
      <c r="K29" s="147" t="s">
        <v>6176</v>
      </c>
      <c r="L29" s="151" t="s">
        <v>367</v>
      </c>
      <c r="M29" s="150">
        <v>3441355</v>
      </c>
      <c r="N29" s="150" t="s">
        <v>6154</v>
      </c>
      <c r="O29" s="150" t="s">
        <v>6154</v>
      </c>
      <c r="P29" s="19">
        <v>0</v>
      </c>
      <c r="Q29" s="147">
        <v>0</v>
      </c>
      <c r="R29" s="147">
        <v>2.5</v>
      </c>
      <c r="S29" s="147">
        <v>0</v>
      </c>
      <c r="T29" s="147">
        <f t="shared" si="0"/>
        <v>2.5</v>
      </c>
      <c r="U29" s="147"/>
      <c r="V29" s="147">
        <f t="shared" si="1"/>
        <v>2.5</v>
      </c>
      <c r="W29" s="19">
        <f t="shared" si="2"/>
        <v>-2.5</v>
      </c>
      <c r="X29" s="167">
        <f t="shared" si="3"/>
        <v>0</v>
      </c>
      <c r="Y29" s="167">
        <f t="shared" si="4"/>
        <v>0</v>
      </c>
      <c r="Z29" s="185">
        <f>SUMIFS(meghsteelsales_previousmonth[Quantity],meghsteelsales_previousmonth[Length Bucket],O29)/1000</f>
        <v>0</v>
      </c>
      <c r="AA29" s="185">
        <f>SUMIFS(meghsteelsales_currentmonth[Quantity],meghsteelsales_currentmonth[Length Bucket],O29)/1000</f>
        <v>0</v>
      </c>
      <c r="AB29" s="185" t="str">
        <f t="shared" si="5"/>
        <v/>
      </c>
    </row>
    <row r="30" spans="1:28" x14ac:dyDescent="0.25">
      <c r="A30" s="147" t="s">
        <v>10</v>
      </c>
      <c r="B30" s="147" t="s">
        <v>116</v>
      </c>
      <c r="C30" s="155" t="s">
        <v>356</v>
      </c>
      <c r="D30" s="147" t="s">
        <v>348</v>
      </c>
      <c r="E30" s="147" t="s">
        <v>357</v>
      </c>
      <c r="F30" s="154">
        <v>25.4</v>
      </c>
      <c r="G30" s="154"/>
      <c r="H30" s="154">
        <v>4</v>
      </c>
      <c r="I30" s="155">
        <v>6000</v>
      </c>
      <c r="J30" s="147">
        <v>6</v>
      </c>
      <c r="K30" s="147" t="s">
        <v>6177</v>
      </c>
      <c r="L30" s="151" t="s">
        <v>367</v>
      </c>
      <c r="M30" s="150">
        <v>2432009</v>
      </c>
      <c r="N30" s="150" t="s">
        <v>6154</v>
      </c>
      <c r="O30" s="150" t="s">
        <v>6154</v>
      </c>
      <c r="P30" s="19">
        <v>0</v>
      </c>
      <c r="Q30" s="147">
        <v>0</v>
      </c>
      <c r="R30" s="147">
        <v>0</v>
      </c>
      <c r="S30" s="147">
        <v>0</v>
      </c>
      <c r="T30" s="147">
        <f t="shared" si="0"/>
        <v>0</v>
      </c>
      <c r="U30" s="147"/>
      <c r="V30" s="147">
        <f t="shared" si="1"/>
        <v>0</v>
      </c>
      <c r="W30" s="19">
        <f t="shared" si="2"/>
        <v>0</v>
      </c>
      <c r="X30" s="167">
        <f t="shared" si="3"/>
        <v>0</v>
      </c>
      <c r="Y30" s="167">
        <f t="shared" si="4"/>
        <v>0</v>
      </c>
      <c r="Z30" s="185">
        <f>SUMIFS(meghsteelsales_previousmonth[Quantity],meghsteelsales_previousmonth[Length Bucket],O30)/1000</f>
        <v>0</v>
      </c>
      <c r="AA30" s="185">
        <f>SUMIFS(meghsteelsales_currentmonth[Quantity],meghsteelsales_currentmonth[Length Bucket],O30)/1000</f>
        <v>0</v>
      </c>
      <c r="AB30" s="185" t="str">
        <f t="shared" si="5"/>
        <v/>
      </c>
    </row>
    <row r="31" spans="1:28" x14ac:dyDescent="0.25">
      <c r="A31" s="147" t="s">
        <v>10</v>
      </c>
      <c r="B31" s="147" t="s">
        <v>346</v>
      </c>
      <c r="C31" s="153" t="s">
        <v>338</v>
      </c>
      <c r="D31" s="147" t="s">
        <v>348</v>
      </c>
      <c r="E31" s="147" t="s">
        <v>340</v>
      </c>
      <c r="F31" s="148">
        <v>28.6</v>
      </c>
      <c r="G31" s="148"/>
      <c r="H31" s="148">
        <v>1.2</v>
      </c>
      <c r="I31" s="147">
        <v>6000</v>
      </c>
      <c r="J31" s="147">
        <v>6</v>
      </c>
      <c r="K31" s="147" t="s">
        <v>1103</v>
      </c>
      <c r="L31" s="158" t="s">
        <v>345</v>
      </c>
      <c r="M31" s="150">
        <v>1940616</v>
      </c>
      <c r="N31" s="150" t="e">
        <v>#N/A</v>
      </c>
      <c r="O31" s="150" t="e">
        <v>#N/A</v>
      </c>
      <c r="P31" s="19">
        <v>3</v>
      </c>
      <c r="Q31" s="147">
        <v>0</v>
      </c>
      <c r="R31" s="147">
        <v>0</v>
      </c>
      <c r="S31" s="147">
        <v>0</v>
      </c>
      <c r="T31" s="147">
        <f t="shared" si="0"/>
        <v>0</v>
      </c>
      <c r="U31" s="147"/>
      <c r="V31" s="147">
        <f t="shared" si="1"/>
        <v>0</v>
      </c>
      <c r="W31" s="19">
        <f t="shared" si="2"/>
        <v>4.5</v>
      </c>
      <c r="X31" s="167">
        <f t="shared" si="3"/>
        <v>4.5</v>
      </c>
      <c r="Y31" s="167">
        <f t="shared" si="4"/>
        <v>4.5</v>
      </c>
      <c r="Z31" s="185">
        <f>SUMIFS(meghsteelsales_previousmonth[Quantity],meghsteelsales_previousmonth[Length Bucket],O31)/1000</f>
        <v>0</v>
      </c>
      <c r="AA31" s="185">
        <f>SUMIFS(meghsteelsales_currentmonth[Quantity],meghsteelsales_currentmonth[Length Bucket],O31)/1000</f>
        <v>0</v>
      </c>
      <c r="AB31" s="185">
        <f t="shared" si="5"/>
        <v>-4.5</v>
      </c>
    </row>
    <row r="32" spans="1:28" x14ac:dyDescent="0.25">
      <c r="A32" s="147" t="s">
        <v>10</v>
      </c>
      <c r="B32" s="147" t="s">
        <v>116</v>
      </c>
      <c r="C32" s="159" t="s">
        <v>356</v>
      </c>
      <c r="D32" s="147" t="s">
        <v>348</v>
      </c>
      <c r="E32" s="147" t="s">
        <v>357</v>
      </c>
      <c r="F32" s="168">
        <v>28.6</v>
      </c>
      <c r="G32" s="168"/>
      <c r="H32" s="168">
        <v>2.65</v>
      </c>
      <c r="I32" s="169">
        <v>6000</v>
      </c>
      <c r="J32" s="147">
        <v>6</v>
      </c>
      <c r="K32" s="147" t="s">
        <v>1104</v>
      </c>
      <c r="L32" s="151" t="s">
        <v>362</v>
      </c>
      <c r="M32" s="150">
        <v>2410388</v>
      </c>
      <c r="N32" s="150" t="s">
        <v>6154</v>
      </c>
      <c r="O32" s="150" t="s">
        <v>6154</v>
      </c>
      <c r="P32" s="19">
        <v>10</v>
      </c>
      <c r="Q32" s="147">
        <v>0</v>
      </c>
      <c r="R32" s="147">
        <v>32</v>
      </c>
      <c r="S32" s="147">
        <v>0</v>
      </c>
      <c r="T32" s="147">
        <f t="shared" si="0"/>
        <v>32</v>
      </c>
      <c r="U32" s="147">
        <v>7</v>
      </c>
      <c r="V32" s="147">
        <f t="shared" si="1"/>
        <v>39</v>
      </c>
      <c r="W32" s="19">
        <f t="shared" si="2"/>
        <v>-24</v>
      </c>
      <c r="X32" s="167">
        <f t="shared" si="3"/>
        <v>0</v>
      </c>
      <c r="Y32" s="167">
        <f t="shared" si="4"/>
        <v>7</v>
      </c>
      <c r="Z32" s="185">
        <f>SUMIFS(meghsteelsales_previousmonth[Quantity],meghsteelsales_previousmonth[Length Bucket],O32)/1000</f>
        <v>0</v>
      </c>
      <c r="AA32" s="185">
        <f>SUMIFS(meghsteelsales_currentmonth[Quantity],meghsteelsales_currentmonth[Length Bucket],O32)/1000</f>
        <v>0</v>
      </c>
      <c r="AB32" s="185">
        <f t="shared" si="5"/>
        <v>-7</v>
      </c>
    </row>
    <row r="33" spans="1:28" x14ac:dyDescent="0.25">
      <c r="A33" s="147" t="s">
        <v>10</v>
      </c>
      <c r="B33" s="147" t="s">
        <v>346</v>
      </c>
      <c r="C33" s="153" t="s">
        <v>338</v>
      </c>
      <c r="D33" s="147" t="s">
        <v>348</v>
      </c>
      <c r="E33" s="147" t="s">
        <v>340</v>
      </c>
      <c r="F33" s="148">
        <v>31.75</v>
      </c>
      <c r="G33" s="148"/>
      <c r="H33" s="148">
        <v>1.2</v>
      </c>
      <c r="I33" s="147">
        <v>6000</v>
      </c>
      <c r="J33" s="147">
        <v>6</v>
      </c>
      <c r="K33" s="147" t="s">
        <v>1105</v>
      </c>
      <c r="L33" s="151" t="s">
        <v>367</v>
      </c>
      <c r="M33" s="150">
        <v>3884381</v>
      </c>
      <c r="N33" s="150" t="s">
        <v>832</v>
      </c>
      <c r="O33" s="150" t="s">
        <v>6178</v>
      </c>
      <c r="P33" s="19">
        <v>3</v>
      </c>
      <c r="Q33" s="147">
        <v>0</v>
      </c>
      <c r="R33" s="147">
        <v>0</v>
      </c>
      <c r="S33" s="147">
        <v>0</v>
      </c>
      <c r="T33" s="147">
        <f t="shared" si="0"/>
        <v>0</v>
      </c>
      <c r="U33" s="147">
        <v>1.5</v>
      </c>
      <c r="V33" s="147">
        <f t="shared" si="1"/>
        <v>1.5</v>
      </c>
      <c r="W33" s="19">
        <f t="shared" si="2"/>
        <v>3</v>
      </c>
      <c r="X33" s="167">
        <f t="shared" si="3"/>
        <v>3</v>
      </c>
      <c r="Y33" s="167">
        <f t="shared" si="4"/>
        <v>4.5</v>
      </c>
      <c r="Z33" s="185">
        <f>SUMIFS(meghsteelsales_previousmonth[Quantity],meghsteelsales_previousmonth[Length Bucket],O33)/1000</f>
        <v>0</v>
      </c>
      <c r="AA33" s="185">
        <f>SUMIFS(meghsteelsales_currentmonth[Quantity],meghsteelsales_currentmonth[Length Bucket],O33)/1000</f>
        <v>0</v>
      </c>
      <c r="AB33" s="185">
        <f t="shared" si="5"/>
        <v>-4.5</v>
      </c>
    </row>
    <row r="34" spans="1:28" x14ac:dyDescent="0.25">
      <c r="A34" s="147" t="s">
        <v>10</v>
      </c>
      <c r="B34" s="147" t="s">
        <v>116</v>
      </c>
      <c r="C34" s="153" t="s">
        <v>338</v>
      </c>
      <c r="D34" s="147" t="s">
        <v>348</v>
      </c>
      <c r="E34" s="147" t="s">
        <v>340</v>
      </c>
      <c r="F34" s="148">
        <v>31.75</v>
      </c>
      <c r="G34" s="148"/>
      <c r="H34" s="148">
        <v>2.2999999999999998</v>
      </c>
      <c r="I34" s="147">
        <v>6000</v>
      </c>
      <c r="J34" s="147">
        <v>6</v>
      </c>
      <c r="K34" s="147" t="s">
        <v>6179</v>
      </c>
      <c r="L34" s="151" t="s">
        <v>367</v>
      </c>
      <c r="M34" s="150">
        <v>3500081</v>
      </c>
      <c r="N34" s="150" t="s">
        <v>6180</v>
      </c>
      <c r="O34" s="150" t="s">
        <v>6181</v>
      </c>
      <c r="P34" s="19">
        <v>13</v>
      </c>
      <c r="Q34" s="147">
        <v>5</v>
      </c>
      <c r="R34" s="147">
        <v>12</v>
      </c>
      <c r="S34" s="147">
        <v>0</v>
      </c>
      <c r="T34" s="147">
        <f t="shared" si="0"/>
        <v>7</v>
      </c>
      <c r="U34" s="147"/>
      <c r="V34" s="147">
        <f t="shared" si="1"/>
        <v>7</v>
      </c>
      <c r="W34" s="19">
        <f t="shared" si="2"/>
        <v>12.5</v>
      </c>
      <c r="X34" s="167">
        <f t="shared" si="3"/>
        <v>12.5</v>
      </c>
      <c r="Y34" s="167">
        <f t="shared" si="4"/>
        <v>12.5</v>
      </c>
      <c r="Z34" s="185">
        <f>SUMIFS(meghsteelsales_previousmonth[Quantity],meghsteelsales_previousmonth[Length Bucket],O34)/1000</f>
        <v>0</v>
      </c>
      <c r="AA34" s="185">
        <f>SUMIFS(meghsteelsales_currentmonth[Quantity],meghsteelsales_currentmonth[Length Bucket],O34)/1000</f>
        <v>0</v>
      </c>
      <c r="AB34" s="185">
        <f t="shared" si="5"/>
        <v>-12.5</v>
      </c>
    </row>
    <row r="35" spans="1:28" x14ac:dyDescent="0.25">
      <c r="A35" s="147"/>
      <c r="B35" s="147"/>
      <c r="C35" s="153" t="s">
        <v>338</v>
      </c>
      <c r="D35" s="147" t="s">
        <v>348</v>
      </c>
      <c r="E35" s="147" t="s">
        <v>340</v>
      </c>
      <c r="F35" s="148">
        <v>31.75</v>
      </c>
      <c r="G35" s="148"/>
      <c r="H35" s="148">
        <v>3.65</v>
      </c>
      <c r="I35" s="147">
        <v>6000</v>
      </c>
      <c r="J35" s="147">
        <v>6</v>
      </c>
      <c r="K35" s="147" t="s">
        <v>6182</v>
      </c>
      <c r="L35" s="158" t="s">
        <v>345</v>
      </c>
      <c r="M35" s="150">
        <v>3702203</v>
      </c>
      <c r="N35" s="150" t="s">
        <v>6183</v>
      </c>
      <c r="O35" s="150" t="s">
        <v>6184</v>
      </c>
      <c r="P35" s="19"/>
      <c r="Q35" s="147"/>
      <c r="R35" s="147"/>
      <c r="S35" s="147"/>
      <c r="T35" s="147"/>
      <c r="U35" s="147"/>
      <c r="V35" s="147"/>
      <c r="W35" s="19"/>
      <c r="X35" s="167"/>
      <c r="Y35" s="167"/>
      <c r="Z35" s="185"/>
      <c r="AA35" s="185">
        <f>SUMIFS(meghsteelsales_currentmonth[Quantity],meghsteelsales_currentmonth[Length Bucket],O35)/1000</f>
        <v>0</v>
      </c>
      <c r="AB35" s="185" t="str">
        <f t="shared" si="5"/>
        <v/>
      </c>
    </row>
    <row r="36" spans="1:28" x14ac:dyDescent="0.25">
      <c r="A36" s="147">
        <v>0</v>
      </c>
      <c r="B36" s="147" t="s">
        <v>346</v>
      </c>
      <c r="C36" s="153" t="s">
        <v>338</v>
      </c>
      <c r="D36" s="147" t="s">
        <v>348</v>
      </c>
      <c r="E36" s="147" t="s">
        <v>340</v>
      </c>
      <c r="F36" s="148">
        <v>34.93</v>
      </c>
      <c r="G36" s="148"/>
      <c r="H36" s="148">
        <v>1.2</v>
      </c>
      <c r="I36" s="147">
        <v>6000</v>
      </c>
      <c r="J36" s="147">
        <v>6</v>
      </c>
      <c r="K36" s="147" t="s">
        <v>1106</v>
      </c>
      <c r="L36" s="149"/>
      <c r="M36" s="150">
        <v>1940701</v>
      </c>
      <c r="N36" s="150" t="s">
        <v>6154</v>
      </c>
      <c r="O36" s="150" t="s">
        <v>6154</v>
      </c>
      <c r="P36" s="19">
        <v>3</v>
      </c>
      <c r="Q36" s="147">
        <v>1</v>
      </c>
      <c r="R36" s="147">
        <v>16</v>
      </c>
      <c r="S36" s="147">
        <v>0</v>
      </c>
      <c r="T36" s="147">
        <f t="shared" si="0"/>
        <v>15</v>
      </c>
      <c r="U36" s="147"/>
      <c r="V36" s="147">
        <f t="shared" si="1"/>
        <v>15</v>
      </c>
      <c r="W36" s="19">
        <f t="shared" si="2"/>
        <v>-10.5</v>
      </c>
      <c r="X36" s="167">
        <f t="shared" si="3"/>
        <v>0</v>
      </c>
      <c r="Y36" s="167">
        <f t="shared" si="4"/>
        <v>0</v>
      </c>
      <c r="Z36" s="185">
        <f>SUMIFS(meghsteelsales_previousmonth[Quantity],meghsteelsales_previousmonth[Length Bucket],O36)/1000</f>
        <v>0</v>
      </c>
      <c r="AA36" s="185">
        <f>SUMIFS(meghsteelsales_currentmonth[Quantity],meghsteelsales_currentmonth[Length Bucket],O36)/1000</f>
        <v>0</v>
      </c>
      <c r="AB36" s="185" t="str">
        <f t="shared" si="5"/>
        <v/>
      </c>
    </row>
    <row r="37" spans="1:28" x14ac:dyDescent="0.25">
      <c r="A37" s="147" t="s">
        <v>5</v>
      </c>
      <c r="B37" s="147" t="s">
        <v>358</v>
      </c>
      <c r="C37" s="153" t="s">
        <v>338</v>
      </c>
      <c r="D37" s="147" t="s">
        <v>348</v>
      </c>
      <c r="E37" s="147" t="s">
        <v>340</v>
      </c>
      <c r="F37" s="148">
        <v>34.93</v>
      </c>
      <c r="G37" s="148"/>
      <c r="H37" s="148">
        <v>1.2</v>
      </c>
      <c r="I37" s="147">
        <v>620</v>
      </c>
      <c r="J37" s="147">
        <v>0.62</v>
      </c>
      <c r="K37" s="147"/>
      <c r="L37" s="151" t="s">
        <v>345</v>
      </c>
      <c r="M37" s="150">
        <v>2397073</v>
      </c>
      <c r="N37" s="150" t="s">
        <v>1034</v>
      </c>
      <c r="O37" s="150" t="s">
        <v>6185</v>
      </c>
      <c r="P37" s="19">
        <v>10</v>
      </c>
      <c r="Q37" s="147">
        <v>0</v>
      </c>
      <c r="R37" s="147">
        <v>0</v>
      </c>
      <c r="S37" s="147">
        <v>0</v>
      </c>
      <c r="T37" s="147">
        <f t="shared" si="0"/>
        <v>0</v>
      </c>
      <c r="U37" s="147"/>
      <c r="V37" s="147">
        <f t="shared" si="1"/>
        <v>0</v>
      </c>
      <c r="W37" s="19">
        <f t="shared" si="2"/>
        <v>15</v>
      </c>
      <c r="X37" s="167">
        <f t="shared" si="3"/>
        <v>15</v>
      </c>
      <c r="Y37" s="167">
        <f t="shared" si="4"/>
        <v>15</v>
      </c>
      <c r="Z37" s="185">
        <f>SUMIFS(meghsteelsales_previousmonth[Quantity],meghsteelsales_previousmonth[Length Bucket],O37)/1000</f>
        <v>0</v>
      </c>
      <c r="AA37" s="185">
        <f>SUMIFS(meghsteelsales_currentmonth[Quantity],meghsteelsales_currentmonth[Length Bucket],O37)/1000</f>
        <v>3.1</v>
      </c>
      <c r="AB37" s="185">
        <f t="shared" si="5"/>
        <v>-11.9</v>
      </c>
    </row>
    <row r="38" spans="1:28" x14ac:dyDescent="0.25">
      <c r="A38" s="147" t="s">
        <v>5</v>
      </c>
      <c r="B38" s="147" t="s">
        <v>359</v>
      </c>
      <c r="C38" s="153" t="s">
        <v>338</v>
      </c>
      <c r="D38" s="147" t="s">
        <v>348</v>
      </c>
      <c r="E38" s="147" t="s">
        <v>340</v>
      </c>
      <c r="F38" s="148">
        <v>34.93</v>
      </c>
      <c r="G38" s="148"/>
      <c r="H38" s="148">
        <v>1.2</v>
      </c>
      <c r="I38" s="147">
        <v>700</v>
      </c>
      <c r="J38" s="147">
        <v>0.7</v>
      </c>
      <c r="K38" s="147"/>
      <c r="L38" s="151" t="s">
        <v>345</v>
      </c>
      <c r="M38" s="150">
        <v>3649699</v>
      </c>
      <c r="N38" s="150" t="s">
        <v>1034</v>
      </c>
      <c r="O38" s="150" t="s">
        <v>4610</v>
      </c>
      <c r="P38" s="19">
        <v>8</v>
      </c>
      <c r="Q38" s="147">
        <v>0</v>
      </c>
      <c r="R38" s="147">
        <v>0</v>
      </c>
      <c r="S38" s="147">
        <v>0</v>
      </c>
      <c r="T38" s="147">
        <f t="shared" si="0"/>
        <v>0</v>
      </c>
      <c r="U38" s="147"/>
      <c r="V38" s="147">
        <f t="shared" si="1"/>
        <v>0</v>
      </c>
      <c r="W38" s="19">
        <f t="shared" si="2"/>
        <v>12</v>
      </c>
      <c r="X38" s="167">
        <f t="shared" si="3"/>
        <v>12</v>
      </c>
      <c r="Y38" s="167">
        <f t="shared" si="4"/>
        <v>12</v>
      </c>
      <c r="Z38" s="185">
        <f>SUMIFS(meghsteelsales_previousmonth[Quantity],meghsteelsales_previousmonth[Length Bucket],O38)/1000</f>
        <v>0</v>
      </c>
      <c r="AA38" s="185">
        <f>SUMIFS(meghsteelsales_currentmonth[Quantity],meghsteelsales_currentmonth[Length Bucket],O38)/1000</f>
        <v>0</v>
      </c>
      <c r="AB38" s="185">
        <f t="shared" si="5"/>
        <v>-12</v>
      </c>
    </row>
    <row r="39" spans="1:28" x14ac:dyDescent="0.25">
      <c r="A39" s="147" t="s">
        <v>341</v>
      </c>
      <c r="B39" s="147" t="s">
        <v>342</v>
      </c>
      <c r="C39" s="155" t="s">
        <v>344</v>
      </c>
      <c r="D39" s="147" t="s">
        <v>348</v>
      </c>
      <c r="E39" s="147" t="s">
        <v>340</v>
      </c>
      <c r="F39" s="154">
        <v>34</v>
      </c>
      <c r="G39" s="154"/>
      <c r="H39" s="154">
        <v>1.4</v>
      </c>
      <c r="I39" s="155">
        <v>5660</v>
      </c>
      <c r="J39" s="147">
        <v>5.66</v>
      </c>
      <c r="K39" s="147" t="s">
        <v>1107</v>
      </c>
      <c r="L39" s="151" t="s">
        <v>362</v>
      </c>
      <c r="M39" s="150">
        <v>3702855</v>
      </c>
      <c r="N39" s="150" t="s">
        <v>6154</v>
      </c>
      <c r="O39" s="150" t="s">
        <v>6154</v>
      </c>
      <c r="P39" s="19">
        <v>0</v>
      </c>
      <c r="Q39" s="147">
        <v>0</v>
      </c>
      <c r="R39" s="147">
        <v>0</v>
      </c>
      <c r="S39" s="147">
        <v>0</v>
      </c>
      <c r="T39" s="147">
        <f t="shared" si="0"/>
        <v>0</v>
      </c>
      <c r="U39" s="147">
        <v>7.5</v>
      </c>
      <c r="V39" s="147">
        <f t="shared" si="1"/>
        <v>7.5</v>
      </c>
      <c r="W39" s="19">
        <f t="shared" si="2"/>
        <v>-7.5</v>
      </c>
      <c r="X39" s="167">
        <f t="shared" si="3"/>
        <v>0</v>
      </c>
      <c r="Y39" s="167">
        <f t="shared" si="4"/>
        <v>7.5</v>
      </c>
      <c r="Z39" s="185">
        <f>SUMIFS(meghsteelsales_previousmonth[Quantity],meghsteelsales_previousmonth[Length Bucket],O39)/1000</f>
        <v>0</v>
      </c>
      <c r="AA39" s="185">
        <f>SUMIFS(meghsteelsales_currentmonth[Quantity],meghsteelsales_currentmonth[Length Bucket],O39)/1000</f>
        <v>0</v>
      </c>
      <c r="AB39" s="185">
        <f t="shared" si="5"/>
        <v>-7.5</v>
      </c>
    </row>
    <row r="40" spans="1:28" x14ac:dyDescent="0.25">
      <c r="A40" s="147" t="s">
        <v>10</v>
      </c>
      <c r="B40" s="147" t="s">
        <v>346</v>
      </c>
      <c r="C40" s="153" t="s">
        <v>360</v>
      </c>
      <c r="D40" s="147" t="s">
        <v>348</v>
      </c>
      <c r="E40" s="147" t="s">
        <v>349</v>
      </c>
      <c r="F40" s="148">
        <v>38.1</v>
      </c>
      <c r="G40" s="148"/>
      <c r="H40" s="148">
        <v>1.6</v>
      </c>
      <c r="I40" s="147">
        <v>6190</v>
      </c>
      <c r="J40" s="147">
        <v>6.19</v>
      </c>
      <c r="K40" s="147" t="s">
        <v>1108</v>
      </c>
      <c r="L40" s="151" t="s">
        <v>367</v>
      </c>
      <c r="M40" s="150">
        <v>3502254</v>
      </c>
      <c r="N40" s="150" t="s">
        <v>1043</v>
      </c>
      <c r="O40" s="150" t="s">
        <v>6186</v>
      </c>
      <c r="P40" s="19">
        <v>40</v>
      </c>
      <c r="Q40" s="147">
        <v>15</v>
      </c>
      <c r="R40" s="147">
        <v>20</v>
      </c>
      <c r="S40" s="147">
        <v>0</v>
      </c>
      <c r="T40" s="147">
        <f t="shared" si="0"/>
        <v>5</v>
      </c>
      <c r="U40" s="147">
        <v>25</v>
      </c>
      <c r="V40" s="147">
        <f t="shared" si="1"/>
        <v>30</v>
      </c>
      <c r="W40" s="19">
        <f t="shared" si="2"/>
        <v>30</v>
      </c>
      <c r="X40" s="167">
        <f t="shared" si="3"/>
        <v>30</v>
      </c>
      <c r="Y40" s="167">
        <f t="shared" si="4"/>
        <v>55</v>
      </c>
      <c r="Z40" s="185">
        <f>SUMIFS(meghsteelsales_previousmonth[Quantity],meghsteelsales_previousmonth[Length Bucket],O40)/1000</f>
        <v>45.849845000000002</v>
      </c>
      <c r="AA40" s="185">
        <f>SUMIFS(meghsteelsales_currentmonth[Quantity],meghsteelsales_currentmonth[Length Bucket],O40)/1000</f>
        <v>15.52</v>
      </c>
      <c r="AB40" s="185" t="str">
        <f t="shared" si="5"/>
        <v/>
      </c>
    </row>
    <row r="41" spans="1:28" x14ac:dyDescent="0.25">
      <c r="A41" s="147" t="s">
        <v>10</v>
      </c>
      <c r="B41" s="147" t="s">
        <v>346</v>
      </c>
      <c r="C41" s="153" t="s">
        <v>338</v>
      </c>
      <c r="D41" s="147" t="s">
        <v>348</v>
      </c>
      <c r="E41" s="147" t="s">
        <v>340</v>
      </c>
      <c r="F41" s="148">
        <v>38.1</v>
      </c>
      <c r="G41" s="148"/>
      <c r="H41" s="148">
        <v>2</v>
      </c>
      <c r="I41" s="147">
        <v>5650</v>
      </c>
      <c r="J41" s="147">
        <v>5.65</v>
      </c>
      <c r="K41" s="147" t="s">
        <v>1109</v>
      </c>
      <c r="L41" s="151" t="s">
        <v>367</v>
      </c>
      <c r="M41" s="150">
        <v>3500959</v>
      </c>
      <c r="N41" s="150" t="s">
        <v>860</v>
      </c>
      <c r="O41" s="150" t="s">
        <v>6187</v>
      </c>
      <c r="P41" s="19">
        <v>25</v>
      </c>
      <c r="Q41" s="147">
        <v>5</v>
      </c>
      <c r="R41" s="147">
        <v>23</v>
      </c>
      <c r="S41" s="147">
        <v>0</v>
      </c>
      <c r="T41" s="147">
        <f t="shared" si="0"/>
        <v>18</v>
      </c>
      <c r="U41" s="147">
        <v>9</v>
      </c>
      <c r="V41" s="147">
        <f t="shared" si="1"/>
        <v>27</v>
      </c>
      <c r="W41" s="19">
        <f t="shared" si="2"/>
        <v>10.5</v>
      </c>
      <c r="X41" s="167">
        <f t="shared" si="3"/>
        <v>10.5</v>
      </c>
      <c r="Y41" s="167">
        <f t="shared" si="4"/>
        <v>19.5</v>
      </c>
      <c r="Z41" s="185">
        <f>SUMIFS(meghsteelsales_previousmonth[Quantity],meghsteelsales_previousmonth[Length Bucket],O41)/1000</f>
        <v>3.6047469999999997</v>
      </c>
      <c r="AA41" s="185">
        <f>SUMIFS(meghsteelsales_currentmonth[Quantity],meghsteelsales_currentmonth[Length Bucket],O41)/1000</f>
        <v>0</v>
      </c>
      <c r="AB41" s="185">
        <f t="shared" si="5"/>
        <v>-15.895253</v>
      </c>
    </row>
    <row r="42" spans="1:28" x14ac:dyDescent="0.25">
      <c r="A42" s="147" t="s">
        <v>10</v>
      </c>
      <c r="B42" s="147" t="s">
        <v>346</v>
      </c>
      <c r="C42" s="153" t="s">
        <v>344</v>
      </c>
      <c r="D42" s="147" t="s">
        <v>348</v>
      </c>
      <c r="E42" s="147" t="s">
        <v>349</v>
      </c>
      <c r="F42" s="148">
        <v>38.1</v>
      </c>
      <c r="G42" s="148"/>
      <c r="H42" s="148">
        <v>2.5</v>
      </c>
      <c r="I42" s="147">
        <v>6190</v>
      </c>
      <c r="J42" s="147">
        <v>6.19</v>
      </c>
      <c r="K42" s="147" t="s">
        <v>1110</v>
      </c>
      <c r="L42" s="151" t="s">
        <v>367</v>
      </c>
      <c r="M42" s="150">
        <v>3502007</v>
      </c>
      <c r="N42" s="150" t="s">
        <v>1048</v>
      </c>
      <c r="O42" s="150" t="s">
        <v>6188</v>
      </c>
      <c r="P42" s="19">
        <v>50</v>
      </c>
      <c r="Q42" s="147">
        <v>15</v>
      </c>
      <c r="R42" s="147">
        <v>43</v>
      </c>
      <c r="S42" s="147">
        <v>0</v>
      </c>
      <c r="T42" s="147">
        <f t="shared" si="0"/>
        <v>28</v>
      </c>
      <c r="U42" s="147">
        <v>18</v>
      </c>
      <c r="V42" s="147">
        <f t="shared" si="1"/>
        <v>46</v>
      </c>
      <c r="W42" s="19">
        <f t="shared" si="2"/>
        <v>29</v>
      </c>
      <c r="X42" s="167">
        <f t="shared" si="3"/>
        <v>29</v>
      </c>
      <c r="Y42" s="167">
        <f t="shared" si="4"/>
        <v>47</v>
      </c>
      <c r="Z42" s="185">
        <f>SUMIFS(meghsteelsales_previousmonth[Quantity],meghsteelsales_previousmonth[Length Bucket],O42)/1000</f>
        <v>5.6632070000000008</v>
      </c>
      <c r="AA42" s="185">
        <f>SUMIFS(meghsteelsales_currentmonth[Quantity],meghsteelsales_currentmonth[Length Bucket],O42)/1000</f>
        <v>111.79929199999995</v>
      </c>
      <c r="AB42" s="185" t="str">
        <f t="shared" si="5"/>
        <v/>
      </c>
    </row>
    <row r="43" spans="1:28" s="171" customFormat="1" x14ac:dyDescent="0.25">
      <c r="A43" s="170" t="s">
        <v>10</v>
      </c>
      <c r="B43" s="170" t="s">
        <v>116</v>
      </c>
      <c r="C43" s="170" t="s">
        <v>338</v>
      </c>
      <c r="D43" s="147" t="s">
        <v>348</v>
      </c>
      <c r="E43" s="147" t="s">
        <v>340</v>
      </c>
      <c r="F43" s="148">
        <v>41.28</v>
      </c>
      <c r="G43" s="148"/>
      <c r="H43" s="148">
        <v>2.6</v>
      </c>
      <c r="I43" s="147">
        <v>6000</v>
      </c>
      <c r="J43" s="147">
        <v>6</v>
      </c>
      <c r="K43" s="147" t="s">
        <v>1112</v>
      </c>
      <c r="L43" s="151" t="s">
        <v>345</v>
      </c>
      <c r="M43" s="150"/>
      <c r="N43" s="150" t="s">
        <v>886</v>
      </c>
      <c r="O43" s="150" t="s">
        <v>6189</v>
      </c>
      <c r="P43" s="19">
        <v>45</v>
      </c>
      <c r="Q43" s="147">
        <v>10</v>
      </c>
      <c r="R43" s="147">
        <v>60</v>
      </c>
      <c r="S43" s="147">
        <v>0</v>
      </c>
      <c r="T43" s="147">
        <f t="shared" si="0"/>
        <v>50</v>
      </c>
      <c r="U43" s="147">
        <v>83</v>
      </c>
      <c r="V43" s="147">
        <f t="shared" si="1"/>
        <v>133</v>
      </c>
      <c r="W43" s="19">
        <f t="shared" si="2"/>
        <v>-65.5</v>
      </c>
      <c r="X43" s="167">
        <f t="shared" si="3"/>
        <v>0</v>
      </c>
      <c r="Y43" s="167">
        <f t="shared" si="4"/>
        <v>83</v>
      </c>
      <c r="Z43" s="185">
        <f>SUMIFS(meghsteelsales_previousmonth[Quantity],meghsteelsales_previousmonth[Length Bucket],O43)/1000</f>
        <v>8.67</v>
      </c>
      <c r="AA43" s="185">
        <f>SUMIFS(meghsteelsales_currentmonth[Quantity],meghsteelsales_currentmonth[Length Bucket],O43)/1000</f>
        <v>60.509999999999991</v>
      </c>
      <c r="AB43" s="185">
        <f t="shared" si="5"/>
        <v>-13.820000000000007</v>
      </c>
    </row>
    <row r="44" spans="1:28" x14ac:dyDescent="0.25">
      <c r="A44" s="147" t="s">
        <v>10</v>
      </c>
      <c r="B44" s="147" t="s">
        <v>112</v>
      </c>
      <c r="C44" s="159" t="s">
        <v>338</v>
      </c>
      <c r="D44" s="147" t="s">
        <v>348</v>
      </c>
      <c r="E44" s="147" t="s">
        <v>340</v>
      </c>
      <c r="F44" s="168" t="s">
        <v>363</v>
      </c>
      <c r="G44" s="168"/>
      <c r="H44" s="168">
        <v>1.6</v>
      </c>
      <c r="I44" s="169">
        <v>5880</v>
      </c>
      <c r="J44" s="147">
        <v>5.88</v>
      </c>
      <c r="K44" s="147"/>
      <c r="L44" s="151" t="s">
        <v>345</v>
      </c>
      <c r="M44" s="150">
        <v>3919145</v>
      </c>
      <c r="N44" s="150" t="s">
        <v>428</v>
      </c>
      <c r="O44" s="150" t="s">
        <v>6190</v>
      </c>
      <c r="P44" s="19">
        <v>6</v>
      </c>
      <c r="Q44" s="147">
        <v>3</v>
      </c>
      <c r="R44" s="147">
        <v>5</v>
      </c>
      <c r="S44" s="147">
        <v>0</v>
      </c>
      <c r="T44" s="147">
        <f t="shared" si="0"/>
        <v>2</v>
      </c>
      <c r="U44" s="147"/>
      <c r="V44" s="147">
        <f t="shared" si="1"/>
        <v>2</v>
      </c>
      <c r="W44" s="19">
        <f t="shared" si="2"/>
        <v>7</v>
      </c>
      <c r="X44" s="167">
        <f t="shared" si="3"/>
        <v>7</v>
      </c>
      <c r="Y44" s="167">
        <f t="shared" si="4"/>
        <v>7</v>
      </c>
      <c r="Z44" s="185">
        <f>SUMIFS(meghsteelsales_previousmonth[Quantity],meghsteelsales_previousmonth[Length Bucket],O44)/1000</f>
        <v>0</v>
      </c>
      <c r="AA44" s="185">
        <f>SUMIFS(meghsteelsales_currentmonth[Quantity],meghsteelsales_currentmonth[Length Bucket],O44)/1000</f>
        <v>0</v>
      </c>
      <c r="AB44" s="185">
        <f t="shared" si="5"/>
        <v>-7</v>
      </c>
    </row>
    <row r="45" spans="1:28" x14ac:dyDescent="0.25">
      <c r="A45" s="147" t="s">
        <v>10</v>
      </c>
      <c r="B45" s="147" t="s">
        <v>116</v>
      </c>
      <c r="C45" s="159" t="s">
        <v>338</v>
      </c>
      <c r="D45" s="147" t="s">
        <v>348</v>
      </c>
      <c r="E45" s="147" t="s">
        <v>340</v>
      </c>
      <c r="F45" s="168" t="s">
        <v>363</v>
      </c>
      <c r="G45" s="168"/>
      <c r="H45" s="168">
        <v>1.6</v>
      </c>
      <c r="I45" s="169">
        <v>6130</v>
      </c>
      <c r="J45" s="147">
        <v>6.13</v>
      </c>
      <c r="K45" s="147"/>
      <c r="L45" s="151" t="s">
        <v>345</v>
      </c>
      <c r="M45" s="150">
        <v>3919144</v>
      </c>
      <c r="N45" s="150" t="s">
        <v>428</v>
      </c>
      <c r="O45" s="150" t="s">
        <v>6191</v>
      </c>
      <c r="P45" s="19">
        <v>10</v>
      </c>
      <c r="Q45" s="147">
        <v>2</v>
      </c>
      <c r="R45" s="147">
        <v>13</v>
      </c>
      <c r="S45" s="147">
        <v>0</v>
      </c>
      <c r="T45" s="147">
        <f t="shared" si="0"/>
        <v>11</v>
      </c>
      <c r="U45" s="147"/>
      <c r="V45" s="147">
        <f t="shared" si="1"/>
        <v>11</v>
      </c>
      <c r="W45" s="19">
        <f t="shared" si="2"/>
        <v>4</v>
      </c>
      <c r="X45" s="167">
        <f t="shared" si="3"/>
        <v>4</v>
      </c>
      <c r="Y45" s="167">
        <f t="shared" si="4"/>
        <v>4</v>
      </c>
      <c r="Z45" s="185">
        <f>SUMIFS(meghsteelsales_previousmonth[Quantity],meghsteelsales_previousmonth[Length Bucket],O45)/1000</f>
        <v>0</v>
      </c>
      <c r="AA45" s="185">
        <f>SUMIFS(meghsteelsales_currentmonth[Quantity],meghsteelsales_currentmonth[Length Bucket],O45)/1000</f>
        <v>0</v>
      </c>
      <c r="AB45" s="185">
        <f t="shared" si="5"/>
        <v>-4</v>
      </c>
    </row>
    <row r="46" spans="1:28" x14ac:dyDescent="0.25">
      <c r="A46" s="147" t="s">
        <v>341</v>
      </c>
      <c r="B46" s="147" t="s">
        <v>342</v>
      </c>
      <c r="C46" s="153" t="s">
        <v>338</v>
      </c>
      <c r="D46" s="147" t="s">
        <v>348</v>
      </c>
      <c r="E46" s="147" t="s">
        <v>340</v>
      </c>
      <c r="F46" s="148">
        <v>41.28</v>
      </c>
      <c r="G46" s="148"/>
      <c r="H46" s="148">
        <v>3.15</v>
      </c>
      <c r="I46" s="147">
        <v>5860</v>
      </c>
      <c r="J46" s="147">
        <v>5.86</v>
      </c>
      <c r="K46" s="147" t="s">
        <v>1113</v>
      </c>
      <c r="L46" s="158" t="s">
        <v>367</v>
      </c>
      <c r="M46" s="150">
        <v>3673889</v>
      </c>
      <c r="N46" s="150" t="s">
        <v>6192</v>
      </c>
      <c r="O46" s="150" t="s">
        <v>6193</v>
      </c>
      <c r="P46" s="19">
        <v>40</v>
      </c>
      <c r="Q46" s="147">
        <v>5</v>
      </c>
      <c r="R46" s="147">
        <v>40</v>
      </c>
      <c r="S46" s="147">
        <v>0</v>
      </c>
      <c r="T46" s="147">
        <f t="shared" si="0"/>
        <v>35</v>
      </c>
      <c r="U46" s="147">
        <v>34</v>
      </c>
      <c r="V46" s="147">
        <f t="shared" si="1"/>
        <v>69</v>
      </c>
      <c r="W46" s="19">
        <f t="shared" si="2"/>
        <v>-9</v>
      </c>
      <c r="X46" s="167">
        <f t="shared" si="3"/>
        <v>0</v>
      </c>
      <c r="Y46" s="167">
        <f t="shared" si="4"/>
        <v>34</v>
      </c>
      <c r="Z46" s="185">
        <f>SUMIFS(meghsteelsales_previousmonth[Quantity],meghsteelsales_previousmonth[Length Bucket],O46)/1000</f>
        <v>48.390045000000008</v>
      </c>
      <c r="AA46" s="185">
        <f>SUMIFS(meghsteelsales_currentmonth[Quantity],meghsteelsales_currentmonth[Length Bucket],O46)/1000</f>
        <v>9.6830499999999997</v>
      </c>
      <c r="AB46" s="185" t="str">
        <f t="shared" si="5"/>
        <v/>
      </c>
    </row>
    <row r="47" spans="1:28" x14ac:dyDescent="0.25">
      <c r="A47" s="147" t="s">
        <v>10</v>
      </c>
      <c r="B47" s="147" t="s">
        <v>346</v>
      </c>
      <c r="C47" s="153" t="s">
        <v>364</v>
      </c>
      <c r="D47" s="147" t="s">
        <v>348</v>
      </c>
      <c r="E47" s="147" t="s">
        <v>340</v>
      </c>
      <c r="F47" s="148">
        <v>42.7</v>
      </c>
      <c r="G47" s="148"/>
      <c r="H47" s="148">
        <v>3.5</v>
      </c>
      <c r="I47" s="147">
        <v>6000</v>
      </c>
      <c r="J47" s="147">
        <v>6</v>
      </c>
      <c r="K47" s="147" t="s">
        <v>1114</v>
      </c>
      <c r="L47" s="151" t="s">
        <v>362</v>
      </c>
      <c r="M47" s="150">
        <v>3500650</v>
      </c>
      <c r="N47" s="150" t="s">
        <v>875</v>
      </c>
      <c r="O47" s="150" t="s">
        <v>6194</v>
      </c>
      <c r="P47" s="19">
        <v>15</v>
      </c>
      <c r="Q47" s="147">
        <v>0</v>
      </c>
      <c r="R47" s="147">
        <v>0</v>
      </c>
      <c r="S47" s="147">
        <v>0</v>
      </c>
      <c r="T47" s="147">
        <f t="shared" si="0"/>
        <v>0</v>
      </c>
      <c r="U47" s="147"/>
      <c r="V47" s="147">
        <f t="shared" si="1"/>
        <v>0</v>
      </c>
      <c r="W47" s="19">
        <f t="shared" si="2"/>
        <v>22.5</v>
      </c>
      <c r="X47" s="167">
        <f t="shared" si="3"/>
        <v>22.5</v>
      </c>
      <c r="Y47" s="167">
        <f t="shared" si="4"/>
        <v>22.5</v>
      </c>
      <c r="Z47" s="185">
        <f>SUMIFS(meghsteelsales_previousmonth[Quantity],meghsteelsales_previousmonth[Length Bucket],O47)/1000</f>
        <v>4.2835110000000007</v>
      </c>
      <c r="AA47" s="185">
        <f>SUMIFS(meghsteelsales_currentmonth[Quantity],meghsteelsales_currentmonth[Length Bucket],O47)/1000</f>
        <v>2.3549160000000002</v>
      </c>
      <c r="AB47" s="185">
        <f t="shared" si="5"/>
        <v>-15.861573</v>
      </c>
    </row>
    <row r="48" spans="1:28" x14ac:dyDescent="0.25">
      <c r="A48" s="147" t="s">
        <v>10</v>
      </c>
      <c r="B48" s="147" t="s">
        <v>346</v>
      </c>
      <c r="C48" s="153" t="s">
        <v>364</v>
      </c>
      <c r="D48" s="147" t="s">
        <v>348</v>
      </c>
      <c r="E48" s="147" t="s">
        <v>340</v>
      </c>
      <c r="F48" s="148">
        <v>42.7</v>
      </c>
      <c r="G48" s="148"/>
      <c r="H48" s="148">
        <v>4</v>
      </c>
      <c r="I48" s="147">
        <v>6000</v>
      </c>
      <c r="J48" s="147">
        <v>6</v>
      </c>
      <c r="K48" s="147" t="s">
        <v>1115</v>
      </c>
      <c r="L48" s="151" t="s">
        <v>362</v>
      </c>
      <c r="M48" s="150">
        <v>3500714</v>
      </c>
      <c r="N48" s="150" t="s">
        <v>891</v>
      </c>
      <c r="O48" s="150" t="s">
        <v>6195</v>
      </c>
      <c r="P48" s="19">
        <v>30</v>
      </c>
      <c r="Q48" s="147">
        <v>5</v>
      </c>
      <c r="R48" s="147">
        <v>18</v>
      </c>
      <c r="S48" s="147">
        <v>0</v>
      </c>
      <c r="T48" s="147">
        <f t="shared" si="0"/>
        <v>13</v>
      </c>
      <c r="U48" s="147"/>
      <c r="V48" s="147">
        <f t="shared" si="1"/>
        <v>13</v>
      </c>
      <c r="W48" s="19">
        <f t="shared" si="2"/>
        <v>32</v>
      </c>
      <c r="X48" s="167">
        <f t="shared" si="3"/>
        <v>32</v>
      </c>
      <c r="Y48" s="167">
        <f t="shared" si="4"/>
        <v>32</v>
      </c>
      <c r="Z48" s="185">
        <f>SUMIFS(meghsteelsales_previousmonth[Quantity],meghsteelsales_previousmonth[Length Bucket],O48)/1000</f>
        <v>38.311999999999998</v>
      </c>
      <c r="AA48" s="185">
        <f>SUMIFS(meghsteelsales_currentmonth[Quantity],meghsteelsales_currentmonth[Length Bucket],O48)/1000</f>
        <v>35.316800000000001</v>
      </c>
      <c r="AB48" s="185" t="str">
        <f t="shared" si="5"/>
        <v/>
      </c>
    </row>
    <row r="49" spans="1:28" x14ac:dyDescent="0.25">
      <c r="A49" s="147" t="s">
        <v>10</v>
      </c>
      <c r="B49" s="147" t="s">
        <v>346</v>
      </c>
      <c r="C49" s="155" t="s">
        <v>338</v>
      </c>
      <c r="D49" s="147" t="s">
        <v>348</v>
      </c>
      <c r="E49" s="147" t="s">
        <v>340</v>
      </c>
      <c r="F49" s="154" t="s">
        <v>365</v>
      </c>
      <c r="G49" s="154"/>
      <c r="H49" s="154">
        <v>1.6</v>
      </c>
      <c r="I49" s="155">
        <v>5900</v>
      </c>
      <c r="J49" s="147">
        <v>5.9</v>
      </c>
      <c r="K49" s="147"/>
      <c r="L49" s="151" t="s">
        <v>345</v>
      </c>
      <c r="M49" s="150">
        <v>3925391</v>
      </c>
      <c r="N49" s="150" t="s">
        <v>586</v>
      </c>
      <c r="O49" s="150" t="s">
        <v>4936</v>
      </c>
      <c r="P49" s="19">
        <v>10</v>
      </c>
      <c r="Q49" s="147">
        <v>3</v>
      </c>
      <c r="R49" s="147">
        <v>12</v>
      </c>
      <c r="S49" s="147">
        <v>0</v>
      </c>
      <c r="T49" s="147">
        <f t="shared" si="0"/>
        <v>9</v>
      </c>
      <c r="U49" s="147"/>
      <c r="V49" s="147">
        <f t="shared" si="1"/>
        <v>9</v>
      </c>
      <c r="W49" s="19">
        <f t="shared" si="2"/>
        <v>6</v>
      </c>
      <c r="X49" s="167">
        <f t="shared" si="3"/>
        <v>6</v>
      </c>
      <c r="Y49" s="167">
        <f t="shared" si="4"/>
        <v>6</v>
      </c>
      <c r="Z49" s="185">
        <f>SUMIFS(meghsteelsales_previousmonth[Quantity],meghsteelsales_previousmonth[Length Bucket],O49)/1000</f>
        <v>0</v>
      </c>
      <c r="AA49" s="185">
        <f>SUMIFS(meghsteelsales_currentmonth[Quantity],meghsteelsales_currentmonth[Length Bucket],O49)/1000</f>
        <v>0</v>
      </c>
      <c r="AB49" s="185">
        <f t="shared" si="5"/>
        <v>-6</v>
      </c>
    </row>
    <row r="50" spans="1:28" x14ac:dyDescent="0.25">
      <c r="A50" s="147" t="s">
        <v>341</v>
      </c>
      <c r="B50" s="147" t="s">
        <v>342</v>
      </c>
      <c r="C50" s="153" t="s">
        <v>344</v>
      </c>
      <c r="D50" s="147" t="s">
        <v>348</v>
      </c>
      <c r="E50" s="147" t="s">
        <v>349</v>
      </c>
      <c r="F50" s="148">
        <v>45</v>
      </c>
      <c r="G50" s="148"/>
      <c r="H50" s="148">
        <v>1.4</v>
      </c>
      <c r="I50" s="147">
        <v>6400</v>
      </c>
      <c r="J50" s="147">
        <v>6.42</v>
      </c>
      <c r="K50" s="147" t="s">
        <v>1116</v>
      </c>
      <c r="L50" s="149"/>
      <c r="M50" s="150">
        <v>3502343</v>
      </c>
      <c r="N50" s="150" t="s">
        <v>5061</v>
      </c>
      <c r="O50" s="150" t="s">
        <v>6196</v>
      </c>
      <c r="P50" s="19">
        <v>0</v>
      </c>
      <c r="Q50" s="147">
        <v>0</v>
      </c>
      <c r="R50" s="147">
        <v>11</v>
      </c>
      <c r="S50" s="147">
        <v>0</v>
      </c>
      <c r="T50" s="147">
        <f t="shared" si="0"/>
        <v>11</v>
      </c>
      <c r="U50" s="147"/>
      <c r="V50" s="147">
        <f t="shared" si="1"/>
        <v>11</v>
      </c>
      <c r="W50" s="19">
        <f t="shared" si="2"/>
        <v>-11</v>
      </c>
      <c r="X50" s="167">
        <f t="shared" si="3"/>
        <v>0</v>
      </c>
      <c r="Y50" s="167">
        <f t="shared" si="4"/>
        <v>0</v>
      </c>
      <c r="Z50" s="185">
        <f>SUMIFS(meghsteelsales_previousmonth[Quantity],meghsteelsales_previousmonth[Length Bucket],O50)/1000</f>
        <v>0</v>
      </c>
      <c r="AA50" s="185">
        <f>SUMIFS(meghsteelsales_currentmonth[Quantity],meghsteelsales_currentmonth[Length Bucket],O50)/1000</f>
        <v>0</v>
      </c>
      <c r="AB50" s="185" t="str">
        <f t="shared" si="5"/>
        <v/>
      </c>
    </row>
    <row r="51" spans="1:28" x14ac:dyDescent="0.25">
      <c r="A51" s="147" t="s">
        <v>341</v>
      </c>
      <c r="B51" s="147" t="s">
        <v>342</v>
      </c>
      <c r="C51" s="153" t="s">
        <v>338</v>
      </c>
      <c r="D51" s="147" t="s">
        <v>348</v>
      </c>
      <c r="E51" s="147" t="s">
        <v>340</v>
      </c>
      <c r="F51" s="148">
        <v>45</v>
      </c>
      <c r="G51" s="148"/>
      <c r="H51" s="148">
        <v>1.4</v>
      </c>
      <c r="I51" s="147">
        <v>5700</v>
      </c>
      <c r="J51" s="147">
        <v>5.7</v>
      </c>
      <c r="K51" s="147" t="s">
        <v>1117</v>
      </c>
      <c r="L51" s="151" t="s">
        <v>367</v>
      </c>
      <c r="M51" s="150">
        <v>3545558</v>
      </c>
      <c r="N51" s="150" t="s">
        <v>2379</v>
      </c>
      <c r="O51" s="150" t="s">
        <v>6197</v>
      </c>
      <c r="P51" s="19">
        <v>0</v>
      </c>
      <c r="Q51" s="147">
        <v>0</v>
      </c>
      <c r="R51" s="147">
        <v>1</v>
      </c>
      <c r="S51" s="147">
        <v>0</v>
      </c>
      <c r="T51" s="147">
        <f t="shared" si="0"/>
        <v>1</v>
      </c>
      <c r="U51" s="147">
        <v>22</v>
      </c>
      <c r="V51" s="147">
        <f t="shared" si="1"/>
        <v>23</v>
      </c>
      <c r="W51" s="19">
        <f t="shared" si="2"/>
        <v>-23</v>
      </c>
      <c r="X51" s="167">
        <f t="shared" si="3"/>
        <v>0</v>
      </c>
      <c r="Y51" s="167">
        <f t="shared" si="4"/>
        <v>22</v>
      </c>
      <c r="Z51" s="185">
        <f>SUMIFS(meghsteelsales_previousmonth[Quantity],meghsteelsales_previousmonth[Length Bucket],O51)/1000</f>
        <v>4.8159999999999998</v>
      </c>
      <c r="AA51" s="185">
        <f>SUMIFS(meghsteelsales_currentmonth[Quantity],meghsteelsales_currentmonth[Length Bucket],O51)/1000</f>
        <v>7.35</v>
      </c>
      <c r="AB51" s="185">
        <f t="shared" si="5"/>
        <v>-9.8339999999999996</v>
      </c>
    </row>
    <row r="52" spans="1:28" x14ac:dyDescent="0.25">
      <c r="A52" s="147" t="s">
        <v>341</v>
      </c>
      <c r="B52" s="147" t="s">
        <v>342</v>
      </c>
      <c r="C52" s="153" t="s">
        <v>344</v>
      </c>
      <c r="D52" s="147" t="s">
        <v>348</v>
      </c>
      <c r="E52" s="147" t="s">
        <v>349</v>
      </c>
      <c r="F52" s="148">
        <v>45</v>
      </c>
      <c r="G52" s="148"/>
      <c r="H52" s="148">
        <v>1.6</v>
      </c>
      <c r="I52" s="147">
        <v>6400</v>
      </c>
      <c r="J52" s="147">
        <v>6.42</v>
      </c>
      <c r="K52" s="147" t="s">
        <v>1118</v>
      </c>
      <c r="L52" s="149"/>
      <c r="M52" s="150">
        <v>3502388</v>
      </c>
      <c r="N52" s="150" t="s">
        <v>6154</v>
      </c>
      <c r="O52" s="150" t="s">
        <v>6154</v>
      </c>
      <c r="P52" s="19">
        <v>0</v>
      </c>
      <c r="Q52" s="147">
        <v>0</v>
      </c>
      <c r="R52" s="147">
        <v>16</v>
      </c>
      <c r="S52" s="147">
        <v>0</v>
      </c>
      <c r="T52" s="147">
        <f t="shared" si="0"/>
        <v>16</v>
      </c>
      <c r="U52" s="147"/>
      <c r="V52" s="147">
        <f t="shared" si="1"/>
        <v>16</v>
      </c>
      <c r="W52" s="19">
        <f t="shared" si="2"/>
        <v>-16</v>
      </c>
      <c r="X52" s="167">
        <f t="shared" si="3"/>
        <v>0</v>
      </c>
      <c r="Y52" s="167">
        <f t="shared" si="4"/>
        <v>0</v>
      </c>
      <c r="Z52" s="185">
        <f>SUMIFS(meghsteelsales_previousmonth[Quantity],meghsteelsales_previousmonth[Length Bucket],O52)/1000</f>
        <v>0</v>
      </c>
      <c r="AA52" s="185">
        <f>SUMIFS(meghsteelsales_currentmonth[Quantity],meghsteelsales_currentmonth[Length Bucket],O52)/1000</f>
        <v>0</v>
      </c>
      <c r="AB52" s="185" t="str">
        <f t="shared" si="5"/>
        <v/>
      </c>
    </row>
    <row r="53" spans="1:28" x14ac:dyDescent="0.25">
      <c r="A53" s="147" t="s">
        <v>5</v>
      </c>
      <c r="B53" s="147" t="s">
        <v>358</v>
      </c>
      <c r="C53" s="153" t="s">
        <v>338</v>
      </c>
      <c r="D53" s="147" t="s">
        <v>348</v>
      </c>
      <c r="E53" s="147" t="s">
        <v>340</v>
      </c>
      <c r="F53" s="148">
        <v>48</v>
      </c>
      <c r="G53" s="148"/>
      <c r="H53" s="148">
        <v>1.2</v>
      </c>
      <c r="I53" s="147">
        <v>620</v>
      </c>
      <c r="J53" s="147">
        <v>0.62</v>
      </c>
      <c r="K53" s="147"/>
      <c r="L53" s="151" t="s">
        <v>345</v>
      </c>
      <c r="M53" s="150">
        <v>2397072</v>
      </c>
      <c r="N53" s="150" t="s">
        <v>6198</v>
      </c>
      <c r="O53" s="150" t="s">
        <v>6199</v>
      </c>
      <c r="P53" s="19">
        <v>10</v>
      </c>
      <c r="Q53" s="147">
        <v>0</v>
      </c>
      <c r="R53" s="147">
        <v>0</v>
      </c>
      <c r="S53" s="147">
        <v>0</v>
      </c>
      <c r="T53" s="147">
        <f t="shared" si="0"/>
        <v>0</v>
      </c>
      <c r="U53" s="147"/>
      <c r="V53" s="147">
        <f t="shared" si="1"/>
        <v>0</v>
      </c>
      <c r="W53" s="19">
        <v>12</v>
      </c>
      <c r="X53" s="167">
        <f t="shared" si="3"/>
        <v>12</v>
      </c>
      <c r="Y53" s="167">
        <f t="shared" si="4"/>
        <v>12</v>
      </c>
      <c r="Z53" s="185">
        <f>SUMIFS(meghsteelsales_previousmonth[Quantity],meghsteelsales_previousmonth[Length Bucket],O53)/1000</f>
        <v>0</v>
      </c>
      <c r="AA53" s="185">
        <f>SUMIFS(meghsteelsales_currentmonth[Quantity],meghsteelsales_currentmonth[Length Bucket],O53)/1000</f>
        <v>0</v>
      </c>
      <c r="AB53" s="185">
        <f t="shared" si="5"/>
        <v>-12</v>
      </c>
    </row>
    <row r="54" spans="1:28" x14ac:dyDescent="0.25">
      <c r="A54" s="147" t="s">
        <v>5</v>
      </c>
      <c r="B54" s="147" t="s">
        <v>359</v>
      </c>
      <c r="C54" s="153" t="s">
        <v>338</v>
      </c>
      <c r="D54" s="147" t="s">
        <v>348</v>
      </c>
      <c r="E54" s="147" t="s">
        <v>340</v>
      </c>
      <c r="F54" s="148">
        <v>48</v>
      </c>
      <c r="G54" s="148"/>
      <c r="H54" s="148">
        <v>1.2</v>
      </c>
      <c r="I54" s="147">
        <v>700</v>
      </c>
      <c r="J54" s="147">
        <v>0.7</v>
      </c>
      <c r="K54" s="147"/>
      <c r="L54" s="151" t="s">
        <v>345</v>
      </c>
      <c r="M54" s="150">
        <v>3649700</v>
      </c>
      <c r="N54" s="150" t="s">
        <v>6198</v>
      </c>
      <c r="O54" s="150" t="s">
        <v>2277</v>
      </c>
      <c r="P54" s="19">
        <v>12</v>
      </c>
      <c r="Q54" s="147">
        <v>0</v>
      </c>
      <c r="R54" s="147">
        <v>0</v>
      </c>
      <c r="S54" s="147">
        <v>0</v>
      </c>
      <c r="T54" s="147">
        <f t="shared" si="0"/>
        <v>0</v>
      </c>
      <c r="U54" s="147"/>
      <c r="V54" s="147">
        <f t="shared" si="1"/>
        <v>0</v>
      </c>
      <c r="W54" s="19">
        <v>10</v>
      </c>
      <c r="X54" s="167">
        <f t="shared" si="3"/>
        <v>10</v>
      </c>
      <c r="Y54" s="167">
        <f t="shared" si="4"/>
        <v>10</v>
      </c>
      <c r="Z54" s="185">
        <f>SUMIFS(meghsteelsales_previousmonth[Quantity],meghsteelsales_previousmonth[Length Bucket],O54)/1000</f>
        <v>0</v>
      </c>
      <c r="AA54" s="185">
        <f>SUMIFS(meghsteelsales_currentmonth[Quantity],meghsteelsales_currentmonth[Length Bucket],O54)/1000</f>
        <v>0</v>
      </c>
      <c r="AB54" s="185">
        <f t="shared" si="5"/>
        <v>-10</v>
      </c>
    </row>
    <row r="55" spans="1:28" x14ac:dyDescent="0.25">
      <c r="A55" s="147" t="s">
        <v>341</v>
      </c>
      <c r="B55" s="147" t="s">
        <v>342</v>
      </c>
      <c r="C55" s="153" t="s">
        <v>344</v>
      </c>
      <c r="D55" s="147" t="s">
        <v>348</v>
      </c>
      <c r="E55" s="147" t="s">
        <v>349</v>
      </c>
      <c r="F55" s="148">
        <v>48.6</v>
      </c>
      <c r="G55" s="148"/>
      <c r="H55" s="148">
        <v>2</v>
      </c>
      <c r="I55" s="147">
        <v>6270</v>
      </c>
      <c r="J55" s="147">
        <v>6.27</v>
      </c>
      <c r="K55" s="147" t="s">
        <v>1119</v>
      </c>
      <c r="L55" s="158" t="s">
        <v>367</v>
      </c>
      <c r="M55" s="150">
        <v>3502301</v>
      </c>
      <c r="N55" s="150" t="s">
        <v>6154</v>
      </c>
      <c r="O55" s="150" t="s">
        <v>6154</v>
      </c>
      <c r="P55" s="19">
        <v>0</v>
      </c>
      <c r="Q55" s="147">
        <v>0</v>
      </c>
      <c r="R55" s="147">
        <v>56</v>
      </c>
      <c r="S55" s="147">
        <v>0</v>
      </c>
      <c r="T55" s="147">
        <f t="shared" si="0"/>
        <v>56</v>
      </c>
      <c r="U55" s="147"/>
      <c r="V55" s="147">
        <f t="shared" si="1"/>
        <v>56</v>
      </c>
      <c r="W55" s="19">
        <f t="shared" si="2"/>
        <v>-56</v>
      </c>
      <c r="X55" s="167">
        <f t="shared" si="3"/>
        <v>0</v>
      </c>
      <c r="Y55" s="167">
        <f t="shared" si="4"/>
        <v>0</v>
      </c>
      <c r="Z55" s="185">
        <f>SUMIFS(meghsteelsales_previousmonth[Quantity],meghsteelsales_previousmonth[Length Bucket],O55)/1000</f>
        <v>0</v>
      </c>
      <c r="AA55" s="185">
        <f>SUMIFS(meghsteelsales_currentmonth[Quantity],meghsteelsales_currentmonth[Length Bucket],O55)/1000</f>
        <v>0</v>
      </c>
      <c r="AB55" s="185" t="str">
        <f t="shared" si="5"/>
        <v/>
      </c>
    </row>
    <row r="56" spans="1:28" x14ac:dyDescent="0.25">
      <c r="A56" s="147" t="s">
        <v>341</v>
      </c>
      <c r="B56" s="147" t="s">
        <v>342</v>
      </c>
      <c r="C56" s="153" t="s">
        <v>344</v>
      </c>
      <c r="D56" s="147" t="s">
        <v>348</v>
      </c>
      <c r="E56" s="147" t="s">
        <v>349</v>
      </c>
      <c r="F56" s="148">
        <v>48.6</v>
      </c>
      <c r="G56" s="148"/>
      <c r="H56" s="148">
        <v>2.2999999999999998</v>
      </c>
      <c r="I56" s="147">
        <v>6270</v>
      </c>
      <c r="J56" s="147">
        <v>6.27</v>
      </c>
      <c r="K56" s="147" t="s">
        <v>1120</v>
      </c>
      <c r="L56" s="149"/>
      <c r="M56" s="150">
        <v>3549720</v>
      </c>
      <c r="N56" s="150" t="s">
        <v>6200</v>
      </c>
      <c r="O56" s="150" t="s">
        <v>6201</v>
      </c>
      <c r="P56" s="19">
        <v>0</v>
      </c>
      <c r="Q56" s="147">
        <v>0</v>
      </c>
      <c r="R56" s="147">
        <v>0</v>
      </c>
      <c r="S56" s="147">
        <v>0</v>
      </c>
      <c r="T56" s="147">
        <f t="shared" si="0"/>
        <v>0</v>
      </c>
      <c r="U56" s="147"/>
      <c r="V56" s="147">
        <f t="shared" si="1"/>
        <v>0</v>
      </c>
      <c r="W56" s="19">
        <f t="shared" si="2"/>
        <v>0</v>
      </c>
      <c r="X56" s="167">
        <f t="shared" si="3"/>
        <v>0</v>
      </c>
      <c r="Y56" s="167">
        <f t="shared" si="4"/>
        <v>0</v>
      </c>
      <c r="Z56" s="185">
        <f>SUMIFS(meghsteelsales_previousmonth[Quantity],meghsteelsales_previousmonth[Length Bucket],O56)/1000</f>
        <v>0</v>
      </c>
      <c r="AA56" s="185">
        <f>SUMIFS(meghsteelsales_currentmonth[Quantity],meghsteelsales_currentmonth[Length Bucket],O56)/1000</f>
        <v>0</v>
      </c>
      <c r="AB56" s="185" t="str">
        <f t="shared" si="5"/>
        <v/>
      </c>
    </row>
    <row r="57" spans="1:28" x14ac:dyDescent="0.25">
      <c r="A57" s="147" t="s">
        <v>341</v>
      </c>
      <c r="B57" s="147" t="s">
        <v>342</v>
      </c>
      <c r="C57" s="153" t="s">
        <v>338</v>
      </c>
      <c r="D57" s="147" t="s">
        <v>348</v>
      </c>
      <c r="E57" s="147" t="s">
        <v>340</v>
      </c>
      <c r="F57" s="148">
        <v>48.6</v>
      </c>
      <c r="G57" s="148"/>
      <c r="H57" s="148">
        <v>3.5</v>
      </c>
      <c r="I57" s="147">
        <v>6000</v>
      </c>
      <c r="J57" s="147">
        <v>6</v>
      </c>
      <c r="K57" s="147" t="s">
        <v>1121</v>
      </c>
      <c r="L57" s="158" t="s">
        <v>345</v>
      </c>
      <c r="M57" s="150">
        <v>3502422</v>
      </c>
      <c r="N57" s="150" t="s">
        <v>712</v>
      </c>
      <c r="O57" s="150" t="s">
        <v>6202</v>
      </c>
      <c r="P57" s="19">
        <v>0</v>
      </c>
      <c r="Q57" s="147">
        <v>2</v>
      </c>
      <c r="R57" s="147">
        <v>8</v>
      </c>
      <c r="S57" s="147">
        <v>0</v>
      </c>
      <c r="T57" s="147">
        <f t="shared" si="0"/>
        <v>6</v>
      </c>
      <c r="U57" s="147"/>
      <c r="V57" s="147">
        <f t="shared" si="1"/>
        <v>6</v>
      </c>
      <c r="W57" s="19">
        <f t="shared" si="2"/>
        <v>-6</v>
      </c>
      <c r="X57" s="167">
        <f t="shared" si="3"/>
        <v>0</v>
      </c>
      <c r="Y57" s="167">
        <f t="shared" si="4"/>
        <v>0</v>
      </c>
      <c r="Z57" s="185">
        <f>SUMIFS(meghsteelsales_previousmonth[Quantity],meghsteelsales_previousmonth[Length Bucket],O57)/1000</f>
        <v>2.991104</v>
      </c>
      <c r="AA57" s="185">
        <f>SUMIFS(meghsteelsales_currentmonth[Quantity],meghsteelsales_currentmonth[Length Bucket],O57)/1000</f>
        <v>14.154752</v>
      </c>
      <c r="AB57" s="185" t="str">
        <f t="shared" si="5"/>
        <v/>
      </c>
    </row>
    <row r="58" spans="1:28" x14ac:dyDescent="0.25">
      <c r="A58" s="147" t="s">
        <v>10</v>
      </c>
      <c r="B58" s="147" t="s">
        <v>116</v>
      </c>
      <c r="C58" s="153" t="s">
        <v>338</v>
      </c>
      <c r="D58" s="147" t="s">
        <v>348</v>
      </c>
      <c r="E58" s="147" t="s">
        <v>340</v>
      </c>
      <c r="F58" s="168" t="s">
        <v>368</v>
      </c>
      <c r="G58" s="168"/>
      <c r="H58" s="168">
        <v>1.6</v>
      </c>
      <c r="I58" s="147">
        <v>6000</v>
      </c>
      <c r="J58" s="147"/>
      <c r="K58" s="147"/>
      <c r="L58" s="151" t="s">
        <v>345</v>
      </c>
      <c r="M58" s="150">
        <v>1940925</v>
      </c>
      <c r="N58" s="150" t="s">
        <v>568</v>
      </c>
      <c r="O58" s="150" t="s">
        <v>6203</v>
      </c>
      <c r="P58" s="19">
        <v>5</v>
      </c>
      <c r="Q58" s="147">
        <v>1</v>
      </c>
      <c r="R58" s="147">
        <v>6</v>
      </c>
      <c r="S58" s="147">
        <v>0</v>
      </c>
      <c r="T58" s="147">
        <f t="shared" si="0"/>
        <v>5</v>
      </c>
      <c r="U58" s="147"/>
      <c r="V58" s="147">
        <f t="shared" si="1"/>
        <v>5</v>
      </c>
      <c r="W58" s="19">
        <f t="shared" si="2"/>
        <v>2.5</v>
      </c>
      <c r="X58" s="167">
        <v>5</v>
      </c>
      <c r="Y58" s="167">
        <f t="shared" si="4"/>
        <v>5</v>
      </c>
      <c r="Z58" s="185">
        <f>SUMIFS(meghsteelsales_previousmonth[Quantity],meghsteelsales_previousmonth[Length Bucket],O58)/1000</f>
        <v>5.12</v>
      </c>
      <c r="AA58" s="185">
        <f>SUMIFS(meghsteelsales_currentmonth[Quantity],meghsteelsales_currentmonth[Length Bucket],O58)/1000</f>
        <v>0</v>
      </c>
      <c r="AB58" s="185" t="str">
        <f t="shared" si="5"/>
        <v/>
      </c>
    </row>
    <row r="59" spans="1:28" x14ac:dyDescent="0.25">
      <c r="A59" s="147" t="s">
        <v>5</v>
      </c>
      <c r="B59" s="147" t="s">
        <v>369</v>
      </c>
      <c r="C59" s="153" t="s">
        <v>338</v>
      </c>
      <c r="D59" s="147" t="s">
        <v>348</v>
      </c>
      <c r="E59" s="147" t="s">
        <v>340</v>
      </c>
      <c r="F59" s="168" t="s">
        <v>368</v>
      </c>
      <c r="G59" s="168"/>
      <c r="H59" s="168">
        <v>1.6</v>
      </c>
      <c r="I59" s="169">
        <v>572.5</v>
      </c>
      <c r="J59" s="147">
        <v>0.57250000000000001</v>
      </c>
      <c r="K59" s="147" t="s">
        <v>1122</v>
      </c>
      <c r="L59" s="151" t="s">
        <v>345</v>
      </c>
      <c r="M59" s="150">
        <v>3781647</v>
      </c>
      <c r="N59" s="150" t="s">
        <v>568</v>
      </c>
      <c r="O59" s="150" t="s">
        <v>6204</v>
      </c>
      <c r="P59" s="19">
        <v>15</v>
      </c>
      <c r="Q59" s="147">
        <v>0</v>
      </c>
      <c r="R59" s="147">
        <v>0</v>
      </c>
      <c r="S59" s="147">
        <v>0</v>
      </c>
      <c r="T59" s="147">
        <f t="shared" si="0"/>
        <v>0</v>
      </c>
      <c r="U59" s="147"/>
      <c r="V59" s="147">
        <f t="shared" si="1"/>
        <v>0</v>
      </c>
      <c r="W59" s="19">
        <f t="shared" si="2"/>
        <v>22.5</v>
      </c>
      <c r="X59" s="167">
        <f t="shared" si="3"/>
        <v>22.5</v>
      </c>
      <c r="Y59" s="167">
        <f t="shared" si="4"/>
        <v>22.5</v>
      </c>
      <c r="Z59" s="185">
        <f>SUMIFS(meghsteelsales_previousmonth[Quantity],meghsteelsales_previousmonth[Length Bucket],O59)/1000</f>
        <v>9.4819599999999991</v>
      </c>
      <c r="AA59" s="185">
        <f>SUMIFS(meghsteelsales_currentmonth[Quantity],meghsteelsales_currentmonth[Length Bucket],O59)/1000</f>
        <v>0</v>
      </c>
      <c r="AB59" s="185">
        <f t="shared" si="5"/>
        <v>-13.018040000000001</v>
      </c>
    </row>
    <row r="60" spans="1:28" x14ac:dyDescent="0.25">
      <c r="A60" s="147" t="s">
        <v>10</v>
      </c>
      <c r="B60" s="147" t="s">
        <v>346</v>
      </c>
      <c r="C60" s="153" t="s">
        <v>338</v>
      </c>
      <c r="D60" s="147" t="s">
        <v>348</v>
      </c>
      <c r="E60" s="147" t="s">
        <v>340</v>
      </c>
      <c r="F60" s="148">
        <v>57.15</v>
      </c>
      <c r="G60" s="148"/>
      <c r="H60" s="148">
        <v>2.5</v>
      </c>
      <c r="I60" s="147">
        <v>5710</v>
      </c>
      <c r="J60" s="147">
        <v>5.71</v>
      </c>
      <c r="K60" s="147"/>
      <c r="L60" s="165" t="s">
        <v>345</v>
      </c>
      <c r="M60" s="150">
        <v>3907863</v>
      </c>
      <c r="N60" s="150" t="s">
        <v>926</v>
      </c>
      <c r="O60" s="150" t="s">
        <v>6205</v>
      </c>
      <c r="P60" s="19">
        <v>50</v>
      </c>
      <c r="Q60" s="147">
        <v>15</v>
      </c>
      <c r="R60" s="147">
        <v>12</v>
      </c>
      <c r="S60" s="147">
        <v>0</v>
      </c>
      <c r="T60" s="147">
        <f t="shared" si="0"/>
        <v>-3</v>
      </c>
      <c r="U60" s="147">
        <v>65</v>
      </c>
      <c r="V60" s="147">
        <f t="shared" si="1"/>
        <v>62</v>
      </c>
      <c r="W60" s="19">
        <f t="shared" si="2"/>
        <v>13</v>
      </c>
      <c r="X60" s="167">
        <f t="shared" si="3"/>
        <v>13</v>
      </c>
      <c r="Y60" s="167">
        <f t="shared" si="4"/>
        <v>78</v>
      </c>
      <c r="Z60" s="185">
        <f>SUMIFS(meghsteelsales_previousmonth[Quantity],meghsteelsales_previousmonth[Length Bucket],O60)/1000</f>
        <v>16.138103999999998</v>
      </c>
      <c r="AA60" s="185">
        <f>SUMIFS(meghsteelsales_currentmonth[Quantity],meghsteelsales_currentmonth[Length Bucket],O60)/1000</f>
        <v>206.77804999999998</v>
      </c>
      <c r="AB60" s="185" t="str">
        <f t="shared" si="5"/>
        <v/>
      </c>
    </row>
    <row r="61" spans="1:28" x14ac:dyDescent="0.25">
      <c r="A61" s="147" t="s">
        <v>10</v>
      </c>
      <c r="B61" s="147" t="s">
        <v>346</v>
      </c>
      <c r="C61" s="153" t="s">
        <v>338</v>
      </c>
      <c r="D61" s="147" t="s">
        <v>348</v>
      </c>
      <c r="E61" s="147" t="s">
        <v>340</v>
      </c>
      <c r="F61" s="148">
        <v>57.15</v>
      </c>
      <c r="G61" s="148"/>
      <c r="H61" s="148">
        <v>2.5</v>
      </c>
      <c r="I61" s="147">
        <v>6100</v>
      </c>
      <c r="J61" s="147">
        <v>6.75</v>
      </c>
      <c r="K61" s="147"/>
      <c r="L61" s="165" t="s">
        <v>345</v>
      </c>
      <c r="M61" s="150">
        <v>3910001</v>
      </c>
      <c r="N61" s="150" t="s">
        <v>926</v>
      </c>
      <c r="O61" s="150" t="s">
        <v>6206</v>
      </c>
      <c r="P61" s="19">
        <v>60</v>
      </c>
      <c r="Q61" s="147">
        <v>15</v>
      </c>
      <c r="R61" s="147">
        <v>10</v>
      </c>
      <c r="S61" s="147">
        <v>0</v>
      </c>
      <c r="T61" s="147">
        <f t="shared" si="0"/>
        <v>-5</v>
      </c>
      <c r="U61" s="147">
        <v>46</v>
      </c>
      <c r="V61" s="147">
        <f t="shared" si="1"/>
        <v>41</v>
      </c>
      <c r="W61" s="19">
        <f t="shared" si="2"/>
        <v>49</v>
      </c>
      <c r="X61" s="167">
        <f t="shared" si="3"/>
        <v>49</v>
      </c>
      <c r="Y61" s="167">
        <f t="shared" si="4"/>
        <v>95</v>
      </c>
      <c r="Z61" s="185">
        <f>SUMIFS(meghsteelsales_previousmonth[Quantity],meghsteelsales_previousmonth[Length Bucket],O61)/1000</f>
        <v>0</v>
      </c>
      <c r="AA61" s="185">
        <f>SUMIFS(meghsteelsales_currentmonth[Quantity],meghsteelsales_currentmonth[Length Bucket],O61)/1000</f>
        <v>52.086044999999999</v>
      </c>
      <c r="AB61" s="185">
        <f t="shared" si="5"/>
        <v>-42.913955000000001</v>
      </c>
    </row>
    <row r="62" spans="1:28" x14ac:dyDescent="0.25">
      <c r="A62" s="147" t="s">
        <v>10</v>
      </c>
      <c r="B62" s="147" t="s">
        <v>346</v>
      </c>
      <c r="C62" s="147" t="s">
        <v>338</v>
      </c>
      <c r="D62" s="147" t="s">
        <v>348</v>
      </c>
      <c r="E62" s="147" t="s">
        <v>340</v>
      </c>
      <c r="F62" s="148">
        <v>57.15</v>
      </c>
      <c r="G62" s="148"/>
      <c r="H62" s="148">
        <v>2.5</v>
      </c>
      <c r="I62" s="147">
        <v>5750</v>
      </c>
      <c r="J62" s="147">
        <v>6.75</v>
      </c>
      <c r="K62" s="147"/>
      <c r="L62" s="165" t="s">
        <v>345</v>
      </c>
      <c r="M62" s="150">
        <v>3501047</v>
      </c>
      <c r="N62" s="150" t="s">
        <v>926</v>
      </c>
      <c r="O62" s="150" t="s">
        <v>6207</v>
      </c>
      <c r="P62" s="19">
        <v>30</v>
      </c>
      <c r="Q62" s="147">
        <v>5</v>
      </c>
      <c r="R62" s="147">
        <v>10</v>
      </c>
      <c r="S62" s="147">
        <v>0</v>
      </c>
      <c r="T62" s="147">
        <f t="shared" si="0"/>
        <v>5</v>
      </c>
      <c r="U62" s="147">
        <v>36</v>
      </c>
      <c r="V62" s="147">
        <f t="shared" si="1"/>
        <v>41</v>
      </c>
      <c r="W62" s="19">
        <f t="shared" si="2"/>
        <v>4</v>
      </c>
      <c r="X62" s="167">
        <f t="shared" si="3"/>
        <v>4</v>
      </c>
      <c r="Y62" s="167">
        <f t="shared" si="4"/>
        <v>40</v>
      </c>
      <c r="Z62" s="185">
        <f>SUMIFS(meghsteelsales_previousmonth[Quantity],meghsteelsales_previousmonth[Length Bucket],O62)/1000</f>
        <v>9.4640000000000004</v>
      </c>
      <c r="AA62" s="185">
        <f>SUMIFS(meghsteelsales_currentmonth[Quantity],meghsteelsales_currentmonth[Length Bucket],O62)/1000</f>
        <v>15.74</v>
      </c>
      <c r="AB62" s="185">
        <f t="shared" si="5"/>
        <v>-14.795999999999999</v>
      </c>
    </row>
    <row r="63" spans="1:28" x14ac:dyDescent="0.25">
      <c r="A63" s="147" t="s">
        <v>341</v>
      </c>
      <c r="B63" s="147" t="s">
        <v>342</v>
      </c>
      <c r="C63" s="153" t="s">
        <v>338</v>
      </c>
      <c r="D63" s="147" t="s">
        <v>348</v>
      </c>
      <c r="E63" s="147" t="s">
        <v>340</v>
      </c>
      <c r="F63" s="148">
        <v>57.15</v>
      </c>
      <c r="G63" s="148"/>
      <c r="H63" s="148">
        <v>3</v>
      </c>
      <c r="I63" s="147">
        <v>5650</v>
      </c>
      <c r="J63" s="147">
        <v>5.65</v>
      </c>
      <c r="K63" s="147" t="s">
        <v>1124</v>
      </c>
      <c r="L63" s="151" t="s">
        <v>367</v>
      </c>
      <c r="M63" s="150">
        <v>3501105</v>
      </c>
      <c r="N63" s="150" t="s">
        <v>6154</v>
      </c>
      <c r="O63" s="150" t="s">
        <v>6154</v>
      </c>
      <c r="P63" s="19">
        <v>0</v>
      </c>
      <c r="Q63" s="147">
        <v>0</v>
      </c>
      <c r="R63" s="147">
        <v>12</v>
      </c>
      <c r="S63" s="147">
        <v>0</v>
      </c>
      <c r="T63" s="147">
        <f t="shared" si="0"/>
        <v>12</v>
      </c>
      <c r="U63" s="147"/>
      <c r="V63" s="147">
        <f t="shared" si="1"/>
        <v>12</v>
      </c>
      <c r="W63" s="19">
        <f t="shared" si="2"/>
        <v>-12</v>
      </c>
      <c r="X63" s="167">
        <f t="shared" si="3"/>
        <v>0</v>
      </c>
      <c r="Y63" s="167">
        <f t="shared" si="4"/>
        <v>0</v>
      </c>
      <c r="Z63" s="185">
        <f>SUMIFS(meghsteelsales_previousmonth[Quantity],meghsteelsales_previousmonth[Length Bucket],O63)/1000</f>
        <v>0</v>
      </c>
      <c r="AA63" s="185">
        <f>SUMIFS(meghsteelsales_currentmonth[Quantity],meghsteelsales_currentmonth[Length Bucket],O63)/1000</f>
        <v>0</v>
      </c>
      <c r="AB63" s="185" t="str">
        <f t="shared" si="5"/>
        <v/>
      </c>
    </row>
    <row r="64" spans="1:28" x14ac:dyDescent="0.25">
      <c r="A64" s="147" t="s">
        <v>10</v>
      </c>
      <c r="B64" s="147" t="s">
        <v>112</v>
      </c>
      <c r="C64" s="153" t="s">
        <v>338</v>
      </c>
      <c r="D64" s="147" t="s">
        <v>348</v>
      </c>
      <c r="E64" s="147" t="s">
        <v>340</v>
      </c>
      <c r="F64" s="148">
        <v>60.3</v>
      </c>
      <c r="G64" s="148"/>
      <c r="H64" s="148">
        <v>2</v>
      </c>
      <c r="I64" s="147">
        <v>5900</v>
      </c>
      <c r="J64" s="147">
        <v>5.9</v>
      </c>
      <c r="K64" s="147"/>
      <c r="L64" s="151" t="s">
        <v>362</v>
      </c>
      <c r="M64" s="150">
        <v>3905049</v>
      </c>
      <c r="N64" s="150" t="s">
        <v>1070</v>
      </c>
      <c r="O64" s="150" t="s">
        <v>6208</v>
      </c>
      <c r="P64" s="19">
        <v>30</v>
      </c>
      <c r="Q64" s="147">
        <v>6</v>
      </c>
      <c r="R64" s="147">
        <v>30</v>
      </c>
      <c r="S64" s="147">
        <v>0</v>
      </c>
      <c r="T64" s="147">
        <f t="shared" si="0"/>
        <v>24</v>
      </c>
      <c r="U64" s="160"/>
      <c r="V64" s="147">
        <f t="shared" si="1"/>
        <v>24</v>
      </c>
      <c r="W64" s="19">
        <f t="shared" si="2"/>
        <v>21</v>
      </c>
      <c r="X64" s="167">
        <f t="shared" si="3"/>
        <v>21</v>
      </c>
      <c r="Y64" s="167">
        <f t="shared" si="4"/>
        <v>21</v>
      </c>
      <c r="Z64" s="185">
        <f>SUMIFS(meghsteelsales_previousmonth[Quantity],meghsteelsales_previousmonth[Length Bucket],O64)/1000</f>
        <v>42.22</v>
      </c>
      <c r="AA64" s="185">
        <f>SUMIFS(meghsteelsales_currentmonth[Quantity],meghsteelsales_currentmonth[Length Bucket],O64)/1000</f>
        <v>14.679999999999998</v>
      </c>
      <c r="AB64" s="185" t="str">
        <f t="shared" si="5"/>
        <v/>
      </c>
    </row>
    <row r="65" spans="1:28" x14ac:dyDescent="0.25">
      <c r="A65" s="147" t="s">
        <v>341</v>
      </c>
      <c r="B65" s="147" t="s">
        <v>6209</v>
      </c>
      <c r="C65" s="153" t="s">
        <v>357</v>
      </c>
      <c r="D65" s="147" t="s">
        <v>348</v>
      </c>
      <c r="E65" s="147" t="s">
        <v>357</v>
      </c>
      <c r="F65" s="148">
        <v>30</v>
      </c>
      <c r="G65" s="148">
        <v>23.9</v>
      </c>
      <c r="H65" s="148">
        <v>3.0249999999999999</v>
      </c>
      <c r="I65" s="147">
        <v>6000</v>
      </c>
      <c r="J65" s="147">
        <v>6</v>
      </c>
      <c r="K65" s="147"/>
      <c r="L65" s="151" t="s">
        <v>362</v>
      </c>
      <c r="M65" s="150">
        <v>3411883</v>
      </c>
      <c r="N65" s="150" t="s">
        <v>6154</v>
      </c>
      <c r="O65" s="150" t="s">
        <v>6154</v>
      </c>
      <c r="P65" s="19">
        <v>0</v>
      </c>
      <c r="Q65" s="147">
        <v>0</v>
      </c>
      <c r="R65" s="147">
        <v>16</v>
      </c>
      <c r="S65" s="147">
        <v>0</v>
      </c>
      <c r="T65" s="147">
        <f t="shared" si="0"/>
        <v>16</v>
      </c>
      <c r="U65" s="160">
        <v>4</v>
      </c>
      <c r="V65" s="147">
        <f t="shared" si="1"/>
        <v>20</v>
      </c>
      <c r="W65" s="19">
        <f t="shared" si="2"/>
        <v>-20</v>
      </c>
      <c r="X65" s="167">
        <f t="shared" si="3"/>
        <v>0</v>
      </c>
      <c r="Y65" s="167">
        <f t="shared" si="4"/>
        <v>4</v>
      </c>
      <c r="Z65" s="185">
        <f>SUMIFS(meghsteelsales_previousmonth[Quantity],meghsteelsales_previousmonth[Length Bucket],O65)/1000</f>
        <v>0</v>
      </c>
      <c r="AA65" s="185">
        <f>SUMIFS(meghsteelsales_currentmonth[Quantity],meghsteelsales_currentmonth[Length Bucket],O65)/1000</f>
        <v>0</v>
      </c>
      <c r="AB65" s="185">
        <f t="shared" si="5"/>
        <v>-4</v>
      </c>
    </row>
    <row r="66" spans="1:28" x14ac:dyDescent="0.25">
      <c r="A66" s="147" t="s">
        <v>341</v>
      </c>
      <c r="B66" s="147" t="s">
        <v>6209</v>
      </c>
      <c r="C66" s="153" t="s">
        <v>357</v>
      </c>
      <c r="D66" s="147" t="s">
        <v>348</v>
      </c>
      <c r="E66" s="147" t="s">
        <v>357</v>
      </c>
      <c r="F66" s="148">
        <v>18</v>
      </c>
      <c r="G66" s="148">
        <v>10.8</v>
      </c>
      <c r="H66" s="148">
        <f>((F66-G66)/2)</f>
        <v>3.5999999999999996</v>
      </c>
      <c r="I66" s="147">
        <v>5000</v>
      </c>
      <c r="J66" s="147">
        <v>5</v>
      </c>
      <c r="K66" s="147"/>
      <c r="L66" s="151" t="s">
        <v>362</v>
      </c>
      <c r="M66" s="150">
        <v>2397481</v>
      </c>
      <c r="N66" s="150" t="s">
        <v>6154</v>
      </c>
      <c r="O66" s="150" t="s">
        <v>6154</v>
      </c>
      <c r="P66" s="19">
        <v>10</v>
      </c>
      <c r="Q66" s="147">
        <v>0</v>
      </c>
      <c r="R66" s="147">
        <v>0</v>
      </c>
      <c r="S66" s="147">
        <v>0</v>
      </c>
      <c r="T66" s="147">
        <f t="shared" si="0"/>
        <v>0</v>
      </c>
      <c r="U66" s="160"/>
      <c r="V66" s="147">
        <f t="shared" si="1"/>
        <v>0</v>
      </c>
      <c r="W66" s="19">
        <f t="shared" si="2"/>
        <v>15</v>
      </c>
      <c r="X66" s="167">
        <f t="shared" si="3"/>
        <v>15</v>
      </c>
      <c r="Y66" s="167">
        <f t="shared" si="4"/>
        <v>15</v>
      </c>
      <c r="Z66" s="185">
        <f>SUMIFS(meghsteelsales_previousmonth[Quantity],meghsteelsales_previousmonth[Length Bucket],O66)/1000</f>
        <v>0</v>
      </c>
      <c r="AA66" s="185">
        <f>SUMIFS(meghsteelsales_currentmonth[Quantity],meghsteelsales_currentmonth[Length Bucket],O66)/1000</f>
        <v>0</v>
      </c>
      <c r="AB66" s="185">
        <f t="shared" si="5"/>
        <v>-15</v>
      </c>
    </row>
    <row r="67" spans="1:28" x14ac:dyDescent="0.25">
      <c r="A67" s="147" t="s">
        <v>341</v>
      </c>
      <c r="B67" s="147" t="s">
        <v>6209</v>
      </c>
      <c r="C67" s="153" t="s">
        <v>6210</v>
      </c>
      <c r="D67" s="147" t="s">
        <v>348</v>
      </c>
      <c r="E67" s="147" t="s">
        <v>6210</v>
      </c>
      <c r="F67" s="148">
        <v>15</v>
      </c>
      <c r="G67" s="148">
        <v>10.3</v>
      </c>
      <c r="H67" s="148">
        <f>((F67-G67)/2)</f>
        <v>2.3499999999999996</v>
      </c>
      <c r="I67" s="147">
        <v>6000</v>
      </c>
      <c r="J67" s="147">
        <v>6</v>
      </c>
      <c r="K67" s="147"/>
      <c r="L67" s="151" t="s">
        <v>362</v>
      </c>
      <c r="M67" s="150">
        <v>3634582</v>
      </c>
      <c r="N67" s="150" t="s">
        <v>6154</v>
      </c>
      <c r="O67" s="150" t="s">
        <v>6154</v>
      </c>
      <c r="P67" s="19">
        <v>7</v>
      </c>
      <c r="Q67" s="147">
        <v>0</v>
      </c>
      <c r="R67" s="147">
        <v>0</v>
      </c>
      <c r="S67" s="147">
        <v>0</v>
      </c>
      <c r="T67" s="147">
        <f t="shared" si="0"/>
        <v>0</v>
      </c>
      <c r="U67" s="160"/>
      <c r="V67" s="147">
        <f t="shared" si="1"/>
        <v>0</v>
      </c>
      <c r="W67" s="19">
        <f t="shared" si="2"/>
        <v>10.5</v>
      </c>
      <c r="X67" s="167">
        <f t="shared" si="3"/>
        <v>10.5</v>
      </c>
      <c r="Y67" s="167">
        <f t="shared" si="4"/>
        <v>10.5</v>
      </c>
      <c r="Z67" s="185">
        <f>SUMIFS(meghsteelsales_previousmonth[Quantity],meghsteelsales_previousmonth[Length Bucket],O67)/1000</f>
        <v>0</v>
      </c>
      <c r="AA67" s="185">
        <f>SUMIFS(meghsteelsales_currentmonth[Quantity],meghsteelsales_currentmonth[Length Bucket],O67)/1000</f>
        <v>0</v>
      </c>
      <c r="AB67" s="185">
        <f t="shared" ref="AB67:AB71" si="6">IF((Z67+AA67-Y67)&lt;0,(Z67+AA67-Y67),"")</f>
        <v>-10.5</v>
      </c>
    </row>
    <row r="68" spans="1:28" x14ac:dyDescent="0.25">
      <c r="A68" s="147" t="s">
        <v>341</v>
      </c>
      <c r="B68" s="147" t="s">
        <v>6209</v>
      </c>
      <c r="C68" s="153" t="s">
        <v>357</v>
      </c>
      <c r="D68" s="147" t="s">
        <v>348</v>
      </c>
      <c r="E68" s="147" t="s">
        <v>357</v>
      </c>
      <c r="F68" s="148">
        <v>19.100000000000001</v>
      </c>
      <c r="G68" s="148">
        <v>16.100000000000001</v>
      </c>
      <c r="H68" s="148">
        <f>((F68-G68)/2)</f>
        <v>1.5</v>
      </c>
      <c r="I68" s="147">
        <v>4400</v>
      </c>
      <c r="J68" s="147">
        <v>6</v>
      </c>
      <c r="K68" s="147"/>
      <c r="L68" s="151" t="s">
        <v>362</v>
      </c>
      <c r="M68" s="150"/>
      <c r="N68" s="150" t="e">
        <v>#N/A</v>
      </c>
      <c r="O68" s="150" t="e">
        <v>#N/A</v>
      </c>
      <c r="P68" s="19">
        <v>8</v>
      </c>
      <c r="Q68" s="147">
        <v>0</v>
      </c>
      <c r="R68" s="147">
        <v>0</v>
      </c>
      <c r="S68" s="147">
        <v>0</v>
      </c>
      <c r="T68" s="147">
        <f>R68-Q68</f>
        <v>0</v>
      </c>
      <c r="U68" s="160"/>
      <c r="V68" s="147">
        <f>U68+T68+S68</f>
        <v>0</v>
      </c>
      <c r="W68" s="19">
        <f>P68*1.5-V68</f>
        <v>12</v>
      </c>
      <c r="X68" s="167">
        <f>IF(W68&gt;0,W68,0)</f>
        <v>12</v>
      </c>
      <c r="Y68" s="167">
        <f t="shared" ref="Y68:Y70" si="7">X68+U68</f>
        <v>12</v>
      </c>
      <c r="Z68" s="185">
        <f>SUMIFS(meghsteelsales_previousmonth[Quantity],meghsteelsales_previousmonth[Length Bucket],O68)/1000</f>
        <v>0</v>
      </c>
      <c r="AA68" s="185">
        <f>SUMIFS(meghsteelsales_currentmonth[Quantity],meghsteelsales_currentmonth[Length Bucket],O68)/1000</f>
        <v>0</v>
      </c>
      <c r="AB68" s="185">
        <f t="shared" si="6"/>
        <v>-12</v>
      </c>
    </row>
    <row r="69" spans="1:28" x14ac:dyDescent="0.25">
      <c r="A69" s="147" t="s">
        <v>341</v>
      </c>
      <c r="B69" s="147" t="s">
        <v>6209</v>
      </c>
      <c r="C69" s="153" t="s">
        <v>357</v>
      </c>
      <c r="D69" s="147" t="s">
        <v>348</v>
      </c>
      <c r="E69" s="147" t="s">
        <v>357</v>
      </c>
      <c r="F69" s="148">
        <v>21.7</v>
      </c>
      <c r="G69" s="148">
        <v>16.8</v>
      </c>
      <c r="H69" s="148">
        <f>((F69-G69)/2)</f>
        <v>2.4499999999999993</v>
      </c>
      <c r="I69" s="147">
        <v>6000</v>
      </c>
      <c r="J69" s="147">
        <v>6</v>
      </c>
      <c r="K69" s="147"/>
      <c r="L69" s="151" t="s">
        <v>362</v>
      </c>
      <c r="M69" s="150">
        <v>1938393</v>
      </c>
      <c r="N69" s="150" t="s">
        <v>6154</v>
      </c>
      <c r="O69" s="150" t="s">
        <v>6154</v>
      </c>
      <c r="P69" s="19">
        <v>2</v>
      </c>
      <c r="Q69" s="147">
        <v>0</v>
      </c>
      <c r="R69" s="147">
        <v>0</v>
      </c>
      <c r="S69" s="147">
        <v>0</v>
      </c>
      <c r="T69" s="147">
        <f>R69-Q69</f>
        <v>0</v>
      </c>
      <c r="U69" s="160"/>
      <c r="V69" s="147">
        <f>U69+T69+S69</f>
        <v>0</v>
      </c>
      <c r="W69" s="19">
        <f>P69*1.5-V69</f>
        <v>3</v>
      </c>
      <c r="X69" s="167">
        <f>IF(W69&gt;0,W69,0)</f>
        <v>3</v>
      </c>
      <c r="Y69" s="167">
        <f t="shared" si="7"/>
        <v>3</v>
      </c>
      <c r="Z69" s="185">
        <f>SUMIFS(meghsteelsales_previousmonth[Quantity],meghsteelsales_previousmonth[Length Bucket],O69)/1000</f>
        <v>0</v>
      </c>
      <c r="AA69" s="185">
        <f>SUMIFS(meghsteelsales_currentmonth[Quantity],meghsteelsales_currentmonth[Length Bucket],O69)/1000</f>
        <v>0</v>
      </c>
      <c r="AB69" s="185">
        <f t="shared" si="6"/>
        <v>-3</v>
      </c>
    </row>
    <row r="70" spans="1:28" x14ac:dyDescent="0.25">
      <c r="A70" s="147" t="s">
        <v>341</v>
      </c>
      <c r="B70" s="147" t="s">
        <v>6209</v>
      </c>
      <c r="C70" s="153" t="s">
        <v>340</v>
      </c>
      <c r="D70" s="147" t="s">
        <v>348</v>
      </c>
      <c r="E70" s="147" t="s">
        <v>340</v>
      </c>
      <c r="F70" s="148">
        <v>28.6</v>
      </c>
      <c r="G70" s="148"/>
      <c r="H70" s="148">
        <v>3.2</v>
      </c>
      <c r="I70" s="147">
        <v>6000</v>
      </c>
      <c r="J70" s="147">
        <v>6</v>
      </c>
      <c r="K70" s="147"/>
      <c r="L70" s="151"/>
      <c r="M70" s="150">
        <v>1940627</v>
      </c>
      <c r="N70" s="150" t="s">
        <v>6154</v>
      </c>
      <c r="O70" s="150" t="s">
        <v>6154</v>
      </c>
      <c r="P70" s="19">
        <v>10</v>
      </c>
      <c r="Q70" s="147">
        <v>0</v>
      </c>
      <c r="R70" s="147">
        <v>34</v>
      </c>
      <c r="S70" s="147">
        <v>0</v>
      </c>
      <c r="T70" s="147">
        <f>R70-Q70</f>
        <v>34</v>
      </c>
      <c r="U70" s="160"/>
      <c r="V70" s="147">
        <f>U70+T70+S70</f>
        <v>34</v>
      </c>
      <c r="W70" s="19">
        <f>P70*1.5-V70</f>
        <v>-19</v>
      </c>
      <c r="X70" s="167">
        <f>IF(W70&gt;0,W70,0)</f>
        <v>0</v>
      </c>
      <c r="Y70" s="167">
        <f t="shared" si="7"/>
        <v>0</v>
      </c>
      <c r="Z70" s="185">
        <f>SUMIFS(meghsteelsales_previousmonth[Quantity],meghsteelsales_previousmonth[Length Bucket],O70)/1000</f>
        <v>0</v>
      </c>
      <c r="AA70" s="185">
        <f>SUMIFS(meghsteelsales_currentmonth[Quantity],meghsteelsales_currentmonth[Length Bucket],O70)/1000</f>
        <v>0</v>
      </c>
      <c r="AB70" s="185" t="str">
        <f t="shared" si="6"/>
        <v/>
      </c>
    </row>
    <row r="71" spans="1:28" x14ac:dyDescent="0.25">
      <c r="A71" s="187"/>
      <c r="B71" s="187"/>
      <c r="C71" s="188"/>
      <c r="D71" s="187"/>
      <c r="E71" s="187"/>
      <c r="F71" s="189"/>
      <c r="G71" s="189"/>
      <c r="H71" s="189"/>
      <c r="I71" s="147"/>
      <c r="J71" s="147"/>
      <c r="K71" s="147"/>
      <c r="L71" s="151"/>
      <c r="M71" s="150"/>
      <c r="N71" s="150" t="s">
        <v>6211</v>
      </c>
      <c r="O71" s="150" t="s">
        <v>6212</v>
      </c>
      <c r="P71" s="19"/>
      <c r="Q71" s="147"/>
      <c r="R71" s="147"/>
      <c r="S71" s="147"/>
      <c r="T71" s="147"/>
      <c r="U71" s="160"/>
      <c r="V71" s="147"/>
      <c r="W71" s="19"/>
      <c r="X71" s="167"/>
      <c r="Y71" s="167"/>
      <c r="Z71" s="185">
        <f>SUMIFS(meghsteelsales_previousmonth[Quantity],meghsteelsales_previousmonth[Length Bucket],O71)/1000</f>
        <v>0</v>
      </c>
      <c r="AA71" s="185"/>
      <c r="AB71" s="185" t="str">
        <f t="shared" si="6"/>
        <v/>
      </c>
    </row>
    <row r="72" spans="1:28" x14ac:dyDescent="0.25">
      <c r="I72" s="152" t="s">
        <v>372</v>
      </c>
      <c r="J72" s="152"/>
      <c r="K72" s="152"/>
      <c r="L72" s="152"/>
      <c r="M72" s="152"/>
      <c r="N72" s="152"/>
      <c r="O72" s="152"/>
      <c r="P72" s="152">
        <f>SUM(P2:P70)</f>
        <v>961</v>
      </c>
      <c r="Q72" s="152">
        <f>SUM(Q2:Q70)</f>
        <v>208</v>
      </c>
      <c r="R72" s="152">
        <f>SUM(R2:R70)</f>
        <v>803</v>
      </c>
      <c r="S72" s="152">
        <f>SUM(S2:S70)</f>
        <v>47</v>
      </c>
      <c r="T72" s="152">
        <f>SUM(T2:T64)</f>
        <v>545</v>
      </c>
      <c r="U72" s="152">
        <f>SUM(U2:U64)</f>
        <v>547.29999999999995</v>
      </c>
      <c r="V72" s="152">
        <f>SUM(V2:V70)</f>
        <v>1193.3</v>
      </c>
      <c r="W72" s="152">
        <f>SUM(W2:W70)</f>
        <v>308.2</v>
      </c>
      <c r="X72" s="172">
        <f>SUM(X2:X70)</f>
        <v>693.5</v>
      </c>
      <c r="Y72" s="172"/>
      <c r="Z72" s="62">
        <f>SUM(Z2:Z71)</f>
        <v>630.00412800000004</v>
      </c>
      <c r="AA72" s="15">
        <f>SUM(AA2:AA70)</f>
        <v>702.42915799999992</v>
      </c>
      <c r="AB72" s="15"/>
    </row>
    <row r="73" spans="1:28" x14ac:dyDescent="0.25">
      <c r="M73"/>
      <c r="N73"/>
      <c r="O73"/>
      <c r="W73"/>
      <c r="X73" s="173"/>
      <c r="Y73" s="173"/>
    </row>
    <row r="74" spans="1:28" x14ac:dyDescent="0.25">
      <c r="M74"/>
      <c r="N74"/>
      <c r="O74"/>
      <c r="W74"/>
      <c r="X74" s="173"/>
      <c r="Y74" s="173"/>
    </row>
    <row r="75" spans="1:28" x14ac:dyDescent="0.25">
      <c r="M75"/>
      <c r="N75"/>
      <c r="O75"/>
      <c r="W75"/>
      <c r="X75" s="173"/>
      <c r="Y75" s="173"/>
    </row>
    <row r="76" spans="1:28" x14ac:dyDescent="0.25">
      <c r="M76"/>
      <c r="N76"/>
      <c r="O76"/>
      <c r="W76"/>
      <c r="X76" s="173"/>
      <c r="Y76" s="173"/>
    </row>
    <row r="77" spans="1:28" x14ac:dyDescent="0.25">
      <c r="M77"/>
      <c r="N77"/>
      <c r="O77"/>
      <c r="W77"/>
      <c r="X77" s="173"/>
      <c r="Y77" s="173"/>
    </row>
    <row r="78" spans="1:28" x14ac:dyDescent="0.25">
      <c r="M78"/>
      <c r="N78"/>
      <c r="O78"/>
      <c r="W78"/>
      <c r="X78" s="173"/>
      <c r="Y78" s="173"/>
    </row>
    <row r="79" spans="1:28" x14ac:dyDescent="0.25">
      <c r="M79"/>
      <c r="N79"/>
      <c r="O79"/>
      <c r="W79"/>
      <c r="X79" s="173"/>
      <c r="Y79" s="173"/>
    </row>
    <row r="80" spans="1:28" x14ac:dyDescent="0.25">
      <c r="M80"/>
      <c r="N80"/>
      <c r="O80"/>
      <c r="W80"/>
      <c r="X80" s="173"/>
      <c r="Y80" s="173"/>
    </row>
    <row r="81" spans="12:25" x14ac:dyDescent="0.25">
      <c r="M81"/>
      <c r="N81"/>
      <c r="O81"/>
      <c r="W81"/>
      <c r="X81" s="173"/>
      <c r="Y81" s="173"/>
    </row>
    <row r="82" spans="12:25" x14ac:dyDescent="0.25">
      <c r="M82"/>
      <c r="N82"/>
      <c r="O82"/>
      <c r="W82"/>
      <c r="X82" s="173"/>
      <c r="Y82" s="173"/>
    </row>
    <row r="83" spans="12:25" x14ac:dyDescent="0.25">
      <c r="M83"/>
      <c r="N83"/>
      <c r="O83"/>
      <c r="W83"/>
      <c r="X83" s="173"/>
      <c r="Y83" s="173"/>
    </row>
    <row r="84" spans="12:25" x14ac:dyDescent="0.25">
      <c r="L84">
        <v>0.69199999999999995</v>
      </c>
      <c r="M84"/>
      <c r="N84"/>
      <c r="O84"/>
      <c r="W84"/>
      <c r="X84" s="173"/>
      <c r="Y84" s="173"/>
    </row>
    <row r="85" spans="12:25" x14ac:dyDescent="0.25">
      <c r="L85">
        <v>1.24</v>
      </c>
      <c r="M85"/>
      <c r="N85"/>
      <c r="O85"/>
      <c r="W85"/>
      <c r="X85" s="173"/>
      <c r="Y85" s="173"/>
    </row>
    <row r="86" spans="12:25" x14ac:dyDescent="0.25">
      <c r="L86">
        <v>1.4970000000000001</v>
      </c>
      <c r="M86"/>
      <c r="N86"/>
      <c r="O86"/>
      <c r="W86"/>
      <c r="X86" s="173"/>
      <c r="Y86" s="173"/>
    </row>
    <row r="87" spans="12:25" x14ac:dyDescent="0.25">
      <c r="L87">
        <v>1.5329999999999999</v>
      </c>
      <c r="M87"/>
      <c r="N87"/>
      <c r="O87"/>
      <c r="W87"/>
      <c r="X87" s="173"/>
      <c r="Y87" s="173"/>
    </row>
    <row r="88" spans="12:25" x14ac:dyDescent="0.25">
      <c r="L88">
        <v>1.288</v>
      </c>
      <c r="M88"/>
      <c r="N88"/>
      <c r="O88"/>
      <c r="W88"/>
      <c r="X88" s="173"/>
      <c r="Y88" s="173"/>
    </row>
    <row r="89" spans="12:25" x14ac:dyDescent="0.25">
      <c r="L89">
        <v>1.405</v>
      </c>
      <c r="M89"/>
      <c r="N89"/>
      <c r="O89"/>
      <c r="W89"/>
      <c r="X89" s="173"/>
      <c r="Y89" s="173"/>
    </row>
    <row r="90" spans="12:25" x14ac:dyDescent="0.25">
      <c r="M90"/>
      <c r="N90"/>
      <c r="O90"/>
      <c r="W90"/>
      <c r="X90" s="173"/>
      <c r="Y90" s="173"/>
    </row>
    <row r="91" spans="12:25" x14ac:dyDescent="0.25">
      <c r="M91"/>
      <c r="N91"/>
      <c r="O91"/>
      <c r="W91"/>
      <c r="X91" s="173"/>
      <c r="Y91" s="173"/>
    </row>
    <row r="92" spans="12:25" x14ac:dyDescent="0.25">
      <c r="M92"/>
      <c r="N92"/>
      <c r="O92"/>
      <c r="W92"/>
      <c r="X92" s="173"/>
      <c r="Y92" s="173"/>
    </row>
    <row r="93" spans="12:25" x14ac:dyDescent="0.25">
      <c r="M93"/>
      <c r="N93"/>
      <c r="O93"/>
      <c r="W93"/>
      <c r="X93" s="173"/>
      <c r="Y93" s="173"/>
    </row>
    <row r="94" spans="12:25" x14ac:dyDescent="0.25">
      <c r="M94"/>
      <c r="N94"/>
      <c r="O94"/>
      <c r="W94"/>
      <c r="X94" s="173"/>
      <c r="Y94" s="173"/>
    </row>
    <row r="95" spans="12:25" x14ac:dyDescent="0.25">
      <c r="M95"/>
      <c r="N95"/>
      <c r="O95"/>
      <c r="W95"/>
      <c r="X95" s="173"/>
      <c r="Y95" s="173"/>
    </row>
    <row r="96" spans="12:25" x14ac:dyDescent="0.25">
      <c r="M96"/>
      <c r="N96"/>
      <c r="O96"/>
      <c r="W96"/>
      <c r="X96" s="173"/>
      <c r="Y96" s="173"/>
    </row>
    <row r="97" spans="13:25" x14ac:dyDescent="0.25">
      <c r="M97"/>
      <c r="N97"/>
      <c r="O97"/>
      <c r="W97"/>
      <c r="X97" s="173"/>
      <c r="Y97" s="173"/>
    </row>
  </sheetData>
  <autoFilter ref="A1:AA72" xr:uid="{CC3B037F-7B83-41D1-9414-A60BD78F6714}"/>
  <conditionalFormatting sqref="O11">
    <cfRule type="duplicateValues" dxfId="63" priority="1"/>
  </conditionalFormatting>
  <conditionalFormatting sqref="O49">
    <cfRule type="duplicateValues" dxfId="62" priority="2"/>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5EF42-E032-4917-A4A8-FA819355A6EE}">
  <sheetPr codeName="Sheet30"/>
  <dimension ref="A1:AA87"/>
  <sheetViews>
    <sheetView topLeftCell="C1" workbookViewId="0">
      <pane ySplit="1" topLeftCell="A2" activePane="bottomLeft" state="frozen"/>
      <selection activeCell="X3" sqref="X3"/>
      <selection pane="bottomLeft" activeCell="Y2" sqref="Y2:AA2"/>
    </sheetView>
  </sheetViews>
  <sheetFormatPr defaultRowHeight="15" outlineLevelCol="1" x14ac:dyDescent="0.25"/>
  <cols>
    <col min="2" max="3" width="10.42578125" customWidth="1"/>
    <col min="5" max="5" width="5.7109375" customWidth="1"/>
    <col min="6" max="6" width="7.7109375" customWidth="1"/>
    <col min="7" max="7" width="6.140625" customWidth="1"/>
    <col min="8" max="8" width="6.7109375" customWidth="1"/>
    <col min="9" max="9" width="7.85546875" customWidth="1"/>
    <col min="10" max="10" width="7.7109375" customWidth="1"/>
    <col min="11" max="12" width="12.28515625" customWidth="1"/>
    <col min="13" max="14" width="12.28515625" style="199" customWidth="1"/>
    <col min="15" max="15" width="24.140625" style="199" customWidth="1"/>
    <col min="16" max="17" width="12.28515625" hidden="1" customWidth="1" outlineLevel="1"/>
    <col min="18" max="18" width="8.28515625" hidden="1" customWidth="1" outlineLevel="1"/>
    <col min="19" max="19" width="8.85546875" hidden="1" customWidth="1" outlineLevel="1"/>
    <col min="20" max="20" width="12.28515625" hidden="1" customWidth="1" outlineLevel="1"/>
    <col min="21" max="22" width="9.140625" hidden="1" customWidth="1" outlineLevel="1"/>
    <col min="23" max="23" width="12.5703125" style="162" hidden="1" customWidth="1" outlineLevel="1"/>
    <col min="24" max="24" width="15.5703125" style="174" customWidth="1" collapsed="1"/>
    <col min="25" max="26" width="9.140625" customWidth="1"/>
  </cols>
  <sheetData>
    <row r="1" spans="1:27" ht="63.75" x14ac:dyDescent="0.25">
      <c r="A1" s="138"/>
      <c r="B1" s="138" t="s">
        <v>258</v>
      </c>
      <c r="C1" s="139" t="s">
        <v>313</v>
      </c>
      <c r="D1" s="140" t="s">
        <v>314</v>
      </c>
      <c r="E1" s="138" t="s">
        <v>315</v>
      </c>
      <c r="F1" s="141" t="s">
        <v>316</v>
      </c>
      <c r="G1" s="141" t="s">
        <v>317</v>
      </c>
      <c r="H1" s="141" t="s">
        <v>318</v>
      </c>
      <c r="I1" s="138" t="s">
        <v>319</v>
      </c>
      <c r="J1" s="140" t="s">
        <v>320</v>
      </c>
      <c r="K1" s="138" t="s">
        <v>202</v>
      </c>
      <c r="L1" s="138" t="s">
        <v>322</v>
      </c>
      <c r="M1" s="195" t="s">
        <v>323</v>
      </c>
      <c r="N1" s="195" t="s">
        <v>261</v>
      </c>
      <c r="O1" s="195" t="s">
        <v>1850</v>
      </c>
      <c r="P1" s="143" t="s">
        <v>6145</v>
      </c>
      <c r="Q1" s="140" t="s">
        <v>325</v>
      </c>
      <c r="R1" s="144" t="s">
        <v>6146</v>
      </c>
      <c r="S1" s="140" t="s">
        <v>327</v>
      </c>
      <c r="T1" s="140" t="s">
        <v>6147</v>
      </c>
      <c r="U1" s="140" t="s">
        <v>329</v>
      </c>
      <c r="V1" s="140" t="s">
        <v>330</v>
      </c>
      <c r="W1" s="145" t="s">
        <v>6148</v>
      </c>
      <c r="X1" s="145" t="s">
        <v>6213</v>
      </c>
      <c r="Y1" s="146" t="s">
        <v>6152</v>
      </c>
      <c r="Z1" s="146" t="s">
        <v>6214</v>
      </c>
      <c r="AA1" s="146" t="s">
        <v>337</v>
      </c>
    </row>
    <row r="2" spans="1:27" x14ac:dyDescent="0.25">
      <c r="A2" s="147" t="s">
        <v>10</v>
      </c>
      <c r="B2" s="147" t="s">
        <v>116</v>
      </c>
      <c r="C2" s="147" t="s">
        <v>1079</v>
      </c>
      <c r="D2" s="147" t="s">
        <v>339</v>
      </c>
      <c r="E2" s="147" t="s">
        <v>1024</v>
      </c>
      <c r="F2" s="148">
        <v>11</v>
      </c>
      <c r="G2" s="148"/>
      <c r="H2" s="148">
        <v>1.5</v>
      </c>
      <c r="I2" s="147">
        <v>6000</v>
      </c>
      <c r="J2" s="147">
        <v>6</v>
      </c>
      <c r="K2" s="147" t="str">
        <f>_xlfn.CONCAT(F2,H2,J2,E2,D2)</f>
        <v>111.56CEW NON FIN</v>
      </c>
      <c r="L2" s="149">
        <v>789</v>
      </c>
      <c r="M2" s="150">
        <v>2442390</v>
      </c>
      <c r="N2" s="150" t="s">
        <v>6154</v>
      </c>
      <c r="O2" s="150" t="s">
        <v>6154</v>
      </c>
      <c r="P2" s="19">
        <v>1</v>
      </c>
      <c r="Q2" s="147">
        <v>0</v>
      </c>
      <c r="R2" s="147">
        <v>0</v>
      </c>
      <c r="S2" s="147">
        <v>0</v>
      </c>
      <c r="T2" s="147">
        <f>R2-Q2</f>
        <v>0</v>
      </c>
      <c r="U2" s="147">
        <f t="shared" ref="U2:U61" si="0">S2-R2</f>
        <v>0</v>
      </c>
      <c r="V2" s="147">
        <f>U2+T2+S2</f>
        <v>0</v>
      </c>
      <c r="W2" s="19">
        <f>P2*1.1-V2</f>
        <v>1.1000000000000001</v>
      </c>
      <c r="X2" s="167">
        <f>IF(W2&gt;0,W2,0)</f>
        <v>1.1000000000000001</v>
      </c>
      <c r="Y2" s="185">
        <f>SUMIFS(meghsteelsales_previousmonth[Quantity],meghsteelsales_previousmonth[Length Bucket],O2)/1000</f>
        <v>0</v>
      </c>
      <c r="Z2" s="185">
        <f>SUMIFS(meghsteelsales_currentmonth[Quantity],meghsteelsales_currentmonth[Length Bucket],O2)/1000</f>
        <v>0</v>
      </c>
      <c r="AA2" s="185">
        <f>IF((X2-Y2-Z2)&lt;0,0,(X2-Y2-Z2))</f>
        <v>1.1000000000000001</v>
      </c>
    </row>
    <row r="3" spans="1:27" x14ac:dyDescent="0.25">
      <c r="A3" s="147" t="s">
        <v>10</v>
      </c>
      <c r="B3" s="147" t="s">
        <v>116</v>
      </c>
      <c r="C3" s="147" t="s">
        <v>338</v>
      </c>
      <c r="D3" s="147" t="s">
        <v>339</v>
      </c>
      <c r="E3" s="147" t="s">
        <v>340</v>
      </c>
      <c r="F3" s="148">
        <v>12.7</v>
      </c>
      <c r="G3" s="148"/>
      <c r="H3" s="148">
        <v>1.2</v>
      </c>
      <c r="I3" s="147">
        <v>6000</v>
      </c>
      <c r="J3" s="147">
        <v>6</v>
      </c>
      <c r="K3" s="147" t="str">
        <f>_xlfn.CONCAT(F3,H3,J3,E3,D3)</f>
        <v>12.71.26ERWNON FIN</v>
      </c>
      <c r="L3" s="151" t="s">
        <v>345</v>
      </c>
      <c r="M3" s="150">
        <v>1939985</v>
      </c>
      <c r="N3" s="150" t="s">
        <v>6154</v>
      </c>
      <c r="O3" s="150" t="s">
        <v>6154</v>
      </c>
      <c r="P3" s="19">
        <v>8</v>
      </c>
      <c r="Q3" s="147">
        <v>3</v>
      </c>
      <c r="R3" s="147">
        <v>11</v>
      </c>
      <c r="S3" s="147">
        <v>0</v>
      </c>
      <c r="T3" s="147">
        <f t="shared" ref="T3:T61" si="1">R3-Q3</f>
        <v>8</v>
      </c>
      <c r="U3" s="147">
        <f t="shared" si="0"/>
        <v>-11</v>
      </c>
      <c r="V3" s="147">
        <f t="shared" ref="V3:V61" si="2">U3+T3+S3</f>
        <v>-3</v>
      </c>
      <c r="W3" s="19">
        <f t="shared" ref="W3:W61" si="3">P3*1.1-V3</f>
        <v>11.8</v>
      </c>
      <c r="X3" s="167">
        <f t="shared" ref="X3:X61" si="4">IF(W3&gt;0,W3,0)</f>
        <v>11.8</v>
      </c>
      <c r="Y3" s="185">
        <f>SUMIFS(meghsteelsales_previousmonth[Quantity],meghsteelsales_previousmonth[Length Bucket],O3)/1000</f>
        <v>0</v>
      </c>
      <c r="Z3" s="185">
        <f>SUMIFS(meghsteelsales_currentmonth[Quantity],meghsteelsales_currentmonth[Length Bucket],O3)/1000</f>
        <v>0</v>
      </c>
      <c r="AA3" s="185">
        <f t="shared" ref="AA3:AA61" si="5">IF((X3-Y3-Z3)&lt;0,0,(X3-Y3-Z3))</f>
        <v>11.8</v>
      </c>
    </row>
    <row r="4" spans="1:27" x14ac:dyDescent="0.25">
      <c r="A4" s="147" t="s">
        <v>341</v>
      </c>
      <c r="B4" s="147" t="s">
        <v>342</v>
      </c>
      <c r="C4" s="147" t="s">
        <v>338</v>
      </c>
      <c r="D4" s="147" t="s">
        <v>339</v>
      </c>
      <c r="E4" s="147" t="s">
        <v>340</v>
      </c>
      <c r="F4" s="148">
        <v>12.7</v>
      </c>
      <c r="G4" s="148"/>
      <c r="H4" s="148">
        <v>1.4</v>
      </c>
      <c r="I4" s="147">
        <v>6000</v>
      </c>
      <c r="J4" s="147">
        <v>6</v>
      </c>
      <c r="K4" s="147" t="str">
        <f>_xlfn.CONCAT(F4,H4,J4,E4,D4)</f>
        <v>12.71.46ERWNON FIN</v>
      </c>
      <c r="L4" s="151" t="s">
        <v>345</v>
      </c>
      <c r="M4" s="150">
        <v>1931117</v>
      </c>
      <c r="N4" s="150" t="s">
        <v>6154</v>
      </c>
      <c r="O4" s="150" t="s">
        <v>6154</v>
      </c>
      <c r="P4" s="19">
        <v>5</v>
      </c>
      <c r="Q4" s="147">
        <v>0</v>
      </c>
      <c r="R4" s="147">
        <v>9</v>
      </c>
      <c r="S4" s="147">
        <v>0</v>
      </c>
      <c r="T4" s="147">
        <f t="shared" si="1"/>
        <v>9</v>
      </c>
      <c r="U4" s="147">
        <f t="shared" si="0"/>
        <v>-9</v>
      </c>
      <c r="V4" s="147">
        <f t="shared" si="2"/>
        <v>0</v>
      </c>
      <c r="W4" s="19">
        <f t="shared" si="3"/>
        <v>5.5</v>
      </c>
      <c r="X4" s="167">
        <f t="shared" si="4"/>
        <v>5.5</v>
      </c>
      <c r="Y4" s="185">
        <f>SUMIFS(meghsteelsales_previousmonth[Quantity],meghsteelsales_previousmonth[Length Bucket],O4)/1000</f>
        <v>0</v>
      </c>
      <c r="Z4" s="185">
        <f>SUMIFS(meghsteelsales_currentmonth[Quantity],meghsteelsales_currentmonth[Length Bucket],O4)/1000</f>
        <v>0</v>
      </c>
      <c r="AA4" s="185">
        <f t="shared" si="5"/>
        <v>5.5</v>
      </c>
    </row>
    <row r="5" spans="1:27" x14ac:dyDescent="0.25">
      <c r="A5" s="147" t="s">
        <v>341</v>
      </c>
      <c r="B5" s="147" t="s">
        <v>342</v>
      </c>
      <c r="C5" s="147" t="s">
        <v>338</v>
      </c>
      <c r="D5" s="147" t="s">
        <v>339</v>
      </c>
      <c r="E5" s="147" t="s">
        <v>340</v>
      </c>
      <c r="F5" s="148">
        <v>12.7</v>
      </c>
      <c r="G5" s="148"/>
      <c r="H5" s="148">
        <v>1.6</v>
      </c>
      <c r="I5" s="147">
        <v>6000</v>
      </c>
      <c r="J5" s="147">
        <v>6</v>
      </c>
      <c r="K5" s="147" t="str">
        <f t="shared" ref="K5:K61" si="6">_xlfn.CONCAT(F5,H5,J5,E5,D5)</f>
        <v>12.71.66ERWNON FIN</v>
      </c>
      <c r="L5" s="151" t="s">
        <v>345</v>
      </c>
      <c r="M5" s="150">
        <v>1931154</v>
      </c>
      <c r="N5" s="150" t="s">
        <v>6154</v>
      </c>
      <c r="O5" s="150" t="s">
        <v>6154</v>
      </c>
      <c r="P5" s="19">
        <v>2</v>
      </c>
      <c r="Q5" s="147">
        <v>0</v>
      </c>
      <c r="R5" s="147">
        <v>4</v>
      </c>
      <c r="S5" s="147">
        <v>0</v>
      </c>
      <c r="T5" s="147">
        <f t="shared" si="1"/>
        <v>4</v>
      </c>
      <c r="U5" s="147">
        <f t="shared" si="0"/>
        <v>-4</v>
      </c>
      <c r="V5" s="147">
        <f t="shared" si="2"/>
        <v>0</v>
      </c>
      <c r="W5" s="19">
        <f t="shared" si="3"/>
        <v>2.2000000000000002</v>
      </c>
      <c r="X5" s="167">
        <f t="shared" si="4"/>
        <v>2.2000000000000002</v>
      </c>
      <c r="Y5" s="185">
        <f>SUMIFS(meghsteelsales_previousmonth[Quantity],meghsteelsales_previousmonth[Length Bucket],O5)/1000</f>
        <v>0</v>
      </c>
      <c r="Z5" s="185">
        <f>SUMIFS(meghsteelsales_currentmonth[Quantity],meghsteelsales_currentmonth[Length Bucket],O5)/1000</f>
        <v>0</v>
      </c>
      <c r="AA5" s="185">
        <f t="shared" si="5"/>
        <v>2.2000000000000002</v>
      </c>
    </row>
    <row r="6" spans="1:27" x14ac:dyDescent="0.25">
      <c r="A6" s="147" t="s">
        <v>10</v>
      </c>
      <c r="B6" s="147" t="s">
        <v>116</v>
      </c>
      <c r="C6" s="147" t="s">
        <v>338</v>
      </c>
      <c r="D6" s="147" t="s">
        <v>339</v>
      </c>
      <c r="E6" s="147" t="s">
        <v>340</v>
      </c>
      <c r="F6" s="148">
        <v>12.7</v>
      </c>
      <c r="G6" s="148"/>
      <c r="H6" s="148">
        <v>2</v>
      </c>
      <c r="I6" s="147">
        <v>6000</v>
      </c>
      <c r="J6" s="147">
        <v>6</v>
      </c>
      <c r="K6" s="147" t="str">
        <f t="shared" si="6"/>
        <v>12.726ERWNON FIN</v>
      </c>
      <c r="L6" s="151" t="s">
        <v>345</v>
      </c>
      <c r="M6" s="149" t="s">
        <v>6215</v>
      </c>
      <c r="N6" s="150"/>
      <c r="O6" s="150" t="e">
        <v>#N/A</v>
      </c>
      <c r="P6" s="19">
        <v>3</v>
      </c>
      <c r="Q6" s="147">
        <v>0</v>
      </c>
      <c r="R6" s="147">
        <v>0</v>
      </c>
      <c r="S6" s="147">
        <v>0</v>
      </c>
      <c r="T6" s="147">
        <f t="shared" si="1"/>
        <v>0</v>
      </c>
      <c r="U6" s="147">
        <f t="shared" si="0"/>
        <v>0</v>
      </c>
      <c r="V6" s="147">
        <f t="shared" si="2"/>
        <v>0</v>
      </c>
      <c r="W6" s="19">
        <f t="shared" si="3"/>
        <v>3.3000000000000003</v>
      </c>
      <c r="X6" s="167">
        <f t="shared" si="4"/>
        <v>3.3000000000000003</v>
      </c>
      <c r="Y6" s="185">
        <f>SUMIFS(meghsteelsales_previousmonth[Quantity],meghsteelsales_previousmonth[Length Bucket],O6)/1000</f>
        <v>0</v>
      </c>
      <c r="Z6" s="185">
        <f>SUMIFS(meghsteelsales_currentmonth[Quantity],meghsteelsales_currentmonth[Length Bucket],O6)/1000</f>
        <v>0</v>
      </c>
      <c r="AA6" s="185">
        <f t="shared" si="5"/>
        <v>3.3000000000000003</v>
      </c>
    </row>
    <row r="7" spans="1:27" x14ac:dyDescent="0.25">
      <c r="A7" s="147" t="s">
        <v>341</v>
      </c>
      <c r="B7" s="147" t="s">
        <v>342</v>
      </c>
      <c r="C7" s="147" t="s">
        <v>338</v>
      </c>
      <c r="D7" s="147" t="s">
        <v>339</v>
      </c>
      <c r="E7" s="147" t="s">
        <v>340</v>
      </c>
      <c r="F7" s="148">
        <v>15.88</v>
      </c>
      <c r="G7" s="148"/>
      <c r="H7" s="148">
        <v>1</v>
      </c>
      <c r="I7" s="147">
        <v>6000</v>
      </c>
      <c r="J7" s="147">
        <v>6</v>
      </c>
      <c r="K7" s="147" t="str">
        <f t="shared" si="6"/>
        <v>15.8816ERWNON FIN</v>
      </c>
      <c r="L7" s="151" t="s">
        <v>345</v>
      </c>
      <c r="M7" s="150">
        <v>1940054</v>
      </c>
      <c r="N7" s="150" t="s">
        <v>423</v>
      </c>
      <c r="O7" s="150" t="s">
        <v>6156</v>
      </c>
      <c r="P7" s="19">
        <v>1</v>
      </c>
      <c r="Q7" s="147">
        <v>0</v>
      </c>
      <c r="R7" s="147">
        <v>1.5</v>
      </c>
      <c r="S7" s="147">
        <v>0</v>
      </c>
      <c r="T7" s="147">
        <f t="shared" si="1"/>
        <v>1.5</v>
      </c>
      <c r="U7" s="147">
        <f t="shared" si="0"/>
        <v>-1.5</v>
      </c>
      <c r="V7" s="147">
        <f t="shared" si="2"/>
        <v>0</v>
      </c>
      <c r="W7" s="19">
        <f t="shared" si="3"/>
        <v>1.1000000000000001</v>
      </c>
      <c r="X7" s="167">
        <f t="shared" si="4"/>
        <v>1.1000000000000001</v>
      </c>
      <c r="Y7" s="185">
        <f>SUMIFS(meghsteelsales_previousmonth[Quantity],meghsteelsales_previousmonth[Length Bucket],O7)/1000</f>
        <v>0</v>
      </c>
      <c r="Z7" s="185">
        <f>SUMIFS(meghsteelsales_currentmonth[Quantity],meghsteelsales_currentmonth[Length Bucket],O7)/1000</f>
        <v>0</v>
      </c>
      <c r="AA7" s="185">
        <f t="shared" si="5"/>
        <v>1.1000000000000001</v>
      </c>
    </row>
    <row r="8" spans="1:27" x14ac:dyDescent="0.25">
      <c r="A8" s="147" t="s">
        <v>10</v>
      </c>
      <c r="B8" s="147" t="s">
        <v>116</v>
      </c>
      <c r="C8" s="147" t="s">
        <v>338</v>
      </c>
      <c r="D8" s="147" t="s">
        <v>339</v>
      </c>
      <c r="E8" s="147" t="s">
        <v>340</v>
      </c>
      <c r="F8" s="148">
        <v>15.88</v>
      </c>
      <c r="G8" s="148"/>
      <c r="H8" s="148">
        <v>1.2</v>
      </c>
      <c r="I8" s="147">
        <v>6000</v>
      </c>
      <c r="J8" s="147">
        <v>6</v>
      </c>
      <c r="K8" s="147" t="str">
        <f t="shared" si="6"/>
        <v>15.881.26ERWNON FIN</v>
      </c>
      <c r="L8" s="151" t="s">
        <v>345</v>
      </c>
      <c r="M8" s="150">
        <v>1940054</v>
      </c>
      <c r="N8" s="150" t="s">
        <v>423</v>
      </c>
      <c r="O8" s="150" t="s">
        <v>6156</v>
      </c>
      <c r="P8" s="19">
        <v>5</v>
      </c>
      <c r="Q8" s="147">
        <v>1</v>
      </c>
      <c r="R8" s="147">
        <v>10</v>
      </c>
      <c r="S8" s="147">
        <v>0</v>
      </c>
      <c r="T8" s="147">
        <f t="shared" si="1"/>
        <v>9</v>
      </c>
      <c r="U8" s="147">
        <f t="shared" si="0"/>
        <v>-10</v>
      </c>
      <c r="V8" s="147">
        <f t="shared" si="2"/>
        <v>-1</v>
      </c>
      <c r="W8" s="19">
        <f t="shared" si="3"/>
        <v>6.5</v>
      </c>
      <c r="X8" s="167">
        <f t="shared" si="4"/>
        <v>6.5</v>
      </c>
      <c r="Y8" s="185">
        <f>SUMIFS(meghsteelsales_previousmonth[Quantity],meghsteelsales_previousmonth[Length Bucket],O8)/1000</f>
        <v>0</v>
      </c>
      <c r="Z8" s="185">
        <f>SUMIFS(meghsteelsales_currentmonth[Quantity],meghsteelsales_currentmonth[Length Bucket],O8)/1000</f>
        <v>0</v>
      </c>
      <c r="AA8" s="185">
        <f t="shared" si="5"/>
        <v>6.5</v>
      </c>
    </row>
    <row r="9" spans="1:27" x14ac:dyDescent="0.25">
      <c r="A9" s="147" t="s">
        <v>341</v>
      </c>
      <c r="B9" s="147" t="s">
        <v>342</v>
      </c>
      <c r="C9" s="147" t="s">
        <v>338</v>
      </c>
      <c r="D9" s="147" t="s">
        <v>339</v>
      </c>
      <c r="E9" s="147" t="s">
        <v>340</v>
      </c>
      <c r="F9" s="148">
        <v>15.88</v>
      </c>
      <c r="G9" s="148"/>
      <c r="H9" s="148">
        <v>1.6</v>
      </c>
      <c r="I9" s="147">
        <v>6000</v>
      </c>
      <c r="J9" s="147">
        <v>6</v>
      </c>
      <c r="K9" s="147" t="str">
        <f t="shared" si="6"/>
        <v>15.881.66ERWNON FIN</v>
      </c>
      <c r="L9" s="151" t="s">
        <v>345</v>
      </c>
      <c r="M9" s="150">
        <v>1900224</v>
      </c>
      <c r="N9" s="150" t="s">
        <v>506</v>
      </c>
      <c r="O9" s="150" t="s">
        <v>6158</v>
      </c>
      <c r="P9" s="19">
        <v>2</v>
      </c>
      <c r="Q9" s="147">
        <v>0</v>
      </c>
      <c r="R9" s="147">
        <v>1.5</v>
      </c>
      <c r="S9" s="147">
        <v>0</v>
      </c>
      <c r="T9" s="147">
        <f t="shared" si="1"/>
        <v>1.5</v>
      </c>
      <c r="U9" s="147">
        <f t="shared" si="0"/>
        <v>-1.5</v>
      </c>
      <c r="V9" s="147">
        <f t="shared" si="2"/>
        <v>0</v>
      </c>
      <c r="W9" s="19">
        <f t="shared" si="3"/>
        <v>2.2000000000000002</v>
      </c>
      <c r="X9" s="167">
        <f t="shared" si="4"/>
        <v>2.2000000000000002</v>
      </c>
      <c r="Y9" s="185">
        <f>SUMIFS(meghsteelsales_previousmonth[Quantity],meghsteelsales_previousmonth[Length Bucket],O9)/1000</f>
        <v>0</v>
      </c>
      <c r="Z9" s="185">
        <f>SUMIFS(meghsteelsales_currentmonth[Quantity],meghsteelsales_currentmonth[Length Bucket],O9)/1000</f>
        <v>0</v>
      </c>
      <c r="AA9" s="185">
        <f t="shared" si="5"/>
        <v>2.2000000000000002</v>
      </c>
    </row>
    <row r="10" spans="1:27" x14ac:dyDescent="0.25">
      <c r="A10" s="147" t="s">
        <v>341</v>
      </c>
      <c r="B10" s="147" t="s">
        <v>342</v>
      </c>
      <c r="C10" s="147" t="s">
        <v>338</v>
      </c>
      <c r="D10" s="147" t="s">
        <v>339</v>
      </c>
      <c r="E10" s="147" t="s">
        <v>340</v>
      </c>
      <c r="F10" s="148">
        <v>15.88</v>
      </c>
      <c r="G10" s="148"/>
      <c r="H10" s="148">
        <v>2</v>
      </c>
      <c r="I10" s="147">
        <v>6000</v>
      </c>
      <c r="J10" s="147">
        <v>6</v>
      </c>
      <c r="K10" s="147" t="str">
        <f t="shared" si="6"/>
        <v>15.8826ERWNON FIN</v>
      </c>
      <c r="L10" s="151" t="s">
        <v>345</v>
      </c>
      <c r="M10" s="150">
        <v>1940120</v>
      </c>
      <c r="N10" s="150" t="s">
        <v>537</v>
      </c>
      <c r="O10" s="150" t="s">
        <v>6159</v>
      </c>
      <c r="P10" s="19">
        <v>0</v>
      </c>
      <c r="Q10" s="147">
        <v>0</v>
      </c>
      <c r="R10" s="147">
        <v>1.2</v>
      </c>
      <c r="S10" s="147">
        <v>0</v>
      </c>
      <c r="T10" s="147">
        <f t="shared" si="1"/>
        <v>1.2</v>
      </c>
      <c r="U10" s="147">
        <f t="shared" si="0"/>
        <v>-1.2</v>
      </c>
      <c r="V10" s="147">
        <f t="shared" si="2"/>
        <v>0</v>
      </c>
      <c r="W10" s="19">
        <f t="shared" si="3"/>
        <v>0</v>
      </c>
      <c r="X10" s="167">
        <f t="shared" si="4"/>
        <v>0</v>
      </c>
      <c r="Y10" s="185">
        <f>SUMIFS(meghsteelsales_previousmonth[Quantity],meghsteelsales_previousmonth[Length Bucket],O10)/1000</f>
        <v>0</v>
      </c>
      <c r="Z10" s="185">
        <f>SUMIFS(meghsteelsales_currentmonth[Quantity],meghsteelsales_currentmonth[Length Bucket],O10)/1000</f>
        <v>0</v>
      </c>
      <c r="AA10" s="185">
        <f t="shared" si="5"/>
        <v>0</v>
      </c>
    </row>
    <row r="11" spans="1:27" x14ac:dyDescent="0.25">
      <c r="A11" s="147" t="s">
        <v>10</v>
      </c>
      <c r="B11" s="147" t="s">
        <v>343</v>
      </c>
      <c r="C11" s="147" t="s">
        <v>338</v>
      </c>
      <c r="D11" s="147" t="s">
        <v>339</v>
      </c>
      <c r="E11" s="147" t="s">
        <v>340</v>
      </c>
      <c r="F11" s="148">
        <v>18.3</v>
      </c>
      <c r="G11" s="148"/>
      <c r="H11" s="148">
        <v>1</v>
      </c>
      <c r="I11" s="147">
        <v>6000</v>
      </c>
      <c r="J11" s="147">
        <v>6</v>
      </c>
      <c r="K11" s="147" t="str">
        <f t="shared" si="6"/>
        <v>18.316ERWNON FIN</v>
      </c>
      <c r="L11" s="151" t="s">
        <v>345</v>
      </c>
      <c r="M11" s="150"/>
      <c r="N11" s="150"/>
      <c r="O11" s="150" t="e">
        <v>#N/A</v>
      </c>
      <c r="P11" s="19">
        <v>3</v>
      </c>
      <c r="Q11" s="147">
        <v>1</v>
      </c>
      <c r="R11" s="147">
        <v>2.2000000000000002</v>
      </c>
      <c r="S11" s="147">
        <v>0</v>
      </c>
      <c r="T11" s="147">
        <f t="shared" si="1"/>
        <v>1.2000000000000002</v>
      </c>
      <c r="U11" s="147">
        <f t="shared" si="0"/>
        <v>-2.2000000000000002</v>
      </c>
      <c r="V11" s="147">
        <f t="shared" si="2"/>
        <v>-1</v>
      </c>
      <c r="W11" s="19">
        <f t="shared" si="3"/>
        <v>4.3000000000000007</v>
      </c>
      <c r="X11" s="167">
        <f t="shared" si="4"/>
        <v>4.3000000000000007</v>
      </c>
      <c r="Y11" s="185">
        <f>SUMIFS(meghsteelsales_previousmonth[Quantity],meghsteelsales_previousmonth[Length Bucket],O11)/1000</f>
        <v>0</v>
      </c>
      <c r="Z11" s="185">
        <f>SUMIFS(meghsteelsales_currentmonth[Quantity],meghsteelsales_currentmonth[Length Bucket],O11)/1000</f>
        <v>0</v>
      </c>
      <c r="AA11" s="185">
        <f t="shared" si="5"/>
        <v>4.3000000000000007</v>
      </c>
    </row>
    <row r="12" spans="1:27" x14ac:dyDescent="0.25">
      <c r="A12" s="147" t="s">
        <v>341</v>
      </c>
      <c r="B12" s="147" t="s">
        <v>342</v>
      </c>
      <c r="C12" s="153" t="s">
        <v>338</v>
      </c>
      <c r="D12" s="147" t="s">
        <v>339</v>
      </c>
      <c r="E12" s="147" t="s">
        <v>340</v>
      </c>
      <c r="F12" s="148">
        <v>19.05</v>
      </c>
      <c r="G12" s="148"/>
      <c r="H12" s="148">
        <v>1.6</v>
      </c>
      <c r="I12" s="147">
        <v>6000</v>
      </c>
      <c r="J12" s="147">
        <v>6</v>
      </c>
      <c r="K12" s="147" t="str">
        <f t="shared" si="6"/>
        <v>19.051.66ERWNON FIN</v>
      </c>
      <c r="L12" s="149">
        <v>56</v>
      </c>
      <c r="M12" s="150">
        <v>3498997</v>
      </c>
      <c r="N12" s="150" t="s">
        <v>983</v>
      </c>
      <c r="O12" s="150" t="s">
        <v>6161</v>
      </c>
      <c r="P12" s="19">
        <v>10</v>
      </c>
      <c r="Q12" s="147">
        <v>1</v>
      </c>
      <c r="R12" s="147">
        <v>2</v>
      </c>
      <c r="S12" s="147">
        <v>2.4</v>
      </c>
      <c r="T12" s="147">
        <f t="shared" si="1"/>
        <v>1</v>
      </c>
      <c r="U12" s="147">
        <v>9</v>
      </c>
      <c r="V12" s="147">
        <f t="shared" si="2"/>
        <v>12.4</v>
      </c>
      <c r="W12" s="19">
        <f t="shared" si="3"/>
        <v>-1.4000000000000004</v>
      </c>
      <c r="X12" s="167">
        <f t="shared" si="4"/>
        <v>0</v>
      </c>
      <c r="Y12" s="185">
        <f>SUMIFS(meghsteelsales_previousmonth[Quantity],meghsteelsales_previousmonth[Length Bucket],O12)/1000</f>
        <v>10.74</v>
      </c>
      <c r="Z12" s="185">
        <f>SUMIFS(meghsteelsales_currentmonth[Quantity],meghsteelsales_currentmonth[Length Bucket],O12)/1000</f>
        <v>12.04182</v>
      </c>
      <c r="AA12" s="185">
        <f t="shared" si="5"/>
        <v>0</v>
      </c>
    </row>
    <row r="13" spans="1:27" x14ac:dyDescent="0.25">
      <c r="A13" s="147" t="s">
        <v>341</v>
      </c>
      <c r="B13" s="147" t="s">
        <v>342</v>
      </c>
      <c r="C13" s="147" t="s">
        <v>344</v>
      </c>
      <c r="D13" s="147" t="s">
        <v>339</v>
      </c>
      <c r="E13" s="147" t="s">
        <v>344</v>
      </c>
      <c r="F13" s="148">
        <v>19.05</v>
      </c>
      <c r="G13" s="148"/>
      <c r="H13" s="148">
        <v>1.4</v>
      </c>
      <c r="I13" s="147">
        <v>6000</v>
      </c>
      <c r="J13" s="147">
        <v>6</v>
      </c>
      <c r="K13" s="147" t="str">
        <f t="shared" si="6"/>
        <v>19.051.46ERW2NON FIN</v>
      </c>
      <c r="L13" s="151" t="s">
        <v>367</v>
      </c>
      <c r="M13" s="149">
        <v>3891285</v>
      </c>
      <c r="N13" s="150" t="s">
        <v>6154</v>
      </c>
      <c r="O13" s="150" t="s">
        <v>6154</v>
      </c>
      <c r="P13" s="19">
        <v>0</v>
      </c>
      <c r="Q13" s="147">
        <v>0</v>
      </c>
      <c r="R13" s="147">
        <v>4.3</v>
      </c>
      <c r="S13" s="147">
        <v>0</v>
      </c>
      <c r="T13" s="147">
        <f t="shared" si="1"/>
        <v>4.3</v>
      </c>
      <c r="U13" s="147">
        <f t="shared" si="0"/>
        <v>-4.3</v>
      </c>
      <c r="V13" s="147">
        <f t="shared" si="2"/>
        <v>0</v>
      </c>
      <c r="W13" s="19">
        <f t="shared" si="3"/>
        <v>0</v>
      </c>
      <c r="X13" s="167">
        <f t="shared" si="4"/>
        <v>0</v>
      </c>
      <c r="Y13" s="185">
        <f>SUMIFS(meghsteelsales_previousmonth[Quantity],meghsteelsales_previousmonth[Length Bucket],O13)/1000</f>
        <v>0</v>
      </c>
      <c r="Z13" s="185">
        <f>SUMIFS(meghsteelsales_currentmonth[Quantity],meghsteelsales_currentmonth[Length Bucket],O13)/1000</f>
        <v>0</v>
      </c>
      <c r="AA13" s="185">
        <f t="shared" si="5"/>
        <v>0</v>
      </c>
    </row>
    <row r="14" spans="1:27" x14ac:dyDescent="0.25">
      <c r="A14" s="147" t="s">
        <v>10</v>
      </c>
      <c r="B14" s="147" t="s">
        <v>116</v>
      </c>
      <c r="C14" s="153" t="s">
        <v>338</v>
      </c>
      <c r="D14" s="147" t="s">
        <v>339</v>
      </c>
      <c r="E14" s="147" t="s">
        <v>340</v>
      </c>
      <c r="F14" s="154">
        <v>19.05</v>
      </c>
      <c r="G14" s="154"/>
      <c r="H14" s="154">
        <v>2</v>
      </c>
      <c r="I14" s="155">
        <v>5841</v>
      </c>
      <c r="J14" s="147">
        <v>5.84</v>
      </c>
      <c r="K14" s="147" t="str">
        <f t="shared" si="6"/>
        <v>19.0525.84ERWNON FIN</v>
      </c>
      <c r="L14" s="151" t="s">
        <v>367</v>
      </c>
      <c r="M14" s="150">
        <v>3673888</v>
      </c>
      <c r="N14" s="150" t="s">
        <v>604</v>
      </c>
      <c r="O14" s="150" t="s">
        <v>6163</v>
      </c>
      <c r="P14" s="19">
        <v>35</v>
      </c>
      <c r="Q14" s="147">
        <v>15</v>
      </c>
      <c r="R14" s="147">
        <v>25</v>
      </c>
      <c r="S14" s="147">
        <v>0</v>
      </c>
      <c r="T14" s="147">
        <f t="shared" si="1"/>
        <v>10</v>
      </c>
      <c r="U14" s="147">
        <f t="shared" si="0"/>
        <v>-25</v>
      </c>
      <c r="V14" s="147">
        <f t="shared" si="2"/>
        <v>-15</v>
      </c>
      <c r="W14" s="19">
        <f t="shared" si="3"/>
        <v>53.5</v>
      </c>
      <c r="X14" s="167">
        <f t="shared" si="4"/>
        <v>53.5</v>
      </c>
      <c r="Y14" s="185">
        <f>SUMIFS(meghsteelsales_previousmonth[Quantity],meghsteelsales_previousmonth[Length Bucket],O14)/1000</f>
        <v>0</v>
      </c>
      <c r="Z14" s="185">
        <f>SUMIFS(meghsteelsales_currentmonth[Quantity],meghsteelsales_currentmonth[Length Bucket],O14)/1000</f>
        <v>0</v>
      </c>
      <c r="AA14" s="185">
        <f t="shared" si="5"/>
        <v>53.5</v>
      </c>
    </row>
    <row r="15" spans="1:27" x14ac:dyDescent="0.25">
      <c r="A15" s="147" t="s">
        <v>10</v>
      </c>
      <c r="B15" s="147" t="s">
        <v>346</v>
      </c>
      <c r="C15" s="153" t="s">
        <v>338</v>
      </c>
      <c r="D15" s="147" t="s">
        <v>339</v>
      </c>
      <c r="E15" s="147" t="s">
        <v>340</v>
      </c>
      <c r="F15" s="148">
        <v>19.05</v>
      </c>
      <c r="G15" s="148"/>
      <c r="H15" s="148">
        <v>2.2999999999999998</v>
      </c>
      <c r="I15" s="147">
        <v>7000</v>
      </c>
      <c r="J15" s="147">
        <v>7</v>
      </c>
      <c r="K15" s="147" t="str">
        <f t="shared" si="6"/>
        <v>19.052.37ERWNON FIN</v>
      </c>
      <c r="L15" s="151" t="s">
        <v>367</v>
      </c>
      <c r="M15" s="150">
        <v>3500582</v>
      </c>
      <c r="N15" s="150" t="s">
        <v>407</v>
      </c>
      <c r="O15" s="150" t="s">
        <v>6164</v>
      </c>
      <c r="P15" s="19">
        <v>20</v>
      </c>
      <c r="Q15" s="147">
        <v>6</v>
      </c>
      <c r="R15" s="147">
        <v>11</v>
      </c>
      <c r="S15" s="147">
        <v>0</v>
      </c>
      <c r="T15" s="147">
        <f t="shared" si="1"/>
        <v>5</v>
      </c>
      <c r="U15" s="147">
        <f t="shared" si="0"/>
        <v>-11</v>
      </c>
      <c r="V15" s="147">
        <f t="shared" si="2"/>
        <v>-6</v>
      </c>
      <c r="W15" s="19">
        <f t="shared" si="3"/>
        <v>28</v>
      </c>
      <c r="X15" s="167">
        <f t="shared" si="4"/>
        <v>28</v>
      </c>
      <c r="Y15" s="185">
        <f>SUMIFS(meghsteelsales_previousmonth[Quantity],meghsteelsales_previousmonth[Length Bucket],O15)/1000</f>
        <v>20.52</v>
      </c>
      <c r="Z15" s="185">
        <f>SUMIFS(meghsteelsales_currentmonth[Quantity],meghsteelsales_currentmonth[Length Bucket],O15)/1000</f>
        <v>4.2763360000000006</v>
      </c>
      <c r="AA15" s="185">
        <f t="shared" si="5"/>
        <v>3.2036639999999998</v>
      </c>
    </row>
    <row r="16" spans="1:27" x14ac:dyDescent="0.25">
      <c r="A16" s="147" t="s">
        <v>10</v>
      </c>
      <c r="B16" s="147" t="s">
        <v>116</v>
      </c>
      <c r="C16" s="147" t="s">
        <v>338</v>
      </c>
      <c r="D16" s="147" t="s">
        <v>339</v>
      </c>
      <c r="E16" s="147" t="s">
        <v>340</v>
      </c>
      <c r="F16" s="148">
        <v>21.4</v>
      </c>
      <c r="G16" s="148"/>
      <c r="H16" s="148">
        <v>1.6</v>
      </c>
      <c r="I16" s="147">
        <v>6000</v>
      </c>
      <c r="J16" s="147">
        <v>6</v>
      </c>
      <c r="K16" s="147" t="str">
        <f t="shared" si="6"/>
        <v>21.41.66ERWNON FIN</v>
      </c>
      <c r="L16" s="158" t="s">
        <v>345</v>
      </c>
      <c r="M16" s="150">
        <v>3219710</v>
      </c>
      <c r="N16" s="150" t="s">
        <v>6216</v>
      </c>
      <c r="O16" s="150" t="s">
        <v>6217</v>
      </c>
      <c r="P16" s="19">
        <v>3</v>
      </c>
      <c r="Q16" s="147">
        <v>2</v>
      </c>
      <c r="R16" s="147">
        <v>6.3</v>
      </c>
      <c r="S16" s="147">
        <v>0</v>
      </c>
      <c r="T16" s="147">
        <f t="shared" si="1"/>
        <v>4.3</v>
      </c>
      <c r="U16" s="147">
        <f t="shared" si="0"/>
        <v>-6.3</v>
      </c>
      <c r="V16" s="147">
        <f t="shared" si="2"/>
        <v>-2</v>
      </c>
      <c r="W16" s="19">
        <f t="shared" si="3"/>
        <v>5.3000000000000007</v>
      </c>
      <c r="X16" s="167">
        <f t="shared" si="4"/>
        <v>5.3000000000000007</v>
      </c>
      <c r="Y16" s="185">
        <f>SUMIFS(meghsteelsales_previousmonth[Quantity],meghsteelsales_previousmonth[Length Bucket],O16)/1000</f>
        <v>0</v>
      </c>
      <c r="Z16" s="185">
        <f>SUMIFS(meghsteelsales_currentmonth[Quantity],meghsteelsales_currentmonth[Length Bucket],O16)/1000</f>
        <v>0</v>
      </c>
      <c r="AA16" s="185">
        <f t="shared" si="5"/>
        <v>5.3000000000000007</v>
      </c>
    </row>
    <row r="17" spans="1:27" x14ac:dyDescent="0.25">
      <c r="A17" s="147" t="s">
        <v>10</v>
      </c>
      <c r="B17" s="147" t="s">
        <v>116</v>
      </c>
      <c r="C17" s="153" t="s">
        <v>338</v>
      </c>
      <c r="D17" s="147" t="s">
        <v>339</v>
      </c>
      <c r="E17" s="147" t="s">
        <v>340</v>
      </c>
      <c r="F17" s="148">
        <v>22.2</v>
      </c>
      <c r="G17" s="148"/>
      <c r="H17" s="148">
        <v>1.2</v>
      </c>
      <c r="I17" s="147">
        <v>5870</v>
      </c>
      <c r="J17" s="147">
        <v>5.87</v>
      </c>
      <c r="K17" s="147" t="str">
        <f t="shared" si="6"/>
        <v>22.21.25.87ERWNON FIN</v>
      </c>
      <c r="L17" s="151" t="s">
        <v>367</v>
      </c>
      <c r="M17" s="196">
        <v>3974562</v>
      </c>
      <c r="N17" s="150" t="s">
        <v>607</v>
      </c>
      <c r="O17" s="150" t="s">
        <v>6165</v>
      </c>
      <c r="P17" s="19">
        <v>18</v>
      </c>
      <c r="Q17" s="147">
        <v>6</v>
      </c>
      <c r="R17" s="147">
        <v>11</v>
      </c>
      <c r="S17" s="147">
        <v>0</v>
      </c>
      <c r="T17" s="147">
        <f t="shared" si="1"/>
        <v>5</v>
      </c>
      <c r="U17" s="147">
        <v>22.8</v>
      </c>
      <c r="V17" s="147">
        <f t="shared" si="2"/>
        <v>27.8</v>
      </c>
      <c r="W17" s="19">
        <f t="shared" si="3"/>
        <v>-8</v>
      </c>
      <c r="X17" s="167">
        <f t="shared" si="4"/>
        <v>0</v>
      </c>
      <c r="Y17" s="185">
        <f>SUMIFS(meghsteelsales_previousmonth[Quantity],meghsteelsales_previousmonth[Length Bucket],O17)/1000</f>
        <v>7.3276850000000016</v>
      </c>
      <c r="Z17" s="185">
        <f>SUMIFS(meghsteelsales_currentmonth[Quantity],meghsteelsales_currentmonth[Length Bucket],O17)/1000</f>
        <v>12.956144999999999</v>
      </c>
      <c r="AA17" s="185">
        <f t="shared" si="5"/>
        <v>0</v>
      </c>
    </row>
    <row r="18" spans="1:27" x14ac:dyDescent="0.25">
      <c r="A18" s="147" t="s">
        <v>341</v>
      </c>
      <c r="B18" s="147" t="s">
        <v>342</v>
      </c>
      <c r="C18" s="153" t="s">
        <v>344</v>
      </c>
      <c r="D18" s="147" t="s">
        <v>339</v>
      </c>
      <c r="E18" s="147" t="s">
        <v>347</v>
      </c>
      <c r="F18" s="148">
        <v>22.2</v>
      </c>
      <c r="G18" s="148"/>
      <c r="H18" s="148">
        <v>1.4</v>
      </c>
      <c r="I18" s="147">
        <v>6000</v>
      </c>
      <c r="J18" s="147">
        <v>6</v>
      </c>
      <c r="K18" s="147" t="str">
        <f t="shared" si="6"/>
        <v>22.21.46ERW-2NON FIN</v>
      </c>
      <c r="L18" s="151" t="s">
        <v>367</v>
      </c>
      <c r="M18" s="150">
        <v>3829175</v>
      </c>
      <c r="N18" s="150" t="s">
        <v>6154</v>
      </c>
      <c r="O18" s="150" t="s">
        <v>6154</v>
      </c>
      <c r="P18" s="19">
        <v>0</v>
      </c>
      <c r="Q18" s="147">
        <v>0</v>
      </c>
      <c r="R18" s="147">
        <v>15</v>
      </c>
      <c r="S18" s="147">
        <v>0</v>
      </c>
      <c r="T18" s="147">
        <f t="shared" si="1"/>
        <v>15</v>
      </c>
      <c r="U18" s="147">
        <f t="shared" si="0"/>
        <v>-15</v>
      </c>
      <c r="V18" s="147">
        <f t="shared" si="2"/>
        <v>0</v>
      </c>
      <c r="W18" s="19">
        <f t="shared" si="3"/>
        <v>0</v>
      </c>
      <c r="X18" s="167">
        <f t="shared" si="4"/>
        <v>0</v>
      </c>
      <c r="Y18" s="185">
        <f>SUMIFS(meghsteelsales_previousmonth[Quantity],meghsteelsales_previousmonth[Length Bucket],O18)/1000</f>
        <v>0</v>
      </c>
      <c r="Z18" s="185">
        <f>SUMIFS(meghsteelsales_currentmonth[Quantity],meghsteelsales_currentmonth[Length Bucket],O18)/1000</f>
        <v>0</v>
      </c>
      <c r="AA18" s="185">
        <f t="shared" si="5"/>
        <v>0</v>
      </c>
    </row>
    <row r="19" spans="1:27" s="45" customFormat="1" x14ac:dyDescent="0.25">
      <c r="A19" s="156" t="s">
        <v>10</v>
      </c>
      <c r="B19" s="156" t="s">
        <v>116</v>
      </c>
      <c r="C19" s="157" t="s">
        <v>338</v>
      </c>
      <c r="D19" s="147" t="s">
        <v>339</v>
      </c>
      <c r="E19" s="147" t="s">
        <v>340</v>
      </c>
      <c r="F19" s="148">
        <v>22.2</v>
      </c>
      <c r="G19" s="148"/>
      <c r="H19" s="148">
        <v>1.6</v>
      </c>
      <c r="I19" s="147">
        <v>5670</v>
      </c>
      <c r="J19" s="147">
        <v>6</v>
      </c>
      <c r="K19" s="147" t="str">
        <f t="shared" si="6"/>
        <v>22.21.66ERWNON FIN</v>
      </c>
      <c r="L19" s="151" t="s">
        <v>367</v>
      </c>
      <c r="M19" s="150">
        <v>3534935</v>
      </c>
      <c r="N19" s="150" t="s">
        <v>412</v>
      </c>
      <c r="O19" s="150" t="s">
        <v>6167</v>
      </c>
      <c r="P19" s="19">
        <v>55</v>
      </c>
      <c r="Q19" s="147">
        <v>15</v>
      </c>
      <c r="R19" s="147">
        <v>95</v>
      </c>
      <c r="S19" s="147">
        <v>0</v>
      </c>
      <c r="T19" s="147">
        <f t="shared" si="1"/>
        <v>80</v>
      </c>
      <c r="U19" s="147">
        <f t="shared" si="0"/>
        <v>-95</v>
      </c>
      <c r="V19" s="147">
        <f t="shared" si="2"/>
        <v>-15</v>
      </c>
      <c r="W19" s="19">
        <f t="shared" si="3"/>
        <v>75.5</v>
      </c>
      <c r="X19" s="167">
        <f t="shared" si="4"/>
        <v>75.5</v>
      </c>
      <c r="Y19" s="185">
        <f>SUMIFS(meghsteelsales_previousmonth[Quantity],meghsteelsales_previousmonth[Length Bucket],O19)/1000</f>
        <v>27.178328</v>
      </c>
      <c r="Z19" s="185">
        <f>SUMIFS(meghsteelsales_currentmonth[Quantity],meghsteelsales_currentmonth[Length Bucket],O19)/1000</f>
        <v>1.881885</v>
      </c>
      <c r="AA19" s="185">
        <f t="shared" si="5"/>
        <v>46.439787000000003</v>
      </c>
    </row>
    <row r="20" spans="1:27" x14ac:dyDescent="0.25">
      <c r="A20" s="147" t="s">
        <v>10</v>
      </c>
      <c r="B20" s="147" t="s">
        <v>116</v>
      </c>
      <c r="C20" s="155" t="s">
        <v>338</v>
      </c>
      <c r="D20" s="147" t="s">
        <v>339</v>
      </c>
      <c r="E20" s="147" t="s">
        <v>340</v>
      </c>
      <c r="F20" s="154">
        <v>22.2</v>
      </c>
      <c r="G20" s="154"/>
      <c r="H20" s="154">
        <v>2</v>
      </c>
      <c r="I20" s="155">
        <v>5950</v>
      </c>
      <c r="J20" s="147">
        <v>5.95</v>
      </c>
      <c r="K20" s="147" t="str">
        <f t="shared" si="6"/>
        <v>22.225.95ERWNON FIN</v>
      </c>
      <c r="L20" s="151" t="s">
        <v>367</v>
      </c>
      <c r="M20" s="196">
        <v>3905466</v>
      </c>
      <c r="N20" s="150" t="s">
        <v>633</v>
      </c>
      <c r="O20" s="150" t="s">
        <v>6168</v>
      </c>
      <c r="P20" s="19">
        <v>50</v>
      </c>
      <c r="Q20" s="147">
        <v>10</v>
      </c>
      <c r="R20" s="147">
        <v>15</v>
      </c>
      <c r="S20" s="147">
        <v>10</v>
      </c>
      <c r="T20" s="147">
        <f t="shared" si="1"/>
        <v>5</v>
      </c>
      <c r="U20" s="147">
        <v>49</v>
      </c>
      <c r="V20" s="147">
        <f t="shared" si="2"/>
        <v>64</v>
      </c>
      <c r="W20" s="19">
        <f t="shared" si="3"/>
        <v>-8.9999999999999929</v>
      </c>
      <c r="X20" s="167">
        <f t="shared" si="4"/>
        <v>0</v>
      </c>
      <c r="Y20" s="185">
        <f>SUMIFS(meghsteelsales_previousmonth[Quantity],meghsteelsales_previousmonth[Length Bucket],O20)/1000</f>
        <v>85.542945999999958</v>
      </c>
      <c r="Z20" s="185">
        <f>SUMIFS(meghsteelsales_currentmonth[Quantity],meghsteelsales_currentmonth[Length Bucket],O20)/1000</f>
        <v>51.635232000000002</v>
      </c>
      <c r="AA20" s="185">
        <f t="shared" si="5"/>
        <v>0</v>
      </c>
    </row>
    <row r="21" spans="1:27" x14ac:dyDescent="0.25">
      <c r="A21" s="147" t="s">
        <v>10</v>
      </c>
      <c r="B21" s="147" t="s">
        <v>116</v>
      </c>
      <c r="C21" s="155" t="s">
        <v>338</v>
      </c>
      <c r="D21" s="147" t="s">
        <v>339</v>
      </c>
      <c r="E21" s="147" t="s">
        <v>340</v>
      </c>
      <c r="F21" s="154">
        <v>22.2</v>
      </c>
      <c r="G21" s="154"/>
      <c r="H21" s="154">
        <v>2</v>
      </c>
      <c r="I21" s="155">
        <v>5100</v>
      </c>
      <c r="J21" s="147">
        <v>5.0999999999999996</v>
      </c>
      <c r="K21" s="147" t="str">
        <f t="shared" si="6"/>
        <v>22.225.1ERWNON FIN</v>
      </c>
      <c r="L21" s="151" t="s">
        <v>367</v>
      </c>
      <c r="M21" s="150">
        <v>3500554</v>
      </c>
      <c r="N21" s="150" t="s">
        <v>633</v>
      </c>
      <c r="O21" s="150" t="s">
        <v>6169</v>
      </c>
      <c r="P21" s="19">
        <v>20</v>
      </c>
      <c r="Q21" s="147">
        <v>5</v>
      </c>
      <c r="R21" s="147">
        <v>18</v>
      </c>
      <c r="S21" s="147">
        <v>0</v>
      </c>
      <c r="T21" s="147">
        <f t="shared" si="1"/>
        <v>13</v>
      </c>
      <c r="U21" s="147">
        <f t="shared" si="0"/>
        <v>-18</v>
      </c>
      <c r="V21" s="147">
        <f t="shared" si="2"/>
        <v>-5</v>
      </c>
      <c r="W21" s="19">
        <f t="shared" si="3"/>
        <v>27</v>
      </c>
      <c r="X21" s="167">
        <f t="shared" si="4"/>
        <v>27</v>
      </c>
      <c r="Y21" s="185">
        <f>SUMIFS(meghsteelsales_previousmonth[Quantity],meghsteelsales_previousmonth[Length Bucket],O21)/1000</f>
        <v>0</v>
      </c>
      <c r="Z21" s="185">
        <f>SUMIFS(meghsteelsales_currentmonth[Quantity],meghsteelsales_currentmonth[Length Bucket],O21)/1000</f>
        <v>0</v>
      </c>
      <c r="AA21" s="185">
        <f t="shared" si="5"/>
        <v>27</v>
      </c>
    </row>
    <row r="22" spans="1:27" x14ac:dyDescent="0.25">
      <c r="A22" s="147" t="s">
        <v>10</v>
      </c>
      <c r="B22" s="147" t="s">
        <v>116</v>
      </c>
      <c r="C22" s="147" t="s">
        <v>344</v>
      </c>
      <c r="D22" s="147" t="s">
        <v>348</v>
      </c>
      <c r="E22" s="147" t="s">
        <v>349</v>
      </c>
      <c r="F22" s="148">
        <v>22.2</v>
      </c>
      <c r="G22" s="148"/>
      <c r="H22" s="148">
        <v>2</v>
      </c>
      <c r="I22" s="147">
        <v>6000</v>
      </c>
      <c r="J22" s="147">
        <v>6000</v>
      </c>
      <c r="K22" s="147" t="str">
        <f t="shared" si="6"/>
        <v>22.226000HSTFIN CUT</v>
      </c>
      <c r="L22" s="151" t="s">
        <v>367</v>
      </c>
      <c r="M22" s="150">
        <v>3502494</v>
      </c>
      <c r="N22" s="150" t="s">
        <v>679</v>
      </c>
      <c r="O22" s="150" t="s">
        <v>6170</v>
      </c>
      <c r="P22" s="19">
        <v>50</v>
      </c>
      <c r="Q22" s="147">
        <v>10</v>
      </c>
      <c r="R22" s="147">
        <v>10</v>
      </c>
      <c r="S22" s="147">
        <v>43</v>
      </c>
      <c r="T22" s="147">
        <f t="shared" si="1"/>
        <v>0</v>
      </c>
      <c r="U22" s="147">
        <v>31</v>
      </c>
      <c r="V22" s="147">
        <f t="shared" si="2"/>
        <v>74</v>
      </c>
      <c r="W22" s="19">
        <f t="shared" si="3"/>
        <v>-18.999999999999993</v>
      </c>
      <c r="X22" s="167">
        <f t="shared" si="4"/>
        <v>0</v>
      </c>
      <c r="Y22" s="185">
        <f>SUMIFS(meghsteelsales_previousmonth[Quantity],meghsteelsales_previousmonth[Length Bucket],O22)/1000</f>
        <v>0</v>
      </c>
      <c r="Z22" s="185">
        <f>SUMIFS(meghsteelsales_currentmonth[Quantity],meghsteelsales_currentmonth[Length Bucket],O22)/1000</f>
        <v>0</v>
      </c>
      <c r="AA22" s="185">
        <f t="shared" si="5"/>
        <v>0</v>
      </c>
    </row>
    <row r="23" spans="1:27" x14ac:dyDescent="0.25">
      <c r="A23" s="147" t="s">
        <v>341</v>
      </c>
      <c r="B23" s="147" t="s">
        <v>342</v>
      </c>
      <c r="C23" s="147" t="s">
        <v>350</v>
      </c>
      <c r="D23" s="147" t="s">
        <v>348</v>
      </c>
      <c r="E23" s="147" t="s">
        <v>351</v>
      </c>
      <c r="F23" s="148">
        <v>22.2</v>
      </c>
      <c r="G23" s="148"/>
      <c r="H23" s="148">
        <v>2</v>
      </c>
      <c r="I23" s="147">
        <v>5390</v>
      </c>
      <c r="J23" s="147">
        <v>5.39</v>
      </c>
      <c r="K23" s="147" t="str">
        <f t="shared" si="6"/>
        <v>22.225.39CR ERW FIN CUT</v>
      </c>
      <c r="L23" s="165" t="s">
        <v>345</v>
      </c>
      <c r="M23" s="149">
        <v>3568328</v>
      </c>
      <c r="N23" s="150" t="s">
        <v>562</v>
      </c>
      <c r="O23" s="150" t="s">
        <v>6171</v>
      </c>
      <c r="P23" s="19">
        <v>20</v>
      </c>
      <c r="Q23" s="147">
        <v>0</v>
      </c>
      <c r="R23" s="147">
        <v>0</v>
      </c>
      <c r="S23" s="147">
        <v>0</v>
      </c>
      <c r="T23" s="147">
        <f t="shared" si="1"/>
        <v>0</v>
      </c>
      <c r="U23" s="147">
        <v>6</v>
      </c>
      <c r="V23" s="147">
        <f t="shared" si="2"/>
        <v>6</v>
      </c>
      <c r="W23" s="19">
        <f t="shared" si="3"/>
        <v>16</v>
      </c>
      <c r="X23" s="167">
        <f t="shared" si="4"/>
        <v>16</v>
      </c>
      <c r="Y23" s="185">
        <f>SUMIFS(meghsteelsales_previousmonth[Quantity],meghsteelsales_previousmonth[Length Bucket],O23)/1000</f>
        <v>4.5</v>
      </c>
      <c r="Z23" s="185">
        <f>SUMIFS(meghsteelsales_currentmonth[Quantity],meghsteelsales_currentmonth[Length Bucket],O23)/1000</f>
        <v>22.54</v>
      </c>
      <c r="AA23" s="185">
        <f t="shared" si="5"/>
        <v>0</v>
      </c>
    </row>
    <row r="24" spans="1:27" x14ac:dyDescent="0.25">
      <c r="A24" s="147" t="s">
        <v>341</v>
      </c>
      <c r="B24" s="147" t="s">
        <v>342</v>
      </c>
      <c r="C24" s="153" t="s">
        <v>344</v>
      </c>
      <c r="D24" s="147" t="s">
        <v>348</v>
      </c>
      <c r="E24" s="147" t="s">
        <v>349</v>
      </c>
      <c r="F24" s="148">
        <v>25.4</v>
      </c>
      <c r="G24" s="148"/>
      <c r="H24" s="148">
        <v>1.4</v>
      </c>
      <c r="I24" s="147">
        <v>5531</v>
      </c>
      <c r="J24" s="147">
        <v>5.5309999999999997</v>
      </c>
      <c r="K24" s="147" t="str">
        <f t="shared" si="6"/>
        <v>25.41.45.531HSTFIN CUT</v>
      </c>
      <c r="L24" s="151" t="s">
        <v>367</v>
      </c>
      <c r="M24" s="150">
        <v>3501900</v>
      </c>
      <c r="N24" s="150" t="s">
        <v>4282</v>
      </c>
      <c r="O24" s="150" t="s">
        <v>6218</v>
      </c>
      <c r="P24" s="19">
        <v>0</v>
      </c>
      <c r="Q24" s="147">
        <v>0</v>
      </c>
      <c r="R24" s="147">
        <v>16.5</v>
      </c>
      <c r="S24" s="147">
        <v>0</v>
      </c>
      <c r="T24" s="147">
        <f t="shared" si="1"/>
        <v>16.5</v>
      </c>
      <c r="U24" s="147">
        <f t="shared" si="0"/>
        <v>-16.5</v>
      </c>
      <c r="V24" s="147">
        <f t="shared" si="2"/>
        <v>0</v>
      </c>
      <c r="W24" s="19">
        <f t="shared" si="3"/>
        <v>0</v>
      </c>
      <c r="X24" s="167">
        <f t="shared" si="4"/>
        <v>0</v>
      </c>
      <c r="Y24" s="185">
        <f>SUMIFS(meghsteelsales_previousmonth[Quantity],meghsteelsales_previousmonth[Length Bucket],O24)/1000</f>
        <v>0</v>
      </c>
      <c r="Z24" s="185">
        <f>SUMIFS(meghsteelsales_currentmonth[Quantity],meghsteelsales_currentmonth[Length Bucket],O24)/1000</f>
        <v>0</v>
      </c>
      <c r="AA24" s="185">
        <f t="shared" si="5"/>
        <v>0</v>
      </c>
    </row>
    <row r="25" spans="1:27" x14ac:dyDescent="0.25">
      <c r="A25" s="147" t="s">
        <v>341</v>
      </c>
      <c r="B25" s="147" t="s">
        <v>342</v>
      </c>
      <c r="C25" s="153" t="s">
        <v>338</v>
      </c>
      <c r="D25" s="147" t="s">
        <v>348</v>
      </c>
      <c r="E25" s="147" t="s">
        <v>340</v>
      </c>
      <c r="F25" s="148">
        <v>25.4</v>
      </c>
      <c r="G25" s="148"/>
      <c r="H25" s="148">
        <v>1.4</v>
      </c>
      <c r="I25" s="147">
        <v>6060</v>
      </c>
      <c r="J25" s="147">
        <v>6.06</v>
      </c>
      <c r="K25" s="147" t="str">
        <f t="shared" si="6"/>
        <v>25.41.46.06ERWFIN CUT</v>
      </c>
      <c r="L25" s="165" t="s">
        <v>345</v>
      </c>
      <c r="M25" s="149">
        <v>3557792</v>
      </c>
      <c r="N25" s="150" t="s">
        <v>6154</v>
      </c>
      <c r="O25" s="150" t="s">
        <v>6154</v>
      </c>
      <c r="P25" s="19">
        <v>10</v>
      </c>
      <c r="Q25" s="147">
        <v>0</v>
      </c>
      <c r="R25" s="147">
        <v>0</v>
      </c>
      <c r="S25" s="147">
        <v>0</v>
      </c>
      <c r="T25" s="147">
        <f t="shared" si="1"/>
        <v>0</v>
      </c>
      <c r="U25" s="147">
        <f t="shared" si="0"/>
        <v>0</v>
      </c>
      <c r="V25" s="147">
        <f t="shared" si="2"/>
        <v>0</v>
      </c>
      <c r="W25" s="19">
        <f t="shared" si="3"/>
        <v>11</v>
      </c>
      <c r="X25" s="167">
        <f t="shared" si="4"/>
        <v>11</v>
      </c>
      <c r="Y25" s="185">
        <f>SUMIFS(meghsteelsales_previousmonth[Quantity],meghsteelsales_previousmonth[Length Bucket],O25)/1000</f>
        <v>0</v>
      </c>
      <c r="Z25" s="185">
        <f>SUMIFS(meghsteelsales_currentmonth[Quantity],meghsteelsales_currentmonth[Length Bucket],O25)/1000</f>
        <v>0</v>
      </c>
      <c r="AA25" s="185">
        <f t="shared" si="5"/>
        <v>11</v>
      </c>
    </row>
    <row r="26" spans="1:27" x14ac:dyDescent="0.25">
      <c r="A26" s="147" t="s">
        <v>10</v>
      </c>
      <c r="B26" s="147" t="s">
        <v>116</v>
      </c>
      <c r="C26" s="153" t="s">
        <v>338</v>
      </c>
      <c r="D26" s="147" t="s">
        <v>339</v>
      </c>
      <c r="E26" s="147" t="s">
        <v>340</v>
      </c>
      <c r="F26" s="148">
        <v>25.4</v>
      </c>
      <c r="G26" s="148"/>
      <c r="H26" s="148">
        <v>1.6</v>
      </c>
      <c r="I26" s="147">
        <v>6000</v>
      </c>
      <c r="J26" s="147">
        <v>6</v>
      </c>
      <c r="K26" s="147" t="str">
        <f t="shared" si="6"/>
        <v>25.41.66ERWNON FIN</v>
      </c>
      <c r="L26" s="151" t="s">
        <v>367</v>
      </c>
      <c r="M26" s="150">
        <v>3500097</v>
      </c>
      <c r="N26" s="150" t="s">
        <v>468</v>
      </c>
      <c r="O26" s="150" t="s">
        <v>6172</v>
      </c>
      <c r="P26" s="19">
        <v>25</v>
      </c>
      <c r="Q26" s="147">
        <v>6</v>
      </c>
      <c r="R26" s="147">
        <v>9</v>
      </c>
      <c r="S26" s="147">
        <v>2.2000000000000002</v>
      </c>
      <c r="T26" s="147">
        <f t="shared" si="1"/>
        <v>3</v>
      </c>
      <c r="U26" s="147">
        <f t="shared" si="0"/>
        <v>-6.8</v>
      </c>
      <c r="V26" s="147">
        <f t="shared" si="2"/>
        <v>-1.5999999999999996</v>
      </c>
      <c r="W26" s="19">
        <f t="shared" si="3"/>
        <v>29.1</v>
      </c>
      <c r="X26" s="167">
        <f t="shared" si="4"/>
        <v>29.1</v>
      </c>
      <c r="Y26" s="185">
        <f>SUMIFS(meghsteelsales_previousmonth[Quantity],meghsteelsales_previousmonth[Length Bucket],O26)/1000</f>
        <v>63.302988000000028</v>
      </c>
      <c r="Z26" s="185">
        <f>SUMIFS(meghsteelsales_currentmonth[Quantity],meghsteelsales_currentmonth[Length Bucket],O26)/1000</f>
        <v>0</v>
      </c>
      <c r="AA26" s="185">
        <f t="shared" si="5"/>
        <v>0</v>
      </c>
    </row>
    <row r="27" spans="1:27" x14ac:dyDescent="0.25">
      <c r="A27" s="147" t="s">
        <v>10</v>
      </c>
      <c r="B27" s="147" t="s">
        <v>116</v>
      </c>
      <c r="C27" s="153" t="s">
        <v>338</v>
      </c>
      <c r="D27" s="147" t="s">
        <v>339</v>
      </c>
      <c r="E27" s="147" t="s">
        <v>340</v>
      </c>
      <c r="F27" s="148">
        <v>25.4</v>
      </c>
      <c r="G27" s="148"/>
      <c r="H27" s="148">
        <v>2</v>
      </c>
      <c r="I27" s="147">
        <v>5840</v>
      </c>
      <c r="J27" s="147">
        <v>5.82</v>
      </c>
      <c r="K27" s="147" t="str">
        <f t="shared" si="6"/>
        <v>25.425.82ERWNON FIN</v>
      </c>
      <c r="L27" s="151" t="s">
        <v>367</v>
      </c>
      <c r="M27" s="149">
        <v>3240023</v>
      </c>
      <c r="N27" s="150" t="s">
        <v>1008</v>
      </c>
      <c r="O27" s="150" t="s">
        <v>6174</v>
      </c>
      <c r="P27" s="19">
        <v>12</v>
      </c>
      <c r="Q27" s="147">
        <v>0</v>
      </c>
      <c r="R27" s="147">
        <v>0</v>
      </c>
      <c r="S27" s="147">
        <v>0</v>
      </c>
      <c r="T27" s="147">
        <f t="shared" si="1"/>
        <v>0</v>
      </c>
      <c r="U27" s="147">
        <v>18</v>
      </c>
      <c r="V27" s="147">
        <f t="shared" si="2"/>
        <v>18</v>
      </c>
      <c r="W27" s="19">
        <f t="shared" si="3"/>
        <v>-4.7999999999999989</v>
      </c>
      <c r="X27" s="167">
        <f t="shared" si="4"/>
        <v>0</v>
      </c>
      <c r="Y27" s="185">
        <f>SUMIFS(meghsteelsales_previousmonth[Quantity],meghsteelsales_previousmonth[Length Bucket],O27)/1000</f>
        <v>46.943582000000006</v>
      </c>
      <c r="Z27" s="185">
        <f>SUMIFS(meghsteelsales_currentmonth[Quantity],meghsteelsales_currentmonth[Length Bucket],O27)/1000</f>
        <v>0</v>
      </c>
      <c r="AA27" s="185">
        <f t="shared" si="5"/>
        <v>0</v>
      </c>
    </row>
    <row r="28" spans="1:27" x14ac:dyDescent="0.25">
      <c r="A28" s="147" t="s">
        <v>10</v>
      </c>
      <c r="B28" s="147" t="s">
        <v>116</v>
      </c>
      <c r="C28" s="153" t="s">
        <v>338</v>
      </c>
      <c r="D28" s="147" t="s">
        <v>339</v>
      </c>
      <c r="E28" s="147" t="s">
        <v>340</v>
      </c>
      <c r="F28" s="148">
        <v>25.4</v>
      </c>
      <c r="G28" s="148"/>
      <c r="H28" s="148">
        <v>2.5</v>
      </c>
      <c r="I28" s="147">
        <v>5530</v>
      </c>
      <c r="J28" s="147">
        <v>5.53</v>
      </c>
      <c r="K28" s="147" t="str">
        <f t="shared" si="6"/>
        <v>25.42.55.53ERWNON FIN</v>
      </c>
      <c r="L28" s="151" t="s">
        <v>367</v>
      </c>
      <c r="M28" s="150">
        <v>3502256</v>
      </c>
      <c r="N28" s="150" t="s">
        <v>2222</v>
      </c>
      <c r="O28" s="150" t="s">
        <v>6175</v>
      </c>
      <c r="P28" s="19">
        <v>50</v>
      </c>
      <c r="Q28" s="147">
        <v>15</v>
      </c>
      <c r="R28" s="147">
        <v>30</v>
      </c>
      <c r="S28" s="147">
        <v>1.8</v>
      </c>
      <c r="T28" s="147">
        <f t="shared" si="1"/>
        <v>15</v>
      </c>
      <c r="U28" s="147">
        <v>6.5</v>
      </c>
      <c r="V28" s="147">
        <f t="shared" si="2"/>
        <v>23.3</v>
      </c>
      <c r="W28" s="19">
        <f t="shared" si="3"/>
        <v>31.700000000000006</v>
      </c>
      <c r="X28" s="167">
        <f t="shared" si="4"/>
        <v>31.700000000000006</v>
      </c>
      <c r="Y28" s="185">
        <f>SUMIFS(meghsteelsales_previousmonth[Quantity],meghsteelsales_previousmonth[Length Bucket],O28)/1000</f>
        <v>105.75507600000003</v>
      </c>
      <c r="Z28" s="185">
        <f>SUMIFS(meghsteelsales_currentmonth[Quantity],meghsteelsales_currentmonth[Length Bucket],O28)/1000</f>
        <v>37.814835000000002</v>
      </c>
      <c r="AA28" s="185">
        <f t="shared" si="5"/>
        <v>0</v>
      </c>
    </row>
    <row r="29" spans="1:27" x14ac:dyDescent="0.25">
      <c r="A29" s="147" t="s">
        <v>10</v>
      </c>
      <c r="B29" s="147" t="s">
        <v>346</v>
      </c>
      <c r="C29" s="153" t="s">
        <v>338</v>
      </c>
      <c r="D29" s="147" t="s">
        <v>348</v>
      </c>
      <c r="E29" s="147" t="s">
        <v>340</v>
      </c>
      <c r="F29" s="148">
        <v>28.6</v>
      </c>
      <c r="G29" s="148"/>
      <c r="H29" s="148">
        <v>1.2</v>
      </c>
      <c r="I29" s="147">
        <v>6000</v>
      </c>
      <c r="J29" s="147">
        <v>6</v>
      </c>
      <c r="K29" s="147" t="str">
        <f t="shared" si="6"/>
        <v>28.61.26ERWFIN CUT</v>
      </c>
      <c r="L29" s="158" t="s">
        <v>345</v>
      </c>
      <c r="M29" s="150">
        <v>1940616</v>
      </c>
      <c r="N29" s="150" t="e">
        <v>#N/A</v>
      </c>
      <c r="O29" s="150" t="e">
        <v>#N/A</v>
      </c>
      <c r="P29" s="19">
        <v>3</v>
      </c>
      <c r="Q29" s="147">
        <v>0</v>
      </c>
      <c r="R29" s="147">
        <v>0</v>
      </c>
      <c r="S29" s="147">
        <v>0</v>
      </c>
      <c r="T29" s="147">
        <f t="shared" si="1"/>
        <v>0</v>
      </c>
      <c r="U29" s="147">
        <f t="shared" si="0"/>
        <v>0</v>
      </c>
      <c r="V29" s="147">
        <f t="shared" si="2"/>
        <v>0</v>
      </c>
      <c r="W29" s="19">
        <f t="shared" si="3"/>
        <v>3.3000000000000003</v>
      </c>
      <c r="X29" s="167">
        <f t="shared" si="4"/>
        <v>3.3000000000000003</v>
      </c>
      <c r="Y29" s="185">
        <f>SUMIFS(meghsteelsales_previousmonth[Quantity],meghsteelsales_previousmonth[Length Bucket],O29)/1000</f>
        <v>0</v>
      </c>
      <c r="Z29" s="185">
        <f>SUMIFS(meghsteelsales_currentmonth[Quantity],meghsteelsales_currentmonth[Length Bucket],O29)/1000</f>
        <v>0</v>
      </c>
      <c r="AA29" s="185">
        <f t="shared" si="5"/>
        <v>3.3000000000000003</v>
      </c>
    </row>
    <row r="30" spans="1:27" x14ac:dyDescent="0.25">
      <c r="A30" s="147" t="s">
        <v>10</v>
      </c>
      <c r="B30" s="147" t="s">
        <v>116</v>
      </c>
      <c r="C30" s="159" t="s">
        <v>356</v>
      </c>
      <c r="D30" s="147" t="s">
        <v>348</v>
      </c>
      <c r="E30" s="147" t="s">
        <v>357</v>
      </c>
      <c r="F30" s="168">
        <v>28.6</v>
      </c>
      <c r="G30" s="168"/>
      <c r="H30" s="168">
        <v>2.65</v>
      </c>
      <c r="I30" s="169">
        <v>6000</v>
      </c>
      <c r="J30" s="147">
        <v>6</v>
      </c>
      <c r="K30" s="147" t="str">
        <f t="shared" si="6"/>
        <v>28.62.656CEWFIN CUT</v>
      </c>
      <c r="L30" s="151" t="s">
        <v>362</v>
      </c>
      <c r="M30" s="150">
        <v>2410388</v>
      </c>
      <c r="N30" s="150" t="s">
        <v>6154</v>
      </c>
      <c r="O30" s="150" t="s">
        <v>6154</v>
      </c>
      <c r="P30" s="19">
        <v>10</v>
      </c>
      <c r="Q30" s="147">
        <v>0</v>
      </c>
      <c r="R30" s="147">
        <v>20</v>
      </c>
      <c r="S30" s="147">
        <v>0</v>
      </c>
      <c r="T30" s="147">
        <f t="shared" si="1"/>
        <v>20</v>
      </c>
      <c r="U30" s="147">
        <f t="shared" si="0"/>
        <v>-20</v>
      </c>
      <c r="V30" s="147">
        <f t="shared" si="2"/>
        <v>0</v>
      </c>
      <c r="W30" s="19">
        <f t="shared" si="3"/>
        <v>11</v>
      </c>
      <c r="X30" s="167">
        <f t="shared" si="4"/>
        <v>11</v>
      </c>
      <c r="Y30" s="185">
        <f>SUMIFS(meghsteelsales_previousmonth[Quantity],meghsteelsales_previousmonth[Length Bucket],O30)/1000</f>
        <v>0</v>
      </c>
      <c r="Z30" s="185">
        <f>SUMIFS(meghsteelsales_currentmonth[Quantity],meghsteelsales_currentmonth[Length Bucket],O30)/1000</f>
        <v>0</v>
      </c>
      <c r="AA30" s="185">
        <f t="shared" si="5"/>
        <v>11</v>
      </c>
    </row>
    <row r="31" spans="1:27" x14ac:dyDescent="0.25">
      <c r="A31" s="147" t="s">
        <v>10</v>
      </c>
      <c r="B31" s="147" t="s">
        <v>346</v>
      </c>
      <c r="C31" s="153" t="s">
        <v>338</v>
      </c>
      <c r="D31" s="147" t="s">
        <v>348</v>
      </c>
      <c r="E31" s="147" t="s">
        <v>340</v>
      </c>
      <c r="F31" s="148">
        <v>31.75</v>
      </c>
      <c r="G31" s="148"/>
      <c r="H31" s="148">
        <v>1.2</v>
      </c>
      <c r="I31" s="147">
        <v>6000</v>
      </c>
      <c r="J31" s="147">
        <v>6</v>
      </c>
      <c r="K31" s="147" t="str">
        <f t="shared" si="6"/>
        <v>31.751.26ERWFIN CUT</v>
      </c>
      <c r="L31" s="151" t="s">
        <v>367</v>
      </c>
      <c r="M31" s="150">
        <v>3884381</v>
      </c>
      <c r="N31" s="150" t="s">
        <v>832</v>
      </c>
      <c r="O31" s="150" t="s">
        <v>6178</v>
      </c>
      <c r="P31" s="19">
        <v>3</v>
      </c>
      <c r="Q31" s="147">
        <v>0</v>
      </c>
      <c r="R31" s="147">
        <v>0</v>
      </c>
      <c r="S31" s="147">
        <v>0</v>
      </c>
      <c r="T31" s="147">
        <f t="shared" si="1"/>
        <v>0</v>
      </c>
      <c r="U31" s="147">
        <v>3</v>
      </c>
      <c r="V31" s="147">
        <f t="shared" si="2"/>
        <v>3</v>
      </c>
      <c r="W31" s="19">
        <f t="shared" si="3"/>
        <v>0.30000000000000027</v>
      </c>
      <c r="X31" s="167">
        <f t="shared" si="4"/>
        <v>0.30000000000000027</v>
      </c>
      <c r="Y31" s="185">
        <f>SUMIFS(meghsteelsales_previousmonth[Quantity],meghsteelsales_previousmonth[Length Bucket],O31)/1000</f>
        <v>0</v>
      </c>
      <c r="Z31" s="185">
        <f>SUMIFS(meghsteelsales_currentmonth[Quantity],meghsteelsales_currentmonth[Length Bucket],O31)/1000</f>
        <v>0</v>
      </c>
      <c r="AA31" s="185">
        <f t="shared" si="5"/>
        <v>0.30000000000000027</v>
      </c>
    </row>
    <row r="32" spans="1:27" x14ac:dyDescent="0.25">
      <c r="A32" s="147" t="s">
        <v>10</v>
      </c>
      <c r="B32" s="147" t="s">
        <v>116</v>
      </c>
      <c r="C32" s="153" t="s">
        <v>338</v>
      </c>
      <c r="D32" s="147" t="s">
        <v>348</v>
      </c>
      <c r="E32" s="147" t="s">
        <v>340</v>
      </c>
      <c r="F32" s="148">
        <v>31.75</v>
      </c>
      <c r="G32" s="148"/>
      <c r="H32" s="148">
        <v>2.2999999999999998</v>
      </c>
      <c r="I32" s="147">
        <v>6000</v>
      </c>
      <c r="J32" s="147">
        <v>6</v>
      </c>
      <c r="K32" s="147" t="str">
        <f t="shared" si="6"/>
        <v>31.752.36ERWFIN CUT</v>
      </c>
      <c r="L32" s="158" t="s">
        <v>367</v>
      </c>
      <c r="M32" s="150">
        <v>3500081</v>
      </c>
      <c r="N32" s="150" t="s">
        <v>6180</v>
      </c>
      <c r="O32" s="150" t="s">
        <v>6181</v>
      </c>
      <c r="P32" s="19">
        <v>13</v>
      </c>
      <c r="Q32" s="147">
        <v>3</v>
      </c>
      <c r="R32" s="147">
        <v>25</v>
      </c>
      <c r="S32" s="147">
        <v>0</v>
      </c>
      <c r="T32" s="147">
        <f t="shared" si="1"/>
        <v>22</v>
      </c>
      <c r="U32" s="147">
        <f t="shared" si="0"/>
        <v>-25</v>
      </c>
      <c r="V32" s="147">
        <f t="shared" si="2"/>
        <v>-3</v>
      </c>
      <c r="W32" s="19">
        <f t="shared" si="3"/>
        <v>17.3</v>
      </c>
      <c r="X32" s="167">
        <f t="shared" si="4"/>
        <v>17.3</v>
      </c>
      <c r="Y32" s="185">
        <f>SUMIFS(meghsteelsales_previousmonth[Quantity],meghsteelsales_previousmonth[Length Bucket],O32)/1000</f>
        <v>0</v>
      </c>
      <c r="Z32" s="185">
        <f>SUMIFS(meghsteelsales_currentmonth[Quantity],meghsteelsales_currentmonth[Length Bucket],O32)/1000</f>
        <v>0</v>
      </c>
      <c r="AA32" s="185">
        <f t="shared" si="5"/>
        <v>17.3</v>
      </c>
    </row>
    <row r="33" spans="1:27" x14ac:dyDescent="0.25">
      <c r="A33" s="147">
        <v>0</v>
      </c>
      <c r="B33" s="147" t="s">
        <v>346</v>
      </c>
      <c r="C33" s="153" t="s">
        <v>338</v>
      </c>
      <c r="D33" s="147" t="s">
        <v>348</v>
      </c>
      <c r="E33" s="147" t="s">
        <v>340</v>
      </c>
      <c r="F33" s="148">
        <v>34.93</v>
      </c>
      <c r="G33" s="148"/>
      <c r="H33" s="148">
        <v>1.2</v>
      </c>
      <c r="I33" s="147">
        <v>6000</v>
      </c>
      <c r="J33" s="147">
        <v>6</v>
      </c>
      <c r="K33" s="147" t="str">
        <f t="shared" si="6"/>
        <v>34.931.26ERWFIN CUT</v>
      </c>
      <c r="L33" s="149"/>
      <c r="M33" s="150">
        <v>1940701</v>
      </c>
      <c r="N33" s="150" t="s">
        <v>6154</v>
      </c>
      <c r="O33" s="150" t="s">
        <v>6154</v>
      </c>
      <c r="P33" s="19">
        <v>3</v>
      </c>
      <c r="Q33" s="147">
        <v>0</v>
      </c>
      <c r="R33" s="147">
        <v>15</v>
      </c>
      <c r="S33" s="147">
        <v>2.8</v>
      </c>
      <c r="T33" s="147">
        <f t="shared" si="1"/>
        <v>15</v>
      </c>
      <c r="U33" s="147">
        <f t="shared" si="0"/>
        <v>-12.2</v>
      </c>
      <c r="V33" s="147">
        <f t="shared" si="2"/>
        <v>5.6000000000000005</v>
      </c>
      <c r="W33" s="19">
        <f t="shared" si="3"/>
        <v>-2.3000000000000003</v>
      </c>
      <c r="X33" s="167">
        <f t="shared" si="4"/>
        <v>0</v>
      </c>
      <c r="Y33" s="185">
        <f>SUMIFS(meghsteelsales_previousmonth[Quantity],meghsteelsales_previousmonth[Length Bucket],O33)/1000</f>
        <v>0</v>
      </c>
      <c r="Z33" s="185">
        <f>SUMIFS(meghsteelsales_currentmonth[Quantity],meghsteelsales_currentmonth[Length Bucket],O33)/1000</f>
        <v>0</v>
      </c>
      <c r="AA33" s="185">
        <f t="shared" si="5"/>
        <v>0</v>
      </c>
    </row>
    <row r="34" spans="1:27" x14ac:dyDescent="0.25">
      <c r="A34" s="147" t="s">
        <v>5</v>
      </c>
      <c r="B34" s="147" t="s">
        <v>358</v>
      </c>
      <c r="C34" s="153" t="s">
        <v>338</v>
      </c>
      <c r="D34" s="147" t="s">
        <v>348</v>
      </c>
      <c r="E34" s="147" t="s">
        <v>340</v>
      </c>
      <c r="F34" s="148">
        <v>34.93</v>
      </c>
      <c r="G34" s="148"/>
      <c r="H34" s="148">
        <v>1.2</v>
      </c>
      <c r="I34" s="147">
        <v>620</v>
      </c>
      <c r="J34" s="147">
        <v>0.62</v>
      </c>
      <c r="K34" s="147" t="str">
        <f t="shared" si="6"/>
        <v>34.931.20.62ERWFIN CUT</v>
      </c>
      <c r="L34" s="151" t="s">
        <v>345</v>
      </c>
      <c r="M34" s="150">
        <v>2397073</v>
      </c>
      <c r="N34" s="150" t="s">
        <v>1034</v>
      </c>
      <c r="O34" s="150" t="s">
        <v>6185</v>
      </c>
      <c r="P34" s="19">
        <v>10</v>
      </c>
      <c r="Q34" s="147">
        <v>0</v>
      </c>
      <c r="R34" s="147">
        <v>0</v>
      </c>
      <c r="S34" s="147">
        <v>0</v>
      </c>
      <c r="T34" s="147">
        <f t="shared" si="1"/>
        <v>0</v>
      </c>
      <c r="U34" s="147">
        <f t="shared" si="0"/>
        <v>0</v>
      </c>
      <c r="V34" s="147">
        <f t="shared" si="2"/>
        <v>0</v>
      </c>
      <c r="W34" s="19">
        <f t="shared" si="3"/>
        <v>11</v>
      </c>
      <c r="X34" s="167">
        <f t="shared" si="4"/>
        <v>11</v>
      </c>
      <c r="Y34" s="185">
        <f>SUMIFS(meghsteelsales_previousmonth[Quantity],meghsteelsales_previousmonth[Length Bucket],O34)/1000</f>
        <v>0</v>
      </c>
      <c r="Z34" s="185">
        <f>SUMIFS(meghsteelsales_currentmonth[Quantity],meghsteelsales_currentmonth[Length Bucket],O34)/1000</f>
        <v>3.1</v>
      </c>
      <c r="AA34" s="185">
        <f t="shared" si="5"/>
        <v>7.9</v>
      </c>
    </row>
    <row r="35" spans="1:27" x14ac:dyDescent="0.25">
      <c r="A35" s="147" t="s">
        <v>5</v>
      </c>
      <c r="B35" s="147" t="s">
        <v>359</v>
      </c>
      <c r="C35" s="153" t="s">
        <v>338</v>
      </c>
      <c r="D35" s="147" t="s">
        <v>348</v>
      </c>
      <c r="E35" s="147" t="s">
        <v>340</v>
      </c>
      <c r="F35" s="148">
        <v>34.93</v>
      </c>
      <c r="G35" s="148"/>
      <c r="H35" s="148">
        <v>1.2</v>
      </c>
      <c r="I35" s="147">
        <v>700</v>
      </c>
      <c r="J35" s="147">
        <v>0.7</v>
      </c>
      <c r="K35" s="147" t="str">
        <f t="shared" si="6"/>
        <v>34.931.20.7ERWFIN CUT</v>
      </c>
      <c r="L35" s="151" t="s">
        <v>345</v>
      </c>
      <c r="M35" s="150">
        <v>3649699</v>
      </c>
      <c r="N35" s="150" t="s">
        <v>1034</v>
      </c>
      <c r="O35" s="150" t="s">
        <v>4610</v>
      </c>
      <c r="P35" s="19">
        <v>10</v>
      </c>
      <c r="Q35" s="147">
        <v>0</v>
      </c>
      <c r="R35" s="147">
        <v>0</v>
      </c>
      <c r="S35" s="147">
        <v>0</v>
      </c>
      <c r="T35" s="147">
        <f t="shared" si="1"/>
        <v>0</v>
      </c>
      <c r="U35" s="147">
        <f t="shared" si="0"/>
        <v>0</v>
      </c>
      <c r="V35" s="147">
        <f t="shared" si="2"/>
        <v>0</v>
      </c>
      <c r="W35" s="19">
        <f t="shared" si="3"/>
        <v>11</v>
      </c>
      <c r="X35" s="167">
        <f t="shared" si="4"/>
        <v>11</v>
      </c>
      <c r="Y35" s="185">
        <f>SUMIFS(meghsteelsales_previousmonth[Quantity],meghsteelsales_previousmonth[Length Bucket],O35)/1000</f>
        <v>0</v>
      </c>
      <c r="Z35" s="185">
        <f>SUMIFS(meghsteelsales_currentmonth[Quantity],meghsteelsales_currentmonth[Length Bucket],O35)/1000</f>
        <v>0</v>
      </c>
      <c r="AA35" s="185">
        <f t="shared" si="5"/>
        <v>11</v>
      </c>
    </row>
    <row r="36" spans="1:27" x14ac:dyDescent="0.25">
      <c r="A36" s="147" t="s">
        <v>341</v>
      </c>
      <c r="B36" s="147" t="s">
        <v>342</v>
      </c>
      <c r="C36" s="155" t="s">
        <v>344</v>
      </c>
      <c r="D36" s="147" t="s">
        <v>348</v>
      </c>
      <c r="E36" s="147" t="s">
        <v>340</v>
      </c>
      <c r="F36" s="154">
        <v>34</v>
      </c>
      <c r="G36" s="154"/>
      <c r="H36" s="154">
        <v>1.4</v>
      </c>
      <c r="I36" s="155">
        <v>5660</v>
      </c>
      <c r="J36" s="147">
        <v>5.66</v>
      </c>
      <c r="K36" s="147" t="str">
        <f t="shared" si="6"/>
        <v>341.45.66ERWFIN CUT</v>
      </c>
      <c r="L36" s="151" t="s">
        <v>362</v>
      </c>
      <c r="M36" s="150">
        <v>3702855</v>
      </c>
      <c r="N36" s="150" t="s">
        <v>6154</v>
      </c>
      <c r="O36" s="150" t="s">
        <v>6154</v>
      </c>
      <c r="P36" s="19">
        <v>0</v>
      </c>
      <c r="Q36" s="147">
        <v>0</v>
      </c>
      <c r="R36" s="147">
        <v>0</v>
      </c>
      <c r="S36" s="147">
        <v>0</v>
      </c>
      <c r="T36" s="147">
        <f t="shared" si="1"/>
        <v>0</v>
      </c>
      <c r="U36" s="147">
        <f t="shared" si="0"/>
        <v>0</v>
      </c>
      <c r="V36" s="147">
        <f t="shared" si="2"/>
        <v>0</v>
      </c>
      <c r="W36" s="19">
        <f t="shared" si="3"/>
        <v>0</v>
      </c>
      <c r="X36" s="167">
        <f t="shared" si="4"/>
        <v>0</v>
      </c>
      <c r="Y36" s="185">
        <f>SUMIFS(meghsteelsales_previousmonth[Quantity],meghsteelsales_previousmonth[Length Bucket],O36)/1000</f>
        <v>0</v>
      </c>
      <c r="Z36" s="185">
        <f>SUMIFS(meghsteelsales_currentmonth[Quantity],meghsteelsales_currentmonth[Length Bucket],O36)/1000</f>
        <v>0</v>
      </c>
      <c r="AA36" s="185">
        <f t="shared" si="5"/>
        <v>0</v>
      </c>
    </row>
    <row r="37" spans="1:27" x14ac:dyDescent="0.25">
      <c r="A37" s="147" t="s">
        <v>10</v>
      </c>
      <c r="B37" s="147" t="s">
        <v>346</v>
      </c>
      <c r="C37" s="153" t="s">
        <v>360</v>
      </c>
      <c r="D37" s="147" t="s">
        <v>348</v>
      </c>
      <c r="E37" s="147" t="s">
        <v>349</v>
      </c>
      <c r="F37" s="148">
        <v>38.1</v>
      </c>
      <c r="G37" s="148"/>
      <c r="H37" s="148">
        <v>1.6</v>
      </c>
      <c r="I37" s="147">
        <v>6190</v>
      </c>
      <c r="J37" s="147">
        <v>6.19</v>
      </c>
      <c r="K37" s="147" t="str">
        <f t="shared" si="6"/>
        <v>38.11.66.19HSTFIN CUT</v>
      </c>
      <c r="L37" s="151" t="s">
        <v>367</v>
      </c>
      <c r="M37" s="150">
        <v>3502254</v>
      </c>
      <c r="N37" s="150" t="s">
        <v>1043</v>
      </c>
      <c r="O37" s="150" t="s">
        <v>6186</v>
      </c>
      <c r="P37" s="19">
        <v>40</v>
      </c>
      <c r="Q37" s="147">
        <v>0</v>
      </c>
      <c r="R37" s="147">
        <v>0</v>
      </c>
      <c r="S37" s="147">
        <v>17</v>
      </c>
      <c r="T37" s="147">
        <f t="shared" si="1"/>
        <v>0</v>
      </c>
      <c r="U37" s="147">
        <v>12</v>
      </c>
      <c r="V37" s="147">
        <f t="shared" si="2"/>
        <v>29</v>
      </c>
      <c r="W37" s="19">
        <f t="shared" si="3"/>
        <v>15</v>
      </c>
      <c r="X37" s="167">
        <f t="shared" si="4"/>
        <v>15</v>
      </c>
      <c r="Y37" s="185">
        <f>SUMIFS(meghsteelsales_previousmonth[Quantity],meghsteelsales_previousmonth[Length Bucket],O37)/1000</f>
        <v>45.849845000000002</v>
      </c>
      <c r="Z37" s="185">
        <f>SUMIFS(meghsteelsales_currentmonth[Quantity],meghsteelsales_currentmonth[Length Bucket],O37)/1000</f>
        <v>15.52</v>
      </c>
      <c r="AA37" s="185">
        <f t="shared" si="5"/>
        <v>0</v>
      </c>
    </row>
    <row r="38" spans="1:27" x14ac:dyDescent="0.25">
      <c r="A38" s="147" t="s">
        <v>10</v>
      </c>
      <c r="B38" s="147" t="s">
        <v>346</v>
      </c>
      <c r="C38" s="153" t="s">
        <v>338</v>
      </c>
      <c r="D38" s="147" t="s">
        <v>348</v>
      </c>
      <c r="E38" s="147" t="s">
        <v>340</v>
      </c>
      <c r="F38" s="148">
        <v>38.1</v>
      </c>
      <c r="G38" s="148"/>
      <c r="H38" s="148">
        <v>2</v>
      </c>
      <c r="I38" s="147">
        <v>5650</v>
      </c>
      <c r="J38" s="147">
        <v>5.65</v>
      </c>
      <c r="K38" s="147" t="str">
        <f t="shared" si="6"/>
        <v>38.125.65ERWFIN CUT</v>
      </c>
      <c r="L38" s="151" t="s">
        <v>367</v>
      </c>
      <c r="M38" s="150">
        <v>3500959</v>
      </c>
      <c r="N38" s="150" t="s">
        <v>860</v>
      </c>
      <c r="O38" s="150" t="s">
        <v>6187</v>
      </c>
      <c r="P38" s="19">
        <v>25</v>
      </c>
      <c r="Q38" s="147">
        <v>5</v>
      </c>
      <c r="R38" s="147">
        <v>47</v>
      </c>
      <c r="S38" s="147">
        <v>0</v>
      </c>
      <c r="T38" s="147">
        <f t="shared" si="1"/>
        <v>42</v>
      </c>
      <c r="U38" s="147">
        <v>11</v>
      </c>
      <c r="V38" s="147">
        <f t="shared" si="2"/>
        <v>53</v>
      </c>
      <c r="W38" s="19">
        <f t="shared" si="3"/>
        <v>-25.499999999999996</v>
      </c>
      <c r="X38" s="167">
        <f t="shared" si="4"/>
        <v>0</v>
      </c>
      <c r="Y38" s="185">
        <f>SUMIFS(meghsteelsales_previousmonth[Quantity],meghsteelsales_previousmonth[Length Bucket],O38)/1000</f>
        <v>3.6047469999999997</v>
      </c>
      <c r="Z38" s="185">
        <f>SUMIFS(meghsteelsales_currentmonth[Quantity],meghsteelsales_currentmonth[Length Bucket],O38)/1000</f>
        <v>0</v>
      </c>
      <c r="AA38" s="185">
        <f t="shared" si="5"/>
        <v>0</v>
      </c>
    </row>
    <row r="39" spans="1:27" x14ac:dyDescent="0.25">
      <c r="A39" s="147" t="s">
        <v>10</v>
      </c>
      <c r="B39" s="147" t="s">
        <v>346</v>
      </c>
      <c r="C39" s="153" t="s">
        <v>344</v>
      </c>
      <c r="D39" s="147" t="s">
        <v>348</v>
      </c>
      <c r="E39" s="147" t="s">
        <v>349</v>
      </c>
      <c r="F39" s="148">
        <v>38.1</v>
      </c>
      <c r="G39" s="148"/>
      <c r="H39" s="148">
        <v>2.5</v>
      </c>
      <c r="I39" s="147">
        <v>6190</v>
      </c>
      <c r="J39" s="147">
        <v>6.19</v>
      </c>
      <c r="K39" s="147" t="str">
        <f t="shared" si="6"/>
        <v>38.12.56.19HSTFIN CUT</v>
      </c>
      <c r="L39" s="151" t="s">
        <v>367</v>
      </c>
      <c r="M39" s="150">
        <v>3502007</v>
      </c>
      <c r="N39" s="150" t="s">
        <v>1048</v>
      </c>
      <c r="O39" s="150" t="s">
        <v>6188</v>
      </c>
      <c r="P39" s="19">
        <v>50</v>
      </c>
      <c r="Q39" s="147">
        <v>0</v>
      </c>
      <c r="R39" s="147">
        <v>0</v>
      </c>
      <c r="S39" s="147">
        <v>0</v>
      </c>
      <c r="T39" s="147">
        <f t="shared" si="1"/>
        <v>0</v>
      </c>
      <c r="U39" s="147">
        <v>25</v>
      </c>
      <c r="V39" s="147">
        <f t="shared" si="2"/>
        <v>25</v>
      </c>
      <c r="W39" s="19">
        <f t="shared" si="3"/>
        <v>30.000000000000007</v>
      </c>
      <c r="X39" s="167">
        <f t="shared" si="4"/>
        <v>30.000000000000007</v>
      </c>
      <c r="Y39" s="185">
        <f>SUMIFS(meghsteelsales_previousmonth[Quantity],meghsteelsales_previousmonth[Length Bucket],O39)/1000</f>
        <v>5.6632070000000008</v>
      </c>
      <c r="Z39" s="185">
        <f>SUMIFS(meghsteelsales_currentmonth[Quantity],meghsteelsales_currentmonth[Length Bucket],O39)/1000</f>
        <v>111.79929199999995</v>
      </c>
      <c r="AA39" s="185">
        <f t="shared" si="5"/>
        <v>0</v>
      </c>
    </row>
    <row r="40" spans="1:27" s="171" customFormat="1" x14ac:dyDescent="0.25">
      <c r="A40" s="170" t="s">
        <v>10</v>
      </c>
      <c r="B40" s="170" t="s">
        <v>116</v>
      </c>
      <c r="C40" s="170" t="s">
        <v>338</v>
      </c>
      <c r="D40" s="147" t="s">
        <v>348</v>
      </c>
      <c r="E40" s="147" t="s">
        <v>340</v>
      </c>
      <c r="F40" s="148">
        <v>41.28</v>
      </c>
      <c r="G40" s="148"/>
      <c r="H40" s="148">
        <v>2.6</v>
      </c>
      <c r="I40" s="147">
        <v>6000</v>
      </c>
      <c r="J40" s="147">
        <v>6</v>
      </c>
      <c r="K40" s="147" t="str">
        <f t="shared" si="6"/>
        <v>41.282.66ERWFIN CUT</v>
      </c>
      <c r="L40" s="151" t="s">
        <v>345</v>
      </c>
      <c r="M40" s="150">
        <v>3994149</v>
      </c>
      <c r="N40" s="150" t="s">
        <v>886</v>
      </c>
      <c r="O40" s="150" t="s">
        <v>6189</v>
      </c>
      <c r="P40" s="19">
        <v>45</v>
      </c>
      <c r="Q40" s="147">
        <v>20</v>
      </c>
      <c r="R40" s="147">
        <v>76</v>
      </c>
      <c r="S40" s="147">
        <v>0</v>
      </c>
      <c r="T40" s="147">
        <f t="shared" si="1"/>
        <v>56</v>
      </c>
      <c r="U40" s="147">
        <f t="shared" si="0"/>
        <v>-76</v>
      </c>
      <c r="V40" s="147">
        <f t="shared" si="2"/>
        <v>-20</v>
      </c>
      <c r="W40" s="19">
        <f t="shared" si="3"/>
        <v>69.5</v>
      </c>
      <c r="X40" s="167">
        <f t="shared" si="4"/>
        <v>69.5</v>
      </c>
      <c r="Y40" s="185">
        <f>SUMIFS(meghsteelsales_previousmonth[Quantity],meghsteelsales_previousmonth[Length Bucket],O40)/1000</f>
        <v>8.67</v>
      </c>
      <c r="Z40" s="185">
        <f>SUMIFS(meghsteelsales_currentmonth[Quantity],meghsteelsales_currentmonth[Length Bucket],O40)/1000</f>
        <v>60.509999999999991</v>
      </c>
      <c r="AA40" s="185">
        <f t="shared" si="5"/>
        <v>0.32000000000000739</v>
      </c>
    </row>
    <row r="41" spans="1:27" x14ac:dyDescent="0.25">
      <c r="A41" s="147" t="s">
        <v>10</v>
      </c>
      <c r="B41" s="147" t="s">
        <v>112</v>
      </c>
      <c r="C41" s="159" t="s">
        <v>338</v>
      </c>
      <c r="D41" s="147" t="s">
        <v>348</v>
      </c>
      <c r="E41" s="147" t="s">
        <v>340</v>
      </c>
      <c r="F41" s="168" t="s">
        <v>363</v>
      </c>
      <c r="G41" s="168"/>
      <c r="H41" s="168">
        <v>1.6</v>
      </c>
      <c r="I41" s="169">
        <v>5880</v>
      </c>
      <c r="J41" s="147">
        <v>5.88</v>
      </c>
      <c r="K41" s="147" t="str">
        <f t="shared" si="6"/>
        <v>40x251.65.88ERWFIN CUT</v>
      </c>
      <c r="L41" s="151" t="s">
        <v>345</v>
      </c>
      <c r="M41" s="150">
        <v>3919145</v>
      </c>
      <c r="N41" s="150" t="s">
        <v>428</v>
      </c>
      <c r="O41" s="150" t="s">
        <v>6190</v>
      </c>
      <c r="P41" s="19">
        <v>4</v>
      </c>
      <c r="Q41" s="147">
        <v>0</v>
      </c>
      <c r="R41" s="147">
        <v>2.5</v>
      </c>
      <c r="S41" s="147">
        <v>0</v>
      </c>
      <c r="T41" s="147">
        <f t="shared" si="1"/>
        <v>2.5</v>
      </c>
      <c r="U41" s="147">
        <f t="shared" si="0"/>
        <v>-2.5</v>
      </c>
      <c r="V41" s="147">
        <f t="shared" si="2"/>
        <v>0</v>
      </c>
      <c r="W41" s="19">
        <f t="shared" si="3"/>
        <v>4.4000000000000004</v>
      </c>
      <c r="X41" s="167">
        <f t="shared" si="4"/>
        <v>4.4000000000000004</v>
      </c>
      <c r="Y41" s="185">
        <f>SUMIFS(meghsteelsales_previousmonth[Quantity],meghsteelsales_previousmonth[Length Bucket],O41)/1000</f>
        <v>0</v>
      </c>
      <c r="Z41" s="185">
        <f>SUMIFS(meghsteelsales_currentmonth[Quantity],meghsteelsales_currentmonth[Length Bucket],O41)/1000</f>
        <v>0</v>
      </c>
      <c r="AA41" s="185">
        <f t="shared" si="5"/>
        <v>4.4000000000000004</v>
      </c>
    </row>
    <row r="42" spans="1:27" x14ac:dyDescent="0.25">
      <c r="A42" s="147" t="s">
        <v>10</v>
      </c>
      <c r="B42" s="147" t="s">
        <v>116</v>
      </c>
      <c r="C42" s="159" t="s">
        <v>338</v>
      </c>
      <c r="D42" s="147" t="s">
        <v>348</v>
      </c>
      <c r="E42" s="147" t="s">
        <v>340</v>
      </c>
      <c r="F42" s="168" t="s">
        <v>363</v>
      </c>
      <c r="G42" s="168"/>
      <c r="H42" s="168">
        <v>1.6</v>
      </c>
      <c r="I42" s="169">
        <v>6130</v>
      </c>
      <c r="J42" s="147">
        <v>6.13</v>
      </c>
      <c r="K42" s="147" t="str">
        <f t="shared" si="6"/>
        <v>40x251.66.13ERWFIN CUT</v>
      </c>
      <c r="L42" s="151" t="s">
        <v>345</v>
      </c>
      <c r="M42" s="150">
        <v>3919144</v>
      </c>
      <c r="N42" s="150" t="s">
        <v>428</v>
      </c>
      <c r="O42" s="150" t="s">
        <v>6191</v>
      </c>
      <c r="P42" s="19">
        <v>3</v>
      </c>
      <c r="Q42" s="147">
        <v>2</v>
      </c>
      <c r="R42" s="147">
        <v>11</v>
      </c>
      <c r="S42" s="147">
        <v>0</v>
      </c>
      <c r="T42" s="147">
        <f t="shared" si="1"/>
        <v>9</v>
      </c>
      <c r="U42" s="147">
        <f t="shared" si="0"/>
        <v>-11</v>
      </c>
      <c r="V42" s="147">
        <f t="shared" si="2"/>
        <v>-2</v>
      </c>
      <c r="W42" s="19">
        <f t="shared" si="3"/>
        <v>5.3000000000000007</v>
      </c>
      <c r="X42" s="167">
        <f t="shared" si="4"/>
        <v>5.3000000000000007</v>
      </c>
      <c r="Y42" s="185">
        <f>SUMIFS(meghsteelsales_previousmonth[Quantity],meghsteelsales_previousmonth[Length Bucket],O42)/1000</f>
        <v>0</v>
      </c>
      <c r="Z42" s="185">
        <f>SUMIFS(meghsteelsales_currentmonth[Quantity],meghsteelsales_currentmonth[Length Bucket],O42)/1000</f>
        <v>0</v>
      </c>
      <c r="AA42" s="185">
        <f t="shared" si="5"/>
        <v>5.3000000000000007</v>
      </c>
    </row>
    <row r="43" spans="1:27" x14ac:dyDescent="0.25">
      <c r="A43" s="147" t="s">
        <v>341</v>
      </c>
      <c r="B43" s="147" t="s">
        <v>342</v>
      </c>
      <c r="C43" s="153" t="s">
        <v>338</v>
      </c>
      <c r="D43" s="147" t="s">
        <v>348</v>
      </c>
      <c r="E43" s="147" t="s">
        <v>340</v>
      </c>
      <c r="F43" s="148">
        <v>41.28</v>
      </c>
      <c r="G43" s="148"/>
      <c r="H43" s="148">
        <v>3.15</v>
      </c>
      <c r="I43" s="147">
        <v>5860</v>
      </c>
      <c r="J43" s="147">
        <v>5.86</v>
      </c>
      <c r="K43" s="147" t="str">
        <f t="shared" si="6"/>
        <v>41.283.155.86ERWFIN CUT</v>
      </c>
      <c r="L43" s="158" t="s">
        <v>367</v>
      </c>
      <c r="M43" s="150">
        <v>3673889</v>
      </c>
      <c r="N43" s="150" t="s">
        <v>6192</v>
      </c>
      <c r="O43" s="150" t="s">
        <v>6193</v>
      </c>
      <c r="P43" s="19">
        <v>20</v>
      </c>
      <c r="Q43" s="147">
        <v>5</v>
      </c>
      <c r="R43" s="147">
        <v>11</v>
      </c>
      <c r="S43" s="147">
        <v>0</v>
      </c>
      <c r="T43" s="147">
        <f t="shared" si="1"/>
        <v>6</v>
      </c>
      <c r="U43" s="147">
        <v>34</v>
      </c>
      <c r="V43" s="147">
        <f t="shared" si="2"/>
        <v>40</v>
      </c>
      <c r="W43" s="19">
        <f t="shared" si="3"/>
        <v>-18</v>
      </c>
      <c r="X43" s="167">
        <f t="shared" si="4"/>
        <v>0</v>
      </c>
      <c r="Y43" s="185">
        <f>SUMIFS(meghsteelsales_previousmonth[Quantity],meghsteelsales_previousmonth[Length Bucket],O43)/1000</f>
        <v>48.390045000000008</v>
      </c>
      <c r="Z43" s="185">
        <f>SUMIFS(meghsteelsales_currentmonth[Quantity],meghsteelsales_currentmonth[Length Bucket],O43)/1000</f>
        <v>9.6830499999999997</v>
      </c>
      <c r="AA43" s="185">
        <f t="shared" si="5"/>
        <v>0</v>
      </c>
    </row>
    <row r="44" spans="1:27" x14ac:dyDescent="0.25">
      <c r="A44" s="147" t="s">
        <v>10</v>
      </c>
      <c r="B44" s="147" t="s">
        <v>346</v>
      </c>
      <c r="C44" s="153" t="s">
        <v>364</v>
      </c>
      <c r="D44" s="147" t="s">
        <v>348</v>
      </c>
      <c r="E44" s="147" t="s">
        <v>340</v>
      </c>
      <c r="F44" s="148">
        <v>42.7</v>
      </c>
      <c r="G44" s="148"/>
      <c r="H44" s="148">
        <v>3.5</v>
      </c>
      <c r="I44" s="147">
        <v>6000</v>
      </c>
      <c r="J44" s="147">
        <v>6</v>
      </c>
      <c r="K44" s="147" t="str">
        <f t="shared" si="6"/>
        <v>42.73.56ERWFIN CUT</v>
      </c>
      <c r="L44" s="151" t="s">
        <v>362</v>
      </c>
      <c r="M44" s="150">
        <v>3500650</v>
      </c>
      <c r="N44" s="150" t="s">
        <v>875</v>
      </c>
      <c r="O44" s="150" t="s">
        <v>6194</v>
      </c>
      <c r="P44" s="19">
        <v>15</v>
      </c>
      <c r="Q44" s="147">
        <v>15</v>
      </c>
      <c r="R44" s="147">
        <v>25</v>
      </c>
      <c r="S44" s="147">
        <v>0</v>
      </c>
      <c r="T44" s="147">
        <f t="shared" si="1"/>
        <v>10</v>
      </c>
      <c r="U44" s="147">
        <f t="shared" si="0"/>
        <v>-25</v>
      </c>
      <c r="V44" s="147">
        <f t="shared" si="2"/>
        <v>-15</v>
      </c>
      <c r="W44" s="19">
        <f t="shared" si="3"/>
        <v>31.5</v>
      </c>
      <c r="X44" s="167">
        <f t="shared" si="4"/>
        <v>31.5</v>
      </c>
      <c r="Y44" s="185">
        <f>SUMIFS(meghsteelsales_previousmonth[Quantity],meghsteelsales_previousmonth[Length Bucket],O44)/1000</f>
        <v>4.2835110000000007</v>
      </c>
      <c r="Z44" s="185">
        <f>SUMIFS(meghsteelsales_currentmonth[Quantity],meghsteelsales_currentmonth[Length Bucket],O44)/1000</f>
        <v>2.3549160000000002</v>
      </c>
      <c r="AA44" s="185">
        <f t="shared" si="5"/>
        <v>24.861573</v>
      </c>
    </row>
    <row r="45" spans="1:27" x14ac:dyDescent="0.25">
      <c r="A45" s="147" t="s">
        <v>10</v>
      </c>
      <c r="B45" s="147" t="s">
        <v>346</v>
      </c>
      <c r="C45" s="153" t="s">
        <v>364</v>
      </c>
      <c r="D45" s="147" t="s">
        <v>348</v>
      </c>
      <c r="E45" s="147" t="s">
        <v>340</v>
      </c>
      <c r="F45" s="148">
        <v>42.7</v>
      </c>
      <c r="G45" s="148"/>
      <c r="H45" s="148">
        <v>4</v>
      </c>
      <c r="I45" s="147">
        <v>6000</v>
      </c>
      <c r="J45" s="147">
        <v>6</v>
      </c>
      <c r="K45" s="147" t="str">
        <f t="shared" si="6"/>
        <v>42.746ERWFIN CUT</v>
      </c>
      <c r="L45" s="149" t="s">
        <v>362</v>
      </c>
      <c r="M45" s="150">
        <v>3500714</v>
      </c>
      <c r="N45" s="150" t="s">
        <v>891</v>
      </c>
      <c r="O45" s="150" t="s">
        <v>6195</v>
      </c>
      <c r="P45" s="19">
        <v>30</v>
      </c>
      <c r="Q45" s="147">
        <v>10</v>
      </c>
      <c r="R45" s="147">
        <v>19</v>
      </c>
      <c r="S45" s="147">
        <v>0</v>
      </c>
      <c r="T45" s="147">
        <f t="shared" si="1"/>
        <v>9</v>
      </c>
      <c r="U45" s="147">
        <f t="shared" si="0"/>
        <v>-19</v>
      </c>
      <c r="V45" s="147">
        <f t="shared" si="2"/>
        <v>-10</v>
      </c>
      <c r="W45" s="19">
        <f t="shared" si="3"/>
        <v>43</v>
      </c>
      <c r="X45" s="167">
        <f t="shared" si="4"/>
        <v>43</v>
      </c>
      <c r="Y45" s="185">
        <f>SUMIFS(meghsteelsales_previousmonth[Quantity],meghsteelsales_previousmonth[Length Bucket],O45)/1000</f>
        <v>38.311999999999998</v>
      </c>
      <c r="Z45" s="185">
        <f>SUMIFS(meghsteelsales_currentmonth[Quantity],meghsteelsales_currentmonth[Length Bucket],O45)/1000</f>
        <v>35.316800000000001</v>
      </c>
      <c r="AA45" s="185">
        <f t="shared" si="5"/>
        <v>0</v>
      </c>
    </row>
    <row r="46" spans="1:27" x14ac:dyDescent="0.25">
      <c r="A46" s="147" t="s">
        <v>10</v>
      </c>
      <c r="B46" s="147" t="s">
        <v>346</v>
      </c>
      <c r="C46" s="155" t="s">
        <v>338</v>
      </c>
      <c r="D46" s="147" t="s">
        <v>348</v>
      </c>
      <c r="E46" s="147" t="s">
        <v>340</v>
      </c>
      <c r="F46" s="154" t="s">
        <v>365</v>
      </c>
      <c r="G46" s="154"/>
      <c r="H46" s="154">
        <v>1.6</v>
      </c>
      <c r="I46" s="155">
        <v>5900</v>
      </c>
      <c r="J46" s="147">
        <v>5.9</v>
      </c>
      <c r="K46" s="147" t="str">
        <f t="shared" si="6"/>
        <v>40x301.65.9ERWFIN CUT</v>
      </c>
      <c r="L46" s="151" t="s">
        <v>345</v>
      </c>
      <c r="M46" s="150">
        <v>3925391</v>
      </c>
      <c r="N46" s="150" t="s">
        <v>586</v>
      </c>
      <c r="O46" s="150" t="s">
        <v>4936</v>
      </c>
      <c r="P46" s="19">
        <v>10</v>
      </c>
      <c r="Q46" s="147">
        <v>3</v>
      </c>
      <c r="R46" s="147">
        <v>7</v>
      </c>
      <c r="S46" s="147">
        <v>0</v>
      </c>
      <c r="T46" s="147">
        <f t="shared" si="1"/>
        <v>4</v>
      </c>
      <c r="U46" s="147">
        <f t="shared" si="0"/>
        <v>-7</v>
      </c>
      <c r="V46" s="147">
        <f t="shared" si="2"/>
        <v>-3</v>
      </c>
      <c r="W46" s="19">
        <f t="shared" si="3"/>
        <v>14</v>
      </c>
      <c r="X46" s="167">
        <f t="shared" si="4"/>
        <v>14</v>
      </c>
      <c r="Y46" s="185">
        <f>SUMIFS(meghsteelsales_previousmonth[Quantity],meghsteelsales_previousmonth[Length Bucket],O46)/1000</f>
        <v>0</v>
      </c>
      <c r="Z46" s="185">
        <f>SUMIFS(meghsteelsales_currentmonth[Quantity],meghsteelsales_currentmonth[Length Bucket],O46)/1000</f>
        <v>0</v>
      </c>
      <c r="AA46" s="185">
        <f t="shared" si="5"/>
        <v>14</v>
      </c>
    </row>
    <row r="47" spans="1:27" x14ac:dyDescent="0.25">
      <c r="A47" s="147" t="s">
        <v>341</v>
      </c>
      <c r="B47" s="147" t="s">
        <v>342</v>
      </c>
      <c r="C47" s="153" t="s">
        <v>344</v>
      </c>
      <c r="D47" s="147" t="s">
        <v>348</v>
      </c>
      <c r="E47" s="147" t="s">
        <v>349</v>
      </c>
      <c r="F47" s="148">
        <v>45</v>
      </c>
      <c r="G47" s="148"/>
      <c r="H47" s="148">
        <v>1.4</v>
      </c>
      <c r="I47" s="147">
        <v>6400</v>
      </c>
      <c r="J47" s="147">
        <v>6.42</v>
      </c>
      <c r="K47" s="147" t="str">
        <f t="shared" si="6"/>
        <v>451.46.42HSTFIN CUT</v>
      </c>
      <c r="L47" s="200"/>
      <c r="M47" s="150">
        <v>3502343</v>
      </c>
      <c r="N47" s="150" t="s">
        <v>5061</v>
      </c>
      <c r="O47" s="150" t="s">
        <v>6196</v>
      </c>
      <c r="P47" s="19">
        <v>0</v>
      </c>
      <c r="Q47" s="147">
        <v>0</v>
      </c>
      <c r="R47" s="147">
        <v>5</v>
      </c>
      <c r="S47" s="147">
        <v>0</v>
      </c>
      <c r="T47" s="147">
        <f t="shared" si="1"/>
        <v>5</v>
      </c>
      <c r="U47" s="147">
        <f t="shared" si="0"/>
        <v>-5</v>
      </c>
      <c r="V47" s="147">
        <f t="shared" si="2"/>
        <v>0</v>
      </c>
      <c r="W47" s="19">
        <f t="shared" si="3"/>
        <v>0</v>
      </c>
      <c r="X47" s="167">
        <f t="shared" si="4"/>
        <v>0</v>
      </c>
      <c r="Y47" s="185">
        <f>SUMIFS(meghsteelsales_previousmonth[Quantity],meghsteelsales_previousmonth[Length Bucket],O47)/1000</f>
        <v>0</v>
      </c>
      <c r="Z47" s="185">
        <f>SUMIFS(meghsteelsales_currentmonth[Quantity],meghsteelsales_currentmonth[Length Bucket],O47)/1000</f>
        <v>0</v>
      </c>
      <c r="AA47" s="185">
        <f t="shared" si="5"/>
        <v>0</v>
      </c>
    </row>
    <row r="48" spans="1:27" x14ac:dyDescent="0.25">
      <c r="A48" s="147" t="s">
        <v>341</v>
      </c>
      <c r="B48" s="147" t="s">
        <v>342</v>
      </c>
      <c r="C48" s="153" t="s">
        <v>338</v>
      </c>
      <c r="D48" s="147" t="s">
        <v>348</v>
      </c>
      <c r="E48" s="147" t="s">
        <v>340</v>
      </c>
      <c r="F48" s="148">
        <v>45</v>
      </c>
      <c r="G48" s="148"/>
      <c r="H48" s="148">
        <v>1.4</v>
      </c>
      <c r="I48" s="147">
        <v>5700</v>
      </c>
      <c r="J48" s="147">
        <v>5.7</v>
      </c>
      <c r="K48" s="147" t="str">
        <f t="shared" si="6"/>
        <v>451.45.7ERWFIN CUT</v>
      </c>
      <c r="L48" s="201" t="s">
        <v>367</v>
      </c>
      <c r="M48" s="150">
        <v>3545558</v>
      </c>
      <c r="N48" s="150" t="s">
        <v>2379</v>
      </c>
      <c r="O48" s="150" t="s">
        <v>6197</v>
      </c>
      <c r="P48" s="19">
        <v>0</v>
      </c>
      <c r="Q48" s="147">
        <v>0</v>
      </c>
      <c r="R48" s="147">
        <v>1</v>
      </c>
      <c r="S48" s="147">
        <v>16</v>
      </c>
      <c r="T48" s="147">
        <f t="shared" si="1"/>
        <v>1</v>
      </c>
      <c r="U48" s="147">
        <f t="shared" si="0"/>
        <v>15</v>
      </c>
      <c r="V48" s="147">
        <f t="shared" si="2"/>
        <v>32</v>
      </c>
      <c r="W48" s="19">
        <f t="shared" si="3"/>
        <v>-32</v>
      </c>
      <c r="X48" s="167">
        <f t="shared" si="4"/>
        <v>0</v>
      </c>
      <c r="Y48" s="185">
        <f>SUMIFS(meghsteelsales_previousmonth[Quantity],meghsteelsales_previousmonth[Length Bucket],O48)/1000</f>
        <v>4.8159999999999998</v>
      </c>
      <c r="Z48" s="185">
        <f>SUMIFS(meghsteelsales_currentmonth[Quantity],meghsteelsales_currentmonth[Length Bucket],O48)/1000</f>
        <v>7.35</v>
      </c>
      <c r="AA48" s="185">
        <f t="shared" si="5"/>
        <v>0</v>
      </c>
    </row>
    <row r="49" spans="1:27" x14ac:dyDescent="0.25">
      <c r="A49" s="147" t="s">
        <v>341</v>
      </c>
      <c r="B49" s="147" t="s">
        <v>342</v>
      </c>
      <c r="C49" s="153" t="s">
        <v>344</v>
      </c>
      <c r="D49" s="147" t="s">
        <v>348</v>
      </c>
      <c r="E49" s="147" t="s">
        <v>349</v>
      </c>
      <c r="F49" s="148">
        <v>45</v>
      </c>
      <c r="G49" s="148"/>
      <c r="H49" s="148">
        <v>1.6</v>
      </c>
      <c r="I49" s="147">
        <v>6400</v>
      </c>
      <c r="J49" s="147">
        <v>6.42</v>
      </c>
      <c r="K49" s="147" t="str">
        <f t="shared" si="6"/>
        <v>451.66.42HSTFIN CUT</v>
      </c>
      <c r="L49" s="200"/>
      <c r="M49" s="150">
        <v>3502388</v>
      </c>
      <c r="N49" s="150" t="s">
        <v>6154</v>
      </c>
      <c r="O49" s="150" t="s">
        <v>6154</v>
      </c>
      <c r="P49" s="19">
        <v>0</v>
      </c>
      <c r="Q49" s="147">
        <v>0</v>
      </c>
      <c r="R49" s="147">
        <v>8</v>
      </c>
      <c r="S49" s="147">
        <v>0</v>
      </c>
      <c r="T49" s="147">
        <f t="shared" si="1"/>
        <v>8</v>
      </c>
      <c r="U49" s="147">
        <f t="shared" si="0"/>
        <v>-8</v>
      </c>
      <c r="V49" s="147">
        <f t="shared" si="2"/>
        <v>0</v>
      </c>
      <c r="W49" s="19">
        <f t="shared" si="3"/>
        <v>0</v>
      </c>
      <c r="X49" s="167">
        <f t="shared" si="4"/>
        <v>0</v>
      </c>
      <c r="Y49" s="185">
        <f>SUMIFS(meghsteelsales_previousmonth[Quantity],meghsteelsales_previousmonth[Length Bucket],O49)/1000</f>
        <v>0</v>
      </c>
      <c r="Z49" s="185">
        <f>SUMIFS(meghsteelsales_currentmonth[Quantity],meghsteelsales_currentmonth[Length Bucket],O49)/1000</f>
        <v>0</v>
      </c>
      <c r="AA49" s="185">
        <f t="shared" si="5"/>
        <v>0</v>
      </c>
    </row>
    <row r="50" spans="1:27" x14ac:dyDescent="0.25">
      <c r="A50" s="147" t="s">
        <v>5</v>
      </c>
      <c r="B50" s="147" t="s">
        <v>358</v>
      </c>
      <c r="C50" s="153" t="s">
        <v>338</v>
      </c>
      <c r="D50" s="147" t="s">
        <v>348</v>
      </c>
      <c r="E50" s="147" t="s">
        <v>340</v>
      </c>
      <c r="F50" s="148">
        <v>48</v>
      </c>
      <c r="G50" s="148"/>
      <c r="H50" s="148">
        <v>1.2</v>
      </c>
      <c r="I50" s="147">
        <v>620</v>
      </c>
      <c r="J50" s="147">
        <v>0.62</v>
      </c>
      <c r="K50" s="147" t="str">
        <f t="shared" si="6"/>
        <v>481.20.62ERWFIN CUT</v>
      </c>
      <c r="L50" s="151" t="s">
        <v>345</v>
      </c>
      <c r="M50" s="150">
        <v>2397072</v>
      </c>
      <c r="N50" s="150" t="s">
        <v>6198</v>
      </c>
      <c r="O50" s="150" t="s">
        <v>6199</v>
      </c>
      <c r="P50" s="19">
        <v>10</v>
      </c>
      <c r="Q50" s="147">
        <v>0</v>
      </c>
      <c r="R50" s="147">
        <v>0</v>
      </c>
      <c r="S50" s="147">
        <v>0</v>
      </c>
      <c r="T50" s="147">
        <f t="shared" si="1"/>
        <v>0</v>
      </c>
      <c r="U50" s="147">
        <f t="shared" si="0"/>
        <v>0</v>
      </c>
      <c r="V50" s="147">
        <f t="shared" si="2"/>
        <v>0</v>
      </c>
      <c r="W50" s="19">
        <f t="shared" si="3"/>
        <v>11</v>
      </c>
      <c r="X50" s="167">
        <f t="shared" si="4"/>
        <v>11</v>
      </c>
      <c r="Y50" s="185">
        <f>SUMIFS(meghsteelsales_previousmonth[Quantity],meghsteelsales_previousmonth[Length Bucket],O50)/1000</f>
        <v>0</v>
      </c>
      <c r="Z50" s="185">
        <f>SUMIFS(meghsteelsales_currentmonth[Quantity],meghsteelsales_currentmonth[Length Bucket],O50)/1000</f>
        <v>0</v>
      </c>
      <c r="AA50" s="185">
        <f t="shared" si="5"/>
        <v>11</v>
      </c>
    </row>
    <row r="51" spans="1:27" x14ac:dyDescent="0.25">
      <c r="A51" s="147" t="s">
        <v>5</v>
      </c>
      <c r="B51" s="147" t="s">
        <v>359</v>
      </c>
      <c r="C51" s="153" t="s">
        <v>338</v>
      </c>
      <c r="D51" s="147" t="s">
        <v>348</v>
      </c>
      <c r="E51" s="147" t="s">
        <v>340</v>
      </c>
      <c r="F51" s="148">
        <v>48</v>
      </c>
      <c r="G51" s="148"/>
      <c r="H51" s="148">
        <v>1.2</v>
      </c>
      <c r="I51" s="147">
        <v>700</v>
      </c>
      <c r="J51" s="147">
        <v>0.7</v>
      </c>
      <c r="K51" s="147" t="str">
        <f t="shared" si="6"/>
        <v>481.20.7ERWFIN CUT</v>
      </c>
      <c r="L51" s="151" t="s">
        <v>345</v>
      </c>
      <c r="M51" s="150">
        <v>3649700</v>
      </c>
      <c r="N51" s="150" t="s">
        <v>6198</v>
      </c>
      <c r="O51" s="150" t="s">
        <v>2277</v>
      </c>
      <c r="P51" s="19">
        <v>12</v>
      </c>
      <c r="Q51" s="147">
        <v>0</v>
      </c>
      <c r="R51" s="147">
        <v>0</v>
      </c>
      <c r="S51" s="147">
        <v>0</v>
      </c>
      <c r="T51" s="147">
        <f t="shared" si="1"/>
        <v>0</v>
      </c>
      <c r="U51" s="147">
        <f t="shared" si="0"/>
        <v>0</v>
      </c>
      <c r="V51" s="147">
        <f t="shared" si="2"/>
        <v>0</v>
      </c>
      <c r="W51" s="19">
        <f t="shared" si="3"/>
        <v>13.200000000000001</v>
      </c>
      <c r="X51" s="167">
        <f t="shared" si="4"/>
        <v>13.200000000000001</v>
      </c>
      <c r="Y51" s="185">
        <f>SUMIFS(meghsteelsales_previousmonth[Quantity],meghsteelsales_previousmonth[Length Bucket],O51)/1000</f>
        <v>0</v>
      </c>
      <c r="Z51" s="185">
        <f>SUMIFS(meghsteelsales_currentmonth[Quantity],meghsteelsales_currentmonth[Length Bucket],O51)/1000</f>
        <v>0</v>
      </c>
      <c r="AA51" s="185">
        <f t="shared" si="5"/>
        <v>13.200000000000001</v>
      </c>
    </row>
    <row r="52" spans="1:27" x14ac:dyDescent="0.25">
      <c r="A52" s="147" t="s">
        <v>341</v>
      </c>
      <c r="B52" s="147" t="s">
        <v>342</v>
      </c>
      <c r="C52" s="153" t="s">
        <v>344</v>
      </c>
      <c r="D52" s="147" t="s">
        <v>348</v>
      </c>
      <c r="E52" s="147" t="s">
        <v>349</v>
      </c>
      <c r="F52" s="148">
        <v>48.6</v>
      </c>
      <c r="G52" s="148"/>
      <c r="H52" s="148">
        <v>2</v>
      </c>
      <c r="I52" s="147">
        <v>6270</v>
      </c>
      <c r="J52" s="147">
        <v>6.27</v>
      </c>
      <c r="K52" s="147" t="str">
        <f t="shared" si="6"/>
        <v>48.626.27HSTFIN CUT</v>
      </c>
      <c r="L52" s="149"/>
      <c r="M52" s="150">
        <v>3502301</v>
      </c>
      <c r="N52" s="150" t="s">
        <v>6154</v>
      </c>
      <c r="O52" s="150" t="s">
        <v>6154</v>
      </c>
      <c r="P52" s="19">
        <v>0</v>
      </c>
      <c r="Q52" s="147">
        <v>0</v>
      </c>
      <c r="R52" s="147">
        <v>41</v>
      </c>
      <c r="S52" s="147">
        <v>0</v>
      </c>
      <c r="T52" s="147">
        <f t="shared" si="1"/>
        <v>41</v>
      </c>
      <c r="U52" s="147">
        <f t="shared" si="0"/>
        <v>-41</v>
      </c>
      <c r="V52" s="147">
        <f t="shared" si="2"/>
        <v>0</v>
      </c>
      <c r="W52" s="19">
        <f t="shared" si="3"/>
        <v>0</v>
      </c>
      <c r="X52" s="167">
        <f t="shared" si="4"/>
        <v>0</v>
      </c>
      <c r="Y52" s="185">
        <f>SUMIFS(meghsteelsales_previousmonth[Quantity],meghsteelsales_previousmonth[Length Bucket],O52)/1000</f>
        <v>0</v>
      </c>
      <c r="Z52" s="185">
        <f>SUMIFS(meghsteelsales_currentmonth[Quantity],meghsteelsales_currentmonth[Length Bucket],O52)/1000</f>
        <v>0</v>
      </c>
      <c r="AA52" s="185">
        <f t="shared" si="5"/>
        <v>0</v>
      </c>
    </row>
    <row r="53" spans="1:27" x14ac:dyDescent="0.25">
      <c r="A53" s="147" t="s">
        <v>341</v>
      </c>
      <c r="B53" s="147" t="s">
        <v>342</v>
      </c>
      <c r="C53" s="153" t="s">
        <v>344</v>
      </c>
      <c r="D53" s="147" t="s">
        <v>348</v>
      </c>
      <c r="E53" s="147" t="s">
        <v>349</v>
      </c>
      <c r="F53" s="148">
        <v>48.6</v>
      </c>
      <c r="G53" s="148"/>
      <c r="H53" s="148">
        <v>2.2999999999999998</v>
      </c>
      <c r="I53" s="147">
        <v>6270</v>
      </c>
      <c r="J53" s="147">
        <v>6.27</v>
      </c>
      <c r="K53" s="147" t="str">
        <f t="shared" si="6"/>
        <v>48.62.36.27HSTFIN CUT</v>
      </c>
      <c r="L53" s="149"/>
      <c r="M53" s="150">
        <v>3549720</v>
      </c>
      <c r="N53" s="150" t="s">
        <v>6200</v>
      </c>
      <c r="O53" s="150" t="s">
        <v>6201</v>
      </c>
      <c r="P53" s="19">
        <v>0</v>
      </c>
      <c r="Q53" s="147">
        <v>0</v>
      </c>
      <c r="R53" s="147">
        <v>10</v>
      </c>
      <c r="S53" s="147">
        <v>0</v>
      </c>
      <c r="T53" s="147">
        <f t="shared" si="1"/>
        <v>10</v>
      </c>
      <c r="U53" s="147">
        <f t="shared" si="0"/>
        <v>-10</v>
      </c>
      <c r="V53" s="147">
        <f t="shared" si="2"/>
        <v>0</v>
      </c>
      <c r="W53" s="19">
        <f t="shared" si="3"/>
        <v>0</v>
      </c>
      <c r="X53" s="167">
        <f t="shared" si="4"/>
        <v>0</v>
      </c>
      <c r="Y53" s="185">
        <f>SUMIFS(meghsteelsales_previousmonth[Quantity],meghsteelsales_previousmonth[Length Bucket],O53)/1000</f>
        <v>0</v>
      </c>
      <c r="Z53" s="185">
        <f>SUMIFS(meghsteelsales_currentmonth[Quantity],meghsteelsales_currentmonth[Length Bucket],O53)/1000</f>
        <v>0</v>
      </c>
      <c r="AA53" s="185">
        <f t="shared" si="5"/>
        <v>0</v>
      </c>
    </row>
    <row r="54" spans="1:27" x14ac:dyDescent="0.25">
      <c r="A54" s="147" t="s">
        <v>341</v>
      </c>
      <c r="B54" s="147" t="s">
        <v>342</v>
      </c>
      <c r="C54" s="153" t="s">
        <v>338</v>
      </c>
      <c r="D54" s="147" t="s">
        <v>348</v>
      </c>
      <c r="E54" s="147" t="s">
        <v>340</v>
      </c>
      <c r="F54" s="148">
        <v>48.6</v>
      </c>
      <c r="G54" s="148"/>
      <c r="H54" s="148">
        <v>3.5</v>
      </c>
      <c r="I54" s="147">
        <v>6000</v>
      </c>
      <c r="J54" s="147">
        <v>6</v>
      </c>
      <c r="K54" s="147" t="str">
        <f t="shared" si="6"/>
        <v>48.63.56ERWFIN CUT</v>
      </c>
      <c r="L54" s="158" t="s">
        <v>345</v>
      </c>
      <c r="M54" s="150">
        <v>3502422</v>
      </c>
      <c r="N54" s="150" t="s">
        <v>712</v>
      </c>
      <c r="O54" s="150" t="s">
        <v>6202</v>
      </c>
      <c r="P54" s="19">
        <v>0</v>
      </c>
      <c r="Q54" s="147">
        <v>3</v>
      </c>
      <c r="R54" s="147">
        <v>8</v>
      </c>
      <c r="S54" s="147">
        <v>0</v>
      </c>
      <c r="T54" s="147">
        <f t="shared" si="1"/>
        <v>5</v>
      </c>
      <c r="U54" s="147">
        <f t="shared" si="0"/>
        <v>-8</v>
      </c>
      <c r="V54" s="147">
        <f t="shared" si="2"/>
        <v>-3</v>
      </c>
      <c r="W54" s="19">
        <f t="shared" si="3"/>
        <v>3</v>
      </c>
      <c r="X54" s="167">
        <f t="shared" si="4"/>
        <v>3</v>
      </c>
      <c r="Y54" s="185">
        <f>SUMIFS(meghsteelsales_previousmonth[Quantity],meghsteelsales_previousmonth[Length Bucket],O54)/1000</f>
        <v>2.991104</v>
      </c>
      <c r="Z54" s="185">
        <f>SUMIFS(meghsteelsales_currentmonth[Quantity],meghsteelsales_currentmonth[Length Bucket],O54)/1000</f>
        <v>14.154752</v>
      </c>
      <c r="AA54" s="185">
        <f t="shared" si="5"/>
        <v>0</v>
      </c>
    </row>
    <row r="55" spans="1:27" x14ac:dyDescent="0.25">
      <c r="A55" s="147" t="s">
        <v>10</v>
      </c>
      <c r="B55" s="147" t="s">
        <v>116</v>
      </c>
      <c r="C55" s="153" t="s">
        <v>338</v>
      </c>
      <c r="D55" s="147" t="s">
        <v>348</v>
      </c>
      <c r="E55" s="147" t="s">
        <v>340</v>
      </c>
      <c r="F55" s="168" t="s">
        <v>368</v>
      </c>
      <c r="G55" s="168"/>
      <c r="H55" s="168">
        <v>1.6</v>
      </c>
      <c r="I55" s="147">
        <v>6000</v>
      </c>
      <c r="J55" s="147">
        <v>6</v>
      </c>
      <c r="K55" s="147" t="str">
        <f t="shared" si="6"/>
        <v>59x301.66ERWFIN CUT</v>
      </c>
      <c r="L55" s="151" t="s">
        <v>345</v>
      </c>
      <c r="M55" s="150">
        <v>1940925</v>
      </c>
      <c r="N55" s="150" t="s">
        <v>568</v>
      </c>
      <c r="O55" s="150" t="s">
        <v>6203</v>
      </c>
      <c r="P55" s="19">
        <v>5</v>
      </c>
      <c r="Q55" s="147">
        <v>0</v>
      </c>
      <c r="R55" s="147">
        <v>8</v>
      </c>
      <c r="S55" s="147">
        <v>0</v>
      </c>
      <c r="T55" s="147">
        <f t="shared" si="1"/>
        <v>8</v>
      </c>
      <c r="U55" s="147">
        <f t="shared" si="0"/>
        <v>-8</v>
      </c>
      <c r="V55" s="147">
        <f t="shared" si="2"/>
        <v>0</v>
      </c>
      <c r="W55" s="19">
        <f t="shared" si="3"/>
        <v>5.5</v>
      </c>
      <c r="X55" s="167">
        <v>5</v>
      </c>
      <c r="Y55" s="185">
        <f>SUMIFS(meghsteelsales_previousmonth[Quantity],meghsteelsales_previousmonth[Length Bucket],O55)/1000</f>
        <v>5.12</v>
      </c>
      <c r="Z55" s="185">
        <f>SUMIFS(meghsteelsales_currentmonth[Quantity],meghsteelsales_currentmonth[Length Bucket],O55)/1000</f>
        <v>0</v>
      </c>
      <c r="AA55" s="185">
        <f t="shared" si="5"/>
        <v>0</v>
      </c>
    </row>
    <row r="56" spans="1:27" x14ac:dyDescent="0.25">
      <c r="A56" s="147" t="s">
        <v>5</v>
      </c>
      <c r="B56" s="147" t="s">
        <v>369</v>
      </c>
      <c r="C56" s="153" t="s">
        <v>338</v>
      </c>
      <c r="D56" s="147" t="s">
        <v>348</v>
      </c>
      <c r="E56" s="147" t="s">
        <v>340</v>
      </c>
      <c r="F56" s="168" t="s">
        <v>368</v>
      </c>
      <c r="G56" s="168"/>
      <c r="H56" s="168">
        <v>1.6</v>
      </c>
      <c r="I56" s="169">
        <v>572.5</v>
      </c>
      <c r="J56" s="147">
        <v>0.57250000000000001</v>
      </c>
      <c r="K56" s="147" t="str">
        <f t="shared" si="6"/>
        <v>59x301.60.5725ERWFIN CUT</v>
      </c>
      <c r="L56" s="151" t="s">
        <v>345</v>
      </c>
      <c r="M56" s="150">
        <v>3781647</v>
      </c>
      <c r="N56" s="150" t="s">
        <v>568</v>
      </c>
      <c r="O56" s="150" t="s">
        <v>6204</v>
      </c>
      <c r="P56" s="19">
        <v>15</v>
      </c>
      <c r="Q56" s="147">
        <v>0</v>
      </c>
      <c r="R56" s="147">
        <v>0</v>
      </c>
      <c r="S56" s="147">
        <v>0</v>
      </c>
      <c r="T56" s="147">
        <f t="shared" si="1"/>
        <v>0</v>
      </c>
      <c r="U56" s="147">
        <f t="shared" si="0"/>
        <v>0</v>
      </c>
      <c r="V56" s="147">
        <f t="shared" si="2"/>
        <v>0</v>
      </c>
      <c r="W56" s="19">
        <f t="shared" si="3"/>
        <v>16.5</v>
      </c>
      <c r="X56" s="167">
        <f t="shared" si="4"/>
        <v>16.5</v>
      </c>
      <c r="Y56" s="185">
        <f>SUMIFS(meghsteelsales_previousmonth[Quantity],meghsteelsales_previousmonth[Length Bucket],O56)/1000</f>
        <v>9.4819599999999991</v>
      </c>
      <c r="Z56" s="185">
        <f>SUMIFS(meghsteelsales_currentmonth[Quantity],meghsteelsales_currentmonth[Length Bucket],O56)/1000</f>
        <v>0</v>
      </c>
      <c r="AA56" s="185">
        <f t="shared" si="5"/>
        <v>7.0180400000000009</v>
      </c>
    </row>
    <row r="57" spans="1:27" x14ac:dyDescent="0.25">
      <c r="A57" s="147" t="s">
        <v>10</v>
      </c>
      <c r="B57" s="147" t="s">
        <v>346</v>
      </c>
      <c r="C57" s="153" t="s">
        <v>338</v>
      </c>
      <c r="D57" s="147" t="s">
        <v>348</v>
      </c>
      <c r="E57" s="147" t="s">
        <v>340</v>
      </c>
      <c r="F57" s="148">
        <v>57.15</v>
      </c>
      <c r="G57" s="148"/>
      <c r="H57" s="148">
        <v>2.5</v>
      </c>
      <c r="I57" s="147">
        <v>5710</v>
      </c>
      <c r="J57" s="147">
        <v>5.71</v>
      </c>
      <c r="K57" s="147" t="str">
        <f t="shared" si="6"/>
        <v>57.152.55.71ERWFIN CUT</v>
      </c>
      <c r="L57" s="165" t="s">
        <v>345</v>
      </c>
      <c r="M57" s="150">
        <v>3907863</v>
      </c>
      <c r="N57" s="150" t="s">
        <v>926</v>
      </c>
      <c r="O57" s="150" t="s">
        <v>6205</v>
      </c>
      <c r="P57" s="19">
        <v>60</v>
      </c>
      <c r="Q57" s="147">
        <v>15</v>
      </c>
      <c r="R57" s="147">
        <v>28.5</v>
      </c>
      <c r="S57" s="147">
        <v>0</v>
      </c>
      <c r="T57" s="147">
        <f t="shared" si="1"/>
        <v>13.5</v>
      </c>
      <c r="U57" s="147">
        <f t="shared" si="0"/>
        <v>-28.5</v>
      </c>
      <c r="V57" s="147">
        <f t="shared" si="2"/>
        <v>-15</v>
      </c>
      <c r="W57" s="19">
        <f t="shared" si="3"/>
        <v>81</v>
      </c>
      <c r="X57" s="167">
        <f t="shared" si="4"/>
        <v>81</v>
      </c>
      <c r="Y57" s="185">
        <f>SUMIFS(meghsteelsales_previousmonth[Quantity],meghsteelsales_previousmonth[Length Bucket],O57)/1000</f>
        <v>16.138103999999998</v>
      </c>
      <c r="Z57" s="185">
        <f>SUMIFS(meghsteelsales_currentmonth[Quantity],meghsteelsales_currentmonth[Length Bucket],O57)/1000</f>
        <v>206.77804999999998</v>
      </c>
      <c r="AA57" s="185">
        <f t="shared" si="5"/>
        <v>0</v>
      </c>
    </row>
    <row r="58" spans="1:27" x14ac:dyDescent="0.25">
      <c r="A58" s="147" t="s">
        <v>10</v>
      </c>
      <c r="B58" s="147" t="s">
        <v>346</v>
      </c>
      <c r="C58" s="153" t="s">
        <v>338</v>
      </c>
      <c r="D58" s="147" t="s">
        <v>348</v>
      </c>
      <c r="E58" s="147" t="s">
        <v>340</v>
      </c>
      <c r="F58" s="148">
        <v>57.15</v>
      </c>
      <c r="G58" s="148"/>
      <c r="H58" s="148">
        <v>2.5</v>
      </c>
      <c r="I58" s="147">
        <v>6100</v>
      </c>
      <c r="J58" s="147">
        <v>6.1</v>
      </c>
      <c r="K58" s="147" t="str">
        <f t="shared" si="6"/>
        <v>57.152.56.1ERWFIN CUT</v>
      </c>
      <c r="L58" s="165" t="s">
        <v>345</v>
      </c>
      <c r="M58" s="150">
        <v>3910001</v>
      </c>
      <c r="N58" s="150" t="s">
        <v>926</v>
      </c>
      <c r="O58" s="150" t="s">
        <v>6206</v>
      </c>
      <c r="P58" s="19">
        <v>65</v>
      </c>
      <c r="Q58" s="147">
        <v>15</v>
      </c>
      <c r="R58" s="147">
        <v>3</v>
      </c>
      <c r="S58" s="147">
        <v>0</v>
      </c>
      <c r="T58" s="147">
        <f t="shared" si="1"/>
        <v>-12</v>
      </c>
      <c r="U58" s="147">
        <f t="shared" si="0"/>
        <v>-3</v>
      </c>
      <c r="V58" s="147">
        <f t="shared" si="2"/>
        <v>-15</v>
      </c>
      <c r="W58" s="19">
        <f t="shared" si="3"/>
        <v>86.5</v>
      </c>
      <c r="X58" s="167">
        <f t="shared" si="4"/>
        <v>86.5</v>
      </c>
      <c r="Y58" s="185">
        <f>SUMIFS(meghsteelsales_previousmonth[Quantity],meghsteelsales_previousmonth[Length Bucket],O58)/1000</f>
        <v>0</v>
      </c>
      <c r="Z58" s="185">
        <f>SUMIFS(meghsteelsales_currentmonth[Quantity],meghsteelsales_currentmonth[Length Bucket],O58)/1000</f>
        <v>52.086044999999999</v>
      </c>
      <c r="AA58" s="185">
        <f t="shared" si="5"/>
        <v>34.413955000000001</v>
      </c>
    </row>
    <row r="59" spans="1:27" x14ac:dyDescent="0.25">
      <c r="A59" s="147" t="s">
        <v>10</v>
      </c>
      <c r="B59" s="147" t="s">
        <v>346</v>
      </c>
      <c r="C59" s="147" t="s">
        <v>338</v>
      </c>
      <c r="D59" s="147" t="s">
        <v>348</v>
      </c>
      <c r="E59" s="147" t="s">
        <v>340</v>
      </c>
      <c r="F59" s="148">
        <v>57.15</v>
      </c>
      <c r="G59" s="148"/>
      <c r="H59" s="148">
        <v>2.5</v>
      </c>
      <c r="I59" s="147">
        <v>5750</v>
      </c>
      <c r="J59" s="147">
        <v>5.75</v>
      </c>
      <c r="K59" s="147" t="str">
        <f t="shared" si="6"/>
        <v>57.152.55.75ERWFIN CUT</v>
      </c>
      <c r="L59" s="165" t="s">
        <v>345</v>
      </c>
      <c r="M59" s="150">
        <v>3501047</v>
      </c>
      <c r="N59" s="150" t="s">
        <v>926</v>
      </c>
      <c r="O59" s="150" t="s">
        <v>6207</v>
      </c>
      <c r="P59" s="19">
        <v>10</v>
      </c>
      <c r="Q59" s="147">
        <v>0</v>
      </c>
      <c r="R59" s="147">
        <v>17</v>
      </c>
      <c r="S59" s="147">
        <v>0</v>
      </c>
      <c r="T59" s="147">
        <f t="shared" si="1"/>
        <v>17</v>
      </c>
      <c r="U59" s="147">
        <f t="shared" si="0"/>
        <v>-17</v>
      </c>
      <c r="V59" s="147">
        <f t="shared" si="2"/>
        <v>0</v>
      </c>
      <c r="W59" s="19">
        <f t="shared" si="3"/>
        <v>11</v>
      </c>
      <c r="X59" s="167">
        <f t="shared" si="4"/>
        <v>11</v>
      </c>
      <c r="Y59" s="185">
        <f>SUMIFS(meghsteelsales_previousmonth[Quantity],meghsteelsales_previousmonth[Length Bucket],O59)/1000</f>
        <v>9.4640000000000004</v>
      </c>
      <c r="Z59" s="185">
        <f>SUMIFS(meghsteelsales_currentmonth[Quantity],meghsteelsales_currentmonth[Length Bucket],O59)/1000</f>
        <v>15.74</v>
      </c>
      <c r="AA59" s="185">
        <f t="shared" si="5"/>
        <v>0</v>
      </c>
    </row>
    <row r="60" spans="1:27" x14ac:dyDescent="0.25">
      <c r="A60" s="147" t="s">
        <v>341</v>
      </c>
      <c r="B60" s="147" t="s">
        <v>342</v>
      </c>
      <c r="C60" s="153" t="s">
        <v>338</v>
      </c>
      <c r="D60" s="147" t="s">
        <v>348</v>
      </c>
      <c r="E60" s="147" t="s">
        <v>340</v>
      </c>
      <c r="F60" s="148">
        <v>57.15</v>
      </c>
      <c r="G60" s="148"/>
      <c r="H60" s="148">
        <v>3</v>
      </c>
      <c r="I60" s="147">
        <v>5650</v>
      </c>
      <c r="J60" s="147">
        <v>5.65</v>
      </c>
      <c r="K60" s="147" t="str">
        <f t="shared" si="6"/>
        <v>57.1535.65ERWFIN CUT</v>
      </c>
      <c r="L60" s="151" t="s">
        <v>367</v>
      </c>
      <c r="M60" s="150">
        <v>3501105</v>
      </c>
      <c r="N60" s="150" t="s">
        <v>6154</v>
      </c>
      <c r="O60" s="150" t="s">
        <v>6154</v>
      </c>
      <c r="P60" s="19">
        <v>0</v>
      </c>
      <c r="Q60" s="147">
        <v>0</v>
      </c>
      <c r="R60" s="147">
        <v>5.5</v>
      </c>
      <c r="S60" s="147">
        <v>0</v>
      </c>
      <c r="T60" s="147">
        <f t="shared" si="1"/>
        <v>5.5</v>
      </c>
      <c r="U60" s="147">
        <f t="shared" si="0"/>
        <v>-5.5</v>
      </c>
      <c r="V60" s="147">
        <f t="shared" si="2"/>
        <v>0</v>
      </c>
      <c r="W60" s="19">
        <f t="shared" si="3"/>
        <v>0</v>
      </c>
      <c r="X60" s="167">
        <f t="shared" si="4"/>
        <v>0</v>
      </c>
      <c r="Y60" s="185">
        <f>SUMIFS(meghsteelsales_previousmonth[Quantity],meghsteelsales_previousmonth[Length Bucket],O60)/1000</f>
        <v>0</v>
      </c>
      <c r="Z60" s="185">
        <f>SUMIFS(meghsteelsales_currentmonth[Quantity],meghsteelsales_currentmonth[Length Bucket],O60)/1000</f>
        <v>0</v>
      </c>
      <c r="AA60" s="185">
        <f t="shared" si="5"/>
        <v>0</v>
      </c>
    </row>
    <row r="61" spans="1:27" x14ac:dyDescent="0.25">
      <c r="A61" s="147" t="s">
        <v>10</v>
      </c>
      <c r="B61" s="147" t="s">
        <v>112</v>
      </c>
      <c r="C61" s="153" t="s">
        <v>338</v>
      </c>
      <c r="D61" s="147" t="s">
        <v>348</v>
      </c>
      <c r="E61" s="147" t="s">
        <v>340</v>
      </c>
      <c r="F61" s="148">
        <v>60.3</v>
      </c>
      <c r="G61" s="148"/>
      <c r="H61" s="148">
        <v>2</v>
      </c>
      <c r="I61" s="147">
        <v>5900</v>
      </c>
      <c r="J61" s="147">
        <v>5.9</v>
      </c>
      <c r="K61" s="147" t="str">
        <f t="shared" si="6"/>
        <v>60.325.9ERWFIN CUT</v>
      </c>
      <c r="L61" s="151" t="s">
        <v>362</v>
      </c>
      <c r="M61" s="150">
        <v>3905049</v>
      </c>
      <c r="N61" s="150" t="s">
        <v>1070</v>
      </c>
      <c r="O61" s="150" t="s">
        <v>6208</v>
      </c>
      <c r="P61" s="19">
        <v>30</v>
      </c>
      <c r="Q61" s="147">
        <v>5</v>
      </c>
      <c r="R61" s="147">
        <v>23</v>
      </c>
      <c r="S61" s="147">
        <v>0</v>
      </c>
      <c r="T61" s="147">
        <f t="shared" si="1"/>
        <v>18</v>
      </c>
      <c r="U61" s="147">
        <f t="shared" si="0"/>
        <v>-23</v>
      </c>
      <c r="V61" s="147">
        <f t="shared" si="2"/>
        <v>-5</v>
      </c>
      <c r="W61" s="19">
        <f t="shared" si="3"/>
        <v>38</v>
      </c>
      <c r="X61" s="167">
        <f t="shared" si="4"/>
        <v>38</v>
      </c>
      <c r="Y61" s="185">
        <f>SUMIFS(meghsteelsales_previousmonth[Quantity],meghsteelsales_previousmonth[Length Bucket],O61)/1000</f>
        <v>42.22</v>
      </c>
      <c r="Z61" s="185">
        <f>SUMIFS(meghsteelsales_currentmonth[Quantity],meghsteelsales_currentmonth[Length Bucket],O61)/1000</f>
        <v>14.679999999999998</v>
      </c>
      <c r="AA61" s="185">
        <f t="shared" si="5"/>
        <v>0</v>
      </c>
    </row>
    <row r="62" spans="1:27" x14ac:dyDescent="0.25">
      <c r="I62" s="152" t="s">
        <v>372</v>
      </c>
      <c r="J62" s="152"/>
      <c r="K62" s="152"/>
      <c r="L62" s="152"/>
      <c r="M62" s="197"/>
      <c r="N62" s="197"/>
      <c r="O62" s="197"/>
      <c r="P62" s="152">
        <f t="shared" ref="P62:Z62" si="7">SUM(P2:P61)</f>
        <v>909</v>
      </c>
      <c r="Q62" s="152">
        <f t="shared" si="7"/>
        <v>197</v>
      </c>
      <c r="R62" s="152">
        <f t="shared" si="7"/>
        <v>725</v>
      </c>
      <c r="S62" s="152">
        <f t="shared" si="7"/>
        <v>95.199999999999989</v>
      </c>
      <c r="T62" s="152">
        <f t="shared" si="7"/>
        <v>528</v>
      </c>
      <c r="U62" s="152">
        <f t="shared" si="7"/>
        <v>-350.7</v>
      </c>
      <c r="V62" s="152">
        <f t="shared" si="7"/>
        <v>272.5</v>
      </c>
      <c r="W62" s="152">
        <f t="shared" si="7"/>
        <v>727.4</v>
      </c>
      <c r="X62" s="172">
        <f t="shared" si="7"/>
        <v>846.90000000000009</v>
      </c>
      <c r="Y62" s="15">
        <f t="shared" si="7"/>
        <v>616.81512799999996</v>
      </c>
      <c r="Z62" s="15">
        <f t="shared" si="7"/>
        <v>692.21915799999988</v>
      </c>
      <c r="AA62" s="15"/>
    </row>
    <row r="63" spans="1:27" x14ac:dyDescent="0.25">
      <c r="M63" s="198"/>
      <c r="N63" s="198"/>
      <c r="O63" s="198"/>
      <c r="W63"/>
      <c r="X63" s="173"/>
    </row>
    <row r="64" spans="1:27" x14ac:dyDescent="0.25">
      <c r="M64" s="198"/>
      <c r="N64" s="198"/>
      <c r="O64" s="198"/>
      <c r="W64"/>
      <c r="X64" s="173"/>
    </row>
    <row r="65" spans="13:24" x14ac:dyDescent="0.25">
      <c r="M65" s="198"/>
      <c r="N65" s="198"/>
      <c r="O65" s="198"/>
      <c r="W65"/>
      <c r="X65" s="173"/>
    </row>
    <row r="66" spans="13:24" x14ac:dyDescent="0.25">
      <c r="M66" s="198"/>
      <c r="N66" s="198"/>
      <c r="O66" s="198"/>
      <c r="W66"/>
      <c r="X66" s="173"/>
    </row>
    <row r="67" spans="13:24" x14ac:dyDescent="0.25">
      <c r="M67" s="198"/>
      <c r="N67" s="198"/>
      <c r="O67" s="198"/>
      <c r="W67"/>
      <c r="X67" s="173"/>
    </row>
    <row r="68" spans="13:24" x14ac:dyDescent="0.25">
      <c r="M68" s="198"/>
      <c r="N68" s="198"/>
      <c r="O68" s="198"/>
      <c r="W68"/>
      <c r="X68" s="173"/>
    </row>
    <row r="69" spans="13:24" x14ac:dyDescent="0.25">
      <c r="M69" s="198"/>
      <c r="N69" s="198"/>
      <c r="O69" s="198"/>
      <c r="W69"/>
      <c r="X69" s="173"/>
    </row>
    <row r="70" spans="13:24" x14ac:dyDescent="0.25">
      <c r="M70" s="198"/>
      <c r="N70" s="198"/>
      <c r="O70" s="198"/>
      <c r="W70"/>
      <c r="X70" s="173"/>
    </row>
    <row r="71" spans="13:24" x14ac:dyDescent="0.25">
      <c r="M71" s="198"/>
      <c r="N71" s="198"/>
      <c r="O71" s="198"/>
      <c r="W71"/>
      <c r="X71" s="173"/>
    </row>
    <row r="72" spans="13:24" x14ac:dyDescent="0.25">
      <c r="M72" s="198"/>
      <c r="N72" s="198"/>
      <c r="O72" s="198"/>
      <c r="W72"/>
      <c r="X72" s="173"/>
    </row>
    <row r="73" spans="13:24" x14ac:dyDescent="0.25">
      <c r="M73" s="198"/>
      <c r="N73" s="198"/>
      <c r="O73" s="198"/>
      <c r="W73"/>
      <c r="X73" s="173"/>
    </row>
    <row r="74" spans="13:24" x14ac:dyDescent="0.25">
      <c r="M74" s="198"/>
      <c r="N74" s="198"/>
      <c r="O74" s="198"/>
      <c r="W74"/>
      <c r="X74" s="173"/>
    </row>
    <row r="75" spans="13:24" x14ac:dyDescent="0.25">
      <c r="M75" s="198"/>
      <c r="N75" s="198"/>
      <c r="O75" s="198"/>
      <c r="W75"/>
      <c r="X75" s="173"/>
    </row>
    <row r="76" spans="13:24" x14ac:dyDescent="0.25">
      <c r="M76" s="198"/>
      <c r="N76" s="198"/>
      <c r="O76" s="198"/>
      <c r="W76"/>
      <c r="X76" s="173"/>
    </row>
    <row r="77" spans="13:24" x14ac:dyDescent="0.25">
      <c r="M77" s="198"/>
      <c r="N77" s="198"/>
      <c r="O77" s="198"/>
      <c r="W77"/>
      <c r="X77" s="173"/>
    </row>
    <row r="78" spans="13:24" x14ac:dyDescent="0.25">
      <c r="M78" s="198"/>
      <c r="N78" s="198"/>
      <c r="O78" s="198"/>
      <c r="W78"/>
      <c r="X78" s="173"/>
    </row>
    <row r="79" spans="13:24" x14ac:dyDescent="0.25">
      <c r="M79" s="198"/>
      <c r="N79" s="198"/>
      <c r="O79" s="198"/>
      <c r="W79"/>
      <c r="X79" s="173"/>
    </row>
    <row r="80" spans="13:24" x14ac:dyDescent="0.25">
      <c r="M80" s="198"/>
      <c r="N80" s="198"/>
      <c r="O80" s="198"/>
      <c r="W80"/>
      <c r="X80" s="173"/>
    </row>
    <row r="81" spans="13:24" x14ac:dyDescent="0.25">
      <c r="M81" s="198"/>
      <c r="N81" s="198"/>
      <c r="O81" s="198"/>
      <c r="W81"/>
      <c r="X81" s="173"/>
    </row>
    <row r="82" spans="13:24" x14ac:dyDescent="0.25">
      <c r="M82" s="198"/>
      <c r="N82" s="198"/>
      <c r="O82" s="198"/>
      <c r="W82"/>
      <c r="X82" s="173"/>
    </row>
    <row r="83" spans="13:24" x14ac:dyDescent="0.25">
      <c r="M83" s="198"/>
      <c r="N83" s="198"/>
      <c r="O83" s="198"/>
      <c r="W83"/>
      <c r="X83" s="173"/>
    </row>
    <row r="84" spans="13:24" x14ac:dyDescent="0.25">
      <c r="M84" s="198"/>
      <c r="N84" s="198"/>
      <c r="O84" s="198"/>
      <c r="W84"/>
      <c r="X84" s="173"/>
    </row>
    <row r="85" spans="13:24" x14ac:dyDescent="0.25">
      <c r="M85" s="198"/>
      <c r="N85" s="198"/>
      <c r="O85" s="198"/>
      <c r="W85"/>
      <c r="X85" s="173"/>
    </row>
    <row r="86" spans="13:24" x14ac:dyDescent="0.25">
      <c r="M86" s="198"/>
      <c r="N86" s="198"/>
      <c r="O86" s="198"/>
      <c r="W86"/>
      <c r="X86" s="173"/>
    </row>
    <row r="87" spans="13:24" x14ac:dyDescent="0.25">
      <c r="M87" s="198"/>
      <c r="N87" s="198"/>
      <c r="O87" s="198"/>
      <c r="W87"/>
      <c r="X87" s="173"/>
    </row>
  </sheetData>
  <autoFilter ref="A1:Z62" xr:uid="{D3C5EF42-E032-4917-A4A8-FA819355A6EE}"/>
  <phoneticPr fontId="13" type="noConversion"/>
  <conditionalFormatting sqref="K1:K1048576">
    <cfRule type="duplicateValues" dxfId="61" priority="1"/>
  </conditionalFormatting>
  <conditionalFormatting sqref="O46">
    <cfRule type="duplicateValues" dxfId="60" priority="2"/>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21CD-2FBF-4A84-91D6-84839C2F81AF}">
  <sheetPr codeName="Sheet31">
    <tabColor rgb="FF00B0F0"/>
  </sheetPr>
  <dimension ref="A1:AG105"/>
  <sheetViews>
    <sheetView topLeftCell="I28" zoomScale="80" zoomScaleNormal="80" workbookViewId="0">
      <selection activeCell="O45" sqref="O45"/>
    </sheetView>
  </sheetViews>
  <sheetFormatPr defaultRowHeight="15" outlineLevelCol="1" x14ac:dyDescent="0.25"/>
  <cols>
    <col min="2" max="2" width="13.7109375" customWidth="1"/>
    <col min="3" max="3" width="8.7109375" customWidth="1"/>
    <col min="4" max="4" width="10.7109375" customWidth="1"/>
    <col min="5" max="5" width="11.42578125" customWidth="1"/>
    <col min="6" max="6" width="7.7109375" customWidth="1"/>
    <col min="7" max="7" width="6.140625" customWidth="1"/>
    <col min="8" max="8" width="8" customWidth="1"/>
    <col min="9" max="9" width="12.42578125" customWidth="1"/>
    <col min="10" max="10" width="6.7109375" customWidth="1"/>
    <col min="11" max="13" width="25.85546875" customWidth="1" outlineLevel="1"/>
    <col min="14" max="14" width="12.28515625" customWidth="1"/>
    <col min="15" max="15" width="22.85546875" style="199" customWidth="1"/>
    <col min="16" max="17" width="12.28515625" customWidth="1" outlineLevel="1"/>
    <col min="18" max="18" width="8.28515625" customWidth="1" outlineLevel="1"/>
    <col min="19" max="19" width="8.85546875" customWidth="1" outlineLevel="1"/>
    <col min="20" max="20" width="12.28515625" customWidth="1" outlineLevel="1"/>
    <col min="21" max="21" width="9.140625" style="304" customWidth="1" outlineLevel="1"/>
    <col min="22" max="22" width="9.140625" customWidth="1" outlineLevel="1"/>
    <col min="23" max="23" width="12.5703125" style="162" customWidth="1" outlineLevel="1"/>
    <col min="24" max="24" width="10.5703125" style="174" customWidth="1"/>
    <col min="25" max="25" width="8" style="174" customWidth="1"/>
    <col min="26" max="26" width="15.7109375" customWidth="1"/>
    <col min="27" max="27" width="13.7109375" customWidth="1"/>
    <col min="28" max="28" width="4.85546875" customWidth="1"/>
    <col min="29" max="29" width="6.28515625" customWidth="1"/>
    <col min="30" max="30" width="23.140625" bestFit="1" customWidth="1"/>
    <col min="31" max="31" width="13.140625" bestFit="1" customWidth="1"/>
  </cols>
  <sheetData>
    <row r="1" spans="1:33" ht="63.75" x14ac:dyDescent="0.25">
      <c r="A1" s="268" t="s">
        <v>2</v>
      </c>
      <c r="B1" s="269" t="s">
        <v>258</v>
      </c>
      <c r="C1" s="270" t="s">
        <v>313</v>
      </c>
      <c r="D1" s="271" t="s">
        <v>314</v>
      </c>
      <c r="E1" s="269" t="s">
        <v>315</v>
      </c>
      <c r="F1" s="272" t="s">
        <v>316</v>
      </c>
      <c r="G1" s="272" t="s">
        <v>317</v>
      </c>
      <c r="H1" s="272" t="s">
        <v>318</v>
      </c>
      <c r="I1" s="269" t="s">
        <v>319</v>
      </c>
      <c r="J1" s="271" t="s">
        <v>320</v>
      </c>
      <c r="K1" s="269" t="s">
        <v>1839</v>
      </c>
      <c r="L1" s="273" t="s">
        <v>261</v>
      </c>
      <c r="M1" s="273" t="s">
        <v>321</v>
      </c>
      <c r="N1" s="269" t="s">
        <v>322</v>
      </c>
      <c r="O1" s="273" t="s">
        <v>323</v>
      </c>
      <c r="P1" s="274" t="s">
        <v>6219</v>
      </c>
      <c r="Q1" s="271" t="s">
        <v>325</v>
      </c>
      <c r="R1" s="275" t="s">
        <v>6220</v>
      </c>
      <c r="S1" s="271" t="s">
        <v>327</v>
      </c>
      <c r="T1" s="271" t="s">
        <v>6221</v>
      </c>
      <c r="U1" s="300" t="s">
        <v>329</v>
      </c>
      <c r="V1" s="271" t="s">
        <v>330</v>
      </c>
      <c r="W1" s="276" t="s">
        <v>6222</v>
      </c>
      <c r="X1" s="296" t="s">
        <v>6223</v>
      </c>
      <c r="Y1" s="276" t="s">
        <v>6224</v>
      </c>
      <c r="Z1" s="277" t="s">
        <v>333</v>
      </c>
      <c r="AA1" s="277" t="s">
        <v>334</v>
      </c>
      <c r="AB1" s="278" t="s">
        <v>337</v>
      </c>
      <c r="AC1" s="279" t="s">
        <v>6225</v>
      </c>
      <c r="AD1" s="280" t="s">
        <v>6226</v>
      </c>
      <c r="AE1" s="280" t="s">
        <v>6227</v>
      </c>
      <c r="AF1" s="205" t="s">
        <v>6228</v>
      </c>
      <c r="AG1" s="205" t="s">
        <v>2409</v>
      </c>
    </row>
    <row r="2" spans="1:33" x14ac:dyDescent="0.25">
      <c r="A2" s="265" t="s">
        <v>10</v>
      </c>
      <c r="B2" s="147" t="s">
        <v>116</v>
      </c>
      <c r="C2" s="147" t="s">
        <v>357</v>
      </c>
      <c r="D2" s="147" t="s">
        <v>339</v>
      </c>
      <c r="E2" s="147" t="s">
        <v>1024</v>
      </c>
      <c r="F2" s="148">
        <v>11</v>
      </c>
      <c r="G2" s="148"/>
      <c r="H2" s="148">
        <v>1.5</v>
      </c>
      <c r="I2" s="147">
        <v>6000</v>
      </c>
      <c r="J2" s="147">
        <v>6</v>
      </c>
      <c r="K2" s="147" t="str">
        <f>_xlfn.CONCAT(F2,H2,J2,E2,D2)</f>
        <v>111.56CEW NON FIN</v>
      </c>
      <c r="L2" s="147" t="str">
        <f>VLOOKUP(K2,'VSM May Indent'!$K$1:$O$61,4,0)</f>
        <v>No Key</v>
      </c>
      <c r="M2" s="147" t="str">
        <f>VLOOKUP(K2,'VSM May Indent'!$K$1:$O$61,5,0)</f>
        <v>No Key</v>
      </c>
      <c r="N2" s="158" t="s">
        <v>345</v>
      </c>
      <c r="O2" s="150">
        <v>2442390</v>
      </c>
      <c r="P2" s="19">
        <v>1</v>
      </c>
      <c r="Q2" s="147">
        <v>0</v>
      </c>
      <c r="R2" s="147">
        <v>0</v>
      </c>
      <c r="S2" s="147"/>
      <c r="T2" s="147">
        <f>R2-Q2</f>
        <v>0</v>
      </c>
      <c r="U2" s="301"/>
      <c r="V2" s="147">
        <f>U2+T2+S2</f>
        <v>0</v>
      </c>
      <c r="W2" s="19">
        <f>P2*1.1-V2</f>
        <v>1.1000000000000001</v>
      </c>
      <c r="X2" s="297">
        <f>IF(W2&gt;0,W2,0)</f>
        <v>1.1000000000000001</v>
      </c>
      <c r="Y2" s="167">
        <f>X2+U2</f>
        <v>1.1000000000000001</v>
      </c>
      <c r="Z2" s="185">
        <f>SUMIFS(meghsteelsales_previousmonth[Quantity],meghsteelsales_previousmonth[Length Bucket],M2)/1000</f>
        <v>0</v>
      </c>
      <c r="AA2" s="185">
        <f>SUMIFS(meghsteelsales_currentmonth[Quantity],meghsteelsales_currentmonth[Length Bucket],M2)/1000</f>
        <v>0</v>
      </c>
      <c r="AB2" s="185">
        <f>IF((X2-Z2-AA2)&lt;0,0,(X2-Z2-AA2))</f>
        <v>1.1000000000000001</v>
      </c>
      <c r="AC2" s="185">
        <f>Y2-Z2-AA2</f>
        <v>1.1000000000000001</v>
      </c>
      <c r="AD2" s="267" t="s">
        <v>1819</v>
      </c>
      <c r="AE2" s="294"/>
      <c r="AF2" s="294"/>
      <c r="AG2" s="294"/>
    </row>
    <row r="3" spans="1:33" x14ac:dyDescent="0.25">
      <c r="A3" s="265" t="s">
        <v>10</v>
      </c>
      <c r="B3" s="147" t="s">
        <v>116</v>
      </c>
      <c r="C3" s="147" t="s">
        <v>338</v>
      </c>
      <c r="D3" s="147" t="s">
        <v>339</v>
      </c>
      <c r="E3" s="147" t="s">
        <v>340</v>
      </c>
      <c r="F3" s="148">
        <v>12.7</v>
      </c>
      <c r="G3" s="148"/>
      <c r="H3" s="148">
        <v>1.2</v>
      </c>
      <c r="I3" s="147">
        <v>6000</v>
      </c>
      <c r="J3" s="147">
        <v>6</v>
      </c>
      <c r="K3" s="147" t="str">
        <f t="shared" ref="K3:K66" si="0">_xlfn.CONCAT(F3,H3,J3,E3,D3)</f>
        <v>12.71.26ERWNON FIN</v>
      </c>
      <c r="L3" s="147" t="str">
        <f>VLOOKUP(K3,'VSM May Indent'!$K$1:$O$61,4,0)</f>
        <v>No Key</v>
      </c>
      <c r="M3" s="147" t="str">
        <f>VLOOKUP(K3,'VSM May Indent'!$K$1:$O$61,5,0)</f>
        <v>No Key</v>
      </c>
      <c r="N3" s="151" t="s">
        <v>345</v>
      </c>
      <c r="O3" s="150">
        <v>1939985</v>
      </c>
      <c r="P3" s="19">
        <v>8</v>
      </c>
      <c r="Q3" s="147">
        <v>3</v>
      </c>
      <c r="R3" s="147">
        <v>7</v>
      </c>
      <c r="S3" s="147"/>
      <c r="T3" s="147">
        <f t="shared" ref="T3:T68" si="1">R3-Q3</f>
        <v>4</v>
      </c>
      <c r="U3" s="301"/>
      <c r="V3" s="147">
        <f t="shared" ref="V3:V68" si="2">U3+T3+S3</f>
        <v>4</v>
      </c>
      <c r="W3" s="19">
        <f t="shared" ref="W3:W68" si="3">P3*1.1-V3</f>
        <v>4.8000000000000007</v>
      </c>
      <c r="X3" s="297">
        <f t="shared" ref="X3:X68" si="4">IF(W3&gt;0,W3,0)</f>
        <v>4.8000000000000007</v>
      </c>
      <c r="Y3" s="167">
        <f t="shared" ref="Y3:Y66" si="5">X3+U3</f>
        <v>4.8000000000000007</v>
      </c>
      <c r="Z3" s="185">
        <f>SUMIFS(meghsteelsales_previousmonth[Quantity],meghsteelsales_previousmonth[Length Bucket],M3)/1000</f>
        <v>0</v>
      </c>
      <c r="AA3" s="185">
        <f>SUMIFS(meghsteelsales_currentmonth[Quantity],meghsteelsales_currentmonth[Length Bucket],M3)/1000</f>
        <v>0</v>
      </c>
      <c r="AB3" s="185">
        <f t="shared" ref="AB3:AB66" si="6">IF((X3-Z3-AA3)&lt;0,0,(X3-Z3-AA3))</f>
        <v>4.8000000000000007</v>
      </c>
      <c r="AC3" s="185">
        <f t="shared" ref="AC3:AC66" si="7">Y3-Z3-AA3</f>
        <v>4.8000000000000007</v>
      </c>
      <c r="AD3" s="267">
        <f>Table25[[#This Row],[Pending Orders]]</f>
        <v>4.8000000000000007</v>
      </c>
      <c r="AE3" s="185">
        <f>M72</f>
        <v>9518796938</v>
      </c>
      <c r="AF3" s="185"/>
      <c r="AG3" s="185"/>
    </row>
    <row r="4" spans="1:33" x14ac:dyDescent="0.25">
      <c r="A4" s="265" t="s">
        <v>341</v>
      </c>
      <c r="B4" s="147" t="s">
        <v>342</v>
      </c>
      <c r="C4" s="147" t="s">
        <v>338</v>
      </c>
      <c r="D4" s="147" t="s">
        <v>339</v>
      </c>
      <c r="E4" s="147" t="s">
        <v>340</v>
      </c>
      <c r="F4" s="148">
        <v>12.7</v>
      </c>
      <c r="G4" s="148"/>
      <c r="H4" s="148">
        <v>1.4</v>
      </c>
      <c r="I4" s="147">
        <v>6000</v>
      </c>
      <c r="J4" s="147">
        <v>6</v>
      </c>
      <c r="K4" s="147" t="str">
        <f t="shared" si="0"/>
        <v>12.71.46ERWNON FIN</v>
      </c>
      <c r="L4" s="147" t="str">
        <f>VLOOKUP(K4,'VSM May Indent'!$K$1:$O$61,4,0)</f>
        <v>No Key</v>
      </c>
      <c r="M4" s="147" t="str">
        <f>VLOOKUP(K4,'VSM May Indent'!$K$1:$O$61,5,0)</f>
        <v>No Key</v>
      </c>
      <c r="N4" s="151" t="s">
        <v>345</v>
      </c>
      <c r="O4" s="150">
        <v>1931117</v>
      </c>
      <c r="P4" s="19">
        <v>5</v>
      </c>
      <c r="Q4" s="147">
        <v>0</v>
      </c>
      <c r="R4" s="147">
        <v>10</v>
      </c>
      <c r="S4" s="147"/>
      <c r="T4" s="147">
        <f t="shared" si="1"/>
        <v>10</v>
      </c>
      <c r="U4" s="147"/>
      <c r="V4" s="147">
        <f t="shared" si="2"/>
        <v>10</v>
      </c>
      <c r="W4" s="19">
        <f t="shared" si="3"/>
        <v>-4.5</v>
      </c>
      <c r="X4" s="167">
        <f t="shared" si="4"/>
        <v>0</v>
      </c>
      <c r="Y4" s="167">
        <f t="shared" si="5"/>
        <v>0</v>
      </c>
      <c r="Z4" s="185">
        <f>SUMIFS(meghsteelsales_previousmonth[Quantity],meghsteelsales_previousmonth[Length Bucket],M4)/1000</f>
        <v>0</v>
      </c>
      <c r="AA4" s="185">
        <f>SUMIFS(meghsteelsales_currentmonth[Quantity],meghsteelsales_currentmonth[Length Bucket],M4)/1000</f>
        <v>0</v>
      </c>
      <c r="AB4" s="185">
        <f t="shared" si="6"/>
        <v>0</v>
      </c>
      <c r="AC4" s="185">
        <f t="shared" si="7"/>
        <v>0</v>
      </c>
      <c r="AD4" s="267"/>
      <c r="AE4" s="185"/>
      <c r="AF4" s="185"/>
      <c r="AG4" s="185"/>
    </row>
    <row r="5" spans="1:33" x14ac:dyDescent="0.25">
      <c r="A5" s="265" t="s">
        <v>341</v>
      </c>
      <c r="B5" s="147" t="s">
        <v>342</v>
      </c>
      <c r="C5" s="147" t="s">
        <v>338</v>
      </c>
      <c r="D5" s="147" t="s">
        <v>339</v>
      </c>
      <c r="E5" s="147" t="s">
        <v>340</v>
      </c>
      <c r="F5" s="148">
        <v>12.7</v>
      </c>
      <c r="G5" s="148"/>
      <c r="H5" s="148">
        <v>1.6</v>
      </c>
      <c r="I5" s="147">
        <v>6000</v>
      </c>
      <c r="J5" s="147">
        <v>6</v>
      </c>
      <c r="K5" s="147" t="str">
        <f t="shared" si="0"/>
        <v>12.71.66ERWNON FIN</v>
      </c>
      <c r="L5" s="147" t="str">
        <f>VLOOKUP(K5,'VSM May Indent'!$K$1:$O$61,4,0)</f>
        <v>No Key</v>
      </c>
      <c r="M5" s="147" t="str">
        <f>VLOOKUP(K5,'VSM May Indent'!$K$1:$O$61,5,0)</f>
        <v>No Key</v>
      </c>
      <c r="N5" s="151" t="s">
        <v>345</v>
      </c>
      <c r="O5" s="150">
        <v>1931154</v>
      </c>
      <c r="P5" s="19">
        <v>2</v>
      </c>
      <c r="Q5" s="147">
        <v>1</v>
      </c>
      <c r="R5" s="147">
        <v>4</v>
      </c>
      <c r="S5" s="147"/>
      <c r="T5" s="147">
        <f t="shared" si="1"/>
        <v>3</v>
      </c>
      <c r="U5" s="147"/>
      <c r="V5" s="147">
        <f t="shared" si="2"/>
        <v>3</v>
      </c>
      <c r="W5" s="19">
        <f t="shared" si="3"/>
        <v>-0.79999999999999982</v>
      </c>
      <c r="X5" s="167">
        <f t="shared" si="4"/>
        <v>0</v>
      </c>
      <c r="Y5" s="167">
        <f t="shared" si="5"/>
        <v>0</v>
      </c>
      <c r="Z5" s="185">
        <f>SUMIFS(meghsteelsales_previousmonth[Quantity],meghsteelsales_previousmonth[Length Bucket],M5)/1000</f>
        <v>0</v>
      </c>
      <c r="AA5" s="185">
        <f>SUMIFS(meghsteelsales_currentmonth[Quantity],meghsteelsales_currentmonth[Length Bucket],M5)/1000</f>
        <v>0</v>
      </c>
      <c r="AB5" s="185">
        <f t="shared" si="6"/>
        <v>0</v>
      </c>
      <c r="AC5" s="185">
        <f t="shared" si="7"/>
        <v>0</v>
      </c>
      <c r="AD5" s="267"/>
      <c r="AE5" s="185"/>
      <c r="AF5" s="185"/>
      <c r="AG5" s="185"/>
    </row>
    <row r="6" spans="1:33" x14ac:dyDescent="0.25">
      <c r="A6" s="265" t="s">
        <v>10</v>
      </c>
      <c r="B6" s="147" t="s">
        <v>116</v>
      </c>
      <c r="C6" s="147" t="s">
        <v>338</v>
      </c>
      <c r="D6" s="147" t="s">
        <v>339</v>
      </c>
      <c r="E6" s="147" t="s">
        <v>340</v>
      </c>
      <c r="F6" s="148">
        <v>12.7</v>
      </c>
      <c r="G6" s="148"/>
      <c r="H6" s="148">
        <v>2</v>
      </c>
      <c r="I6" s="147">
        <v>6000</v>
      </c>
      <c r="J6" s="147">
        <v>6</v>
      </c>
      <c r="K6" s="147" t="str">
        <f t="shared" si="0"/>
        <v>12.726ERWNON FIN</v>
      </c>
      <c r="L6" s="147">
        <f>VLOOKUP(K6,'VSM May Indent'!$K$1:$O$61,4,0)</f>
        <v>0</v>
      </c>
      <c r="M6" s="147" t="e">
        <f>VLOOKUP(K6,'VSM May Indent'!$K$1:$O$61,5,0)</f>
        <v>#N/A</v>
      </c>
      <c r="N6" s="151" t="s">
        <v>345</v>
      </c>
      <c r="O6" s="149">
        <v>236166</v>
      </c>
      <c r="P6" s="19">
        <v>3</v>
      </c>
      <c r="Q6" s="147">
        <v>0</v>
      </c>
      <c r="R6" s="147">
        <v>0</v>
      </c>
      <c r="S6" s="147"/>
      <c r="T6" s="147">
        <f t="shared" si="1"/>
        <v>0</v>
      </c>
      <c r="U6" s="301"/>
      <c r="V6" s="147">
        <f t="shared" si="2"/>
        <v>0</v>
      </c>
      <c r="W6" s="19">
        <f t="shared" si="3"/>
        <v>3.3000000000000003</v>
      </c>
      <c r="X6" s="297">
        <f t="shared" si="4"/>
        <v>3.3000000000000003</v>
      </c>
      <c r="Y6" s="167">
        <f t="shared" si="5"/>
        <v>3.3000000000000003</v>
      </c>
      <c r="Z6" s="185">
        <f>SUMIFS(meghsteelsales_previousmonth[Quantity],meghsteelsales_previousmonth[Length Bucket],M6)/1000</f>
        <v>0</v>
      </c>
      <c r="AA6" s="185">
        <f>SUMIFS(meghsteelsales_currentmonth[Quantity],meghsteelsales_currentmonth[Length Bucket],M6)/1000</f>
        <v>0</v>
      </c>
      <c r="AB6" s="185">
        <f t="shared" si="6"/>
        <v>3.3000000000000003</v>
      </c>
      <c r="AC6" s="185">
        <f t="shared" si="7"/>
        <v>3.3000000000000003</v>
      </c>
      <c r="AD6" s="267">
        <f>Table25[[#This Row],[Pending Orders]]</f>
        <v>3.3000000000000003</v>
      </c>
      <c r="AE6" s="185" t="s">
        <v>6229</v>
      </c>
      <c r="AF6" s="185"/>
      <c r="AG6" s="185"/>
    </row>
    <row r="7" spans="1:33" x14ac:dyDescent="0.25">
      <c r="A7" s="265" t="s">
        <v>341</v>
      </c>
      <c r="B7" s="147" t="s">
        <v>342</v>
      </c>
      <c r="C7" s="147" t="s">
        <v>338</v>
      </c>
      <c r="D7" s="147" t="s">
        <v>339</v>
      </c>
      <c r="E7" s="147" t="s">
        <v>340</v>
      </c>
      <c r="F7" s="148">
        <v>15.88</v>
      </c>
      <c r="G7" s="148"/>
      <c r="H7" s="148">
        <v>1</v>
      </c>
      <c r="I7" s="147">
        <v>6000</v>
      </c>
      <c r="J7" s="147">
        <v>6</v>
      </c>
      <c r="K7" s="147" t="str">
        <f t="shared" si="0"/>
        <v>15.8816ERWNON FIN</v>
      </c>
      <c r="L7" s="147" t="str">
        <f>VLOOKUP(K7,'VSM May Indent'!$K$1:$O$61,4,0)</f>
        <v>15.88-0-1-ERW 1-PE</v>
      </c>
      <c r="M7" s="147" t="str">
        <f>VLOOKUP(K7,'VSM May Indent'!$K$1:$O$61,5,0)</f>
        <v>15.88-0-1-ERW 1-PE-6</v>
      </c>
      <c r="N7" s="151" t="s">
        <v>345</v>
      </c>
      <c r="O7" s="150">
        <v>1940054</v>
      </c>
      <c r="P7" s="19">
        <v>1</v>
      </c>
      <c r="Q7" s="147">
        <v>0</v>
      </c>
      <c r="R7" s="147">
        <v>2</v>
      </c>
      <c r="S7" s="147"/>
      <c r="T7" s="147">
        <f t="shared" si="1"/>
        <v>2</v>
      </c>
      <c r="U7" s="147"/>
      <c r="V7" s="147">
        <f t="shared" si="2"/>
        <v>2</v>
      </c>
      <c r="W7" s="19">
        <f t="shared" si="3"/>
        <v>-0.89999999999999991</v>
      </c>
      <c r="X7" s="167">
        <f t="shared" si="4"/>
        <v>0</v>
      </c>
      <c r="Y7" s="167">
        <f t="shared" si="5"/>
        <v>0</v>
      </c>
      <c r="Z7" s="185">
        <f>SUMIFS(meghsteelsales_previousmonth[Quantity],meghsteelsales_previousmonth[Length Bucket],M7)/1000</f>
        <v>0</v>
      </c>
      <c r="AA7" s="185">
        <f>SUMIFS(meghsteelsales_currentmonth[Quantity],meghsteelsales_currentmonth[Length Bucket],M7)/1000</f>
        <v>0</v>
      </c>
      <c r="AB7" s="185">
        <f t="shared" si="6"/>
        <v>0</v>
      </c>
      <c r="AC7" s="185">
        <f t="shared" si="7"/>
        <v>0</v>
      </c>
      <c r="AD7" s="267"/>
      <c r="AE7" s="185"/>
      <c r="AF7" s="185"/>
      <c r="AG7" s="185"/>
    </row>
    <row r="8" spans="1:33" x14ac:dyDescent="0.25">
      <c r="A8" s="265" t="s">
        <v>10</v>
      </c>
      <c r="B8" s="147" t="s">
        <v>116</v>
      </c>
      <c r="C8" s="147" t="s">
        <v>338</v>
      </c>
      <c r="D8" s="147" t="s">
        <v>339</v>
      </c>
      <c r="E8" s="147" t="s">
        <v>340</v>
      </c>
      <c r="F8" s="148">
        <v>15.88</v>
      </c>
      <c r="G8" s="148"/>
      <c r="H8" s="148">
        <v>1.2</v>
      </c>
      <c r="I8" s="147">
        <v>6000</v>
      </c>
      <c r="J8" s="147">
        <v>6</v>
      </c>
      <c r="K8" s="147" t="str">
        <f t="shared" si="0"/>
        <v>15.881.26ERWNON FIN</v>
      </c>
      <c r="L8" s="147" t="str">
        <f>VLOOKUP(K8,'VSM May Indent'!$K$1:$O$61,4,0)</f>
        <v>15.88-0-1-ERW 1-PE</v>
      </c>
      <c r="M8" s="147" t="str">
        <f>VLOOKUP(K8,'VSM May Indent'!$K$1:$O$61,5,0)</f>
        <v>15.88-0-1-ERW 1-PE-6</v>
      </c>
      <c r="N8" s="151" t="s">
        <v>345</v>
      </c>
      <c r="O8" s="150">
        <v>1940054</v>
      </c>
      <c r="P8" s="19">
        <v>5</v>
      </c>
      <c r="Q8" s="147">
        <v>2</v>
      </c>
      <c r="R8" s="147">
        <v>2</v>
      </c>
      <c r="S8" s="147"/>
      <c r="T8" s="147">
        <f t="shared" si="1"/>
        <v>0</v>
      </c>
      <c r="U8" s="301"/>
      <c r="V8" s="147">
        <f t="shared" si="2"/>
        <v>0</v>
      </c>
      <c r="W8" s="19">
        <f t="shared" si="3"/>
        <v>5.5</v>
      </c>
      <c r="X8" s="297">
        <f t="shared" si="4"/>
        <v>5.5</v>
      </c>
      <c r="Y8" s="167">
        <f t="shared" si="5"/>
        <v>5.5</v>
      </c>
      <c r="Z8" s="185">
        <f>SUMIFS(meghsteelsales_previousmonth[Quantity],meghsteelsales_previousmonth[Length Bucket],M8)/1000</f>
        <v>0</v>
      </c>
      <c r="AA8" s="185">
        <f>SUMIFS(meghsteelsales_currentmonth[Quantity],meghsteelsales_currentmonth[Length Bucket],M8)/1000</f>
        <v>0</v>
      </c>
      <c r="AB8" s="185">
        <f t="shared" si="6"/>
        <v>5.5</v>
      </c>
      <c r="AC8" s="185">
        <f t="shared" si="7"/>
        <v>5.5</v>
      </c>
      <c r="AD8" s="267"/>
      <c r="AE8" s="185"/>
      <c r="AF8" s="185"/>
      <c r="AG8" s="185"/>
    </row>
    <row r="9" spans="1:33" x14ac:dyDescent="0.25">
      <c r="A9" s="265" t="s">
        <v>341</v>
      </c>
      <c r="B9" s="147" t="s">
        <v>342</v>
      </c>
      <c r="C9" s="147" t="s">
        <v>338</v>
      </c>
      <c r="D9" s="147" t="s">
        <v>339</v>
      </c>
      <c r="E9" s="147" t="s">
        <v>340</v>
      </c>
      <c r="F9" s="148">
        <v>15.88</v>
      </c>
      <c r="G9" s="148"/>
      <c r="H9" s="148">
        <v>1.6</v>
      </c>
      <c r="I9" s="147">
        <v>6000</v>
      </c>
      <c r="J9" s="147">
        <v>6</v>
      </c>
      <c r="K9" s="147" t="str">
        <f t="shared" si="0"/>
        <v>15.881.66ERWNON FIN</v>
      </c>
      <c r="L9" s="147" t="str">
        <f>VLOOKUP(K9,'VSM May Indent'!$K$1:$O$61,4,0)</f>
        <v>15.88-0-1.6-ERW 1-PE</v>
      </c>
      <c r="M9" s="147" t="str">
        <f>VLOOKUP(K9,'VSM May Indent'!$K$1:$O$61,5,0)</f>
        <v>15.88-0-1.6-ERW 1-PE-6</v>
      </c>
      <c r="N9" s="151" t="s">
        <v>345</v>
      </c>
      <c r="O9" s="150">
        <v>1900224</v>
      </c>
      <c r="P9" s="19">
        <v>2</v>
      </c>
      <c r="Q9" s="147">
        <v>0</v>
      </c>
      <c r="R9" s="147">
        <v>0</v>
      </c>
      <c r="S9" s="147"/>
      <c r="T9" s="147">
        <f t="shared" si="1"/>
        <v>0</v>
      </c>
      <c r="U9" s="301"/>
      <c r="V9" s="147">
        <f t="shared" si="2"/>
        <v>0</v>
      </c>
      <c r="W9" s="19">
        <f t="shared" si="3"/>
        <v>2.2000000000000002</v>
      </c>
      <c r="X9" s="297">
        <f t="shared" si="4"/>
        <v>2.2000000000000002</v>
      </c>
      <c r="Y9" s="167">
        <f t="shared" si="5"/>
        <v>2.2000000000000002</v>
      </c>
      <c r="Z9" s="185">
        <f>SUMIFS(meghsteelsales_previousmonth[Quantity],meghsteelsales_previousmonth[Length Bucket],M9)/1000</f>
        <v>0</v>
      </c>
      <c r="AA9" s="185">
        <f>SUMIFS(meghsteelsales_currentmonth[Quantity],meghsteelsales_currentmonth[Length Bucket],M9)/1000</f>
        <v>0</v>
      </c>
      <c r="AB9" s="185">
        <f t="shared" si="6"/>
        <v>2.2000000000000002</v>
      </c>
      <c r="AC9" s="185">
        <f t="shared" si="7"/>
        <v>2.2000000000000002</v>
      </c>
      <c r="AD9" s="267"/>
      <c r="AE9" s="185"/>
      <c r="AF9" s="185"/>
      <c r="AG9" s="185"/>
    </row>
    <row r="10" spans="1:33" x14ac:dyDescent="0.25">
      <c r="A10" s="265" t="s">
        <v>341</v>
      </c>
      <c r="B10" s="147" t="s">
        <v>342</v>
      </c>
      <c r="C10" s="147" t="s">
        <v>338</v>
      </c>
      <c r="D10" s="147" t="s">
        <v>339</v>
      </c>
      <c r="E10" s="147" t="s">
        <v>340</v>
      </c>
      <c r="F10" s="148">
        <v>15.88</v>
      </c>
      <c r="G10" s="148"/>
      <c r="H10" s="148">
        <v>2</v>
      </c>
      <c r="I10" s="147">
        <v>6000</v>
      </c>
      <c r="J10" s="147">
        <v>6</v>
      </c>
      <c r="K10" s="147" t="str">
        <f t="shared" si="0"/>
        <v>15.8826ERWNON FIN</v>
      </c>
      <c r="L10" s="147" t="str">
        <f>VLOOKUP(K10,'VSM May Indent'!$K$1:$O$61,4,0)</f>
        <v>15.88-0-2-ERW 1-PE</v>
      </c>
      <c r="M10" s="147" t="str">
        <f>VLOOKUP(K10,'VSM May Indent'!$K$1:$O$61,5,0)</f>
        <v>15.88-0-2-ERW 1-PE-6</v>
      </c>
      <c r="N10" s="151" t="s">
        <v>345</v>
      </c>
      <c r="O10" s="150">
        <v>1940120</v>
      </c>
      <c r="P10" s="19">
        <v>0</v>
      </c>
      <c r="Q10" s="147">
        <v>0.5</v>
      </c>
      <c r="R10" s="147">
        <v>0</v>
      </c>
      <c r="S10" s="147"/>
      <c r="T10" s="147">
        <f t="shared" si="1"/>
        <v>-0.5</v>
      </c>
      <c r="U10" s="301"/>
      <c r="V10" s="147">
        <f t="shared" si="2"/>
        <v>-0.5</v>
      </c>
      <c r="W10" s="19">
        <f t="shared" si="3"/>
        <v>0.5</v>
      </c>
      <c r="X10" s="297">
        <f t="shared" si="4"/>
        <v>0.5</v>
      </c>
      <c r="Y10" s="167">
        <f t="shared" si="5"/>
        <v>0.5</v>
      </c>
      <c r="Z10" s="185">
        <f>SUMIFS(meghsteelsales_previousmonth[Quantity],meghsteelsales_previousmonth[Length Bucket],M10)/1000</f>
        <v>0</v>
      </c>
      <c r="AA10" s="185">
        <f>SUMIFS(meghsteelsales_currentmonth[Quantity],meghsteelsales_currentmonth[Length Bucket],M10)/1000</f>
        <v>0</v>
      </c>
      <c r="AB10" s="185">
        <f t="shared" si="6"/>
        <v>0.5</v>
      </c>
      <c r="AC10" s="185">
        <f t="shared" si="7"/>
        <v>0.5</v>
      </c>
      <c r="AD10" s="267"/>
      <c r="AE10" s="185"/>
      <c r="AF10" s="185"/>
      <c r="AG10" s="185"/>
    </row>
    <row r="11" spans="1:33" x14ac:dyDescent="0.25">
      <c r="A11" s="265" t="s">
        <v>10</v>
      </c>
      <c r="B11" s="147" t="s">
        <v>343</v>
      </c>
      <c r="C11" s="147" t="s">
        <v>338</v>
      </c>
      <c r="D11" s="147" t="s">
        <v>339</v>
      </c>
      <c r="E11" s="147" t="s">
        <v>340</v>
      </c>
      <c r="F11" s="148">
        <v>18.3</v>
      </c>
      <c r="G11" s="148"/>
      <c r="H11" s="148">
        <v>1</v>
      </c>
      <c r="I11" s="147">
        <v>6000</v>
      </c>
      <c r="J11" s="147">
        <v>6</v>
      </c>
      <c r="K11" s="147" t="str">
        <f t="shared" si="0"/>
        <v>18.316ERWNON FIN</v>
      </c>
      <c r="L11" s="147">
        <f>VLOOKUP(K11,'VSM May Indent'!$K$1:$O$61,4,0)</f>
        <v>0</v>
      </c>
      <c r="M11" s="147" t="e">
        <f>VLOOKUP(K11,'VSM May Indent'!$K$1:$O$61,5,0)</f>
        <v>#N/A</v>
      </c>
      <c r="N11" s="151" t="s">
        <v>345</v>
      </c>
      <c r="O11" s="150">
        <v>2288945</v>
      </c>
      <c r="P11" s="19">
        <v>5</v>
      </c>
      <c r="Q11" s="147"/>
      <c r="R11" s="147">
        <v>0</v>
      </c>
      <c r="S11" s="147"/>
      <c r="T11" s="147">
        <f t="shared" si="1"/>
        <v>0</v>
      </c>
      <c r="U11" s="301"/>
      <c r="V11" s="147">
        <f t="shared" si="2"/>
        <v>0</v>
      </c>
      <c r="W11" s="19">
        <f t="shared" si="3"/>
        <v>5.5</v>
      </c>
      <c r="X11" s="297">
        <f t="shared" si="4"/>
        <v>5.5</v>
      </c>
      <c r="Y11" s="167">
        <f t="shared" si="5"/>
        <v>5.5</v>
      </c>
      <c r="Z11" s="185">
        <f>SUMIFS(meghsteelsales_previousmonth[Quantity],meghsteelsales_previousmonth[Length Bucket],M11)/1000</f>
        <v>0</v>
      </c>
      <c r="AA11" s="185">
        <f>SUMIFS(meghsteelsales_currentmonth[Quantity],meghsteelsales_currentmonth[Length Bucket],M11)/1000</f>
        <v>0</v>
      </c>
      <c r="AB11" s="185">
        <f t="shared" si="6"/>
        <v>5.5</v>
      </c>
      <c r="AC11" s="185">
        <f t="shared" si="7"/>
        <v>5.5</v>
      </c>
      <c r="AD11" s="267"/>
      <c r="AE11" s="185"/>
      <c r="AF11" s="185"/>
      <c r="AG11" s="185"/>
    </row>
    <row r="12" spans="1:33" x14ac:dyDescent="0.25">
      <c r="A12" s="265" t="s">
        <v>341</v>
      </c>
      <c r="B12" s="147" t="s">
        <v>342</v>
      </c>
      <c r="C12" s="153" t="s">
        <v>338</v>
      </c>
      <c r="D12" s="147" t="s">
        <v>339</v>
      </c>
      <c r="E12" s="147" t="s">
        <v>340</v>
      </c>
      <c r="F12" s="148">
        <v>19.05</v>
      </c>
      <c r="G12" s="148"/>
      <c r="H12" s="148">
        <v>1.6</v>
      </c>
      <c r="I12" s="147">
        <v>6000</v>
      </c>
      <c r="J12" s="147">
        <v>6</v>
      </c>
      <c r="K12" s="147" t="str">
        <f t="shared" si="0"/>
        <v>19.051.66ERWNON FIN</v>
      </c>
      <c r="L12" s="147" t="str">
        <f>VLOOKUP(K12,'VSM May Indent'!$K$1:$O$61,4,0)</f>
        <v>19.05-0-1.6-ERW 1-PE</v>
      </c>
      <c r="M12" s="147" t="str">
        <f>VLOOKUP(K12,'VSM May Indent'!$K$1:$O$61,5,0)</f>
        <v>19.05-0-1.6-ERW 1-PE-6</v>
      </c>
      <c r="N12" s="158" t="s">
        <v>367</v>
      </c>
      <c r="O12" s="150">
        <v>3498997</v>
      </c>
      <c r="P12" s="19">
        <v>10</v>
      </c>
      <c r="Q12" s="147">
        <v>2</v>
      </c>
      <c r="R12" s="147">
        <v>1</v>
      </c>
      <c r="S12" s="147"/>
      <c r="T12" s="147">
        <f t="shared" si="1"/>
        <v>-1</v>
      </c>
      <c r="U12" s="301">
        <v>9</v>
      </c>
      <c r="V12" s="147">
        <f t="shared" si="2"/>
        <v>8</v>
      </c>
      <c r="W12" s="19">
        <f t="shared" si="3"/>
        <v>3</v>
      </c>
      <c r="X12" s="297">
        <f t="shared" si="4"/>
        <v>3</v>
      </c>
      <c r="Y12" s="167">
        <f t="shared" si="5"/>
        <v>12</v>
      </c>
      <c r="Z12" s="185">
        <f>SUMIFS(meghsteelsales_previousmonth[Quantity],meghsteelsales_previousmonth[Length Bucket],M12)/1000</f>
        <v>10.74</v>
      </c>
      <c r="AA12" s="185">
        <f>SUMIFS(meghsteelsales_currentmonth[Quantity],meghsteelsales_currentmonth[Length Bucket],M12)/1000</f>
        <v>12.04182</v>
      </c>
      <c r="AB12" s="185">
        <f t="shared" si="6"/>
        <v>0</v>
      </c>
      <c r="AC12" s="185">
        <f t="shared" si="7"/>
        <v>-10.78182</v>
      </c>
      <c r="AD12" s="267"/>
      <c r="AE12" s="185" t="s">
        <v>6230</v>
      </c>
      <c r="AF12" s="185" t="str">
        <f>Table25[[#This Row],[OEM]]</f>
        <v>HMSI</v>
      </c>
      <c r="AG12" s="185" t="str">
        <f>Table25[[#This Row],[plant]]</f>
        <v>056</v>
      </c>
    </row>
    <row r="13" spans="1:33" x14ac:dyDescent="0.25">
      <c r="A13" s="265" t="s">
        <v>341</v>
      </c>
      <c r="B13" s="147" t="s">
        <v>342</v>
      </c>
      <c r="C13" s="147" t="s">
        <v>344</v>
      </c>
      <c r="D13" s="147" t="s">
        <v>339</v>
      </c>
      <c r="E13" s="147" t="s">
        <v>344</v>
      </c>
      <c r="F13" s="148">
        <v>19.05</v>
      </c>
      <c r="G13" s="148"/>
      <c r="H13" s="148">
        <v>1.4</v>
      </c>
      <c r="I13" s="147">
        <v>6000</v>
      </c>
      <c r="J13" s="147">
        <v>6</v>
      </c>
      <c r="K13" s="147" t="str">
        <f t="shared" si="0"/>
        <v>19.051.46ERW2NON FIN</v>
      </c>
      <c r="L13" s="147" t="str">
        <f>VLOOKUP(K13,'VSM May Indent'!$K$1:$O$61,4,0)</f>
        <v>No Key</v>
      </c>
      <c r="M13" s="147" t="str">
        <f>VLOOKUP(K13,'VSM May Indent'!$K$1:$O$61,5,0)</f>
        <v>No Key</v>
      </c>
      <c r="N13" s="151" t="s">
        <v>367</v>
      </c>
      <c r="O13" s="149">
        <v>3891285</v>
      </c>
      <c r="P13" s="19">
        <v>0</v>
      </c>
      <c r="Q13" s="147">
        <v>0</v>
      </c>
      <c r="R13" s="147">
        <v>1</v>
      </c>
      <c r="S13" s="147"/>
      <c r="T13" s="147">
        <f t="shared" si="1"/>
        <v>1</v>
      </c>
      <c r="U13" s="147"/>
      <c r="V13" s="147">
        <f t="shared" si="2"/>
        <v>1</v>
      </c>
      <c r="W13" s="19">
        <f t="shared" si="3"/>
        <v>-1</v>
      </c>
      <c r="X13" s="167">
        <f t="shared" si="4"/>
        <v>0</v>
      </c>
      <c r="Y13" s="167">
        <f t="shared" si="5"/>
        <v>0</v>
      </c>
      <c r="Z13" s="185">
        <f>SUMIFS(meghsteelsales_previousmonth[Quantity],meghsteelsales_previousmonth[Length Bucket],M13)/1000</f>
        <v>0</v>
      </c>
      <c r="AA13" s="185">
        <f>SUMIFS(meghsteelsales_currentmonth[Quantity],meghsteelsales_currentmonth[Length Bucket],M13)/1000</f>
        <v>0</v>
      </c>
      <c r="AB13" s="185">
        <f t="shared" si="6"/>
        <v>0</v>
      </c>
      <c r="AC13" s="185">
        <f t="shared" si="7"/>
        <v>0</v>
      </c>
      <c r="AD13" s="267"/>
      <c r="AE13" s="185"/>
      <c r="AF13" s="185"/>
      <c r="AG13" s="185"/>
    </row>
    <row r="14" spans="1:33" x14ac:dyDescent="0.25">
      <c r="A14" s="265" t="s">
        <v>10</v>
      </c>
      <c r="B14" s="147" t="s">
        <v>116</v>
      </c>
      <c r="C14" s="153" t="s">
        <v>338</v>
      </c>
      <c r="D14" s="147" t="s">
        <v>339</v>
      </c>
      <c r="E14" s="147" t="s">
        <v>340</v>
      </c>
      <c r="F14" s="154">
        <v>19.05</v>
      </c>
      <c r="G14" s="154"/>
      <c r="H14" s="154">
        <v>2</v>
      </c>
      <c r="I14" s="155">
        <v>5841</v>
      </c>
      <c r="J14" s="147">
        <v>5.84</v>
      </c>
      <c r="K14" s="147" t="str">
        <f t="shared" si="0"/>
        <v>19.0525.84ERWNON FIN</v>
      </c>
      <c r="L14" s="147" t="str">
        <f>VLOOKUP(K14,'VSM May Indent'!$K$1:$O$61,4,0)</f>
        <v>19.05-0-2-ERW 1-PE</v>
      </c>
      <c r="M14" s="147" t="str">
        <f>VLOOKUP(K14,'VSM May Indent'!$K$1:$O$61,5,0)</f>
        <v>19.05-0-2-ERW 1-PE-5.841</v>
      </c>
      <c r="N14" s="151" t="s">
        <v>367</v>
      </c>
      <c r="O14" s="150">
        <v>3673888</v>
      </c>
      <c r="P14" s="19">
        <v>0</v>
      </c>
      <c r="Q14" s="147">
        <v>10</v>
      </c>
      <c r="R14" s="147">
        <v>39</v>
      </c>
      <c r="S14" s="147">
        <v>7</v>
      </c>
      <c r="T14" s="147">
        <f t="shared" si="1"/>
        <v>29</v>
      </c>
      <c r="U14" s="301">
        <v>54</v>
      </c>
      <c r="V14" s="147">
        <f t="shared" si="2"/>
        <v>90</v>
      </c>
      <c r="W14" s="19">
        <f t="shared" si="3"/>
        <v>-90</v>
      </c>
      <c r="X14" s="297">
        <f t="shared" si="4"/>
        <v>0</v>
      </c>
      <c r="Y14" s="167">
        <f t="shared" si="5"/>
        <v>54</v>
      </c>
      <c r="Z14" s="185">
        <f>SUMIFS(meghsteelsales_previousmonth[Quantity],meghsteelsales_previousmonth[Length Bucket],M14)/1000</f>
        <v>0</v>
      </c>
      <c r="AA14" s="185">
        <f>SUMIFS(meghsteelsales_currentmonth[Quantity],meghsteelsales_currentmonth[Length Bucket],M14)/1000</f>
        <v>0</v>
      </c>
      <c r="AB14" s="185">
        <f t="shared" si="6"/>
        <v>0</v>
      </c>
      <c r="AC14" s="185">
        <f t="shared" si="7"/>
        <v>54</v>
      </c>
      <c r="AD14" s="267"/>
      <c r="AE14" s="185" t="s">
        <v>6230</v>
      </c>
      <c r="AF14" s="185" t="str">
        <f>Table25[[#This Row],[OEM]]</f>
        <v>TVS</v>
      </c>
      <c r="AG14" s="185" t="str">
        <f>Table25[[#This Row],[plant]]</f>
        <v>056</v>
      </c>
    </row>
    <row r="15" spans="1:33" s="45" customFormat="1" x14ac:dyDescent="0.25">
      <c r="A15" s="266" t="s">
        <v>10</v>
      </c>
      <c r="B15" s="156" t="s">
        <v>116</v>
      </c>
      <c r="C15" s="157" t="s">
        <v>338</v>
      </c>
      <c r="D15" s="156" t="s">
        <v>339</v>
      </c>
      <c r="E15" s="156" t="s">
        <v>340</v>
      </c>
      <c r="F15" s="243">
        <v>19.05</v>
      </c>
      <c r="G15" s="243"/>
      <c r="H15" s="243">
        <v>2</v>
      </c>
      <c r="I15" s="244">
        <v>5800</v>
      </c>
      <c r="J15" s="156">
        <v>5.8</v>
      </c>
      <c r="K15" s="147" t="str">
        <f t="shared" si="0"/>
        <v>19.0525.8ERWNON FIN</v>
      </c>
      <c r="L15" s="147" t="e">
        <f>VLOOKUP(K15,'VSM May Indent'!$K$1:$O$61,4,0)</f>
        <v>#N/A</v>
      </c>
      <c r="M15" s="147" t="e">
        <f>VLOOKUP(K15,'VSM May Indent'!$K$1:$O$61,5,0)</f>
        <v>#N/A</v>
      </c>
      <c r="N15" s="249" t="s">
        <v>345</v>
      </c>
      <c r="O15" s="249">
        <v>1940292</v>
      </c>
      <c r="P15" s="246">
        <v>35</v>
      </c>
      <c r="Q15" s="156"/>
      <c r="R15" s="156"/>
      <c r="S15" s="156"/>
      <c r="T15" s="156"/>
      <c r="U15" s="301"/>
      <c r="V15" s="156"/>
      <c r="W15" s="246"/>
      <c r="X15" s="297">
        <v>35</v>
      </c>
      <c r="Y15" s="247">
        <f t="shared" si="5"/>
        <v>35</v>
      </c>
      <c r="Z15" s="185">
        <f>SUMIFS(meghsteelsales_previousmonth[Quantity],meghsteelsales_previousmonth[Length Bucket],M15)/1000</f>
        <v>0</v>
      </c>
      <c r="AA15" s="185">
        <f>SUMIFS(meghsteelsales_currentmonth[Quantity],meghsteelsales_currentmonth[Length Bucket],M15)/1000</f>
        <v>0</v>
      </c>
      <c r="AB15" s="185">
        <f t="shared" si="6"/>
        <v>35</v>
      </c>
      <c r="AC15" s="185">
        <f t="shared" si="7"/>
        <v>35</v>
      </c>
      <c r="AD15" s="267"/>
      <c r="AE15" s="292"/>
      <c r="AF15" s="292"/>
      <c r="AG15" s="292"/>
    </row>
    <row r="16" spans="1:33" x14ac:dyDescent="0.25">
      <c r="A16" s="265" t="s">
        <v>10</v>
      </c>
      <c r="B16" s="147" t="s">
        <v>346</v>
      </c>
      <c r="C16" s="153" t="s">
        <v>338</v>
      </c>
      <c r="D16" s="147" t="s">
        <v>339</v>
      </c>
      <c r="E16" s="147" t="s">
        <v>340</v>
      </c>
      <c r="F16" s="148">
        <v>19.05</v>
      </c>
      <c r="G16" s="148"/>
      <c r="H16" s="148">
        <v>2.2999999999999998</v>
      </c>
      <c r="I16" s="147">
        <v>7000</v>
      </c>
      <c r="J16" s="147">
        <v>7</v>
      </c>
      <c r="K16" s="147" t="str">
        <f t="shared" si="0"/>
        <v>19.052.37ERWNON FIN</v>
      </c>
      <c r="L16" s="147" t="str">
        <f>VLOOKUP(K16,'VSM May Indent'!$K$1:$O$61,4,0)</f>
        <v>19.05-0-2.3-ERW 1-PE</v>
      </c>
      <c r="M16" s="147" t="str">
        <f>VLOOKUP(K16,'VSM May Indent'!$K$1:$O$61,5,0)</f>
        <v>19.05-0-2.3-ERW 1-PE-7</v>
      </c>
      <c r="N16" s="151" t="s">
        <v>367</v>
      </c>
      <c r="O16" s="150">
        <v>3500582</v>
      </c>
      <c r="P16" s="19">
        <v>20</v>
      </c>
      <c r="Q16" s="147">
        <v>5</v>
      </c>
      <c r="R16" s="147">
        <v>2</v>
      </c>
      <c r="S16" s="147">
        <v>24</v>
      </c>
      <c r="T16" s="147">
        <f t="shared" si="1"/>
        <v>-3</v>
      </c>
      <c r="U16" s="301">
        <v>28</v>
      </c>
      <c r="V16" s="147">
        <f t="shared" si="2"/>
        <v>49</v>
      </c>
      <c r="W16" s="19">
        <f t="shared" si="3"/>
        <v>-27</v>
      </c>
      <c r="X16" s="297">
        <f t="shared" si="4"/>
        <v>0</v>
      </c>
      <c r="Y16" s="167">
        <f t="shared" si="5"/>
        <v>28</v>
      </c>
      <c r="Z16" s="185">
        <f>SUMIFS(meghsteelsales_previousmonth[Quantity],meghsteelsales_previousmonth[Length Bucket],M16)/1000</f>
        <v>20.52</v>
      </c>
      <c r="AA16" s="185">
        <f>SUMIFS(meghsteelsales_currentmonth[Quantity],meghsteelsales_currentmonth[Length Bucket],M16)/1000</f>
        <v>4.2763360000000006</v>
      </c>
      <c r="AB16" s="185">
        <f t="shared" si="6"/>
        <v>0</v>
      </c>
      <c r="AC16" s="185">
        <f t="shared" si="7"/>
        <v>3.2036639999999998</v>
      </c>
      <c r="AD16" s="267"/>
      <c r="AE16" s="185" t="s">
        <v>6230</v>
      </c>
      <c r="AF16" s="185" t="str">
        <f>Table25[[#This Row],[OEM]]</f>
        <v>TVS</v>
      </c>
      <c r="AG16" s="185" t="str">
        <f>Table25[[#This Row],[plant]]</f>
        <v>056</v>
      </c>
    </row>
    <row r="17" spans="1:33" x14ac:dyDescent="0.25">
      <c r="A17" s="265" t="s">
        <v>10</v>
      </c>
      <c r="B17" s="147" t="s">
        <v>116</v>
      </c>
      <c r="C17" s="147" t="s">
        <v>338</v>
      </c>
      <c r="D17" s="147" t="s">
        <v>339</v>
      </c>
      <c r="E17" s="147" t="s">
        <v>340</v>
      </c>
      <c r="F17" s="148">
        <v>21.4</v>
      </c>
      <c r="G17" s="148"/>
      <c r="H17" s="148">
        <v>1.6</v>
      </c>
      <c r="I17" s="147">
        <v>6000</v>
      </c>
      <c r="J17" s="147">
        <v>6</v>
      </c>
      <c r="K17" s="147" t="str">
        <f t="shared" si="0"/>
        <v>21.41.66ERWNON FIN</v>
      </c>
      <c r="L17" s="147" t="str">
        <f>VLOOKUP(K17,'VSM May Indent'!$K$1:$O$61,4,0)</f>
        <v>21.4-0-1.6-ERW 1-PE</v>
      </c>
      <c r="M17" s="147" t="str">
        <f>VLOOKUP(K17,'VSM May Indent'!$K$1:$O$61,5,0)</f>
        <v>21.4-0-1.6-ERW 1-PE-6</v>
      </c>
      <c r="N17" s="149"/>
      <c r="O17" s="150">
        <v>3219710</v>
      </c>
      <c r="P17" s="19">
        <v>5</v>
      </c>
      <c r="Q17" s="147"/>
      <c r="R17" s="147">
        <v>6</v>
      </c>
      <c r="S17" s="147"/>
      <c r="T17" s="147">
        <f t="shared" si="1"/>
        <v>6</v>
      </c>
      <c r="U17" s="147"/>
      <c r="V17" s="147">
        <f t="shared" si="2"/>
        <v>6</v>
      </c>
      <c r="W17" s="19">
        <f t="shared" si="3"/>
        <v>-0.5</v>
      </c>
      <c r="X17" s="167">
        <f t="shared" si="4"/>
        <v>0</v>
      </c>
      <c r="Y17" s="167">
        <f t="shared" si="5"/>
        <v>0</v>
      </c>
      <c r="Z17" s="185">
        <f>SUMIFS(meghsteelsales_previousmonth[Quantity],meghsteelsales_previousmonth[Length Bucket],M17)/1000</f>
        <v>0</v>
      </c>
      <c r="AA17" s="185">
        <f>SUMIFS(meghsteelsales_currentmonth[Quantity],meghsteelsales_currentmonth[Length Bucket],M17)/1000</f>
        <v>0</v>
      </c>
      <c r="AB17" s="185">
        <f t="shared" si="6"/>
        <v>0</v>
      </c>
      <c r="AC17" s="185">
        <f t="shared" si="7"/>
        <v>0</v>
      </c>
      <c r="AD17" s="267"/>
      <c r="AE17" s="185"/>
      <c r="AF17" s="185"/>
      <c r="AG17" s="185"/>
    </row>
    <row r="18" spans="1:33" x14ac:dyDescent="0.25">
      <c r="A18" s="265" t="s">
        <v>10</v>
      </c>
      <c r="B18" s="147" t="s">
        <v>116</v>
      </c>
      <c r="C18" s="153" t="s">
        <v>338</v>
      </c>
      <c r="D18" s="147" t="s">
        <v>339</v>
      </c>
      <c r="E18" s="147" t="s">
        <v>340</v>
      </c>
      <c r="F18" s="148">
        <v>22.2</v>
      </c>
      <c r="G18" s="148"/>
      <c r="H18" s="148">
        <v>1.2</v>
      </c>
      <c r="I18" s="147">
        <v>5870</v>
      </c>
      <c r="J18" s="147">
        <v>5.87</v>
      </c>
      <c r="K18" s="147" t="str">
        <f t="shared" si="0"/>
        <v>22.21.25.87ERWNON FIN</v>
      </c>
      <c r="L18" s="147" t="str">
        <f>VLOOKUP(K18,'VSM May Indent'!$K$1:$O$61,4,0)</f>
        <v>22.23-0-1.2-ERW 1-PE</v>
      </c>
      <c r="M18" s="147" t="str">
        <f>VLOOKUP(K18,'VSM May Indent'!$K$1:$O$61,5,0)</f>
        <v>22.23-0-1.2-ERW 1-PE-5.87</v>
      </c>
      <c r="N18" s="151" t="s">
        <v>367</v>
      </c>
      <c r="O18" s="196">
        <v>3882110</v>
      </c>
      <c r="P18" s="19">
        <v>20</v>
      </c>
      <c r="Q18" s="147"/>
      <c r="R18" s="147">
        <v>0</v>
      </c>
      <c r="S18" s="147"/>
      <c r="T18" s="147">
        <f t="shared" si="1"/>
        <v>0</v>
      </c>
      <c r="U18" s="301">
        <v>9.8000000000000007</v>
      </c>
      <c r="V18" s="147">
        <f t="shared" si="2"/>
        <v>9.8000000000000007</v>
      </c>
      <c r="W18" s="19">
        <f t="shared" si="3"/>
        <v>12.2</v>
      </c>
      <c r="X18" s="297">
        <f t="shared" si="4"/>
        <v>12.2</v>
      </c>
      <c r="Y18" s="167">
        <f t="shared" si="5"/>
        <v>22</v>
      </c>
      <c r="Z18" s="185">
        <f>SUMIFS(meghsteelsales_previousmonth[Quantity],meghsteelsales_previousmonth[Length Bucket],M18)/1000</f>
        <v>7.3276850000000016</v>
      </c>
      <c r="AA18" s="185">
        <f>SUMIFS(meghsteelsales_currentmonth[Quantity],meghsteelsales_currentmonth[Length Bucket],M18)/1000</f>
        <v>12.956144999999999</v>
      </c>
      <c r="AB18" s="185">
        <f t="shared" si="6"/>
        <v>0</v>
      </c>
      <c r="AC18" s="185">
        <f t="shared" si="7"/>
        <v>1.7161699999999982</v>
      </c>
      <c r="AD18" s="267"/>
      <c r="AE18" s="185" t="s">
        <v>6230</v>
      </c>
      <c r="AF18" s="185" t="str">
        <f>Table25[[#This Row],[OEM]]</f>
        <v>TVS</v>
      </c>
      <c r="AG18" s="185" t="str">
        <f>Table25[[#This Row],[plant]]</f>
        <v>056</v>
      </c>
    </row>
    <row r="19" spans="1:33" x14ac:dyDescent="0.25">
      <c r="A19" s="265" t="s">
        <v>341</v>
      </c>
      <c r="B19" s="147" t="s">
        <v>342</v>
      </c>
      <c r="C19" s="153" t="s">
        <v>344</v>
      </c>
      <c r="D19" s="147" t="s">
        <v>339</v>
      </c>
      <c r="E19" s="147" t="s">
        <v>347</v>
      </c>
      <c r="F19" s="148">
        <v>22.2</v>
      </c>
      <c r="G19" s="148"/>
      <c r="H19" s="148">
        <v>1.4</v>
      </c>
      <c r="I19" s="147">
        <v>6000</v>
      </c>
      <c r="J19" s="147">
        <v>6</v>
      </c>
      <c r="K19" s="147" t="str">
        <f t="shared" si="0"/>
        <v>22.21.46ERW-2NON FIN</v>
      </c>
      <c r="L19" s="147" t="str">
        <f>VLOOKUP(K19,'VSM May Indent'!$K$1:$O$61,4,0)</f>
        <v>No Key</v>
      </c>
      <c r="M19" s="147" t="str">
        <f>VLOOKUP(K19,'VSM May Indent'!$K$1:$O$61,5,0)</f>
        <v>No Key</v>
      </c>
      <c r="N19" s="151" t="s">
        <v>367</v>
      </c>
      <c r="O19" s="150">
        <v>3829175</v>
      </c>
      <c r="P19" s="19">
        <v>0</v>
      </c>
      <c r="Q19" s="147"/>
      <c r="R19" s="147">
        <v>9.5</v>
      </c>
      <c r="S19" s="147"/>
      <c r="T19" s="147">
        <f t="shared" si="1"/>
        <v>9.5</v>
      </c>
      <c r="U19" s="147"/>
      <c r="V19" s="147">
        <f t="shared" si="2"/>
        <v>9.5</v>
      </c>
      <c r="W19" s="19">
        <f t="shared" si="3"/>
        <v>-9.5</v>
      </c>
      <c r="X19" s="167">
        <f t="shared" si="4"/>
        <v>0</v>
      </c>
      <c r="Y19" s="167">
        <f t="shared" si="5"/>
        <v>0</v>
      </c>
      <c r="Z19" s="185">
        <f>SUMIFS(meghsteelsales_previousmonth[Quantity],meghsteelsales_previousmonth[Length Bucket],M19)/1000</f>
        <v>0</v>
      </c>
      <c r="AA19" s="185">
        <f>SUMIFS(meghsteelsales_currentmonth[Quantity],meghsteelsales_currentmonth[Length Bucket],M19)/1000</f>
        <v>0</v>
      </c>
      <c r="AB19" s="185">
        <f t="shared" si="6"/>
        <v>0</v>
      </c>
      <c r="AC19" s="185">
        <f t="shared" si="7"/>
        <v>0</v>
      </c>
      <c r="AD19" s="267"/>
      <c r="AE19" s="185"/>
      <c r="AF19" s="185"/>
      <c r="AG19" s="185"/>
    </row>
    <row r="20" spans="1:33" x14ac:dyDescent="0.25">
      <c r="A20" s="265" t="s">
        <v>10</v>
      </c>
      <c r="B20" s="147" t="s">
        <v>116</v>
      </c>
      <c r="C20" s="153" t="s">
        <v>338</v>
      </c>
      <c r="D20" s="147" t="s">
        <v>339</v>
      </c>
      <c r="E20" s="147" t="s">
        <v>340</v>
      </c>
      <c r="F20" s="148">
        <v>22.2</v>
      </c>
      <c r="G20" s="148"/>
      <c r="H20" s="148">
        <v>1.6</v>
      </c>
      <c r="I20" s="147">
        <v>5800</v>
      </c>
      <c r="J20" s="147">
        <v>5.8</v>
      </c>
      <c r="K20" s="147" t="str">
        <f t="shared" si="0"/>
        <v>22.21.65.8ERWNON FIN</v>
      </c>
      <c r="L20" s="147" t="e">
        <f>VLOOKUP(K20,'VSM May Indent'!$K$1:$O$61,4,0)</f>
        <v>#N/A</v>
      </c>
      <c r="M20" s="147" t="e">
        <f>VLOOKUP(K20,'VSM May Indent'!$K$1:$O$61,5,0)</f>
        <v>#N/A</v>
      </c>
      <c r="N20" s="151" t="s">
        <v>367</v>
      </c>
      <c r="O20" s="150"/>
      <c r="P20" s="19">
        <v>40</v>
      </c>
      <c r="Q20" s="147">
        <v>10</v>
      </c>
      <c r="R20" s="147">
        <v>94</v>
      </c>
      <c r="S20" s="147"/>
      <c r="T20" s="147">
        <f t="shared" si="1"/>
        <v>84</v>
      </c>
      <c r="U20" s="147"/>
      <c r="V20" s="147">
        <f t="shared" si="2"/>
        <v>84</v>
      </c>
      <c r="W20" s="19">
        <f t="shared" si="3"/>
        <v>-40</v>
      </c>
      <c r="X20" s="167">
        <f t="shared" si="4"/>
        <v>0</v>
      </c>
      <c r="Y20" s="167">
        <f t="shared" si="5"/>
        <v>0</v>
      </c>
      <c r="Z20" s="185">
        <f>SUMIFS(meghsteelsales_previousmonth[Quantity],meghsteelsales_previousmonth[Length Bucket],M20)/1000</f>
        <v>0</v>
      </c>
      <c r="AA20" s="185">
        <f>SUMIFS(meghsteelsales_currentmonth[Quantity],meghsteelsales_currentmonth[Length Bucket],M20)/1000</f>
        <v>0</v>
      </c>
      <c r="AB20" s="185">
        <f t="shared" si="6"/>
        <v>0</v>
      </c>
      <c r="AC20" s="185">
        <f t="shared" si="7"/>
        <v>0</v>
      </c>
      <c r="AD20" s="267"/>
      <c r="AE20" s="185"/>
      <c r="AF20" s="185"/>
      <c r="AG20" s="185"/>
    </row>
    <row r="21" spans="1:33" s="45" customFormat="1" x14ac:dyDescent="0.25">
      <c r="A21" s="266" t="s">
        <v>10</v>
      </c>
      <c r="B21" s="156" t="s">
        <v>116</v>
      </c>
      <c r="C21" s="157" t="s">
        <v>338</v>
      </c>
      <c r="D21" s="156" t="s">
        <v>339</v>
      </c>
      <c r="E21" s="156" t="s">
        <v>340</v>
      </c>
      <c r="F21" s="248">
        <v>22.2</v>
      </c>
      <c r="G21" s="248"/>
      <c r="H21" s="248">
        <v>1.6</v>
      </c>
      <c r="I21" s="156">
        <v>5270</v>
      </c>
      <c r="J21" s="156">
        <v>5.27</v>
      </c>
      <c r="K21" s="147" t="str">
        <f t="shared" si="0"/>
        <v>22.21.65.27ERWNON FIN</v>
      </c>
      <c r="L21" s="147" t="e">
        <f>VLOOKUP(K21,'VSM May Indent'!$K$1:$O$61,4,0)</f>
        <v>#N/A</v>
      </c>
      <c r="M21" s="147" t="e">
        <f>VLOOKUP(K21,'VSM May Indent'!$K$1:$O$61,5,0)</f>
        <v>#N/A</v>
      </c>
      <c r="N21" s="250" t="s">
        <v>345</v>
      </c>
      <c r="O21" s="245">
        <v>3575894</v>
      </c>
      <c r="P21" s="246">
        <v>25</v>
      </c>
      <c r="Q21" s="156"/>
      <c r="R21" s="156"/>
      <c r="S21" s="156"/>
      <c r="T21" s="156"/>
      <c r="U21" s="301"/>
      <c r="V21" s="156"/>
      <c r="W21" s="246"/>
      <c r="X21" s="297">
        <v>25</v>
      </c>
      <c r="Y21" s="247">
        <f t="shared" si="5"/>
        <v>25</v>
      </c>
      <c r="Z21" s="185">
        <f>SUMIFS(meghsteelsales_previousmonth[Quantity],meghsteelsales_previousmonth[Length Bucket],M21)/1000</f>
        <v>0</v>
      </c>
      <c r="AA21" s="185">
        <f>SUMIFS(meghsteelsales_currentmonth[Quantity],meghsteelsales_currentmonth[Length Bucket],M21)/1000</f>
        <v>0</v>
      </c>
      <c r="AB21" s="185">
        <f t="shared" si="6"/>
        <v>25</v>
      </c>
      <c r="AC21" s="185">
        <f t="shared" si="7"/>
        <v>25</v>
      </c>
      <c r="AD21" s="267"/>
      <c r="AE21" s="292"/>
      <c r="AF21" s="292"/>
      <c r="AG21" s="292"/>
    </row>
    <row r="22" spans="1:33" s="45" customFormat="1" x14ac:dyDescent="0.25">
      <c r="A22" s="266" t="s">
        <v>10</v>
      </c>
      <c r="B22" s="156" t="s">
        <v>116</v>
      </c>
      <c r="C22" s="157" t="s">
        <v>338</v>
      </c>
      <c r="D22" s="156" t="s">
        <v>339</v>
      </c>
      <c r="E22" s="156" t="s">
        <v>340</v>
      </c>
      <c r="F22" s="248">
        <v>22.2</v>
      </c>
      <c r="G22" s="248"/>
      <c r="H22" s="248">
        <v>1.6</v>
      </c>
      <c r="I22" s="156">
        <v>5670</v>
      </c>
      <c r="J22" s="156">
        <v>5.67</v>
      </c>
      <c r="K22" s="147" t="str">
        <f t="shared" si="0"/>
        <v>22.21.65.67ERWNON FIN</v>
      </c>
      <c r="L22" s="147" t="e">
        <f>VLOOKUP(K22,'VSM May Indent'!$K$1:$O$61,4,0)</f>
        <v>#N/A</v>
      </c>
      <c r="M22" s="147" t="e">
        <f>VLOOKUP(K22,'VSM May Indent'!$K$1:$O$61,5,0)</f>
        <v>#N/A</v>
      </c>
      <c r="N22" s="201" t="s">
        <v>367</v>
      </c>
      <c r="O22" s="245" t="s">
        <v>6231</v>
      </c>
      <c r="P22" s="246">
        <v>40</v>
      </c>
      <c r="Q22" s="156"/>
      <c r="R22" s="156"/>
      <c r="S22" s="156"/>
      <c r="T22" s="156"/>
      <c r="U22" s="301"/>
      <c r="V22" s="156"/>
      <c r="W22" s="246"/>
      <c r="X22" s="297">
        <v>40</v>
      </c>
      <c r="Y22" s="247">
        <f t="shared" si="5"/>
        <v>40</v>
      </c>
      <c r="Z22" s="185">
        <f>SUMIFS(meghsteelsales_previousmonth[Quantity],meghsteelsales_previousmonth[Length Bucket],M22)/1000</f>
        <v>0</v>
      </c>
      <c r="AA22" s="185">
        <f>SUMIFS(meghsteelsales_currentmonth[Quantity],meghsteelsales_currentmonth[Length Bucket],M22)/1000</f>
        <v>0</v>
      </c>
      <c r="AB22" s="185">
        <f t="shared" si="6"/>
        <v>40</v>
      </c>
      <c r="AC22" s="185">
        <f t="shared" si="7"/>
        <v>40</v>
      </c>
      <c r="AD22" s="267"/>
      <c r="AE22" s="292"/>
      <c r="AF22" s="292"/>
      <c r="AG22" s="292"/>
    </row>
    <row r="23" spans="1:33" x14ac:dyDescent="0.25">
      <c r="A23" s="265" t="s">
        <v>10</v>
      </c>
      <c r="B23" s="147" t="s">
        <v>116</v>
      </c>
      <c r="C23" s="155" t="s">
        <v>338</v>
      </c>
      <c r="D23" s="147" t="s">
        <v>339</v>
      </c>
      <c r="E23" s="147" t="s">
        <v>340</v>
      </c>
      <c r="F23" s="154">
        <v>22.2</v>
      </c>
      <c r="G23" s="154"/>
      <c r="H23" s="154">
        <v>2</v>
      </c>
      <c r="I23" s="155">
        <v>5950</v>
      </c>
      <c r="J23" s="147">
        <v>5.95</v>
      </c>
      <c r="K23" s="147" t="str">
        <f t="shared" si="0"/>
        <v>22.225.95ERWNON FIN</v>
      </c>
      <c r="L23" s="147" t="str">
        <f>VLOOKUP(K23,'VSM May Indent'!$K$1:$O$61,4,0)</f>
        <v>22.23-0-2-ERW 1-PE</v>
      </c>
      <c r="M23" s="147" t="str">
        <f>VLOOKUP(K23,'VSM May Indent'!$K$1:$O$61,5,0)</f>
        <v>22.23-0-2-ERW 1-PE-5.951</v>
      </c>
      <c r="N23" s="151" t="s">
        <v>367</v>
      </c>
      <c r="O23" s="196">
        <v>3905466</v>
      </c>
      <c r="P23" s="19">
        <v>50</v>
      </c>
      <c r="Q23" s="147">
        <v>20</v>
      </c>
      <c r="R23" s="147">
        <v>23</v>
      </c>
      <c r="S23" s="147"/>
      <c r="T23" s="147">
        <f t="shared" si="1"/>
        <v>3</v>
      </c>
      <c r="U23" s="301"/>
      <c r="V23" s="147">
        <f t="shared" si="2"/>
        <v>3</v>
      </c>
      <c r="W23" s="19">
        <f t="shared" si="3"/>
        <v>52.000000000000007</v>
      </c>
      <c r="X23" s="297">
        <f t="shared" si="4"/>
        <v>52.000000000000007</v>
      </c>
      <c r="Y23" s="167">
        <f t="shared" si="5"/>
        <v>52.000000000000007</v>
      </c>
      <c r="Z23" s="185">
        <f>SUMIFS(meghsteelsales_previousmonth[Quantity],meghsteelsales_previousmonth[Length Bucket],M23)/1000</f>
        <v>85.542945999999958</v>
      </c>
      <c r="AA23" s="185">
        <f>SUMIFS(meghsteelsales_currentmonth[Quantity],meghsteelsales_currentmonth[Length Bucket],M23)/1000</f>
        <v>51.635232000000002</v>
      </c>
      <c r="AB23" s="185">
        <f t="shared" si="6"/>
        <v>0</v>
      </c>
      <c r="AC23" s="185">
        <f t="shared" si="7"/>
        <v>-85.178177999999946</v>
      </c>
      <c r="AD23" s="267"/>
      <c r="AE23" s="185"/>
      <c r="AF23" s="185"/>
      <c r="AG23" s="185"/>
    </row>
    <row r="24" spans="1:33" x14ac:dyDescent="0.25">
      <c r="A24" s="265" t="s">
        <v>10</v>
      </c>
      <c r="B24" s="147" t="s">
        <v>116</v>
      </c>
      <c r="C24" s="155" t="s">
        <v>338</v>
      </c>
      <c r="D24" s="147" t="s">
        <v>339</v>
      </c>
      <c r="E24" s="147" t="s">
        <v>340</v>
      </c>
      <c r="F24" s="154">
        <v>22.2</v>
      </c>
      <c r="G24" s="154"/>
      <c r="H24" s="154">
        <v>2</v>
      </c>
      <c r="I24" s="155">
        <v>5100</v>
      </c>
      <c r="J24" s="147">
        <v>5.0999999999999996</v>
      </c>
      <c r="K24" s="147" t="str">
        <f t="shared" si="0"/>
        <v>22.225.1ERWNON FIN</v>
      </c>
      <c r="L24" s="147" t="str">
        <f>VLOOKUP(K24,'VSM May Indent'!$K$1:$O$61,4,0)</f>
        <v>22.23-0-2-ERW 1-PE</v>
      </c>
      <c r="M24" s="147" t="str">
        <f>VLOOKUP(K24,'VSM May Indent'!$K$1:$O$61,5,0)</f>
        <v>22.23-0-2-ERW 1-PE-5.1</v>
      </c>
      <c r="N24" s="151" t="s">
        <v>367</v>
      </c>
      <c r="O24" s="150">
        <v>3500554</v>
      </c>
      <c r="P24" s="19">
        <v>20</v>
      </c>
      <c r="Q24" s="147">
        <v>4</v>
      </c>
      <c r="R24" s="147">
        <v>15</v>
      </c>
      <c r="S24" s="147"/>
      <c r="T24" s="147">
        <f t="shared" si="1"/>
        <v>11</v>
      </c>
      <c r="U24" s="301"/>
      <c r="V24" s="147">
        <f t="shared" si="2"/>
        <v>11</v>
      </c>
      <c r="W24" s="19">
        <f t="shared" si="3"/>
        <v>11</v>
      </c>
      <c r="X24" s="297">
        <f t="shared" si="4"/>
        <v>11</v>
      </c>
      <c r="Y24" s="167">
        <f t="shared" si="5"/>
        <v>11</v>
      </c>
      <c r="Z24" s="185">
        <f>SUMIFS(meghsteelsales_previousmonth[Quantity],meghsteelsales_previousmonth[Length Bucket],M24)/1000</f>
        <v>0</v>
      </c>
      <c r="AA24" s="185">
        <f>SUMIFS(meghsteelsales_currentmonth[Quantity],meghsteelsales_currentmonth[Length Bucket],M24)/1000</f>
        <v>0</v>
      </c>
      <c r="AB24" s="185">
        <f t="shared" si="6"/>
        <v>11</v>
      </c>
      <c r="AC24" s="185">
        <f t="shared" si="7"/>
        <v>11</v>
      </c>
      <c r="AD24" s="267"/>
      <c r="AE24" s="185"/>
      <c r="AF24" s="185"/>
      <c r="AG24" s="185"/>
    </row>
    <row r="25" spans="1:33" x14ac:dyDescent="0.25">
      <c r="A25" s="265" t="s">
        <v>10</v>
      </c>
      <c r="B25" s="147" t="s">
        <v>116</v>
      </c>
      <c r="C25" s="147" t="s">
        <v>344</v>
      </c>
      <c r="D25" s="147" t="s">
        <v>348</v>
      </c>
      <c r="E25" s="147" t="s">
        <v>349</v>
      </c>
      <c r="F25" s="148">
        <v>22.2</v>
      </c>
      <c r="G25" s="148"/>
      <c r="H25" s="148">
        <v>2</v>
      </c>
      <c r="I25" s="147">
        <v>6000</v>
      </c>
      <c r="J25" s="147">
        <v>6000</v>
      </c>
      <c r="K25" s="147" t="str">
        <f t="shared" si="0"/>
        <v>22.226000HSTFIN CUT</v>
      </c>
      <c r="L25" s="147" t="str">
        <f>VLOOKUP(K25,'VSM May Indent'!$K$1:$O$61,4,0)</f>
        <v>22.23-0-2-ERW 2 MAHS-FC</v>
      </c>
      <c r="M25" s="147" t="str">
        <f>VLOOKUP(K25,'VSM May Indent'!$K$1:$O$61,5,0)</f>
        <v>22.23-0-2-ERW 2 MAHS-FC-6.001</v>
      </c>
      <c r="N25" s="151" t="s">
        <v>367</v>
      </c>
      <c r="O25" s="150">
        <v>3502494</v>
      </c>
      <c r="P25" s="19">
        <v>50</v>
      </c>
      <c r="Q25" s="147">
        <v>30</v>
      </c>
      <c r="R25" s="147">
        <v>22</v>
      </c>
      <c r="S25" s="147"/>
      <c r="T25" s="147">
        <f t="shared" si="1"/>
        <v>-8</v>
      </c>
      <c r="U25" s="301">
        <v>60</v>
      </c>
      <c r="V25" s="147">
        <f t="shared" si="2"/>
        <v>52</v>
      </c>
      <c r="W25" s="19">
        <f t="shared" si="3"/>
        <v>3.0000000000000071</v>
      </c>
      <c r="X25" s="297">
        <f t="shared" si="4"/>
        <v>3.0000000000000071</v>
      </c>
      <c r="Y25" s="167">
        <f t="shared" si="5"/>
        <v>63.000000000000007</v>
      </c>
      <c r="Z25" s="185">
        <f>SUMIFS(meghsteelsales_previousmonth[Quantity],meghsteelsales_previousmonth[Length Bucket],M25)/1000</f>
        <v>0</v>
      </c>
      <c r="AA25" s="185">
        <f>SUMIFS(meghsteelsales_currentmonth[Quantity],meghsteelsales_currentmonth[Length Bucket],M25)/1000</f>
        <v>0</v>
      </c>
      <c r="AB25" s="185">
        <f t="shared" si="6"/>
        <v>3.0000000000000071</v>
      </c>
      <c r="AC25" s="185">
        <f t="shared" si="7"/>
        <v>63.000000000000007</v>
      </c>
      <c r="AD25" s="267">
        <v>50</v>
      </c>
      <c r="AE25" s="185">
        <v>9518828196</v>
      </c>
      <c r="AF25" s="185" t="str">
        <f>Table25[[#This Row],[OEM]]</f>
        <v>TVS</v>
      </c>
      <c r="AG25" s="185" t="str">
        <f>Table25[[#This Row],[plant]]</f>
        <v>056</v>
      </c>
    </row>
    <row r="26" spans="1:33" x14ac:dyDescent="0.25">
      <c r="A26" s="265" t="s">
        <v>341</v>
      </c>
      <c r="B26" s="147" t="s">
        <v>342</v>
      </c>
      <c r="C26" s="147" t="s">
        <v>350</v>
      </c>
      <c r="D26" s="147" t="s">
        <v>348</v>
      </c>
      <c r="E26" s="147" t="s">
        <v>351</v>
      </c>
      <c r="F26" s="148">
        <v>22.2</v>
      </c>
      <c r="G26" s="148"/>
      <c r="H26" s="148">
        <v>2</v>
      </c>
      <c r="I26" s="147">
        <v>5390</v>
      </c>
      <c r="J26" s="147">
        <v>5.39</v>
      </c>
      <c r="K26" s="147" t="str">
        <f t="shared" si="0"/>
        <v>22.225.39CR ERW FIN CUT</v>
      </c>
      <c r="L26" s="147" t="str">
        <f>VLOOKUP(K26,'VSM May Indent'!$K$1:$O$61,4,0)</f>
        <v>22.23-0-2-ERW 1-FC</v>
      </c>
      <c r="M26" s="147" t="str">
        <f>VLOOKUP(K26,'VSM May Indent'!$K$1:$O$61,5,0)</f>
        <v>22.23-0-2-ERW 1-PE-5.39</v>
      </c>
      <c r="N26" s="165" t="s">
        <v>345</v>
      </c>
      <c r="O26" s="260">
        <v>2431251</v>
      </c>
      <c r="P26" s="19">
        <v>20</v>
      </c>
      <c r="Q26" s="147">
        <v>10</v>
      </c>
      <c r="R26" s="147">
        <v>8</v>
      </c>
      <c r="S26" s="147"/>
      <c r="T26" s="147">
        <f t="shared" si="1"/>
        <v>-2</v>
      </c>
      <c r="U26" s="301"/>
      <c r="V26" s="147">
        <f t="shared" si="2"/>
        <v>-2</v>
      </c>
      <c r="W26" s="19">
        <f t="shared" si="3"/>
        <v>24</v>
      </c>
      <c r="X26" s="297">
        <f t="shared" si="4"/>
        <v>24</v>
      </c>
      <c r="Y26" s="167">
        <f t="shared" si="5"/>
        <v>24</v>
      </c>
      <c r="Z26" s="185">
        <f>SUMIFS(meghsteelsales_previousmonth[Quantity],meghsteelsales_previousmonth[Length Bucket],M26)/1000</f>
        <v>4.5</v>
      </c>
      <c r="AA26" s="185">
        <f>SUMIFS(meghsteelsales_currentmonth[Quantity],meghsteelsales_currentmonth[Length Bucket],M26)/1000</f>
        <v>22.54</v>
      </c>
      <c r="AB26" s="185">
        <f t="shared" si="6"/>
        <v>0</v>
      </c>
      <c r="AC26" s="185">
        <f t="shared" si="7"/>
        <v>-3.0399999999999991</v>
      </c>
      <c r="AD26" s="267">
        <v>24</v>
      </c>
      <c r="AE26" s="185">
        <v>9518797070</v>
      </c>
      <c r="AF26" s="185" t="str">
        <f>Table25[[#This Row],[OEM]]</f>
        <v>HMSI</v>
      </c>
      <c r="AG26" s="185" t="str">
        <f>Table25[[#This Row],[plant]]</f>
        <v>0789</v>
      </c>
    </row>
    <row r="27" spans="1:33" x14ac:dyDescent="0.25">
      <c r="A27" s="265" t="s">
        <v>341</v>
      </c>
      <c r="B27" s="147" t="s">
        <v>342</v>
      </c>
      <c r="C27" s="153" t="s">
        <v>344</v>
      </c>
      <c r="D27" s="147" t="s">
        <v>348</v>
      </c>
      <c r="E27" s="147" t="s">
        <v>349</v>
      </c>
      <c r="F27" s="148">
        <v>25.4</v>
      </c>
      <c r="G27" s="148"/>
      <c r="H27" s="148">
        <v>1.4</v>
      </c>
      <c r="I27" s="147">
        <v>5531</v>
      </c>
      <c r="J27" s="147">
        <v>5.5309999999999997</v>
      </c>
      <c r="K27" s="147" t="str">
        <f t="shared" si="0"/>
        <v>25.41.45.531HSTFIN CUT</v>
      </c>
      <c r="L27" s="147" t="str">
        <f>VLOOKUP(K27,'VSM May Indent'!$K$1:$O$61,4,0)</f>
        <v>25.4-0-1.4-ERW 2-PE</v>
      </c>
      <c r="M27" s="147" t="str">
        <f>VLOOKUP(K27,'VSM May Indent'!$K$1:$O$61,5,0)</f>
        <v>25.4-0-1.4-ERW 2-PE-5.531</v>
      </c>
      <c r="N27" s="151" t="s">
        <v>367</v>
      </c>
      <c r="O27" s="150">
        <v>3501900</v>
      </c>
      <c r="P27" s="19">
        <v>0</v>
      </c>
      <c r="Q27" s="147"/>
      <c r="R27" s="147">
        <v>6.5</v>
      </c>
      <c r="S27" s="147"/>
      <c r="T27" s="147">
        <f t="shared" si="1"/>
        <v>6.5</v>
      </c>
      <c r="U27" s="147"/>
      <c r="V27" s="147">
        <f t="shared" si="2"/>
        <v>6.5</v>
      </c>
      <c r="W27" s="19">
        <f t="shared" si="3"/>
        <v>-6.5</v>
      </c>
      <c r="X27" s="167">
        <f t="shared" si="4"/>
        <v>0</v>
      </c>
      <c r="Y27" s="167">
        <f t="shared" si="5"/>
        <v>0</v>
      </c>
      <c r="Z27" s="185">
        <f>SUMIFS(meghsteelsales_previousmonth[Quantity],meghsteelsales_previousmonth[Length Bucket],M27)/1000</f>
        <v>0</v>
      </c>
      <c r="AA27" s="185">
        <f>SUMIFS(meghsteelsales_currentmonth[Quantity],meghsteelsales_currentmonth[Length Bucket],M27)/1000</f>
        <v>0</v>
      </c>
      <c r="AB27" s="185">
        <f t="shared" si="6"/>
        <v>0</v>
      </c>
      <c r="AC27" s="185">
        <f t="shared" si="7"/>
        <v>0</v>
      </c>
      <c r="AD27" s="267"/>
      <c r="AE27" s="185"/>
      <c r="AF27" s="185"/>
      <c r="AG27" s="185"/>
    </row>
    <row r="28" spans="1:33" x14ac:dyDescent="0.25">
      <c r="A28" s="265" t="s">
        <v>341</v>
      </c>
      <c r="B28" s="147" t="s">
        <v>342</v>
      </c>
      <c r="C28" s="153" t="s">
        <v>338</v>
      </c>
      <c r="D28" s="147" t="s">
        <v>348</v>
      </c>
      <c r="E28" s="147" t="s">
        <v>340</v>
      </c>
      <c r="F28" s="148">
        <v>25.4</v>
      </c>
      <c r="G28" s="148"/>
      <c r="H28" s="148">
        <v>1.4</v>
      </c>
      <c r="I28" s="147">
        <v>6060</v>
      </c>
      <c r="J28" s="147">
        <v>6.06</v>
      </c>
      <c r="K28" s="147" t="str">
        <f t="shared" si="0"/>
        <v>25.41.46.06ERWFIN CUT</v>
      </c>
      <c r="L28" s="147" t="str">
        <f>VLOOKUP(K28,'VSM May Indent'!$K$1:$O$61,4,0)</f>
        <v>No Key</v>
      </c>
      <c r="M28" s="147" t="str">
        <f>VLOOKUP(K28,'VSM May Indent'!$K$1:$O$61,5,0)</f>
        <v>No Key</v>
      </c>
      <c r="N28" s="151"/>
      <c r="O28" s="149">
        <v>3557792</v>
      </c>
      <c r="P28" s="19">
        <v>10</v>
      </c>
      <c r="Q28" s="147"/>
      <c r="R28" s="147">
        <v>0</v>
      </c>
      <c r="S28" s="147"/>
      <c r="T28" s="147">
        <f t="shared" si="1"/>
        <v>0</v>
      </c>
      <c r="U28" s="301"/>
      <c r="V28" s="147">
        <f t="shared" si="2"/>
        <v>0</v>
      </c>
      <c r="W28" s="19">
        <f t="shared" si="3"/>
        <v>11</v>
      </c>
      <c r="X28" s="297">
        <f t="shared" si="4"/>
        <v>11</v>
      </c>
      <c r="Y28" s="167">
        <f t="shared" si="5"/>
        <v>11</v>
      </c>
      <c r="Z28" s="185">
        <f>SUMIFS(meghsteelsales_previousmonth[Quantity],meghsteelsales_previousmonth[Length Bucket],M28)/1000</f>
        <v>0</v>
      </c>
      <c r="AA28" s="185">
        <f>SUMIFS(meghsteelsales_currentmonth[Quantity],meghsteelsales_currentmonth[Length Bucket],M28)/1000</f>
        <v>0</v>
      </c>
      <c r="AB28" s="185">
        <f t="shared" si="6"/>
        <v>11</v>
      </c>
      <c r="AC28" s="185">
        <f t="shared" si="7"/>
        <v>11</v>
      </c>
      <c r="AD28" s="267"/>
      <c r="AE28" s="185"/>
      <c r="AF28" s="185"/>
      <c r="AG28" s="185"/>
    </row>
    <row r="29" spans="1:33" x14ac:dyDescent="0.25">
      <c r="A29" s="265" t="s">
        <v>10</v>
      </c>
      <c r="B29" s="147" t="s">
        <v>116</v>
      </c>
      <c r="C29" s="153" t="s">
        <v>338</v>
      </c>
      <c r="D29" s="147" t="s">
        <v>339</v>
      </c>
      <c r="E29" s="147" t="s">
        <v>340</v>
      </c>
      <c r="F29" s="148">
        <v>25.4</v>
      </c>
      <c r="G29" s="148"/>
      <c r="H29" s="148">
        <v>1.6</v>
      </c>
      <c r="I29" s="147">
        <v>6000</v>
      </c>
      <c r="J29" s="147">
        <v>6</v>
      </c>
      <c r="K29" s="147" t="str">
        <f t="shared" si="0"/>
        <v>25.41.66ERWNON FIN</v>
      </c>
      <c r="L29" s="147" t="str">
        <f>VLOOKUP(K29,'VSM May Indent'!$K$1:$O$61,4,0)</f>
        <v>25.4-0-1.6-ERW 1-PE</v>
      </c>
      <c r="M29" s="147" t="str">
        <f>VLOOKUP(K29,'VSM May Indent'!$K$1:$O$61,5,0)</f>
        <v>25.4-0-1.6-ERW 1-PE-6</v>
      </c>
      <c r="N29" s="151" t="s">
        <v>367</v>
      </c>
      <c r="O29" s="150">
        <v>3500097</v>
      </c>
      <c r="P29" s="19">
        <v>25</v>
      </c>
      <c r="Q29" s="147">
        <v>8</v>
      </c>
      <c r="R29" s="147">
        <v>25</v>
      </c>
      <c r="S29" s="147"/>
      <c r="T29" s="147">
        <f t="shared" si="1"/>
        <v>17</v>
      </c>
      <c r="U29" s="301">
        <v>29</v>
      </c>
      <c r="V29" s="147">
        <f t="shared" si="2"/>
        <v>46</v>
      </c>
      <c r="W29" s="19">
        <f t="shared" si="3"/>
        <v>-18.499999999999996</v>
      </c>
      <c r="X29" s="297">
        <f t="shared" si="4"/>
        <v>0</v>
      </c>
      <c r="Y29" s="167">
        <f t="shared" si="5"/>
        <v>29</v>
      </c>
      <c r="Z29" s="185">
        <f>SUMIFS(meghsteelsales_previousmonth[Quantity],meghsteelsales_previousmonth[Length Bucket],M29)/1000</f>
        <v>63.302988000000028</v>
      </c>
      <c r="AA29" s="185">
        <f>SUMIFS(meghsteelsales_currentmonth[Quantity],meghsteelsales_currentmonth[Length Bucket],M29)/1000</f>
        <v>0</v>
      </c>
      <c r="AB29" s="185">
        <f t="shared" si="6"/>
        <v>0</v>
      </c>
      <c r="AC29" s="185">
        <f t="shared" si="7"/>
        <v>-34.302988000000028</v>
      </c>
      <c r="AD29" s="267"/>
      <c r="AE29" s="185" t="s">
        <v>6230</v>
      </c>
      <c r="AF29" s="185" t="str">
        <f>Table25[[#This Row],[OEM]]</f>
        <v>TVS</v>
      </c>
      <c r="AG29" s="185" t="str">
        <f>Table25[[#This Row],[plant]]</f>
        <v>056</v>
      </c>
    </row>
    <row r="30" spans="1:33" x14ac:dyDescent="0.25">
      <c r="A30" s="265" t="s">
        <v>10</v>
      </c>
      <c r="B30" s="147" t="s">
        <v>116</v>
      </c>
      <c r="C30" s="153" t="s">
        <v>338</v>
      </c>
      <c r="D30" s="147" t="s">
        <v>339</v>
      </c>
      <c r="E30" s="147" t="s">
        <v>340</v>
      </c>
      <c r="F30" s="148">
        <v>25.4</v>
      </c>
      <c r="G30" s="148"/>
      <c r="H30" s="148">
        <v>2</v>
      </c>
      <c r="I30" s="147">
        <v>5840</v>
      </c>
      <c r="J30" s="147">
        <v>5.82</v>
      </c>
      <c r="K30" s="147" t="str">
        <f t="shared" si="0"/>
        <v>25.425.82ERWNON FIN</v>
      </c>
      <c r="L30" s="147" t="str">
        <f>VLOOKUP(K30,'VSM May Indent'!$K$1:$O$61,4,0)</f>
        <v>25.4-0-2-ERW 1-PE</v>
      </c>
      <c r="M30" s="147" t="str">
        <f>VLOOKUP(K30,'VSM May Indent'!$K$1:$O$61,5,0)</f>
        <v>25.4-0-2-ERW 1-PE-5.82</v>
      </c>
      <c r="N30" s="151" t="s">
        <v>367</v>
      </c>
      <c r="O30" s="149">
        <v>3240023</v>
      </c>
      <c r="P30" s="19">
        <v>0</v>
      </c>
      <c r="Q30" s="147">
        <v>5</v>
      </c>
      <c r="R30" s="147">
        <v>25</v>
      </c>
      <c r="S30" s="147"/>
      <c r="T30" s="147">
        <f t="shared" si="1"/>
        <v>20</v>
      </c>
      <c r="U30" s="147"/>
      <c r="V30" s="147">
        <f t="shared" si="2"/>
        <v>20</v>
      </c>
      <c r="W30" s="19">
        <f t="shared" si="3"/>
        <v>-20</v>
      </c>
      <c r="X30" s="167">
        <f t="shared" si="4"/>
        <v>0</v>
      </c>
      <c r="Y30" s="167">
        <f t="shared" si="5"/>
        <v>0</v>
      </c>
      <c r="Z30" s="185">
        <f>SUMIFS(meghsteelsales_previousmonth[Quantity],meghsteelsales_previousmonth[Length Bucket],M30)/1000</f>
        <v>46.943582000000006</v>
      </c>
      <c r="AA30" s="185">
        <f>SUMIFS(meghsteelsales_currentmonth[Quantity],meghsteelsales_currentmonth[Length Bucket],M30)/1000</f>
        <v>0</v>
      </c>
      <c r="AB30" s="185">
        <f t="shared" si="6"/>
        <v>0</v>
      </c>
      <c r="AC30" s="185">
        <f t="shared" si="7"/>
        <v>-46.943582000000006</v>
      </c>
      <c r="AD30" s="267"/>
      <c r="AE30" s="185"/>
      <c r="AF30" s="185"/>
      <c r="AG30" s="185"/>
    </row>
    <row r="31" spans="1:33" s="45" customFormat="1" x14ac:dyDescent="0.25">
      <c r="A31" s="266" t="s">
        <v>10</v>
      </c>
      <c r="B31" s="156" t="s">
        <v>116</v>
      </c>
      <c r="C31" s="157" t="s">
        <v>338</v>
      </c>
      <c r="D31" s="156" t="s">
        <v>339</v>
      </c>
      <c r="E31" s="156" t="s">
        <v>340</v>
      </c>
      <c r="F31" s="248">
        <v>25.4</v>
      </c>
      <c r="G31" s="248"/>
      <c r="H31" s="248">
        <v>2</v>
      </c>
      <c r="I31" s="156">
        <v>6050</v>
      </c>
      <c r="J31" s="156">
        <v>6.05</v>
      </c>
      <c r="K31" s="147" t="str">
        <f t="shared" si="0"/>
        <v>25.426.05ERWNON FIN</v>
      </c>
      <c r="L31" s="147" t="e">
        <f>VLOOKUP(K31,'VSM May Indent'!$K$1:$O$61,4,0)</f>
        <v>#N/A</v>
      </c>
      <c r="M31" s="147" t="e">
        <f>VLOOKUP(K31,'VSM May Indent'!$K$1:$O$61,5,0)</f>
        <v>#N/A</v>
      </c>
      <c r="N31" s="251" t="s">
        <v>345</v>
      </c>
      <c r="O31" s="200" t="s">
        <v>6232</v>
      </c>
      <c r="P31" s="246">
        <v>15</v>
      </c>
      <c r="Q31" s="156"/>
      <c r="R31" s="156"/>
      <c r="S31" s="156"/>
      <c r="T31" s="156"/>
      <c r="U31" s="301"/>
      <c r="V31" s="156"/>
      <c r="W31" s="246"/>
      <c r="X31" s="297">
        <v>15</v>
      </c>
      <c r="Y31" s="247">
        <f t="shared" si="5"/>
        <v>15</v>
      </c>
      <c r="Z31" s="185">
        <f>SUMIFS(meghsteelsales_previousmonth[Quantity],meghsteelsales_previousmonth[Length Bucket],M31)/1000</f>
        <v>0</v>
      </c>
      <c r="AA31" s="185">
        <f>SUMIFS(meghsteelsales_currentmonth[Quantity],meghsteelsales_currentmonth[Length Bucket],M31)/1000</f>
        <v>0</v>
      </c>
      <c r="AB31" s="185">
        <f t="shared" si="6"/>
        <v>15</v>
      </c>
      <c r="AC31" s="185">
        <f t="shared" si="7"/>
        <v>15</v>
      </c>
      <c r="AD31" s="267"/>
      <c r="AE31" s="292"/>
      <c r="AF31" s="292"/>
      <c r="AG31" s="292"/>
    </row>
    <row r="32" spans="1:33" x14ac:dyDescent="0.25">
      <c r="A32" s="265" t="s">
        <v>10</v>
      </c>
      <c r="B32" s="147" t="s">
        <v>116</v>
      </c>
      <c r="C32" s="153" t="s">
        <v>338</v>
      </c>
      <c r="D32" s="147" t="s">
        <v>339</v>
      </c>
      <c r="E32" s="147" t="s">
        <v>340</v>
      </c>
      <c r="F32" s="148">
        <v>25.4</v>
      </c>
      <c r="G32" s="148"/>
      <c r="H32" s="148">
        <v>2.5</v>
      </c>
      <c r="I32" s="147">
        <v>5530</v>
      </c>
      <c r="J32" s="147">
        <v>5.53</v>
      </c>
      <c r="K32" s="147" t="str">
        <f t="shared" si="0"/>
        <v>25.42.55.53ERWNON FIN</v>
      </c>
      <c r="L32" s="147" t="str">
        <f>VLOOKUP(K32,'VSM May Indent'!$K$1:$O$61,4,0)</f>
        <v>25.4-0-2.5-ERW 1-PE</v>
      </c>
      <c r="M32" s="147" t="str">
        <f>VLOOKUP(K32,'VSM May Indent'!$K$1:$O$61,5,0)</f>
        <v>25.4-0-2.5-ERW 1-PE-5.53</v>
      </c>
      <c r="N32" s="151" t="s">
        <v>367</v>
      </c>
      <c r="O32" s="150">
        <v>3502256</v>
      </c>
      <c r="P32" s="19">
        <v>50</v>
      </c>
      <c r="Q32" s="147">
        <v>10</v>
      </c>
      <c r="R32" s="147">
        <v>0</v>
      </c>
      <c r="S32" s="147">
        <v>13</v>
      </c>
      <c r="T32" s="147">
        <f t="shared" si="1"/>
        <v>-10</v>
      </c>
      <c r="U32" s="301">
        <v>64</v>
      </c>
      <c r="V32" s="147">
        <f t="shared" si="2"/>
        <v>67</v>
      </c>
      <c r="W32" s="19">
        <f t="shared" si="3"/>
        <v>-11.999999999999993</v>
      </c>
      <c r="X32" s="297">
        <f t="shared" si="4"/>
        <v>0</v>
      </c>
      <c r="Y32" s="167">
        <f t="shared" si="5"/>
        <v>64</v>
      </c>
      <c r="Z32" s="185">
        <f>SUMIFS(meghsteelsales_previousmonth[Quantity],meghsteelsales_previousmonth[Length Bucket],M32)/1000</f>
        <v>105.75507600000003</v>
      </c>
      <c r="AA32" s="185">
        <f>SUMIFS(meghsteelsales_currentmonth[Quantity],meghsteelsales_currentmonth[Length Bucket],M32)/1000</f>
        <v>37.814835000000002</v>
      </c>
      <c r="AB32" s="185">
        <f t="shared" si="6"/>
        <v>0</v>
      </c>
      <c r="AC32" s="185">
        <f t="shared" si="7"/>
        <v>-79.569911000000033</v>
      </c>
      <c r="AD32" s="267"/>
      <c r="AE32" s="185" t="s">
        <v>6230</v>
      </c>
      <c r="AF32" s="185" t="str">
        <f>Table25[[#This Row],[OEM]]</f>
        <v>TVS</v>
      </c>
      <c r="AG32" s="185" t="str">
        <f>Table25[[#This Row],[plant]]</f>
        <v>056</v>
      </c>
    </row>
    <row r="33" spans="1:33" x14ac:dyDescent="0.25">
      <c r="A33" s="265" t="s">
        <v>10</v>
      </c>
      <c r="B33" s="147" t="s">
        <v>346</v>
      </c>
      <c r="C33" s="153" t="s">
        <v>338</v>
      </c>
      <c r="D33" s="147" t="s">
        <v>348</v>
      </c>
      <c r="E33" s="147" t="s">
        <v>340</v>
      </c>
      <c r="F33" s="148">
        <v>28.6</v>
      </c>
      <c r="G33" s="148"/>
      <c r="H33" s="148">
        <v>1.2</v>
      </c>
      <c r="I33" s="147">
        <v>6000</v>
      </c>
      <c r="J33" s="147">
        <v>6</v>
      </c>
      <c r="K33" s="147" t="str">
        <f t="shared" si="0"/>
        <v>28.61.26ERWFIN CUT</v>
      </c>
      <c r="L33" s="147" t="e">
        <f>VLOOKUP(K33,'VSM May Indent'!$K$1:$O$61,4,0)</f>
        <v>#N/A</v>
      </c>
      <c r="M33" s="147" t="e">
        <f>VLOOKUP(K33,'VSM May Indent'!$K$1:$O$61,5,0)</f>
        <v>#N/A</v>
      </c>
      <c r="N33" s="149"/>
      <c r="O33" s="150">
        <v>3702101</v>
      </c>
      <c r="P33" s="19">
        <v>3</v>
      </c>
      <c r="Q33" s="147"/>
      <c r="R33" s="147">
        <v>0</v>
      </c>
      <c r="S33" s="147"/>
      <c r="T33" s="147">
        <f t="shared" si="1"/>
        <v>0</v>
      </c>
      <c r="U33" s="301"/>
      <c r="V33" s="147">
        <f t="shared" si="2"/>
        <v>0</v>
      </c>
      <c r="W33" s="19">
        <f t="shared" si="3"/>
        <v>3.3000000000000003</v>
      </c>
      <c r="X33" s="297">
        <f t="shared" si="4"/>
        <v>3.3000000000000003</v>
      </c>
      <c r="Y33" s="167">
        <f t="shared" si="5"/>
        <v>3.3000000000000003</v>
      </c>
      <c r="Z33" s="185">
        <f>SUMIFS(meghsteelsales_previousmonth[Quantity],meghsteelsales_previousmonth[Length Bucket],M33)/1000</f>
        <v>0</v>
      </c>
      <c r="AA33" s="185">
        <f>SUMIFS(meghsteelsales_currentmonth[Quantity],meghsteelsales_currentmonth[Length Bucket],M33)/1000</f>
        <v>0</v>
      </c>
      <c r="AB33" s="185">
        <f t="shared" si="6"/>
        <v>3.3000000000000003</v>
      </c>
      <c r="AC33" s="185">
        <f t="shared" si="7"/>
        <v>3.3000000000000003</v>
      </c>
      <c r="AD33" s="267"/>
      <c r="AE33" s="185"/>
      <c r="AF33" s="185"/>
      <c r="AG33" s="185"/>
    </row>
    <row r="34" spans="1:33" x14ac:dyDescent="0.25">
      <c r="A34" s="265" t="s">
        <v>10</v>
      </c>
      <c r="B34" s="147" t="s">
        <v>116</v>
      </c>
      <c r="C34" s="159" t="s">
        <v>356</v>
      </c>
      <c r="D34" s="147" t="s">
        <v>348</v>
      </c>
      <c r="E34" s="147" t="s">
        <v>357</v>
      </c>
      <c r="F34" s="168">
        <v>28.6</v>
      </c>
      <c r="G34" s="168"/>
      <c r="H34" s="168">
        <v>2.65</v>
      </c>
      <c r="I34" s="169">
        <v>6000</v>
      </c>
      <c r="J34" s="147">
        <v>6</v>
      </c>
      <c r="K34" s="147" t="str">
        <f t="shared" si="0"/>
        <v>28.62.656CEWFIN CUT</v>
      </c>
      <c r="L34" s="147" t="str">
        <f>VLOOKUP(K34,'VSM May Indent'!$K$1:$O$61,4,0)</f>
        <v>No Key</v>
      </c>
      <c r="M34" s="147" t="str">
        <f>VLOOKUP(K34,'VSM May Indent'!$K$1:$O$61,5,0)</f>
        <v>No Key</v>
      </c>
      <c r="N34" s="151" t="s">
        <v>362</v>
      </c>
      <c r="O34" s="150">
        <v>2410388</v>
      </c>
      <c r="P34" s="19">
        <v>10</v>
      </c>
      <c r="Q34" s="147">
        <v>2</v>
      </c>
      <c r="R34" s="147">
        <v>14</v>
      </c>
      <c r="S34" s="147"/>
      <c r="T34" s="147">
        <f t="shared" si="1"/>
        <v>12</v>
      </c>
      <c r="U34" s="147"/>
      <c r="V34" s="147">
        <f t="shared" si="2"/>
        <v>12</v>
      </c>
      <c r="W34" s="19">
        <f t="shared" si="3"/>
        <v>-1</v>
      </c>
      <c r="X34" s="167">
        <f t="shared" si="4"/>
        <v>0</v>
      </c>
      <c r="Y34" s="167">
        <f t="shared" si="5"/>
        <v>0</v>
      </c>
      <c r="Z34" s="185">
        <f>SUMIFS(meghsteelsales_previousmonth[Quantity],meghsteelsales_previousmonth[Length Bucket],M34)/1000</f>
        <v>0</v>
      </c>
      <c r="AA34" s="185">
        <f>SUMIFS(meghsteelsales_currentmonth[Quantity],meghsteelsales_currentmonth[Length Bucket],M34)/1000</f>
        <v>0</v>
      </c>
      <c r="AB34" s="185">
        <f t="shared" si="6"/>
        <v>0</v>
      </c>
      <c r="AC34" s="185">
        <f t="shared" si="7"/>
        <v>0</v>
      </c>
      <c r="AD34" s="267"/>
      <c r="AE34" s="185"/>
      <c r="AF34" s="185"/>
      <c r="AG34" s="185"/>
    </row>
    <row r="35" spans="1:33" x14ac:dyDescent="0.25">
      <c r="A35" s="265" t="s">
        <v>10</v>
      </c>
      <c r="B35" s="147" t="s">
        <v>346</v>
      </c>
      <c r="C35" s="153" t="s">
        <v>338</v>
      </c>
      <c r="D35" s="147" t="s">
        <v>348</v>
      </c>
      <c r="E35" s="147" t="s">
        <v>340</v>
      </c>
      <c r="F35" s="148">
        <v>31.75</v>
      </c>
      <c r="G35" s="148"/>
      <c r="H35" s="148">
        <v>1.2</v>
      </c>
      <c r="I35" s="147">
        <v>6000</v>
      </c>
      <c r="J35" s="147">
        <v>6</v>
      </c>
      <c r="K35" s="147" t="str">
        <f t="shared" si="0"/>
        <v>31.751.26ERWFIN CUT</v>
      </c>
      <c r="L35" s="147" t="str">
        <f>VLOOKUP(K35,'VSM May Indent'!$K$1:$O$61,4,0)</f>
        <v>31.75-0-1.2-ERW 1-PE</v>
      </c>
      <c r="M35" s="147" t="str">
        <f>VLOOKUP(K35,'VSM May Indent'!$K$1:$O$61,5,0)</f>
        <v>31.75-0-1.2-ERW 1-PE-6</v>
      </c>
      <c r="N35" s="151" t="s">
        <v>367</v>
      </c>
      <c r="O35" s="150">
        <v>3884381</v>
      </c>
      <c r="P35" s="19">
        <v>3</v>
      </c>
      <c r="Q35" s="147"/>
      <c r="R35" s="147">
        <v>0</v>
      </c>
      <c r="S35" s="147"/>
      <c r="T35" s="147">
        <f t="shared" si="1"/>
        <v>0</v>
      </c>
      <c r="U35" s="301">
        <v>3</v>
      </c>
      <c r="V35" s="147">
        <f t="shared" si="2"/>
        <v>3</v>
      </c>
      <c r="W35" s="19">
        <f t="shared" si="3"/>
        <v>0.30000000000000027</v>
      </c>
      <c r="X35" s="297">
        <f t="shared" si="4"/>
        <v>0.30000000000000027</v>
      </c>
      <c r="Y35" s="167">
        <f t="shared" si="5"/>
        <v>3.3000000000000003</v>
      </c>
      <c r="Z35" s="185">
        <f>SUMIFS(meghsteelsales_previousmonth[Quantity],meghsteelsales_previousmonth[Length Bucket],M35)/1000</f>
        <v>0</v>
      </c>
      <c r="AA35" s="185">
        <f>SUMIFS(meghsteelsales_currentmonth[Quantity],meghsteelsales_currentmonth[Length Bucket],M35)/1000</f>
        <v>0</v>
      </c>
      <c r="AB35" s="185">
        <f t="shared" si="6"/>
        <v>0.30000000000000027</v>
      </c>
      <c r="AC35" s="185">
        <f t="shared" si="7"/>
        <v>3.3000000000000003</v>
      </c>
      <c r="AD35" s="267"/>
      <c r="AE35" s="185" t="s">
        <v>6230</v>
      </c>
      <c r="AF35" s="185" t="str">
        <f>Table25[[#This Row],[OEM]]</f>
        <v>TVS</v>
      </c>
      <c r="AG35" s="185" t="str">
        <f>Table25[[#This Row],[plant]]</f>
        <v>056</v>
      </c>
    </row>
    <row r="36" spans="1:33" x14ac:dyDescent="0.25">
      <c r="A36" s="265" t="s">
        <v>10</v>
      </c>
      <c r="B36" s="147" t="s">
        <v>116</v>
      </c>
      <c r="C36" s="153" t="s">
        <v>338</v>
      </c>
      <c r="D36" s="147" t="s">
        <v>348</v>
      </c>
      <c r="E36" s="147" t="s">
        <v>340</v>
      </c>
      <c r="F36" s="148">
        <v>31.75</v>
      </c>
      <c r="G36" s="148"/>
      <c r="H36" s="148">
        <v>2.2999999999999998</v>
      </c>
      <c r="I36" s="147">
        <v>6000</v>
      </c>
      <c r="J36" s="147">
        <v>6</v>
      </c>
      <c r="K36" s="147" t="str">
        <f t="shared" si="0"/>
        <v>31.752.36ERWFIN CUT</v>
      </c>
      <c r="L36" s="147" t="str">
        <f>VLOOKUP(K36,'VSM May Indent'!$K$1:$O$61,4,0)</f>
        <v>31.75--2.3-ERW 1-FIN CUT</v>
      </c>
      <c r="M36" s="147" t="str">
        <f>VLOOKUP(K36,'VSM May Indent'!$K$1:$O$61,5,0)</f>
        <v>31.75--2.3-ERW 1-FIN CUT-6</v>
      </c>
      <c r="N36" s="158" t="s">
        <v>367</v>
      </c>
      <c r="O36" s="150">
        <v>3500081</v>
      </c>
      <c r="P36" s="19">
        <v>0</v>
      </c>
      <c r="Q36" s="147">
        <v>3</v>
      </c>
      <c r="R36" s="147">
        <v>16</v>
      </c>
      <c r="S36" s="147"/>
      <c r="T36" s="147">
        <f t="shared" si="1"/>
        <v>13</v>
      </c>
      <c r="U36" s="301">
        <v>21</v>
      </c>
      <c r="V36" s="147">
        <f t="shared" si="2"/>
        <v>34</v>
      </c>
      <c r="W36" s="19">
        <f t="shared" si="3"/>
        <v>-34</v>
      </c>
      <c r="X36" s="297">
        <f t="shared" si="4"/>
        <v>0</v>
      </c>
      <c r="Y36" s="167">
        <f t="shared" si="5"/>
        <v>21</v>
      </c>
      <c r="Z36" s="185">
        <f>SUMIFS(meghsteelsales_previousmonth[Quantity],meghsteelsales_previousmonth[Length Bucket],M36)/1000</f>
        <v>0</v>
      </c>
      <c r="AA36" s="185">
        <f>SUMIFS(meghsteelsales_currentmonth[Quantity],meghsteelsales_currentmonth[Length Bucket],M36)/1000</f>
        <v>0</v>
      </c>
      <c r="AB36" s="185">
        <f t="shared" si="6"/>
        <v>0</v>
      </c>
      <c r="AC36" s="185">
        <f t="shared" si="7"/>
        <v>21</v>
      </c>
      <c r="AD36" s="267"/>
      <c r="AE36" s="185" t="s">
        <v>6230</v>
      </c>
      <c r="AF36" s="185" t="str">
        <f>Table25[[#This Row],[OEM]]</f>
        <v>TVS</v>
      </c>
      <c r="AG36" s="185" t="str">
        <f>Table25[[#This Row],[plant]]</f>
        <v>056</v>
      </c>
    </row>
    <row r="37" spans="1:33" s="45" customFormat="1" x14ac:dyDescent="0.25">
      <c r="A37" s="266" t="s">
        <v>10</v>
      </c>
      <c r="B37" s="156" t="s">
        <v>116</v>
      </c>
      <c r="C37" s="157" t="s">
        <v>338</v>
      </c>
      <c r="D37" s="156" t="s">
        <v>348</v>
      </c>
      <c r="E37" s="156" t="s">
        <v>340</v>
      </c>
      <c r="F37" s="248">
        <v>31.75</v>
      </c>
      <c r="G37" s="248"/>
      <c r="H37" s="248">
        <v>2.2999999999999998</v>
      </c>
      <c r="I37" s="156">
        <v>5920</v>
      </c>
      <c r="J37" s="156">
        <v>5.92</v>
      </c>
      <c r="K37" s="147" t="str">
        <f t="shared" si="0"/>
        <v>31.752.35.92ERWFIN CUT</v>
      </c>
      <c r="L37" s="147" t="e">
        <f>VLOOKUP(K37,'VSM May Indent'!$K$1:$O$61,4,0)</f>
        <v>#N/A</v>
      </c>
      <c r="M37" s="147" t="e">
        <f>VLOOKUP(K37,'VSM May Indent'!$K$1:$O$61,5,0)</f>
        <v>#N/A</v>
      </c>
      <c r="N37" s="251" t="s">
        <v>345</v>
      </c>
      <c r="O37" s="245" t="s">
        <v>379</v>
      </c>
      <c r="P37" s="246">
        <v>15</v>
      </c>
      <c r="Q37" s="156"/>
      <c r="R37" s="156"/>
      <c r="S37" s="156"/>
      <c r="T37" s="156"/>
      <c r="U37" s="301"/>
      <c r="V37" s="156"/>
      <c r="W37" s="246"/>
      <c r="X37" s="297">
        <v>15</v>
      </c>
      <c r="Y37" s="247">
        <f t="shared" si="5"/>
        <v>15</v>
      </c>
      <c r="Z37" s="185">
        <f>SUMIFS(meghsteelsales_previousmonth[Quantity],meghsteelsales_previousmonth[Length Bucket],M37)/1000</f>
        <v>0</v>
      </c>
      <c r="AA37" s="185">
        <f>SUMIFS(meghsteelsales_currentmonth[Quantity],meghsteelsales_currentmonth[Length Bucket],M37)/1000</f>
        <v>0</v>
      </c>
      <c r="AB37" s="185">
        <f t="shared" si="6"/>
        <v>15</v>
      </c>
      <c r="AC37" s="185">
        <f t="shared" si="7"/>
        <v>15</v>
      </c>
      <c r="AD37" s="267"/>
      <c r="AE37" s="292"/>
      <c r="AF37" s="292"/>
      <c r="AG37" s="292"/>
    </row>
    <row r="38" spans="1:33" x14ac:dyDescent="0.25">
      <c r="A38" s="265">
        <v>0</v>
      </c>
      <c r="B38" s="147" t="s">
        <v>346</v>
      </c>
      <c r="C38" s="153" t="s">
        <v>338</v>
      </c>
      <c r="D38" s="147" t="s">
        <v>348</v>
      </c>
      <c r="E38" s="147" t="s">
        <v>340</v>
      </c>
      <c r="F38" s="148">
        <v>34.93</v>
      </c>
      <c r="G38" s="148"/>
      <c r="H38" s="148">
        <v>1.2</v>
      </c>
      <c r="I38" s="147">
        <v>6000</v>
      </c>
      <c r="J38" s="147">
        <v>6</v>
      </c>
      <c r="K38" s="147" t="str">
        <f t="shared" si="0"/>
        <v>34.931.26ERWFIN CUT</v>
      </c>
      <c r="L38" s="147" t="str">
        <f>VLOOKUP(K38,'VSM May Indent'!$K$1:$O$61,4,0)</f>
        <v>No Key</v>
      </c>
      <c r="M38" s="147" t="str">
        <f>VLOOKUP(K38,'VSM May Indent'!$K$1:$O$61,5,0)</f>
        <v>No Key</v>
      </c>
      <c r="N38" s="149"/>
      <c r="O38" s="150">
        <v>1940701</v>
      </c>
      <c r="P38" s="19">
        <v>3</v>
      </c>
      <c r="Q38" s="147"/>
      <c r="R38" s="147">
        <v>12</v>
      </c>
      <c r="S38" s="147"/>
      <c r="T38" s="147">
        <f t="shared" si="1"/>
        <v>12</v>
      </c>
      <c r="U38" s="147"/>
      <c r="V38" s="147">
        <f t="shared" si="2"/>
        <v>12</v>
      </c>
      <c r="W38" s="19">
        <f t="shared" si="3"/>
        <v>-8.6999999999999993</v>
      </c>
      <c r="X38" s="167">
        <f t="shared" si="4"/>
        <v>0</v>
      </c>
      <c r="Y38" s="167">
        <f t="shared" si="5"/>
        <v>0</v>
      </c>
      <c r="Z38" s="185">
        <f>SUMIFS(meghsteelsales_previousmonth[Quantity],meghsteelsales_previousmonth[Length Bucket],M38)/1000</f>
        <v>0</v>
      </c>
      <c r="AA38" s="185">
        <f>SUMIFS(meghsteelsales_currentmonth[Quantity],meghsteelsales_currentmonth[Length Bucket],M38)/1000</f>
        <v>0</v>
      </c>
      <c r="AB38" s="185">
        <f t="shared" si="6"/>
        <v>0</v>
      </c>
      <c r="AC38" s="185">
        <f t="shared" si="7"/>
        <v>0</v>
      </c>
      <c r="AD38" s="267"/>
      <c r="AE38" s="185"/>
      <c r="AF38" s="185"/>
      <c r="AG38" s="185"/>
    </row>
    <row r="39" spans="1:33" x14ac:dyDescent="0.25">
      <c r="A39" s="265" t="s">
        <v>5</v>
      </c>
      <c r="B39" s="147" t="s">
        <v>358</v>
      </c>
      <c r="C39" s="153" t="s">
        <v>338</v>
      </c>
      <c r="D39" s="147" t="s">
        <v>348</v>
      </c>
      <c r="E39" s="147" t="s">
        <v>340</v>
      </c>
      <c r="F39" s="148">
        <v>34.93</v>
      </c>
      <c r="G39" s="148"/>
      <c r="H39" s="148">
        <v>1.2</v>
      </c>
      <c r="I39" s="147">
        <v>620</v>
      </c>
      <c r="J39" s="147">
        <v>0.62</v>
      </c>
      <c r="K39" s="147" t="str">
        <f t="shared" si="0"/>
        <v>34.931.20.62ERWFIN CUT</v>
      </c>
      <c r="L39" s="147" t="str">
        <f>VLOOKUP(K39,'VSM May Indent'!$K$1:$O$61,4,0)</f>
        <v>34.93-0-1.2-ERW 1-FC</v>
      </c>
      <c r="M39" s="147" t="str">
        <f>VLOOKUP(K39,'VSM May Indent'!$K$1:$O$61,5,0)</f>
        <v>34.93-0-1.2-ERW 1-FC-0.620</v>
      </c>
      <c r="N39" s="151" t="s">
        <v>345</v>
      </c>
      <c r="O39" s="150">
        <v>2397073</v>
      </c>
      <c r="P39" s="19">
        <v>10</v>
      </c>
      <c r="Q39" s="147"/>
      <c r="R39" s="147">
        <v>0</v>
      </c>
      <c r="S39" s="147"/>
      <c r="T39" s="147">
        <f t="shared" si="1"/>
        <v>0</v>
      </c>
      <c r="U39" s="301"/>
      <c r="V39" s="147">
        <f t="shared" si="2"/>
        <v>0</v>
      </c>
      <c r="W39" s="19">
        <f t="shared" si="3"/>
        <v>11</v>
      </c>
      <c r="X39" s="297">
        <f t="shared" si="4"/>
        <v>11</v>
      </c>
      <c r="Y39" s="167">
        <f t="shared" si="5"/>
        <v>11</v>
      </c>
      <c r="Z39" s="185">
        <f>SUMIFS(meghsteelsales_previousmonth[Quantity],meghsteelsales_previousmonth[Length Bucket],M39)/1000</f>
        <v>0</v>
      </c>
      <c r="AA39" s="185">
        <f>SUMIFS(meghsteelsales_currentmonth[Quantity],meghsteelsales_currentmonth[Length Bucket],M39)/1000</f>
        <v>3.1</v>
      </c>
      <c r="AB39" s="185">
        <f t="shared" si="6"/>
        <v>7.9</v>
      </c>
      <c r="AC39" s="185">
        <f t="shared" si="7"/>
        <v>7.9</v>
      </c>
      <c r="AD39" s="267"/>
      <c r="AE39" s="185"/>
      <c r="AF39" s="185"/>
      <c r="AG39" s="185"/>
    </row>
    <row r="40" spans="1:33" x14ac:dyDescent="0.25">
      <c r="A40" s="265" t="s">
        <v>5</v>
      </c>
      <c r="B40" s="147" t="s">
        <v>359</v>
      </c>
      <c r="C40" s="153" t="s">
        <v>338</v>
      </c>
      <c r="D40" s="147" t="s">
        <v>348</v>
      </c>
      <c r="E40" s="147" t="s">
        <v>340</v>
      </c>
      <c r="F40" s="148">
        <v>34.93</v>
      </c>
      <c r="G40" s="148"/>
      <c r="H40" s="148">
        <v>1.2</v>
      </c>
      <c r="I40" s="147">
        <v>700</v>
      </c>
      <c r="J40" s="147">
        <v>0.7</v>
      </c>
      <c r="K40" s="147" t="str">
        <f t="shared" si="0"/>
        <v>34.931.20.7ERWFIN CUT</v>
      </c>
      <c r="L40" s="147" t="str">
        <f>VLOOKUP(K40,'VSM May Indent'!$K$1:$O$61,4,0)</f>
        <v>34.93-0-1.2-ERW 1-FC</v>
      </c>
      <c r="M40" s="147" t="str">
        <f>VLOOKUP(K40,'VSM May Indent'!$K$1:$O$61,5,0)</f>
        <v>34.93-0-1.2-ERW 1-FC-0.7</v>
      </c>
      <c r="N40" s="151" t="s">
        <v>345</v>
      </c>
      <c r="O40" s="150">
        <v>3649699</v>
      </c>
      <c r="P40" s="19">
        <v>10</v>
      </c>
      <c r="Q40" s="147"/>
      <c r="R40" s="147">
        <v>0</v>
      </c>
      <c r="S40" s="147"/>
      <c r="T40" s="147">
        <f t="shared" si="1"/>
        <v>0</v>
      </c>
      <c r="U40" s="301"/>
      <c r="V40" s="147">
        <f t="shared" si="2"/>
        <v>0</v>
      </c>
      <c r="W40" s="19">
        <f t="shared" si="3"/>
        <v>11</v>
      </c>
      <c r="X40" s="297">
        <f t="shared" si="4"/>
        <v>11</v>
      </c>
      <c r="Y40" s="167">
        <f t="shared" si="5"/>
        <v>11</v>
      </c>
      <c r="Z40" s="185">
        <f>SUMIFS(meghsteelsales_previousmonth[Quantity],meghsteelsales_previousmonth[Length Bucket],M40)/1000</f>
        <v>0</v>
      </c>
      <c r="AA40" s="185">
        <f>SUMIFS(meghsteelsales_currentmonth[Quantity],meghsteelsales_currentmonth[Length Bucket],M40)/1000</f>
        <v>0</v>
      </c>
      <c r="AB40" s="185">
        <f t="shared" si="6"/>
        <v>11</v>
      </c>
      <c r="AC40" s="185">
        <f t="shared" si="7"/>
        <v>11</v>
      </c>
      <c r="AD40" s="267"/>
      <c r="AE40" s="185"/>
      <c r="AF40" s="185"/>
      <c r="AG40" s="185"/>
    </row>
    <row r="41" spans="1:33" x14ac:dyDescent="0.25">
      <c r="A41" s="265" t="s">
        <v>341</v>
      </c>
      <c r="B41" s="147" t="s">
        <v>342</v>
      </c>
      <c r="C41" s="155" t="s">
        <v>344</v>
      </c>
      <c r="D41" s="147" t="s">
        <v>348</v>
      </c>
      <c r="E41" s="147" t="s">
        <v>340</v>
      </c>
      <c r="F41" s="154">
        <v>34</v>
      </c>
      <c r="G41" s="154"/>
      <c r="H41" s="154">
        <v>1.4</v>
      </c>
      <c r="I41" s="155">
        <v>5660</v>
      </c>
      <c r="J41" s="147">
        <v>5.66</v>
      </c>
      <c r="K41" s="147" t="str">
        <f t="shared" si="0"/>
        <v>341.45.66ERWFIN CUT</v>
      </c>
      <c r="L41" s="147" t="str">
        <f>VLOOKUP(K41,'VSM May Indent'!$K$1:$O$61,4,0)</f>
        <v>No Key</v>
      </c>
      <c r="M41" s="147" t="str">
        <f>VLOOKUP(K41,'VSM May Indent'!$K$1:$O$61,5,0)</f>
        <v>No Key</v>
      </c>
      <c r="N41" s="151" t="s">
        <v>362</v>
      </c>
      <c r="O41" s="150">
        <v>3702855</v>
      </c>
      <c r="P41" s="19">
        <v>0</v>
      </c>
      <c r="Q41" s="147"/>
      <c r="R41" s="147">
        <v>0</v>
      </c>
      <c r="S41" s="147"/>
      <c r="T41" s="147">
        <f t="shared" si="1"/>
        <v>0</v>
      </c>
      <c r="U41" s="147"/>
      <c r="V41" s="147">
        <f t="shared" si="2"/>
        <v>0</v>
      </c>
      <c r="W41" s="19">
        <f t="shared" si="3"/>
        <v>0</v>
      </c>
      <c r="X41" s="167">
        <f t="shared" si="4"/>
        <v>0</v>
      </c>
      <c r="Y41" s="167">
        <f t="shared" si="5"/>
        <v>0</v>
      </c>
      <c r="Z41" s="185">
        <f>SUMIFS(meghsteelsales_previousmonth[Quantity],meghsteelsales_previousmonth[Length Bucket],M41)/1000</f>
        <v>0</v>
      </c>
      <c r="AA41" s="185">
        <f>SUMIFS(meghsteelsales_currentmonth[Quantity],meghsteelsales_currentmonth[Length Bucket],M41)/1000</f>
        <v>0</v>
      </c>
      <c r="AB41" s="185">
        <f t="shared" si="6"/>
        <v>0</v>
      </c>
      <c r="AC41" s="185">
        <f t="shared" si="7"/>
        <v>0</v>
      </c>
      <c r="AD41" s="267"/>
      <c r="AE41" s="185"/>
      <c r="AF41" s="185"/>
      <c r="AG41" s="185"/>
    </row>
    <row r="42" spans="1:33" x14ac:dyDescent="0.25">
      <c r="A42" s="265" t="s">
        <v>10</v>
      </c>
      <c r="B42" s="147" t="s">
        <v>346</v>
      </c>
      <c r="C42" s="153" t="s">
        <v>360</v>
      </c>
      <c r="D42" s="147" t="s">
        <v>348</v>
      </c>
      <c r="E42" s="147" t="s">
        <v>349</v>
      </c>
      <c r="F42" s="148">
        <v>38.1</v>
      </c>
      <c r="G42" s="148"/>
      <c r="H42" s="148">
        <v>1.6</v>
      </c>
      <c r="I42" s="147">
        <v>6190</v>
      </c>
      <c r="J42" s="147">
        <v>6.19</v>
      </c>
      <c r="K42" s="147" t="str">
        <f t="shared" si="0"/>
        <v>38.11.66.19HSTFIN CUT</v>
      </c>
      <c r="L42" s="147" t="str">
        <f>VLOOKUP(K42,'VSM May Indent'!$K$1:$O$61,4,0)</f>
        <v>38.1-0-1.6-ERW 1-FC</v>
      </c>
      <c r="M42" s="147" t="str">
        <f>VLOOKUP(K42,'VSM May Indent'!$K$1:$O$61,5,0)</f>
        <v>38.1-0-1.6-ERW 1-FC-6.19</v>
      </c>
      <c r="N42" s="151" t="s">
        <v>367</v>
      </c>
      <c r="O42" s="150">
        <v>3502254</v>
      </c>
      <c r="P42" s="19">
        <v>40</v>
      </c>
      <c r="Q42" s="147">
        <v>20</v>
      </c>
      <c r="R42" s="147">
        <v>30</v>
      </c>
      <c r="S42" s="147"/>
      <c r="T42" s="147">
        <f t="shared" si="1"/>
        <v>10</v>
      </c>
      <c r="U42" s="301">
        <v>1</v>
      </c>
      <c r="V42" s="147">
        <f t="shared" si="2"/>
        <v>11</v>
      </c>
      <c r="W42" s="19">
        <f t="shared" si="3"/>
        <v>33</v>
      </c>
      <c r="X42" s="297">
        <f t="shared" si="4"/>
        <v>33</v>
      </c>
      <c r="Y42" s="167">
        <f t="shared" si="5"/>
        <v>34</v>
      </c>
      <c r="Z42" s="185">
        <f>SUMIFS(meghsteelsales_previousmonth[Quantity],meghsteelsales_previousmonth[Length Bucket],M42)/1000</f>
        <v>45.849845000000002</v>
      </c>
      <c r="AA42" s="185">
        <f>SUMIFS(meghsteelsales_currentmonth[Quantity],meghsteelsales_currentmonth[Length Bucket],M42)/1000</f>
        <v>15.52</v>
      </c>
      <c r="AB42" s="185">
        <f t="shared" si="6"/>
        <v>0</v>
      </c>
      <c r="AC42" s="185">
        <f t="shared" si="7"/>
        <v>-27.369845000000002</v>
      </c>
      <c r="AD42" s="267">
        <v>33</v>
      </c>
      <c r="AE42" s="260">
        <v>9518796894</v>
      </c>
      <c r="AF42" s="185"/>
      <c r="AG42" s="185"/>
    </row>
    <row r="43" spans="1:33" x14ac:dyDescent="0.25">
      <c r="A43" s="265" t="s">
        <v>10</v>
      </c>
      <c r="B43" s="147" t="s">
        <v>346</v>
      </c>
      <c r="C43" s="153" t="s">
        <v>338</v>
      </c>
      <c r="D43" s="147" t="s">
        <v>348</v>
      </c>
      <c r="E43" s="147" t="s">
        <v>340</v>
      </c>
      <c r="F43" s="148">
        <v>38.1</v>
      </c>
      <c r="G43" s="148"/>
      <c r="H43" s="148">
        <v>2</v>
      </c>
      <c r="I43" s="147">
        <v>5650</v>
      </c>
      <c r="J43" s="147">
        <v>5.65</v>
      </c>
      <c r="K43" s="147" t="str">
        <f t="shared" si="0"/>
        <v>38.125.65ERWFIN CUT</v>
      </c>
      <c r="L43" s="147" t="str">
        <f>VLOOKUP(K43,'VSM May Indent'!$K$1:$O$61,4,0)</f>
        <v>38.1-0-2-ERW 1-FC</v>
      </c>
      <c r="M43" s="147" t="str">
        <f>VLOOKUP(K43,'VSM May Indent'!$K$1:$O$61,5,0)</f>
        <v>38.1-0-2-ERW 1-FC-5.65</v>
      </c>
      <c r="N43" s="151" t="s">
        <v>367</v>
      </c>
      <c r="O43" s="150">
        <v>3500959</v>
      </c>
      <c r="P43" s="19">
        <v>0</v>
      </c>
      <c r="Q43" s="147">
        <v>7</v>
      </c>
      <c r="R43" s="147">
        <v>15</v>
      </c>
      <c r="S43" s="147"/>
      <c r="T43" s="147">
        <f t="shared" si="1"/>
        <v>8</v>
      </c>
      <c r="U43" s="301">
        <v>11</v>
      </c>
      <c r="V43" s="147">
        <f t="shared" si="2"/>
        <v>19</v>
      </c>
      <c r="W43" s="19">
        <f t="shared" si="3"/>
        <v>-19</v>
      </c>
      <c r="X43" s="297">
        <f t="shared" si="4"/>
        <v>0</v>
      </c>
      <c r="Y43" s="167">
        <f t="shared" si="5"/>
        <v>11</v>
      </c>
      <c r="Z43" s="185">
        <f>SUMIFS(meghsteelsales_previousmonth[Quantity],meghsteelsales_previousmonth[Length Bucket],M43)/1000</f>
        <v>3.6047469999999997</v>
      </c>
      <c r="AA43" s="185">
        <f>SUMIFS(meghsteelsales_currentmonth[Quantity],meghsteelsales_currentmonth[Length Bucket],M43)/1000</f>
        <v>0</v>
      </c>
      <c r="AB43" s="185">
        <f t="shared" si="6"/>
        <v>0</v>
      </c>
      <c r="AC43" s="185">
        <f t="shared" si="7"/>
        <v>7.3952530000000003</v>
      </c>
      <c r="AD43" s="267"/>
      <c r="AE43" s="185" t="s">
        <v>6230</v>
      </c>
      <c r="AF43" s="185" t="str">
        <f>Table25[[#This Row],[OEM]]</f>
        <v>TVS</v>
      </c>
      <c r="AG43" s="185" t="str">
        <f>Table25[[#This Row],[plant]]</f>
        <v>056</v>
      </c>
    </row>
    <row r="44" spans="1:33" s="45" customFormat="1" x14ac:dyDescent="0.25">
      <c r="A44" s="266" t="s">
        <v>10</v>
      </c>
      <c r="B44" s="156" t="s">
        <v>346</v>
      </c>
      <c r="C44" s="157" t="s">
        <v>338</v>
      </c>
      <c r="D44" s="156" t="s">
        <v>348</v>
      </c>
      <c r="E44" s="156" t="s">
        <v>340</v>
      </c>
      <c r="F44" s="248">
        <v>38.1</v>
      </c>
      <c r="G44" s="248"/>
      <c r="H44" s="248">
        <v>2</v>
      </c>
      <c r="I44" s="156">
        <v>5950</v>
      </c>
      <c r="J44" s="156">
        <v>5.95</v>
      </c>
      <c r="K44" s="147" t="str">
        <f t="shared" si="0"/>
        <v>38.125.95ERWFIN CUT</v>
      </c>
      <c r="L44" s="147" t="e">
        <f>VLOOKUP(K44,'VSM May Indent'!$K$1:$O$61,4,0)</f>
        <v>#N/A</v>
      </c>
      <c r="M44" s="147" t="e">
        <f>VLOOKUP(K44,'VSM May Indent'!$K$1:$O$61,5,0)</f>
        <v>#N/A</v>
      </c>
      <c r="N44" s="250" t="s">
        <v>345</v>
      </c>
      <c r="O44" s="245">
        <v>3533165</v>
      </c>
      <c r="P44" s="246">
        <v>25</v>
      </c>
      <c r="Q44" s="156"/>
      <c r="R44" s="156"/>
      <c r="S44" s="156"/>
      <c r="T44" s="156"/>
      <c r="U44" s="301"/>
      <c r="V44" s="156"/>
      <c r="W44" s="246"/>
      <c r="X44" s="297">
        <v>25</v>
      </c>
      <c r="Y44" s="247">
        <f t="shared" si="5"/>
        <v>25</v>
      </c>
      <c r="Z44" s="185">
        <f>SUMIFS(meghsteelsales_previousmonth[Quantity],meghsteelsales_previousmonth[Length Bucket],M44)/1000</f>
        <v>0</v>
      </c>
      <c r="AA44" s="185">
        <f>SUMIFS(meghsteelsales_currentmonth[Quantity],meghsteelsales_currentmonth[Length Bucket],M44)/1000</f>
        <v>0</v>
      </c>
      <c r="AB44" s="185">
        <f t="shared" si="6"/>
        <v>25</v>
      </c>
      <c r="AC44" s="185">
        <f t="shared" si="7"/>
        <v>25</v>
      </c>
      <c r="AD44" s="267">
        <v>25</v>
      </c>
      <c r="AE44" s="292">
        <v>9518796938</v>
      </c>
      <c r="AF44" s="292"/>
      <c r="AG44" s="292"/>
    </row>
    <row r="45" spans="1:33" x14ac:dyDescent="0.25">
      <c r="A45" s="265" t="s">
        <v>10</v>
      </c>
      <c r="B45" s="147" t="s">
        <v>346</v>
      </c>
      <c r="C45" s="153" t="s">
        <v>344</v>
      </c>
      <c r="D45" s="147" t="s">
        <v>348</v>
      </c>
      <c r="E45" s="147" t="s">
        <v>349</v>
      </c>
      <c r="F45" s="148">
        <v>38.1</v>
      </c>
      <c r="G45" s="148"/>
      <c r="H45" s="148">
        <v>2.5</v>
      </c>
      <c r="I45" s="147">
        <v>6190</v>
      </c>
      <c r="J45" s="147">
        <v>6.19</v>
      </c>
      <c r="K45" s="147" t="str">
        <f t="shared" si="0"/>
        <v>38.12.56.19HSTFIN CUT</v>
      </c>
      <c r="L45" s="147" t="str">
        <f>VLOOKUP(K45,'VSM May Indent'!$K$1:$O$61,4,0)</f>
        <v>38.1-0-2.5-ERW 2 MAHS-FC</v>
      </c>
      <c r="M45" s="147" t="str">
        <f>VLOOKUP(K45,'VSM May Indent'!$K$1:$O$61,5,0)</f>
        <v>38.1-0-2.5-ERW 2 MAHS-FC-6.19</v>
      </c>
      <c r="N45" s="151" t="s">
        <v>367</v>
      </c>
      <c r="O45" s="150">
        <v>3502007</v>
      </c>
      <c r="P45" s="19">
        <v>50</v>
      </c>
      <c r="Q45" s="147">
        <v>25</v>
      </c>
      <c r="R45" s="147">
        <v>25</v>
      </c>
      <c r="S45" s="147"/>
      <c r="T45" s="147">
        <f t="shared" si="1"/>
        <v>0</v>
      </c>
      <c r="U45" s="301">
        <v>59</v>
      </c>
      <c r="V45" s="147">
        <f t="shared" si="2"/>
        <v>59</v>
      </c>
      <c r="W45" s="19">
        <f t="shared" si="3"/>
        <v>-3.9999999999999929</v>
      </c>
      <c r="X45" s="297">
        <f t="shared" si="4"/>
        <v>0</v>
      </c>
      <c r="Y45" s="167">
        <f t="shared" si="5"/>
        <v>59</v>
      </c>
      <c r="Z45" s="185">
        <f>SUMIFS(meghsteelsales_previousmonth[Quantity],meghsteelsales_previousmonth[Length Bucket],M45)/1000</f>
        <v>5.6632070000000008</v>
      </c>
      <c r="AA45" s="185">
        <f>SUMIFS(meghsteelsales_currentmonth[Quantity],meghsteelsales_currentmonth[Length Bucket],M45)/1000</f>
        <v>111.79929199999995</v>
      </c>
      <c r="AB45" s="185">
        <f t="shared" si="6"/>
        <v>0</v>
      </c>
      <c r="AC45" s="185">
        <f t="shared" si="7"/>
        <v>-58.462498999999951</v>
      </c>
      <c r="AD45" s="267">
        <v>30</v>
      </c>
      <c r="AE45" s="185">
        <v>9518828196</v>
      </c>
      <c r="AF45" s="185"/>
      <c r="AG45" s="185"/>
    </row>
    <row r="46" spans="1:33" s="171" customFormat="1" x14ac:dyDescent="0.25">
      <c r="A46" s="266" t="s">
        <v>10</v>
      </c>
      <c r="B46" s="156" t="s">
        <v>116</v>
      </c>
      <c r="C46" s="156" t="s">
        <v>338</v>
      </c>
      <c r="D46" s="156" t="s">
        <v>348</v>
      </c>
      <c r="E46" s="156" t="s">
        <v>340</v>
      </c>
      <c r="F46" s="248">
        <v>41.28</v>
      </c>
      <c r="G46" s="248"/>
      <c r="H46" s="248">
        <v>2.6</v>
      </c>
      <c r="I46" s="156">
        <v>6000</v>
      </c>
      <c r="J46" s="156">
        <v>6</v>
      </c>
      <c r="K46" s="147" t="str">
        <f t="shared" si="0"/>
        <v>41.282.66ERWFIN CUT</v>
      </c>
      <c r="L46" s="147" t="str">
        <f>VLOOKUP(K46,'VSM May Indent'!$K$1:$O$61,4,0)</f>
        <v>41.28-0-2.6-ERW 1-FC</v>
      </c>
      <c r="M46" s="147" t="str">
        <f>VLOOKUP(K46,'VSM May Indent'!$K$1:$O$61,5,0)</f>
        <v>41.28-0-2.6-ERW 1-FC-6</v>
      </c>
      <c r="N46" s="201" t="s">
        <v>345</v>
      </c>
      <c r="O46" s="245">
        <v>3974563</v>
      </c>
      <c r="P46" s="246">
        <v>45</v>
      </c>
      <c r="Q46" s="156">
        <v>15</v>
      </c>
      <c r="R46" s="156">
        <v>38</v>
      </c>
      <c r="S46" s="156"/>
      <c r="T46" s="156">
        <f t="shared" si="1"/>
        <v>23</v>
      </c>
      <c r="U46" s="301"/>
      <c r="V46" s="156">
        <f t="shared" si="2"/>
        <v>23</v>
      </c>
      <c r="W46" s="246">
        <f t="shared" si="3"/>
        <v>26.500000000000007</v>
      </c>
      <c r="X46" s="297">
        <f t="shared" si="4"/>
        <v>26.500000000000007</v>
      </c>
      <c r="Y46" s="247">
        <f t="shared" si="5"/>
        <v>26.500000000000007</v>
      </c>
      <c r="Z46" s="185">
        <f>SUMIFS(meghsteelsales_previousmonth[Quantity],meghsteelsales_previousmonth[Length Bucket],M46)/1000</f>
        <v>8.67</v>
      </c>
      <c r="AA46" s="185">
        <f>SUMIFS(meghsteelsales_currentmonth[Quantity],meghsteelsales_currentmonth[Length Bucket],M46)/1000</f>
        <v>60.509999999999991</v>
      </c>
      <c r="AB46" s="185">
        <f t="shared" si="6"/>
        <v>0</v>
      </c>
      <c r="AC46" s="185">
        <f t="shared" si="7"/>
        <v>-42.679999999999986</v>
      </c>
      <c r="AD46" s="267">
        <v>25</v>
      </c>
      <c r="AE46" s="293">
        <v>9518796938</v>
      </c>
      <c r="AF46" s="293"/>
      <c r="AG46" s="293"/>
    </row>
    <row r="47" spans="1:33" x14ac:dyDescent="0.25">
      <c r="A47" s="265" t="s">
        <v>10</v>
      </c>
      <c r="B47" s="147" t="s">
        <v>112</v>
      </c>
      <c r="C47" s="159" t="s">
        <v>338</v>
      </c>
      <c r="D47" s="147" t="s">
        <v>348</v>
      </c>
      <c r="E47" s="147" t="s">
        <v>340</v>
      </c>
      <c r="F47" s="168" t="s">
        <v>363</v>
      </c>
      <c r="G47" s="168"/>
      <c r="H47" s="168">
        <v>1.6</v>
      </c>
      <c r="I47" s="169">
        <v>5880</v>
      </c>
      <c r="J47" s="147">
        <v>5.88</v>
      </c>
      <c r="K47" s="147" t="str">
        <f t="shared" si="0"/>
        <v>40x251.65.88ERWFIN CUT</v>
      </c>
      <c r="L47" s="147" t="str">
        <f>VLOOKUP(K47,'VSM May Indent'!$K$1:$O$61,4,0)</f>
        <v>40-25-1.6-ERW 1-FC</v>
      </c>
      <c r="M47" s="147" t="str">
        <f>VLOOKUP(K47,'VSM May Indent'!$K$1:$O$61,5,0)</f>
        <v>40-25-1.6-ERW 1-FC-5.88</v>
      </c>
      <c r="N47" s="151" t="s">
        <v>345</v>
      </c>
      <c r="O47" s="150"/>
      <c r="P47" s="19">
        <v>4</v>
      </c>
      <c r="Q47" s="147">
        <v>1</v>
      </c>
      <c r="R47" s="147">
        <v>2.4</v>
      </c>
      <c r="S47" s="147"/>
      <c r="T47" s="147">
        <f t="shared" si="1"/>
        <v>1.4</v>
      </c>
      <c r="U47" s="301"/>
      <c r="V47" s="147">
        <f t="shared" si="2"/>
        <v>1.4</v>
      </c>
      <c r="W47" s="19">
        <f t="shared" si="3"/>
        <v>3.0000000000000004</v>
      </c>
      <c r="X47" s="297">
        <f t="shared" si="4"/>
        <v>3.0000000000000004</v>
      </c>
      <c r="Y47" s="167">
        <f t="shared" si="5"/>
        <v>3.0000000000000004</v>
      </c>
      <c r="Z47" s="185">
        <f>SUMIFS(meghsteelsales_previousmonth[Quantity],meghsteelsales_previousmonth[Length Bucket],M47)/1000</f>
        <v>0</v>
      </c>
      <c r="AA47" s="185">
        <f>SUMIFS(meghsteelsales_currentmonth[Quantity],meghsteelsales_currentmonth[Length Bucket],M47)/1000</f>
        <v>0</v>
      </c>
      <c r="AB47" s="185">
        <f t="shared" si="6"/>
        <v>3.0000000000000004</v>
      </c>
      <c r="AC47" s="185">
        <f t="shared" si="7"/>
        <v>3.0000000000000004</v>
      </c>
      <c r="AD47" s="267"/>
      <c r="AE47" s="185"/>
      <c r="AF47" s="185"/>
      <c r="AG47" s="185"/>
    </row>
    <row r="48" spans="1:33" x14ac:dyDescent="0.25">
      <c r="A48" s="265" t="s">
        <v>10</v>
      </c>
      <c r="B48" s="147" t="s">
        <v>116</v>
      </c>
      <c r="C48" s="159" t="s">
        <v>338</v>
      </c>
      <c r="D48" s="147" t="s">
        <v>348</v>
      </c>
      <c r="E48" s="147" t="s">
        <v>340</v>
      </c>
      <c r="F48" s="168" t="s">
        <v>363</v>
      </c>
      <c r="G48" s="168"/>
      <c r="H48" s="168">
        <v>1.6</v>
      </c>
      <c r="I48" s="169">
        <v>6130</v>
      </c>
      <c r="J48" s="147">
        <v>6.13</v>
      </c>
      <c r="K48" s="147" t="str">
        <f t="shared" si="0"/>
        <v>40x251.66.13ERWFIN CUT</v>
      </c>
      <c r="L48" s="147" t="str">
        <f>VLOOKUP(K48,'VSM May Indent'!$K$1:$O$61,4,0)</f>
        <v>40-25-1.6-ERW 1-FC</v>
      </c>
      <c r="M48" s="147" t="str">
        <f>VLOOKUP(K48,'VSM May Indent'!$K$1:$O$61,5,0)</f>
        <v>40-25-1.6-ERW 1-FC-6.13</v>
      </c>
      <c r="N48" s="151" t="s">
        <v>345</v>
      </c>
      <c r="O48" s="150"/>
      <c r="P48" s="19">
        <v>3</v>
      </c>
      <c r="Q48" s="147">
        <v>1</v>
      </c>
      <c r="R48" s="147">
        <v>5.9</v>
      </c>
      <c r="S48" s="147"/>
      <c r="T48" s="147">
        <f t="shared" si="1"/>
        <v>4.9000000000000004</v>
      </c>
      <c r="U48" s="147"/>
      <c r="V48" s="147">
        <f t="shared" si="2"/>
        <v>4.9000000000000004</v>
      </c>
      <c r="W48" s="19">
        <f t="shared" si="3"/>
        <v>-1.6</v>
      </c>
      <c r="X48" s="167">
        <f t="shared" si="4"/>
        <v>0</v>
      </c>
      <c r="Y48" s="167">
        <f t="shared" si="5"/>
        <v>0</v>
      </c>
      <c r="Z48" s="185">
        <f>SUMIFS(meghsteelsales_previousmonth[Quantity],meghsteelsales_previousmonth[Length Bucket],M48)/1000</f>
        <v>0</v>
      </c>
      <c r="AA48" s="185">
        <f>SUMIFS(meghsteelsales_currentmonth[Quantity],meghsteelsales_currentmonth[Length Bucket],M48)/1000</f>
        <v>0</v>
      </c>
      <c r="AB48" s="185">
        <f t="shared" si="6"/>
        <v>0</v>
      </c>
      <c r="AC48" s="185">
        <f t="shared" si="7"/>
        <v>0</v>
      </c>
      <c r="AD48" s="267"/>
      <c r="AE48" s="185"/>
      <c r="AF48" s="185"/>
      <c r="AG48" s="185"/>
    </row>
    <row r="49" spans="1:33" x14ac:dyDescent="0.25">
      <c r="A49" s="265" t="s">
        <v>341</v>
      </c>
      <c r="B49" s="147" t="s">
        <v>342</v>
      </c>
      <c r="C49" s="153" t="s">
        <v>338</v>
      </c>
      <c r="D49" s="147" t="s">
        <v>348</v>
      </c>
      <c r="E49" s="147" t="s">
        <v>340</v>
      </c>
      <c r="F49" s="148">
        <v>41.28</v>
      </c>
      <c r="G49" s="148"/>
      <c r="H49" s="148">
        <v>3.15</v>
      </c>
      <c r="I49" s="147">
        <v>5860</v>
      </c>
      <c r="J49" s="147">
        <v>5.86</v>
      </c>
      <c r="K49" s="147" t="str">
        <f t="shared" si="0"/>
        <v>41.283.155.86ERWFIN CUT</v>
      </c>
      <c r="L49" s="147" t="str">
        <f>VLOOKUP(K49,'VSM May Indent'!$K$1:$O$61,4,0)</f>
        <v>41.28-0-3.15-ERW 1-FC</v>
      </c>
      <c r="M49" s="147" t="str">
        <f>VLOOKUP(K49,'VSM May Indent'!$K$1:$O$61,5,0)</f>
        <v>41.28-0-3.15-ERW 1-FC-5.86</v>
      </c>
      <c r="N49" s="149"/>
      <c r="O49" s="150">
        <v>3673889</v>
      </c>
      <c r="P49" s="19">
        <v>20</v>
      </c>
      <c r="Q49" s="147">
        <v>4</v>
      </c>
      <c r="R49" s="147">
        <v>22</v>
      </c>
      <c r="S49" s="147"/>
      <c r="T49" s="147">
        <f t="shared" si="1"/>
        <v>18</v>
      </c>
      <c r="U49" s="301"/>
      <c r="V49" s="147">
        <f t="shared" si="2"/>
        <v>18</v>
      </c>
      <c r="W49" s="19">
        <f t="shared" si="3"/>
        <v>4</v>
      </c>
      <c r="X49" s="297">
        <f t="shared" si="4"/>
        <v>4</v>
      </c>
      <c r="Y49" s="167">
        <f t="shared" si="5"/>
        <v>4</v>
      </c>
      <c r="Z49" s="185">
        <f>SUMIFS(meghsteelsales_previousmonth[Quantity],meghsteelsales_previousmonth[Length Bucket],M49)/1000</f>
        <v>48.390045000000008</v>
      </c>
      <c r="AA49" s="185">
        <f>SUMIFS(meghsteelsales_currentmonth[Quantity],meghsteelsales_currentmonth[Length Bucket],M49)/1000</f>
        <v>9.6830499999999997</v>
      </c>
      <c r="AB49" s="185">
        <f t="shared" si="6"/>
        <v>0</v>
      </c>
      <c r="AC49" s="185">
        <f t="shared" si="7"/>
        <v>-54.073095000000009</v>
      </c>
      <c r="AD49" s="267"/>
      <c r="AE49" s="185"/>
      <c r="AF49" s="185"/>
      <c r="AG49" s="185"/>
    </row>
    <row r="50" spans="1:33" x14ac:dyDescent="0.25">
      <c r="A50" s="265" t="s">
        <v>10</v>
      </c>
      <c r="B50" s="147" t="s">
        <v>346</v>
      </c>
      <c r="C50" s="153" t="s">
        <v>364</v>
      </c>
      <c r="D50" s="147" t="s">
        <v>348</v>
      </c>
      <c r="E50" s="147" t="s">
        <v>340</v>
      </c>
      <c r="F50" s="148">
        <v>42.7</v>
      </c>
      <c r="G50" s="148"/>
      <c r="H50" s="148">
        <v>3.5</v>
      </c>
      <c r="I50" s="147">
        <v>6000</v>
      </c>
      <c r="J50" s="147">
        <v>6</v>
      </c>
      <c r="K50" s="147" t="str">
        <f t="shared" si="0"/>
        <v>42.73.56ERWFIN CUT</v>
      </c>
      <c r="L50" s="147" t="str">
        <f>VLOOKUP(K50,'VSM May Indent'!$K$1:$O$61,4,0)</f>
        <v>42.7-0-3.5-ERW 1-FC</v>
      </c>
      <c r="M50" s="147" t="str">
        <f>VLOOKUP(K50,'VSM May Indent'!$K$1:$O$61,5,0)</f>
        <v>42.7-0-3.5-ERW 1-FC-6</v>
      </c>
      <c r="N50" s="151" t="s">
        <v>362</v>
      </c>
      <c r="O50" s="150">
        <v>2396465</v>
      </c>
      <c r="P50" s="19">
        <v>25</v>
      </c>
      <c r="Q50" s="147">
        <v>7</v>
      </c>
      <c r="R50" s="147">
        <v>14</v>
      </c>
      <c r="S50" s="147"/>
      <c r="T50" s="147">
        <f t="shared" si="1"/>
        <v>7</v>
      </c>
      <c r="U50" s="301"/>
      <c r="V50" s="147">
        <f t="shared" si="2"/>
        <v>7</v>
      </c>
      <c r="W50" s="19">
        <f t="shared" si="3"/>
        <v>20.500000000000004</v>
      </c>
      <c r="X50" s="297">
        <f t="shared" si="4"/>
        <v>20.500000000000004</v>
      </c>
      <c r="Y50" s="167">
        <f t="shared" si="5"/>
        <v>20.500000000000004</v>
      </c>
      <c r="Z50" s="185">
        <f>SUMIFS(meghsteelsales_previousmonth[Quantity],meghsteelsales_previousmonth[Length Bucket],M50)/1000</f>
        <v>4.2835110000000007</v>
      </c>
      <c r="AA50" s="185">
        <f>SUMIFS(meghsteelsales_currentmonth[Quantity],meghsteelsales_currentmonth[Length Bucket],M50)/1000</f>
        <v>2.3549160000000002</v>
      </c>
      <c r="AB50" s="185">
        <f t="shared" si="6"/>
        <v>13.861573000000003</v>
      </c>
      <c r="AC50" s="185">
        <f t="shared" si="7"/>
        <v>13.861573000000003</v>
      </c>
      <c r="AD50" s="267"/>
      <c r="AE50" s="185"/>
      <c r="AF50" s="185"/>
      <c r="AG50" s="185"/>
    </row>
    <row r="51" spans="1:33" x14ac:dyDescent="0.25">
      <c r="A51" s="265" t="s">
        <v>10</v>
      </c>
      <c r="B51" s="147" t="s">
        <v>346</v>
      </c>
      <c r="C51" s="153" t="s">
        <v>364</v>
      </c>
      <c r="D51" s="147" t="s">
        <v>348</v>
      </c>
      <c r="E51" s="147" t="s">
        <v>340</v>
      </c>
      <c r="F51" s="148">
        <v>42.7</v>
      </c>
      <c r="G51" s="148"/>
      <c r="H51" s="148">
        <v>4</v>
      </c>
      <c r="I51" s="147">
        <v>6000</v>
      </c>
      <c r="J51" s="147">
        <v>6</v>
      </c>
      <c r="K51" s="147" t="str">
        <f t="shared" si="0"/>
        <v>42.746ERWFIN CUT</v>
      </c>
      <c r="L51" s="147" t="str">
        <f>VLOOKUP(K51,'VSM May Indent'!$K$1:$O$61,4,0)</f>
        <v>42.7-0-4-ERW 1-FC</v>
      </c>
      <c r="M51" s="147" t="str">
        <f>VLOOKUP(K51,'VSM May Indent'!$K$1:$O$61,5,0)</f>
        <v>42.7-0-4-ERW 1-FC-6</v>
      </c>
      <c r="N51" s="149"/>
      <c r="O51" s="150">
        <v>3501985</v>
      </c>
      <c r="P51" s="19">
        <v>30</v>
      </c>
      <c r="Q51" s="147">
        <v>8</v>
      </c>
      <c r="R51" s="147">
        <v>8</v>
      </c>
      <c r="S51" s="147"/>
      <c r="T51" s="147">
        <f t="shared" si="1"/>
        <v>0</v>
      </c>
      <c r="U51" s="301"/>
      <c r="V51" s="147">
        <f t="shared" si="2"/>
        <v>0</v>
      </c>
      <c r="W51" s="19">
        <f t="shared" si="3"/>
        <v>33</v>
      </c>
      <c r="X51" s="297">
        <f t="shared" si="4"/>
        <v>33</v>
      </c>
      <c r="Y51" s="167">
        <f t="shared" si="5"/>
        <v>33</v>
      </c>
      <c r="Z51" s="185">
        <f>SUMIFS(meghsteelsales_previousmonth[Quantity],meghsteelsales_previousmonth[Length Bucket],M51)/1000</f>
        <v>38.311999999999998</v>
      </c>
      <c r="AA51" s="185">
        <f>SUMIFS(meghsteelsales_currentmonth[Quantity],meghsteelsales_currentmonth[Length Bucket],M51)/1000</f>
        <v>35.316800000000001</v>
      </c>
      <c r="AB51" s="185">
        <f t="shared" si="6"/>
        <v>0</v>
      </c>
      <c r="AC51" s="185">
        <f t="shared" si="7"/>
        <v>-40.628799999999998</v>
      </c>
      <c r="AD51" s="267"/>
      <c r="AE51" s="185"/>
      <c r="AF51" s="185"/>
      <c r="AG51" s="185"/>
    </row>
    <row r="52" spans="1:33" x14ac:dyDescent="0.25">
      <c r="A52" s="265" t="s">
        <v>10</v>
      </c>
      <c r="B52" s="147" t="s">
        <v>346</v>
      </c>
      <c r="C52" s="155" t="s">
        <v>338</v>
      </c>
      <c r="D52" s="147" t="s">
        <v>348</v>
      </c>
      <c r="E52" s="147" t="s">
        <v>340</v>
      </c>
      <c r="F52" s="154" t="s">
        <v>365</v>
      </c>
      <c r="G52" s="154"/>
      <c r="H52" s="154">
        <v>1.6</v>
      </c>
      <c r="I52" s="155">
        <v>5900</v>
      </c>
      <c r="J52" s="147">
        <v>5.9</v>
      </c>
      <c r="K52" s="147" t="str">
        <f t="shared" si="0"/>
        <v>40x301.65.9ERWFIN CUT</v>
      </c>
      <c r="L52" s="147" t="str">
        <f>VLOOKUP(K52,'VSM May Indent'!$K$1:$O$61,4,0)</f>
        <v>40-30-1.6-ERW 1-FC</v>
      </c>
      <c r="M52" s="147" t="str">
        <f>VLOOKUP(K52,'VSM May Indent'!$K$1:$O$61,5,0)</f>
        <v>40-30-1.6-ERW 1-FC-5.9</v>
      </c>
      <c r="N52" s="151" t="s">
        <v>362</v>
      </c>
      <c r="O52" s="150">
        <v>3836440</v>
      </c>
      <c r="P52" s="19">
        <v>10</v>
      </c>
      <c r="Q52" s="147">
        <v>4</v>
      </c>
      <c r="R52" s="147">
        <v>9</v>
      </c>
      <c r="S52" s="147"/>
      <c r="T52" s="147">
        <f t="shared" si="1"/>
        <v>5</v>
      </c>
      <c r="U52" s="301"/>
      <c r="V52" s="147">
        <f t="shared" si="2"/>
        <v>5</v>
      </c>
      <c r="W52" s="19">
        <f t="shared" si="3"/>
        <v>6</v>
      </c>
      <c r="X52" s="297">
        <f t="shared" si="4"/>
        <v>6</v>
      </c>
      <c r="Y52" s="167">
        <f t="shared" si="5"/>
        <v>6</v>
      </c>
      <c r="Z52" s="185">
        <f>SUMIFS(meghsteelsales_previousmonth[Quantity],meghsteelsales_previousmonth[Length Bucket],M52)/1000</f>
        <v>0</v>
      </c>
      <c r="AA52" s="185">
        <f>SUMIFS(meghsteelsales_currentmonth[Quantity],meghsteelsales_currentmonth[Length Bucket],M52)/1000</f>
        <v>0</v>
      </c>
      <c r="AB52" s="185">
        <f t="shared" si="6"/>
        <v>6</v>
      </c>
      <c r="AC52" s="185">
        <f t="shared" si="7"/>
        <v>6</v>
      </c>
      <c r="AD52" s="267"/>
      <c r="AE52" s="185"/>
      <c r="AF52" s="185"/>
      <c r="AG52" s="185"/>
    </row>
    <row r="53" spans="1:33" x14ac:dyDescent="0.25">
      <c r="A53" s="265" t="s">
        <v>341</v>
      </c>
      <c r="B53" s="147" t="s">
        <v>342</v>
      </c>
      <c r="C53" s="153" t="s">
        <v>344</v>
      </c>
      <c r="D53" s="147" t="s">
        <v>348</v>
      </c>
      <c r="E53" s="147" t="s">
        <v>349</v>
      </c>
      <c r="F53" s="148">
        <v>45</v>
      </c>
      <c r="G53" s="148"/>
      <c r="H53" s="148">
        <v>1.4</v>
      </c>
      <c r="I53" s="147">
        <v>6400</v>
      </c>
      <c r="J53" s="147">
        <v>6.42</v>
      </c>
      <c r="K53" s="147" t="str">
        <f t="shared" si="0"/>
        <v>451.46.42HSTFIN CUT</v>
      </c>
      <c r="L53" s="147" t="str">
        <f>VLOOKUP(K53,'VSM May Indent'!$K$1:$O$61,4,0)</f>
        <v>45--1.4-ERW 2-FIN CUT</v>
      </c>
      <c r="M53" s="147" t="str">
        <f>VLOOKUP(K53,'VSM May Indent'!$K$1:$O$61,5,0)</f>
        <v>45--1.4-ERW 2-FIN CUT-6.4</v>
      </c>
      <c r="N53" s="149"/>
      <c r="O53" s="150">
        <v>3502343</v>
      </c>
      <c r="P53" s="19">
        <v>0</v>
      </c>
      <c r="Q53" s="147">
        <v>0</v>
      </c>
      <c r="R53" s="147">
        <v>10</v>
      </c>
      <c r="S53" s="147"/>
      <c r="T53" s="147">
        <f t="shared" si="1"/>
        <v>10</v>
      </c>
      <c r="U53" s="147"/>
      <c r="V53" s="147">
        <f t="shared" si="2"/>
        <v>10</v>
      </c>
      <c r="W53" s="19">
        <f t="shared" si="3"/>
        <v>-10</v>
      </c>
      <c r="X53" s="167">
        <f t="shared" si="4"/>
        <v>0</v>
      </c>
      <c r="Y53" s="167">
        <f t="shared" si="5"/>
        <v>0</v>
      </c>
      <c r="Z53" s="185">
        <f>SUMIFS(meghsteelsales_previousmonth[Quantity],meghsteelsales_previousmonth[Length Bucket],M53)/1000</f>
        <v>0</v>
      </c>
      <c r="AA53" s="185">
        <f>SUMIFS(meghsteelsales_currentmonth[Quantity],meghsteelsales_currentmonth[Length Bucket],M53)/1000</f>
        <v>0</v>
      </c>
      <c r="AB53" s="185">
        <f t="shared" si="6"/>
        <v>0</v>
      </c>
      <c r="AC53" s="185">
        <f t="shared" si="7"/>
        <v>0</v>
      </c>
      <c r="AD53" s="267"/>
      <c r="AE53" s="185"/>
      <c r="AF53" s="185"/>
      <c r="AG53" s="185"/>
    </row>
    <row r="54" spans="1:33" x14ac:dyDescent="0.25">
      <c r="A54" s="265" t="s">
        <v>341</v>
      </c>
      <c r="B54" s="147" t="s">
        <v>342</v>
      </c>
      <c r="C54" s="153" t="s">
        <v>338</v>
      </c>
      <c r="D54" s="147" t="s">
        <v>348</v>
      </c>
      <c r="E54" s="147" t="s">
        <v>340</v>
      </c>
      <c r="F54" s="148">
        <v>45</v>
      </c>
      <c r="G54" s="148"/>
      <c r="H54" s="148">
        <v>1.4</v>
      </c>
      <c r="I54" s="147">
        <v>5700</v>
      </c>
      <c r="J54" s="147">
        <v>5.7</v>
      </c>
      <c r="K54" s="147" t="str">
        <f t="shared" si="0"/>
        <v>451.45.7ERWFIN CUT</v>
      </c>
      <c r="L54" s="147" t="str">
        <f>VLOOKUP(K54,'VSM May Indent'!$K$1:$O$61,4,0)</f>
        <v>45--1.4-ERW 1-FIN CUT</v>
      </c>
      <c r="M54" s="147" t="str">
        <f>VLOOKUP(K54,'VSM May Indent'!$K$1:$O$61,5,0)</f>
        <v>45--1.4-ERW 1-FIN CUT-5.7</v>
      </c>
      <c r="N54" s="151" t="s">
        <v>367</v>
      </c>
      <c r="O54" s="150">
        <v>3545558</v>
      </c>
      <c r="P54" s="19">
        <v>0</v>
      </c>
      <c r="Q54" s="147">
        <v>0</v>
      </c>
      <c r="R54" s="147">
        <v>16</v>
      </c>
      <c r="S54" s="147"/>
      <c r="T54" s="147">
        <f t="shared" si="1"/>
        <v>16</v>
      </c>
      <c r="U54" s="147"/>
      <c r="V54" s="147">
        <f t="shared" si="2"/>
        <v>16</v>
      </c>
      <c r="W54" s="19">
        <f t="shared" si="3"/>
        <v>-16</v>
      </c>
      <c r="X54" s="167">
        <f t="shared" si="4"/>
        <v>0</v>
      </c>
      <c r="Y54" s="167">
        <f t="shared" si="5"/>
        <v>0</v>
      </c>
      <c r="Z54" s="185">
        <f>SUMIFS(meghsteelsales_previousmonth[Quantity],meghsteelsales_previousmonth[Length Bucket],M54)/1000</f>
        <v>4.8159999999999998</v>
      </c>
      <c r="AA54" s="185">
        <f>SUMIFS(meghsteelsales_currentmonth[Quantity],meghsteelsales_currentmonth[Length Bucket],M54)/1000</f>
        <v>7.35</v>
      </c>
      <c r="AB54" s="185">
        <f t="shared" si="6"/>
        <v>0</v>
      </c>
      <c r="AC54" s="185">
        <f t="shared" si="7"/>
        <v>-12.166</v>
      </c>
      <c r="AD54" s="267"/>
      <c r="AE54" s="185"/>
      <c r="AF54" s="185"/>
      <c r="AG54" s="185"/>
    </row>
    <row r="55" spans="1:33" x14ac:dyDescent="0.25">
      <c r="A55" s="265" t="s">
        <v>341</v>
      </c>
      <c r="B55" s="147" t="s">
        <v>342</v>
      </c>
      <c r="C55" s="153" t="s">
        <v>344</v>
      </c>
      <c r="D55" s="147" t="s">
        <v>348</v>
      </c>
      <c r="E55" s="147" t="s">
        <v>349</v>
      </c>
      <c r="F55" s="148">
        <v>45</v>
      </c>
      <c r="G55" s="148"/>
      <c r="H55" s="148">
        <v>1.6</v>
      </c>
      <c r="I55" s="147">
        <v>6400</v>
      </c>
      <c r="J55" s="147">
        <v>6.42</v>
      </c>
      <c r="K55" s="147" t="str">
        <f t="shared" si="0"/>
        <v>451.66.42HSTFIN CUT</v>
      </c>
      <c r="L55" s="147" t="str">
        <f>VLOOKUP(K55,'VSM May Indent'!$K$1:$O$61,4,0)</f>
        <v>No Key</v>
      </c>
      <c r="M55" s="147" t="str">
        <f>VLOOKUP(K55,'VSM May Indent'!$K$1:$O$61,5,0)</f>
        <v>No Key</v>
      </c>
      <c r="N55" s="149"/>
      <c r="O55" s="150">
        <v>3502388</v>
      </c>
      <c r="P55" s="19">
        <v>10</v>
      </c>
      <c r="Q55" s="147">
        <v>0</v>
      </c>
      <c r="R55" s="147">
        <v>0</v>
      </c>
      <c r="S55" s="147"/>
      <c r="T55" s="147">
        <f t="shared" si="1"/>
        <v>0</v>
      </c>
      <c r="U55" s="301"/>
      <c r="V55" s="147">
        <f t="shared" si="2"/>
        <v>0</v>
      </c>
      <c r="W55" s="19">
        <f t="shared" si="3"/>
        <v>11</v>
      </c>
      <c r="X55" s="297">
        <f t="shared" si="4"/>
        <v>11</v>
      </c>
      <c r="Y55" s="167">
        <f t="shared" si="5"/>
        <v>11</v>
      </c>
      <c r="Z55" s="185">
        <f>SUMIFS(meghsteelsales_previousmonth[Quantity],meghsteelsales_previousmonth[Length Bucket],M55)/1000</f>
        <v>0</v>
      </c>
      <c r="AA55" s="185">
        <f>SUMIFS(meghsteelsales_currentmonth[Quantity],meghsteelsales_currentmonth[Length Bucket],M55)/1000</f>
        <v>0</v>
      </c>
      <c r="AB55" s="185">
        <f t="shared" si="6"/>
        <v>11</v>
      </c>
      <c r="AC55" s="185">
        <f t="shared" si="7"/>
        <v>11</v>
      </c>
      <c r="AD55" s="267"/>
      <c r="AE55" s="185"/>
      <c r="AF55" s="185"/>
      <c r="AG55" s="185"/>
    </row>
    <row r="56" spans="1:33" x14ac:dyDescent="0.25">
      <c r="A56" s="265" t="s">
        <v>5</v>
      </c>
      <c r="B56" s="147" t="s">
        <v>358</v>
      </c>
      <c r="C56" s="153" t="s">
        <v>338</v>
      </c>
      <c r="D56" s="147" t="s">
        <v>348</v>
      </c>
      <c r="E56" s="147" t="s">
        <v>340</v>
      </c>
      <c r="F56" s="148">
        <v>48</v>
      </c>
      <c r="G56" s="148"/>
      <c r="H56" s="148">
        <v>1.2</v>
      </c>
      <c r="I56" s="147">
        <v>620</v>
      </c>
      <c r="J56" s="147">
        <v>0.62</v>
      </c>
      <c r="K56" s="147" t="str">
        <f t="shared" si="0"/>
        <v>481.20.62ERWFIN CUT</v>
      </c>
      <c r="L56" s="147" t="str">
        <f>VLOOKUP(K56,'VSM May Indent'!$K$1:$O$61,4,0)</f>
        <v>48--1.2-ERW 1-FIN CUT</v>
      </c>
      <c r="M56" s="147" t="str">
        <f>VLOOKUP(K56,'VSM May Indent'!$K$1:$O$61,5,0)</f>
        <v>48--1.2-ERW 1-FIN CUT-0.620</v>
      </c>
      <c r="N56" s="151" t="s">
        <v>345</v>
      </c>
      <c r="O56" s="150">
        <v>2397072</v>
      </c>
      <c r="P56" s="19">
        <v>10</v>
      </c>
      <c r="Q56" s="147">
        <v>0</v>
      </c>
      <c r="R56" s="147">
        <v>0</v>
      </c>
      <c r="S56" s="147"/>
      <c r="T56" s="147">
        <f t="shared" si="1"/>
        <v>0</v>
      </c>
      <c r="U56" s="301"/>
      <c r="V56" s="147">
        <f t="shared" si="2"/>
        <v>0</v>
      </c>
      <c r="W56" s="19">
        <f t="shared" si="3"/>
        <v>11</v>
      </c>
      <c r="X56" s="297">
        <f t="shared" si="4"/>
        <v>11</v>
      </c>
      <c r="Y56" s="167">
        <f t="shared" si="5"/>
        <v>11</v>
      </c>
      <c r="Z56" s="185">
        <f>SUMIFS(meghsteelsales_previousmonth[Quantity],meghsteelsales_previousmonth[Length Bucket],M56)/1000</f>
        <v>0</v>
      </c>
      <c r="AA56" s="185">
        <f>SUMIFS(meghsteelsales_currentmonth[Quantity],meghsteelsales_currentmonth[Length Bucket],M56)/1000</f>
        <v>0</v>
      </c>
      <c r="AB56" s="185">
        <f t="shared" si="6"/>
        <v>11</v>
      </c>
      <c r="AC56" s="185">
        <f t="shared" si="7"/>
        <v>11</v>
      </c>
      <c r="AD56" s="267"/>
      <c r="AE56" s="185"/>
      <c r="AF56" s="185"/>
      <c r="AG56" s="185"/>
    </row>
    <row r="57" spans="1:33" x14ac:dyDescent="0.25">
      <c r="A57" s="265" t="s">
        <v>5</v>
      </c>
      <c r="B57" s="147" t="s">
        <v>359</v>
      </c>
      <c r="C57" s="153" t="s">
        <v>338</v>
      </c>
      <c r="D57" s="147" t="s">
        <v>348</v>
      </c>
      <c r="E57" s="147" t="s">
        <v>340</v>
      </c>
      <c r="F57" s="148">
        <v>48</v>
      </c>
      <c r="G57" s="148"/>
      <c r="H57" s="148">
        <v>1.2</v>
      </c>
      <c r="I57" s="147">
        <v>700</v>
      </c>
      <c r="J57" s="147">
        <v>0.7</v>
      </c>
      <c r="K57" s="147" t="str">
        <f t="shared" si="0"/>
        <v>481.20.7ERWFIN CUT</v>
      </c>
      <c r="L57" s="147" t="str">
        <f>VLOOKUP(K57,'VSM May Indent'!$K$1:$O$61,4,0)</f>
        <v>48--1.2-ERW 1-FIN CUT</v>
      </c>
      <c r="M57" s="147" t="str">
        <f>VLOOKUP(K57,'VSM May Indent'!$K$1:$O$61,5,0)</f>
        <v>48--1.2-ERW 1-FIN CUT-0.7</v>
      </c>
      <c r="N57" s="151" t="s">
        <v>345</v>
      </c>
      <c r="O57" s="150">
        <v>3649700</v>
      </c>
      <c r="P57" s="19">
        <v>14</v>
      </c>
      <c r="Q57" s="147">
        <v>0</v>
      </c>
      <c r="R57" s="147">
        <v>0</v>
      </c>
      <c r="S57" s="147"/>
      <c r="T57" s="147">
        <f t="shared" si="1"/>
        <v>0</v>
      </c>
      <c r="U57" s="301"/>
      <c r="V57" s="147">
        <f t="shared" si="2"/>
        <v>0</v>
      </c>
      <c r="W57" s="19">
        <f t="shared" si="3"/>
        <v>15.400000000000002</v>
      </c>
      <c r="X57" s="297">
        <f t="shared" si="4"/>
        <v>15.400000000000002</v>
      </c>
      <c r="Y57" s="167">
        <f t="shared" si="5"/>
        <v>15.400000000000002</v>
      </c>
      <c r="Z57" s="185">
        <f>SUMIFS(meghsteelsales_previousmonth[Quantity],meghsteelsales_previousmonth[Length Bucket],M57)/1000</f>
        <v>0</v>
      </c>
      <c r="AA57" s="185">
        <f>SUMIFS(meghsteelsales_currentmonth[Quantity],meghsteelsales_currentmonth[Length Bucket],M57)/1000</f>
        <v>0</v>
      </c>
      <c r="AB57" s="185">
        <f t="shared" si="6"/>
        <v>15.400000000000002</v>
      </c>
      <c r="AC57" s="185">
        <f t="shared" si="7"/>
        <v>15.400000000000002</v>
      </c>
      <c r="AD57" s="267"/>
      <c r="AE57" s="185"/>
      <c r="AF57" s="185"/>
      <c r="AG57" s="185"/>
    </row>
    <row r="58" spans="1:33" x14ac:dyDescent="0.25">
      <c r="A58" s="265" t="s">
        <v>341</v>
      </c>
      <c r="B58" s="147" t="s">
        <v>342</v>
      </c>
      <c r="C58" s="153" t="s">
        <v>344</v>
      </c>
      <c r="D58" s="147" t="s">
        <v>348</v>
      </c>
      <c r="E58" s="147" t="s">
        <v>349</v>
      </c>
      <c r="F58" s="148">
        <v>48.6</v>
      </c>
      <c r="G58" s="148"/>
      <c r="H58" s="148">
        <v>2</v>
      </c>
      <c r="I58" s="147">
        <v>6270</v>
      </c>
      <c r="J58" s="147">
        <v>6.27</v>
      </c>
      <c r="K58" s="147" t="str">
        <f t="shared" si="0"/>
        <v>48.626.27HSTFIN CUT</v>
      </c>
      <c r="L58" s="147" t="str">
        <f>VLOOKUP(K58,'VSM May Indent'!$K$1:$O$61,4,0)</f>
        <v>No Key</v>
      </c>
      <c r="M58" s="147" t="str">
        <f>VLOOKUP(K58,'VSM May Indent'!$K$1:$O$61,5,0)</f>
        <v>No Key</v>
      </c>
      <c r="N58" s="149"/>
      <c r="O58" s="150">
        <v>3502301</v>
      </c>
      <c r="P58" s="19">
        <v>0</v>
      </c>
      <c r="Q58" s="147">
        <v>0</v>
      </c>
      <c r="R58" s="147">
        <v>23</v>
      </c>
      <c r="S58" s="147"/>
      <c r="T58" s="147">
        <f t="shared" si="1"/>
        <v>23</v>
      </c>
      <c r="U58" s="147"/>
      <c r="V58" s="147">
        <f t="shared" si="2"/>
        <v>23</v>
      </c>
      <c r="W58" s="19">
        <f t="shared" si="3"/>
        <v>-23</v>
      </c>
      <c r="X58" s="167">
        <f t="shared" si="4"/>
        <v>0</v>
      </c>
      <c r="Y58" s="167">
        <f t="shared" si="5"/>
        <v>0</v>
      </c>
      <c r="Z58" s="185">
        <f>SUMIFS(meghsteelsales_previousmonth[Quantity],meghsteelsales_previousmonth[Length Bucket],M58)/1000</f>
        <v>0</v>
      </c>
      <c r="AA58" s="185">
        <f>SUMIFS(meghsteelsales_currentmonth[Quantity],meghsteelsales_currentmonth[Length Bucket],M58)/1000</f>
        <v>0</v>
      </c>
      <c r="AB58" s="185">
        <f t="shared" si="6"/>
        <v>0</v>
      </c>
      <c r="AC58" s="185">
        <f t="shared" si="7"/>
        <v>0</v>
      </c>
      <c r="AD58" s="267"/>
      <c r="AE58" s="185"/>
      <c r="AF58" s="185"/>
      <c r="AG58" s="185"/>
    </row>
    <row r="59" spans="1:33" x14ac:dyDescent="0.25">
      <c r="A59" s="265" t="s">
        <v>341</v>
      </c>
      <c r="B59" s="147" t="s">
        <v>342</v>
      </c>
      <c r="C59" s="153" t="s">
        <v>344</v>
      </c>
      <c r="D59" s="147" t="s">
        <v>348</v>
      </c>
      <c r="E59" s="147" t="s">
        <v>349</v>
      </c>
      <c r="F59" s="148">
        <v>48.6</v>
      </c>
      <c r="G59" s="148"/>
      <c r="H59" s="148">
        <v>2.2999999999999998</v>
      </c>
      <c r="I59" s="147">
        <v>6270</v>
      </c>
      <c r="J59" s="147">
        <v>6.27</v>
      </c>
      <c r="K59" s="147" t="str">
        <f t="shared" si="0"/>
        <v>48.62.36.27HSTFIN CUT</v>
      </c>
      <c r="L59" s="147" t="str">
        <f>VLOOKUP(K59,'VSM May Indent'!$K$1:$O$61,4,0)</f>
        <v>48.6-0-2.3-ERW 2-FC</v>
      </c>
      <c r="M59" s="147" t="str">
        <f>VLOOKUP(K59,'VSM May Indent'!$K$1:$O$61,5,0)</f>
        <v>48.6-0-2.3-ERW 2-FC-6.27</v>
      </c>
      <c r="N59" s="149"/>
      <c r="O59" s="150">
        <v>3549720</v>
      </c>
      <c r="P59" s="19">
        <v>10</v>
      </c>
      <c r="Q59" s="147">
        <v>0</v>
      </c>
      <c r="R59" s="147">
        <v>0</v>
      </c>
      <c r="S59" s="147"/>
      <c r="T59" s="147">
        <f t="shared" si="1"/>
        <v>0</v>
      </c>
      <c r="U59" s="301"/>
      <c r="V59" s="147">
        <f t="shared" si="2"/>
        <v>0</v>
      </c>
      <c r="W59" s="19">
        <f t="shared" si="3"/>
        <v>11</v>
      </c>
      <c r="X59" s="297">
        <f t="shared" si="4"/>
        <v>11</v>
      </c>
      <c r="Y59" s="167">
        <f t="shared" si="5"/>
        <v>11</v>
      </c>
      <c r="Z59" s="185">
        <f>SUMIFS(meghsteelsales_previousmonth[Quantity],meghsteelsales_previousmonth[Length Bucket],M59)/1000</f>
        <v>0</v>
      </c>
      <c r="AA59" s="185">
        <f>SUMIFS(meghsteelsales_currentmonth[Quantity],meghsteelsales_currentmonth[Length Bucket],M59)/1000</f>
        <v>0</v>
      </c>
      <c r="AB59" s="185">
        <f t="shared" si="6"/>
        <v>11</v>
      </c>
      <c r="AC59" s="185">
        <f t="shared" si="7"/>
        <v>11</v>
      </c>
      <c r="AD59" s="267"/>
      <c r="AE59" s="185"/>
      <c r="AF59" s="185"/>
      <c r="AG59" s="185"/>
    </row>
    <row r="60" spans="1:33" x14ac:dyDescent="0.25">
      <c r="A60" s="265" t="s">
        <v>341</v>
      </c>
      <c r="B60" s="147" t="s">
        <v>342</v>
      </c>
      <c r="C60" s="153" t="s">
        <v>338</v>
      </c>
      <c r="D60" s="147" t="s">
        <v>348</v>
      </c>
      <c r="E60" s="147" t="s">
        <v>340</v>
      </c>
      <c r="F60" s="148">
        <v>48.6</v>
      </c>
      <c r="G60" s="148"/>
      <c r="H60" s="148">
        <v>3.5</v>
      </c>
      <c r="I60" s="147">
        <v>6000</v>
      </c>
      <c r="J60" s="147">
        <v>6</v>
      </c>
      <c r="K60" s="147" t="str">
        <f t="shared" si="0"/>
        <v>48.63.56ERWFIN CUT</v>
      </c>
      <c r="L60" s="147" t="str">
        <f>VLOOKUP(K60,'VSM May Indent'!$K$1:$O$61,4,0)</f>
        <v>48.6-0-3.5-ERW 1-FC</v>
      </c>
      <c r="M60" s="147" t="str">
        <f>VLOOKUP(K60,'VSM May Indent'!$K$1:$O$61,5,0)</f>
        <v>48.6-0-3.5-ERW 1-FC-6</v>
      </c>
      <c r="N60" s="149"/>
      <c r="O60" s="150">
        <v>3502422</v>
      </c>
      <c r="P60" s="19">
        <v>10</v>
      </c>
      <c r="Q60" s="147">
        <v>3</v>
      </c>
      <c r="R60" s="147">
        <v>7</v>
      </c>
      <c r="S60" s="147"/>
      <c r="T60" s="147">
        <f t="shared" si="1"/>
        <v>4</v>
      </c>
      <c r="U60" s="301"/>
      <c r="V60" s="147">
        <f t="shared" si="2"/>
        <v>4</v>
      </c>
      <c r="W60" s="19">
        <f t="shared" si="3"/>
        <v>7</v>
      </c>
      <c r="X60" s="297">
        <f t="shared" si="4"/>
        <v>7</v>
      </c>
      <c r="Y60" s="167">
        <f t="shared" si="5"/>
        <v>7</v>
      </c>
      <c r="Z60" s="185">
        <f>SUMIFS(meghsteelsales_previousmonth[Quantity],meghsteelsales_previousmonth[Length Bucket],M60)/1000</f>
        <v>2.991104</v>
      </c>
      <c r="AA60" s="185">
        <f>SUMIFS(meghsteelsales_currentmonth[Quantity],meghsteelsales_currentmonth[Length Bucket],M60)/1000</f>
        <v>14.154752</v>
      </c>
      <c r="AB60" s="185">
        <f t="shared" si="6"/>
        <v>0</v>
      </c>
      <c r="AC60" s="185">
        <f t="shared" si="7"/>
        <v>-10.145856</v>
      </c>
      <c r="AD60" s="267"/>
      <c r="AE60" s="185"/>
      <c r="AF60" s="185"/>
      <c r="AG60" s="185"/>
    </row>
    <row r="61" spans="1:33" x14ac:dyDescent="0.25">
      <c r="A61" s="265" t="s">
        <v>10</v>
      </c>
      <c r="B61" s="147" t="s">
        <v>116</v>
      </c>
      <c r="C61" s="153" t="s">
        <v>338</v>
      </c>
      <c r="D61" s="147" t="s">
        <v>348</v>
      </c>
      <c r="E61" s="147" t="s">
        <v>340</v>
      </c>
      <c r="F61" s="168" t="s">
        <v>368</v>
      </c>
      <c r="G61" s="168"/>
      <c r="H61" s="168">
        <v>1.6</v>
      </c>
      <c r="I61" s="147">
        <v>6000</v>
      </c>
      <c r="J61" s="147">
        <v>6</v>
      </c>
      <c r="K61" s="147" t="str">
        <f t="shared" si="0"/>
        <v>59x301.66ERWFIN CUT</v>
      </c>
      <c r="L61" s="147" t="str">
        <f>VLOOKUP(K61,'VSM May Indent'!$K$1:$O$61,4,0)</f>
        <v>59-30-1.6-ERW 1-FIN CUT</v>
      </c>
      <c r="M61" s="147" t="str">
        <f>VLOOKUP(K61,'VSM May Indent'!$K$1:$O$61,5,0)</f>
        <v>59-30-1.6-ERW 1-FIN CUT-6</v>
      </c>
      <c r="N61" s="151" t="s">
        <v>345</v>
      </c>
      <c r="O61" s="150"/>
      <c r="P61" s="19">
        <v>5</v>
      </c>
      <c r="Q61" s="147">
        <v>1</v>
      </c>
      <c r="R61" s="147">
        <v>0</v>
      </c>
      <c r="S61" s="147"/>
      <c r="T61" s="147">
        <f t="shared" si="1"/>
        <v>-1</v>
      </c>
      <c r="U61" s="301"/>
      <c r="V61" s="147">
        <f t="shared" si="2"/>
        <v>-1</v>
      </c>
      <c r="W61" s="19">
        <f t="shared" si="3"/>
        <v>6.5</v>
      </c>
      <c r="X61" s="297">
        <v>5</v>
      </c>
      <c r="Y61" s="167">
        <f t="shared" si="5"/>
        <v>5</v>
      </c>
      <c r="Z61" s="185">
        <f>SUMIFS(meghsteelsales_previousmonth[Quantity],meghsteelsales_previousmonth[Length Bucket],M61)/1000</f>
        <v>5.12</v>
      </c>
      <c r="AA61" s="185">
        <f>SUMIFS(meghsteelsales_currentmonth[Quantity],meghsteelsales_currentmonth[Length Bucket],M61)/1000</f>
        <v>0</v>
      </c>
      <c r="AB61" s="185">
        <f t="shared" si="6"/>
        <v>0</v>
      </c>
      <c r="AC61" s="185">
        <f t="shared" si="7"/>
        <v>-0.12000000000000011</v>
      </c>
      <c r="AD61" s="267"/>
      <c r="AE61" s="185"/>
      <c r="AF61" s="185"/>
      <c r="AG61" s="185"/>
    </row>
    <row r="62" spans="1:33" x14ac:dyDescent="0.25">
      <c r="A62" s="265" t="s">
        <v>5</v>
      </c>
      <c r="B62" s="147" t="s">
        <v>369</v>
      </c>
      <c r="C62" s="153" t="s">
        <v>338</v>
      </c>
      <c r="D62" s="147" t="s">
        <v>348</v>
      </c>
      <c r="E62" s="147" t="s">
        <v>340</v>
      </c>
      <c r="F62" s="168" t="s">
        <v>368</v>
      </c>
      <c r="G62" s="168"/>
      <c r="H62" s="168">
        <v>1.6</v>
      </c>
      <c r="I62" s="169">
        <v>572.5</v>
      </c>
      <c r="J62" s="147">
        <v>0.57250000000000001</v>
      </c>
      <c r="K62" s="147" t="str">
        <f t="shared" si="0"/>
        <v>59x301.60.5725ERWFIN CUT</v>
      </c>
      <c r="L62" s="147" t="str">
        <f>VLOOKUP(K62,'VSM May Indent'!$K$1:$O$61,4,0)</f>
        <v>59-30-1.6-ERW 1-FIN CUT</v>
      </c>
      <c r="M62" s="147" t="str">
        <f>VLOOKUP(K62,'VSM May Indent'!$K$1:$O$61,5,0)</f>
        <v>59-30-1.6-ERW 1-FIN CUT-0.573</v>
      </c>
      <c r="N62" s="151" t="s">
        <v>345</v>
      </c>
      <c r="O62" s="150">
        <v>2420716</v>
      </c>
      <c r="P62" s="19">
        <v>15</v>
      </c>
      <c r="Q62" s="147">
        <v>0</v>
      </c>
      <c r="R62" s="147">
        <v>0</v>
      </c>
      <c r="S62" s="147"/>
      <c r="T62" s="147">
        <f t="shared" si="1"/>
        <v>0</v>
      </c>
      <c r="U62" s="301"/>
      <c r="V62" s="147">
        <f t="shared" si="2"/>
        <v>0</v>
      </c>
      <c r="W62" s="19">
        <f t="shared" si="3"/>
        <v>16.5</v>
      </c>
      <c r="X62" s="297">
        <f t="shared" si="4"/>
        <v>16.5</v>
      </c>
      <c r="Y62" s="167">
        <f t="shared" si="5"/>
        <v>16.5</v>
      </c>
      <c r="Z62" s="185">
        <f>SUMIFS(meghsteelsales_previousmonth[Quantity],meghsteelsales_previousmonth[Length Bucket],M62)/1000</f>
        <v>9.4819599999999991</v>
      </c>
      <c r="AA62" s="185">
        <f>SUMIFS(meghsteelsales_currentmonth[Quantity],meghsteelsales_currentmonth[Length Bucket],M62)/1000</f>
        <v>0</v>
      </c>
      <c r="AB62" s="185">
        <f t="shared" si="6"/>
        <v>7.0180400000000009</v>
      </c>
      <c r="AC62" s="185">
        <f t="shared" si="7"/>
        <v>7.0180400000000009</v>
      </c>
      <c r="AD62" s="267"/>
      <c r="AE62" s="185"/>
      <c r="AF62" s="185"/>
      <c r="AG62" s="185"/>
    </row>
    <row r="63" spans="1:33" x14ac:dyDescent="0.25">
      <c r="A63" s="265" t="s">
        <v>10</v>
      </c>
      <c r="B63" s="147" t="s">
        <v>346</v>
      </c>
      <c r="C63" s="153" t="s">
        <v>338</v>
      </c>
      <c r="D63" s="147" t="s">
        <v>348</v>
      </c>
      <c r="E63" s="147" t="s">
        <v>340</v>
      </c>
      <c r="F63" s="148">
        <v>57.15</v>
      </c>
      <c r="G63" s="148"/>
      <c r="H63" s="148">
        <v>2.5</v>
      </c>
      <c r="I63" s="147">
        <v>5710</v>
      </c>
      <c r="J63" s="147">
        <v>5.71</v>
      </c>
      <c r="K63" s="147" t="str">
        <f t="shared" si="0"/>
        <v>57.152.55.71ERWFIN CUT</v>
      </c>
      <c r="L63" s="147" t="str">
        <f>VLOOKUP(K63,'VSM May Indent'!$K$1:$O$61,4,0)</f>
        <v>57.15-0-2.5-ERW 1-FC</v>
      </c>
      <c r="M63" s="147" t="str">
        <f>VLOOKUP(K63,'VSM May Indent'!$K$1:$O$61,5,0)</f>
        <v>57.15-0-2.5-ERW 1-FC-5.711</v>
      </c>
      <c r="N63" s="151" t="s">
        <v>367</v>
      </c>
      <c r="O63" s="150">
        <v>3907863</v>
      </c>
      <c r="P63" s="19">
        <v>40</v>
      </c>
      <c r="Q63" s="147">
        <v>25</v>
      </c>
      <c r="R63" s="147">
        <v>6</v>
      </c>
      <c r="S63" s="147"/>
      <c r="T63" s="147">
        <f t="shared" si="1"/>
        <v>-19</v>
      </c>
      <c r="U63" s="301"/>
      <c r="V63" s="147">
        <f t="shared" si="2"/>
        <v>-19</v>
      </c>
      <c r="W63" s="19">
        <f t="shared" si="3"/>
        <v>63</v>
      </c>
      <c r="X63" s="297">
        <f t="shared" si="4"/>
        <v>63</v>
      </c>
      <c r="Y63" s="167">
        <f t="shared" si="5"/>
        <v>63</v>
      </c>
      <c r="Z63" s="185">
        <f>SUMIFS(meghsteelsales_previousmonth[Quantity],meghsteelsales_previousmonth[Length Bucket],M63)/1000</f>
        <v>16.138103999999998</v>
      </c>
      <c r="AA63" s="185">
        <f>SUMIFS(meghsteelsales_currentmonth[Quantity],meghsteelsales_currentmonth[Length Bucket],M63)/1000</f>
        <v>206.77804999999998</v>
      </c>
      <c r="AB63" s="185">
        <f t="shared" si="6"/>
        <v>0</v>
      </c>
      <c r="AC63" s="185">
        <f t="shared" si="7"/>
        <v>-159.91615399999998</v>
      </c>
      <c r="AD63" s="267"/>
      <c r="AE63" s="185"/>
      <c r="AF63" s="185"/>
      <c r="AG63" s="185"/>
    </row>
    <row r="64" spans="1:33" s="45" customFormat="1" x14ac:dyDescent="0.25">
      <c r="A64" s="266" t="s">
        <v>10</v>
      </c>
      <c r="B64" s="156" t="s">
        <v>346</v>
      </c>
      <c r="C64" s="157" t="s">
        <v>338</v>
      </c>
      <c r="D64" s="156" t="s">
        <v>348</v>
      </c>
      <c r="E64" s="156" t="s">
        <v>340</v>
      </c>
      <c r="F64" s="248">
        <v>57.15</v>
      </c>
      <c r="G64" s="248"/>
      <c r="H64" s="248">
        <v>2.5</v>
      </c>
      <c r="I64" s="156">
        <v>5950</v>
      </c>
      <c r="J64" s="156"/>
      <c r="K64" s="147" t="str">
        <f t="shared" si="0"/>
        <v>57.152.5ERWFIN CUT</v>
      </c>
      <c r="L64" s="147" t="e">
        <f>VLOOKUP(K64,'VSM May Indent'!$K$1:$O$61,4,0)</f>
        <v>#N/A</v>
      </c>
      <c r="M64" s="147" t="e">
        <f>VLOOKUP(K64,'VSM May Indent'!$K$1:$O$61,5,0)</f>
        <v>#N/A</v>
      </c>
      <c r="N64" s="201" t="s">
        <v>367</v>
      </c>
      <c r="O64" s="245" t="s">
        <v>6233</v>
      </c>
      <c r="P64" s="246">
        <v>30</v>
      </c>
      <c r="Q64" s="156"/>
      <c r="R64" s="156"/>
      <c r="S64" s="156"/>
      <c r="T64" s="156"/>
      <c r="U64" s="301"/>
      <c r="V64" s="156"/>
      <c r="W64" s="246"/>
      <c r="X64" s="297">
        <v>30</v>
      </c>
      <c r="Y64" s="247">
        <f t="shared" si="5"/>
        <v>30</v>
      </c>
      <c r="Z64" s="185">
        <f>SUMIFS(meghsteelsales_previousmonth[Quantity],meghsteelsales_previousmonth[Length Bucket],M64)/1000</f>
        <v>0</v>
      </c>
      <c r="AA64" s="185">
        <f>SUMIFS(meghsteelsales_currentmonth[Quantity],meghsteelsales_currentmonth[Length Bucket],M64)/1000</f>
        <v>0</v>
      </c>
      <c r="AB64" s="185">
        <f t="shared" si="6"/>
        <v>30</v>
      </c>
      <c r="AC64" s="185">
        <f t="shared" si="7"/>
        <v>30</v>
      </c>
      <c r="AD64" s="267"/>
      <c r="AE64" s="292" t="s">
        <v>6230</v>
      </c>
      <c r="AF64" s="185" t="str">
        <f>Table25[[#This Row],[OEM]]</f>
        <v>TVS</v>
      </c>
      <c r="AG64" s="185" t="str">
        <f>Table25[[#This Row],[plant]]</f>
        <v>056</v>
      </c>
    </row>
    <row r="65" spans="1:33" x14ac:dyDescent="0.25">
      <c r="A65" s="265" t="s">
        <v>10</v>
      </c>
      <c r="B65" s="147" t="s">
        <v>346</v>
      </c>
      <c r="C65" s="153" t="s">
        <v>338</v>
      </c>
      <c r="D65" s="147" t="s">
        <v>348</v>
      </c>
      <c r="E65" s="147" t="s">
        <v>340</v>
      </c>
      <c r="F65" s="148">
        <v>57.15</v>
      </c>
      <c r="G65" s="148"/>
      <c r="H65" s="148">
        <v>2.5</v>
      </c>
      <c r="I65" s="147">
        <v>6100</v>
      </c>
      <c r="J65" s="147">
        <v>6.1</v>
      </c>
      <c r="K65" s="147" t="str">
        <f t="shared" si="0"/>
        <v>57.152.56.1ERWFIN CUT</v>
      </c>
      <c r="L65" s="147" t="str">
        <f>VLOOKUP(K65,'VSM May Indent'!$K$1:$O$61,4,0)</f>
        <v>57.15-0-2.5-ERW 1-FC</v>
      </c>
      <c r="M65" s="147" t="str">
        <f>VLOOKUP(K65,'VSM May Indent'!$K$1:$O$61,5,0)</f>
        <v>57.15-0-2.5-ERW 1-FC-6.1</v>
      </c>
      <c r="N65" s="151" t="s">
        <v>367</v>
      </c>
      <c r="O65" s="150">
        <v>3910001</v>
      </c>
      <c r="P65" s="19">
        <v>65</v>
      </c>
      <c r="Q65" s="147">
        <v>25</v>
      </c>
      <c r="R65" s="147">
        <v>59</v>
      </c>
      <c r="S65" s="147"/>
      <c r="T65" s="147">
        <f t="shared" si="1"/>
        <v>34</v>
      </c>
      <c r="U65" s="301"/>
      <c r="V65" s="147">
        <f t="shared" si="2"/>
        <v>34</v>
      </c>
      <c r="W65" s="19">
        <f t="shared" si="3"/>
        <v>37.5</v>
      </c>
      <c r="X65" s="297">
        <f t="shared" si="4"/>
        <v>37.5</v>
      </c>
      <c r="Y65" s="167">
        <f t="shared" si="5"/>
        <v>37.5</v>
      </c>
      <c r="Z65" s="185">
        <f>SUMIFS(meghsteelsales_previousmonth[Quantity],meghsteelsales_previousmonth[Length Bucket],M65)/1000</f>
        <v>0</v>
      </c>
      <c r="AA65" s="185">
        <f>SUMIFS(meghsteelsales_currentmonth[Quantity],meghsteelsales_currentmonth[Length Bucket],M65)/1000</f>
        <v>52.086044999999999</v>
      </c>
      <c r="AB65" s="185">
        <f t="shared" si="6"/>
        <v>0</v>
      </c>
      <c r="AC65" s="185">
        <f t="shared" si="7"/>
        <v>-14.586044999999999</v>
      </c>
      <c r="AD65" s="267">
        <f>L97</f>
        <v>35</v>
      </c>
      <c r="AE65" s="185">
        <f>M97</f>
        <v>9518796894</v>
      </c>
      <c r="AF65" s="185"/>
      <c r="AG65" s="185"/>
    </row>
    <row r="66" spans="1:33" x14ac:dyDescent="0.25">
      <c r="A66" s="265" t="s">
        <v>10</v>
      </c>
      <c r="B66" s="147" t="s">
        <v>346</v>
      </c>
      <c r="C66" s="147" t="s">
        <v>338</v>
      </c>
      <c r="D66" s="147" t="s">
        <v>348</v>
      </c>
      <c r="E66" s="147" t="s">
        <v>340</v>
      </c>
      <c r="F66" s="148">
        <v>57.15</v>
      </c>
      <c r="G66" s="148"/>
      <c r="H66" s="148">
        <v>2.5</v>
      </c>
      <c r="I66" s="147">
        <v>5750</v>
      </c>
      <c r="J66" s="147">
        <v>5.75</v>
      </c>
      <c r="K66" s="147" t="str">
        <f t="shared" si="0"/>
        <v>57.152.55.75ERWFIN CUT</v>
      </c>
      <c r="L66" s="147" t="str">
        <f>VLOOKUP(K66,'VSM May Indent'!$K$1:$O$61,4,0)</f>
        <v>57.15-0-2.5-ERW 1-FC</v>
      </c>
      <c r="M66" s="147" t="str">
        <f>VLOOKUP(K66,'VSM May Indent'!$K$1:$O$61,5,0)</f>
        <v>57.15-0-2.5-ERW 1-FC-5.75</v>
      </c>
      <c r="N66" s="151" t="s">
        <v>367</v>
      </c>
      <c r="O66" s="150">
        <v>3501047</v>
      </c>
      <c r="P66" s="19">
        <v>30</v>
      </c>
      <c r="Q66" s="147">
        <v>0</v>
      </c>
      <c r="R66" s="147">
        <v>0</v>
      </c>
      <c r="S66" s="147"/>
      <c r="T66" s="147">
        <f t="shared" si="1"/>
        <v>0</v>
      </c>
      <c r="U66" s="301"/>
      <c r="V66" s="147">
        <f t="shared" si="2"/>
        <v>0</v>
      </c>
      <c r="W66" s="19">
        <f t="shared" si="3"/>
        <v>33</v>
      </c>
      <c r="X66" s="297">
        <f t="shared" si="4"/>
        <v>33</v>
      </c>
      <c r="Y66" s="167">
        <f t="shared" si="5"/>
        <v>33</v>
      </c>
      <c r="Z66" s="185">
        <f>SUMIFS(meghsteelsales_previousmonth[Quantity],meghsteelsales_previousmonth[Length Bucket],M66)/1000</f>
        <v>9.4640000000000004</v>
      </c>
      <c r="AA66" s="185">
        <f>SUMIFS(meghsteelsales_currentmonth[Quantity],meghsteelsales_currentmonth[Length Bucket],M66)/1000</f>
        <v>15.74</v>
      </c>
      <c r="AB66" s="185">
        <f t="shared" si="6"/>
        <v>7.7960000000000012</v>
      </c>
      <c r="AC66" s="185">
        <f t="shared" si="7"/>
        <v>7.7960000000000012</v>
      </c>
      <c r="AD66" s="267">
        <v>24</v>
      </c>
      <c r="AE66" s="185">
        <f>M99</f>
        <v>9518796894</v>
      </c>
      <c r="AF66" s="185"/>
      <c r="AG66" s="185"/>
    </row>
    <row r="67" spans="1:33" x14ac:dyDescent="0.25">
      <c r="A67" s="265" t="s">
        <v>341</v>
      </c>
      <c r="B67" s="147" t="s">
        <v>342</v>
      </c>
      <c r="C67" s="153" t="s">
        <v>338</v>
      </c>
      <c r="D67" s="147" t="s">
        <v>348</v>
      </c>
      <c r="E67" s="147" t="s">
        <v>340</v>
      </c>
      <c r="F67" s="148">
        <v>57.15</v>
      </c>
      <c r="G67" s="148"/>
      <c r="H67" s="148">
        <v>3</v>
      </c>
      <c r="I67" s="147">
        <v>5650</v>
      </c>
      <c r="J67" s="147">
        <v>5.65</v>
      </c>
      <c r="K67" s="147" t="str">
        <f t="shared" ref="K67:K68" si="8">_xlfn.CONCAT(F67,H67,J67,E67,D67)</f>
        <v>57.1535.65ERWFIN CUT</v>
      </c>
      <c r="L67" s="147" t="str">
        <f>VLOOKUP(K67,'VSM May Indent'!$K$1:$O$61,4,0)</f>
        <v>No Key</v>
      </c>
      <c r="M67" s="147" t="str">
        <f>VLOOKUP(K67,'VSM May Indent'!$K$1:$O$61,5,0)</f>
        <v>No Key</v>
      </c>
      <c r="N67" s="151" t="s">
        <v>367</v>
      </c>
      <c r="O67" s="150">
        <v>3501105</v>
      </c>
      <c r="P67" s="19">
        <v>0</v>
      </c>
      <c r="Q67" s="147">
        <v>0</v>
      </c>
      <c r="R67" s="147">
        <v>0</v>
      </c>
      <c r="S67" s="147"/>
      <c r="T67" s="147">
        <f t="shared" si="1"/>
        <v>0</v>
      </c>
      <c r="U67" s="147"/>
      <c r="V67" s="147">
        <f t="shared" si="2"/>
        <v>0</v>
      </c>
      <c r="W67" s="19">
        <f t="shared" si="3"/>
        <v>0</v>
      </c>
      <c r="X67" s="167">
        <f t="shared" si="4"/>
        <v>0</v>
      </c>
      <c r="Y67" s="167">
        <f t="shared" ref="Y67:Y68" si="9">X67+U67</f>
        <v>0</v>
      </c>
      <c r="Z67" s="185">
        <f>SUMIFS(meghsteelsales_previousmonth[Quantity],meghsteelsales_previousmonth[Length Bucket],M67)/1000</f>
        <v>0</v>
      </c>
      <c r="AA67" s="185">
        <f>SUMIFS(meghsteelsales_currentmonth[Quantity],meghsteelsales_currentmonth[Length Bucket],M67)/1000</f>
        <v>0</v>
      </c>
      <c r="AB67" s="185">
        <f t="shared" ref="AB67:AB68" si="10">IF((X67-Z67-AA67)&lt;0,0,(X67-Z67-AA67))</f>
        <v>0</v>
      </c>
      <c r="AC67" s="185">
        <f t="shared" ref="AC67:AC68" si="11">Y67-Z67-AA67</f>
        <v>0</v>
      </c>
      <c r="AD67" s="267"/>
      <c r="AE67" s="185"/>
      <c r="AF67" s="185"/>
      <c r="AG67" s="185"/>
    </row>
    <row r="68" spans="1:33" s="45" customFormat="1" x14ac:dyDescent="0.25">
      <c r="A68" s="281" t="s">
        <v>10</v>
      </c>
      <c r="B68" s="282" t="s">
        <v>112</v>
      </c>
      <c r="C68" s="283" t="s">
        <v>338</v>
      </c>
      <c r="D68" s="282" t="s">
        <v>348</v>
      </c>
      <c r="E68" s="282" t="s">
        <v>340</v>
      </c>
      <c r="F68" s="284">
        <v>60.3</v>
      </c>
      <c r="G68" s="284"/>
      <c r="H68" s="284">
        <v>2</v>
      </c>
      <c r="I68" s="282">
        <v>5900</v>
      </c>
      <c r="J68" s="282">
        <v>5.9</v>
      </c>
      <c r="K68" s="285" t="str">
        <f t="shared" si="8"/>
        <v>60.325.9ERWFIN CUT</v>
      </c>
      <c r="L68" s="285" t="str">
        <f>VLOOKUP(K68,'VSM May Indent'!$K$1:$O$61,4,0)</f>
        <v>60.3-0-2-ERW 1-FC</v>
      </c>
      <c r="M68" s="285" t="str">
        <f>VLOOKUP(K68,'VSM May Indent'!$K$1:$O$61,5,0)</f>
        <v>60.3-0-2-ERW 1-FC-5.9</v>
      </c>
      <c r="N68" s="286" t="s">
        <v>362</v>
      </c>
      <c r="O68" s="287">
        <v>3905049</v>
      </c>
      <c r="P68" s="288">
        <v>30</v>
      </c>
      <c r="Q68" s="282">
        <v>5</v>
      </c>
      <c r="R68" s="282">
        <v>29</v>
      </c>
      <c r="S68" s="282"/>
      <c r="T68" s="282">
        <f t="shared" si="1"/>
        <v>24</v>
      </c>
      <c r="U68" s="302"/>
      <c r="V68" s="282">
        <f t="shared" si="2"/>
        <v>24</v>
      </c>
      <c r="W68" s="288">
        <f t="shared" si="3"/>
        <v>9</v>
      </c>
      <c r="X68" s="298">
        <f t="shared" si="4"/>
        <v>9</v>
      </c>
      <c r="Y68" s="289">
        <f t="shared" si="9"/>
        <v>9</v>
      </c>
      <c r="Z68" s="290">
        <f>SUMIFS(meghsteelsales_previousmonth[Quantity],meghsteelsales_previousmonth[Length Bucket],M68)/1000</f>
        <v>42.22</v>
      </c>
      <c r="AA68" s="290">
        <f>SUMIFS(meghsteelsales_currentmonth[Quantity],meghsteelsales_currentmonth[Length Bucket],M68)/1000</f>
        <v>14.679999999999998</v>
      </c>
      <c r="AB68" s="290">
        <f t="shared" si="10"/>
        <v>0</v>
      </c>
      <c r="AC68" s="290">
        <f t="shared" si="11"/>
        <v>-47.9</v>
      </c>
      <c r="AD68" s="291"/>
      <c r="AE68" s="295"/>
      <c r="AF68" s="295"/>
      <c r="AG68" s="295"/>
    </row>
    <row r="69" spans="1:33" x14ac:dyDescent="0.25">
      <c r="I69" s="152" t="s">
        <v>372</v>
      </c>
      <c r="J69" s="152"/>
      <c r="K69" s="152"/>
      <c r="L69" s="152"/>
      <c r="M69" s="147"/>
      <c r="N69" s="152"/>
      <c r="O69" s="197"/>
      <c r="P69" s="152">
        <f t="shared" ref="P69:X69" si="12">SUM(P2:P68)</f>
        <v>1042</v>
      </c>
      <c r="Q69" s="152">
        <f t="shared" si="12"/>
        <v>276.5</v>
      </c>
      <c r="R69" s="152">
        <f t="shared" si="12"/>
        <v>663.3</v>
      </c>
      <c r="S69" s="152">
        <f t="shared" si="12"/>
        <v>44</v>
      </c>
      <c r="T69" s="152">
        <f t="shared" si="12"/>
        <v>386.79999999999995</v>
      </c>
      <c r="U69" s="303">
        <f t="shared" si="12"/>
        <v>348.8</v>
      </c>
      <c r="V69" s="152">
        <f t="shared" si="12"/>
        <v>779.59999999999991</v>
      </c>
      <c r="W69" s="152">
        <f t="shared" si="12"/>
        <v>163.10000000000002</v>
      </c>
      <c r="X69" s="299">
        <f t="shared" si="12"/>
        <v>695.1</v>
      </c>
      <c r="Y69" s="172"/>
      <c r="Z69" s="185">
        <f>SUM(Z2:Z68)</f>
        <v>589.63679999999999</v>
      </c>
      <c r="AA69" s="185">
        <f>SUM(AA2:AA68)</f>
        <v>690.33727299999987</v>
      </c>
      <c r="AC69" s="185">
        <f>SUM(AC2:AC68)</f>
        <v>-236.07407299999991</v>
      </c>
    </row>
    <row r="70" spans="1:33" x14ac:dyDescent="0.25">
      <c r="O70" s="198"/>
      <c r="W70"/>
      <c r="Y70" s="173"/>
    </row>
    <row r="71" spans="1:33" ht="38.25" x14ac:dyDescent="0.25">
      <c r="A71" s="255" t="s">
        <v>2</v>
      </c>
      <c r="B71" s="255" t="s">
        <v>258</v>
      </c>
      <c r="C71" s="256" t="s">
        <v>6234</v>
      </c>
      <c r="D71" s="256" t="s">
        <v>314</v>
      </c>
      <c r="E71" s="255" t="s">
        <v>315</v>
      </c>
      <c r="F71" s="255" t="s">
        <v>316</v>
      </c>
      <c r="G71" s="255" t="s">
        <v>317</v>
      </c>
      <c r="H71" s="255" t="s">
        <v>318</v>
      </c>
      <c r="I71" s="255" t="s">
        <v>319</v>
      </c>
      <c r="J71" s="255" t="s">
        <v>322</v>
      </c>
      <c r="K71" s="257" t="s">
        <v>323</v>
      </c>
      <c r="L71" s="258" t="s">
        <v>6235</v>
      </c>
      <c r="M71" s="259" t="s">
        <v>6236</v>
      </c>
      <c r="N71" s="259" t="s">
        <v>378</v>
      </c>
      <c r="O71" s="198"/>
      <c r="W71"/>
      <c r="Y71" s="173"/>
    </row>
    <row r="72" spans="1:33" x14ac:dyDescent="0.25">
      <c r="A72" s="260" t="s">
        <v>10</v>
      </c>
      <c r="B72" s="260" t="s">
        <v>116</v>
      </c>
      <c r="C72" s="260" t="s">
        <v>338</v>
      </c>
      <c r="D72" s="260" t="s">
        <v>339</v>
      </c>
      <c r="E72" s="260" t="s">
        <v>340</v>
      </c>
      <c r="F72" s="260">
        <v>12.7</v>
      </c>
      <c r="G72" s="261"/>
      <c r="H72" s="260">
        <v>1.2</v>
      </c>
      <c r="I72" s="260">
        <v>6000</v>
      </c>
      <c r="J72" s="260">
        <v>789</v>
      </c>
      <c r="K72" s="260">
        <v>1939985</v>
      </c>
      <c r="L72" s="262">
        <v>5</v>
      </c>
      <c r="M72" s="260">
        <v>9518796938</v>
      </c>
      <c r="N72" s="260" t="s">
        <v>6237</v>
      </c>
      <c r="O72" s="198"/>
      <c r="W72"/>
      <c r="Y72" s="173"/>
      <c r="AB72" cm="1">
        <f t="array" ref="AB72:AB81">_xlfn.UNIQUE(M72:M104)</f>
        <v>9518796938</v>
      </c>
    </row>
    <row r="73" spans="1:33" x14ac:dyDescent="0.25">
      <c r="A73" s="260" t="s">
        <v>10</v>
      </c>
      <c r="B73" s="260" t="s">
        <v>116</v>
      </c>
      <c r="C73" s="260" t="s">
        <v>338</v>
      </c>
      <c r="D73" s="260" t="s">
        <v>339</v>
      </c>
      <c r="E73" s="260" t="s">
        <v>340</v>
      </c>
      <c r="F73" s="260">
        <v>15.88</v>
      </c>
      <c r="G73" s="261"/>
      <c r="H73" s="260">
        <v>1.2</v>
      </c>
      <c r="I73" s="260">
        <v>6000</v>
      </c>
      <c r="J73" s="260">
        <v>789</v>
      </c>
      <c r="K73" s="260">
        <v>1940054</v>
      </c>
      <c r="L73" s="262">
        <v>6</v>
      </c>
      <c r="M73" s="260">
        <v>9518796938</v>
      </c>
      <c r="N73" s="260" t="s">
        <v>6237</v>
      </c>
      <c r="O73" s="198"/>
      <c r="W73"/>
      <c r="Y73" s="173"/>
      <c r="AB73">
        <v>9518797070</v>
      </c>
    </row>
    <row r="74" spans="1:33" x14ac:dyDescent="0.25">
      <c r="A74" s="260" t="s">
        <v>341</v>
      </c>
      <c r="B74" s="260" t="s">
        <v>342</v>
      </c>
      <c r="C74" s="260" t="s">
        <v>338</v>
      </c>
      <c r="D74" s="260" t="s">
        <v>339</v>
      </c>
      <c r="E74" s="260" t="s">
        <v>340</v>
      </c>
      <c r="F74" s="260">
        <v>15.88</v>
      </c>
      <c r="G74" s="261"/>
      <c r="H74" s="260">
        <v>1.6</v>
      </c>
      <c r="I74" s="260">
        <v>6000</v>
      </c>
      <c r="J74" s="260">
        <v>789</v>
      </c>
      <c r="K74" s="260">
        <v>1900224</v>
      </c>
      <c r="L74" s="262">
        <v>6</v>
      </c>
      <c r="M74" s="260">
        <v>9518797070</v>
      </c>
      <c r="N74" s="260" t="s">
        <v>6237</v>
      </c>
      <c r="O74" s="198"/>
      <c r="W74"/>
      <c r="Y74" s="173"/>
      <c r="AB74">
        <v>9518797028</v>
      </c>
    </row>
    <row r="75" spans="1:33" x14ac:dyDescent="0.25">
      <c r="A75" s="260" t="s">
        <v>10</v>
      </c>
      <c r="B75" s="260" t="s">
        <v>343</v>
      </c>
      <c r="C75" s="260" t="s">
        <v>338</v>
      </c>
      <c r="D75" s="260" t="s">
        <v>339</v>
      </c>
      <c r="E75" s="260" t="s">
        <v>340</v>
      </c>
      <c r="F75" s="260">
        <v>18.3</v>
      </c>
      <c r="G75" s="261"/>
      <c r="H75" s="260">
        <v>1</v>
      </c>
      <c r="I75" s="260">
        <v>6000</v>
      </c>
      <c r="J75" s="260">
        <v>789</v>
      </c>
      <c r="K75" s="260">
        <v>2288945</v>
      </c>
      <c r="L75" s="262">
        <v>10</v>
      </c>
      <c r="M75" s="260">
        <v>9518796938</v>
      </c>
      <c r="N75" s="260" t="s">
        <v>6237</v>
      </c>
      <c r="O75" s="198"/>
      <c r="W75"/>
      <c r="Y75" s="173"/>
      <c r="AB75">
        <v>9518796894</v>
      </c>
    </row>
    <row r="76" spans="1:33" x14ac:dyDescent="0.25">
      <c r="A76" s="260" t="s">
        <v>341</v>
      </c>
      <c r="B76" s="260" t="s">
        <v>342</v>
      </c>
      <c r="C76" s="260" t="s">
        <v>338</v>
      </c>
      <c r="D76" s="260" t="s">
        <v>339</v>
      </c>
      <c r="E76" s="260" t="s">
        <v>340</v>
      </c>
      <c r="F76" s="260">
        <v>19.05</v>
      </c>
      <c r="G76" s="261"/>
      <c r="H76" s="260">
        <v>1.6</v>
      </c>
      <c r="I76" s="260">
        <v>6000</v>
      </c>
      <c r="J76" s="260">
        <v>56</v>
      </c>
      <c r="K76" s="260">
        <v>3498997</v>
      </c>
      <c r="L76" s="262">
        <v>5</v>
      </c>
      <c r="M76" s="260">
        <v>9518797028</v>
      </c>
      <c r="N76" s="260" t="s">
        <v>6237</v>
      </c>
      <c r="O76" s="198"/>
      <c r="W76"/>
      <c r="Y76" s="173"/>
      <c r="AB76">
        <v>9518797094</v>
      </c>
    </row>
    <row r="77" spans="1:33" x14ac:dyDescent="0.25">
      <c r="A77" s="260" t="s">
        <v>10</v>
      </c>
      <c r="B77" s="260" t="s">
        <v>116</v>
      </c>
      <c r="C77" s="260" t="s">
        <v>338</v>
      </c>
      <c r="D77" s="260" t="s">
        <v>339</v>
      </c>
      <c r="E77" s="260" t="s">
        <v>340</v>
      </c>
      <c r="F77" s="260">
        <v>22.2</v>
      </c>
      <c r="G77" s="261"/>
      <c r="H77" s="260">
        <v>1.2</v>
      </c>
      <c r="I77" s="260">
        <v>5870</v>
      </c>
      <c r="J77" s="260">
        <v>56</v>
      </c>
      <c r="K77" s="260">
        <v>3882110</v>
      </c>
      <c r="L77" s="262">
        <v>12</v>
      </c>
      <c r="M77" s="260">
        <v>9518796894</v>
      </c>
      <c r="N77" s="260" t="s">
        <v>6237</v>
      </c>
      <c r="O77" s="198"/>
      <c r="W77"/>
      <c r="Y77" s="173"/>
      <c r="AB77">
        <v>9518797132</v>
      </c>
    </row>
    <row r="78" spans="1:33" x14ac:dyDescent="0.25">
      <c r="A78" s="260" t="s">
        <v>10</v>
      </c>
      <c r="B78" s="260" t="s">
        <v>116</v>
      </c>
      <c r="C78" s="260" t="s">
        <v>338</v>
      </c>
      <c r="D78" s="260" t="s">
        <v>339</v>
      </c>
      <c r="E78" s="260" t="s">
        <v>340</v>
      </c>
      <c r="F78" s="260">
        <v>22.2</v>
      </c>
      <c r="G78" s="261"/>
      <c r="H78" s="260">
        <v>2</v>
      </c>
      <c r="I78" s="260">
        <v>5950</v>
      </c>
      <c r="J78" s="260">
        <v>56</v>
      </c>
      <c r="K78" s="260">
        <v>3905466</v>
      </c>
      <c r="L78" s="262">
        <v>52</v>
      </c>
      <c r="M78" s="260">
        <v>9518796894</v>
      </c>
      <c r="N78" s="260" t="s">
        <v>6237</v>
      </c>
      <c r="O78" s="198"/>
      <c r="W78"/>
      <c r="Y78" s="173"/>
      <c r="AB78">
        <v>9518799539</v>
      </c>
    </row>
    <row r="79" spans="1:33" x14ac:dyDescent="0.25">
      <c r="A79" s="260" t="s">
        <v>10</v>
      </c>
      <c r="B79" s="260" t="s">
        <v>116</v>
      </c>
      <c r="C79" s="260" t="s">
        <v>338</v>
      </c>
      <c r="D79" s="260" t="s">
        <v>339</v>
      </c>
      <c r="E79" s="260" t="s">
        <v>340</v>
      </c>
      <c r="F79" s="260">
        <v>22.2</v>
      </c>
      <c r="G79" s="261"/>
      <c r="H79" s="260">
        <v>2</v>
      </c>
      <c r="I79" s="260">
        <v>5100</v>
      </c>
      <c r="J79" s="260">
        <v>56</v>
      </c>
      <c r="K79" s="260">
        <v>3500554</v>
      </c>
      <c r="L79" s="262">
        <v>7</v>
      </c>
      <c r="M79" s="260">
        <v>9518796894</v>
      </c>
      <c r="N79" s="260" t="s">
        <v>6237</v>
      </c>
      <c r="O79" s="198"/>
      <c r="W79"/>
      <c r="Y79" s="173"/>
      <c r="AB79" t="str">
        <v>MCR - 1485036</v>
      </c>
    </row>
    <row r="80" spans="1:33" x14ac:dyDescent="0.25">
      <c r="A80" s="260" t="s">
        <v>10</v>
      </c>
      <c r="B80" s="260" t="s">
        <v>116</v>
      </c>
      <c r="C80" s="260" t="s">
        <v>344</v>
      </c>
      <c r="D80" s="260" t="s">
        <v>348</v>
      </c>
      <c r="E80" s="260" t="s">
        <v>349</v>
      </c>
      <c r="F80" s="260">
        <v>22.2</v>
      </c>
      <c r="G80" s="261"/>
      <c r="H80" s="260">
        <v>2</v>
      </c>
      <c r="I80" s="260">
        <v>6000</v>
      </c>
      <c r="J80" s="260">
        <v>56</v>
      </c>
      <c r="K80" s="260">
        <v>3502494</v>
      </c>
      <c r="L80" s="262">
        <v>10</v>
      </c>
      <c r="M80" s="260">
        <v>9518796894</v>
      </c>
      <c r="N80" s="260" t="s">
        <v>6237</v>
      </c>
      <c r="O80" s="198"/>
      <c r="W80"/>
      <c r="Y80" s="173"/>
      <c r="AB80" t="str">
        <v>MCR - 1485035</v>
      </c>
    </row>
    <row r="81" spans="1:28" x14ac:dyDescent="0.25">
      <c r="A81" s="260" t="s">
        <v>341</v>
      </c>
      <c r="B81" s="260" t="s">
        <v>342</v>
      </c>
      <c r="C81" s="260" t="s">
        <v>350</v>
      </c>
      <c r="D81" s="260" t="s">
        <v>348</v>
      </c>
      <c r="E81" s="260" t="s">
        <v>6238</v>
      </c>
      <c r="F81" s="260">
        <v>22.2</v>
      </c>
      <c r="G81" s="261"/>
      <c r="H81" s="260">
        <v>2</v>
      </c>
      <c r="I81" s="260">
        <v>5390</v>
      </c>
      <c r="J81" s="260">
        <v>789</v>
      </c>
      <c r="K81" s="260">
        <v>2431251</v>
      </c>
      <c r="L81" s="262">
        <v>24</v>
      </c>
      <c r="M81" s="260">
        <v>9518797070</v>
      </c>
      <c r="N81" s="260" t="s">
        <v>6237</v>
      </c>
      <c r="O81" s="198"/>
      <c r="W81"/>
      <c r="Y81" s="173"/>
      <c r="AB81" t="str">
        <v>MCR - 42107</v>
      </c>
    </row>
    <row r="82" spans="1:28" x14ac:dyDescent="0.25">
      <c r="A82" s="260" t="s">
        <v>341</v>
      </c>
      <c r="B82" s="260" t="s">
        <v>342</v>
      </c>
      <c r="C82" s="260" t="s">
        <v>338</v>
      </c>
      <c r="D82" s="260" t="s">
        <v>348</v>
      </c>
      <c r="E82" s="260" t="s">
        <v>340</v>
      </c>
      <c r="F82" s="260">
        <v>25.4</v>
      </c>
      <c r="G82" s="261"/>
      <c r="H82" s="260">
        <v>1.4</v>
      </c>
      <c r="I82" s="260">
        <v>6060</v>
      </c>
      <c r="J82" s="260">
        <v>789</v>
      </c>
      <c r="K82" s="260">
        <v>3557792</v>
      </c>
      <c r="L82" s="262">
        <v>11</v>
      </c>
      <c r="M82" s="260">
        <v>9518797070</v>
      </c>
      <c r="N82" s="260" t="s">
        <v>6237</v>
      </c>
      <c r="O82" s="198"/>
      <c r="W82"/>
      <c r="Y82" s="173"/>
    </row>
    <row r="83" spans="1:28" x14ac:dyDescent="0.25">
      <c r="A83" s="260" t="s">
        <v>10</v>
      </c>
      <c r="B83" s="260" t="s">
        <v>346</v>
      </c>
      <c r="C83" s="260" t="s">
        <v>338</v>
      </c>
      <c r="D83" s="260" t="s">
        <v>348</v>
      </c>
      <c r="E83" s="260" t="s">
        <v>340</v>
      </c>
      <c r="F83" s="260">
        <v>28.6</v>
      </c>
      <c r="G83" s="261"/>
      <c r="H83" s="260">
        <v>1.2</v>
      </c>
      <c r="I83" s="260">
        <v>6000</v>
      </c>
      <c r="J83" s="260">
        <v>789</v>
      </c>
      <c r="K83" s="255">
        <v>3702101</v>
      </c>
      <c r="L83" s="262">
        <v>3</v>
      </c>
      <c r="M83" s="260">
        <v>9518797070</v>
      </c>
      <c r="N83" s="260" t="s">
        <v>6237</v>
      </c>
      <c r="O83" s="198"/>
      <c r="W83"/>
      <c r="Y83" s="173"/>
    </row>
    <row r="84" spans="1:28" x14ac:dyDescent="0.25">
      <c r="A84" s="260" t="s">
        <v>5</v>
      </c>
      <c r="B84" s="260" t="s">
        <v>358</v>
      </c>
      <c r="C84" s="260" t="s">
        <v>338</v>
      </c>
      <c r="D84" s="260" t="s">
        <v>348</v>
      </c>
      <c r="E84" s="260" t="s">
        <v>340</v>
      </c>
      <c r="F84" s="260">
        <v>34.93</v>
      </c>
      <c r="G84" s="261"/>
      <c r="H84" s="260">
        <v>1.2</v>
      </c>
      <c r="I84" s="260">
        <v>620</v>
      </c>
      <c r="J84" s="260">
        <v>789</v>
      </c>
      <c r="K84" s="260">
        <v>2397073</v>
      </c>
      <c r="L84" s="262">
        <v>11</v>
      </c>
      <c r="M84" s="260">
        <v>9518797094</v>
      </c>
      <c r="N84" s="260" t="s">
        <v>6237</v>
      </c>
      <c r="O84" s="198"/>
      <c r="W84"/>
      <c r="Y84" s="173"/>
    </row>
    <row r="85" spans="1:28" x14ac:dyDescent="0.25">
      <c r="A85" s="260" t="s">
        <v>5</v>
      </c>
      <c r="B85" s="260" t="s">
        <v>359</v>
      </c>
      <c r="C85" s="260" t="s">
        <v>338</v>
      </c>
      <c r="D85" s="260" t="s">
        <v>348</v>
      </c>
      <c r="E85" s="260" t="s">
        <v>340</v>
      </c>
      <c r="F85" s="260">
        <v>34.93</v>
      </c>
      <c r="G85" s="261"/>
      <c r="H85" s="260">
        <v>1.2</v>
      </c>
      <c r="I85" s="260">
        <v>700</v>
      </c>
      <c r="J85" s="260">
        <v>789</v>
      </c>
      <c r="K85" s="260">
        <v>3649699</v>
      </c>
      <c r="L85" s="262">
        <v>11</v>
      </c>
      <c r="M85" s="260">
        <v>9518797094</v>
      </c>
      <c r="N85" s="260" t="s">
        <v>6237</v>
      </c>
      <c r="O85" s="198"/>
      <c r="W85"/>
      <c r="Y85" s="173"/>
    </row>
    <row r="86" spans="1:28" x14ac:dyDescent="0.25">
      <c r="A86" s="260" t="s">
        <v>10</v>
      </c>
      <c r="B86" s="260" t="s">
        <v>346</v>
      </c>
      <c r="C86" s="260" t="s">
        <v>360</v>
      </c>
      <c r="D86" s="260" t="s">
        <v>348</v>
      </c>
      <c r="E86" s="260" t="s">
        <v>349</v>
      </c>
      <c r="F86" s="260">
        <v>38.1</v>
      </c>
      <c r="G86" s="261"/>
      <c r="H86" s="260">
        <v>1.6</v>
      </c>
      <c r="I86" s="260">
        <v>6190</v>
      </c>
      <c r="J86" s="260">
        <v>56</v>
      </c>
      <c r="K86" s="260">
        <v>3502254</v>
      </c>
      <c r="L86" s="262">
        <v>33</v>
      </c>
      <c r="M86" s="260">
        <v>9518796894</v>
      </c>
      <c r="N86" s="260" t="s">
        <v>6237</v>
      </c>
      <c r="O86" s="198"/>
      <c r="W86"/>
      <c r="Y86" s="173"/>
    </row>
    <row r="87" spans="1:28" x14ac:dyDescent="0.25">
      <c r="A87" s="260" t="s">
        <v>10</v>
      </c>
      <c r="B87" s="260" t="s">
        <v>112</v>
      </c>
      <c r="C87" s="260" t="s">
        <v>338</v>
      </c>
      <c r="D87" s="260" t="s">
        <v>348</v>
      </c>
      <c r="E87" s="260" t="s">
        <v>340</v>
      </c>
      <c r="F87" s="260" t="s">
        <v>363</v>
      </c>
      <c r="G87" s="261"/>
      <c r="H87" s="260">
        <v>1.6</v>
      </c>
      <c r="I87" s="260">
        <v>5880</v>
      </c>
      <c r="J87" s="260">
        <v>789</v>
      </c>
      <c r="K87" s="260">
        <v>3919145</v>
      </c>
      <c r="L87" s="262">
        <v>5</v>
      </c>
      <c r="M87" s="260">
        <v>9518796938</v>
      </c>
      <c r="N87" s="260" t="s">
        <v>6237</v>
      </c>
      <c r="O87" s="198"/>
      <c r="W87"/>
      <c r="Y87" s="173"/>
    </row>
    <row r="88" spans="1:28" x14ac:dyDescent="0.25">
      <c r="A88" s="260" t="s">
        <v>341</v>
      </c>
      <c r="B88" s="260" t="s">
        <v>342</v>
      </c>
      <c r="C88" s="260" t="s">
        <v>338</v>
      </c>
      <c r="D88" s="260" t="s">
        <v>348</v>
      </c>
      <c r="E88" s="260" t="s">
        <v>340</v>
      </c>
      <c r="F88" s="260">
        <v>41.28</v>
      </c>
      <c r="G88" s="261"/>
      <c r="H88" s="260">
        <v>3.15</v>
      </c>
      <c r="I88" s="260">
        <v>5860</v>
      </c>
      <c r="J88" s="260">
        <v>789</v>
      </c>
      <c r="K88" s="255">
        <v>3673889</v>
      </c>
      <c r="L88" s="262">
        <v>4</v>
      </c>
      <c r="M88" s="260">
        <v>9518797132</v>
      </c>
      <c r="N88" s="260" t="s">
        <v>6237</v>
      </c>
      <c r="O88" s="198"/>
      <c r="W88"/>
      <c r="Y88" s="173"/>
    </row>
    <row r="89" spans="1:28" x14ac:dyDescent="0.25">
      <c r="A89" s="260" t="s">
        <v>10</v>
      </c>
      <c r="B89" s="260" t="s">
        <v>346</v>
      </c>
      <c r="C89" s="260" t="s">
        <v>338</v>
      </c>
      <c r="D89" s="260" t="s">
        <v>348</v>
      </c>
      <c r="E89" s="260" t="s">
        <v>340</v>
      </c>
      <c r="F89" s="260" t="s">
        <v>365</v>
      </c>
      <c r="G89" s="261"/>
      <c r="H89" s="260">
        <v>1.6</v>
      </c>
      <c r="I89" s="260">
        <v>5900</v>
      </c>
      <c r="J89" s="260">
        <v>789</v>
      </c>
      <c r="K89" s="255">
        <v>3925391</v>
      </c>
      <c r="L89" s="262">
        <v>6</v>
      </c>
      <c r="M89" s="260">
        <v>9518799539</v>
      </c>
      <c r="N89" s="260" t="s">
        <v>6237</v>
      </c>
      <c r="O89" s="198"/>
      <c r="W89"/>
      <c r="Y89" s="173"/>
    </row>
    <row r="90" spans="1:28" x14ac:dyDescent="0.25">
      <c r="A90" s="260" t="s">
        <v>341</v>
      </c>
      <c r="B90" s="260" t="s">
        <v>342</v>
      </c>
      <c r="C90" s="260" t="s">
        <v>344</v>
      </c>
      <c r="D90" s="260" t="s">
        <v>348</v>
      </c>
      <c r="E90" s="260" t="s">
        <v>349</v>
      </c>
      <c r="F90" s="260">
        <v>45</v>
      </c>
      <c r="G90" s="261"/>
      <c r="H90" s="260">
        <v>1.6</v>
      </c>
      <c r="I90" s="260">
        <v>6400</v>
      </c>
      <c r="J90" s="260">
        <v>789</v>
      </c>
      <c r="K90" s="255">
        <v>3502388</v>
      </c>
      <c r="L90" s="262">
        <v>11</v>
      </c>
      <c r="M90" s="263" t="s">
        <v>6239</v>
      </c>
      <c r="N90" s="260"/>
      <c r="O90" s="198"/>
      <c r="W90"/>
      <c r="Y90" s="173"/>
    </row>
    <row r="91" spans="1:28" x14ac:dyDescent="0.25">
      <c r="A91" s="260" t="s">
        <v>5</v>
      </c>
      <c r="B91" s="260" t="s">
        <v>358</v>
      </c>
      <c r="C91" s="260" t="s">
        <v>338</v>
      </c>
      <c r="D91" s="260" t="s">
        <v>348</v>
      </c>
      <c r="E91" s="260" t="s">
        <v>340</v>
      </c>
      <c r="F91" s="260">
        <v>48</v>
      </c>
      <c r="G91" s="261"/>
      <c r="H91" s="260">
        <v>1.2</v>
      </c>
      <c r="I91" s="260">
        <v>620</v>
      </c>
      <c r="J91" s="260">
        <v>789</v>
      </c>
      <c r="K91" s="260">
        <v>2397072</v>
      </c>
      <c r="L91" s="262">
        <v>11</v>
      </c>
      <c r="M91" s="260">
        <v>9518797094</v>
      </c>
      <c r="N91" s="260" t="s">
        <v>6237</v>
      </c>
      <c r="O91" s="198"/>
      <c r="W91"/>
      <c r="Y91" s="173"/>
    </row>
    <row r="92" spans="1:28" x14ac:dyDescent="0.25">
      <c r="A92" s="260" t="s">
        <v>5</v>
      </c>
      <c r="B92" s="260" t="s">
        <v>359</v>
      </c>
      <c r="C92" s="260" t="s">
        <v>338</v>
      </c>
      <c r="D92" s="260" t="s">
        <v>348</v>
      </c>
      <c r="E92" s="260" t="s">
        <v>340</v>
      </c>
      <c r="F92" s="260">
        <v>48</v>
      </c>
      <c r="G92" s="261"/>
      <c r="H92" s="260">
        <v>1.2</v>
      </c>
      <c r="I92" s="260">
        <v>700</v>
      </c>
      <c r="J92" s="260">
        <v>789</v>
      </c>
      <c r="K92" s="260">
        <v>3649700</v>
      </c>
      <c r="L92" s="262">
        <v>15</v>
      </c>
      <c r="M92" s="260">
        <v>9518797094</v>
      </c>
      <c r="N92" s="260" t="s">
        <v>6237</v>
      </c>
      <c r="O92" s="198"/>
      <c r="W92"/>
      <c r="Y92" s="173"/>
    </row>
    <row r="93" spans="1:28" x14ac:dyDescent="0.25">
      <c r="A93" s="260" t="s">
        <v>341</v>
      </c>
      <c r="B93" s="260" t="s">
        <v>342</v>
      </c>
      <c r="C93" s="260" t="s">
        <v>344</v>
      </c>
      <c r="D93" s="260" t="s">
        <v>348</v>
      </c>
      <c r="E93" s="260" t="s">
        <v>349</v>
      </c>
      <c r="F93" s="260">
        <v>48.6</v>
      </c>
      <c r="G93" s="261"/>
      <c r="H93" s="260">
        <v>2.2999999999999998</v>
      </c>
      <c r="I93" s="260">
        <v>6270</v>
      </c>
      <c r="J93" s="260">
        <v>789</v>
      </c>
      <c r="K93" s="255">
        <v>3549720</v>
      </c>
      <c r="L93" s="262">
        <v>11</v>
      </c>
      <c r="M93" s="263" t="s">
        <v>6240</v>
      </c>
      <c r="N93" s="260"/>
      <c r="O93" s="198"/>
      <c r="W93"/>
      <c r="Y93" s="173"/>
    </row>
    <row r="94" spans="1:28" x14ac:dyDescent="0.25">
      <c r="A94" s="260" t="s">
        <v>341</v>
      </c>
      <c r="B94" s="260" t="s">
        <v>342</v>
      </c>
      <c r="C94" s="260" t="s">
        <v>338</v>
      </c>
      <c r="D94" s="260" t="s">
        <v>348</v>
      </c>
      <c r="E94" s="260" t="s">
        <v>340</v>
      </c>
      <c r="F94" s="260">
        <v>48.6</v>
      </c>
      <c r="G94" s="261"/>
      <c r="H94" s="260">
        <v>3.5</v>
      </c>
      <c r="I94" s="260">
        <v>6000</v>
      </c>
      <c r="J94" s="260">
        <v>789</v>
      </c>
      <c r="K94" s="260">
        <v>3502422</v>
      </c>
      <c r="L94" s="262">
        <v>10</v>
      </c>
      <c r="M94" s="260">
        <v>9518797070</v>
      </c>
      <c r="N94" s="260" t="s">
        <v>6237</v>
      </c>
      <c r="O94" s="198"/>
      <c r="W94"/>
      <c r="Y94" s="173"/>
    </row>
    <row r="95" spans="1:28" x14ac:dyDescent="0.25">
      <c r="A95" s="260" t="s">
        <v>10</v>
      </c>
      <c r="B95" s="260" t="s">
        <v>116</v>
      </c>
      <c r="C95" s="260" t="s">
        <v>338</v>
      </c>
      <c r="D95" s="260" t="s">
        <v>348</v>
      </c>
      <c r="E95" s="260" t="s">
        <v>340</v>
      </c>
      <c r="F95" s="260" t="s">
        <v>368</v>
      </c>
      <c r="G95" s="261"/>
      <c r="H95" s="260">
        <v>1.6</v>
      </c>
      <c r="I95" s="260">
        <v>6000</v>
      </c>
      <c r="J95" s="260">
        <v>789</v>
      </c>
      <c r="K95" s="260">
        <v>1940925</v>
      </c>
      <c r="L95" s="262">
        <v>5</v>
      </c>
      <c r="M95" s="260">
        <v>9518796938</v>
      </c>
      <c r="N95" s="260" t="s">
        <v>6237</v>
      </c>
    </row>
    <row r="96" spans="1:28" x14ac:dyDescent="0.25">
      <c r="A96" s="260" t="s">
        <v>5</v>
      </c>
      <c r="B96" s="260" t="s">
        <v>369</v>
      </c>
      <c r="C96" s="260" t="s">
        <v>338</v>
      </c>
      <c r="D96" s="260" t="s">
        <v>348</v>
      </c>
      <c r="E96" s="260" t="s">
        <v>340</v>
      </c>
      <c r="F96" s="260" t="s">
        <v>368</v>
      </c>
      <c r="G96" s="261"/>
      <c r="H96" s="260">
        <v>1.6</v>
      </c>
      <c r="I96" s="260">
        <v>572.5</v>
      </c>
      <c r="J96" s="260">
        <v>789</v>
      </c>
      <c r="K96" s="260">
        <v>2420716</v>
      </c>
      <c r="L96" s="262">
        <v>16</v>
      </c>
      <c r="M96" s="260">
        <v>9518797094</v>
      </c>
      <c r="N96" s="260" t="s">
        <v>6237</v>
      </c>
    </row>
    <row r="97" spans="1:14" x14ac:dyDescent="0.25">
      <c r="A97" s="260" t="s">
        <v>10</v>
      </c>
      <c r="B97" s="260" t="s">
        <v>346</v>
      </c>
      <c r="C97" s="260" t="s">
        <v>338</v>
      </c>
      <c r="D97" s="260" t="s">
        <v>348</v>
      </c>
      <c r="E97" s="260" t="s">
        <v>340</v>
      </c>
      <c r="F97" s="260">
        <v>57.15</v>
      </c>
      <c r="G97" s="261"/>
      <c r="H97" s="260">
        <v>2.5</v>
      </c>
      <c r="I97" s="260">
        <v>5710</v>
      </c>
      <c r="J97" s="260">
        <v>56</v>
      </c>
      <c r="K97" s="260">
        <v>3907863</v>
      </c>
      <c r="L97" s="262">
        <v>35</v>
      </c>
      <c r="M97" s="260">
        <v>9518796894</v>
      </c>
      <c r="N97" s="260" t="s">
        <v>6237</v>
      </c>
    </row>
    <row r="98" spans="1:14" x14ac:dyDescent="0.25">
      <c r="A98" s="260" t="s">
        <v>10</v>
      </c>
      <c r="B98" s="260" t="s">
        <v>346</v>
      </c>
      <c r="C98" s="260" t="s">
        <v>338</v>
      </c>
      <c r="D98" s="260" t="s">
        <v>348</v>
      </c>
      <c r="E98" s="260" t="s">
        <v>340</v>
      </c>
      <c r="F98" s="260">
        <v>57.15</v>
      </c>
      <c r="G98" s="261"/>
      <c r="H98" s="260">
        <v>2.5</v>
      </c>
      <c r="I98" s="260">
        <v>6100</v>
      </c>
      <c r="J98" s="260">
        <v>56</v>
      </c>
      <c r="K98" s="260">
        <v>3910001</v>
      </c>
      <c r="L98" s="262">
        <v>24</v>
      </c>
      <c r="M98" s="260">
        <v>9518796894</v>
      </c>
      <c r="N98" s="260" t="s">
        <v>6237</v>
      </c>
    </row>
    <row r="99" spans="1:14" x14ac:dyDescent="0.25">
      <c r="A99" s="260" t="s">
        <v>10</v>
      </c>
      <c r="B99" s="260" t="s">
        <v>346</v>
      </c>
      <c r="C99" s="260" t="s">
        <v>338</v>
      </c>
      <c r="D99" s="260" t="s">
        <v>348</v>
      </c>
      <c r="E99" s="260" t="s">
        <v>340</v>
      </c>
      <c r="F99" s="260">
        <v>57.15</v>
      </c>
      <c r="G99" s="261"/>
      <c r="H99" s="260">
        <v>2.5</v>
      </c>
      <c r="I99" s="260">
        <v>5750</v>
      </c>
      <c r="J99" s="260">
        <v>56</v>
      </c>
      <c r="K99" s="260">
        <v>3501047</v>
      </c>
      <c r="L99" s="262">
        <v>24</v>
      </c>
      <c r="M99" s="260">
        <v>9518796894</v>
      </c>
      <c r="N99" s="260" t="s">
        <v>6237</v>
      </c>
    </row>
    <row r="100" spans="1:14" x14ac:dyDescent="0.25">
      <c r="A100" s="260" t="s">
        <v>10</v>
      </c>
      <c r="B100" s="260" t="s">
        <v>116</v>
      </c>
      <c r="C100" s="260" t="s">
        <v>338</v>
      </c>
      <c r="D100" s="260" t="s">
        <v>339</v>
      </c>
      <c r="E100" s="260" t="s">
        <v>340</v>
      </c>
      <c r="F100" s="260">
        <v>19.05</v>
      </c>
      <c r="G100" s="260"/>
      <c r="H100" s="260">
        <v>2</v>
      </c>
      <c r="I100" s="260">
        <v>5800</v>
      </c>
      <c r="J100" s="260">
        <v>789</v>
      </c>
      <c r="K100" s="260">
        <v>1940292</v>
      </c>
      <c r="L100" s="262">
        <v>35</v>
      </c>
      <c r="M100" s="260">
        <v>9518796938</v>
      </c>
      <c r="N100" s="260" t="s">
        <v>6237</v>
      </c>
    </row>
    <row r="101" spans="1:14" x14ac:dyDescent="0.25">
      <c r="A101" s="260" t="s">
        <v>10</v>
      </c>
      <c r="B101" s="260" t="s">
        <v>116</v>
      </c>
      <c r="C101" s="260" t="s">
        <v>338</v>
      </c>
      <c r="D101" s="260" t="s">
        <v>339</v>
      </c>
      <c r="E101" s="260" t="s">
        <v>340</v>
      </c>
      <c r="F101" s="260">
        <v>22.2</v>
      </c>
      <c r="G101" s="260"/>
      <c r="H101" s="260">
        <v>1.6</v>
      </c>
      <c r="I101" s="260">
        <v>5270</v>
      </c>
      <c r="J101" s="260">
        <v>56</v>
      </c>
      <c r="K101" s="260">
        <v>3501116</v>
      </c>
      <c r="L101" s="262">
        <v>25</v>
      </c>
      <c r="M101" s="260">
        <v>9518796894</v>
      </c>
      <c r="N101" s="260" t="s">
        <v>6237</v>
      </c>
    </row>
    <row r="102" spans="1:14" x14ac:dyDescent="0.25">
      <c r="A102" s="260" t="s">
        <v>10</v>
      </c>
      <c r="B102" s="260" t="s">
        <v>346</v>
      </c>
      <c r="C102" s="260" t="s">
        <v>338</v>
      </c>
      <c r="D102" s="260" t="s">
        <v>348</v>
      </c>
      <c r="E102" s="260" t="s">
        <v>340</v>
      </c>
      <c r="F102" s="260">
        <v>38.1</v>
      </c>
      <c r="G102" s="260"/>
      <c r="H102" s="260">
        <v>2</v>
      </c>
      <c r="I102" s="260">
        <v>5950</v>
      </c>
      <c r="J102" s="260">
        <v>789</v>
      </c>
      <c r="K102" s="260">
        <v>3533165</v>
      </c>
      <c r="L102" s="262">
        <v>25</v>
      </c>
      <c r="M102" s="260">
        <v>9518796938</v>
      </c>
      <c r="N102" s="260" t="s">
        <v>6237</v>
      </c>
    </row>
    <row r="103" spans="1:14" x14ac:dyDescent="0.25">
      <c r="A103" s="260" t="s">
        <v>10</v>
      </c>
      <c r="B103" s="260" t="s">
        <v>116</v>
      </c>
      <c r="C103" s="260" t="s">
        <v>338</v>
      </c>
      <c r="D103" s="260" t="s">
        <v>348</v>
      </c>
      <c r="E103" s="260" t="s">
        <v>340</v>
      </c>
      <c r="F103" s="260">
        <v>41.28</v>
      </c>
      <c r="G103" s="260"/>
      <c r="H103" s="260">
        <v>2.6</v>
      </c>
      <c r="I103" s="260">
        <v>6000</v>
      </c>
      <c r="J103" s="260">
        <v>789</v>
      </c>
      <c r="K103" s="260">
        <v>3994149</v>
      </c>
      <c r="L103" s="262">
        <v>25</v>
      </c>
      <c r="M103" s="260">
        <v>9518796938</v>
      </c>
      <c r="N103" s="260" t="s">
        <v>6237</v>
      </c>
    </row>
    <row r="104" spans="1:14" x14ac:dyDescent="0.25">
      <c r="A104" s="260" t="s">
        <v>10</v>
      </c>
      <c r="B104" s="260" t="s">
        <v>346</v>
      </c>
      <c r="C104" s="260" t="s">
        <v>338</v>
      </c>
      <c r="D104" s="260" t="s">
        <v>348</v>
      </c>
      <c r="E104" s="260" t="s">
        <v>340</v>
      </c>
      <c r="F104" s="260">
        <v>57.15</v>
      </c>
      <c r="G104" s="260"/>
      <c r="H104" s="260">
        <v>2.5</v>
      </c>
      <c r="I104" s="260">
        <v>5950</v>
      </c>
      <c r="J104" s="260">
        <v>56</v>
      </c>
      <c r="K104" s="255">
        <v>3515489</v>
      </c>
      <c r="L104" s="262">
        <v>30</v>
      </c>
      <c r="M104" s="263" t="s">
        <v>6241</v>
      </c>
      <c r="N104" s="260"/>
    </row>
    <row r="105" spans="1:14" x14ac:dyDescent="0.25">
      <c r="A105" s="221"/>
      <c r="B105" s="221"/>
      <c r="C105" s="221"/>
      <c r="D105" s="221"/>
      <c r="E105" s="221"/>
      <c r="F105" s="221"/>
      <c r="G105" s="221"/>
      <c r="H105" s="221"/>
      <c r="I105" s="264" t="s">
        <v>372</v>
      </c>
      <c r="J105" s="264"/>
      <c r="K105" s="264"/>
      <c r="L105" s="264">
        <v>521</v>
      </c>
      <c r="M105" s="221"/>
      <c r="N105" s="221"/>
    </row>
  </sheetData>
  <autoFilter ref="A71:AG105" xr:uid="{018E21CD-2FBF-4A84-91D6-84839C2F81AF}"/>
  <phoneticPr fontId="13" type="noConversion"/>
  <conditionalFormatting sqref="K2:M2 K3:L68 M3:M69">
    <cfRule type="duplicateValues" dxfId="59" priority="1"/>
  </conditionalFormatting>
  <pageMargins left="0.7" right="0.7" top="0.75" bottom="0.75" header="0.3" footer="0.3"/>
  <pageSetup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B2F5-B4A8-4E81-B088-9194C921F1E8}">
  <sheetPr codeName="Sheet32">
    <tabColor rgb="FF00B0F0"/>
  </sheetPr>
  <dimension ref="A1:AH153"/>
  <sheetViews>
    <sheetView topLeftCell="C1" zoomScale="80" zoomScaleNormal="80" workbookViewId="0">
      <selection activeCell="O45" sqref="O45"/>
    </sheetView>
  </sheetViews>
  <sheetFormatPr defaultRowHeight="15" outlineLevelCol="2" x14ac:dyDescent="0.25"/>
  <cols>
    <col min="2" max="2" width="13.7109375" customWidth="1"/>
    <col min="3" max="3" width="8.7109375" customWidth="1"/>
    <col min="4" max="4" width="10.7109375" customWidth="1"/>
    <col min="5" max="5" width="11.42578125" customWidth="1"/>
    <col min="6" max="6" width="7.7109375" customWidth="1"/>
    <col min="7" max="7" width="6.140625" customWidth="1"/>
    <col min="8" max="8" width="8" customWidth="1"/>
    <col min="9" max="9" width="12.42578125" customWidth="1"/>
    <col min="10" max="10" width="6.7109375" customWidth="1"/>
    <col min="11" max="13" width="25.85546875" customWidth="1" outlineLevel="1"/>
    <col min="14" max="14" width="12.28515625" customWidth="1"/>
    <col min="15" max="15" width="22.85546875" style="199" customWidth="1"/>
    <col min="16" max="17" width="12.28515625" hidden="1" customWidth="1" outlineLevel="1"/>
    <col min="18" max="18" width="8.28515625" hidden="1" customWidth="1" outlineLevel="1"/>
    <col min="19" max="19" width="8.85546875" hidden="1" customWidth="1" outlineLevel="1"/>
    <col min="20" max="20" width="12.28515625" hidden="1" customWidth="1" outlineLevel="1"/>
    <col min="21" max="21" width="9.140625" style="304" hidden="1" customWidth="1" outlineLevel="1"/>
    <col min="22" max="22" width="9.140625" hidden="1" customWidth="1" outlineLevel="1"/>
    <col min="23" max="23" width="12.5703125" style="162" hidden="1" customWidth="1" outlineLevel="1"/>
    <col min="24" max="24" width="10.5703125" style="174" customWidth="1" collapsed="1"/>
    <col min="25" max="25" width="8" style="174" customWidth="1" outlineLevel="2"/>
    <col min="26" max="26" width="15.7109375" customWidth="1" outlineLevel="2"/>
    <col min="27" max="27" width="13.7109375" customWidth="1" outlineLevel="2"/>
    <col min="28" max="28" width="4.85546875" customWidth="1" outlineLevel="2"/>
    <col min="29" max="29" width="6.28515625" customWidth="1" outlineLevel="2"/>
    <col min="30" max="30" width="23.140625" customWidth="1" outlineLevel="2"/>
    <col min="31" max="31" width="13.140625" customWidth="1" outlineLevel="2"/>
    <col min="32" max="33" width="9.140625" customWidth="1" outlineLevel="2"/>
    <col min="34" max="34" width="20.7109375" bestFit="1" customWidth="1"/>
  </cols>
  <sheetData>
    <row r="1" spans="1:34" ht="155.25" customHeight="1" x14ac:dyDescent="0.25"/>
    <row r="2" spans="1:34" ht="63.75" x14ac:dyDescent="0.25">
      <c r="A2" s="268" t="s">
        <v>2</v>
      </c>
      <c r="B2" s="269" t="s">
        <v>258</v>
      </c>
      <c r="C2" s="270" t="s">
        <v>313</v>
      </c>
      <c r="D2" s="271" t="s">
        <v>314</v>
      </c>
      <c r="E2" s="269" t="s">
        <v>315</v>
      </c>
      <c r="F2" s="272" t="s">
        <v>316</v>
      </c>
      <c r="G2" s="272" t="s">
        <v>317</v>
      </c>
      <c r="H2" s="272" t="s">
        <v>318</v>
      </c>
      <c r="I2" s="269" t="s">
        <v>319</v>
      </c>
      <c r="J2" s="271" t="s">
        <v>320</v>
      </c>
      <c r="K2" s="269" t="s">
        <v>1839</v>
      </c>
      <c r="L2" s="273" t="s">
        <v>261</v>
      </c>
      <c r="M2" s="273" t="s">
        <v>321</v>
      </c>
      <c r="N2" s="269" t="s">
        <v>322</v>
      </c>
      <c r="O2" s="273" t="s">
        <v>323</v>
      </c>
      <c r="P2" s="274" t="s">
        <v>6219</v>
      </c>
      <c r="Q2" s="271" t="s">
        <v>325</v>
      </c>
      <c r="R2" s="275" t="s">
        <v>6242</v>
      </c>
      <c r="S2" s="271" t="s">
        <v>327</v>
      </c>
      <c r="T2" s="271" t="s">
        <v>6221</v>
      </c>
      <c r="U2" s="300" t="s">
        <v>329</v>
      </c>
      <c r="V2" s="271" t="s">
        <v>330</v>
      </c>
      <c r="W2" s="276" t="s">
        <v>6222</v>
      </c>
      <c r="X2" s="296" t="s">
        <v>6223</v>
      </c>
      <c r="Y2" s="276" t="s">
        <v>6224</v>
      </c>
      <c r="Z2" s="277" t="s">
        <v>333</v>
      </c>
      <c r="AA2" s="277" t="s">
        <v>334</v>
      </c>
      <c r="AB2" s="278" t="s">
        <v>337</v>
      </c>
      <c r="AC2" s="279" t="s">
        <v>6243</v>
      </c>
      <c r="AD2" s="280" t="s">
        <v>6226</v>
      </c>
      <c r="AE2" s="280" t="s">
        <v>6227</v>
      </c>
      <c r="AF2" s="205" t="s">
        <v>6228</v>
      </c>
      <c r="AG2" s="205" t="s">
        <v>2409</v>
      </c>
      <c r="AH2" s="315" t="s">
        <v>1807</v>
      </c>
    </row>
    <row r="3" spans="1:34" x14ac:dyDescent="0.25">
      <c r="A3" s="265" t="s">
        <v>10</v>
      </c>
      <c r="B3" s="147" t="s">
        <v>116</v>
      </c>
      <c r="C3" s="147" t="s">
        <v>357</v>
      </c>
      <c r="D3" s="147" t="s">
        <v>339</v>
      </c>
      <c r="E3" s="147" t="s">
        <v>1024</v>
      </c>
      <c r="F3" s="148">
        <v>11</v>
      </c>
      <c r="G3" s="148"/>
      <c r="H3" s="148">
        <v>1.5</v>
      </c>
      <c r="I3" s="147">
        <v>6000</v>
      </c>
      <c r="J3" s="147">
        <v>6</v>
      </c>
      <c r="K3" s="147" t="str">
        <f t="shared" ref="K3:K34" si="0">_xlfn.CONCAT(F3,H3,J3,E3,D3)</f>
        <v>111.56CEW NON FIN</v>
      </c>
      <c r="L3" s="147" t="str">
        <f>VLOOKUP(K3,'VSM May Indent'!$K$1:$O$61,4,0)</f>
        <v>No Key</v>
      </c>
      <c r="M3" s="147" t="str">
        <f>VLOOKUP(K3,'VSM May Indent'!$K$1:$O$61,5,0)</f>
        <v>No Key</v>
      </c>
      <c r="N3" s="158" t="s">
        <v>362</v>
      </c>
      <c r="O3" s="150">
        <v>2442390</v>
      </c>
      <c r="P3" s="19">
        <v>1</v>
      </c>
      <c r="Q3" s="147">
        <f>Table2527[[#This Row],[SCH jun- 25]]</f>
        <v>1</v>
      </c>
      <c r="R3" s="147">
        <v>0</v>
      </c>
      <c r="S3" s="147"/>
      <c r="T3" s="147">
        <f>_xlfn.LET(_xlpm.c,Q3-Table2527[[#This Row],[Stock     12-06-25]]-Table2527[[#This Row],[intransist ]],IF(_xlpm.c&gt;0,0,-_xlpm.c))</f>
        <v>0</v>
      </c>
      <c r="U3" s="301"/>
      <c r="V3" s="147">
        <f t="shared" ref="V3:V34" si="1">U3+T3+S3</f>
        <v>0</v>
      </c>
      <c r="W3" s="19">
        <f t="shared" ref="W3:W34" si="2">_xlfn.LET(_xlpm.c,P3*1.5-V3,IF(_xlpm.c&lt;0,0,_xlpm.c))</f>
        <v>1.5</v>
      </c>
      <c r="X3" s="297">
        <f>Table2527[[#This Row],[    INDENT  FOR jun-25 as per VSM]]</f>
        <v>1.5</v>
      </c>
      <c r="Y3" s="167">
        <f t="shared" ref="Y3:Y34" si="3">X3+U3</f>
        <v>1.5</v>
      </c>
      <c r="Z3" s="185">
        <f>SUMIFS(meghsteelsales_previousmonth[Quantity],meghsteelsales_previousmonth[Length Bucket],M3)/1000</f>
        <v>0</v>
      </c>
      <c r="AA3" s="185">
        <f>SUMIFS(meghsteelsales_currentmonth[Quantity],meghsteelsales_currentmonth[Length Bucket],M3)/1000</f>
        <v>0</v>
      </c>
      <c r="AB3" s="185">
        <f t="shared" ref="AB3:AB34" si="4">IF((X3-Z3-AA3)&lt;0,0,(X3-Z3-AA3))</f>
        <v>1.5</v>
      </c>
      <c r="AC3" s="185"/>
      <c r="AD3" s="267"/>
      <c r="AE3" s="294"/>
      <c r="AF3" s="294"/>
      <c r="AG3" s="294"/>
      <c r="AH3" s="294"/>
    </row>
    <row r="4" spans="1:34" x14ac:dyDescent="0.25">
      <c r="A4" s="265" t="s">
        <v>341</v>
      </c>
      <c r="B4" s="147" t="s">
        <v>342</v>
      </c>
      <c r="C4" s="147" t="s">
        <v>338</v>
      </c>
      <c r="D4" s="147" t="s">
        <v>339</v>
      </c>
      <c r="E4" s="147" t="s">
        <v>340</v>
      </c>
      <c r="F4" s="148">
        <v>15.88</v>
      </c>
      <c r="G4" s="148"/>
      <c r="H4" s="148">
        <v>2</v>
      </c>
      <c r="I4" s="147">
        <v>6000</v>
      </c>
      <c r="J4" s="147">
        <v>6</v>
      </c>
      <c r="K4" s="147" t="str">
        <f t="shared" si="0"/>
        <v>15.8826ERWNON FIN</v>
      </c>
      <c r="L4" s="147" t="str">
        <f>VLOOKUP(K4,'VSM May Indent'!$K$1:$O$61,4,0)</f>
        <v>15.88-0-2-ERW 1-PE</v>
      </c>
      <c r="M4" s="147" t="str">
        <f>VLOOKUP(K4,'VSM May Indent'!$K$1:$O$61,5,0)</f>
        <v>15.88-0-2-ERW 1-PE-6</v>
      </c>
      <c r="N4" s="151" t="s">
        <v>345</v>
      </c>
      <c r="O4" s="150">
        <v>1940120</v>
      </c>
      <c r="P4" s="19">
        <v>5</v>
      </c>
      <c r="Q4" s="147">
        <f>Table2527[[#This Row],[SCH jun- 25]]</f>
        <v>5</v>
      </c>
      <c r="R4" s="147">
        <v>0</v>
      </c>
      <c r="S4" s="147"/>
      <c r="T4" s="147">
        <f>_xlfn.LET(_xlpm.c,Q4-Table2527[[#This Row],[Stock     12-06-25]]-Table2527[[#This Row],[intransist ]],IF(_xlpm.c&gt;0,0,-_xlpm.c))</f>
        <v>0</v>
      </c>
      <c r="U4" s="301"/>
      <c r="V4" s="147">
        <f t="shared" si="1"/>
        <v>0</v>
      </c>
      <c r="W4" s="19">
        <f t="shared" si="2"/>
        <v>7.5</v>
      </c>
      <c r="X4" s="297">
        <f>Table2527[[#This Row],[    INDENT  FOR jun-25 as per VSM]]</f>
        <v>7.5</v>
      </c>
      <c r="Y4" s="167">
        <f t="shared" si="3"/>
        <v>7.5</v>
      </c>
      <c r="Z4" s="185">
        <f>SUMIFS(meghsteelsales_previousmonth[Quantity],meghsteelsales_previousmonth[Length Bucket],M4)/1000</f>
        <v>0</v>
      </c>
      <c r="AA4" s="185">
        <f>SUMIFS(meghsteelsales_currentmonth[Quantity],meghsteelsales_currentmonth[Length Bucket],M4)/1000</f>
        <v>0</v>
      </c>
      <c r="AB4" s="185">
        <f t="shared" si="4"/>
        <v>7.5</v>
      </c>
      <c r="AC4" s="185"/>
      <c r="AD4" s="267"/>
      <c r="AE4" s="185"/>
      <c r="AF4" s="185"/>
      <c r="AG4" s="185"/>
      <c r="AH4" s="185"/>
    </row>
    <row r="5" spans="1:34" x14ac:dyDescent="0.25">
      <c r="A5" s="265" t="s">
        <v>341</v>
      </c>
      <c r="B5" s="147" t="s">
        <v>342</v>
      </c>
      <c r="C5" s="147" t="s">
        <v>338</v>
      </c>
      <c r="D5" s="147" t="s">
        <v>339</v>
      </c>
      <c r="E5" s="147" t="s">
        <v>340</v>
      </c>
      <c r="F5" s="148">
        <v>12.7</v>
      </c>
      <c r="G5" s="148"/>
      <c r="H5" s="148">
        <v>1.4</v>
      </c>
      <c r="I5" s="147">
        <v>6000</v>
      </c>
      <c r="J5" s="147">
        <v>6</v>
      </c>
      <c r="K5" s="147" t="str">
        <f t="shared" si="0"/>
        <v>12.71.46ERWNON FIN</v>
      </c>
      <c r="L5" s="147" t="str">
        <f>VLOOKUP(K5,'VSM May Indent'!$K$1:$O$61,4,0)</f>
        <v>No Key</v>
      </c>
      <c r="M5" s="147" t="str">
        <f>VLOOKUP(K5,'VSM May Indent'!$K$1:$O$61,5,0)</f>
        <v>No Key</v>
      </c>
      <c r="N5" s="151" t="s">
        <v>345</v>
      </c>
      <c r="O5" s="150">
        <v>1931117</v>
      </c>
      <c r="P5" s="19">
        <v>5</v>
      </c>
      <c r="Q5" s="147">
        <f>Table2527[[#This Row],[SCH jun- 25]]</f>
        <v>5</v>
      </c>
      <c r="R5" s="147">
        <v>8</v>
      </c>
      <c r="S5" s="147"/>
      <c r="T5" s="147">
        <f>_xlfn.LET(_xlpm.c,Q5-Table2527[[#This Row],[Stock     12-06-25]]-Table2527[[#This Row],[intransist ]],IF(_xlpm.c&gt;0,0,-_xlpm.c))</f>
        <v>3</v>
      </c>
      <c r="U5" s="301"/>
      <c r="V5" s="147">
        <f t="shared" si="1"/>
        <v>3</v>
      </c>
      <c r="W5" s="19">
        <f t="shared" si="2"/>
        <v>4.5</v>
      </c>
      <c r="X5" s="297">
        <f>Table2527[[#This Row],[    INDENT  FOR jun-25 as per VSM]]</f>
        <v>4.5</v>
      </c>
      <c r="Y5" s="167">
        <f t="shared" si="3"/>
        <v>4.5</v>
      </c>
      <c r="Z5" s="185">
        <f>SUMIFS(meghsteelsales_previousmonth[Quantity],meghsteelsales_previousmonth[Length Bucket],M5)/1000</f>
        <v>0</v>
      </c>
      <c r="AA5" s="185">
        <f>SUMIFS(meghsteelsales_currentmonth[Quantity],meghsteelsales_currentmonth[Length Bucket],M5)/1000</f>
        <v>0</v>
      </c>
      <c r="AB5" s="185">
        <f t="shared" si="4"/>
        <v>4.5</v>
      </c>
      <c r="AC5" s="185"/>
      <c r="AD5" s="267"/>
      <c r="AE5" s="185"/>
      <c r="AF5" s="185"/>
      <c r="AG5" s="185"/>
      <c r="AH5" s="185"/>
    </row>
    <row r="6" spans="1:34" x14ac:dyDescent="0.25">
      <c r="A6" s="265" t="s">
        <v>341</v>
      </c>
      <c r="B6" s="147" t="s">
        <v>342</v>
      </c>
      <c r="C6" s="147" t="s">
        <v>338</v>
      </c>
      <c r="D6" s="147" t="s">
        <v>339</v>
      </c>
      <c r="E6" s="147" t="s">
        <v>340</v>
      </c>
      <c r="F6" s="148">
        <v>12.7</v>
      </c>
      <c r="G6" s="148"/>
      <c r="H6" s="148">
        <v>1.6</v>
      </c>
      <c r="I6" s="147">
        <v>6000</v>
      </c>
      <c r="J6" s="147">
        <v>6</v>
      </c>
      <c r="K6" s="147" t="str">
        <f t="shared" si="0"/>
        <v>12.71.66ERWNON FIN</v>
      </c>
      <c r="L6" s="147" t="str">
        <f>VLOOKUP(K6,'VSM May Indent'!$K$1:$O$61,4,0)</f>
        <v>No Key</v>
      </c>
      <c r="M6" s="147" t="str">
        <f>VLOOKUP(K6,'VSM May Indent'!$K$1:$O$61,5,0)</f>
        <v>No Key</v>
      </c>
      <c r="N6" s="151" t="s">
        <v>345</v>
      </c>
      <c r="O6" s="150">
        <v>1931154</v>
      </c>
      <c r="P6" s="19">
        <v>2</v>
      </c>
      <c r="Q6" s="147">
        <f>Table2527[[#This Row],[SCH jun- 25]]</f>
        <v>2</v>
      </c>
      <c r="R6" s="147">
        <v>4</v>
      </c>
      <c r="S6" s="147"/>
      <c r="T6" s="147">
        <f>_xlfn.LET(_xlpm.c,Q6-Table2527[[#This Row],[Stock     12-06-25]]-Table2527[[#This Row],[intransist ]],IF(_xlpm.c&gt;0,0,-_xlpm.c))</f>
        <v>2</v>
      </c>
      <c r="U6" s="301"/>
      <c r="V6" s="147">
        <f t="shared" si="1"/>
        <v>2</v>
      </c>
      <c r="W6" s="19">
        <f t="shared" si="2"/>
        <v>1</v>
      </c>
      <c r="X6" s="297">
        <f>Table2527[[#This Row],[    INDENT  FOR jun-25 as per VSM]]</f>
        <v>1</v>
      </c>
      <c r="Y6" s="167">
        <f t="shared" si="3"/>
        <v>1</v>
      </c>
      <c r="Z6" s="185">
        <f>SUMIFS(meghsteelsales_previousmonth[Quantity],meghsteelsales_previousmonth[Length Bucket],M6)/1000</f>
        <v>0</v>
      </c>
      <c r="AA6" s="185">
        <f>SUMIFS(meghsteelsales_currentmonth[Quantity],meghsteelsales_currentmonth[Length Bucket],M6)/1000</f>
        <v>0</v>
      </c>
      <c r="AB6" s="185">
        <f t="shared" si="4"/>
        <v>1</v>
      </c>
      <c r="AC6" s="185"/>
      <c r="AD6" s="267"/>
      <c r="AE6" s="185"/>
      <c r="AF6" s="185"/>
      <c r="AG6" s="185"/>
      <c r="AH6" s="185" t="s">
        <v>6244</v>
      </c>
    </row>
    <row r="7" spans="1:34" x14ac:dyDescent="0.25">
      <c r="A7" s="265" t="s">
        <v>10</v>
      </c>
      <c r="B7" s="147" t="s">
        <v>116</v>
      </c>
      <c r="C7" s="147" t="s">
        <v>338</v>
      </c>
      <c r="D7" s="147" t="s">
        <v>339</v>
      </c>
      <c r="E7" s="147" t="s">
        <v>340</v>
      </c>
      <c r="F7" s="148">
        <v>12.7</v>
      </c>
      <c r="G7" s="148"/>
      <c r="H7" s="148">
        <v>2</v>
      </c>
      <c r="I7" s="147">
        <v>6000</v>
      </c>
      <c r="J7" s="147">
        <v>6</v>
      </c>
      <c r="K7" s="147" t="str">
        <f t="shared" si="0"/>
        <v>12.726ERWNON FIN</v>
      </c>
      <c r="L7" s="147">
        <f>VLOOKUP(K7,'VSM May Indent'!$K$1:$O$61,4,0)</f>
        <v>0</v>
      </c>
      <c r="M7" s="147" t="e">
        <f>VLOOKUP(K7,'VSM May Indent'!$K$1:$O$61,5,0)</f>
        <v>#N/A</v>
      </c>
      <c r="N7" s="151" t="s">
        <v>345</v>
      </c>
      <c r="O7" s="149">
        <v>236166</v>
      </c>
      <c r="P7" s="19">
        <v>3</v>
      </c>
      <c r="Q7" s="147">
        <f>Table2527[[#This Row],[SCH jun- 25]]</f>
        <v>3</v>
      </c>
      <c r="R7" s="147">
        <v>0</v>
      </c>
      <c r="S7" s="147"/>
      <c r="T7" s="147">
        <f>_xlfn.LET(_xlpm.c,Q7-Table2527[[#This Row],[Stock     12-06-25]]-Table2527[[#This Row],[intransist ]],IF(_xlpm.c&gt;0,0,-_xlpm.c))</f>
        <v>0</v>
      </c>
      <c r="U7" s="301"/>
      <c r="V7" s="147">
        <f t="shared" si="1"/>
        <v>0</v>
      </c>
      <c r="W7" s="19">
        <f t="shared" si="2"/>
        <v>4.5</v>
      </c>
      <c r="X7" s="297">
        <f>Table2527[[#This Row],[    INDENT  FOR jun-25 as per VSM]]</f>
        <v>4.5</v>
      </c>
      <c r="Y7" s="167">
        <f t="shared" si="3"/>
        <v>4.5</v>
      </c>
      <c r="Z7" s="185">
        <f>SUMIFS(meghsteelsales_previousmonth[Quantity],meghsteelsales_previousmonth[Length Bucket],M7)/1000</f>
        <v>0</v>
      </c>
      <c r="AA7" s="185">
        <f>SUMIFS(meghsteelsales_currentmonth[Quantity],meghsteelsales_currentmonth[Length Bucket],M7)/1000</f>
        <v>0</v>
      </c>
      <c r="AB7" s="185">
        <f t="shared" si="4"/>
        <v>4.5</v>
      </c>
      <c r="AC7" s="185"/>
      <c r="AD7" s="267"/>
      <c r="AE7" s="185"/>
      <c r="AF7" s="185"/>
      <c r="AG7" s="185"/>
      <c r="AH7" s="185"/>
    </row>
    <row r="8" spans="1:34" x14ac:dyDescent="0.25">
      <c r="A8" s="265" t="s">
        <v>341</v>
      </c>
      <c r="B8" s="147" t="s">
        <v>342</v>
      </c>
      <c r="C8" s="147" t="s">
        <v>338</v>
      </c>
      <c r="D8" s="147" t="s">
        <v>339</v>
      </c>
      <c r="E8" s="147" t="s">
        <v>340</v>
      </c>
      <c r="F8" s="148">
        <v>15.88</v>
      </c>
      <c r="G8" s="148"/>
      <c r="H8" s="148">
        <v>1</v>
      </c>
      <c r="I8" s="147">
        <v>6000</v>
      </c>
      <c r="J8" s="147">
        <v>6</v>
      </c>
      <c r="K8" s="147" t="str">
        <f t="shared" si="0"/>
        <v>15.8816ERWNON FIN</v>
      </c>
      <c r="L8" s="147" t="str">
        <f>VLOOKUP(K8,'VSM May Indent'!$K$1:$O$61,4,0)</f>
        <v>15.88-0-1-ERW 1-PE</v>
      </c>
      <c r="M8" s="147" t="str">
        <f>VLOOKUP(K8,'VSM May Indent'!$K$1:$O$61,5,0)</f>
        <v>15.88-0-1-ERW 1-PE-6</v>
      </c>
      <c r="N8" s="151" t="s">
        <v>345</v>
      </c>
      <c r="O8" s="150">
        <v>1940054</v>
      </c>
      <c r="P8" s="19">
        <v>1</v>
      </c>
      <c r="Q8" s="147">
        <f>Table2527[[#This Row],[SCH jun- 25]]</f>
        <v>1</v>
      </c>
      <c r="R8" s="147">
        <v>1</v>
      </c>
      <c r="S8" s="147"/>
      <c r="T8" s="147">
        <f>_xlfn.LET(_xlpm.c,Q8-Table2527[[#This Row],[Stock     12-06-25]]-Table2527[[#This Row],[intransist ]],IF(_xlpm.c&gt;0,0,-_xlpm.c))</f>
        <v>0</v>
      </c>
      <c r="U8" s="301"/>
      <c r="V8" s="147">
        <f t="shared" si="1"/>
        <v>0</v>
      </c>
      <c r="W8" s="19">
        <f t="shared" si="2"/>
        <v>1.5</v>
      </c>
      <c r="X8" s="297">
        <f>Table2527[[#This Row],[    INDENT  FOR jun-25 as per VSM]]</f>
        <v>1.5</v>
      </c>
      <c r="Y8" s="167">
        <f t="shared" si="3"/>
        <v>1.5</v>
      </c>
      <c r="Z8" s="185">
        <f>SUMIFS(meghsteelsales_previousmonth[Quantity],meghsteelsales_previousmonth[Length Bucket],M8)/1000</f>
        <v>0</v>
      </c>
      <c r="AA8" s="185">
        <f>SUMIFS(meghsteelsales_currentmonth[Quantity],meghsteelsales_currentmonth[Length Bucket],M8)/1000</f>
        <v>0</v>
      </c>
      <c r="AB8" s="185">
        <f t="shared" si="4"/>
        <v>1.5</v>
      </c>
      <c r="AC8" s="185"/>
      <c r="AD8" s="267"/>
      <c r="AE8" s="185"/>
      <c r="AF8" s="185"/>
      <c r="AG8" s="185"/>
      <c r="AH8" s="185" t="s">
        <v>6244</v>
      </c>
    </row>
    <row r="9" spans="1:34" x14ac:dyDescent="0.25">
      <c r="A9" s="265" t="s">
        <v>10</v>
      </c>
      <c r="B9" s="147" t="s">
        <v>116</v>
      </c>
      <c r="C9" s="147" t="s">
        <v>338</v>
      </c>
      <c r="D9" s="147" t="s">
        <v>339</v>
      </c>
      <c r="E9" s="147" t="s">
        <v>340</v>
      </c>
      <c r="F9" s="148">
        <v>15.88</v>
      </c>
      <c r="G9" s="148"/>
      <c r="H9" s="148">
        <v>1.2</v>
      </c>
      <c r="I9" s="147">
        <v>6000</v>
      </c>
      <c r="J9" s="147">
        <v>6</v>
      </c>
      <c r="K9" s="147" t="str">
        <f t="shared" si="0"/>
        <v>15.881.26ERWNON FIN</v>
      </c>
      <c r="L9" s="147" t="str">
        <f>VLOOKUP(K9,'VSM May Indent'!$K$1:$O$61,4,0)</f>
        <v>15.88-0-1-ERW 1-PE</v>
      </c>
      <c r="M9" s="147" t="str">
        <f>VLOOKUP(K9,'VSM May Indent'!$K$1:$O$61,5,0)</f>
        <v>15.88-0-1-ERW 1-PE-6</v>
      </c>
      <c r="N9" s="151" t="s">
        <v>345</v>
      </c>
      <c r="O9" s="150">
        <v>1940054</v>
      </c>
      <c r="P9" s="19">
        <v>5</v>
      </c>
      <c r="Q9" s="147">
        <f>Table2527[[#This Row],[SCH jun- 25]]</f>
        <v>5</v>
      </c>
      <c r="R9" s="147">
        <v>0</v>
      </c>
      <c r="S9" s="147"/>
      <c r="T9" s="147">
        <f>_xlfn.LET(_xlpm.c,Q9-Table2527[[#This Row],[Stock     12-06-25]]-Table2527[[#This Row],[intransist ]],IF(_xlpm.c&gt;0,0,-_xlpm.c))</f>
        <v>0</v>
      </c>
      <c r="U9" s="301">
        <v>6</v>
      </c>
      <c r="V9" s="147">
        <f t="shared" si="1"/>
        <v>6</v>
      </c>
      <c r="W9" s="19">
        <f t="shared" si="2"/>
        <v>1.5</v>
      </c>
      <c r="X9" s="297">
        <f>Table2527[[#This Row],[    INDENT  FOR jun-25 as per VSM]]</f>
        <v>1.5</v>
      </c>
      <c r="Y9" s="167">
        <f t="shared" si="3"/>
        <v>7.5</v>
      </c>
      <c r="Z9" s="185">
        <f>SUMIFS(meghsteelsales_previousmonth[Quantity],meghsteelsales_previousmonth[Length Bucket],M9)/1000</f>
        <v>0</v>
      </c>
      <c r="AA9" s="185">
        <f>SUMIFS(meghsteelsales_currentmonth[Quantity],meghsteelsales_currentmonth[Length Bucket],M9)/1000</f>
        <v>0</v>
      </c>
      <c r="AB9" s="185">
        <f t="shared" si="4"/>
        <v>1.5</v>
      </c>
      <c r="AC9" s="185"/>
      <c r="AD9" s="267"/>
      <c r="AE9" s="185"/>
      <c r="AF9" s="185"/>
      <c r="AG9" s="185"/>
      <c r="AH9" s="185" t="s">
        <v>6244</v>
      </c>
    </row>
    <row r="10" spans="1:34" x14ac:dyDescent="0.25">
      <c r="A10" s="265" t="s">
        <v>341</v>
      </c>
      <c r="B10" s="147" t="s">
        <v>342</v>
      </c>
      <c r="C10" s="147" t="s">
        <v>338</v>
      </c>
      <c r="D10" s="147" t="s">
        <v>339</v>
      </c>
      <c r="E10" s="147" t="s">
        <v>340</v>
      </c>
      <c r="F10" s="148">
        <v>15.88</v>
      </c>
      <c r="G10" s="148"/>
      <c r="H10" s="148">
        <v>1.6</v>
      </c>
      <c r="I10" s="147">
        <v>6000</v>
      </c>
      <c r="J10" s="147">
        <v>6</v>
      </c>
      <c r="K10" s="147" t="str">
        <f t="shared" si="0"/>
        <v>15.881.66ERWNON FIN</v>
      </c>
      <c r="L10" s="147" t="str">
        <f>VLOOKUP(K10,'VSM May Indent'!$K$1:$O$61,4,0)</f>
        <v>15.88-0-1.6-ERW 1-PE</v>
      </c>
      <c r="M10" s="147" t="str">
        <f>VLOOKUP(K10,'VSM May Indent'!$K$1:$O$61,5,0)</f>
        <v>15.88-0-1.6-ERW 1-PE-6</v>
      </c>
      <c r="N10" s="151" t="s">
        <v>345</v>
      </c>
      <c r="O10" s="150">
        <v>1900224</v>
      </c>
      <c r="P10" s="19">
        <v>2</v>
      </c>
      <c r="Q10" s="147">
        <f>Table2527[[#This Row],[SCH jun- 25]]</f>
        <v>2</v>
      </c>
      <c r="R10" s="147">
        <v>0</v>
      </c>
      <c r="S10" s="147"/>
      <c r="T10" s="147">
        <f>_xlfn.LET(_xlpm.c,Q10-Table2527[[#This Row],[Stock     12-06-25]]-Table2527[[#This Row],[intransist ]],IF(_xlpm.c&gt;0,0,-_xlpm.c))</f>
        <v>0</v>
      </c>
      <c r="U10" s="301">
        <v>6</v>
      </c>
      <c r="V10" s="147">
        <f t="shared" si="1"/>
        <v>6</v>
      </c>
      <c r="W10" s="19">
        <f t="shared" si="2"/>
        <v>0</v>
      </c>
      <c r="X10" s="297">
        <f>Table2527[[#This Row],[    INDENT  FOR jun-25 as per VSM]]</f>
        <v>0</v>
      </c>
      <c r="Y10" s="167">
        <f t="shared" si="3"/>
        <v>6</v>
      </c>
      <c r="Z10" s="185">
        <f>SUMIFS(meghsteelsales_previousmonth[Quantity],meghsteelsales_previousmonth[Length Bucket],M10)/1000</f>
        <v>0</v>
      </c>
      <c r="AA10" s="185">
        <f>SUMIFS(meghsteelsales_currentmonth[Quantity],meghsteelsales_currentmonth[Length Bucket],M10)/1000</f>
        <v>0</v>
      </c>
      <c r="AB10" s="185">
        <f t="shared" si="4"/>
        <v>0</v>
      </c>
      <c r="AC10" s="185"/>
      <c r="AD10" s="267"/>
      <c r="AE10" s="185"/>
      <c r="AF10" s="185"/>
      <c r="AG10" s="185"/>
      <c r="AH10" s="185"/>
    </row>
    <row r="11" spans="1:34" x14ac:dyDescent="0.25">
      <c r="A11" s="265" t="s">
        <v>341</v>
      </c>
      <c r="B11" s="147" t="s">
        <v>342</v>
      </c>
      <c r="C11" s="147" t="s">
        <v>350</v>
      </c>
      <c r="D11" s="147" t="s">
        <v>348</v>
      </c>
      <c r="E11" s="147" t="s">
        <v>351</v>
      </c>
      <c r="F11" s="148">
        <v>22.2</v>
      </c>
      <c r="G11" s="148"/>
      <c r="H11" s="148">
        <v>2</v>
      </c>
      <c r="I11" s="147">
        <v>5390</v>
      </c>
      <c r="J11" s="147">
        <v>5.39</v>
      </c>
      <c r="K11" s="147" t="str">
        <f t="shared" si="0"/>
        <v>22.225.39CR ERW FIN CUT</v>
      </c>
      <c r="L11" s="147" t="str">
        <f>VLOOKUP(K11,'VSM May Indent'!$K$1:$O$61,4,0)</f>
        <v>22.23-0-2-ERW 1-FC</v>
      </c>
      <c r="M11" s="147" t="str">
        <f>VLOOKUP(K11,'VSM May Indent'!$K$1:$O$61,5,0)</f>
        <v>22.23-0-2-ERW 1-PE-5.39</v>
      </c>
      <c r="N11" s="165" t="s">
        <v>345</v>
      </c>
      <c r="O11" s="260">
        <v>2431251</v>
      </c>
      <c r="P11" s="19">
        <v>50</v>
      </c>
      <c r="Q11" s="147">
        <f>Table2527[[#This Row],[SCH jun- 25]]</f>
        <v>50</v>
      </c>
      <c r="R11" s="147">
        <v>0</v>
      </c>
      <c r="S11" s="147"/>
      <c r="T11" s="147">
        <f>_xlfn.LET(_xlpm.c,Q11-Table2527[[#This Row],[Stock     12-06-25]]-Table2527[[#This Row],[intransist ]],IF(_xlpm.c&gt;0,0,-_xlpm.c))</f>
        <v>0</v>
      </c>
      <c r="U11" s="301">
        <v>24</v>
      </c>
      <c r="V11" s="147">
        <f t="shared" si="1"/>
        <v>24</v>
      </c>
      <c r="W11" s="19">
        <f t="shared" si="2"/>
        <v>51</v>
      </c>
      <c r="X11" s="297">
        <f>Table2527[[#This Row],[    INDENT  FOR jun-25 as per VSM]]</f>
        <v>51</v>
      </c>
      <c r="Y11" s="167">
        <f t="shared" si="3"/>
        <v>75</v>
      </c>
      <c r="Z11" s="185">
        <f>SUMIFS(meghsteelsales_previousmonth[Quantity],meghsteelsales_previousmonth[Length Bucket],M11)/1000</f>
        <v>4.5</v>
      </c>
      <c r="AA11" s="185">
        <f>SUMIFS(meghsteelsales_currentmonth[Quantity],meghsteelsales_currentmonth[Length Bucket],M11)/1000</f>
        <v>22.54</v>
      </c>
      <c r="AB11" s="185">
        <f t="shared" si="4"/>
        <v>23.96</v>
      </c>
      <c r="AC11" s="185"/>
      <c r="AD11" s="267"/>
      <c r="AE11" s="185"/>
      <c r="AF11" s="185"/>
      <c r="AG11" s="185" t="str">
        <f>Table2527[[#This Row],[plant]]</f>
        <v>0789</v>
      </c>
      <c r="AH11" s="185"/>
    </row>
    <row r="12" spans="1:34" x14ac:dyDescent="0.25">
      <c r="A12" s="265" t="s">
        <v>341</v>
      </c>
      <c r="B12" s="147" t="s">
        <v>342</v>
      </c>
      <c r="C12" s="153" t="s">
        <v>344</v>
      </c>
      <c r="D12" s="147" t="s">
        <v>348</v>
      </c>
      <c r="E12" s="147" t="s">
        <v>349</v>
      </c>
      <c r="F12" s="148">
        <v>45</v>
      </c>
      <c r="G12" s="148"/>
      <c r="H12" s="148">
        <v>1.4</v>
      </c>
      <c r="I12" s="147">
        <v>6400</v>
      </c>
      <c r="J12" s="147">
        <v>6.42</v>
      </c>
      <c r="K12" s="147" t="str">
        <f t="shared" si="0"/>
        <v>451.46.42HSTFIN CUT</v>
      </c>
      <c r="L12" s="147" t="str">
        <f>VLOOKUP(K12,'VSM May Indent'!$K$1:$O$61,4,0)</f>
        <v>45--1.4-ERW 2-FIN CUT</v>
      </c>
      <c r="M12" s="147" t="str">
        <f>VLOOKUP(K12,'VSM May Indent'!$K$1:$O$61,5,0)</f>
        <v>45--1.4-ERW 2-FIN CUT-6.4</v>
      </c>
      <c r="N12" s="158" t="s">
        <v>345</v>
      </c>
      <c r="O12" s="150">
        <v>3502343</v>
      </c>
      <c r="P12" s="19">
        <v>10</v>
      </c>
      <c r="Q12" s="147">
        <f>Table2527[[#This Row],[SCH jun- 25]]</f>
        <v>10</v>
      </c>
      <c r="R12" s="147">
        <v>0</v>
      </c>
      <c r="S12" s="147"/>
      <c r="T12" s="147">
        <f>_xlfn.LET(_xlpm.c,Q12-Table2527[[#This Row],[Stock     12-06-25]]-Table2527[[#This Row],[intransist ]],IF(_xlpm.c&gt;0,0,-_xlpm.c))</f>
        <v>0</v>
      </c>
      <c r="U12" s="301"/>
      <c r="V12" s="147">
        <f t="shared" si="1"/>
        <v>0</v>
      </c>
      <c r="W12" s="19">
        <f t="shared" si="2"/>
        <v>15</v>
      </c>
      <c r="X12" s="297">
        <f>Table2527[[#This Row],[    INDENT  FOR jun-25 as per VSM]]</f>
        <v>15</v>
      </c>
      <c r="Y12" s="167">
        <f t="shared" si="3"/>
        <v>15</v>
      </c>
      <c r="Z12" s="185">
        <f>SUMIFS(meghsteelsales_previousmonth[Quantity],meghsteelsales_previousmonth[Length Bucket],M12)/1000</f>
        <v>0</v>
      </c>
      <c r="AA12" s="185">
        <f>SUMIFS(meghsteelsales_currentmonth[Quantity],meghsteelsales_currentmonth[Length Bucket],M12)/1000</f>
        <v>0</v>
      </c>
      <c r="AB12" s="185">
        <f t="shared" si="4"/>
        <v>15</v>
      </c>
      <c r="AC12" s="185"/>
      <c r="AD12" s="267"/>
      <c r="AE12" s="185"/>
      <c r="AF12" s="185"/>
      <c r="AG12" s="185"/>
      <c r="AH12" s="185"/>
    </row>
    <row r="13" spans="1:34" x14ac:dyDescent="0.25">
      <c r="A13" s="265" t="s">
        <v>341</v>
      </c>
      <c r="B13" s="147" t="s">
        <v>342</v>
      </c>
      <c r="C13" s="153" t="s">
        <v>338</v>
      </c>
      <c r="D13" s="147" t="s">
        <v>339</v>
      </c>
      <c r="E13" s="147" t="s">
        <v>340</v>
      </c>
      <c r="F13" s="148">
        <v>19.05</v>
      </c>
      <c r="G13" s="148"/>
      <c r="H13" s="148">
        <v>1.6</v>
      </c>
      <c r="I13" s="147">
        <v>6000</v>
      </c>
      <c r="J13" s="147">
        <v>6</v>
      </c>
      <c r="K13" s="147" t="str">
        <f t="shared" si="0"/>
        <v>19.051.66ERWNON FIN</v>
      </c>
      <c r="L13" s="147" t="str">
        <f>VLOOKUP(K13,'VSM May Indent'!$K$1:$O$61,4,0)</f>
        <v>19.05-0-1.6-ERW 1-PE</v>
      </c>
      <c r="M13" s="147" t="str">
        <f>VLOOKUP(K13,'VSM May Indent'!$K$1:$O$61,5,0)</f>
        <v>19.05-0-1.6-ERW 1-PE-6</v>
      </c>
      <c r="N13" s="158" t="s">
        <v>367</v>
      </c>
      <c r="O13" s="150">
        <v>3498997</v>
      </c>
      <c r="P13" s="19">
        <v>10</v>
      </c>
      <c r="Q13" s="147">
        <f>Table2527[[#This Row],[SCH jun- 25]]</f>
        <v>10</v>
      </c>
      <c r="R13" s="147">
        <v>0</v>
      </c>
      <c r="S13" s="147"/>
      <c r="T13" s="147">
        <f>_xlfn.LET(_xlpm.c,Q13-Table2527[[#This Row],[Stock     12-06-25]]-Table2527[[#This Row],[intransist ]],IF(_xlpm.c&gt;0,0,-_xlpm.c))</f>
        <v>0</v>
      </c>
      <c r="U13" s="301">
        <v>23</v>
      </c>
      <c r="V13" s="147">
        <f t="shared" si="1"/>
        <v>23</v>
      </c>
      <c r="W13" s="19">
        <f t="shared" si="2"/>
        <v>0</v>
      </c>
      <c r="X13" s="297">
        <f>Table2527[[#This Row],[    INDENT  FOR jun-25 as per VSM]]</f>
        <v>0</v>
      </c>
      <c r="Y13" s="167">
        <f t="shared" si="3"/>
        <v>23</v>
      </c>
      <c r="Z13" s="185">
        <f>SUMIFS(meghsteelsales_previousmonth[Quantity],meghsteelsales_previousmonth[Length Bucket],M13)/1000</f>
        <v>10.74</v>
      </c>
      <c r="AA13" s="185">
        <f>SUMIFS(meghsteelsales_currentmonth[Quantity],meghsteelsales_currentmonth[Length Bucket],M13)/1000</f>
        <v>12.04182</v>
      </c>
      <c r="AB13" s="185">
        <f t="shared" si="4"/>
        <v>0</v>
      </c>
      <c r="AC13" s="185"/>
      <c r="AD13" s="267"/>
      <c r="AE13" s="185"/>
      <c r="AF13" s="185"/>
      <c r="AG13" s="185" t="str">
        <f>Table2527[[#This Row],[plant]]</f>
        <v>056</v>
      </c>
      <c r="AH13" s="185"/>
    </row>
    <row r="14" spans="1:34" x14ac:dyDescent="0.25">
      <c r="A14" s="265" t="s">
        <v>341</v>
      </c>
      <c r="B14" s="147" t="s">
        <v>342</v>
      </c>
      <c r="C14" s="147" t="s">
        <v>344</v>
      </c>
      <c r="D14" s="147" t="s">
        <v>339</v>
      </c>
      <c r="E14" s="147" t="s">
        <v>344</v>
      </c>
      <c r="F14" s="148">
        <v>19.05</v>
      </c>
      <c r="G14" s="148"/>
      <c r="H14" s="148">
        <v>1.4</v>
      </c>
      <c r="I14" s="147">
        <v>6000</v>
      </c>
      <c r="J14" s="147">
        <v>6</v>
      </c>
      <c r="K14" s="147" t="str">
        <f t="shared" si="0"/>
        <v>19.051.46ERW2NON FIN</v>
      </c>
      <c r="L14" s="147" t="str">
        <f>VLOOKUP(K14,'VSM May Indent'!$K$1:$O$61,4,0)</f>
        <v>No Key</v>
      </c>
      <c r="M14" s="147" t="str">
        <f>VLOOKUP(K14,'VSM May Indent'!$K$1:$O$61,5,0)</f>
        <v>No Key</v>
      </c>
      <c r="N14" s="151" t="s">
        <v>367</v>
      </c>
      <c r="O14" s="149">
        <v>3891285</v>
      </c>
      <c r="P14" s="19">
        <v>5</v>
      </c>
      <c r="Q14" s="147">
        <f>Table2527[[#This Row],[SCH jun- 25]]</f>
        <v>5</v>
      </c>
      <c r="R14" s="147">
        <v>0</v>
      </c>
      <c r="S14" s="147"/>
      <c r="T14" s="147">
        <f>_xlfn.LET(_xlpm.c,Q14-Table2527[[#This Row],[Stock     12-06-25]]-Table2527[[#This Row],[intransist ]],IF(_xlpm.c&gt;0,0,-_xlpm.c))</f>
        <v>0</v>
      </c>
      <c r="U14" s="301"/>
      <c r="V14" s="147">
        <f t="shared" si="1"/>
        <v>0</v>
      </c>
      <c r="W14" s="19">
        <f t="shared" si="2"/>
        <v>7.5</v>
      </c>
      <c r="X14" s="297">
        <f>Table2527[[#This Row],[    INDENT  FOR jun-25 as per VSM]]</f>
        <v>7.5</v>
      </c>
      <c r="Y14" s="167">
        <f t="shared" si="3"/>
        <v>7.5</v>
      </c>
      <c r="Z14" s="185">
        <f>SUMIFS(meghsteelsales_previousmonth[Quantity],meghsteelsales_previousmonth[Length Bucket],M14)/1000</f>
        <v>0</v>
      </c>
      <c r="AA14" s="185">
        <f>SUMIFS(meghsteelsales_currentmonth[Quantity],meghsteelsales_currentmonth[Length Bucket],M14)/1000</f>
        <v>0</v>
      </c>
      <c r="AB14" s="185">
        <f t="shared" si="4"/>
        <v>7.5</v>
      </c>
      <c r="AC14" s="185"/>
      <c r="AD14" s="267"/>
      <c r="AE14" s="185"/>
      <c r="AF14" s="185"/>
      <c r="AG14" s="185"/>
      <c r="AH14" s="185"/>
    </row>
    <row r="15" spans="1:34" x14ac:dyDescent="0.25">
      <c r="A15" s="265" t="s">
        <v>10</v>
      </c>
      <c r="B15" s="147" t="s">
        <v>116</v>
      </c>
      <c r="C15" s="153" t="s">
        <v>338</v>
      </c>
      <c r="D15" s="147" t="s">
        <v>339</v>
      </c>
      <c r="E15" s="147" t="s">
        <v>340</v>
      </c>
      <c r="F15" s="154">
        <v>19.05</v>
      </c>
      <c r="G15" s="154"/>
      <c r="H15" s="154">
        <v>2</v>
      </c>
      <c r="I15" s="155">
        <v>5841</v>
      </c>
      <c r="J15" s="147">
        <v>5.84</v>
      </c>
      <c r="K15" s="147" t="str">
        <f t="shared" si="0"/>
        <v>19.0525.84ERWNON FIN</v>
      </c>
      <c r="L15" s="147" t="str">
        <f>VLOOKUP(K15,'VSM May Indent'!$K$1:$O$61,4,0)</f>
        <v>19.05-0-2-ERW 1-PE</v>
      </c>
      <c r="M15" s="147" t="str">
        <f>VLOOKUP(K15,'VSM May Indent'!$K$1:$O$61,5,0)</f>
        <v>19.05-0-2-ERW 1-PE-5.841</v>
      </c>
      <c r="N15" s="151" t="s">
        <v>367</v>
      </c>
      <c r="O15" s="150">
        <v>3673888</v>
      </c>
      <c r="P15" s="19">
        <v>0</v>
      </c>
      <c r="Q15" s="147">
        <f>Table2527[[#This Row],[SCH jun- 25]]</f>
        <v>0</v>
      </c>
      <c r="R15" s="147">
        <v>20</v>
      </c>
      <c r="S15" s="147"/>
      <c r="T15" s="147">
        <f>_xlfn.LET(_xlpm.c,Q15-Table2527[[#This Row],[Stock     12-06-25]]-Table2527[[#This Row],[intransist ]],IF(_xlpm.c&gt;0,0,-_xlpm.c))</f>
        <v>20</v>
      </c>
      <c r="U15" s="301">
        <v>54</v>
      </c>
      <c r="V15" s="147">
        <f t="shared" si="1"/>
        <v>74</v>
      </c>
      <c r="W15" s="19">
        <f t="shared" si="2"/>
        <v>0</v>
      </c>
      <c r="X15" s="297">
        <f>Table2527[[#This Row],[    INDENT  FOR jun-25 as per VSM]]</f>
        <v>0</v>
      </c>
      <c r="Y15" s="167">
        <f t="shared" si="3"/>
        <v>54</v>
      </c>
      <c r="Z15" s="185">
        <f>SUMIFS(meghsteelsales_previousmonth[Quantity],meghsteelsales_previousmonth[Length Bucket],M15)/1000</f>
        <v>0</v>
      </c>
      <c r="AA15" s="185">
        <f>SUMIFS(meghsteelsales_currentmonth[Quantity],meghsteelsales_currentmonth[Length Bucket],M15)/1000</f>
        <v>0</v>
      </c>
      <c r="AB15" s="185">
        <f t="shared" si="4"/>
        <v>0</v>
      </c>
      <c r="AC15" s="185"/>
      <c r="AD15" s="267"/>
      <c r="AE15" s="185"/>
      <c r="AF15" s="185"/>
      <c r="AG15" s="185" t="str">
        <f>Table2527[[#This Row],[plant]]</f>
        <v>056</v>
      </c>
      <c r="AH15" s="185"/>
    </row>
    <row r="16" spans="1:34" s="45" customFormat="1" x14ac:dyDescent="0.25">
      <c r="A16" s="265" t="s">
        <v>341</v>
      </c>
      <c r="B16" s="147" t="s">
        <v>342</v>
      </c>
      <c r="C16" s="153" t="s">
        <v>344</v>
      </c>
      <c r="D16" s="147" t="s">
        <v>339</v>
      </c>
      <c r="E16" s="147" t="s">
        <v>347</v>
      </c>
      <c r="F16" s="148">
        <v>22.2</v>
      </c>
      <c r="G16" s="148"/>
      <c r="H16" s="148">
        <v>1.4</v>
      </c>
      <c r="I16" s="147">
        <v>6000</v>
      </c>
      <c r="J16" s="147">
        <v>6</v>
      </c>
      <c r="K16" s="147" t="str">
        <f t="shared" si="0"/>
        <v>22.21.46ERW-2NON FIN</v>
      </c>
      <c r="L16" s="147" t="str">
        <f>VLOOKUP(K16,'VSM May Indent'!$K$1:$O$61,4,0)</f>
        <v>No Key</v>
      </c>
      <c r="M16" s="147" t="str">
        <f>VLOOKUP(K16,'VSM May Indent'!$K$1:$O$61,5,0)</f>
        <v>No Key</v>
      </c>
      <c r="N16" s="151" t="s">
        <v>367</v>
      </c>
      <c r="O16" s="150">
        <v>3829175</v>
      </c>
      <c r="P16" s="19">
        <v>5</v>
      </c>
      <c r="Q16" s="147">
        <f>Table2527[[#This Row],[SCH jun- 25]]</f>
        <v>5</v>
      </c>
      <c r="R16" s="147">
        <v>7</v>
      </c>
      <c r="S16" s="147"/>
      <c r="T16" s="147">
        <f>_xlfn.LET(_xlpm.c,Q16-Table2527[[#This Row],[Stock     12-06-25]]-Table2527[[#This Row],[intransist ]],IF(_xlpm.c&gt;0,0,-_xlpm.c))</f>
        <v>2</v>
      </c>
      <c r="U16" s="301"/>
      <c r="V16" s="147">
        <f t="shared" si="1"/>
        <v>2</v>
      </c>
      <c r="W16" s="19">
        <f t="shared" si="2"/>
        <v>5.5</v>
      </c>
      <c r="X16" s="297">
        <f>Table2527[[#This Row],[    INDENT  FOR jun-25 as per VSM]]</f>
        <v>5.5</v>
      </c>
      <c r="Y16" s="167">
        <f t="shared" si="3"/>
        <v>5.5</v>
      </c>
      <c r="Z16" s="185">
        <f>SUMIFS(meghsteelsales_previousmonth[Quantity],meghsteelsales_previousmonth[Length Bucket],M16)/1000</f>
        <v>0</v>
      </c>
      <c r="AA16" s="185">
        <f>SUMIFS(meghsteelsales_currentmonth[Quantity],meghsteelsales_currentmonth[Length Bucket],M16)/1000</f>
        <v>0</v>
      </c>
      <c r="AB16" s="185">
        <f t="shared" si="4"/>
        <v>5.5</v>
      </c>
      <c r="AC16" s="185"/>
      <c r="AD16" s="267"/>
      <c r="AE16" s="185"/>
      <c r="AF16" s="185"/>
      <c r="AG16" s="185"/>
      <c r="AH16" s="185"/>
    </row>
    <row r="17" spans="1:34" x14ac:dyDescent="0.25">
      <c r="A17" s="265" t="s">
        <v>341</v>
      </c>
      <c r="B17" s="147" t="s">
        <v>342</v>
      </c>
      <c r="C17" s="153" t="s">
        <v>344</v>
      </c>
      <c r="D17" s="147" t="s">
        <v>348</v>
      </c>
      <c r="E17" s="147" t="s">
        <v>349</v>
      </c>
      <c r="F17" s="148">
        <v>25.4</v>
      </c>
      <c r="G17" s="148"/>
      <c r="H17" s="148">
        <v>1.4</v>
      </c>
      <c r="I17" s="147">
        <v>5531</v>
      </c>
      <c r="J17" s="147">
        <v>5.5309999999999997</v>
      </c>
      <c r="K17" s="147" t="str">
        <f t="shared" si="0"/>
        <v>25.41.45.531HSTFIN CUT</v>
      </c>
      <c r="L17" s="147" t="s">
        <v>6245</v>
      </c>
      <c r="M17" s="147" t="s">
        <v>6246</v>
      </c>
      <c r="N17" s="151" t="s">
        <v>367</v>
      </c>
      <c r="O17" s="150">
        <v>3501900</v>
      </c>
      <c r="P17" s="19">
        <v>15</v>
      </c>
      <c r="Q17" s="147">
        <f>Table2527[[#This Row],[SCH jun- 25]]</f>
        <v>15</v>
      </c>
      <c r="R17" s="147">
        <v>25</v>
      </c>
      <c r="S17" s="147"/>
      <c r="T17" s="147">
        <f>_xlfn.LET(_xlpm.c,Q17-Table2527[[#This Row],[Stock     12-06-25]]-Table2527[[#This Row],[intransist ]],IF(_xlpm.c&gt;0,0,-_xlpm.c))</f>
        <v>10</v>
      </c>
      <c r="U17" s="301"/>
      <c r="V17" s="147">
        <f t="shared" si="1"/>
        <v>10</v>
      </c>
      <c r="W17" s="19">
        <f t="shared" si="2"/>
        <v>12.5</v>
      </c>
      <c r="X17" s="297">
        <f>Table2527[[#This Row],[    INDENT  FOR jun-25 as per VSM]]</f>
        <v>12.5</v>
      </c>
      <c r="Y17" s="167">
        <f t="shared" si="3"/>
        <v>12.5</v>
      </c>
      <c r="Z17" s="185">
        <f>SUMIFS(meghsteelsales_previousmonth[Quantity],meghsteelsales_previousmonth[Length Bucket],M17)/1000</f>
        <v>0</v>
      </c>
      <c r="AA17" s="185">
        <f>SUMIFS(meghsteelsales_currentmonth[Quantity],meghsteelsales_currentmonth[Length Bucket],M17)/1000</f>
        <v>0</v>
      </c>
      <c r="AB17" s="185">
        <f t="shared" si="4"/>
        <v>12.5</v>
      </c>
      <c r="AC17" s="185"/>
      <c r="AD17" s="267"/>
      <c r="AE17" s="185"/>
      <c r="AF17" s="185"/>
      <c r="AG17" s="185"/>
      <c r="AH17" s="185"/>
    </row>
    <row r="18" spans="1:34" x14ac:dyDescent="0.25">
      <c r="A18" s="265" t="s">
        <v>10</v>
      </c>
      <c r="B18" s="147" t="s">
        <v>116</v>
      </c>
      <c r="C18" s="147" t="s">
        <v>338</v>
      </c>
      <c r="D18" s="147" t="s">
        <v>339</v>
      </c>
      <c r="E18" s="147" t="s">
        <v>340</v>
      </c>
      <c r="F18" s="148">
        <v>21.4</v>
      </c>
      <c r="G18" s="148"/>
      <c r="H18" s="148">
        <v>1.6</v>
      </c>
      <c r="I18" s="147">
        <v>6000</v>
      </c>
      <c r="J18" s="147">
        <v>6</v>
      </c>
      <c r="K18" s="147" t="str">
        <f t="shared" si="0"/>
        <v>21.41.66ERWNON FIN</v>
      </c>
      <c r="L18" s="147" t="str">
        <f>VLOOKUP(K18,'VSM May Indent'!$K$1:$O$61,4,0)</f>
        <v>21.4-0-1.6-ERW 1-PE</v>
      </c>
      <c r="M18" s="147" t="str">
        <f>VLOOKUP(K18,'VSM May Indent'!$K$1:$O$61,5,0)</f>
        <v>21.4-0-1.6-ERW 1-PE-6</v>
      </c>
      <c r="N18" s="158" t="s">
        <v>345</v>
      </c>
      <c r="O18" s="150">
        <v>3219710</v>
      </c>
      <c r="P18" s="19">
        <v>10</v>
      </c>
      <c r="Q18" s="147">
        <f>Table2527[[#This Row],[SCH jun- 25]]</f>
        <v>10</v>
      </c>
      <c r="R18" s="147">
        <v>2</v>
      </c>
      <c r="S18" s="147"/>
      <c r="T18" s="147">
        <f>_xlfn.LET(_xlpm.c,Q18-Table2527[[#This Row],[Stock     12-06-25]]-Table2527[[#This Row],[intransist ]],IF(_xlpm.c&gt;0,0,-_xlpm.c))</f>
        <v>0</v>
      </c>
      <c r="U18" s="301">
        <v>22</v>
      </c>
      <c r="V18" s="147">
        <f t="shared" si="1"/>
        <v>22</v>
      </c>
      <c r="W18" s="19">
        <f t="shared" si="2"/>
        <v>0</v>
      </c>
      <c r="X18" s="297">
        <f>Table2527[[#This Row],[    INDENT  FOR jun-25 as per VSM]]</f>
        <v>0</v>
      </c>
      <c r="Y18" s="167">
        <f t="shared" si="3"/>
        <v>22</v>
      </c>
      <c r="Z18" s="185">
        <f>SUMIFS(meghsteelsales_previousmonth[Quantity],meghsteelsales_previousmonth[Length Bucket],M18)/1000</f>
        <v>0</v>
      </c>
      <c r="AA18" s="185">
        <f>SUMIFS(meghsteelsales_currentmonth[Quantity],meghsteelsales_currentmonth[Length Bucket],M18)/1000</f>
        <v>0</v>
      </c>
      <c r="AB18" s="185">
        <f t="shared" si="4"/>
        <v>0</v>
      </c>
      <c r="AC18" s="185"/>
      <c r="AD18" s="267"/>
      <c r="AE18" s="185"/>
      <c r="AF18" s="185"/>
      <c r="AG18" s="185"/>
      <c r="AH18" s="185"/>
    </row>
    <row r="19" spans="1:34" x14ac:dyDescent="0.25">
      <c r="A19" s="265" t="s">
        <v>341</v>
      </c>
      <c r="B19" s="147" t="s">
        <v>342</v>
      </c>
      <c r="C19" s="153" t="s">
        <v>338</v>
      </c>
      <c r="D19" s="147" t="s">
        <v>348</v>
      </c>
      <c r="E19" s="147" t="s">
        <v>340</v>
      </c>
      <c r="F19" s="148">
        <v>41.28</v>
      </c>
      <c r="G19" s="148"/>
      <c r="H19" s="148">
        <v>3.15</v>
      </c>
      <c r="I19" s="147">
        <v>5860</v>
      </c>
      <c r="J19" s="147">
        <v>5.86</v>
      </c>
      <c r="K19" s="147" t="str">
        <f t="shared" si="0"/>
        <v>41.283.155.86ERWFIN CUT</v>
      </c>
      <c r="L19" s="147" t="str">
        <f>VLOOKUP(K19,'VSM May Indent'!$K$1:$O$61,4,0)</f>
        <v>41.28-0-3.15-ERW 1-FC</v>
      </c>
      <c r="M19" s="147" t="str">
        <f>VLOOKUP(K19,'VSM May Indent'!$K$1:$O$61,5,0)</f>
        <v>41.28-0-3.15-ERW 1-FC-5.86</v>
      </c>
      <c r="N19" s="158" t="s">
        <v>367</v>
      </c>
      <c r="O19" s="317">
        <v>3673889</v>
      </c>
      <c r="P19" s="19">
        <v>35</v>
      </c>
      <c r="Q19" s="147">
        <f>Table2527[[#This Row],[SCH jun- 25]]</f>
        <v>35</v>
      </c>
      <c r="R19" s="147">
        <v>0</v>
      </c>
      <c r="S19" s="147"/>
      <c r="T19" s="147">
        <f>_xlfn.LET(_xlpm.c,Q19-Table2527[[#This Row],[Stock     12-06-25]]-Table2527[[#This Row],[intransist ]],IF(_xlpm.c&gt;0,0,-_xlpm.c))</f>
        <v>0</v>
      </c>
      <c r="U19" s="301">
        <v>4</v>
      </c>
      <c r="V19" s="147">
        <f t="shared" si="1"/>
        <v>4</v>
      </c>
      <c r="W19" s="19">
        <f t="shared" si="2"/>
        <v>48.5</v>
      </c>
      <c r="X19" s="297">
        <f>Table2527[[#This Row],[    INDENT  FOR jun-25 as per VSM]]</f>
        <v>48.5</v>
      </c>
      <c r="Y19" s="167">
        <f t="shared" si="3"/>
        <v>52.5</v>
      </c>
      <c r="Z19" s="185">
        <f>SUMIFS(meghsteelsales_previousmonth[Quantity],meghsteelsales_previousmonth[Length Bucket],M19)/1000</f>
        <v>48.390045000000008</v>
      </c>
      <c r="AA19" s="185">
        <f>SUMIFS(meghsteelsales_currentmonth[Quantity],meghsteelsales_currentmonth[Length Bucket],M19)/1000</f>
        <v>9.6830499999999997</v>
      </c>
      <c r="AB19" s="185">
        <f t="shared" si="4"/>
        <v>0</v>
      </c>
      <c r="AC19" s="185"/>
      <c r="AD19" s="267"/>
      <c r="AE19" s="185"/>
      <c r="AF19" s="185"/>
      <c r="AG19" s="185"/>
      <c r="AH19" s="185"/>
    </row>
    <row r="20" spans="1:34" x14ac:dyDescent="0.25">
      <c r="A20" s="265" t="s">
        <v>341</v>
      </c>
      <c r="B20" s="147" t="s">
        <v>342</v>
      </c>
      <c r="C20" s="153" t="s">
        <v>344</v>
      </c>
      <c r="D20" s="147" t="s">
        <v>348</v>
      </c>
      <c r="E20" s="147" t="s">
        <v>349</v>
      </c>
      <c r="F20" s="148">
        <v>48.6</v>
      </c>
      <c r="G20" s="148"/>
      <c r="H20" s="148">
        <v>2.2999999999999998</v>
      </c>
      <c r="I20" s="147">
        <v>6270</v>
      </c>
      <c r="J20" s="147">
        <v>6.27</v>
      </c>
      <c r="K20" s="147" t="str">
        <f t="shared" si="0"/>
        <v>48.62.36.27HSTFIN CUT</v>
      </c>
      <c r="L20" s="147" t="str">
        <f>VLOOKUP(K20,'VSM May Indent'!$K$1:$O$61,4,0)</f>
        <v>48.6-0-2.3-ERW 2-FC</v>
      </c>
      <c r="M20" s="147" t="str">
        <f>VLOOKUP(K20,'VSM May Indent'!$K$1:$O$61,5,0)</f>
        <v>48.6-0-2.3-ERW 2-FC-6.27</v>
      </c>
      <c r="N20" s="158" t="s">
        <v>367</v>
      </c>
      <c r="O20" s="150">
        <v>3549720</v>
      </c>
      <c r="P20" s="19">
        <v>15</v>
      </c>
      <c r="Q20" s="147">
        <f>Table2527[[#This Row],[SCH jun- 25]]</f>
        <v>15</v>
      </c>
      <c r="R20" s="147">
        <v>0</v>
      </c>
      <c r="S20" s="147"/>
      <c r="T20" s="147">
        <f>_xlfn.LET(_xlpm.c,Q20-Table2527[[#This Row],[Stock     12-06-25]]-Table2527[[#This Row],[intransist ]],IF(_xlpm.c&gt;0,0,-_xlpm.c))</f>
        <v>0</v>
      </c>
      <c r="U20" s="301"/>
      <c r="V20" s="147">
        <f t="shared" si="1"/>
        <v>0</v>
      </c>
      <c r="W20" s="19">
        <f t="shared" si="2"/>
        <v>22.5</v>
      </c>
      <c r="X20" s="297">
        <f>Table2527[[#This Row],[    INDENT  FOR jun-25 as per VSM]]</f>
        <v>22.5</v>
      </c>
      <c r="Y20" s="167">
        <f t="shared" si="3"/>
        <v>22.5</v>
      </c>
      <c r="Z20" s="185">
        <f>SUMIFS(meghsteelsales_previousmonth[Quantity],meghsteelsales_previousmonth[Length Bucket],M20)/1000</f>
        <v>0</v>
      </c>
      <c r="AA20" s="185">
        <f>SUMIFS(meghsteelsales_currentmonth[Quantity],meghsteelsales_currentmonth[Length Bucket],M20)/1000</f>
        <v>0</v>
      </c>
      <c r="AB20" s="185">
        <f t="shared" si="4"/>
        <v>22.5</v>
      </c>
      <c r="AC20" s="185"/>
      <c r="AD20" s="267"/>
      <c r="AE20" s="185"/>
      <c r="AF20" s="185"/>
      <c r="AG20" s="185"/>
      <c r="AH20" s="185"/>
    </row>
    <row r="21" spans="1:34" s="45" customFormat="1" x14ac:dyDescent="0.25">
      <c r="A21" s="265" t="s">
        <v>341</v>
      </c>
      <c r="B21" s="147" t="s">
        <v>342</v>
      </c>
      <c r="C21" s="153" t="s">
        <v>344</v>
      </c>
      <c r="D21" s="147" t="s">
        <v>348</v>
      </c>
      <c r="E21" s="147" t="s">
        <v>349</v>
      </c>
      <c r="F21" s="148">
        <v>45</v>
      </c>
      <c r="G21" s="148"/>
      <c r="H21" s="148">
        <v>1.6</v>
      </c>
      <c r="I21" s="147">
        <v>6400</v>
      </c>
      <c r="J21" s="147">
        <v>6.42</v>
      </c>
      <c r="K21" s="147" t="str">
        <f t="shared" si="0"/>
        <v>451.66.42HSTFIN CUT</v>
      </c>
      <c r="L21" s="147" t="str">
        <f>VLOOKUP(K21,'VSM May Indent'!$K$1:$O$61,4,0)</f>
        <v>No Key</v>
      </c>
      <c r="M21" s="147" t="str">
        <f>VLOOKUP(K21,'VSM May Indent'!$K$1:$O$61,5,0)</f>
        <v>No Key</v>
      </c>
      <c r="N21" s="158" t="s">
        <v>345</v>
      </c>
      <c r="O21" s="150">
        <v>3502388</v>
      </c>
      <c r="P21" s="19">
        <v>10</v>
      </c>
      <c r="Q21" s="147">
        <f>Table2527[[#This Row],[SCH jun- 25]]</f>
        <v>10</v>
      </c>
      <c r="R21" s="147">
        <v>0</v>
      </c>
      <c r="S21" s="147"/>
      <c r="T21" s="147">
        <f>_xlfn.LET(_xlpm.c,Q21-Table2527[[#This Row],[Stock     12-06-25]]-Table2527[[#This Row],[intransist ]],IF(_xlpm.c&gt;0,0,-_xlpm.c))</f>
        <v>0</v>
      </c>
      <c r="U21" s="301"/>
      <c r="V21" s="147">
        <f t="shared" si="1"/>
        <v>0</v>
      </c>
      <c r="W21" s="19">
        <f t="shared" si="2"/>
        <v>15</v>
      </c>
      <c r="X21" s="297">
        <f>Table2527[[#This Row],[    INDENT  FOR jun-25 as per VSM]]</f>
        <v>15</v>
      </c>
      <c r="Y21" s="167">
        <f t="shared" si="3"/>
        <v>15</v>
      </c>
      <c r="Z21" s="185">
        <f>SUMIFS(meghsteelsales_previousmonth[Quantity],meghsteelsales_previousmonth[Length Bucket],M21)/1000</f>
        <v>0</v>
      </c>
      <c r="AA21" s="185">
        <f>SUMIFS(meghsteelsales_currentmonth[Quantity],meghsteelsales_currentmonth[Length Bucket],M21)/1000</f>
        <v>0</v>
      </c>
      <c r="AB21" s="185">
        <f t="shared" si="4"/>
        <v>15</v>
      </c>
      <c r="AC21" s="185"/>
      <c r="AD21" s="267"/>
      <c r="AE21" s="185"/>
      <c r="AF21" s="185"/>
      <c r="AG21" s="185"/>
      <c r="AH21" s="185"/>
    </row>
    <row r="22" spans="1:34" s="45" customFormat="1" x14ac:dyDescent="0.25">
      <c r="A22" s="265" t="s">
        <v>341</v>
      </c>
      <c r="B22" s="147" t="s">
        <v>342</v>
      </c>
      <c r="C22" s="153" t="s">
        <v>338</v>
      </c>
      <c r="D22" s="147" t="s">
        <v>348</v>
      </c>
      <c r="E22" s="147" t="s">
        <v>340</v>
      </c>
      <c r="F22" s="148">
        <v>57.15</v>
      </c>
      <c r="G22" s="148"/>
      <c r="H22" s="148">
        <v>3</v>
      </c>
      <c r="I22" s="147">
        <v>5650</v>
      </c>
      <c r="J22" s="147">
        <v>5.65</v>
      </c>
      <c r="K22" s="147" t="str">
        <f t="shared" si="0"/>
        <v>57.1535.65ERWFIN CUT</v>
      </c>
      <c r="L22" s="147" t="str">
        <f>VLOOKUP(K22,'VSM May Indent'!$K$1:$O$61,4,0)</f>
        <v>No Key</v>
      </c>
      <c r="M22" s="147" t="str">
        <f>VLOOKUP(K22,'VSM May Indent'!$K$1:$O$61,5,0)</f>
        <v>No Key</v>
      </c>
      <c r="N22" s="151" t="s">
        <v>367</v>
      </c>
      <c r="O22" s="150">
        <v>3501105</v>
      </c>
      <c r="P22" s="19">
        <v>15</v>
      </c>
      <c r="Q22" s="147">
        <f>Table2527[[#This Row],[SCH jun- 25]]</f>
        <v>15</v>
      </c>
      <c r="R22" s="147">
        <v>0</v>
      </c>
      <c r="S22" s="147"/>
      <c r="T22" s="147">
        <f>_xlfn.LET(_xlpm.c,Q22-Table2527[[#This Row],[Stock     12-06-25]]-Table2527[[#This Row],[intransist ]],IF(_xlpm.c&gt;0,0,-_xlpm.c))</f>
        <v>0</v>
      </c>
      <c r="U22" s="301"/>
      <c r="V22" s="147">
        <f t="shared" si="1"/>
        <v>0</v>
      </c>
      <c r="W22" s="19">
        <f t="shared" si="2"/>
        <v>22.5</v>
      </c>
      <c r="X22" s="297">
        <f>Table2527[[#This Row],[    INDENT  FOR jun-25 as per VSM]]</f>
        <v>22.5</v>
      </c>
      <c r="Y22" s="167">
        <f t="shared" si="3"/>
        <v>22.5</v>
      </c>
      <c r="Z22" s="185">
        <f>SUMIFS(meghsteelsales_previousmonth[Quantity],meghsteelsales_previousmonth[Length Bucket],M22)/1000</f>
        <v>0</v>
      </c>
      <c r="AA22" s="185">
        <f>SUMIFS(meghsteelsales_currentmonth[Quantity],meghsteelsales_currentmonth[Length Bucket],M22)/1000</f>
        <v>0</v>
      </c>
      <c r="AB22" s="185">
        <f t="shared" si="4"/>
        <v>22.5</v>
      </c>
      <c r="AC22" s="185"/>
      <c r="AD22" s="267"/>
      <c r="AE22" s="185"/>
      <c r="AF22" s="185"/>
      <c r="AG22" s="185"/>
      <c r="AH22" s="185"/>
    </row>
    <row r="23" spans="1:34" x14ac:dyDescent="0.25">
      <c r="A23" s="266" t="s">
        <v>10</v>
      </c>
      <c r="B23" s="156" t="s">
        <v>116</v>
      </c>
      <c r="C23" s="157" t="s">
        <v>338</v>
      </c>
      <c r="D23" s="156" t="s">
        <v>339</v>
      </c>
      <c r="E23" s="156" t="s">
        <v>340</v>
      </c>
      <c r="F23" s="243">
        <v>19.05</v>
      </c>
      <c r="G23" s="243"/>
      <c r="H23" s="243">
        <v>2</v>
      </c>
      <c r="I23" s="244">
        <v>5800</v>
      </c>
      <c r="J23" s="156">
        <v>5.8</v>
      </c>
      <c r="K23" s="147" t="str">
        <f t="shared" si="0"/>
        <v>19.0525.8ERWNON FIN</v>
      </c>
      <c r="L23" s="147" t="e">
        <f>VLOOKUP(K23,'VSM May Indent'!$K$1:$O$61,4,0)</f>
        <v>#N/A</v>
      </c>
      <c r="M23" s="147" t="e">
        <f>VLOOKUP(K23,'VSM May Indent'!$K$1:$O$61,5,0)</f>
        <v>#N/A</v>
      </c>
      <c r="N23" s="249" t="s">
        <v>367</v>
      </c>
      <c r="O23" s="318">
        <v>3212868</v>
      </c>
      <c r="P23" s="246">
        <v>35</v>
      </c>
      <c r="Q23" s="156">
        <f>Table2527[[#This Row],[SCH jun- 25]]</f>
        <v>35</v>
      </c>
      <c r="R23" s="156"/>
      <c r="S23" s="156"/>
      <c r="T23" s="156">
        <f>_xlfn.LET(_xlpm.c,Q23-Table2527[[#This Row],[Stock     12-06-25]]-Table2527[[#This Row],[intransist ]],IF(_xlpm.c&gt;0,0,-_xlpm.c))</f>
        <v>0</v>
      </c>
      <c r="U23" s="301"/>
      <c r="V23" s="156">
        <f t="shared" si="1"/>
        <v>0</v>
      </c>
      <c r="W23" s="246">
        <f t="shared" si="2"/>
        <v>52.5</v>
      </c>
      <c r="X23" s="297">
        <f>Table2527[[#This Row],[    INDENT  FOR jun-25 as per VSM]]</f>
        <v>52.5</v>
      </c>
      <c r="Y23" s="247">
        <f t="shared" si="3"/>
        <v>52.5</v>
      </c>
      <c r="Z23" s="185">
        <f>SUMIFS(meghsteelsales_previousmonth[Quantity],meghsteelsales_previousmonth[Length Bucket],M23)/1000</f>
        <v>0</v>
      </c>
      <c r="AA23" s="185">
        <f>SUMIFS(meghsteelsales_currentmonth[Quantity],meghsteelsales_currentmonth[Length Bucket],M23)/1000</f>
        <v>0</v>
      </c>
      <c r="AB23" s="185">
        <f t="shared" si="4"/>
        <v>52.5</v>
      </c>
      <c r="AC23" s="185"/>
      <c r="AD23" s="267"/>
      <c r="AE23" s="292"/>
      <c r="AF23" s="292"/>
      <c r="AG23" s="292"/>
      <c r="AH23" s="292"/>
    </row>
    <row r="24" spans="1:34" x14ac:dyDescent="0.25">
      <c r="A24" s="265" t="s">
        <v>10</v>
      </c>
      <c r="B24" s="147" t="s">
        <v>346</v>
      </c>
      <c r="C24" s="153" t="s">
        <v>338</v>
      </c>
      <c r="D24" s="147" t="s">
        <v>339</v>
      </c>
      <c r="E24" s="147" t="s">
        <v>340</v>
      </c>
      <c r="F24" s="148">
        <v>19.05</v>
      </c>
      <c r="G24" s="148"/>
      <c r="H24" s="148">
        <v>2.2999999999999998</v>
      </c>
      <c r="I24" s="147">
        <v>7000</v>
      </c>
      <c r="J24" s="147">
        <v>7</v>
      </c>
      <c r="K24" s="147" t="str">
        <f t="shared" si="0"/>
        <v>19.052.37ERWNON FIN</v>
      </c>
      <c r="L24" s="147" t="str">
        <f>VLOOKUP(K24,'VSM May Indent'!$K$1:$O$61,4,0)</f>
        <v>19.05-0-2.3-ERW 1-PE</v>
      </c>
      <c r="M24" s="147" t="str">
        <f>VLOOKUP(K24,'VSM May Indent'!$K$1:$O$61,5,0)</f>
        <v>19.05-0-2.3-ERW 1-PE-7</v>
      </c>
      <c r="N24" s="151" t="s">
        <v>367</v>
      </c>
      <c r="O24" s="150">
        <v>3500582</v>
      </c>
      <c r="P24" s="19">
        <v>20</v>
      </c>
      <c r="Q24" s="147">
        <f>Table2527[[#This Row],[SCH jun- 25]]</f>
        <v>20</v>
      </c>
      <c r="R24" s="147">
        <v>15</v>
      </c>
      <c r="S24" s="147"/>
      <c r="T24" s="147">
        <f>_xlfn.LET(_xlpm.c,Q24-Table2527[[#This Row],[Stock     12-06-25]]-Table2527[[#This Row],[intransist ]],IF(_xlpm.c&gt;0,0,-_xlpm.c))</f>
        <v>0</v>
      </c>
      <c r="U24" s="301">
        <v>23</v>
      </c>
      <c r="V24" s="147">
        <f t="shared" si="1"/>
        <v>23</v>
      </c>
      <c r="W24" s="19">
        <f t="shared" si="2"/>
        <v>7</v>
      </c>
      <c r="X24" s="297">
        <f>Table2527[[#This Row],[    INDENT  FOR jun-25 as per VSM]]</f>
        <v>7</v>
      </c>
      <c r="Y24" s="167">
        <f t="shared" si="3"/>
        <v>30</v>
      </c>
      <c r="Z24" s="185">
        <f>SUMIFS(meghsteelsales_previousmonth[Quantity],meghsteelsales_previousmonth[Length Bucket],M24)/1000</f>
        <v>20.52</v>
      </c>
      <c r="AA24" s="185">
        <f>SUMIFS(meghsteelsales_currentmonth[Quantity],meghsteelsales_currentmonth[Length Bucket],M24)/1000</f>
        <v>4.2763360000000006</v>
      </c>
      <c r="AB24" s="185">
        <f t="shared" si="4"/>
        <v>0</v>
      </c>
      <c r="AC24" s="185"/>
      <c r="AD24" s="267"/>
      <c r="AE24" s="185"/>
      <c r="AF24" s="185"/>
      <c r="AG24" s="185" t="str">
        <f>Table2527[[#This Row],[plant]]</f>
        <v>056</v>
      </c>
      <c r="AH24" s="185"/>
    </row>
    <row r="25" spans="1:34" x14ac:dyDescent="0.25">
      <c r="A25" s="265" t="s">
        <v>10</v>
      </c>
      <c r="B25" s="147" t="s">
        <v>116</v>
      </c>
      <c r="C25" s="153" t="s">
        <v>338</v>
      </c>
      <c r="D25" s="147" t="s">
        <v>339</v>
      </c>
      <c r="E25" s="147" t="s">
        <v>340</v>
      </c>
      <c r="F25" s="148">
        <v>22.2</v>
      </c>
      <c r="G25" s="148"/>
      <c r="H25" s="148">
        <v>1.2</v>
      </c>
      <c r="I25" s="147">
        <v>5870</v>
      </c>
      <c r="J25" s="147">
        <v>5.87</v>
      </c>
      <c r="K25" s="147" t="str">
        <f t="shared" si="0"/>
        <v>22.21.25.87ERWNON FIN</v>
      </c>
      <c r="L25" s="147" t="str">
        <f>VLOOKUP(K25,'VSM May Indent'!$K$1:$O$61,4,0)</f>
        <v>22.23-0-1.2-ERW 1-PE</v>
      </c>
      <c r="M25" s="147" t="str">
        <f>VLOOKUP(K25,'VSM May Indent'!$K$1:$O$61,5,0)</f>
        <v>22.23-0-1.2-ERW 1-PE-5.87</v>
      </c>
      <c r="N25" s="151" t="s">
        <v>367</v>
      </c>
      <c r="O25" s="316">
        <v>3882110</v>
      </c>
      <c r="P25" s="19">
        <v>20</v>
      </c>
      <c r="Q25" s="147">
        <f>Table2527[[#This Row],[SCH jun- 25]]</f>
        <v>20</v>
      </c>
      <c r="R25" s="147">
        <v>0</v>
      </c>
      <c r="S25" s="147"/>
      <c r="T25" s="147">
        <f>_xlfn.LET(_xlpm.c,Q25-Table2527[[#This Row],[Stock     12-06-25]]-Table2527[[#This Row],[intransist ]],IF(_xlpm.c&gt;0,0,-_xlpm.c))</f>
        <v>0</v>
      </c>
      <c r="U25" s="301">
        <v>24</v>
      </c>
      <c r="V25" s="147">
        <f t="shared" si="1"/>
        <v>24</v>
      </c>
      <c r="W25" s="19">
        <f t="shared" si="2"/>
        <v>6</v>
      </c>
      <c r="X25" s="297">
        <f>Table2527[[#This Row],[    INDENT  FOR jun-25 as per VSM]]</f>
        <v>6</v>
      </c>
      <c r="Y25" s="167">
        <f t="shared" si="3"/>
        <v>30</v>
      </c>
      <c r="Z25" s="185">
        <f>SUMIFS(meghsteelsales_previousmonth[Quantity],meghsteelsales_previousmonth[Length Bucket],M25)/1000</f>
        <v>7.3276850000000016</v>
      </c>
      <c r="AA25" s="185">
        <f>SUMIFS(meghsteelsales_currentmonth[Quantity],meghsteelsales_currentmonth[Length Bucket],M25)/1000</f>
        <v>12.956144999999999</v>
      </c>
      <c r="AB25" s="185">
        <f t="shared" si="4"/>
        <v>0</v>
      </c>
      <c r="AC25" s="185"/>
      <c r="AD25" s="267"/>
      <c r="AE25" s="185"/>
      <c r="AF25" s="185"/>
      <c r="AG25" s="185" t="str">
        <f>Table2527[[#This Row],[plant]]</f>
        <v>056</v>
      </c>
      <c r="AH25" s="185"/>
    </row>
    <row r="26" spans="1:34" x14ac:dyDescent="0.25">
      <c r="A26" s="265" t="s">
        <v>341</v>
      </c>
      <c r="B26" s="147" t="s">
        <v>342</v>
      </c>
      <c r="C26" s="153" t="s">
        <v>338</v>
      </c>
      <c r="D26" s="147" t="s">
        <v>348</v>
      </c>
      <c r="E26" s="147" t="s">
        <v>340</v>
      </c>
      <c r="F26" s="148">
        <v>48.6</v>
      </c>
      <c r="G26" s="148"/>
      <c r="H26" s="148">
        <v>3.5</v>
      </c>
      <c r="I26" s="147">
        <v>6000</v>
      </c>
      <c r="J26" s="147">
        <v>6</v>
      </c>
      <c r="K26" s="147" t="str">
        <f t="shared" si="0"/>
        <v>48.63.56ERWFIN CUT</v>
      </c>
      <c r="L26" s="147" t="str">
        <f>VLOOKUP(K26,'VSM May Indent'!$K$1:$O$61,4,0)</f>
        <v>48.6-0-3.5-ERW 1-FC</v>
      </c>
      <c r="M26" s="147" t="str">
        <f>VLOOKUP(K26,'VSM May Indent'!$K$1:$O$61,5,0)</f>
        <v>48.6-0-3.5-ERW 1-FC-6</v>
      </c>
      <c r="N26" s="158" t="s">
        <v>345</v>
      </c>
      <c r="O26" s="150">
        <v>3502422</v>
      </c>
      <c r="P26" s="19">
        <v>20</v>
      </c>
      <c r="Q26" s="147">
        <f>Table2527[[#This Row],[SCH jun- 25]]</f>
        <v>20</v>
      </c>
      <c r="R26" s="147">
        <v>8</v>
      </c>
      <c r="S26" s="147"/>
      <c r="T26" s="147">
        <f>_xlfn.LET(_xlpm.c,Q26-Table2527[[#This Row],[Stock     12-06-25]]-Table2527[[#This Row],[intransist ]],IF(_xlpm.c&gt;0,0,-_xlpm.c))</f>
        <v>0</v>
      </c>
      <c r="U26" s="301">
        <v>10</v>
      </c>
      <c r="V26" s="147">
        <f t="shared" si="1"/>
        <v>10</v>
      </c>
      <c r="W26" s="19">
        <f t="shared" si="2"/>
        <v>20</v>
      </c>
      <c r="X26" s="297">
        <f>Table2527[[#This Row],[    INDENT  FOR jun-25 as per VSM]]</f>
        <v>20</v>
      </c>
      <c r="Y26" s="167">
        <f t="shared" si="3"/>
        <v>30</v>
      </c>
      <c r="Z26" s="185">
        <f>SUMIFS(meghsteelsales_previousmonth[Quantity],meghsteelsales_previousmonth[Length Bucket],M26)/1000</f>
        <v>2.991104</v>
      </c>
      <c r="AA26" s="185">
        <f>SUMIFS(meghsteelsales_currentmonth[Quantity],meghsteelsales_currentmonth[Length Bucket],M26)/1000</f>
        <v>14.154752</v>
      </c>
      <c r="AB26" s="185">
        <f t="shared" si="4"/>
        <v>2.8541439999999998</v>
      </c>
      <c r="AC26" s="185"/>
      <c r="AD26" s="267"/>
      <c r="AE26" s="185"/>
      <c r="AF26" s="185"/>
      <c r="AG26" s="185"/>
      <c r="AH26" s="185"/>
    </row>
    <row r="27" spans="1:34" x14ac:dyDescent="0.25">
      <c r="A27" s="266" t="s">
        <v>10</v>
      </c>
      <c r="B27" s="156" t="s">
        <v>116</v>
      </c>
      <c r="C27" s="157" t="s">
        <v>338</v>
      </c>
      <c r="D27" s="156" t="s">
        <v>339</v>
      </c>
      <c r="E27" s="156" t="s">
        <v>340</v>
      </c>
      <c r="F27" s="248">
        <v>22.2</v>
      </c>
      <c r="G27" s="248"/>
      <c r="H27" s="248">
        <v>1.6</v>
      </c>
      <c r="I27" s="156">
        <v>5670</v>
      </c>
      <c r="J27" s="156">
        <v>5.67</v>
      </c>
      <c r="K27" s="147" t="str">
        <f t="shared" si="0"/>
        <v>22.21.65.67ERWNON FIN</v>
      </c>
      <c r="L27" s="147" t="e">
        <f>VLOOKUP(K27,'VSM May Indent'!$K$1:$O$61,4,0)</f>
        <v>#N/A</v>
      </c>
      <c r="M27" s="147" t="e">
        <f>VLOOKUP(K27,'VSM May Indent'!$K$1:$O$61,5,0)</f>
        <v>#N/A</v>
      </c>
      <c r="N27" s="201" t="s">
        <v>367</v>
      </c>
      <c r="O27" s="245">
        <v>4055022</v>
      </c>
      <c r="P27" s="246">
        <v>40</v>
      </c>
      <c r="Q27" s="156">
        <f>Table2527[[#This Row],[SCH jun- 25]]</f>
        <v>40</v>
      </c>
      <c r="R27" s="156"/>
      <c r="S27" s="156"/>
      <c r="T27" s="156">
        <f>_xlfn.LET(_xlpm.c,Q27-Table2527[[#This Row],[Stock     12-06-25]]-Table2527[[#This Row],[intransist ]],IF(_xlpm.c&gt;0,0,-_xlpm.c))</f>
        <v>0</v>
      </c>
      <c r="U27" s="301"/>
      <c r="V27" s="156">
        <f t="shared" si="1"/>
        <v>0</v>
      </c>
      <c r="W27" s="246">
        <f t="shared" si="2"/>
        <v>60</v>
      </c>
      <c r="X27" s="297">
        <f>Table2527[[#This Row],[    INDENT  FOR jun-25 as per VSM]]</f>
        <v>60</v>
      </c>
      <c r="Y27" s="247">
        <f t="shared" si="3"/>
        <v>60</v>
      </c>
      <c r="Z27" s="185">
        <f>SUMIFS(meghsteelsales_previousmonth[Quantity],meghsteelsales_previousmonth[Length Bucket],M27)/1000</f>
        <v>0</v>
      </c>
      <c r="AA27" s="185">
        <f>SUMIFS(meghsteelsales_currentmonth[Quantity],meghsteelsales_currentmonth[Length Bucket],M27)/1000</f>
        <v>0</v>
      </c>
      <c r="AB27" s="185">
        <f t="shared" si="4"/>
        <v>60</v>
      </c>
      <c r="AC27" s="185"/>
      <c r="AD27" s="267"/>
      <c r="AE27" s="292"/>
      <c r="AF27" s="292"/>
      <c r="AG27" s="292"/>
      <c r="AH27" s="292"/>
    </row>
    <row r="28" spans="1:34" x14ac:dyDescent="0.25">
      <c r="A28" s="265" t="s">
        <v>341</v>
      </c>
      <c r="B28" s="147" t="s">
        <v>342</v>
      </c>
      <c r="C28" s="153" t="s">
        <v>338</v>
      </c>
      <c r="D28" s="147" t="s">
        <v>348</v>
      </c>
      <c r="E28" s="147" t="s">
        <v>340</v>
      </c>
      <c r="F28" s="148">
        <v>25.4</v>
      </c>
      <c r="G28" s="148"/>
      <c r="H28" s="148">
        <v>1.4</v>
      </c>
      <c r="I28" s="147">
        <v>6060</v>
      </c>
      <c r="J28" s="147">
        <v>6.06</v>
      </c>
      <c r="K28" s="147" t="str">
        <f t="shared" si="0"/>
        <v>25.41.46.06ERWFIN CUT</v>
      </c>
      <c r="L28" s="147" t="s">
        <v>6247</v>
      </c>
      <c r="M28" s="147" t="s">
        <v>6248</v>
      </c>
      <c r="N28" s="165" t="s">
        <v>345</v>
      </c>
      <c r="O28" s="149">
        <v>3557792</v>
      </c>
      <c r="P28" s="19">
        <v>10</v>
      </c>
      <c r="Q28" s="147">
        <f>Table2527[[#This Row],[SCH jun- 25]]</f>
        <v>10</v>
      </c>
      <c r="R28" s="147">
        <v>5</v>
      </c>
      <c r="S28" s="147"/>
      <c r="T28" s="147">
        <f>_xlfn.LET(_xlpm.c,Q28-Table2527[[#This Row],[Stock     12-06-25]]-Table2527[[#This Row],[intransist ]],IF(_xlpm.c&gt;0,0,-_xlpm.c))</f>
        <v>0</v>
      </c>
      <c r="U28" s="301">
        <v>11</v>
      </c>
      <c r="V28" s="147">
        <f t="shared" si="1"/>
        <v>11</v>
      </c>
      <c r="W28" s="19">
        <f t="shared" si="2"/>
        <v>4</v>
      </c>
      <c r="X28" s="297">
        <f>Table2527[[#This Row],[    INDENT  FOR jun-25 as per VSM]]</f>
        <v>4</v>
      </c>
      <c r="Y28" s="167">
        <f t="shared" si="3"/>
        <v>15</v>
      </c>
      <c r="Z28" s="185">
        <f>SUMIFS(meghsteelsales_previousmonth[Quantity],meghsteelsales_previousmonth[Length Bucket],M28)/1000</f>
        <v>0</v>
      </c>
      <c r="AA28" s="185">
        <f>SUMIFS(meghsteelsales_currentmonth[Quantity],meghsteelsales_currentmonth[Length Bucket],M28)/1000</f>
        <v>0</v>
      </c>
      <c r="AB28" s="185">
        <f t="shared" si="4"/>
        <v>4</v>
      </c>
      <c r="AC28" s="185"/>
      <c r="AD28" s="267"/>
      <c r="AE28" s="185"/>
      <c r="AF28" s="185"/>
      <c r="AG28" s="185"/>
      <c r="AH28" s="185"/>
    </row>
    <row r="29" spans="1:34" x14ac:dyDescent="0.25">
      <c r="A29" s="265" t="s">
        <v>10</v>
      </c>
      <c r="B29" s="147" t="s">
        <v>116</v>
      </c>
      <c r="C29" s="155" t="s">
        <v>338</v>
      </c>
      <c r="D29" s="147" t="s">
        <v>339</v>
      </c>
      <c r="E29" s="147" t="s">
        <v>340</v>
      </c>
      <c r="F29" s="154">
        <v>22.2</v>
      </c>
      <c r="G29" s="154"/>
      <c r="H29" s="154">
        <v>2</v>
      </c>
      <c r="I29" s="155">
        <v>5950</v>
      </c>
      <c r="J29" s="147">
        <v>5.95</v>
      </c>
      <c r="K29" s="147" t="str">
        <f t="shared" si="0"/>
        <v>22.225.95ERWNON FIN</v>
      </c>
      <c r="L29" s="147" t="str">
        <f>VLOOKUP(K29,'VSM May Indent'!$K$1:$O$61,4,0)</f>
        <v>22.23-0-2-ERW 1-PE</v>
      </c>
      <c r="M29" s="147" t="str">
        <f>VLOOKUP(K29,'VSM May Indent'!$K$1:$O$61,5,0)</f>
        <v>22.23-0-2-ERW 1-PE-5.951</v>
      </c>
      <c r="N29" s="151" t="s">
        <v>367</v>
      </c>
      <c r="O29" s="316">
        <v>3905466</v>
      </c>
      <c r="P29" s="19">
        <v>50</v>
      </c>
      <c r="Q29" s="147">
        <f>Table2527[[#This Row],[SCH jun- 25]]</f>
        <v>50</v>
      </c>
      <c r="R29" s="147">
        <v>0</v>
      </c>
      <c r="S29" s="147"/>
      <c r="T29" s="147">
        <f>_xlfn.LET(_xlpm.c,Q29-Table2527[[#This Row],[Stock     12-06-25]]-Table2527[[#This Row],[intransist ]],IF(_xlpm.c&gt;0,0,-_xlpm.c))</f>
        <v>0</v>
      </c>
      <c r="U29" s="301">
        <v>36</v>
      </c>
      <c r="V29" s="147">
        <f t="shared" si="1"/>
        <v>36</v>
      </c>
      <c r="W29" s="19">
        <f t="shared" si="2"/>
        <v>39</v>
      </c>
      <c r="X29" s="297">
        <f>Table2527[[#This Row],[    INDENT  FOR jun-25 as per VSM]]</f>
        <v>39</v>
      </c>
      <c r="Y29" s="167">
        <f t="shared" si="3"/>
        <v>75</v>
      </c>
      <c r="Z29" s="185">
        <f>SUMIFS(meghsteelsales_previousmonth[Quantity],meghsteelsales_previousmonth[Length Bucket],M29)/1000</f>
        <v>85.542945999999958</v>
      </c>
      <c r="AA29" s="185">
        <f>SUMIFS(meghsteelsales_currentmonth[Quantity],meghsteelsales_currentmonth[Length Bucket],M29)/1000</f>
        <v>51.635232000000002</v>
      </c>
      <c r="AB29" s="185">
        <f t="shared" si="4"/>
        <v>0</v>
      </c>
      <c r="AC29" s="185"/>
      <c r="AD29" s="267"/>
      <c r="AE29" s="185"/>
      <c r="AF29" s="185"/>
      <c r="AG29" s="185"/>
      <c r="AH29" s="185"/>
    </row>
    <row r="30" spans="1:34" x14ac:dyDescent="0.25">
      <c r="A30" s="265" t="s">
        <v>10</v>
      </c>
      <c r="B30" s="147" t="s">
        <v>116</v>
      </c>
      <c r="C30" s="153" t="s">
        <v>338</v>
      </c>
      <c r="D30" s="147" t="s">
        <v>339</v>
      </c>
      <c r="E30" s="147" t="s">
        <v>340</v>
      </c>
      <c r="F30" s="148">
        <v>25.4</v>
      </c>
      <c r="G30" s="148"/>
      <c r="H30" s="148">
        <v>2</v>
      </c>
      <c r="I30" s="147">
        <v>5840</v>
      </c>
      <c r="J30" s="147">
        <v>5.82</v>
      </c>
      <c r="K30" s="147" t="str">
        <f t="shared" si="0"/>
        <v>25.425.82ERWNON FIN</v>
      </c>
      <c r="L30" s="147" t="str">
        <f>VLOOKUP(K30,'VSM May Indent'!$K$1:$O$61,4,0)</f>
        <v>25.4-0-2-ERW 1-PE</v>
      </c>
      <c r="M30" s="147" t="str">
        <f>VLOOKUP(K30,'VSM May Indent'!$K$1:$O$61,5,0)</f>
        <v>25.4-0-2-ERW 1-PE-5.82</v>
      </c>
      <c r="N30" s="151" t="s">
        <v>367</v>
      </c>
      <c r="O30" s="149">
        <v>3240023</v>
      </c>
      <c r="P30" s="19">
        <v>0</v>
      </c>
      <c r="Q30" s="147">
        <f>Table2527[[#This Row],[SCH jun- 25]]</f>
        <v>0</v>
      </c>
      <c r="R30" s="147">
        <v>10</v>
      </c>
      <c r="S30" s="147"/>
      <c r="T30" s="147">
        <f>_xlfn.LET(_xlpm.c,Q30-Table2527[[#This Row],[Stock     12-06-25]]-Table2527[[#This Row],[intransist ]],IF(_xlpm.c&gt;0,0,-_xlpm.c))</f>
        <v>10</v>
      </c>
      <c r="U30" s="301"/>
      <c r="V30" s="147">
        <f t="shared" si="1"/>
        <v>10</v>
      </c>
      <c r="W30" s="19">
        <f t="shared" si="2"/>
        <v>0</v>
      </c>
      <c r="X30" s="297">
        <f>Table2527[[#This Row],[    INDENT  FOR jun-25 as per VSM]]</f>
        <v>0</v>
      </c>
      <c r="Y30" s="167">
        <f t="shared" si="3"/>
        <v>0</v>
      </c>
      <c r="Z30" s="185">
        <f>SUMIFS(meghsteelsales_previousmonth[Quantity],meghsteelsales_previousmonth[Length Bucket],M30)/1000</f>
        <v>46.943582000000006</v>
      </c>
      <c r="AA30" s="185">
        <f>SUMIFS(meghsteelsales_currentmonth[Quantity],meghsteelsales_currentmonth[Length Bucket],M30)/1000</f>
        <v>0</v>
      </c>
      <c r="AB30" s="185">
        <f t="shared" si="4"/>
        <v>0</v>
      </c>
      <c r="AC30" s="185"/>
      <c r="AD30" s="267"/>
      <c r="AE30" s="185"/>
      <c r="AF30" s="185"/>
      <c r="AG30" s="185"/>
      <c r="AH30" s="185"/>
    </row>
    <row r="31" spans="1:34" s="45" customFormat="1" x14ac:dyDescent="0.25">
      <c r="A31" s="265" t="s">
        <v>5</v>
      </c>
      <c r="B31" s="147" t="s">
        <v>358</v>
      </c>
      <c r="C31" s="153" t="s">
        <v>338</v>
      </c>
      <c r="D31" s="147" t="s">
        <v>348</v>
      </c>
      <c r="E31" s="147" t="s">
        <v>340</v>
      </c>
      <c r="F31" s="148">
        <v>34.93</v>
      </c>
      <c r="G31" s="148"/>
      <c r="H31" s="148">
        <v>1.2</v>
      </c>
      <c r="I31" s="147">
        <v>620</v>
      </c>
      <c r="J31" s="147">
        <v>0.62</v>
      </c>
      <c r="K31" s="147" t="str">
        <f t="shared" si="0"/>
        <v>34.931.20.62ERWFIN CUT</v>
      </c>
      <c r="L31" s="147" t="str">
        <f>VLOOKUP(K31,'VSM May Indent'!$K$1:$O$61,4,0)</f>
        <v>34.93-0-1.2-ERW 1-FC</v>
      </c>
      <c r="M31" s="147" t="str">
        <f>VLOOKUP(K31,'VSM May Indent'!$K$1:$O$61,5,0)</f>
        <v>34.93-0-1.2-ERW 1-FC-0.620</v>
      </c>
      <c r="N31" s="151" t="s">
        <v>345</v>
      </c>
      <c r="O31" s="150">
        <v>2397073</v>
      </c>
      <c r="P31" s="19">
        <v>10</v>
      </c>
      <c r="Q31" s="147">
        <f>Table2527[[#This Row],[SCH jun- 25]]</f>
        <v>10</v>
      </c>
      <c r="R31" s="147">
        <v>0</v>
      </c>
      <c r="S31" s="147"/>
      <c r="T31" s="147">
        <f>_xlfn.LET(_xlpm.c,Q31-Table2527[[#This Row],[Stock     12-06-25]]-Table2527[[#This Row],[intransist ]],IF(_xlpm.c&gt;0,0,-_xlpm.c))</f>
        <v>0</v>
      </c>
      <c r="U31" s="301"/>
      <c r="V31" s="147">
        <f t="shared" si="1"/>
        <v>0</v>
      </c>
      <c r="W31" s="19">
        <f t="shared" si="2"/>
        <v>15</v>
      </c>
      <c r="X31" s="297">
        <f>Table2527[[#This Row],[    INDENT  FOR jun-25 as per VSM]]</f>
        <v>15</v>
      </c>
      <c r="Y31" s="167">
        <f t="shared" si="3"/>
        <v>15</v>
      </c>
      <c r="Z31" s="185">
        <f>SUMIFS(meghsteelsales_previousmonth[Quantity],meghsteelsales_previousmonth[Length Bucket],M31)/1000</f>
        <v>0</v>
      </c>
      <c r="AA31" s="185">
        <f>SUMIFS(meghsteelsales_currentmonth[Quantity],meghsteelsales_currentmonth[Length Bucket],M31)/1000</f>
        <v>3.1</v>
      </c>
      <c r="AB31" s="185">
        <f t="shared" si="4"/>
        <v>11.9</v>
      </c>
      <c r="AC31" s="185"/>
      <c r="AD31" s="267"/>
      <c r="AE31" s="185"/>
      <c r="AF31" s="185"/>
      <c r="AG31" s="185"/>
      <c r="AH31" s="185"/>
    </row>
    <row r="32" spans="1:34" x14ac:dyDescent="0.25">
      <c r="A32" s="265" t="s">
        <v>10</v>
      </c>
      <c r="B32" s="147" t="s">
        <v>116</v>
      </c>
      <c r="C32" s="155" t="s">
        <v>338</v>
      </c>
      <c r="D32" s="147" t="s">
        <v>339</v>
      </c>
      <c r="E32" s="147" t="s">
        <v>340</v>
      </c>
      <c r="F32" s="154">
        <v>22.2</v>
      </c>
      <c r="G32" s="154"/>
      <c r="H32" s="154">
        <v>2</v>
      </c>
      <c r="I32" s="155">
        <v>5100</v>
      </c>
      <c r="J32" s="147">
        <v>5.0999999999999996</v>
      </c>
      <c r="K32" s="147" t="str">
        <f t="shared" si="0"/>
        <v>22.225.1ERWNON FIN</v>
      </c>
      <c r="L32" s="147" t="str">
        <f>VLOOKUP(K32,'VSM May Indent'!$K$1:$O$61,4,0)</f>
        <v>22.23-0-2-ERW 1-PE</v>
      </c>
      <c r="M32" s="147" t="str">
        <f>VLOOKUP(K32,'VSM May Indent'!$K$1:$O$61,5,0)</f>
        <v>22.23-0-2-ERW 1-PE-5.1</v>
      </c>
      <c r="N32" s="151" t="s">
        <v>367</v>
      </c>
      <c r="O32" s="150">
        <v>3500554</v>
      </c>
      <c r="P32" s="19">
        <v>20</v>
      </c>
      <c r="Q32" s="147">
        <f>Table2527[[#This Row],[SCH jun- 25]]</f>
        <v>20</v>
      </c>
      <c r="R32" s="147">
        <v>0</v>
      </c>
      <c r="S32" s="147"/>
      <c r="T32" s="147">
        <f>_xlfn.LET(_xlpm.c,Q32-Table2527[[#This Row],[Stock     12-06-25]]-Table2527[[#This Row],[intransist ]],IF(_xlpm.c&gt;0,0,-_xlpm.c))</f>
        <v>0</v>
      </c>
      <c r="U32" s="301"/>
      <c r="V32" s="147">
        <f t="shared" si="1"/>
        <v>0</v>
      </c>
      <c r="W32" s="19">
        <f t="shared" si="2"/>
        <v>30</v>
      </c>
      <c r="X32" s="297">
        <f>Table2527[[#This Row],[    INDENT  FOR jun-25 as per VSM]]</f>
        <v>30</v>
      </c>
      <c r="Y32" s="167">
        <f t="shared" si="3"/>
        <v>30</v>
      </c>
      <c r="Z32" s="185">
        <f>SUMIFS(meghsteelsales_previousmonth[Quantity],meghsteelsales_previousmonth[Length Bucket],M32)/1000</f>
        <v>0</v>
      </c>
      <c r="AA32" s="185">
        <f>SUMIFS(meghsteelsales_currentmonth[Quantity],meghsteelsales_currentmonth[Length Bucket],M32)/1000</f>
        <v>0</v>
      </c>
      <c r="AB32" s="185">
        <f t="shared" si="4"/>
        <v>30</v>
      </c>
      <c r="AC32" s="185"/>
      <c r="AD32" s="267"/>
      <c r="AE32" s="185"/>
      <c r="AF32" s="185"/>
      <c r="AG32" s="185"/>
      <c r="AH32" s="185"/>
    </row>
    <row r="33" spans="1:34" x14ac:dyDescent="0.25">
      <c r="A33" s="265" t="s">
        <v>10</v>
      </c>
      <c r="B33" s="147" t="s">
        <v>346</v>
      </c>
      <c r="C33" s="153" t="s">
        <v>338</v>
      </c>
      <c r="D33" s="147" t="s">
        <v>348</v>
      </c>
      <c r="E33" s="147" t="s">
        <v>340</v>
      </c>
      <c r="F33" s="148">
        <v>28.6</v>
      </c>
      <c r="G33" s="148"/>
      <c r="H33" s="148">
        <v>1.2</v>
      </c>
      <c r="I33" s="147">
        <v>6000</v>
      </c>
      <c r="J33" s="147">
        <v>6</v>
      </c>
      <c r="K33" s="147" t="str">
        <f t="shared" si="0"/>
        <v>28.61.26ERWFIN CUT</v>
      </c>
      <c r="L33" s="147" t="e">
        <f>VLOOKUP(K33,'VSM May Indent'!$K$1:$O$61,4,0)</f>
        <v>#N/A</v>
      </c>
      <c r="M33" s="147" t="e">
        <f>VLOOKUP(K33,'VSM May Indent'!$K$1:$O$61,5,0)</f>
        <v>#N/A</v>
      </c>
      <c r="N33" s="158" t="s">
        <v>345</v>
      </c>
      <c r="O33" s="150">
        <v>3702101</v>
      </c>
      <c r="P33" s="19">
        <v>3</v>
      </c>
      <c r="Q33" s="147">
        <f>Table2527[[#This Row],[SCH jun- 25]]</f>
        <v>3</v>
      </c>
      <c r="R33" s="147">
        <v>3</v>
      </c>
      <c r="S33" s="147"/>
      <c r="T33" s="147">
        <f>_xlfn.LET(_xlpm.c,Q33-Table2527[[#This Row],[Stock     12-06-25]]-Table2527[[#This Row],[intransist ]],IF(_xlpm.c&gt;0,0,-_xlpm.c))</f>
        <v>0</v>
      </c>
      <c r="U33" s="301"/>
      <c r="V33" s="147">
        <f t="shared" si="1"/>
        <v>0</v>
      </c>
      <c r="W33" s="19">
        <f t="shared" si="2"/>
        <v>4.5</v>
      </c>
      <c r="X33" s="297">
        <f>Table2527[[#This Row],[    INDENT  FOR jun-25 as per VSM]]</f>
        <v>4.5</v>
      </c>
      <c r="Y33" s="167">
        <f t="shared" si="3"/>
        <v>4.5</v>
      </c>
      <c r="Z33" s="185">
        <f>SUMIFS(meghsteelsales_previousmonth[Quantity],meghsteelsales_previousmonth[Length Bucket],M33)/1000</f>
        <v>0</v>
      </c>
      <c r="AA33" s="185">
        <f>SUMIFS(meghsteelsales_currentmonth[Quantity],meghsteelsales_currentmonth[Length Bucket],M33)/1000</f>
        <v>0</v>
      </c>
      <c r="AB33" s="185">
        <f t="shared" si="4"/>
        <v>4.5</v>
      </c>
      <c r="AC33" s="185"/>
      <c r="AD33" s="267"/>
      <c r="AE33" s="185"/>
      <c r="AF33" s="185"/>
      <c r="AG33" s="185"/>
      <c r="AH33" s="185"/>
    </row>
    <row r="34" spans="1:34" x14ac:dyDescent="0.25">
      <c r="A34" s="265" t="s">
        <v>10</v>
      </c>
      <c r="B34" s="147" t="s">
        <v>116</v>
      </c>
      <c r="C34" s="159" t="s">
        <v>356</v>
      </c>
      <c r="D34" s="147" t="s">
        <v>348</v>
      </c>
      <c r="E34" s="147" t="s">
        <v>357</v>
      </c>
      <c r="F34" s="168">
        <v>28.6</v>
      </c>
      <c r="G34" s="168"/>
      <c r="H34" s="168">
        <v>2.65</v>
      </c>
      <c r="I34" s="169">
        <v>6000</v>
      </c>
      <c r="J34" s="147">
        <v>6</v>
      </c>
      <c r="K34" s="147" t="str">
        <f t="shared" si="0"/>
        <v>28.62.656CEWFIN CUT</v>
      </c>
      <c r="L34" s="147" t="str">
        <f>VLOOKUP(K34,'VSM May Indent'!$K$1:$O$61,4,0)</f>
        <v>No Key</v>
      </c>
      <c r="M34" s="147" t="str">
        <f>VLOOKUP(K34,'VSM May Indent'!$K$1:$O$61,5,0)</f>
        <v>No Key</v>
      </c>
      <c r="N34" s="151" t="s">
        <v>362</v>
      </c>
      <c r="O34" s="150">
        <v>2410388</v>
      </c>
      <c r="P34" s="19">
        <v>10</v>
      </c>
      <c r="Q34" s="147">
        <f>Table2527[[#This Row],[SCH jun- 25]]</f>
        <v>10</v>
      </c>
      <c r="R34" s="147">
        <v>23</v>
      </c>
      <c r="S34" s="147"/>
      <c r="T34" s="147">
        <f>_xlfn.LET(_xlpm.c,Q34-Table2527[[#This Row],[Stock     12-06-25]]-Table2527[[#This Row],[intransist ]],IF(_xlpm.c&gt;0,0,-_xlpm.c))</f>
        <v>13</v>
      </c>
      <c r="U34" s="301"/>
      <c r="V34" s="147">
        <f t="shared" si="1"/>
        <v>13</v>
      </c>
      <c r="W34" s="19">
        <f t="shared" si="2"/>
        <v>2</v>
      </c>
      <c r="X34" s="297">
        <f>Table2527[[#This Row],[    INDENT  FOR jun-25 as per VSM]]</f>
        <v>2</v>
      </c>
      <c r="Y34" s="167">
        <f t="shared" si="3"/>
        <v>2</v>
      </c>
      <c r="Z34" s="185">
        <f>SUMIFS(meghsteelsales_previousmonth[Quantity],meghsteelsales_previousmonth[Length Bucket],M34)/1000</f>
        <v>0</v>
      </c>
      <c r="AA34" s="185">
        <f>SUMIFS(meghsteelsales_currentmonth[Quantity],meghsteelsales_currentmonth[Length Bucket],M34)/1000</f>
        <v>0</v>
      </c>
      <c r="AB34" s="185">
        <f t="shared" si="4"/>
        <v>2</v>
      </c>
      <c r="AC34" s="185"/>
      <c r="AD34" s="267"/>
      <c r="AE34" s="185"/>
      <c r="AF34" s="185"/>
      <c r="AG34" s="185"/>
      <c r="AH34" s="185" t="s">
        <v>6244</v>
      </c>
    </row>
    <row r="35" spans="1:34" x14ac:dyDescent="0.25">
      <c r="A35" s="265" t="s">
        <v>10</v>
      </c>
      <c r="B35" s="147" t="s">
        <v>346</v>
      </c>
      <c r="C35" s="153" t="s">
        <v>338</v>
      </c>
      <c r="D35" s="147" t="s">
        <v>348</v>
      </c>
      <c r="E35" s="147" t="s">
        <v>340</v>
      </c>
      <c r="F35" s="148">
        <v>31.75</v>
      </c>
      <c r="G35" s="148"/>
      <c r="H35" s="148">
        <v>1.2</v>
      </c>
      <c r="I35" s="147">
        <v>6000</v>
      </c>
      <c r="J35" s="147">
        <v>6</v>
      </c>
      <c r="K35" s="147" t="str">
        <f t="shared" ref="K35:K66" si="5">_xlfn.CONCAT(F35,H35,J35,E35,D35)</f>
        <v>31.751.26ERWFIN CUT</v>
      </c>
      <c r="L35" s="147" t="str">
        <f>VLOOKUP(K35,'VSM May Indent'!$K$1:$O$61,4,0)</f>
        <v>31.75-0-1.2-ERW 1-PE</v>
      </c>
      <c r="M35" s="147" t="str">
        <f>VLOOKUP(K35,'VSM May Indent'!$K$1:$O$61,5,0)</f>
        <v>31.75-0-1.2-ERW 1-PE-6</v>
      </c>
      <c r="N35" s="151" t="s">
        <v>367</v>
      </c>
      <c r="O35" s="150">
        <v>3884381</v>
      </c>
      <c r="P35" s="19">
        <v>3</v>
      </c>
      <c r="Q35" s="147">
        <f>Table2527[[#This Row],[SCH jun- 25]]</f>
        <v>3</v>
      </c>
      <c r="R35" s="147">
        <v>0</v>
      </c>
      <c r="S35" s="147"/>
      <c r="T35" s="147">
        <f>_xlfn.LET(_xlpm.c,Q35-Table2527[[#This Row],[Stock     12-06-25]]-Table2527[[#This Row],[intransist ]],IF(_xlpm.c&gt;0,0,-_xlpm.c))</f>
        <v>0</v>
      </c>
      <c r="U35" s="301">
        <v>8</v>
      </c>
      <c r="V35" s="147">
        <f t="shared" ref="V35:V66" si="6">U35+T35+S35</f>
        <v>8</v>
      </c>
      <c r="W35" s="19">
        <f t="shared" ref="W35:W66" si="7">_xlfn.LET(_xlpm.c,P35*1.5-V35,IF(_xlpm.c&lt;0,0,_xlpm.c))</f>
        <v>0</v>
      </c>
      <c r="X35" s="297">
        <f>Table2527[[#This Row],[    INDENT  FOR jun-25 as per VSM]]</f>
        <v>0</v>
      </c>
      <c r="Y35" s="167">
        <f t="shared" ref="Y35:Y66" si="8">X35+U35</f>
        <v>8</v>
      </c>
      <c r="Z35" s="185">
        <f>SUMIFS(meghsteelsales_previousmonth[Quantity],meghsteelsales_previousmonth[Length Bucket],M35)/1000</f>
        <v>0</v>
      </c>
      <c r="AA35" s="185">
        <f>SUMIFS(meghsteelsales_currentmonth[Quantity],meghsteelsales_currentmonth[Length Bucket],M35)/1000</f>
        <v>0</v>
      </c>
      <c r="AB35" s="185">
        <f t="shared" ref="AB35:AB66" si="9">IF((X35-Z35-AA35)&lt;0,0,(X35-Z35-AA35))</f>
        <v>0</v>
      </c>
      <c r="AC35" s="185"/>
      <c r="AD35" s="267"/>
      <c r="AE35" s="185"/>
      <c r="AF35" s="185"/>
      <c r="AG35" s="185" t="str">
        <f>Table2527[[#This Row],[plant]]</f>
        <v>056</v>
      </c>
      <c r="AH35" s="185"/>
    </row>
    <row r="36" spans="1:34" x14ac:dyDescent="0.25">
      <c r="A36" s="265" t="s">
        <v>10</v>
      </c>
      <c r="B36" s="147" t="s">
        <v>116</v>
      </c>
      <c r="C36" s="153" t="s">
        <v>338</v>
      </c>
      <c r="D36" s="147" t="s">
        <v>348</v>
      </c>
      <c r="E36" s="147" t="s">
        <v>340</v>
      </c>
      <c r="F36" s="148">
        <v>31.75</v>
      </c>
      <c r="G36" s="148"/>
      <c r="H36" s="148">
        <v>2.2999999999999998</v>
      </c>
      <c r="I36" s="147">
        <v>6000</v>
      </c>
      <c r="J36" s="147">
        <v>6</v>
      </c>
      <c r="K36" s="147" t="str">
        <f t="shared" si="5"/>
        <v>31.752.36ERWFIN CUT</v>
      </c>
      <c r="L36" s="147" t="str">
        <f>VLOOKUP(K36,'VSM May Indent'!$K$1:$O$61,4,0)</f>
        <v>31.75--2.3-ERW 1-FIN CUT</v>
      </c>
      <c r="M36" s="147" t="str">
        <f>VLOOKUP(K36,'VSM May Indent'!$K$1:$O$61,5,0)</f>
        <v>31.75--2.3-ERW 1-FIN CUT-6</v>
      </c>
      <c r="N36" s="158" t="s">
        <v>367</v>
      </c>
      <c r="O36" s="150">
        <v>3500081</v>
      </c>
      <c r="P36" s="19">
        <v>0</v>
      </c>
      <c r="Q36" s="147">
        <f>Table2527[[#This Row],[SCH jun- 25]]</f>
        <v>0</v>
      </c>
      <c r="R36" s="147">
        <v>29</v>
      </c>
      <c r="S36" s="147"/>
      <c r="T36" s="147">
        <f>_xlfn.LET(_xlpm.c,Q36-Table2527[[#This Row],[Stock     12-06-25]]-Table2527[[#This Row],[intransist ]],IF(_xlpm.c&gt;0,0,-_xlpm.c))</f>
        <v>29</v>
      </c>
      <c r="U36" s="301">
        <v>23</v>
      </c>
      <c r="V36" s="147">
        <f t="shared" si="6"/>
        <v>52</v>
      </c>
      <c r="W36" s="19">
        <f t="shared" si="7"/>
        <v>0</v>
      </c>
      <c r="X36" s="297">
        <f>Table2527[[#This Row],[    INDENT  FOR jun-25 as per VSM]]</f>
        <v>0</v>
      </c>
      <c r="Y36" s="167">
        <f t="shared" si="8"/>
        <v>23</v>
      </c>
      <c r="Z36" s="185">
        <f>SUMIFS(meghsteelsales_previousmonth[Quantity],meghsteelsales_previousmonth[Length Bucket],M36)/1000</f>
        <v>0</v>
      </c>
      <c r="AA36" s="185">
        <f>SUMIFS(meghsteelsales_currentmonth[Quantity],meghsteelsales_currentmonth[Length Bucket],M36)/1000</f>
        <v>0</v>
      </c>
      <c r="AB36" s="185">
        <f t="shared" si="9"/>
        <v>0</v>
      </c>
      <c r="AC36" s="185"/>
      <c r="AD36" s="267"/>
      <c r="AE36" s="185"/>
      <c r="AF36" s="185"/>
      <c r="AG36" s="185" t="str">
        <f>Table2527[[#This Row],[plant]]</f>
        <v>056</v>
      </c>
      <c r="AH36" s="185"/>
    </row>
    <row r="37" spans="1:34" s="45" customFormat="1" x14ac:dyDescent="0.25">
      <c r="A37" s="265" t="s">
        <v>5</v>
      </c>
      <c r="B37" s="147" t="s">
        <v>359</v>
      </c>
      <c r="C37" s="153" t="s">
        <v>338</v>
      </c>
      <c r="D37" s="147" t="s">
        <v>348</v>
      </c>
      <c r="E37" s="147" t="s">
        <v>340</v>
      </c>
      <c r="F37" s="148">
        <v>34.93</v>
      </c>
      <c r="G37" s="148"/>
      <c r="H37" s="148">
        <v>1.2</v>
      </c>
      <c r="I37" s="147">
        <v>700</v>
      </c>
      <c r="J37" s="147">
        <v>0.7</v>
      </c>
      <c r="K37" s="147" t="str">
        <f t="shared" si="5"/>
        <v>34.931.20.7ERWFIN CUT</v>
      </c>
      <c r="L37" s="147" t="str">
        <f>VLOOKUP(K37,'VSM May Indent'!$K$1:$O$61,4,0)</f>
        <v>34.93-0-1.2-ERW 1-FC</v>
      </c>
      <c r="M37" s="147" t="str">
        <f>VLOOKUP(K37,'VSM May Indent'!$K$1:$O$61,5,0)</f>
        <v>34.93-0-1.2-ERW 1-FC-0.7</v>
      </c>
      <c r="N37" s="151" t="s">
        <v>345</v>
      </c>
      <c r="O37" s="150">
        <v>3649699</v>
      </c>
      <c r="P37" s="19">
        <v>10</v>
      </c>
      <c r="Q37" s="147">
        <f>Table2527[[#This Row],[SCH jun- 25]]</f>
        <v>10</v>
      </c>
      <c r="R37" s="147">
        <v>0</v>
      </c>
      <c r="S37" s="147"/>
      <c r="T37" s="147">
        <f>_xlfn.LET(_xlpm.c,Q37-Table2527[[#This Row],[Stock     12-06-25]]-Table2527[[#This Row],[intransist ]],IF(_xlpm.c&gt;0,0,-_xlpm.c))</f>
        <v>0</v>
      </c>
      <c r="U37" s="301"/>
      <c r="V37" s="147">
        <f t="shared" si="6"/>
        <v>0</v>
      </c>
      <c r="W37" s="19">
        <f t="shared" si="7"/>
        <v>15</v>
      </c>
      <c r="X37" s="297">
        <f>Table2527[[#This Row],[    INDENT  FOR jun-25 as per VSM]]</f>
        <v>15</v>
      </c>
      <c r="Y37" s="167">
        <f t="shared" si="8"/>
        <v>15</v>
      </c>
      <c r="Z37" s="185">
        <f>SUMIFS(meghsteelsales_previousmonth[Quantity],meghsteelsales_previousmonth[Length Bucket],M37)/1000</f>
        <v>0</v>
      </c>
      <c r="AA37" s="185">
        <f>SUMIFS(meghsteelsales_currentmonth[Quantity],meghsteelsales_currentmonth[Length Bucket],M37)/1000</f>
        <v>0</v>
      </c>
      <c r="AB37" s="185">
        <f t="shared" si="9"/>
        <v>15</v>
      </c>
      <c r="AC37" s="185"/>
      <c r="AD37" s="267"/>
      <c r="AE37" s="185"/>
      <c r="AF37" s="185"/>
      <c r="AG37" s="185"/>
      <c r="AH37" s="185"/>
    </row>
    <row r="38" spans="1:34" x14ac:dyDescent="0.25">
      <c r="A38" s="265" t="s">
        <v>10</v>
      </c>
      <c r="B38" s="147" t="s">
        <v>346</v>
      </c>
      <c r="C38" s="153" t="s">
        <v>338</v>
      </c>
      <c r="D38" s="147" t="s">
        <v>348</v>
      </c>
      <c r="E38" s="147" t="s">
        <v>340</v>
      </c>
      <c r="F38" s="148">
        <v>34.93</v>
      </c>
      <c r="G38" s="148"/>
      <c r="H38" s="148">
        <v>1.2</v>
      </c>
      <c r="I38" s="147">
        <v>6000</v>
      </c>
      <c r="J38" s="147">
        <v>6</v>
      </c>
      <c r="K38" s="147" t="str">
        <f t="shared" si="5"/>
        <v>34.931.26ERWFIN CUT</v>
      </c>
      <c r="L38" s="147" t="str">
        <f>VLOOKUP(K38,'VSM May Indent'!$K$1:$O$61,4,0)</f>
        <v>No Key</v>
      </c>
      <c r="M38" s="147" t="str">
        <f>VLOOKUP(K38,'VSM May Indent'!$K$1:$O$61,5,0)</f>
        <v>No Key</v>
      </c>
      <c r="N38" s="158" t="s">
        <v>345</v>
      </c>
      <c r="O38" s="150">
        <v>1940701</v>
      </c>
      <c r="P38" s="19">
        <v>3</v>
      </c>
      <c r="Q38" s="147">
        <f>Table2527[[#This Row],[SCH jun- 25]]</f>
        <v>3</v>
      </c>
      <c r="R38" s="147">
        <v>10</v>
      </c>
      <c r="S38" s="147"/>
      <c r="T38" s="147">
        <f>_xlfn.LET(_xlpm.c,Q38-Table2527[[#This Row],[Stock     12-06-25]]-Table2527[[#This Row],[intransist ]],IF(_xlpm.c&gt;0,0,-_xlpm.c))</f>
        <v>7</v>
      </c>
      <c r="U38" s="301"/>
      <c r="V38" s="147">
        <f t="shared" si="6"/>
        <v>7</v>
      </c>
      <c r="W38" s="19">
        <f t="shared" si="7"/>
        <v>0</v>
      </c>
      <c r="X38" s="297">
        <f>Table2527[[#This Row],[    INDENT  FOR jun-25 as per VSM]]</f>
        <v>0</v>
      </c>
      <c r="Y38" s="167">
        <f t="shared" si="8"/>
        <v>0</v>
      </c>
      <c r="Z38" s="185">
        <f>SUMIFS(meghsteelsales_previousmonth[Quantity],meghsteelsales_previousmonth[Length Bucket],M38)/1000</f>
        <v>0</v>
      </c>
      <c r="AA38" s="185">
        <f>SUMIFS(meghsteelsales_currentmonth[Quantity],meghsteelsales_currentmonth[Length Bucket],M38)/1000</f>
        <v>0</v>
      </c>
      <c r="AB38" s="185">
        <f t="shared" si="9"/>
        <v>0</v>
      </c>
      <c r="AC38" s="185"/>
      <c r="AD38" s="267"/>
      <c r="AE38" s="185"/>
      <c r="AF38" s="185"/>
      <c r="AG38" s="185"/>
      <c r="AH38" s="185"/>
    </row>
    <row r="39" spans="1:34" x14ac:dyDescent="0.25">
      <c r="A39" s="265" t="s">
        <v>5</v>
      </c>
      <c r="B39" s="147" t="s">
        <v>358</v>
      </c>
      <c r="C39" s="153" t="s">
        <v>338</v>
      </c>
      <c r="D39" s="147" t="s">
        <v>348</v>
      </c>
      <c r="E39" s="147" t="s">
        <v>340</v>
      </c>
      <c r="F39" s="148">
        <v>48</v>
      </c>
      <c r="G39" s="148"/>
      <c r="H39" s="148">
        <v>1.2</v>
      </c>
      <c r="I39" s="147">
        <v>620</v>
      </c>
      <c r="J39" s="147">
        <v>0.62</v>
      </c>
      <c r="K39" s="147" t="str">
        <f t="shared" si="5"/>
        <v>481.20.62ERWFIN CUT</v>
      </c>
      <c r="L39" s="147" t="str">
        <f>VLOOKUP(K39,'VSM May Indent'!$K$1:$O$61,4,0)</f>
        <v>48--1.2-ERW 1-FIN CUT</v>
      </c>
      <c r="M39" s="147" t="str">
        <f>VLOOKUP(K39,'VSM May Indent'!$K$1:$O$61,5,0)</f>
        <v>48--1.2-ERW 1-FIN CUT-0.620</v>
      </c>
      <c r="N39" s="151" t="s">
        <v>345</v>
      </c>
      <c r="O39" s="150">
        <v>2397072</v>
      </c>
      <c r="P39" s="19">
        <v>10</v>
      </c>
      <c r="Q39" s="147">
        <f>Table2527[[#This Row],[SCH jun- 25]]</f>
        <v>10</v>
      </c>
      <c r="R39" s="147">
        <v>0</v>
      </c>
      <c r="S39" s="147"/>
      <c r="T39" s="147">
        <f>_xlfn.LET(_xlpm.c,Q39-Table2527[[#This Row],[Stock     12-06-25]]-Table2527[[#This Row],[intransist ]],IF(_xlpm.c&gt;0,0,-_xlpm.c))</f>
        <v>0</v>
      </c>
      <c r="U39" s="301"/>
      <c r="V39" s="147">
        <f t="shared" si="6"/>
        <v>0</v>
      </c>
      <c r="W39" s="19">
        <f t="shared" si="7"/>
        <v>15</v>
      </c>
      <c r="X39" s="297">
        <f>Table2527[[#This Row],[    INDENT  FOR jun-25 as per VSM]]</f>
        <v>15</v>
      </c>
      <c r="Y39" s="167">
        <f t="shared" si="8"/>
        <v>15</v>
      </c>
      <c r="Z39" s="185">
        <f>SUMIFS(meghsteelsales_previousmonth[Quantity],meghsteelsales_previousmonth[Length Bucket],M39)/1000</f>
        <v>0</v>
      </c>
      <c r="AA39" s="185">
        <f>SUMIFS(meghsteelsales_currentmonth[Quantity],meghsteelsales_currentmonth[Length Bucket],M39)/1000</f>
        <v>0</v>
      </c>
      <c r="AB39" s="185">
        <f t="shared" si="9"/>
        <v>15</v>
      </c>
      <c r="AC39" s="185"/>
      <c r="AD39" s="267"/>
      <c r="AE39" s="185"/>
      <c r="AF39" s="185"/>
      <c r="AG39" s="185"/>
      <c r="AH39" s="185"/>
    </row>
    <row r="40" spans="1:34" x14ac:dyDescent="0.25">
      <c r="A40" s="265" t="s">
        <v>5</v>
      </c>
      <c r="B40" s="147" t="s">
        <v>359</v>
      </c>
      <c r="C40" s="153" t="s">
        <v>338</v>
      </c>
      <c r="D40" s="147" t="s">
        <v>348</v>
      </c>
      <c r="E40" s="147" t="s">
        <v>340</v>
      </c>
      <c r="F40" s="148">
        <v>48</v>
      </c>
      <c r="G40" s="148"/>
      <c r="H40" s="148">
        <v>1.2</v>
      </c>
      <c r="I40" s="147">
        <v>700</v>
      </c>
      <c r="J40" s="147">
        <v>0.7</v>
      </c>
      <c r="K40" s="147" t="str">
        <f t="shared" si="5"/>
        <v>481.20.7ERWFIN CUT</v>
      </c>
      <c r="L40" s="147" t="str">
        <f>VLOOKUP(K40,'VSM May Indent'!$K$1:$O$61,4,0)</f>
        <v>48--1.2-ERW 1-FIN CUT</v>
      </c>
      <c r="M40" s="147" t="str">
        <f>VLOOKUP(K40,'VSM May Indent'!$K$1:$O$61,5,0)</f>
        <v>48--1.2-ERW 1-FIN CUT-0.7</v>
      </c>
      <c r="N40" s="151" t="s">
        <v>345</v>
      </c>
      <c r="O40" s="150">
        <v>3649700</v>
      </c>
      <c r="P40" s="19">
        <v>14</v>
      </c>
      <c r="Q40" s="147">
        <f>Table2527[[#This Row],[SCH jun- 25]]</f>
        <v>14</v>
      </c>
      <c r="R40" s="147">
        <v>0</v>
      </c>
      <c r="S40" s="147"/>
      <c r="T40" s="147">
        <f>_xlfn.LET(_xlpm.c,Q40-Table2527[[#This Row],[Stock     12-06-25]]-Table2527[[#This Row],[intransist ]],IF(_xlpm.c&gt;0,0,-_xlpm.c))</f>
        <v>0</v>
      </c>
      <c r="U40" s="301"/>
      <c r="V40" s="147">
        <f t="shared" si="6"/>
        <v>0</v>
      </c>
      <c r="W40" s="19">
        <f t="shared" si="7"/>
        <v>21</v>
      </c>
      <c r="X40" s="297">
        <f>Table2527[[#This Row],[    INDENT  FOR jun-25 as per VSM]]</f>
        <v>21</v>
      </c>
      <c r="Y40" s="167">
        <f t="shared" si="8"/>
        <v>21</v>
      </c>
      <c r="Z40" s="185">
        <f>SUMIFS(meghsteelsales_previousmonth[Quantity],meghsteelsales_previousmonth[Length Bucket],M40)/1000</f>
        <v>0</v>
      </c>
      <c r="AA40" s="185">
        <f>SUMIFS(meghsteelsales_currentmonth[Quantity],meghsteelsales_currentmonth[Length Bucket],M40)/1000</f>
        <v>0</v>
      </c>
      <c r="AB40" s="185">
        <f t="shared" si="9"/>
        <v>21</v>
      </c>
      <c r="AC40" s="185"/>
      <c r="AD40" s="267"/>
      <c r="AE40" s="185"/>
      <c r="AF40" s="185"/>
      <c r="AG40" s="185"/>
      <c r="AH40" s="185"/>
    </row>
    <row r="41" spans="1:34" x14ac:dyDescent="0.25">
      <c r="A41" s="265" t="s">
        <v>341</v>
      </c>
      <c r="B41" s="147" t="s">
        <v>342</v>
      </c>
      <c r="C41" s="155" t="s">
        <v>344</v>
      </c>
      <c r="D41" s="147" t="s">
        <v>348</v>
      </c>
      <c r="E41" s="147" t="s">
        <v>340</v>
      </c>
      <c r="F41" s="154">
        <v>34</v>
      </c>
      <c r="G41" s="154"/>
      <c r="H41" s="154">
        <v>1.4</v>
      </c>
      <c r="I41" s="155">
        <v>5660</v>
      </c>
      <c r="J41" s="147">
        <v>5.66</v>
      </c>
      <c r="K41" s="147" t="str">
        <f t="shared" si="5"/>
        <v>341.45.66ERWFIN CUT</v>
      </c>
      <c r="L41" s="147" t="str">
        <f>VLOOKUP(K41,'VSM May Indent'!$K$1:$O$61,4,0)</f>
        <v>No Key</v>
      </c>
      <c r="M41" s="147" t="str">
        <f>VLOOKUP(K41,'VSM May Indent'!$K$1:$O$61,5,0)</f>
        <v>No Key</v>
      </c>
      <c r="N41" s="151" t="s">
        <v>362</v>
      </c>
      <c r="O41" s="150">
        <v>3702855</v>
      </c>
      <c r="P41" s="19">
        <v>10</v>
      </c>
      <c r="Q41" s="147">
        <f>Table2527[[#This Row],[SCH jun- 25]]</f>
        <v>10</v>
      </c>
      <c r="R41" s="147">
        <v>0</v>
      </c>
      <c r="S41" s="147"/>
      <c r="T41" s="147">
        <f>_xlfn.LET(_xlpm.c,Q41-Table2527[[#This Row],[Stock     12-06-25]]-Table2527[[#This Row],[intransist ]],IF(_xlpm.c&gt;0,0,-_xlpm.c))</f>
        <v>0</v>
      </c>
      <c r="U41" s="301"/>
      <c r="V41" s="147">
        <f t="shared" si="6"/>
        <v>0</v>
      </c>
      <c r="W41" s="19">
        <f t="shared" si="7"/>
        <v>15</v>
      </c>
      <c r="X41" s="297">
        <f>Table2527[[#This Row],[    INDENT  FOR jun-25 as per VSM]]</f>
        <v>15</v>
      </c>
      <c r="Y41" s="167">
        <f t="shared" si="8"/>
        <v>15</v>
      </c>
      <c r="Z41" s="185">
        <f>SUMIFS(meghsteelsales_previousmonth[Quantity],meghsteelsales_previousmonth[Length Bucket],M41)/1000</f>
        <v>0</v>
      </c>
      <c r="AA41" s="185">
        <f>SUMIFS(meghsteelsales_currentmonth[Quantity],meghsteelsales_currentmonth[Length Bucket],M41)/1000</f>
        <v>0</v>
      </c>
      <c r="AB41" s="185">
        <f t="shared" si="9"/>
        <v>15</v>
      </c>
      <c r="AC41" s="185"/>
      <c r="AD41" s="267"/>
      <c r="AE41" s="185"/>
      <c r="AF41" s="185"/>
      <c r="AG41" s="185"/>
      <c r="AH41" s="185"/>
    </row>
    <row r="42" spans="1:34" x14ac:dyDescent="0.25">
      <c r="A42" s="265" t="s">
        <v>10</v>
      </c>
      <c r="B42" s="147" t="s">
        <v>116</v>
      </c>
      <c r="C42" s="147" t="s">
        <v>344</v>
      </c>
      <c r="D42" s="147" t="s">
        <v>348</v>
      </c>
      <c r="E42" s="147" t="s">
        <v>349</v>
      </c>
      <c r="F42" s="148">
        <v>22.2</v>
      </c>
      <c r="G42" s="148"/>
      <c r="H42" s="148">
        <v>2</v>
      </c>
      <c r="I42" s="147">
        <v>6000</v>
      </c>
      <c r="J42" s="147">
        <v>6000</v>
      </c>
      <c r="K42" s="147" t="str">
        <f t="shared" si="5"/>
        <v>22.226000HSTFIN CUT</v>
      </c>
      <c r="L42" s="147" t="str">
        <f>VLOOKUP(K42,'VSM May Indent'!$K$1:$O$61,4,0)</f>
        <v>22.23-0-2-ERW 2 MAHS-FC</v>
      </c>
      <c r="M42" s="147" t="str">
        <f>VLOOKUP(K42,'VSM May Indent'!$K$1:$O$61,5,0)</f>
        <v>22.23-0-2-ERW 2 MAHS-FC-6.001</v>
      </c>
      <c r="N42" s="151" t="s">
        <v>367</v>
      </c>
      <c r="O42" s="150">
        <v>3502494</v>
      </c>
      <c r="P42" s="19">
        <v>50</v>
      </c>
      <c r="Q42" s="147">
        <f>Table2527[[#This Row],[SCH jun- 25]]</f>
        <v>50</v>
      </c>
      <c r="R42" s="147">
        <v>0</v>
      </c>
      <c r="S42" s="147"/>
      <c r="T42" s="147">
        <f>_xlfn.LET(_xlpm.c,Q42-Table2527[[#This Row],[Stock     12-06-25]]-Table2527[[#This Row],[intransist ]],IF(_xlpm.c&gt;0,0,-_xlpm.c))</f>
        <v>0</v>
      </c>
      <c r="U42" s="301">
        <v>50</v>
      </c>
      <c r="V42" s="147">
        <f t="shared" si="6"/>
        <v>50</v>
      </c>
      <c r="W42" s="19">
        <f t="shared" si="7"/>
        <v>25</v>
      </c>
      <c r="X42" s="297">
        <f>Table2527[[#This Row],[    INDENT  FOR jun-25 as per VSM]]</f>
        <v>25</v>
      </c>
      <c r="Y42" s="167">
        <f t="shared" si="8"/>
        <v>75</v>
      </c>
      <c r="Z42" s="185">
        <f>SUMIFS(meghsteelsales_previousmonth[Quantity],meghsteelsales_previousmonth[Length Bucket],M42)/1000</f>
        <v>0</v>
      </c>
      <c r="AA42" s="185">
        <f>SUMIFS(meghsteelsales_currentmonth[Quantity],meghsteelsales_currentmonth[Length Bucket],M42)/1000</f>
        <v>0</v>
      </c>
      <c r="AB42" s="185">
        <f t="shared" si="9"/>
        <v>25</v>
      </c>
      <c r="AC42" s="185"/>
      <c r="AD42" s="267"/>
      <c r="AE42" s="185"/>
      <c r="AF42" s="185"/>
      <c r="AG42" s="185" t="str">
        <f>Table2527[[#This Row],[plant]]</f>
        <v>056</v>
      </c>
      <c r="AH42" s="185"/>
    </row>
    <row r="43" spans="1:34" x14ac:dyDescent="0.25">
      <c r="A43" s="265" t="s">
        <v>10</v>
      </c>
      <c r="B43" s="147" t="s">
        <v>346</v>
      </c>
      <c r="C43" s="153" t="s">
        <v>338</v>
      </c>
      <c r="D43" s="147" t="s">
        <v>348</v>
      </c>
      <c r="E43" s="147" t="s">
        <v>340</v>
      </c>
      <c r="F43" s="148">
        <v>38.1</v>
      </c>
      <c r="G43" s="148"/>
      <c r="H43" s="148">
        <v>2</v>
      </c>
      <c r="I43" s="147">
        <v>5650</v>
      </c>
      <c r="J43" s="147">
        <v>5.65</v>
      </c>
      <c r="K43" s="147" t="str">
        <f t="shared" si="5"/>
        <v>38.125.65ERWFIN CUT</v>
      </c>
      <c r="L43" s="147" t="str">
        <f>VLOOKUP(K43,'VSM May Indent'!$K$1:$O$61,4,0)</f>
        <v>38.1-0-2-ERW 1-FC</v>
      </c>
      <c r="M43" s="147" t="str">
        <f>VLOOKUP(K43,'VSM May Indent'!$K$1:$O$61,5,0)</f>
        <v>38.1-0-2-ERW 1-FC-5.65</v>
      </c>
      <c r="N43" s="151" t="s">
        <v>367</v>
      </c>
      <c r="O43" s="150">
        <v>3500959</v>
      </c>
      <c r="P43" s="19">
        <v>0</v>
      </c>
      <c r="Q43" s="147">
        <f>Table2527[[#This Row],[SCH jun- 25]]</f>
        <v>0</v>
      </c>
      <c r="R43" s="147">
        <v>5</v>
      </c>
      <c r="S43" s="147"/>
      <c r="T43" s="147">
        <f>_xlfn.LET(_xlpm.c,Q43-Table2527[[#This Row],[Stock     12-06-25]]-Table2527[[#This Row],[intransist ]],IF(_xlpm.c&gt;0,0,-_xlpm.c))</f>
        <v>5</v>
      </c>
      <c r="U43" s="301">
        <v>22</v>
      </c>
      <c r="V43" s="147">
        <f t="shared" si="6"/>
        <v>27</v>
      </c>
      <c r="W43" s="19">
        <f t="shared" si="7"/>
        <v>0</v>
      </c>
      <c r="X43" s="297">
        <f>Table2527[[#This Row],[    INDENT  FOR jun-25 as per VSM]]</f>
        <v>0</v>
      </c>
      <c r="Y43" s="167">
        <f t="shared" si="8"/>
        <v>22</v>
      </c>
      <c r="Z43" s="185">
        <f>SUMIFS(meghsteelsales_previousmonth[Quantity],meghsteelsales_previousmonth[Length Bucket],M43)/1000</f>
        <v>3.6047469999999997</v>
      </c>
      <c r="AA43" s="185">
        <f>SUMIFS(meghsteelsales_currentmonth[Quantity],meghsteelsales_currentmonth[Length Bucket],M43)/1000</f>
        <v>0</v>
      </c>
      <c r="AB43" s="185">
        <f t="shared" si="9"/>
        <v>0</v>
      </c>
      <c r="AC43" s="185"/>
      <c r="AD43" s="267"/>
      <c r="AE43" s="185"/>
      <c r="AF43" s="185"/>
      <c r="AG43" s="185" t="str">
        <f>Table2527[[#This Row],[plant]]</f>
        <v>056</v>
      </c>
      <c r="AH43" s="185"/>
    </row>
    <row r="44" spans="1:34" s="45" customFormat="1" x14ac:dyDescent="0.25">
      <c r="A44" s="265" t="s">
        <v>5</v>
      </c>
      <c r="B44" s="147" t="s">
        <v>369</v>
      </c>
      <c r="C44" s="153" t="s">
        <v>338</v>
      </c>
      <c r="D44" s="147" t="s">
        <v>348</v>
      </c>
      <c r="E44" s="147" t="s">
        <v>340</v>
      </c>
      <c r="F44" s="168" t="s">
        <v>368</v>
      </c>
      <c r="G44" s="168"/>
      <c r="H44" s="168">
        <v>1.6</v>
      </c>
      <c r="I44" s="169">
        <v>572.5</v>
      </c>
      <c r="J44" s="147">
        <v>0.57250000000000001</v>
      </c>
      <c r="K44" s="147" t="str">
        <f t="shared" si="5"/>
        <v>59x301.60.5725ERWFIN CUT</v>
      </c>
      <c r="L44" s="147" t="str">
        <f>VLOOKUP(K44,'VSM May Indent'!$K$1:$O$61,4,0)</f>
        <v>59-30-1.6-ERW 1-FIN CUT</v>
      </c>
      <c r="M44" s="147" t="str">
        <f>VLOOKUP(K44,'VSM May Indent'!$K$1:$O$61,5,0)</f>
        <v>59-30-1.6-ERW 1-FIN CUT-0.573</v>
      </c>
      <c r="N44" s="151" t="s">
        <v>345</v>
      </c>
      <c r="O44" s="150">
        <v>2420716</v>
      </c>
      <c r="P44" s="19">
        <v>30</v>
      </c>
      <c r="Q44" s="147">
        <f>Table2527[[#This Row],[SCH jun- 25]]</f>
        <v>30</v>
      </c>
      <c r="R44" s="147">
        <v>0</v>
      </c>
      <c r="S44" s="147"/>
      <c r="T44" s="147">
        <f>_xlfn.LET(_xlpm.c,Q44-Table2527[[#This Row],[Stock     12-06-25]]-Table2527[[#This Row],[intransist ]],IF(_xlpm.c&gt;0,0,-_xlpm.c))</f>
        <v>0</v>
      </c>
      <c r="U44" s="301"/>
      <c r="V44" s="147">
        <f t="shared" si="6"/>
        <v>0</v>
      </c>
      <c r="W44" s="19">
        <f t="shared" si="7"/>
        <v>45</v>
      </c>
      <c r="X44" s="297">
        <f>Table2527[[#This Row],[    INDENT  FOR jun-25 as per VSM]]</f>
        <v>45</v>
      </c>
      <c r="Y44" s="167">
        <f t="shared" si="8"/>
        <v>45</v>
      </c>
      <c r="Z44" s="185">
        <f>SUMIFS(meghsteelsales_previousmonth[Quantity],meghsteelsales_previousmonth[Length Bucket],M44)/1000</f>
        <v>9.4819599999999991</v>
      </c>
      <c r="AA44" s="185">
        <f>SUMIFS(meghsteelsales_currentmonth[Quantity],meghsteelsales_currentmonth[Length Bucket],M44)/1000</f>
        <v>0</v>
      </c>
      <c r="AB44" s="185">
        <f t="shared" si="9"/>
        <v>35.518039999999999</v>
      </c>
      <c r="AC44" s="185"/>
      <c r="AD44" s="267"/>
      <c r="AE44" s="185"/>
      <c r="AF44" s="185"/>
      <c r="AG44" s="185"/>
      <c r="AH44" s="185"/>
    </row>
    <row r="45" spans="1:34" x14ac:dyDescent="0.25">
      <c r="A45" s="265" t="s">
        <v>10</v>
      </c>
      <c r="B45" s="147" t="s">
        <v>116</v>
      </c>
      <c r="C45" s="153" t="s">
        <v>338</v>
      </c>
      <c r="D45" s="147" t="s">
        <v>339</v>
      </c>
      <c r="E45" s="147" t="s">
        <v>340</v>
      </c>
      <c r="F45" s="148">
        <v>25.4</v>
      </c>
      <c r="G45" s="148"/>
      <c r="H45" s="148">
        <v>1.6</v>
      </c>
      <c r="I45" s="147">
        <v>6000</v>
      </c>
      <c r="J45" s="147">
        <v>6</v>
      </c>
      <c r="K45" s="147" t="str">
        <f t="shared" si="5"/>
        <v>25.41.66ERWNON FIN</v>
      </c>
      <c r="L45" s="147" t="str">
        <f>VLOOKUP(K45,'VSM May Indent'!$K$1:$O$61,4,0)</f>
        <v>25.4-0-1.6-ERW 1-PE</v>
      </c>
      <c r="M45" s="147" t="str">
        <f>VLOOKUP(K45,'VSM May Indent'!$K$1:$O$61,5,0)</f>
        <v>25.4-0-1.6-ERW 1-PE-6</v>
      </c>
      <c r="N45" s="151" t="s">
        <v>367</v>
      </c>
      <c r="O45" s="150">
        <v>3500097</v>
      </c>
      <c r="P45" s="19">
        <v>25</v>
      </c>
      <c r="Q45" s="147">
        <f>Table2527[[#This Row],[SCH jun- 25]]</f>
        <v>25</v>
      </c>
      <c r="R45" s="147">
        <v>12</v>
      </c>
      <c r="S45" s="147"/>
      <c r="T45" s="147">
        <f>_xlfn.LET(_xlpm.c,Q45-Table2527[[#This Row],[Stock     12-06-25]]-Table2527[[#This Row],[intransist ]],IF(_xlpm.c&gt;0,0,-_xlpm.c))</f>
        <v>0</v>
      </c>
      <c r="U45" s="301">
        <v>32</v>
      </c>
      <c r="V45" s="147">
        <f t="shared" si="6"/>
        <v>32</v>
      </c>
      <c r="W45" s="19">
        <f t="shared" si="7"/>
        <v>5.5</v>
      </c>
      <c r="X45" s="297">
        <f>Table2527[[#This Row],[    INDENT  FOR jun-25 as per VSM]]</f>
        <v>5.5</v>
      </c>
      <c r="Y45" s="167">
        <f t="shared" si="8"/>
        <v>37.5</v>
      </c>
      <c r="Z45" s="185">
        <f>SUMIFS(meghsteelsales_previousmonth[Quantity],meghsteelsales_previousmonth[Length Bucket],M45)/1000</f>
        <v>63.302988000000028</v>
      </c>
      <c r="AA45" s="185">
        <f>SUMIFS(meghsteelsales_currentmonth[Quantity],meghsteelsales_currentmonth[Length Bucket],M45)/1000</f>
        <v>0</v>
      </c>
      <c r="AB45" s="185">
        <f t="shared" si="9"/>
        <v>0</v>
      </c>
      <c r="AC45" s="185"/>
      <c r="AD45" s="267"/>
      <c r="AE45" s="185"/>
      <c r="AF45" s="185"/>
      <c r="AG45" s="185" t="str">
        <f>Table2527[[#This Row],[plant]]</f>
        <v>056</v>
      </c>
      <c r="AH45" s="185"/>
    </row>
    <row r="46" spans="1:34" s="171" customFormat="1" x14ac:dyDescent="0.25">
      <c r="A46" s="265" t="s">
        <v>10</v>
      </c>
      <c r="B46" s="147" t="s">
        <v>116</v>
      </c>
      <c r="C46" s="147" t="s">
        <v>338</v>
      </c>
      <c r="D46" s="147" t="s">
        <v>339</v>
      </c>
      <c r="E46" s="147" t="s">
        <v>340</v>
      </c>
      <c r="F46" s="148">
        <v>12.7</v>
      </c>
      <c r="G46" s="148"/>
      <c r="H46" s="148">
        <v>1.2</v>
      </c>
      <c r="I46" s="147">
        <v>6000</v>
      </c>
      <c r="J46" s="147">
        <v>6</v>
      </c>
      <c r="K46" s="147" t="str">
        <f t="shared" si="5"/>
        <v>12.71.26ERWNON FIN</v>
      </c>
      <c r="L46" s="147" t="str">
        <f>VLOOKUP(K46,'VSM May Indent'!$K$1:$O$61,4,0)</f>
        <v>No Key</v>
      </c>
      <c r="M46" s="147" t="str">
        <f>VLOOKUP(K46,'VSM May Indent'!$K$1:$O$61,5,0)</f>
        <v>No Key</v>
      </c>
      <c r="N46" s="151" t="s">
        <v>345</v>
      </c>
      <c r="O46" s="150">
        <v>1939985</v>
      </c>
      <c r="P46" s="19">
        <v>8</v>
      </c>
      <c r="Q46" s="147">
        <f>Table2527[[#This Row],[SCH jun- 25]]</f>
        <v>8</v>
      </c>
      <c r="R46" s="147">
        <v>4</v>
      </c>
      <c r="S46" s="147"/>
      <c r="T46" s="147">
        <f>_xlfn.LET(_xlpm.c,Q46-Table2527[[#This Row],[Stock     12-06-25]]-Table2527[[#This Row],[intransist ]],IF(_xlpm.c&gt;0,0,-_xlpm.c))</f>
        <v>0</v>
      </c>
      <c r="U46" s="301">
        <v>5</v>
      </c>
      <c r="V46" s="147">
        <f t="shared" si="6"/>
        <v>5</v>
      </c>
      <c r="W46" s="19">
        <f t="shared" si="7"/>
        <v>7</v>
      </c>
      <c r="X46" s="297">
        <f>Table2527[[#This Row],[    INDENT  FOR jun-25 as per VSM]]</f>
        <v>7</v>
      </c>
      <c r="Y46" s="167">
        <f t="shared" si="8"/>
        <v>12</v>
      </c>
      <c r="Z46" s="185">
        <f>SUMIFS(meghsteelsales_previousmonth[Quantity],meghsteelsales_previousmonth[Length Bucket],M46)/1000</f>
        <v>0</v>
      </c>
      <c r="AA46" s="185">
        <f>SUMIFS(meghsteelsales_currentmonth[Quantity],meghsteelsales_currentmonth[Length Bucket],M46)/1000</f>
        <v>0</v>
      </c>
      <c r="AB46" s="185">
        <f t="shared" si="9"/>
        <v>7</v>
      </c>
      <c r="AC46" s="185"/>
      <c r="AD46" s="267"/>
      <c r="AE46" s="185"/>
      <c r="AF46" s="185"/>
      <c r="AG46" s="185"/>
      <c r="AH46" s="185"/>
    </row>
    <row r="47" spans="1:34" x14ac:dyDescent="0.25">
      <c r="A47" s="265" t="s">
        <v>10</v>
      </c>
      <c r="B47" s="147" t="s">
        <v>112</v>
      </c>
      <c r="C47" s="159" t="s">
        <v>338</v>
      </c>
      <c r="D47" s="147" t="s">
        <v>348</v>
      </c>
      <c r="E47" s="147" t="s">
        <v>340</v>
      </c>
      <c r="F47" s="168" t="s">
        <v>363</v>
      </c>
      <c r="G47" s="168"/>
      <c r="H47" s="168">
        <v>1.6</v>
      </c>
      <c r="I47" s="169">
        <v>5880</v>
      </c>
      <c r="J47" s="147">
        <v>5.88</v>
      </c>
      <c r="K47" s="147" t="str">
        <f t="shared" si="5"/>
        <v>40x251.65.88ERWFIN CUT</v>
      </c>
      <c r="L47" s="147" t="str">
        <f>VLOOKUP(K47,'VSM May Indent'!$K$1:$O$61,4,0)</f>
        <v>40-25-1.6-ERW 1-FC</v>
      </c>
      <c r="M47" s="147" t="str">
        <f>VLOOKUP(K47,'VSM May Indent'!$K$1:$O$61,5,0)</f>
        <v>40-25-1.6-ERW 1-FC-5.88</v>
      </c>
      <c r="N47" s="151" t="s">
        <v>345</v>
      </c>
      <c r="O47" s="151">
        <v>3919145</v>
      </c>
      <c r="P47" s="19">
        <v>0</v>
      </c>
      <c r="Q47" s="147">
        <f>Table2527[[#This Row],[SCH jun- 25]]</f>
        <v>0</v>
      </c>
      <c r="R47" s="147">
        <v>0</v>
      </c>
      <c r="S47" s="147"/>
      <c r="T47" s="147">
        <f>_xlfn.LET(_xlpm.c,Q47-Table2527[[#This Row],[Stock     12-06-25]]-Table2527[[#This Row],[intransist ]],IF(_xlpm.c&gt;0,0,-_xlpm.c))</f>
        <v>0</v>
      </c>
      <c r="U47" s="301"/>
      <c r="V47" s="147">
        <f t="shared" si="6"/>
        <v>0</v>
      </c>
      <c r="W47" s="19">
        <f t="shared" si="7"/>
        <v>0</v>
      </c>
      <c r="X47" s="297">
        <f>Table2527[[#This Row],[    INDENT  FOR jun-25 as per VSM]]</f>
        <v>0</v>
      </c>
      <c r="Y47" s="167">
        <f t="shared" si="8"/>
        <v>0</v>
      </c>
      <c r="Z47" s="185">
        <f>SUMIFS(meghsteelsales_previousmonth[Quantity],meghsteelsales_previousmonth[Length Bucket],M47)/1000</f>
        <v>0</v>
      </c>
      <c r="AA47" s="185">
        <f>SUMIFS(meghsteelsales_currentmonth[Quantity],meghsteelsales_currentmonth[Length Bucket],M47)/1000</f>
        <v>0</v>
      </c>
      <c r="AB47" s="185">
        <f t="shared" si="9"/>
        <v>0</v>
      </c>
      <c r="AC47" s="185"/>
      <c r="AD47" s="267"/>
      <c r="AE47" s="185"/>
      <c r="AF47" s="185"/>
      <c r="AG47" s="185"/>
      <c r="AH47" s="185"/>
    </row>
    <row r="48" spans="1:34" x14ac:dyDescent="0.25">
      <c r="A48" s="265" t="s">
        <v>10</v>
      </c>
      <c r="B48" s="147" t="s">
        <v>343</v>
      </c>
      <c r="C48" s="147" t="s">
        <v>338</v>
      </c>
      <c r="D48" s="147" t="s">
        <v>339</v>
      </c>
      <c r="E48" s="147" t="s">
        <v>340</v>
      </c>
      <c r="F48" s="148">
        <v>18.3</v>
      </c>
      <c r="G48" s="148"/>
      <c r="H48" s="148">
        <v>1</v>
      </c>
      <c r="I48" s="147">
        <v>6000</v>
      </c>
      <c r="J48" s="147">
        <v>6</v>
      </c>
      <c r="K48" s="147" t="str">
        <f t="shared" si="5"/>
        <v>18.316ERWNON FIN</v>
      </c>
      <c r="L48" s="147">
        <f>VLOOKUP(K48,'VSM May Indent'!$K$1:$O$61,4,0)</f>
        <v>0</v>
      </c>
      <c r="M48" s="147" t="e">
        <f>VLOOKUP(K48,'VSM May Indent'!$K$1:$O$61,5,0)</f>
        <v>#N/A</v>
      </c>
      <c r="N48" s="151" t="s">
        <v>345</v>
      </c>
      <c r="O48" s="150">
        <v>2288945</v>
      </c>
      <c r="P48" s="19">
        <v>10</v>
      </c>
      <c r="Q48" s="147">
        <f>Table2527[[#This Row],[SCH jun- 25]]</f>
        <v>10</v>
      </c>
      <c r="R48" s="147">
        <v>1</v>
      </c>
      <c r="S48" s="147"/>
      <c r="T48" s="147">
        <f>_xlfn.LET(_xlpm.c,Q48-Table2527[[#This Row],[Stock     12-06-25]]-Table2527[[#This Row],[intransist ]],IF(_xlpm.c&gt;0,0,-_xlpm.c))</f>
        <v>0</v>
      </c>
      <c r="U48" s="301">
        <v>10</v>
      </c>
      <c r="V48" s="147">
        <f t="shared" si="6"/>
        <v>10</v>
      </c>
      <c r="W48" s="19">
        <f t="shared" si="7"/>
        <v>5</v>
      </c>
      <c r="X48" s="297">
        <f>Table2527[[#This Row],[    INDENT  FOR jun-25 as per VSM]]</f>
        <v>5</v>
      </c>
      <c r="Y48" s="167">
        <f t="shared" si="8"/>
        <v>15</v>
      </c>
      <c r="Z48" s="185">
        <f>SUMIFS(meghsteelsales_previousmonth[Quantity],meghsteelsales_previousmonth[Length Bucket],M48)/1000</f>
        <v>0</v>
      </c>
      <c r="AA48" s="185">
        <f>SUMIFS(meghsteelsales_currentmonth[Quantity],meghsteelsales_currentmonth[Length Bucket],M48)/1000</f>
        <v>0</v>
      </c>
      <c r="AB48" s="185">
        <f t="shared" si="9"/>
        <v>5</v>
      </c>
      <c r="AC48" s="185"/>
      <c r="AD48" s="267"/>
      <c r="AE48" s="185"/>
      <c r="AF48" s="185"/>
      <c r="AG48" s="185"/>
      <c r="AH48" s="185"/>
    </row>
    <row r="49" spans="1:34" x14ac:dyDescent="0.25">
      <c r="A49" s="265" t="s">
        <v>10</v>
      </c>
      <c r="B49" s="147" t="s">
        <v>116</v>
      </c>
      <c r="C49" s="153" t="s">
        <v>338</v>
      </c>
      <c r="D49" s="147" t="s">
        <v>339</v>
      </c>
      <c r="E49" s="147" t="s">
        <v>340</v>
      </c>
      <c r="F49" s="148">
        <v>25.4</v>
      </c>
      <c r="G49" s="148"/>
      <c r="H49" s="148">
        <v>2.5</v>
      </c>
      <c r="I49" s="147">
        <v>5530</v>
      </c>
      <c r="J49" s="147">
        <v>5.53</v>
      </c>
      <c r="K49" s="147" t="str">
        <f t="shared" si="5"/>
        <v>25.42.55.53ERWNON FIN</v>
      </c>
      <c r="L49" s="147" t="str">
        <f>VLOOKUP(K49,'VSM May Indent'!$K$1:$O$61,4,0)</f>
        <v>25.4-0-2.5-ERW 1-PE</v>
      </c>
      <c r="M49" s="147" t="str">
        <f>VLOOKUP(K49,'VSM May Indent'!$K$1:$O$61,5,0)</f>
        <v>25.4-0-2.5-ERW 1-PE-5.53</v>
      </c>
      <c r="N49" s="151" t="s">
        <v>367</v>
      </c>
      <c r="O49" s="150">
        <v>3502256</v>
      </c>
      <c r="P49" s="19">
        <v>50</v>
      </c>
      <c r="Q49" s="147">
        <f>Table2527[[#This Row],[SCH jun- 25]]</f>
        <v>50</v>
      </c>
      <c r="R49" s="147">
        <v>0</v>
      </c>
      <c r="S49" s="147"/>
      <c r="T49" s="147">
        <f>_xlfn.LET(_xlpm.c,Q49-Table2527[[#This Row],[Stock     12-06-25]]-Table2527[[#This Row],[intransist ]],IF(_xlpm.c&gt;0,0,-_xlpm.c))</f>
        <v>0</v>
      </c>
      <c r="U49" s="301">
        <v>64</v>
      </c>
      <c r="V49" s="147">
        <f t="shared" si="6"/>
        <v>64</v>
      </c>
      <c r="W49" s="19">
        <f t="shared" si="7"/>
        <v>11</v>
      </c>
      <c r="X49" s="297">
        <f>Table2527[[#This Row],[    INDENT  FOR jun-25 as per VSM]]</f>
        <v>11</v>
      </c>
      <c r="Y49" s="167">
        <f t="shared" si="8"/>
        <v>75</v>
      </c>
      <c r="Z49" s="185">
        <f>SUMIFS(meghsteelsales_previousmonth[Quantity],meghsteelsales_previousmonth[Length Bucket],M49)/1000</f>
        <v>105.75507600000003</v>
      </c>
      <c r="AA49" s="185">
        <f>SUMIFS(meghsteelsales_currentmonth[Quantity],meghsteelsales_currentmonth[Length Bucket],M49)/1000</f>
        <v>37.814835000000002</v>
      </c>
      <c r="AB49" s="185">
        <f t="shared" si="9"/>
        <v>0</v>
      </c>
      <c r="AC49" s="185"/>
      <c r="AD49" s="267"/>
      <c r="AE49" s="185"/>
      <c r="AF49" s="185"/>
      <c r="AG49" s="185" t="str">
        <f>Table2527[[#This Row],[plant]]</f>
        <v>056</v>
      </c>
      <c r="AH49" s="185"/>
    </row>
    <row r="50" spans="1:34" x14ac:dyDescent="0.25">
      <c r="A50" s="265" t="s">
        <v>10</v>
      </c>
      <c r="B50" s="147" t="s">
        <v>346</v>
      </c>
      <c r="C50" s="153" t="s">
        <v>364</v>
      </c>
      <c r="D50" s="147" t="s">
        <v>348</v>
      </c>
      <c r="E50" s="147" t="s">
        <v>340</v>
      </c>
      <c r="F50" s="148">
        <v>42.7</v>
      </c>
      <c r="G50" s="148"/>
      <c r="H50" s="148">
        <v>3.5</v>
      </c>
      <c r="I50" s="147">
        <v>6000</v>
      </c>
      <c r="J50" s="147">
        <v>6</v>
      </c>
      <c r="K50" s="147" t="str">
        <f t="shared" si="5"/>
        <v>42.73.56ERWFIN CUT</v>
      </c>
      <c r="L50" s="147" t="str">
        <f>VLOOKUP(K50,'VSM May Indent'!$K$1:$O$61,4,0)</f>
        <v>42.7-0-3.5-ERW 1-FC</v>
      </c>
      <c r="M50" s="147" t="str">
        <f>VLOOKUP(K50,'VSM May Indent'!$K$1:$O$61,5,0)</f>
        <v>42.7-0-3.5-ERW 1-FC-6</v>
      </c>
      <c r="N50" s="151" t="s">
        <v>362</v>
      </c>
      <c r="O50" s="150">
        <v>2396465</v>
      </c>
      <c r="P50" s="19">
        <v>25</v>
      </c>
      <c r="Q50" s="147">
        <f>Table2527[[#This Row],[SCH jun- 25]]</f>
        <v>25</v>
      </c>
      <c r="R50" s="147">
        <v>12</v>
      </c>
      <c r="S50" s="147"/>
      <c r="T50" s="147">
        <f>_xlfn.LET(_xlpm.c,Q50-Table2527[[#This Row],[Stock     12-06-25]]-Table2527[[#This Row],[intransist ]],IF(_xlpm.c&gt;0,0,-_xlpm.c))</f>
        <v>0</v>
      </c>
      <c r="U50" s="301">
        <v>32</v>
      </c>
      <c r="V50" s="147">
        <f t="shared" si="6"/>
        <v>32</v>
      </c>
      <c r="W50" s="19">
        <f t="shared" si="7"/>
        <v>5.5</v>
      </c>
      <c r="X50" s="297">
        <f>Table2527[[#This Row],[    INDENT  FOR jun-25 as per VSM]]</f>
        <v>5.5</v>
      </c>
      <c r="Y50" s="167">
        <f t="shared" si="8"/>
        <v>37.5</v>
      </c>
      <c r="Z50" s="185">
        <f>SUMIFS(meghsteelsales_previousmonth[Quantity],meghsteelsales_previousmonth[Length Bucket],M50)/1000</f>
        <v>4.2835110000000007</v>
      </c>
      <c r="AA50" s="185">
        <f>SUMIFS(meghsteelsales_currentmonth[Quantity],meghsteelsales_currentmonth[Length Bucket],M50)/1000</f>
        <v>2.3549160000000002</v>
      </c>
      <c r="AB50" s="185">
        <f t="shared" si="9"/>
        <v>0</v>
      </c>
      <c r="AC50" s="185"/>
      <c r="AD50" s="267"/>
      <c r="AE50" s="185"/>
      <c r="AF50" s="185"/>
      <c r="AG50" s="185"/>
      <c r="AH50" s="185"/>
    </row>
    <row r="51" spans="1:34" x14ac:dyDescent="0.25">
      <c r="A51" s="265" t="s">
        <v>10</v>
      </c>
      <c r="B51" s="147" t="s">
        <v>346</v>
      </c>
      <c r="C51" s="153" t="s">
        <v>364</v>
      </c>
      <c r="D51" s="147" t="s">
        <v>348</v>
      </c>
      <c r="E51" s="147" t="s">
        <v>340</v>
      </c>
      <c r="F51" s="148">
        <v>42.7</v>
      </c>
      <c r="G51" s="148"/>
      <c r="H51" s="148">
        <v>4</v>
      </c>
      <c r="I51" s="147">
        <v>6000</v>
      </c>
      <c r="J51" s="147">
        <v>6</v>
      </c>
      <c r="K51" s="147" t="str">
        <f t="shared" si="5"/>
        <v>42.746ERWFIN CUT</v>
      </c>
      <c r="L51" s="147" t="str">
        <f>VLOOKUP(K51,'VSM May Indent'!$K$1:$O$61,4,0)</f>
        <v>42.7-0-4-ERW 1-FC</v>
      </c>
      <c r="M51" s="147" t="str">
        <f>VLOOKUP(K51,'VSM May Indent'!$K$1:$O$61,5,0)</f>
        <v>42.7-0-4-ERW 1-FC-6</v>
      </c>
      <c r="N51" s="158" t="s">
        <v>362</v>
      </c>
      <c r="O51" s="150">
        <v>3501985</v>
      </c>
      <c r="P51" s="19">
        <v>30</v>
      </c>
      <c r="Q51" s="147">
        <f>Table2527[[#This Row],[SCH jun- 25]]</f>
        <v>30</v>
      </c>
      <c r="R51" s="147">
        <v>15</v>
      </c>
      <c r="S51" s="147"/>
      <c r="T51" s="147">
        <f>_xlfn.LET(_xlpm.c,Q51-Table2527[[#This Row],[Stock     12-06-25]]-Table2527[[#This Row],[intransist ]],IF(_xlpm.c&gt;0,0,-_xlpm.c))</f>
        <v>0</v>
      </c>
      <c r="U51" s="301">
        <v>43</v>
      </c>
      <c r="V51" s="147">
        <f t="shared" si="6"/>
        <v>43</v>
      </c>
      <c r="W51" s="19">
        <f t="shared" si="7"/>
        <v>2</v>
      </c>
      <c r="X51" s="297">
        <f>Table2527[[#This Row],[    INDENT  FOR jun-25 as per VSM]]</f>
        <v>2</v>
      </c>
      <c r="Y51" s="167">
        <f t="shared" si="8"/>
        <v>45</v>
      </c>
      <c r="Z51" s="185">
        <f>SUMIFS(meghsteelsales_previousmonth[Quantity],meghsteelsales_previousmonth[Length Bucket],M51)/1000</f>
        <v>38.311999999999998</v>
      </c>
      <c r="AA51" s="185">
        <f>SUMIFS(meghsteelsales_currentmonth[Quantity],meghsteelsales_currentmonth[Length Bucket],M51)/1000</f>
        <v>35.316800000000001</v>
      </c>
      <c r="AB51" s="185">
        <f t="shared" si="9"/>
        <v>0</v>
      </c>
      <c r="AC51" s="185"/>
      <c r="AD51" s="267"/>
      <c r="AE51" s="185"/>
      <c r="AF51" s="185"/>
      <c r="AG51" s="185"/>
      <c r="AH51" s="185"/>
    </row>
    <row r="52" spans="1:34" x14ac:dyDescent="0.25">
      <c r="A52" s="265" t="s">
        <v>10</v>
      </c>
      <c r="B52" s="147" t="s">
        <v>346</v>
      </c>
      <c r="C52" s="155" t="s">
        <v>338</v>
      </c>
      <c r="D52" s="147" t="s">
        <v>348</v>
      </c>
      <c r="E52" s="147" t="s">
        <v>340</v>
      </c>
      <c r="F52" s="154" t="s">
        <v>365</v>
      </c>
      <c r="G52" s="154"/>
      <c r="H52" s="154">
        <v>1.6</v>
      </c>
      <c r="I52" s="155">
        <v>5900</v>
      </c>
      <c r="J52" s="147">
        <v>5.9</v>
      </c>
      <c r="K52" s="147" t="str">
        <f t="shared" si="5"/>
        <v>40x301.65.9ERWFIN CUT</v>
      </c>
      <c r="L52" s="147" t="str">
        <f>VLOOKUP(K52,'VSM May Indent'!$K$1:$O$61,4,0)</f>
        <v>40-30-1.6-ERW 1-FC</v>
      </c>
      <c r="M52" s="147" t="str">
        <f>VLOOKUP(K52,'VSM May Indent'!$K$1:$O$61,5,0)</f>
        <v>40-30-1.6-ERW 1-FC-5.9</v>
      </c>
      <c r="N52" s="151" t="s">
        <v>362</v>
      </c>
      <c r="O52" s="150">
        <v>3836440</v>
      </c>
      <c r="P52" s="19">
        <v>10</v>
      </c>
      <c r="Q52" s="147">
        <f>Table2527[[#This Row],[SCH jun- 25]]</f>
        <v>10</v>
      </c>
      <c r="R52" s="147">
        <v>8</v>
      </c>
      <c r="S52" s="147"/>
      <c r="T52" s="147">
        <f>_xlfn.LET(_xlpm.c,Q52-Table2527[[#This Row],[Stock     12-06-25]]-Table2527[[#This Row],[intransist ]],IF(_xlpm.c&gt;0,0,-_xlpm.c))</f>
        <v>0</v>
      </c>
      <c r="U52" s="301">
        <v>6</v>
      </c>
      <c r="V52" s="147">
        <f t="shared" si="6"/>
        <v>6</v>
      </c>
      <c r="W52" s="19">
        <f t="shared" si="7"/>
        <v>9</v>
      </c>
      <c r="X52" s="297">
        <f>Table2527[[#This Row],[    INDENT  FOR jun-25 as per VSM]]</f>
        <v>9</v>
      </c>
      <c r="Y52" s="167">
        <f t="shared" si="8"/>
        <v>15</v>
      </c>
      <c r="Z52" s="185">
        <f>SUMIFS(meghsteelsales_previousmonth[Quantity],meghsteelsales_previousmonth[Length Bucket],M52)/1000</f>
        <v>0</v>
      </c>
      <c r="AA52" s="185">
        <f>SUMIFS(meghsteelsales_currentmonth[Quantity],meghsteelsales_currentmonth[Length Bucket],M52)/1000</f>
        <v>0</v>
      </c>
      <c r="AB52" s="185">
        <f t="shared" si="9"/>
        <v>9</v>
      </c>
      <c r="AC52" s="185"/>
      <c r="AD52" s="267"/>
      <c r="AE52" s="185"/>
      <c r="AF52" s="185"/>
      <c r="AG52" s="185"/>
      <c r="AH52" s="185"/>
    </row>
    <row r="53" spans="1:34" x14ac:dyDescent="0.25">
      <c r="A53" s="266" t="s">
        <v>10</v>
      </c>
      <c r="B53" s="156" t="s">
        <v>116</v>
      </c>
      <c r="C53" s="157" t="s">
        <v>338</v>
      </c>
      <c r="D53" s="156" t="s">
        <v>339</v>
      </c>
      <c r="E53" s="156" t="s">
        <v>340</v>
      </c>
      <c r="F53" s="248">
        <v>22.2</v>
      </c>
      <c r="G53" s="248"/>
      <c r="H53" s="248">
        <v>1.6</v>
      </c>
      <c r="I53" s="156">
        <v>5270</v>
      </c>
      <c r="J53" s="156">
        <v>5.27</v>
      </c>
      <c r="K53" s="147" t="str">
        <f t="shared" si="5"/>
        <v>22.21.65.27ERWNON FIN</v>
      </c>
      <c r="L53" s="147" t="s">
        <v>412</v>
      </c>
      <c r="M53" s="147" t="s">
        <v>6249</v>
      </c>
      <c r="N53" s="250" t="s">
        <v>345</v>
      </c>
      <c r="O53" s="245">
        <v>3575894</v>
      </c>
      <c r="P53" s="246">
        <v>25</v>
      </c>
      <c r="Q53" s="156">
        <f>Table2527[[#This Row],[SCH jun- 25]]</f>
        <v>25</v>
      </c>
      <c r="R53" s="156"/>
      <c r="S53" s="156"/>
      <c r="T53" s="156">
        <f>_xlfn.LET(_xlpm.c,Q53-Table2527[[#This Row],[Stock     12-06-25]]-Table2527[[#This Row],[intransist ]],IF(_xlpm.c&gt;0,0,-_xlpm.c))</f>
        <v>0</v>
      </c>
      <c r="U53" s="301">
        <v>25</v>
      </c>
      <c r="V53" s="156">
        <f t="shared" si="6"/>
        <v>25</v>
      </c>
      <c r="W53" s="246">
        <f t="shared" si="7"/>
        <v>12.5</v>
      </c>
      <c r="X53" s="297">
        <f>Table2527[[#This Row],[    INDENT  FOR jun-25 as per VSM]]</f>
        <v>12.5</v>
      </c>
      <c r="Y53" s="247">
        <f t="shared" si="8"/>
        <v>37.5</v>
      </c>
      <c r="Z53" s="185">
        <f>SUMIFS(meghsteelsales_previousmonth[Quantity],meghsteelsales_previousmonth[Length Bucket],M53)/1000</f>
        <v>43.08</v>
      </c>
      <c r="AA53" s="185">
        <f>SUMIFS(meghsteelsales_currentmonth[Quantity],meghsteelsales_currentmonth[Length Bucket],M53)/1000</f>
        <v>0</v>
      </c>
      <c r="AB53" s="185">
        <f t="shared" si="9"/>
        <v>0</v>
      </c>
      <c r="AC53" s="185"/>
      <c r="AD53" s="267"/>
      <c r="AE53" s="292"/>
      <c r="AF53" s="292"/>
      <c r="AG53" s="292"/>
      <c r="AH53" s="292"/>
    </row>
    <row r="54" spans="1:34" x14ac:dyDescent="0.25">
      <c r="A54" s="265" t="s">
        <v>341</v>
      </c>
      <c r="B54" s="147" t="s">
        <v>342</v>
      </c>
      <c r="C54" s="153" t="s">
        <v>338</v>
      </c>
      <c r="D54" s="147" t="s">
        <v>348</v>
      </c>
      <c r="E54" s="147" t="s">
        <v>340</v>
      </c>
      <c r="F54" s="148">
        <v>45</v>
      </c>
      <c r="G54" s="148"/>
      <c r="H54" s="148">
        <v>1.4</v>
      </c>
      <c r="I54" s="147">
        <v>5700</v>
      </c>
      <c r="J54" s="147">
        <v>5.7</v>
      </c>
      <c r="K54" s="147" t="str">
        <f t="shared" si="5"/>
        <v>451.45.7ERWFIN CUT</v>
      </c>
      <c r="L54" s="147" t="str">
        <f>VLOOKUP(K54,'VSM May Indent'!$K$1:$O$61,4,0)</f>
        <v>45--1.4-ERW 1-FIN CUT</v>
      </c>
      <c r="M54" s="147" t="str">
        <f>VLOOKUP(K54,'VSM May Indent'!$K$1:$O$61,5,0)</f>
        <v>45--1.4-ERW 1-FIN CUT-5.7</v>
      </c>
      <c r="N54" s="151" t="s">
        <v>367</v>
      </c>
      <c r="O54" s="150">
        <v>3545558</v>
      </c>
      <c r="P54" s="19">
        <v>0</v>
      </c>
      <c r="Q54" s="147">
        <f>Table2527[[#This Row],[SCH jun- 25]]</f>
        <v>0</v>
      </c>
      <c r="R54" s="147">
        <v>0</v>
      </c>
      <c r="S54" s="147"/>
      <c r="T54" s="147">
        <f>_xlfn.LET(_xlpm.c,Q54-Table2527[[#This Row],[Stock     12-06-25]]-Table2527[[#This Row],[intransist ]],IF(_xlpm.c&gt;0,0,-_xlpm.c))</f>
        <v>0</v>
      </c>
      <c r="U54" s="301"/>
      <c r="V54" s="147">
        <f t="shared" si="6"/>
        <v>0</v>
      </c>
      <c r="W54" s="19">
        <f t="shared" si="7"/>
        <v>0</v>
      </c>
      <c r="X54" s="297">
        <f>Table2527[[#This Row],[    INDENT  FOR jun-25 as per VSM]]</f>
        <v>0</v>
      </c>
      <c r="Y54" s="167">
        <f t="shared" si="8"/>
        <v>0</v>
      </c>
      <c r="Z54" s="185">
        <f>SUMIFS(meghsteelsales_previousmonth[Quantity],meghsteelsales_previousmonth[Length Bucket],M54)/1000</f>
        <v>4.8159999999999998</v>
      </c>
      <c r="AA54" s="185">
        <f>SUMIFS(meghsteelsales_currentmonth[Quantity],meghsteelsales_currentmonth[Length Bucket],M54)/1000</f>
        <v>7.35</v>
      </c>
      <c r="AB54" s="185">
        <f t="shared" si="9"/>
        <v>0</v>
      </c>
      <c r="AC54" s="185"/>
      <c r="AD54" s="267"/>
      <c r="AE54" s="185"/>
      <c r="AF54" s="185"/>
      <c r="AG54" s="185"/>
      <c r="AH54" s="185"/>
    </row>
    <row r="55" spans="1:34" x14ac:dyDescent="0.25">
      <c r="A55" s="266" t="s">
        <v>10</v>
      </c>
      <c r="B55" s="156" t="s">
        <v>116</v>
      </c>
      <c r="C55" s="157" t="s">
        <v>338</v>
      </c>
      <c r="D55" s="156" t="s">
        <v>339</v>
      </c>
      <c r="E55" s="156" t="s">
        <v>340</v>
      </c>
      <c r="F55" s="248">
        <v>25.4</v>
      </c>
      <c r="G55" s="248"/>
      <c r="H55" s="248">
        <v>2</v>
      </c>
      <c r="I55" s="156">
        <v>6050</v>
      </c>
      <c r="J55" s="156">
        <v>6.05</v>
      </c>
      <c r="K55" s="147" t="str">
        <f t="shared" si="5"/>
        <v>25.426.05ERWNON FIN</v>
      </c>
      <c r="L55" s="147" t="s">
        <v>1008</v>
      </c>
      <c r="M55" s="147" t="s">
        <v>6250</v>
      </c>
      <c r="N55" s="251" t="s">
        <v>345</v>
      </c>
      <c r="O55" s="245">
        <v>4055021</v>
      </c>
      <c r="P55" s="246">
        <v>15</v>
      </c>
      <c r="Q55" s="156">
        <f>Table2527[[#This Row],[SCH jun- 25]]</f>
        <v>15</v>
      </c>
      <c r="R55" s="156"/>
      <c r="S55" s="156"/>
      <c r="T55" s="156">
        <f>_xlfn.LET(_xlpm.c,Q55-Table2527[[#This Row],[Stock     12-06-25]]-Table2527[[#This Row],[intransist ]],IF(_xlpm.c&gt;0,0,-_xlpm.c))</f>
        <v>0</v>
      </c>
      <c r="U55" s="301"/>
      <c r="V55" s="156">
        <f t="shared" si="6"/>
        <v>0</v>
      </c>
      <c r="W55" s="246">
        <f t="shared" si="7"/>
        <v>22.5</v>
      </c>
      <c r="X55" s="297">
        <f>Table2527[[#This Row],[    INDENT  FOR jun-25 as per VSM]]</f>
        <v>22.5</v>
      </c>
      <c r="Y55" s="247">
        <f t="shared" si="8"/>
        <v>22.5</v>
      </c>
      <c r="Z55" s="185">
        <f>SUMIFS(meghsteelsales_previousmonth[Quantity],meghsteelsales_previousmonth[Length Bucket],M55)/1000</f>
        <v>0</v>
      </c>
      <c r="AA55" s="185">
        <f>SUMIFS(meghsteelsales_currentmonth[Quantity],meghsteelsales_currentmonth[Length Bucket],M55)/1000</f>
        <v>0</v>
      </c>
      <c r="AB55" s="185">
        <f t="shared" si="9"/>
        <v>22.5</v>
      </c>
      <c r="AC55" s="185"/>
      <c r="AD55" s="267"/>
      <c r="AE55" s="292"/>
      <c r="AF55" s="292"/>
      <c r="AG55" s="292"/>
      <c r="AH55" s="292"/>
    </row>
    <row r="56" spans="1:34" x14ac:dyDescent="0.25">
      <c r="A56" s="266" t="s">
        <v>10</v>
      </c>
      <c r="B56" s="156" t="s">
        <v>116</v>
      </c>
      <c r="C56" s="157" t="s">
        <v>338</v>
      </c>
      <c r="D56" s="156" t="s">
        <v>348</v>
      </c>
      <c r="E56" s="156" t="s">
        <v>340</v>
      </c>
      <c r="F56" s="248">
        <v>31.75</v>
      </c>
      <c r="G56" s="248"/>
      <c r="H56" s="248">
        <v>2.2999999999999998</v>
      </c>
      <c r="I56" s="156">
        <v>5920</v>
      </c>
      <c r="J56" s="156">
        <v>5.92</v>
      </c>
      <c r="K56" s="147" t="str">
        <f t="shared" si="5"/>
        <v>31.752.35.92ERWFIN CUT</v>
      </c>
      <c r="L56" s="147" t="e">
        <f>VLOOKUP(K56,'VSM May Indent'!$K$1:$O$61,4,0)</f>
        <v>#N/A</v>
      </c>
      <c r="M56" s="147" t="e">
        <f>VLOOKUP(K56,'VSM May Indent'!$K$1:$O$61,5,0)</f>
        <v>#N/A</v>
      </c>
      <c r="N56" s="251" t="s">
        <v>345</v>
      </c>
      <c r="O56" s="245" t="s">
        <v>379</v>
      </c>
      <c r="P56" s="246">
        <v>15</v>
      </c>
      <c r="Q56" s="156">
        <f>Table2527[[#This Row],[SCH jun- 25]]</f>
        <v>15</v>
      </c>
      <c r="R56" s="156"/>
      <c r="S56" s="156"/>
      <c r="T56" s="156">
        <f>_xlfn.LET(_xlpm.c,Q56-Table2527[[#This Row],[Stock     12-06-25]]-Table2527[[#This Row],[intransist ]],IF(_xlpm.c&gt;0,0,-_xlpm.c))</f>
        <v>0</v>
      </c>
      <c r="U56" s="301"/>
      <c r="V56" s="156">
        <f t="shared" si="6"/>
        <v>0</v>
      </c>
      <c r="W56" s="246">
        <f t="shared" si="7"/>
        <v>22.5</v>
      </c>
      <c r="X56" s="297">
        <f>Table2527[[#This Row],[    INDENT  FOR jun-25 as per VSM]]</f>
        <v>22.5</v>
      </c>
      <c r="Y56" s="247">
        <f t="shared" si="8"/>
        <v>22.5</v>
      </c>
      <c r="Z56" s="185">
        <f>SUMIFS(meghsteelsales_previousmonth[Quantity],meghsteelsales_previousmonth[Length Bucket],M56)/1000</f>
        <v>0</v>
      </c>
      <c r="AA56" s="185">
        <f>SUMIFS(meghsteelsales_currentmonth[Quantity],meghsteelsales_currentmonth[Length Bucket],M56)/1000</f>
        <v>0</v>
      </c>
      <c r="AB56" s="185">
        <f t="shared" si="9"/>
        <v>22.5</v>
      </c>
      <c r="AC56" s="185"/>
      <c r="AD56" s="267"/>
      <c r="AE56" s="292"/>
      <c r="AF56" s="292"/>
      <c r="AG56" s="292"/>
      <c r="AH56" s="292"/>
    </row>
    <row r="57" spans="1:34" x14ac:dyDescent="0.25">
      <c r="A57" s="266" t="s">
        <v>10</v>
      </c>
      <c r="B57" s="156" t="s">
        <v>346</v>
      </c>
      <c r="C57" s="157" t="s">
        <v>338</v>
      </c>
      <c r="D57" s="156" t="s">
        <v>348</v>
      </c>
      <c r="E57" s="156" t="s">
        <v>340</v>
      </c>
      <c r="F57" s="248">
        <v>38.1</v>
      </c>
      <c r="G57" s="248"/>
      <c r="H57" s="248">
        <v>2</v>
      </c>
      <c r="I57" s="156">
        <v>5950</v>
      </c>
      <c r="J57" s="156">
        <v>5.95</v>
      </c>
      <c r="K57" s="147" t="str">
        <f t="shared" si="5"/>
        <v>38.125.95ERWFIN CUT</v>
      </c>
      <c r="L57" s="147" t="e">
        <f>VLOOKUP(K57,'VSM May Indent'!$K$1:$O$61,4,0)</f>
        <v>#N/A</v>
      </c>
      <c r="M57" s="147" t="e">
        <f>VLOOKUP(K57,'VSM May Indent'!$K$1:$O$61,5,0)</f>
        <v>#N/A</v>
      </c>
      <c r="N57" s="250" t="s">
        <v>345</v>
      </c>
      <c r="O57" s="245">
        <v>3533165</v>
      </c>
      <c r="P57" s="246">
        <v>30</v>
      </c>
      <c r="Q57" s="156">
        <f>Table2527[[#This Row],[SCH jun- 25]]</f>
        <v>30</v>
      </c>
      <c r="R57" s="156">
        <v>19</v>
      </c>
      <c r="S57" s="156"/>
      <c r="T57" s="156">
        <f>_xlfn.LET(_xlpm.c,Q57-Table2527[[#This Row],[Stock     12-06-25]]-Table2527[[#This Row],[intransist ]],IF(_xlpm.c&gt;0,0,-_xlpm.c))</f>
        <v>0</v>
      </c>
      <c r="U57" s="301">
        <v>25</v>
      </c>
      <c r="V57" s="156">
        <f t="shared" si="6"/>
        <v>25</v>
      </c>
      <c r="W57" s="246">
        <f t="shared" si="7"/>
        <v>20</v>
      </c>
      <c r="X57" s="297">
        <f>Table2527[[#This Row],[    INDENT  FOR jun-25 as per VSM]]</f>
        <v>20</v>
      </c>
      <c r="Y57" s="247">
        <f t="shared" si="8"/>
        <v>45</v>
      </c>
      <c r="Z57" s="185">
        <f>SUMIFS(meghsteelsales_previousmonth[Quantity],meghsteelsales_previousmonth[Length Bucket],M57)/1000</f>
        <v>0</v>
      </c>
      <c r="AA57" s="185">
        <f>SUMIFS(meghsteelsales_currentmonth[Quantity],meghsteelsales_currentmonth[Length Bucket],M57)/1000</f>
        <v>0</v>
      </c>
      <c r="AB57" s="185">
        <f t="shared" si="9"/>
        <v>20</v>
      </c>
      <c r="AC57" s="185"/>
      <c r="AD57" s="267"/>
      <c r="AE57" s="292"/>
      <c r="AF57" s="292"/>
      <c r="AG57" s="292"/>
      <c r="AH57" s="292"/>
    </row>
    <row r="58" spans="1:34" x14ac:dyDescent="0.25">
      <c r="A58" s="265" t="s">
        <v>341</v>
      </c>
      <c r="B58" s="147" t="s">
        <v>342</v>
      </c>
      <c r="C58" s="153" t="s">
        <v>344</v>
      </c>
      <c r="D58" s="147" t="s">
        <v>348</v>
      </c>
      <c r="E58" s="147" t="s">
        <v>349</v>
      </c>
      <c r="F58" s="148">
        <v>48.6</v>
      </c>
      <c r="G58" s="148"/>
      <c r="H58" s="148">
        <v>2</v>
      </c>
      <c r="I58" s="147">
        <v>6270</v>
      </c>
      <c r="J58" s="147">
        <v>6.27</v>
      </c>
      <c r="K58" s="147" t="str">
        <f t="shared" si="5"/>
        <v>48.626.27HSTFIN CUT</v>
      </c>
      <c r="L58" s="147" t="str">
        <f>VLOOKUP(K58,'VSM May Indent'!$K$1:$O$61,4,0)</f>
        <v>No Key</v>
      </c>
      <c r="M58" s="147" t="str">
        <f>VLOOKUP(K58,'VSM May Indent'!$K$1:$O$61,5,0)</f>
        <v>No Key</v>
      </c>
      <c r="N58" s="158" t="s">
        <v>367</v>
      </c>
      <c r="O58" s="150">
        <v>3502301</v>
      </c>
      <c r="P58" s="19">
        <v>0</v>
      </c>
      <c r="Q58" s="147">
        <f>Table2527[[#This Row],[SCH jun- 25]]</f>
        <v>0</v>
      </c>
      <c r="R58" s="147">
        <v>20</v>
      </c>
      <c r="S58" s="147"/>
      <c r="T58" s="147">
        <f>_xlfn.LET(_xlpm.c,Q58-Table2527[[#This Row],[Stock     12-06-25]]-Table2527[[#This Row],[intransist ]],IF(_xlpm.c&gt;0,0,-_xlpm.c))</f>
        <v>20</v>
      </c>
      <c r="U58" s="301"/>
      <c r="V58" s="147">
        <f t="shared" si="6"/>
        <v>20</v>
      </c>
      <c r="W58" s="19">
        <f t="shared" si="7"/>
        <v>0</v>
      </c>
      <c r="X58" s="297">
        <f>Table2527[[#This Row],[    INDENT  FOR jun-25 as per VSM]]</f>
        <v>0</v>
      </c>
      <c r="Y58" s="167">
        <f t="shared" si="8"/>
        <v>0</v>
      </c>
      <c r="Z58" s="185">
        <f>SUMIFS(meghsteelsales_previousmonth[Quantity],meghsteelsales_previousmonth[Length Bucket],M58)/1000</f>
        <v>0</v>
      </c>
      <c r="AA58" s="185">
        <f>SUMIFS(meghsteelsales_currentmonth[Quantity],meghsteelsales_currentmonth[Length Bucket],M58)/1000</f>
        <v>0</v>
      </c>
      <c r="AB58" s="185">
        <f t="shared" si="9"/>
        <v>0</v>
      </c>
      <c r="AC58" s="185"/>
      <c r="AD58" s="267"/>
      <c r="AE58" s="185"/>
      <c r="AF58" s="185"/>
      <c r="AG58" s="185"/>
      <c r="AH58" s="185"/>
    </row>
    <row r="59" spans="1:34" x14ac:dyDescent="0.25">
      <c r="A59" s="265" t="s">
        <v>10</v>
      </c>
      <c r="B59" s="147" t="s">
        <v>346</v>
      </c>
      <c r="C59" s="153" t="s">
        <v>360</v>
      </c>
      <c r="D59" s="147" t="s">
        <v>348</v>
      </c>
      <c r="E59" s="147" t="s">
        <v>349</v>
      </c>
      <c r="F59" s="148">
        <v>38.1</v>
      </c>
      <c r="G59" s="148"/>
      <c r="H59" s="148">
        <v>1.6</v>
      </c>
      <c r="I59" s="147">
        <v>6190</v>
      </c>
      <c r="J59" s="147">
        <v>6.19</v>
      </c>
      <c r="K59" s="147" t="str">
        <f t="shared" si="5"/>
        <v>38.11.66.19HSTFIN CUT</v>
      </c>
      <c r="L59" s="147" t="str">
        <f>VLOOKUP(K59,'VSM May Indent'!$K$1:$O$61,4,0)</f>
        <v>38.1-0-1.6-ERW 1-FC</v>
      </c>
      <c r="M59" s="147" t="str">
        <f>VLOOKUP(K59,'VSM May Indent'!$K$1:$O$61,5,0)</f>
        <v>38.1-0-1.6-ERW 1-FC-6.19</v>
      </c>
      <c r="N59" s="151" t="s">
        <v>367</v>
      </c>
      <c r="O59" s="150">
        <v>3502254</v>
      </c>
      <c r="P59" s="19">
        <v>40</v>
      </c>
      <c r="Q59" s="147">
        <f>Table2527[[#This Row],[SCH jun- 25]]</f>
        <v>40</v>
      </c>
      <c r="R59" s="147">
        <v>20</v>
      </c>
      <c r="S59" s="147"/>
      <c r="T59" s="147">
        <f>_xlfn.LET(_xlpm.c,Q59-Table2527[[#This Row],[Stock     12-06-25]]-Table2527[[#This Row],[intransist ]],IF(_xlpm.c&gt;0,0,-_xlpm.c))</f>
        <v>0</v>
      </c>
      <c r="U59" s="301">
        <v>23</v>
      </c>
      <c r="V59" s="147">
        <f t="shared" si="6"/>
        <v>23</v>
      </c>
      <c r="W59" s="19">
        <f t="shared" si="7"/>
        <v>37</v>
      </c>
      <c r="X59" s="297">
        <f>Table2527[[#This Row],[    INDENT  FOR jun-25 as per VSM]]</f>
        <v>37</v>
      </c>
      <c r="Y59" s="167">
        <f t="shared" si="8"/>
        <v>60</v>
      </c>
      <c r="Z59" s="185">
        <f>SUMIFS(meghsteelsales_previousmonth[Quantity],meghsteelsales_previousmonth[Length Bucket],M59)/1000</f>
        <v>45.849845000000002</v>
      </c>
      <c r="AA59" s="185">
        <f>SUMIFS(meghsteelsales_currentmonth[Quantity],meghsteelsales_currentmonth[Length Bucket],M59)/1000</f>
        <v>15.52</v>
      </c>
      <c r="AB59" s="185">
        <f t="shared" si="9"/>
        <v>0</v>
      </c>
      <c r="AC59" s="185"/>
      <c r="AD59" s="267"/>
      <c r="AE59" s="260"/>
      <c r="AF59" s="185"/>
      <c r="AG59" s="185"/>
      <c r="AH59" s="185"/>
    </row>
    <row r="60" spans="1:34" x14ac:dyDescent="0.25">
      <c r="A60" s="266" t="s">
        <v>10</v>
      </c>
      <c r="B60" s="156" t="s">
        <v>116</v>
      </c>
      <c r="C60" s="156" t="s">
        <v>338</v>
      </c>
      <c r="D60" s="156" t="s">
        <v>348</v>
      </c>
      <c r="E60" s="156" t="s">
        <v>340</v>
      </c>
      <c r="F60" s="248">
        <v>41.28</v>
      </c>
      <c r="G60" s="248"/>
      <c r="H60" s="248">
        <v>2.6</v>
      </c>
      <c r="I60" s="156">
        <v>6000</v>
      </c>
      <c r="J60" s="156">
        <v>6</v>
      </c>
      <c r="K60" s="147" t="str">
        <f t="shared" si="5"/>
        <v>41.282.66ERWFIN CUT</v>
      </c>
      <c r="L60" s="147" t="str">
        <f>VLOOKUP(K60,'VSM May Indent'!$K$1:$O$61,4,0)</f>
        <v>41.28-0-2.6-ERW 1-FC</v>
      </c>
      <c r="M60" s="147" t="str">
        <f>VLOOKUP(K60,'VSM May Indent'!$K$1:$O$61,5,0)</f>
        <v>41.28-0-2.6-ERW 1-FC-6</v>
      </c>
      <c r="N60" s="201" t="s">
        <v>345</v>
      </c>
      <c r="O60" s="245">
        <v>3974563</v>
      </c>
      <c r="P60" s="246">
        <v>45</v>
      </c>
      <c r="Q60" s="156">
        <f>Table2527[[#This Row],[SCH jun- 25]]</f>
        <v>45</v>
      </c>
      <c r="R60" s="156">
        <v>25</v>
      </c>
      <c r="S60" s="156"/>
      <c r="T60" s="156">
        <f>_xlfn.LET(_xlpm.c,Q60-Table2527[[#This Row],[Stock     12-06-25]]-Table2527[[#This Row],[intransist ]],IF(_xlpm.c&gt;0,0,-_xlpm.c))</f>
        <v>0</v>
      </c>
      <c r="U60" s="301">
        <v>10</v>
      </c>
      <c r="V60" s="156">
        <f t="shared" si="6"/>
        <v>10</v>
      </c>
      <c r="W60" s="246">
        <f t="shared" si="7"/>
        <v>57.5</v>
      </c>
      <c r="X60" s="297">
        <f>Table2527[[#This Row],[    INDENT  FOR jun-25 as per VSM]]</f>
        <v>57.5</v>
      </c>
      <c r="Y60" s="247">
        <f t="shared" si="8"/>
        <v>67.5</v>
      </c>
      <c r="Z60" s="185">
        <f>SUMIFS(meghsteelsales_previousmonth[Quantity],meghsteelsales_previousmonth[Length Bucket],M60)/1000</f>
        <v>8.67</v>
      </c>
      <c r="AA60" s="185">
        <f>SUMIFS(meghsteelsales_currentmonth[Quantity],meghsteelsales_currentmonth[Length Bucket],M60)/1000</f>
        <v>60.509999999999991</v>
      </c>
      <c r="AB60" s="185">
        <f t="shared" si="9"/>
        <v>0</v>
      </c>
      <c r="AC60" s="185"/>
      <c r="AD60" s="267"/>
      <c r="AE60" s="293"/>
      <c r="AF60" s="293"/>
      <c r="AG60" s="293"/>
      <c r="AH60" s="293"/>
    </row>
    <row r="61" spans="1:34" x14ac:dyDescent="0.25">
      <c r="A61" s="265" t="s">
        <v>10</v>
      </c>
      <c r="B61" s="147" t="s">
        <v>116</v>
      </c>
      <c r="C61" s="159" t="s">
        <v>338</v>
      </c>
      <c r="D61" s="147" t="s">
        <v>348</v>
      </c>
      <c r="E61" s="147" t="s">
        <v>340</v>
      </c>
      <c r="F61" s="168" t="s">
        <v>363</v>
      </c>
      <c r="G61" s="168"/>
      <c r="H61" s="168">
        <v>1.6</v>
      </c>
      <c r="I61" s="169">
        <v>6130</v>
      </c>
      <c r="J61" s="147">
        <v>6.13</v>
      </c>
      <c r="K61" s="147" t="str">
        <f t="shared" si="5"/>
        <v>40x251.66.13ERWFIN CUT</v>
      </c>
      <c r="L61" s="147" t="str">
        <f>VLOOKUP(K61,'VSM May Indent'!$K$1:$O$61,4,0)</f>
        <v>40-25-1.6-ERW 1-FC</v>
      </c>
      <c r="M61" s="147" t="str">
        <f>VLOOKUP(K61,'VSM May Indent'!$K$1:$O$61,5,0)</f>
        <v>40-25-1.6-ERW 1-FC-6.13</v>
      </c>
      <c r="N61" s="151" t="s">
        <v>345</v>
      </c>
      <c r="O61" s="151">
        <v>3919144</v>
      </c>
      <c r="P61" s="19">
        <v>6</v>
      </c>
      <c r="Q61" s="147">
        <f>Table2527[[#This Row],[SCH jun- 25]]</f>
        <v>6</v>
      </c>
      <c r="R61" s="147">
        <v>0</v>
      </c>
      <c r="S61" s="147"/>
      <c r="T61" s="147">
        <f>_xlfn.LET(_xlpm.c,Q61-Table2527[[#This Row],[Stock     12-06-25]]-Table2527[[#This Row],[intransist ]],IF(_xlpm.c&gt;0,0,-_xlpm.c))</f>
        <v>0</v>
      </c>
      <c r="U61" s="301"/>
      <c r="V61" s="147">
        <f t="shared" si="6"/>
        <v>0</v>
      </c>
      <c r="W61" s="19">
        <f t="shared" si="7"/>
        <v>9</v>
      </c>
      <c r="X61" s="297">
        <f>Table2527[[#This Row],[    INDENT  FOR jun-25 as per VSM]]</f>
        <v>9</v>
      </c>
      <c r="Y61" s="167">
        <f t="shared" si="8"/>
        <v>9</v>
      </c>
      <c r="Z61" s="185">
        <f>SUMIFS(meghsteelsales_previousmonth[Quantity],meghsteelsales_previousmonth[Length Bucket],M61)/1000</f>
        <v>0</v>
      </c>
      <c r="AA61" s="185">
        <f>SUMIFS(meghsteelsales_currentmonth[Quantity],meghsteelsales_currentmonth[Length Bucket],M61)/1000</f>
        <v>0</v>
      </c>
      <c r="AB61" s="185">
        <f t="shared" si="9"/>
        <v>9</v>
      </c>
      <c r="AC61" s="185"/>
      <c r="AD61" s="267"/>
      <c r="AE61" s="185"/>
      <c r="AF61" s="185"/>
      <c r="AG61" s="185"/>
      <c r="AH61" s="185"/>
    </row>
    <row r="62" spans="1:34" x14ac:dyDescent="0.25">
      <c r="A62" s="265" t="s">
        <v>10</v>
      </c>
      <c r="B62" s="147" t="s">
        <v>116</v>
      </c>
      <c r="C62" s="153" t="s">
        <v>338</v>
      </c>
      <c r="D62" s="147" t="s">
        <v>348</v>
      </c>
      <c r="E62" s="147" t="s">
        <v>340</v>
      </c>
      <c r="F62" s="168" t="s">
        <v>368</v>
      </c>
      <c r="G62" s="168"/>
      <c r="H62" s="168">
        <v>1.6</v>
      </c>
      <c r="I62" s="147">
        <v>6000</v>
      </c>
      <c r="J62" s="147">
        <v>6</v>
      </c>
      <c r="K62" s="147" t="str">
        <f t="shared" si="5"/>
        <v>59x301.66ERWFIN CUT</v>
      </c>
      <c r="L62" s="147" t="str">
        <f>VLOOKUP(K62,'VSM May Indent'!$K$1:$O$61,4,0)</f>
        <v>59-30-1.6-ERW 1-FIN CUT</v>
      </c>
      <c r="M62" s="147" t="str">
        <f>VLOOKUP(K62,'VSM May Indent'!$K$1:$O$61,5,0)</f>
        <v>59-30-1.6-ERW 1-FIN CUT-6</v>
      </c>
      <c r="N62" s="151" t="s">
        <v>345</v>
      </c>
      <c r="O62" s="150">
        <v>1940925</v>
      </c>
      <c r="P62" s="19">
        <v>5</v>
      </c>
      <c r="Q62" s="147">
        <f>Table2527[[#This Row],[SCH jun- 25]]</f>
        <v>5</v>
      </c>
      <c r="R62" s="147">
        <v>0</v>
      </c>
      <c r="S62" s="147"/>
      <c r="T62" s="147">
        <f>_xlfn.LET(_xlpm.c,Q62-Table2527[[#This Row],[Stock     12-06-25]]-Table2527[[#This Row],[intransist ]],IF(_xlpm.c&gt;0,0,-_xlpm.c))</f>
        <v>0</v>
      </c>
      <c r="U62" s="301"/>
      <c r="V62" s="147">
        <f t="shared" si="6"/>
        <v>0</v>
      </c>
      <c r="W62" s="19">
        <f t="shared" si="7"/>
        <v>7.5</v>
      </c>
      <c r="X62" s="297">
        <f>Table2527[[#This Row],[    INDENT  FOR jun-25 as per VSM]]</f>
        <v>7.5</v>
      </c>
      <c r="Y62" s="167">
        <f t="shared" si="8"/>
        <v>7.5</v>
      </c>
      <c r="Z62" s="185">
        <f>SUMIFS(meghsteelsales_previousmonth[Quantity],meghsteelsales_previousmonth[Length Bucket],M62)/1000</f>
        <v>5.12</v>
      </c>
      <c r="AA62" s="185">
        <f>SUMIFS(meghsteelsales_currentmonth[Quantity],meghsteelsales_currentmonth[Length Bucket],M62)/1000</f>
        <v>0</v>
      </c>
      <c r="AB62" s="185">
        <f t="shared" si="9"/>
        <v>2.38</v>
      </c>
      <c r="AC62" s="185"/>
      <c r="AD62" s="267"/>
      <c r="AE62" s="185"/>
      <c r="AF62" s="185"/>
      <c r="AG62" s="185"/>
      <c r="AH62" s="185"/>
    </row>
    <row r="63" spans="1:34" x14ac:dyDescent="0.25">
      <c r="A63" s="265" t="s">
        <v>10</v>
      </c>
      <c r="B63" s="147" t="s">
        <v>346</v>
      </c>
      <c r="C63" s="153" t="s">
        <v>344</v>
      </c>
      <c r="D63" s="147" t="s">
        <v>348</v>
      </c>
      <c r="E63" s="147" t="s">
        <v>349</v>
      </c>
      <c r="F63" s="148">
        <v>38.1</v>
      </c>
      <c r="G63" s="148"/>
      <c r="H63" s="148">
        <v>2.5</v>
      </c>
      <c r="I63" s="147">
        <v>6190</v>
      </c>
      <c r="J63" s="147">
        <v>6.19</v>
      </c>
      <c r="K63" s="147" t="str">
        <f t="shared" si="5"/>
        <v>38.12.56.19HSTFIN CUT</v>
      </c>
      <c r="L63" s="147" t="str">
        <f>VLOOKUP(K63,'VSM May Indent'!$K$1:$O$61,4,0)</f>
        <v>38.1-0-2.5-ERW 2 MAHS-FC</v>
      </c>
      <c r="M63" s="147" t="str">
        <f>VLOOKUP(K63,'VSM May Indent'!$K$1:$O$61,5,0)</f>
        <v>38.1-0-2.5-ERW 2 MAHS-FC-6.19</v>
      </c>
      <c r="N63" s="151" t="s">
        <v>367</v>
      </c>
      <c r="O63" s="150">
        <v>3502007</v>
      </c>
      <c r="P63" s="19">
        <v>60</v>
      </c>
      <c r="Q63" s="147">
        <f>Table2527[[#This Row],[SCH jun- 25]]</f>
        <v>60</v>
      </c>
      <c r="R63" s="147">
        <v>3</v>
      </c>
      <c r="S63" s="147"/>
      <c r="T63" s="147">
        <f>_xlfn.LET(_xlpm.c,Q63-Table2527[[#This Row],[Stock     12-06-25]]-Table2527[[#This Row],[intransist ]],IF(_xlpm.c&gt;0,0,-_xlpm.c))</f>
        <v>0</v>
      </c>
      <c r="U63" s="301">
        <v>32</v>
      </c>
      <c r="V63" s="147">
        <f t="shared" si="6"/>
        <v>32</v>
      </c>
      <c r="W63" s="19">
        <f t="shared" si="7"/>
        <v>58</v>
      </c>
      <c r="X63" s="297">
        <f>Table2527[[#This Row],[    INDENT  FOR jun-25 as per VSM]]</f>
        <v>58</v>
      </c>
      <c r="Y63" s="167">
        <f t="shared" si="8"/>
        <v>90</v>
      </c>
      <c r="Z63" s="185">
        <f>SUMIFS(meghsteelsales_previousmonth[Quantity],meghsteelsales_previousmonth[Length Bucket],M63)/1000</f>
        <v>5.6632070000000008</v>
      </c>
      <c r="AA63" s="185">
        <f>SUMIFS(meghsteelsales_currentmonth[Quantity],meghsteelsales_currentmonth[Length Bucket],M63)/1000</f>
        <v>111.79929199999995</v>
      </c>
      <c r="AB63" s="185">
        <f t="shared" si="9"/>
        <v>0</v>
      </c>
      <c r="AC63" s="185"/>
      <c r="AD63" s="267"/>
      <c r="AE63" s="185"/>
      <c r="AF63" s="185"/>
      <c r="AG63" s="185"/>
      <c r="AH63" s="185"/>
    </row>
    <row r="64" spans="1:34" s="45" customFormat="1" x14ac:dyDescent="0.25">
      <c r="A64" s="265" t="s">
        <v>10</v>
      </c>
      <c r="B64" s="147" t="s">
        <v>346</v>
      </c>
      <c r="C64" s="153" t="s">
        <v>338</v>
      </c>
      <c r="D64" s="147" t="s">
        <v>348</v>
      </c>
      <c r="E64" s="147" t="s">
        <v>340</v>
      </c>
      <c r="F64" s="148">
        <v>57.15</v>
      </c>
      <c r="G64" s="148"/>
      <c r="H64" s="148">
        <v>2.5</v>
      </c>
      <c r="I64" s="147">
        <v>5710</v>
      </c>
      <c r="J64" s="147">
        <v>5.71</v>
      </c>
      <c r="K64" s="147" t="str">
        <f t="shared" si="5"/>
        <v>57.152.55.71ERWFIN CUT</v>
      </c>
      <c r="L64" s="147" t="str">
        <f>VLOOKUP(K64,'VSM May Indent'!$K$1:$O$61,4,0)</f>
        <v>57.15-0-2.5-ERW 1-FC</v>
      </c>
      <c r="M64" s="147" t="str">
        <f>VLOOKUP(K64,'VSM May Indent'!$K$1:$O$61,5,0)</f>
        <v>57.15-0-2.5-ERW 1-FC-5.711</v>
      </c>
      <c r="N64" s="151" t="s">
        <v>367</v>
      </c>
      <c r="O64" s="150">
        <v>3907863</v>
      </c>
      <c r="P64" s="19">
        <v>40</v>
      </c>
      <c r="Q64" s="147">
        <f>Table2527[[#This Row],[SCH jun- 25]]</f>
        <v>40</v>
      </c>
      <c r="R64" s="147">
        <v>7</v>
      </c>
      <c r="S64" s="147"/>
      <c r="T64" s="147">
        <f>_xlfn.LET(_xlpm.c,Q64-Table2527[[#This Row],[Stock     12-06-25]]-Table2527[[#This Row],[intransist ]],IF(_xlpm.c&gt;0,0,-_xlpm.c))</f>
        <v>0</v>
      </c>
      <c r="U64" s="301">
        <v>30</v>
      </c>
      <c r="V64" s="147">
        <f t="shared" si="6"/>
        <v>30</v>
      </c>
      <c r="W64" s="19">
        <f t="shared" si="7"/>
        <v>30</v>
      </c>
      <c r="X64" s="297">
        <f>Table2527[[#This Row],[    INDENT  FOR jun-25 as per VSM]]</f>
        <v>30</v>
      </c>
      <c r="Y64" s="167">
        <f t="shared" si="8"/>
        <v>60</v>
      </c>
      <c r="Z64" s="185">
        <f>SUMIFS(meghsteelsales_previousmonth[Quantity],meghsteelsales_previousmonth[Length Bucket],M64)/1000</f>
        <v>16.138103999999998</v>
      </c>
      <c r="AA64" s="185">
        <f>SUMIFS(meghsteelsales_currentmonth[Quantity],meghsteelsales_currentmonth[Length Bucket],M64)/1000</f>
        <v>206.77804999999998</v>
      </c>
      <c r="AB64" s="185">
        <f t="shared" si="9"/>
        <v>0</v>
      </c>
      <c r="AC64" s="185"/>
      <c r="AD64" s="267"/>
      <c r="AE64" s="185"/>
      <c r="AF64" s="185"/>
      <c r="AG64" s="185"/>
      <c r="AH64" s="185"/>
    </row>
    <row r="65" spans="1:34" x14ac:dyDescent="0.25">
      <c r="A65" s="265" t="s">
        <v>10</v>
      </c>
      <c r="B65" s="147" t="s">
        <v>346</v>
      </c>
      <c r="C65" s="153" t="s">
        <v>338</v>
      </c>
      <c r="D65" s="147" t="s">
        <v>348</v>
      </c>
      <c r="E65" s="147" t="s">
        <v>340</v>
      </c>
      <c r="F65" s="148">
        <v>57.15</v>
      </c>
      <c r="G65" s="148"/>
      <c r="H65" s="148">
        <v>2.5</v>
      </c>
      <c r="I65" s="147">
        <v>6100</v>
      </c>
      <c r="J65" s="147">
        <v>6.1</v>
      </c>
      <c r="K65" s="147" t="str">
        <f t="shared" si="5"/>
        <v>57.152.56.1ERWFIN CUT</v>
      </c>
      <c r="L65" s="147" t="str">
        <f>VLOOKUP(K65,'VSM May Indent'!$K$1:$O$61,4,0)</f>
        <v>57.15-0-2.5-ERW 1-FC</v>
      </c>
      <c r="M65" s="147" t="str">
        <f>VLOOKUP(K65,'VSM May Indent'!$K$1:$O$61,5,0)</f>
        <v>57.15-0-2.5-ERW 1-FC-6.1</v>
      </c>
      <c r="N65" s="151" t="s">
        <v>367</v>
      </c>
      <c r="O65" s="150">
        <v>3910001</v>
      </c>
      <c r="P65" s="19">
        <v>0</v>
      </c>
      <c r="Q65" s="147">
        <f>Table2527[[#This Row],[SCH jun- 25]]</f>
        <v>0</v>
      </c>
      <c r="R65" s="147">
        <v>0</v>
      </c>
      <c r="S65" s="147"/>
      <c r="T65" s="147">
        <f>_xlfn.LET(_xlpm.c,Q65-Table2527[[#This Row],[Stock     12-06-25]]-Table2527[[#This Row],[intransist ]],IF(_xlpm.c&gt;0,0,-_xlpm.c))</f>
        <v>0</v>
      </c>
      <c r="U65" s="301">
        <v>24</v>
      </c>
      <c r="V65" s="147">
        <f t="shared" si="6"/>
        <v>24</v>
      </c>
      <c r="W65" s="19">
        <f t="shared" si="7"/>
        <v>0</v>
      </c>
      <c r="X65" s="297">
        <f>Table2527[[#This Row],[    INDENT  FOR jun-25 as per VSM]]</f>
        <v>0</v>
      </c>
      <c r="Y65" s="167">
        <f t="shared" si="8"/>
        <v>24</v>
      </c>
      <c r="Z65" s="185">
        <f>SUMIFS(meghsteelsales_previousmonth[Quantity],meghsteelsales_previousmonth[Length Bucket],M65)/1000</f>
        <v>0</v>
      </c>
      <c r="AA65" s="185">
        <f>SUMIFS(meghsteelsales_currentmonth[Quantity],meghsteelsales_currentmonth[Length Bucket],M65)/1000</f>
        <v>52.086044999999999</v>
      </c>
      <c r="AB65" s="185">
        <f t="shared" si="9"/>
        <v>0</v>
      </c>
      <c r="AC65" s="185"/>
      <c r="AD65" s="267"/>
      <c r="AE65" s="185"/>
      <c r="AF65" s="185"/>
      <c r="AG65" s="185"/>
      <c r="AH65" s="185"/>
    </row>
    <row r="66" spans="1:34" x14ac:dyDescent="0.25">
      <c r="A66" s="266" t="s">
        <v>10</v>
      </c>
      <c r="B66" s="156" t="s">
        <v>346</v>
      </c>
      <c r="C66" s="157" t="s">
        <v>338</v>
      </c>
      <c r="D66" s="156" t="s">
        <v>348</v>
      </c>
      <c r="E66" s="156" t="s">
        <v>340</v>
      </c>
      <c r="F66" s="248">
        <v>57.15</v>
      </c>
      <c r="G66" s="248"/>
      <c r="H66" s="248">
        <v>2.5</v>
      </c>
      <c r="I66" s="156">
        <v>5950</v>
      </c>
      <c r="J66" s="156"/>
      <c r="K66" s="147" t="str">
        <f t="shared" si="5"/>
        <v>57.152.5ERWFIN CUT</v>
      </c>
      <c r="L66" s="147" t="s">
        <v>926</v>
      </c>
      <c r="M66" s="147" t="s">
        <v>6251</v>
      </c>
      <c r="N66" s="201" t="s">
        <v>367</v>
      </c>
      <c r="O66" s="245">
        <v>4054700</v>
      </c>
      <c r="P66" s="246">
        <v>50</v>
      </c>
      <c r="Q66" s="156">
        <f>Table2527[[#This Row],[SCH jun- 25]]</f>
        <v>50</v>
      </c>
      <c r="R66" s="156"/>
      <c r="S66" s="156"/>
      <c r="T66" s="156">
        <f>_xlfn.LET(_xlpm.c,Q66-Table2527[[#This Row],[Stock     12-06-25]]-Table2527[[#This Row],[intransist ]],IF(_xlpm.c&gt;0,0,-_xlpm.c))</f>
        <v>0</v>
      </c>
      <c r="U66" s="301">
        <v>50</v>
      </c>
      <c r="V66" s="156">
        <f t="shared" si="6"/>
        <v>50</v>
      </c>
      <c r="W66" s="246">
        <f t="shared" si="7"/>
        <v>25</v>
      </c>
      <c r="X66" s="297">
        <f>Table2527[[#This Row],[    INDENT  FOR jun-25 as per VSM]]</f>
        <v>25</v>
      </c>
      <c r="Y66" s="247">
        <f t="shared" si="8"/>
        <v>75</v>
      </c>
      <c r="Z66" s="185">
        <f>SUMIFS(meghsteelsales_previousmonth[Quantity],meghsteelsales_previousmonth[Length Bucket],M66)/1000</f>
        <v>0</v>
      </c>
      <c r="AA66" s="185">
        <f>SUMIFS(meghsteelsales_currentmonth[Quantity],meghsteelsales_currentmonth[Length Bucket],M66)/1000</f>
        <v>6.6326640000000001</v>
      </c>
      <c r="AB66" s="185">
        <f t="shared" si="9"/>
        <v>18.367336000000002</v>
      </c>
      <c r="AC66" s="185"/>
      <c r="AD66" s="267"/>
      <c r="AE66" s="292"/>
      <c r="AF66" s="185"/>
      <c r="AG66" s="185" t="str">
        <f>Table2527[[#This Row],[plant]]</f>
        <v>056</v>
      </c>
      <c r="AH66" s="292"/>
    </row>
    <row r="67" spans="1:34" x14ac:dyDescent="0.25">
      <c r="A67" s="265" t="s">
        <v>10</v>
      </c>
      <c r="B67" s="147" t="s">
        <v>346</v>
      </c>
      <c r="C67" s="147" t="s">
        <v>338</v>
      </c>
      <c r="D67" s="147" t="s">
        <v>348</v>
      </c>
      <c r="E67" s="147" t="s">
        <v>340</v>
      </c>
      <c r="F67" s="148">
        <v>57.15</v>
      </c>
      <c r="G67" s="148"/>
      <c r="H67" s="148">
        <v>2.5</v>
      </c>
      <c r="I67" s="147">
        <v>5750</v>
      </c>
      <c r="J67" s="147">
        <v>5.75</v>
      </c>
      <c r="K67" s="147" t="str">
        <f t="shared" ref="K67" si="10">_xlfn.CONCAT(F67,H67,J67,E67,D67)</f>
        <v>57.152.55.75ERWFIN CUT</v>
      </c>
      <c r="L67" s="147" t="str">
        <f>VLOOKUP(K67,'VSM May Indent'!$K$1:$O$61,4,0)</f>
        <v>57.15-0-2.5-ERW 1-FC</v>
      </c>
      <c r="M67" s="147" t="str">
        <f>VLOOKUP(K67,'VSM May Indent'!$K$1:$O$61,5,0)</f>
        <v>57.15-0-2.5-ERW 1-FC-5.75</v>
      </c>
      <c r="N67" s="151" t="s">
        <v>367</v>
      </c>
      <c r="O67" s="150">
        <v>3501047</v>
      </c>
      <c r="P67" s="19">
        <v>70</v>
      </c>
      <c r="Q67" s="147">
        <f>Table2527[[#This Row],[SCH jun- 25]]</f>
        <v>70</v>
      </c>
      <c r="R67" s="147">
        <v>4</v>
      </c>
      <c r="S67" s="147"/>
      <c r="T67" s="147">
        <f>_xlfn.LET(_xlpm.c,Q67-Table2527[[#This Row],[Stock     12-06-25]]-Table2527[[#This Row],[intransist ]],IF(_xlpm.c&gt;0,0,-_xlpm.c))</f>
        <v>0</v>
      </c>
      <c r="U67" s="301">
        <v>24</v>
      </c>
      <c r="V67" s="147">
        <f t="shared" ref="V67" si="11">U67+T67+S67</f>
        <v>24</v>
      </c>
      <c r="W67" s="19">
        <f t="shared" ref="W67" si="12">_xlfn.LET(_xlpm.c,P67*1.5-V67,IF(_xlpm.c&lt;0,0,_xlpm.c))</f>
        <v>81</v>
      </c>
      <c r="X67" s="297">
        <f>Table2527[[#This Row],[    INDENT  FOR jun-25 as per VSM]]</f>
        <v>81</v>
      </c>
      <c r="Y67" s="167">
        <f t="shared" ref="Y67" si="13">X67+U67</f>
        <v>105</v>
      </c>
      <c r="Z67" s="185">
        <f>SUMIFS(meghsteelsales_previousmonth[Quantity],meghsteelsales_previousmonth[Length Bucket],M67)/1000</f>
        <v>9.4640000000000004</v>
      </c>
      <c r="AA67" s="185">
        <f>SUMIFS(meghsteelsales_currentmonth[Quantity],meghsteelsales_currentmonth[Length Bucket],M67)/1000</f>
        <v>15.74</v>
      </c>
      <c r="AB67" s="185">
        <f t="shared" ref="AB67" si="14">IF((X67-Z67-AA67)&lt;0,0,(X67-Z67-AA67))</f>
        <v>55.795999999999999</v>
      </c>
      <c r="AC67" s="185"/>
      <c r="AD67" s="267"/>
      <c r="AE67" s="185"/>
      <c r="AF67" s="185"/>
      <c r="AG67" s="185"/>
      <c r="AH67" s="185"/>
    </row>
    <row r="68" spans="1:34" s="45" customFormat="1" x14ac:dyDescent="0.25">
      <c r="A68" s="281" t="s">
        <v>10</v>
      </c>
      <c r="B68" s="282" t="s">
        <v>112</v>
      </c>
      <c r="C68" s="283" t="s">
        <v>338</v>
      </c>
      <c r="D68" s="282" t="s">
        <v>348</v>
      </c>
      <c r="E68" s="282" t="s">
        <v>340</v>
      </c>
      <c r="F68" s="284">
        <v>60.3</v>
      </c>
      <c r="G68" s="284"/>
      <c r="H68" s="284">
        <v>2</v>
      </c>
      <c r="I68" s="282">
        <v>5900</v>
      </c>
      <c r="J68" s="282">
        <v>5.9</v>
      </c>
      <c r="K68" s="285" t="str">
        <f t="shared" ref="K68" si="15">_xlfn.CONCAT(F68,H68,J68,E68,D68)</f>
        <v>60.325.9ERWFIN CUT</v>
      </c>
      <c r="L68" s="285" t="str">
        <f>VLOOKUP(K68,'VSM May Indent'!$K$1:$O$61,4,0)</f>
        <v>60.3-0-2-ERW 1-FC</v>
      </c>
      <c r="M68" s="285" t="str">
        <f>VLOOKUP(K68,'VSM May Indent'!$K$1:$O$61,5,0)</f>
        <v>60.3-0-2-ERW 1-FC-5.9</v>
      </c>
      <c r="N68" s="286" t="s">
        <v>362</v>
      </c>
      <c r="O68" s="287">
        <v>3905049</v>
      </c>
      <c r="P68" s="288">
        <v>30</v>
      </c>
      <c r="Q68" s="282">
        <f>Table2527[[#This Row],[SCH jun- 25]]</f>
        <v>30</v>
      </c>
      <c r="R68" s="282">
        <v>28</v>
      </c>
      <c r="S68" s="282"/>
      <c r="T68" s="282">
        <f>_xlfn.LET(_xlpm.c,Q68-Table2527[[#This Row],[Stock     12-06-25]]-Table2527[[#This Row],[intransist ]],IF(_xlpm.c&gt;0,0,-_xlpm.c))</f>
        <v>0</v>
      </c>
      <c r="U68" s="301">
        <v>38</v>
      </c>
      <c r="V68" s="282">
        <f t="shared" ref="V68" si="16">U68+T68+S68</f>
        <v>38</v>
      </c>
      <c r="W68" s="288">
        <f t="shared" ref="W68" si="17">_xlfn.LET(_xlpm.c,P68*1.5-V68,IF(_xlpm.c&lt;0,0,_xlpm.c))</f>
        <v>7</v>
      </c>
      <c r="X68" s="297">
        <f>Table2527[[#This Row],[    INDENT  FOR jun-25 as per VSM]]</f>
        <v>7</v>
      </c>
      <c r="Y68" s="289">
        <f t="shared" ref="Y68" si="18">X68+U68</f>
        <v>45</v>
      </c>
      <c r="Z68" s="290">
        <f>SUMIFS(meghsteelsales_previousmonth[Quantity],meghsteelsales_previousmonth[Length Bucket],M68)/1000</f>
        <v>42.22</v>
      </c>
      <c r="AA68" s="290">
        <f>SUMIFS(meghsteelsales_currentmonth[Quantity],meghsteelsales_currentmonth[Length Bucket],M68)/1000</f>
        <v>14.679999999999998</v>
      </c>
      <c r="AB68" s="290">
        <f t="shared" ref="AB68" si="19">IF((X68-Z68-AA68)&lt;0,0,(X68-Z68-AA68))</f>
        <v>0</v>
      </c>
      <c r="AC68" s="290"/>
      <c r="AD68" s="291"/>
      <c r="AE68" s="295"/>
      <c r="AF68" s="295"/>
      <c r="AG68" s="295"/>
      <c r="AH68" s="295"/>
    </row>
    <row r="69" spans="1:34" x14ac:dyDescent="0.25">
      <c r="I69" s="152" t="s">
        <v>372</v>
      </c>
      <c r="J69" s="152"/>
      <c r="K69" s="152"/>
      <c r="L69" s="152"/>
      <c r="M69" s="147"/>
      <c r="N69" s="152"/>
      <c r="O69" s="197"/>
      <c r="P69" s="152">
        <f t="shared" ref="P69:Y69" si="20">SUBTOTAL(9,P3:P68)</f>
        <v>1161</v>
      </c>
      <c r="Q69" s="152">
        <f t="shared" si="20"/>
        <v>1161</v>
      </c>
      <c r="R69" s="152">
        <f t="shared" si="20"/>
        <v>353</v>
      </c>
      <c r="S69" s="152">
        <f t="shared" si="20"/>
        <v>0</v>
      </c>
      <c r="T69" s="152">
        <f t="shared" si="20"/>
        <v>121</v>
      </c>
      <c r="U69" s="152">
        <f t="shared" si="20"/>
        <v>819</v>
      </c>
      <c r="V69" s="152">
        <f t="shared" si="20"/>
        <v>940</v>
      </c>
      <c r="W69" s="152">
        <f t="shared" si="20"/>
        <v>1032.5</v>
      </c>
      <c r="X69" s="152">
        <f t="shared" si="20"/>
        <v>1032.5</v>
      </c>
      <c r="Y69" s="152">
        <f t="shared" si="20"/>
        <v>1851.5</v>
      </c>
      <c r="Z69" s="185">
        <f>SUM(Z3:Z68)</f>
        <v>632.71680000000003</v>
      </c>
      <c r="AA69" s="185">
        <f>SUM(AA3:AA68)</f>
        <v>696.96993699999996</v>
      </c>
      <c r="AC69" s="185">
        <f>SUM(AC3:AC68)</f>
        <v>0</v>
      </c>
    </row>
    <row r="70" spans="1:34" x14ac:dyDescent="0.25">
      <c r="O70" s="198"/>
      <c r="W70"/>
      <c r="Y70" s="173"/>
    </row>
    <row r="71" spans="1:34" ht="21" x14ac:dyDescent="0.25">
      <c r="C71" s="319">
        <v>56</v>
      </c>
      <c r="O71"/>
    </row>
    <row r="72" spans="1:34" x14ac:dyDescent="0.25">
      <c r="C72" s="173"/>
      <c r="O72"/>
    </row>
    <row r="73" spans="1:34" ht="15.75" thickBot="1" x14ac:dyDescent="0.3">
      <c r="C73" s="173"/>
      <c r="O73"/>
    </row>
    <row r="74" spans="1:34" ht="39" thickBot="1" x14ac:dyDescent="0.3">
      <c r="C74" s="320" t="s">
        <v>2</v>
      </c>
      <c r="D74" s="321" t="s">
        <v>258</v>
      </c>
      <c r="E74" s="322" t="s">
        <v>6234</v>
      </c>
      <c r="F74" s="322" t="s">
        <v>314</v>
      </c>
      <c r="G74" s="321" t="s">
        <v>315</v>
      </c>
      <c r="H74" s="321" t="s">
        <v>316</v>
      </c>
      <c r="I74" s="321" t="s">
        <v>318</v>
      </c>
      <c r="J74" s="321" t="s">
        <v>319</v>
      </c>
      <c r="K74" s="322" t="s">
        <v>320</v>
      </c>
      <c r="L74" s="321" t="s">
        <v>322</v>
      </c>
      <c r="M74" s="323" t="s">
        <v>323</v>
      </c>
      <c r="N74" s="324" t="s">
        <v>6252</v>
      </c>
      <c r="O74" s="325" t="s">
        <v>6253</v>
      </c>
      <c r="P74" s="326" t="s">
        <v>378</v>
      </c>
    </row>
    <row r="75" spans="1:34" ht="15.75" thickBot="1" x14ac:dyDescent="0.3">
      <c r="C75" s="327" t="s">
        <v>341</v>
      </c>
      <c r="D75" s="328" t="s">
        <v>342</v>
      </c>
      <c r="E75" s="328" t="s">
        <v>344</v>
      </c>
      <c r="F75" s="328" t="s">
        <v>339</v>
      </c>
      <c r="G75" s="328" t="s">
        <v>344</v>
      </c>
      <c r="H75" s="328">
        <v>19.05</v>
      </c>
      <c r="I75" s="328">
        <v>1.4</v>
      </c>
      <c r="J75" s="328">
        <v>6000</v>
      </c>
      <c r="K75" s="328">
        <v>6</v>
      </c>
      <c r="L75" s="328">
        <v>56</v>
      </c>
      <c r="M75" s="328">
        <v>3891285</v>
      </c>
      <c r="N75" s="329">
        <v>7.5</v>
      </c>
      <c r="O75" s="330">
        <v>9518845944</v>
      </c>
      <c r="P75" s="328" t="s">
        <v>6237</v>
      </c>
    </row>
    <row r="76" spans="1:34" ht="15.75" thickBot="1" x14ac:dyDescent="0.3">
      <c r="C76" s="327" t="s">
        <v>341</v>
      </c>
      <c r="D76" s="328" t="s">
        <v>342</v>
      </c>
      <c r="E76" s="328" t="s">
        <v>344</v>
      </c>
      <c r="F76" s="328" t="s">
        <v>339</v>
      </c>
      <c r="G76" s="328" t="s">
        <v>347</v>
      </c>
      <c r="H76" s="328">
        <v>22.2</v>
      </c>
      <c r="I76" s="328">
        <v>1.4</v>
      </c>
      <c r="J76" s="328">
        <v>6000</v>
      </c>
      <c r="K76" s="328">
        <v>6</v>
      </c>
      <c r="L76" s="328">
        <v>56</v>
      </c>
      <c r="M76" s="328">
        <v>3829175</v>
      </c>
      <c r="N76" s="329">
        <v>5.5</v>
      </c>
      <c r="O76" s="330">
        <v>9518845944</v>
      </c>
      <c r="P76" s="328" t="s">
        <v>6237</v>
      </c>
    </row>
    <row r="77" spans="1:34" ht="15.75" thickBot="1" x14ac:dyDescent="0.3">
      <c r="C77" s="327" t="s">
        <v>341</v>
      </c>
      <c r="D77" s="328" t="s">
        <v>342</v>
      </c>
      <c r="E77" s="328" t="s">
        <v>344</v>
      </c>
      <c r="F77" s="328" t="s">
        <v>348</v>
      </c>
      <c r="G77" s="328" t="s">
        <v>349</v>
      </c>
      <c r="H77" s="328">
        <v>25.4</v>
      </c>
      <c r="I77" s="328">
        <v>1.4</v>
      </c>
      <c r="J77" s="328">
        <v>5531</v>
      </c>
      <c r="K77" s="328">
        <v>5.5309999999999997</v>
      </c>
      <c r="L77" s="328">
        <v>56</v>
      </c>
      <c r="M77" s="328">
        <v>3501900</v>
      </c>
      <c r="N77" s="329">
        <v>12.5</v>
      </c>
      <c r="O77" s="330">
        <v>9518845944</v>
      </c>
      <c r="P77" s="328" t="s">
        <v>6237</v>
      </c>
    </row>
    <row r="78" spans="1:34" ht="15.75" thickBot="1" x14ac:dyDescent="0.3">
      <c r="C78" s="327" t="s">
        <v>341</v>
      </c>
      <c r="D78" s="328" t="s">
        <v>342</v>
      </c>
      <c r="E78" s="328" t="s">
        <v>338</v>
      </c>
      <c r="F78" s="328" t="s">
        <v>348</v>
      </c>
      <c r="G78" s="328" t="s">
        <v>340</v>
      </c>
      <c r="H78" s="328">
        <v>41.28</v>
      </c>
      <c r="I78" s="328">
        <v>3.15</v>
      </c>
      <c r="J78" s="328">
        <v>5860</v>
      </c>
      <c r="K78" s="328">
        <v>5.86</v>
      </c>
      <c r="L78" s="328">
        <v>56</v>
      </c>
      <c r="M78" s="331">
        <v>3673889</v>
      </c>
      <c r="N78" s="329">
        <v>48.5</v>
      </c>
      <c r="O78" s="330">
        <v>9518845944</v>
      </c>
      <c r="P78" s="328" t="s">
        <v>6237</v>
      </c>
    </row>
    <row r="79" spans="1:34" ht="15.75" thickBot="1" x14ac:dyDescent="0.3">
      <c r="C79" s="327" t="s">
        <v>341</v>
      </c>
      <c r="D79" s="328" t="s">
        <v>342</v>
      </c>
      <c r="E79" s="328" t="s">
        <v>344</v>
      </c>
      <c r="F79" s="328" t="s">
        <v>348</v>
      </c>
      <c r="G79" s="328" t="s">
        <v>349</v>
      </c>
      <c r="H79" s="328">
        <v>48.6</v>
      </c>
      <c r="I79" s="328">
        <v>2.2999999999999998</v>
      </c>
      <c r="J79" s="328">
        <v>6270</v>
      </c>
      <c r="K79" s="328">
        <v>6.27</v>
      </c>
      <c r="L79" s="328">
        <v>56</v>
      </c>
      <c r="M79" s="332">
        <v>3502301</v>
      </c>
      <c r="N79" s="329">
        <v>22.5</v>
      </c>
      <c r="O79" s="330">
        <v>9518845944</v>
      </c>
      <c r="P79" s="328" t="s">
        <v>6237</v>
      </c>
    </row>
    <row r="80" spans="1:34" ht="15.75" thickBot="1" x14ac:dyDescent="0.3">
      <c r="C80" s="327" t="s">
        <v>341</v>
      </c>
      <c r="D80" s="328" t="s">
        <v>342</v>
      </c>
      <c r="E80" s="328" t="s">
        <v>338</v>
      </c>
      <c r="F80" s="328" t="s">
        <v>348</v>
      </c>
      <c r="G80" s="328" t="s">
        <v>340</v>
      </c>
      <c r="H80" s="328">
        <v>57.15</v>
      </c>
      <c r="I80" s="328">
        <v>3</v>
      </c>
      <c r="J80" s="328">
        <v>5650</v>
      </c>
      <c r="K80" s="328">
        <v>5.65</v>
      </c>
      <c r="L80" s="328">
        <v>56</v>
      </c>
      <c r="M80" s="328">
        <v>3501105</v>
      </c>
      <c r="N80" s="329">
        <v>22.5</v>
      </c>
      <c r="O80" s="330">
        <v>9518845944</v>
      </c>
      <c r="P80" s="328" t="s">
        <v>6237</v>
      </c>
      <c r="AD80">
        <v>6190</v>
      </c>
    </row>
    <row r="81" spans="3:30" ht="15.75" thickBot="1" x14ac:dyDescent="0.3">
      <c r="C81" s="333" t="s">
        <v>10</v>
      </c>
      <c r="D81" s="334" t="s">
        <v>116</v>
      </c>
      <c r="E81" s="334" t="s">
        <v>338</v>
      </c>
      <c r="F81" s="334" t="s">
        <v>339</v>
      </c>
      <c r="G81" s="334" t="s">
        <v>340</v>
      </c>
      <c r="H81" s="334">
        <v>19.05</v>
      </c>
      <c r="I81" s="334">
        <v>2</v>
      </c>
      <c r="J81" s="334">
        <v>5800</v>
      </c>
      <c r="K81" s="334">
        <v>5.8</v>
      </c>
      <c r="L81" s="334">
        <v>56</v>
      </c>
      <c r="M81" s="335"/>
      <c r="N81" s="336">
        <v>52.5</v>
      </c>
      <c r="O81" s="337"/>
      <c r="P81" s="338" t="s">
        <v>6254</v>
      </c>
      <c r="AD81">
        <v>878</v>
      </c>
    </row>
    <row r="82" spans="3:30" ht="15.75" thickBot="1" x14ac:dyDescent="0.3">
      <c r="C82" s="333" t="s">
        <v>10</v>
      </c>
      <c r="D82" s="334" t="s">
        <v>346</v>
      </c>
      <c r="E82" s="334" t="s">
        <v>338</v>
      </c>
      <c r="F82" s="334" t="s">
        <v>339</v>
      </c>
      <c r="G82" s="334" t="s">
        <v>340</v>
      </c>
      <c r="H82" s="334">
        <v>19.05</v>
      </c>
      <c r="I82" s="334">
        <v>2.2999999999999998</v>
      </c>
      <c r="J82" s="334">
        <v>7000</v>
      </c>
      <c r="K82" s="334">
        <v>7</v>
      </c>
      <c r="L82" s="334">
        <v>56</v>
      </c>
      <c r="M82" s="339">
        <v>3500582</v>
      </c>
      <c r="N82" s="329">
        <v>7</v>
      </c>
      <c r="O82" s="340">
        <v>9518845919</v>
      </c>
      <c r="P82" s="332" t="s">
        <v>6237</v>
      </c>
      <c r="AD82">
        <f>AD81+3</f>
        <v>881</v>
      </c>
    </row>
    <row r="83" spans="3:30" ht="15.75" thickBot="1" x14ac:dyDescent="0.3">
      <c r="C83" s="333" t="s">
        <v>10</v>
      </c>
      <c r="D83" s="334" t="s">
        <v>116</v>
      </c>
      <c r="E83" s="334" t="s">
        <v>338</v>
      </c>
      <c r="F83" s="334" t="s">
        <v>339</v>
      </c>
      <c r="G83" s="334" t="s">
        <v>340</v>
      </c>
      <c r="H83" s="334">
        <v>22.2</v>
      </c>
      <c r="I83" s="334">
        <v>1.2</v>
      </c>
      <c r="J83" s="334">
        <v>5870</v>
      </c>
      <c r="K83" s="334">
        <v>5.87</v>
      </c>
      <c r="L83" s="334">
        <v>56</v>
      </c>
      <c r="M83" s="334">
        <v>3882110</v>
      </c>
      <c r="N83" s="329">
        <v>6</v>
      </c>
      <c r="O83" s="330">
        <v>9518845919</v>
      </c>
      <c r="P83" s="328" t="s">
        <v>6237</v>
      </c>
      <c r="AD83">
        <f>AD80/AD82</f>
        <v>7.026106696935301</v>
      </c>
    </row>
    <row r="84" spans="3:30" ht="15.75" thickBot="1" x14ac:dyDescent="0.3">
      <c r="C84" s="333" t="s">
        <v>10</v>
      </c>
      <c r="D84" s="334" t="s">
        <v>116</v>
      </c>
      <c r="E84" s="334" t="s">
        <v>338</v>
      </c>
      <c r="F84" s="334" t="s">
        <v>339</v>
      </c>
      <c r="G84" s="334" t="s">
        <v>340</v>
      </c>
      <c r="H84" s="334">
        <v>22.2</v>
      </c>
      <c r="I84" s="334">
        <v>1.6</v>
      </c>
      <c r="J84" s="334">
        <v>5670</v>
      </c>
      <c r="K84" s="334">
        <v>5.67</v>
      </c>
      <c r="L84" s="334">
        <v>56</v>
      </c>
      <c r="M84" s="328">
        <v>3954021</v>
      </c>
      <c r="N84" s="329">
        <v>60</v>
      </c>
      <c r="O84" s="330">
        <v>9518845919</v>
      </c>
      <c r="P84" s="328" t="s">
        <v>6237</v>
      </c>
      <c r="AD84">
        <f>6*AD82</f>
        <v>5286</v>
      </c>
    </row>
    <row r="85" spans="3:30" ht="15.75" thickBot="1" x14ac:dyDescent="0.3">
      <c r="C85" s="333" t="s">
        <v>10</v>
      </c>
      <c r="D85" s="334" t="s">
        <v>116</v>
      </c>
      <c r="E85" s="334" t="s">
        <v>338</v>
      </c>
      <c r="F85" s="334" t="s">
        <v>339</v>
      </c>
      <c r="G85" s="334" t="s">
        <v>340</v>
      </c>
      <c r="H85" s="334">
        <v>22.2</v>
      </c>
      <c r="I85" s="334">
        <v>2</v>
      </c>
      <c r="J85" s="334">
        <v>5950</v>
      </c>
      <c r="K85" s="334">
        <v>5.95</v>
      </c>
      <c r="L85" s="334">
        <v>56</v>
      </c>
      <c r="M85" s="334">
        <v>3905466</v>
      </c>
      <c r="N85" s="329">
        <v>39</v>
      </c>
      <c r="O85" s="330">
        <v>9518845919</v>
      </c>
      <c r="P85" s="328" t="s">
        <v>6237</v>
      </c>
    </row>
    <row r="86" spans="3:30" ht="15.75" thickBot="1" x14ac:dyDescent="0.3">
      <c r="C86" s="333" t="s">
        <v>10</v>
      </c>
      <c r="D86" s="334" t="s">
        <v>116</v>
      </c>
      <c r="E86" s="334" t="s">
        <v>338</v>
      </c>
      <c r="F86" s="334" t="s">
        <v>339</v>
      </c>
      <c r="G86" s="334" t="s">
        <v>340</v>
      </c>
      <c r="H86" s="334">
        <v>22.2</v>
      </c>
      <c r="I86" s="334">
        <v>2</v>
      </c>
      <c r="J86" s="334">
        <v>5100</v>
      </c>
      <c r="K86" s="334">
        <v>5.0999999999999996</v>
      </c>
      <c r="L86" s="334">
        <v>56</v>
      </c>
      <c r="M86" s="334">
        <v>3500554</v>
      </c>
      <c r="N86" s="329">
        <v>30</v>
      </c>
      <c r="O86" s="330">
        <v>9518845919</v>
      </c>
      <c r="P86" s="328" t="s">
        <v>6237</v>
      </c>
    </row>
    <row r="87" spans="3:30" ht="15.75" thickBot="1" x14ac:dyDescent="0.3">
      <c r="C87" s="333" t="s">
        <v>10</v>
      </c>
      <c r="D87" s="334" t="s">
        <v>116</v>
      </c>
      <c r="E87" s="334" t="s">
        <v>344</v>
      </c>
      <c r="F87" s="334" t="s">
        <v>348</v>
      </c>
      <c r="G87" s="334" t="s">
        <v>349</v>
      </c>
      <c r="H87" s="334">
        <v>22.2</v>
      </c>
      <c r="I87" s="334">
        <v>2</v>
      </c>
      <c r="J87" s="334">
        <v>6000</v>
      </c>
      <c r="K87" s="334">
        <v>6000</v>
      </c>
      <c r="L87" s="334">
        <v>56</v>
      </c>
      <c r="M87" s="334">
        <v>3502494</v>
      </c>
      <c r="N87" s="329">
        <v>25</v>
      </c>
      <c r="O87" s="330">
        <v>9518845919</v>
      </c>
      <c r="P87" s="328" t="s">
        <v>6237</v>
      </c>
    </row>
    <row r="88" spans="3:30" ht="15.75" thickBot="1" x14ac:dyDescent="0.3">
      <c r="C88" s="333" t="s">
        <v>10</v>
      </c>
      <c r="D88" s="334" t="s">
        <v>116</v>
      </c>
      <c r="E88" s="334" t="s">
        <v>338</v>
      </c>
      <c r="F88" s="334" t="s">
        <v>339</v>
      </c>
      <c r="G88" s="334" t="s">
        <v>340</v>
      </c>
      <c r="H88" s="334">
        <v>25.4</v>
      </c>
      <c r="I88" s="334">
        <v>1.6</v>
      </c>
      <c r="J88" s="334">
        <v>6000</v>
      </c>
      <c r="K88" s="334">
        <v>6</v>
      </c>
      <c r="L88" s="334">
        <v>56</v>
      </c>
      <c r="M88" s="334">
        <v>3500097</v>
      </c>
      <c r="N88" s="329">
        <v>5.5</v>
      </c>
      <c r="O88" s="330">
        <v>9518845919</v>
      </c>
      <c r="P88" s="328" t="s">
        <v>6237</v>
      </c>
    </row>
    <row r="89" spans="3:30" ht="15.75" thickBot="1" x14ac:dyDescent="0.3">
      <c r="C89" s="333" t="s">
        <v>10</v>
      </c>
      <c r="D89" s="334" t="s">
        <v>116</v>
      </c>
      <c r="E89" s="334" t="s">
        <v>338</v>
      </c>
      <c r="F89" s="334" t="s">
        <v>339</v>
      </c>
      <c r="G89" s="334" t="s">
        <v>340</v>
      </c>
      <c r="H89" s="334">
        <v>25.4</v>
      </c>
      <c r="I89" s="334">
        <v>2.5</v>
      </c>
      <c r="J89" s="334">
        <v>5530</v>
      </c>
      <c r="K89" s="334">
        <v>5.53</v>
      </c>
      <c r="L89" s="334">
        <v>56</v>
      </c>
      <c r="M89" s="334">
        <v>3502256</v>
      </c>
      <c r="N89" s="329">
        <v>11</v>
      </c>
      <c r="O89" s="330">
        <v>9518845919</v>
      </c>
      <c r="P89" s="328" t="s">
        <v>6237</v>
      </c>
    </row>
    <row r="90" spans="3:30" ht="15.75" thickBot="1" x14ac:dyDescent="0.3">
      <c r="C90" s="333" t="s">
        <v>10</v>
      </c>
      <c r="D90" s="334" t="s">
        <v>346</v>
      </c>
      <c r="E90" s="334" t="s">
        <v>360</v>
      </c>
      <c r="F90" s="334" t="s">
        <v>348</v>
      </c>
      <c r="G90" s="334" t="s">
        <v>349</v>
      </c>
      <c r="H90" s="334">
        <v>38.1</v>
      </c>
      <c r="I90" s="334">
        <v>1.6</v>
      </c>
      <c r="J90" s="334">
        <v>6190</v>
      </c>
      <c r="K90" s="334">
        <v>6.19</v>
      </c>
      <c r="L90" s="334">
        <v>56</v>
      </c>
      <c r="M90" s="334">
        <v>3502254</v>
      </c>
      <c r="N90" s="329">
        <v>37</v>
      </c>
      <c r="O90" s="330">
        <v>9518845919</v>
      </c>
      <c r="P90" s="328" t="s">
        <v>6237</v>
      </c>
    </row>
    <row r="91" spans="3:30" ht="15.75" thickBot="1" x14ac:dyDescent="0.3">
      <c r="C91" s="333" t="s">
        <v>10</v>
      </c>
      <c r="D91" s="334" t="s">
        <v>346</v>
      </c>
      <c r="E91" s="334" t="s">
        <v>344</v>
      </c>
      <c r="F91" s="334" t="s">
        <v>348</v>
      </c>
      <c r="G91" s="334" t="s">
        <v>349</v>
      </c>
      <c r="H91" s="334">
        <v>38.1</v>
      </c>
      <c r="I91" s="334">
        <v>2.5</v>
      </c>
      <c r="J91" s="334">
        <v>6190</v>
      </c>
      <c r="K91" s="334">
        <v>6.19</v>
      </c>
      <c r="L91" s="334">
        <v>56</v>
      </c>
      <c r="M91" s="334">
        <v>3502007</v>
      </c>
      <c r="N91" s="329">
        <v>58</v>
      </c>
      <c r="O91" s="330">
        <v>9518845919</v>
      </c>
      <c r="P91" s="328" t="s">
        <v>6237</v>
      </c>
    </row>
    <row r="92" spans="3:30" ht="15.75" thickBot="1" x14ac:dyDescent="0.3">
      <c r="C92" s="333" t="s">
        <v>10</v>
      </c>
      <c r="D92" s="334" t="s">
        <v>346</v>
      </c>
      <c r="E92" s="334" t="s">
        <v>338</v>
      </c>
      <c r="F92" s="334" t="s">
        <v>348</v>
      </c>
      <c r="G92" s="334" t="s">
        <v>340</v>
      </c>
      <c r="H92" s="334">
        <v>57.15</v>
      </c>
      <c r="I92" s="334">
        <v>2.5</v>
      </c>
      <c r="J92" s="334">
        <v>5710</v>
      </c>
      <c r="K92" s="334">
        <v>5.71</v>
      </c>
      <c r="L92" s="334">
        <v>56</v>
      </c>
      <c r="M92" s="334">
        <v>3907863</v>
      </c>
      <c r="N92" s="329">
        <v>30</v>
      </c>
      <c r="O92" s="330">
        <v>9518845919</v>
      </c>
      <c r="P92" s="328" t="s">
        <v>6237</v>
      </c>
    </row>
    <row r="93" spans="3:30" ht="15.75" thickBot="1" x14ac:dyDescent="0.3">
      <c r="C93" s="333" t="s">
        <v>10</v>
      </c>
      <c r="D93" s="334" t="s">
        <v>346</v>
      </c>
      <c r="E93" s="334" t="s">
        <v>338</v>
      </c>
      <c r="F93" s="334" t="s">
        <v>348</v>
      </c>
      <c r="G93" s="334" t="s">
        <v>340</v>
      </c>
      <c r="H93" s="334">
        <v>57.15</v>
      </c>
      <c r="I93" s="334">
        <v>2.5</v>
      </c>
      <c r="J93" s="334">
        <v>5950</v>
      </c>
      <c r="K93" s="334"/>
      <c r="L93" s="334">
        <v>56</v>
      </c>
      <c r="M93" s="341">
        <v>4045220</v>
      </c>
      <c r="N93" s="329">
        <v>25</v>
      </c>
      <c r="O93" s="330">
        <v>9518845919</v>
      </c>
      <c r="P93" s="328" t="s">
        <v>6237</v>
      </c>
    </row>
    <row r="94" spans="3:30" ht="15.75" thickBot="1" x14ac:dyDescent="0.3">
      <c r="C94" s="342" t="s">
        <v>10</v>
      </c>
      <c r="D94" s="343" t="s">
        <v>346</v>
      </c>
      <c r="E94" s="343" t="s">
        <v>338</v>
      </c>
      <c r="F94" s="343" t="s">
        <v>348</v>
      </c>
      <c r="G94" s="343" t="s">
        <v>340</v>
      </c>
      <c r="H94" s="343">
        <v>57.15</v>
      </c>
      <c r="I94" s="343">
        <v>2.5</v>
      </c>
      <c r="J94" s="343">
        <v>5750</v>
      </c>
      <c r="K94" s="343">
        <v>5.75</v>
      </c>
      <c r="L94" s="343">
        <v>56</v>
      </c>
      <c r="M94" s="343">
        <v>3501047</v>
      </c>
      <c r="N94" s="344">
        <v>81</v>
      </c>
      <c r="O94" s="330">
        <v>9518845919</v>
      </c>
      <c r="P94" s="328" t="s">
        <v>6237</v>
      </c>
    </row>
    <row r="95" spans="3:30" ht="15.75" thickBot="1" x14ac:dyDescent="0.3">
      <c r="C95" s="337"/>
      <c r="D95" s="337"/>
      <c r="E95" s="337"/>
      <c r="F95" s="337"/>
      <c r="G95" s="337"/>
      <c r="H95" s="337"/>
      <c r="I95" s="337"/>
      <c r="J95" s="345" t="s">
        <v>372</v>
      </c>
      <c r="K95" s="346"/>
      <c r="L95" s="346"/>
      <c r="M95" s="346"/>
      <c r="N95" s="346">
        <v>586</v>
      </c>
      <c r="O95" s="337"/>
      <c r="P95" s="337"/>
    </row>
    <row r="96" spans="3:30" x14ac:dyDescent="0.25">
      <c r="C96" s="585"/>
      <c r="D96" s="584"/>
      <c r="E96" s="584"/>
      <c r="F96" s="584"/>
      <c r="G96" s="584"/>
      <c r="H96" s="584"/>
      <c r="I96" s="584"/>
      <c r="J96" s="587"/>
      <c r="K96" s="587"/>
      <c r="L96" s="587"/>
      <c r="M96" s="587"/>
      <c r="N96" s="587"/>
      <c r="O96" s="584"/>
      <c r="P96" s="586"/>
    </row>
    <row r="97" spans="3:16" x14ac:dyDescent="0.25">
      <c r="C97" s="585"/>
      <c r="D97" s="584"/>
      <c r="E97" s="584"/>
      <c r="F97" s="584"/>
      <c r="G97" s="584"/>
      <c r="H97" s="584"/>
      <c r="I97" s="584"/>
      <c r="J97" s="584"/>
      <c r="K97" s="584"/>
      <c r="L97" s="584"/>
      <c r="M97" s="584"/>
      <c r="N97" s="584"/>
      <c r="O97" s="584"/>
      <c r="P97" s="586"/>
    </row>
    <row r="98" spans="3:16" x14ac:dyDescent="0.25">
      <c r="C98" s="585"/>
      <c r="D98" s="584"/>
      <c r="E98" s="584"/>
      <c r="F98" s="584"/>
      <c r="G98" s="584"/>
      <c r="H98" s="584"/>
      <c r="I98" s="584"/>
      <c r="J98" s="584"/>
      <c r="K98" s="584"/>
      <c r="L98" s="584"/>
      <c r="M98" s="584"/>
      <c r="N98" s="584"/>
      <c r="O98" s="584"/>
      <c r="P98" s="586"/>
    </row>
    <row r="99" spans="3:16" ht="15.75" x14ac:dyDescent="0.25">
      <c r="C99" s="348" t="s">
        <v>6255</v>
      </c>
      <c r="D99" s="337"/>
      <c r="E99" s="337"/>
      <c r="F99" s="337"/>
      <c r="G99" s="337"/>
      <c r="H99" s="337"/>
      <c r="I99" s="337"/>
      <c r="J99" s="337"/>
      <c r="K99" s="337"/>
      <c r="L99" s="337"/>
      <c r="M99" s="337"/>
      <c r="N99" s="337"/>
      <c r="O99" s="337"/>
      <c r="P99" s="337"/>
    </row>
    <row r="100" spans="3:16" ht="15.75" thickBot="1" x14ac:dyDescent="0.3">
      <c r="C100" s="347"/>
      <c r="D100" s="337"/>
      <c r="E100" s="337"/>
      <c r="F100" s="337"/>
      <c r="G100" s="337"/>
      <c r="H100" s="337"/>
      <c r="I100" s="337"/>
      <c r="J100" s="337"/>
      <c r="K100" s="337"/>
      <c r="L100" s="337"/>
      <c r="M100" s="337"/>
      <c r="N100" s="337"/>
      <c r="O100" s="337"/>
      <c r="P100" s="337"/>
    </row>
    <row r="101" spans="3:16" ht="39" thickBot="1" x14ac:dyDescent="0.3">
      <c r="C101" s="320" t="s">
        <v>2</v>
      </c>
      <c r="D101" s="321" t="s">
        <v>258</v>
      </c>
      <c r="E101" s="322" t="s">
        <v>6234</v>
      </c>
      <c r="F101" s="322" t="s">
        <v>314</v>
      </c>
      <c r="G101" s="321" t="s">
        <v>315</v>
      </c>
      <c r="H101" s="321" t="s">
        <v>316</v>
      </c>
      <c r="I101" s="321" t="s">
        <v>318</v>
      </c>
      <c r="J101" s="321" t="s">
        <v>319</v>
      </c>
      <c r="K101" s="322" t="s">
        <v>320</v>
      </c>
      <c r="L101" s="321" t="s">
        <v>322</v>
      </c>
      <c r="M101" s="323" t="s">
        <v>323</v>
      </c>
      <c r="N101" s="349" t="s">
        <v>6252</v>
      </c>
      <c r="O101" s="326" t="s">
        <v>6253</v>
      </c>
      <c r="P101" s="326" t="s">
        <v>378</v>
      </c>
    </row>
    <row r="102" spans="3:16" ht="15.75" thickBot="1" x14ac:dyDescent="0.3">
      <c r="C102" s="327" t="s">
        <v>341</v>
      </c>
      <c r="D102" s="328" t="s">
        <v>342</v>
      </c>
      <c r="E102" s="328" t="s">
        <v>338</v>
      </c>
      <c r="F102" s="328" t="s">
        <v>339</v>
      </c>
      <c r="G102" s="328" t="s">
        <v>340</v>
      </c>
      <c r="H102" s="328">
        <v>15.88</v>
      </c>
      <c r="I102" s="328">
        <v>2</v>
      </c>
      <c r="J102" s="328">
        <v>6000</v>
      </c>
      <c r="K102" s="328">
        <v>6</v>
      </c>
      <c r="L102" s="328">
        <v>789</v>
      </c>
      <c r="M102" s="328">
        <v>1940120</v>
      </c>
      <c r="N102" s="329">
        <v>7.5</v>
      </c>
      <c r="O102" s="330">
        <v>9518845985</v>
      </c>
      <c r="P102" s="328" t="s">
        <v>6237</v>
      </c>
    </row>
    <row r="103" spans="3:16" ht="15.75" thickBot="1" x14ac:dyDescent="0.3">
      <c r="C103" s="327" t="s">
        <v>341</v>
      </c>
      <c r="D103" s="328" t="s">
        <v>342</v>
      </c>
      <c r="E103" s="328" t="s">
        <v>350</v>
      </c>
      <c r="F103" s="328" t="s">
        <v>348</v>
      </c>
      <c r="G103" s="328" t="s">
        <v>351</v>
      </c>
      <c r="H103" s="328">
        <v>22.2</v>
      </c>
      <c r="I103" s="328">
        <v>2</v>
      </c>
      <c r="J103" s="328">
        <v>5390</v>
      </c>
      <c r="K103" s="328">
        <v>5.39</v>
      </c>
      <c r="L103" s="328">
        <v>789</v>
      </c>
      <c r="M103" s="328">
        <v>2431251</v>
      </c>
      <c r="N103" s="329">
        <v>51</v>
      </c>
      <c r="O103" s="330">
        <v>9518845985</v>
      </c>
      <c r="P103" s="328" t="s">
        <v>6237</v>
      </c>
    </row>
    <row r="104" spans="3:16" ht="15.75" thickBot="1" x14ac:dyDescent="0.3">
      <c r="C104" s="327" t="s">
        <v>341</v>
      </c>
      <c r="D104" s="328" t="s">
        <v>342</v>
      </c>
      <c r="E104" s="328" t="s">
        <v>344</v>
      </c>
      <c r="F104" s="328" t="s">
        <v>348</v>
      </c>
      <c r="G104" s="328" t="s">
        <v>349</v>
      </c>
      <c r="H104" s="328">
        <v>45</v>
      </c>
      <c r="I104" s="328">
        <v>1.4</v>
      </c>
      <c r="J104" s="328">
        <v>6400</v>
      </c>
      <c r="K104" s="328">
        <v>6.42</v>
      </c>
      <c r="L104" s="328">
        <v>789</v>
      </c>
      <c r="M104" s="328">
        <v>3502343</v>
      </c>
      <c r="N104" s="329">
        <v>15</v>
      </c>
      <c r="O104" s="330">
        <v>9518845985</v>
      </c>
      <c r="P104" s="328" t="s">
        <v>6237</v>
      </c>
    </row>
    <row r="105" spans="3:16" ht="15.75" thickBot="1" x14ac:dyDescent="0.3">
      <c r="C105" s="327" t="s">
        <v>341</v>
      </c>
      <c r="D105" s="328" t="s">
        <v>342</v>
      </c>
      <c r="E105" s="328" t="s">
        <v>344</v>
      </c>
      <c r="F105" s="328" t="s">
        <v>348</v>
      </c>
      <c r="G105" s="328" t="s">
        <v>349</v>
      </c>
      <c r="H105" s="328">
        <v>45</v>
      </c>
      <c r="I105" s="328">
        <v>1.6</v>
      </c>
      <c r="J105" s="328">
        <v>6400</v>
      </c>
      <c r="K105" s="328">
        <v>6.42</v>
      </c>
      <c r="L105" s="328">
        <v>789</v>
      </c>
      <c r="M105" s="328">
        <v>3502388</v>
      </c>
      <c r="N105" s="329">
        <v>15</v>
      </c>
      <c r="O105" s="330">
        <v>9518845985</v>
      </c>
      <c r="P105" s="328" t="s">
        <v>6237</v>
      </c>
    </row>
    <row r="106" spans="3:16" ht="15.75" thickBot="1" x14ac:dyDescent="0.3">
      <c r="C106" s="327" t="s">
        <v>341</v>
      </c>
      <c r="D106" s="328" t="s">
        <v>342</v>
      </c>
      <c r="E106" s="328" t="s">
        <v>338</v>
      </c>
      <c r="F106" s="328" t="s">
        <v>348</v>
      </c>
      <c r="G106" s="328" t="s">
        <v>340</v>
      </c>
      <c r="H106" s="328">
        <v>48.6</v>
      </c>
      <c r="I106" s="328">
        <v>3.5</v>
      </c>
      <c r="J106" s="328">
        <v>6000</v>
      </c>
      <c r="K106" s="328">
        <v>6</v>
      </c>
      <c r="L106" s="328">
        <v>789</v>
      </c>
      <c r="M106" s="328">
        <v>3502422</v>
      </c>
      <c r="N106" s="329">
        <v>20</v>
      </c>
      <c r="O106" s="330">
        <v>9518845985</v>
      </c>
      <c r="P106" s="328" t="s">
        <v>6237</v>
      </c>
    </row>
    <row r="107" spans="3:16" ht="15.75" thickBot="1" x14ac:dyDescent="0.3">
      <c r="C107" s="327" t="s">
        <v>5</v>
      </c>
      <c r="D107" s="328" t="s">
        <v>358</v>
      </c>
      <c r="E107" s="328" t="s">
        <v>338</v>
      </c>
      <c r="F107" s="328" t="s">
        <v>348</v>
      </c>
      <c r="G107" s="328" t="s">
        <v>340</v>
      </c>
      <c r="H107" s="328">
        <v>34.93</v>
      </c>
      <c r="I107" s="328">
        <v>1.2</v>
      </c>
      <c r="J107" s="328">
        <v>620</v>
      </c>
      <c r="K107" s="328">
        <v>0.62</v>
      </c>
      <c r="L107" s="328">
        <v>789</v>
      </c>
      <c r="M107" s="328">
        <v>2397073</v>
      </c>
      <c r="N107" s="329">
        <v>15</v>
      </c>
      <c r="O107" s="330">
        <v>9518846005</v>
      </c>
      <c r="P107" s="328" t="s">
        <v>6237</v>
      </c>
    </row>
    <row r="108" spans="3:16" ht="15.75" thickBot="1" x14ac:dyDescent="0.3">
      <c r="C108" s="327" t="s">
        <v>5</v>
      </c>
      <c r="D108" s="328" t="s">
        <v>359</v>
      </c>
      <c r="E108" s="328" t="s">
        <v>338</v>
      </c>
      <c r="F108" s="328" t="s">
        <v>348</v>
      </c>
      <c r="G108" s="328" t="s">
        <v>340</v>
      </c>
      <c r="H108" s="328">
        <v>34.93</v>
      </c>
      <c r="I108" s="328">
        <v>1.2</v>
      </c>
      <c r="J108" s="328">
        <v>700</v>
      </c>
      <c r="K108" s="328">
        <v>0.7</v>
      </c>
      <c r="L108" s="328">
        <v>789</v>
      </c>
      <c r="M108" s="328">
        <v>3649699</v>
      </c>
      <c r="N108" s="329">
        <v>15</v>
      </c>
      <c r="O108" s="330">
        <v>9518846005</v>
      </c>
      <c r="P108" s="328" t="s">
        <v>6237</v>
      </c>
    </row>
    <row r="109" spans="3:16" ht="15.75" thickBot="1" x14ac:dyDescent="0.3">
      <c r="C109" s="327" t="s">
        <v>5</v>
      </c>
      <c r="D109" s="328" t="s">
        <v>358</v>
      </c>
      <c r="E109" s="328" t="s">
        <v>338</v>
      </c>
      <c r="F109" s="328" t="s">
        <v>348</v>
      </c>
      <c r="G109" s="328" t="s">
        <v>340</v>
      </c>
      <c r="H109" s="328">
        <v>48</v>
      </c>
      <c r="I109" s="328">
        <v>1.2</v>
      </c>
      <c r="J109" s="328">
        <v>620</v>
      </c>
      <c r="K109" s="328">
        <v>0.62</v>
      </c>
      <c r="L109" s="328">
        <v>789</v>
      </c>
      <c r="M109" s="328">
        <v>2397072</v>
      </c>
      <c r="N109" s="329">
        <v>15</v>
      </c>
      <c r="O109" s="330">
        <v>9518846005</v>
      </c>
      <c r="P109" s="328" t="s">
        <v>6237</v>
      </c>
    </row>
    <row r="110" spans="3:16" ht="15.75" thickBot="1" x14ac:dyDescent="0.3">
      <c r="C110" s="327" t="s">
        <v>5</v>
      </c>
      <c r="D110" s="328" t="s">
        <v>359</v>
      </c>
      <c r="E110" s="328" t="s">
        <v>338</v>
      </c>
      <c r="F110" s="328" t="s">
        <v>348</v>
      </c>
      <c r="G110" s="328" t="s">
        <v>340</v>
      </c>
      <c r="H110" s="328">
        <v>48</v>
      </c>
      <c r="I110" s="328">
        <v>1.2</v>
      </c>
      <c r="J110" s="328">
        <v>700</v>
      </c>
      <c r="K110" s="328">
        <v>0.7</v>
      </c>
      <c r="L110" s="328">
        <v>789</v>
      </c>
      <c r="M110" s="328">
        <v>3649700</v>
      </c>
      <c r="N110" s="329">
        <v>21</v>
      </c>
      <c r="O110" s="330">
        <v>9518846005</v>
      </c>
      <c r="P110" s="328" t="s">
        <v>6237</v>
      </c>
    </row>
    <row r="111" spans="3:16" ht="15.75" thickBot="1" x14ac:dyDescent="0.3">
      <c r="C111" s="327" t="s">
        <v>5</v>
      </c>
      <c r="D111" s="328" t="s">
        <v>369</v>
      </c>
      <c r="E111" s="328" t="s">
        <v>338</v>
      </c>
      <c r="F111" s="328" t="s">
        <v>348</v>
      </c>
      <c r="G111" s="328" t="s">
        <v>340</v>
      </c>
      <c r="H111" s="328" t="s">
        <v>368</v>
      </c>
      <c r="I111" s="328">
        <v>1.6</v>
      </c>
      <c r="J111" s="328">
        <v>572.5</v>
      </c>
      <c r="K111" s="328">
        <v>0.57250000000000001</v>
      </c>
      <c r="L111" s="328">
        <v>789</v>
      </c>
      <c r="M111" s="328">
        <v>2420716</v>
      </c>
      <c r="N111" s="329">
        <v>45</v>
      </c>
      <c r="O111" s="330">
        <v>9518846005</v>
      </c>
      <c r="P111" s="328" t="s">
        <v>6237</v>
      </c>
    </row>
    <row r="112" spans="3:16" ht="15.75" thickBot="1" x14ac:dyDescent="0.3">
      <c r="C112" s="327" t="s">
        <v>10</v>
      </c>
      <c r="D112" s="328" t="s">
        <v>116</v>
      </c>
      <c r="E112" s="328" t="s">
        <v>338</v>
      </c>
      <c r="F112" s="328" t="s">
        <v>339</v>
      </c>
      <c r="G112" s="328" t="s">
        <v>340</v>
      </c>
      <c r="H112" s="328">
        <v>12.7</v>
      </c>
      <c r="I112" s="328">
        <v>1.2</v>
      </c>
      <c r="J112" s="328">
        <v>6000</v>
      </c>
      <c r="K112" s="328">
        <v>6</v>
      </c>
      <c r="L112" s="328">
        <v>789</v>
      </c>
      <c r="M112" s="328">
        <v>1939985</v>
      </c>
      <c r="N112" s="329">
        <v>7</v>
      </c>
      <c r="O112" s="330">
        <v>9518845970</v>
      </c>
      <c r="P112" s="328" t="s">
        <v>6237</v>
      </c>
    </row>
    <row r="113" spans="3:17" ht="15.75" thickBot="1" x14ac:dyDescent="0.3">
      <c r="C113" s="327" t="s">
        <v>10</v>
      </c>
      <c r="D113" s="328" t="s">
        <v>343</v>
      </c>
      <c r="E113" s="328" t="s">
        <v>338</v>
      </c>
      <c r="F113" s="328" t="s">
        <v>339</v>
      </c>
      <c r="G113" s="328" t="s">
        <v>340</v>
      </c>
      <c r="H113" s="328">
        <v>18.3</v>
      </c>
      <c r="I113" s="328">
        <v>1</v>
      </c>
      <c r="J113" s="328">
        <v>6000</v>
      </c>
      <c r="K113" s="328">
        <v>6</v>
      </c>
      <c r="L113" s="328">
        <v>789</v>
      </c>
      <c r="M113" s="328">
        <v>2288945</v>
      </c>
      <c r="N113" s="329">
        <v>5</v>
      </c>
      <c r="O113" s="330">
        <v>9518845970</v>
      </c>
      <c r="P113" s="328" t="s">
        <v>6237</v>
      </c>
    </row>
    <row r="114" spans="3:17" ht="15.75" thickBot="1" x14ac:dyDescent="0.3">
      <c r="C114" s="333" t="s">
        <v>10</v>
      </c>
      <c r="D114" s="334" t="s">
        <v>116</v>
      </c>
      <c r="E114" s="334" t="s">
        <v>338</v>
      </c>
      <c r="F114" s="334" t="s">
        <v>339</v>
      </c>
      <c r="G114" s="334" t="s">
        <v>340</v>
      </c>
      <c r="H114" s="334">
        <v>22.2</v>
      </c>
      <c r="I114" s="334">
        <v>1.6</v>
      </c>
      <c r="J114" s="334">
        <v>5270</v>
      </c>
      <c r="K114" s="334">
        <v>5.27</v>
      </c>
      <c r="L114" s="334">
        <v>789</v>
      </c>
      <c r="M114" s="334">
        <v>3575894</v>
      </c>
      <c r="N114" s="329">
        <v>12.5</v>
      </c>
      <c r="O114" s="330">
        <v>9518845970</v>
      </c>
      <c r="P114" s="328" t="s">
        <v>6237</v>
      </c>
    </row>
    <row r="115" spans="3:17" ht="15.75" thickBot="1" x14ac:dyDescent="0.3">
      <c r="C115" s="333" t="s">
        <v>10</v>
      </c>
      <c r="D115" s="334" t="s">
        <v>116</v>
      </c>
      <c r="E115" s="334" t="s">
        <v>338</v>
      </c>
      <c r="F115" s="334" t="s">
        <v>339</v>
      </c>
      <c r="G115" s="334" t="s">
        <v>340</v>
      </c>
      <c r="H115" s="334">
        <v>25.4</v>
      </c>
      <c r="I115" s="334">
        <v>2</v>
      </c>
      <c r="J115" s="334">
        <v>6050</v>
      </c>
      <c r="K115" s="334">
        <v>6.05</v>
      </c>
      <c r="L115" s="334">
        <v>789</v>
      </c>
      <c r="M115" s="334">
        <v>4055021</v>
      </c>
      <c r="N115" s="329">
        <v>22.5</v>
      </c>
      <c r="O115" s="330">
        <v>9518845970</v>
      </c>
      <c r="P115" s="328" t="s">
        <v>6237</v>
      </c>
    </row>
    <row r="116" spans="3:17" ht="15.75" thickBot="1" x14ac:dyDescent="0.3">
      <c r="C116" s="333" t="s">
        <v>10</v>
      </c>
      <c r="D116" s="334" t="s">
        <v>116</v>
      </c>
      <c r="E116" s="334" t="s">
        <v>338</v>
      </c>
      <c r="F116" s="334" t="s">
        <v>348</v>
      </c>
      <c r="G116" s="334" t="s">
        <v>340</v>
      </c>
      <c r="H116" s="334">
        <v>31.75</v>
      </c>
      <c r="I116" s="334">
        <v>2.2999999999999998</v>
      </c>
      <c r="J116" s="334">
        <v>5920</v>
      </c>
      <c r="K116" s="334">
        <v>5.92</v>
      </c>
      <c r="L116" s="334">
        <v>789</v>
      </c>
      <c r="M116" s="334" t="s">
        <v>379</v>
      </c>
      <c r="N116" s="329">
        <v>22.5</v>
      </c>
      <c r="O116" s="330"/>
      <c r="P116" s="350" t="s">
        <v>6256</v>
      </c>
    </row>
    <row r="117" spans="3:17" ht="15.75" thickBot="1" x14ac:dyDescent="0.3">
      <c r="C117" s="333" t="s">
        <v>10</v>
      </c>
      <c r="D117" s="334" t="s">
        <v>346</v>
      </c>
      <c r="E117" s="334" t="s">
        <v>338</v>
      </c>
      <c r="F117" s="334" t="s">
        <v>348</v>
      </c>
      <c r="G117" s="334" t="s">
        <v>340</v>
      </c>
      <c r="H117" s="334">
        <v>38.1</v>
      </c>
      <c r="I117" s="334">
        <v>2</v>
      </c>
      <c r="J117" s="334">
        <v>5950</v>
      </c>
      <c r="K117" s="334">
        <v>5.95</v>
      </c>
      <c r="L117" s="334">
        <v>789</v>
      </c>
      <c r="M117" s="334">
        <v>3533165</v>
      </c>
      <c r="N117" s="329">
        <v>20</v>
      </c>
      <c r="O117" s="330">
        <v>9518845970</v>
      </c>
      <c r="P117" s="328" t="s">
        <v>6237</v>
      </c>
    </row>
    <row r="118" spans="3:17" ht="15.75" thickBot="1" x14ac:dyDescent="0.3">
      <c r="C118" s="333" t="s">
        <v>10</v>
      </c>
      <c r="D118" s="334" t="s">
        <v>116</v>
      </c>
      <c r="E118" s="334" t="s">
        <v>338</v>
      </c>
      <c r="F118" s="334" t="s">
        <v>348</v>
      </c>
      <c r="G118" s="334" t="s">
        <v>340</v>
      </c>
      <c r="H118" s="334">
        <v>41.28</v>
      </c>
      <c r="I118" s="334">
        <v>2.6</v>
      </c>
      <c r="J118" s="334">
        <v>6000</v>
      </c>
      <c r="K118" s="334">
        <v>6</v>
      </c>
      <c r="L118" s="334">
        <v>789</v>
      </c>
      <c r="M118" s="334">
        <v>3974563</v>
      </c>
      <c r="N118" s="329">
        <v>57.5</v>
      </c>
      <c r="O118" s="330">
        <v>9518845970</v>
      </c>
      <c r="P118" s="328" t="s">
        <v>6237</v>
      </c>
    </row>
    <row r="119" spans="3:17" ht="15.75" thickBot="1" x14ac:dyDescent="0.3">
      <c r="C119" s="327" t="s">
        <v>10</v>
      </c>
      <c r="D119" s="328" t="s">
        <v>116</v>
      </c>
      <c r="E119" s="328" t="s">
        <v>338</v>
      </c>
      <c r="F119" s="328" t="s">
        <v>348</v>
      </c>
      <c r="G119" s="328" t="s">
        <v>340</v>
      </c>
      <c r="H119" s="328" t="s">
        <v>363</v>
      </c>
      <c r="I119" s="328">
        <v>1.6</v>
      </c>
      <c r="J119" s="328">
        <v>6130</v>
      </c>
      <c r="K119" s="328">
        <v>6.13</v>
      </c>
      <c r="L119" s="328">
        <v>789</v>
      </c>
      <c r="M119" s="328">
        <v>3919144</v>
      </c>
      <c r="N119" s="329">
        <v>9</v>
      </c>
      <c r="O119" s="330">
        <v>9518845970</v>
      </c>
      <c r="P119" s="328" t="s">
        <v>6237</v>
      </c>
    </row>
    <row r="120" spans="3:17" ht="15.75" thickBot="1" x14ac:dyDescent="0.3">
      <c r="C120" s="342" t="s">
        <v>10</v>
      </c>
      <c r="D120" s="343" t="s">
        <v>116</v>
      </c>
      <c r="E120" s="343" t="s">
        <v>338</v>
      </c>
      <c r="F120" s="343" t="s">
        <v>348</v>
      </c>
      <c r="G120" s="343" t="s">
        <v>340</v>
      </c>
      <c r="H120" s="343" t="s">
        <v>368</v>
      </c>
      <c r="I120" s="343">
        <v>1.6</v>
      </c>
      <c r="J120" s="343">
        <v>6000</v>
      </c>
      <c r="K120" s="343">
        <v>6</v>
      </c>
      <c r="L120" s="343">
        <v>789</v>
      </c>
      <c r="M120" s="343">
        <v>1940925</v>
      </c>
      <c r="N120" s="344">
        <v>7.5</v>
      </c>
      <c r="O120" s="330">
        <v>9518845970</v>
      </c>
      <c r="P120" s="328" t="s">
        <v>6237</v>
      </c>
    </row>
    <row r="121" spans="3:17" ht="15.75" thickBot="1" x14ac:dyDescent="0.3">
      <c r="C121" s="337"/>
      <c r="D121" s="337"/>
      <c r="E121" s="337"/>
      <c r="F121" s="337"/>
      <c r="G121" s="337"/>
      <c r="H121" s="337"/>
      <c r="I121" s="337"/>
      <c r="J121" s="345" t="s">
        <v>372</v>
      </c>
      <c r="K121" s="346"/>
      <c r="L121" s="346"/>
      <c r="M121" s="346"/>
      <c r="N121" s="346">
        <v>383</v>
      </c>
      <c r="O121" s="337"/>
      <c r="P121" s="337"/>
    </row>
    <row r="126" spans="3:17" ht="15.75" thickBot="1" x14ac:dyDescent="0.3"/>
    <row r="127" spans="3:17" ht="51.75" thickBot="1" x14ac:dyDescent="0.3">
      <c r="C127" s="376" t="s">
        <v>2</v>
      </c>
      <c r="D127" s="377"/>
      <c r="E127" s="377" t="s">
        <v>258</v>
      </c>
      <c r="F127" s="378" t="s">
        <v>6234</v>
      </c>
      <c r="G127" s="378" t="s">
        <v>314</v>
      </c>
      <c r="H127" s="377" t="s">
        <v>315</v>
      </c>
      <c r="I127" s="377" t="s">
        <v>316</v>
      </c>
      <c r="J127" s="377" t="s">
        <v>318</v>
      </c>
      <c r="K127" s="377" t="s">
        <v>319</v>
      </c>
      <c r="L127" s="378" t="s">
        <v>320</v>
      </c>
      <c r="M127" s="377" t="s">
        <v>322</v>
      </c>
      <c r="N127" s="326" t="s">
        <v>323</v>
      </c>
      <c r="O127" s="379" t="s">
        <v>6257</v>
      </c>
      <c r="P127" s="379" t="s">
        <v>6258</v>
      </c>
      <c r="Q127" s="379" t="s">
        <v>378</v>
      </c>
    </row>
    <row r="128" spans="3:17" ht="15.75" thickBot="1" x14ac:dyDescent="0.3">
      <c r="C128" s="330" t="s">
        <v>341</v>
      </c>
      <c r="D128" s="328">
        <v>943210</v>
      </c>
      <c r="E128" s="328" t="s">
        <v>342</v>
      </c>
      <c r="F128" s="328" t="s">
        <v>344</v>
      </c>
      <c r="G128" s="328" t="s">
        <v>348</v>
      </c>
      <c r="H128" s="328" t="s">
        <v>349</v>
      </c>
      <c r="I128" s="328">
        <v>45</v>
      </c>
      <c r="J128" s="328">
        <v>1.4</v>
      </c>
      <c r="K128" s="328">
        <v>6400</v>
      </c>
      <c r="L128" s="328">
        <v>6.42</v>
      </c>
      <c r="M128" s="328">
        <v>789</v>
      </c>
      <c r="N128" s="328">
        <v>3502343</v>
      </c>
      <c r="O128" s="336">
        <v>15</v>
      </c>
      <c r="P128" s="346">
        <v>9518879720</v>
      </c>
      <c r="Q128" s="328" t="s">
        <v>6237</v>
      </c>
    </row>
    <row r="129" spans="3:17" ht="15.75" thickBot="1" x14ac:dyDescent="0.3">
      <c r="C129" s="330" t="s">
        <v>341</v>
      </c>
      <c r="D129" s="328">
        <v>943210</v>
      </c>
      <c r="E129" s="328" t="s">
        <v>342</v>
      </c>
      <c r="F129" s="328" t="s">
        <v>344</v>
      </c>
      <c r="G129" s="328" t="s">
        <v>348</v>
      </c>
      <c r="H129" s="328" t="s">
        <v>349</v>
      </c>
      <c r="I129" s="328">
        <v>45</v>
      </c>
      <c r="J129" s="328">
        <v>1.6</v>
      </c>
      <c r="K129" s="328">
        <v>6400</v>
      </c>
      <c r="L129" s="328">
        <v>6.42</v>
      </c>
      <c r="M129" s="328">
        <v>789</v>
      </c>
      <c r="N129" s="328">
        <v>3502388</v>
      </c>
      <c r="O129" s="336">
        <v>15</v>
      </c>
      <c r="P129" s="346">
        <v>9518879720</v>
      </c>
      <c r="Q129" s="328" t="s">
        <v>6237</v>
      </c>
    </row>
    <row r="130" spans="3:17" ht="15.75" thickBot="1" x14ac:dyDescent="0.3">
      <c r="C130" s="330" t="s">
        <v>10</v>
      </c>
      <c r="D130" s="328">
        <v>943209</v>
      </c>
      <c r="E130" s="328" t="s">
        <v>116</v>
      </c>
      <c r="F130" s="328" t="s">
        <v>338</v>
      </c>
      <c r="G130" s="328" t="s">
        <v>339</v>
      </c>
      <c r="H130" s="328" t="s">
        <v>340</v>
      </c>
      <c r="I130" s="328">
        <v>12.7</v>
      </c>
      <c r="J130" s="328">
        <v>1.2</v>
      </c>
      <c r="K130" s="328">
        <v>6000</v>
      </c>
      <c r="L130" s="328">
        <v>6</v>
      </c>
      <c r="M130" s="328">
        <v>789</v>
      </c>
      <c r="N130" s="328">
        <v>1939985</v>
      </c>
      <c r="O130" s="336">
        <v>10</v>
      </c>
      <c r="P130" s="346">
        <v>9518879708</v>
      </c>
      <c r="Q130" s="328" t="s">
        <v>6237</v>
      </c>
    </row>
    <row r="131" spans="3:17" ht="15.75" thickBot="1" x14ac:dyDescent="0.3">
      <c r="C131" s="330" t="s">
        <v>10</v>
      </c>
      <c r="D131" s="328">
        <v>943209</v>
      </c>
      <c r="E131" s="328" t="s">
        <v>343</v>
      </c>
      <c r="F131" s="328" t="s">
        <v>338</v>
      </c>
      <c r="G131" s="328" t="s">
        <v>339</v>
      </c>
      <c r="H131" s="328" t="s">
        <v>340</v>
      </c>
      <c r="I131" s="328">
        <v>18.2</v>
      </c>
      <c r="J131" s="328">
        <v>1</v>
      </c>
      <c r="K131" s="328">
        <v>6000</v>
      </c>
      <c r="L131" s="328">
        <v>6</v>
      </c>
      <c r="M131" s="328">
        <v>789</v>
      </c>
      <c r="N131" s="328">
        <v>2288945</v>
      </c>
      <c r="O131" s="336">
        <v>10</v>
      </c>
      <c r="P131" s="346">
        <v>9518879708</v>
      </c>
      <c r="Q131" s="328" t="s">
        <v>6237</v>
      </c>
    </row>
    <row r="132" spans="3:17" ht="15.75" thickBot="1" x14ac:dyDescent="0.3">
      <c r="C132" s="330" t="s">
        <v>10</v>
      </c>
      <c r="D132" s="328">
        <v>943209</v>
      </c>
      <c r="E132" s="328"/>
      <c r="F132" s="328" t="s">
        <v>338</v>
      </c>
      <c r="G132" s="328" t="s">
        <v>339</v>
      </c>
      <c r="H132" s="328" t="s">
        <v>340</v>
      </c>
      <c r="I132" s="328">
        <v>21.4</v>
      </c>
      <c r="J132" s="328">
        <v>1.6</v>
      </c>
      <c r="K132" s="328">
        <v>6000</v>
      </c>
      <c r="L132" s="328"/>
      <c r="M132" s="328">
        <v>789</v>
      </c>
      <c r="N132" s="328">
        <v>3219710</v>
      </c>
      <c r="O132" s="336">
        <v>10</v>
      </c>
      <c r="P132" s="346">
        <v>9518879708</v>
      </c>
      <c r="Q132" s="328" t="s">
        <v>6237</v>
      </c>
    </row>
    <row r="133" spans="3:17" ht="15.75" thickBot="1" x14ac:dyDescent="0.3">
      <c r="C133" s="380" t="s">
        <v>10</v>
      </c>
      <c r="D133" s="328">
        <v>943209</v>
      </c>
      <c r="E133" s="334" t="s">
        <v>116</v>
      </c>
      <c r="F133" s="334" t="s">
        <v>338</v>
      </c>
      <c r="G133" s="334" t="s">
        <v>348</v>
      </c>
      <c r="H133" s="334" t="s">
        <v>340</v>
      </c>
      <c r="I133" s="334">
        <v>31.75</v>
      </c>
      <c r="J133" s="334">
        <v>1.2</v>
      </c>
      <c r="K133" s="334">
        <v>6070</v>
      </c>
      <c r="L133" s="334">
        <v>5.92</v>
      </c>
      <c r="M133" s="334">
        <v>56</v>
      </c>
      <c r="N133" s="328">
        <v>3884381</v>
      </c>
      <c r="O133" s="350">
        <v>10</v>
      </c>
      <c r="P133" s="346">
        <v>9518879765</v>
      </c>
      <c r="Q133" s="328" t="s">
        <v>6237</v>
      </c>
    </row>
    <row r="134" spans="3:17" ht="15.75" thickBot="1" x14ac:dyDescent="0.3">
      <c r="C134" s="380" t="s">
        <v>10</v>
      </c>
      <c r="D134" s="328">
        <v>943209</v>
      </c>
      <c r="E134" s="334" t="s">
        <v>346</v>
      </c>
      <c r="F134" s="334" t="s">
        <v>338</v>
      </c>
      <c r="G134" s="334" t="s">
        <v>348</v>
      </c>
      <c r="H134" s="334" t="s">
        <v>340</v>
      </c>
      <c r="I134" s="334">
        <v>38.1</v>
      </c>
      <c r="J134" s="334">
        <v>2</v>
      </c>
      <c r="K134" s="334">
        <v>5950</v>
      </c>
      <c r="L134" s="334">
        <v>5.95</v>
      </c>
      <c r="M134" s="334">
        <v>789</v>
      </c>
      <c r="N134" s="334">
        <v>3533165</v>
      </c>
      <c r="O134" s="336">
        <v>10</v>
      </c>
      <c r="P134" s="346">
        <v>9518879708</v>
      </c>
      <c r="Q134" s="328" t="s">
        <v>6237</v>
      </c>
    </row>
    <row r="135" spans="3:17" ht="15.75" thickBot="1" x14ac:dyDescent="0.3">
      <c r="C135" s="330" t="s">
        <v>10</v>
      </c>
      <c r="D135" s="328">
        <v>943209</v>
      </c>
      <c r="E135" s="328"/>
      <c r="F135" s="328" t="s">
        <v>340</v>
      </c>
      <c r="G135" s="328"/>
      <c r="H135" s="328" t="s">
        <v>340</v>
      </c>
      <c r="I135" s="328" t="s">
        <v>365</v>
      </c>
      <c r="J135" s="328">
        <v>1.6</v>
      </c>
      <c r="K135" s="328">
        <v>5930</v>
      </c>
      <c r="L135" s="328"/>
      <c r="M135" s="328">
        <v>789</v>
      </c>
      <c r="N135" s="328">
        <v>3925391</v>
      </c>
      <c r="O135" s="336">
        <v>20</v>
      </c>
      <c r="P135" s="346">
        <v>9518879708</v>
      </c>
      <c r="Q135" s="328" t="s">
        <v>6237</v>
      </c>
    </row>
    <row r="136" spans="3:17" ht="15.75" thickBot="1" x14ac:dyDescent="0.3">
      <c r="C136" s="381"/>
      <c r="D136" s="382"/>
      <c r="E136" s="382"/>
      <c r="F136" s="382"/>
      <c r="G136" s="382"/>
      <c r="H136" s="382"/>
      <c r="I136" s="382"/>
      <c r="J136" s="382"/>
      <c r="K136" s="346" t="s">
        <v>372</v>
      </c>
      <c r="L136" s="346"/>
      <c r="M136" s="346"/>
      <c r="N136" s="346"/>
      <c r="O136" s="346">
        <v>100</v>
      </c>
      <c r="P136" s="337"/>
      <c r="Q136" s="337"/>
    </row>
    <row r="137" spans="3:17" x14ac:dyDescent="0.25">
      <c r="C137" s="347"/>
      <c r="D137" s="347"/>
      <c r="E137" s="337"/>
      <c r="F137" s="337"/>
      <c r="G137" s="337"/>
      <c r="H137" s="337"/>
      <c r="I137" s="337"/>
      <c r="J137" s="337"/>
      <c r="K137" s="337"/>
      <c r="L137" s="337"/>
      <c r="M137" s="337"/>
      <c r="N137" s="337"/>
      <c r="O137" s="337"/>
      <c r="P137" s="337"/>
      <c r="Q137" s="337"/>
    </row>
    <row r="138" spans="3:17" ht="15.75" thickBot="1" x14ac:dyDescent="0.3">
      <c r="C138" s="347"/>
      <c r="D138" s="347"/>
      <c r="E138" s="337"/>
      <c r="F138" s="337"/>
      <c r="G138" s="337"/>
      <c r="H138" s="337"/>
      <c r="I138" s="337"/>
      <c r="J138" s="337"/>
      <c r="K138" s="337"/>
      <c r="L138" s="337"/>
      <c r="M138" s="337"/>
      <c r="N138" s="337"/>
      <c r="O138" s="337"/>
      <c r="P138" s="337"/>
      <c r="Q138" s="337"/>
    </row>
    <row r="139" spans="3:17" ht="51.75" thickBot="1" x14ac:dyDescent="0.3">
      <c r="C139" s="376" t="s">
        <v>2</v>
      </c>
      <c r="D139" s="377"/>
      <c r="E139" s="377" t="s">
        <v>258</v>
      </c>
      <c r="F139" s="378" t="s">
        <v>6234</v>
      </c>
      <c r="G139" s="378" t="s">
        <v>314</v>
      </c>
      <c r="H139" s="377" t="s">
        <v>315</v>
      </c>
      <c r="I139" s="377" t="s">
        <v>316</v>
      </c>
      <c r="J139" s="377" t="s">
        <v>318</v>
      </c>
      <c r="K139" s="377" t="s">
        <v>319</v>
      </c>
      <c r="L139" s="378" t="s">
        <v>320</v>
      </c>
      <c r="M139" s="377" t="s">
        <v>322</v>
      </c>
      <c r="N139" s="326" t="s">
        <v>323</v>
      </c>
      <c r="O139" s="379" t="s">
        <v>6259</v>
      </c>
      <c r="P139" s="379" t="s">
        <v>6258</v>
      </c>
      <c r="Q139" s="379" t="s">
        <v>378</v>
      </c>
    </row>
    <row r="140" spans="3:17" ht="15.75" thickBot="1" x14ac:dyDescent="0.3">
      <c r="C140" s="383" t="s">
        <v>341</v>
      </c>
      <c r="D140" s="328">
        <v>943210</v>
      </c>
      <c r="E140" s="384" t="s">
        <v>338</v>
      </c>
      <c r="F140" s="384" t="s">
        <v>338</v>
      </c>
      <c r="G140" s="384" t="s">
        <v>348</v>
      </c>
      <c r="H140" s="384" t="s">
        <v>338</v>
      </c>
      <c r="I140" s="384">
        <v>25.4</v>
      </c>
      <c r="J140" s="384">
        <v>1.4</v>
      </c>
      <c r="K140" s="384">
        <v>5531</v>
      </c>
      <c r="L140" s="384">
        <v>5.5309999999999997</v>
      </c>
      <c r="M140" s="384">
        <v>789</v>
      </c>
      <c r="N140" s="384">
        <v>3557792</v>
      </c>
      <c r="O140" s="328">
        <v>20</v>
      </c>
      <c r="P140" s="346">
        <v>9518879672</v>
      </c>
      <c r="Q140" s="328" t="s">
        <v>6237</v>
      </c>
    </row>
    <row r="141" spans="3:17" ht="15.75" thickBot="1" x14ac:dyDescent="0.3">
      <c r="C141" s="380" t="s">
        <v>10</v>
      </c>
      <c r="D141" s="328">
        <v>943209</v>
      </c>
      <c r="E141" s="334" t="s">
        <v>346</v>
      </c>
      <c r="F141" s="334" t="s">
        <v>338</v>
      </c>
      <c r="G141" s="334" t="s">
        <v>339</v>
      </c>
      <c r="H141" s="334" t="s">
        <v>340</v>
      </c>
      <c r="I141" s="334">
        <v>19.05</v>
      </c>
      <c r="J141" s="334">
        <v>2.2999999999999998</v>
      </c>
      <c r="K141" s="334">
        <v>7000</v>
      </c>
      <c r="L141" s="334">
        <v>7</v>
      </c>
      <c r="M141" s="334">
        <v>56</v>
      </c>
      <c r="N141" s="334">
        <v>3500582</v>
      </c>
      <c r="O141" s="328">
        <v>20</v>
      </c>
      <c r="P141" s="346">
        <v>9518879623</v>
      </c>
      <c r="Q141" s="328" t="s">
        <v>6237</v>
      </c>
    </row>
    <row r="142" spans="3:17" ht="15.75" thickBot="1" x14ac:dyDescent="0.3">
      <c r="C142" s="380" t="s">
        <v>10</v>
      </c>
      <c r="D142" s="328">
        <v>943209</v>
      </c>
      <c r="E142" s="334" t="s">
        <v>116</v>
      </c>
      <c r="F142" s="334" t="s">
        <v>338</v>
      </c>
      <c r="G142" s="334" t="s">
        <v>339</v>
      </c>
      <c r="H142" s="334" t="s">
        <v>340</v>
      </c>
      <c r="I142" s="334">
        <v>22.2</v>
      </c>
      <c r="J142" s="334">
        <v>1.2</v>
      </c>
      <c r="K142" s="334">
        <v>5870</v>
      </c>
      <c r="L142" s="334">
        <v>5.87</v>
      </c>
      <c r="M142" s="334">
        <v>56</v>
      </c>
      <c r="N142" s="334">
        <v>3882110</v>
      </c>
      <c r="O142" s="328">
        <v>20</v>
      </c>
      <c r="P142" s="346">
        <v>9518879623</v>
      </c>
      <c r="Q142" s="328" t="s">
        <v>6237</v>
      </c>
    </row>
    <row r="143" spans="3:17" ht="15.75" thickBot="1" x14ac:dyDescent="0.3">
      <c r="C143" s="380" t="s">
        <v>10</v>
      </c>
      <c r="D143" s="328">
        <v>943209</v>
      </c>
      <c r="E143" s="334" t="s">
        <v>116</v>
      </c>
      <c r="F143" s="334" t="s">
        <v>338</v>
      </c>
      <c r="G143" s="334" t="s">
        <v>339</v>
      </c>
      <c r="H143" s="334" t="s">
        <v>340</v>
      </c>
      <c r="I143" s="334">
        <v>22.2</v>
      </c>
      <c r="J143" s="334">
        <v>2</v>
      </c>
      <c r="K143" s="334">
        <v>5950</v>
      </c>
      <c r="L143" s="334">
        <v>5.95</v>
      </c>
      <c r="M143" s="334">
        <v>56</v>
      </c>
      <c r="N143" s="334">
        <v>3905466</v>
      </c>
      <c r="O143" s="328">
        <v>30</v>
      </c>
      <c r="P143" s="346">
        <v>9518879623</v>
      </c>
      <c r="Q143" s="328" t="s">
        <v>6237</v>
      </c>
    </row>
    <row r="144" spans="3:17" ht="15.75" thickBot="1" x14ac:dyDescent="0.3">
      <c r="C144" s="380" t="s">
        <v>10</v>
      </c>
      <c r="D144" s="328">
        <v>943209</v>
      </c>
      <c r="E144" s="334" t="s">
        <v>116</v>
      </c>
      <c r="F144" s="334" t="s">
        <v>338</v>
      </c>
      <c r="G144" s="334" t="s">
        <v>339</v>
      </c>
      <c r="H144" s="334" t="s">
        <v>340</v>
      </c>
      <c r="I144" s="334">
        <v>22.2</v>
      </c>
      <c r="J144" s="334">
        <v>2</v>
      </c>
      <c r="K144" s="334">
        <v>5100</v>
      </c>
      <c r="L144" s="334">
        <v>5.0999999999999996</v>
      </c>
      <c r="M144" s="334">
        <v>56</v>
      </c>
      <c r="N144" s="334">
        <v>3500554</v>
      </c>
      <c r="O144" s="328">
        <v>20</v>
      </c>
      <c r="P144" s="346">
        <v>9518879623</v>
      </c>
      <c r="Q144" s="328" t="s">
        <v>6237</v>
      </c>
    </row>
    <row r="145" spans="3:17" ht="15.75" thickBot="1" x14ac:dyDescent="0.3">
      <c r="C145" s="380" t="s">
        <v>10</v>
      </c>
      <c r="D145" s="328">
        <v>943209</v>
      </c>
      <c r="E145" s="334" t="s">
        <v>116</v>
      </c>
      <c r="F145" s="334" t="s">
        <v>344</v>
      </c>
      <c r="G145" s="334" t="s">
        <v>348</v>
      </c>
      <c r="H145" s="334" t="s">
        <v>349</v>
      </c>
      <c r="I145" s="334">
        <v>22.2</v>
      </c>
      <c r="J145" s="334">
        <v>2</v>
      </c>
      <c r="K145" s="334">
        <v>6000</v>
      </c>
      <c r="L145" s="334">
        <v>6000</v>
      </c>
      <c r="M145" s="334">
        <v>56</v>
      </c>
      <c r="N145" s="334">
        <v>3502494</v>
      </c>
      <c r="O145" s="328">
        <v>30</v>
      </c>
      <c r="P145" s="346">
        <v>9518879623</v>
      </c>
      <c r="Q145" s="328" t="s">
        <v>6237</v>
      </c>
    </row>
    <row r="146" spans="3:17" ht="15.75" thickBot="1" x14ac:dyDescent="0.3">
      <c r="C146" s="380" t="s">
        <v>10</v>
      </c>
      <c r="D146" s="328">
        <v>943209</v>
      </c>
      <c r="E146" s="334" t="s">
        <v>116</v>
      </c>
      <c r="F146" s="334" t="s">
        <v>338</v>
      </c>
      <c r="G146" s="334" t="s">
        <v>339</v>
      </c>
      <c r="H146" s="334" t="s">
        <v>340</v>
      </c>
      <c r="I146" s="334">
        <v>25.4</v>
      </c>
      <c r="J146" s="334">
        <v>1.6</v>
      </c>
      <c r="K146" s="334">
        <v>6000</v>
      </c>
      <c r="L146" s="334">
        <v>6</v>
      </c>
      <c r="M146" s="334">
        <v>56</v>
      </c>
      <c r="N146" s="334">
        <v>3500097</v>
      </c>
      <c r="O146" s="328">
        <v>20</v>
      </c>
      <c r="P146" s="346">
        <v>9518879623</v>
      </c>
      <c r="Q146" s="328" t="s">
        <v>6237</v>
      </c>
    </row>
    <row r="147" spans="3:17" ht="15.75" thickBot="1" x14ac:dyDescent="0.3">
      <c r="C147" s="380" t="s">
        <v>10</v>
      </c>
      <c r="D147" s="328">
        <v>943209</v>
      </c>
      <c r="E147" s="334" t="s">
        <v>116</v>
      </c>
      <c r="F147" s="334" t="s">
        <v>338</v>
      </c>
      <c r="G147" s="334" t="s">
        <v>339</v>
      </c>
      <c r="H147" s="334" t="s">
        <v>340</v>
      </c>
      <c r="I147" s="334">
        <v>25.4</v>
      </c>
      <c r="J147" s="334">
        <v>2.5</v>
      </c>
      <c r="K147" s="334">
        <v>5530</v>
      </c>
      <c r="L147" s="334">
        <v>5.53</v>
      </c>
      <c r="M147" s="334">
        <v>56</v>
      </c>
      <c r="N147" s="334">
        <v>3502256</v>
      </c>
      <c r="O147" s="328">
        <v>40</v>
      </c>
      <c r="P147" s="346">
        <v>9518879623</v>
      </c>
      <c r="Q147" s="328" t="s">
        <v>6237</v>
      </c>
    </row>
    <row r="148" spans="3:17" ht="15.75" thickBot="1" x14ac:dyDescent="0.3">
      <c r="C148" s="380" t="s">
        <v>10</v>
      </c>
      <c r="D148" s="328">
        <v>943209</v>
      </c>
      <c r="E148" s="334" t="s">
        <v>346</v>
      </c>
      <c r="F148" s="334" t="s">
        <v>360</v>
      </c>
      <c r="G148" s="334" t="s">
        <v>348</v>
      </c>
      <c r="H148" s="334" t="s">
        <v>349</v>
      </c>
      <c r="I148" s="334">
        <v>38.1</v>
      </c>
      <c r="J148" s="334">
        <v>1.6</v>
      </c>
      <c r="K148" s="334">
        <v>6190</v>
      </c>
      <c r="L148" s="334">
        <v>6.19</v>
      </c>
      <c r="M148" s="334">
        <v>56</v>
      </c>
      <c r="N148" s="334">
        <v>3502254</v>
      </c>
      <c r="O148" s="328">
        <v>10</v>
      </c>
      <c r="P148" s="346">
        <v>9518879623</v>
      </c>
      <c r="Q148" s="328" t="s">
        <v>6237</v>
      </c>
    </row>
    <row r="149" spans="3:17" ht="15.75" thickBot="1" x14ac:dyDescent="0.3">
      <c r="C149" s="380" t="s">
        <v>10</v>
      </c>
      <c r="D149" s="328">
        <v>943209</v>
      </c>
      <c r="E149" s="334" t="s">
        <v>346</v>
      </c>
      <c r="F149" s="334" t="s">
        <v>344</v>
      </c>
      <c r="G149" s="334" t="s">
        <v>348</v>
      </c>
      <c r="H149" s="334" t="s">
        <v>349</v>
      </c>
      <c r="I149" s="334">
        <v>38.1</v>
      </c>
      <c r="J149" s="334">
        <v>2.5</v>
      </c>
      <c r="K149" s="334">
        <v>6190</v>
      </c>
      <c r="L149" s="334">
        <v>6.19</v>
      </c>
      <c r="M149" s="334">
        <v>56</v>
      </c>
      <c r="N149" s="334">
        <v>3502007</v>
      </c>
      <c r="O149" s="328">
        <v>10</v>
      </c>
      <c r="P149" s="346">
        <v>9518879623</v>
      </c>
      <c r="Q149" s="328" t="s">
        <v>6237</v>
      </c>
    </row>
    <row r="150" spans="3:17" ht="15.75" thickBot="1" x14ac:dyDescent="0.3">
      <c r="C150" s="380" t="s">
        <v>10</v>
      </c>
      <c r="D150" s="328">
        <v>943209</v>
      </c>
      <c r="E150" s="334" t="s">
        <v>346</v>
      </c>
      <c r="F150" s="334" t="s">
        <v>338</v>
      </c>
      <c r="G150" s="334" t="s">
        <v>348</v>
      </c>
      <c r="H150" s="334" t="s">
        <v>340</v>
      </c>
      <c r="I150" s="334">
        <v>57.15</v>
      </c>
      <c r="J150" s="334">
        <v>2.5</v>
      </c>
      <c r="K150" s="334">
        <v>5710</v>
      </c>
      <c r="L150" s="334">
        <v>5.71</v>
      </c>
      <c r="M150" s="334">
        <v>56</v>
      </c>
      <c r="N150" s="334">
        <v>3907863</v>
      </c>
      <c r="O150" s="328">
        <v>20</v>
      </c>
      <c r="P150" s="346">
        <v>9518879623</v>
      </c>
      <c r="Q150" s="328" t="s">
        <v>6237</v>
      </c>
    </row>
    <row r="151" spans="3:17" ht="15.75" thickBot="1" x14ac:dyDescent="0.3">
      <c r="C151" s="380" t="s">
        <v>10</v>
      </c>
      <c r="D151" s="328">
        <v>943209</v>
      </c>
      <c r="E151" s="334" t="s">
        <v>346</v>
      </c>
      <c r="F151" s="334" t="s">
        <v>338</v>
      </c>
      <c r="G151" s="334" t="s">
        <v>348</v>
      </c>
      <c r="H151" s="334" t="s">
        <v>340</v>
      </c>
      <c r="I151" s="334">
        <v>57.15</v>
      </c>
      <c r="J151" s="334">
        <v>2.5</v>
      </c>
      <c r="K151" s="334">
        <v>5950</v>
      </c>
      <c r="L151" s="334"/>
      <c r="M151" s="334">
        <v>56</v>
      </c>
      <c r="N151" s="341">
        <v>4045220</v>
      </c>
      <c r="O151" s="328">
        <v>20</v>
      </c>
      <c r="P151" s="346">
        <v>9518879623</v>
      </c>
      <c r="Q151" s="328" t="s">
        <v>6237</v>
      </c>
    </row>
    <row r="152" spans="3:17" ht="15.75" thickBot="1" x14ac:dyDescent="0.3">
      <c r="C152" s="330" t="s">
        <v>10</v>
      </c>
      <c r="D152" s="328">
        <v>943209</v>
      </c>
      <c r="E152" s="328" t="s">
        <v>346</v>
      </c>
      <c r="F152" s="328" t="s">
        <v>338</v>
      </c>
      <c r="G152" s="328" t="s">
        <v>348</v>
      </c>
      <c r="H152" s="328" t="s">
        <v>340</v>
      </c>
      <c r="I152" s="328">
        <v>57.15</v>
      </c>
      <c r="J152" s="328">
        <v>2.5</v>
      </c>
      <c r="K152" s="328">
        <v>5750</v>
      </c>
      <c r="L152" s="328">
        <v>5.75</v>
      </c>
      <c r="M152" s="328">
        <v>56</v>
      </c>
      <c r="N152" s="328">
        <v>3501047</v>
      </c>
      <c r="O152" s="328">
        <v>20</v>
      </c>
      <c r="P152" s="346">
        <v>9518879623</v>
      </c>
      <c r="Q152" s="328" t="s">
        <v>6237</v>
      </c>
    </row>
    <row r="153" spans="3:17" ht="15.75" thickBot="1" x14ac:dyDescent="0.3">
      <c r="C153" s="381"/>
      <c r="D153" s="382"/>
      <c r="E153" s="382"/>
      <c r="F153" s="382"/>
      <c r="G153" s="382"/>
      <c r="H153" s="382"/>
      <c r="I153" s="382"/>
      <c r="J153" s="382"/>
      <c r="K153" s="346" t="s">
        <v>372</v>
      </c>
      <c r="L153" s="346"/>
      <c r="M153" s="346"/>
      <c r="N153" s="346"/>
      <c r="O153" s="346">
        <v>280</v>
      </c>
      <c r="P153" s="337"/>
      <c r="Q153" s="337"/>
    </row>
  </sheetData>
  <mergeCells count="14">
    <mergeCell ref="O96:O98"/>
    <mergeCell ref="P96:P98"/>
    <mergeCell ref="I96:I98"/>
    <mergeCell ref="J96:J98"/>
    <mergeCell ref="K96:K98"/>
    <mergeCell ref="L96:L98"/>
    <mergeCell ref="M96:M98"/>
    <mergeCell ref="N96:N98"/>
    <mergeCell ref="H96:H98"/>
    <mergeCell ref="C96:C98"/>
    <mergeCell ref="D96:D98"/>
    <mergeCell ref="E96:E98"/>
    <mergeCell ref="F96:F98"/>
    <mergeCell ref="G96:G98"/>
  </mergeCells>
  <conditionalFormatting sqref="K3:K68">
    <cfRule type="duplicateValues" dxfId="58" priority="1"/>
  </conditionalFormatting>
  <conditionalFormatting sqref="K3:M3 K4:L68 M4:M69">
    <cfRule type="duplicateValues" dxfId="57" priority="292"/>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765C-3F14-471A-B2EF-3C0FA4D1C96D}">
  <sheetPr codeName="Sheet48">
    <tabColor rgb="FF00B0F0"/>
  </sheetPr>
  <dimension ref="A1:AS255"/>
  <sheetViews>
    <sheetView topLeftCell="G1" workbookViewId="0">
      <pane ySplit="1" topLeftCell="A59" activePane="bottomLeft" state="frozen"/>
      <selection activeCell="M1" sqref="M1:U1"/>
      <selection pane="bottomLeft" activeCell="M1" sqref="M1:U1"/>
    </sheetView>
  </sheetViews>
  <sheetFormatPr defaultColWidth="8" defaultRowHeight="15" outlineLevelCol="1" x14ac:dyDescent="0.25"/>
  <cols>
    <col min="6" max="6" width="7.28515625" customWidth="1"/>
    <col min="7" max="7" width="19.140625" bestFit="1" customWidth="1"/>
    <col min="8" max="8" width="42.85546875" bestFit="1" customWidth="1"/>
    <col min="10" max="10" width="5.42578125" customWidth="1"/>
    <col min="11" max="11" width="6.140625" customWidth="1" outlineLevel="1"/>
    <col min="12" max="12" width="12.28515625" customWidth="1" outlineLevel="1"/>
    <col min="13" max="13" width="23.7109375" customWidth="1" outlineLevel="1"/>
    <col min="14" max="14" width="22.42578125" customWidth="1" outlineLevel="1"/>
    <col min="15" max="15" width="27.140625" customWidth="1" outlineLevel="1"/>
    <col min="16" max="16" width="11" customWidth="1"/>
    <col min="17" max="18" width="8" customWidth="1" outlineLevel="1"/>
    <col min="19" max="19" width="8" style="199" customWidth="1" outlineLevel="1"/>
    <col min="22" max="22" width="8" customWidth="1"/>
    <col min="23" max="26" width="8" customWidth="1" outlineLevel="1"/>
    <col min="27" max="27" width="8" style="162" customWidth="1" outlineLevel="1"/>
    <col min="28" max="28" width="8" style="174" customWidth="1" outlineLevel="1"/>
    <col min="29" max="32" width="8" customWidth="1" outlineLevel="1"/>
  </cols>
  <sheetData>
    <row r="1" spans="1:36" ht="24" customHeight="1" x14ac:dyDescent="0.25">
      <c r="A1" s="410" t="s">
        <v>2</v>
      </c>
      <c r="B1" s="395" t="s">
        <v>258</v>
      </c>
      <c r="C1" s="394" t="s">
        <v>313</v>
      </c>
      <c r="D1" s="395" t="s">
        <v>314</v>
      </c>
      <c r="E1" s="395" t="s">
        <v>315</v>
      </c>
      <c r="F1" s="411" t="s">
        <v>316</v>
      </c>
      <c r="G1" s="411" t="s">
        <v>317</v>
      </c>
      <c r="H1" s="411" t="s">
        <v>318</v>
      </c>
      <c r="I1" s="395" t="s">
        <v>319</v>
      </c>
      <c r="J1" s="395" t="s">
        <v>320</v>
      </c>
      <c r="K1" s="395" t="s">
        <v>6260</v>
      </c>
      <c r="L1" s="395" t="s">
        <v>6228</v>
      </c>
      <c r="M1" s="395" t="s">
        <v>202</v>
      </c>
      <c r="N1" s="395" t="s">
        <v>261</v>
      </c>
      <c r="O1" s="395" t="s">
        <v>321</v>
      </c>
      <c r="P1" s="395" t="s">
        <v>6261</v>
      </c>
      <c r="Q1" s="395" t="s">
        <v>6262</v>
      </c>
      <c r="R1" s="395" t="s">
        <v>6263</v>
      </c>
      <c r="S1" s="395" t="s">
        <v>6264</v>
      </c>
      <c r="T1" s="395" t="s">
        <v>322</v>
      </c>
      <c r="U1" s="412" t="s">
        <v>323</v>
      </c>
      <c r="V1" s="413" t="s">
        <v>6265</v>
      </c>
      <c r="W1" s="395" t="s">
        <v>325</v>
      </c>
      <c r="X1" s="395" t="s">
        <v>6266</v>
      </c>
      <c r="Y1" s="395" t="s">
        <v>327</v>
      </c>
      <c r="Z1" s="395" t="s">
        <v>6267</v>
      </c>
      <c r="AA1" s="395" t="s">
        <v>329</v>
      </c>
      <c r="AB1" s="395" t="s">
        <v>330</v>
      </c>
      <c r="AC1" s="396" t="s">
        <v>6268</v>
      </c>
      <c r="AD1" s="397" t="s">
        <v>6269</v>
      </c>
      <c r="AE1" s="395" t="s">
        <v>333</v>
      </c>
      <c r="AF1" s="395" t="s">
        <v>334</v>
      </c>
      <c r="AG1" s="395" t="s">
        <v>335</v>
      </c>
      <c r="AH1" s="395" t="s">
        <v>6270</v>
      </c>
      <c r="AI1" s="395" t="s">
        <v>1806</v>
      </c>
      <c r="AJ1" s="395" t="s">
        <v>6271</v>
      </c>
    </row>
    <row r="2" spans="1:36" x14ac:dyDescent="0.25">
      <c r="A2" s="265" t="s">
        <v>10</v>
      </c>
      <c r="B2" s="147" t="s">
        <v>116</v>
      </c>
      <c r="C2" s="147" t="s">
        <v>1079</v>
      </c>
      <c r="D2" s="147" t="s">
        <v>339</v>
      </c>
      <c r="E2" s="147" t="s">
        <v>1024</v>
      </c>
      <c r="F2" s="148">
        <v>11</v>
      </c>
      <c r="G2" s="148"/>
      <c r="H2" s="148">
        <v>1.5</v>
      </c>
      <c r="I2" s="147">
        <v>6000</v>
      </c>
      <c r="J2" s="147">
        <v>6</v>
      </c>
      <c r="K2" s="147">
        <f ca="1">COUNTIF(_xlfn.ANCHORARRAY(A$74),M2)</f>
        <v>0</v>
      </c>
      <c r="L2" s="147"/>
      <c r="M2" s="147" t="str">
        <f t="shared" ref="M2:M65" si="0">_xlfn.CONCAT(F2,H2,J2,E2,D2)</f>
        <v>111.56CEW NON FIN</v>
      </c>
      <c r="N2" s="147" t="str">
        <f>VLOOKUP(aug[[#This Row],[Key]],Table2527[[#All],[ ]:[Bucket CTL]],2,0)</f>
        <v>No Key</v>
      </c>
      <c r="O2" s="147" t="str">
        <f>VLOOKUP(aug[[#This Row],[Key]],Table2527[[#All],[ ]:[Bucket CTL]],3,0)</f>
        <v>No Key</v>
      </c>
      <c r="P2" s="147"/>
      <c r="Q2" s="147" t="str">
        <f>VLOOKUP(aug[[#This Row],[Key]],Table2527[[#All],[ ]:[TSL Material Code]],4,0)</f>
        <v>0788</v>
      </c>
      <c r="R2" s="147">
        <f>VLOOKUP(aug[[#This Row],[Key]],Table2527[[#All],[ ]:[TSL Material Code]],5,0)</f>
        <v>2442390</v>
      </c>
      <c r="S2" s="147" t="b">
        <f>EXACT(aug[[#This Row],[Material code july]],aug[[#This Row],[TSL Material Code]])</f>
        <v>1</v>
      </c>
      <c r="T2" s="151" t="s">
        <v>362</v>
      </c>
      <c r="U2" s="150">
        <v>2442390</v>
      </c>
      <c r="V2" s="19">
        <v>1</v>
      </c>
      <c r="W2" s="147">
        <v>0</v>
      </c>
      <c r="X2" s="147">
        <v>0</v>
      </c>
      <c r="Y2" s="147"/>
      <c r="Z2" s="147">
        <f>X2-W2</f>
        <v>0</v>
      </c>
      <c r="AA2" s="147">
        <v>0</v>
      </c>
      <c r="AB2" s="147">
        <f>Z2+AA2</f>
        <v>0</v>
      </c>
      <c r="AC2" s="19">
        <f>V2-AB2</f>
        <v>1</v>
      </c>
      <c r="AD2" s="387">
        <f>IF(AC2&gt;0,AC2,0)</f>
        <v>1</v>
      </c>
      <c r="AE2" s="415">
        <f>SUMIFS(meghsteelsales_previousmonth[Quantity],meghsteelsales_previousmonth[Length Bucket],aug[[#This Row],[Bucket CTL]])/1000</f>
        <v>0</v>
      </c>
      <c r="AF2" s="160">
        <f>SUMIFS(meghsteelsales_currentmonth[Quantity],meghsteelsales_currentmonth[Length Bucket],aug[[#This Row],[Bucket CTL]])/1000</f>
        <v>0</v>
      </c>
      <c r="AG2" s="187">
        <f>aug[[#This Row],[order logg ]]+aug[[#This Row],[ INDENT  FOR AUG-25 recommended]]</f>
        <v>1</v>
      </c>
      <c r="AH2" s="427">
        <f>aug[[#This Row],[Before 20th]]+aug[[#This Row],[ofter 20th]]</f>
        <v>0</v>
      </c>
      <c r="AI2" s="427">
        <f>IF((aug[[#This Row],[Total Indent]]-aug[[#This Row],[Total Delivered]])&lt;0,0,aug[[#This Row],[Total Indent]]-aug[[#This Row],[Total Delivered]])</f>
        <v>1</v>
      </c>
      <c r="AJ2" s="187"/>
    </row>
    <row r="3" spans="1:36" x14ac:dyDescent="0.25">
      <c r="A3" s="265" t="s">
        <v>10</v>
      </c>
      <c r="B3" s="147" t="s">
        <v>116</v>
      </c>
      <c r="C3" s="147" t="s">
        <v>338</v>
      </c>
      <c r="D3" s="147" t="s">
        <v>339</v>
      </c>
      <c r="E3" s="147" t="s">
        <v>340</v>
      </c>
      <c r="F3" s="148">
        <v>12.7</v>
      </c>
      <c r="G3" s="148"/>
      <c r="H3" s="148">
        <v>1.2</v>
      </c>
      <c r="I3" s="147">
        <v>6000</v>
      </c>
      <c r="J3" s="147">
        <v>6</v>
      </c>
      <c r="K3" s="147">
        <f t="shared" ref="K3:K66" ca="1" si="1">COUNTIF(_xlfn.ANCHORARRAY(A$74),M3)</f>
        <v>0</v>
      </c>
      <c r="L3" s="147"/>
      <c r="M3" s="147" t="str">
        <f t="shared" si="0"/>
        <v>12.71.26ERWNON FIN</v>
      </c>
      <c r="N3" s="147" t="str">
        <f>VLOOKUP(aug[[#This Row],[Key]],Table2527[[#All],[ ]:[Bucket CTL]],2,0)</f>
        <v>No Key</v>
      </c>
      <c r="O3" s="147" t="str">
        <f>VLOOKUP(aug[[#This Row],[Key]],Table2527[[#All],[ ]:[Bucket CTL]],3,0)</f>
        <v>No Key</v>
      </c>
      <c r="P3" s="147" t="s">
        <v>6272</v>
      </c>
      <c r="Q3" s="147" t="str">
        <f>VLOOKUP(aug[[#This Row],[Key]],Table2527[[#All],[ ]:[TSL Material Code]],4,0)</f>
        <v>0789</v>
      </c>
      <c r="R3" s="147">
        <f>VLOOKUP(aug[[#This Row],[Key]],Table2527[[#All],[ ]:[TSL Material Code]],5,0)</f>
        <v>1939985</v>
      </c>
      <c r="S3" s="147" t="b">
        <f>EXACT(aug[[#This Row],[Material code july]],aug[[#This Row],[TSL Material Code]])</f>
        <v>1</v>
      </c>
      <c r="T3" s="151" t="s">
        <v>345</v>
      </c>
      <c r="U3" s="150">
        <v>1939985</v>
      </c>
      <c r="V3" s="19">
        <v>8</v>
      </c>
      <c r="W3" s="147">
        <v>0</v>
      </c>
      <c r="X3" s="147">
        <v>7</v>
      </c>
      <c r="Y3" s="147"/>
      <c r="Z3" s="147">
        <f t="shared" ref="Z3:Z68" si="2">X3-W3</f>
        <v>7</v>
      </c>
      <c r="AA3" s="147">
        <v>0</v>
      </c>
      <c r="AB3" s="147">
        <f t="shared" ref="AB3:AB68" si="3">Z3+AA3</f>
        <v>7</v>
      </c>
      <c r="AC3" s="19">
        <f t="shared" ref="AC3:AC68" si="4">V3-AB3</f>
        <v>1</v>
      </c>
      <c r="AD3" s="387">
        <f t="shared" ref="AD3:AD68" si="5">IF(AC3&gt;0,AC3,0)</f>
        <v>1</v>
      </c>
      <c r="AE3" s="416">
        <f>SUMIFS(meghsteelsales_previousmonth[Quantity],meghsteelsales_previousmonth[Length Bucket],aug[[#This Row],[Bucket CTL]])/1000</f>
        <v>0</v>
      </c>
      <c r="AF3" s="160">
        <f>SUMIFS(meghsteelsales_currentmonth[Quantity],meghsteelsales_currentmonth[Length Bucket],aug[[#This Row],[Bucket CTL]])/1000</f>
        <v>0</v>
      </c>
      <c r="AG3" s="147">
        <f>aug[[#This Row],[order logg ]]+aug[[#This Row],[ INDENT  FOR AUG-25 recommended]]</f>
        <v>1</v>
      </c>
      <c r="AH3" s="416">
        <f>aug[[#This Row],[Before 20th]]+aug[[#This Row],[ofter 20th]]</f>
        <v>0</v>
      </c>
      <c r="AI3" s="416">
        <f>IF((aug[[#This Row],[Total Indent]]-aug[[#This Row],[Total Delivered]])&lt;0,0,aug[[#This Row],[Total Indent]]-aug[[#This Row],[Total Delivered]])</f>
        <v>1</v>
      </c>
      <c r="AJ3" s="147">
        <v>4</v>
      </c>
    </row>
    <row r="4" spans="1:36" x14ac:dyDescent="0.25">
      <c r="A4" s="265" t="s">
        <v>341</v>
      </c>
      <c r="B4" s="147" t="s">
        <v>342</v>
      </c>
      <c r="C4" s="147" t="s">
        <v>338</v>
      </c>
      <c r="D4" s="147" t="s">
        <v>339</v>
      </c>
      <c r="E4" s="147" t="s">
        <v>340</v>
      </c>
      <c r="F4" s="148">
        <v>12.7</v>
      </c>
      <c r="G4" s="148"/>
      <c r="H4" s="148">
        <v>1.4</v>
      </c>
      <c r="I4" s="147">
        <v>6000</v>
      </c>
      <c r="J4" s="147">
        <v>6</v>
      </c>
      <c r="K4" s="147">
        <f t="shared" ca="1" si="1"/>
        <v>0</v>
      </c>
      <c r="L4" s="147"/>
      <c r="M4" s="147" t="str">
        <f t="shared" si="0"/>
        <v>12.71.46ERWNON FIN</v>
      </c>
      <c r="N4" s="147" t="str">
        <f>VLOOKUP(aug[[#This Row],[Key]],Table2527[[#All],[ ]:[Bucket CTL]],2,0)</f>
        <v>No Key</v>
      </c>
      <c r="O4" s="147" t="str">
        <f>VLOOKUP(aug[[#This Row],[Key]],Table2527[[#All],[ ]:[Bucket CTL]],3,0)</f>
        <v>No Key</v>
      </c>
      <c r="P4" s="147"/>
      <c r="Q4" s="147" t="str">
        <f>VLOOKUP(aug[[#This Row],[Key]],Table2527[[#All],[ ]:[TSL Material Code]],4,0)</f>
        <v>0789</v>
      </c>
      <c r="R4" s="147">
        <f>VLOOKUP(aug[[#This Row],[Key]],Table2527[[#All],[ ]:[TSL Material Code]],5,0)</f>
        <v>1931117</v>
      </c>
      <c r="S4" s="147" t="b">
        <f>EXACT(aug[[#This Row],[Material code july]],aug[[#This Row],[TSL Material Code]])</f>
        <v>1</v>
      </c>
      <c r="T4" s="151" t="s">
        <v>345</v>
      </c>
      <c r="U4" s="150">
        <v>1931117</v>
      </c>
      <c r="V4" s="19">
        <v>5</v>
      </c>
      <c r="W4" s="147">
        <v>0</v>
      </c>
      <c r="X4" s="147">
        <v>7</v>
      </c>
      <c r="Y4" s="147"/>
      <c r="Z4" s="147">
        <f t="shared" si="2"/>
        <v>7</v>
      </c>
      <c r="AA4" s="147">
        <v>0</v>
      </c>
      <c r="AB4" s="147">
        <f t="shared" si="3"/>
        <v>7</v>
      </c>
      <c r="AC4" s="19">
        <f t="shared" si="4"/>
        <v>-2</v>
      </c>
      <c r="AD4" s="387">
        <f t="shared" si="5"/>
        <v>0</v>
      </c>
      <c r="AE4" s="416">
        <f>SUMIFS(meghsteelsales_previousmonth[Quantity],meghsteelsales_previousmonth[Length Bucket],aug[[#This Row],[Bucket CTL]])/1000</f>
        <v>0</v>
      </c>
      <c r="AF4" s="160">
        <f>SUMIFS(meghsteelsales_currentmonth[Quantity],meghsteelsales_currentmonth[Length Bucket],aug[[#This Row],[Bucket CTL]])/1000</f>
        <v>0</v>
      </c>
      <c r="AG4" s="187">
        <f>aug[[#This Row],[order logg ]]+aug[[#This Row],[ INDENT  FOR AUG-25 recommended]]</f>
        <v>0</v>
      </c>
      <c r="AH4" s="427">
        <f>aug[[#This Row],[Before 20th]]+aug[[#This Row],[ofter 20th]]</f>
        <v>0</v>
      </c>
      <c r="AI4" s="427">
        <f>IF((aug[[#This Row],[Total Indent]]-aug[[#This Row],[Total Delivered]])&lt;0,0,aug[[#This Row],[Total Indent]]-aug[[#This Row],[Total Delivered]])</f>
        <v>0</v>
      </c>
      <c r="AJ4" s="187"/>
    </row>
    <row r="5" spans="1:36" x14ac:dyDescent="0.25">
      <c r="A5" s="265" t="s">
        <v>341</v>
      </c>
      <c r="B5" s="147" t="s">
        <v>342</v>
      </c>
      <c r="C5" s="147" t="s">
        <v>338</v>
      </c>
      <c r="D5" s="147" t="s">
        <v>339</v>
      </c>
      <c r="E5" s="147" t="s">
        <v>340</v>
      </c>
      <c r="F5" s="148">
        <v>12.7</v>
      </c>
      <c r="G5" s="148"/>
      <c r="H5" s="148">
        <v>1.6</v>
      </c>
      <c r="I5" s="147">
        <v>6000</v>
      </c>
      <c r="J5" s="147">
        <v>6</v>
      </c>
      <c r="K5" s="147">
        <f t="shared" ca="1" si="1"/>
        <v>0</v>
      </c>
      <c r="L5" s="147"/>
      <c r="M5" s="147" t="str">
        <f t="shared" si="0"/>
        <v>12.71.66ERWNON FIN</v>
      </c>
      <c r="N5" s="147" t="str">
        <f>VLOOKUP(aug[[#This Row],[Key]],Table2527[[#All],[ ]:[Bucket CTL]],2,0)</f>
        <v>No Key</v>
      </c>
      <c r="O5" s="147" t="str">
        <f>VLOOKUP(aug[[#This Row],[Key]],Table2527[[#All],[ ]:[Bucket CTL]],3,0)</f>
        <v>No Key</v>
      </c>
      <c r="P5" s="147"/>
      <c r="Q5" s="147" t="str">
        <f>VLOOKUP(aug[[#This Row],[Key]],Table2527[[#All],[ ]:[TSL Material Code]],4,0)</f>
        <v>0789</v>
      </c>
      <c r="R5" s="147">
        <f>VLOOKUP(aug[[#This Row],[Key]],Table2527[[#All],[ ]:[TSL Material Code]],5,0)</f>
        <v>1931154</v>
      </c>
      <c r="S5" s="147" t="b">
        <f>EXACT(aug[[#This Row],[Material code july]],aug[[#This Row],[TSL Material Code]])</f>
        <v>1</v>
      </c>
      <c r="T5" s="151" t="s">
        <v>345</v>
      </c>
      <c r="U5" s="150">
        <v>1931154</v>
      </c>
      <c r="V5" s="19">
        <v>2</v>
      </c>
      <c r="W5" s="147">
        <v>0</v>
      </c>
      <c r="X5" s="147">
        <v>4</v>
      </c>
      <c r="Y5" s="147"/>
      <c r="Z5" s="147">
        <f t="shared" si="2"/>
        <v>4</v>
      </c>
      <c r="AA5" s="147">
        <v>0</v>
      </c>
      <c r="AB5" s="147">
        <f t="shared" si="3"/>
        <v>4</v>
      </c>
      <c r="AC5" s="19">
        <f t="shared" si="4"/>
        <v>-2</v>
      </c>
      <c r="AD5" s="387">
        <f t="shared" si="5"/>
        <v>0</v>
      </c>
      <c r="AE5" s="416">
        <f>SUMIFS(meghsteelsales_previousmonth[Quantity],meghsteelsales_previousmonth[Length Bucket],aug[[#This Row],[Bucket CTL]])/1000</f>
        <v>0</v>
      </c>
      <c r="AF5" s="160">
        <f>SUMIFS(meghsteelsales_currentmonth[Quantity],meghsteelsales_currentmonth[Length Bucket],aug[[#This Row],[Bucket CTL]])/1000</f>
        <v>0</v>
      </c>
      <c r="AG5" s="187">
        <f>aug[[#This Row],[order logg ]]+aug[[#This Row],[ INDENT  FOR AUG-25 recommended]]</f>
        <v>0</v>
      </c>
      <c r="AH5" s="427">
        <f>aug[[#This Row],[Before 20th]]+aug[[#This Row],[ofter 20th]]</f>
        <v>0</v>
      </c>
      <c r="AI5" s="427">
        <f>IF((aug[[#This Row],[Total Indent]]-aug[[#This Row],[Total Delivered]])&lt;0,0,aug[[#This Row],[Total Indent]]-aug[[#This Row],[Total Delivered]])</f>
        <v>0</v>
      </c>
      <c r="AJ5" s="187"/>
    </row>
    <row r="6" spans="1:36" x14ac:dyDescent="0.25">
      <c r="A6" s="265" t="s">
        <v>10</v>
      </c>
      <c r="B6" s="147" t="s">
        <v>116</v>
      </c>
      <c r="C6" s="147" t="s">
        <v>338</v>
      </c>
      <c r="D6" s="147" t="s">
        <v>339</v>
      </c>
      <c r="E6" s="147" t="s">
        <v>340</v>
      </c>
      <c r="F6" s="148">
        <v>12.7</v>
      </c>
      <c r="G6" s="148"/>
      <c r="H6" s="148">
        <v>2</v>
      </c>
      <c r="I6" s="147">
        <v>6000</v>
      </c>
      <c r="J6" s="147">
        <v>6</v>
      </c>
      <c r="K6" s="147">
        <f t="shared" ca="1" si="1"/>
        <v>0</v>
      </c>
      <c r="L6" s="147"/>
      <c r="M6" s="147" t="str">
        <f t="shared" si="0"/>
        <v>12.726ERWNON FIN</v>
      </c>
      <c r="N6" s="147">
        <f>VLOOKUP(aug[[#This Row],[Key]],Table2527[[#All],[ ]:[Bucket CTL]],2,0)</f>
        <v>0</v>
      </c>
      <c r="O6" s="147" t="e">
        <f>VLOOKUP(aug[[#This Row],[Key]],Table2527[[#All],[ ]:[Bucket CTL]],3,0)</f>
        <v>#N/A</v>
      </c>
      <c r="P6" s="147"/>
      <c r="Q6" s="147" t="str">
        <f>VLOOKUP(aug[[#This Row],[Key]],Table2527[[#All],[ ]:[TSL Material Code]],4,0)</f>
        <v>0789</v>
      </c>
      <c r="R6" s="147">
        <f>VLOOKUP(aug[[#This Row],[Key]],Table2527[[#All],[ ]:[TSL Material Code]],5,0)</f>
        <v>236166</v>
      </c>
      <c r="S6" s="147" t="b">
        <f>EXACT(aug[[#This Row],[Material code july]],aug[[#This Row],[TSL Material Code]])</f>
        <v>1</v>
      </c>
      <c r="T6" s="151" t="s">
        <v>345</v>
      </c>
      <c r="U6" s="149">
        <v>236166</v>
      </c>
      <c r="V6" s="19">
        <v>3</v>
      </c>
      <c r="W6" s="147">
        <v>0</v>
      </c>
      <c r="X6" s="147">
        <v>0</v>
      </c>
      <c r="Y6" s="147"/>
      <c r="Z6" s="147">
        <f t="shared" si="2"/>
        <v>0</v>
      </c>
      <c r="AA6" s="147">
        <v>0</v>
      </c>
      <c r="AB6" s="147">
        <f t="shared" si="3"/>
        <v>0</v>
      </c>
      <c r="AC6" s="19">
        <f t="shared" si="4"/>
        <v>3</v>
      </c>
      <c r="AD6" s="387">
        <f t="shared" si="5"/>
        <v>3</v>
      </c>
      <c r="AE6" s="416">
        <f>SUMIFS(meghsteelsales_previousmonth[Quantity],meghsteelsales_previousmonth[Length Bucket],aug[[#This Row],[Bucket CTL]])/1000</f>
        <v>0</v>
      </c>
      <c r="AF6" s="160">
        <f>SUMIFS(meghsteelsales_currentmonth[Quantity],meghsteelsales_currentmonth[Length Bucket],aug[[#This Row],[Bucket CTL]])/1000</f>
        <v>0</v>
      </c>
      <c r="AG6" s="187">
        <f>aug[[#This Row],[order logg ]]+aug[[#This Row],[ INDENT  FOR AUG-25 recommended]]</f>
        <v>3</v>
      </c>
      <c r="AH6" s="427">
        <f>aug[[#This Row],[Before 20th]]+aug[[#This Row],[ofter 20th]]</f>
        <v>0</v>
      </c>
      <c r="AI6" s="427">
        <f>IF((aug[[#This Row],[Total Indent]]-aug[[#This Row],[Total Delivered]])&lt;0,0,aug[[#This Row],[Total Indent]]-aug[[#This Row],[Total Delivered]])</f>
        <v>3</v>
      </c>
      <c r="AJ6" s="187"/>
    </row>
    <row r="7" spans="1:36" x14ac:dyDescent="0.25">
      <c r="A7" s="265" t="s">
        <v>341</v>
      </c>
      <c r="B7" s="147" t="s">
        <v>342</v>
      </c>
      <c r="C7" s="147" t="s">
        <v>338</v>
      </c>
      <c r="D7" s="147" t="s">
        <v>339</v>
      </c>
      <c r="E7" s="147" t="s">
        <v>340</v>
      </c>
      <c r="F7" s="148">
        <v>15.88</v>
      </c>
      <c r="G7" s="148"/>
      <c r="H7" s="148">
        <v>1</v>
      </c>
      <c r="I7" s="147">
        <v>6000</v>
      </c>
      <c r="J7" s="147">
        <v>6</v>
      </c>
      <c r="K7" s="147">
        <f t="shared" ca="1" si="1"/>
        <v>0</v>
      </c>
      <c r="L7" s="147"/>
      <c r="M7" s="147" t="str">
        <f t="shared" si="0"/>
        <v>15.8816ERWNON FIN</v>
      </c>
      <c r="N7" s="147" t="str">
        <f>VLOOKUP(aug[[#This Row],[Key]],Table2527[[#All],[ ]:[Bucket CTL]],2,0)</f>
        <v>15.88-0-1-ERW 1-PE</v>
      </c>
      <c r="O7" s="147" t="str">
        <f>VLOOKUP(aug[[#This Row],[Key]],Table2527[[#All],[ ]:[Bucket CTL]],3,0)</f>
        <v>15.88-0-1-ERW 1-PE-6</v>
      </c>
      <c r="P7" s="147"/>
      <c r="Q7" s="147" t="str">
        <f>VLOOKUP(aug[[#This Row],[Key]],Table2527[[#All],[ ]:[TSL Material Code]],4,0)</f>
        <v>0789</v>
      </c>
      <c r="R7" s="147">
        <f>VLOOKUP(aug[[#This Row],[Key]],Table2527[[#All],[ ]:[TSL Material Code]],5,0)</f>
        <v>1940054</v>
      </c>
      <c r="S7" s="147" t="b">
        <f>EXACT(aug[[#This Row],[Material code july]],aug[[#This Row],[TSL Material Code]])</f>
        <v>1</v>
      </c>
      <c r="T7" s="151" t="s">
        <v>345</v>
      </c>
      <c r="U7" s="150">
        <v>1940054</v>
      </c>
      <c r="V7" s="19">
        <v>1</v>
      </c>
      <c r="W7" s="147">
        <v>0</v>
      </c>
      <c r="X7" s="147">
        <v>1.4</v>
      </c>
      <c r="Y7" s="147"/>
      <c r="Z7" s="147">
        <f t="shared" si="2"/>
        <v>1.4</v>
      </c>
      <c r="AA7" s="147">
        <v>0</v>
      </c>
      <c r="AB7" s="147">
        <f t="shared" si="3"/>
        <v>1.4</v>
      </c>
      <c r="AC7" s="19">
        <f t="shared" si="4"/>
        <v>-0.39999999999999991</v>
      </c>
      <c r="AD7" s="387">
        <f t="shared" si="5"/>
        <v>0</v>
      </c>
      <c r="AE7" s="416">
        <f>SUMIFS(meghsteelsales_previousmonth[Quantity],meghsteelsales_previousmonth[Length Bucket],aug[[#This Row],[Bucket CTL]])/1000</f>
        <v>0</v>
      </c>
      <c r="AF7" s="160">
        <f>SUMIFS(meghsteelsales_currentmonth[Quantity],meghsteelsales_currentmonth[Length Bucket],aug[[#This Row],[Bucket CTL]])/1000</f>
        <v>0</v>
      </c>
      <c r="AG7" s="187">
        <f>aug[[#This Row],[order logg ]]+aug[[#This Row],[ INDENT  FOR AUG-25 recommended]]</f>
        <v>0</v>
      </c>
      <c r="AH7" s="427">
        <f>aug[[#This Row],[Before 20th]]+aug[[#This Row],[ofter 20th]]</f>
        <v>0</v>
      </c>
      <c r="AI7" s="427">
        <f>IF((aug[[#This Row],[Total Indent]]-aug[[#This Row],[Total Delivered]])&lt;0,0,aug[[#This Row],[Total Indent]]-aug[[#This Row],[Total Delivered]])</f>
        <v>0</v>
      </c>
      <c r="AJ7" s="187"/>
    </row>
    <row r="8" spans="1:36" x14ac:dyDescent="0.25">
      <c r="A8" s="265" t="s">
        <v>10</v>
      </c>
      <c r="B8" s="147" t="s">
        <v>116</v>
      </c>
      <c r="C8" s="147" t="s">
        <v>338</v>
      </c>
      <c r="D8" s="147" t="s">
        <v>339</v>
      </c>
      <c r="E8" s="147" t="s">
        <v>340</v>
      </c>
      <c r="F8" s="148">
        <v>15.88</v>
      </c>
      <c r="G8" s="148"/>
      <c r="H8" s="148">
        <v>1.2</v>
      </c>
      <c r="I8" s="147">
        <v>6000</v>
      </c>
      <c r="J8" s="147">
        <v>6</v>
      </c>
      <c r="K8" s="147">
        <f t="shared" ca="1" si="1"/>
        <v>0</v>
      </c>
      <c r="L8" s="147"/>
      <c r="M8" s="147" t="str">
        <f t="shared" si="0"/>
        <v>15.881.26ERWNON FIN</v>
      </c>
      <c r="N8" s="147" t="str">
        <f>VLOOKUP(aug[[#This Row],[Key]],Table2527[[#All],[ ]:[Bucket CTL]],2,0)</f>
        <v>15.88-0-1-ERW 1-PE</v>
      </c>
      <c r="O8" s="147" t="str">
        <f>VLOOKUP(aug[[#This Row],[Key]],Table2527[[#All],[ ]:[Bucket CTL]],3,0)</f>
        <v>15.88-0-1-ERW 1-PE-6</v>
      </c>
      <c r="P8" s="147"/>
      <c r="Q8" s="147" t="str">
        <f>VLOOKUP(aug[[#This Row],[Key]],Table2527[[#All],[ ]:[TSL Material Code]],4,0)</f>
        <v>0789</v>
      </c>
      <c r="R8" s="147">
        <f>VLOOKUP(aug[[#This Row],[Key]],Table2527[[#All],[ ]:[TSL Material Code]],5,0)</f>
        <v>1940054</v>
      </c>
      <c r="S8" s="147" t="b">
        <f>EXACT(aug[[#This Row],[Material code july]],aug[[#This Row],[TSL Material Code]])</f>
        <v>1</v>
      </c>
      <c r="T8" s="151" t="s">
        <v>345</v>
      </c>
      <c r="U8" s="150">
        <v>1940054</v>
      </c>
      <c r="V8" s="19">
        <v>5</v>
      </c>
      <c r="W8" s="147">
        <v>2</v>
      </c>
      <c r="X8" s="147">
        <v>0</v>
      </c>
      <c r="Y8" s="147"/>
      <c r="Z8" s="147">
        <f t="shared" si="2"/>
        <v>-2</v>
      </c>
      <c r="AA8" s="147">
        <v>0</v>
      </c>
      <c r="AB8" s="147">
        <f t="shared" si="3"/>
        <v>-2</v>
      </c>
      <c r="AC8" s="19">
        <f t="shared" si="4"/>
        <v>7</v>
      </c>
      <c r="AD8" s="387">
        <f t="shared" si="5"/>
        <v>7</v>
      </c>
      <c r="AE8" s="416">
        <f>SUMIFS(meghsteelsales_previousmonth[Quantity],meghsteelsales_previousmonth[Length Bucket],aug[[#This Row],[Bucket CTL]])/1000</f>
        <v>0</v>
      </c>
      <c r="AF8" s="160">
        <f>SUMIFS(meghsteelsales_currentmonth[Quantity],meghsteelsales_currentmonth[Length Bucket],aug[[#This Row],[Bucket CTL]])/1000</f>
        <v>0</v>
      </c>
      <c r="AG8" s="187">
        <f>aug[[#This Row],[order logg ]]+aug[[#This Row],[ INDENT  FOR AUG-25 recommended]]</f>
        <v>7</v>
      </c>
      <c r="AH8" s="427">
        <f>aug[[#This Row],[Before 20th]]+aug[[#This Row],[ofter 20th]]</f>
        <v>0</v>
      </c>
      <c r="AI8" s="427">
        <f>IF((aug[[#This Row],[Total Indent]]-aug[[#This Row],[Total Delivered]])&lt;0,0,aug[[#This Row],[Total Indent]]-aug[[#This Row],[Total Delivered]])</f>
        <v>7</v>
      </c>
      <c r="AJ8" s="187"/>
    </row>
    <row r="9" spans="1:36" x14ac:dyDescent="0.25">
      <c r="A9" s="265" t="s">
        <v>341</v>
      </c>
      <c r="B9" s="147" t="s">
        <v>342</v>
      </c>
      <c r="C9" s="147" t="s">
        <v>338</v>
      </c>
      <c r="D9" s="147" t="s">
        <v>339</v>
      </c>
      <c r="E9" s="147" t="s">
        <v>340</v>
      </c>
      <c r="F9" s="148">
        <v>15.88</v>
      </c>
      <c r="G9" s="148"/>
      <c r="H9" s="148">
        <v>1.6</v>
      </c>
      <c r="I9" s="147">
        <v>6000</v>
      </c>
      <c r="J9" s="147">
        <v>6</v>
      </c>
      <c r="K9" s="147">
        <f t="shared" ca="1" si="1"/>
        <v>0</v>
      </c>
      <c r="L9" s="147"/>
      <c r="M9" s="147" t="str">
        <f t="shared" si="0"/>
        <v>15.881.66ERWNON FIN</v>
      </c>
      <c r="N9" s="147" t="str">
        <f>VLOOKUP(aug[[#This Row],[Key]],Table2527[[#All],[ ]:[Bucket CTL]],2,0)</f>
        <v>15.88-0-1.6-ERW 1-PE</v>
      </c>
      <c r="O9" s="147" t="str">
        <f>VLOOKUP(aug[[#This Row],[Key]],Table2527[[#All],[ ]:[Bucket CTL]],3,0)</f>
        <v>15.88-0-1.6-ERW 1-PE-6</v>
      </c>
      <c r="P9" s="147"/>
      <c r="Q9" s="147" t="str">
        <f>VLOOKUP(aug[[#This Row],[Key]],Table2527[[#All],[ ]:[TSL Material Code]],4,0)</f>
        <v>0789</v>
      </c>
      <c r="R9" s="147">
        <f>VLOOKUP(aug[[#This Row],[Key]],Table2527[[#All],[ ]:[TSL Material Code]],5,0)</f>
        <v>1900224</v>
      </c>
      <c r="S9" s="147" t="b">
        <f>EXACT(aug[[#This Row],[Material code july]],aug[[#This Row],[TSL Material Code]])</f>
        <v>1</v>
      </c>
      <c r="T9" s="151" t="s">
        <v>345</v>
      </c>
      <c r="U9" s="150">
        <v>1900224</v>
      </c>
      <c r="V9" s="19">
        <v>2</v>
      </c>
      <c r="W9" s="147">
        <v>0</v>
      </c>
      <c r="X9" s="147">
        <v>4</v>
      </c>
      <c r="Y9" s="147"/>
      <c r="Z9" s="147">
        <f t="shared" si="2"/>
        <v>4</v>
      </c>
      <c r="AA9" s="147">
        <v>0</v>
      </c>
      <c r="AB9" s="147">
        <f t="shared" si="3"/>
        <v>4</v>
      </c>
      <c r="AC9" s="19">
        <f t="shared" si="4"/>
        <v>-2</v>
      </c>
      <c r="AD9" s="387">
        <f t="shared" si="5"/>
        <v>0</v>
      </c>
      <c r="AE9" s="416">
        <f>SUMIFS(meghsteelsales_previousmonth[Quantity],meghsteelsales_previousmonth[Length Bucket],aug[[#This Row],[Bucket CTL]])/1000</f>
        <v>0</v>
      </c>
      <c r="AF9" s="160">
        <f>SUMIFS(meghsteelsales_currentmonth[Quantity],meghsteelsales_currentmonth[Length Bucket],aug[[#This Row],[Bucket CTL]])/1000</f>
        <v>0</v>
      </c>
      <c r="AG9" s="187">
        <f>aug[[#This Row],[order logg ]]+aug[[#This Row],[ INDENT  FOR AUG-25 recommended]]</f>
        <v>0</v>
      </c>
      <c r="AH9" s="427">
        <f>aug[[#This Row],[Before 20th]]+aug[[#This Row],[ofter 20th]]</f>
        <v>0</v>
      </c>
      <c r="AI9" s="427">
        <f>IF((aug[[#This Row],[Total Indent]]-aug[[#This Row],[Total Delivered]])&lt;0,0,aug[[#This Row],[Total Indent]]-aug[[#This Row],[Total Delivered]])</f>
        <v>0</v>
      </c>
      <c r="AJ9" s="187"/>
    </row>
    <row r="10" spans="1:36" x14ac:dyDescent="0.25">
      <c r="A10" s="265" t="s">
        <v>341</v>
      </c>
      <c r="B10" s="147" t="s">
        <v>342</v>
      </c>
      <c r="C10" s="147" t="s">
        <v>338</v>
      </c>
      <c r="D10" s="147" t="s">
        <v>339</v>
      </c>
      <c r="E10" s="147" t="s">
        <v>340</v>
      </c>
      <c r="F10" s="148">
        <v>15.88</v>
      </c>
      <c r="G10" s="148"/>
      <c r="H10" s="148">
        <v>2</v>
      </c>
      <c r="I10" s="147">
        <v>6000</v>
      </c>
      <c r="J10" s="147">
        <v>6</v>
      </c>
      <c r="K10" s="147">
        <f t="shared" ca="1" si="1"/>
        <v>0</v>
      </c>
      <c r="L10" s="147"/>
      <c r="M10" s="147" t="str">
        <f t="shared" si="0"/>
        <v>15.8826ERWNON FIN</v>
      </c>
      <c r="N10" s="147" t="str">
        <f>VLOOKUP(aug[[#This Row],[Key]],Table2527[[#All],[ ]:[Bucket CTL]],2,0)</f>
        <v>15.88-0-2-ERW 1-PE</v>
      </c>
      <c r="O10" s="147" t="str">
        <f>VLOOKUP(aug[[#This Row],[Key]],Table2527[[#All],[ ]:[Bucket CTL]],3,0)</f>
        <v>15.88-0-2-ERW 1-PE-6</v>
      </c>
      <c r="P10" s="147"/>
      <c r="Q10" s="147" t="str">
        <f>VLOOKUP(aug[[#This Row],[Key]],Table2527[[#All],[ ]:[TSL Material Code]],4,0)</f>
        <v>0789</v>
      </c>
      <c r="R10" s="147">
        <f>VLOOKUP(aug[[#This Row],[Key]],Table2527[[#All],[ ]:[TSL Material Code]],5,0)</f>
        <v>1940120</v>
      </c>
      <c r="S10" s="147" t="b">
        <f>EXACT(aug[[#This Row],[Material code july]],aug[[#This Row],[TSL Material Code]])</f>
        <v>1</v>
      </c>
      <c r="T10" s="151" t="s">
        <v>345</v>
      </c>
      <c r="U10" s="150">
        <v>1940120</v>
      </c>
      <c r="V10" s="19">
        <v>5</v>
      </c>
      <c r="W10" s="147">
        <v>0</v>
      </c>
      <c r="X10" s="147">
        <v>2</v>
      </c>
      <c r="Y10" s="147"/>
      <c r="Z10" s="147">
        <f t="shared" si="2"/>
        <v>2</v>
      </c>
      <c r="AA10" s="147">
        <v>0</v>
      </c>
      <c r="AB10" s="147">
        <f t="shared" si="3"/>
        <v>2</v>
      </c>
      <c r="AC10" s="19">
        <f t="shared" si="4"/>
        <v>3</v>
      </c>
      <c r="AD10" s="387">
        <f t="shared" si="5"/>
        <v>3</v>
      </c>
      <c r="AE10" s="416">
        <f>SUMIFS(meghsteelsales_previousmonth[Quantity],meghsteelsales_previousmonth[Length Bucket],aug[[#This Row],[Bucket CTL]])/1000</f>
        <v>0</v>
      </c>
      <c r="AF10" s="160">
        <f>SUMIFS(meghsteelsales_currentmonth[Quantity],meghsteelsales_currentmonth[Length Bucket],aug[[#This Row],[Bucket CTL]])/1000</f>
        <v>0</v>
      </c>
      <c r="AG10" s="187">
        <f>aug[[#This Row],[order logg ]]+aug[[#This Row],[ INDENT  FOR AUG-25 recommended]]</f>
        <v>3</v>
      </c>
      <c r="AH10" s="427">
        <f>aug[[#This Row],[Before 20th]]+aug[[#This Row],[ofter 20th]]</f>
        <v>0</v>
      </c>
      <c r="AI10" s="427">
        <f>IF((aug[[#This Row],[Total Indent]]-aug[[#This Row],[Total Delivered]])&lt;0,0,aug[[#This Row],[Total Indent]]-aug[[#This Row],[Total Delivered]])</f>
        <v>3</v>
      </c>
      <c r="AJ10" s="187"/>
    </row>
    <row r="11" spans="1:36" x14ac:dyDescent="0.25">
      <c r="A11" s="265" t="s">
        <v>10</v>
      </c>
      <c r="B11" s="147" t="s">
        <v>343</v>
      </c>
      <c r="C11" s="147" t="s">
        <v>338</v>
      </c>
      <c r="D11" s="147" t="s">
        <v>339</v>
      </c>
      <c r="E11" s="147" t="s">
        <v>340</v>
      </c>
      <c r="F11" s="148">
        <v>18.3</v>
      </c>
      <c r="G11" s="148"/>
      <c r="H11" s="148">
        <v>1</v>
      </c>
      <c r="I11" s="147">
        <v>6000</v>
      </c>
      <c r="J11" s="147">
        <v>6</v>
      </c>
      <c r="K11" s="147">
        <f t="shared" ca="1" si="1"/>
        <v>0</v>
      </c>
      <c r="L11" s="147"/>
      <c r="M11" s="147" t="str">
        <f t="shared" si="0"/>
        <v>18.316ERWNON FIN</v>
      </c>
      <c r="N11" s="147">
        <f>VLOOKUP(aug[[#This Row],[Key]],Table2527[[#All],[ ]:[Bucket CTL]],2,0)</f>
        <v>0</v>
      </c>
      <c r="O11" s="147" t="e">
        <f>VLOOKUP(aug[[#This Row],[Key]],Table2527[[#All],[ ]:[Bucket CTL]],3,0)</f>
        <v>#N/A</v>
      </c>
      <c r="P11" s="147"/>
      <c r="Q11" s="147" t="str">
        <f>VLOOKUP(aug[[#This Row],[Key]],Table2527[[#All],[ ]:[TSL Material Code]],4,0)</f>
        <v>0789</v>
      </c>
      <c r="R11" s="147">
        <f>VLOOKUP(aug[[#This Row],[Key]],Table2527[[#All],[ ]:[TSL Material Code]],5,0)</f>
        <v>2288945</v>
      </c>
      <c r="S11" s="147" t="b">
        <f>EXACT(aug[[#This Row],[Material code july]],aug[[#This Row],[TSL Material Code]])</f>
        <v>1</v>
      </c>
      <c r="T11" s="151" t="s">
        <v>345</v>
      </c>
      <c r="U11" s="150">
        <v>2288945</v>
      </c>
      <c r="V11" s="19">
        <v>10</v>
      </c>
      <c r="W11" s="147">
        <v>2</v>
      </c>
      <c r="X11" s="147">
        <v>6</v>
      </c>
      <c r="Y11" s="147"/>
      <c r="Z11" s="147">
        <f t="shared" si="2"/>
        <v>4</v>
      </c>
      <c r="AA11" s="147">
        <v>0</v>
      </c>
      <c r="AB11" s="147">
        <f t="shared" si="3"/>
        <v>4</v>
      </c>
      <c r="AC11" s="19">
        <f t="shared" si="4"/>
        <v>6</v>
      </c>
      <c r="AD11" s="387">
        <f t="shared" si="5"/>
        <v>6</v>
      </c>
      <c r="AE11" s="416">
        <f>SUMIFS(meghsteelsales_previousmonth[Quantity],meghsteelsales_previousmonth[Length Bucket],aug[[#This Row],[Bucket CTL]])/1000</f>
        <v>0</v>
      </c>
      <c r="AF11" s="160">
        <f>SUMIFS(meghsteelsales_currentmonth[Quantity],meghsteelsales_currentmonth[Length Bucket],aug[[#This Row],[Bucket CTL]])/1000</f>
        <v>0</v>
      </c>
      <c r="AG11" s="187">
        <f>aug[[#This Row],[order logg ]]+aug[[#This Row],[ INDENT  FOR AUG-25 recommended]]</f>
        <v>6</v>
      </c>
      <c r="AH11" s="427">
        <f>aug[[#This Row],[Before 20th]]+aug[[#This Row],[ofter 20th]]</f>
        <v>0</v>
      </c>
      <c r="AI11" s="427">
        <f>IF((aug[[#This Row],[Total Indent]]-aug[[#This Row],[Total Delivered]])&lt;0,0,aug[[#This Row],[Total Indent]]-aug[[#This Row],[Total Delivered]])</f>
        <v>6</v>
      </c>
      <c r="AJ11" s="187"/>
    </row>
    <row r="12" spans="1:36" x14ac:dyDescent="0.25">
      <c r="A12" s="265" t="s">
        <v>341</v>
      </c>
      <c r="B12" s="147" t="s">
        <v>342</v>
      </c>
      <c r="C12" s="153" t="s">
        <v>338</v>
      </c>
      <c r="D12" s="147" t="s">
        <v>339</v>
      </c>
      <c r="E12" s="147" t="s">
        <v>340</v>
      </c>
      <c r="F12" s="148">
        <v>19.05</v>
      </c>
      <c r="G12" s="148"/>
      <c r="H12" s="148">
        <v>1.6</v>
      </c>
      <c r="I12" s="147">
        <v>6000</v>
      </c>
      <c r="J12" s="147">
        <v>6</v>
      </c>
      <c r="K12" s="147">
        <f t="shared" ca="1" si="1"/>
        <v>0</v>
      </c>
      <c r="L12" s="147"/>
      <c r="M12" s="147" t="str">
        <f t="shared" si="0"/>
        <v>19.051.66ERWNON FIN</v>
      </c>
      <c r="N12" s="147" t="str">
        <f>VLOOKUP(aug[[#This Row],[Key]],Table2527[[#All],[ ]:[Bucket CTL]],2,0)</f>
        <v>19.05-0-1.6-ERW 1-PE</v>
      </c>
      <c r="O12" s="147" t="str">
        <f>VLOOKUP(aug[[#This Row],[Key]],Table2527[[#All],[ ]:[Bucket CTL]],3,0)</f>
        <v>19.05-0-1.6-ERW 1-PE-6</v>
      </c>
      <c r="P12" s="147"/>
      <c r="Q12" s="147" t="str">
        <f>VLOOKUP(aug[[#This Row],[Key]],Table2527[[#All],[ ]:[TSL Material Code]],4,0)</f>
        <v>056</v>
      </c>
      <c r="R12" s="147">
        <f>VLOOKUP(aug[[#This Row],[Key]],Table2527[[#All],[ ]:[TSL Material Code]],5,0)</f>
        <v>3498997</v>
      </c>
      <c r="S12" s="147" t="b">
        <f>EXACT(aug[[#This Row],[Material code july]],aug[[#This Row],[TSL Material Code]])</f>
        <v>1</v>
      </c>
      <c r="T12" s="151" t="s">
        <v>367</v>
      </c>
      <c r="U12" s="150">
        <v>3498997</v>
      </c>
      <c r="V12" s="19">
        <v>10</v>
      </c>
      <c r="W12" s="147">
        <v>2</v>
      </c>
      <c r="X12" s="147">
        <v>1</v>
      </c>
      <c r="Y12" s="147"/>
      <c r="Z12" s="147">
        <f t="shared" si="2"/>
        <v>-1</v>
      </c>
      <c r="AA12" s="147">
        <v>6.4</v>
      </c>
      <c r="AB12" s="147">
        <f t="shared" si="3"/>
        <v>5.4</v>
      </c>
      <c r="AC12" s="19">
        <f t="shared" si="4"/>
        <v>4.5999999999999996</v>
      </c>
      <c r="AD12" s="387">
        <f t="shared" si="5"/>
        <v>4.5999999999999996</v>
      </c>
      <c r="AE12" s="416">
        <f>SUMIFS(meghsteelsales_previousmonth[Quantity],meghsteelsales_previousmonth[Length Bucket],aug[[#This Row],[Bucket CTL]])/1000</f>
        <v>10.74</v>
      </c>
      <c r="AF12" s="160">
        <f>SUMIFS(meghsteelsales_currentmonth[Quantity],meghsteelsales_currentmonth[Length Bucket],aug[[#This Row],[Bucket CTL]])/1000</f>
        <v>12.04182</v>
      </c>
      <c r="AG12" s="187">
        <f>aug[[#This Row],[order logg ]]+aug[[#This Row],[ INDENT  FOR AUG-25 recommended]]</f>
        <v>11</v>
      </c>
      <c r="AH12" s="427">
        <f>aug[[#This Row],[Before 20th]]+aug[[#This Row],[ofter 20th]]</f>
        <v>22.78182</v>
      </c>
      <c r="AI12" s="427">
        <f>IF((aug[[#This Row],[Total Indent]]-aug[[#This Row],[Total Delivered]])&lt;0,0,aug[[#This Row],[Total Indent]]-aug[[#This Row],[Total Delivered]])</f>
        <v>0</v>
      </c>
      <c r="AJ12" s="187"/>
    </row>
    <row r="13" spans="1:36" x14ac:dyDescent="0.25">
      <c r="A13" s="265" t="s">
        <v>341</v>
      </c>
      <c r="B13" s="147" t="s">
        <v>342</v>
      </c>
      <c r="C13" s="147" t="s">
        <v>344</v>
      </c>
      <c r="D13" s="147" t="s">
        <v>339</v>
      </c>
      <c r="E13" s="147" t="s">
        <v>344</v>
      </c>
      <c r="F13" s="148">
        <v>19.05</v>
      </c>
      <c r="G13" s="148"/>
      <c r="H13" s="148">
        <v>1.4</v>
      </c>
      <c r="I13" s="147">
        <v>6000</v>
      </c>
      <c r="J13" s="147">
        <v>6</v>
      </c>
      <c r="K13" s="147">
        <f t="shared" ca="1" si="1"/>
        <v>0</v>
      </c>
      <c r="L13" s="147"/>
      <c r="M13" s="147" t="str">
        <f t="shared" si="0"/>
        <v>19.051.46ERW2NON FIN</v>
      </c>
      <c r="N13" s="147" t="str">
        <f>VLOOKUP(aug[[#This Row],[Key]],Table2527[[#All],[ ]:[Bucket CTL]],2,0)</f>
        <v>No Key</v>
      </c>
      <c r="O13" s="147" t="str">
        <f>VLOOKUP(aug[[#This Row],[Key]],Table2527[[#All],[ ]:[Bucket CTL]],3,0)</f>
        <v>No Key</v>
      </c>
      <c r="P13" s="147"/>
      <c r="Q13" s="147" t="str">
        <f>VLOOKUP(aug[[#This Row],[Key]],Table2527[[#All],[ ]:[TSL Material Code]],4,0)</f>
        <v>056</v>
      </c>
      <c r="R13" s="147">
        <f>VLOOKUP(aug[[#This Row],[Key]],Table2527[[#All],[ ]:[TSL Material Code]],5,0)</f>
        <v>3891285</v>
      </c>
      <c r="S13" s="147" t="b">
        <f>EXACT(aug[[#This Row],[Material code july]],aug[[#This Row],[TSL Material Code]])</f>
        <v>1</v>
      </c>
      <c r="T13" s="151" t="s">
        <v>367</v>
      </c>
      <c r="U13" s="149">
        <v>3891285</v>
      </c>
      <c r="V13" s="19">
        <v>5</v>
      </c>
      <c r="W13" s="147">
        <v>0</v>
      </c>
      <c r="X13" s="147">
        <v>0</v>
      </c>
      <c r="Y13" s="147"/>
      <c r="Z13" s="147">
        <f t="shared" si="2"/>
        <v>0</v>
      </c>
      <c r="AA13" s="147">
        <v>7.5</v>
      </c>
      <c r="AB13" s="147">
        <f t="shared" si="3"/>
        <v>7.5</v>
      </c>
      <c r="AC13" s="19">
        <f t="shared" si="4"/>
        <v>-2.5</v>
      </c>
      <c r="AD13" s="387">
        <f t="shared" si="5"/>
        <v>0</v>
      </c>
      <c r="AE13" s="416">
        <f>SUMIFS(meghsteelsales_previousmonth[Quantity],meghsteelsales_previousmonth[Length Bucket],aug[[#This Row],[Bucket CTL]])/1000</f>
        <v>0</v>
      </c>
      <c r="AF13" s="160">
        <f>SUMIFS(meghsteelsales_currentmonth[Quantity],meghsteelsales_currentmonth[Length Bucket],aug[[#This Row],[Bucket CTL]])/1000</f>
        <v>0</v>
      </c>
      <c r="AG13" s="187">
        <f>aug[[#This Row],[order logg ]]+aug[[#This Row],[ INDENT  FOR AUG-25 recommended]]</f>
        <v>7.5</v>
      </c>
      <c r="AH13" s="427">
        <f>aug[[#This Row],[Before 20th]]+aug[[#This Row],[ofter 20th]]</f>
        <v>0</v>
      </c>
      <c r="AI13" s="427">
        <f>IF((aug[[#This Row],[Total Indent]]-aug[[#This Row],[Total Delivered]])&lt;0,0,aug[[#This Row],[Total Indent]]-aug[[#This Row],[Total Delivered]])</f>
        <v>7.5</v>
      </c>
      <c r="AJ13" s="187"/>
    </row>
    <row r="14" spans="1:36" x14ac:dyDescent="0.25">
      <c r="A14" s="265" t="s">
        <v>10</v>
      </c>
      <c r="B14" s="147" t="s">
        <v>116</v>
      </c>
      <c r="C14" s="153" t="s">
        <v>338</v>
      </c>
      <c r="D14" s="147" t="s">
        <v>339</v>
      </c>
      <c r="E14" s="147" t="s">
        <v>340</v>
      </c>
      <c r="F14" s="154">
        <v>19.05</v>
      </c>
      <c r="G14" s="154"/>
      <c r="H14" s="154">
        <v>2</v>
      </c>
      <c r="I14" s="155">
        <v>5800</v>
      </c>
      <c r="J14" s="147">
        <v>5.8</v>
      </c>
      <c r="K14" s="147">
        <f t="shared" ca="1" si="1"/>
        <v>0</v>
      </c>
      <c r="L14" s="147"/>
      <c r="M14" s="147" t="str">
        <f t="shared" si="0"/>
        <v>19.0525.8ERWNON FIN</v>
      </c>
      <c r="N14" s="147" t="s">
        <v>604</v>
      </c>
      <c r="O14" s="147" t="str">
        <f>_xlfn.CONCAT(aug[[#This Row],[Bucket]],"-",aug[[#This Row],[Length in Mtrs]])</f>
        <v>19.05-0-2-ERW 1-PE-5.8</v>
      </c>
      <c r="P14" s="147" t="s">
        <v>6272</v>
      </c>
      <c r="Q14" s="147" t="str">
        <f>VLOOKUP(aug[[#This Row],[Key]],Table2527[[#All],[ ]:[TSL Material Code]],4,0)</f>
        <v>056</v>
      </c>
      <c r="R14" s="147">
        <f>VLOOKUP(aug[[#This Row],[Key]],Table2527[[#All],[ ]:[TSL Material Code]],5,0)</f>
        <v>3212868</v>
      </c>
      <c r="S14" s="147" t="b">
        <f>EXACT(aug[[#This Row],[Material code july]],aug[[#This Row],[TSL Material Code]])</f>
        <v>1</v>
      </c>
      <c r="T14" s="151" t="s">
        <v>367</v>
      </c>
      <c r="U14" s="150">
        <f>aug[[#This Row],[Material code july]]</f>
        <v>3212868</v>
      </c>
      <c r="V14" s="19">
        <v>35</v>
      </c>
      <c r="W14" s="147">
        <v>6</v>
      </c>
      <c r="X14" s="147">
        <v>50</v>
      </c>
      <c r="Y14" s="147"/>
      <c r="Z14" s="147">
        <f t="shared" si="2"/>
        <v>44</v>
      </c>
      <c r="AA14" s="147">
        <v>17.5</v>
      </c>
      <c r="AB14" s="147">
        <f t="shared" si="3"/>
        <v>61.5</v>
      </c>
      <c r="AC14" s="19">
        <f t="shared" si="4"/>
        <v>-26.5</v>
      </c>
      <c r="AD14" s="387">
        <f t="shared" si="5"/>
        <v>0</v>
      </c>
      <c r="AE14" s="416">
        <f>SUMIFS(meghsteelsales_previousmonth[Quantity],meghsteelsales_previousmonth[Length Bucket],aug[[#This Row],[Bucket CTL]])/1000</f>
        <v>0</v>
      </c>
      <c r="AF14" s="160">
        <f>SUMIFS(meghsteelsales_currentmonth[Quantity],meghsteelsales_currentmonth[Length Bucket],aug[[#This Row],[Bucket CTL]])/1000</f>
        <v>0</v>
      </c>
      <c r="AG14" s="147">
        <f>aug[[#This Row],[order logg ]]+aug[[#This Row],[ INDENT  FOR AUG-25 recommended]]</f>
        <v>17.5</v>
      </c>
      <c r="AH14" s="416">
        <f>aug[[#This Row],[Before 20th]]+aug[[#This Row],[ofter 20th]]</f>
        <v>0</v>
      </c>
      <c r="AI14" s="416">
        <f>IF((aug[[#This Row],[Total Indent]]-aug[[#This Row],[Total Delivered]])&lt;0,0,aug[[#This Row],[Total Indent]]-aug[[#This Row],[Total Delivered]])</f>
        <v>17.5</v>
      </c>
      <c r="AJ14" s="147">
        <v>50</v>
      </c>
    </row>
    <row r="15" spans="1:36" x14ac:dyDescent="0.25">
      <c r="A15" s="265" t="s">
        <v>10</v>
      </c>
      <c r="B15" s="147" t="s">
        <v>346</v>
      </c>
      <c r="C15" s="153" t="s">
        <v>338</v>
      </c>
      <c r="D15" s="147" t="s">
        <v>339</v>
      </c>
      <c r="E15" s="147" t="s">
        <v>340</v>
      </c>
      <c r="F15" s="148">
        <v>19.05</v>
      </c>
      <c r="G15" s="148"/>
      <c r="H15" s="148">
        <v>2.2999999999999998</v>
      </c>
      <c r="I15" s="147">
        <v>7000</v>
      </c>
      <c r="J15" s="147">
        <v>7</v>
      </c>
      <c r="K15" s="147">
        <f t="shared" ca="1" si="1"/>
        <v>0</v>
      </c>
      <c r="L15" s="147"/>
      <c r="M15" s="147" t="str">
        <f t="shared" si="0"/>
        <v>19.052.37ERWNON FIN</v>
      </c>
      <c r="N15" s="147" t="str">
        <f>VLOOKUP(aug[[#This Row],[Key]],Table2527[[#All],[ ]:[Bucket CTL]],2,0)</f>
        <v>19.05-0-2.3-ERW 1-PE</v>
      </c>
      <c r="O15" s="147" t="str">
        <f>VLOOKUP(aug[[#This Row],[Key]],Table2527[[#All],[ ]:[Bucket CTL]],3,0)</f>
        <v>19.05-0-2.3-ERW 1-PE-7</v>
      </c>
      <c r="P15" s="147"/>
      <c r="Q15" s="147" t="str">
        <f>VLOOKUP(aug[[#This Row],[Key]],Table2527[[#All],[ ]:[TSL Material Code]],4,0)</f>
        <v>056</v>
      </c>
      <c r="R15" s="147">
        <f>VLOOKUP(aug[[#This Row],[Key]],Table2527[[#All],[ ]:[TSL Material Code]],5,0)</f>
        <v>3500582</v>
      </c>
      <c r="S15" s="147" t="b">
        <f>EXACT(aug[[#This Row],[Material code july]],aug[[#This Row],[TSL Material Code]])</f>
        <v>1</v>
      </c>
      <c r="T15" s="151" t="s">
        <v>367</v>
      </c>
      <c r="U15" s="150">
        <v>3500582</v>
      </c>
      <c r="V15" s="19">
        <v>20</v>
      </c>
      <c r="W15" s="147">
        <v>3</v>
      </c>
      <c r="X15" s="147">
        <v>4</v>
      </c>
      <c r="Y15" s="147"/>
      <c r="Z15" s="147">
        <f t="shared" si="2"/>
        <v>1</v>
      </c>
      <c r="AA15" s="147">
        <v>29.7</v>
      </c>
      <c r="AB15" s="147">
        <f t="shared" si="3"/>
        <v>30.7</v>
      </c>
      <c r="AC15" s="19">
        <f t="shared" si="4"/>
        <v>-10.7</v>
      </c>
      <c r="AD15" s="387">
        <f t="shared" si="5"/>
        <v>0</v>
      </c>
      <c r="AE15" s="416">
        <f>SUMIFS(meghsteelsales_previousmonth[Quantity],meghsteelsales_previousmonth[Length Bucket],aug[[#This Row],[Bucket CTL]])/1000</f>
        <v>20.52</v>
      </c>
      <c r="AF15" s="160">
        <f>SUMIFS(meghsteelsales_currentmonth[Quantity],meghsteelsales_currentmonth[Length Bucket],aug[[#This Row],[Bucket CTL]])/1000</f>
        <v>4.2763360000000006</v>
      </c>
      <c r="AG15" s="187">
        <f>aug[[#This Row],[order logg ]]+aug[[#This Row],[ INDENT  FOR AUG-25 recommended]]</f>
        <v>29.7</v>
      </c>
      <c r="AH15" s="427">
        <f>aug[[#This Row],[Before 20th]]+aug[[#This Row],[ofter 20th]]</f>
        <v>24.796336</v>
      </c>
      <c r="AI15" s="427">
        <f>IF((aug[[#This Row],[Total Indent]]-aug[[#This Row],[Total Delivered]])&lt;0,0,aug[[#This Row],[Total Indent]]-aug[[#This Row],[Total Delivered]])</f>
        <v>4.9036639999999991</v>
      </c>
      <c r="AJ15" s="187"/>
    </row>
    <row r="16" spans="1:36" x14ac:dyDescent="0.25">
      <c r="A16" s="265" t="s">
        <v>10</v>
      </c>
      <c r="B16" s="147" t="s">
        <v>116</v>
      </c>
      <c r="C16" s="147" t="s">
        <v>338</v>
      </c>
      <c r="D16" s="147" t="s">
        <v>339</v>
      </c>
      <c r="E16" s="147" t="s">
        <v>340</v>
      </c>
      <c r="F16" s="148">
        <v>21.4</v>
      </c>
      <c r="G16" s="148"/>
      <c r="H16" s="148">
        <v>1.6</v>
      </c>
      <c r="I16" s="147">
        <v>6000</v>
      </c>
      <c r="J16" s="147">
        <v>6</v>
      </c>
      <c r="K16" s="147">
        <f t="shared" ca="1" si="1"/>
        <v>0</v>
      </c>
      <c r="L16" s="147"/>
      <c r="M16" s="147" t="str">
        <f t="shared" si="0"/>
        <v>21.41.66ERWNON FIN</v>
      </c>
      <c r="N16" s="147" t="str">
        <f>VLOOKUP(aug[[#This Row],[Key]],Table2527[[#All],[ ]:[Bucket CTL]],2,0)</f>
        <v>21.4-0-1.6-ERW 1-PE</v>
      </c>
      <c r="O16" s="147" t="str">
        <f>VLOOKUP(aug[[#This Row],[Key]],Table2527[[#All],[ ]:[Bucket CTL]],3,0)</f>
        <v>21.4-0-1.6-ERW 1-PE-6</v>
      </c>
      <c r="P16" s="147"/>
      <c r="Q16" s="147" t="str">
        <f>VLOOKUP(aug[[#This Row],[Key]],Table2527[[#All],[ ]:[TSL Material Code]],4,0)</f>
        <v>0789</v>
      </c>
      <c r="R16" s="147">
        <f>VLOOKUP(aug[[#This Row],[Key]],Table2527[[#All],[ ]:[TSL Material Code]],5,0)</f>
        <v>3219710</v>
      </c>
      <c r="S16" s="147" t="b">
        <f>EXACT(aug[[#This Row],[Material code july]],aug[[#This Row],[TSL Material Code]])</f>
        <v>1</v>
      </c>
      <c r="T16" s="151" t="s">
        <v>345</v>
      </c>
      <c r="U16" s="150">
        <v>3219710</v>
      </c>
      <c r="V16" s="19">
        <v>10</v>
      </c>
      <c r="W16" s="147">
        <v>1</v>
      </c>
      <c r="X16" s="147">
        <v>8</v>
      </c>
      <c r="Y16" s="147"/>
      <c r="Z16" s="147">
        <f t="shared" si="2"/>
        <v>7</v>
      </c>
      <c r="AA16" s="147">
        <v>0</v>
      </c>
      <c r="AB16" s="147">
        <f t="shared" si="3"/>
        <v>7</v>
      </c>
      <c r="AC16" s="19">
        <f t="shared" si="4"/>
        <v>3</v>
      </c>
      <c r="AD16" s="387">
        <f t="shared" si="5"/>
        <v>3</v>
      </c>
      <c r="AE16" s="416">
        <f>SUMIFS(meghsteelsales_previousmonth[Quantity],meghsteelsales_previousmonth[Length Bucket],aug[[#This Row],[Bucket CTL]])/1000</f>
        <v>0</v>
      </c>
      <c r="AF16" s="160">
        <f>SUMIFS(meghsteelsales_currentmonth[Quantity],meghsteelsales_currentmonth[Length Bucket],aug[[#This Row],[Bucket CTL]])/1000</f>
        <v>0</v>
      </c>
      <c r="AG16" s="187">
        <f>aug[[#This Row],[order logg ]]+aug[[#This Row],[ INDENT  FOR AUG-25 recommended]]</f>
        <v>3</v>
      </c>
      <c r="AH16" s="427">
        <f>aug[[#This Row],[Before 20th]]+aug[[#This Row],[ofter 20th]]</f>
        <v>0</v>
      </c>
      <c r="AI16" s="427">
        <f>IF((aug[[#This Row],[Total Indent]]-aug[[#This Row],[Total Delivered]])&lt;0,0,aug[[#This Row],[Total Indent]]-aug[[#This Row],[Total Delivered]])</f>
        <v>3</v>
      </c>
      <c r="AJ16" s="187"/>
    </row>
    <row r="17" spans="1:36" x14ac:dyDescent="0.25">
      <c r="A17" s="265" t="s">
        <v>10</v>
      </c>
      <c r="B17" s="147" t="s">
        <v>116</v>
      </c>
      <c r="C17" s="153" t="s">
        <v>338</v>
      </c>
      <c r="D17" s="147" t="s">
        <v>339</v>
      </c>
      <c r="E17" s="147" t="s">
        <v>340</v>
      </c>
      <c r="F17" s="148">
        <v>22.2</v>
      </c>
      <c r="G17" s="148"/>
      <c r="H17" s="148">
        <v>1.2</v>
      </c>
      <c r="I17" s="147">
        <v>5870</v>
      </c>
      <c r="J17" s="147">
        <v>5.87</v>
      </c>
      <c r="K17" s="147">
        <f t="shared" ca="1" si="1"/>
        <v>0</v>
      </c>
      <c r="L17" s="147"/>
      <c r="M17" s="147" t="str">
        <f t="shared" si="0"/>
        <v>22.21.25.87ERWNON FIN</v>
      </c>
      <c r="N17" s="147" t="str">
        <f>VLOOKUP(aug[[#This Row],[Key]],Table2527[[#All],[ ]:[Bucket CTL]],2,0)</f>
        <v>22.23-0-1.2-ERW 1-PE</v>
      </c>
      <c r="O17" s="147" t="str">
        <f>VLOOKUP(aug[[#This Row],[Key]],Table2527[[#All],[ ]:[Bucket CTL]],3,0)</f>
        <v>22.23-0-1.2-ERW 1-PE-5.87</v>
      </c>
      <c r="P17" s="147" t="s">
        <v>6272</v>
      </c>
      <c r="Q17" s="147" t="str">
        <f>VLOOKUP(aug[[#This Row],[Key]],Table2527[[#All],[ ]:[TSL Material Code]],4,0)</f>
        <v>056</v>
      </c>
      <c r="R17" s="147">
        <f>VLOOKUP(aug[[#This Row],[Key]],Table2527[[#All],[ ]:[TSL Material Code]],5,0)</f>
        <v>3882110</v>
      </c>
      <c r="S17" s="147" t="b">
        <f>EXACT(aug[[#This Row],[Material code july]],aug[[#This Row],[TSL Material Code]])</f>
        <v>1</v>
      </c>
      <c r="T17" s="151" t="s">
        <v>367</v>
      </c>
      <c r="U17" s="385">
        <v>3882110</v>
      </c>
      <c r="V17" s="19">
        <v>20</v>
      </c>
      <c r="W17" s="147">
        <v>3</v>
      </c>
      <c r="X17" s="147">
        <v>17</v>
      </c>
      <c r="Y17" s="147"/>
      <c r="Z17" s="147">
        <f t="shared" si="2"/>
        <v>14</v>
      </c>
      <c r="AA17" s="147">
        <v>17</v>
      </c>
      <c r="AB17" s="147">
        <f t="shared" si="3"/>
        <v>31</v>
      </c>
      <c r="AC17" s="19">
        <f t="shared" si="4"/>
        <v>-11</v>
      </c>
      <c r="AD17" s="387">
        <f t="shared" si="5"/>
        <v>0</v>
      </c>
      <c r="AE17" s="416">
        <f>SUMIFS(meghsteelsales_previousmonth[Quantity],meghsteelsales_previousmonth[Length Bucket],aug[[#This Row],[Bucket CTL]])/1000</f>
        <v>7.3276850000000016</v>
      </c>
      <c r="AF17" s="160">
        <f>SUMIFS(meghsteelsales_currentmonth[Quantity],meghsteelsales_currentmonth[Length Bucket],aug[[#This Row],[Bucket CTL]])/1000</f>
        <v>12.956144999999999</v>
      </c>
      <c r="AG17" s="147">
        <f>aug[[#This Row],[order logg ]]+aug[[#This Row],[ INDENT  FOR AUG-25 recommended]]</f>
        <v>17</v>
      </c>
      <c r="AH17" s="416">
        <f>aug[[#This Row],[Before 20th]]+aug[[#This Row],[ofter 20th]]</f>
        <v>20.283830000000002</v>
      </c>
      <c r="AI17" s="416">
        <f>IF((aug[[#This Row],[Total Indent]]-aug[[#This Row],[Total Delivered]])&lt;0,0,aug[[#This Row],[Total Indent]]-aug[[#This Row],[Total Delivered]])</f>
        <v>0</v>
      </c>
      <c r="AJ17" s="147">
        <v>35</v>
      </c>
    </row>
    <row r="18" spans="1:36" x14ac:dyDescent="0.25">
      <c r="A18" s="265" t="s">
        <v>341</v>
      </c>
      <c r="B18" s="147" t="s">
        <v>342</v>
      </c>
      <c r="C18" s="153" t="s">
        <v>344</v>
      </c>
      <c r="D18" s="147" t="s">
        <v>339</v>
      </c>
      <c r="E18" s="147" t="s">
        <v>347</v>
      </c>
      <c r="F18" s="148">
        <v>22.2</v>
      </c>
      <c r="G18" s="148"/>
      <c r="H18" s="148">
        <v>1.4</v>
      </c>
      <c r="I18" s="147">
        <v>6000</v>
      </c>
      <c r="J18" s="147">
        <v>6</v>
      </c>
      <c r="K18" s="147">
        <f t="shared" ca="1" si="1"/>
        <v>0</v>
      </c>
      <c r="L18" s="147"/>
      <c r="M18" s="147" t="str">
        <f t="shared" si="0"/>
        <v>22.21.46ERW-2NON FIN</v>
      </c>
      <c r="N18" s="147" t="str">
        <f>VLOOKUP(aug[[#This Row],[Key]],Table2527[[#All],[ ]:[Bucket CTL]],2,0)</f>
        <v>No Key</v>
      </c>
      <c r="O18" s="147" t="str">
        <f>VLOOKUP(aug[[#This Row],[Key]],Table2527[[#All],[ ]:[Bucket CTL]],3,0)</f>
        <v>No Key</v>
      </c>
      <c r="P18" s="147"/>
      <c r="Q18" s="147" t="str">
        <f>VLOOKUP(aug[[#This Row],[Key]],Table2527[[#All],[ ]:[TSL Material Code]],4,0)</f>
        <v>056</v>
      </c>
      <c r="R18" s="147">
        <f>VLOOKUP(aug[[#This Row],[Key]],Table2527[[#All],[ ]:[TSL Material Code]],5,0)</f>
        <v>3829175</v>
      </c>
      <c r="S18" s="147" t="b">
        <f>EXACT(aug[[#This Row],[Material code july]],aug[[#This Row],[TSL Material Code]])</f>
        <v>1</v>
      </c>
      <c r="T18" s="151" t="s">
        <v>367</v>
      </c>
      <c r="U18" s="150">
        <v>3829175</v>
      </c>
      <c r="V18" s="19">
        <v>5</v>
      </c>
      <c r="W18" s="147">
        <v>0</v>
      </c>
      <c r="X18" s="147">
        <v>6</v>
      </c>
      <c r="Y18" s="147"/>
      <c r="Z18" s="147">
        <f t="shared" si="2"/>
        <v>6</v>
      </c>
      <c r="AA18" s="147">
        <v>5.5</v>
      </c>
      <c r="AB18" s="147">
        <f t="shared" si="3"/>
        <v>11.5</v>
      </c>
      <c r="AC18" s="19">
        <f t="shared" si="4"/>
        <v>-6.5</v>
      </c>
      <c r="AD18" s="387">
        <f t="shared" si="5"/>
        <v>0</v>
      </c>
      <c r="AE18" s="416">
        <f>SUMIFS(meghsteelsales_previousmonth[Quantity],meghsteelsales_previousmonth[Length Bucket],aug[[#This Row],[Bucket CTL]])/1000</f>
        <v>0</v>
      </c>
      <c r="AF18" s="160">
        <f>SUMIFS(meghsteelsales_currentmonth[Quantity],meghsteelsales_currentmonth[Length Bucket],aug[[#This Row],[Bucket CTL]])/1000</f>
        <v>0</v>
      </c>
      <c r="AG18" s="187">
        <f>aug[[#This Row],[order logg ]]+aug[[#This Row],[ INDENT  FOR AUG-25 recommended]]</f>
        <v>5.5</v>
      </c>
      <c r="AH18" s="427">
        <f>aug[[#This Row],[Before 20th]]+aug[[#This Row],[ofter 20th]]</f>
        <v>0</v>
      </c>
      <c r="AI18" s="427">
        <f>IF((aug[[#This Row],[Total Indent]]-aug[[#This Row],[Total Delivered]])&lt;0,0,aug[[#This Row],[Total Indent]]-aug[[#This Row],[Total Delivered]])</f>
        <v>5.5</v>
      </c>
      <c r="AJ18" s="187"/>
    </row>
    <row r="19" spans="1:36" x14ac:dyDescent="0.25">
      <c r="A19" s="265" t="s">
        <v>10</v>
      </c>
      <c r="B19" s="147" t="s">
        <v>116</v>
      </c>
      <c r="C19" s="153" t="s">
        <v>338</v>
      </c>
      <c r="D19" s="147" t="s">
        <v>339</v>
      </c>
      <c r="E19" s="147" t="s">
        <v>340</v>
      </c>
      <c r="F19" s="148">
        <v>22.2</v>
      </c>
      <c r="G19" s="148"/>
      <c r="H19" s="148">
        <v>1.6</v>
      </c>
      <c r="I19" s="147">
        <v>5270</v>
      </c>
      <c r="J19" s="147">
        <v>5.27</v>
      </c>
      <c r="K19" s="147">
        <f t="shared" ca="1" si="1"/>
        <v>0</v>
      </c>
      <c r="L19" s="147"/>
      <c r="M19" s="147" t="str">
        <f t="shared" si="0"/>
        <v>22.21.65.27ERWNON FIN</v>
      </c>
      <c r="N19" s="147" t="str">
        <f>VLOOKUP(aug[[#This Row],[Key]],Table2527[[#All],[ ]:[Bucket CTL]],2,0)</f>
        <v>22.23-0-1.6-ERW 1-PE</v>
      </c>
      <c r="O19" s="147" t="str">
        <f>VLOOKUP(aug[[#This Row],[Key]],Table2527[[#All],[ ]:[Bucket CTL]],3,0)</f>
        <v>22.23-0-1.6-ERW 1-PE-5.27</v>
      </c>
      <c r="P19" s="147" t="s">
        <v>6272</v>
      </c>
      <c r="Q19" s="147" t="str">
        <f>VLOOKUP(aug[[#This Row],[Key]],Table2527[[#All],[ ]:[TSL Material Code]],4,0)</f>
        <v>0789</v>
      </c>
      <c r="R19" s="147">
        <f>VLOOKUP(aug[[#This Row],[Key]],Table2527[[#All],[ ]:[TSL Material Code]],5,0)</f>
        <v>3575894</v>
      </c>
      <c r="S19" s="147" t="b">
        <f>EXACT(aug[[#This Row],[Material code july]],aug[[#This Row],[TSL Material Code]])</f>
        <v>1</v>
      </c>
      <c r="T19" s="151" t="s">
        <v>345</v>
      </c>
      <c r="U19" s="150">
        <f>aug[[#This Row],[Material code july]]</f>
        <v>3575894</v>
      </c>
      <c r="V19" s="19">
        <v>25</v>
      </c>
      <c r="W19" s="147">
        <v>3</v>
      </c>
      <c r="X19" s="147">
        <v>10</v>
      </c>
      <c r="Y19" s="147"/>
      <c r="Z19" s="147">
        <f t="shared" si="2"/>
        <v>7</v>
      </c>
      <c r="AA19" s="147">
        <v>0</v>
      </c>
      <c r="AB19" s="147">
        <f t="shared" si="3"/>
        <v>7</v>
      </c>
      <c r="AC19" s="19">
        <f t="shared" si="4"/>
        <v>18</v>
      </c>
      <c r="AD19" s="387">
        <f t="shared" si="5"/>
        <v>18</v>
      </c>
      <c r="AE19" s="416">
        <f>SUMIFS(meghsteelsales_previousmonth[Quantity],meghsteelsales_previousmonth[Length Bucket],aug[[#This Row],[Bucket CTL]])/1000</f>
        <v>43.08</v>
      </c>
      <c r="AF19" s="160">
        <f>SUMIFS(meghsteelsales_currentmonth[Quantity],meghsteelsales_currentmonth[Length Bucket],aug[[#This Row],[Bucket CTL]])/1000</f>
        <v>0</v>
      </c>
      <c r="AG19" s="147">
        <f>aug[[#This Row],[order logg ]]+aug[[#This Row],[ INDENT  FOR AUG-25 recommended]]</f>
        <v>18</v>
      </c>
      <c r="AH19" s="416">
        <f>aug[[#This Row],[Before 20th]]+aug[[#This Row],[ofter 20th]]</f>
        <v>43.08</v>
      </c>
      <c r="AI19" s="416">
        <f>IF((aug[[#This Row],[Total Indent]]-aug[[#This Row],[Total Delivered]])&lt;0,0,aug[[#This Row],[Total Indent]]-aug[[#This Row],[Total Delivered]])</f>
        <v>0</v>
      </c>
      <c r="AJ19" s="147">
        <v>3</v>
      </c>
    </row>
    <row r="20" spans="1:36" x14ac:dyDescent="0.25">
      <c r="A20" s="265" t="s">
        <v>10</v>
      </c>
      <c r="B20" s="147" t="s">
        <v>116</v>
      </c>
      <c r="C20" s="153" t="s">
        <v>338</v>
      </c>
      <c r="D20" s="147" t="s">
        <v>339</v>
      </c>
      <c r="E20" s="147" t="s">
        <v>340</v>
      </c>
      <c r="F20" s="148">
        <v>22.2</v>
      </c>
      <c r="G20" s="148"/>
      <c r="H20" s="148">
        <v>1.6</v>
      </c>
      <c r="I20" s="147">
        <v>5670</v>
      </c>
      <c r="J20" s="147">
        <v>5.67</v>
      </c>
      <c r="K20" s="147">
        <f t="shared" ca="1" si="1"/>
        <v>0</v>
      </c>
      <c r="L20" s="147"/>
      <c r="M20" s="147" t="str">
        <f t="shared" si="0"/>
        <v>22.21.65.67ERWNON FIN</v>
      </c>
      <c r="N20" s="147" t="s">
        <v>412</v>
      </c>
      <c r="O20" s="147" t="str">
        <f>_xlfn.CONCAT(aug[[#This Row],[Bucket]],"-",aug[[#This Row],[Length in Mtrs]])</f>
        <v>22.23-0-1.6-ERW 1-PE-5.67</v>
      </c>
      <c r="P20" s="147" t="s">
        <v>6272</v>
      </c>
      <c r="Q20" s="147" t="str">
        <f>VLOOKUP(aug[[#This Row],[Key]],Table2527[[#All],[ ]:[TSL Material Code]],4,0)</f>
        <v>056</v>
      </c>
      <c r="R20" s="147">
        <f>VLOOKUP(aug[[#This Row],[Key]],Table2527[[#All],[ ]:[TSL Material Code]],5,0)</f>
        <v>4055022</v>
      </c>
      <c r="S20" s="147" t="b">
        <f>EXACT(aug[[#This Row],[Material code july]],aug[[#This Row],[TSL Material Code]])</f>
        <v>1</v>
      </c>
      <c r="T20" s="151" t="s">
        <v>367</v>
      </c>
      <c r="U20" s="150">
        <f>aug[[#This Row],[Material code july]]</f>
        <v>4055022</v>
      </c>
      <c r="V20" s="19">
        <v>40</v>
      </c>
      <c r="W20" s="147">
        <v>10</v>
      </c>
      <c r="X20" s="147">
        <v>59</v>
      </c>
      <c r="Y20" s="147"/>
      <c r="Z20" s="147">
        <f t="shared" si="2"/>
        <v>49</v>
      </c>
      <c r="AA20" s="147">
        <v>0</v>
      </c>
      <c r="AB20" s="147">
        <f t="shared" si="3"/>
        <v>49</v>
      </c>
      <c r="AC20" s="19">
        <f t="shared" si="4"/>
        <v>-9</v>
      </c>
      <c r="AD20" s="387">
        <f t="shared" si="5"/>
        <v>0</v>
      </c>
      <c r="AE20" s="416">
        <f>SUMIFS(meghsteelsales_previousmonth[Quantity],meghsteelsales_previousmonth[Length Bucket],aug[[#This Row],[Bucket CTL]])/1000</f>
        <v>27.178328</v>
      </c>
      <c r="AF20" s="160">
        <f>SUMIFS(meghsteelsales_currentmonth[Quantity],meghsteelsales_currentmonth[Length Bucket],aug[[#This Row],[Bucket CTL]])/1000</f>
        <v>1.881885</v>
      </c>
      <c r="AG20" s="147">
        <f>aug[[#This Row],[order logg ]]+aug[[#This Row],[ INDENT  FOR AUG-25 recommended]]</f>
        <v>0</v>
      </c>
      <c r="AH20" s="416">
        <f>aug[[#This Row],[Before 20th]]+aug[[#This Row],[ofter 20th]]</f>
        <v>29.060213000000001</v>
      </c>
      <c r="AI20" s="416">
        <f>IF((aug[[#This Row],[Total Indent]]-aug[[#This Row],[Total Delivered]])&lt;0,0,aug[[#This Row],[Total Indent]]-aug[[#This Row],[Total Delivered]])</f>
        <v>0</v>
      </c>
      <c r="AJ20" s="147">
        <v>38</v>
      </c>
    </row>
    <row r="21" spans="1:36" x14ac:dyDescent="0.25">
      <c r="A21" s="265" t="s">
        <v>10</v>
      </c>
      <c r="B21" s="147" t="s">
        <v>116</v>
      </c>
      <c r="C21" s="155" t="s">
        <v>338</v>
      </c>
      <c r="D21" s="147" t="s">
        <v>339</v>
      </c>
      <c r="E21" s="147" t="s">
        <v>340</v>
      </c>
      <c r="F21" s="154">
        <v>22.2</v>
      </c>
      <c r="G21" s="154"/>
      <c r="H21" s="154">
        <v>2</v>
      </c>
      <c r="I21" s="155">
        <v>5950</v>
      </c>
      <c r="J21" s="147">
        <v>5.95</v>
      </c>
      <c r="K21" s="147">
        <f t="shared" ca="1" si="1"/>
        <v>0</v>
      </c>
      <c r="L21" s="147"/>
      <c r="M21" s="147" t="str">
        <f t="shared" si="0"/>
        <v>22.225.95ERWNON FIN</v>
      </c>
      <c r="N21" s="147" t="str">
        <f>VLOOKUP(aug[[#This Row],[Key]],Table2527[[#All],[ ]:[Bucket CTL]],2,0)</f>
        <v>22.23-0-2-ERW 1-PE</v>
      </c>
      <c r="O21" s="147" t="str">
        <f>VLOOKUP(aug[[#This Row],[Key]],Table2527[[#All],[ ]:[Bucket CTL]],3,0)</f>
        <v>22.23-0-2-ERW 1-PE-5.951</v>
      </c>
      <c r="P21" s="147" t="s">
        <v>6272</v>
      </c>
      <c r="Q21" s="147" t="str">
        <f>VLOOKUP(aug[[#This Row],[Key]],Table2527[[#All],[ ]:[TSL Material Code]],4,0)</f>
        <v>056</v>
      </c>
      <c r="R21" s="147">
        <f>VLOOKUP(aug[[#This Row],[Key]],Table2527[[#All],[ ]:[TSL Material Code]],5,0)</f>
        <v>3905466</v>
      </c>
      <c r="S21" s="147" t="b">
        <f>EXACT(aug[[#This Row],[Material code july]],aug[[#This Row],[TSL Material Code]])</f>
        <v>1</v>
      </c>
      <c r="T21" s="151" t="s">
        <v>367</v>
      </c>
      <c r="U21" s="385">
        <v>3905466</v>
      </c>
      <c r="V21" s="19">
        <v>50</v>
      </c>
      <c r="W21" s="147">
        <v>10</v>
      </c>
      <c r="X21" s="147">
        <v>0</v>
      </c>
      <c r="Y21" s="147"/>
      <c r="Z21" s="147">
        <f t="shared" si="2"/>
        <v>-10</v>
      </c>
      <c r="AA21" s="147">
        <v>3.7</v>
      </c>
      <c r="AB21" s="147">
        <f t="shared" si="3"/>
        <v>-6.3</v>
      </c>
      <c r="AC21" s="19">
        <f t="shared" si="4"/>
        <v>56.3</v>
      </c>
      <c r="AD21" s="387">
        <f t="shared" si="5"/>
        <v>56.3</v>
      </c>
      <c r="AE21" s="416">
        <f>SUMIFS(meghsteelsales_previousmonth[Quantity],meghsteelsales_previousmonth[Length Bucket],aug[[#This Row],[Bucket CTL]])/1000</f>
        <v>85.542945999999958</v>
      </c>
      <c r="AF21" s="160">
        <f>SUMIFS(meghsteelsales_currentmonth[Quantity],meghsteelsales_currentmonth[Length Bucket],aug[[#This Row],[Bucket CTL]])/1000</f>
        <v>51.635232000000002</v>
      </c>
      <c r="AG21" s="147">
        <f>aug[[#This Row],[order logg ]]+aug[[#This Row],[ INDENT  FOR AUG-25 recommended]]</f>
        <v>60</v>
      </c>
      <c r="AH21" s="416">
        <f>aug[[#This Row],[Before 20th]]+aug[[#This Row],[ofter 20th]]</f>
        <v>137.17817799999995</v>
      </c>
      <c r="AI21" s="416">
        <f>IF((aug[[#This Row],[Total Indent]]-aug[[#This Row],[Total Delivered]])&lt;0,0,aug[[#This Row],[Total Indent]]-aug[[#This Row],[Total Delivered]])</f>
        <v>0</v>
      </c>
      <c r="AJ21" s="147">
        <v>0</v>
      </c>
    </row>
    <row r="22" spans="1:36" x14ac:dyDescent="0.25">
      <c r="A22" s="265" t="s">
        <v>10</v>
      </c>
      <c r="B22" s="147" t="s">
        <v>116</v>
      </c>
      <c r="C22" s="155" t="s">
        <v>338</v>
      </c>
      <c r="D22" s="147" t="s">
        <v>339</v>
      </c>
      <c r="E22" s="147" t="s">
        <v>340</v>
      </c>
      <c r="F22" s="154">
        <v>22.2</v>
      </c>
      <c r="G22" s="154"/>
      <c r="H22" s="154">
        <v>2</v>
      </c>
      <c r="I22" s="155">
        <v>5100</v>
      </c>
      <c r="J22" s="147">
        <v>5.0999999999999996</v>
      </c>
      <c r="K22" s="147">
        <f t="shared" ca="1" si="1"/>
        <v>0</v>
      </c>
      <c r="L22" s="147"/>
      <c r="M22" s="147" t="str">
        <f t="shared" si="0"/>
        <v>22.225.1ERWNON FIN</v>
      </c>
      <c r="N22" s="147" t="str">
        <f>VLOOKUP(aug[[#This Row],[Key]],Table2527[[#All],[ ]:[Bucket CTL]],2,0)</f>
        <v>22.23-0-2-ERW 1-PE</v>
      </c>
      <c r="O22" s="147" t="str">
        <f>VLOOKUP(aug[[#This Row],[Key]],Table2527[[#All],[ ]:[Bucket CTL]],3,0)</f>
        <v>22.23-0-2-ERW 1-PE-5.1</v>
      </c>
      <c r="P22" s="147"/>
      <c r="Q22" s="147" t="str">
        <f>VLOOKUP(aug[[#This Row],[Key]],Table2527[[#All],[ ]:[TSL Material Code]],4,0)</f>
        <v>056</v>
      </c>
      <c r="R22" s="147">
        <f>VLOOKUP(aug[[#This Row],[Key]],Table2527[[#All],[ ]:[TSL Material Code]],5,0)</f>
        <v>3500554</v>
      </c>
      <c r="S22" s="147" t="b">
        <f>EXACT(aug[[#This Row],[Material code july]],aug[[#This Row],[TSL Material Code]])</f>
        <v>1</v>
      </c>
      <c r="T22" s="151" t="s">
        <v>367</v>
      </c>
      <c r="U22" s="150">
        <v>3500554</v>
      </c>
      <c r="V22" s="19">
        <v>20</v>
      </c>
      <c r="W22" s="147">
        <v>5</v>
      </c>
      <c r="X22" s="147">
        <v>5</v>
      </c>
      <c r="Y22" s="147"/>
      <c r="Z22" s="147">
        <f t="shared" si="2"/>
        <v>0</v>
      </c>
      <c r="AA22" s="147">
        <v>2.6</v>
      </c>
      <c r="AB22" s="147">
        <f t="shared" si="3"/>
        <v>2.6</v>
      </c>
      <c r="AC22" s="19">
        <f t="shared" si="4"/>
        <v>17.399999999999999</v>
      </c>
      <c r="AD22" s="387">
        <f t="shared" si="5"/>
        <v>17.399999999999999</v>
      </c>
      <c r="AE22" s="416">
        <f>SUMIFS(meghsteelsales_previousmonth[Quantity],meghsteelsales_previousmonth[Length Bucket],aug[[#This Row],[Bucket CTL]])/1000</f>
        <v>0</v>
      </c>
      <c r="AF22" s="160">
        <f>SUMIFS(meghsteelsales_currentmonth[Quantity],meghsteelsales_currentmonth[Length Bucket],aug[[#This Row],[Bucket CTL]])/1000</f>
        <v>0</v>
      </c>
      <c r="AG22" s="187">
        <f>aug[[#This Row],[order logg ]]+aug[[#This Row],[ INDENT  FOR AUG-25 recommended]]</f>
        <v>20</v>
      </c>
      <c r="AH22" s="427">
        <f>aug[[#This Row],[Before 20th]]+aug[[#This Row],[ofter 20th]]</f>
        <v>0</v>
      </c>
      <c r="AI22" s="427">
        <f>IF((aug[[#This Row],[Total Indent]]-aug[[#This Row],[Total Delivered]])&lt;0,0,aug[[#This Row],[Total Indent]]-aug[[#This Row],[Total Delivered]])</f>
        <v>20</v>
      </c>
      <c r="AJ22" s="187"/>
    </row>
    <row r="23" spans="1:36" x14ac:dyDescent="0.25">
      <c r="A23" s="265" t="s">
        <v>10</v>
      </c>
      <c r="B23" s="147" t="s">
        <v>116</v>
      </c>
      <c r="C23" s="147" t="s">
        <v>344</v>
      </c>
      <c r="D23" s="147" t="s">
        <v>348</v>
      </c>
      <c r="E23" s="147" t="s">
        <v>349</v>
      </c>
      <c r="F23" s="148">
        <v>22.2</v>
      </c>
      <c r="G23" s="148"/>
      <c r="H23" s="148">
        <v>2</v>
      </c>
      <c r="I23" s="147">
        <v>6000</v>
      </c>
      <c r="J23" s="147">
        <v>6000</v>
      </c>
      <c r="K23" s="147">
        <f t="shared" ca="1" si="1"/>
        <v>0</v>
      </c>
      <c r="L23" s="147"/>
      <c r="M23" s="147" t="str">
        <f t="shared" si="0"/>
        <v>22.226000HSTFIN CUT</v>
      </c>
      <c r="N23" s="147" t="str">
        <f>VLOOKUP(aug[[#This Row],[Key]],Table2527[[#All],[ ]:[Bucket CTL]],2,0)</f>
        <v>22.23-0-2-ERW 2 MAHS-FC</v>
      </c>
      <c r="O23" s="147" t="str">
        <f>VLOOKUP(aug[[#This Row],[Key]],Table2527[[#All],[ ]:[Bucket CTL]],3,0)</f>
        <v>22.23-0-2-ERW 2 MAHS-FC-6.001</v>
      </c>
      <c r="P23" s="147" t="s">
        <v>6272</v>
      </c>
      <c r="Q23" s="147" t="str">
        <f>VLOOKUP(aug[[#This Row],[Key]],Table2527[[#All],[ ]:[TSL Material Code]],4,0)</f>
        <v>056</v>
      </c>
      <c r="R23" s="147">
        <f>VLOOKUP(aug[[#This Row],[Key]],Table2527[[#All],[ ]:[TSL Material Code]],5,0)</f>
        <v>3502494</v>
      </c>
      <c r="S23" s="147" t="b">
        <f>EXACT(aug[[#This Row],[Material code july]],aug[[#This Row],[TSL Material Code]])</f>
        <v>1</v>
      </c>
      <c r="T23" s="151" t="s">
        <v>367</v>
      </c>
      <c r="U23" s="150">
        <f>aug[[#This Row],[Material code july]]</f>
        <v>3502494</v>
      </c>
      <c r="V23" s="19">
        <v>50</v>
      </c>
      <c r="W23" s="147">
        <v>10</v>
      </c>
      <c r="X23" s="147">
        <v>0</v>
      </c>
      <c r="Y23" s="147">
        <v>101</v>
      </c>
      <c r="Z23" s="147">
        <f t="shared" si="2"/>
        <v>-10</v>
      </c>
      <c r="AA23" s="147">
        <v>30</v>
      </c>
      <c r="AB23" s="147">
        <f t="shared" si="3"/>
        <v>20</v>
      </c>
      <c r="AC23" s="19">
        <f t="shared" si="4"/>
        <v>30</v>
      </c>
      <c r="AD23" s="387">
        <f t="shared" si="5"/>
        <v>30</v>
      </c>
      <c r="AE23" s="416">
        <f>SUMIFS(meghsteelsales_previousmonth[Quantity],meghsteelsales_previousmonth[Length Bucket],aug[[#This Row],[Bucket CTL]])/1000</f>
        <v>0</v>
      </c>
      <c r="AF23" s="160">
        <f>SUMIFS(meghsteelsales_currentmonth[Quantity],meghsteelsales_currentmonth[Length Bucket],aug[[#This Row],[Bucket CTL]])/1000</f>
        <v>0</v>
      </c>
      <c r="AG23" s="147">
        <f>aug[[#This Row],[order logg ]]+aug[[#This Row],[ INDENT  FOR AUG-25 recommended]]</f>
        <v>60</v>
      </c>
      <c r="AH23" s="416">
        <f>aug[[#This Row],[Before 20th]]+aug[[#This Row],[ofter 20th]]</f>
        <v>0</v>
      </c>
      <c r="AI23" s="416">
        <f>IF((aug[[#This Row],[Total Indent]]-aug[[#This Row],[Total Delivered]])&lt;0,0,aug[[#This Row],[Total Indent]]-aug[[#This Row],[Total Delivered]])</f>
        <v>60</v>
      </c>
      <c r="AJ23" s="147">
        <v>5</v>
      </c>
    </row>
    <row r="24" spans="1:36" x14ac:dyDescent="0.25">
      <c r="A24" s="265" t="s">
        <v>341</v>
      </c>
      <c r="B24" s="147" t="s">
        <v>342</v>
      </c>
      <c r="C24" s="147" t="s">
        <v>350</v>
      </c>
      <c r="D24" s="147" t="s">
        <v>348</v>
      </c>
      <c r="E24" s="147" t="s">
        <v>351</v>
      </c>
      <c r="F24" s="148">
        <v>22.2</v>
      </c>
      <c r="G24" s="148"/>
      <c r="H24" s="148">
        <v>2</v>
      </c>
      <c r="I24" s="147">
        <v>5390</v>
      </c>
      <c r="J24" s="147">
        <v>5.39</v>
      </c>
      <c r="K24" s="147">
        <f t="shared" ca="1" si="1"/>
        <v>0</v>
      </c>
      <c r="L24" s="147"/>
      <c r="M24" s="147" t="str">
        <f t="shared" si="0"/>
        <v>22.225.39CR ERW FIN CUT</v>
      </c>
      <c r="N24" s="147" t="str">
        <f>VLOOKUP(aug[[#This Row],[Key]],Table2527[[#All],[ ]:[Bucket CTL]],2,0)</f>
        <v>22.23-0-2-ERW 1-FC</v>
      </c>
      <c r="O24" s="147" t="str">
        <f>VLOOKUP(aug[[#This Row],[Key]],Table2527[[#All],[ ]:[Bucket CTL]],3,0)</f>
        <v>22.23-0-2-ERW 1-PE-5.39</v>
      </c>
      <c r="P24" s="147"/>
      <c r="Q24" s="147" t="str">
        <f>VLOOKUP(aug[[#This Row],[Key]],Table2527[[#All],[ ]:[TSL Material Code]],4,0)</f>
        <v>0789</v>
      </c>
      <c r="R24" s="147">
        <f>VLOOKUP(aug[[#This Row],[Key]],Table2527[[#All],[ ]:[TSL Material Code]],5,0)</f>
        <v>2431251</v>
      </c>
      <c r="S24" s="147" t="b">
        <f>EXACT(aug[[#This Row],[Material code july]],aug[[#This Row],[TSL Material Code]])</f>
        <v>1</v>
      </c>
      <c r="T24" s="151" t="s">
        <v>345</v>
      </c>
      <c r="U24" s="147">
        <f>VLOOKUP(aug[[#This Row],[Key]],Table2527[[#All],[ ]:[TSL Material Code]],5,0)</f>
        <v>2431251</v>
      </c>
      <c r="V24" s="19">
        <v>50</v>
      </c>
      <c r="W24" s="147">
        <v>3</v>
      </c>
      <c r="X24" s="147">
        <v>0</v>
      </c>
      <c r="Y24" s="147"/>
      <c r="Z24" s="147">
        <f t="shared" si="2"/>
        <v>-3</v>
      </c>
      <c r="AA24" s="147">
        <v>0</v>
      </c>
      <c r="AB24" s="147">
        <f t="shared" si="3"/>
        <v>-3</v>
      </c>
      <c r="AC24" s="19">
        <f t="shared" si="4"/>
        <v>53</v>
      </c>
      <c r="AD24" s="387">
        <f t="shared" si="5"/>
        <v>53</v>
      </c>
      <c r="AE24" s="416">
        <f>SUMIFS(meghsteelsales_previousmonth[Quantity],meghsteelsales_previousmonth[Length Bucket],aug[[#This Row],[Bucket CTL]])/1000</f>
        <v>4.5</v>
      </c>
      <c r="AF24" s="160">
        <f>SUMIFS(meghsteelsales_currentmonth[Quantity],meghsteelsales_currentmonth[Length Bucket],aug[[#This Row],[Bucket CTL]])/1000</f>
        <v>22.54</v>
      </c>
      <c r="AG24" s="187">
        <f>aug[[#This Row],[order logg ]]+aug[[#This Row],[ INDENT  FOR AUG-25 recommended]]</f>
        <v>53</v>
      </c>
      <c r="AH24" s="427">
        <f>aug[[#This Row],[Before 20th]]+aug[[#This Row],[ofter 20th]]</f>
        <v>27.04</v>
      </c>
      <c r="AI24" s="427">
        <f>IF((aug[[#This Row],[Total Indent]]-aug[[#This Row],[Total Delivered]])&lt;0,0,aug[[#This Row],[Total Indent]]-aug[[#This Row],[Total Delivered]])</f>
        <v>25.96</v>
      </c>
      <c r="AJ24" s="187"/>
    </row>
    <row r="25" spans="1:36" x14ac:dyDescent="0.25">
      <c r="A25" s="265" t="s">
        <v>341</v>
      </c>
      <c r="B25" s="147" t="s">
        <v>342</v>
      </c>
      <c r="C25" s="153" t="s">
        <v>344</v>
      </c>
      <c r="D25" s="147" t="s">
        <v>348</v>
      </c>
      <c r="E25" s="147" t="s">
        <v>349</v>
      </c>
      <c r="F25" s="148">
        <v>25.4</v>
      </c>
      <c r="G25" s="148"/>
      <c r="H25" s="148">
        <v>1.4</v>
      </c>
      <c r="I25" s="147">
        <v>5531</v>
      </c>
      <c r="J25" s="147">
        <v>5.5309999999999997</v>
      </c>
      <c r="K25" s="147">
        <f t="shared" ca="1" si="1"/>
        <v>0</v>
      </c>
      <c r="L25" s="147"/>
      <c r="M25" s="147" t="str">
        <f t="shared" si="0"/>
        <v>25.41.45.531HSTFIN CUT</v>
      </c>
      <c r="N25" s="147" t="str">
        <f>VLOOKUP(aug[[#This Row],[Key]],Table2527[[#All],[ ]:[Bucket CTL]],2,0)</f>
        <v>25.4-0-1.4-ERW 2-FC</v>
      </c>
      <c r="O25" s="147" t="str">
        <f>VLOOKUP(aug[[#This Row],[Key]],Table2527[[#All],[ ]:[Bucket CTL]],3,0)</f>
        <v>25.4-0-1.4-ERW 2-FC-5.531</v>
      </c>
      <c r="P25" s="147"/>
      <c r="Q25" s="147" t="str">
        <f>VLOOKUP(aug[[#This Row],[Key]],Table2527[[#All],[ ]:[TSL Material Code]],4,0)</f>
        <v>056</v>
      </c>
      <c r="R25" s="147">
        <f>VLOOKUP(aug[[#This Row],[Key]],Table2527[[#All],[ ]:[TSL Material Code]],5,0)</f>
        <v>3501900</v>
      </c>
      <c r="S25" s="147" t="b">
        <f>EXACT(aug[[#This Row],[Material code july]],aug[[#This Row],[TSL Material Code]])</f>
        <v>1</v>
      </c>
      <c r="T25" s="151" t="s">
        <v>367</v>
      </c>
      <c r="U25" s="150">
        <v>3501900</v>
      </c>
      <c r="V25" s="19">
        <v>15</v>
      </c>
      <c r="W25" s="147">
        <v>3</v>
      </c>
      <c r="X25" s="147">
        <v>0</v>
      </c>
      <c r="Y25" s="147"/>
      <c r="Z25" s="147">
        <f t="shared" si="2"/>
        <v>-3</v>
      </c>
      <c r="AA25" s="147">
        <v>12.5</v>
      </c>
      <c r="AB25" s="147">
        <f t="shared" si="3"/>
        <v>9.5</v>
      </c>
      <c r="AC25" s="19">
        <f t="shared" si="4"/>
        <v>5.5</v>
      </c>
      <c r="AD25" s="387">
        <f t="shared" si="5"/>
        <v>5.5</v>
      </c>
      <c r="AE25" s="416">
        <f>SUMIFS(meghsteelsales_previousmonth[Quantity],meghsteelsales_previousmonth[Length Bucket],aug[[#This Row],[Bucket CTL]])/1000</f>
        <v>0</v>
      </c>
      <c r="AF25" s="160">
        <f>SUMIFS(meghsteelsales_currentmonth[Quantity],meghsteelsales_currentmonth[Length Bucket],aug[[#This Row],[Bucket CTL]])/1000</f>
        <v>0</v>
      </c>
      <c r="AG25" s="187">
        <f>aug[[#This Row],[order logg ]]+aug[[#This Row],[ INDENT  FOR AUG-25 recommended]]</f>
        <v>18</v>
      </c>
      <c r="AH25" s="427">
        <f>aug[[#This Row],[Before 20th]]+aug[[#This Row],[ofter 20th]]</f>
        <v>0</v>
      </c>
      <c r="AI25" s="427">
        <f>IF((aug[[#This Row],[Total Indent]]-aug[[#This Row],[Total Delivered]])&lt;0,0,aug[[#This Row],[Total Indent]]-aug[[#This Row],[Total Delivered]])</f>
        <v>18</v>
      </c>
      <c r="AJ25" s="187"/>
    </row>
    <row r="26" spans="1:36" x14ac:dyDescent="0.25">
      <c r="A26" s="265" t="s">
        <v>341</v>
      </c>
      <c r="B26" s="147" t="s">
        <v>342</v>
      </c>
      <c r="C26" s="153" t="s">
        <v>338</v>
      </c>
      <c r="D26" s="147" t="s">
        <v>348</v>
      </c>
      <c r="E26" s="147" t="s">
        <v>340</v>
      </c>
      <c r="F26" s="148">
        <v>25.4</v>
      </c>
      <c r="G26" s="148"/>
      <c r="H26" s="148">
        <v>1.4</v>
      </c>
      <c r="I26" s="147">
        <v>6060</v>
      </c>
      <c r="J26" s="147">
        <v>6.06</v>
      </c>
      <c r="K26" s="147">
        <f t="shared" ca="1" si="1"/>
        <v>0</v>
      </c>
      <c r="L26" s="147"/>
      <c r="M26" s="147" t="str">
        <f t="shared" si="0"/>
        <v>25.41.46.06ERWFIN CUT</v>
      </c>
      <c r="N26" s="147" t="str">
        <f>VLOOKUP(aug[[#This Row],[Key]],Table2527[[#All],[ ]:[Bucket CTL]],2,0)</f>
        <v>25.4-0-1.4-ERW 1-FC</v>
      </c>
      <c r="O26" s="147" t="str">
        <f>VLOOKUP(aug[[#This Row],[Key]],Table2527[[#All],[ ]:[Bucket CTL]],3,0)</f>
        <v>25.4-0-1.4-ERW 1-FC-6.06</v>
      </c>
      <c r="P26" s="147"/>
      <c r="Q26" s="147" t="str">
        <f>VLOOKUP(aug[[#This Row],[Key]],Table2527[[#All],[ ]:[TSL Material Code]],4,0)</f>
        <v>0789</v>
      </c>
      <c r="R26" s="147">
        <f>VLOOKUP(aug[[#This Row],[Key]],Table2527[[#All],[ ]:[TSL Material Code]],5,0)</f>
        <v>3557792</v>
      </c>
      <c r="S26" s="147" t="b">
        <f>EXACT(aug[[#This Row],[Material code july]],aug[[#This Row],[TSL Material Code]])</f>
        <v>1</v>
      </c>
      <c r="T26" s="151" t="s">
        <v>345</v>
      </c>
      <c r="U26" s="149">
        <v>3557792</v>
      </c>
      <c r="V26" s="19">
        <v>10</v>
      </c>
      <c r="W26" s="147">
        <v>0</v>
      </c>
      <c r="X26" s="147">
        <v>0</v>
      </c>
      <c r="Y26" s="147"/>
      <c r="Z26" s="147">
        <f t="shared" si="2"/>
        <v>0</v>
      </c>
      <c r="AA26" s="147">
        <v>0</v>
      </c>
      <c r="AB26" s="147">
        <f t="shared" si="3"/>
        <v>0</v>
      </c>
      <c r="AC26" s="19">
        <f t="shared" si="4"/>
        <v>10</v>
      </c>
      <c r="AD26" s="387">
        <f t="shared" si="5"/>
        <v>10</v>
      </c>
      <c r="AE26" s="416">
        <f>SUMIFS(meghsteelsales_previousmonth[Quantity],meghsteelsales_previousmonth[Length Bucket],aug[[#This Row],[Bucket CTL]])/1000</f>
        <v>0</v>
      </c>
      <c r="AF26" s="160">
        <f>SUMIFS(meghsteelsales_currentmonth[Quantity],meghsteelsales_currentmonth[Length Bucket],aug[[#This Row],[Bucket CTL]])/1000</f>
        <v>0</v>
      </c>
      <c r="AG26" s="187">
        <f>aug[[#This Row],[order logg ]]+aug[[#This Row],[ INDENT  FOR AUG-25 recommended]]</f>
        <v>10</v>
      </c>
      <c r="AH26" s="427">
        <f>aug[[#This Row],[Before 20th]]+aug[[#This Row],[ofter 20th]]</f>
        <v>0</v>
      </c>
      <c r="AI26" s="427">
        <f>IF((aug[[#This Row],[Total Indent]]-aug[[#This Row],[Total Delivered]])&lt;0,0,aug[[#This Row],[Total Indent]]-aug[[#This Row],[Total Delivered]])</f>
        <v>10</v>
      </c>
      <c r="AJ26" s="187"/>
    </row>
    <row r="27" spans="1:36" x14ac:dyDescent="0.25">
      <c r="A27" s="265" t="s">
        <v>10</v>
      </c>
      <c r="B27" s="147" t="s">
        <v>116</v>
      </c>
      <c r="C27" s="153" t="s">
        <v>338</v>
      </c>
      <c r="D27" s="147" t="s">
        <v>339</v>
      </c>
      <c r="E27" s="147" t="s">
        <v>340</v>
      </c>
      <c r="F27" s="148">
        <v>25.4</v>
      </c>
      <c r="G27" s="148"/>
      <c r="H27" s="148">
        <v>1.6</v>
      </c>
      <c r="I27" s="147">
        <v>6000</v>
      </c>
      <c r="J27" s="147">
        <v>6</v>
      </c>
      <c r="K27" s="147">
        <f t="shared" ca="1" si="1"/>
        <v>0</v>
      </c>
      <c r="L27" s="147"/>
      <c r="M27" s="147" t="str">
        <f t="shared" si="0"/>
        <v>25.41.66ERWNON FIN</v>
      </c>
      <c r="N27" s="147" t="str">
        <f>VLOOKUP(aug[[#This Row],[Key]],Table2527[[#All],[ ]:[Bucket CTL]],2,0)</f>
        <v>25.4-0-1.6-ERW 1-PE</v>
      </c>
      <c r="O27" s="147" t="str">
        <f>VLOOKUP(aug[[#This Row],[Key]],Table2527[[#All],[ ]:[Bucket CTL]],3,0)</f>
        <v>25.4-0-1.6-ERW 1-PE-6</v>
      </c>
      <c r="P27" s="147"/>
      <c r="Q27" s="147" t="str">
        <f>VLOOKUP(aug[[#This Row],[Key]],Table2527[[#All],[ ]:[TSL Material Code]],4,0)</f>
        <v>056</v>
      </c>
      <c r="R27" s="147">
        <f>VLOOKUP(aug[[#This Row],[Key]],Table2527[[#All],[ ]:[TSL Material Code]],5,0)</f>
        <v>3500097</v>
      </c>
      <c r="S27" s="147" t="b">
        <f>EXACT(aug[[#This Row],[Material code july]],aug[[#This Row],[TSL Material Code]])</f>
        <v>1</v>
      </c>
      <c r="T27" s="151" t="s">
        <v>367</v>
      </c>
      <c r="U27" s="150">
        <v>3500097</v>
      </c>
      <c r="V27" s="19">
        <v>35</v>
      </c>
      <c r="W27" s="147">
        <v>15</v>
      </c>
      <c r="X27" s="147">
        <v>2</v>
      </c>
      <c r="Y27" s="147"/>
      <c r="Z27" s="147">
        <f t="shared" si="2"/>
        <v>-13</v>
      </c>
      <c r="AA27" s="147">
        <v>58.5</v>
      </c>
      <c r="AB27" s="147">
        <f t="shared" si="3"/>
        <v>45.5</v>
      </c>
      <c r="AC27" s="19">
        <f t="shared" si="4"/>
        <v>-10.5</v>
      </c>
      <c r="AD27" s="387">
        <f t="shared" si="5"/>
        <v>0</v>
      </c>
      <c r="AE27" s="416">
        <f>SUMIFS(meghsteelsales_previousmonth[Quantity],meghsteelsales_previousmonth[Length Bucket],aug[[#This Row],[Bucket CTL]])/1000</f>
        <v>63.302988000000028</v>
      </c>
      <c r="AF27" s="160">
        <f>SUMIFS(meghsteelsales_currentmonth[Quantity],meghsteelsales_currentmonth[Length Bucket],aug[[#This Row],[Bucket CTL]])/1000</f>
        <v>0</v>
      </c>
      <c r="AG27" s="187">
        <f>aug[[#This Row],[order logg ]]+aug[[#This Row],[ INDENT  FOR AUG-25 recommended]]</f>
        <v>58.5</v>
      </c>
      <c r="AH27" s="427">
        <f>aug[[#This Row],[Before 20th]]+aug[[#This Row],[ofter 20th]]</f>
        <v>63.302988000000028</v>
      </c>
      <c r="AI27" s="427">
        <f>IF((aug[[#This Row],[Total Indent]]-aug[[#This Row],[Total Delivered]])&lt;0,0,aug[[#This Row],[Total Indent]]-aug[[#This Row],[Total Delivered]])</f>
        <v>0</v>
      </c>
      <c r="AJ27" s="187"/>
    </row>
    <row r="28" spans="1:36" x14ac:dyDescent="0.25">
      <c r="A28" s="265" t="s">
        <v>10</v>
      </c>
      <c r="B28" s="147" t="s">
        <v>116</v>
      </c>
      <c r="C28" s="153" t="s">
        <v>338</v>
      </c>
      <c r="D28" s="147" t="s">
        <v>339</v>
      </c>
      <c r="E28" s="147" t="s">
        <v>340</v>
      </c>
      <c r="F28" s="148">
        <v>25.4</v>
      </c>
      <c r="G28" s="148"/>
      <c r="H28" s="148">
        <v>2</v>
      </c>
      <c r="I28" s="147">
        <v>5840</v>
      </c>
      <c r="J28" s="147">
        <v>5.82</v>
      </c>
      <c r="K28" s="147">
        <f t="shared" ca="1" si="1"/>
        <v>0</v>
      </c>
      <c r="L28" s="147"/>
      <c r="M28" s="147" t="str">
        <f t="shared" si="0"/>
        <v>25.425.82ERWNON FIN</v>
      </c>
      <c r="N28" s="147" t="str">
        <f>VLOOKUP(aug[[#This Row],[Key]],Table2527[[#All],[ ]:[Bucket CTL]],2,0)</f>
        <v>25.4-0-2-ERW 1-PE</v>
      </c>
      <c r="O28" s="147" t="str">
        <f>VLOOKUP(aug[[#This Row],[Key]],Table2527[[#All],[ ]:[Bucket CTL]],3,0)</f>
        <v>25.4-0-2-ERW 1-PE-5.82</v>
      </c>
      <c r="P28" s="147"/>
      <c r="Q28" s="147" t="str">
        <f>VLOOKUP(aug[[#This Row],[Key]],Table2527[[#All],[ ]:[TSL Material Code]],4,0)</f>
        <v>056</v>
      </c>
      <c r="R28" s="147">
        <f>VLOOKUP(aug[[#This Row],[Key]],Table2527[[#All],[ ]:[TSL Material Code]],5,0)</f>
        <v>3240023</v>
      </c>
      <c r="S28" s="147" t="b">
        <f>EXACT(aug[[#This Row],[Material code july]],aug[[#This Row],[TSL Material Code]])</f>
        <v>1</v>
      </c>
      <c r="T28" s="151" t="s">
        <v>367</v>
      </c>
      <c r="U28" s="149">
        <v>3240023</v>
      </c>
      <c r="V28" s="19">
        <v>20</v>
      </c>
      <c r="W28" s="147">
        <v>0</v>
      </c>
      <c r="X28" s="147">
        <v>0</v>
      </c>
      <c r="Y28" s="147"/>
      <c r="Z28" s="147">
        <f t="shared" si="2"/>
        <v>0</v>
      </c>
      <c r="AA28" s="147">
        <v>2.8</v>
      </c>
      <c r="AB28" s="147">
        <f t="shared" si="3"/>
        <v>2.8</v>
      </c>
      <c r="AC28" s="19">
        <f t="shared" si="4"/>
        <v>17.2</v>
      </c>
      <c r="AD28" s="387">
        <f t="shared" si="5"/>
        <v>17.2</v>
      </c>
      <c r="AE28" s="416">
        <f>SUMIFS(meghsteelsales_previousmonth[Quantity],meghsteelsales_previousmonth[Length Bucket],aug[[#This Row],[Bucket CTL]])/1000</f>
        <v>46.943582000000006</v>
      </c>
      <c r="AF28" s="160">
        <f>SUMIFS(meghsteelsales_currentmonth[Quantity],meghsteelsales_currentmonth[Length Bucket],aug[[#This Row],[Bucket CTL]])/1000</f>
        <v>0</v>
      </c>
      <c r="AG28" s="187">
        <f>aug[[#This Row],[order logg ]]+aug[[#This Row],[ INDENT  FOR AUG-25 recommended]]</f>
        <v>20</v>
      </c>
      <c r="AH28" s="427">
        <f>aug[[#This Row],[Before 20th]]+aug[[#This Row],[ofter 20th]]</f>
        <v>46.943582000000006</v>
      </c>
      <c r="AI28" s="427">
        <f>IF((aug[[#This Row],[Total Indent]]-aug[[#This Row],[Total Delivered]])&lt;0,0,aug[[#This Row],[Total Indent]]-aug[[#This Row],[Total Delivered]])</f>
        <v>0</v>
      </c>
      <c r="AJ28" s="187"/>
    </row>
    <row r="29" spans="1:36" x14ac:dyDescent="0.25">
      <c r="A29" s="265" t="s">
        <v>10</v>
      </c>
      <c r="B29" s="147" t="s">
        <v>116</v>
      </c>
      <c r="C29" s="153" t="s">
        <v>338</v>
      </c>
      <c r="D29" s="147" t="s">
        <v>339</v>
      </c>
      <c r="E29" s="147" t="s">
        <v>340</v>
      </c>
      <c r="F29" s="148">
        <v>25.4</v>
      </c>
      <c r="G29" s="148"/>
      <c r="H29" s="148">
        <v>2</v>
      </c>
      <c r="I29" s="147">
        <v>6050</v>
      </c>
      <c r="J29" s="147">
        <v>6.05</v>
      </c>
      <c r="K29" s="147">
        <f t="shared" ca="1" si="1"/>
        <v>0</v>
      </c>
      <c r="L29" s="147"/>
      <c r="M29" s="147" t="str">
        <f t="shared" si="0"/>
        <v>25.426.05ERWNON FIN</v>
      </c>
      <c r="N29" s="147" t="str">
        <f>VLOOKUP(aug[[#This Row],[Key]],Table2527[[#All],[ ]:[Bucket CTL]],2,0)</f>
        <v>25.4-0-2-ERW 1-PE</v>
      </c>
      <c r="O29" s="147" t="str">
        <f>VLOOKUP(aug[[#This Row],[Key]],Table2527[[#All],[ ]:[Bucket CTL]],3,0)</f>
        <v>25.4-0-2-ERW 1-PE-6.05</v>
      </c>
      <c r="P29" s="147"/>
      <c r="Q29" s="147" t="str">
        <f>VLOOKUP(aug[[#This Row],[Key]],Table2527[[#All],[ ]:[TSL Material Code]],4,0)</f>
        <v>0789</v>
      </c>
      <c r="R29" s="147">
        <f>VLOOKUP(aug[[#This Row],[Key]],Table2527[[#All],[ ]:[TSL Material Code]],5,0)</f>
        <v>4055021</v>
      </c>
      <c r="S29" s="147" t="b">
        <f>EXACT(aug[[#This Row],[Material code july]],aug[[#This Row],[TSL Material Code]])</f>
        <v>1</v>
      </c>
      <c r="T29" s="151" t="s">
        <v>345</v>
      </c>
      <c r="U29" s="150">
        <f>aug[[#This Row],[Material code july]]</f>
        <v>4055021</v>
      </c>
      <c r="V29" s="19">
        <v>15</v>
      </c>
      <c r="W29" s="147">
        <v>3</v>
      </c>
      <c r="X29" s="147">
        <v>12</v>
      </c>
      <c r="Y29" s="147"/>
      <c r="Z29" s="147">
        <f t="shared" si="2"/>
        <v>9</v>
      </c>
      <c r="AA29" s="147">
        <v>0</v>
      </c>
      <c r="AB29" s="147">
        <f t="shared" si="3"/>
        <v>9</v>
      </c>
      <c r="AC29" s="19">
        <f t="shared" si="4"/>
        <v>6</v>
      </c>
      <c r="AD29" s="387">
        <f t="shared" si="5"/>
        <v>6</v>
      </c>
      <c r="AE29" s="416">
        <f>SUMIFS(meghsteelsales_previousmonth[Quantity],meghsteelsales_previousmonth[Length Bucket],aug[[#This Row],[Bucket CTL]])/1000</f>
        <v>0</v>
      </c>
      <c r="AF29" s="160">
        <f>SUMIFS(meghsteelsales_currentmonth[Quantity],meghsteelsales_currentmonth[Length Bucket],aug[[#This Row],[Bucket CTL]])/1000</f>
        <v>0</v>
      </c>
      <c r="AG29" s="187">
        <f>aug[[#This Row],[order logg ]]+aug[[#This Row],[ INDENT  FOR AUG-25 recommended]]</f>
        <v>6</v>
      </c>
      <c r="AH29" s="427">
        <f>aug[[#This Row],[Before 20th]]+aug[[#This Row],[ofter 20th]]</f>
        <v>0</v>
      </c>
      <c r="AI29" s="427">
        <f>IF((aug[[#This Row],[Total Indent]]-aug[[#This Row],[Total Delivered]])&lt;0,0,aug[[#This Row],[Total Indent]]-aug[[#This Row],[Total Delivered]])</f>
        <v>6</v>
      </c>
      <c r="AJ29" s="187"/>
    </row>
    <row r="30" spans="1:36" x14ac:dyDescent="0.25">
      <c r="A30" s="265" t="s">
        <v>10</v>
      </c>
      <c r="B30" s="147" t="s">
        <v>116</v>
      </c>
      <c r="C30" s="153" t="s">
        <v>338</v>
      </c>
      <c r="D30" s="147" t="s">
        <v>339</v>
      </c>
      <c r="E30" s="147" t="s">
        <v>340</v>
      </c>
      <c r="F30" s="148">
        <v>25.4</v>
      </c>
      <c r="G30" s="148"/>
      <c r="H30" s="148">
        <v>2.5</v>
      </c>
      <c r="I30" s="147">
        <v>5530</v>
      </c>
      <c r="J30" s="147">
        <v>5.53</v>
      </c>
      <c r="K30" s="147">
        <f t="shared" ca="1" si="1"/>
        <v>0</v>
      </c>
      <c r="L30" s="147"/>
      <c r="M30" s="147" t="str">
        <f t="shared" si="0"/>
        <v>25.42.55.53ERWNON FIN</v>
      </c>
      <c r="N30" s="147" t="str">
        <f>VLOOKUP(aug[[#This Row],[Key]],Table2527[[#All],[ ]:[Bucket CTL]],2,0)</f>
        <v>25.4-0-2.5-ERW 1-PE</v>
      </c>
      <c r="O30" s="147" t="str">
        <f>VLOOKUP(aug[[#This Row],[Key]],Table2527[[#All],[ ]:[Bucket CTL]],3,0)</f>
        <v>25.4-0-2.5-ERW 1-PE-5.53</v>
      </c>
      <c r="P30" s="147"/>
      <c r="Q30" s="147" t="str">
        <f>VLOOKUP(aug[[#This Row],[Key]],Table2527[[#All],[ ]:[TSL Material Code]],4,0)</f>
        <v>056</v>
      </c>
      <c r="R30" s="147">
        <f>VLOOKUP(aug[[#This Row],[Key]],Table2527[[#All],[ ]:[TSL Material Code]],5,0)</f>
        <v>3502256</v>
      </c>
      <c r="S30" s="147" t="b">
        <f>EXACT(aug[[#This Row],[Material code july]],aug[[#This Row],[TSL Material Code]])</f>
        <v>1</v>
      </c>
      <c r="T30" s="151" t="s">
        <v>367</v>
      </c>
      <c r="U30" s="150">
        <v>3502256</v>
      </c>
      <c r="V30" s="19">
        <v>60</v>
      </c>
      <c r="W30" s="147">
        <v>30</v>
      </c>
      <c r="X30" s="147">
        <v>0</v>
      </c>
      <c r="Y30" s="147"/>
      <c r="Z30" s="147">
        <f t="shared" si="2"/>
        <v>-30</v>
      </c>
      <c r="AA30" s="147">
        <v>72</v>
      </c>
      <c r="AB30" s="147">
        <f t="shared" si="3"/>
        <v>42</v>
      </c>
      <c r="AC30" s="19">
        <f t="shared" si="4"/>
        <v>18</v>
      </c>
      <c r="AD30" s="387">
        <f t="shared" si="5"/>
        <v>18</v>
      </c>
      <c r="AE30" s="416">
        <f>SUMIFS(meghsteelsales_previousmonth[Quantity],meghsteelsales_previousmonth[Length Bucket],aug[[#This Row],[Bucket CTL]])/1000</f>
        <v>105.75507600000003</v>
      </c>
      <c r="AF30" s="160">
        <f>SUMIFS(meghsteelsales_currentmonth[Quantity],meghsteelsales_currentmonth[Length Bucket],aug[[#This Row],[Bucket CTL]])/1000</f>
        <v>37.814835000000002</v>
      </c>
      <c r="AG30" s="187">
        <f>aug[[#This Row],[order logg ]]+aug[[#This Row],[ INDENT  FOR AUG-25 recommended]]</f>
        <v>90</v>
      </c>
      <c r="AH30" s="427">
        <f>aug[[#This Row],[Before 20th]]+aug[[#This Row],[ofter 20th]]</f>
        <v>143.56991100000005</v>
      </c>
      <c r="AI30" s="427">
        <f>IF((aug[[#This Row],[Total Indent]]-aug[[#This Row],[Total Delivered]])&lt;0,0,aug[[#This Row],[Total Indent]]-aug[[#This Row],[Total Delivered]])</f>
        <v>0</v>
      </c>
      <c r="AJ30" s="187"/>
    </row>
    <row r="31" spans="1:36" x14ac:dyDescent="0.25">
      <c r="A31" s="265" t="s">
        <v>10</v>
      </c>
      <c r="B31" s="147" t="s">
        <v>346</v>
      </c>
      <c r="C31" s="153" t="s">
        <v>338</v>
      </c>
      <c r="D31" s="147" t="s">
        <v>348</v>
      </c>
      <c r="E31" s="147" t="s">
        <v>340</v>
      </c>
      <c r="F31" s="148">
        <v>28.6</v>
      </c>
      <c r="G31" s="148"/>
      <c r="H31" s="148">
        <v>1.2</v>
      </c>
      <c r="I31" s="147">
        <v>6000</v>
      </c>
      <c r="J31" s="147">
        <v>6</v>
      </c>
      <c r="K31" s="147">
        <f t="shared" ca="1" si="1"/>
        <v>0</v>
      </c>
      <c r="L31" s="147"/>
      <c r="M31" s="147" t="str">
        <f t="shared" si="0"/>
        <v>28.61.26ERWFIN CUT</v>
      </c>
      <c r="N31" s="147" t="e">
        <f>VLOOKUP(aug[[#This Row],[Key]],Table2527[[#All],[ ]:[Bucket CTL]],2,0)</f>
        <v>#N/A</v>
      </c>
      <c r="O31" s="147" t="e">
        <f>VLOOKUP(aug[[#This Row],[Key]],Table2527[[#All],[ ]:[Bucket CTL]],3,0)</f>
        <v>#N/A</v>
      </c>
      <c r="P31" s="147"/>
      <c r="Q31" s="147" t="str">
        <f>VLOOKUP(aug[[#This Row],[Key]],Table2527[[#All],[ ]:[TSL Material Code]],4,0)</f>
        <v>0789</v>
      </c>
      <c r="R31" s="147">
        <f>VLOOKUP(aug[[#This Row],[Key]],Table2527[[#All],[ ]:[TSL Material Code]],5,0)</f>
        <v>3702101</v>
      </c>
      <c r="S31" s="147" t="b">
        <f>EXACT(aug[[#This Row],[Material code july]],aug[[#This Row],[TSL Material Code]])</f>
        <v>1</v>
      </c>
      <c r="T31" s="151" t="s">
        <v>345</v>
      </c>
      <c r="U31" s="150">
        <v>3702101</v>
      </c>
      <c r="V31" s="19">
        <v>3</v>
      </c>
      <c r="W31" s="147">
        <v>0</v>
      </c>
      <c r="X31" s="147">
        <v>3</v>
      </c>
      <c r="Y31" s="147"/>
      <c r="Z31" s="147">
        <f t="shared" si="2"/>
        <v>3</v>
      </c>
      <c r="AA31" s="147">
        <v>0</v>
      </c>
      <c r="AB31" s="147">
        <f t="shared" si="3"/>
        <v>3</v>
      </c>
      <c r="AC31" s="19">
        <f t="shared" si="4"/>
        <v>0</v>
      </c>
      <c r="AD31" s="387">
        <f t="shared" si="5"/>
        <v>0</v>
      </c>
      <c r="AE31" s="416">
        <f>SUMIFS(meghsteelsales_previousmonth[Quantity],meghsteelsales_previousmonth[Length Bucket],aug[[#This Row],[Bucket CTL]])/1000</f>
        <v>0</v>
      </c>
      <c r="AF31" s="160">
        <f>SUMIFS(meghsteelsales_currentmonth[Quantity],meghsteelsales_currentmonth[Length Bucket],aug[[#This Row],[Bucket CTL]])/1000</f>
        <v>0</v>
      </c>
      <c r="AG31" s="187">
        <f>aug[[#This Row],[order logg ]]+aug[[#This Row],[ INDENT  FOR AUG-25 recommended]]</f>
        <v>0</v>
      </c>
      <c r="AH31" s="427">
        <f>aug[[#This Row],[Before 20th]]+aug[[#This Row],[ofter 20th]]</f>
        <v>0</v>
      </c>
      <c r="AI31" s="427">
        <f>IF((aug[[#This Row],[Total Indent]]-aug[[#This Row],[Total Delivered]])&lt;0,0,aug[[#This Row],[Total Indent]]-aug[[#This Row],[Total Delivered]])</f>
        <v>0</v>
      </c>
      <c r="AJ31" s="187"/>
    </row>
    <row r="32" spans="1:36" x14ac:dyDescent="0.25">
      <c r="A32" s="265" t="s">
        <v>10</v>
      </c>
      <c r="B32" s="147" t="s">
        <v>116</v>
      </c>
      <c r="C32" s="159" t="s">
        <v>356</v>
      </c>
      <c r="D32" s="147" t="s">
        <v>348</v>
      </c>
      <c r="E32" s="147" t="s">
        <v>357</v>
      </c>
      <c r="F32" s="168">
        <v>28.6</v>
      </c>
      <c r="G32" s="168"/>
      <c r="H32" s="168">
        <v>2.65</v>
      </c>
      <c r="I32" s="169">
        <v>6000</v>
      </c>
      <c r="J32" s="147">
        <v>6</v>
      </c>
      <c r="K32" s="147">
        <f t="shared" ca="1" si="1"/>
        <v>0</v>
      </c>
      <c r="L32" s="147"/>
      <c r="M32" s="147" t="str">
        <f t="shared" si="0"/>
        <v>28.62.656CEWFIN CUT</v>
      </c>
      <c r="N32" s="147" t="str">
        <f>VLOOKUP(aug[[#This Row],[Key]],Table2527[[#All],[ ]:[Bucket CTL]],2,0)</f>
        <v>No Key</v>
      </c>
      <c r="O32" s="147" t="str">
        <f>VLOOKUP(aug[[#This Row],[Key]],Table2527[[#All],[ ]:[Bucket CTL]],3,0)</f>
        <v>No Key</v>
      </c>
      <c r="P32" s="147"/>
      <c r="Q32" s="147" t="str">
        <f>VLOOKUP(aug[[#This Row],[Key]],Table2527[[#All],[ ]:[TSL Material Code]],4,0)</f>
        <v>0788</v>
      </c>
      <c r="R32" s="147">
        <f>VLOOKUP(aug[[#This Row],[Key]],Table2527[[#All],[ ]:[TSL Material Code]],5,0)</f>
        <v>2410388</v>
      </c>
      <c r="S32" s="147" t="b">
        <f>EXACT(aug[[#This Row],[Material code july]],aug[[#This Row],[TSL Material Code]])</f>
        <v>1</v>
      </c>
      <c r="T32" s="151" t="s">
        <v>362</v>
      </c>
      <c r="U32" s="150">
        <v>2410388</v>
      </c>
      <c r="V32" s="19">
        <v>10</v>
      </c>
      <c r="W32" s="147">
        <v>3</v>
      </c>
      <c r="X32" s="147">
        <v>15</v>
      </c>
      <c r="Y32" s="147"/>
      <c r="Z32" s="147">
        <f t="shared" si="2"/>
        <v>12</v>
      </c>
      <c r="AA32" s="147">
        <v>0</v>
      </c>
      <c r="AB32" s="147">
        <f t="shared" si="3"/>
        <v>12</v>
      </c>
      <c r="AC32" s="19">
        <f t="shared" si="4"/>
        <v>-2</v>
      </c>
      <c r="AD32" s="387">
        <f t="shared" si="5"/>
        <v>0</v>
      </c>
      <c r="AE32" s="416">
        <f>SUMIFS(meghsteelsales_previousmonth[Quantity],meghsteelsales_previousmonth[Length Bucket],aug[[#This Row],[Bucket CTL]])/1000</f>
        <v>0</v>
      </c>
      <c r="AF32" s="160">
        <f>SUMIFS(meghsteelsales_currentmonth[Quantity],meghsteelsales_currentmonth[Length Bucket],aug[[#This Row],[Bucket CTL]])/1000</f>
        <v>0</v>
      </c>
      <c r="AG32" s="187">
        <f>aug[[#This Row],[order logg ]]+aug[[#This Row],[ INDENT  FOR AUG-25 recommended]]</f>
        <v>0</v>
      </c>
      <c r="AH32" s="427">
        <f>aug[[#This Row],[Before 20th]]+aug[[#This Row],[ofter 20th]]</f>
        <v>0</v>
      </c>
      <c r="AI32" s="427">
        <f>IF((aug[[#This Row],[Total Indent]]-aug[[#This Row],[Total Delivered]])&lt;0,0,aug[[#This Row],[Total Indent]]-aug[[#This Row],[Total Delivered]])</f>
        <v>0</v>
      </c>
      <c r="AJ32" s="187"/>
    </row>
    <row r="33" spans="1:36" x14ac:dyDescent="0.25">
      <c r="A33" s="265" t="s">
        <v>10</v>
      </c>
      <c r="B33" s="147" t="s">
        <v>346</v>
      </c>
      <c r="C33" s="153" t="s">
        <v>338</v>
      </c>
      <c r="D33" s="147" t="s">
        <v>348</v>
      </c>
      <c r="E33" s="147" t="s">
        <v>340</v>
      </c>
      <c r="F33" s="148">
        <v>31.75</v>
      </c>
      <c r="G33" s="148"/>
      <c r="H33" s="148">
        <v>1.2</v>
      </c>
      <c r="I33" s="147">
        <v>6000</v>
      </c>
      <c r="J33" s="147">
        <v>6</v>
      </c>
      <c r="K33" s="147">
        <f t="shared" ca="1" si="1"/>
        <v>0</v>
      </c>
      <c r="L33" s="147"/>
      <c r="M33" s="147" t="str">
        <f t="shared" si="0"/>
        <v>31.751.26ERWFIN CUT</v>
      </c>
      <c r="N33" s="147" t="s">
        <v>836</v>
      </c>
      <c r="O33" s="147" t="s">
        <v>6273</v>
      </c>
      <c r="P33" s="147"/>
      <c r="Q33" s="147" t="str">
        <f>VLOOKUP(aug[[#This Row],[Key]],Table2527[[#All],[ ]:[TSL Material Code]],4,0)</f>
        <v>056</v>
      </c>
      <c r="R33" s="147">
        <f>VLOOKUP(aug[[#This Row],[Key]],Table2527[[#All],[ ]:[TSL Material Code]],5,0)</f>
        <v>3884381</v>
      </c>
      <c r="S33" s="147" t="b">
        <f>EXACT(aug[[#This Row],[Material code july]],aug[[#This Row],[TSL Material Code]])</f>
        <v>1</v>
      </c>
      <c r="T33" s="151" t="s">
        <v>367</v>
      </c>
      <c r="U33" s="150">
        <v>3884381</v>
      </c>
      <c r="V33" s="19">
        <v>3</v>
      </c>
      <c r="W33" s="147">
        <v>1</v>
      </c>
      <c r="X33" s="147">
        <v>0</v>
      </c>
      <c r="Y33" s="147"/>
      <c r="Z33" s="147">
        <f t="shared" si="2"/>
        <v>-1</v>
      </c>
      <c r="AA33" s="147">
        <v>8</v>
      </c>
      <c r="AB33" s="147">
        <f t="shared" si="3"/>
        <v>7</v>
      </c>
      <c r="AC33" s="19">
        <f t="shared" si="4"/>
        <v>-4</v>
      </c>
      <c r="AD33" s="387">
        <f t="shared" si="5"/>
        <v>0</v>
      </c>
      <c r="AE33" s="416">
        <f>SUMIFS(meghsteelsales_previousmonth[Quantity],meghsteelsales_previousmonth[Length Bucket],aug[[#This Row],[Bucket CTL]])/1000</f>
        <v>0</v>
      </c>
      <c r="AF33" s="160">
        <f>SUMIFS(meghsteelsales_currentmonth[Quantity],meghsteelsales_currentmonth[Length Bucket],aug[[#This Row],[Bucket CTL]])/1000</f>
        <v>0</v>
      </c>
      <c r="AG33" s="187">
        <f>aug[[#This Row],[order logg ]]+aug[[#This Row],[ INDENT  FOR AUG-25 recommended]]</f>
        <v>8</v>
      </c>
      <c r="AH33" s="427">
        <f>aug[[#This Row],[Before 20th]]+aug[[#This Row],[ofter 20th]]</f>
        <v>0</v>
      </c>
      <c r="AI33" s="427">
        <f>IF((aug[[#This Row],[Total Indent]]-aug[[#This Row],[Total Delivered]])&lt;0,0,aug[[#This Row],[Total Indent]]-aug[[#This Row],[Total Delivered]])</f>
        <v>8</v>
      </c>
      <c r="AJ33" s="187"/>
    </row>
    <row r="34" spans="1:36" x14ac:dyDescent="0.25">
      <c r="A34" s="265" t="s">
        <v>10</v>
      </c>
      <c r="B34" s="147" t="s">
        <v>346</v>
      </c>
      <c r="C34" s="153" t="s">
        <v>338</v>
      </c>
      <c r="D34" s="147" t="s">
        <v>348</v>
      </c>
      <c r="E34" s="147" t="s">
        <v>340</v>
      </c>
      <c r="F34" s="148">
        <v>31.75</v>
      </c>
      <c r="G34" s="148"/>
      <c r="H34" s="148">
        <v>2</v>
      </c>
      <c r="I34" s="147">
        <v>6000</v>
      </c>
      <c r="J34" s="147">
        <v>6</v>
      </c>
      <c r="K34" s="147">
        <f t="shared" ca="1" si="1"/>
        <v>0</v>
      </c>
      <c r="L34" s="147"/>
      <c r="M34" s="147" t="str">
        <f t="shared" si="0"/>
        <v>31.7526ERWFIN CUT</v>
      </c>
      <c r="N34" s="147" t="s">
        <v>6274</v>
      </c>
      <c r="O34" s="147" t="e">
        <f>VLOOKUP(aug[[#This Row],[Key]],Table2527[[#All],[ ]:[Bucket CTL]],3,0)</f>
        <v>#N/A</v>
      </c>
      <c r="P34" s="147"/>
      <c r="Q34" s="147" t="e">
        <f>VLOOKUP(aug[[#This Row],[Key]],Table2527[[#All],[ ]:[TSL Material Code]],4,0)</f>
        <v>#N/A</v>
      </c>
      <c r="R34" s="147"/>
      <c r="S34" s="147"/>
      <c r="T34" s="165" t="s">
        <v>345</v>
      </c>
      <c r="U34" s="150">
        <v>1931387</v>
      </c>
      <c r="V34" s="19">
        <v>15</v>
      </c>
      <c r="W34" s="147">
        <v>0</v>
      </c>
      <c r="X34" s="147">
        <v>0</v>
      </c>
      <c r="Y34" s="147"/>
      <c r="Z34" s="147">
        <f t="shared" si="2"/>
        <v>0</v>
      </c>
      <c r="AA34" s="147">
        <v>0</v>
      </c>
      <c r="AB34" s="147">
        <f t="shared" si="3"/>
        <v>0</v>
      </c>
      <c r="AC34" s="19">
        <f t="shared" si="4"/>
        <v>15</v>
      </c>
      <c r="AD34" s="387">
        <f t="shared" si="5"/>
        <v>15</v>
      </c>
      <c r="AE34" s="416">
        <f>SUMIFS(meghsteelsales_previousmonth[Quantity],meghsteelsales_previousmonth[Length Bucket],aug[[#This Row],[Bucket CTL]])/1000</f>
        <v>0</v>
      </c>
      <c r="AF34" s="160">
        <f>SUMIFS(meghsteelsales_currentmonth[Quantity],meghsteelsales_currentmonth[Length Bucket],aug[[#This Row],[Bucket CTL]])/1000</f>
        <v>0</v>
      </c>
      <c r="AG34" s="187">
        <f>aug[[#This Row],[order logg ]]+aug[[#This Row],[ INDENT  FOR AUG-25 recommended]]</f>
        <v>15</v>
      </c>
      <c r="AH34" s="427">
        <f>aug[[#This Row],[Before 20th]]+aug[[#This Row],[ofter 20th]]</f>
        <v>0</v>
      </c>
      <c r="AI34" s="427">
        <f>IF((aug[[#This Row],[Total Indent]]-aug[[#This Row],[Total Delivered]])&lt;0,0,aug[[#This Row],[Total Indent]]-aug[[#This Row],[Total Delivered]])</f>
        <v>15</v>
      </c>
      <c r="AJ34" s="187"/>
    </row>
    <row r="35" spans="1:36" x14ac:dyDescent="0.25">
      <c r="A35" s="265" t="s">
        <v>5</v>
      </c>
      <c r="B35" s="147" t="s">
        <v>358</v>
      </c>
      <c r="C35" s="153" t="s">
        <v>338</v>
      </c>
      <c r="D35" s="147" t="s">
        <v>348</v>
      </c>
      <c r="E35" s="147" t="s">
        <v>340</v>
      </c>
      <c r="F35" s="148">
        <v>31.75</v>
      </c>
      <c r="G35" s="148"/>
      <c r="H35" s="148">
        <v>2.2999999999999998</v>
      </c>
      <c r="I35" s="147">
        <v>5920</v>
      </c>
      <c r="J35" s="147">
        <v>5.92</v>
      </c>
      <c r="K35" s="147">
        <f t="shared" ca="1" si="1"/>
        <v>0</v>
      </c>
      <c r="L35" s="147"/>
      <c r="M35" s="147" t="str">
        <f t="shared" si="0"/>
        <v>31.752.35.92ERWFIN CUT</v>
      </c>
      <c r="N35" s="147" t="e">
        <f>VLOOKUP(aug[[#This Row],[Key]],Table2527[[#All],[ ]:[Bucket CTL]],2,0)</f>
        <v>#N/A</v>
      </c>
      <c r="O35" s="147" t="e">
        <f>VLOOKUP(aug[[#This Row],[Key]],Table2527[[#All],[ ]:[Bucket CTL]],3,0)</f>
        <v>#N/A</v>
      </c>
      <c r="P35" s="147"/>
      <c r="Q35" s="147" t="str">
        <f>VLOOKUP(aug[[#This Row],[Key]],Table2527[[#All],[ ]:[TSL Material Code]],4,0)</f>
        <v>0789</v>
      </c>
      <c r="R35" s="147" t="str">
        <f>VLOOKUP(aug[[#This Row],[Key]],Table2527[[#All],[ ]:[TSL Material Code]],5,0)</f>
        <v>MCR 42136</v>
      </c>
      <c r="S35" s="147" t="b">
        <f>EXACT(aug[[#This Row],[Material code july]],aug[[#This Row],[TSL Material Code]])</f>
        <v>1</v>
      </c>
      <c r="T35" s="151" t="s">
        <v>345</v>
      </c>
      <c r="U35" s="150" t="str">
        <f>aug[[#This Row],[Material code july]]</f>
        <v>MCR 42136</v>
      </c>
      <c r="V35" s="19">
        <v>15</v>
      </c>
      <c r="W35" s="147">
        <v>5</v>
      </c>
      <c r="X35" s="147">
        <v>44</v>
      </c>
      <c r="Y35" s="147"/>
      <c r="Z35" s="147">
        <f t="shared" si="2"/>
        <v>39</v>
      </c>
      <c r="AA35" s="147">
        <v>0</v>
      </c>
      <c r="AB35" s="147">
        <f t="shared" si="3"/>
        <v>39</v>
      </c>
      <c r="AC35" s="19">
        <f t="shared" si="4"/>
        <v>-24</v>
      </c>
      <c r="AD35" s="387">
        <f t="shared" si="5"/>
        <v>0</v>
      </c>
      <c r="AE35" s="416">
        <f>SUMIFS(meghsteelsales_previousmonth[Quantity],meghsteelsales_previousmonth[Length Bucket],aug[[#This Row],[Bucket CTL]])/1000</f>
        <v>0</v>
      </c>
      <c r="AF35" s="160">
        <f>SUMIFS(meghsteelsales_currentmonth[Quantity],meghsteelsales_currentmonth[Length Bucket],aug[[#This Row],[Bucket CTL]])/1000</f>
        <v>0</v>
      </c>
      <c r="AG35" s="187">
        <f>aug[[#This Row],[order logg ]]+aug[[#This Row],[ INDENT  FOR AUG-25 recommended]]</f>
        <v>0</v>
      </c>
      <c r="AH35" s="427">
        <f>aug[[#This Row],[Before 20th]]+aug[[#This Row],[ofter 20th]]</f>
        <v>0</v>
      </c>
      <c r="AI35" s="427">
        <f>IF((aug[[#This Row],[Total Indent]]-aug[[#This Row],[Total Delivered]])&lt;0,0,aug[[#This Row],[Total Indent]]-aug[[#This Row],[Total Delivered]])</f>
        <v>0</v>
      </c>
      <c r="AJ35" s="187"/>
    </row>
    <row r="36" spans="1:36" x14ac:dyDescent="0.25">
      <c r="A36" s="265">
        <v>0</v>
      </c>
      <c r="B36" s="147" t="s">
        <v>346</v>
      </c>
      <c r="C36" s="153" t="s">
        <v>338</v>
      </c>
      <c r="D36" s="147" t="s">
        <v>348</v>
      </c>
      <c r="E36" s="147" t="s">
        <v>340</v>
      </c>
      <c r="F36" s="148">
        <v>34.93</v>
      </c>
      <c r="G36" s="148"/>
      <c r="H36" s="148">
        <v>1.2</v>
      </c>
      <c r="I36" s="147">
        <v>6000</v>
      </c>
      <c r="J36" s="147">
        <v>6</v>
      </c>
      <c r="K36" s="147">
        <f t="shared" ca="1" si="1"/>
        <v>0</v>
      </c>
      <c r="L36" s="147"/>
      <c r="M36" s="147" t="str">
        <f t="shared" si="0"/>
        <v>34.931.26ERWFIN CUT</v>
      </c>
      <c r="N36" s="147" t="str">
        <f>VLOOKUP(aug[[#This Row],[Key]],Table2527[[#All],[ ]:[Bucket CTL]],2,0)</f>
        <v>No Key</v>
      </c>
      <c r="O36" s="147" t="str">
        <f>VLOOKUP(aug[[#This Row],[Key]],Table2527[[#All],[ ]:[Bucket CTL]],3,0)</f>
        <v>No Key</v>
      </c>
      <c r="P36" s="147"/>
      <c r="Q36" s="147" t="str">
        <f>VLOOKUP(aug[[#This Row],[Key]],Table2527[[#All],[ ]:[TSL Material Code]],4,0)</f>
        <v>0789</v>
      </c>
      <c r="R36" s="147">
        <f>VLOOKUP(aug[[#This Row],[Key]],Table2527[[#All],[ ]:[TSL Material Code]],5,0)</f>
        <v>1940701</v>
      </c>
      <c r="S36" s="147" t="b">
        <f>EXACT(aug[[#This Row],[Material code july]],aug[[#This Row],[TSL Material Code]])</f>
        <v>1</v>
      </c>
      <c r="T36" s="151" t="s">
        <v>345</v>
      </c>
      <c r="U36" s="150">
        <v>1940701</v>
      </c>
      <c r="V36" s="19">
        <v>3</v>
      </c>
      <c r="W36" s="147">
        <v>0</v>
      </c>
      <c r="X36" s="147">
        <v>7</v>
      </c>
      <c r="Y36" s="147"/>
      <c r="Z36" s="147">
        <f t="shared" si="2"/>
        <v>7</v>
      </c>
      <c r="AA36" s="147">
        <v>0</v>
      </c>
      <c r="AB36" s="147">
        <f t="shared" si="3"/>
        <v>7</v>
      </c>
      <c r="AC36" s="19">
        <f t="shared" si="4"/>
        <v>-4</v>
      </c>
      <c r="AD36" s="387">
        <f t="shared" si="5"/>
        <v>0</v>
      </c>
      <c r="AE36" s="416">
        <f>SUMIFS(meghsteelsales_previousmonth[Quantity],meghsteelsales_previousmonth[Length Bucket],aug[[#This Row],[Bucket CTL]])/1000</f>
        <v>0</v>
      </c>
      <c r="AF36" s="160">
        <f>SUMIFS(meghsteelsales_currentmonth[Quantity],meghsteelsales_currentmonth[Length Bucket],aug[[#This Row],[Bucket CTL]])/1000</f>
        <v>0</v>
      </c>
      <c r="AG36" s="187">
        <f>aug[[#This Row],[order logg ]]+aug[[#This Row],[ INDENT  FOR AUG-25 recommended]]</f>
        <v>0</v>
      </c>
      <c r="AH36" s="427">
        <f>aug[[#This Row],[Before 20th]]+aug[[#This Row],[ofter 20th]]</f>
        <v>0</v>
      </c>
      <c r="AI36" s="427">
        <f>IF((aug[[#This Row],[Total Indent]]-aug[[#This Row],[Total Delivered]])&lt;0,0,aug[[#This Row],[Total Indent]]-aug[[#This Row],[Total Delivered]])</f>
        <v>0</v>
      </c>
      <c r="AJ36" s="187"/>
    </row>
    <row r="37" spans="1:36" x14ac:dyDescent="0.25">
      <c r="A37" s="265" t="s">
        <v>5</v>
      </c>
      <c r="B37" s="147" t="s">
        <v>358</v>
      </c>
      <c r="C37" s="153" t="s">
        <v>338</v>
      </c>
      <c r="D37" s="147" t="s">
        <v>348</v>
      </c>
      <c r="E37" s="147" t="s">
        <v>340</v>
      </c>
      <c r="F37" s="148">
        <v>34.93</v>
      </c>
      <c r="G37" s="148"/>
      <c r="H37" s="148">
        <v>1.2</v>
      </c>
      <c r="I37" s="147">
        <v>620</v>
      </c>
      <c r="J37" s="147">
        <v>0.62</v>
      </c>
      <c r="K37" s="147">
        <f t="shared" ca="1" si="1"/>
        <v>0</v>
      </c>
      <c r="L37" s="147"/>
      <c r="M37" s="147" t="str">
        <f t="shared" si="0"/>
        <v>34.931.20.62ERWFIN CUT</v>
      </c>
      <c r="N37" s="147" t="str">
        <f>VLOOKUP(aug[[#This Row],[Key]],Table2527[[#All],[ ]:[Bucket CTL]],2,0)</f>
        <v>34.93-0-1.2-ERW 1-FC</v>
      </c>
      <c r="O37" s="147" t="str">
        <f>VLOOKUP(aug[[#This Row],[Key]],Table2527[[#All],[ ]:[Bucket CTL]],3,0)</f>
        <v>34.93-0-1.2-ERW 1-FC-0.620</v>
      </c>
      <c r="P37" s="147"/>
      <c r="Q37" s="147" t="str">
        <f>VLOOKUP(aug[[#This Row],[Key]],Table2527[[#All],[ ]:[TSL Material Code]],4,0)</f>
        <v>0789</v>
      </c>
      <c r="R37" s="147">
        <f>VLOOKUP(aug[[#This Row],[Key]],Table2527[[#All],[ ]:[TSL Material Code]],5,0)</f>
        <v>2397073</v>
      </c>
      <c r="S37" s="147" t="b">
        <f>EXACT(aug[[#This Row],[Material code july]],aug[[#This Row],[TSL Material Code]])</f>
        <v>1</v>
      </c>
      <c r="T37" s="151" t="s">
        <v>345</v>
      </c>
      <c r="U37" s="150">
        <v>2397073</v>
      </c>
      <c r="V37" s="19">
        <v>10</v>
      </c>
      <c r="W37" s="147">
        <v>3</v>
      </c>
      <c r="X37" s="147">
        <v>0</v>
      </c>
      <c r="Y37" s="147"/>
      <c r="Z37" s="147">
        <f t="shared" si="2"/>
        <v>-3</v>
      </c>
      <c r="AA37" s="147">
        <v>0</v>
      </c>
      <c r="AB37" s="147">
        <f t="shared" si="3"/>
        <v>-3</v>
      </c>
      <c r="AC37" s="19">
        <f t="shared" si="4"/>
        <v>13</v>
      </c>
      <c r="AD37" s="387">
        <f t="shared" si="5"/>
        <v>13</v>
      </c>
      <c r="AE37" s="416">
        <f>SUMIFS(meghsteelsales_previousmonth[Quantity],meghsteelsales_previousmonth[Length Bucket],aug[[#This Row],[Bucket CTL]])/1000</f>
        <v>0</v>
      </c>
      <c r="AF37" s="160">
        <f>SUMIFS(meghsteelsales_currentmonth[Quantity],meghsteelsales_currentmonth[Length Bucket],aug[[#This Row],[Bucket CTL]])/1000</f>
        <v>3.1</v>
      </c>
      <c r="AG37" s="187">
        <f>aug[[#This Row],[order logg ]]+aug[[#This Row],[ INDENT  FOR AUG-25 recommended]]</f>
        <v>13</v>
      </c>
      <c r="AH37" s="427">
        <f>aug[[#This Row],[Before 20th]]+aug[[#This Row],[ofter 20th]]</f>
        <v>3.1</v>
      </c>
      <c r="AI37" s="427">
        <f>IF((aug[[#This Row],[Total Indent]]-aug[[#This Row],[Total Delivered]])&lt;0,0,aug[[#This Row],[Total Indent]]-aug[[#This Row],[Total Delivered]])</f>
        <v>9.9</v>
      </c>
      <c r="AJ37" s="187"/>
    </row>
    <row r="38" spans="1:36" x14ac:dyDescent="0.25">
      <c r="A38" s="265" t="s">
        <v>5</v>
      </c>
      <c r="B38" s="147" t="s">
        <v>359</v>
      </c>
      <c r="C38" s="153" t="s">
        <v>338</v>
      </c>
      <c r="D38" s="147" t="s">
        <v>348</v>
      </c>
      <c r="E38" s="147" t="s">
        <v>340</v>
      </c>
      <c r="F38" s="148">
        <v>34.93</v>
      </c>
      <c r="G38" s="148"/>
      <c r="H38" s="148">
        <v>1.2</v>
      </c>
      <c r="I38" s="147">
        <v>700</v>
      </c>
      <c r="J38" s="147">
        <v>0.7</v>
      </c>
      <c r="K38" s="147">
        <f t="shared" ca="1" si="1"/>
        <v>0</v>
      </c>
      <c r="L38" s="147"/>
      <c r="M38" s="147" t="str">
        <f t="shared" si="0"/>
        <v>34.931.20.7ERWFIN CUT</v>
      </c>
      <c r="N38" s="147" t="str">
        <f>VLOOKUP(aug[[#This Row],[Key]],Table2527[[#All],[ ]:[Bucket CTL]],2,0)</f>
        <v>34.93-0-1.2-ERW 1-FC</v>
      </c>
      <c r="O38" s="147" t="str">
        <f>VLOOKUP(aug[[#This Row],[Key]],Table2527[[#All],[ ]:[Bucket CTL]],3,0)</f>
        <v>34.93-0-1.2-ERW 1-FC-0.7</v>
      </c>
      <c r="P38" s="147"/>
      <c r="Q38" s="147" t="str">
        <f>VLOOKUP(aug[[#This Row],[Key]],Table2527[[#All],[ ]:[TSL Material Code]],4,0)</f>
        <v>0789</v>
      </c>
      <c r="R38" s="147">
        <f>VLOOKUP(aug[[#This Row],[Key]],Table2527[[#All],[ ]:[TSL Material Code]],5,0)</f>
        <v>3649699</v>
      </c>
      <c r="S38" s="147" t="b">
        <f>EXACT(aug[[#This Row],[Material code july]],aug[[#This Row],[TSL Material Code]])</f>
        <v>1</v>
      </c>
      <c r="T38" s="151" t="s">
        <v>345</v>
      </c>
      <c r="U38" s="150">
        <v>3649699</v>
      </c>
      <c r="V38" s="19">
        <v>10</v>
      </c>
      <c r="W38" s="147">
        <v>3</v>
      </c>
      <c r="X38" s="147">
        <v>0</v>
      </c>
      <c r="Y38" s="147"/>
      <c r="Z38" s="147">
        <f t="shared" si="2"/>
        <v>-3</v>
      </c>
      <c r="AA38" s="147">
        <v>0</v>
      </c>
      <c r="AB38" s="147">
        <f t="shared" si="3"/>
        <v>-3</v>
      </c>
      <c r="AC38" s="19">
        <f t="shared" si="4"/>
        <v>13</v>
      </c>
      <c r="AD38" s="387">
        <f t="shared" si="5"/>
        <v>13</v>
      </c>
      <c r="AE38" s="416">
        <f>SUMIFS(meghsteelsales_previousmonth[Quantity],meghsteelsales_previousmonth[Length Bucket],aug[[#This Row],[Bucket CTL]])/1000</f>
        <v>0</v>
      </c>
      <c r="AF38" s="160">
        <f>SUMIFS(meghsteelsales_currentmonth[Quantity],meghsteelsales_currentmonth[Length Bucket],aug[[#This Row],[Bucket CTL]])/1000</f>
        <v>0</v>
      </c>
      <c r="AG38" s="187">
        <f>aug[[#This Row],[order logg ]]+aug[[#This Row],[ INDENT  FOR AUG-25 recommended]]</f>
        <v>13</v>
      </c>
      <c r="AH38" s="427">
        <f>aug[[#This Row],[Before 20th]]+aug[[#This Row],[ofter 20th]]</f>
        <v>0</v>
      </c>
      <c r="AI38" s="427">
        <f>IF((aug[[#This Row],[Total Indent]]-aug[[#This Row],[Total Delivered]])&lt;0,0,aug[[#This Row],[Total Indent]]-aug[[#This Row],[Total Delivered]])</f>
        <v>13</v>
      </c>
      <c r="AJ38" s="187"/>
    </row>
    <row r="39" spans="1:36" x14ac:dyDescent="0.25">
      <c r="A39" s="265" t="s">
        <v>341</v>
      </c>
      <c r="B39" s="147" t="s">
        <v>342</v>
      </c>
      <c r="C39" s="155" t="s">
        <v>344</v>
      </c>
      <c r="D39" s="147" t="s">
        <v>348</v>
      </c>
      <c r="E39" s="147" t="s">
        <v>340</v>
      </c>
      <c r="F39" s="154">
        <v>34</v>
      </c>
      <c r="G39" s="154"/>
      <c r="H39" s="154">
        <v>1.4</v>
      </c>
      <c r="I39" s="155">
        <v>5660</v>
      </c>
      <c r="J39" s="147">
        <v>5.66</v>
      </c>
      <c r="K39" s="147">
        <f t="shared" ca="1" si="1"/>
        <v>0</v>
      </c>
      <c r="L39" s="147"/>
      <c r="M39" s="147" t="str">
        <f t="shared" si="0"/>
        <v>341.45.66ERWFIN CUT</v>
      </c>
      <c r="N39" s="147" t="str">
        <f>VLOOKUP(aug[[#This Row],[Key]],Table2527[[#All],[ ]:[Bucket CTL]],2,0)</f>
        <v>No Key</v>
      </c>
      <c r="O39" s="147" t="str">
        <f>VLOOKUP(aug[[#This Row],[Key]],Table2527[[#All],[ ]:[Bucket CTL]],3,0)</f>
        <v>No Key</v>
      </c>
      <c r="P39" s="147"/>
      <c r="Q39" s="147" t="str">
        <f>VLOOKUP(aug[[#This Row],[Key]],Table2527[[#All],[ ]:[TSL Material Code]],4,0)</f>
        <v>0788</v>
      </c>
      <c r="R39" s="147">
        <f>VLOOKUP(aug[[#This Row],[Key]],Table2527[[#All],[ ]:[TSL Material Code]],5,0)</f>
        <v>3702855</v>
      </c>
      <c r="S39" s="147" t="b">
        <f>EXACT(aug[[#This Row],[Material code july]],aug[[#This Row],[TSL Material Code]])</f>
        <v>1</v>
      </c>
      <c r="T39" s="151" t="s">
        <v>362</v>
      </c>
      <c r="U39" s="150">
        <v>3702855</v>
      </c>
      <c r="V39" s="19">
        <v>3</v>
      </c>
      <c r="W39" s="147">
        <v>0</v>
      </c>
      <c r="X39" s="147">
        <v>0</v>
      </c>
      <c r="Y39" s="147"/>
      <c r="Z39" s="147">
        <f t="shared" si="2"/>
        <v>0</v>
      </c>
      <c r="AA39" s="147">
        <v>0</v>
      </c>
      <c r="AB39" s="147">
        <f t="shared" si="3"/>
        <v>0</v>
      </c>
      <c r="AC39" s="19">
        <f t="shared" si="4"/>
        <v>3</v>
      </c>
      <c r="AD39" s="387">
        <f t="shared" si="5"/>
        <v>3</v>
      </c>
      <c r="AE39" s="416">
        <f>SUMIFS(meghsteelsales_previousmonth[Quantity],meghsteelsales_previousmonth[Length Bucket],aug[[#This Row],[Bucket CTL]])/1000</f>
        <v>0</v>
      </c>
      <c r="AF39" s="160">
        <f>SUMIFS(meghsteelsales_currentmonth[Quantity],meghsteelsales_currentmonth[Length Bucket],aug[[#This Row],[Bucket CTL]])/1000</f>
        <v>0</v>
      </c>
      <c r="AG39" s="187">
        <f>aug[[#This Row],[order logg ]]+aug[[#This Row],[ INDENT  FOR AUG-25 recommended]]</f>
        <v>3</v>
      </c>
      <c r="AH39" s="427">
        <f>aug[[#This Row],[Before 20th]]+aug[[#This Row],[ofter 20th]]</f>
        <v>0</v>
      </c>
      <c r="AI39" s="427">
        <f>IF((aug[[#This Row],[Total Indent]]-aug[[#This Row],[Total Delivered]])&lt;0,0,aug[[#This Row],[Total Indent]]-aug[[#This Row],[Total Delivered]])</f>
        <v>3</v>
      </c>
      <c r="AJ39" s="187"/>
    </row>
    <row r="40" spans="1:36" x14ac:dyDescent="0.25">
      <c r="A40" s="265" t="s">
        <v>10</v>
      </c>
      <c r="B40" s="147" t="s">
        <v>346</v>
      </c>
      <c r="C40" s="153" t="s">
        <v>360</v>
      </c>
      <c r="D40" s="147" t="s">
        <v>348</v>
      </c>
      <c r="E40" s="147" t="s">
        <v>349</v>
      </c>
      <c r="F40" s="148">
        <v>38.1</v>
      </c>
      <c r="G40" s="148"/>
      <c r="H40" s="148">
        <v>1.6</v>
      </c>
      <c r="I40" s="147">
        <v>6190</v>
      </c>
      <c r="J40" s="147">
        <v>6.19</v>
      </c>
      <c r="K40" s="147">
        <f t="shared" ca="1" si="1"/>
        <v>0</v>
      </c>
      <c r="L40" s="147"/>
      <c r="M40" s="147" t="str">
        <f t="shared" si="0"/>
        <v>38.11.66.19HSTFIN CUT</v>
      </c>
      <c r="N40" s="147" t="str">
        <f>VLOOKUP(aug[[#This Row],[Key]],Table2527[[#All],[ ]:[Bucket CTL]],2,0)</f>
        <v>38.1-0-1.6-ERW 1-FC</v>
      </c>
      <c r="O40" s="147" t="str">
        <f>VLOOKUP(aug[[#This Row],[Key]],Table2527[[#All],[ ]:[Bucket CTL]],3,0)</f>
        <v>38.1-0-1.6-ERW 1-FC-6.19</v>
      </c>
      <c r="P40" s="147"/>
      <c r="Q40" s="147" t="str">
        <f>VLOOKUP(aug[[#This Row],[Key]],Table2527[[#All],[ ]:[TSL Material Code]],4,0)</f>
        <v>056</v>
      </c>
      <c r="R40" s="147">
        <f>VLOOKUP(aug[[#This Row],[Key]],Table2527[[#All],[ ]:[TSL Material Code]],5,0)</f>
        <v>3502254</v>
      </c>
      <c r="S40" s="147" t="b">
        <f>EXACT(aug[[#This Row],[Material code july]],aug[[#This Row],[TSL Material Code]])</f>
        <v>1</v>
      </c>
      <c r="T40" s="151" t="s">
        <v>367</v>
      </c>
      <c r="U40" s="150">
        <v>3502254</v>
      </c>
      <c r="V40" s="19">
        <v>40</v>
      </c>
      <c r="W40" s="147">
        <v>15</v>
      </c>
      <c r="X40" s="147">
        <v>69</v>
      </c>
      <c r="Y40" s="147"/>
      <c r="Z40" s="147">
        <f t="shared" si="2"/>
        <v>54</v>
      </c>
      <c r="AA40" s="147">
        <v>50</v>
      </c>
      <c r="AB40" s="147">
        <f t="shared" si="3"/>
        <v>104</v>
      </c>
      <c r="AC40" s="19">
        <f t="shared" si="4"/>
        <v>-64</v>
      </c>
      <c r="AD40" s="387">
        <f t="shared" si="5"/>
        <v>0</v>
      </c>
      <c r="AE40" s="416">
        <f>SUMIFS(meghsteelsales_previousmonth[Quantity],meghsteelsales_previousmonth[Length Bucket],aug[[#This Row],[Bucket CTL]])/1000</f>
        <v>45.849845000000002</v>
      </c>
      <c r="AF40" s="160">
        <f>SUMIFS(meghsteelsales_currentmonth[Quantity],meghsteelsales_currentmonth[Length Bucket],aug[[#This Row],[Bucket CTL]])/1000</f>
        <v>15.52</v>
      </c>
      <c r="AG40" s="187">
        <f>aug[[#This Row],[order logg ]]+aug[[#This Row],[ INDENT  FOR AUG-25 recommended]]</f>
        <v>50</v>
      </c>
      <c r="AH40" s="427">
        <f>aug[[#This Row],[Before 20th]]+aug[[#This Row],[ofter 20th]]</f>
        <v>61.369844999999998</v>
      </c>
      <c r="AI40" s="427">
        <f>IF((aug[[#This Row],[Total Indent]]-aug[[#This Row],[Total Delivered]])&lt;0,0,aug[[#This Row],[Total Indent]]-aug[[#This Row],[Total Delivered]])</f>
        <v>0</v>
      </c>
      <c r="AJ40" s="187"/>
    </row>
    <row r="41" spans="1:36" x14ac:dyDescent="0.25">
      <c r="A41" s="265" t="s">
        <v>10</v>
      </c>
      <c r="B41" s="147" t="s">
        <v>346</v>
      </c>
      <c r="C41" s="153" t="s">
        <v>338</v>
      </c>
      <c r="D41" s="147" t="s">
        <v>348</v>
      </c>
      <c r="E41" s="147" t="s">
        <v>340</v>
      </c>
      <c r="F41" s="148">
        <v>38.1</v>
      </c>
      <c r="G41" s="148"/>
      <c r="H41" s="148">
        <v>2</v>
      </c>
      <c r="I41" s="147">
        <v>5650</v>
      </c>
      <c r="J41" s="147">
        <v>5.65</v>
      </c>
      <c r="K41" s="147">
        <f t="shared" ca="1" si="1"/>
        <v>0</v>
      </c>
      <c r="L41" s="147"/>
      <c r="M41" s="147" t="str">
        <f t="shared" si="0"/>
        <v>38.125.65ERWFIN CUT</v>
      </c>
      <c r="N41" s="147" t="str">
        <f>VLOOKUP(aug[[#This Row],[Key]],Table2527[[#All],[ ]:[Bucket CTL]],2,0)</f>
        <v>38.1-0-2-ERW 1-FC</v>
      </c>
      <c r="O41" s="147" t="str">
        <f>VLOOKUP(aug[[#This Row],[Key]],Table2527[[#All],[ ]:[Bucket CTL]],3,0)</f>
        <v>38.1-0-2-ERW 1-FC-5.65</v>
      </c>
      <c r="P41" s="147" t="s">
        <v>6272</v>
      </c>
      <c r="Q41" s="147" t="str">
        <f>VLOOKUP(aug[[#This Row],[Key]],Table2527[[#All],[ ]:[TSL Material Code]],4,0)</f>
        <v>056</v>
      </c>
      <c r="R41" s="147">
        <f>VLOOKUP(aug[[#This Row],[Key]],Table2527[[#All],[ ]:[TSL Material Code]],5,0)</f>
        <v>3500959</v>
      </c>
      <c r="S41" s="147" t="b">
        <f>EXACT(aug[[#This Row],[Material code july]],aug[[#This Row],[TSL Material Code]])</f>
        <v>1</v>
      </c>
      <c r="T41" s="151" t="s">
        <v>367</v>
      </c>
      <c r="U41" s="150">
        <v>3500959</v>
      </c>
      <c r="V41" s="19">
        <v>30</v>
      </c>
      <c r="W41" s="147">
        <v>8</v>
      </c>
      <c r="X41" s="147">
        <v>15</v>
      </c>
      <c r="Y41" s="147"/>
      <c r="Z41" s="147">
        <f t="shared" si="2"/>
        <v>7</v>
      </c>
      <c r="AA41" s="147">
        <v>11</v>
      </c>
      <c r="AB41" s="147">
        <f t="shared" si="3"/>
        <v>18</v>
      </c>
      <c r="AC41" s="19">
        <f t="shared" si="4"/>
        <v>12</v>
      </c>
      <c r="AD41" s="387">
        <f t="shared" si="5"/>
        <v>12</v>
      </c>
      <c r="AE41" s="416">
        <f>SUMIFS(meghsteelsales_previousmonth[Quantity],meghsteelsales_previousmonth[Length Bucket],aug[[#This Row],[Bucket CTL]])/1000</f>
        <v>3.6047469999999997</v>
      </c>
      <c r="AF41" s="160">
        <f>SUMIFS(meghsteelsales_currentmonth[Quantity],meghsteelsales_currentmonth[Length Bucket],aug[[#This Row],[Bucket CTL]])/1000</f>
        <v>0</v>
      </c>
      <c r="AG41" s="147">
        <f>aug[[#This Row],[order logg ]]+aug[[#This Row],[ INDENT  FOR AUG-25 recommended]]</f>
        <v>23</v>
      </c>
      <c r="AH41" s="416">
        <f>aug[[#This Row],[Before 20th]]+aug[[#This Row],[ofter 20th]]</f>
        <v>3.6047469999999997</v>
      </c>
      <c r="AI41" s="416">
        <f>IF((aug[[#This Row],[Total Indent]]-aug[[#This Row],[Total Delivered]])&lt;0,0,aug[[#This Row],[Total Indent]]-aug[[#This Row],[Total Delivered]])</f>
        <v>19.395253</v>
      </c>
      <c r="AJ41" s="147">
        <v>28</v>
      </c>
    </row>
    <row r="42" spans="1:36" x14ac:dyDescent="0.25">
      <c r="A42" s="265" t="s">
        <v>10</v>
      </c>
      <c r="B42" s="147" t="s">
        <v>346</v>
      </c>
      <c r="C42" s="153" t="s">
        <v>344</v>
      </c>
      <c r="D42" s="147" t="s">
        <v>348</v>
      </c>
      <c r="E42" s="147" t="s">
        <v>349</v>
      </c>
      <c r="F42" s="148">
        <v>38.1</v>
      </c>
      <c r="G42" s="148"/>
      <c r="H42" s="148">
        <v>2.5</v>
      </c>
      <c r="I42" s="147">
        <v>6190</v>
      </c>
      <c r="J42" s="147">
        <v>6.19</v>
      </c>
      <c r="K42" s="147">
        <f t="shared" ca="1" si="1"/>
        <v>0</v>
      </c>
      <c r="L42" s="147"/>
      <c r="M42" s="147" t="str">
        <f t="shared" si="0"/>
        <v>38.12.56.19HSTFIN CUT</v>
      </c>
      <c r="N42" s="147" t="str">
        <f>VLOOKUP(aug[[#This Row],[Key]],Table2527[[#All],[ ]:[Bucket CTL]],2,0)</f>
        <v>38.1-0-2.5-ERW 2 MAHS-FC</v>
      </c>
      <c r="O42" s="147" t="str">
        <f>VLOOKUP(aug[[#This Row],[Key]],Table2527[[#All],[ ]:[Bucket CTL]],3,0)</f>
        <v>38.1-0-2.5-ERW 2 MAHS-FC-6.19</v>
      </c>
      <c r="P42" s="147"/>
      <c r="Q42" s="147" t="str">
        <f>VLOOKUP(aug[[#This Row],[Key]],Table2527[[#All],[ ]:[TSL Material Code]],4,0)</f>
        <v>056</v>
      </c>
      <c r="R42" s="147">
        <f>VLOOKUP(aug[[#This Row],[Key]],Table2527[[#All],[ ]:[TSL Material Code]],5,0)</f>
        <v>3502007</v>
      </c>
      <c r="S42" s="147" t="b">
        <f>EXACT(aug[[#This Row],[Material code july]],aug[[#This Row],[TSL Material Code]])</f>
        <v>1</v>
      </c>
      <c r="T42" s="151" t="s">
        <v>367</v>
      </c>
      <c r="U42" s="150">
        <v>3502007</v>
      </c>
      <c r="V42" s="19">
        <v>60</v>
      </c>
      <c r="W42" s="147">
        <v>15</v>
      </c>
      <c r="X42" s="147">
        <v>6</v>
      </c>
      <c r="Y42" s="147"/>
      <c r="Z42" s="147">
        <f t="shared" si="2"/>
        <v>-9</v>
      </c>
      <c r="AA42" s="147">
        <v>71</v>
      </c>
      <c r="AB42" s="147">
        <f t="shared" si="3"/>
        <v>62</v>
      </c>
      <c r="AC42" s="19">
        <f t="shared" si="4"/>
        <v>-2</v>
      </c>
      <c r="AD42" s="387">
        <f t="shared" si="5"/>
        <v>0</v>
      </c>
      <c r="AE42" s="416">
        <f>SUMIFS(meghsteelsales_previousmonth[Quantity],meghsteelsales_previousmonth[Length Bucket],aug[[#This Row],[Bucket CTL]])/1000</f>
        <v>5.6632070000000008</v>
      </c>
      <c r="AF42" s="160">
        <f>SUMIFS(meghsteelsales_currentmonth[Quantity],meghsteelsales_currentmonth[Length Bucket],aug[[#This Row],[Bucket CTL]])/1000</f>
        <v>111.79929199999995</v>
      </c>
      <c r="AG42" s="187">
        <f>aug[[#This Row],[order logg ]]+aug[[#This Row],[ INDENT  FOR AUG-25 recommended]]</f>
        <v>71</v>
      </c>
      <c r="AH42" s="427">
        <f>aug[[#This Row],[Before 20th]]+aug[[#This Row],[ofter 20th]]</f>
        <v>117.46249899999995</v>
      </c>
      <c r="AI42" s="427">
        <f>IF((aug[[#This Row],[Total Indent]]-aug[[#This Row],[Total Delivered]])&lt;0,0,aug[[#This Row],[Total Indent]]-aug[[#This Row],[Total Delivered]])</f>
        <v>0</v>
      </c>
      <c r="AJ42" s="187"/>
    </row>
    <row r="43" spans="1:36" s="45" customFormat="1" x14ac:dyDescent="0.25">
      <c r="A43" s="266" t="s">
        <v>5</v>
      </c>
      <c r="B43" s="156" t="s">
        <v>358</v>
      </c>
      <c r="C43" s="157" t="s">
        <v>366</v>
      </c>
      <c r="D43" s="156" t="s">
        <v>348</v>
      </c>
      <c r="E43" s="156" t="s">
        <v>340</v>
      </c>
      <c r="F43" s="248">
        <v>38.1</v>
      </c>
      <c r="G43" s="248"/>
      <c r="H43" s="248">
        <v>2.6</v>
      </c>
      <c r="I43" s="156">
        <v>6000</v>
      </c>
      <c r="J43" s="156">
        <v>6</v>
      </c>
      <c r="K43" s="156">
        <f t="shared" ca="1" si="1"/>
        <v>0</v>
      </c>
      <c r="L43" s="156"/>
      <c r="M43" s="156" t="str">
        <f t="shared" si="0"/>
        <v>38.12.66ERWFIN CUT</v>
      </c>
      <c r="N43" s="147" t="e">
        <f>VLOOKUP(aug[[#This Row],[Key]],Table2527[[#All],[ ]:[Bucket CTL]],2,0)</f>
        <v>#N/A</v>
      </c>
      <c r="O43" s="147" t="e">
        <f>VLOOKUP(aug[[#This Row],[Key]],Table2527[[#All],[ ]:[Bucket CTL]],3,0)</f>
        <v>#N/A</v>
      </c>
      <c r="P43" s="147"/>
      <c r="Q43" s="400" t="s">
        <v>362</v>
      </c>
      <c r="R43" s="156">
        <v>3500699</v>
      </c>
      <c r="S43" s="147" t="b">
        <f>EXACT(aug[[#This Row],[Material code july]],aug[[#This Row],[TSL Material Code]])</f>
        <v>1</v>
      </c>
      <c r="T43" s="250" t="s">
        <v>362</v>
      </c>
      <c r="U43" s="245">
        <v>3500699</v>
      </c>
      <c r="V43" s="246">
        <v>5</v>
      </c>
      <c r="W43" s="156">
        <v>0</v>
      </c>
      <c r="X43" s="156">
        <v>0</v>
      </c>
      <c r="Y43" s="156">
        <v>0</v>
      </c>
      <c r="Z43" s="156">
        <f t="shared" si="2"/>
        <v>0</v>
      </c>
      <c r="AA43" s="156">
        <v>0</v>
      </c>
      <c r="AB43" s="156">
        <f t="shared" si="3"/>
        <v>0</v>
      </c>
      <c r="AC43" s="246">
        <f t="shared" si="4"/>
        <v>5</v>
      </c>
      <c r="AD43" s="388">
        <f t="shared" si="5"/>
        <v>5</v>
      </c>
      <c r="AE43" s="416">
        <f>SUMIFS(meghsteelsales_previousmonth[Quantity],meghsteelsales_previousmonth[Length Bucket],aug[[#This Row],[Bucket CTL]])/1000</f>
        <v>0</v>
      </c>
      <c r="AF43" s="160">
        <f>SUMIFS(meghsteelsales_currentmonth[Quantity],meghsteelsales_currentmonth[Length Bucket],aug[[#This Row],[Bucket CTL]])/1000</f>
        <v>0</v>
      </c>
      <c r="AG43" s="187">
        <f>aug[[#This Row],[order logg ]]+aug[[#This Row],[ INDENT  FOR AUG-25 recommended]]</f>
        <v>5</v>
      </c>
      <c r="AH43" s="427">
        <f>aug[[#This Row],[Before 20th]]+aug[[#This Row],[ofter 20th]]</f>
        <v>0</v>
      </c>
      <c r="AI43" s="427">
        <f>IF((aug[[#This Row],[Total Indent]]-aug[[#This Row],[Total Delivered]])&lt;0,0,aug[[#This Row],[Total Indent]]-aug[[#This Row],[Total Delivered]])</f>
        <v>5</v>
      </c>
      <c r="AJ43" s="445"/>
    </row>
    <row r="44" spans="1:36" s="386" customFormat="1" x14ac:dyDescent="0.25">
      <c r="A44" s="265" t="s">
        <v>10</v>
      </c>
      <c r="B44" s="147" t="s">
        <v>116</v>
      </c>
      <c r="C44" s="147" t="s">
        <v>338</v>
      </c>
      <c r="D44" s="147" t="s">
        <v>348</v>
      </c>
      <c r="E44" s="147" t="s">
        <v>340</v>
      </c>
      <c r="F44" s="148">
        <v>41.28</v>
      </c>
      <c r="G44" s="148"/>
      <c r="H44" s="148">
        <v>2.6</v>
      </c>
      <c r="I44" s="147">
        <v>6000</v>
      </c>
      <c r="J44" s="147">
        <v>6</v>
      </c>
      <c r="K44" s="147">
        <f t="shared" ca="1" si="1"/>
        <v>0</v>
      </c>
      <c r="L44" s="147"/>
      <c r="M44" s="147" t="str">
        <f t="shared" si="0"/>
        <v>41.282.66ERWFIN CUT</v>
      </c>
      <c r="N44" s="147" t="str">
        <f>VLOOKUP(aug[[#This Row],[Key]],Table2527[[#All],[ ]:[Bucket CTL]],2,0)</f>
        <v>41.28-0-2.6-ERW 1-FC</v>
      </c>
      <c r="O44" s="147" t="str">
        <f>VLOOKUP(aug[[#This Row],[Key]],Table2527[[#All],[ ]:[Bucket CTL]],3,0)</f>
        <v>41.28-0-2.6-ERW 1-FC-6</v>
      </c>
      <c r="P44" s="147"/>
      <c r="Q44" s="147" t="str">
        <f>VLOOKUP(aug[[#This Row],[Key]],Table2527[[#All],[ ]:[TSL Material Code]],4,0)</f>
        <v>0789</v>
      </c>
      <c r="R44" s="147">
        <f>VLOOKUP(aug[[#This Row],[Key]],Table2527[[#All],[ ]:[TSL Material Code]],5,0)</f>
        <v>3974563</v>
      </c>
      <c r="S44" s="147" t="b">
        <f>EXACT(aug[[#This Row],[Material code july]],aug[[#This Row],[TSL Material Code]])</f>
        <v>1</v>
      </c>
      <c r="T44" s="151" t="s">
        <v>345</v>
      </c>
      <c r="U44" s="150">
        <v>3974563</v>
      </c>
      <c r="V44" s="19">
        <v>50</v>
      </c>
      <c r="W44" s="147">
        <v>15</v>
      </c>
      <c r="X44" s="147">
        <v>0</v>
      </c>
      <c r="Y44" s="147">
        <v>26</v>
      </c>
      <c r="Z44" s="147">
        <f t="shared" si="2"/>
        <v>-15</v>
      </c>
      <c r="AA44" s="147">
        <v>0</v>
      </c>
      <c r="AB44" s="147">
        <f t="shared" si="3"/>
        <v>-15</v>
      </c>
      <c r="AC44" s="19">
        <f t="shared" si="4"/>
        <v>65</v>
      </c>
      <c r="AD44" s="387">
        <f t="shared" si="5"/>
        <v>65</v>
      </c>
      <c r="AE44" s="416">
        <f>SUMIFS(meghsteelsales_previousmonth[Quantity],meghsteelsales_previousmonth[Length Bucket],aug[[#This Row],[Bucket CTL]])/1000</f>
        <v>8.67</v>
      </c>
      <c r="AF44" s="160">
        <f>SUMIFS(meghsteelsales_currentmonth[Quantity],meghsteelsales_currentmonth[Length Bucket],aug[[#This Row],[Bucket CTL]])/1000</f>
        <v>60.509999999999991</v>
      </c>
      <c r="AG44" s="187">
        <f>aug[[#This Row],[order logg ]]+aug[[#This Row],[ INDENT  FOR AUG-25 recommended]]</f>
        <v>65</v>
      </c>
      <c r="AH44" s="427">
        <f>aug[[#This Row],[Before 20th]]+aug[[#This Row],[ofter 20th]]</f>
        <v>69.179999999999993</v>
      </c>
      <c r="AI44" s="427">
        <f>IF((aug[[#This Row],[Total Indent]]-aug[[#This Row],[Total Delivered]])&lt;0,0,aug[[#This Row],[Total Indent]]-aug[[#This Row],[Total Delivered]])</f>
        <v>0</v>
      </c>
      <c r="AJ44" s="187"/>
    </row>
    <row r="45" spans="1:36" x14ac:dyDescent="0.25">
      <c r="A45" s="265" t="s">
        <v>10</v>
      </c>
      <c r="B45" s="147" t="s">
        <v>116</v>
      </c>
      <c r="C45" s="159" t="s">
        <v>338</v>
      </c>
      <c r="D45" s="147" t="s">
        <v>348</v>
      </c>
      <c r="E45" s="147" t="s">
        <v>340</v>
      </c>
      <c r="F45" s="168" t="s">
        <v>363</v>
      </c>
      <c r="G45" s="168"/>
      <c r="H45" s="168">
        <v>1.6</v>
      </c>
      <c r="I45" s="169">
        <v>6130</v>
      </c>
      <c r="J45" s="147">
        <v>6.13</v>
      </c>
      <c r="K45" s="147">
        <f t="shared" ca="1" si="1"/>
        <v>0</v>
      </c>
      <c r="L45" s="147"/>
      <c r="M45" s="147" t="str">
        <f t="shared" si="0"/>
        <v>40x251.66.13ERWFIN CUT</v>
      </c>
      <c r="N45" s="147" t="str">
        <f>VLOOKUP(aug[[#This Row],[Key]],Table2527[[#All],[ ]:[Bucket CTL]],2,0)</f>
        <v>40-25-1.6-ERW 1-FC</v>
      </c>
      <c r="O45" s="147" t="str">
        <f>VLOOKUP(aug[[#This Row],[Key]],Table2527[[#All],[ ]:[Bucket CTL]],3,0)</f>
        <v>40-25-1.6-ERW 1-FC-6.13</v>
      </c>
      <c r="P45" s="147"/>
      <c r="Q45" s="147" t="str">
        <f>VLOOKUP(aug[[#This Row],[Key]],Table2527[[#All],[ ]:[TSL Material Code]],4,0)</f>
        <v>0789</v>
      </c>
      <c r="R45" s="147">
        <f>VLOOKUP(aug[[#This Row],[Key]],Table2527[[#All],[ ]:[TSL Material Code]],5,0)</f>
        <v>3919144</v>
      </c>
      <c r="S45" s="147" t="b">
        <f>EXACT(aug[[#This Row],[Material code july]],aug[[#This Row],[TSL Material Code]])</f>
        <v>1</v>
      </c>
      <c r="T45" s="151" t="s">
        <v>345</v>
      </c>
      <c r="U45" s="150">
        <f>aug[[#This Row],[Material code july]]</f>
        <v>3919144</v>
      </c>
      <c r="V45" s="19">
        <v>6</v>
      </c>
      <c r="W45" s="147">
        <v>1</v>
      </c>
      <c r="X45" s="147">
        <v>2</v>
      </c>
      <c r="Y45" s="147"/>
      <c r="Z45" s="147">
        <f t="shared" si="2"/>
        <v>1</v>
      </c>
      <c r="AA45" s="147">
        <v>0</v>
      </c>
      <c r="AB45" s="147">
        <f t="shared" si="3"/>
        <v>1</v>
      </c>
      <c r="AC45" s="19">
        <f t="shared" si="4"/>
        <v>5</v>
      </c>
      <c r="AD45" s="387">
        <f t="shared" si="5"/>
        <v>5</v>
      </c>
      <c r="AE45" s="416">
        <f>SUMIFS(meghsteelsales_previousmonth[Quantity],meghsteelsales_previousmonth[Length Bucket],aug[[#This Row],[Bucket CTL]])/1000</f>
        <v>0</v>
      </c>
      <c r="AF45" s="160">
        <f>SUMIFS(meghsteelsales_currentmonth[Quantity],meghsteelsales_currentmonth[Length Bucket],aug[[#This Row],[Bucket CTL]])/1000</f>
        <v>0</v>
      </c>
      <c r="AG45" s="187">
        <f>aug[[#This Row],[order logg ]]+aug[[#This Row],[ INDENT  FOR AUG-25 recommended]]</f>
        <v>5</v>
      </c>
      <c r="AH45" s="427">
        <f>aug[[#This Row],[Before 20th]]+aug[[#This Row],[ofter 20th]]</f>
        <v>0</v>
      </c>
      <c r="AI45" s="427">
        <f>IF((aug[[#This Row],[Total Indent]]-aug[[#This Row],[Total Delivered]])&lt;0,0,aug[[#This Row],[Total Indent]]-aug[[#This Row],[Total Delivered]])</f>
        <v>5</v>
      </c>
      <c r="AJ45" s="187"/>
    </row>
    <row r="46" spans="1:36" x14ac:dyDescent="0.25">
      <c r="A46" s="265" t="s">
        <v>341</v>
      </c>
      <c r="B46" s="147" t="s">
        <v>342</v>
      </c>
      <c r="C46" s="153" t="s">
        <v>338</v>
      </c>
      <c r="D46" s="147" t="s">
        <v>348</v>
      </c>
      <c r="E46" s="147" t="s">
        <v>340</v>
      </c>
      <c r="F46" s="148">
        <v>41.28</v>
      </c>
      <c r="G46" s="148"/>
      <c r="H46" s="148">
        <v>3.15</v>
      </c>
      <c r="I46" s="147">
        <v>5860</v>
      </c>
      <c r="J46" s="147">
        <v>5.86</v>
      </c>
      <c r="K46" s="147">
        <f t="shared" ca="1" si="1"/>
        <v>0</v>
      </c>
      <c r="L46" s="147"/>
      <c r="M46" s="147" t="str">
        <f t="shared" si="0"/>
        <v>41.283.155.86ERWFIN CUT</v>
      </c>
      <c r="N46" s="147" t="str">
        <f>VLOOKUP(aug[[#This Row],[Key]],Table2527[[#All],[ ]:[Bucket CTL]],2,0)</f>
        <v>41.28-0-3.15-ERW 1-FC</v>
      </c>
      <c r="O46" s="147" t="str">
        <f>VLOOKUP(aug[[#This Row],[Key]],Table2527[[#All],[ ]:[Bucket CTL]],3,0)</f>
        <v>41.28-0-3.15-ERW 1-FC-5.86</v>
      </c>
      <c r="P46" s="147"/>
      <c r="Q46" s="147" t="str">
        <f>VLOOKUP(aug[[#This Row],[Key]],Table2527[[#All],[ ]:[TSL Material Code]],4,0)</f>
        <v>056</v>
      </c>
      <c r="R46" s="147">
        <f>VLOOKUP(aug[[#This Row],[Key]],Table2527[[#All],[ ]:[TSL Material Code]],5,0)</f>
        <v>3673889</v>
      </c>
      <c r="S46" s="147" t="b">
        <f>EXACT(aug[[#This Row],[Material code july]],aug[[#This Row],[TSL Material Code]])</f>
        <v>1</v>
      </c>
      <c r="T46" s="151" t="s">
        <v>367</v>
      </c>
      <c r="U46" s="150">
        <v>3673889</v>
      </c>
      <c r="V46" s="19">
        <v>45</v>
      </c>
      <c r="W46" s="147">
        <v>15</v>
      </c>
      <c r="X46" s="147">
        <v>9</v>
      </c>
      <c r="Y46" s="147"/>
      <c r="Z46" s="147">
        <f t="shared" si="2"/>
        <v>-6</v>
      </c>
      <c r="AA46" s="147">
        <v>52.5</v>
      </c>
      <c r="AB46" s="147">
        <f t="shared" si="3"/>
        <v>46.5</v>
      </c>
      <c r="AC46" s="19">
        <f t="shared" si="4"/>
        <v>-1.5</v>
      </c>
      <c r="AD46" s="387">
        <f t="shared" si="5"/>
        <v>0</v>
      </c>
      <c r="AE46" s="416">
        <f>SUMIFS(meghsteelsales_previousmonth[Quantity],meghsteelsales_previousmonth[Length Bucket],aug[[#This Row],[Bucket CTL]])/1000</f>
        <v>48.390045000000008</v>
      </c>
      <c r="AF46" s="160">
        <f>SUMIFS(meghsteelsales_currentmonth[Quantity],meghsteelsales_currentmonth[Length Bucket],aug[[#This Row],[Bucket CTL]])/1000</f>
        <v>9.6830499999999997</v>
      </c>
      <c r="AG46" s="187">
        <f>aug[[#This Row],[order logg ]]+aug[[#This Row],[ INDENT  FOR AUG-25 recommended]]</f>
        <v>52.5</v>
      </c>
      <c r="AH46" s="427">
        <f>aug[[#This Row],[Before 20th]]+aug[[#This Row],[ofter 20th]]</f>
        <v>58.073095000000009</v>
      </c>
      <c r="AI46" s="427">
        <f>IF((aug[[#This Row],[Total Indent]]-aug[[#This Row],[Total Delivered]])&lt;0,0,aug[[#This Row],[Total Indent]]-aug[[#This Row],[Total Delivered]])</f>
        <v>0</v>
      </c>
      <c r="AJ46" s="187"/>
    </row>
    <row r="47" spans="1:36" x14ac:dyDescent="0.25">
      <c r="A47" s="265" t="s">
        <v>10</v>
      </c>
      <c r="B47" s="147" t="s">
        <v>346</v>
      </c>
      <c r="C47" s="153" t="s">
        <v>364</v>
      </c>
      <c r="D47" s="147" t="s">
        <v>348</v>
      </c>
      <c r="E47" s="147" t="s">
        <v>340</v>
      </c>
      <c r="F47" s="148">
        <v>42.7</v>
      </c>
      <c r="G47" s="148"/>
      <c r="H47" s="148">
        <v>3.5</v>
      </c>
      <c r="I47" s="147">
        <v>6000</v>
      </c>
      <c r="J47" s="147">
        <v>6</v>
      </c>
      <c r="K47" s="147">
        <f t="shared" ca="1" si="1"/>
        <v>0</v>
      </c>
      <c r="L47" s="147"/>
      <c r="M47" s="147" t="str">
        <f t="shared" si="0"/>
        <v>42.73.56ERWFIN CUT</v>
      </c>
      <c r="N47" s="147" t="str">
        <f>VLOOKUP(aug[[#This Row],[Key]],Table2527[[#All],[ ]:[Bucket CTL]],2,0)</f>
        <v>42.7-0-3.5-ERW 1-FC</v>
      </c>
      <c r="O47" s="147" t="str">
        <f>VLOOKUP(aug[[#This Row],[Key]],Table2527[[#All],[ ]:[Bucket CTL]],3,0)</f>
        <v>42.7-0-3.5-ERW 1-FC-6</v>
      </c>
      <c r="P47" s="147"/>
      <c r="Q47" s="147" t="str">
        <f>VLOOKUP(aug[[#This Row],[Key]],Table2527[[#All],[ ]:[TSL Material Code]],4,0)</f>
        <v>0788</v>
      </c>
      <c r="R47" s="147">
        <f>VLOOKUP(aug[[#This Row],[Key]],Table2527[[#All],[ ]:[TSL Material Code]],5,0)</f>
        <v>2396465</v>
      </c>
      <c r="S47" s="147" t="b">
        <f>EXACT(aug[[#This Row],[Material code july]],aug[[#This Row],[TSL Material Code]])</f>
        <v>1</v>
      </c>
      <c r="T47" s="151" t="s">
        <v>362</v>
      </c>
      <c r="U47" s="150">
        <v>2396465</v>
      </c>
      <c r="V47" s="19">
        <v>5</v>
      </c>
      <c r="W47" s="147">
        <v>1</v>
      </c>
      <c r="X47" s="147">
        <v>15</v>
      </c>
      <c r="Y47" s="147"/>
      <c r="Z47" s="147">
        <f t="shared" si="2"/>
        <v>14</v>
      </c>
      <c r="AA47" s="147">
        <v>0</v>
      </c>
      <c r="AB47" s="147">
        <f t="shared" si="3"/>
        <v>14</v>
      </c>
      <c r="AC47" s="19">
        <f t="shared" si="4"/>
        <v>-9</v>
      </c>
      <c r="AD47" s="387">
        <f t="shared" si="5"/>
        <v>0</v>
      </c>
      <c r="AE47" s="416">
        <f>SUMIFS(meghsteelsales_previousmonth[Quantity],meghsteelsales_previousmonth[Length Bucket],aug[[#This Row],[Bucket CTL]])/1000</f>
        <v>4.2835110000000007</v>
      </c>
      <c r="AF47" s="160">
        <f>SUMIFS(meghsteelsales_currentmonth[Quantity],meghsteelsales_currentmonth[Length Bucket],aug[[#This Row],[Bucket CTL]])/1000</f>
        <v>2.3549160000000002</v>
      </c>
      <c r="AG47" s="187">
        <f>aug[[#This Row],[order logg ]]+aug[[#This Row],[ INDENT  FOR AUG-25 recommended]]</f>
        <v>0</v>
      </c>
      <c r="AH47" s="427">
        <f>aug[[#This Row],[Before 20th]]+aug[[#This Row],[ofter 20th]]</f>
        <v>6.638427000000001</v>
      </c>
      <c r="AI47" s="427">
        <f>IF((aug[[#This Row],[Total Indent]]-aug[[#This Row],[Total Delivered]])&lt;0,0,aug[[#This Row],[Total Indent]]-aug[[#This Row],[Total Delivered]])</f>
        <v>0</v>
      </c>
      <c r="AJ47" s="187"/>
    </row>
    <row r="48" spans="1:36" x14ac:dyDescent="0.25">
      <c r="A48" s="265" t="s">
        <v>10</v>
      </c>
      <c r="B48" s="147" t="s">
        <v>346</v>
      </c>
      <c r="C48" s="153" t="s">
        <v>364</v>
      </c>
      <c r="D48" s="147" t="s">
        <v>348</v>
      </c>
      <c r="E48" s="147" t="s">
        <v>340</v>
      </c>
      <c r="F48" s="148">
        <v>42.7</v>
      </c>
      <c r="G48" s="148"/>
      <c r="H48" s="148">
        <v>4</v>
      </c>
      <c r="I48" s="147">
        <v>6000</v>
      </c>
      <c r="J48" s="147">
        <v>6</v>
      </c>
      <c r="K48" s="147">
        <f t="shared" ca="1" si="1"/>
        <v>0</v>
      </c>
      <c r="L48" s="147"/>
      <c r="M48" s="147" t="str">
        <f t="shared" si="0"/>
        <v>42.746ERWFIN CUT</v>
      </c>
      <c r="N48" s="147" t="str">
        <f>VLOOKUP(aug[[#This Row],[Key]],Table2527[[#All],[ ]:[Bucket CTL]],2,0)</f>
        <v>42.7-0-4-ERW 1-FC</v>
      </c>
      <c r="O48" s="147" t="str">
        <f>VLOOKUP(aug[[#This Row],[Key]],Table2527[[#All],[ ]:[Bucket CTL]],3,0)</f>
        <v>42.7-0-4-ERW 1-FC-6</v>
      </c>
      <c r="P48" s="147"/>
      <c r="Q48" s="147" t="str">
        <f>VLOOKUP(aug[[#This Row],[Key]],Table2527[[#All],[ ]:[TSL Material Code]],4,0)</f>
        <v>0788</v>
      </c>
      <c r="R48" s="147">
        <f>VLOOKUP(aug[[#This Row],[Key]],Table2527[[#All],[ ]:[TSL Material Code]],5,0)</f>
        <v>3501985</v>
      </c>
      <c r="S48" s="147" t="b">
        <f>EXACT(aug[[#This Row],[Material code july]],aug[[#This Row],[TSL Material Code]])</f>
        <v>1</v>
      </c>
      <c r="T48" s="151" t="s">
        <v>362</v>
      </c>
      <c r="U48" s="150">
        <v>3501985</v>
      </c>
      <c r="V48" s="19">
        <v>30</v>
      </c>
      <c r="W48" s="147">
        <v>10</v>
      </c>
      <c r="X48" s="147">
        <v>30</v>
      </c>
      <c r="Y48" s="147"/>
      <c r="Z48" s="147">
        <f t="shared" si="2"/>
        <v>20</v>
      </c>
      <c r="AA48" s="147">
        <v>0</v>
      </c>
      <c r="AB48" s="147">
        <f t="shared" si="3"/>
        <v>20</v>
      </c>
      <c r="AC48" s="19">
        <f t="shared" si="4"/>
        <v>10</v>
      </c>
      <c r="AD48" s="387">
        <f t="shared" si="5"/>
        <v>10</v>
      </c>
      <c r="AE48" s="416">
        <f>SUMIFS(meghsteelsales_previousmonth[Quantity],meghsteelsales_previousmonth[Length Bucket],aug[[#This Row],[Bucket CTL]])/1000</f>
        <v>38.311999999999998</v>
      </c>
      <c r="AF48" s="160">
        <f>SUMIFS(meghsteelsales_currentmonth[Quantity],meghsteelsales_currentmonth[Length Bucket],aug[[#This Row],[Bucket CTL]])/1000</f>
        <v>35.316800000000001</v>
      </c>
      <c r="AG48" s="187">
        <f>aug[[#This Row],[order logg ]]+aug[[#This Row],[ INDENT  FOR AUG-25 recommended]]</f>
        <v>10</v>
      </c>
      <c r="AH48" s="427">
        <f>aug[[#This Row],[Before 20th]]+aug[[#This Row],[ofter 20th]]</f>
        <v>73.628799999999998</v>
      </c>
      <c r="AI48" s="427">
        <f>IF((aug[[#This Row],[Total Indent]]-aug[[#This Row],[Total Delivered]])&lt;0,0,aug[[#This Row],[Total Indent]]-aug[[#This Row],[Total Delivered]])</f>
        <v>0</v>
      </c>
      <c r="AJ48" s="187"/>
    </row>
    <row r="49" spans="1:36" x14ac:dyDescent="0.25">
      <c r="A49" s="265" t="s">
        <v>10</v>
      </c>
      <c r="B49" s="147" t="s">
        <v>346</v>
      </c>
      <c r="C49" s="155" t="s">
        <v>338</v>
      </c>
      <c r="D49" s="147" t="s">
        <v>348</v>
      </c>
      <c r="E49" s="147" t="s">
        <v>340</v>
      </c>
      <c r="F49" s="154" t="s">
        <v>365</v>
      </c>
      <c r="G49" s="154"/>
      <c r="H49" s="154">
        <v>1.6</v>
      </c>
      <c r="I49" s="155">
        <v>5900</v>
      </c>
      <c r="J49" s="147">
        <v>5.9</v>
      </c>
      <c r="K49" s="147">
        <f t="shared" ca="1" si="1"/>
        <v>0</v>
      </c>
      <c r="L49" s="147"/>
      <c r="M49" s="147" t="str">
        <f t="shared" si="0"/>
        <v>40x301.65.9ERWFIN CUT</v>
      </c>
      <c r="N49" s="147" t="str">
        <f>VLOOKUP(aug[[#This Row],[Key]],Table2527[[#All],[ ]:[Bucket CTL]],2,0)</f>
        <v>40-30-1.6-ERW 1-FC</v>
      </c>
      <c r="O49" s="147" t="str">
        <f>VLOOKUP(aug[[#This Row],[Key]],Table2527[[#All],[ ]:[Bucket CTL]],3,0)</f>
        <v>40-30-1.6-ERW 1-FC-5.9</v>
      </c>
      <c r="P49" s="147"/>
      <c r="Q49" s="147" t="str">
        <f>VLOOKUP(aug[[#This Row],[Key]],Table2527[[#All],[ ]:[TSL Material Code]],4,0)</f>
        <v>0788</v>
      </c>
      <c r="R49" s="147">
        <f>VLOOKUP(aug[[#This Row],[Key]],Table2527[[#All],[ ]:[TSL Material Code]],5,0)</f>
        <v>3836440</v>
      </c>
      <c r="S49" s="147" t="b">
        <f>EXACT(aug[[#This Row],[Material code july]],aug[[#This Row],[TSL Material Code]])</f>
        <v>1</v>
      </c>
      <c r="T49" s="151" t="s">
        <v>345</v>
      </c>
      <c r="U49" s="150">
        <v>3836440</v>
      </c>
      <c r="V49" s="19">
        <v>10</v>
      </c>
      <c r="W49" s="147">
        <v>3</v>
      </c>
      <c r="X49" s="147">
        <v>5</v>
      </c>
      <c r="Y49" s="147"/>
      <c r="Z49" s="147">
        <f t="shared" si="2"/>
        <v>2</v>
      </c>
      <c r="AA49" s="147">
        <v>0</v>
      </c>
      <c r="AB49" s="147">
        <f t="shared" si="3"/>
        <v>2</v>
      </c>
      <c r="AC49" s="19">
        <f t="shared" si="4"/>
        <v>8</v>
      </c>
      <c r="AD49" s="387">
        <f t="shared" si="5"/>
        <v>8</v>
      </c>
      <c r="AE49" s="416">
        <f>SUMIFS(meghsteelsales_previousmonth[Quantity],meghsteelsales_previousmonth[Length Bucket],aug[[#This Row],[Bucket CTL]])/1000</f>
        <v>0</v>
      </c>
      <c r="AF49" s="160">
        <f>SUMIFS(meghsteelsales_currentmonth[Quantity],meghsteelsales_currentmonth[Length Bucket],aug[[#This Row],[Bucket CTL]])/1000</f>
        <v>0</v>
      </c>
      <c r="AG49" s="187">
        <f>aug[[#This Row],[order logg ]]+aug[[#This Row],[ INDENT  FOR AUG-25 recommended]]</f>
        <v>8</v>
      </c>
      <c r="AH49" s="427">
        <f>aug[[#This Row],[Before 20th]]+aug[[#This Row],[ofter 20th]]</f>
        <v>0</v>
      </c>
      <c r="AI49" s="427">
        <f>IF((aug[[#This Row],[Total Indent]]-aug[[#This Row],[Total Delivered]])&lt;0,0,aug[[#This Row],[Total Indent]]-aug[[#This Row],[Total Delivered]])</f>
        <v>8</v>
      </c>
      <c r="AJ49" s="187"/>
    </row>
    <row r="50" spans="1:36" x14ac:dyDescent="0.25">
      <c r="A50" s="265" t="s">
        <v>341</v>
      </c>
      <c r="B50" s="147" t="s">
        <v>342</v>
      </c>
      <c r="C50" s="153" t="s">
        <v>344</v>
      </c>
      <c r="D50" s="147" t="s">
        <v>348</v>
      </c>
      <c r="E50" s="147" t="s">
        <v>349</v>
      </c>
      <c r="F50" s="148">
        <v>45</v>
      </c>
      <c r="G50" s="148"/>
      <c r="H50" s="148">
        <v>1.4</v>
      </c>
      <c r="I50" s="147">
        <v>6400</v>
      </c>
      <c r="J50" s="147">
        <v>6.42</v>
      </c>
      <c r="K50" s="147">
        <f t="shared" ca="1" si="1"/>
        <v>0</v>
      </c>
      <c r="L50" s="147"/>
      <c r="M50" s="147" t="str">
        <f t="shared" si="0"/>
        <v>451.46.42HSTFIN CUT</v>
      </c>
      <c r="N50" s="147" t="s">
        <v>6275</v>
      </c>
      <c r="O50" s="147" t="s">
        <v>6276</v>
      </c>
      <c r="P50" s="147"/>
      <c r="Q50" s="147" t="str">
        <f>VLOOKUP(aug[[#This Row],[Key]],Table2527[[#All],[ ]:[TSL Material Code]],4,0)</f>
        <v>0789</v>
      </c>
      <c r="R50" s="147">
        <f>VLOOKUP(aug[[#This Row],[Key]],Table2527[[#All],[ ]:[TSL Material Code]],5,0)</f>
        <v>3502343</v>
      </c>
      <c r="S50" s="147" t="b">
        <f>EXACT(aug[[#This Row],[Material code july]],aug[[#This Row],[TSL Material Code]])</f>
        <v>1</v>
      </c>
      <c r="T50" s="151" t="s">
        <v>345</v>
      </c>
      <c r="U50" s="150">
        <v>3502343</v>
      </c>
      <c r="V50" s="19">
        <v>10</v>
      </c>
      <c r="W50" s="147">
        <v>5</v>
      </c>
      <c r="X50" s="147">
        <v>26</v>
      </c>
      <c r="Y50" s="147"/>
      <c r="Z50" s="147">
        <f t="shared" si="2"/>
        <v>21</v>
      </c>
      <c r="AA50" s="147">
        <v>0</v>
      </c>
      <c r="AB50" s="147">
        <f t="shared" si="3"/>
        <v>21</v>
      </c>
      <c r="AC50" s="19">
        <f t="shared" si="4"/>
        <v>-11</v>
      </c>
      <c r="AD50" s="387">
        <f t="shared" si="5"/>
        <v>0</v>
      </c>
      <c r="AE50" s="416">
        <f>SUMIFS(meghsteelsales_previousmonth[Quantity],meghsteelsales_previousmonth[Length Bucket],aug[[#This Row],[Bucket CTL]])/1000</f>
        <v>3.93</v>
      </c>
      <c r="AF50" s="160">
        <f>SUMIFS(meghsteelsales_currentmonth[Quantity],meghsteelsales_currentmonth[Length Bucket],aug[[#This Row],[Bucket CTL]])/1000</f>
        <v>0</v>
      </c>
      <c r="AG50" s="187">
        <f>aug[[#This Row],[order logg ]]+aug[[#This Row],[ INDENT  FOR AUG-25 recommended]]</f>
        <v>0</v>
      </c>
      <c r="AH50" s="427">
        <f>aug[[#This Row],[Before 20th]]+aug[[#This Row],[ofter 20th]]</f>
        <v>3.93</v>
      </c>
      <c r="AI50" s="427">
        <f>IF((aug[[#This Row],[Total Indent]]-aug[[#This Row],[Total Delivered]])&lt;0,0,aug[[#This Row],[Total Indent]]-aug[[#This Row],[Total Delivered]])</f>
        <v>0</v>
      </c>
      <c r="AJ50" s="187"/>
    </row>
    <row r="51" spans="1:36" x14ac:dyDescent="0.25">
      <c r="A51" s="265" t="s">
        <v>341</v>
      </c>
      <c r="B51" s="147" t="s">
        <v>342</v>
      </c>
      <c r="C51" s="153" t="s">
        <v>338</v>
      </c>
      <c r="D51" s="147" t="s">
        <v>348</v>
      </c>
      <c r="E51" s="147" t="s">
        <v>340</v>
      </c>
      <c r="F51" s="148">
        <v>45</v>
      </c>
      <c r="G51" s="148"/>
      <c r="H51" s="148">
        <v>1.4</v>
      </c>
      <c r="I51" s="147">
        <v>5700</v>
      </c>
      <c r="J51" s="147">
        <v>5.7</v>
      </c>
      <c r="K51" s="147">
        <f t="shared" ca="1" si="1"/>
        <v>0</v>
      </c>
      <c r="L51" s="147"/>
      <c r="M51" s="147" t="str">
        <f t="shared" si="0"/>
        <v>451.45.7ERWFIN CUT</v>
      </c>
      <c r="N51" s="147" t="str">
        <f>VLOOKUP(aug[[#This Row],[Key]],Table2527[[#All],[ ]:[Bucket CTL]],2,0)</f>
        <v>45--1.4-ERW 1-FIN CUT</v>
      </c>
      <c r="O51" s="147" t="str">
        <f>VLOOKUP(aug[[#This Row],[Key]],Table2527[[#All],[ ]:[Bucket CTL]],3,0)</f>
        <v>45--1.4-ERW 1-FIN CUT-5.7</v>
      </c>
      <c r="P51" s="147"/>
      <c r="Q51" s="147" t="str">
        <f>VLOOKUP(aug[[#This Row],[Key]],Table2527[[#All],[ ]:[TSL Material Code]],4,0)</f>
        <v>056</v>
      </c>
      <c r="R51" s="147">
        <f>VLOOKUP(aug[[#This Row],[Key]],Table2527[[#All],[ ]:[TSL Material Code]],5,0)</f>
        <v>3545558</v>
      </c>
      <c r="S51" s="147" t="b">
        <f>EXACT(aug[[#This Row],[Material code july]],aug[[#This Row],[TSL Material Code]])</f>
        <v>1</v>
      </c>
      <c r="T51" s="151" t="s">
        <v>367</v>
      </c>
      <c r="U51" s="150">
        <v>3545558</v>
      </c>
      <c r="V51" s="19">
        <v>10</v>
      </c>
      <c r="W51" s="147">
        <v>2</v>
      </c>
      <c r="X51" s="147">
        <v>17</v>
      </c>
      <c r="Y51" s="147"/>
      <c r="Z51" s="147">
        <f t="shared" si="2"/>
        <v>15</v>
      </c>
      <c r="AA51" s="147">
        <v>0</v>
      </c>
      <c r="AB51" s="147">
        <f t="shared" si="3"/>
        <v>15</v>
      </c>
      <c r="AC51" s="19">
        <f t="shared" si="4"/>
        <v>-5</v>
      </c>
      <c r="AD51" s="387">
        <f t="shared" si="5"/>
        <v>0</v>
      </c>
      <c r="AE51" s="416">
        <f>SUMIFS(meghsteelsales_previousmonth[Quantity],meghsteelsales_previousmonth[Length Bucket],aug[[#This Row],[Bucket CTL]])/1000</f>
        <v>4.8159999999999998</v>
      </c>
      <c r="AF51" s="160">
        <f>SUMIFS(meghsteelsales_currentmonth[Quantity],meghsteelsales_currentmonth[Length Bucket],aug[[#This Row],[Bucket CTL]])/1000</f>
        <v>7.35</v>
      </c>
      <c r="AG51" s="187">
        <f>aug[[#This Row],[order logg ]]+aug[[#This Row],[ INDENT  FOR AUG-25 recommended]]</f>
        <v>0</v>
      </c>
      <c r="AH51" s="427">
        <f>aug[[#This Row],[Before 20th]]+aug[[#This Row],[ofter 20th]]</f>
        <v>12.166</v>
      </c>
      <c r="AI51" s="427">
        <f>IF((aug[[#This Row],[Total Indent]]-aug[[#This Row],[Total Delivered]])&lt;0,0,aug[[#This Row],[Total Indent]]-aug[[#This Row],[Total Delivered]])</f>
        <v>0</v>
      </c>
      <c r="AJ51" s="187"/>
    </row>
    <row r="52" spans="1:36" x14ac:dyDescent="0.25">
      <c r="A52" s="265" t="s">
        <v>341</v>
      </c>
      <c r="B52" s="147" t="s">
        <v>342</v>
      </c>
      <c r="C52" s="153" t="s">
        <v>344</v>
      </c>
      <c r="D52" s="147" t="s">
        <v>348</v>
      </c>
      <c r="E52" s="147" t="s">
        <v>349</v>
      </c>
      <c r="F52" s="148">
        <v>45</v>
      </c>
      <c r="G52" s="148"/>
      <c r="H52" s="148">
        <v>1.6</v>
      </c>
      <c r="I52" s="147">
        <v>6400</v>
      </c>
      <c r="J52" s="147">
        <v>6.42</v>
      </c>
      <c r="K52" s="147">
        <f t="shared" ca="1" si="1"/>
        <v>0</v>
      </c>
      <c r="L52" s="147"/>
      <c r="M52" s="147" t="str">
        <f t="shared" si="0"/>
        <v>451.66.42HSTFIN CUT</v>
      </c>
      <c r="N52" s="147" t="s">
        <v>5071</v>
      </c>
      <c r="O52" s="147" t="s">
        <v>6277</v>
      </c>
      <c r="P52" s="147"/>
      <c r="Q52" s="147" t="str">
        <f>VLOOKUP(aug[[#This Row],[Key]],Table2527[[#All],[ ]:[TSL Material Code]],4,0)</f>
        <v>0789</v>
      </c>
      <c r="R52" s="147">
        <f>VLOOKUP(aug[[#This Row],[Key]],Table2527[[#All],[ ]:[TSL Material Code]],5,0)</f>
        <v>3502388</v>
      </c>
      <c r="S52" s="147" t="b">
        <f>EXACT(aug[[#This Row],[Material code july]],aug[[#This Row],[TSL Material Code]])</f>
        <v>1</v>
      </c>
      <c r="T52" s="151" t="s">
        <v>345</v>
      </c>
      <c r="U52" s="150">
        <v>3502388</v>
      </c>
      <c r="V52" s="19">
        <v>10</v>
      </c>
      <c r="W52" s="147">
        <v>5</v>
      </c>
      <c r="X52" s="147">
        <v>16</v>
      </c>
      <c r="Y52" s="147"/>
      <c r="Z52" s="147">
        <f t="shared" si="2"/>
        <v>11</v>
      </c>
      <c r="AA52" s="147">
        <v>0</v>
      </c>
      <c r="AB52" s="147">
        <f t="shared" si="3"/>
        <v>11</v>
      </c>
      <c r="AC52" s="19">
        <f t="shared" si="4"/>
        <v>-1</v>
      </c>
      <c r="AD52" s="387">
        <f t="shared" si="5"/>
        <v>0</v>
      </c>
      <c r="AE52" s="416">
        <f>SUMIFS(meghsteelsales_previousmonth[Quantity],meghsteelsales_previousmonth[Length Bucket],aug[[#This Row],[Bucket CTL]])/1000</f>
        <v>0</v>
      </c>
      <c r="AF52" s="160">
        <f>SUMIFS(meghsteelsales_currentmonth[Quantity],meghsteelsales_currentmonth[Length Bucket],aug[[#This Row],[Bucket CTL]])/1000</f>
        <v>0</v>
      </c>
      <c r="AG52" s="187">
        <f>aug[[#This Row],[order logg ]]+aug[[#This Row],[ INDENT  FOR AUG-25 recommended]]</f>
        <v>0</v>
      </c>
      <c r="AH52" s="427">
        <f>aug[[#This Row],[Before 20th]]+aug[[#This Row],[ofter 20th]]</f>
        <v>0</v>
      </c>
      <c r="AI52" s="427">
        <f>IF((aug[[#This Row],[Total Indent]]-aug[[#This Row],[Total Delivered]])&lt;0,0,aug[[#This Row],[Total Indent]]-aug[[#This Row],[Total Delivered]])</f>
        <v>0</v>
      </c>
      <c r="AJ52" s="187"/>
    </row>
    <row r="53" spans="1:36" s="45" customFormat="1" x14ac:dyDescent="0.25">
      <c r="A53" s="266" t="s">
        <v>5</v>
      </c>
      <c r="B53" s="156" t="s">
        <v>358</v>
      </c>
      <c r="C53" s="157" t="s">
        <v>366</v>
      </c>
      <c r="D53" s="156" t="s">
        <v>348</v>
      </c>
      <c r="E53" s="156" t="s">
        <v>357</v>
      </c>
      <c r="F53" s="248">
        <v>47.63</v>
      </c>
      <c r="G53" s="248"/>
      <c r="H53" s="248">
        <v>4</v>
      </c>
      <c r="I53" s="156">
        <v>6040</v>
      </c>
      <c r="J53" s="156">
        <v>6.04</v>
      </c>
      <c r="K53" s="156">
        <f t="shared" ca="1" si="1"/>
        <v>0</v>
      </c>
      <c r="L53" s="156"/>
      <c r="M53" s="156" t="str">
        <f t="shared" si="0"/>
        <v>47.6346.04CEWFIN CUT</v>
      </c>
      <c r="N53" s="147" t="e">
        <f>VLOOKUP(aug[[#This Row],[Key]],Table2527[[#All],[ ]:[Bucket CTL]],2,0)</f>
        <v>#N/A</v>
      </c>
      <c r="O53" s="147" t="e">
        <f>VLOOKUP(aug[[#This Row],[Key]],Table2527[[#All],[ ]:[Bucket CTL]],3,0)</f>
        <v>#N/A</v>
      </c>
      <c r="P53" s="147"/>
      <c r="Q53" s="400" t="s">
        <v>362</v>
      </c>
      <c r="R53" s="156">
        <v>3500635</v>
      </c>
      <c r="S53" s="147" t="b">
        <f>EXACT(aug[[#This Row],[Material code july]],aug[[#This Row],[TSL Material Code]])</f>
        <v>1</v>
      </c>
      <c r="T53" s="251" t="s">
        <v>362</v>
      </c>
      <c r="U53" s="245">
        <v>3500635</v>
      </c>
      <c r="V53" s="246">
        <v>7</v>
      </c>
      <c r="W53" s="156">
        <v>0</v>
      </c>
      <c r="X53" s="156">
        <v>0</v>
      </c>
      <c r="Y53" s="156">
        <v>0</v>
      </c>
      <c r="Z53" s="156">
        <f t="shared" si="2"/>
        <v>0</v>
      </c>
      <c r="AA53" s="156">
        <v>0</v>
      </c>
      <c r="AB53" s="156">
        <f t="shared" si="3"/>
        <v>0</v>
      </c>
      <c r="AC53" s="246">
        <f t="shared" si="4"/>
        <v>7</v>
      </c>
      <c r="AD53" s="388">
        <f t="shared" si="5"/>
        <v>7</v>
      </c>
      <c r="AE53" s="416">
        <f>SUMIFS(meghsteelsales_previousmonth[Quantity],meghsteelsales_previousmonth[Length Bucket],aug[[#This Row],[Bucket CTL]])/1000</f>
        <v>0</v>
      </c>
      <c r="AF53" s="160">
        <f>SUMIFS(meghsteelsales_currentmonth[Quantity],meghsteelsales_currentmonth[Length Bucket],aug[[#This Row],[Bucket CTL]])/1000</f>
        <v>0</v>
      </c>
      <c r="AG53" s="187">
        <f>aug[[#This Row],[order logg ]]+aug[[#This Row],[ INDENT  FOR AUG-25 recommended]]</f>
        <v>7</v>
      </c>
      <c r="AH53" s="427">
        <f>aug[[#This Row],[Before 20th]]+aug[[#This Row],[ofter 20th]]</f>
        <v>0</v>
      </c>
      <c r="AI53" s="427">
        <f>IF((aug[[#This Row],[Total Indent]]-aug[[#This Row],[Total Delivered]])&lt;0,0,aug[[#This Row],[Total Indent]]-aug[[#This Row],[Total Delivered]])</f>
        <v>7</v>
      </c>
      <c r="AJ53" s="445"/>
    </row>
    <row r="54" spans="1:36" x14ac:dyDescent="0.25">
      <c r="A54" s="265" t="s">
        <v>5</v>
      </c>
      <c r="B54" s="147" t="s">
        <v>358</v>
      </c>
      <c r="C54" s="153" t="s">
        <v>338</v>
      </c>
      <c r="D54" s="147" t="s">
        <v>348</v>
      </c>
      <c r="E54" s="147" t="s">
        <v>340</v>
      </c>
      <c r="F54" s="148">
        <v>48</v>
      </c>
      <c r="G54" s="148"/>
      <c r="H54" s="148">
        <v>1.2</v>
      </c>
      <c r="I54" s="147">
        <v>620</v>
      </c>
      <c r="J54" s="147">
        <v>0.62</v>
      </c>
      <c r="K54" s="147">
        <f t="shared" ca="1" si="1"/>
        <v>0</v>
      </c>
      <c r="L54" s="147"/>
      <c r="M54" s="147" t="str">
        <f t="shared" si="0"/>
        <v>481.20.62ERWFIN CUT</v>
      </c>
      <c r="N54" s="147" t="str">
        <f>VLOOKUP(aug[[#This Row],[Key]],Table2527[[#All],[ ]:[Bucket CTL]],2,0)</f>
        <v>48--1.2-ERW 1-FIN CUT</v>
      </c>
      <c r="O54" s="147" t="str">
        <f>VLOOKUP(aug[[#This Row],[Key]],Table2527[[#All],[ ]:[Bucket CTL]],3,0)</f>
        <v>48--1.2-ERW 1-FIN CUT-0.620</v>
      </c>
      <c r="P54" s="147"/>
      <c r="Q54" s="147" t="str">
        <f>VLOOKUP(aug[[#This Row],[Key]],Table2527[[#All],[ ]:[TSL Material Code]],4,0)</f>
        <v>0789</v>
      </c>
      <c r="R54" s="147">
        <f>VLOOKUP(aug[[#This Row],[Key]],Table2527[[#All],[ ]:[TSL Material Code]],5,0)</f>
        <v>2397072</v>
      </c>
      <c r="S54" s="147" t="b">
        <f>EXACT(aug[[#This Row],[Material code july]],aug[[#This Row],[TSL Material Code]])</f>
        <v>1</v>
      </c>
      <c r="T54" s="151" t="s">
        <v>345</v>
      </c>
      <c r="U54" s="150">
        <v>2397072</v>
      </c>
      <c r="V54" s="19">
        <v>10</v>
      </c>
      <c r="W54" s="147">
        <v>3</v>
      </c>
      <c r="X54" s="147">
        <v>0</v>
      </c>
      <c r="Y54" s="147"/>
      <c r="Z54" s="147">
        <f t="shared" si="2"/>
        <v>-3</v>
      </c>
      <c r="AA54" s="147">
        <v>0</v>
      </c>
      <c r="AB54" s="147">
        <f t="shared" si="3"/>
        <v>-3</v>
      </c>
      <c r="AC54" s="19">
        <f t="shared" si="4"/>
        <v>13</v>
      </c>
      <c r="AD54" s="387">
        <f t="shared" si="5"/>
        <v>13</v>
      </c>
      <c r="AE54" s="416">
        <f>SUMIFS(meghsteelsales_previousmonth[Quantity],meghsteelsales_previousmonth[Length Bucket],aug[[#This Row],[Bucket CTL]])/1000</f>
        <v>0</v>
      </c>
      <c r="AF54" s="160">
        <f>SUMIFS(meghsteelsales_currentmonth[Quantity],meghsteelsales_currentmonth[Length Bucket],aug[[#This Row],[Bucket CTL]])/1000</f>
        <v>0</v>
      </c>
      <c r="AG54" s="187">
        <f>aug[[#This Row],[order logg ]]+aug[[#This Row],[ INDENT  FOR AUG-25 recommended]]</f>
        <v>13</v>
      </c>
      <c r="AH54" s="427">
        <f>aug[[#This Row],[Before 20th]]+aug[[#This Row],[ofter 20th]]</f>
        <v>0</v>
      </c>
      <c r="AI54" s="427">
        <f>IF((aug[[#This Row],[Total Indent]]-aug[[#This Row],[Total Delivered]])&lt;0,0,aug[[#This Row],[Total Indent]]-aug[[#This Row],[Total Delivered]])</f>
        <v>13</v>
      </c>
      <c r="AJ54" s="187"/>
    </row>
    <row r="55" spans="1:36" x14ac:dyDescent="0.25">
      <c r="A55" s="265" t="s">
        <v>5</v>
      </c>
      <c r="B55" s="147" t="s">
        <v>359</v>
      </c>
      <c r="C55" s="153" t="s">
        <v>338</v>
      </c>
      <c r="D55" s="147" t="s">
        <v>348</v>
      </c>
      <c r="E55" s="147" t="s">
        <v>340</v>
      </c>
      <c r="F55" s="148">
        <v>48</v>
      </c>
      <c r="G55" s="148"/>
      <c r="H55" s="148">
        <v>1.2</v>
      </c>
      <c r="I55" s="147">
        <v>700</v>
      </c>
      <c r="J55" s="147">
        <v>0.7</v>
      </c>
      <c r="K55" s="147">
        <f t="shared" ca="1" si="1"/>
        <v>0</v>
      </c>
      <c r="L55" s="147"/>
      <c r="M55" s="147" t="str">
        <f t="shared" si="0"/>
        <v>481.20.7ERWFIN CUT</v>
      </c>
      <c r="N55" s="147" t="str">
        <f>VLOOKUP(aug[[#This Row],[Key]],Table2527[[#All],[ ]:[Bucket CTL]],2,0)</f>
        <v>48--1.2-ERW 1-FIN CUT</v>
      </c>
      <c r="O55" s="147" t="str">
        <f>VLOOKUP(aug[[#This Row],[Key]],Table2527[[#All],[ ]:[Bucket CTL]],3,0)</f>
        <v>48--1.2-ERW 1-FIN CUT-0.7</v>
      </c>
      <c r="P55" s="147"/>
      <c r="Q55" s="147" t="str">
        <f>VLOOKUP(aug[[#This Row],[Key]],Table2527[[#All],[ ]:[TSL Material Code]],4,0)</f>
        <v>0789</v>
      </c>
      <c r="R55" s="147">
        <f>VLOOKUP(aug[[#This Row],[Key]],Table2527[[#All],[ ]:[TSL Material Code]],5,0)</f>
        <v>3649700</v>
      </c>
      <c r="S55" s="147" t="b">
        <f>EXACT(aug[[#This Row],[Material code july]],aug[[#This Row],[TSL Material Code]])</f>
        <v>1</v>
      </c>
      <c r="T55" s="151" t="s">
        <v>345</v>
      </c>
      <c r="U55" s="150">
        <v>3649700</v>
      </c>
      <c r="V55" s="19">
        <v>14</v>
      </c>
      <c r="W55" s="147">
        <v>3</v>
      </c>
      <c r="X55" s="147">
        <v>0</v>
      </c>
      <c r="Y55" s="147"/>
      <c r="Z55" s="147">
        <f t="shared" si="2"/>
        <v>-3</v>
      </c>
      <c r="AA55" s="147">
        <v>0</v>
      </c>
      <c r="AB55" s="147">
        <f t="shared" si="3"/>
        <v>-3</v>
      </c>
      <c r="AC55" s="19">
        <f t="shared" si="4"/>
        <v>17</v>
      </c>
      <c r="AD55" s="387">
        <f t="shared" si="5"/>
        <v>17</v>
      </c>
      <c r="AE55" s="416">
        <f>SUMIFS(meghsteelsales_previousmonth[Quantity],meghsteelsales_previousmonth[Length Bucket],aug[[#This Row],[Bucket CTL]])/1000</f>
        <v>0</v>
      </c>
      <c r="AF55" s="160">
        <f>SUMIFS(meghsteelsales_currentmonth[Quantity],meghsteelsales_currentmonth[Length Bucket],aug[[#This Row],[Bucket CTL]])/1000</f>
        <v>0</v>
      </c>
      <c r="AG55" s="187">
        <f>aug[[#This Row],[order logg ]]+aug[[#This Row],[ INDENT  FOR AUG-25 recommended]]</f>
        <v>17</v>
      </c>
      <c r="AH55" s="427">
        <f>aug[[#This Row],[Before 20th]]+aug[[#This Row],[ofter 20th]]</f>
        <v>0</v>
      </c>
      <c r="AI55" s="427">
        <f>IF((aug[[#This Row],[Total Indent]]-aug[[#This Row],[Total Delivered]])&lt;0,0,aug[[#This Row],[Total Indent]]-aug[[#This Row],[Total Delivered]])</f>
        <v>17</v>
      </c>
      <c r="AJ55" s="187"/>
    </row>
    <row r="56" spans="1:36" x14ac:dyDescent="0.25">
      <c r="A56" s="265" t="s">
        <v>341</v>
      </c>
      <c r="B56" s="147" t="s">
        <v>342</v>
      </c>
      <c r="C56" s="153" t="s">
        <v>344</v>
      </c>
      <c r="D56" s="147" t="s">
        <v>348</v>
      </c>
      <c r="E56" s="147" t="s">
        <v>349</v>
      </c>
      <c r="F56" s="148">
        <v>48.6</v>
      </c>
      <c r="G56" s="148"/>
      <c r="H56" s="148">
        <v>2</v>
      </c>
      <c r="I56" s="147">
        <v>6270</v>
      </c>
      <c r="J56" s="147">
        <v>6.27</v>
      </c>
      <c r="K56" s="147">
        <f t="shared" ca="1" si="1"/>
        <v>0</v>
      </c>
      <c r="L56" s="147"/>
      <c r="M56" s="147" t="str">
        <f t="shared" si="0"/>
        <v>48.626.27HSTFIN CUT</v>
      </c>
      <c r="N56" s="147" t="str">
        <f>VLOOKUP(aug[[#This Row],[Key]],Table2527[[#All],[ ]:[Bucket CTL]],2,0)</f>
        <v>No Key</v>
      </c>
      <c r="O56" s="147" t="str">
        <f>VLOOKUP(aug[[#This Row],[Key]],Table2527[[#All],[ ]:[Bucket CTL]],3,0)</f>
        <v>No Key</v>
      </c>
      <c r="P56" s="147"/>
      <c r="Q56" s="147" t="str">
        <f>VLOOKUP(aug[[#This Row],[Key]],Table2527[[#All],[ ]:[TSL Material Code]],4,0)</f>
        <v>056</v>
      </c>
      <c r="R56" s="147">
        <f>VLOOKUP(aug[[#This Row],[Key]],Table2527[[#All],[ ]:[TSL Material Code]],5,0)</f>
        <v>3502301</v>
      </c>
      <c r="S56" s="147" t="b">
        <f>EXACT(aug[[#This Row],[Material code july]],aug[[#This Row],[TSL Material Code]])</f>
        <v>1</v>
      </c>
      <c r="T56" s="151" t="s">
        <v>367</v>
      </c>
      <c r="U56" s="150">
        <v>3502301</v>
      </c>
      <c r="V56" s="19">
        <v>10</v>
      </c>
      <c r="W56" s="147">
        <v>3</v>
      </c>
      <c r="X56" s="147">
        <v>30</v>
      </c>
      <c r="Y56" s="147"/>
      <c r="Z56" s="147">
        <f t="shared" si="2"/>
        <v>27</v>
      </c>
      <c r="AA56" s="147">
        <v>4</v>
      </c>
      <c r="AB56" s="147">
        <f t="shared" si="3"/>
        <v>31</v>
      </c>
      <c r="AC56" s="19">
        <f t="shared" si="4"/>
        <v>-21</v>
      </c>
      <c r="AD56" s="387">
        <f t="shared" si="5"/>
        <v>0</v>
      </c>
      <c r="AE56" s="416">
        <f>SUMIFS(meghsteelsales_previousmonth[Quantity],meghsteelsales_previousmonth[Length Bucket],aug[[#This Row],[Bucket CTL]])/1000</f>
        <v>0</v>
      </c>
      <c r="AF56" s="160">
        <f>SUMIFS(meghsteelsales_currentmonth[Quantity],meghsteelsales_currentmonth[Length Bucket],aug[[#This Row],[Bucket CTL]])/1000</f>
        <v>0</v>
      </c>
      <c r="AG56" s="187">
        <f>aug[[#This Row],[order logg ]]+aug[[#This Row],[ INDENT  FOR AUG-25 recommended]]</f>
        <v>4</v>
      </c>
      <c r="AH56" s="427">
        <f>aug[[#This Row],[Before 20th]]+aug[[#This Row],[ofter 20th]]</f>
        <v>0</v>
      </c>
      <c r="AI56" s="427">
        <f>IF((aug[[#This Row],[Total Indent]]-aug[[#This Row],[Total Delivered]])&lt;0,0,aug[[#This Row],[Total Indent]]-aug[[#This Row],[Total Delivered]])</f>
        <v>4</v>
      </c>
      <c r="AJ56" s="187"/>
    </row>
    <row r="57" spans="1:36" x14ac:dyDescent="0.25">
      <c r="A57" s="265" t="s">
        <v>341</v>
      </c>
      <c r="B57" s="147" t="s">
        <v>342</v>
      </c>
      <c r="C57" s="153" t="s">
        <v>344</v>
      </c>
      <c r="D57" s="147" t="s">
        <v>348</v>
      </c>
      <c r="E57" s="147" t="s">
        <v>349</v>
      </c>
      <c r="F57" s="148">
        <v>48.6</v>
      </c>
      <c r="G57" s="148"/>
      <c r="H57" s="148">
        <v>2.2999999999999998</v>
      </c>
      <c r="I57" s="147">
        <v>6270</v>
      </c>
      <c r="J57" s="147">
        <v>6.27</v>
      </c>
      <c r="K57" s="147">
        <f t="shared" ca="1" si="1"/>
        <v>0</v>
      </c>
      <c r="L57" s="147"/>
      <c r="M57" s="147" t="str">
        <f t="shared" si="0"/>
        <v>48.62.36.27HSTFIN CUT</v>
      </c>
      <c r="N57" s="147" t="str">
        <f>VLOOKUP(aug[[#This Row],[Key]],Table2527[[#All],[ ]:[Bucket CTL]],2,0)</f>
        <v>48.6-0-2.3-ERW 2-FC</v>
      </c>
      <c r="O57" s="147" t="str">
        <f>VLOOKUP(aug[[#This Row],[Key]],Table2527[[#All],[ ]:[Bucket CTL]],3,0)</f>
        <v>48.6-0-2.3-ERW 2-FC-6.27</v>
      </c>
      <c r="P57" s="147"/>
      <c r="Q57" s="147" t="str">
        <f>VLOOKUP(aug[[#This Row],[Key]],Table2527[[#All],[ ]:[TSL Material Code]],4,0)</f>
        <v>056</v>
      </c>
      <c r="R57" s="147">
        <f>VLOOKUP(aug[[#This Row],[Key]],Table2527[[#All],[ ]:[TSL Material Code]],5,0)</f>
        <v>3549720</v>
      </c>
      <c r="S57" s="147" t="b">
        <f>EXACT(aug[[#This Row],[Material code july]],aug[[#This Row],[TSL Material Code]])</f>
        <v>1</v>
      </c>
      <c r="T57" s="151" t="s">
        <v>367</v>
      </c>
      <c r="U57" s="150">
        <v>3549720</v>
      </c>
      <c r="V57" s="19">
        <v>10</v>
      </c>
      <c r="W57" s="147">
        <v>3</v>
      </c>
      <c r="X57" s="147">
        <v>4</v>
      </c>
      <c r="Y57" s="147"/>
      <c r="Z57" s="147">
        <f t="shared" si="2"/>
        <v>1</v>
      </c>
      <c r="AA57" s="147">
        <v>0</v>
      </c>
      <c r="AB57" s="147">
        <f t="shared" si="3"/>
        <v>1</v>
      </c>
      <c r="AC57" s="19">
        <f t="shared" si="4"/>
        <v>9</v>
      </c>
      <c r="AD57" s="387">
        <f t="shared" si="5"/>
        <v>9</v>
      </c>
      <c r="AE57" s="416">
        <f>SUMIFS(meghsteelsales_previousmonth[Quantity],meghsteelsales_previousmonth[Length Bucket],aug[[#This Row],[Bucket CTL]])/1000</f>
        <v>0</v>
      </c>
      <c r="AF57" s="160">
        <f>SUMIFS(meghsteelsales_currentmonth[Quantity],meghsteelsales_currentmonth[Length Bucket],aug[[#This Row],[Bucket CTL]])/1000</f>
        <v>0</v>
      </c>
      <c r="AG57" s="187">
        <f>aug[[#This Row],[order logg ]]+aug[[#This Row],[ INDENT  FOR AUG-25 recommended]]</f>
        <v>9</v>
      </c>
      <c r="AH57" s="427">
        <f>aug[[#This Row],[Before 20th]]+aug[[#This Row],[ofter 20th]]</f>
        <v>0</v>
      </c>
      <c r="AI57" s="427">
        <f>IF((aug[[#This Row],[Total Indent]]-aug[[#This Row],[Total Delivered]])&lt;0,0,aug[[#This Row],[Total Indent]]-aug[[#This Row],[Total Delivered]])</f>
        <v>9</v>
      </c>
      <c r="AJ57" s="187"/>
    </row>
    <row r="58" spans="1:36" x14ac:dyDescent="0.25">
      <c r="A58" s="265" t="s">
        <v>341</v>
      </c>
      <c r="B58" s="147" t="s">
        <v>342</v>
      </c>
      <c r="C58" s="153" t="s">
        <v>338</v>
      </c>
      <c r="D58" s="147" t="s">
        <v>348</v>
      </c>
      <c r="E58" s="147" t="s">
        <v>340</v>
      </c>
      <c r="F58" s="148">
        <v>48.6</v>
      </c>
      <c r="G58" s="148"/>
      <c r="H58" s="148">
        <v>3.5</v>
      </c>
      <c r="I58" s="147">
        <v>6000</v>
      </c>
      <c r="J58" s="147">
        <v>6</v>
      </c>
      <c r="K58" s="147">
        <f t="shared" ca="1" si="1"/>
        <v>0</v>
      </c>
      <c r="L58" s="147"/>
      <c r="M58" s="147" t="str">
        <f t="shared" si="0"/>
        <v>48.63.56ERWFIN CUT</v>
      </c>
      <c r="N58" s="147" t="str">
        <f>VLOOKUP(aug[[#This Row],[Key]],Table2527[[#All],[ ]:[Bucket CTL]],2,0)</f>
        <v>48.6-0-3.5-ERW 1-FC</v>
      </c>
      <c r="O58" s="147" t="str">
        <f>VLOOKUP(aug[[#This Row],[Key]],Table2527[[#All],[ ]:[Bucket CTL]],3,0)</f>
        <v>48.6-0-3.5-ERW 1-FC-6</v>
      </c>
      <c r="P58" s="147"/>
      <c r="Q58" s="147" t="str">
        <f>VLOOKUP(aug[[#This Row],[Key]],Table2527[[#All],[ ]:[TSL Material Code]],4,0)</f>
        <v>0789</v>
      </c>
      <c r="R58" s="147">
        <f>VLOOKUP(aug[[#This Row],[Key]],Table2527[[#All],[ ]:[TSL Material Code]],5,0)</f>
        <v>3502422</v>
      </c>
      <c r="S58" s="147" t="b">
        <f>EXACT(aug[[#This Row],[Material code july]],aug[[#This Row],[TSL Material Code]])</f>
        <v>1</v>
      </c>
      <c r="T58" s="151" t="s">
        <v>345</v>
      </c>
      <c r="U58" s="150">
        <v>3502422</v>
      </c>
      <c r="V58" s="19">
        <v>25</v>
      </c>
      <c r="W58" s="147">
        <v>3</v>
      </c>
      <c r="X58" s="147">
        <v>7</v>
      </c>
      <c r="Y58" s="147"/>
      <c r="Z58" s="147">
        <f t="shared" si="2"/>
        <v>4</v>
      </c>
      <c r="AA58" s="147"/>
      <c r="AB58" s="147">
        <f t="shared" si="3"/>
        <v>4</v>
      </c>
      <c r="AC58" s="19">
        <f t="shared" si="4"/>
        <v>21</v>
      </c>
      <c r="AD58" s="387">
        <f t="shared" si="5"/>
        <v>21</v>
      </c>
      <c r="AE58" s="416">
        <f>SUMIFS(meghsteelsales_previousmonth[Quantity],meghsteelsales_previousmonth[Length Bucket],aug[[#This Row],[Bucket CTL]])/1000</f>
        <v>2.991104</v>
      </c>
      <c r="AF58" s="160">
        <f>SUMIFS(meghsteelsales_currentmonth[Quantity],meghsteelsales_currentmonth[Length Bucket],aug[[#This Row],[Bucket CTL]])/1000</f>
        <v>14.154752</v>
      </c>
      <c r="AG58" s="187">
        <f>aug[[#This Row],[order logg ]]+aug[[#This Row],[ INDENT  FOR AUG-25 recommended]]</f>
        <v>21</v>
      </c>
      <c r="AH58" s="427">
        <f>aug[[#This Row],[Before 20th]]+aug[[#This Row],[ofter 20th]]</f>
        <v>17.145856000000002</v>
      </c>
      <c r="AI58" s="427">
        <f>IF((aug[[#This Row],[Total Indent]]-aug[[#This Row],[Total Delivered]])&lt;0,0,aug[[#This Row],[Total Indent]]-aug[[#This Row],[Total Delivered]])</f>
        <v>3.854143999999998</v>
      </c>
      <c r="AJ58" s="187"/>
    </row>
    <row r="59" spans="1:36" x14ac:dyDescent="0.25">
      <c r="A59" s="265" t="s">
        <v>10</v>
      </c>
      <c r="B59" s="147" t="s">
        <v>116</v>
      </c>
      <c r="C59" s="153" t="s">
        <v>338</v>
      </c>
      <c r="D59" s="147" t="s">
        <v>348</v>
      </c>
      <c r="E59" s="147" t="s">
        <v>340</v>
      </c>
      <c r="F59" s="168" t="s">
        <v>368</v>
      </c>
      <c r="G59" s="168"/>
      <c r="H59" s="168">
        <v>1.6</v>
      </c>
      <c r="I59" s="147">
        <v>6000</v>
      </c>
      <c r="J59" s="147">
        <v>6</v>
      </c>
      <c r="K59" s="147">
        <f t="shared" ca="1" si="1"/>
        <v>0</v>
      </c>
      <c r="L59" s="147"/>
      <c r="M59" s="147" t="str">
        <f t="shared" si="0"/>
        <v>59x301.66ERWFIN CUT</v>
      </c>
      <c r="N59" s="147" t="str">
        <f>VLOOKUP(aug[[#This Row],[Key]],Table2527[[#All],[ ]:[Bucket CTL]],2,0)</f>
        <v>59-30-1.6-ERW 1-FIN CUT</v>
      </c>
      <c r="O59" s="147" t="str">
        <f>VLOOKUP(aug[[#This Row],[Key]],Table2527[[#All],[ ]:[Bucket CTL]],3,0)</f>
        <v>59-30-1.6-ERW 1-FIN CUT-6</v>
      </c>
      <c r="P59" s="147"/>
      <c r="Q59" s="147" t="str">
        <f>VLOOKUP(aug[[#This Row],[Key]],Table2527[[#All],[ ]:[TSL Material Code]],4,0)</f>
        <v>0789</v>
      </c>
      <c r="R59" s="147">
        <f>VLOOKUP(aug[[#This Row],[Key]],Table2527[[#All],[ ]:[TSL Material Code]],5,0)</f>
        <v>1940925</v>
      </c>
      <c r="S59" s="147" t="b">
        <f>EXACT(aug[[#This Row],[Material code july]],aug[[#This Row],[TSL Material Code]])</f>
        <v>1</v>
      </c>
      <c r="T59" s="151" t="s">
        <v>345</v>
      </c>
      <c r="U59" s="150">
        <f>aug[[#This Row],[Material code july]]</f>
        <v>1940925</v>
      </c>
      <c r="V59" s="19">
        <v>5</v>
      </c>
      <c r="W59" s="147">
        <v>1</v>
      </c>
      <c r="X59" s="147">
        <v>3</v>
      </c>
      <c r="Y59" s="147"/>
      <c r="Z59" s="147">
        <f t="shared" si="2"/>
        <v>2</v>
      </c>
      <c r="AA59" s="147">
        <v>0</v>
      </c>
      <c r="AB59" s="147">
        <f t="shared" si="3"/>
        <v>2</v>
      </c>
      <c r="AC59" s="19">
        <f t="shared" si="4"/>
        <v>3</v>
      </c>
      <c r="AD59" s="387">
        <f t="shared" si="5"/>
        <v>3</v>
      </c>
      <c r="AE59" s="416">
        <f>SUMIFS(meghsteelsales_previousmonth[Quantity],meghsteelsales_previousmonth[Length Bucket],aug[[#This Row],[Bucket CTL]])/1000</f>
        <v>5.12</v>
      </c>
      <c r="AF59" s="160">
        <f>SUMIFS(meghsteelsales_currentmonth[Quantity],meghsteelsales_currentmonth[Length Bucket],aug[[#This Row],[Bucket CTL]])/1000</f>
        <v>0</v>
      </c>
      <c r="AG59" s="187">
        <f>aug[[#This Row],[order logg ]]+aug[[#This Row],[ INDENT  FOR AUG-25 recommended]]</f>
        <v>3</v>
      </c>
      <c r="AH59" s="427">
        <f>aug[[#This Row],[Before 20th]]+aug[[#This Row],[ofter 20th]]</f>
        <v>5.12</v>
      </c>
      <c r="AI59" s="427">
        <f>IF((aug[[#This Row],[Total Indent]]-aug[[#This Row],[Total Delivered]])&lt;0,0,aug[[#This Row],[Total Indent]]-aug[[#This Row],[Total Delivered]])</f>
        <v>0</v>
      </c>
      <c r="AJ59" s="187"/>
    </row>
    <row r="60" spans="1:36" x14ac:dyDescent="0.25">
      <c r="A60" s="265" t="s">
        <v>5</v>
      </c>
      <c r="B60" s="147" t="s">
        <v>369</v>
      </c>
      <c r="C60" s="153" t="s">
        <v>338</v>
      </c>
      <c r="D60" s="147" t="s">
        <v>348</v>
      </c>
      <c r="E60" s="147" t="s">
        <v>340</v>
      </c>
      <c r="F60" s="168" t="s">
        <v>368</v>
      </c>
      <c r="G60" s="168"/>
      <c r="H60" s="168">
        <v>1.6</v>
      </c>
      <c r="I60" s="169">
        <v>572.5</v>
      </c>
      <c r="J60" s="147">
        <v>0.57250000000000001</v>
      </c>
      <c r="K60" s="147">
        <f t="shared" ca="1" si="1"/>
        <v>0</v>
      </c>
      <c r="L60" s="147"/>
      <c r="M60" s="147" t="str">
        <f t="shared" si="0"/>
        <v>59x301.60.5725ERWFIN CUT</v>
      </c>
      <c r="N60" s="147" t="str">
        <f>VLOOKUP(aug[[#This Row],[Key]],Table2527[[#All],[ ]:[Bucket CTL]],2,0)</f>
        <v>59-30-1.6-ERW 1-FIN CUT</v>
      </c>
      <c r="O60" s="147" t="str">
        <f>VLOOKUP(aug[[#This Row],[Key]],Table2527[[#All],[ ]:[Bucket CTL]],3,0)</f>
        <v>59-30-1.6-ERW 1-FIN CUT-0.573</v>
      </c>
      <c r="P60" s="147"/>
      <c r="Q60" s="147" t="str">
        <f>VLOOKUP(aug[[#This Row],[Key]],Table2527[[#All],[ ]:[TSL Material Code]],4,0)</f>
        <v>0789</v>
      </c>
      <c r="R60" s="147">
        <f>VLOOKUP(aug[[#This Row],[Key]],Table2527[[#All],[ ]:[TSL Material Code]],5,0)</f>
        <v>2420716</v>
      </c>
      <c r="S60" s="147" t="b">
        <f>EXACT(aug[[#This Row],[Material code july]],aug[[#This Row],[TSL Material Code]])</f>
        <v>1</v>
      </c>
      <c r="T60" s="151" t="s">
        <v>345</v>
      </c>
      <c r="U60" s="150">
        <v>2420716</v>
      </c>
      <c r="V60" s="19">
        <v>40</v>
      </c>
      <c r="W60" s="147">
        <v>20</v>
      </c>
      <c r="X60" s="147">
        <v>0</v>
      </c>
      <c r="Y60" s="147"/>
      <c r="Z60" s="147">
        <f t="shared" si="2"/>
        <v>-20</v>
      </c>
      <c r="AA60" s="147">
        <v>0</v>
      </c>
      <c r="AB60" s="147">
        <f t="shared" si="3"/>
        <v>-20</v>
      </c>
      <c r="AC60" s="19">
        <f t="shared" si="4"/>
        <v>60</v>
      </c>
      <c r="AD60" s="387">
        <f t="shared" si="5"/>
        <v>60</v>
      </c>
      <c r="AE60" s="416">
        <f>SUMIFS(meghsteelsales_previousmonth[Quantity],meghsteelsales_previousmonth[Length Bucket],aug[[#This Row],[Bucket CTL]])/1000</f>
        <v>9.4819599999999991</v>
      </c>
      <c r="AF60" s="160">
        <f>SUMIFS(meghsteelsales_currentmonth[Quantity],meghsteelsales_currentmonth[Length Bucket],aug[[#This Row],[Bucket CTL]])/1000</f>
        <v>0</v>
      </c>
      <c r="AG60" s="187">
        <f>aug[[#This Row],[order logg ]]+aug[[#This Row],[ INDENT  FOR AUG-25 recommended]]</f>
        <v>60</v>
      </c>
      <c r="AH60" s="427">
        <f>aug[[#This Row],[Before 20th]]+aug[[#This Row],[ofter 20th]]</f>
        <v>9.4819599999999991</v>
      </c>
      <c r="AI60" s="427">
        <f>IF((aug[[#This Row],[Total Indent]]-aug[[#This Row],[Total Delivered]])&lt;0,0,aug[[#This Row],[Total Indent]]-aug[[#This Row],[Total Delivered]])</f>
        <v>50.518039999999999</v>
      </c>
      <c r="AJ60" s="187"/>
    </row>
    <row r="61" spans="1:36" x14ac:dyDescent="0.25">
      <c r="A61" s="265" t="s">
        <v>5</v>
      </c>
      <c r="B61" s="147" t="s">
        <v>358</v>
      </c>
      <c r="C61" s="153" t="s">
        <v>338</v>
      </c>
      <c r="D61" s="147" t="s">
        <v>348</v>
      </c>
      <c r="E61" s="147" t="s">
        <v>340</v>
      </c>
      <c r="F61" s="168" t="s">
        <v>370</v>
      </c>
      <c r="G61" s="168"/>
      <c r="H61" s="168">
        <v>1.6</v>
      </c>
      <c r="I61" s="169">
        <v>6040</v>
      </c>
      <c r="J61" s="147">
        <v>6.04</v>
      </c>
      <c r="K61" s="147">
        <f t="shared" ca="1" si="1"/>
        <v>0</v>
      </c>
      <c r="L61" s="147"/>
      <c r="M61" s="147" t="str">
        <f t="shared" si="0"/>
        <v>50X501.66.04ERWFIN CUT</v>
      </c>
      <c r="N61" s="147" t="e">
        <f>VLOOKUP(aug[[#This Row],[Key]],Table2527[[#All],[ ]:[Bucket CTL]],2,0)</f>
        <v>#N/A</v>
      </c>
      <c r="O61" s="147" t="e">
        <f>VLOOKUP(aug[[#This Row],[Key]],Table2527[[#All],[ ]:[Bucket CTL]],3,0)</f>
        <v>#N/A</v>
      </c>
      <c r="P61" s="147"/>
      <c r="Q61" s="147" t="s">
        <v>367</v>
      </c>
      <c r="R61" s="147">
        <v>3751498</v>
      </c>
      <c r="S61" s="147" t="b">
        <f>EXACT(aug[[#This Row],[Material code july]],aug[[#This Row],[TSL Material Code]])</f>
        <v>1</v>
      </c>
      <c r="T61" s="165" t="s">
        <v>367</v>
      </c>
      <c r="U61" s="150">
        <v>3751498</v>
      </c>
      <c r="V61" s="19">
        <v>10</v>
      </c>
      <c r="W61" s="147"/>
      <c r="X61" s="147">
        <v>0</v>
      </c>
      <c r="Y61" s="147"/>
      <c r="Z61" s="147">
        <f t="shared" si="2"/>
        <v>0</v>
      </c>
      <c r="AA61" s="147">
        <v>0</v>
      </c>
      <c r="AB61" s="147">
        <f t="shared" si="3"/>
        <v>0</v>
      </c>
      <c r="AC61" s="19">
        <f t="shared" si="4"/>
        <v>10</v>
      </c>
      <c r="AD61" s="387">
        <f t="shared" si="5"/>
        <v>10</v>
      </c>
      <c r="AE61" s="416">
        <f>SUMIFS(meghsteelsales_previousmonth[Quantity],meghsteelsales_previousmonth[Length Bucket],aug[[#This Row],[Bucket CTL]])/1000</f>
        <v>0</v>
      </c>
      <c r="AF61" s="160">
        <f>SUMIFS(meghsteelsales_currentmonth[Quantity],meghsteelsales_currentmonth[Length Bucket],aug[[#This Row],[Bucket CTL]])/1000</f>
        <v>0</v>
      </c>
      <c r="AG61" s="187">
        <f>aug[[#This Row],[order logg ]]+aug[[#This Row],[ INDENT  FOR AUG-25 recommended]]</f>
        <v>10</v>
      </c>
      <c r="AH61" s="427">
        <f>aug[[#This Row],[Before 20th]]+aug[[#This Row],[ofter 20th]]</f>
        <v>0</v>
      </c>
      <c r="AI61" s="427">
        <f>IF((aug[[#This Row],[Total Indent]]-aug[[#This Row],[Total Delivered]])&lt;0,0,aug[[#This Row],[Total Indent]]-aug[[#This Row],[Total Delivered]])</f>
        <v>10</v>
      </c>
      <c r="AJ61" s="187"/>
    </row>
    <row r="62" spans="1:36" x14ac:dyDescent="0.25">
      <c r="A62" s="265" t="s">
        <v>5</v>
      </c>
      <c r="B62" s="147" t="s">
        <v>358</v>
      </c>
      <c r="C62" s="153" t="s">
        <v>338</v>
      </c>
      <c r="D62" s="147" t="s">
        <v>348</v>
      </c>
      <c r="E62" s="147" t="s">
        <v>340</v>
      </c>
      <c r="F62" s="168">
        <v>50.8</v>
      </c>
      <c r="G62" s="168"/>
      <c r="H62" s="168">
        <v>2.6</v>
      </c>
      <c r="I62" s="169">
        <v>6000</v>
      </c>
      <c r="J62" s="147">
        <v>6</v>
      </c>
      <c r="K62" s="147">
        <f t="shared" ca="1" si="1"/>
        <v>0</v>
      </c>
      <c r="L62" s="147"/>
      <c r="M62" s="147" t="str">
        <f t="shared" si="0"/>
        <v>50.82.66ERWFIN CUT</v>
      </c>
      <c r="N62" s="147" t="e">
        <f>VLOOKUP(aug[[#This Row],[Key]],Table2527[[#All],[ ]:[Bucket CTL]],2,0)</f>
        <v>#N/A</v>
      </c>
      <c r="O62" s="147" t="e">
        <f>VLOOKUP(aug[[#This Row],[Key]],Table2527[[#All],[ ]:[Bucket CTL]],3,0)</f>
        <v>#N/A</v>
      </c>
      <c r="P62" s="147"/>
      <c r="Q62" s="147" t="s">
        <v>367</v>
      </c>
      <c r="R62" s="147">
        <v>3518437</v>
      </c>
      <c r="S62" s="147" t="b">
        <f>EXACT(aug[[#This Row],[Material code july]],aug[[#This Row],[TSL Material Code]])</f>
        <v>1</v>
      </c>
      <c r="T62" s="165" t="s">
        <v>367</v>
      </c>
      <c r="U62" s="150">
        <v>3518437</v>
      </c>
      <c r="V62" s="19">
        <v>5</v>
      </c>
      <c r="W62" s="147">
        <v>0</v>
      </c>
      <c r="X62" s="147">
        <v>0</v>
      </c>
      <c r="Y62" s="147">
        <v>0</v>
      </c>
      <c r="Z62" s="147">
        <v>0</v>
      </c>
      <c r="AA62" s="147">
        <v>0</v>
      </c>
      <c r="AB62" s="147">
        <v>0</v>
      </c>
      <c r="AC62" s="19">
        <v>5</v>
      </c>
      <c r="AD62" s="387">
        <v>5</v>
      </c>
      <c r="AE62" s="416">
        <f>SUMIFS(meghsteelsales_previousmonth[Quantity],meghsteelsales_previousmonth[Length Bucket],aug[[#This Row],[Bucket CTL]])/1000</f>
        <v>0</v>
      </c>
      <c r="AF62" s="160">
        <f>SUMIFS(meghsteelsales_currentmonth[Quantity],meghsteelsales_currentmonth[Length Bucket],aug[[#This Row],[Bucket CTL]])/1000</f>
        <v>0</v>
      </c>
      <c r="AG62" s="187">
        <f>aug[[#This Row],[order logg ]]+aug[[#This Row],[ INDENT  FOR AUG-25 recommended]]</f>
        <v>5</v>
      </c>
      <c r="AH62" s="427">
        <f>aug[[#This Row],[Before 20th]]+aug[[#This Row],[ofter 20th]]</f>
        <v>0</v>
      </c>
      <c r="AI62" s="427">
        <f>IF((aug[[#This Row],[Total Indent]]-aug[[#This Row],[Total Delivered]])&lt;0,0,aug[[#This Row],[Total Indent]]-aug[[#This Row],[Total Delivered]])</f>
        <v>5</v>
      </c>
      <c r="AJ62" s="187"/>
    </row>
    <row r="63" spans="1:36" s="45" customFormat="1" x14ac:dyDescent="0.25">
      <c r="A63" s="266" t="s">
        <v>5</v>
      </c>
      <c r="B63" s="156" t="s">
        <v>358</v>
      </c>
      <c r="C63" s="157" t="s">
        <v>366</v>
      </c>
      <c r="D63" s="156" t="s">
        <v>348</v>
      </c>
      <c r="E63" s="156" t="s">
        <v>357</v>
      </c>
      <c r="F63" s="398">
        <v>50.8</v>
      </c>
      <c r="G63" s="398">
        <v>45.6</v>
      </c>
      <c r="H63" s="398">
        <v>2.6</v>
      </c>
      <c r="I63" s="399">
        <v>6000</v>
      </c>
      <c r="J63" s="156">
        <v>6</v>
      </c>
      <c r="K63" s="156">
        <f t="shared" ca="1" si="1"/>
        <v>0</v>
      </c>
      <c r="L63" s="156"/>
      <c r="M63" s="156" t="str">
        <f t="shared" si="0"/>
        <v>50.82.66CEWFIN CUT</v>
      </c>
      <c r="N63" s="147" t="e">
        <f>VLOOKUP(aug[[#This Row],[Key]],Table2527[[#All],[ ]:[Bucket CTL]],2,0)</f>
        <v>#N/A</v>
      </c>
      <c r="O63" s="147" t="e">
        <f>VLOOKUP(aug[[#This Row],[Key]],Table2527[[#All],[ ]:[Bucket CTL]],3,0)</f>
        <v>#N/A</v>
      </c>
      <c r="P63" s="147"/>
      <c r="Q63" s="400" t="s">
        <v>367</v>
      </c>
      <c r="R63" s="156">
        <v>3500695</v>
      </c>
      <c r="S63" s="147" t="b">
        <f>EXACT(aug[[#This Row],[Material code july]],aug[[#This Row],[TSL Material Code]])</f>
        <v>1</v>
      </c>
      <c r="T63" s="250" t="s">
        <v>367</v>
      </c>
      <c r="U63" s="245">
        <v>3500695</v>
      </c>
      <c r="V63" s="246">
        <v>5</v>
      </c>
      <c r="W63" s="156">
        <v>0</v>
      </c>
      <c r="X63" s="156">
        <v>0</v>
      </c>
      <c r="Y63" s="156">
        <v>0</v>
      </c>
      <c r="Z63" s="156">
        <v>0</v>
      </c>
      <c r="AA63" s="156">
        <v>0</v>
      </c>
      <c r="AB63" s="156">
        <v>0</v>
      </c>
      <c r="AC63" s="246">
        <v>5</v>
      </c>
      <c r="AD63" s="388">
        <v>5</v>
      </c>
      <c r="AE63" s="416">
        <f>SUMIFS(meghsteelsales_previousmonth[Quantity],meghsteelsales_previousmonth[Length Bucket],aug[[#This Row],[Bucket CTL]])/1000</f>
        <v>0</v>
      </c>
      <c r="AF63" s="160">
        <f>SUMIFS(meghsteelsales_currentmonth[Quantity],meghsteelsales_currentmonth[Length Bucket],aug[[#This Row],[Bucket CTL]])/1000</f>
        <v>0</v>
      </c>
      <c r="AG63" s="187">
        <f>aug[[#This Row],[order logg ]]+aug[[#This Row],[ INDENT  FOR AUG-25 recommended]]</f>
        <v>5</v>
      </c>
      <c r="AH63" s="427">
        <f>aug[[#This Row],[Before 20th]]+aug[[#This Row],[ofter 20th]]</f>
        <v>0</v>
      </c>
      <c r="AI63" s="427">
        <f>IF((aug[[#This Row],[Total Indent]]-aug[[#This Row],[Total Delivered]])&lt;0,0,aug[[#This Row],[Total Indent]]-aug[[#This Row],[Total Delivered]])</f>
        <v>5</v>
      </c>
      <c r="AJ63" s="445"/>
    </row>
    <row r="64" spans="1:36" x14ac:dyDescent="0.25">
      <c r="A64" s="265" t="s">
        <v>10</v>
      </c>
      <c r="B64" s="147" t="s">
        <v>346</v>
      </c>
      <c r="C64" s="153" t="s">
        <v>338</v>
      </c>
      <c r="D64" s="147" t="s">
        <v>348</v>
      </c>
      <c r="E64" s="147" t="s">
        <v>340</v>
      </c>
      <c r="F64" s="148">
        <v>57.15</v>
      </c>
      <c r="G64" s="148"/>
      <c r="H64" s="148">
        <v>2.5</v>
      </c>
      <c r="I64" s="147">
        <v>5710</v>
      </c>
      <c r="J64" s="147">
        <v>5.71</v>
      </c>
      <c r="K64" s="147">
        <f t="shared" ca="1" si="1"/>
        <v>0</v>
      </c>
      <c r="L64" s="147"/>
      <c r="M64" s="147" t="str">
        <f t="shared" si="0"/>
        <v>57.152.55.71ERWFIN CUT</v>
      </c>
      <c r="N64" s="147" t="str">
        <f>VLOOKUP(aug[[#This Row],[Key]],Table2527[[#All],[ ]:[Bucket CTL]],2,0)</f>
        <v>57.15-0-2.5-ERW 1-FC</v>
      </c>
      <c r="O64" s="147" t="str">
        <f>VLOOKUP(aug[[#This Row],[Key]],Table2527[[#All],[ ]:[Bucket CTL]],3,0)</f>
        <v>57.15-0-2.5-ERW 1-FC-5.711</v>
      </c>
      <c r="P64" s="147" t="s">
        <v>6272</v>
      </c>
      <c r="Q64" s="147" t="str">
        <f>VLOOKUP(aug[[#This Row],[Key]],Table2527[[#All],[ ]:[TSL Material Code]],4,0)</f>
        <v>056</v>
      </c>
      <c r="R64" s="147">
        <f>VLOOKUP(aug[[#This Row],[Key]],Table2527[[#All],[ ]:[TSL Material Code]],5,0)</f>
        <v>3907863</v>
      </c>
      <c r="S64" s="147" t="b">
        <f>EXACT(aug[[#This Row],[Material code july]],aug[[#This Row],[TSL Material Code]])</f>
        <v>1</v>
      </c>
      <c r="T64" s="151" t="s">
        <v>367</v>
      </c>
      <c r="U64" s="150">
        <v>3907863</v>
      </c>
      <c r="V64" s="19">
        <v>80</v>
      </c>
      <c r="W64" s="147">
        <v>15</v>
      </c>
      <c r="X64" s="147">
        <v>0</v>
      </c>
      <c r="Y64" s="147">
        <v>32</v>
      </c>
      <c r="Z64" s="147">
        <f t="shared" si="2"/>
        <v>-15</v>
      </c>
      <c r="AA64" s="147">
        <v>23.9</v>
      </c>
      <c r="AB64" s="147">
        <f t="shared" si="3"/>
        <v>8.8999999999999986</v>
      </c>
      <c r="AC64" s="19">
        <f t="shared" si="4"/>
        <v>71.099999999999994</v>
      </c>
      <c r="AD64" s="387">
        <f t="shared" si="5"/>
        <v>71.099999999999994</v>
      </c>
      <c r="AE64" s="416">
        <f>SUMIFS(meghsteelsales_previousmonth[Quantity],meghsteelsales_previousmonth[Length Bucket],aug[[#This Row],[Bucket CTL]])/1000</f>
        <v>16.138103999999998</v>
      </c>
      <c r="AF64" s="160">
        <f>SUMIFS(meghsteelsales_currentmonth[Quantity],meghsteelsales_currentmonth[Length Bucket],aug[[#This Row],[Bucket CTL]])/1000</f>
        <v>206.77804999999998</v>
      </c>
      <c r="AG64" s="147">
        <f>aug[[#This Row],[order logg ]]+aug[[#This Row],[ INDENT  FOR AUG-25 recommended]]</f>
        <v>95</v>
      </c>
      <c r="AH64" s="416">
        <f>aug[[#This Row],[Before 20th]]+aug[[#This Row],[ofter 20th]]</f>
        <v>222.91615399999998</v>
      </c>
      <c r="AI64" s="416">
        <f>IF((aug[[#This Row],[Total Indent]]-aug[[#This Row],[Total Delivered]])&lt;0,0,aug[[#This Row],[Total Indent]]-aug[[#This Row],[Total Delivered]])</f>
        <v>0</v>
      </c>
      <c r="AJ64" s="147">
        <v>80</v>
      </c>
    </row>
    <row r="65" spans="1:45" x14ac:dyDescent="0.25">
      <c r="A65" s="265" t="s">
        <v>10</v>
      </c>
      <c r="B65" s="147" t="s">
        <v>346</v>
      </c>
      <c r="C65" s="153" t="s">
        <v>338</v>
      </c>
      <c r="D65" s="147" t="s">
        <v>348</v>
      </c>
      <c r="E65" s="147" t="s">
        <v>340</v>
      </c>
      <c r="F65" s="148">
        <v>57.15</v>
      </c>
      <c r="G65" s="148"/>
      <c r="H65" s="148">
        <v>2.5</v>
      </c>
      <c r="I65" s="147">
        <v>5950</v>
      </c>
      <c r="J65" s="147">
        <v>5.95</v>
      </c>
      <c r="K65" s="147">
        <f t="shared" ca="1" si="1"/>
        <v>0</v>
      </c>
      <c r="L65" s="147"/>
      <c r="M65" s="147" t="str">
        <f t="shared" si="0"/>
        <v>57.152.55.95ERWFIN CUT</v>
      </c>
      <c r="N65" s="147" t="s">
        <v>926</v>
      </c>
      <c r="O65" s="147" t="s">
        <v>6251</v>
      </c>
      <c r="P65" s="147" t="s">
        <v>6272</v>
      </c>
      <c r="Q65" s="400" t="s">
        <v>367</v>
      </c>
      <c r="R65" s="147">
        <v>4054700</v>
      </c>
      <c r="S65" s="147" t="b">
        <f>EXACT(aug[[#This Row],[Material code july]],aug[[#This Row],[TSL Material Code]])</f>
        <v>1</v>
      </c>
      <c r="T65" s="151" t="s">
        <v>367</v>
      </c>
      <c r="U65" s="150">
        <f>aug[[#This Row],[Material code july]]</f>
        <v>4054700</v>
      </c>
      <c r="V65" s="19">
        <v>20</v>
      </c>
      <c r="W65" s="147">
        <v>5</v>
      </c>
      <c r="X65" s="147">
        <v>13</v>
      </c>
      <c r="Y65" s="147">
        <v>57</v>
      </c>
      <c r="Z65" s="147">
        <f t="shared" si="2"/>
        <v>8</v>
      </c>
      <c r="AA65" s="147">
        <v>147</v>
      </c>
      <c r="AB65" s="147">
        <f t="shared" si="3"/>
        <v>155</v>
      </c>
      <c r="AC65" s="19">
        <f t="shared" si="4"/>
        <v>-135</v>
      </c>
      <c r="AD65" s="387">
        <f t="shared" si="5"/>
        <v>0</v>
      </c>
      <c r="AE65" s="416">
        <f>SUMIFS(meghsteelsales_previousmonth[Quantity],meghsteelsales_previousmonth[Length Bucket],aug[[#This Row],[Bucket CTL]])/1000</f>
        <v>0</v>
      </c>
      <c r="AF65" s="160">
        <f>SUMIFS(meghsteelsales_currentmonth[Quantity],meghsteelsales_currentmonth[Length Bucket],aug[[#This Row],[Bucket CTL]])/1000</f>
        <v>6.6326640000000001</v>
      </c>
      <c r="AG65" s="147">
        <f>aug[[#This Row],[order logg ]]+aug[[#This Row],[ INDENT  FOR AUG-25 recommended]]</f>
        <v>147</v>
      </c>
      <c r="AH65" s="416">
        <f>aug[[#This Row],[Before 20th]]+aug[[#This Row],[ofter 20th]]</f>
        <v>6.6326640000000001</v>
      </c>
      <c r="AI65" s="416">
        <f>IF((aug[[#This Row],[Total Indent]]-aug[[#This Row],[Total Delivered]])&lt;0,0,aug[[#This Row],[Total Indent]]-aug[[#This Row],[Total Delivered]])</f>
        <v>140.36733599999999</v>
      </c>
      <c r="AJ65" s="147">
        <v>0</v>
      </c>
    </row>
    <row r="66" spans="1:45" x14ac:dyDescent="0.25">
      <c r="A66" s="265" t="s">
        <v>10</v>
      </c>
      <c r="B66" s="147" t="s">
        <v>346</v>
      </c>
      <c r="C66" s="153" t="s">
        <v>338</v>
      </c>
      <c r="D66" s="147" t="s">
        <v>348</v>
      </c>
      <c r="E66" s="147" t="s">
        <v>340</v>
      </c>
      <c r="F66" s="148">
        <v>57.15</v>
      </c>
      <c r="G66" s="148"/>
      <c r="H66" s="148">
        <v>2.5</v>
      </c>
      <c r="I66" s="147">
        <v>6100</v>
      </c>
      <c r="J66" s="147">
        <v>6.1</v>
      </c>
      <c r="K66" s="147">
        <f t="shared" ca="1" si="1"/>
        <v>0</v>
      </c>
      <c r="L66" s="147"/>
      <c r="M66" s="147" t="str">
        <f t="shared" ref="M66:M68" si="6">_xlfn.CONCAT(F66,H66,J66,E66,D66)</f>
        <v>57.152.56.1ERWFIN CUT</v>
      </c>
      <c r="N66" s="147" t="str">
        <f>VLOOKUP(aug[[#This Row],[Key]],Table2527[[#All],[ ]:[Bucket CTL]],2,0)</f>
        <v>57.15-0-2.5-ERW 1-FC</v>
      </c>
      <c r="O66" s="147" t="str">
        <f>VLOOKUP(aug[[#This Row],[Key]],Table2527[[#All],[ ]:[Bucket CTL]],3,0)</f>
        <v>57.15-0-2.5-ERW 1-FC-6.1</v>
      </c>
      <c r="P66" s="147" t="s">
        <v>6272</v>
      </c>
      <c r="Q66" s="147" t="str">
        <f>VLOOKUP(aug[[#This Row],[Key]],Table2527[[#All],[ ]:[TSL Material Code]],4,0)</f>
        <v>056</v>
      </c>
      <c r="R66" s="147">
        <f>VLOOKUP(aug[[#This Row],[Key]],Table2527[[#All],[ ]:[TSL Material Code]],5,0)</f>
        <v>3910001</v>
      </c>
      <c r="S66" s="147" t="b">
        <f>EXACT(aug[[#This Row],[Material code july]],aug[[#This Row],[TSL Material Code]])</f>
        <v>1</v>
      </c>
      <c r="T66" s="151" t="s">
        <v>367</v>
      </c>
      <c r="U66" s="150">
        <v>3910001</v>
      </c>
      <c r="V66" s="19">
        <v>80</v>
      </c>
      <c r="W66" s="147">
        <v>10</v>
      </c>
      <c r="X66" s="147">
        <v>5</v>
      </c>
      <c r="Y66" s="147"/>
      <c r="Z66" s="147">
        <f t="shared" si="2"/>
        <v>-5</v>
      </c>
      <c r="AA66" s="147">
        <v>11.3</v>
      </c>
      <c r="AB66" s="147">
        <f t="shared" si="3"/>
        <v>6.3000000000000007</v>
      </c>
      <c r="AC66" s="19">
        <f t="shared" si="4"/>
        <v>73.7</v>
      </c>
      <c r="AD66" s="387">
        <f t="shared" si="5"/>
        <v>73.7</v>
      </c>
      <c r="AE66" s="416">
        <f>SUMIFS(meghsteelsales_previousmonth[Quantity],meghsteelsales_previousmonth[Length Bucket],aug[[#This Row],[Bucket CTL]])/1000</f>
        <v>0</v>
      </c>
      <c r="AF66" s="160">
        <f>SUMIFS(meghsteelsales_currentmonth[Quantity],meghsteelsales_currentmonth[Length Bucket],aug[[#This Row],[Bucket CTL]])/1000</f>
        <v>52.086044999999999</v>
      </c>
      <c r="AG66" s="147">
        <f>aug[[#This Row],[order logg ]]+aug[[#This Row],[ INDENT  FOR AUG-25 recommended]]</f>
        <v>85</v>
      </c>
      <c r="AH66" s="416">
        <f>aug[[#This Row],[Before 20th]]+aug[[#This Row],[ofter 20th]]</f>
        <v>52.086044999999999</v>
      </c>
      <c r="AI66" s="416">
        <f>IF((aug[[#This Row],[Total Indent]]-aug[[#This Row],[Total Delivered]])&lt;0,0,aug[[#This Row],[Total Indent]]-aug[[#This Row],[Total Delivered]])</f>
        <v>32.913955000000001</v>
      </c>
      <c r="AJ66" s="147">
        <v>4</v>
      </c>
    </row>
    <row r="67" spans="1:45" x14ac:dyDescent="0.25">
      <c r="A67" s="265" t="s">
        <v>341</v>
      </c>
      <c r="B67" s="147" t="s">
        <v>342</v>
      </c>
      <c r="C67" s="153" t="s">
        <v>338</v>
      </c>
      <c r="D67" s="147" t="s">
        <v>348</v>
      </c>
      <c r="E67" s="147" t="s">
        <v>340</v>
      </c>
      <c r="F67" s="148">
        <v>57.15</v>
      </c>
      <c r="G67" s="148"/>
      <c r="H67" s="148">
        <v>3</v>
      </c>
      <c r="I67" s="147">
        <v>5650</v>
      </c>
      <c r="J67" s="147">
        <v>5.65</v>
      </c>
      <c r="K67" s="147">
        <f t="shared" ref="K67:K68" ca="1" si="7">COUNTIF(_xlfn.ANCHORARRAY(A$74),M67)</f>
        <v>0</v>
      </c>
      <c r="L67" s="147"/>
      <c r="M67" s="147" t="str">
        <f t="shared" si="6"/>
        <v>57.1535.65ERWFIN CUT</v>
      </c>
      <c r="N67" s="147" t="s">
        <v>6278</v>
      </c>
      <c r="O67" s="147" t="s">
        <v>6279</v>
      </c>
      <c r="P67" s="147"/>
      <c r="Q67" s="147" t="str">
        <f>VLOOKUP(aug[[#This Row],[Key]],Table2527[[#All],[ ]:[TSL Material Code]],4,0)</f>
        <v>056</v>
      </c>
      <c r="R67" s="147">
        <f>VLOOKUP(aug[[#This Row],[Key]],Table2527[[#All],[ ]:[TSL Material Code]],5,0)</f>
        <v>3501105</v>
      </c>
      <c r="S67" s="147" t="b">
        <f>EXACT(aug[[#This Row],[Material code july]],aug[[#This Row],[TSL Material Code]])</f>
        <v>1</v>
      </c>
      <c r="T67" s="151" t="s">
        <v>367</v>
      </c>
      <c r="U67" s="150">
        <v>3501105</v>
      </c>
      <c r="V67" s="19">
        <v>10</v>
      </c>
      <c r="W67" s="147">
        <v>0</v>
      </c>
      <c r="X67" s="147">
        <v>0</v>
      </c>
      <c r="Y67" s="147"/>
      <c r="Z67" s="147">
        <f t="shared" si="2"/>
        <v>0</v>
      </c>
      <c r="AA67" s="147">
        <v>22</v>
      </c>
      <c r="AB67" s="147">
        <f t="shared" si="3"/>
        <v>22</v>
      </c>
      <c r="AC67" s="19">
        <f t="shared" si="4"/>
        <v>-12</v>
      </c>
      <c r="AD67" s="387">
        <f t="shared" si="5"/>
        <v>0</v>
      </c>
      <c r="AE67" s="416">
        <f>SUMIFS(meghsteelsales_previousmonth[Quantity],meghsteelsales_previousmonth[Length Bucket],aug[[#This Row],[Bucket CTL]])/1000</f>
        <v>0</v>
      </c>
      <c r="AF67" s="160">
        <f>SUMIFS(meghsteelsales_currentmonth[Quantity],meghsteelsales_currentmonth[Length Bucket],aug[[#This Row],[Bucket CTL]])/1000</f>
        <v>0</v>
      </c>
      <c r="AG67" s="187">
        <f>aug[[#This Row],[order logg ]]+aug[[#This Row],[ INDENT  FOR AUG-25 recommended]]</f>
        <v>22</v>
      </c>
      <c r="AH67" s="427">
        <f>aug[[#This Row],[Before 20th]]+aug[[#This Row],[ofter 20th]]</f>
        <v>0</v>
      </c>
      <c r="AI67" s="427">
        <f>IF((aug[[#This Row],[Total Indent]]-aug[[#This Row],[Total Delivered]])&lt;0,0,aug[[#This Row],[Total Indent]]-aug[[#This Row],[Total Delivered]])</f>
        <v>22</v>
      </c>
      <c r="AJ67" s="187"/>
    </row>
    <row r="68" spans="1:45" x14ac:dyDescent="0.25">
      <c r="A68" s="389" t="s">
        <v>10</v>
      </c>
      <c r="B68" s="285" t="s">
        <v>112</v>
      </c>
      <c r="C68" s="390" t="s">
        <v>338</v>
      </c>
      <c r="D68" s="285" t="s">
        <v>348</v>
      </c>
      <c r="E68" s="285" t="s">
        <v>340</v>
      </c>
      <c r="F68" s="391">
        <v>60.3</v>
      </c>
      <c r="G68" s="391"/>
      <c r="H68" s="391">
        <v>2</v>
      </c>
      <c r="I68" s="285">
        <v>5900</v>
      </c>
      <c r="J68" s="285">
        <v>5.9</v>
      </c>
      <c r="K68" s="285">
        <f t="shared" ca="1" si="7"/>
        <v>0</v>
      </c>
      <c r="L68" s="285"/>
      <c r="M68" s="285" t="str">
        <f t="shared" si="6"/>
        <v>60.325.9ERWFIN CUT</v>
      </c>
      <c r="N68" s="147" t="str">
        <f>VLOOKUP(aug[[#This Row],[Key]],Table2527[[#All],[ ]:[Bucket CTL]],2,0)</f>
        <v>60.3-0-2-ERW 1-FC</v>
      </c>
      <c r="O68" s="147" t="str">
        <f>VLOOKUP(aug[[#This Row],[Key]],Table2527[[#All],[ ]:[Bucket CTL]],3,0)</f>
        <v>60.3-0-2-ERW 1-FC-5.9</v>
      </c>
      <c r="P68" s="147" t="s">
        <v>6272</v>
      </c>
      <c r="Q68" s="147" t="str">
        <f>VLOOKUP(aug[[#This Row],[Key]],Table2527[[#All],[ ]:[TSL Material Code]],4,0)</f>
        <v>0788</v>
      </c>
      <c r="R68" s="147">
        <f>VLOOKUP(aug[[#This Row],[Key]],Table2527[[#All],[ ]:[TSL Material Code]],5,0)</f>
        <v>3905049</v>
      </c>
      <c r="S68" s="147" t="b">
        <f>EXACT(aug[[#This Row],[Material code july]],aug[[#This Row],[TSL Material Code]])</f>
        <v>1</v>
      </c>
      <c r="T68" s="151" t="s">
        <v>362</v>
      </c>
      <c r="U68" s="147">
        <f>VLOOKUP(aug[[#This Row],[Key]],Table2527[[#All],[ ]:[TSL Material Code]],5,0)</f>
        <v>3905049</v>
      </c>
      <c r="V68" s="392">
        <v>30</v>
      </c>
      <c r="W68" s="285">
        <v>7</v>
      </c>
      <c r="X68" s="285">
        <v>37</v>
      </c>
      <c r="Y68" s="285"/>
      <c r="Z68" s="285">
        <f t="shared" si="2"/>
        <v>30</v>
      </c>
      <c r="AA68" s="285">
        <v>0</v>
      </c>
      <c r="AB68" s="285">
        <f t="shared" si="3"/>
        <v>30</v>
      </c>
      <c r="AC68" s="392">
        <f t="shared" si="4"/>
        <v>0</v>
      </c>
      <c r="AD68" s="393">
        <f t="shared" si="5"/>
        <v>0</v>
      </c>
      <c r="AE68" s="417">
        <f>SUMIFS(meghsteelsales_previousmonth[Quantity],meghsteelsales_previousmonth[Length Bucket],aug[[#This Row],[Bucket CTL]])/1000</f>
        <v>42.22</v>
      </c>
      <c r="AF68" s="160">
        <f>SUMIFS(meghsteelsales_currentmonth[Quantity],meghsteelsales_currentmonth[Length Bucket],aug[[#This Row],[Bucket CTL]])/1000</f>
        <v>14.679999999999998</v>
      </c>
      <c r="AG68" s="147">
        <f>aug[[#This Row],[order logg ]]+aug[[#This Row],[ INDENT  FOR AUG-25 recommended]]</f>
        <v>0</v>
      </c>
      <c r="AH68" s="416">
        <f>aug[[#This Row],[Before 20th]]+aug[[#This Row],[ofter 20th]]</f>
        <v>56.9</v>
      </c>
      <c r="AI68" s="416">
        <f>IF((aug[[#This Row],[Total Indent]]-aug[[#This Row],[Total Delivered]])&lt;0,0,aug[[#This Row],[Total Indent]]-aug[[#This Row],[Total Delivered]])</f>
        <v>0</v>
      </c>
      <c r="AJ68" s="147">
        <v>30</v>
      </c>
    </row>
    <row r="69" spans="1:45" x14ac:dyDescent="0.25">
      <c r="I69" s="152" t="s">
        <v>372</v>
      </c>
      <c r="J69" s="152"/>
      <c r="K69" s="147"/>
      <c r="L69" s="147"/>
      <c r="M69" s="152"/>
      <c r="N69" s="152"/>
      <c r="O69" s="152"/>
      <c r="P69" s="152"/>
      <c r="Q69" s="152"/>
      <c r="R69" s="152"/>
      <c r="S69" s="197"/>
      <c r="T69" s="152">
        <f t="shared" ref="T69:AD69" si="8">SUM(V2:V68)</f>
        <v>1281</v>
      </c>
      <c r="U69" s="152">
        <f t="shared" si="8"/>
        <v>294</v>
      </c>
      <c r="V69" s="152">
        <f t="shared" si="8"/>
        <v>583.4</v>
      </c>
      <c r="W69" s="152">
        <f t="shared" si="8"/>
        <v>216</v>
      </c>
      <c r="X69" s="152">
        <f t="shared" si="8"/>
        <v>289.39999999999998</v>
      </c>
      <c r="Y69" s="152">
        <f t="shared" si="8"/>
        <v>666.39999999999986</v>
      </c>
      <c r="Z69" s="152">
        <f t="shared" si="8"/>
        <v>955.79999999999984</v>
      </c>
      <c r="AA69" s="152">
        <f t="shared" si="8"/>
        <v>325.2</v>
      </c>
      <c r="AB69" s="172">
        <f t="shared" si="8"/>
        <v>703.80000000000007</v>
      </c>
      <c r="AC69" s="15">
        <f t="shared" si="8"/>
        <v>654.36112799999989</v>
      </c>
      <c r="AD69" s="15">
        <f t="shared" si="8"/>
        <v>683.11182199999985</v>
      </c>
      <c r="AE69" s="15">
        <f>SUM(AE2:AE68)</f>
        <v>654.36112799999989</v>
      </c>
      <c r="AF69" s="15">
        <f>SUM(AF2:AF68)</f>
        <v>683.11182199999985</v>
      </c>
      <c r="AG69" s="446">
        <f>SUBTOTAL(9,AG2:AG68)</f>
        <v>1370.2</v>
      </c>
      <c r="AH69" s="446">
        <f>SUBTOTAL(9,AH2:AH68)</f>
        <v>1337.4729499999999</v>
      </c>
      <c r="AI69" s="446">
        <f>SUBTOTAL(9,AI2:AI68)</f>
        <v>605.31239200000005</v>
      </c>
      <c r="AP69">
        <v>620</v>
      </c>
    </row>
    <row r="70" spans="1:45" x14ac:dyDescent="0.25">
      <c r="S70" s="198"/>
      <c r="AA70"/>
      <c r="AB70" s="173"/>
      <c r="AP70">
        <v>650</v>
      </c>
      <c r="AQ70">
        <f>AP71/AP69</f>
        <v>9.67741935483871</v>
      </c>
      <c r="AR70">
        <f>9*(AP69+3)</f>
        <v>5607</v>
      </c>
      <c r="AS70">
        <f>AP71-AR70</f>
        <v>393</v>
      </c>
    </row>
    <row r="71" spans="1:45" x14ac:dyDescent="0.25">
      <c r="S71" s="198"/>
      <c r="AA71"/>
      <c r="AB71" s="173"/>
      <c r="AP71">
        <v>6000</v>
      </c>
      <c r="AQ71">
        <f>AP71/AP70</f>
        <v>9.2307692307692299</v>
      </c>
      <c r="AR71">
        <f>9*(AP70+3)</f>
        <v>5877</v>
      </c>
      <c r="AS71">
        <f>AP71-AR71</f>
        <v>123</v>
      </c>
    </row>
    <row r="72" spans="1:45" x14ac:dyDescent="0.25">
      <c r="S72" s="198"/>
      <c r="AA72"/>
      <c r="AB72" s="173"/>
    </row>
    <row r="73" spans="1:45" x14ac:dyDescent="0.25">
      <c r="A73" t="s">
        <v>6280</v>
      </c>
      <c r="C73" t="s">
        <v>6281</v>
      </c>
      <c r="S73" s="198"/>
      <c r="AA73"/>
      <c r="AB73" s="173"/>
    </row>
    <row r="74" spans="1:45" x14ac:dyDescent="0.25">
      <c r="A74" t="e" cm="1" vm="4">
        <f t="array" aca="1" ref="A74" ca="1">_xlfn._xlws.FILTER($M$2:$M$68,ISNA(_xlfn.XMATCH($M$2:$M$68,Table2527[[ ]])))</f>
        <v>#VALUE!</v>
      </c>
      <c r="C74" t="str" cm="1">
        <f t="array" ref="C74:C79">_xlfn._xlws.FILTER(Table2527[[ ]],ISNA(_xlfn.XMATCH(Table2527[[ ]],'Aug Indent'!$M$2:$M$68)))</f>
        <v>19.0525.84ERWNON FIN</v>
      </c>
      <c r="S74" s="198"/>
      <c r="AA74"/>
      <c r="AB74" s="173"/>
    </row>
    <row r="75" spans="1:45" x14ac:dyDescent="0.25">
      <c r="C75" t="str">
        <v>31.752.36ERWFIN CUT</v>
      </c>
      <c r="S75" s="198"/>
      <c r="AA75"/>
      <c r="AB75" s="173"/>
    </row>
    <row r="76" spans="1:45" x14ac:dyDescent="0.25">
      <c r="C76" t="str">
        <v>40x251.65.88ERWFIN CUT</v>
      </c>
      <c r="S76" s="198"/>
      <c r="AA76"/>
      <c r="AB76" s="173"/>
    </row>
    <row r="77" spans="1:45" x14ac:dyDescent="0.25">
      <c r="C77" t="str">
        <v>38.125.95ERWFIN CUT</v>
      </c>
      <c r="S77" s="198"/>
      <c r="AA77"/>
      <c r="AB77" s="173"/>
    </row>
    <row r="78" spans="1:45" x14ac:dyDescent="0.25">
      <c r="C78" t="str">
        <v>57.152.5ERWFIN CUT</v>
      </c>
      <c r="S78" s="198"/>
      <c r="AA78"/>
      <c r="AB78" s="173"/>
    </row>
    <row r="79" spans="1:45" x14ac:dyDescent="0.25">
      <c r="C79" t="str">
        <v>57.152.55.75ERWFIN CUT</v>
      </c>
      <c r="S79" s="198"/>
      <c r="AA79"/>
      <c r="AB79" s="173"/>
    </row>
    <row r="80" spans="1:45" x14ac:dyDescent="0.25">
      <c r="A80" s="42" t="s">
        <v>6262</v>
      </c>
      <c r="B80" t="s">
        <v>6282</v>
      </c>
      <c r="S80" s="198"/>
      <c r="AA80"/>
      <c r="AB80" s="173"/>
    </row>
    <row r="81" spans="1:28" x14ac:dyDescent="0.25">
      <c r="S81" s="198"/>
      <c r="AA81"/>
      <c r="AB81" s="173"/>
    </row>
    <row r="82" spans="1:28" x14ac:dyDescent="0.25">
      <c r="A82" s="42" t="s">
        <v>322</v>
      </c>
      <c r="B82" s="42" t="s">
        <v>2</v>
      </c>
      <c r="C82" s="42" t="s">
        <v>316</v>
      </c>
      <c r="D82" s="42" t="s">
        <v>318</v>
      </c>
      <c r="E82" s="42" t="s">
        <v>319</v>
      </c>
      <c r="F82" s="42" t="s">
        <v>320</v>
      </c>
      <c r="G82" s="42" t="s">
        <v>323</v>
      </c>
      <c r="H82" t="s">
        <v>6283</v>
      </c>
      <c r="S82" s="198"/>
      <c r="AA82"/>
      <c r="AB82" s="173"/>
    </row>
    <row r="83" spans="1:28" x14ac:dyDescent="0.25">
      <c r="A83" t="s">
        <v>367</v>
      </c>
      <c r="B83" t="s">
        <v>341</v>
      </c>
      <c r="C83">
        <v>19.05</v>
      </c>
      <c r="D83" s="43">
        <v>1.4</v>
      </c>
      <c r="E83">
        <v>6000</v>
      </c>
      <c r="F83">
        <v>6</v>
      </c>
      <c r="G83">
        <v>3891285</v>
      </c>
      <c r="H83" s="582">
        <v>0</v>
      </c>
      <c r="S83" s="198"/>
      <c r="AA83"/>
      <c r="AB83" s="173"/>
    </row>
    <row r="84" spans="1:28" x14ac:dyDescent="0.25">
      <c r="A84" t="s">
        <v>367</v>
      </c>
      <c r="B84" t="s">
        <v>341</v>
      </c>
      <c r="C84">
        <v>19.05</v>
      </c>
      <c r="D84" s="43">
        <v>1.6</v>
      </c>
      <c r="E84">
        <v>6000</v>
      </c>
      <c r="F84">
        <v>6</v>
      </c>
      <c r="G84">
        <v>3498997</v>
      </c>
      <c r="H84" s="582">
        <v>4.5999999999999996</v>
      </c>
      <c r="S84" s="198"/>
      <c r="AA84"/>
      <c r="AB84" s="173"/>
    </row>
    <row r="85" spans="1:28" x14ac:dyDescent="0.25">
      <c r="A85" t="s">
        <v>367</v>
      </c>
      <c r="B85" t="s">
        <v>341</v>
      </c>
      <c r="C85">
        <v>22.2</v>
      </c>
      <c r="D85" s="43">
        <v>1.4</v>
      </c>
      <c r="E85">
        <v>6000</v>
      </c>
      <c r="F85">
        <v>6</v>
      </c>
      <c r="G85">
        <v>3829175</v>
      </c>
      <c r="H85" s="582">
        <v>0</v>
      </c>
      <c r="S85" s="198"/>
      <c r="AA85"/>
      <c r="AB85" s="173"/>
    </row>
    <row r="86" spans="1:28" x14ac:dyDescent="0.25">
      <c r="A86" t="s">
        <v>367</v>
      </c>
      <c r="B86" t="s">
        <v>341</v>
      </c>
      <c r="C86">
        <v>25.4</v>
      </c>
      <c r="D86" s="43">
        <v>1.4</v>
      </c>
      <c r="E86">
        <v>5531</v>
      </c>
      <c r="F86">
        <v>5.5309999999999997</v>
      </c>
      <c r="G86">
        <v>3501900</v>
      </c>
      <c r="H86" s="582">
        <v>5.5</v>
      </c>
      <c r="S86" s="198"/>
      <c r="AA86"/>
      <c r="AB86" s="173"/>
    </row>
    <row r="87" spans="1:28" x14ac:dyDescent="0.25">
      <c r="A87" t="s">
        <v>367</v>
      </c>
      <c r="B87" t="s">
        <v>341</v>
      </c>
      <c r="C87">
        <v>41.28</v>
      </c>
      <c r="D87" s="43">
        <v>3.15</v>
      </c>
      <c r="E87">
        <v>5860</v>
      </c>
      <c r="F87">
        <v>5.86</v>
      </c>
      <c r="G87">
        <v>3673889</v>
      </c>
      <c r="H87" s="582">
        <v>0</v>
      </c>
      <c r="S87" s="198"/>
      <c r="AA87"/>
      <c r="AB87" s="173"/>
    </row>
    <row r="88" spans="1:28" x14ac:dyDescent="0.25">
      <c r="A88" t="s">
        <v>367</v>
      </c>
      <c r="B88" t="s">
        <v>341</v>
      </c>
      <c r="C88">
        <v>45</v>
      </c>
      <c r="D88" s="43">
        <v>1.4</v>
      </c>
      <c r="E88">
        <v>5700</v>
      </c>
      <c r="F88">
        <v>5.7</v>
      </c>
      <c r="G88">
        <v>3545558</v>
      </c>
      <c r="H88" s="582">
        <v>0</v>
      </c>
      <c r="S88" s="198"/>
      <c r="AA88"/>
      <c r="AB88" s="173"/>
    </row>
    <row r="89" spans="1:28" x14ac:dyDescent="0.25">
      <c r="A89" t="s">
        <v>367</v>
      </c>
      <c r="B89" t="s">
        <v>341</v>
      </c>
      <c r="C89">
        <v>48.6</v>
      </c>
      <c r="D89" s="43">
        <v>2</v>
      </c>
      <c r="E89">
        <v>6270</v>
      </c>
      <c r="F89">
        <v>6.27</v>
      </c>
      <c r="G89">
        <v>3502301</v>
      </c>
      <c r="H89" s="582">
        <v>0</v>
      </c>
      <c r="S89" s="198"/>
      <c r="AA89"/>
      <c r="AB89" s="173"/>
    </row>
    <row r="90" spans="1:28" x14ac:dyDescent="0.25">
      <c r="A90" t="s">
        <v>367</v>
      </c>
      <c r="B90" t="s">
        <v>341</v>
      </c>
      <c r="C90">
        <v>48.6</v>
      </c>
      <c r="D90" s="43">
        <v>2.2999999999999998</v>
      </c>
      <c r="E90">
        <v>6270</v>
      </c>
      <c r="F90">
        <v>6.27</v>
      </c>
      <c r="G90">
        <v>3549720</v>
      </c>
      <c r="H90" s="582">
        <v>9</v>
      </c>
      <c r="S90" s="198"/>
      <c r="AA90"/>
      <c r="AB90" s="173"/>
    </row>
    <row r="91" spans="1:28" x14ac:dyDescent="0.25">
      <c r="A91" t="s">
        <v>367</v>
      </c>
      <c r="B91" t="s">
        <v>341</v>
      </c>
      <c r="C91">
        <v>57.15</v>
      </c>
      <c r="D91" s="43">
        <v>3</v>
      </c>
      <c r="E91">
        <v>5650</v>
      </c>
      <c r="F91">
        <v>5.65</v>
      </c>
      <c r="G91">
        <v>3501105</v>
      </c>
      <c r="H91" s="582">
        <v>0</v>
      </c>
      <c r="S91" s="198"/>
      <c r="AA91"/>
      <c r="AB91" s="173"/>
    </row>
    <row r="92" spans="1:28" x14ac:dyDescent="0.25">
      <c r="A92" t="s">
        <v>367</v>
      </c>
      <c r="B92" t="s">
        <v>5</v>
      </c>
      <c r="C92">
        <v>50.8</v>
      </c>
      <c r="D92" s="43">
        <v>2.6</v>
      </c>
      <c r="E92">
        <v>6000</v>
      </c>
      <c r="F92">
        <v>6</v>
      </c>
      <c r="G92">
        <v>3518437</v>
      </c>
      <c r="H92" s="582">
        <v>5</v>
      </c>
      <c r="S92" s="198"/>
      <c r="AA92"/>
      <c r="AB92" s="173"/>
    </row>
    <row r="93" spans="1:28" x14ac:dyDescent="0.25">
      <c r="A93" t="s">
        <v>367</v>
      </c>
      <c r="B93" t="s">
        <v>5</v>
      </c>
      <c r="C93">
        <v>50.8</v>
      </c>
      <c r="D93" s="43">
        <v>2.6</v>
      </c>
      <c r="E93">
        <v>6000</v>
      </c>
      <c r="F93">
        <v>6</v>
      </c>
      <c r="G93">
        <v>3500695</v>
      </c>
      <c r="H93" s="582">
        <v>5</v>
      </c>
      <c r="S93" s="198"/>
      <c r="AA93"/>
      <c r="AB93" s="173"/>
    </row>
    <row r="94" spans="1:28" x14ac:dyDescent="0.25">
      <c r="A94" t="s">
        <v>367</v>
      </c>
      <c r="B94" t="s">
        <v>5</v>
      </c>
      <c r="C94" t="s">
        <v>370</v>
      </c>
      <c r="D94" s="43">
        <v>1.6</v>
      </c>
      <c r="E94">
        <v>6040</v>
      </c>
      <c r="F94">
        <v>6.04</v>
      </c>
      <c r="G94">
        <v>3751498</v>
      </c>
      <c r="H94" s="582">
        <v>10</v>
      </c>
      <c r="S94" s="198"/>
      <c r="AA94"/>
      <c r="AB94" s="173"/>
    </row>
    <row r="95" spans="1:28" x14ac:dyDescent="0.25">
      <c r="A95" t="s">
        <v>367</v>
      </c>
      <c r="B95" t="s">
        <v>10</v>
      </c>
      <c r="C95">
        <v>19.05</v>
      </c>
      <c r="D95" s="43">
        <v>2</v>
      </c>
      <c r="E95">
        <v>5800</v>
      </c>
      <c r="F95">
        <v>5.8</v>
      </c>
      <c r="G95">
        <v>3212868</v>
      </c>
      <c r="H95" s="582">
        <v>0</v>
      </c>
    </row>
    <row r="96" spans="1:28" x14ac:dyDescent="0.25">
      <c r="A96" t="s">
        <v>367</v>
      </c>
      <c r="B96" t="s">
        <v>10</v>
      </c>
      <c r="C96">
        <v>19.05</v>
      </c>
      <c r="D96" s="43">
        <v>2.2999999999999998</v>
      </c>
      <c r="E96">
        <v>7000</v>
      </c>
      <c r="F96">
        <v>7</v>
      </c>
      <c r="G96">
        <v>3500582</v>
      </c>
      <c r="H96" s="582">
        <v>0</v>
      </c>
    </row>
    <row r="97" spans="1:8" x14ac:dyDescent="0.25">
      <c r="A97" t="s">
        <v>367</v>
      </c>
      <c r="B97" t="s">
        <v>10</v>
      </c>
      <c r="C97">
        <v>22.2</v>
      </c>
      <c r="D97" s="43">
        <v>1.2</v>
      </c>
      <c r="E97">
        <v>5870</v>
      </c>
      <c r="F97">
        <v>5.87</v>
      </c>
      <c r="G97">
        <v>3882110</v>
      </c>
      <c r="H97" s="582">
        <v>0</v>
      </c>
    </row>
    <row r="98" spans="1:8" x14ac:dyDescent="0.25">
      <c r="A98" t="s">
        <v>367</v>
      </c>
      <c r="B98" t="s">
        <v>10</v>
      </c>
      <c r="C98">
        <v>22.2</v>
      </c>
      <c r="D98" s="43">
        <v>1.6</v>
      </c>
      <c r="E98">
        <v>5670</v>
      </c>
      <c r="F98">
        <v>5.67</v>
      </c>
      <c r="G98">
        <v>4055022</v>
      </c>
      <c r="H98" s="582">
        <v>0</v>
      </c>
    </row>
    <row r="99" spans="1:8" x14ac:dyDescent="0.25">
      <c r="A99" t="s">
        <v>367</v>
      </c>
      <c r="B99" t="s">
        <v>10</v>
      </c>
      <c r="C99">
        <v>22.2</v>
      </c>
      <c r="D99" s="43">
        <v>2</v>
      </c>
      <c r="E99">
        <v>5100</v>
      </c>
      <c r="F99">
        <v>5.0999999999999996</v>
      </c>
      <c r="G99">
        <v>3500554</v>
      </c>
      <c r="H99" s="582">
        <v>17.399999999999999</v>
      </c>
    </row>
    <row r="100" spans="1:8" x14ac:dyDescent="0.25">
      <c r="A100" t="s">
        <v>367</v>
      </c>
      <c r="B100" t="s">
        <v>10</v>
      </c>
      <c r="C100">
        <v>22.2</v>
      </c>
      <c r="D100" s="43">
        <v>2</v>
      </c>
      <c r="E100">
        <v>5950</v>
      </c>
      <c r="F100">
        <v>5.95</v>
      </c>
      <c r="G100">
        <v>3905466</v>
      </c>
      <c r="H100" s="582">
        <v>56.3</v>
      </c>
    </row>
    <row r="101" spans="1:8" x14ac:dyDescent="0.25">
      <c r="A101" t="s">
        <v>367</v>
      </c>
      <c r="B101" t="s">
        <v>10</v>
      </c>
      <c r="C101">
        <v>22.2</v>
      </c>
      <c r="D101" s="43">
        <v>2</v>
      </c>
      <c r="E101">
        <v>6000</v>
      </c>
      <c r="F101">
        <v>6000</v>
      </c>
      <c r="G101">
        <v>3502494</v>
      </c>
      <c r="H101" s="582">
        <v>30</v>
      </c>
    </row>
    <row r="102" spans="1:8" x14ac:dyDescent="0.25">
      <c r="A102" t="s">
        <v>367</v>
      </c>
      <c r="B102" t="s">
        <v>10</v>
      </c>
      <c r="C102">
        <v>25.4</v>
      </c>
      <c r="D102" s="43">
        <v>1.6</v>
      </c>
      <c r="E102">
        <v>6000</v>
      </c>
      <c r="F102">
        <v>6</v>
      </c>
      <c r="G102">
        <v>3500097</v>
      </c>
      <c r="H102" s="582">
        <v>0</v>
      </c>
    </row>
    <row r="103" spans="1:8" x14ac:dyDescent="0.25">
      <c r="A103" t="s">
        <v>367</v>
      </c>
      <c r="B103" t="s">
        <v>10</v>
      </c>
      <c r="C103">
        <v>25.4</v>
      </c>
      <c r="D103" s="43">
        <v>2</v>
      </c>
      <c r="E103">
        <v>5840</v>
      </c>
      <c r="F103">
        <v>5.82</v>
      </c>
      <c r="G103">
        <v>3240023</v>
      </c>
      <c r="H103" s="582">
        <v>17.2</v>
      </c>
    </row>
    <row r="104" spans="1:8" x14ac:dyDescent="0.25">
      <c r="A104" t="s">
        <v>367</v>
      </c>
      <c r="B104" t="s">
        <v>10</v>
      </c>
      <c r="C104">
        <v>25.4</v>
      </c>
      <c r="D104" s="43">
        <v>2.5</v>
      </c>
      <c r="E104">
        <v>5530</v>
      </c>
      <c r="F104">
        <v>5.53</v>
      </c>
      <c r="G104">
        <v>3502256</v>
      </c>
      <c r="H104" s="582">
        <v>18</v>
      </c>
    </row>
    <row r="105" spans="1:8" x14ac:dyDescent="0.25">
      <c r="A105" t="s">
        <v>367</v>
      </c>
      <c r="B105" t="s">
        <v>10</v>
      </c>
      <c r="C105">
        <v>31.75</v>
      </c>
      <c r="D105" s="43">
        <v>1.2</v>
      </c>
      <c r="E105">
        <v>6000</v>
      </c>
      <c r="F105">
        <v>6</v>
      </c>
      <c r="G105">
        <v>3884381</v>
      </c>
      <c r="H105" s="582">
        <v>0</v>
      </c>
    </row>
    <row r="106" spans="1:8" x14ac:dyDescent="0.25">
      <c r="A106" t="s">
        <v>367</v>
      </c>
      <c r="B106" t="s">
        <v>10</v>
      </c>
      <c r="C106">
        <v>38.1</v>
      </c>
      <c r="D106" s="43">
        <v>1.6</v>
      </c>
      <c r="E106">
        <v>6190</v>
      </c>
      <c r="F106">
        <v>6.19</v>
      </c>
      <c r="G106">
        <v>3502254</v>
      </c>
      <c r="H106" s="582">
        <v>0</v>
      </c>
    </row>
    <row r="107" spans="1:8" x14ac:dyDescent="0.25">
      <c r="A107" t="s">
        <v>367</v>
      </c>
      <c r="B107" t="s">
        <v>10</v>
      </c>
      <c r="C107">
        <v>38.1</v>
      </c>
      <c r="D107" s="43">
        <v>2</v>
      </c>
      <c r="E107">
        <v>5650</v>
      </c>
      <c r="F107">
        <v>5.65</v>
      </c>
      <c r="G107">
        <v>3500959</v>
      </c>
      <c r="H107" s="582">
        <v>12</v>
      </c>
    </row>
    <row r="108" spans="1:8" x14ac:dyDescent="0.25">
      <c r="A108" t="s">
        <v>367</v>
      </c>
      <c r="B108" t="s">
        <v>10</v>
      </c>
      <c r="C108">
        <v>38.1</v>
      </c>
      <c r="D108" s="43">
        <v>2.5</v>
      </c>
      <c r="E108">
        <v>6190</v>
      </c>
      <c r="F108">
        <v>6.19</v>
      </c>
      <c r="G108">
        <v>3502007</v>
      </c>
      <c r="H108" s="582">
        <v>0</v>
      </c>
    </row>
    <row r="109" spans="1:8" x14ac:dyDescent="0.25">
      <c r="A109" t="s">
        <v>367</v>
      </c>
      <c r="B109" t="s">
        <v>10</v>
      </c>
      <c r="C109">
        <v>57.15</v>
      </c>
      <c r="D109" s="43">
        <v>2.5</v>
      </c>
      <c r="E109">
        <v>5710</v>
      </c>
      <c r="F109">
        <v>5.71</v>
      </c>
      <c r="G109">
        <v>3907863</v>
      </c>
      <c r="H109" s="582">
        <v>71.099999999999994</v>
      </c>
    </row>
    <row r="110" spans="1:8" x14ac:dyDescent="0.25">
      <c r="A110" t="s">
        <v>367</v>
      </c>
      <c r="B110" t="s">
        <v>10</v>
      </c>
      <c r="C110">
        <v>57.15</v>
      </c>
      <c r="D110" s="43">
        <v>2.5</v>
      </c>
      <c r="E110">
        <v>5950</v>
      </c>
      <c r="F110">
        <v>5.95</v>
      </c>
      <c r="G110">
        <v>4054700</v>
      </c>
      <c r="H110" s="582">
        <v>0</v>
      </c>
    </row>
    <row r="111" spans="1:8" x14ac:dyDescent="0.25">
      <c r="A111" t="s">
        <v>367</v>
      </c>
      <c r="B111" t="s">
        <v>10</v>
      </c>
      <c r="C111">
        <v>57.15</v>
      </c>
      <c r="D111" s="43">
        <v>2.5</v>
      </c>
      <c r="E111">
        <v>6100</v>
      </c>
      <c r="F111">
        <v>6.1</v>
      </c>
      <c r="G111">
        <v>3910001</v>
      </c>
      <c r="H111" s="582">
        <v>73.7</v>
      </c>
    </row>
    <row r="112" spans="1:8" x14ac:dyDescent="0.25">
      <c r="A112" t="s">
        <v>362</v>
      </c>
      <c r="B112" t="s">
        <v>341</v>
      </c>
      <c r="C112">
        <v>34</v>
      </c>
      <c r="D112" s="43">
        <v>1.4</v>
      </c>
      <c r="E112">
        <v>5660</v>
      </c>
      <c r="F112">
        <v>5.66</v>
      </c>
      <c r="G112">
        <v>3702855</v>
      </c>
      <c r="H112" s="582">
        <v>3</v>
      </c>
    </row>
    <row r="113" spans="1:8" x14ac:dyDescent="0.25">
      <c r="A113" t="s">
        <v>362</v>
      </c>
      <c r="B113" t="s">
        <v>5</v>
      </c>
      <c r="C113">
        <v>38.1</v>
      </c>
      <c r="D113" s="43">
        <v>2.6</v>
      </c>
      <c r="E113">
        <v>6000</v>
      </c>
      <c r="F113">
        <v>6</v>
      </c>
      <c r="G113">
        <v>3500699</v>
      </c>
      <c r="H113" s="582">
        <v>5</v>
      </c>
    </row>
    <row r="114" spans="1:8" x14ac:dyDescent="0.25">
      <c r="A114" t="s">
        <v>362</v>
      </c>
      <c r="B114" t="s">
        <v>5</v>
      </c>
      <c r="C114">
        <v>47.63</v>
      </c>
      <c r="D114" s="43">
        <v>4</v>
      </c>
      <c r="E114">
        <v>6040</v>
      </c>
      <c r="F114">
        <v>6.04</v>
      </c>
      <c r="G114">
        <v>3500635</v>
      </c>
      <c r="H114" s="582">
        <v>7</v>
      </c>
    </row>
    <row r="115" spans="1:8" x14ac:dyDescent="0.25">
      <c r="A115" t="s">
        <v>362</v>
      </c>
      <c r="B115" t="s">
        <v>10</v>
      </c>
      <c r="C115">
        <v>11</v>
      </c>
      <c r="D115" s="43">
        <v>1.5</v>
      </c>
      <c r="E115">
        <v>6000</v>
      </c>
      <c r="F115">
        <v>6</v>
      </c>
      <c r="G115">
        <v>2442390</v>
      </c>
      <c r="H115" s="582">
        <v>1</v>
      </c>
    </row>
    <row r="116" spans="1:8" x14ac:dyDescent="0.25">
      <c r="A116" t="s">
        <v>362</v>
      </c>
      <c r="B116" t="s">
        <v>10</v>
      </c>
      <c r="C116">
        <v>28.6</v>
      </c>
      <c r="D116" s="43">
        <v>2.65</v>
      </c>
      <c r="E116">
        <v>6000</v>
      </c>
      <c r="F116">
        <v>6</v>
      </c>
      <c r="G116">
        <v>2410388</v>
      </c>
      <c r="H116" s="582">
        <v>0</v>
      </c>
    </row>
    <row r="117" spans="1:8" x14ac:dyDescent="0.25">
      <c r="A117" t="s">
        <v>362</v>
      </c>
      <c r="B117" t="s">
        <v>10</v>
      </c>
      <c r="C117">
        <v>42.7</v>
      </c>
      <c r="D117" s="43">
        <v>3.5</v>
      </c>
      <c r="E117">
        <v>6000</v>
      </c>
      <c r="F117">
        <v>6</v>
      </c>
      <c r="G117">
        <v>2396465</v>
      </c>
      <c r="H117" s="582">
        <v>0</v>
      </c>
    </row>
    <row r="118" spans="1:8" x14ac:dyDescent="0.25">
      <c r="A118" t="s">
        <v>362</v>
      </c>
      <c r="B118" t="s">
        <v>10</v>
      </c>
      <c r="C118">
        <v>42.7</v>
      </c>
      <c r="D118" s="43">
        <v>4</v>
      </c>
      <c r="E118">
        <v>6000</v>
      </c>
      <c r="F118">
        <v>6</v>
      </c>
      <c r="G118">
        <v>3501985</v>
      </c>
      <c r="H118" s="582">
        <v>10</v>
      </c>
    </row>
    <row r="119" spans="1:8" x14ac:dyDescent="0.25">
      <c r="A119" t="s">
        <v>362</v>
      </c>
      <c r="B119" t="s">
        <v>10</v>
      </c>
      <c r="C119">
        <v>60.3</v>
      </c>
      <c r="D119" s="43">
        <v>2</v>
      </c>
      <c r="E119">
        <v>5900</v>
      </c>
      <c r="F119">
        <v>5.9</v>
      </c>
      <c r="G119">
        <v>3905049</v>
      </c>
      <c r="H119" s="582">
        <v>0</v>
      </c>
    </row>
    <row r="120" spans="1:8" x14ac:dyDescent="0.25">
      <c r="A120" t="s">
        <v>345</v>
      </c>
      <c r="B120">
        <v>0</v>
      </c>
      <c r="C120">
        <v>34.93</v>
      </c>
      <c r="D120" s="43">
        <v>1.2</v>
      </c>
      <c r="E120">
        <v>6000</v>
      </c>
      <c r="F120">
        <v>6</v>
      </c>
      <c r="G120">
        <v>1940701</v>
      </c>
      <c r="H120" s="582">
        <v>0</v>
      </c>
    </row>
    <row r="121" spans="1:8" x14ac:dyDescent="0.25">
      <c r="A121" t="s">
        <v>345</v>
      </c>
      <c r="B121" t="s">
        <v>341</v>
      </c>
      <c r="C121">
        <v>12.7</v>
      </c>
      <c r="D121" s="43">
        <v>1.4</v>
      </c>
      <c r="E121">
        <v>6000</v>
      </c>
      <c r="F121">
        <v>6</v>
      </c>
      <c r="G121">
        <v>1931117</v>
      </c>
      <c r="H121" s="582">
        <v>0</v>
      </c>
    </row>
    <row r="122" spans="1:8" x14ac:dyDescent="0.25">
      <c r="A122" t="s">
        <v>345</v>
      </c>
      <c r="B122" t="s">
        <v>341</v>
      </c>
      <c r="C122">
        <v>12.7</v>
      </c>
      <c r="D122" s="43">
        <v>1.6</v>
      </c>
      <c r="E122">
        <v>6000</v>
      </c>
      <c r="F122">
        <v>6</v>
      </c>
      <c r="G122">
        <v>1931154</v>
      </c>
      <c r="H122" s="582">
        <v>0</v>
      </c>
    </row>
    <row r="123" spans="1:8" x14ac:dyDescent="0.25">
      <c r="A123" t="s">
        <v>345</v>
      </c>
      <c r="B123" t="s">
        <v>341</v>
      </c>
      <c r="C123">
        <v>15.88</v>
      </c>
      <c r="D123" s="43">
        <v>1</v>
      </c>
      <c r="E123">
        <v>6000</v>
      </c>
      <c r="F123">
        <v>6</v>
      </c>
      <c r="G123">
        <v>1940054</v>
      </c>
      <c r="H123" s="582">
        <v>0</v>
      </c>
    </row>
    <row r="124" spans="1:8" x14ac:dyDescent="0.25">
      <c r="A124" t="s">
        <v>345</v>
      </c>
      <c r="B124" t="s">
        <v>341</v>
      </c>
      <c r="C124">
        <v>15.88</v>
      </c>
      <c r="D124" s="43">
        <v>1.6</v>
      </c>
      <c r="E124">
        <v>6000</v>
      </c>
      <c r="F124">
        <v>6</v>
      </c>
      <c r="G124">
        <v>1900224</v>
      </c>
      <c r="H124" s="582">
        <v>0</v>
      </c>
    </row>
    <row r="125" spans="1:8" x14ac:dyDescent="0.25">
      <c r="A125" t="s">
        <v>345</v>
      </c>
      <c r="B125" t="s">
        <v>341</v>
      </c>
      <c r="C125">
        <v>15.88</v>
      </c>
      <c r="D125" s="43">
        <v>2</v>
      </c>
      <c r="E125">
        <v>6000</v>
      </c>
      <c r="F125">
        <v>6</v>
      </c>
      <c r="G125">
        <v>1940120</v>
      </c>
      <c r="H125" s="582">
        <v>3</v>
      </c>
    </row>
    <row r="126" spans="1:8" x14ac:dyDescent="0.25">
      <c r="A126" t="s">
        <v>345</v>
      </c>
      <c r="B126" t="s">
        <v>341</v>
      </c>
      <c r="C126">
        <v>22.2</v>
      </c>
      <c r="D126" s="43">
        <v>2</v>
      </c>
      <c r="E126">
        <v>5390</v>
      </c>
      <c r="F126">
        <v>5.39</v>
      </c>
      <c r="G126">
        <v>2431251</v>
      </c>
      <c r="H126" s="582">
        <v>53</v>
      </c>
    </row>
    <row r="127" spans="1:8" x14ac:dyDescent="0.25">
      <c r="A127" t="s">
        <v>345</v>
      </c>
      <c r="B127" t="s">
        <v>341</v>
      </c>
      <c r="C127">
        <v>25.4</v>
      </c>
      <c r="D127" s="43">
        <v>1.4</v>
      </c>
      <c r="E127">
        <v>6060</v>
      </c>
      <c r="F127">
        <v>6.06</v>
      </c>
      <c r="G127">
        <v>3557792</v>
      </c>
      <c r="H127" s="582">
        <v>10</v>
      </c>
    </row>
    <row r="128" spans="1:8" x14ac:dyDescent="0.25">
      <c r="A128" t="s">
        <v>345</v>
      </c>
      <c r="B128" t="s">
        <v>341</v>
      </c>
      <c r="C128">
        <v>45</v>
      </c>
      <c r="D128" s="43">
        <v>1.4</v>
      </c>
      <c r="E128">
        <v>6400</v>
      </c>
      <c r="F128">
        <v>6.42</v>
      </c>
      <c r="G128">
        <v>3502343</v>
      </c>
      <c r="H128" s="582">
        <v>0</v>
      </c>
    </row>
    <row r="129" spans="1:8" x14ac:dyDescent="0.25">
      <c r="A129" t="s">
        <v>345</v>
      </c>
      <c r="B129" t="s">
        <v>341</v>
      </c>
      <c r="C129">
        <v>45</v>
      </c>
      <c r="D129" s="43">
        <v>1.6</v>
      </c>
      <c r="E129">
        <v>6400</v>
      </c>
      <c r="F129">
        <v>6.42</v>
      </c>
      <c r="G129">
        <v>3502388</v>
      </c>
      <c r="H129" s="582">
        <v>0</v>
      </c>
    </row>
    <row r="130" spans="1:8" x14ac:dyDescent="0.25">
      <c r="A130" t="s">
        <v>345</v>
      </c>
      <c r="B130" t="s">
        <v>341</v>
      </c>
      <c r="C130">
        <v>48.6</v>
      </c>
      <c r="D130" s="43">
        <v>3.5</v>
      </c>
      <c r="E130">
        <v>6000</v>
      </c>
      <c r="F130">
        <v>6</v>
      </c>
      <c r="G130">
        <v>3502422</v>
      </c>
      <c r="H130" s="582">
        <v>21</v>
      </c>
    </row>
    <row r="131" spans="1:8" x14ac:dyDescent="0.25">
      <c r="A131" t="s">
        <v>345</v>
      </c>
      <c r="B131" t="s">
        <v>5</v>
      </c>
      <c r="C131">
        <v>31.75</v>
      </c>
      <c r="D131" s="43">
        <v>2.2999999999999998</v>
      </c>
      <c r="E131">
        <v>5920</v>
      </c>
      <c r="F131">
        <v>5.92</v>
      </c>
      <c r="G131" t="s">
        <v>379</v>
      </c>
      <c r="H131" s="582">
        <v>0</v>
      </c>
    </row>
    <row r="132" spans="1:8" x14ac:dyDescent="0.25">
      <c r="A132" t="s">
        <v>345</v>
      </c>
      <c r="B132" t="s">
        <v>5</v>
      </c>
      <c r="C132">
        <v>34.93</v>
      </c>
      <c r="D132" s="43">
        <v>1.2</v>
      </c>
      <c r="E132">
        <v>620</v>
      </c>
      <c r="F132">
        <v>0.62</v>
      </c>
      <c r="G132">
        <v>2397073</v>
      </c>
      <c r="H132" s="582">
        <v>13</v>
      </c>
    </row>
    <row r="133" spans="1:8" x14ac:dyDescent="0.25">
      <c r="A133" t="s">
        <v>345</v>
      </c>
      <c r="B133" t="s">
        <v>5</v>
      </c>
      <c r="C133">
        <v>34.93</v>
      </c>
      <c r="D133" s="43">
        <v>1.2</v>
      </c>
      <c r="E133">
        <v>700</v>
      </c>
      <c r="F133">
        <v>0.7</v>
      </c>
      <c r="G133">
        <v>3649699</v>
      </c>
      <c r="H133" s="582">
        <v>13</v>
      </c>
    </row>
    <row r="134" spans="1:8" x14ac:dyDescent="0.25">
      <c r="A134" t="s">
        <v>345</v>
      </c>
      <c r="B134" t="s">
        <v>5</v>
      </c>
      <c r="C134">
        <v>48</v>
      </c>
      <c r="D134" s="43">
        <v>1.2</v>
      </c>
      <c r="E134">
        <v>620</v>
      </c>
      <c r="F134">
        <v>0.62</v>
      </c>
      <c r="G134">
        <v>2397072</v>
      </c>
      <c r="H134" s="582">
        <v>13</v>
      </c>
    </row>
    <row r="135" spans="1:8" x14ac:dyDescent="0.25">
      <c r="A135" t="s">
        <v>345</v>
      </c>
      <c r="B135" t="s">
        <v>5</v>
      </c>
      <c r="C135">
        <v>48</v>
      </c>
      <c r="D135" s="43">
        <v>1.2</v>
      </c>
      <c r="E135">
        <v>700</v>
      </c>
      <c r="F135">
        <v>0.7</v>
      </c>
      <c r="G135">
        <v>3649700</v>
      </c>
      <c r="H135" s="582">
        <v>17</v>
      </c>
    </row>
    <row r="136" spans="1:8" x14ac:dyDescent="0.25">
      <c r="A136" t="s">
        <v>345</v>
      </c>
      <c r="B136" t="s">
        <v>5</v>
      </c>
      <c r="C136" t="s">
        <v>368</v>
      </c>
      <c r="D136" s="43">
        <v>1.6</v>
      </c>
      <c r="E136">
        <v>572.5</v>
      </c>
      <c r="F136">
        <v>0.57250000000000001</v>
      </c>
      <c r="G136">
        <v>2420716</v>
      </c>
      <c r="H136" s="582">
        <v>60</v>
      </c>
    </row>
    <row r="137" spans="1:8" x14ac:dyDescent="0.25">
      <c r="A137" t="s">
        <v>345</v>
      </c>
      <c r="B137" t="s">
        <v>10</v>
      </c>
      <c r="C137">
        <v>12.7</v>
      </c>
      <c r="D137" s="43">
        <v>1.2</v>
      </c>
      <c r="E137">
        <v>6000</v>
      </c>
      <c r="F137">
        <v>6</v>
      </c>
      <c r="G137">
        <v>1939985</v>
      </c>
      <c r="H137" s="582">
        <v>1</v>
      </c>
    </row>
    <row r="138" spans="1:8" x14ac:dyDescent="0.25">
      <c r="A138" t="s">
        <v>345</v>
      </c>
      <c r="B138" t="s">
        <v>10</v>
      </c>
      <c r="C138">
        <v>12.7</v>
      </c>
      <c r="D138" s="43">
        <v>2</v>
      </c>
      <c r="E138">
        <v>6000</v>
      </c>
      <c r="F138">
        <v>6</v>
      </c>
      <c r="G138">
        <v>236166</v>
      </c>
      <c r="H138" s="582">
        <v>3</v>
      </c>
    </row>
    <row r="139" spans="1:8" x14ac:dyDescent="0.25">
      <c r="A139" t="s">
        <v>345</v>
      </c>
      <c r="B139" t="s">
        <v>10</v>
      </c>
      <c r="C139">
        <v>15.88</v>
      </c>
      <c r="D139" s="43">
        <v>1.2</v>
      </c>
      <c r="E139">
        <v>6000</v>
      </c>
      <c r="F139">
        <v>6</v>
      </c>
      <c r="G139">
        <v>1940054</v>
      </c>
      <c r="H139" s="582">
        <v>7</v>
      </c>
    </row>
    <row r="140" spans="1:8" x14ac:dyDescent="0.25">
      <c r="A140" t="s">
        <v>345</v>
      </c>
      <c r="B140" t="s">
        <v>10</v>
      </c>
      <c r="C140">
        <v>18.3</v>
      </c>
      <c r="D140" s="43">
        <v>1</v>
      </c>
      <c r="E140">
        <v>6000</v>
      </c>
      <c r="F140">
        <v>6</v>
      </c>
      <c r="G140">
        <v>2288945</v>
      </c>
      <c r="H140" s="582">
        <v>6</v>
      </c>
    </row>
    <row r="141" spans="1:8" x14ac:dyDescent="0.25">
      <c r="A141" t="s">
        <v>345</v>
      </c>
      <c r="B141" t="s">
        <v>10</v>
      </c>
      <c r="C141">
        <v>21.4</v>
      </c>
      <c r="D141" s="43">
        <v>1.6</v>
      </c>
      <c r="E141">
        <v>6000</v>
      </c>
      <c r="F141">
        <v>6</v>
      </c>
      <c r="G141">
        <v>3219710</v>
      </c>
      <c r="H141" s="582">
        <v>3</v>
      </c>
    </row>
    <row r="142" spans="1:8" x14ac:dyDescent="0.25">
      <c r="A142" t="s">
        <v>345</v>
      </c>
      <c r="B142" t="s">
        <v>10</v>
      </c>
      <c r="C142">
        <v>22.2</v>
      </c>
      <c r="D142" s="43">
        <v>1.6</v>
      </c>
      <c r="E142">
        <v>5270</v>
      </c>
      <c r="F142">
        <v>5.27</v>
      </c>
      <c r="G142">
        <v>3575894</v>
      </c>
      <c r="H142" s="582">
        <v>18</v>
      </c>
    </row>
    <row r="143" spans="1:8" x14ac:dyDescent="0.25">
      <c r="A143" t="s">
        <v>345</v>
      </c>
      <c r="B143" t="s">
        <v>10</v>
      </c>
      <c r="C143">
        <v>25.4</v>
      </c>
      <c r="D143" s="43">
        <v>2</v>
      </c>
      <c r="E143">
        <v>6050</v>
      </c>
      <c r="F143">
        <v>6.05</v>
      </c>
      <c r="G143">
        <v>4055021</v>
      </c>
      <c r="H143" s="582">
        <v>6</v>
      </c>
    </row>
    <row r="144" spans="1:8" x14ac:dyDescent="0.25">
      <c r="A144" t="s">
        <v>345</v>
      </c>
      <c r="B144" t="s">
        <v>10</v>
      </c>
      <c r="C144">
        <v>28.6</v>
      </c>
      <c r="D144" s="43">
        <v>1.2</v>
      </c>
      <c r="E144">
        <v>6000</v>
      </c>
      <c r="F144">
        <v>6</v>
      </c>
      <c r="G144">
        <v>3702101</v>
      </c>
      <c r="H144" s="582">
        <v>0</v>
      </c>
    </row>
    <row r="145" spans="1:16" x14ac:dyDescent="0.25">
      <c r="A145" t="s">
        <v>345</v>
      </c>
      <c r="B145" t="s">
        <v>10</v>
      </c>
      <c r="C145">
        <v>31.75</v>
      </c>
      <c r="D145" s="43">
        <v>2</v>
      </c>
      <c r="E145">
        <v>6000</v>
      </c>
      <c r="F145">
        <v>6</v>
      </c>
      <c r="G145">
        <v>1931387</v>
      </c>
      <c r="H145" s="582">
        <v>15</v>
      </c>
    </row>
    <row r="146" spans="1:16" x14ac:dyDescent="0.25">
      <c r="A146" t="s">
        <v>345</v>
      </c>
      <c r="B146" t="s">
        <v>10</v>
      </c>
      <c r="C146">
        <v>41.28</v>
      </c>
      <c r="D146" s="43">
        <v>2.6</v>
      </c>
      <c r="E146">
        <v>6000</v>
      </c>
      <c r="F146">
        <v>6</v>
      </c>
      <c r="G146">
        <v>3974563</v>
      </c>
      <c r="H146" s="582">
        <v>65</v>
      </c>
    </row>
    <row r="147" spans="1:16" x14ac:dyDescent="0.25">
      <c r="A147" t="s">
        <v>345</v>
      </c>
      <c r="B147" t="s">
        <v>10</v>
      </c>
      <c r="C147" t="s">
        <v>363</v>
      </c>
      <c r="D147" s="43">
        <v>1.6</v>
      </c>
      <c r="E147">
        <v>6130</v>
      </c>
      <c r="F147">
        <v>6.13</v>
      </c>
      <c r="G147">
        <v>3919144</v>
      </c>
      <c r="H147" s="582">
        <v>5</v>
      </c>
    </row>
    <row r="148" spans="1:16" x14ac:dyDescent="0.25">
      <c r="A148" t="s">
        <v>345</v>
      </c>
      <c r="B148" t="s">
        <v>10</v>
      </c>
      <c r="C148" t="s">
        <v>365</v>
      </c>
      <c r="D148" s="43">
        <v>1.6</v>
      </c>
      <c r="E148">
        <v>5900</v>
      </c>
      <c r="F148">
        <v>5.9</v>
      </c>
      <c r="G148">
        <v>3836440</v>
      </c>
      <c r="H148" s="582">
        <v>8</v>
      </c>
    </row>
    <row r="149" spans="1:16" x14ac:dyDescent="0.25">
      <c r="A149" t="s">
        <v>345</v>
      </c>
      <c r="B149" t="s">
        <v>10</v>
      </c>
      <c r="C149" t="s">
        <v>368</v>
      </c>
      <c r="D149" s="43">
        <v>1.6</v>
      </c>
      <c r="E149">
        <v>6000</v>
      </c>
      <c r="F149">
        <v>6</v>
      </c>
      <c r="G149">
        <v>1940925</v>
      </c>
      <c r="H149" s="582">
        <v>3</v>
      </c>
    </row>
    <row r="153" spans="1:16" x14ac:dyDescent="0.25">
      <c r="B153" s="255" t="s">
        <v>322</v>
      </c>
      <c r="C153" s="255" t="s">
        <v>2</v>
      </c>
      <c r="D153" s="255" t="s">
        <v>312</v>
      </c>
      <c r="E153" s="255" t="s">
        <v>316</v>
      </c>
      <c r="F153" s="255" t="s">
        <v>318</v>
      </c>
      <c r="G153" s="255" t="s">
        <v>319</v>
      </c>
      <c r="H153" s="255" t="s">
        <v>320</v>
      </c>
      <c r="I153" s="255" t="s">
        <v>323</v>
      </c>
      <c r="J153" s="255" t="s">
        <v>204</v>
      </c>
      <c r="K153" s="255" t="s">
        <v>6284</v>
      </c>
      <c r="L153" s="255" t="s">
        <v>6285</v>
      </c>
      <c r="M153" s="255" t="s">
        <v>377</v>
      </c>
      <c r="N153" s="255" t="s">
        <v>1807</v>
      </c>
      <c r="O153" s="221"/>
      <c r="P153" s="337"/>
    </row>
    <row r="154" spans="1:16" x14ac:dyDescent="0.25">
      <c r="B154" s="260">
        <v>56</v>
      </c>
      <c r="C154" s="260" t="s">
        <v>341</v>
      </c>
      <c r="D154" s="260">
        <v>943210</v>
      </c>
      <c r="E154" s="260">
        <v>19.05</v>
      </c>
      <c r="F154" s="260">
        <v>1.4</v>
      </c>
      <c r="G154" s="260">
        <v>6000</v>
      </c>
      <c r="H154" s="260">
        <v>6</v>
      </c>
      <c r="I154" s="260">
        <v>3891285</v>
      </c>
      <c r="J154" s="260" t="s">
        <v>1329</v>
      </c>
      <c r="K154" s="260"/>
      <c r="L154" s="260">
        <v>10</v>
      </c>
      <c r="M154" s="260"/>
      <c r="N154" s="401" t="s">
        <v>6237</v>
      </c>
      <c r="O154" s="221"/>
      <c r="P154" s="337"/>
    </row>
    <row r="155" spans="1:16" x14ac:dyDescent="0.25">
      <c r="B155" s="260">
        <v>56</v>
      </c>
      <c r="C155" s="260" t="s">
        <v>341</v>
      </c>
      <c r="D155" s="260">
        <v>943210</v>
      </c>
      <c r="E155" s="260">
        <v>19.05</v>
      </c>
      <c r="F155" s="260">
        <v>1.6</v>
      </c>
      <c r="G155" s="260">
        <v>6000</v>
      </c>
      <c r="H155" s="260">
        <v>6</v>
      </c>
      <c r="I155" s="260">
        <v>3498997</v>
      </c>
      <c r="J155" s="260" t="s">
        <v>1355</v>
      </c>
      <c r="K155" s="260">
        <v>4.5999999999999996</v>
      </c>
      <c r="L155" s="260">
        <v>10</v>
      </c>
      <c r="M155" s="260">
        <v>9518955752</v>
      </c>
      <c r="N155" s="401" t="s">
        <v>6237</v>
      </c>
      <c r="O155" s="221"/>
      <c r="P155" s="337"/>
    </row>
    <row r="156" spans="1:16" x14ac:dyDescent="0.25">
      <c r="B156" s="408" t="s">
        <v>6286</v>
      </c>
      <c r="C156" s="260" t="s">
        <v>6287</v>
      </c>
      <c r="D156" s="260">
        <v>943209</v>
      </c>
      <c r="E156" s="260">
        <v>22.2</v>
      </c>
      <c r="F156" s="260">
        <v>2</v>
      </c>
      <c r="G156" s="260">
        <v>5100</v>
      </c>
      <c r="H156" s="260">
        <v>5.0999999999999996</v>
      </c>
      <c r="I156" s="260">
        <v>3500554</v>
      </c>
      <c r="J156" s="260" t="s">
        <v>1485</v>
      </c>
      <c r="K156" s="260"/>
      <c r="L156" s="260">
        <v>20</v>
      </c>
      <c r="M156" s="260"/>
      <c r="N156" s="401"/>
      <c r="O156" s="221"/>
      <c r="P156" s="337"/>
    </row>
    <row r="157" spans="1:16" x14ac:dyDescent="0.25">
      <c r="B157" s="260">
        <v>56</v>
      </c>
      <c r="C157" s="260" t="s">
        <v>6287</v>
      </c>
      <c r="D157" s="260">
        <v>943209</v>
      </c>
      <c r="E157" s="260">
        <v>22.2</v>
      </c>
      <c r="F157" s="260">
        <v>2</v>
      </c>
      <c r="G157" s="260">
        <v>5950</v>
      </c>
      <c r="H157" s="260">
        <v>5.95</v>
      </c>
      <c r="I157" s="260">
        <v>3905466</v>
      </c>
      <c r="J157" s="260" t="s">
        <v>1487</v>
      </c>
      <c r="K157" s="260"/>
      <c r="L157" s="260">
        <v>30</v>
      </c>
      <c r="M157" s="260"/>
      <c r="N157" s="401"/>
      <c r="O157" s="221"/>
      <c r="P157" s="337"/>
    </row>
    <row r="158" spans="1:16" x14ac:dyDescent="0.25">
      <c r="B158" s="260">
        <v>56</v>
      </c>
      <c r="C158" s="260" t="s">
        <v>6287</v>
      </c>
      <c r="D158" s="260">
        <v>943209</v>
      </c>
      <c r="E158" s="260">
        <v>22.2</v>
      </c>
      <c r="F158" s="260">
        <v>1.6</v>
      </c>
      <c r="G158" s="260">
        <v>5670</v>
      </c>
      <c r="H158" s="260">
        <v>5.67</v>
      </c>
      <c r="I158" s="260">
        <v>4055022</v>
      </c>
      <c r="J158" s="260" t="s">
        <v>6288</v>
      </c>
      <c r="K158" s="260"/>
      <c r="L158" s="260">
        <v>20</v>
      </c>
      <c r="M158" s="260"/>
      <c r="N158" s="401"/>
      <c r="O158" s="221"/>
      <c r="P158" s="337"/>
    </row>
    <row r="159" spans="1:16" x14ac:dyDescent="0.25">
      <c r="B159" s="260" t="s">
        <v>345</v>
      </c>
      <c r="C159" s="260" t="s">
        <v>341</v>
      </c>
      <c r="D159" s="260">
        <v>943210</v>
      </c>
      <c r="E159" s="260">
        <v>25.4</v>
      </c>
      <c r="F159" s="260">
        <v>1.4</v>
      </c>
      <c r="G159" s="260">
        <v>5530</v>
      </c>
      <c r="H159" s="260">
        <v>5.53</v>
      </c>
      <c r="I159" s="260">
        <v>3557792</v>
      </c>
      <c r="J159" s="260" t="s">
        <v>1564</v>
      </c>
      <c r="K159" s="260"/>
      <c r="L159" s="260">
        <v>10</v>
      </c>
      <c r="M159" s="260"/>
      <c r="N159" s="401"/>
      <c r="O159" s="221"/>
      <c r="P159" s="337"/>
    </row>
    <row r="160" spans="1:16" x14ac:dyDescent="0.25">
      <c r="B160" s="260" t="s">
        <v>345</v>
      </c>
      <c r="C160" s="260" t="s">
        <v>10</v>
      </c>
      <c r="D160" s="260">
        <v>943209</v>
      </c>
      <c r="E160" s="260">
        <v>25.4</v>
      </c>
      <c r="F160" s="260">
        <v>2</v>
      </c>
      <c r="G160" s="260">
        <v>6050</v>
      </c>
      <c r="H160" s="260">
        <v>6.05</v>
      </c>
      <c r="I160" s="260">
        <v>4055021</v>
      </c>
      <c r="J160" s="260" t="s">
        <v>6289</v>
      </c>
      <c r="K160" s="260"/>
      <c r="L160" s="260">
        <v>10</v>
      </c>
      <c r="M160" s="260"/>
      <c r="N160" s="401"/>
      <c r="O160" s="221"/>
      <c r="P160" s="337"/>
    </row>
    <row r="161" spans="2:16" x14ac:dyDescent="0.25">
      <c r="B161" s="260" t="s">
        <v>367</v>
      </c>
      <c r="C161" s="260" t="s">
        <v>10</v>
      </c>
      <c r="D161" s="260">
        <v>943209</v>
      </c>
      <c r="E161" s="260">
        <v>25.4</v>
      </c>
      <c r="F161" s="260">
        <v>2.5</v>
      </c>
      <c r="G161" s="260">
        <v>5530</v>
      </c>
      <c r="H161" s="260">
        <v>5.53</v>
      </c>
      <c r="I161" s="260">
        <v>3502256</v>
      </c>
      <c r="J161" s="260" t="s">
        <v>1580</v>
      </c>
      <c r="K161" s="260"/>
      <c r="L161" s="260">
        <v>40</v>
      </c>
      <c r="M161" s="260"/>
      <c r="N161" s="401"/>
      <c r="O161" s="221"/>
      <c r="P161" s="337"/>
    </row>
    <row r="162" spans="2:16" x14ac:dyDescent="0.25">
      <c r="B162" s="260" t="s">
        <v>367</v>
      </c>
      <c r="C162" s="260" t="s">
        <v>10</v>
      </c>
      <c r="D162" s="260">
        <v>943209</v>
      </c>
      <c r="E162" s="260">
        <v>25.4</v>
      </c>
      <c r="F162" s="260">
        <v>1.6</v>
      </c>
      <c r="G162" s="260">
        <v>6000</v>
      </c>
      <c r="H162" s="260">
        <v>6</v>
      </c>
      <c r="I162" s="409">
        <v>3500097</v>
      </c>
      <c r="J162" s="260" t="s">
        <v>6290</v>
      </c>
      <c r="K162" s="260"/>
      <c r="L162" s="260">
        <v>15</v>
      </c>
      <c r="M162" s="260"/>
      <c r="N162" s="401"/>
      <c r="O162" s="221"/>
      <c r="P162" s="337"/>
    </row>
    <row r="163" spans="2:16" x14ac:dyDescent="0.25">
      <c r="B163" s="260" t="s">
        <v>367</v>
      </c>
      <c r="C163" s="260" t="s">
        <v>10</v>
      </c>
      <c r="D163" s="260">
        <v>943209</v>
      </c>
      <c r="E163" s="260">
        <v>31.75</v>
      </c>
      <c r="F163" s="260">
        <v>1.2</v>
      </c>
      <c r="G163" s="260">
        <v>6000</v>
      </c>
      <c r="H163" s="260">
        <v>6</v>
      </c>
      <c r="I163" s="260">
        <v>3884381</v>
      </c>
      <c r="J163" s="260" t="s">
        <v>1604</v>
      </c>
      <c r="K163" s="260"/>
      <c r="L163" s="260">
        <v>5</v>
      </c>
      <c r="M163" s="260"/>
      <c r="N163" s="401"/>
      <c r="O163" s="221"/>
      <c r="P163" s="337"/>
    </row>
    <row r="164" spans="2:16" x14ac:dyDescent="0.25">
      <c r="B164" s="260" t="s">
        <v>367</v>
      </c>
      <c r="C164" s="260" t="s">
        <v>10</v>
      </c>
      <c r="D164" s="260">
        <v>943209</v>
      </c>
      <c r="E164" s="260">
        <v>38.1</v>
      </c>
      <c r="F164" s="260">
        <v>2.5</v>
      </c>
      <c r="G164" s="260">
        <v>6190</v>
      </c>
      <c r="H164" s="260">
        <v>6.19</v>
      </c>
      <c r="I164" s="260">
        <v>3502007</v>
      </c>
      <c r="J164" s="260" t="s">
        <v>5993</v>
      </c>
      <c r="K164" s="260"/>
      <c r="L164" s="260">
        <v>10</v>
      </c>
      <c r="M164" s="260"/>
      <c r="N164" s="401"/>
      <c r="O164" s="221"/>
      <c r="P164" s="337"/>
    </row>
    <row r="165" spans="2:16" x14ac:dyDescent="0.25">
      <c r="B165" s="260" t="s">
        <v>367</v>
      </c>
      <c r="C165" s="260" t="s">
        <v>10</v>
      </c>
      <c r="D165" s="260">
        <v>943209</v>
      </c>
      <c r="E165" s="260">
        <v>38.1</v>
      </c>
      <c r="F165" s="260">
        <v>1.6</v>
      </c>
      <c r="G165" s="260">
        <v>6190</v>
      </c>
      <c r="H165" s="260">
        <v>6.19</v>
      </c>
      <c r="I165" s="260">
        <v>3502254</v>
      </c>
      <c r="J165" s="260" t="s">
        <v>858</v>
      </c>
      <c r="K165" s="260"/>
      <c r="L165" s="260">
        <v>10</v>
      </c>
      <c r="M165" s="260"/>
      <c r="N165" s="401"/>
      <c r="O165" s="221"/>
      <c r="P165" s="337"/>
    </row>
    <row r="166" spans="2:16" x14ac:dyDescent="0.25">
      <c r="B166" s="260" t="s">
        <v>367</v>
      </c>
      <c r="C166" s="260" t="s">
        <v>341</v>
      </c>
      <c r="D166" s="260">
        <v>943210</v>
      </c>
      <c r="E166" s="260">
        <v>41.28</v>
      </c>
      <c r="F166" s="260">
        <v>3.15</v>
      </c>
      <c r="G166" s="260">
        <v>5860</v>
      </c>
      <c r="H166" s="260">
        <v>5.86</v>
      </c>
      <c r="I166" s="260">
        <v>3673889</v>
      </c>
      <c r="J166" s="260" t="s">
        <v>5969</v>
      </c>
      <c r="K166" s="260"/>
      <c r="L166" s="260">
        <v>30</v>
      </c>
      <c r="M166" s="260"/>
      <c r="N166" s="401"/>
      <c r="O166" s="221"/>
      <c r="P166" s="337"/>
    </row>
    <row r="167" spans="2:16" x14ac:dyDescent="0.25">
      <c r="B167" s="260" t="s">
        <v>367</v>
      </c>
      <c r="C167" s="260" t="s">
        <v>10</v>
      </c>
      <c r="D167" s="260">
        <v>943209</v>
      </c>
      <c r="E167" s="260">
        <v>57.15</v>
      </c>
      <c r="F167" s="260">
        <v>2.5</v>
      </c>
      <c r="G167" s="260">
        <v>5710</v>
      </c>
      <c r="H167" s="260">
        <v>5.71</v>
      </c>
      <c r="I167" s="409">
        <v>3907863</v>
      </c>
      <c r="J167" s="260" t="s">
        <v>1749</v>
      </c>
      <c r="L167" s="409">
        <v>71</v>
      </c>
      <c r="M167" s="260"/>
      <c r="N167" s="401"/>
      <c r="O167" s="221"/>
      <c r="P167" s="337"/>
    </row>
    <row r="168" spans="2:16" x14ac:dyDescent="0.25">
      <c r="B168" s="260" t="s">
        <v>367</v>
      </c>
      <c r="C168" s="260" t="s">
        <v>10</v>
      </c>
      <c r="D168" s="260">
        <v>943209</v>
      </c>
      <c r="E168" s="260">
        <v>57.15</v>
      </c>
      <c r="F168" s="260">
        <v>2.5</v>
      </c>
      <c r="G168" s="260">
        <v>6100</v>
      </c>
      <c r="H168" s="260">
        <v>6.1</v>
      </c>
      <c r="I168" s="260">
        <v>3910001</v>
      </c>
      <c r="J168" s="260" t="s">
        <v>1752</v>
      </c>
      <c r="K168" s="260"/>
      <c r="L168" s="260">
        <v>73</v>
      </c>
      <c r="M168" s="260"/>
      <c r="N168" s="401"/>
      <c r="O168" s="221"/>
      <c r="P168" s="337"/>
    </row>
    <row r="169" spans="2:16" x14ac:dyDescent="0.25">
      <c r="B169" s="260" t="s">
        <v>367</v>
      </c>
      <c r="C169" s="260" t="s">
        <v>341</v>
      </c>
      <c r="D169" s="260">
        <v>943210</v>
      </c>
      <c r="E169" s="260">
        <v>57.15</v>
      </c>
      <c r="F169" s="260">
        <v>3</v>
      </c>
      <c r="G169" s="260">
        <v>5650</v>
      </c>
      <c r="H169" s="260">
        <v>5.65</v>
      </c>
      <c r="I169" s="260">
        <v>3501105</v>
      </c>
      <c r="J169" s="260" t="s">
        <v>1754</v>
      </c>
      <c r="K169" s="260"/>
      <c r="L169" s="260">
        <v>15</v>
      </c>
      <c r="M169" s="260"/>
      <c r="N169" s="401"/>
      <c r="O169" s="221"/>
      <c r="P169" s="337"/>
    </row>
    <row r="170" spans="2:16" x14ac:dyDescent="0.25">
      <c r="B170" s="408" t="s">
        <v>367</v>
      </c>
      <c r="C170" s="260" t="s">
        <v>5</v>
      </c>
      <c r="D170" s="260">
        <v>943211</v>
      </c>
      <c r="E170" s="260" t="s">
        <v>370</v>
      </c>
      <c r="F170" s="260">
        <v>1.6</v>
      </c>
      <c r="G170" s="260">
        <v>6040</v>
      </c>
      <c r="H170" s="260">
        <v>6.04</v>
      </c>
      <c r="I170" s="260">
        <v>3500641</v>
      </c>
      <c r="J170" s="260" t="s">
        <v>6291</v>
      </c>
      <c r="K170" s="260"/>
      <c r="L170" s="260">
        <v>10</v>
      </c>
      <c r="M170" s="260"/>
      <c r="N170" s="401"/>
      <c r="O170" s="221"/>
      <c r="P170" s="337"/>
    </row>
    <row r="171" spans="2:16" x14ac:dyDescent="0.25">
      <c r="B171" s="408" t="s">
        <v>367</v>
      </c>
      <c r="C171" s="260" t="s">
        <v>341</v>
      </c>
      <c r="D171" s="260">
        <v>943210</v>
      </c>
      <c r="E171" s="260">
        <v>45</v>
      </c>
      <c r="F171" s="260">
        <v>3.5</v>
      </c>
      <c r="G171" s="260">
        <v>6100</v>
      </c>
      <c r="H171" s="260">
        <v>6.1</v>
      </c>
      <c r="I171" s="260">
        <v>3500263</v>
      </c>
      <c r="J171" s="260" t="s">
        <v>6292</v>
      </c>
      <c r="K171" s="260"/>
      <c r="L171" s="260">
        <v>10</v>
      </c>
      <c r="M171" s="260"/>
      <c r="N171" s="401"/>
      <c r="O171" s="221"/>
      <c r="P171" s="337"/>
    </row>
    <row r="172" spans="2:16" x14ac:dyDescent="0.25">
      <c r="B172" s="260">
        <v>56</v>
      </c>
      <c r="C172" s="260" t="s">
        <v>341</v>
      </c>
      <c r="D172" s="260">
        <v>943210</v>
      </c>
      <c r="E172" s="260">
        <v>25.4</v>
      </c>
      <c r="F172" s="260">
        <v>1.4</v>
      </c>
      <c r="G172" s="260">
        <v>5531</v>
      </c>
      <c r="H172" s="260">
        <v>5.5309999999999997</v>
      </c>
      <c r="I172" s="260">
        <v>3501900</v>
      </c>
      <c r="J172" s="260" t="s">
        <v>1563</v>
      </c>
      <c r="K172" s="260">
        <v>5.5</v>
      </c>
      <c r="L172" s="260"/>
      <c r="M172" s="260">
        <v>9518955752</v>
      </c>
      <c r="N172" s="401" t="s">
        <v>6237</v>
      </c>
      <c r="O172" s="221"/>
      <c r="P172" s="337"/>
    </row>
    <row r="173" spans="2:16" x14ac:dyDescent="0.25">
      <c r="B173" s="260">
        <v>56</v>
      </c>
      <c r="C173" s="260" t="s">
        <v>341</v>
      </c>
      <c r="D173" s="260">
        <v>943210</v>
      </c>
      <c r="E173" s="260">
        <v>48.6</v>
      </c>
      <c r="F173" s="260">
        <v>2.2999999999999998</v>
      </c>
      <c r="G173" s="260">
        <v>6270</v>
      </c>
      <c r="H173" s="260">
        <v>6.27</v>
      </c>
      <c r="I173" s="260">
        <v>3549720</v>
      </c>
      <c r="J173" s="260" t="s">
        <v>5971</v>
      </c>
      <c r="K173" s="260">
        <v>9</v>
      </c>
      <c r="L173" s="260"/>
      <c r="M173" s="260">
        <v>9518955752</v>
      </c>
      <c r="N173" s="401" t="s">
        <v>6237</v>
      </c>
      <c r="O173" s="221"/>
      <c r="P173" s="337"/>
    </row>
    <row r="174" spans="2:16" x14ac:dyDescent="0.25">
      <c r="B174" s="260">
        <v>56</v>
      </c>
      <c r="C174" s="260" t="s">
        <v>5</v>
      </c>
      <c r="D174" s="260">
        <v>943211</v>
      </c>
      <c r="E174" s="260">
        <v>50.8</v>
      </c>
      <c r="F174" s="260">
        <v>2.6</v>
      </c>
      <c r="G174" s="260">
        <v>6000</v>
      </c>
      <c r="H174" s="260">
        <v>6</v>
      </c>
      <c r="I174" s="260">
        <v>3518437</v>
      </c>
      <c r="J174" s="260" t="s">
        <v>6293</v>
      </c>
      <c r="K174" s="260">
        <v>5</v>
      </c>
      <c r="L174" s="260"/>
      <c r="M174" s="260">
        <v>9518955819</v>
      </c>
      <c r="N174" s="401" t="s">
        <v>6237</v>
      </c>
      <c r="O174" s="221"/>
      <c r="P174" s="337"/>
    </row>
    <row r="175" spans="2:16" x14ac:dyDescent="0.25">
      <c r="B175" s="260">
        <v>56</v>
      </c>
      <c r="C175" s="260" t="s">
        <v>5</v>
      </c>
      <c r="D175" s="260">
        <v>943211</v>
      </c>
      <c r="E175" s="260">
        <v>50.8</v>
      </c>
      <c r="F175" s="260">
        <v>2.6</v>
      </c>
      <c r="G175" s="260">
        <v>6000</v>
      </c>
      <c r="H175" s="260">
        <v>6</v>
      </c>
      <c r="I175" s="260">
        <v>3500695</v>
      </c>
      <c r="J175" s="260" t="s">
        <v>6294</v>
      </c>
      <c r="K175" s="260">
        <v>5</v>
      </c>
      <c r="L175" s="260"/>
      <c r="M175" s="260">
        <v>9518955819</v>
      </c>
      <c r="N175" s="401" t="s">
        <v>6237</v>
      </c>
      <c r="O175" s="221"/>
      <c r="P175" s="337"/>
    </row>
    <row r="176" spans="2:16" x14ac:dyDescent="0.25">
      <c r="B176" s="260">
        <v>56</v>
      </c>
      <c r="C176" s="260" t="s">
        <v>5</v>
      </c>
      <c r="D176" s="260">
        <v>943211</v>
      </c>
      <c r="E176" s="260" t="s">
        <v>370</v>
      </c>
      <c r="F176" s="260">
        <v>1.6</v>
      </c>
      <c r="G176" s="260">
        <v>6040</v>
      </c>
      <c r="H176" s="260">
        <v>6.04</v>
      </c>
      <c r="I176" s="260">
        <v>3751498</v>
      </c>
      <c r="J176" s="260" t="s">
        <v>6295</v>
      </c>
      <c r="K176" s="260">
        <v>10</v>
      </c>
      <c r="L176" s="260"/>
      <c r="M176" s="260">
        <v>9518955819</v>
      </c>
      <c r="N176" s="401" t="s">
        <v>6237</v>
      </c>
      <c r="O176" s="221"/>
      <c r="P176" s="337"/>
    </row>
    <row r="177" spans="2:16" x14ac:dyDescent="0.25">
      <c r="B177" s="260">
        <v>56</v>
      </c>
      <c r="C177" s="260" t="s">
        <v>10</v>
      </c>
      <c r="D177" s="260">
        <v>943209</v>
      </c>
      <c r="E177" s="260">
        <v>22.2</v>
      </c>
      <c r="F177" s="260">
        <v>2</v>
      </c>
      <c r="G177" s="260">
        <v>5100</v>
      </c>
      <c r="H177" s="260">
        <v>5.0999999999999996</v>
      </c>
      <c r="I177" s="260">
        <v>3500554</v>
      </c>
      <c r="J177" s="260" t="s">
        <v>1485</v>
      </c>
      <c r="K177" s="260">
        <v>17.399999999999999</v>
      </c>
      <c r="L177" s="260"/>
      <c r="M177" s="260">
        <v>9518955635</v>
      </c>
      <c r="N177" s="401" t="s">
        <v>6237</v>
      </c>
      <c r="O177" s="221"/>
      <c r="P177" s="337"/>
    </row>
    <row r="178" spans="2:16" x14ac:dyDescent="0.25">
      <c r="B178" s="260">
        <v>56</v>
      </c>
      <c r="C178" s="260" t="s">
        <v>10</v>
      </c>
      <c r="D178" s="260">
        <v>943209</v>
      </c>
      <c r="E178" s="260">
        <v>22.2</v>
      </c>
      <c r="F178" s="260">
        <v>2</v>
      </c>
      <c r="G178" s="260">
        <v>5950</v>
      </c>
      <c r="H178" s="260">
        <v>5.95</v>
      </c>
      <c r="I178" s="260">
        <v>3905466</v>
      </c>
      <c r="J178" s="260" t="s">
        <v>1487</v>
      </c>
      <c r="K178" s="260">
        <v>56.3</v>
      </c>
      <c r="L178" s="260"/>
      <c r="M178" s="260">
        <v>9518955635</v>
      </c>
      <c r="N178" s="401" t="s">
        <v>6237</v>
      </c>
      <c r="O178" s="221"/>
      <c r="P178" s="337"/>
    </row>
    <row r="179" spans="2:16" x14ac:dyDescent="0.25">
      <c r="B179" s="260">
        <v>56</v>
      </c>
      <c r="C179" s="260" t="s">
        <v>10</v>
      </c>
      <c r="D179" s="260">
        <v>943209</v>
      </c>
      <c r="E179" s="260">
        <v>22.2</v>
      </c>
      <c r="F179" s="260">
        <v>2</v>
      </c>
      <c r="G179" s="260">
        <v>6000</v>
      </c>
      <c r="H179" s="260">
        <v>6000</v>
      </c>
      <c r="I179" s="260">
        <v>3502494</v>
      </c>
      <c r="J179" s="260" t="s">
        <v>6296</v>
      </c>
      <c r="K179" s="260">
        <v>30</v>
      </c>
      <c r="L179" s="260"/>
      <c r="M179" s="260">
        <v>9518955635</v>
      </c>
      <c r="N179" s="401" t="s">
        <v>6237</v>
      </c>
      <c r="O179" s="221"/>
      <c r="P179" s="337"/>
    </row>
    <row r="180" spans="2:16" x14ac:dyDescent="0.25">
      <c r="B180" s="260">
        <v>56</v>
      </c>
      <c r="C180" s="260" t="s">
        <v>10</v>
      </c>
      <c r="D180" s="260">
        <v>943209</v>
      </c>
      <c r="E180" s="260">
        <v>25.4</v>
      </c>
      <c r="F180" s="260">
        <v>2</v>
      </c>
      <c r="G180" s="260">
        <v>5840</v>
      </c>
      <c r="H180" s="260">
        <v>5.82</v>
      </c>
      <c r="I180" s="402">
        <v>3673890</v>
      </c>
      <c r="J180" s="402" t="s">
        <v>2462</v>
      </c>
      <c r="K180" s="260">
        <v>17.2</v>
      </c>
      <c r="L180" s="260"/>
      <c r="M180" s="260">
        <v>9518955635</v>
      </c>
      <c r="N180" s="401" t="s">
        <v>6237</v>
      </c>
      <c r="O180" s="221"/>
      <c r="P180" s="337"/>
    </row>
    <row r="181" spans="2:16" x14ac:dyDescent="0.25">
      <c r="B181" s="260">
        <v>56</v>
      </c>
      <c r="C181" s="260" t="s">
        <v>10</v>
      </c>
      <c r="D181" s="260">
        <v>943209</v>
      </c>
      <c r="E181" s="260">
        <v>25.4</v>
      </c>
      <c r="F181" s="260">
        <v>2.5</v>
      </c>
      <c r="G181" s="260">
        <v>5530</v>
      </c>
      <c r="H181" s="260">
        <v>5.53</v>
      </c>
      <c r="I181" s="260">
        <v>3502256</v>
      </c>
      <c r="J181" s="260" t="s">
        <v>1580</v>
      </c>
      <c r="K181" s="260">
        <v>18</v>
      </c>
      <c r="L181" s="260"/>
      <c r="M181" s="260">
        <v>9518955635</v>
      </c>
      <c r="N181" s="401" t="s">
        <v>6237</v>
      </c>
      <c r="O181" s="221"/>
      <c r="P181" s="337"/>
    </row>
    <row r="182" spans="2:16" x14ac:dyDescent="0.25">
      <c r="B182" s="260">
        <v>56</v>
      </c>
      <c r="C182" s="260" t="s">
        <v>10</v>
      </c>
      <c r="D182" s="260">
        <v>943209</v>
      </c>
      <c r="E182" s="260">
        <v>38.1</v>
      </c>
      <c r="F182" s="260">
        <v>2</v>
      </c>
      <c r="G182" s="260">
        <v>5650</v>
      </c>
      <c r="H182" s="260">
        <v>5.65</v>
      </c>
      <c r="I182" s="260">
        <v>3500959</v>
      </c>
      <c r="J182" s="260" t="s">
        <v>1651</v>
      </c>
      <c r="K182" s="260">
        <v>12</v>
      </c>
      <c r="L182" s="260"/>
      <c r="M182" s="260">
        <v>9518955635</v>
      </c>
      <c r="N182" s="401" t="s">
        <v>6237</v>
      </c>
      <c r="O182" s="221"/>
      <c r="P182" s="337"/>
    </row>
    <row r="183" spans="2:16" x14ac:dyDescent="0.25">
      <c r="B183" s="260">
        <v>56</v>
      </c>
      <c r="C183" s="260" t="s">
        <v>10</v>
      </c>
      <c r="D183" s="260">
        <v>943209</v>
      </c>
      <c r="E183" s="260">
        <v>57.15</v>
      </c>
      <c r="F183" s="260">
        <v>2.5</v>
      </c>
      <c r="G183" s="260">
        <v>5710</v>
      </c>
      <c r="H183" s="260">
        <v>5.71</v>
      </c>
      <c r="I183" s="260">
        <v>3907863</v>
      </c>
      <c r="J183" s="260" t="s">
        <v>1749</v>
      </c>
      <c r="K183" s="260">
        <v>71.099999999999994</v>
      </c>
      <c r="L183" s="260"/>
      <c r="M183" s="260">
        <v>9518955635</v>
      </c>
      <c r="N183" s="401" t="s">
        <v>6237</v>
      </c>
      <c r="O183" s="221"/>
      <c r="P183" s="337"/>
    </row>
    <row r="184" spans="2:16" x14ac:dyDescent="0.25">
      <c r="B184" s="260">
        <v>56</v>
      </c>
      <c r="C184" s="260" t="s">
        <v>10</v>
      </c>
      <c r="D184" s="260">
        <v>943209</v>
      </c>
      <c r="E184" s="260">
        <v>57.15</v>
      </c>
      <c r="F184" s="260">
        <v>2.5</v>
      </c>
      <c r="G184" s="260">
        <v>6100</v>
      </c>
      <c r="H184" s="260">
        <v>6.1</v>
      </c>
      <c r="I184" s="260">
        <v>3910001</v>
      </c>
      <c r="J184" s="260" t="s">
        <v>1752</v>
      </c>
      <c r="K184" s="260">
        <v>73.7</v>
      </c>
      <c r="L184" s="260"/>
      <c r="M184" s="260">
        <v>9518955635</v>
      </c>
      <c r="N184" s="401" t="s">
        <v>6237</v>
      </c>
      <c r="O184" s="221"/>
      <c r="P184" s="337"/>
    </row>
    <row r="185" spans="2:16" x14ac:dyDescent="0.25">
      <c r="B185" s="403">
        <v>788</v>
      </c>
      <c r="C185" s="403" t="s">
        <v>341</v>
      </c>
      <c r="D185" s="403">
        <v>943210</v>
      </c>
      <c r="E185" s="403">
        <v>34</v>
      </c>
      <c r="F185" s="403">
        <v>1.4</v>
      </c>
      <c r="G185" s="403">
        <v>5660</v>
      </c>
      <c r="H185" s="403">
        <v>5.66</v>
      </c>
      <c r="I185" s="403">
        <v>3702855</v>
      </c>
      <c r="J185" s="403" t="s">
        <v>6297</v>
      </c>
      <c r="K185" s="403">
        <v>3</v>
      </c>
      <c r="L185" s="403"/>
      <c r="M185" s="403">
        <v>4000513384</v>
      </c>
      <c r="N185" s="404" t="s">
        <v>6237</v>
      </c>
      <c r="O185" s="405" t="s">
        <v>6298</v>
      </c>
      <c r="P185" s="444"/>
    </row>
    <row r="186" spans="2:16" x14ac:dyDescent="0.25">
      <c r="B186" s="403">
        <v>788</v>
      </c>
      <c r="C186" s="403" t="s">
        <v>5</v>
      </c>
      <c r="D186" s="403">
        <v>943211</v>
      </c>
      <c r="E186" s="403">
        <v>38.1</v>
      </c>
      <c r="F186" s="403">
        <v>2.6</v>
      </c>
      <c r="G186" s="403">
        <v>6000</v>
      </c>
      <c r="H186" s="403">
        <v>6</v>
      </c>
      <c r="I186" s="403">
        <v>3500699</v>
      </c>
      <c r="J186" s="403" t="s">
        <v>6299</v>
      </c>
      <c r="K186" s="403">
        <v>5</v>
      </c>
      <c r="L186" s="403"/>
      <c r="M186" s="403">
        <v>4000513384</v>
      </c>
      <c r="N186" s="404" t="s">
        <v>6237</v>
      </c>
      <c r="O186" s="405" t="s">
        <v>6298</v>
      </c>
      <c r="P186" s="444"/>
    </row>
    <row r="187" spans="2:16" x14ac:dyDescent="0.25">
      <c r="B187" s="403">
        <v>788</v>
      </c>
      <c r="C187" s="403" t="s">
        <v>5</v>
      </c>
      <c r="D187" s="403">
        <v>943211</v>
      </c>
      <c r="E187" s="403">
        <v>47.63</v>
      </c>
      <c r="F187" s="403">
        <v>4</v>
      </c>
      <c r="G187" s="403">
        <v>6040</v>
      </c>
      <c r="H187" s="403">
        <v>6.04</v>
      </c>
      <c r="I187" s="403">
        <v>3500635</v>
      </c>
      <c r="J187" s="403" t="s">
        <v>5466</v>
      </c>
      <c r="K187" s="403">
        <v>7</v>
      </c>
      <c r="L187" s="403"/>
      <c r="M187" s="403">
        <v>4000513384</v>
      </c>
      <c r="N187" s="404" t="s">
        <v>6237</v>
      </c>
      <c r="O187" s="405" t="s">
        <v>6298</v>
      </c>
      <c r="P187" s="444"/>
    </row>
    <row r="188" spans="2:16" x14ac:dyDescent="0.25">
      <c r="B188" s="260">
        <v>789</v>
      </c>
      <c r="C188" s="260" t="s">
        <v>341</v>
      </c>
      <c r="D188" s="260">
        <v>943210</v>
      </c>
      <c r="E188" s="260">
        <v>15.88</v>
      </c>
      <c r="F188" s="260">
        <v>2</v>
      </c>
      <c r="G188" s="260">
        <v>6000</v>
      </c>
      <c r="H188" s="260">
        <v>6</v>
      </c>
      <c r="I188" s="260">
        <v>1940120</v>
      </c>
      <c r="J188" s="260" t="s">
        <v>540</v>
      </c>
      <c r="K188" s="260">
        <v>3</v>
      </c>
      <c r="L188" s="260"/>
      <c r="M188" s="260">
        <v>9518955776</v>
      </c>
      <c r="N188" s="401" t="s">
        <v>6237</v>
      </c>
      <c r="O188" s="221"/>
      <c r="P188" s="337"/>
    </row>
    <row r="189" spans="2:16" x14ac:dyDescent="0.25">
      <c r="B189" s="260">
        <v>789</v>
      </c>
      <c r="C189" s="260" t="s">
        <v>341</v>
      </c>
      <c r="D189" s="260">
        <v>943210</v>
      </c>
      <c r="E189" s="260">
        <v>22.2</v>
      </c>
      <c r="F189" s="260">
        <v>2</v>
      </c>
      <c r="G189" s="260">
        <v>5390</v>
      </c>
      <c r="H189" s="260">
        <v>5.39</v>
      </c>
      <c r="I189" s="260">
        <v>2431251</v>
      </c>
      <c r="J189" s="260" t="s">
        <v>2300</v>
      </c>
      <c r="K189" s="260">
        <v>53</v>
      </c>
      <c r="L189" s="260"/>
      <c r="M189" s="260">
        <v>9518955776</v>
      </c>
      <c r="N189" s="401" t="s">
        <v>6237</v>
      </c>
      <c r="O189" s="221"/>
      <c r="P189" s="337"/>
    </row>
    <row r="190" spans="2:16" x14ac:dyDescent="0.25">
      <c r="B190" s="260">
        <v>789</v>
      </c>
      <c r="C190" s="260" t="s">
        <v>341</v>
      </c>
      <c r="D190" s="260">
        <v>943210</v>
      </c>
      <c r="E190" s="260">
        <v>25.4</v>
      </c>
      <c r="F190" s="260">
        <v>1.4</v>
      </c>
      <c r="G190" s="260">
        <v>6060</v>
      </c>
      <c r="H190" s="260">
        <v>6.06</v>
      </c>
      <c r="I190" s="260">
        <v>3557792</v>
      </c>
      <c r="J190" s="260" t="s">
        <v>1564</v>
      </c>
      <c r="K190" s="260">
        <v>10</v>
      </c>
      <c r="L190" s="260"/>
      <c r="M190" s="260">
        <v>9518955776</v>
      </c>
      <c r="N190" s="401" t="s">
        <v>6237</v>
      </c>
      <c r="O190" s="221"/>
      <c r="P190" s="337"/>
    </row>
    <row r="191" spans="2:16" x14ac:dyDescent="0.25">
      <c r="B191" s="260">
        <v>789</v>
      </c>
      <c r="C191" s="260" t="s">
        <v>341</v>
      </c>
      <c r="D191" s="260">
        <v>943210</v>
      </c>
      <c r="E191" s="260">
        <v>48.6</v>
      </c>
      <c r="F191" s="260">
        <v>3.5</v>
      </c>
      <c r="G191" s="260">
        <v>6000</v>
      </c>
      <c r="H191" s="260">
        <v>6</v>
      </c>
      <c r="I191" s="260">
        <v>3502422</v>
      </c>
      <c r="J191" s="260" t="s">
        <v>2374</v>
      </c>
      <c r="K191" s="260">
        <v>21</v>
      </c>
      <c r="L191" s="260"/>
      <c r="M191" s="260">
        <v>9518955776</v>
      </c>
      <c r="N191" s="401" t="s">
        <v>6237</v>
      </c>
      <c r="O191" s="221"/>
      <c r="P191" s="337"/>
    </row>
    <row r="192" spans="2:16" x14ac:dyDescent="0.25">
      <c r="B192" s="260">
        <v>789</v>
      </c>
      <c r="C192" s="260" t="s">
        <v>5</v>
      </c>
      <c r="D192" s="260">
        <v>943211</v>
      </c>
      <c r="E192" s="260">
        <v>34.93</v>
      </c>
      <c r="F192" s="260">
        <v>1.2</v>
      </c>
      <c r="G192" s="260">
        <v>620</v>
      </c>
      <c r="H192" s="260">
        <v>0.62</v>
      </c>
      <c r="I192" s="260">
        <v>2397073</v>
      </c>
      <c r="J192" s="260" t="s">
        <v>1617</v>
      </c>
      <c r="K192" s="260">
        <v>13</v>
      </c>
      <c r="L192" s="260"/>
      <c r="M192" s="260">
        <v>9518955802</v>
      </c>
      <c r="N192" s="401" t="s">
        <v>6237</v>
      </c>
      <c r="O192" s="221"/>
      <c r="P192" s="337"/>
    </row>
    <row r="193" spans="2:16" x14ac:dyDescent="0.25">
      <c r="B193" s="260">
        <v>789</v>
      </c>
      <c r="C193" s="260" t="s">
        <v>5</v>
      </c>
      <c r="D193" s="260">
        <v>943211</v>
      </c>
      <c r="E193" s="260">
        <v>34.93</v>
      </c>
      <c r="F193" s="260">
        <v>1.2</v>
      </c>
      <c r="G193" s="260">
        <v>700</v>
      </c>
      <c r="H193" s="260">
        <v>0.7</v>
      </c>
      <c r="I193" s="260">
        <v>3649699</v>
      </c>
      <c r="J193" s="260" t="s">
        <v>6300</v>
      </c>
      <c r="K193" s="260">
        <v>13</v>
      </c>
      <c r="L193" s="260"/>
      <c r="M193" s="260">
        <v>9518955802</v>
      </c>
      <c r="N193" s="401" t="s">
        <v>6237</v>
      </c>
      <c r="O193" s="221"/>
      <c r="P193" s="337"/>
    </row>
    <row r="194" spans="2:16" x14ac:dyDescent="0.25">
      <c r="B194" s="260">
        <v>789</v>
      </c>
      <c r="C194" s="260" t="s">
        <v>5</v>
      </c>
      <c r="D194" s="260">
        <v>943211</v>
      </c>
      <c r="E194" s="260">
        <v>48</v>
      </c>
      <c r="F194" s="260">
        <v>1.2</v>
      </c>
      <c r="G194" s="260">
        <v>620</v>
      </c>
      <c r="H194" s="260">
        <v>0.62</v>
      </c>
      <c r="I194" s="260">
        <v>2397072</v>
      </c>
      <c r="J194" s="260" t="s">
        <v>1703</v>
      </c>
      <c r="K194" s="260">
        <v>13</v>
      </c>
      <c r="L194" s="260"/>
      <c r="M194" s="260">
        <v>9518955802</v>
      </c>
      <c r="N194" s="401" t="s">
        <v>6237</v>
      </c>
      <c r="O194" s="221"/>
      <c r="P194" s="337"/>
    </row>
    <row r="195" spans="2:16" x14ac:dyDescent="0.25">
      <c r="B195" s="260">
        <v>789</v>
      </c>
      <c r="C195" s="260" t="s">
        <v>5</v>
      </c>
      <c r="D195" s="260">
        <v>943211</v>
      </c>
      <c r="E195" s="260">
        <v>48</v>
      </c>
      <c r="F195" s="260">
        <v>1.2</v>
      </c>
      <c r="G195" s="260">
        <v>700</v>
      </c>
      <c r="H195" s="260">
        <v>0.7</v>
      </c>
      <c r="I195" s="260">
        <v>3649700</v>
      </c>
      <c r="J195" s="260" t="s">
        <v>2276</v>
      </c>
      <c r="K195" s="260">
        <v>17</v>
      </c>
      <c r="L195" s="260"/>
      <c r="M195" s="260">
        <v>9518955802</v>
      </c>
      <c r="N195" s="401" t="s">
        <v>6237</v>
      </c>
      <c r="O195" s="221"/>
      <c r="P195" s="337"/>
    </row>
    <row r="196" spans="2:16" x14ac:dyDescent="0.25">
      <c r="B196" s="260">
        <v>789</v>
      </c>
      <c r="C196" s="260" t="s">
        <v>5</v>
      </c>
      <c r="D196" s="260">
        <v>943211</v>
      </c>
      <c r="E196" s="260" t="s">
        <v>368</v>
      </c>
      <c r="F196" s="260">
        <v>1.6</v>
      </c>
      <c r="G196" s="260">
        <v>572.5</v>
      </c>
      <c r="H196" s="260">
        <v>0.57250000000000001</v>
      </c>
      <c r="I196" s="260">
        <v>2420716</v>
      </c>
      <c r="J196" s="260" t="s">
        <v>1756</v>
      </c>
      <c r="K196" s="260">
        <v>60</v>
      </c>
      <c r="L196" s="260"/>
      <c r="M196" s="260">
        <v>9518955802</v>
      </c>
      <c r="N196" s="401" t="s">
        <v>6237</v>
      </c>
      <c r="O196" s="221"/>
      <c r="P196" s="337"/>
    </row>
    <row r="197" spans="2:16" x14ac:dyDescent="0.25">
      <c r="B197" s="260">
        <v>789</v>
      </c>
      <c r="C197" s="260" t="s">
        <v>10</v>
      </c>
      <c r="D197" s="260">
        <v>943209</v>
      </c>
      <c r="E197" s="260">
        <v>12.7</v>
      </c>
      <c r="F197" s="260">
        <v>1.2</v>
      </c>
      <c r="G197" s="260">
        <v>6000</v>
      </c>
      <c r="H197" s="260">
        <v>6</v>
      </c>
      <c r="I197" s="260">
        <v>1939985</v>
      </c>
      <c r="J197" s="260" t="s">
        <v>1137</v>
      </c>
      <c r="K197" s="260">
        <v>1</v>
      </c>
      <c r="L197" s="260"/>
      <c r="M197" s="260">
        <v>9518956097</v>
      </c>
      <c r="N197" s="401" t="s">
        <v>6237</v>
      </c>
      <c r="O197" s="221"/>
      <c r="P197" s="337"/>
    </row>
    <row r="198" spans="2:16" x14ac:dyDescent="0.25">
      <c r="B198" s="260">
        <v>789</v>
      </c>
      <c r="C198" s="260" t="s">
        <v>10</v>
      </c>
      <c r="D198" s="260">
        <v>943209</v>
      </c>
      <c r="E198" s="255">
        <v>15.88</v>
      </c>
      <c r="F198" s="260">
        <v>1.2</v>
      </c>
      <c r="G198" s="260">
        <v>6000</v>
      </c>
      <c r="H198" s="260">
        <v>6</v>
      </c>
      <c r="I198" s="260">
        <v>1940054</v>
      </c>
      <c r="J198" s="260" t="s">
        <v>2206</v>
      </c>
      <c r="K198" s="260">
        <v>7</v>
      </c>
      <c r="L198" s="260"/>
      <c r="M198" s="260">
        <v>9518956097</v>
      </c>
      <c r="N198" s="401" t="s">
        <v>6237</v>
      </c>
      <c r="O198" s="221"/>
      <c r="P198" s="337"/>
    </row>
    <row r="199" spans="2:16" x14ac:dyDescent="0.25">
      <c r="B199" s="260">
        <v>789</v>
      </c>
      <c r="C199" s="260" t="s">
        <v>10</v>
      </c>
      <c r="D199" s="260">
        <v>943209</v>
      </c>
      <c r="E199" s="260">
        <v>18.3</v>
      </c>
      <c r="F199" s="260">
        <v>1</v>
      </c>
      <c r="G199" s="260">
        <v>6000</v>
      </c>
      <c r="H199" s="260">
        <v>6</v>
      </c>
      <c r="I199" s="260">
        <v>2288945</v>
      </c>
      <c r="J199" s="260" t="s">
        <v>1241</v>
      </c>
      <c r="K199" s="260">
        <v>6</v>
      </c>
      <c r="L199" s="260"/>
      <c r="M199" s="260">
        <v>9518956097</v>
      </c>
      <c r="N199" s="401" t="s">
        <v>6237</v>
      </c>
      <c r="O199" s="221"/>
      <c r="P199" s="337"/>
    </row>
    <row r="200" spans="2:16" x14ac:dyDescent="0.25">
      <c r="B200" s="260">
        <v>789</v>
      </c>
      <c r="C200" s="260" t="s">
        <v>10</v>
      </c>
      <c r="D200" s="260">
        <v>943209</v>
      </c>
      <c r="E200" s="260">
        <v>21.4</v>
      </c>
      <c r="F200" s="260">
        <v>1.6</v>
      </c>
      <c r="G200" s="260">
        <v>6000</v>
      </c>
      <c r="H200" s="260">
        <v>6</v>
      </c>
      <c r="I200" s="260">
        <v>3219710</v>
      </c>
      <c r="J200" s="260" t="s">
        <v>1434</v>
      </c>
      <c r="K200" s="260">
        <v>3</v>
      </c>
      <c r="L200" s="260"/>
      <c r="M200" s="260">
        <v>9518956097</v>
      </c>
      <c r="N200" s="401" t="s">
        <v>6237</v>
      </c>
      <c r="O200" s="221"/>
      <c r="P200" s="337"/>
    </row>
    <row r="201" spans="2:16" x14ac:dyDescent="0.25">
      <c r="B201" s="260">
        <v>789</v>
      </c>
      <c r="C201" s="260" t="s">
        <v>10</v>
      </c>
      <c r="D201" s="260">
        <v>943209</v>
      </c>
      <c r="E201" s="260">
        <v>22.2</v>
      </c>
      <c r="F201" s="260">
        <v>1.6</v>
      </c>
      <c r="G201" s="260">
        <v>5270</v>
      </c>
      <c r="H201" s="260">
        <v>5.27</v>
      </c>
      <c r="I201" s="260">
        <v>3575894</v>
      </c>
      <c r="J201" s="260" t="s">
        <v>2292</v>
      </c>
      <c r="K201" s="260">
        <v>18</v>
      </c>
      <c r="L201" s="260"/>
      <c r="M201" s="260">
        <v>9518956097</v>
      </c>
      <c r="N201" s="401" t="s">
        <v>6237</v>
      </c>
      <c r="O201" s="221"/>
      <c r="P201" s="337"/>
    </row>
    <row r="202" spans="2:16" x14ac:dyDescent="0.25">
      <c r="B202" s="260">
        <v>789</v>
      </c>
      <c r="C202" s="260" t="s">
        <v>10</v>
      </c>
      <c r="D202" s="260">
        <v>943209</v>
      </c>
      <c r="E202" s="260">
        <v>25.4</v>
      </c>
      <c r="F202" s="260">
        <v>2</v>
      </c>
      <c r="G202" s="260">
        <v>6050</v>
      </c>
      <c r="H202" s="260">
        <v>6.05</v>
      </c>
      <c r="I202" s="260">
        <v>4055021</v>
      </c>
      <c r="J202" s="260" t="s">
        <v>6289</v>
      </c>
      <c r="K202" s="260">
        <v>6</v>
      </c>
      <c r="L202" s="260"/>
      <c r="M202" s="260">
        <v>9518956097</v>
      </c>
      <c r="N202" s="401" t="s">
        <v>6237</v>
      </c>
      <c r="O202" s="221"/>
      <c r="P202" s="337"/>
    </row>
    <row r="203" spans="2:16" x14ac:dyDescent="0.25">
      <c r="B203" s="260">
        <v>789</v>
      </c>
      <c r="C203" s="260" t="s">
        <v>10</v>
      </c>
      <c r="D203" s="260">
        <v>943209</v>
      </c>
      <c r="E203" s="260">
        <v>31.75</v>
      </c>
      <c r="F203" s="260">
        <v>2</v>
      </c>
      <c r="G203" s="260">
        <v>6000</v>
      </c>
      <c r="H203" s="260">
        <v>6</v>
      </c>
      <c r="I203" s="260">
        <v>1931387</v>
      </c>
      <c r="J203" s="260" t="s">
        <v>6301</v>
      </c>
      <c r="K203" s="260">
        <v>15</v>
      </c>
      <c r="L203" s="260"/>
      <c r="M203" s="260">
        <v>9518956097</v>
      </c>
      <c r="N203" s="401" t="s">
        <v>6237</v>
      </c>
      <c r="O203" s="221"/>
      <c r="P203" s="337"/>
    </row>
    <row r="204" spans="2:16" x14ac:dyDescent="0.25">
      <c r="B204" s="260">
        <v>789</v>
      </c>
      <c r="C204" s="260" t="s">
        <v>10</v>
      </c>
      <c r="D204" s="260">
        <v>943209</v>
      </c>
      <c r="E204" s="260">
        <v>41.28</v>
      </c>
      <c r="F204" s="260">
        <v>2.6</v>
      </c>
      <c r="G204" s="260">
        <v>6000</v>
      </c>
      <c r="H204" s="260">
        <v>6</v>
      </c>
      <c r="I204" s="405">
        <v>3994149</v>
      </c>
      <c r="J204" s="405" t="s">
        <v>2395</v>
      </c>
      <c r="K204" s="260">
        <v>65</v>
      </c>
      <c r="L204" s="260"/>
      <c r="M204" s="260">
        <v>9518956097</v>
      </c>
      <c r="N204" s="401" t="s">
        <v>6237</v>
      </c>
      <c r="O204" s="221"/>
      <c r="P204" s="337"/>
    </row>
    <row r="205" spans="2:16" x14ac:dyDescent="0.25">
      <c r="B205" s="260">
        <v>789</v>
      </c>
      <c r="C205" s="260" t="s">
        <v>10</v>
      </c>
      <c r="D205" s="260">
        <v>943209</v>
      </c>
      <c r="E205" s="260" t="s">
        <v>363</v>
      </c>
      <c r="F205" s="260">
        <v>1.6</v>
      </c>
      <c r="G205" s="260">
        <v>6130</v>
      </c>
      <c r="H205" s="260">
        <v>6.13</v>
      </c>
      <c r="I205" s="260">
        <v>3919144</v>
      </c>
      <c r="J205" s="260" t="s">
        <v>6302</v>
      </c>
      <c r="K205" s="260">
        <v>5</v>
      </c>
      <c r="L205" s="260"/>
      <c r="M205" s="260">
        <v>9518956097</v>
      </c>
      <c r="N205" s="401" t="s">
        <v>6237</v>
      </c>
      <c r="O205" s="221"/>
      <c r="P205" s="337"/>
    </row>
    <row r="206" spans="2:16" x14ac:dyDescent="0.25">
      <c r="B206" s="260">
        <v>789</v>
      </c>
      <c r="C206" s="260" t="s">
        <v>10</v>
      </c>
      <c r="D206" s="260">
        <v>943209</v>
      </c>
      <c r="E206" s="260" t="s">
        <v>365</v>
      </c>
      <c r="F206" s="260">
        <v>1.6</v>
      </c>
      <c r="G206" s="260">
        <v>5900</v>
      </c>
      <c r="H206" s="260">
        <v>5.9</v>
      </c>
      <c r="I206" s="260">
        <v>3925391</v>
      </c>
      <c r="J206" s="260" t="s">
        <v>1680</v>
      </c>
      <c r="K206" s="260">
        <v>8</v>
      </c>
      <c r="L206" s="260"/>
      <c r="M206" s="260">
        <v>9518956097</v>
      </c>
      <c r="N206" s="401" t="s">
        <v>6237</v>
      </c>
      <c r="O206" s="221"/>
      <c r="P206" s="337"/>
    </row>
    <row r="207" spans="2:16" x14ac:dyDescent="0.25">
      <c r="B207" s="260">
        <v>789</v>
      </c>
      <c r="C207" s="260" t="s">
        <v>10</v>
      </c>
      <c r="D207" s="260">
        <v>943209</v>
      </c>
      <c r="E207" s="260" t="s">
        <v>368</v>
      </c>
      <c r="F207" s="260">
        <v>1.6</v>
      </c>
      <c r="G207" s="260">
        <v>6000</v>
      </c>
      <c r="H207" s="260">
        <v>6</v>
      </c>
      <c r="I207" s="260">
        <v>1940925</v>
      </c>
      <c r="J207" s="260" t="s">
        <v>6303</v>
      </c>
      <c r="K207" s="260">
        <v>3</v>
      </c>
      <c r="L207" s="260"/>
      <c r="M207" s="260">
        <v>9518956097</v>
      </c>
      <c r="N207" s="401" t="s">
        <v>6237</v>
      </c>
      <c r="O207" s="221"/>
      <c r="P207" s="337"/>
    </row>
    <row r="208" spans="2:16" x14ac:dyDescent="0.25">
      <c r="B208" s="260"/>
      <c r="C208" s="260"/>
      <c r="D208" s="260"/>
      <c r="E208" s="260"/>
      <c r="F208" s="260"/>
      <c r="G208" s="260"/>
      <c r="H208" s="260"/>
      <c r="I208" s="260"/>
      <c r="J208" s="260"/>
      <c r="K208" s="260">
        <v>689.8</v>
      </c>
      <c r="L208" s="260"/>
      <c r="M208" s="260"/>
      <c r="N208" s="260"/>
      <c r="O208" s="221"/>
      <c r="P208" s="337"/>
    </row>
    <row r="210" spans="1:6" x14ac:dyDescent="0.25">
      <c r="E210">
        <v>31.75</v>
      </c>
      <c r="F210" s="331">
        <v>1.2</v>
      </c>
    </row>
    <row r="211" spans="1:6" x14ac:dyDescent="0.25">
      <c r="E211">
        <v>41.28</v>
      </c>
      <c r="F211" s="331">
        <v>3.2</v>
      </c>
    </row>
    <row r="213" spans="1:6" x14ac:dyDescent="0.25">
      <c r="A213" s="15" t="s">
        <v>316</v>
      </c>
      <c r="B213" s="15" t="s">
        <v>318</v>
      </c>
      <c r="C213" s="15" t="s">
        <v>6304</v>
      </c>
      <c r="D213" s="15" t="s">
        <v>6305</v>
      </c>
      <c r="E213" s="15" t="s">
        <v>6306</v>
      </c>
      <c r="F213" s="15" t="s">
        <v>6307</v>
      </c>
    </row>
    <row r="214" spans="1:6" x14ac:dyDescent="0.25">
      <c r="A214" s="15">
        <v>12.7</v>
      </c>
      <c r="B214" s="15">
        <v>1.2</v>
      </c>
      <c r="C214" s="15">
        <v>6000</v>
      </c>
      <c r="D214" s="15">
        <v>10</v>
      </c>
      <c r="E214" s="15" t="s">
        <v>6308</v>
      </c>
      <c r="F214" s="15" t="s">
        <v>1816</v>
      </c>
    </row>
    <row r="215" spans="1:6" x14ac:dyDescent="0.25">
      <c r="A215" s="15">
        <v>15.88</v>
      </c>
      <c r="B215" s="15">
        <v>1.2</v>
      </c>
      <c r="C215" s="15">
        <v>6000</v>
      </c>
      <c r="D215" s="15">
        <v>10</v>
      </c>
      <c r="E215" s="15" t="s">
        <v>6308</v>
      </c>
      <c r="F215" s="15" t="s">
        <v>1816</v>
      </c>
    </row>
    <row r="216" spans="1:6" x14ac:dyDescent="0.25">
      <c r="A216" s="15">
        <v>15.88</v>
      </c>
      <c r="B216" s="15">
        <v>2</v>
      </c>
      <c r="C216" s="15">
        <v>6000</v>
      </c>
      <c r="D216" s="15">
        <v>5</v>
      </c>
      <c r="E216" s="15" t="s">
        <v>6308</v>
      </c>
      <c r="F216" s="15" t="s">
        <v>6309</v>
      </c>
    </row>
    <row r="217" spans="1:6" x14ac:dyDescent="0.25">
      <c r="A217" s="15">
        <v>19.05</v>
      </c>
      <c r="B217" s="15">
        <v>1.4</v>
      </c>
      <c r="C217" s="15">
        <v>6000</v>
      </c>
      <c r="D217" s="15">
        <v>10</v>
      </c>
      <c r="E217" s="15" t="s">
        <v>6308</v>
      </c>
      <c r="F217" s="15" t="s">
        <v>6310</v>
      </c>
    </row>
    <row r="218" spans="1:6" x14ac:dyDescent="0.25">
      <c r="A218" s="15">
        <v>22.2</v>
      </c>
      <c r="B218" s="15">
        <v>1.4</v>
      </c>
      <c r="C218" s="15">
        <v>6000</v>
      </c>
      <c r="D218" s="15">
        <v>5</v>
      </c>
      <c r="E218" s="15" t="s">
        <v>6308</v>
      </c>
      <c r="F218" s="15" t="s">
        <v>6311</v>
      </c>
    </row>
    <row r="219" spans="1:6" x14ac:dyDescent="0.25">
      <c r="A219" s="15">
        <v>22.2</v>
      </c>
      <c r="B219" s="15">
        <v>1.6</v>
      </c>
      <c r="C219" s="15">
        <v>5270</v>
      </c>
      <c r="D219" s="15">
        <v>18</v>
      </c>
      <c r="E219" s="15" t="s">
        <v>6308</v>
      </c>
      <c r="F219" s="15" t="s">
        <v>1816</v>
      </c>
    </row>
    <row r="220" spans="1:6" x14ac:dyDescent="0.25">
      <c r="A220" s="15">
        <v>22.2</v>
      </c>
      <c r="B220" s="15">
        <v>2</v>
      </c>
      <c r="C220" s="15">
        <v>5950</v>
      </c>
      <c r="D220" s="15">
        <v>50</v>
      </c>
      <c r="E220" s="15" t="s">
        <v>6308</v>
      </c>
      <c r="F220" s="15" t="s">
        <v>1928</v>
      </c>
    </row>
    <row r="221" spans="1:6" x14ac:dyDescent="0.25">
      <c r="A221" s="15">
        <v>22.2</v>
      </c>
      <c r="B221" s="15">
        <v>2</v>
      </c>
      <c r="C221" s="15">
        <v>5100</v>
      </c>
      <c r="D221" s="15">
        <v>30</v>
      </c>
      <c r="E221" s="15" t="s">
        <v>6308</v>
      </c>
      <c r="F221" s="15" t="s">
        <v>1928</v>
      </c>
    </row>
    <row r="222" spans="1:6" x14ac:dyDescent="0.25">
      <c r="A222" s="15">
        <v>25.4</v>
      </c>
      <c r="B222" s="15">
        <v>1.4</v>
      </c>
      <c r="C222" s="15">
        <v>6060</v>
      </c>
      <c r="D222" s="15">
        <v>10</v>
      </c>
      <c r="E222" s="15" t="s">
        <v>6308</v>
      </c>
      <c r="F222" s="15" t="s">
        <v>1816</v>
      </c>
    </row>
    <row r="223" spans="1:6" x14ac:dyDescent="0.25">
      <c r="A223" s="15">
        <v>25.4</v>
      </c>
      <c r="B223" s="15">
        <v>1.4</v>
      </c>
      <c r="C223" s="15">
        <v>5530</v>
      </c>
      <c r="D223" s="15">
        <v>10</v>
      </c>
      <c r="E223" s="15" t="s">
        <v>347</v>
      </c>
      <c r="F223" s="15" t="s">
        <v>1928</v>
      </c>
    </row>
    <row r="224" spans="1:6" x14ac:dyDescent="0.25">
      <c r="A224" s="15">
        <v>25.4</v>
      </c>
      <c r="B224" s="15">
        <v>2</v>
      </c>
      <c r="C224" s="15">
        <v>5840</v>
      </c>
      <c r="D224" s="15">
        <v>20</v>
      </c>
      <c r="E224" s="15" t="s">
        <v>6308</v>
      </c>
      <c r="F224" s="15" t="s">
        <v>1928</v>
      </c>
    </row>
    <row r="225" spans="1:8" x14ac:dyDescent="0.25">
      <c r="A225" s="15">
        <v>25.4</v>
      </c>
      <c r="B225" s="15">
        <v>2</v>
      </c>
      <c r="C225" s="15">
        <v>5800</v>
      </c>
      <c r="D225" s="15">
        <v>10</v>
      </c>
      <c r="E225" s="15" t="s">
        <v>6308</v>
      </c>
      <c r="F225" s="15" t="s">
        <v>6312</v>
      </c>
    </row>
    <row r="226" spans="1:8" x14ac:dyDescent="0.25">
      <c r="A226" s="15">
        <v>25.4</v>
      </c>
      <c r="B226" s="15">
        <v>2.5</v>
      </c>
      <c r="C226" s="15">
        <v>5530</v>
      </c>
      <c r="D226" s="15">
        <v>30</v>
      </c>
      <c r="E226" s="15" t="s">
        <v>6308</v>
      </c>
      <c r="F226" s="15" t="s">
        <v>1928</v>
      </c>
    </row>
    <row r="227" spans="1:8" x14ac:dyDescent="0.25">
      <c r="A227" s="15">
        <v>31.75</v>
      </c>
      <c r="B227" s="15">
        <v>1.2</v>
      </c>
      <c r="C227" s="15">
        <v>6000</v>
      </c>
      <c r="D227" s="15">
        <v>5</v>
      </c>
      <c r="E227" s="15" t="s">
        <v>6308</v>
      </c>
      <c r="F227" s="15" t="s">
        <v>1816</v>
      </c>
    </row>
    <row r="228" spans="1:8" x14ac:dyDescent="0.25">
      <c r="A228" s="15">
        <v>41.28</v>
      </c>
      <c r="B228" s="15">
        <v>3.15</v>
      </c>
      <c r="C228" s="15">
        <v>5860</v>
      </c>
      <c r="D228" s="15">
        <v>20</v>
      </c>
      <c r="E228" s="15" t="s">
        <v>6308</v>
      </c>
      <c r="F228" s="15" t="s">
        <v>1928</v>
      </c>
    </row>
    <row r="229" spans="1:8" x14ac:dyDescent="0.25">
      <c r="A229" s="15" t="s">
        <v>6313</v>
      </c>
      <c r="B229" s="15">
        <v>10.6</v>
      </c>
      <c r="C229" s="15">
        <v>6130</v>
      </c>
      <c r="D229" s="15">
        <v>10</v>
      </c>
      <c r="E229" s="15" t="s">
        <v>6308</v>
      </c>
      <c r="F229" s="15" t="s">
        <v>1816</v>
      </c>
    </row>
    <row r="230" spans="1:8" x14ac:dyDescent="0.25">
      <c r="A230" s="15" t="s">
        <v>6314</v>
      </c>
      <c r="B230" s="15">
        <v>1.6</v>
      </c>
      <c r="C230" s="15">
        <v>5900</v>
      </c>
      <c r="D230" s="15">
        <v>10</v>
      </c>
      <c r="E230" s="15" t="s">
        <v>6308</v>
      </c>
      <c r="F230" s="15" t="s">
        <v>1816</v>
      </c>
    </row>
    <row r="231" spans="1:8" x14ac:dyDescent="0.25">
      <c r="A231" s="15">
        <v>41.28</v>
      </c>
      <c r="B231" s="15">
        <v>2.6</v>
      </c>
      <c r="C231" s="15">
        <v>6000</v>
      </c>
      <c r="D231" s="15">
        <v>30</v>
      </c>
      <c r="E231" s="15" t="s">
        <v>6308</v>
      </c>
      <c r="F231" s="15" t="s">
        <v>1816</v>
      </c>
    </row>
    <row r="232" spans="1:8" x14ac:dyDescent="0.25">
      <c r="A232" s="15">
        <v>48.6</v>
      </c>
      <c r="B232" s="15">
        <v>2.2999999999999998</v>
      </c>
      <c r="C232" s="15">
        <v>6270</v>
      </c>
      <c r="D232" s="15">
        <v>20</v>
      </c>
      <c r="E232" s="15" t="s">
        <v>347</v>
      </c>
      <c r="F232" s="15" t="s">
        <v>1928</v>
      </c>
    </row>
    <row r="233" spans="1:8" x14ac:dyDescent="0.25">
      <c r="A233" s="15">
        <v>57.15</v>
      </c>
      <c r="B233" s="15">
        <v>3</v>
      </c>
      <c r="C233" s="15">
        <v>5650</v>
      </c>
      <c r="D233" s="15">
        <v>12</v>
      </c>
      <c r="E233" s="15" t="s">
        <v>6308</v>
      </c>
      <c r="F233" s="15" t="s">
        <v>6315</v>
      </c>
    </row>
    <row r="236" spans="1:8" ht="31.5" x14ac:dyDescent="0.25">
      <c r="A236" s="434" t="s">
        <v>6316</v>
      </c>
      <c r="B236" s="434" t="s">
        <v>6317</v>
      </c>
      <c r="C236" s="434" t="s">
        <v>319</v>
      </c>
      <c r="D236" s="434" t="s">
        <v>6318</v>
      </c>
      <c r="E236" s="434" t="s">
        <v>6319</v>
      </c>
      <c r="F236" s="434" t="s">
        <v>311</v>
      </c>
      <c r="G236" s="435" t="s">
        <v>6320</v>
      </c>
      <c r="H236" s="443" t="s">
        <v>6321</v>
      </c>
    </row>
    <row r="237" spans="1:8" ht="15.75" x14ac:dyDescent="0.25">
      <c r="A237" s="436">
        <v>19.05</v>
      </c>
      <c r="B237" s="436">
        <v>1.6</v>
      </c>
      <c r="C237" s="437">
        <v>6</v>
      </c>
      <c r="D237" s="436" t="s">
        <v>6322</v>
      </c>
      <c r="E237" s="437">
        <v>54</v>
      </c>
      <c r="F237" s="441">
        <v>865.83</v>
      </c>
      <c r="G237" s="433" t="s">
        <v>6323</v>
      </c>
    </row>
    <row r="238" spans="1:8" ht="15.75" x14ac:dyDescent="0.25">
      <c r="A238" s="438">
        <v>19.05</v>
      </c>
      <c r="B238" s="436">
        <v>2</v>
      </c>
      <c r="C238" s="437">
        <v>5.8019999999999996</v>
      </c>
      <c r="D238" s="436" t="s">
        <v>6322</v>
      </c>
      <c r="E238" s="437">
        <v>54</v>
      </c>
      <c r="F238" s="441">
        <v>5463.0230000000001</v>
      </c>
      <c r="G238" s="433" t="s">
        <v>1830</v>
      </c>
    </row>
    <row r="239" spans="1:8" ht="15.75" x14ac:dyDescent="0.25">
      <c r="A239" s="436">
        <v>22.2</v>
      </c>
      <c r="B239" s="436">
        <v>1.2</v>
      </c>
      <c r="C239" s="437">
        <v>5.87</v>
      </c>
      <c r="D239" s="436" t="s">
        <v>6322</v>
      </c>
      <c r="E239" s="437">
        <v>54</v>
      </c>
      <c r="F239" s="441">
        <v>5976.5770000000002</v>
      </c>
      <c r="G239" s="433" t="s">
        <v>1830</v>
      </c>
    </row>
    <row r="240" spans="1:8" ht="15.75" x14ac:dyDescent="0.25">
      <c r="A240" s="436">
        <v>22.2</v>
      </c>
      <c r="B240" s="436">
        <v>1.6</v>
      </c>
      <c r="C240" s="437">
        <v>5.67</v>
      </c>
      <c r="D240" s="436" t="s">
        <v>6322</v>
      </c>
      <c r="E240" s="437">
        <v>54</v>
      </c>
      <c r="F240" s="441">
        <v>2184.4110000000001</v>
      </c>
      <c r="G240" s="433" t="s">
        <v>1830</v>
      </c>
    </row>
    <row r="241" spans="1:7" ht="15.75" x14ac:dyDescent="0.25">
      <c r="A241" s="436">
        <v>22.2</v>
      </c>
      <c r="B241" s="436">
        <v>2</v>
      </c>
      <c r="C241" s="437">
        <v>5.0999999999999996</v>
      </c>
      <c r="D241" s="436" t="s">
        <v>6322</v>
      </c>
      <c r="E241" s="437">
        <v>54</v>
      </c>
      <c r="F241" s="441">
        <v>37079.531999999999</v>
      </c>
      <c r="G241" s="433" t="s">
        <v>1830</v>
      </c>
    </row>
    <row r="242" spans="1:7" ht="15.75" x14ac:dyDescent="0.25">
      <c r="A242" s="436">
        <v>22.2</v>
      </c>
      <c r="B242" s="436">
        <v>2</v>
      </c>
      <c r="C242" s="437">
        <v>5.9509999999999996</v>
      </c>
      <c r="D242" s="436" t="s">
        <v>6322</v>
      </c>
      <c r="E242" s="437">
        <v>54</v>
      </c>
      <c r="F242" s="441">
        <v>65224.972999999998</v>
      </c>
      <c r="G242" s="433" t="s">
        <v>1830</v>
      </c>
    </row>
    <row r="243" spans="1:7" ht="15.75" x14ac:dyDescent="0.25">
      <c r="A243" s="436">
        <v>25.4</v>
      </c>
      <c r="B243" s="436">
        <v>1.6</v>
      </c>
      <c r="C243" s="437">
        <v>6</v>
      </c>
      <c r="D243" s="436" t="s">
        <v>6322</v>
      </c>
      <c r="E243" s="437">
        <v>54</v>
      </c>
      <c r="F243" s="441">
        <v>2327.0360000000001</v>
      </c>
      <c r="G243" s="433" t="s">
        <v>1830</v>
      </c>
    </row>
    <row r="244" spans="1:7" ht="15.75" x14ac:dyDescent="0.25">
      <c r="A244" s="436">
        <v>25.4</v>
      </c>
      <c r="B244" s="436">
        <v>2.5</v>
      </c>
      <c r="C244" s="437">
        <v>5.53</v>
      </c>
      <c r="D244" s="436" t="s">
        <v>6322</v>
      </c>
      <c r="E244" s="437">
        <v>54</v>
      </c>
      <c r="F244" s="441">
        <v>2190.6779999999999</v>
      </c>
      <c r="G244" s="433" t="s">
        <v>1830</v>
      </c>
    </row>
    <row r="245" spans="1:7" ht="15.75" x14ac:dyDescent="0.25">
      <c r="A245" s="436">
        <v>32</v>
      </c>
      <c r="B245" s="436">
        <v>4.5</v>
      </c>
      <c r="C245" s="437">
        <v>6.4</v>
      </c>
      <c r="D245" s="436" t="s">
        <v>6324</v>
      </c>
      <c r="E245" s="437">
        <v>93</v>
      </c>
      <c r="F245" s="441">
        <v>839.87599999999998</v>
      </c>
      <c r="G245" s="433" t="s">
        <v>1830</v>
      </c>
    </row>
    <row r="246" spans="1:7" ht="15.75" x14ac:dyDescent="0.25">
      <c r="A246" s="436">
        <v>38.1</v>
      </c>
      <c r="B246" s="436">
        <v>1.6</v>
      </c>
      <c r="C246" s="437">
        <v>6.19</v>
      </c>
      <c r="D246" s="436" t="s">
        <v>6322</v>
      </c>
      <c r="E246" s="437">
        <v>202</v>
      </c>
      <c r="F246" s="441">
        <v>2879.5450000000001</v>
      </c>
      <c r="G246" s="433" t="s">
        <v>1830</v>
      </c>
    </row>
    <row r="247" spans="1:7" ht="15.75" x14ac:dyDescent="0.25">
      <c r="A247" s="436">
        <v>38.1</v>
      </c>
      <c r="B247" s="436">
        <v>2.5</v>
      </c>
      <c r="C247" s="437">
        <v>6.19</v>
      </c>
      <c r="D247" s="436" t="s">
        <v>6322</v>
      </c>
      <c r="E247" s="437">
        <v>55</v>
      </c>
      <c r="F247" s="441">
        <v>92873.979000000007</v>
      </c>
      <c r="G247" s="433" t="s">
        <v>1830</v>
      </c>
    </row>
    <row r="248" spans="1:7" ht="37.5" x14ac:dyDescent="0.25">
      <c r="A248" s="439">
        <v>39.799999999999997</v>
      </c>
      <c r="B248" s="439">
        <v>5.8</v>
      </c>
      <c r="C248" s="439">
        <v>6.6</v>
      </c>
      <c r="D248" s="439"/>
      <c r="E248" s="439"/>
      <c r="F248" s="442">
        <v>19258.2</v>
      </c>
      <c r="G248" s="440" t="s">
        <v>6325</v>
      </c>
    </row>
    <row r="249" spans="1:7" ht="15.75" x14ac:dyDescent="0.25">
      <c r="A249" s="436">
        <v>41.28</v>
      </c>
      <c r="B249" s="436">
        <v>2.6</v>
      </c>
      <c r="C249" s="437">
        <v>6.08</v>
      </c>
      <c r="D249" s="436" t="s">
        <v>6322</v>
      </c>
      <c r="E249" s="437">
        <v>54</v>
      </c>
      <c r="F249" s="441">
        <v>1085.6880000000001</v>
      </c>
      <c r="G249" s="433" t="s">
        <v>1830</v>
      </c>
    </row>
    <row r="250" spans="1:7" ht="15.75" x14ac:dyDescent="0.25">
      <c r="A250" s="436">
        <v>41.28</v>
      </c>
      <c r="B250" s="436">
        <v>3.15</v>
      </c>
      <c r="C250" s="437">
        <v>5.86</v>
      </c>
      <c r="D250" s="436" t="s">
        <v>6322</v>
      </c>
      <c r="E250" s="437">
        <v>54</v>
      </c>
      <c r="F250" s="441">
        <v>32003.455000000002</v>
      </c>
      <c r="G250" s="433" t="s">
        <v>1830</v>
      </c>
    </row>
    <row r="251" spans="1:7" ht="15.75" x14ac:dyDescent="0.25">
      <c r="A251" s="436">
        <v>48.6</v>
      </c>
      <c r="B251" s="436">
        <v>2.2999999999999998</v>
      </c>
      <c r="C251" s="437">
        <v>6.27</v>
      </c>
      <c r="D251" s="436" t="s">
        <v>6322</v>
      </c>
      <c r="E251" s="437">
        <v>55</v>
      </c>
      <c r="F251" s="441">
        <v>3109.4479999999999</v>
      </c>
      <c r="G251" s="433" t="s">
        <v>1830</v>
      </c>
    </row>
    <row r="252" spans="1:7" ht="15.75" x14ac:dyDescent="0.25">
      <c r="A252" s="436">
        <v>48.6</v>
      </c>
      <c r="B252" s="436">
        <v>2.2999999999999998</v>
      </c>
      <c r="C252" s="437">
        <v>6.55</v>
      </c>
      <c r="D252" s="436" t="s">
        <v>6322</v>
      </c>
      <c r="E252" s="437">
        <v>55</v>
      </c>
      <c r="F252" s="441">
        <v>11014.652</v>
      </c>
      <c r="G252" s="433" t="s">
        <v>1830</v>
      </c>
    </row>
    <row r="253" spans="1:7" ht="15.75" x14ac:dyDescent="0.25">
      <c r="A253" s="436">
        <v>57.15</v>
      </c>
      <c r="B253" s="436">
        <v>2.5</v>
      </c>
      <c r="C253" s="437">
        <v>5.7110000000000003</v>
      </c>
      <c r="D253" s="436" t="s">
        <v>6322</v>
      </c>
      <c r="E253" s="437">
        <v>54</v>
      </c>
      <c r="F253" s="441">
        <v>11233.749</v>
      </c>
      <c r="G253" s="433" t="s">
        <v>1830</v>
      </c>
    </row>
    <row r="254" spans="1:7" ht="15.75" x14ac:dyDescent="0.25">
      <c r="A254" s="436">
        <v>57.15</v>
      </c>
      <c r="B254" s="436">
        <v>2.5</v>
      </c>
      <c r="C254" s="437">
        <v>5.95</v>
      </c>
      <c r="D254" s="436" t="s">
        <v>6322</v>
      </c>
      <c r="E254" s="437">
        <v>54</v>
      </c>
      <c r="F254" s="441">
        <v>29846.988000000001</v>
      </c>
      <c r="G254" s="433" t="s">
        <v>1830</v>
      </c>
    </row>
    <row r="255" spans="1:7" ht="15.75" x14ac:dyDescent="0.25">
      <c r="A255" s="436">
        <v>57.15</v>
      </c>
      <c r="B255" s="436">
        <v>2.5</v>
      </c>
      <c r="C255" s="437">
        <v>6.1</v>
      </c>
      <c r="D255" s="436" t="s">
        <v>6322</v>
      </c>
      <c r="E255" s="437">
        <v>54</v>
      </c>
      <c r="F255" s="441">
        <v>1126.7190000000001</v>
      </c>
      <c r="G255" s="433" t="s">
        <v>1830</v>
      </c>
    </row>
  </sheetData>
  <autoFilter ref="A82:H149" xr:uid="{846F765C-3F14-471A-B2EF-3C0FA4D1C96D}"/>
  <phoneticPr fontId="13" type="noConversion"/>
  <conditionalFormatting sqref="L34">
    <cfRule type="duplicateValues" dxfId="56" priority="2"/>
  </conditionalFormatting>
  <conditionalFormatting sqref="M2:P32 M34:P68 M33 O33:P33">
    <cfRule type="duplicateValues" dxfId="55" priority="366"/>
  </conditionalFormatting>
  <conditionalFormatting sqref="N33">
    <cfRule type="duplicateValues" dxfId="54" priority="1"/>
  </conditionalFormatting>
  <pageMargins left="0.7" right="0.7" top="0.75" bottom="0.75" header="0.3" footer="0.3"/>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78057-339F-4A4A-B00B-F94F7A6D6674}">
  <sheetPr>
    <tabColor rgb="FF00B0F0"/>
  </sheetPr>
  <dimension ref="A1:AG129"/>
  <sheetViews>
    <sheetView topLeftCell="T1" zoomScale="96" zoomScaleNormal="96" workbookViewId="0">
      <pane ySplit="1" topLeftCell="A2" activePane="bottomLeft" state="frozen"/>
      <selection activeCell="M1" sqref="M1:U1"/>
      <selection pane="bottomLeft" activeCell="M1" sqref="M1:U1"/>
    </sheetView>
  </sheetViews>
  <sheetFormatPr defaultRowHeight="15" outlineLevelCol="1" x14ac:dyDescent="0.25"/>
  <cols>
    <col min="2" max="3" width="15.28515625" customWidth="1"/>
    <col min="4" max="4" width="9.28515625" customWidth="1"/>
    <col min="5" max="5" width="7.5703125" bestFit="1" customWidth="1"/>
    <col min="6" max="6" width="8.42578125" customWidth="1"/>
    <col min="7" max="7" width="9.28515625" customWidth="1"/>
    <col min="8" max="8" width="3" customWidth="1"/>
    <col min="9" max="9" width="7" customWidth="1"/>
    <col min="10" max="10" width="7.28515625" customWidth="1"/>
    <col min="11" max="11" width="6" customWidth="1"/>
    <col min="12" max="12" width="23.85546875" bestFit="1" customWidth="1"/>
    <col min="13" max="13" width="19.28515625" customWidth="1"/>
    <col min="14" max="14" width="23.28515625" style="199" customWidth="1"/>
    <col min="15" max="15" width="14.28515625" bestFit="1" customWidth="1"/>
    <col min="16" max="16" width="21.5703125" customWidth="1"/>
    <col min="17" max="17" width="16.5703125" customWidth="1" outlineLevel="1"/>
    <col min="18" max="18" width="10.85546875" customWidth="1" outlineLevel="1"/>
    <col min="19" max="19" width="25.85546875" customWidth="1" outlineLevel="1"/>
    <col min="20" max="20" width="11.5703125" customWidth="1" outlineLevel="1"/>
    <col min="21" max="21" width="31.5703125" customWidth="1" outlineLevel="1"/>
    <col min="22" max="22" width="32.5703125" style="162" customWidth="1" outlineLevel="1"/>
    <col min="23" max="23" width="34.42578125" style="174" customWidth="1" outlineLevel="1"/>
    <col min="24" max="24" width="12.5703125" customWidth="1" outlineLevel="1"/>
    <col min="25" max="25" width="11.28515625" customWidth="1" outlineLevel="1"/>
    <col min="26" max="27" width="9.140625" customWidth="1" outlineLevel="1"/>
    <col min="33" max="33" width="26.42578125" bestFit="1" customWidth="1"/>
  </cols>
  <sheetData>
    <row r="1" spans="1:33" ht="60" x14ac:dyDescent="0.25">
      <c r="A1" s="268" t="s">
        <v>2</v>
      </c>
      <c r="B1" s="269" t="s">
        <v>312</v>
      </c>
      <c r="C1" s="269" t="s">
        <v>258</v>
      </c>
      <c r="D1" s="270" t="s">
        <v>313</v>
      </c>
      <c r="E1" s="271" t="s">
        <v>314</v>
      </c>
      <c r="F1" s="269" t="s">
        <v>315</v>
      </c>
      <c r="G1" s="272" t="s">
        <v>316</v>
      </c>
      <c r="H1" s="272" t="s">
        <v>317</v>
      </c>
      <c r="I1" s="272" t="s">
        <v>318</v>
      </c>
      <c r="J1" s="269" t="s">
        <v>319</v>
      </c>
      <c r="K1" s="271" t="s">
        <v>320</v>
      </c>
      <c r="L1" s="269" t="s">
        <v>202</v>
      </c>
      <c r="M1" s="269" t="s">
        <v>261</v>
      </c>
      <c r="N1" s="269" t="s">
        <v>321</v>
      </c>
      <c r="O1" s="269" t="s">
        <v>322</v>
      </c>
      <c r="P1" s="273" t="s">
        <v>323</v>
      </c>
      <c r="Q1" s="274" t="s">
        <v>324</v>
      </c>
      <c r="R1" s="271" t="s">
        <v>325</v>
      </c>
      <c r="S1" s="275" t="s">
        <v>6326</v>
      </c>
      <c r="T1" s="271" t="s">
        <v>327</v>
      </c>
      <c r="U1" s="271" t="s">
        <v>6327</v>
      </c>
      <c r="V1" s="271" t="s">
        <v>329</v>
      </c>
      <c r="W1" s="271" t="s">
        <v>330</v>
      </c>
      <c r="X1" s="276" t="s">
        <v>6328</v>
      </c>
      <c r="Y1" s="276" t="s">
        <v>6329</v>
      </c>
      <c r="Z1" s="277" t="s">
        <v>333</v>
      </c>
      <c r="AA1" s="420" t="s">
        <v>6330</v>
      </c>
      <c r="AB1" s="472" t="s">
        <v>335</v>
      </c>
      <c r="AC1" s="472" t="s">
        <v>6331</v>
      </c>
      <c r="AD1" s="473" t="s">
        <v>1806</v>
      </c>
    </row>
    <row r="2" spans="1:33" hidden="1" x14ac:dyDescent="0.25">
      <c r="A2" s="265" t="s">
        <v>10</v>
      </c>
      <c r="B2" s="147">
        <v>943209</v>
      </c>
      <c r="C2" s="147" t="s">
        <v>116</v>
      </c>
      <c r="D2" s="147" t="s">
        <v>1079</v>
      </c>
      <c r="E2" s="147" t="s">
        <v>339</v>
      </c>
      <c r="F2" s="147" t="s">
        <v>1024</v>
      </c>
      <c r="G2" s="148">
        <v>11</v>
      </c>
      <c r="H2" s="148"/>
      <c r="I2" s="148">
        <v>1.5</v>
      </c>
      <c r="J2" s="147">
        <v>6000</v>
      </c>
      <c r="K2" s="147">
        <v>6</v>
      </c>
      <c r="L2" s="147" t="str">
        <f>_xlfn.CONCAT(G2,I2,K2,F2,E2)</f>
        <v>111.56CEW NON FIN</v>
      </c>
      <c r="M2" s="147" t="str">
        <f>VLOOKUP(Table5[[#This Row],[Key]],aug[[#All],[Key]:[Bucket CTL]],2,0)</f>
        <v>No Key</v>
      </c>
      <c r="N2" s="147" t="str">
        <f>VLOOKUP(Table5[[#This Row],[Key]],aug[[#All],[Key]:[Bucket CTL]],3,0)</f>
        <v>No Key</v>
      </c>
      <c r="O2" s="149" t="b">
        <f>VLOOKUP(L2,aug[[#All],[Key]:[TSL Material Code]],7,0)</f>
        <v>1</v>
      </c>
      <c r="P2" s="149" t="str">
        <f>VLOOKUP(L2,aug[[#All],[Key]:[TSL Material Code]],8,0)</f>
        <v>0788</v>
      </c>
      <c r="Q2" s="19">
        <v>1</v>
      </c>
      <c r="R2" s="147">
        <v>0</v>
      </c>
      <c r="S2" s="147">
        <v>0</v>
      </c>
      <c r="T2" s="147"/>
      <c r="U2" s="147">
        <f>S2-R2</f>
        <v>0</v>
      </c>
      <c r="V2" s="147">
        <v>0</v>
      </c>
      <c r="W2" s="147">
        <f>U2+V2</f>
        <v>0</v>
      </c>
      <c r="X2" s="19">
        <f>Q2-W2</f>
        <v>1</v>
      </c>
      <c r="Y2" s="167">
        <v>0</v>
      </c>
      <c r="Z2" s="19">
        <f>SUMIFS(meghsteelsales_previousmonth[Quantity],meghsteelsales_previousmonth[Length Bucket],Table5[[#This Row],[Bucket CTL]])/1000</f>
        <v>0</v>
      </c>
      <c r="AA2" s="419">
        <f>SUMIFS(meghsteelsales_currentmonth[Quantity],meghsteelsales_currentmonth[Length Bucket],Table5[[#This Row],[Bucket CTL]])/1000</f>
        <v>0</v>
      </c>
      <c r="AB2">
        <f>Table5[[#This Row],[ INDENT  FOR SEP-25 recommended]]+Table5[[#This Row],[order logg ]]</f>
        <v>0</v>
      </c>
      <c r="AC2" s="52">
        <f>Table5[[#This Row],[Before 20th]]+Table5[[#This Row],[after 20th]]</f>
        <v>0</v>
      </c>
      <c r="AD2" s="52">
        <f>IF((Table5[[#This Row],[Total Indent]]-Table5[[#This Row],[Total Dispatched]])&lt;0,0,Table5[[#This Row],[Total Indent]]-Table5[[#This Row],[Total Dispatched]])</f>
        <v>0</v>
      </c>
      <c r="AG2" t="str" cm="1">
        <f t="array" ref="AG2:AG5">_xlfn._xlws.FILTER(Table5[Key],ISNA(_xlfn.XMATCH(Table5[Key],aug[Key])))</f>
        <v>34.931.20.65ERWFIN CUT</v>
      </c>
    </row>
    <row r="3" spans="1:33" hidden="1" x14ac:dyDescent="0.25">
      <c r="A3" s="265" t="s">
        <v>10</v>
      </c>
      <c r="B3" s="147">
        <v>943209</v>
      </c>
      <c r="C3" s="147" t="s">
        <v>116</v>
      </c>
      <c r="D3" s="147" t="s">
        <v>338</v>
      </c>
      <c r="E3" s="147" t="s">
        <v>339</v>
      </c>
      <c r="F3" s="147" t="s">
        <v>340</v>
      </c>
      <c r="G3" s="148">
        <v>12.7</v>
      </c>
      <c r="H3" s="148"/>
      <c r="I3" s="148">
        <v>1.2</v>
      </c>
      <c r="J3" s="147">
        <v>6000</v>
      </c>
      <c r="K3" s="147">
        <v>6</v>
      </c>
      <c r="L3" s="147" t="str">
        <f t="shared" ref="L3:L66" si="0">_xlfn.CONCAT(G3,I3,K3,F3,E3)</f>
        <v>12.71.26ERWNON FIN</v>
      </c>
      <c r="M3" s="147" t="str">
        <f>VLOOKUP(Table5[[#This Row],[Key]],aug[[#All],[Key]:[Bucket CTL]],2,0)</f>
        <v>No Key</v>
      </c>
      <c r="N3" s="147" t="str">
        <f>VLOOKUP(Table5[[#This Row],[Key]],aug[[#All],[Key]:[Bucket CTL]],3,0)</f>
        <v>No Key</v>
      </c>
      <c r="O3" s="149" t="b">
        <f>VLOOKUP(L3,aug[[#All],[Key]:[TSL Material Code]],7,0)</f>
        <v>1</v>
      </c>
      <c r="P3" s="149" t="str">
        <f>VLOOKUP(L3,aug[[#All],[Key]:[TSL Material Code]],8,0)</f>
        <v>0789</v>
      </c>
      <c r="Q3" s="19">
        <v>10</v>
      </c>
      <c r="R3" s="147">
        <v>5</v>
      </c>
      <c r="S3" s="147">
        <v>7</v>
      </c>
      <c r="T3" s="147"/>
      <c r="U3" s="147">
        <f t="shared" ref="U3:U67" si="1">S3-R3</f>
        <v>2</v>
      </c>
      <c r="V3" s="147"/>
      <c r="W3" s="147">
        <f t="shared" ref="W3:W69" si="2">U3+V3</f>
        <v>2</v>
      </c>
      <c r="X3" s="19">
        <f>Q3-W3</f>
        <v>8</v>
      </c>
      <c r="Y3" s="167">
        <v>24</v>
      </c>
      <c r="Z3" s="19">
        <f>SUMIFS(meghsteelsales_previousmonth[Quantity],meghsteelsales_previousmonth[Length Bucket],Table5[[#This Row],[Bucket CTL]])/1000</f>
        <v>0</v>
      </c>
      <c r="AA3" s="419">
        <f>SUMIFS(meghsteelsales_currentmonth[Quantity],meghsteelsales_currentmonth[Length Bucket],Table5[[#This Row],[Bucket CTL]])/1000</f>
        <v>0</v>
      </c>
      <c r="AB3">
        <f>Table5[[#This Row],[ INDENT  FOR SEP-25 recommended]]+Table5[[#This Row],[order logg ]]</f>
        <v>24</v>
      </c>
      <c r="AC3" s="52">
        <f>Table5[[#This Row],[Before 20th]]+Table5[[#This Row],[after 20th]]</f>
        <v>0</v>
      </c>
      <c r="AD3" s="52">
        <f>IF((Table5[[#This Row],[Total Indent]]-Table5[[#This Row],[Total Dispatched]])&lt;0,0,Table5[[#This Row],[Total Indent]]-Table5[[#This Row],[Total Dispatched]])</f>
        <v>24</v>
      </c>
      <c r="AG3" t="str">
        <v>38.13.26ERWFIN CUT</v>
      </c>
    </row>
    <row r="4" spans="1:33" x14ac:dyDescent="0.25">
      <c r="A4" s="265" t="s">
        <v>341</v>
      </c>
      <c r="B4" s="147">
        <v>943210</v>
      </c>
      <c r="C4" s="147" t="s">
        <v>342</v>
      </c>
      <c r="D4" s="147" t="s">
        <v>338</v>
      </c>
      <c r="E4" s="147" t="s">
        <v>339</v>
      </c>
      <c r="F4" s="147" t="s">
        <v>340</v>
      </c>
      <c r="G4" s="148">
        <v>12.7</v>
      </c>
      <c r="H4" s="148"/>
      <c r="I4" s="148">
        <v>1.4</v>
      </c>
      <c r="J4" s="147">
        <v>6000</v>
      </c>
      <c r="K4" s="147">
        <v>6</v>
      </c>
      <c r="L4" s="147" t="str">
        <f t="shared" si="0"/>
        <v>12.71.46ERWNON FIN</v>
      </c>
      <c r="M4" s="147" t="str">
        <f>VLOOKUP(Table5[[#This Row],[Key]],aug[[#All],[Key]:[Bucket CTL]],2,0)</f>
        <v>No Key</v>
      </c>
      <c r="N4" s="147" t="str">
        <f>VLOOKUP(Table5[[#This Row],[Key]],aug[[#All],[Key]:[Bucket CTL]],3,0)</f>
        <v>No Key</v>
      </c>
      <c r="O4" s="149" t="b">
        <f>VLOOKUP(L4,aug[[#All],[Key]:[TSL Material Code]],7,0)</f>
        <v>1</v>
      </c>
      <c r="P4" s="149" t="str">
        <f>VLOOKUP(L4,aug[[#All],[Key]:[TSL Material Code]],8,0)</f>
        <v>0789</v>
      </c>
      <c r="Q4" s="19">
        <v>5</v>
      </c>
      <c r="R4" s="147">
        <v>0</v>
      </c>
      <c r="S4" s="147">
        <v>7</v>
      </c>
      <c r="T4" s="147"/>
      <c r="U4" s="147">
        <f t="shared" si="1"/>
        <v>7</v>
      </c>
      <c r="V4" s="147"/>
      <c r="W4" s="147">
        <f t="shared" si="2"/>
        <v>7</v>
      </c>
      <c r="X4" s="19">
        <f t="shared" ref="X4:X69" si="3">Q4-W4</f>
        <v>-2</v>
      </c>
      <c r="Y4" s="167">
        <f t="shared" ref="Y4:Y66" si="4">IF(X4&gt;0,X4,0)*150%</f>
        <v>0</v>
      </c>
      <c r="Z4" s="19">
        <f>SUMIFS(meghsteelsales_previousmonth[Quantity],meghsteelsales_previousmonth[Length Bucket],Table5[[#This Row],[Bucket CTL]])/1000</f>
        <v>0</v>
      </c>
      <c r="AA4" s="419">
        <f>SUMIFS(meghsteelsales_currentmonth[Quantity],meghsteelsales_currentmonth[Length Bucket],Table5[[#This Row],[Bucket CTL]])/1000</f>
        <v>0</v>
      </c>
      <c r="AB4">
        <f>Table5[[#This Row],[ INDENT  FOR SEP-25 recommended]]+Table5[[#This Row],[order logg ]]</f>
        <v>0</v>
      </c>
      <c r="AC4" s="52">
        <f>Table5[[#This Row],[Before 20th]]+Table5[[#This Row],[after 20th]]</f>
        <v>0</v>
      </c>
      <c r="AD4" s="52">
        <f>IF((Table5[[#This Row],[Total Indent]]-Table5[[#This Row],[Total Dispatched]])&lt;0,0,Table5[[#This Row],[Total Indent]]-Table5[[#This Row],[Total Dispatched]])</f>
        <v>0</v>
      </c>
      <c r="AG4" t="str">
        <v>453.56.1CEW-1FIN CUT</v>
      </c>
    </row>
    <row r="5" spans="1:33" hidden="1" x14ac:dyDescent="0.25">
      <c r="A5" s="265" t="s">
        <v>341</v>
      </c>
      <c r="B5" s="147">
        <v>943210</v>
      </c>
      <c r="C5" s="147" t="s">
        <v>342</v>
      </c>
      <c r="D5" s="147" t="s">
        <v>338</v>
      </c>
      <c r="E5" s="147" t="s">
        <v>339</v>
      </c>
      <c r="F5" s="147" t="s">
        <v>340</v>
      </c>
      <c r="G5" s="148">
        <v>12.7</v>
      </c>
      <c r="H5" s="148"/>
      <c r="I5" s="148">
        <v>1.6</v>
      </c>
      <c r="J5" s="147">
        <v>6000</v>
      </c>
      <c r="K5" s="147">
        <v>6</v>
      </c>
      <c r="L5" s="147" t="str">
        <f t="shared" si="0"/>
        <v>12.71.66ERWNON FIN</v>
      </c>
      <c r="M5" s="147" t="s">
        <v>398</v>
      </c>
      <c r="N5" s="147" t="s">
        <v>6155</v>
      </c>
      <c r="O5" s="149" t="b">
        <f>VLOOKUP(L5,aug[[#All],[Key]:[TSL Material Code]],7,0)</f>
        <v>1</v>
      </c>
      <c r="P5" s="149" t="str">
        <f>VLOOKUP(L5,aug[[#All],[Key]:[TSL Material Code]],8,0)</f>
        <v>0789</v>
      </c>
      <c r="Q5" s="19">
        <v>2</v>
      </c>
      <c r="R5" s="147">
        <v>1</v>
      </c>
      <c r="S5" s="147">
        <v>4</v>
      </c>
      <c r="T5" s="147"/>
      <c r="U5" s="147">
        <f t="shared" si="1"/>
        <v>3</v>
      </c>
      <c r="V5" s="147"/>
      <c r="W5" s="147">
        <f t="shared" si="2"/>
        <v>3</v>
      </c>
      <c r="X5" s="19">
        <f t="shared" si="3"/>
        <v>-1</v>
      </c>
      <c r="Y5" s="167">
        <f t="shared" si="4"/>
        <v>0</v>
      </c>
      <c r="Z5" s="19">
        <f>SUMIFS(meghsteelsales_previousmonth[Quantity],meghsteelsales_previousmonth[Length Bucket],Table5[[#This Row],[Bucket CTL]])/1000</f>
        <v>7.1989999999999998</v>
      </c>
      <c r="AA5" s="419">
        <f>SUMIFS(meghsteelsales_currentmonth[Quantity],meghsteelsales_currentmonth[Length Bucket],Table5[[#This Row],[Bucket CTL]])/1000</f>
        <v>10.210000000000001</v>
      </c>
      <c r="AB5">
        <f>Table5[[#This Row],[ INDENT  FOR SEP-25 recommended]]+Table5[[#This Row],[order logg ]]</f>
        <v>0</v>
      </c>
      <c r="AC5" s="52">
        <f>Table5[[#This Row],[Before 20th]]+Table5[[#This Row],[after 20th]]</f>
        <v>17.408999999999999</v>
      </c>
      <c r="AD5" s="52">
        <f>IF((Table5[[#This Row],[Total Indent]]-Table5[[#This Row],[Total Dispatched]])&lt;0,0,Table5[[#This Row],[Total Indent]]-Table5[[#This Row],[Total Dispatched]])</f>
        <v>0</v>
      </c>
      <c r="AG5" t="str">
        <v>57.152.55.75ERWFIN CUT</v>
      </c>
    </row>
    <row r="6" spans="1:33" hidden="1" x14ac:dyDescent="0.25">
      <c r="A6" s="265" t="s">
        <v>10</v>
      </c>
      <c r="B6" s="147">
        <v>943209</v>
      </c>
      <c r="C6" s="147" t="s">
        <v>116</v>
      </c>
      <c r="D6" s="147" t="s">
        <v>338</v>
      </c>
      <c r="E6" s="147" t="s">
        <v>339</v>
      </c>
      <c r="F6" s="147" t="s">
        <v>340</v>
      </c>
      <c r="G6" s="148">
        <v>12.7</v>
      </c>
      <c r="H6" s="148"/>
      <c r="I6" s="148">
        <v>2</v>
      </c>
      <c r="J6" s="147">
        <v>6000</v>
      </c>
      <c r="K6" s="147">
        <v>6</v>
      </c>
      <c r="L6" s="147" t="str">
        <f t="shared" si="0"/>
        <v>12.726ERWNON FIN</v>
      </c>
      <c r="M6" s="147">
        <f>VLOOKUP(Table5[[#This Row],[Key]],aug[[#All],[Key]:[Bucket CTL]],2,0)</f>
        <v>0</v>
      </c>
      <c r="N6" s="147" t="e">
        <f>VLOOKUP(Table5[[#This Row],[Key]],aug[[#All],[Key]:[Bucket CTL]],3,0)</f>
        <v>#N/A</v>
      </c>
      <c r="O6" s="149" t="b">
        <f>VLOOKUP(L6,aug[[#All],[Key]:[TSL Material Code]],7,0)</f>
        <v>1</v>
      </c>
      <c r="P6" s="149" t="str">
        <f>VLOOKUP(L6,aug[[#All],[Key]:[TSL Material Code]],8,0)</f>
        <v>0789</v>
      </c>
      <c r="Q6" s="19">
        <v>3</v>
      </c>
      <c r="R6" s="147">
        <v>0</v>
      </c>
      <c r="S6" s="147">
        <v>0</v>
      </c>
      <c r="T6" s="147"/>
      <c r="U6" s="147">
        <f t="shared" si="1"/>
        <v>0</v>
      </c>
      <c r="V6" s="147"/>
      <c r="W6" s="147">
        <f t="shared" si="2"/>
        <v>0</v>
      </c>
      <c r="X6" s="19">
        <f t="shared" si="3"/>
        <v>3</v>
      </c>
      <c r="Y6" s="167">
        <f t="shared" si="4"/>
        <v>4.5</v>
      </c>
      <c r="Z6" s="19">
        <f>SUMIFS(meghsteelsales_previousmonth[Quantity],meghsteelsales_previousmonth[Length Bucket],Table5[[#This Row],[Bucket CTL]])/1000</f>
        <v>0</v>
      </c>
      <c r="AA6" s="419">
        <f>SUMIFS(meghsteelsales_currentmonth[Quantity],meghsteelsales_currentmonth[Length Bucket],Table5[[#This Row],[Bucket CTL]])/1000</f>
        <v>0</v>
      </c>
      <c r="AB6">
        <f>Table5[[#This Row],[ INDENT  FOR SEP-25 recommended]]+Table5[[#This Row],[order logg ]]</f>
        <v>4.5</v>
      </c>
      <c r="AC6" s="52">
        <f>Table5[[#This Row],[Before 20th]]+Table5[[#This Row],[after 20th]]</f>
        <v>0</v>
      </c>
      <c r="AD6" s="52">
        <f>IF((Table5[[#This Row],[Total Indent]]-Table5[[#This Row],[Total Dispatched]])&lt;0,0,Table5[[#This Row],[Total Indent]]-Table5[[#This Row],[Total Dispatched]])</f>
        <v>4.5</v>
      </c>
    </row>
    <row r="7" spans="1:33" hidden="1" x14ac:dyDescent="0.25">
      <c r="A7" s="265" t="s">
        <v>341</v>
      </c>
      <c r="B7" s="147">
        <v>943210</v>
      </c>
      <c r="C7" s="147" t="s">
        <v>342</v>
      </c>
      <c r="D7" s="147" t="s">
        <v>338</v>
      </c>
      <c r="E7" s="147" t="s">
        <v>339</v>
      </c>
      <c r="F7" s="147" t="s">
        <v>340</v>
      </c>
      <c r="G7" s="148">
        <v>15.88</v>
      </c>
      <c r="H7" s="148"/>
      <c r="I7" s="148">
        <v>1</v>
      </c>
      <c r="J7" s="147">
        <v>6000</v>
      </c>
      <c r="K7" s="147">
        <v>6</v>
      </c>
      <c r="L7" s="147" t="str">
        <f t="shared" si="0"/>
        <v>15.8816ERWNON FIN</v>
      </c>
      <c r="M7" s="147" t="str">
        <f>VLOOKUP(Table5[[#This Row],[Key]],aug[[#All],[Key]:[Bucket CTL]],2,0)</f>
        <v>15.88-0-1-ERW 1-PE</v>
      </c>
      <c r="N7" s="147" t="str">
        <f>VLOOKUP(Table5[[#This Row],[Key]],aug[[#All],[Key]:[Bucket CTL]],3,0)</f>
        <v>15.88-0-1-ERW 1-PE-6</v>
      </c>
      <c r="O7" s="149" t="b">
        <f>VLOOKUP(L7,aug[[#All],[Key]:[TSL Material Code]],7,0)</f>
        <v>1</v>
      </c>
      <c r="P7" s="149" t="str">
        <f>VLOOKUP(L7,aug[[#All],[Key]:[TSL Material Code]],8,0)</f>
        <v>0789</v>
      </c>
      <c r="Q7" s="19">
        <v>1</v>
      </c>
      <c r="R7" s="147">
        <v>0</v>
      </c>
      <c r="S7" s="147">
        <v>1.4</v>
      </c>
      <c r="T7" s="147"/>
      <c r="U7" s="147">
        <f t="shared" si="1"/>
        <v>1.4</v>
      </c>
      <c r="V7" s="147"/>
      <c r="W7" s="147">
        <f t="shared" si="2"/>
        <v>1.4</v>
      </c>
      <c r="X7" s="19">
        <f t="shared" si="3"/>
        <v>-0.39999999999999991</v>
      </c>
      <c r="Y7" s="167">
        <f t="shared" si="4"/>
        <v>0</v>
      </c>
      <c r="Z7" s="19">
        <f>SUMIFS(meghsteelsales_previousmonth[Quantity],meghsteelsales_previousmonth[Length Bucket],Table5[[#This Row],[Bucket CTL]])/1000</f>
        <v>0</v>
      </c>
      <c r="AA7" s="419">
        <f>SUMIFS(meghsteelsales_currentmonth[Quantity],meghsteelsales_currentmonth[Length Bucket],Table5[[#This Row],[Bucket CTL]])/1000</f>
        <v>0</v>
      </c>
      <c r="AB7">
        <f>Table5[[#This Row],[ INDENT  FOR SEP-25 recommended]]+Table5[[#This Row],[order logg ]]</f>
        <v>0</v>
      </c>
      <c r="AC7" s="52">
        <f>Table5[[#This Row],[Before 20th]]+Table5[[#This Row],[after 20th]]</f>
        <v>0</v>
      </c>
      <c r="AD7" s="52">
        <f>IF((Table5[[#This Row],[Total Indent]]-Table5[[#This Row],[Total Dispatched]])&lt;0,0,Table5[[#This Row],[Total Indent]]-Table5[[#This Row],[Total Dispatched]])</f>
        <v>0</v>
      </c>
    </row>
    <row r="8" spans="1:33" hidden="1" x14ac:dyDescent="0.25">
      <c r="A8" s="265" t="s">
        <v>10</v>
      </c>
      <c r="B8" s="147">
        <v>943209</v>
      </c>
      <c r="C8" s="147" t="s">
        <v>116</v>
      </c>
      <c r="D8" s="147" t="s">
        <v>338</v>
      </c>
      <c r="E8" s="147" t="s">
        <v>339</v>
      </c>
      <c r="F8" s="147" t="s">
        <v>340</v>
      </c>
      <c r="G8" s="148">
        <v>15.88</v>
      </c>
      <c r="H8" s="148"/>
      <c r="I8" s="148">
        <v>1.2</v>
      </c>
      <c r="J8" s="147">
        <v>6000</v>
      </c>
      <c r="K8" s="147">
        <v>6</v>
      </c>
      <c r="L8" s="147" t="str">
        <f t="shared" si="0"/>
        <v>15.881.26ERWNON FIN</v>
      </c>
      <c r="M8" s="147" t="str">
        <f>VLOOKUP(Table5[[#This Row],[Key]],aug[[#All],[Key]:[Bucket CTL]],2,0)</f>
        <v>15.88-0-1-ERW 1-PE</v>
      </c>
      <c r="N8" s="147" t="str">
        <f>VLOOKUP(Table5[[#This Row],[Key]],aug[[#All],[Key]:[Bucket CTL]],3,0)</f>
        <v>15.88-0-1-ERW 1-PE-6</v>
      </c>
      <c r="O8" s="149" t="b">
        <f>VLOOKUP(L8,aug[[#All],[Key]:[TSL Material Code]],7,0)</f>
        <v>1</v>
      </c>
      <c r="P8" s="149" t="str">
        <f>VLOOKUP(L8,aug[[#All],[Key]:[TSL Material Code]],8,0)</f>
        <v>0789</v>
      </c>
      <c r="Q8" s="19">
        <v>10</v>
      </c>
      <c r="R8" s="147">
        <v>0</v>
      </c>
      <c r="S8" s="147">
        <v>0</v>
      </c>
      <c r="T8" s="147"/>
      <c r="U8" s="147">
        <f t="shared" si="1"/>
        <v>0</v>
      </c>
      <c r="V8" s="147"/>
      <c r="W8" s="147">
        <f t="shared" si="2"/>
        <v>0</v>
      </c>
      <c r="X8" s="19">
        <f t="shared" si="3"/>
        <v>10</v>
      </c>
      <c r="Y8" s="167">
        <v>12</v>
      </c>
      <c r="Z8" s="19">
        <f>SUMIFS(meghsteelsales_previousmonth[Quantity],meghsteelsales_previousmonth[Length Bucket],Table5[[#This Row],[Bucket CTL]])/1000</f>
        <v>0</v>
      </c>
      <c r="AA8" s="419">
        <f>SUMIFS(meghsteelsales_currentmonth[Quantity],meghsteelsales_currentmonth[Length Bucket],Table5[[#This Row],[Bucket CTL]])/1000</f>
        <v>0</v>
      </c>
      <c r="AB8">
        <f>Table5[[#This Row],[ INDENT  FOR SEP-25 recommended]]+Table5[[#This Row],[order logg ]]</f>
        <v>12</v>
      </c>
      <c r="AC8" s="52">
        <f>Table5[[#This Row],[Before 20th]]+Table5[[#This Row],[after 20th]]</f>
        <v>0</v>
      </c>
      <c r="AD8" s="52">
        <f>IF((Table5[[#This Row],[Total Indent]]-Table5[[#This Row],[Total Dispatched]])&lt;0,0,Table5[[#This Row],[Total Indent]]-Table5[[#This Row],[Total Dispatched]])</f>
        <v>12</v>
      </c>
    </row>
    <row r="9" spans="1:33" hidden="1" x14ac:dyDescent="0.25">
      <c r="A9" s="265" t="s">
        <v>341</v>
      </c>
      <c r="B9" s="147">
        <v>943210</v>
      </c>
      <c r="C9" s="147" t="s">
        <v>342</v>
      </c>
      <c r="D9" s="147" t="s">
        <v>338</v>
      </c>
      <c r="E9" s="147" t="s">
        <v>339</v>
      </c>
      <c r="F9" s="147" t="s">
        <v>340</v>
      </c>
      <c r="G9" s="148">
        <v>15.88</v>
      </c>
      <c r="H9" s="148"/>
      <c r="I9" s="148">
        <v>1.6</v>
      </c>
      <c r="J9" s="147">
        <v>6000</v>
      </c>
      <c r="K9" s="147">
        <v>6</v>
      </c>
      <c r="L9" s="147" t="str">
        <f t="shared" si="0"/>
        <v>15.881.66ERWNON FIN</v>
      </c>
      <c r="M9" s="147" t="str">
        <f>VLOOKUP(Table5[[#This Row],[Key]],aug[[#All],[Key]:[Bucket CTL]],2,0)</f>
        <v>15.88-0-1.6-ERW 1-PE</v>
      </c>
      <c r="N9" s="147" t="str">
        <f>VLOOKUP(Table5[[#This Row],[Key]],aug[[#All],[Key]:[Bucket CTL]],3,0)</f>
        <v>15.88-0-1.6-ERW 1-PE-6</v>
      </c>
      <c r="O9" s="149" t="b">
        <f>VLOOKUP(L9,aug[[#All],[Key]:[TSL Material Code]],7,0)</f>
        <v>1</v>
      </c>
      <c r="P9" s="149" t="str">
        <f>VLOOKUP(L9,aug[[#All],[Key]:[TSL Material Code]],8,0)</f>
        <v>0789</v>
      </c>
      <c r="Q9" s="19">
        <v>2</v>
      </c>
      <c r="R9" s="147">
        <v>0</v>
      </c>
      <c r="S9" s="147">
        <v>2.5</v>
      </c>
      <c r="T9" s="147"/>
      <c r="U9" s="147">
        <f t="shared" si="1"/>
        <v>2.5</v>
      </c>
      <c r="V9" s="147"/>
      <c r="W9" s="147">
        <f t="shared" si="2"/>
        <v>2.5</v>
      </c>
      <c r="X9" s="19">
        <f t="shared" si="3"/>
        <v>-0.5</v>
      </c>
      <c r="Y9" s="167">
        <f t="shared" si="4"/>
        <v>0</v>
      </c>
      <c r="Z9" s="19">
        <f>SUMIFS(meghsteelsales_previousmonth[Quantity],meghsteelsales_previousmonth[Length Bucket],Table5[[#This Row],[Bucket CTL]])/1000</f>
        <v>0</v>
      </c>
      <c r="AA9" s="419">
        <f>SUMIFS(meghsteelsales_currentmonth[Quantity],meghsteelsales_currentmonth[Length Bucket],Table5[[#This Row],[Bucket CTL]])/1000</f>
        <v>0</v>
      </c>
      <c r="AB9">
        <f>Table5[[#This Row],[ INDENT  FOR SEP-25 recommended]]+Table5[[#This Row],[order logg ]]</f>
        <v>0</v>
      </c>
      <c r="AC9" s="52">
        <f>Table5[[#This Row],[Before 20th]]+Table5[[#This Row],[after 20th]]</f>
        <v>0</v>
      </c>
      <c r="AD9" s="52">
        <f>IF((Table5[[#This Row],[Total Indent]]-Table5[[#This Row],[Total Dispatched]])&lt;0,0,Table5[[#This Row],[Total Indent]]-Table5[[#This Row],[Total Dispatched]])</f>
        <v>0</v>
      </c>
    </row>
    <row r="10" spans="1:33" hidden="1" x14ac:dyDescent="0.25">
      <c r="A10" s="265" t="s">
        <v>341</v>
      </c>
      <c r="B10" s="147">
        <v>943210</v>
      </c>
      <c r="C10" s="147" t="s">
        <v>342</v>
      </c>
      <c r="D10" s="147" t="s">
        <v>338</v>
      </c>
      <c r="E10" s="147" t="s">
        <v>339</v>
      </c>
      <c r="F10" s="147" t="s">
        <v>340</v>
      </c>
      <c r="G10" s="148">
        <v>15.88</v>
      </c>
      <c r="H10" s="148"/>
      <c r="I10" s="148">
        <v>2</v>
      </c>
      <c r="J10" s="147">
        <v>6000</v>
      </c>
      <c r="K10" s="147">
        <v>6</v>
      </c>
      <c r="L10" s="147" t="str">
        <f t="shared" si="0"/>
        <v>15.8826ERWNON FIN</v>
      </c>
      <c r="M10" s="147" t="str">
        <f>VLOOKUP(Table5[[#This Row],[Key]],aug[[#All],[Key]:[Bucket CTL]],2,0)</f>
        <v>15.88-0-2-ERW 1-PE</v>
      </c>
      <c r="N10" s="147" t="str">
        <f>VLOOKUP(Table5[[#This Row],[Key]],aug[[#All],[Key]:[Bucket CTL]],3,0)</f>
        <v>15.88-0-2-ERW 1-PE-6</v>
      </c>
      <c r="O10" s="149" t="b">
        <f>VLOOKUP(L10,aug[[#All],[Key]:[TSL Material Code]],7,0)</f>
        <v>1</v>
      </c>
      <c r="P10" s="149" t="str">
        <f>VLOOKUP(L10,aug[[#All],[Key]:[TSL Material Code]],8,0)</f>
        <v>0789</v>
      </c>
      <c r="Q10" s="19">
        <v>5</v>
      </c>
      <c r="R10" s="147">
        <v>2</v>
      </c>
      <c r="S10" s="147">
        <v>2</v>
      </c>
      <c r="T10" s="147"/>
      <c r="U10" s="147">
        <f t="shared" si="1"/>
        <v>0</v>
      </c>
      <c r="V10" s="147"/>
      <c r="W10" s="147">
        <f t="shared" si="2"/>
        <v>0</v>
      </c>
      <c r="X10" s="19">
        <f t="shared" si="3"/>
        <v>5</v>
      </c>
      <c r="Y10" s="167">
        <v>6</v>
      </c>
      <c r="Z10" s="19">
        <f>SUMIFS(meghsteelsales_previousmonth[Quantity],meghsteelsales_previousmonth[Length Bucket],Table5[[#This Row],[Bucket CTL]])/1000</f>
        <v>0</v>
      </c>
      <c r="AA10" s="419">
        <f>SUMIFS(meghsteelsales_currentmonth[Quantity],meghsteelsales_currentmonth[Length Bucket],Table5[[#This Row],[Bucket CTL]])/1000</f>
        <v>0</v>
      </c>
      <c r="AB10">
        <f>Table5[[#This Row],[ INDENT  FOR SEP-25 recommended]]+Table5[[#This Row],[order logg ]]</f>
        <v>6</v>
      </c>
      <c r="AC10" s="52">
        <f>Table5[[#This Row],[Before 20th]]+Table5[[#This Row],[after 20th]]</f>
        <v>0</v>
      </c>
      <c r="AD10" s="52">
        <f>IF((Table5[[#This Row],[Total Indent]]-Table5[[#This Row],[Total Dispatched]])&lt;0,0,Table5[[#This Row],[Total Indent]]-Table5[[#This Row],[Total Dispatched]])</f>
        <v>6</v>
      </c>
    </row>
    <row r="11" spans="1:33" hidden="1" x14ac:dyDescent="0.25">
      <c r="A11" s="265" t="s">
        <v>10</v>
      </c>
      <c r="B11" s="147">
        <v>943209</v>
      </c>
      <c r="C11" s="147" t="s">
        <v>343</v>
      </c>
      <c r="D11" s="147" t="s">
        <v>338</v>
      </c>
      <c r="E11" s="147" t="s">
        <v>339</v>
      </c>
      <c r="F11" s="147" t="s">
        <v>340</v>
      </c>
      <c r="G11" s="148">
        <v>18.3</v>
      </c>
      <c r="H11" s="148"/>
      <c r="I11" s="148">
        <v>1</v>
      </c>
      <c r="J11" s="147">
        <v>6000</v>
      </c>
      <c r="K11" s="147">
        <v>6</v>
      </c>
      <c r="L11" s="147" t="str">
        <f t="shared" si="0"/>
        <v>18.316ERWNON FIN</v>
      </c>
      <c r="M11" s="147">
        <f>VLOOKUP(Table5[[#This Row],[Key]],aug[[#All],[Key]:[Bucket CTL]],2,0)</f>
        <v>0</v>
      </c>
      <c r="N11" s="147" t="e">
        <f>VLOOKUP(Table5[[#This Row],[Key]],aug[[#All],[Key]:[Bucket CTL]],3,0)</f>
        <v>#N/A</v>
      </c>
      <c r="O11" s="149" t="b">
        <f>VLOOKUP(L11,aug[[#All],[Key]:[TSL Material Code]],7,0)</f>
        <v>1</v>
      </c>
      <c r="P11" s="149" t="str">
        <f>VLOOKUP(L11,aug[[#All],[Key]:[TSL Material Code]],8,0)</f>
        <v>0789</v>
      </c>
      <c r="Q11" s="19">
        <v>10</v>
      </c>
      <c r="R11" s="147">
        <v>2</v>
      </c>
      <c r="S11" s="147">
        <v>2</v>
      </c>
      <c r="T11" s="147"/>
      <c r="U11" s="147">
        <f t="shared" si="1"/>
        <v>0</v>
      </c>
      <c r="V11" s="147"/>
      <c r="W11" s="147">
        <f t="shared" si="2"/>
        <v>0</v>
      </c>
      <c r="X11" s="19">
        <f t="shared" si="3"/>
        <v>10</v>
      </c>
      <c r="Y11" s="167">
        <f t="shared" si="4"/>
        <v>15</v>
      </c>
      <c r="Z11" s="19">
        <f>SUMIFS(meghsteelsales_previousmonth[Quantity],meghsteelsales_previousmonth[Length Bucket],Table5[[#This Row],[Bucket CTL]])/1000</f>
        <v>0</v>
      </c>
      <c r="AA11" s="419">
        <f>SUMIFS(meghsteelsales_currentmonth[Quantity],meghsteelsales_currentmonth[Length Bucket],Table5[[#This Row],[Bucket CTL]])/1000</f>
        <v>0</v>
      </c>
      <c r="AB11">
        <f>Table5[[#This Row],[ INDENT  FOR SEP-25 recommended]]+Table5[[#This Row],[order logg ]]</f>
        <v>15</v>
      </c>
      <c r="AC11" s="52">
        <f>Table5[[#This Row],[Before 20th]]+Table5[[#This Row],[after 20th]]</f>
        <v>0</v>
      </c>
      <c r="AD11" s="52">
        <f>IF((Table5[[#This Row],[Total Indent]]-Table5[[#This Row],[Total Dispatched]])&lt;0,0,Table5[[#This Row],[Total Indent]]-Table5[[#This Row],[Total Dispatched]])</f>
        <v>15</v>
      </c>
    </row>
    <row r="12" spans="1:33" hidden="1" x14ac:dyDescent="0.25">
      <c r="A12" s="265" t="s">
        <v>341</v>
      </c>
      <c r="B12" s="147">
        <v>943210</v>
      </c>
      <c r="C12" s="147" t="s">
        <v>342</v>
      </c>
      <c r="D12" s="153" t="s">
        <v>338</v>
      </c>
      <c r="E12" s="147" t="s">
        <v>339</v>
      </c>
      <c r="F12" s="147" t="s">
        <v>340</v>
      </c>
      <c r="G12" s="148">
        <v>19.05</v>
      </c>
      <c r="H12" s="148"/>
      <c r="I12" s="148">
        <v>1.6</v>
      </c>
      <c r="J12" s="147">
        <v>6000</v>
      </c>
      <c r="K12" s="147">
        <v>6</v>
      </c>
      <c r="L12" s="147" t="str">
        <f t="shared" si="0"/>
        <v>19.051.66ERWNON FIN</v>
      </c>
      <c r="M12" s="147" t="str">
        <f>VLOOKUP(Table5[[#This Row],[Key]],aug[[#All],[Key]:[Bucket CTL]],2,0)</f>
        <v>19.05-0-1.6-ERW 1-PE</v>
      </c>
      <c r="N12" s="147" t="str">
        <f>VLOOKUP(Table5[[#This Row],[Key]],aug[[#All],[Key]:[Bucket CTL]],3,0)</f>
        <v>19.05-0-1.6-ERW 1-PE-6</v>
      </c>
      <c r="O12" s="149" t="b">
        <f>VLOOKUP(L12,aug[[#All],[Key]:[TSL Material Code]],7,0)</f>
        <v>1</v>
      </c>
      <c r="P12" s="149" t="str">
        <f>VLOOKUP(L12,aug[[#All],[Key]:[TSL Material Code]],8,0)</f>
        <v>056</v>
      </c>
      <c r="Q12" s="19">
        <v>10</v>
      </c>
      <c r="R12" s="147">
        <v>6</v>
      </c>
      <c r="S12" s="147">
        <v>7</v>
      </c>
      <c r="T12" s="147"/>
      <c r="U12" s="147">
        <f t="shared" si="1"/>
        <v>1</v>
      </c>
      <c r="V12" s="147">
        <v>15</v>
      </c>
      <c r="W12" s="147">
        <f t="shared" si="2"/>
        <v>16</v>
      </c>
      <c r="X12" s="19">
        <f t="shared" si="3"/>
        <v>-6</v>
      </c>
      <c r="Y12" s="167">
        <f t="shared" si="4"/>
        <v>0</v>
      </c>
      <c r="Z12" s="19">
        <f>SUMIFS(meghsteelsales_previousmonth[Quantity],meghsteelsales_previousmonth[Length Bucket],Table5[[#This Row],[Bucket CTL]])/1000</f>
        <v>10.74</v>
      </c>
      <c r="AA12" s="419">
        <f>SUMIFS(meghsteelsales_currentmonth[Quantity],meghsteelsales_currentmonth[Length Bucket],Table5[[#This Row],[Bucket CTL]])/1000</f>
        <v>12.04182</v>
      </c>
      <c r="AB12">
        <f>Table5[[#This Row],[ INDENT  FOR SEP-25 recommended]]+Table5[[#This Row],[order logg ]]</f>
        <v>15</v>
      </c>
      <c r="AC12" s="52">
        <f>Table5[[#This Row],[Before 20th]]+Table5[[#This Row],[after 20th]]</f>
        <v>22.78182</v>
      </c>
      <c r="AD12" s="52">
        <f>IF((Table5[[#This Row],[Total Indent]]-Table5[[#This Row],[Total Dispatched]])&lt;0,0,Table5[[#This Row],[Total Indent]]-Table5[[#This Row],[Total Dispatched]])</f>
        <v>0</v>
      </c>
    </row>
    <row r="13" spans="1:33" x14ac:dyDescent="0.25">
      <c r="A13" s="265" t="s">
        <v>341</v>
      </c>
      <c r="B13" s="147">
        <v>943210</v>
      </c>
      <c r="C13" s="147" t="s">
        <v>342</v>
      </c>
      <c r="D13" s="147" t="s">
        <v>344</v>
      </c>
      <c r="E13" s="147" t="s">
        <v>339</v>
      </c>
      <c r="F13" s="147" t="s">
        <v>344</v>
      </c>
      <c r="G13" s="148">
        <v>19.05</v>
      </c>
      <c r="H13" s="148"/>
      <c r="I13" s="148">
        <v>1.4</v>
      </c>
      <c r="J13" s="147">
        <v>6000</v>
      </c>
      <c r="K13" s="147">
        <v>6</v>
      </c>
      <c r="L13" s="147" t="str">
        <f t="shared" si="0"/>
        <v>19.051.46ERW2NON FIN</v>
      </c>
      <c r="M13" s="147" t="str">
        <f>VLOOKUP(Table5[[#This Row],[Key]],aug[[#All],[Key]:[Bucket CTL]],2,0)</f>
        <v>No Key</v>
      </c>
      <c r="N13" s="147" t="str">
        <f>VLOOKUP(Table5[[#This Row],[Key]],aug[[#All],[Key]:[Bucket CTL]],3,0)</f>
        <v>No Key</v>
      </c>
      <c r="O13" s="149" t="b">
        <f>VLOOKUP(L13,aug[[#All],[Key]:[TSL Material Code]],7,0)</f>
        <v>1</v>
      </c>
      <c r="P13" s="149" t="str">
        <f>VLOOKUP(L13,aug[[#All],[Key]:[TSL Material Code]],8,0)</f>
        <v>056</v>
      </c>
      <c r="Q13" s="19">
        <v>5</v>
      </c>
      <c r="R13" s="147">
        <v>0</v>
      </c>
      <c r="S13" s="147">
        <v>0</v>
      </c>
      <c r="T13" s="147"/>
      <c r="U13" s="147">
        <f t="shared" si="1"/>
        <v>0</v>
      </c>
      <c r="V13" s="147">
        <v>17</v>
      </c>
      <c r="W13" s="147">
        <f t="shared" si="2"/>
        <v>17</v>
      </c>
      <c r="X13" s="19">
        <f t="shared" si="3"/>
        <v>-12</v>
      </c>
      <c r="Y13" s="167">
        <f t="shared" si="4"/>
        <v>0</v>
      </c>
      <c r="Z13" s="19">
        <f>SUMIFS(meghsteelsales_previousmonth[Quantity],meghsteelsales_previousmonth[Length Bucket],Table5[[#This Row],[Bucket CTL]])/1000</f>
        <v>0</v>
      </c>
      <c r="AA13" s="419">
        <f>SUMIFS(meghsteelsales_currentmonth[Quantity],meghsteelsales_currentmonth[Length Bucket],Table5[[#This Row],[Bucket CTL]])/1000</f>
        <v>0</v>
      </c>
      <c r="AB13">
        <f>Table5[[#This Row],[ INDENT  FOR SEP-25 recommended]]+Table5[[#This Row],[order logg ]]</f>
        <v>17</v>
      </c>
      <c r="AC13" s="52">
        <f>Table5[[#This Row],[Before 20th]]+Table5[[#This Row],[after 20th]]</f>
        <v>0</v>
      </c>
      <c r="AD13" s="52">
        <f>IF((Table5[[#This Row],[Total Indent]]-Table5[[#This Row],[Total Dispatched]])&lt;0,0,Table5[[#This Row],[Total Indent]]-Table5[[#This Row],[Total Dispatched]])</f>
        <v>17</v>
      </c>
    </row>
    <row r="14" spans="1:33" hidden="1" x14ac:dyDescent="0.25">
      <c r="A14" s="265" t="s">
        <v>10</v>
      </c>
      <c r="B14" s="147">
        <v>943209</v>
      </c>
      <c r="C14" s="147" t="s">
        <v>116</v>
      </c>
      <c r="D14" s="153" t="s">
        <v>338</v>
      </c>
      <c r="E14" s="147" t="s">
        <v>339</v>
      </c>
      <c r="F14" s="147" t="s">
        <v>340</v>
      </c>
      <c r="G14" s="154">
        <v>19.05</v>
      </c>
      <c r="H14" s="154"/>
      <c r="I14" s="154">
        <v>2</v>
      </c>
      <c r="J14" s="155">
        <v>5800</v>
      </c>
      <c r="K14" s="147">
        <v>5.8</v>
      </c>
      <c r="L14" s="147" t="str">
        <f t="shared" si="0"/>
        <v>19.0525.8ERWNON FIN</v>
      </c>
      <c r="M14" s="147" t="str">
        <f>VLOOKUP(Table5[[#This Row],[Key]],aug[[#All],[Key]:[Bucket CTL]],2,0)</f>
        <v>19.05-0-2-ERW 1-PE</v>
      </c>
      <c r="N14" s="147" t="str">
        <f>VLOOKUP(Table5[[#This Row],[Key]],aug[[#All],[Key]:[Bucket CTL]],3,0)</f>
        <v>19.05-0-2-ERW 1-PE-5.8</v>
      </c>
      <c r="O14" s="149" t="b">
        <f>VLOOKUP(L14,aug[[#All],[Key]:[TSL Material Code]],7,0)</f>
        <v>1</v>
      </c>
      <c r="P14" s="149" t="str">
        <f>VLOOKUP(L14,aug[[#All],[Key]:[TSL Material Code]],8,0)</f>
        <v>056</v>
      </c>
      <c r="Q14" s="19">
        <v>35</v>
      </c>
      <c r="R14" s="147">
        <v>20</v>
      </c>
      <c r="S14" s="147">
        <v>50</v>
      </c>
      <c r="T14" s="147"/>
      <c r="U14" s="147">
        <f t="shared" si="1"/>
        <v>30</v>
      </c>
      <c r="V14" s="147">
        <v>4</v>
      </c>
      <c r="W14" s="147">
        <f t="shared" si="2"/>
        <v>34</v>
      </c>
      <c r="X14" s="19">
        <f t="shared" si="3"/>
        <v>1</v>
      </c>
      <c r="Y14" s="167">
        <f t="shared" si="4"/>
        <v>1.5</v>
      </c>
      <c r="Z14" s="19">
        <f>SUMIFS(meghsteelsales_previousmonth[Quantity],meghsteelsales_previousmonth[Length Bucket],Table5[[#This Row],[Bucket CTL]])/1000</f>
        <v>0</v>
      </c>
      <c r="AA14" s="419">
        <f>SUMIFS(meghsteelsales_currentmonth[Quantity],meghsteelsales_currentmonth[Length Bucket],Table5[[#This Row],[Bucket CTL]])/1000</f>
        <v>0</v>
      </c>
      <c r="AB14">
        <f>Table5[[#This Row],[ INDENT  FOR SEP-25 recommended]]+Table5[[#This Row],[order logg ]]</f>
        <v>5.5</v>
      </c>
      <c r="AC14" s="52">
        <f>Table5[[#This Row],[Before 20th]]+Table5[[#This Row],[after 20th]]</f>
        <v>0</v>
      </c>
      <c r="AD14" s="52">
        <f>IF((Table5[[#This Row],[Total Indent]]-Table5[[#This Row],[Total Dispatched]])&lt;0,0,Table5[[#This Row],[Total Indent]]-Table5[[#This Row],[Total Dispatched]])</f>
        <v>5.5</v>
      </c>
    </row>
    <row r="15" spans="1:33" hidden="1" x14ac:dyDescent="0.25">
      <c r="A15" s="265" t="s">
        <v>10</v>
      </c>
      <c r="B15" s="147">
        <v>943209</v>
      </c>
      <c r="C15" s="147" t="s">
        <v>346</v>
      </c>
      <c r="D15" s="153" t="s">
        <v>338</v>
      </c>
      <c r="E15" s="147" t="s">
        <v>339</v>
      </c>
      <c r="F15" s="147" t="s">
        <v>340</v>
      </c>
      <c r="G15" s="148">
        <v>19.05</v>
      </c>
      <c r="H15" s="148"/>
      <c r="I15" s="148">
        <v>2.2999999999999998</v>
      </c>
      <c r="J15" s="147">
        <v>7000</v>
      </c>
      <c r="K15" s="147">
        <v>7</v>
      </c>
      <c r="L15" s="147" t="str">
        <f t="shared" si="0"/>
        <v>19.052.37ERWNON FIN</v>
      </c>
      <c r="M15" s="147" t="str">
        <f>VLOOKUP(Table5[[#This Row],[Key]],aug[[#All],[Key]:[Bucket CTL]],2,0)</f>
        <v>19.05-0-2.3-ERW 1-PE</v>
      </c>
      <c r="N15" s="147" t="str">
        <f>VLOOKUP(Table5[[#This Row],[Key]],aug[[#All],[Key]:[Bucket CTL]],3,0)</f>
        <v>19.05-0-2.3-ERW 1-PE-7</v>
      </c>
      <c r="O15" s="149" t="b">
        <f>VLOOKUP(L15,aug[[#All],[Key]:[TSL Material Code]],7,0)</f>
        <v>1</v>
      </c>
      <c r="P15" s="149" t="str">
        <f>VLOOKUP(L15,aug[[#All],[Key]:[TSL Material Code]],8,0)</f>
        <v>056</v>
      </c>
      <c r="Q15" s="19">
        <v>20</v>
      </c>
      <c r="R15" s="147">
        <v>7</v>
      </c>
      <c r="S15" s="147">
        <v>7</v>
      </c>
      <c r="T15" s="147"/>
      <c r="U15" s="147">
        <f t="shared" si="1"/>
        <v>0</v>
      </c>
      <c r="V15" s="147">
        <v>1</v>
      </c>
      <c r="W15" s="147">
        <f t="shared" si="2"/>
        <v>1</v>
      </c>
      <c r="X15" s="19">
        <f t="shared" si="3"/>
        <v>19</v>
      </c>
      <c r="Y15" s="167">
        <f t="shared" si="4"/>
        <v>28.5</v>
      </c>
      <c r="Z15" s="19">
        <f>SUMIFS(meghsteelsales_previousmonth[Quantity],meghsteelsales_previousmonth[Length Bucket],Table5[[#This Row],[Bucket CTL]])/1000</f>
        <v>20.52</v>
      </c>
      <c r="AA15" s="419">
        <f>SUMIFS(meghsteelsales_currentmonth[Quantity],meghsteelsales_currentmonth[Length Bucket],Table5[[#This Row],[Bucket CTL]])/1000</f>
        <v>4.2763360000000006</v>
      </c>
      <c r="AB15">
        <f>Table5[[#This Row],[ INDENT  FOR SEP-25 recommended]]+Table5[[#This Row],[order logg ]]</f>
        <v>29.5</v>
      </c>
      <c r="AC15" s="52">
        <f>Table5[[#This Row],[Before 20th]]+Table5[[#This Row],[after 20th]]</f>
        <v>24.796336</v>
      </c>
      <c r="AD15" s="52">
        <f>IF((Table5[[#This Row],[Total Indent]]-Table5[[#This Row],[Total Dispatched]])&lt;0,0,Table5[[#This Row],[Total Indent]]-Table5[[#This Row],[Total Dispatched]])</f>
        <v>4.7036639999999998</v>
      </c>
    </row>
    <row r="16" spans="1:33" hidden="1" x14ac:dyDescent="0.25">
      <c r="A16" s="265" t="s">
        <v>10</v>
      </c>
      <c r="B16" s="147">
        <v>943209</v>
      </c>
      <c r="C16" s="147" t="s">
        <v>116</v>
      </c>
      <c r="D16" s="147" t="s">
        <v>338</v>
      </c>
      <c r="E16" s="147" t="s">
        <v>339</v>
      </c>
      <c r="F16" s="147" t="s">
        <v>340</v>
      </c>
      <c r="G16" s="148">
        <v>21.4</v>
      </c>
      <c r="H16" s="148"/>
      <c r="I16" s="148">
        <v>1.6</v>
      </c>
      <c r="J16" s="147">
        <v>6000</v>
      </c>
      <c r="K16" s="147">
        <v>6</v>
      </c>
      <c r="L16" s="147" t="str">
        <f t="shared" si="0"/>
        <v>21.41.66ERWNON FIN</v>
      </c>
      <c r="M16" s="147" t="str">
        <f>VLOOKUP(Table5[[#This Row],[Key]],aug[[#All],[Key]:[Bucket CTL]],2,0)</f>
        <v>21.4-0-1.6-ERW 1-PE</v>
      </c>
      <c r="N16" s="147" t="str">
        <f>VLOOKUP(Table5[[#This Row],[Key]],aug[[#All],[Key]:[Bucket CTL]],3,0)</f>
        <v>21.4-0-1.6-ERW 1-PE-6</v>
      </c>
      <c r="O16" s="149" t="b">
        <f>VLOOKUP(L16,aug[[#All],[Key]:[TSL Material Code]],7,0)</f>
        <v>1</v>
      </c>
      <c r="P16" s="149" t="str">
        <f>VLOOKUP(L16,aug[[#All],[Key]:[TSL Material Code]],8,0)</f>
        <v>0789</v>
      </c>
      <c r="Q16" s="19">
        <v>10</v>
      </c>
      <c r="R16" s="147">
        <v>2</v>
      </c>
      <c r="S16" s="147">
        <v>5</v>
      </c>
      <c r="T16" s="147"/>
      <c r="U16" s="147">
        <f t="shared" si="1"/>
        <v>3</v>
      </c>
      <c r="V16" s="147"/>
      <c r="W16" s="147">
        <f t="shared" si="2"/>
        <v>3</v>
      </c>
      <c r="X16" s="19">
        <f t="shared" si="3"/>
        <v>7</v>
      </c>
      <c r="Y16" s="167">
        <v>10</v>
      </c>
      <c r="Z16" s="19">
        <f>SUMIFS(meghsteelsales_previousmonth[Quantity],meghsteelsales_previousmonth[Length Bucket],Table5[[#This Row],[Bucket CTL]])/1000</f>
        <v>0</v>
      </c>
      <c r="AA16" s="419">
        <f>SUMIFS(meghsteelsales_currentmonth[Quantity],meghsteelsales_currentmonth[Length Bucket],Table5[[#This Row],[Bucket CTL]])/1000</f>
        <v>0</v>
      </c>
      <c r="AB16">
        <f>Table5[[#This Row],[ INDENT  FOR SEP-25 recommended]]+Table5[[#This Row],[order logg ]]</f>
        <v>10</v>
      </c>
      <c r="AC16" s="52">
        <f>Table5[[#This Row],[Before 20th]]+Table5[[#This Row],[after 20th]]</f>
        <v>0</v>
      </c>
      <c r="AD16" s="52">
        <f>IF((Table5[[#This Row],[Total Indent]]-Table5[[#This Row],[Total Dispatched]])&lt;0,0,Table5[[#This Row],[Total Indent]]-Table5[[#This Row],[Total Dispatched]])</f>
        <v>10</v>
      </c>
    </row>
    <row r="17" spans="1:30" hidden="1" x14ac:dyDescent="0.25">
      <c r="A17" s="265" t="s">
        <v>10</v>
      </c>
      <c r="B17" s="147">
        <v>943209</v>
      </c>
      <c r="C17" s="147" t="s">
        <v>116</v>
      </c>
      <c r="D17" s="153" t="s">
        <v>338</v>
      </c>
      <c r="E17" s="147" t="s">
        <v>339</v>
      </c>
      <c r="F17" s="147" t="s">
        <v>340</v>
      </c>
      <c r="G17" s="148">
        <v>22.2</v>
      </c>
      <c r="H17" s="148"/>
      <c r="I17" s="148">
        <v>1.2</v>
      </c>
      <c r="J17" s="147">
        <v>5870</v>
      </c>
      <c r="K17" s="147">
        <v>5.87</v>
      </c>
      <c r="L17" s="147" t="str">
        <f t="shared" si="0"/>
        <v>22.21.25.87ERWNON FIN</v>
      </c>
      <c r="M17" s="147" t="str">
        <f>VLOOKUP(Table5[[#This Row],[Key]],aug[[#All],[Key]:[Bucket CTL]],2,0)</f>
        <v>22.23-0-1.2-ERW 1-PE</v>
      </c>
      <c r="N17" s="147" t="str">
        <f>VLOOKUP(Table5[[#This Row],[Key]],aug[[#All],[Key]:[Bucket CTL]],3,0)</f>
        <v>22.23-0-1.2-ERW 1-PE-5.87</v>
      </c>
      <c r="O17" s="149" t="b">
        <f>VLOOKUP(L17,aug[[#All],[Key]:[TSL Material Code]],7,0)</f>
        <v>1</v>
      </c>
      <c r="P17" s="149" t="str">
        <f>VLOOKUP(L17,aug[[#All],[Key]:[TSL Material Code]],8,0)</f>
        <v>056</v>
      </c>
      <c r="Q17" s="19">
        <v>20</v>
      </c>
      <c r="R17" s="147">
        <v>10</v>
      </c>
      <c r="S17" s="147">
        <v>17</v>
      </c>
      <c r="T17" s="147">
        <v>15</v>
      </c>
      <c r="U17" s="147">
        <f t="shared" si="1"/>
        <v>7</v>
      </c>
      <c r="V17" s="147">
        <v>16</v>
      </c>
      <c r="W17" s="147">
        <f t="shared" si="2"/>
        <v>23</v>
      </c>
      <c r="X17" s="19">
        <f t="shared" si="3"/>
        <v>-3</v>
      </c>
      <c r="Y17" s="167">
        <f t="shared" si="4"/>
        <v>0</v>
      </c>
      <c r="Z17" s="19">
        <f>SUMIFS(meghsteelsales_previousmonth[Quantity],meghsteelsales_previousmonth[Length Bucket],Table5[[#This Row],[Bucket CTL]])/1000</f>
        <v>7.3276850000000016</v>
      </c>
      <c r="AA17" s="419">
        <f>SUMIFS(meghsteelsales_currentmonth[Quantity],meghsteelsales_currentmonth[Length Bucket],Table5[[#This Row],[Bucket CTL]])/1000</f>
        <v>12.956144999999999</v>
      </c>
      <c r="AB17">
        <f>Table5[[#This Row],[ INDENT  FOR SEP-25 recommended]]+Table5[[#This Row],[order logg ]]</f>
        <v>16</v>
      </c>
      <c r="AC17" s="52">
        <f>Table5[[#This Row],[Before 20th]]+Table5[[#This Row],[after 20th]]</f>
        <v>20.283830000000002</v>
      </c>
      <c r="AD17" s="52">
        <f>IF((Table5[[#This Row],[Total Indent]]-Table5[[#This Row],[Total Dispatched]])&lt;0,0,Table5[[#This Row],[Total Indent]]-Table5[[#This Row],[Total Dispatched]])</f>
        <v>0</v>
      </c>
    </row>
    <row r="18" spans="1:30" x14ac:dyDescent="0.25">
      <c r="A18" s="265" t="s">
        <v>341</v>
      </c>
      <c r="B18" s="147">
        <v>943210</v>
      </c>
      <c r="C18" s="147" t="s">
        <v>342</v>
      </c>
      <c r="D18" s="153" t="s">
        <v>344</v>
      </c>
      <c r="E18" s="147" t="s">
        <v>339</v>
      </c>
      <c r="F18" s="147" t="s">
        <v>347</v>
      </c>
      <c r="G18" s="148">
        <v>22.2</v>
      </c>
      <c r="H18" s="148"/>
      <c r="I18" s="148">
        <v>1.4</v>
      </c>
      <c r="J18" s="147">
        <v>6000</v>
      </c>
      <c r="K18" s="147">
        <v>6</v>
      </c>
      <c r="L18" s="147" t="str">
        <f t="shared" si="0"/>
        <v>22.21.46ERW-2NON FIN</v>
      </c>
      <c r="M18" s="147" t="str">
        <f>VLOOKUP(Table5[[#This Row],[Key]],aug[[#All],[Key]:[Bucket CTL]],2,0)</f>
        <v>No Key</v>
      </c>
      <c r="N18" s="147" t="str">
        <f>VLOOKUP(Table5[[#This Row],[Key]],aug[[#All],[Key]:[Bucket CTL]],3,0)</f>
        <v>No Key</v>
      </c>
      <c r="O18" s="149" t="b">
        <f>VLOOKUP(L18,aug[[#All],[Key]:[TSL Material Code]],7,0)</f>
        <v>1</v>
      </c>
      <c r="P18" s="149" t="str">
        <f>VLOOKUP(L18,aug[[#All],[Key]:[TSL Material Code]],8,0)</f>
        <v>056</v>
      </c>
      <c r="Q18" s="19">
        <v>5</v>
      </c>
      <c r="R18" s="147">
        <v>0</v>
      </c>
      <c r="S18" s="147">
        <v>0</v>
      </c>
      <c r="T18" s="147"/>
      <c r="U18" s="147">
        <f t="shared" si="1"/>
        <v>0</v>
      </c>
      <c r="V18" s="147">
        <v>5.5</v>
      </c>
      <c r="W18" s="147">
        <f t="shared" si="2"/>
        <v>5.5</v>
      </c>
      <c r="X18" s="19">
        <f t="shared" si="3"/>
        <v>-0.5</v>
      </c>
      <c r="Y18" s="167">
        <f t="shared" si="4"/>
        <v>0</v>
      </c>
      <c r="Z18" s="19">
        <f>SUMIFS(meghsteelsales_previousmonth[Quantity],meghsteelsales_previousmonth[Length Bucket],Table5[[#This Row],[Bucket CTL]])/1000</f>
        <v>0</v>
      </c>
      <c r="AA18" s="419">
        <f>SUMIFS(meghsteelsales_currentmonth[Quantity],meghsteelsales_currentmonth[Length Bucket],Table5[[#This Row],[Bucket CTL]])/1000</f>
        <v>0</v>
      </c>
      <c r="AB18">
        <f>Table5[[#This Row],[ INDENT  FOR SEP-25 recommended]]+Table5[[#This Row],[order logg ]]</f>
        <v>5.5</v>
      </c>
      <c r="AC18" s="52">
        <f>Table5[[#This Row],[Before 20th]]+Table5[[#This Row],[after 20th]]</f>
        <v>0</v>
      </c>
      <c r="AD18" s="52">
        <f>IF((Table5[[#This Row],[Total Indent]]-Table5[[#This Row],[Total Dispatched]])&lt;0,0,Table5[[#This Row],[Total Indent]]-Table5[[#This Row],[Total Dispatched]])</f>
        <v>5.5</v>
      </c>
    </row>
    <row r="19" spans="1:30" hidden="1" x14ac:dyDescent="0.25">
      <c r="A19" s="265" t="s">
        <v>10</v>
      </c>
      <c r="B19" s="147">
        <v>943209</v>
      </c>
      <c r="C19" s="147" t="s">
        <v>116</v>
      </c>
      <c r="D19" s="153" t="s">
        <v>338</v>
      </c>
      <c r="E19" s="147" t="s">
        <v>339</v>
      </c>
      <c r="F19" s="147" t="s">
        <v>340</v>
      </c>
      <c r="G19" s="148">
        <v>22.2</v>
      </c>
      <c r="H19" s="148"/>
      <c r="I19" s="148">
        <v>1.6</v>
      </c>
      <c r="J19" s="147">
        <v>5270</v>
      </c>
      <c r="K19" s="147">
        <v>5.27</v>
      </c>
      <c r="L19" s="147" t="str">
        <f t="shared" si="0"/>
        <v>22.21.65.27ERWNON FIN</v>
      </c>
      <c r="M19" s="147" t="str">
        <f>VLOOKUP(Table5[[#This Row],[Key]],aug[[#All],[Key]:[Bucket CTL]],2,0)</f>
        <v>22.23-0-1.6-ERW 1-PE</v>
      </c>
      <c r="N19" s="147" t="str">
        <f>VLOOKUP(Table5[[#This Row],[Key]],aug[[#All],[Key]:[Bucket CTL]],3,0)</f>
        <v>22.23-0-1.6-ERW 1-PE-5.27</v>
      </c>
      <c r="O19" s="149" t="b">
        <f>VLOOKUP(L19,aug[[#All],[Key]:[TSL Material Code]],7,0)</f>
        <v>1</v>
      </c>
      <c r="P19" s="149" t="str">
        <f>VLOOKUP(L19,aug[[#All],[Key]:[TSL Material Code]],8,0)</f>
        <v>0789</v>
      </c>
      <c r="Q19" s="19">
        <v>25</v>
      </c>
      <c r="R19" s="147">
        <v>0</v>
      </c>
      <c r="S19" s="147">
        <v>0</v>
      </c>
      <c r="T19" s="147"/>
      <c r="U19" s="147">
        <f t="shared" si="1"/>
        <v>0</v>
      </c>
      <c r="V19" s="147"/>
      <c r="W19" s="147">
        <f t="shared" si="2"/>
        <v>0</v>
      </c>
      <c r="X19" s="19">
        <f t="shared" si="3"/>
        <v>25</v>
      </c>
      <c r="Y19" s="167">
        <v>40</v>
      </c>
      <c r="Z19" s="19">
        <f>SUMIFS(meghsteelsales_previousmonth[Quantity],meghsteelsales_previousmonth[Length Bucket],Table5[[#This Row],[Bucket CTL]])/1000</f>
        <v>43.08</v>
      </c>
      <c r="AA19" s="419">
        <f>SUMIFS(meghsteelsales_currentmonth[Quantity],meghsteelsales_currentmonth[Length Bucket],Table5[[#This Row],[Bucket CTL]])/1000</f>
        <v>0</v>
      </c>
      <c r="AB19">
        <f>Table5[[#This Row],[ INDENT  FOR SEP-25 recommended]]+Table5[[#This Row],[order logg ]]</f>
        <v>40</v>
      </c>
      <c r="AC19" s="52">
        <f>Table5[[#This Row],[Before 20th]]+Table5[[#This Row],[after 20th]]</f>
        <v>43.08</v>
      </c>
      <c r="AD19" s="52">
        <f>IF((Table5[[#This Row],[Total Indent]]-Table5[[#This Row],[Total Dispatched]])&lt;0,0,Table5[[#This Row],[Total Indent]]-Table5[[#This Row],[Total Dispatched]])</f>
        <v>0</v>
      </c>
    </row>
    <row r="20" spans="1:30" hidden="1" x14ac:dyDescent="0.25">
      <c r="A20" s="265" t="s">
        <v>10</v>
      </c>
      <c r="B20" s="147">
        <v>943209</v>
      </c>
      <c r="C20" s="147" t="s">
        <v>116</v>
      </c>
      <c r="D20" s="153" t="s">
        <v>338</v>
      </c>
      <c r="E20" s="147" t="s">
        <v>339</v>
      </c>
      <c r="F20" s="147" t="s">
        <v>340</v>
      </c>
      <c r="G20" s="148">
        <v>22.2</v>
      </c>
      <c r="H20" s="148"/>
      <c r="I20" s="148">
        <v>1.6</v>
      </c>
      <c r="J20" s="147">
        <v>5670</v>
      </c>
      <c r="K20" s="147">
        <v>5.67</v>
      </c>
      <c r="L20" s="147" t="str">
        <f t="shared" si="0"/>
        <v>22.21.65.67ERWNON FIN</v>
      </c>
      <c r="M20" s="147" t="str">
        <f>VLOOKUP(Table5[[#This Row],[Key]],aug[[#All],[Key]:[Bucket CTL]],2,0)</f>
        <v>22.23-0-1.6-ERW 1-PE</v>
      </c>
      <c r="N20" s="147" t="str">
        <f>VLOOKUP(Table5[[#This Row],[Key]],aug[[#All],[Key]:[Bucket CTL]],3,0)</f>
        <v>22.23-0-1.6-ERW 1-PE-5.67</v>
      </c>
      <c r="O20" s="149" t="b">
        <f>VLOOKUP(L20,aug[[#All],[Key]:[TSL Material Code]],7,0)</f>
        <v>1</v>
      </c>
      <c r="P20" s="149" t="str">
        <f>VLOOKUP(L20,aug[[#All],[Key]:[TSL Material Code]],8,0)</f>
        <v>056</v>
      </c>
      <c r="Q20" s="19">
        <v>40</v>
      </c>
      <c r="R20" s="147">
        <v>20</v>
      </c>
      <c r="S20" s="147">
        <v>30</v>
      </c>
      <c r="T20" s="147">
        <v>17</v>
      </c>
      <c r="U20" s="147">
        <f t="shared" si="1"/>
        <v>10</v>
      </c>
      <c r="V20" s="147">
        <v>20</v>
      </c>
      <c r="W20" s="147">
        <f t="shared" si="2"/>
        <v>30</v>
      </c>
      <c r="X20" s="19">
        <f t="shared" si="3"/>
        <v>10</v>
      </c>
      <c r="Y20" s="167">
        <f t="shared" si="4"/>
        <v>15</v>
      </c>
      <c r="Z20" s="19">
        <f>SUMIFS(meghsteelsales_previousmonth[Quantity],meghsteelsales_previousmonth[Length Bucket],Table5[[#This Row],[Bucket CTL]])/1000</f>
        <v>27.178328</v>
      </c>
      <c r="AA20" s="419">
        <f>SUMIFS(meghsteelsales_currentmonth[Quantity],meghsteelsales_currentmonth[Length Bucket],Table5[[#This Row],[Bucket CTL]])/1000</f>
        <v>1.881885</v>
      </c>
      <c r="AB20">
        <f>Table5[[#This Row],[ INDENT  FOR SEP-25 recommended]]+Table5[[#This Row],[order logg ]]</f>
        <v>35</v>
      </c>
      <c r="AC20" s="52">
        <f>Table5[[#This Row],[Before 20th]]+Table5[[#This Row],[after 20th]]</f>
        <v>29.060213000000001</v>
      </c>
      <c r="AD20" s="52">
        <f>IF((Table5[[#This Row],[Total Indent]]-Table5[[#This Row],[Total Dispatched]])&lt;0,0,Table5[[#This Row],[Total Indent]]-Table5[[#This Row],[Total Dispatched]])</f>
        <v>5.939786999999999</v>
      </c>
    </row>
    <row r="21" spans="1:30" hidden="1" x14ac:dyDescent="0.25">
      <c r="A21" s="265" t="s">
        <v>10</v>
      </c>
      <c r="B21" s="147">
        <v>943209</v>
      </c>
      <c r="C21" s="147" t="s">
        <v>116</v>
      </c>
      <c r="D21" s="155" t="s">
        <v>338</v>
      </c>
      <c r="E21" s="147" t="s">
        <v>339</v>
      </c>
      <c r="F21" s="147" t="s">
        <v>340</v>
      </c>
      <c r="G21" s="154">
        <v>22.2</v>
      </c>
      <c r="H21" s="154"/>
      <c r="I21" s="154">
        <v>2</v>
      </c>
      <c r="J21" s="155">
        <v>5950</v>
      </c>
      <c r="K21" s="147">
        <v>5.95</v>
      </c>
      <c r="L21" s="147" t="str">
        <f t="shared" si="0"/>
        <v>22.225.95ERWNON FIN</v>
      </c>
      <c r="M21" s="147" t="str">
        <f>VLOOKUP(Table5[[#This Row],[Key]],aug[[#All],[Key]:[Bucket CTL]],2,0)</f>
        <v>22.23-0-2-ERW 1-PE</v>
      </c>
      <c r="N21" s="147" t="str">
        <f>VLOOKUP(Table5[[#This Row],[Key]],aug[[#All],[Key]:[Bucket CTL]],3,0)</f>
        <v>22.23-0-2-ERW 1-PE-5.951</v>
      </c>
      <c r="O21" s="149" t="b">
        <f>VLOOKUP(L21,aug[[#All],[Key]:[TSL Material Code]],7,0)</f>
        <v>1</v>
      </c>
      <c r="P21" s="149" t="str">
        <f>VLOOKUP(L21,aug[[#All],[Key]:[TSL Material Code]],8,0)</f>
        <v>056</v>
      </c>
      <c r="Q21" s="19">
        <v>50</v>
      </c>
      <c r="R21" s="147">
        <v>7</v>
      </c>
      <c r="S21" s="147">
        <v>7</v>
      </c>
      <c r="T21" s="147">
        <v>19</v>
      </c>
      <c r="U21" s="147">
        <f t="shared" si="1"/>
        <v>0</v>
      </c>
      <c r="V21" s="147">
        <v>87</v>
      </c>
      <c r="W21" s="147">
        <f t="shared" si="2"/>
        <v>87</v>
      </c>
      <c r="X21" s="19">
        <f t="shared" si="3"/>
        <v>-37</v>
      </c>
      <c r="Y21" s="167">
        <f t="shared" si="4"/>
        <v>0</v>
      </c>
      <c r="Z21" s="19">
        <f>SUMIFS(meghsteelsales_previousmonth[Quantity],meghsteelsales_previousmonth[Length Bucket],Table5[[#This Row],[Bucket CTL]])/1000</f>
        <v>85.542945999999958</v>
      </c>
      <c r="AA21" s="419">
        <f>SUMIFS(meghsteelsales_currentmonth[Quantity],meghsteelsales_currentmonth[Length Bucket],Table5[[#This Row],[Bucket CTL]])/1000</f>
        <v>51.635232000000002</v>
      </c>
      <c r="AB21">
        <f>Table5[[#This Row],[ INDENT  FOR SEP-25 recommended]]+Table5[[#This Row],[order logg ]]</f>
        <v>87</v>
      </c>
      <c r="AC21" s="52">
        <f>Table5[[#This Row],[Before 20th]]+Table5[[#This Row],[after 20th]]</f>
        <v>137.17817799999995</v>
      </c>
      <c r="AD21" s="52">
        <f>IF((Table5[[#This Row],[Total Indent]]-Table5[[#This Row],[Total Dispatched]])&lt;0,0,Table5[[#This Row],[Total Indent]]-Table5[[#This Row],[Total Dispatched]])</f>
        <v>0</v>
      </c>
    </row>
    <row r="22" spans="1:30" hidden="1" x14ac:dyDescent="0.25">
      <c r="A22" s="265" t="s">
        <v>10</v>
      </c>
      <c r="B22" s="147">
        <v>943209</v>
      </c>
      <c r="C22" s="147" t="s">
        <v>116</v>
      </c>
      <c r="D22" s="155" t="s">
        <v>338</v>
      </c>
      <c r="E22" s="147" t="s">
        <v>339</v>
      </c>
      <c r="F22" s="147" t="s">
        <v>340</v>
      </c>
      <c r="G22" s="154">
        <v>22.2</v>
      </c>
      <c r="H22" s="154"/>
      <c r="I22" s="154">
        <v>2</v>
      </c>
      <c r="J22" s="155">
        <v>5100</v>
      </c>
      <c r="K22" s="147">
        <v>5.0999999999999996</v>
      </c>
      <c r="L22" s="147" t="str">
        <f t="shared" si="0"/>
        <v>22.225.1ERWNON FIN</v>
      </c>
      <c r="M22" s="147" t="str">
        <f>VLOOKUP(Table5[[#This Row],[Key]],aug[[#All],[Key]:[Bucket CTL]],2,0)</f>
        <v>22.23-0-2-ERW 1-PE</v>
      </c>
      <c r="N22" s="147" t="str">
        <f>VLOOKUP(Table5[[#This Row],[Key]],aug[[#All],[Key]:[Bucket CTL]],3,0)</f>
        <v>22.23-0-2-ERW 1-PE-5.1</v>
      </c>
      <c r="O22" s="149" t="b">
        <f>VLOOKUP(L22,aug[[#All],[Key]:[TSL Material Code]],7,0)</f>
        <v>1</v>
      </c>
      <c r="P22" s="149" t="str">
        <f>VLOOKUP(L22,aug[[#All],[Key]:[TSL Material Code]],8,0)</f>
        <v>056</v>
      </c>
      <c r="Q22" s="19">
        <v>20</v>
      </c>
      <c r="R22" s="147">
        <v>0</v>
      </c>
      <c r="S22" s="147">
        <v>0</v>
      </c>
      <c r="T22" s="147">
        <v>12</v>
      </c>
      <c r="U22" s="147">
        <f t="shared" si="1"/>
        <v>0</v>
      </c>
      <c r="V22" s="147">
        <v>37</v>
      </c>
      <c r="W22" s="147">
        <f t="shared" si="2"/>
        <v>37</v>
      </c>
      <c r="X22" s="19">
        <f t="shared" si="3"/>
        <v>-17</v>
      </c>
      <c r="Y22" s="167">
        <f t="shared" si="4"/>
        <v>0</v>
      </c>
      <c r="Z22" s="19">
        <f>SUMIFS(meghsteelsales_previousmonth[Quantity],meghsteelsales_previousmonth[Length Bucket],Table5[[#This Row],[Bucket CTL]])/1000</f>
        <v>0</v>
      </c>
      <c r="AA22" s="419">
        <f>SUMIFS(meghsteelsales_currentmonth[Quantity],meghsteelsales_currentmonth[Length Bucket],Table5[[#This Row],[Bucket CTL]])/1000</f>
        <v>0</v>
      </c>
      <c r="AB22">
        <f>Table5[[#This Row],[ INDENT  FOR SEP-25 recommended]]+Table5[[#This Row],[order logg ]]</f>
        <v>37</v>
      </c>
      <c r="AC22" s="52">
        <f>Table5[[#This Row],[Before 20th]]+Table5[[#This Row],[after 20th]]</f>
        <v>0</v>
      </c>
      <c r="AD22" s="52">
        <f>IF((Table5[[#This Row],[Total Indent]]-Table5[[#This Row],[Total Dispatched]])&lt;0,0,Table5[[#This Row],[Total Indent]]-Table5[[#This Row],[Total Dispatched]])</f>
        <v>37</v>
      </c>
    </row>
    <row r="23" spans="1:30" hidden="1" x14ac:dyDescent="0.25">
      <c r="A23" s="265" t="s">
        <v>10</v>
      </c>
      <c r="B23" s="147">
        <v>943209</v>
      </c>
      <c r="C23" s="147" t="s">
        <v>116</v>
      </c>
      <c r="D23" s="147" t="s">
        <v>344</v>
      </c>
      <c r="E23" s="147" t="s">
        <v>348</v>
      </c>
      <c r="F23" s="147" t="s">
        <v>349</v>
      </c>
      <c r="G23" s="148">
        <v>22.2</v>
      </c>
      <c r="H23" s="148"/>
      <c r="I23" s="148">
        <v>2</v>
      </c>
      <c r="J23" s="147">
        <v>6000</v>
      </c>
      <c r="K23" s="147">
        <v>6000</v>
      </c>
      <c r="L23" s="147" t="str">
        <f t="shared" si="0"/>
        <v>22.226000HSTFIN CUT</v>
      </c>
      <c r="M23" s="147" t="str">
        <f>VLOOKUP(Table5[[#This Row],[Key]],aug[[#All],[Key]:[Bucket CTL]],2,0)</f>
        <v>22.23-0-2-ERW 2 MAHS-FC</v>
      </c>
      <c r="N23" s="147" t="str">
        <f>VLOOKUP(Table5[[#This Row],[Key]],aug[[#All],[Key]:[Bucket CTL]],3,0)</f>
        <v>22.23-0-2-ERW 2 MAHS-FC-6.001</v>
      </c>
      <c r="O23" s="149" t="b">
        <f>VLOOKUP(L23,aug[[#All],[Key]:[TSL Material Code]],7,0)</f>
        <v>1</v>
      </c>
      <c r="P23" s="149" t="str">
        <f>VLOOKUP(L23,aug[[#All],[Key]:[TSL Material Code]],8,0)</f>
        <v>056</v>
      </c>
      <c r="Q23" s="19">
        <v>50</v>
      </c>
      <c r="R23" s="147">
        <v>0</v>
      </c>
      <c r="S23" s="147">
        <v>48</v>
      </c>
      <c r="T23" s="147"/>
      <c r="U23" s="147">
        <f t="shared" si="1"/>
        <v>48</v>
      </c>
      <c r="V23" s="147">
        <v>34</v>
      </c>
      <c r="W23" s="147">
        <f t="shared" si="2"/>
        <v>82</v>
      </c>
      <c r="X23" s="19">
        <f t="shared" si="3"/>
        <v>-32</v>
      </c>
      <c r="Y23" s="167">
        <f t="shared" si="4"/>
        <v>0</v>
      </c>
      <c r="Z23" s="19">
        <f>SUMIFS(meghsteelsales_previousmonth[Quantity],meghsteelsales_previousmonth[Length Bucket],Table5[[#This Row],[Bucket CTL]])/1000</f>
        <v>0</v>
      </c>
      <c r="AA23" s="419">
        <f>SUMIFS(meghsteelsales_currentmonth[Quantity],meghsteelsales_currentmonth[Length Bucket],Table5[[#This Row],[Bucket CTL]])/1000</f>
        <v>0</v>
      </c>
      <c r="AB23">
        <f>Table5[[#This Row],[ INDENT  FOR SEP-25 recommended]]+Table5[[#This Row],[order logg ]]</f>
        <v>34</v>
      </c>
      <c r="AC23" s="52">
        <f>Table5[[#This Row],[Before 20th]]+Table5[[#This Row],[after 20th]]</f>
        <v>0</v>
      </c>
      <c r="AD23" s="52">
        <f>IF((Table5[[#This Row],[Total Indent]]-Table5[[#This Row],[Total Dispatched]])&lt;0,0,Table5[[#This Row],[Total Indent]]-Table5[[#This Row],[Total Dispatched]])</f>
        <v>34</v>
      </c>
    </row>
    <row r="24" spans="1:30" hidden="1" x14ac:dyDescent="0.25">
      <c r="A24" s="265" t="s">
        <v>341</v>
      </c>
      <c r="B24" s="147">
        <v>943210</v>
      </c>
      <c r="C24" s="147" t="s">
        <v>342</v>
      </c>
      <c r="D24" s="147" t="s">
        <v>350</v>
      </c>
      <c r="E24" s="147" t="s">
        <v>348</v>
      </c>
      <c r="F24" s="147" t="s">
        <v>351</v>
      </c>
      <c r="G24" s="148">
        <v>22.2</v>
      </c>
      <c r="H24" s="148"/>
      <c r="I24" s="148">
        <v>2</v>
      </c>
      <c r="J24" s="147">
        <v>5390</v>
      </c>
      <c r="K24" s="147">
        <v>5.39</v>
      </c>
      <c r="L24" s="147" t="str">
        <f t="shared" si="0"/>
        <v>22.225.39CR ERW FIN CUT</v>
      </c>
      <c r="M24" s="147" t="str">
        <f>VLOOKUP(Table5[[#This Row],[Key]],aug[[#All],[Key]:[Bucket CTL]],2,0)</f>
        <v>22.23-0-2-ERW 1-FC</v>
      </c>
      <c r="N24" s="147" t="str">
        <f>VLOOKUP(Table5[[#This Row],[Key]],aug[[#All],[Key]:[Bucket CTL]],3,0)</f>
        <v>22.23-0-2-ERW 1-PE-5.39</v>
      </c>
      <c r="O24" s="149" t="b">
        <f>VLOOKUP(L24,aug[[#All],[Key]:[TSL Material Code]],7,0)</f>
        <v>1</v>
      </c>
      <c r="P24" s="149" t="str">
        <f>VLOOKUP(L24,aug[[#All],[Key]:[TSL Material Code]],8,0)</f>
        <v>0789</v>
      </c>
      <c r="Q24" s="19">
        <v>50</v>
      </c>
      <c r="R24" s="147">
        <v>12</v>
      </c>
      <c r="S24" s="147">
        <v>12</v>
      </c>
      <c r="T24" s="147"/>
      <c r="U24" s="147">
        <f t="shared" si="1"/>
        <v>0</v>
      </c>
      <c r="V24" s="147"/>
      <c r="W24" s="147">
        <f t="shared" si="2"/>
        <v>0</v>
      </c>
      <c r="X24" s="19">
        <f t="shared" si="3"/>
        <v>50</v>
      </c>
      <c r="Y24" s="167">
        <v>67</v>
      </c>
      <c r="Z24" s="19">
        <f>SUMIFS(meghsteelsales_previousmonth[Quantity],meghsteelsales_previousmonth[Length Bucket],Table5[[#This Row],[Bucket CTL]])/1000</f>
        <v>4.5</v>
      </c>
      <c r="AA24" s="419">
        <f>SUMIFS(meghsteelsales_currentmonth[Quantity],meghsteelsales_currentmonth[Length Bucket],Table5[[#This Row],[Bucket CTL]])/1000</f>
        <v>22.54</v>
      </c>
      <c r="AB24">
        <f>Table5[[#This Row],[ INDENT  FOR SEP-25 recommended]]+Table5[[#This Row],[order logg ]]</f>
        <v>67</v>
      </c>
      <c r="AC24" s="52">
        <f>Table5[[#This Row],[Before 20th]]+Table5[[#This Row],[after 20th]]</f>
        <v>27.04</v>
      </c>
      <c r="AD24" s="52">
        <f>IF((Table5[[#This Row],[Total Indent]]-Table5[[#This Row],[Total Dispatched]])&lt;0,0,Table5[[#This Row],[Total Indent]]-Table5[[#This Row],[Total Dispatched]])</f>
        <v>39.96</v>
      </c>
    </row>
    <row r="25" spans="1:30" x14ac:dyDescent="0.25">
      <c r="A25" s="265" t="s">
        <v>341</v>
      </c>
      <c r="B25" s="147">
        <v>943210</v>
      </c>
      <c r="C25" s="147" t="s">
        <v>342</v>
      </c>
      <c r="D25" s="153" t="s">
        <v>344</v>
      </c>
      <c r="E25" s="147" t="s">
        <v>348</v>
      </c>
      <c r="F25" s="147" t="s">
        <v>349</v>
      </c>
      <c r="G25" s="148">
        <v>25.4</v>
      </c>
      <c r="H25" s="148"/>
      <c r="I25" s="148">
        <v>1.4</v>
      </c>
      <c r="J25" s="147">
        <v>5531</v>
      </c>
      <c r="K25" s="147">
        <v>5.5309999999999997</v>
      </c>
      <c r="L25" s="147" t="str">
        <f t="shared" si="0"/>
        <v>25.41.45.531HSTFIN CUT</v>
      </c>
      <c r="M25" s="147" t="str">
        <f>VLOOKUP(Table5[[#This Row],[Key]],aug[[#All],[Key]:[Bucket CTL]],2,0)</f>
        <v>25.4-0-1.4-ERW 2-FC</v>
      </c>
      <c r="N25" s="147" t="str">
        <f>VLOOKUP(Table5[[#This Row],[Key]],aug[[#All],[Key]:[Bucket CTL]],3,0)</f>
        <v>25.4-0-1.4-ERW 2-FC-5.531</v>
      </c>
      <c r="O25" s="149" t="b">
        <f>VLOOKUP(L25,aug[[#All],[Key]:[TSL Material Code]],7,0)</f>
        <v>1</v>
      </c>
      <c r="P25" s="149" t="str">
        <f>VLOOKUP(L25,aug[[#All],[Key]:[TSL Material Code]],8,0)</f>
        <v>056</v>
      </c>
      <c r="Q25" s="19">
        <v>15</v>
      </c>
      <c r="R25" s="147">
        <v>0</v>
      </c>
      <c r="S25" s="147">
        <v>0</v>
      </c>
      <c r="T25" s="147"/>
      <c r="U25" s="147">
        <f t="shared" si="1"/>
        <v>0</v>
      </c>
      <c r="V25" s="147">
        <v>13</v>
      </c>
      <c r="W25" s="147">
        <f t="shared" si="2"/>
        <v>13</v>
      </c>
      <c r="X25" s="19">
        <f t="shared" si="3"/>
        <v>2</v>
      </c>
      <c r="Y25" s="167">
        <f t="shared" si="4"/>
        <v>3</v>
      </c>
      <c r="Z25" s="19">
        <f>SUMIFS(meghsteelsales_previousmonth[Quantity],meghsteelsales_previousmonth[Length Bucket],Table5[[#This Row],[Bucket CTL]])/1000</f>
        <v>0</v>
      </c>
      <c r="AA25" s="419">
        <f>SUMIFS(meghsteelsales_currentmonth[Quantity],meghsteelsales_currentmonth[Length Bucket],Table5[[#This Row],[Bucket CTL]])/1000</f>
        <v>0</v>
      </c>
      <c r="AB25">
        <f>Table5[[#This Row],[ INDENT  FOR SEP-25 recommended]]+Table5[[#This Row],[order logg ]]</f>
        <v>16</v>
      </c>
      <c r="AC25" s="52">
        <f>Table5[[#This Row],[Before 20th]]+Table5[[#This Row],[after 20th]]</f>
        <v>0</v>
      </c>
      <c r="AD25" s="52">
        <f>IF((Table5[[#This Row],[Total Indent]]-Table5[[#This Row],[Total Dispatched]])&lt;0,0,Table5[[#This Row],[Total Indent]]-Table5[[#This Row],[Total Dispatched]])</f>
        <v>16</v>
      </c>
    </row>
    <row r="26" spans="1:30" x14ac:dyDescent="0.25">
      <c r="A26" s="265" t="s">
        <v>341</v>
      </c>
      <c r="B26" s="147">
        <v>943210</v>
      </c>
      <c r="C26" s="147" t="s">
        <v>342</v>
      </c>
      <c r="D26" s="153" t="s">
        <v>338</v>
      </c>
      <c r="E26" s="147" t="s">
        <v>348</v>
      </c>
      <c r="F26" s="147" t="s">
        <v>340</v>
      </c>
      <c r="G26" s="148">
        <v>25.4</v>
      </c>
      <c r="H26" s="148"/>
      <c r="I26" s="148">
        <v>1.4</v>
      </c>
      <c r="J26" s="147">
        <v>6060</v>
      </c>
      <c r="K26" s="147">
        <v>6.06</v>
      </c>
      <c r="L26" s="147" t="str">
        <f t="shared" si="0"/>
        <v>25.41.46.06ERWFIN CUT</v>
      </c>
      <c r="M26" s="147" t="str">
        <f>VLOOKUP(Table5[[#This Row],[Key]],aug[[#All],[Key]:[Bucket CTL]],2,0)</f>
        <v>25.4-0-1.4-ERW 1-FC</v>
      </c>
      <c r="N26" s="147" t="str">
        <f>VLOOKUP(Table5[[#This Row],[Key]],aug[[#All],[Key]:[Bucket CTL]],3,0)</f>
        <v>25.4-0-1.4-ERW 1-FC-6.06</v>
      </c>
      <c r="O26" s="149" t="b">
        <f>VLOOKUP(L26,aug[[#All],[Key]:[TSL Material Code]],7,0)</f>
        <v>1</v>
      </c>
      <c r="P26" s="149" t="str">
        <f>VLOOKUP(L26,aug[[#All],[Key]:[TSL Material Code]],8,0)</f>
        <v>0789</v>
      </c>
      <c r="Q26" s="19">
        <v>10</v>
      </c>
      <c r="R26" s="147">
        <v>0</v>
      </c>
      <c r="S26" s="147">
        <v>0</v>
      </c>
      <c r="T26" s="147"/>
      <c r="U26" s="147">
        <f t="shared" si="1"/>
        <v>0</v>
      </c>
      <c r="V26" s="147"/>
      <c r="W26" s="147">
        <f t="shared" si="2"/>
        <v>0</v>
      </c>
      <c r="X26" s="19">
        <f t="shared" si="3"/>
        <v>10</v>
      </c>
      <c r="Y26" s="167">
        <v>61</v>
      </c>
      <c r="Z26" s="19">
        <f>SUMIFS(meghsteelsales_previousmonth[Quantity],meghsteelsales_previousmonth[Length Bucket],Table5[[#This Row],[Bucket CTL]])/1000</f>
        <v>0</v>
      </c>
      <c r="AA26" s="419">
        <f>SUMIFS(meghsteelsales_currentmonth[Quantity],meghsteelsales_currentmonth[Length Bucket],Table5[[#This Row],[Bucket CTL]])/1000</f>
        <v>0</v>
      </c>
      <c r="AB26">
        <f>Table5[[#This Row],[ INDENT  FOR SEP-25 recommended]]+Table5[[#This Row],[order logg ]]</f>
        <v>61</v>
      </c>
      <c r="AC26" s="52">
        <f>Table5[[#This Row],[Before 20th]]+Table5[[#This Row],[after 20th]]</f>
        <v>0</v>
      </c>
      <c r="AD26" s="52">
        <f>IF((Table5[[#This Row],[Total Indent]]-Table5[[#This Row],[Total Dispatched]])&lt;0,0,Table5[[#This Row],[Total Indent]]-Table5[[#This Row],[Total Dispatched]])</f>
        <v>61</v>
      </c>
    </row>
    <row r="27" spans="1:30" hidden="1" x14ac:dyDescent="0.25">
      <c r="A27" s="265" t="s">
        <v>10</v>
      </c>
      <c r="B27" s="147">
        <v>943209</v>
      </c>
      <c r="C27" s="147" t="s">
        <v>116</v>
      </c>
      <c r="D27" s="153" t="s">
        <v>338</v>
      </c>
      <c r="E27" s="147" t="s">
        <v>339</v>
      </c>
      <c r="F27" s="147" t="s">
        <v>340</v>
      </c>
      <c r="G27" s="148">
        <v>25.4</v>
      </c>
      <c r="H27" s="148"/>
      <c r="I27" s="148">
        <v>1.6</v>
      </c>
      <c r="J27" s="147">
        <v>6000</v>
      </c>
      <c r="K27" s="147">
        <v>6</v>
      </c>
      <c r="L27" s="147" t="str">
        <f t="shared" si="0"/>
        <v>25.41.66ERWNON FIN</v>
      </c>
      <c r="M27" s="147" t="str">
        <f>VLOOKUP(Table5[[#This Row],[Key]],aug[[#All],[Key]:[Bucket CTL]],2,0)</f>
        <v>25.4-0-1.6-ERW 1-PE</v>
      </c>
      <c r="N27" s="147" t="str">
        <f>VLOOKUP(Table5[[#This Row],[Key]],aug[[#All],[Key]:[Bucket CTL]],3,0)</f>
        <v>25.4-0-1.6-ERW 1-PE-6</v>
      </c>
      <c r="O27" s="149" t="b">
        <f>VLOOKUP(L27,aug[[#All],[Key]:[TSL Material Code]],7,0)</f>
        <v>1</v>
      </c>
      <c r="P27" s="149" t="str">
        <f>VLOOKUP(L27,aug[[#All],[Key]:[TSL Material Code]],8,0)</f>
        <v>056</v>
      </c>
      <c r="Q27" s="19">
        <v>35</v>
      </c>
      <c r="R27" s="147">
        <v>15</v>
      </c>
      <c r="S27" s="147">
        <v>20</v>
      </c>
      <c r="T27" s="147"/>
      <c r="U27" s="147">
        <f t="shared" si="1"/>
        <v>5</v>
      </c>
      <c r="V27" s="147">
        <v>20</v>
      </c>
      <c r="W27" s="147">
        <f t="shared" si="2"/>
        <v>25</v>
      </c>
      <c r="X27" s="19">
        <f t="shared" si="3"/>
        <v>10</v>
      </c>
      <c r="Y27" s="167">
        <f t="shared" si="4"/>
        <v>15</v>
      </c>
      <c r="Z27" s="19">
        <f>SUMIFS(meghsteelsales_previousmonth[Quantity],meghsteelsales_previousmonth[Length Bucket],Table5[[#This Row],[Bucket CTL]])/1000</f>
        <v>63.302988000000028</v>
      </c>
      <c r="AA27" s="419">
        <f>SUMIFS(meghsteelsales_currentmonth[Quantity],meghsteelsales_currentmonth[Length Bucket],Table5[[#This Row],[Bucket CTL]])/1000</f>
        <v>0</v>
      </c>
      <c r="AB27">
        <f>Table5[[#This Row],[ INDENT  FOR SEP-25 recommended]]+Table5[[#This Row],[order logg ]]</f>
        <v>35</v>
      </c>
      <c r="AC27" s="52">
        <f>Table5[[#This Row],[Before 20th]]+Table5[[#This Row],[after 20th]]</f>
        <v>63.302988000000028</v>
      </c>
      <c r="AD27" s="52">
        <f>IF((Table5[[#This Row],[Total Indent]]-Table5[[#This Row],[Total Dispatched]])&lt;0,0,Table5[[#This Row],[Total Indent]]-Table5[[#This Row],[Total Dispatched]])</f>
        <v>0</v>
      </c>
    </row>
    <row r="28" spans="1:30" hidden="1" x14ac:dyDescent="0.25">
      <c r="A28" s="265" t="s">
        <v>10</v>
      </c>
      <c r="B28" s="147">
        <v>943209</v>
      </c>
      <c r="C28" s="147" t="s">
        <v>116</v>
      </c>
      <c r="D28" s="153" t="s">
        <v>338</v>
      </c>
      <c r="E28" s="147" t="s">
        <v>339</v>
      </c>
      <c r="F28" s="147" t="s">
        <v>340</v>
      </c>
      <c r="G28" s="148">
        <v>25.4</v>
      </c>
      <c r="H28" s="148"/>
      <c r="I28" s="148">
        <v>2</v>
      </c>
      <c r="J28" s="147">
        <v>5840</v>
      </c>
      <c r="K28" s="147">
        <v>5.82</v>
      </c>
      <c r="L28" s="147" t="str">
        <f t="shared" si="0"/>
        <v>25.425.82ERWNON FIN</v>
      </c>
      <c r="M28" s="147" t="str">
        <f>VLOOKUP(Table5[[#This Row],[Key]],aug[[#All],[Key]:[Bucket CTL]],2,0)</f>
        <v>25.4-0-2-ERW 1-PE</v>
      </c>
      <c r="N28" s="147" t="str">
        <f>VLOOKUP(Table5[[#This Row],[Key]],aug[[#All],[Key]:[Bucket CTL]],3,0)</f>
        <v>25.4-0-2-ERW 1-PE-5.82</v>
      </c>
      <c r="O28" s="149" t="b">
        <f>VLOOKUP(L28,aug[[#All],[Key]:[TSL Material Code]],7,0)</f>
        <v>1</v>
      </c>
      <c r="P28" s="149" t="str">
        <f>VLOOKUP(L28,aug[[#All],[Key]:[TSL Material Code]],8,0)</f>
        <v>056</v>
      </c>
      <c r="Q28" s="19">
        <v>20</v>
      </c>
      <c r="R28" s="147">
        <v>0</v>
      </c>
      <c r="S28" s="147">
        <v>0</v>
      </c>
      <c r="T28" s="147"/>
      <c r="U28" s="147">
        <f t="shared" si="1"/>
        <v>0</v>
      </c>
      <c r="V28" s="147">
        <v>17</v>
      </c>
      <c r="W28" s="147">
        <f t="shared" si="2"/>
        <v>17</v>
      </c>
      <c r="X28" s="19">
        <f t="shared" si="3"/>
        <v>3</v>
      </c>
      <c r="Y28" s="167">
        <f t="shared" si="4"/>
        <v>4.5</v>
      </c>
      <c r="Z28" s="19">
        <f>SUMIFS(meghsteelsales_previousmonth[Quantity],meghsteelsales_previousmonth[Length Bucket],Table5[[#This Row],[Bucket CTL]])/1000</f>
        <v>46.943582000000006</v>
      </c>
      <c r="AA28" s="419">
        <f>SUMIFS(meghsteelsales_currentmonth[Quantity],meghsteelsales_currentmonth[Length Bucket],Table5[[#This Row],[Bucket CTL]])/1000</f>
        <v>0</v>
      </c>
      <c r="AB28">
        <f>Table5[[#This Row],[ INDENT  FOR SEP-25 recommended]]+Table5[[#This Row],[order logg ]]</f>
        <v>21.5</v>
      </c>
      <c r="AC28" s="52">
        <f>Table5[[#This Row],[Before 20th]]+Table5[[#This Row],[after 20th]]</f>
        <v>46.943582000000006</v>
      </c>
      <c r="AD28" s="52">
        <f>IF((Table5[[#This Row],[Total Indent]]-Table5[[#This Row],[Total Dispatched]])&lt;0,0,Table5[[#This Row],[Total Indent]]-Table5[[#This Row],[Total Dispatched]])</f>
        <v>0</v>
      </c>
    </row>
    <row r="29" spans="1:30" hidden="1" x14ac:dyDescent="0.25">
      <c r="A29" s="265" t="s">
        <v>10</v>
      </c>
      <c r="B29" s="147">
        <v>943209</v>
      </c>
      <c r="C29" s="147" t="s">
        <v>116</v>
      </c>
      <c r="D29" s="153" t="s">
        <v>338</v>
      </c>
      <c r="E29" s="147" t="s">
        <v>339</v>
      </c>
      <c r="F29" s="147" t="s">
        <v>340</v>
      </c>
      <c r="G29" s="148">
        <v>25.4</v>
      </c>
      <c r="H29" s="148"/>
      <c r="I29" s="148">
        <v>2</v>
      </c>
      <c r="J29" s="147">
        <v>6050</v>
      </c>
      <c r="K29" s="147">
        <v>6.05</v>
      </c>
      <c r="L29" s="147" t="str">
        <f t="shared" si="0"/>
        <v>25.426.05ERWNON FIN</v>
      </c>
      <c r="M29" s="147" t="str">
        <f>VLOOKUP(Table5[[#This Row],[Key]],aug[[#All],[Key]:[Bucket CTL]],2,0)</f>
        <v>25.4-0-2-ERW 1-PE</v>
      </c>
      <c r="N29" s="147" t="str">
        <f>VLOOKUP(Table5[[#This Row],[Key]],aug[[#All],[Key]:[Bucket CTL]],3,0)</f>
        <v>25.4-0-2-ERW 1-PE-6.05</v>
      </c>
      <c r="O29" s="149" t="b">
        <f>VLOOKUP(L29,aug[[#All],[Key]:[TSL Material Code]],7,0)</f>
        <v>1</v>
      </c>
      <c r="P29" s="149" t="str">
        <f>VLOOKUP(L29,aug[[#All],[Key]:[TSL Material Code]],8,0)</f>
        <v>0789</v>
      </c>
      <c r="Q29" s="19">
        <v>15</v>
      </c>
      <c r="R29" s="147">
        <v>0</v>
      </c>
      <c r="S29" s="147">
        <v>0</v>
      </c>
      <c r="T29" s="147"/>
      <c r="U29" s="147">
        <f t="shared" si="1"/>
        <v>0</v>
      </c>
      <c r="V29" s="147"/>
      <c r="W29" s="147">
        <f t="shared" si="2"/>
        <v>0</v>
      </c>
      <c r="X29" s="19">
        <f t="shared" si="3"/>
        <v>15</v>
      </c>
      <c r="Y29" s="167">
        <v>23</v>
      </c>
      <c r="Z29" s="19">
        <f>SUMIFS(meghsteelsales_previousmonth[Quantity],meghsteelsales_previousmonth[Length Bucket],Table5[[#This Row],[Bucket CTL]])/1000</f>
        <v>0</v>
      </c>
      <c r="AA29" s="419">
        <f>SUMIFS(meghsteelsales_currentmonth[Quantity],meghsteelsales_currentmonth[Length Bucket],Table5[[#This Row],[Bucket CTL]])/1000</f>
        <v>0</v>
      </c>
      <c r="AB29">
        <f>Table5[[#This Row],[ INDENT  FOR SEP-25 recommended]]+Table5[[#This Row],[order logg ]]</f>
        <v>23</v>
      </c>
      <c r="AC29" s="52">
        <f>Table5[[#This Row],[Before 20th]]+Table5[[#This Row],[after 20th]]</f>
        <v>0</v>
      </c>
      <c r="AD29" s="52">
        <f>IF((Table5[[#This Row],[Total Indent]]-Table5[[#This Row],[Total Dispatched]])&lt;0,0,Table5[[#This Row],[Total Indent]]-Table5[[#This Row],[Total Dispatched]])</f>
        <v>23</v>
      </c>
    </row>
    <row r="30" spans="1:30" hidden="1" x14ac:dyDescent="0.25">
      <c r="A30" s="265" t="s">
        <v>10</v>
      </c>
      <c r="B30" s="147">
        <v>943209</v>
      </c>
      <c r="C30" s="147" t="s">
        <v>116</v>
      </c>
      <c r="D30" s="153" t="s">
        <v>338</v>
      </c>
      <c r="E30" s="147" t="s">
        <v>339</v>
      </c>
      <c r="F30" s="147" t="s">
        <v>340</v>
      </c>
      <c r="G30" s="148">
        <v>25.4</v>
      </c>
      <c r="H30" s="148"/>
      <c r="I30" s="148">
        <v>2.5</v>
      </c>
      <c r="J30" s="147">
        <v>5530</v>
      </c>
      <c r="K30" s="147">
        <v>5.53</v>
      </c>
      <c r="L30" s="147" t="str">
        <f t="shared" si="0"/>
        <v>25.42.55.53ERWNON FIN</v>
      </c>
      <c r="M30" s="147" t="str">
        <f>VLOOKUP(Table5[[#This Row],[Key]],aug[[#All],[Key]:[Bucket CTL]],2,0)</f>
        <v>25.4-0-2.5-ERW 1-PE</v>
      </c>
      <c r="N30" s="147" t="str">
        <f>VLOOKUP(Table5[[#This Row],[Key]],aug[[#All],[Key]:[Bucket CTL]],3,0)</f>
        <v>25.4-0-2.5-ERW 1-PE-5.53</v>
      </c>
      <c r="O30" s="149" t="b">
        <f>VLOOKUP(L30,aug[[#All],[Key]:[TSL Material Code]],7,0)</f>
        <v>1</v>
      </c>
      <c r="P30" s="149" t="str">
        <f>VLOOKUP(L30,aug[[#All],[Key]:[TSL Material Code]],8,0)</f>
        <v>056</v>
      </c>
      <c r="Q30" s="19">
        <v>60</v>
      </c>
      <c r="R30" s="147">
        <v>8</v>
      </c>
      <c r="S30" s="147">
        <v>7</v>
      </c>
      <c r="T30" s="147"/>
      <c r="U30" s="147">
        <f t="shared" si="1"/>
        <v>-1</v>
      </c>
      <c r="V30" s="147">
        <v>68</v>
      </c>
      <c r="W30" s="147">
        <f t="shared" si="2"/>
        <v>67</v>
      </c>
      <c r="X30" s="19">
        <f t="shared" si="3"/>
        <v>-7</v>
      </c>
      <c r="Y30" s="167">
        <f t="shared" si="4"/>
        <v>0</v>
      </c>
      <c r="Z30" s="19">
        <f>SUMIFS(meghsteelsales_previousmonth[Quantity],meghsteelsales_previousmonth[Length Bucket],Table5[[#This Row],[Bucket CTL]])/1000</f>
        <v>105.75507600000003</v>
      </c>
      <c r="AA30" s="419">
        <f>SUMIFS(meghsteelsales_currentmonth[Quantity],meghsteelsales_currentmonth[Length Bucket],Table5[[#This Row],[Bucket CTL]])/1000</f>
        <v>37.814835000000002</v>
      </c>
      <c r="AB30">
        <f>Table5[[#This Row],[ INDENT  FOR SEP-25 recommended]]+Table5[[#This Row],[order logg ]]</f>
        <v>68</v>
      </c>
      <c r="AC30" s="52">
        <f>Table5[[#This Row],[Before 20th]]+Table5[[#This Row],[after 20th]]</f>
        <v>143.56991100000005</v>
      </c>
      <c r="AD30" s="52">
        <f>IF((Table5[[#This Row],[Total Indent]]-Table5[[#This Row],[Total Dispatched]])&lt;0,0,Table5[[#This Row],[Total Indent]]-Table5[[#This Row],[Total Dispatched]])</f>
        <v>0</v>
      </c>
    </row>
    <row r="31" spans="1:30" hidden="1" x14ac:dyDescent="0.25">
      <c r="A31" s="265" t="s">
        <v>10</v>
      </c>
      <c r="B31" s="147">
        <v>943209</v>
      </c>
      <c r="C31" s="147" t="s">
        <v>346</v>
      </c>
      <c r="D31" s="153" t="s">
        <v>338</v>
      </c>
      <c r="E31" s="147" t="s">
        <v>348</v>
      </c>
      <c r="F31" s="147" t="s">
        <v>340</v>
      </c>
      <c r="G31" s="148">
        <v>28.6</v>
      </c>
      <c r="H31" s="148"/>
      <c r="I31" s="148">
        <v>1.2</v>
      </c>
      <c r="J31" s="147">
        <v>6000</v>
      </c>
      <c r="K31" s="147">
        <v>6</v>
      </c>
      <c r="L31" s="147" t="str">
        <f t="shared" si="0"/>
        <v>28.61.26ERWFIN CUT</v>
      </c>
      <c r="M31" s="147" t="e">
        <f>VLOOKUP(Table5[[#This Row],[Key]],aug[[#All],[Key]:[Bucket CTL]],2,0)</f>
        <v>#N/A</v>
      </c>
      <c r="N31" s="147" t="e">
        <f>VLOOKUP(Table5[[#This Row],[Key]],aug[[#All],[Key]:[Bucket CTL]],3,0)</f>
        <v>#N/A</v>
      </c>
      <c r="O31" s="149" t="b">
        <f>VLOOKUP(L31,aug[[#All],[Key]:[TSL Material Code]],7,0)</f>
        <v>1</v>
      </c>
      <c r="P31" s="149" t="str">
        <f>VLOOKUP(L31,aug[[#All],[Key]:[TSL Material Code]],8,0)</f>
        <v>0789</v>
      </c>
      <c r="Q31" s="19">
        <v>3</v>
      </c>
      <c r="R31" s="147">
        <v>1</v>
      </c>
      <c r="S31" s="147">
        <v>3</v>
      </c>
      <c r="T31" s="147"/>
      <c r="U31" s="147">
        <f t="shared" si="1"/>
        <v>2</v>
      </c>
      <c r="V31" s="147"/>
      <c r="W31" s="147">
        <f t="shared" si="2"/>
        <v>2</v>
      </c>
      <c r="X31" s="19">
        <f t="shared" si="3"/>
        <v>1</v>
      </c>
      <c r="Y31" s="167">
        <v>0</v>
      </c>
      <c r="Z31" s="19">
        <f>SUMIFS(meghsteelsales_previousmonth[Quantity],meghsteelsales_previousmonth[Length Bucket],Table5[[#This Row],[Bucket CTL]])/1000</f>
        <v>0</v>
      </c>
      <c r="AA31" s="419">
        <f>SUMIFS(meghsteelsales_currentmonth[Quantity],meghsteelsales_currentmonth[Length Bucket],Table5[[#This Row],[Bucket CTL]])/1000</f>
        <v>0</v>
      </c>
      <c r="AB31">
        <f>Table5[[#This Row],[ INDENT  FOR SEP-25 recommended]]+Table5[[#This Row],[order logg ]]</f>
        <v>0</v>
      </c>
      <c r="AC31" s="52">
        <f>Table5[[#This Row],[Before 20th]]+Table5[[#This Row],[after 20th]]</f>
        <v>0</v>
      </c>
      <c r="AD31" s="52">
        <f>IF((Table5[[#This Row],[Total Indent]]-Table5[[#This Row],[Total Dispatched]])&lt;0,0,Table5[[#This Row],[Total Indent]]-Table5[[#This Row],[Total Dispatched]])</f>
        <v>0</v>
      </c>
    </row>
    <row r="32" spans="1:30" hidden="1" x14ac:dyDescent="0.25">
      <c r="A32" s="265" t="s">
        <v>10</v>
      </c>
      <c r="B32" s="147">
        <v>943209</v>
      </c>
      <c r="C32" s="147" t="s">
        <v>116</v>
      </c>
      <c r="D32" s="159" t="s">
        <v>356</v>
      </c>
      <c r="E32" s="147" t="s">
        <v>348</v>
      </c>
      <c r="F32" s="147" t="s">
        <v>357</v>
      </c>
      <c r="G32" s="168">
        <v>28.6</v>
      </c>
      <c r="H32" s="168"/>
      <c r="I32" s="168">
        <v>2.65</v>
      </c>
      <c r="J32" s="169">
        <v>6000</v>
      </c>
      <c r="K32" s="147">
        <v>6</v>
      </c>
      <c r="L32" s="147" t="str">
        <f t="shared" si="0"/>
        <v>28.62.656CEWFIN CUT</v>
      </c>
      <c r="M32" s="147" t="str">
        <f>VLOOKUP(Table5[[#This Row],[Key]],aug[[#All],[Key]:[Bucket CTL]],2,0)</f>
        <v>No Key</v>
      </c>
      <c r="N32" s="147" t="str">
        <f>VLOOKUP(Table5[[#This Row],[Key]],aug[[#All],[Key]:[Bucket CTL]],3,0)</f>
        <v>No Key</v>
      </c>
      <c r="O32" s="149" t="b">
        <f>VLOOKUP(L32,aug[[#All],[Key]:[TSL Material Code]],7,0)</f>
        <v>1</v>
      </c>
      <c r="P32" s="149" t="str">
        <f>VLOOKUP(L32,aug[[#All],[Key]:[TSL Material Code]],8,0)</f>
        <v>0788</v>
      </c>
      <c r="Q32" s="19">
        <v>10</v>
      </c>
      <c r="R32" s="147">
        <v>5</v>
      </c>
      <c r="S32" s="147">
        <v>18</v>
      </c>
      <c r="T32" s="147"/>
      <c r="U32" s="147">
        <f t="shared" si="1"/>
        <v>13</v>
      </c>
      <c r="V32" s="147">
        <v>0</v>
      </c>
      <c r="W32" s="147">
        <f t="shared" si="2"/>
        <v>13</v>
      </c>
      <c r="X32" s="19">
        <f t="shared" si="3"/>
        <v>-3</v>
      </c>
      <c r="Y32" s="167">
        <f t="shared" si="4"/>
        <v>0</v>
      </c>
      <c r="Z32" s="19">
        <f>SUMIFS(meghsteelsales_previousmonth[Quantity],meghsteelsales_previousmonth[Length Bucket],Table5[[#This Row],[Bucket CTL]])/1000</f>
        <v>0</v>
      </c>
      <c r="AA32" s="419">
        <f>SUMIFS(meghsteelsales_currentmonth[Quantity],meghsteelsales_currentmonth[Length Bucket],Table5[[#This Row],[Bucket CTL]])/1000</f>
        <v>0</v>
      </c>
      <c r="AB32">
        <f>Table5[[#This Row],[ INDENT  FOR SEP-25 recommended]]+Table5[[#This Row],[order logg ]]</f>
        <v>0</v>
      </c>
      <c r="AC32" s="52">
        <f>Table5[[#This Row],[Before 20th]]+Table5[[#This Row],[after 20th]]</f>
        <v>0</v>
      </c>
      <c r="AD32" s="52">
        <f>IF((Table5[[#This Row],[Total Indent]]-Table5[[#This Row],[Total Dispatched]])&lt;0,0,Table5[[#This Row],[Total Indent]]-Table5[[#This Row],[Total Dispatched]])</f>
        <v>0</v>
      </c>
    </row>
    <row r="33" spans="1:30" hidden="1" x14ac:dyDescent="0.25">
      <c r="A33" s="265" t="s">
        <v>10</v>
      </c>
      <c r="B33" s="147">
        <v>943209</v>
      </c>
      <c r="C33" s="147" t="s">
        <v>346</v>
      </c>
      <c r="D33" s="153" t="s">
        <v>338</v>
      </c>
      <c r="E33" s="147" t="s">
        <v>348</v>
      </c>
      <c r="F33" s="147" t="s">
        <v>340</v>
      </c>
      <c r="G33" s="148">
        <v>31.75</v>
      </c>
      <c r="H33" s="148"/>
      <c r="I33" s="148">
        <v>1.2</v>
      </c>
      <c r="J33" s="147">
        <v>6000</v>
      </c>
      <c r="K33" s="147">
        <v>6</v>
      </c>
      <c r="L33" s="147" t="str">
        <f t="shared" si="0"/>
        <v>31.751.26ERWFIN CUT</v>
      </c>
      <c r="M33" s="147" t="str">
        <f>VLOOKUP(Table5[[#This Row],[Key]],aug[[#All],[Key]:[Bucket CTL]],2,0)</f>
        <v>31.75-0-1.2-ERW 1-FC</v>
      </c>
      <c r="N33" s="147" t="str">
        <f>VLOOKUP(Table5[[#This Row],[Key]],aug[[#All],[Key]:[Bucket CTL]],3,0)</f>
        <v>31.75-0-2-ERW 1-FC-6</v>
      </c>
      <c r="O33" s="149" t="b">
        <f>VLOOKUP(L33,aug[[#All],[Key]:[TSL Material Code]],7,0)</f>
        <v>1</v>
      </c>
      <c r="P33" s="149" t="str">
        <f>VLOOKUP(L33,aug[[#All],[Key]:[TSL Material Code]],8,0)</f>
        <v>056</v>
      </c>
      <c r="Q33" s="19">
        <v>3</v>
      </c>
      <c r="R33" s="147">
        <v>0</v>
      </c>
      <c r="S33" s="147">
        <v>0</v>
      </c>
      <c r="T33" s="147"/>
      <c r="U33" s="147">
        <f t="shared" si="1"/>
        <v>0</v>
      </c>
      <c r="V33" s="147">
        <v>10</v>
      </c>
      <c r="W33" s="147">
        <f t="shared" si="2"/>
        <v>10</v>
      </c>
      <c r="X33" s="19">
        <f t="shared" si="3"/>
        <v>-7</v>
      </c>
      <c r="Y33" s="167">
        <f t="shared" si="4"/>
        <v>0</v>
      </c>
      <c r="Z33" s="19">
        <f>SUMIFS(meghsteelsales_previousmonth[Quantity],meghsteelsales_previousmonth[Length Bucket],Table5[[#This Row],[Bucket CTL]])/1000</f>
        <v>0</v>
      </c>
      <c r="AA33" s="419">
        <f>SUMIFS(meghsteelsales_currentmonth[Quantity],meghsteelsales_currentmonth[Length Bucket],Table5[[#This Row],[Bucket CTL]])/1000</f>
        <v>0</v>
      </c>
      <c r="AB33">
        <f>Table5[[#This Row],[ INDENT  FOR SEP-25 recommended]]+Table5[[#This Row],[order logg ]]</f>
        <v>10</v>
      </c>
      <c r="AC33" s="52">
        <f>Table5[[#This Row],[Before 20th]]+Table5[[#This Row],[after 20th]]</f>
        <v>0</v>
      </c>
      <c r="AD33" s="52">
        <f>IF((Table5[[#This Row],[Total Indent]]-Table5[[#This Row],[Total Dispatched]])&lt;0,0,Table5[[#This Row],[Total Indent]]-Table5[[#This Row],[Total Dispatched]])</f>
        <v>10</v>
      </c>
    </row>
    <row r="34" spans="1:30" hidden="1" x14ac:dyDescent="0.25">
      <c r="A34" s="265" t="s">
        <v>10</v>
      </c>
      <c r="B34" s="147">
        <v>943209</v>
      </c>
      <c r="C34" s="147" t="s">
        <v>346</v>
      </c>
      <c r="D34" s="153" t="s">
        <v>338</v>
      </c>
      <c r="E34" s="147" t="s">
        <v>348</v>
      </c>
      <c r="F34" s="147" t="s">
        <v>340</v>
      </c>
      <c r="G34" s="148">
        <v>31.75</v>
      </c>
      <c r="H34" s="148"/>
      <c r="I34" s="148">
        <v>2</v>
      </c>
      <c r="J34" s="147">
        <v>6000</v>
      </c>
      <c r="K34" s="147">
        <v>6</v>
      </c>
      <c r="L34" s="147" t="str">
        <f t="shared" si="0"/>
        <v>31.7526ERWFIN CUT</v>
      </c>
      <c r="M34" s="147" t="str">
        <f>VLOOKUP(Table5[[#This Row],[Key]],aug[[#All],[Key]:[Bucket CTL]],2,0)</f>
        <v>31.75-0-2-ERW 1-FC</v>
      </c>
      <c r="N34" s="147" t="e">
        <f>VLOOKUP(Table5[[#This Row],[Key]],aug[[#All],[Key]:[Bucket CTL]],3,0)</f>
        <v>#N/A</v>
      </c>
      <c r="O34" s="149">
        <f>VLOOKUP(L34,aug[[#All],[Key]:[TSL Material Code]],7,0)</f>
        <v>0</v>
      </c>
      <c r="P34" s="149" t="str">
        <f>VLOOKUP(L34,aug[[#All],[Key]:[TSL Material Code]],8,0)</f>
        <v>0789</v>
      </c>
      <c r="Q34" s="19">
        <v>15</v>
      </c>
      <c r="R34" s="147">
        <v>0</v>
      </c>
      <c r="S34" s="147">
        <v>0</v>
      </c>
      <c r="T34" s="147"/>
      <c r="U34" s="147">
        <f t="shared" si="1"/>
        <v>0</v>
      </c>
      <c r="V34" s="147"/>
      <c r="W34" s="147">
        <f t="shared" si="2"/>
        <v>0</v>
      </c>
      <c r="X34" s="19">
        <f t="shared" si="3"/>
        <v>15</v>
      </c>
      <c r="Y34" s="167">
        <v>15</v>
      </c>
      <c r="Z34" s="19">
        <f>SUMIFS(meghsteelsales_previousmonth[Quantity],meghsteelsales_previousmonth[Length Bucket],Table5[[#This Row],[Bucket CTL]])/1000</f>
        <v>0</v>
      </c>
      <c r="AA34" s="419">
        <f>SUMIFS(meghsteelsales_currentmonth[Quantity],meghsteelsales_currentmonth[Length Bucket],Table5[[#This Row],[Bucket CTL]])/1000</f>
        <v>0</v>
      </c>
      <c r="AB34">
        <f>Table5[[#This Row],[ INDENT  FOR SEP-25 recommended]]+Table5[[#This Row],[order logg ]]</f>
        <v>15</v>
      </c>
      <c r="AC34" s="52">
        <f>Table5[[#This Row],[Before 20th]]+Table5[[#This Row],[after 20th]]</f>
        <v>0</v>
      </c>
      <c r="AD34" s="52">
        <f>IF((Table5[[#This Row],[Total Indent]]-Table5[[#This Row],[Total Dispatched]])&lt;0,0,Table5[[#This Row],[Total Indent]]-Table5[[#This Row],[Total Dispatched]])</f>
        <v>15</v>
      </c>
    </row>
    <row r="35" spans="1:30" hidden="1" x14ac:dyDescent="0.25">
      <c r="A35" s="265" t="s">
        <v>5</v>
      </c>
      <c r="B35" s="147">
        <v>943211</v>
      </c>
      <c r="C35" s="147" t="s">
        <v>358</v>
      </c>
      <c r="D35" s="153" t="s">
        <v>338</v>
      </c>
      <c r="E35" s="147" t="s">
        <v>348</v>
      </c>
      <c r="F35" s="147" t="s">
        <v>340</v>
      </c>
      <c r="G35" s="148">
        <v>31.75</v>
      </c>
      <c r="H35" s="148"/>
      <c r="I35" s="148">
        <v>2.2999999999999998</v>
      </c>
      <c r="J35" s="147">
        <v>5920</v>
      </c>
      <c r="K35" s="147">
        <v>5.92</v>
      </c>
      <c r="L35" s="147" t="str">
        <f t="shared" si="0"/>
        <v>31.752.35.92ERWFIN CUT</v>
      </c>
      <c r="M35" s="147" t="s">
        <v>1029</v>
      </c>
      <c r="N35" s="147" t="s">
        <v>6332</v>
      </c>
      <c r="O35" s="149" t="b">
        <f>VLOOKUP(L35,aug[[#All],[Key]:[TSL Material Code]],7,0)</f>
        <v>1</v>
      </c>
      <c r="P35" s="149">
        <v>4072797</v>
      </c>
      <c r="Q35" s="19">
        <v>15</v>
      </c>
      <c r="R35" s="147">
        <v>10</v>
      </c>
      <c r="S35" s="147">
        <v>34</v>
      </c>
      <c r="T35" s="147"/>
      <c r="U35" s="147">
        <f t="shared" si="1"/>
        <v>24</v>
      </c>
      <c r="V35" s="147"/>
      <c r="W35" s="147">
        <f t="shared" si="2"/>
        <v>24</v>
      </c>
      <c r="X35" s="19">
        <f t="shared" si="3"/>
        <v>-9</v>
      </c>
      <c r="Y35" s="167">
        <f t="shared" si="4"/>
        <v>0</v>
      </c>
      <c r="Z35" s="19">
        <f>SUMIFS(meghsteelsales_previousmonth[Quantity],meghsteelsales_previousmonth[Length Bucket],Table5[[#This Row],[Bucket CTL]])/1000</f>
        <v>5.5140000000000002</v>
      </c>
      <c r="AA35" s="419">
        <f>SUMIFS(meghsteelsales_currentmonth[Quantity],meghsteelsales_currentmonth[Length Bucket],Table5[[#This Row],[Bucket CTL]])/1000</f>
        <v>19.919</v>
      </c>
      <c r="AB35">
        <f>Table5[[#This Row],[ INDENT  FOR SEP-25 recommended]]+Table5[[#This Row],[order logg ]]</f>
        <v>0</v>
      </c>
      <c r="AC35" s="52">
        <f>Table5[[#This Row],[Before 20th]]+Table5[[#This Row],[after 20th]]</f>
        <v>25.433</v>
      </c>
      <c r="AD35" s="52">
        <f>IF((Table5[[#This Row],[Total Indent]]-Table5[[#This Row],[Total Dispatched]])&lt;0,0,Table5[[#This Row],[Total Indent]]-Table5[[#This Row],[Total Dispatched]])</f>
        <v>0</v>
      </c>
    </row>
    <row r="36" spans="1:30" hidden="1" x14ac:dyDescent="0.25">
      <c r="A36" s="265" t="s">
        <v>10</v>
      </c>
      <c r="B36" s="147">
        <v>943209</v>
      </c>
      <c r="C36" s="147" t="s">
        <v>346</v>
      </c>
      <c r="D36" s="153" t="s">
        <v>338</v>
      </c>
      <c r="E36" s="147" t="s">
        <v>348</v>
      </c>
      <c r="F36" s="147" t="s">
        <v>340</v>
      </c>
      <c r="G36" s="148">
        <v>34.93</v>
      </c>
      <c r="H36" s="148"/>
      <c r="I36" s="148">
        <v>1.2</v>
      </c>
      <c r="J36" s="147">
        <v>6000</v>
      </c>
      <c r="K36" s="147">
        <v>6</v>
      </c>
      <c r="L36" s="147" t="str">
        <f t="shared" si="0"/>
        <v>34.931.26ERWFIN CUT</v>
      </c>
      <c r="M36" s="147" t="s">
        <v>1034</v>
      </c>
      <c r="N36" s="147" t="s">
        <v>6333</v>
      </c>
      <c r="O36" s="149" t="b">
        <f>VLOOKUP(L36,aug[[#All],[Key]:[TSL Material Code]],7,0)</f>
        <v>1</v>
      </c>
      <c r="P36" s="149" t="str">
        <f>VLOOKUP(L36,aug[[#All],[Key]:[TSL Material Code]],8,0)</f>
        <v>0789</v>
      </c>
      <c r="Q36" s="19">
        <v>3</v>
      </c>
      <c r="R36" s="147">
        <v>0</v>
      </c>
      <c r="S36" s="147">
        <v>0</v>
      </c>
      <c r="T36" s="147"/>
      <c r="U36" s="147">
        <f t="shared" si="1"/>
        <v>0</v>
      </c>
      <c r="V36" s="147"/>
      <c r="W36" s="147">
        <f t="shared" si="2"/>
        <v>0</v>
      </c>
      <c r="X36" s="19">
        <f t="shared" si="3"/>
        <v>3</v>
      </c>
      <c r="Y36" s="167">
        <f t="shared" si="4"/>
        <v>4.5</v>
      </c>
      <c r="Z36" s="19">
        <f>SUMIFS(meghsteelsales_previousmonth[Quantity],meghsteelsales_previousmonth[Length Bucket],Table5[[#This Row],[Bucket CTL]])/1000</f>
        <v>0</v>
      </c>
      <c r="AA36" s="419">
        <f>SUMIFS(meghsteelsales_currentmonth[Quantity],meghsteelsales_currentmonth[Length Bucket],Table5[[#This Row],[Bucket CTL]])/1000</f>
        <v>0</v>
      </c>
      <c r="AB36">
        <f>Table5[[#This Row],[ INDENT  FOR SEP-25 recommended]]+Table5[[#This Row],[order logg ]]</f>
        <v>4.5</v>
      </c>
      <c r="AC36" s="52">
        <f>Table5[[#This Row],[Before 20th]]+Table5[[#This Row],[after 20th]]</f>
        <v>0</v>
      </c>
      <c r="AD36" s="52">
        <f>IF((Table5[[#This Row],[Total Indent]]-Table5[[#This Row],[Total Dispatched]])&lt;0,0,Table5[[#This Row],[Total Indent]]-Table5[[#This Row],[Total Dispatched]])</f>
        <v>4.5</v>
      </c>
    </row>
    <row r="37" spans="1:30" hidden="1" x14ac:dyDescent="0.25">
      <c r="A37" s="265" t="s">
        <v>5</v>
      </c>
      <c r="B37" s="147">
        <v>943211</v>
      </c>
      <c r="C37" s="147" t="s">
        <v>358</v>
      </c>
      <c r="D37" s="153" t="s">
        <v>338</v>
      </c>
      <c r="E37" s="147" t="s">
        <v>348</v>
      </c>
      <c r="F37" s="147" t="s">
        <v>340</v>
      </c>
      <c r="G37" s="148">
        <v>34.93</v>
      </c>
      <c r="H37" s="148"/>
      <c r="I37" s="148">
        <v>1.2</v>
      </c>
      <c r="J37" s="147">
        <v>620</v>
      </c>
      <c r="K37" s="147">
        <v>0.62</v>
      </c>
      <c r="L37" s="147" t="str">
        <f t="shared" si="0"/>
        <v>34.931.20.62ERWFIN CUT</v>
      </c>
      <c r="M37" s="147" t="str">
        <f>VLOOKUP(Table5[[#This Row],[Key]],aug[[#All],[Key]:[Bucket CTL]],2,0)</f>
        <v>34.93-0-1.2-ERW 1-FC</v>
      </c>
      <c r="N37" s="147" t="str">
        <f>VLOOKUP(Table5[[#This Row],[Key]],aug[[#All],[Key]:[Bucket CTL]],3,0)</f>
        <v>34.93-0-1.2-ERW 1-FC-0.620</v>
      </c>
      <c r="O37" s="149" t="b">
        <f>VLOOKUP(L37,aug[[#All],[Key]:[TSL Material Code]],7,0)</f>
        <v>1</v>
      </c>
      <c r="P37" s="149" t="str">
        <f>VLOOKUP(L37,aug[[#All],[Key]:[TSL Material Code]],8,0)</f>
        <v>0789</v>
      </c>
      <c r="Q37" s="19">
        <v>10</v>
      </c>
      <c r="R37" s="147">
        <v>0</v>
      </c>
      <c r="S37" s="147">
        <v>0</v>
      </c>
      <c r="T37" s="147"/>
      <c r="U37" s="147">
        <f t="shared" si="1"/>
        <v>0</v>
      </c>
      <c r="V37" s="147"/>
      <c r="W37" s="147">
        <f t="shared" si="2"/>
        <v>0</v>
      </c>
      <c r="X37" s="19">
        <f t="shared" si="3"/>
        <v>10</v>
      </c>
      <c r="Y37" s="167">
        <v>34</v>
      </c>
      <c r="Z37" s="19">
        <f>SUMIFS(meghsteelsales_previousmonth[Quantity],meghsteelsales_previousmonth[Length Bucket],Table5[[#This Row],[Bucket CTL]])/1000</f>
        <v>0</v>
      </c>
      <c r="AA37" s="419">
        <f>SUMIFS(meghsteelsales_currentmonth[Quantity],meghsteelsales_currentmonth[Length Bucket],Table5[[#This Row],[Bucket CTL]])/1000</f>
        <v>3.1</v>
      </c>
      <c r="AB37">
        <f>Table5[[#This Row],[ INDENT  FOR SEP-25 recommended]]+Table5[[#This Row],[order logg ]]</f>
        <v>34</v>
      </c>
      <c r="AC37" s="52">
        <f>Table5[[#This Row],[Before 20th]]+Table5[[#This Row],[after 20th]]</f>
        <v>3.1</v>
      </c>
      <c r="AD37" s="52">
        <f>IF((Table5[[#This Row],[Total Indent]]-Table5[[#This Row],[Total Dispatched]])&lt;0,0,Table5[[#This Row],[Total Indent]]-Table5[[#This Row],[Total Dispatched]])</f>
        <v>30.9</v>
      </c>
    </row>
    <row r="38" spans="1:30" hidden="1" x14ac:dyDescent="0.25">
      <c r="A38" s="265" t="s">
        <v>5</v>
      </c>
      <c r="B38" s="147">
        <v>943211</v>
      </c>
      <c r="C38" s="147" t="s">
        <v>359</v>
      </c>
      <c r="D38" s="153" t="s">
        <v>338</v>
      </c>
      <c r="E38" s="147" t="s">
        <v>348</v>
      </c>
      <c r="F38" s="147" t="s">
        <v>340</v>
      </c>
      <c r="G38" s="148">
        <v>34.93</v>
      </c>
      <c r="H38" s="148"/>
      <c r="I38" s="148">
        <v>1.2</v>
      </c>
      <c r="J38" s="147">
        <v>650</v>
      </c>
      <c r="K38" s="147">
        <v>0.65</v>
      </c>
      <c r="L38" s="147" t="str">
        <f t="shared" si="0"/>
        <v>34.931.20.65ERWFIN CUT</v>
      </c>
      <c r="M38" s="147" t="e">
        <f>VLOOKUP(Table5[[#This Row],[Key]],aug[[#All],[Key]:[Bucket CTL]],2,0)</f>
        <v>#N/A</v>
      </c>
      <c r="N38" s="147" t="e">
        <f>VLOOKUP(Table5[[#This Row],[Key]],aug[[#All],[Key]:[Bucket CTL]],3,0)</f>
        <v>#N/A</v>
      </c>
      <c r="O38" s="149" t="e">
        <f>VLOOKUP(L38,aug[[#All],[Key]:[TSL Material Code]],7,0)</f>
        <v>#N/A</v>
      </c>
      <c r="P38" s="149" t="e">
        <f>VLOOKUP(L38,aug[[#All],[Key]:[TSL Material Code]],8,0)</f>
        <v>#N/A</v>
      </c>
      <c r="Q38" s="19">
        <v>10</v>
      </c>
      <c r="R38" s="147">
        <v>0</v>
      </c>
      <c r="S38" s="147">
        <v>0</v>
      </c>
      <c r="T38" s="147"/>
      <c r="U38" s="147">
        <f t="shared" si="1"/>
        <v>0</v>
      </c>
      <c r="V38" s="147"/>
      <c r="W38" s="147">
        <f t="shared" si="2"/>
        <v>0</v>
      </c>
      <c r="X38" s="19">
        <f t="shared" si="3"/>
        <v>10</v>
      </c>
      <c r="Y38" s="167">
        <v>28</v>
      </c>
      <c r="Z38" s="19">
        <f>SUMIFS(meghsteelsales_previousmonth[Quantity],meghsteelsales_previousmonth[Length Bucket],Table5[[#This Row],[Bucket CTL]])/1000</f>
        <v>0</v>
      </c>
      <c r="AA38" s="419">
        <f>SUMIFS(meghsteelsales_currentmonth[Quantity],meghsteelsales_currentmonth[Length Bucket],Table5[[#This Row],[Bucket CTL]])/1000</f>
        <v>0</v>
      </c>
      <c r="AB38">
        <f>Table5[[#This Row],[ INDENT  FOR SEP-25 recommended]]+Table5[[#This Row],[order logg ]]</f>
        <v>28</v>
      </c>
      <c r="AC38" s="52">
        <f>Table5[[#This Row],[Before 20th]]+Table5[[#This Row],[after 20th]]</f>
        <v>0</v>
      </c>
      <c r="AD38" s="52">
        <f>IF((Table5[[#This Row],[Total Indent]]-Table5[[#This Row],[Total Dispatched]])&lt;0,0,Table5[[#This Row],[Total Indent]]-Table5[[#This Row],[Total Dispatched]])</f>
        <v>28</v>
      </c>
    </row>
    <row r="39" spans="1:30" x14ac:dyDescent="0.25">
      <c r="A39" s="265" t="s">
        <v>341</v>
      </c>
      <c r="B39" s="147">
        <v>943210</v>
      </c>
      <c r="C39" s="147" t="s">
        <v>342</v>
      </c>
      <c r="D39" s="155" t="s">
        <v>344</v>
      </c>
      <c r="E39" s="147" t="s">
        <v>348</v>
      </c>
      <c r="F39" s="147" t="s">
        <v>340</v>
      </c>
      <c r="G39" s="154">
        <v>34</v>
      </c>
      <c r="H39" s="154"/>
      <c r="I39" s="154">
        <v>1.4</v>
      </c>
      <c r="J39" s="155">
        <v>5660</v>
      </c>
      <c r="K39" s="147">
        <v>5.66</v>
      </c>
      <c r="L39" s="147" t="str">
        <f t="shared" si="0"/>
        <v>341.45.66ERWFIN CUT</v>
      </c>
      <c r="M39" s="147" t="str">
        <f>VLOOKUP(Table5[[#This Row],[Key]],aug[[#All],[Key]:[Bucket CTL]],2,0)</f>
        <v>No Key</v>
      </c>
      <c r="N39" s="147" t="str">
        <f>VLOOKUP(Table5[[#This Row],[Key]],aug[[#All],[Key]:[Bucket CTL]],3,0)</f>
        <v>No Key</v>
      </c>
      <c r="O39" s="149" t="b">
        <f>VLOOKUP(L39,aug[[#All],[Key]:[TSL Material Code]],7,0)</f>
        <v>1</v>
      </c>
      <c r="P39" s="149" t="str">
        <f>VLOOKUP(L39,aug[[#All],[Key]:[TSL Material Code]],8,0)</f>
        <v>0788</v>
      </c>
      <c r="Q39" s="19">
        <v>3</v>
      </c>
      <c r="R39" s="147">
        <v>0</v>
      </c>
      <c r="S39" s="147">
        <v>0</v>
      </c>
      <c r="T39" s="147"/>
      <c r="U39" s="147">
        <f t="shared" si="1"/>
        <v>0</v>
      </c>
      <c r="V39" s="147">
        <v>0</v>
      </c>
      <c r="W39" s="147">
        <f t="shared" si="2"/>
        <v>0</v>
      </c>
      <c r="X39" s="19">
        <f t="shared" si="3"/>
        <v>3</v>
      </c>
      <c r="Y39" s="167">
        <v>0</v>
      </c>
      <c r="Z39" s="19">
        <f>SUMIFS(meghsteelsales_previousmonth[Quantity],meghsteelsales_previousmonth[Length Bucket],Table5[[#This Row],[Bucket CTL]])/1000</f>
        <v>0</v>
      </c>
      <c r="AA39" s="419">
        <f>SUMIFS(meghsteelsales_currentmonth[Quantity],meghsteelsales_currentmonth[Length Bucket],Table5[[#This Row],[Bucket CTL]])/1000</f>
        <v>0</v>
      </c>
      <c r="AB39">
        <f>Table5[[#This Row],[ INDENT  FOR SEP-25 recommended]]+Table5[[#This Row],[order logg ]]</f>
        <v>0</v>
      </c>
      <c r="AC39" s="52">
        <f>Table5[[#This Row],[Before 20th]]+Table5[[#This Row],[after 20th]]</f>
        <v>0</v>
      </c>
      <c r="AD39" s="52">
        <f>IF((Table5[[#This Row],[Total Indent]]-Table5[[#This Row],[Total Dispatched]])&lt;0,0,Table5[[#This Row],[Total Indent]]-Table5[[#This Row],[Total Dispatched]])</f>
        <v>0</v>
      </c>
    </row>
    <row r="40" spans="1:30" hidden="1" x14ac:dyDescent="0.25">
      <c r="A40" s="265" t="s">
        <v>10</v>
      </c>
      <c r="B40" s="147">
        <v>943209</v>
      </c>
      <c r="C40" s="147" t="s">
        <v>346</v>
      </c>
      <c r="D40" s="153" t="s">
        <v>360</v>
      </c>
      <c r="E40" s="147" t="s">
        <v>348</v>
      </c>
      <c r="F40" s="147" t="s">
        <v>349</v>
      </c>
      <c r="G40" s="148">
        <v>38.1</v>
      </c>
      <c r="H40" s="148"/>
      <c r="I40" s="148">
        <v>1.6</v>
      </c>
      <c r="J40" s="147">
        <v>6190</v>
      </c>
      <c r="K40" s="147">
        <v>6.19</v>
      </c>
      <c r="L40" s="147" t="str">
        <f t="shared" si="0"/>
        <v>38.11.66.19HSTFIN CUT</v>
      </c>
      <c r="M40" s="147" t="str">
        <f>VLOOKUP(Table5[[#This Row],[Key]],aug[[#All],[Key]:[Bucket CTL]],2,0)</f>
        <v>38.1-0-1.6-ERW 1-FC</v>
      </c>
      <c r="N40" s="147" t="str">
        <f>VLOOKUP(Table5[[#This Row],[Key]],aug[[#All],[Key]:[Bucket CTL]],3,0)</f>
        <v>38.1-0-1.6-ERW 1-FC-6.19</v>
      </c>
      <c r="O40" s="149" t="b">
        <f>VLOOKUP(L40,aug[[#All],[Key]:[TSL Material Code]],7,0)</f>
        <v>1</v>
      </c>
      <c r="P40" s="149" t="str">
        <f>VLOOKUP(L40,aug[[#All],[Key]:[TSL Material Code]],8,0)</f>
        <v>056</v>
      </c>
      <c r="Q40" s="19">
        <v>40</v>
      </c>
      <c r="R40" s="147">
        <v>20</v>
      </c>
      <c r="S40" s="147">
        <v>60</v>
      </c>
      <c r="T40" s="147"/>
      <c r="U40" s="147">
        <f t="shared" si="1"/>
        <v>40</v>
      </c>
      <c r="V40" s="147">
        <v>20</v>
      </c>
      <c r="W40" s="147">
        <f t="shared" si="2"/>
        <v>60</v>
      </c>
      <c r="X40" s="19">
        <f t="shared" si="3"/>
        <v>-20</v>
      </c>
      <c r="Y40" s="167">
        <f t="shared" si="4"/>
        <v>0</v>
      </c>
      <c r="Z40" s="19">
        <f>SUMIFS(meghsteelsales_previousmonth[Quantity],meghsteelsales_previousmonth[Length Bucket],Table5[[#This Row],[Bucket CTL]])/1000</f>
        <v>45.849845000000002</v>
      </c>
      <c r="AA40" s="419">
        <f>SUMIFS(meghsteelsales_currentmonth[Quantity],meghsteelsales_currentmonth[Length Bucket],Table5[[#This Row],[Bucket CTL]])/1000</f>
        <v>15.52</v>
      </c>
      <c r="AB40">
        <f>Table5[[#This Row],[ INDENT  FOR SEP-25 recommended]]+Table5[[#This Row],[order logg ]]</f>
        <v>20</v>
      </c>
      <c r="AC40" s="52">
        <f>Table5[[#This Row],[Before 20th]]+Table5[[#This Row],[after 20th]]</f>
        <v>61.369844999999998</v>
      </c>
      <c r="AD40" s="52">
        <f>IF((Table5[[#This Row],[Total Indent]]-Table5[[#This Row],[Total Dispatched]])&lt;0,0,Table5[[#This Row],[Total Indent]]-Table5[[#This Row],[Total Dispatched]])</f>
        <v>0</v>
      </c>
    </row>
    <row r="41" spans="1:30" hidden="1" x14ac:dyDescent="0.25">
      <c r="A41" s="265" t="s">
        <v>10</v>
      </c>
      <c r="B41" s="147">
        <v>943209</v>
      </c>
      <c r="C41" s="147" t="s">
        <v>346</v>
      </c>
      <c r="D41" s="153" t="s">
        <v>338</v>
      </c>
      <c r="E41" s="147" t="s">
        <v>348</v>
      </c>
      <c r="F41" s="147" t="s">
        <v>340</v>
      </c>
      <c r="G41" s="148">
        <v>38.1</v>
      </c>
      <c r="H41" s="148"/>
      <c r="I41" s="148">
        <v>2</v>
      </c>
      <c r="J41" s="147">
        <v>5650</v>
      </c>
      <c r="K41" s="147">
        <v>5.65</v>
      </c>
      <c r="L41" s="147" t="str">
        <f t="shared" si="0"/>
        <v>38.125.65ERWFIN CUT</v>
      </c>
      <c r="M41" s="147" t="str">
        <f>VLOOKUP(Table5[[#This Row],[Key]],aug[[#All],[Key]:[Bucket CTL]],2,0)</f>
        <v>38.1-0-2-ERW 1-FC</v>
      </c>
      <c r="N41" s="147" t="str">
        <f>VLOOKUP(Table5[[#This Row],[Key]],aug[[#All],[Key]:[Bucket CTL]],3,0)</f>
        <v>38.1-0-2-ERW 1-FC-5.65</v>
      </c>
      <c r="O41" s="149" t="b">
        <f>VLOOKUP(L41,aug[[#All],[Key]:[TSL Material Code]],7,0)</f>
        <v>1</v>
      </c>
      <c r="P41" s="149" t="str">
        <f>VLOOKUP(L41,aug[[#All],[Key]:[TSL Material Code]],8,0)</f>
        <v>056</v>
      </c>
      <c r="Q41" s="19">
        <v>30</v>
      </c>
      <c r="R41" s="147">
        <v>20</v>
      </c>
      <c r="S41" s="147">
        <v>33</v>
      </c>
      <c r="T41" s="147"/>
      <c r="U41" s="147">
        <f t="shared" si="1"/>
        <v>13</v>
      </c>
      <c r="V41" s="147">
        <v>49</v>
      </c>
      <c r="W41" s="147">
        <f t="shared" si="2"/>
        <v>62</v>
      </c>
      <c r="X41" s="19">
        <f t="shared" si="3"/>
        <v>-32</v>
      </c>
      <c r="Y41" s="167">
        <f t="shared" si="4"/>
        <v>0</v>
      </c>
      <c r="Z41" s="19">
        <f>SUMIFS(meghsteelsales_previousmonth[Quantity],meghsteelsales_previousmonth[Length Bucket],Table5[[#This Row],[Bucket CTL]])/1000</f>
        <v>3.6047469999999997</v>
      </c>
      <c r="AA41" s="419">
        <f>SUMIFS(meghsteelsales_currentmonth[Quantity],meghsteelsales_currentmonth[Length Bucket],Table5[[#This Row],[Bucket CTL]])/1000</f>
        <v>0</v>
      </c>
      <c r="AB41">
        <f>Table5[[#This Row],[ INDENT  FOR SEP-25 recommended]]+Table5[[#This Row],[order logg ]]</f>
        <v>49</v>
      </c>
      <c r="AC41" s="52">
        <f>Table5[[#This Row],[Before 20th]]+Table5[[#This Row],[after 20th]]</f>
        <v>3.6047469999999997</v>
      </c>
      <c r="AD41" s="52">
        <f>IF((Table5[[#This Row],[Total Indent]]-Table5[[#This Row],[Total Dispatched]])&lt;0,0,Table5[[#This Row],[Total Indent]]-Table5[[#This Row],[Total Dispatched]])</f>
        <v>45.395252999999997</v>
      </c>
    </row>
    <row r="42" spans="1:30" hidden="1" x14ac:dyDescent="0.25">
      <c r="A42" s="265" t="s">
        <v>10</v>
      </c>
      <c r="B42" s="147">
        <v>943209</v>
      </c>
      <c r="C42" s="147" t="s">
        <v>346</v>
      </c>
      <c r="D42" s="153" t="s">
        <v>344</v>
      </c>
      <c r="E42" s="147" t="s">
        <v>348</v>
      </c>
      <c r="F42" s="147" t="s">
        <v>349</v>
      </c>
      <c r="G42" s="148">
        <v>38.1</v>
      </c>
      <c r="H42" s="148"/>
      <c r="I42" s="148">
        <v>2.5</v>
      </c>
      <c r="J42" s="147">
        <v>6190</v>
      </c>
      <c r="K42" s="147">
        <v>6.19</v>
      </c>
      <c r="L42" s="147" t="str">
        <f t="shared" si="0"/>
        <v>38.12.56.19HSTFIN CUT</v>
      </c>
      <c r="M42" s="147" t="str">
        <f>VLOOKUP(Table5[[#This Row],[Key]],aug[[#All],[Key]:[Bucket CTL]],2,0)</f>
        <v>38.1-0-2.5-ERW 2 MAHS-FC</v>
      </c>
      <c r="N42" s="147" t="str">
        <f>VLOOKUP(Table5[[#This Row],[Key]],aug[[#All],[Key]:[Bucket CTL]],3,0)</f>
        <v>38.1-0-2.5-ERW 2 MAHS-FC-6.19</v>
      </c>
      <c r="O42" s="149" t="b">
        <f>VLOOKUP(L42,aug[[#All],[Key]:[TSL Material Code]],7,0)</f>
        <v>1</v>
      </c>
      <c r="P42" s="149" t="str">
        <f>VLOOKUP(L42,aug[[#All],[Key]:[TSL Material Code]],8,0)</f>
        <v>056</v>
      </c>
      <c r="Q42" s="19">
        <v>60</v>
      </c>
      <c r="R42" s="147">
        <v>25</v>
      </c>
      <c r="S42" s="147">
        <v>20</v>
      </c>
      <c r="T42" s="147"/>
      <c r="U42" s="147">
        <f t="shared" si="1"/>
        <v>-5</v>
      </c>
      <c r="V42" s="147">
        <v>10</v>
      </c>
      <c r="W42" s="147">
        <f t="shared" si="2"/>
        <v>5</v>
      </c>
      <c r="X42" s="19">
        <f t="shared" si="3"/>
        <v>55</v>
      </c>
      <c r="Y42" s="167">
        <f t="shared" si="4"/>
        <v>82.5</v>
      </c>
      <c r="Z42" s="19">
        <f>SUMIFS(meghsteelsales_previousmonth[Quantity],meghsteelsales_previousmonth[Length Bucket],Table5[[#This Row],[Bucket CTL]])/1000</f>
        <v>5.6632070000000008</v>
      </c>
      <c r="AA42" s="419">
        <f>SUMIFS(meghsteelsales_currentmonth[Quantity],meghsteelsales_currentmonth[Length Bucket],Table5[[#This Row],[Bucket CTL]])/1000</f>
        <v>111.79929199999995</v>
      </c>
      <c r="AB42">
        <f>Table5[[#This Row],[ INDENT  FOR SEP-25 recommended]]+Table5[[#This Row],[order logg ]]</f>
        <v>92.5</v>
      </c>
      <c r="AC42" s="52">
        <f>Table5[[#This Row],[Before 20th]]+Table5[[#This Row],[after 20th]]</f>
        <v>117.46249899999995</v>
      </c>
      <c r="AD42" s="52">
        <f>IF((Table5[[#This Row],[Total Indent]]-Table5[[#This Row],[Total Dispatched]])&lt;0,0,Table5[[#This Row],[Total Indent]]-Table5[[#This Row],[Total Dispatched]])</f>
        <v>0</v>
      </c>
    </row>
    <row r="43" spans="1:30" s="45" customFormat="1" hidden="1" x14ac:dyDescent="0.25">
      <c r="A43" s="266" t="s">
        <v>5</v>
      </c>
      <c r="B43" s="147">
        <v>943211</v>
      </c>
      <c r="C43" s="156" t="s">
        <v>358</v>
      </c>
      <c r="D43" s="157" t="s">
        <v>366</v>
      </c>
      <c r="E43" s="156" t="s">
        <v>348</v>
      </c>
      <c r="F43" s="156" t="s">
        <v>340</v>
      </c>
      <c r="G43" s="248">
        <v>38.1</v>
      </c>
      <c r="H43" s="248"/>
      <c r="I43" s="248">
        <v>3.2</v>
      </c>
      <c r="J43" s="156">
        <v>6000</v>
      </c>
      <c r="K43" s="156">
        <v>6</v>
      </c>
      <c r="L43" s="156" t="str">
        <f t="shared" si="0"/>
        <v>38.13.26ERWFIN CUT</v>
      </c>
      <c r="M43" s="147" t="e">
        <f>VLOOKUP(Table5[[#This Row],[Key]],aug[[#All],[Key]:[Bucket CTL]],2,0)</f>
        <v>#N/A</v>
      </c>
      <c r="N43" s="147" t="e">
        <f>VLOOKUP(Table5[[#This Row],[Key]],aug[[#All],[Key]:[Bucket CTL]],3,0)</f>
        <v>#N/A</v>
      </c>
      <c r="O43" s="158" t="s">
        <v>371</v>
      </c>
      <c r="P43" s="149">
        <v>3500699</v>
      </c>
      <c r="Q43" s="246">
        <v>5</v>
      </c>
      <c r="R43" s="156">
        <v>0</v>
      </c>
      <c r="S43" s="156">
        <v>0</v>
      </c>
      <c r="T43" s="156"/>
      <c r="U43" s="156">
        <f t="shared" si="1"/>
        <v>0</v>
      </c>
      <c r="V43" s="156">
        <v>0</v>
      </c>
      <c r="W43" s="156">
        <f t="shared" si="2"/>
        <v>0</v>
      </c>
      <c r="X43" s="246">
        <f t="shared" si="3"/>
        <v>5</v>
      </c>
      <c r="Y43" s="247">
        <f t="shared" si="4"/>
        <v>7.5</v>
      </c>
      <c r="Z43" s="19">
        <f>SUMIFS(meghsteelsales_previousmonth[Quantity],meghsteelsales_previousmonth[Length Bucket],Table5[[#This Row],[Bucket CTL]])/1000</f>
        <v>0</v>
      </c>
      <c r="AA43" s="419">
        <f>SUMIFS(meghsteelsales_currentmonth[Quantity],meghsteelsales_currentmonth[Length Bucket],Table5[[#This Row],[Bucket CTL]])/1000</f>
        <v>0</v>
      </c>
      <c r="AB43">
        <f>Table5[[#This Row],[ INDENT  FOR SEP-25 recommended]]+Table5[[#This Row],[order logg ]]</f>
        <v>7.5</v>
      </c>
      <c r="AC43" s="52">
        <f>Table5[[#This Row],[Before 20th]]+Table5[[#This Row],[after 20th]]</f>
        <v>0</v>
      </c>
      <c r="AD43" s="52">
        <f>IF((Table5[[#This Row],[Total Indent]]-Table5[[#This Row],[Total Dispatched]])&lt;0,0,Table5[[#This Row],[Total Indent]]-Table5[[#This Row],[Total Dispatched]])</f>
        <v>7.5</v>
      </c>
    </row>
    <row r="44" spans="1:30" s="386" customFormat="1" hidden="1" x14ac:dyDescent="0.25">
      <c r="A44" s="265" t="s">
        <v>10</v>
      </c>
      <c r="B44" s="147">
        <v>943209</v>
      </c>
      <c r="C44" s="147" t="s">
        <v>116</v>
      </c>
      <c r="D44" s="147" t="s">
        <v>338</v>
      </c>
      <c r="E44" s="147" t="s">
        <v>348</v>
      </c>
      <c r="F44" s="147" t="s">
        <v>340</v>
      </c>
      <c r="G44" s="148">
        <v>41.28</v>
      </c>
      <c r="H44" s="148"/>
      <c r="I44" s="148">
        <v>2.6</v>
      </c>
      <c r="J44" s="147">
        <v>6000</v>
      </c>
      <c r="K44" s="147">
        <v>6</v>
      </c>
      <c r="L44" s="147" t="str">
        <f t="shared" si="0"/>
        <v>41.282.66ERWFIN CUT</v>
      </c>
      <c r="M44" s="147" t="str">
        <f>VLOOKUP(Table5[[#This Row],[Key]],aug[[#All],[Key]:[Bucket CTL]],2,0)</f>
        <v>41.28-0-2.6-ERW 1-FC</v>
      </c>
      <c r="N44" s="147" t="str">
        <f>VLOOKUP(Table5[[#This Row],[Key]],aug[[#All],[Key]:[Bucket CTL]],3,0)</f>
        <v>41.28-0-2.6-ERW 1-FC-6</v>
      </c>
      <c r="O44" s="149" t="b">
        <f>VLOOKUP(L44,aug[[#All],[Key]:[TSL Material Code]],7,0)</f>
        <v>1</v>
      </c>
      <c r="P44" s="149" t="str">
        <f>VLOOKUP(L44,aug[[#All],[Key]:[TSL Material Code]],8,0)</f>
        <v>0789</v>
      </c>
      <c r="Q44" s="19">
        <v>50</v>
      </c>
      <c r="R44" s="147">
        <v>14</v>
      </c>
      <c r="S44" s="147">
        <v>14</v>
      </c>
      <c r="T44" s="147"/>
      <c r="U44" s="147">
        <f t="shared" si="1"/>
        <v>0</v>
      </c>
      <c r="V44" s="147"/>
      <c r="W44" s="147">
        <f t="shared" si="2"/>
        <v>0</v>
      </c>
      <c r="X44" s="19">
        <f t="shared" si="3"/>
        <v>50</v>
      </c>
      <c r="Y44" s="167">
        <v>84</v>
      </c>
      <c r="Z44" s="19">
        <f>SUMIFS(meghsteelsales_previousmonth[Quantity],meghsteelsales_previousmonth[Length Bucket],Table5[[#This Row],[Bucket CTL]])/1000</f>
        <v>8.67</v>
      </c>
      <c r="AA44" s="419">
        <f>SUMIFS(meghsteelsales_currentmonth[Quantity],meghsteelsales_currentmonth[Length Bucket],Table5[[#This Row],[Bucket CTL]])/1000</f>
        <v>60.509999999999991</v>
      </c>
      <c r="AB44">
        <f>Table5[[#This Row],[ INDENT  FOR SEP-25 recommended]]+Table5[[#This Row],[order logg ]]</f>
        <v>84</v>
      </c>
      <c r="AC44" s="52">
        <f>Table5[[#This Row],[Before 20th]]+Table5[[#This Row],[after 20th]]</f>
        <v>69.179999999999993</v>
      </c>
      <c r="AD44" s="52">
        <f>IF((Table5[[#This Row],[Total Indent]]-Table5[[#This Row],[Total Dispatched]])&lt;0,0,Table5[[#This Row],[Total Indent]]-Table5[[#This Row],[Total Dispatched]])</f>
        <v>14.820000000000007</v>
      </c>
    </row>
    <row r="45" spans="1:30" hidden="1" x14ac:dyDescent="0.25">
      <c r="A45" s="265" t="s">
        <v>10</v>
      </c>
      <c r="B45" s="147">
        <v>943209</v>
      </c>
      <c r="C45" s="147" t="s">
        <v>116</v>
      </c>
      <c r="D45" s="159" t="s">
        <v>338</v>
      </c>
      <c r="E45" s="147" t="s">
        <v>348</v>
      </c>
      <c r="F45" s="147" t="s">
        <v>340</v>
      </c>
      <c r="G45" s="168" t="s">
        <v>363</v>
      </c>
      <c r="H45" s="168"/>
      <c r="I45" s="168">
        <v>1.6</v>
      </c>
      <c r="J45" s="169">
        <v>6130</v>
      </c>
      <c r="K45" s="147">
        <v>6.13</v>
      </c>
      <c r="L45" s="147" t="str">
        <f t="shared" si="0"/>
        <v>40x251.66.13ERWFIN CUT</v>
      </c>
      <c r="M45" s="147" t="str">
        <f>VLOOKUP(Table5[[#This Row],[Key]],aug[[#All],[Key]:[Bucket CTL]],2,0)</f>
        <v>40-25-1.6-ERW 1-FC</v>
      </c>
      <c r="N45" s="147" t="str">
        <f>VLOOKUP(Table5[[#This Row],[Key]],aug[[#All],[Key]:[Bucket CTL]],3,0)</f>
        <v>40-25-1.6-ERW 1-FC-6.13</v>
      </c>
      <c r="O45" s="149" t="b">
        <f>VLOOKUP(L45,aug[[#All],[Key]:[TSL Material Code]],7,0)</f>
        <v>1</v>
      </c>
      <c r="P45" s="149" t="str">
        <f>VLOOKUP(L45,aug[[#All],[Key]:[TSL Material Code]],8,0)</f>
        <v>0789</v>
      </c>
      <c r="Q45" s="19">
        <v>6</v>
      </c>
      <c r="R45" s="147">
        <v>0</v>
      </c>
      <c r="S45" s="147">
        <v>0</v>
      </c>
      <c r="T45" s="147"/>
      <c r="U45" s="147">
        <f t="shared" si="1"/>
        <v>0</v>
      </c>
      <c r="V45" s="147"/>
      <c r="W45" s="147">
        <f t="shared" si="2"/>
        <v>0</v>
      </c>
      <c r="X45" s="19">
        <f t="shared" si="3"/>
        <v>6</v>
      </c>
      <c r="Y45" s="167">
        <v>10</v>
      </c>
      <c r="Z45" s="19">
        <f>SUMIFS(meghsteelsales_previousmonth[Quantity],meghsteelsales_previousmonth[Length Bucket],Table5[[#This Row],[Bucket CTL]])/1000</f>
        <v>0</v>
      </c>
      <c r="AA45" s="419">
        <f>SUMIFS(meghsteelsales_currentmonth[Quantity],meghsteelsales_currentmonth[Length Bucket],Table5[[#This Row],[Bucket CTL]])/1000</f>
        <v>0</v>
      </c>
      <c r="AB45">
        <f>Table5[[#This Row],[ INDENT  FOR SEP-25 recommended]]+Table5[[#This Row],[order logg ]]</f>
        <v>10</v>
      </c>
      <c r="AC45" s="52">
        <f>Table5[[#This Row],[Before 20th]]+Table5[[#This Row],[after 20th]]</f>
        <v>0</v>
      </c>
      <c r="AD45" s="52">
        <f>IF((Table5[[#This Row],[Total Indent]]-Table5[[#This Row],[Total Dispatched]])&lt;0,0,Table5[[#This Row],[Total Indent]]-Table5[[#This Row],[Total Dispatched]])</f>
        <v>10</v>
      </c>
    </row>
    <row r="46" spans="1:30" hidden="1" x14ac:dyDescent="0.25">
      <c r="A46" s="265" t="s">
        <v>341</v>
      </c>
      <c r="B46" s="147">
        <v>943210</v>
      </c>
      <c r="C46" s="147" t="s">
        <v>342</v>
      </c>
      <c r="D46" s="153" t="s">
        <v>338</v>
      </c>
      <c r="E46" s="147" t="s">
        <v>348</v>
      </c>
      <c r="F46" s="147" t="s">
        <v>340</v>
      </c>
      <c r="G46" s="148">
        <v>41.28</v>
      </c>
      <c r="H46" s="148"/>
      <c r="I46" s="148">
        <v>3.15</v>
      </c>
      <c r="J46" s="147">
        <v>5860</v>
      </c>
      <c r="K46" s="147">
        <v>5.86</v>
      </c>
      <c r="L46" s="147" t="str">
        <f t="shared" si="0"/>
        <v>41.283.155.86ERWFIN CUT</v>
      </c>
      <c r="M46" s="147" t="str">
        <f>VLOOKUP(Table5[[#This Row],[Key]],aug[[#All],[Key]:[Bucket CTL]],2,0)</f>
        <v>41.28-0-3.15-ERW 1-FC</v>
      </c>
      <c r="N46" s="147" t="str">
        <f>VLOOKUP(Table5[[#This Row],[Key]],aug[[#All],[Key]:[Bucket CTL]],3,0)</f>
        <v>41.28-0-3.15-ERW 1-FC-5.86</v>
      </c>
      <c r="O46" s="149" t="b">
        <f>VLOOKUP(L46,aug[[#All],[Key]:[TSL Material Code]],7,0)</f>
        <v>1</v>
      </c>
      <c r="P46" s="149" t="str">
        <f>VLOOKUP(L46,aug[[#All],[Key]:[TSL Material Code]],8,0)</f>
        <v>056</v>
      </c>
      <c r="Q46" s="19">
        <v>45</v>
      </c>
      <c r="R46" s="147">
        <v>0</v>
      </c>
      <c r="S46" s="147">
        <v>0</v>
      </c>
      <c r="T46" s="147"/>
      <c r="U46" s="147">
        <f t="shared" si="1"/>
        <v>0</v>
      </c>
      <c r="V46" s="147">
        <v>92</v>
      </c>
      <c r="W46" s="147">
        <f t="shared" si="2"/>
        <v>92</v>
      </c>
      <c r="X46" s="19">
        <f t="shared" si="3"/>
        <v>-47</v>
      </c>
      <c r="Y46" s="167">
        <f t="shared" si="4"/>
        <v>0</v>
      </c>
      <c r="Z46" s="19">
        <f>SUMIFS(meghsteelsales_previousmonth[Quantity],meghsteelsales_previousmonth[Length Bucket],Table5[[#This Row],[Bucket CTL]])/1000</f>
        <v>48.390045000000008</v>
      </c>
      <c r="AA46" s="419">
        <f>SUMIFS(meghsteelsales_currentmonth[Quantity],meghsteelsales_currentmonth[Length Bucket],Table5[[#This Row],[Bucket CTL]])/1000</f>
        <v>9.6830499999999997</v>
      </c>
      <c r="AB46">
        <f>Table5[[#This Row],[ INDENT  FOR SEP-25 recommended]]+Table5[[#This Row],[order logg ]]</f>
        <v>92</v>
      </c>
      <c r="AC46" s="52">
        <f>Table5[[#This Row],[Before 20th]]+Table5[[#This Row],[after 20th]]</f>
        <v>58.073095000000009</v>
      </c>
      <c r="AD46" s="52">
        <f>IF((Table5[[#This Row],[Total Indent]]-Table5[[#This Row],[Total Dispatched]])&lt;0,0,Table5[[#This Row],[Total Indent]]-Table5[[#This Row],[Total Dispatched]])</f>
        <v>33.926904999999991</v>
      </c>
    </row>
    <row r="47" spans="1:30" hidden="1" x14ac:dyDescent="0.25">
      <c r="A47" s="265" t="s">
        <v>10</v>
      </c>
      <c r="B47" s="147">
        <v>943209</v>
      </c>
      <c r="C47" s="147" t="s">
        <v>346</v>
      </c>
      <c r="D47" s="153" t="s">
        <v>364</v>
      </c>
      <c r="E47" s="147" t="s">
        <v>348</v>
      </c>
      <c r="F47" s="147" t="s">
        <v>340</v>
      </c>
      <c r="G47" s="148">
        <v>42.7</v>
      </c>
      <c r="H47" s="148"/>
      <c r="I47" s="148">
        <v>3.5</v>
      </c>
      <c r="J47" s="147">
        <v>6000</v>
      </c>
      <c r="K47" s="147">
        <v>6</v>
      </c>
      <c r="L47" s="147" t="str">
        <f t="shared" si="0"/>
        <v>42.73.56ERWFIN CUT</v>
      </c>
      <c r="M47" s="147" t="str">
        <f>VLOOKUP(Table5[[#This Row],[Key]],aug[[#All],[Key]:[Bucket CTL]],2,0)</f>
        <v>42.7-0-3.5-ERW 1-FC</v>
      </c>
      <c r="N47" s="147" t="str">
        <f>VLOOKUP(Table5[[#This Row],[Key]],aug[[#All],[Key]:[Bucket CTL]],3,0)</f>
        <v>42.7-0-3.5-ERW 1-FC-6</v>
      </c>
      <c r="O47" s="149" t="b">
        <f>VLOOKUP(L47,aug[[#All],[Key]:[TSL Material Code]],7,0)</f>
        <v>1</v>
      </c>
      <c r="P47" s="149" t="str">
        <f>VLOOKUP(L47,aug[[#All],[Key]:[TSL Material Code]],8,0)</f>
        <v>0788</v>
      </c>
      <c r="Q47" s="19">
        <v>5</v>
      </c>
      <c r="R47" s="147">
        <v>1</v>
      </c>
      <c r="S47" s="147">
        <v>25</v>
      </c>
      <c r="T47" s="147"/>
      <c r="U47" s="147">
        <f t="shared" si="1"/>
        <v>24</v>
      </c>
      <c r="V47" s="147">
        <v>2</v>
      </c>
      <c r="W47" s="147">
        <f t="shared" si="2"/>
        <v>26</v>
      </c>
      <c r="X47" s="19">
        <f t="shared" si="3"/>
        <v>-21</v>
      </c>
      <c r="Y47" s="167">
        <f t="shared" si="4"/>
        <v>0</v>
      </c>
      <c r="Z47" s="19">
        <f>SUMIFS(meghsteelsales_previousmonth[Quantity],meghsteelsales_previousmonth[Length Bucket],Table5[[#This Row],[Bucket CTL]])/1000</f>
        <v>4.2835110000000007</v>
      </c>
      <c r="AA47" s="419">
        <f>SUMIFS(meghsteelsales_currentmonth[Quantity],meghsteelsales_currentmonth[Length Bucket],Table5[[#This Row],[Bucket CTL]])/1000</f>
        <v>2.3549160000000002</v>
      </c>
      <c r="AB47">
        <f>Table5[[#This Row],[ INDENT  FOR SEP-25 recommended]]+Table5[[#This Row],[order logg ]]</f>
        <v>2</v>
      </c>
      <c r="AC47" s="52">
        <f>Table5[[#This Row],[Before 20th]]+Table5[[#This Row],[after 20th]]</f>
        <v>6.638427000000001</v>
      </c>
      <c r="AD47" s="52">
        <f>IF((Table5[[#This Row],[Total Indent]]-Table5[[#This Row],[Total Dispatched]])&lt;0,0,Table5[[#This Row],[Total Indent]]-Table5[[#This Row],[Total Dispatched]])</f>
        <v>0</v>
      </c>
    </row>
    <row r="48" spans="1:30" hidden="1" x14ac:dyDescent="0.25">
      <c r="A48" s="265" t="s">
        <v>10</v>
      </c>
      <c r="B48" s="147">
        <v>943209</v>
      </c>
      <c r="C48" s="147" t="s">
        <v>346</v>
      </c>
      <c r="D48" s="153" t="s">
        <v>364</v>
      </c>
      <c r="E48" s="147" t="s">
        <v>348</v>
      </c>
      <c r="F48" s="147" t="s">
        <v>340</v>
      </c>
      <c r="G48" s="148">
        <v>42.7</v>
      </c>
      <c r="H48" s="148"/>
      <c r="I48" s="148">
        <v>4</v>
      </c>
      <c r="J48" s="147">
        <v>6000</v>
      </c>
      <c r="K48" s="147">
        <v>6</v>
      </c>
      <c r="L48" s="147" t="str">
        <f t="shared" si="0"/>
        <v>42.746ERWFIN CUT</v>
      </c>
      <c r="M48" s="147" t="str">
        <f>VLOOKUP(Table5[[#This Row],[Key]],aug[[#All],[Key]:[Bucket CTL]],2,0)</f>
        <v>42.7-0-4-ERW 1-FC</v>
      </c>
      <c r="N48" s="147" t="str">
        <f>VLOOKUP(Table5[[#This Row],[Key]],aug[[#All],[Key]:[Bucket CTL]],3,0)</f>
        <v>42.7-0-4-ERW 1-FC-6</v>
      </c>
      <c r="O48" s="149" t="b">
        <f>VLOOKUP(L48,aug[[#All],[Key]:[TSL Material Code]],7,0)</f>
        <v>1</v>
      </c>
      <c r="P48" s="149" t="str">
        <f>VLOOKUP(L48,aug[[#All],[Key]:[TSL Material Code]],8,0)</f>
        <v>0788</v>
      </c>
      <c r="Q48" s="19">
        <v>30</v>
      </c>
      <c r="R48" s="147">
        <v>10</v>
      </c>
      <c r="S48" s="147">
        <v>15</v>
      </c>
      <c r="T48" s="147"/>
      <c r="U48" s="147">
        <f t="shared" si="1"/>
        <v>5</v>
      </c>
      <c r="V48" s="147">
        <v>14</v>
      </c>
      <c r="W48" s="147">
        <f t="shared" si="2"/>
        <v>19</v>
      </c>
      <c r="X48" s="19">
        <f t="shared" si="3"/>
        <v>11</v>
      </c>
      <c r="Y48" s="167">
        <v>0</v>
      </c>
      <c r="Z48" s="19">
        <f>SUMIFS(meghsteelsales_previousmonth[Quantity],meghsteelsales_previousmonth[Length Bucket],Table5[[#This Row],[Bucket CTL]])/1000</f>
        <v>38.311999999999998</v>
      </c>
      <c r="AA48" s="419">
        <f>SUMIFS(meghsteelsales_currentmonth[Quantity],meghsteelsales_currentmonth[Length Bucket],Table5[[#This Row],[Bucket CTL]])/1000</f>
        <v>35.316800000000001</v>
      </c>
      <c r="AB48">
        <f>Table5[[#This Row],[ INDENT  FOR SEP-25 recommended]]+Table5[[#This Row],[order logg ]]</f>
        <v>14</v>
      </c>
      <c r="AC48" s="52">
        <f>Table5[[#This Row],[Before 20th]]+Table5[[#This Row],[after 20th]]</f>
        <v>73.628799999999998</v>
      </c>
      <c r="AD48" s="52">
        <f>IF((Table5[[#This Row],[Total Indent]]-Table5[[#This Row],[Total Dispatched]])&lt;0,0,Table5[[#This Row],[Total Indent]]-Table5[[#This Row],[Total Dispatched]])</f>
        <v>0</v>
      </c>
    </row>
    <row r="49" spans="1:30" hidden="1" x14ac:dyDescent="0.25">
      <c r="A49" s="265" t="s">
        <v>10</v>
      </c>
      <c r="B49" s="147">
        <v>943209</v>
      </c>
      <c r="C49" s="147" t="s">
        <v>346</v>
      </c>
      <c r="D49" s="155" t="s">
        <v>338</v>
      </c>
      <c r="E49" s="147" t="s">
        <v>348</v>
      </c>
      <c r="F49" s="147" t="s">
        <v>340</v>
      </c>
      <c r="G49" s="154" t="s">
        <v>365</v>
      </c>
      <c r="H49" s="154"/>
      <c r="I49" s="154">
        <v>1.6</v>
      </c>
      <c r="J49" s="155">
        <v>5900</v>
      </c>
      <c r="K49" s="147">
        <v>5.9</v>
      </c>
      <c r="L49" s="147" t="str">
        <f t="shared" si="0"/>
        <v>40x301.65.9ERWFIN CUT</v>
      </c>
      <c r="M49" s="147" t="str">
        <f>VLOOKUP(Table5[[#This Row],[Key]],aug[[#All],[Key]:[Bucket CTL]],2,0)</f>
        <v>40-30-1.6-ERW 1-FC</v>
      </c>
      <c r="N49" s="147" t="str">
        <f>VLOOKUP(Table5[[#This Row],[Key]],aug[[#All],[Key]:[Bucket CTL]],3,0)</f>
        <v>40-30-1.6-ERW 1-FC-5.9</v>
      </c>
      <c r="O49" s="149" t="b">
        <f>VLOOKUP(L49,aug[[#All],[Key]:[TSL Material Code]],7,0)</f>
        <v>1</v>
      </c>
      <c r="P49" s="149" t="str">
        <f>VLOOKUP(L49,aug[[#All],[Key]:[TSL Material Code]],8,0)</f>
        <v>0789</v>
      </c>
      <c r="Q49" s="19">
        <v>10</v>
      </c>
      <c r="R49" s="147">
        <v>2</v>
      </c>
      <c r="S49" s="147">
        <v>5</v>
      </c>
      <c r="T49" s="147"/>
      <c r="U49" s="147">
        <f t="shared" si="1"/>
        <v>3</v>
      </c>
      <c r="V49" s="147"/>
      <c r="W49" s="147">
        <f t="shared" si="2"/>
        <v>3</v>
      </c>
      <c r="X49" s="19">
        <f t="shared" si="3"/>
        <v>7</v>
      </c>
      <c r="Y49" s="167">
        <v>12</v>
      </c>
      <c r="Z49" s="19">
        <f>SUMIFS(meghsteelsales_previousmonth[Quantity],meghsteelsales_previousmonth[Length Bucket],Table5[[#This Row],[Bucket CTL]])/1000</f>
        <v>0</v>
      </c>
      <c r="AA49" s="419">
        <f>SUMIFS(meghsteelsales_currentmonth[Quantity],meghsteelsales_currentmonth[Length Bucket],Table5[[#This Row],[Bucket CTL]])/1000</f>
        <v>0</v>
      </c>
      <c r="AB49">
        <f>Table5[[#This Row],[ INDENT  FOR SEP-25 recommended]]+Table5[[#This Row],[order logg ]]</f>
        <v>12</v>
      </c>
      <c r="AC49" s="52">
        <f>Table5[[#This Row],[Before 20th]]+Table5[[#This Row],[after 20th]]</f>
        <v>0</v>
      </c>
      <c r="AD49" s="52">
        <f>IF((Table5[[#This Row],[Total Indent]]-Table5[[#This Row],[Total Dispatched]])&lt;0,0,Table5[[#This Row],[Total Indent]]-Table5[[#This Row],[Total Dispatched]])</f>
        <v>12</v>
      </c>
    </row>
    <row r="50" spans="1:30" x14ac:dyDescent="0.25">
      <c r="A50" s="265" t="s">
        <v>341</v>
      </c>
      <c r="B50" s="147">
        <v>943210</v>
      </c>
      <c r="C50" s="147" t="s">
        <v>342</v>
      </c>
      <c r="D50" s="153" t="s">
        <v>344</v>
      </c>
      <c r="E50" s="147" t="s">
        <v>348</v>
      </c>
      <c r="F50" s="147" t="s">
        <v>349</v>
      </c>
      <c r="G50" s="148">
        <v>45</v>
      </c>
      <c r="H50" s="148"/>
      <c r="I50" s="148">
        <v>1.4</v>
      </c>
      <c r="J50" s="147">
        <v>6400</v>
      </c>
      <c r="K50" s="147">
        <v>6.42</v>
      </c>
      <c r="L50" s="147" t="str">
        <f t="shared" si="0"/>
        <v>451.46.42HSTFIN CUT</v>
      </c>
      <c r="M50" s="147" t="str">
        <f>VLOOKUP(Table5[[#This Row],[Key]],aug[[#All],[Key]:[Bucket CTL]],2,0)</f>
        <v>45-0-1.4-ERW 2-FIN CUT</v>
      </c>
      <c r="N50" s="147" t="str">
        <f>VLOOKUP(Table5[[#This Row],[Key]],aug[[#All],[Key]:[Bucket CTL]],3,0)</f>
        <v>45-0-1.4-ERW 2-FIN CUT-6.4</v>
      </c>
      <c r="O50" s="149" t="b">
        <f>VLOOKUP(L50,aug[[#All],[Key]:[TSL Material Code]],7,0)</f>
        <v>1</v>
      </c>
      <c r="P50" s="149" t="str">
        <f>VLOOKUP(L50,aug[[#All],[Key]:[TSL Material Code]],8,0)</f>
        <v>0789</v>
      </c>
      <c r="Q50" s="19">
        <v>10</v>
      </c>
      <c r="R50" s="147">
        <v>5</v>
      </c>
      <c r="S50" s="147">
        <v>54</v>
      </c>
      <c r="T50" s="147"/>
      <c r="U50" s="147">
        <f t="shared" si="1"/>
        <v>49</v>
      </c>
      <c r="V50" s="147"/>
      <c r="W50" s="147">
        <f t="shared" si="2"/>
        <v>49</v>
      </c>
      <c r="X50" s="19">
        <f t="shared" si="3"/>
        <v>-39</v>
      </c>
      <c r="Y50" s="167">
        <v>30</v>
      </c>
      <c r="Z50" s="19">
        <f>SUMIFS(meghsteelsales_previousmonth[Quantity],meghsteelsales_previousmonth[Length Bucket],Table5[[#This Row],[Bucket CTL]])/1000</f>
        <v>3.93</v>
      </c>
      <c r="AA50" s="419">
        <f>SUMIFS(meghsteelsales_currentmonth[Quantity],meghsteelsales_currentmonth[Length Bucket],Table5[[#This Row],[Bucket CTL]])/1000</f>
        <v>0</v>
      </c>
      <c r="AB50">
        <f>Table5[[#This Row],[ INDENT  FOR SEP-25 recommended]]+Table5[[#This Row],[order logg ]]</f>
        <v>30</v>
      </c>
      <c r="AC50" s="52">
        <f>Table5[[#This Row],[Before 20th]]+Table5[[#This Row],[after 20th]]</f>
        <v>3.93</v>
      </c>
      <c r="AD50" s="52">
        <f>IF((Table5[[#This Row],[Total Indent]]-Table5[[#This Row],[Total Dispatched]])&lt;0,0,Table5[[#This Row],[Total Indent]]-Table5[[#This Row],[Total Dispatched]])</f>
        <v>26.07</v>
      </c>
    </row>
    <row r="51" spans="1:30" x14ac:dyDescent="0.25">
      <c r="A51" s="265" t="s">
        <v>341</v>
      </c>
      <c r="B51" s="147">
        <v>943210</v>
      </c>
      <c r="C51" s="147" t="s">
        <v>342</v>
      </c>
      <c r="D51" s="153" t="s">
        <v>338</v>
      </c>
      <c r="E51" s="147" t="s">
        <v>348</v>
      </c>
      <c r="F51" s="147" t="s">
        <v>340</v>
      </c>
      <c r="G51" s="148">
        <v>45</v>
      </c>
      <c r="H51" s="148"/>
      <c r="I51" s="148">
        <v>1.4</v>
      </c>
      <c r="J51" s="147">
        <v>5700</v>
      </c>
      <c r="K51" s="147">
        <v>5.7</v>
      </c>
      <c r="L51" s="147" t="str">
        <f t="shared" si="0"/>
        <v>451.45.7ERWFIN CUT</v>
      </c>
      <c r="M51" s="147" t="str">
        <f>VLOOKUP(Table5[[#This Row],[Key]],aug[[#All],[Key]:[Bucket CTL]],2,0)</f>
        <v>45--1.4-ERW 1-FIN CUT</v>
      </c>
      <c r="N51" s="147" t="str">
        <f>VLOOKUP(Table5[[#This Row],[Key]],aug[[#All],[Key]:[Bucket CTL]],3,0)</f>
        <v>45--1.4-ERW 1-FIN CUT-5.7</v>
      </c>
      <c r="O51" s="149" t="b">
        <f>VLOOKUP(L51,aug[[#All],[Key]:[TSL Material Code]],7,0)</f>
        <v>1</v>
      </c>
      <c r="P51" s="149" t="str">
        <f>VLOOKUP(L51,aug[[#All],[Key]:[TSL Material Code]],8,0)</f>
        <v>056</v>
      </c>
      <c r="Q51" s="19">
        <v>10</v>
      </c>
      <c r="R51" s="147">
        <v>0</v>
      </c>
      <c r="S51" s="147">
        <v>0</v>
      </c>
      <c r="T51" s="147"/>
      <c r="U51" s="147">
        <f t="shared" si="1"/>
        <v>0</v>
      </c>
      <c r="V51" s="147">
        <v>0</v>
      </c>
      <c r="W51" s="147">
        <f t="shared" si="2"/>
        <v>0</v>
      </c>
      <c r="X51" s="19">
        <f t="shared" si="3"/>
        <v>10</v>
      </c>
      <c r="Y51" s="167">
        <f t="shared" si="4"/>
        <v>15</v>
      </c>
      <c r="Z51" s="19">
        <f>SUMIFS(meghsteelsales_previousmonth[Quantity],meghsteelsales_previousmonth[Length Bucket],Table5[[#This Row],[Bucket CTL]])/1000</f>
        <v>4.8159999999999998</v>
      </c>
      <c r="AA51" s="419">
        <f>SUMIFS(meghsteelsales_currentmonth[Quantity],meghsteelsales_currentmonth[Length Bucket],Table5[[#This Row],[Bucket CTL]])/1000</f>
        <v>7.35</v>
      </c>
      <c r="AB51">
        <f>Table5[[#This Row],[ INDENT  FOR SEP-25 recommended]]+Table5[[#This Row],[order logg ]]</f>
        <v>15</v>
      </c>
      <c r="AC51" s="52">
        <f>Table5[[#This Row],[Before 20th]]+Table5[[#This Row],[after 20th]]</f>
        <v>12.166</v>
      </c>
      <c r="AD51" s="52">
        <f>IF((Table5[[#This Row],[Total Indent]]-Table5[[#This Row],[Total Dispatched]])&lt;0,0,Table5[[#This Row],[Total Indent]]-Table5[[#This Row],[Total Dispatched]])</f>
        <v>2.8339999999999996</v>
      </c>
    </row>
    <row r="52" spans="1:30" hidden="1" x14ac:dyDescent="0.25">
      <c r="A52" s="265" t="s">
        <v>341</v>
      </c>
      <c r="B52" s="147">
        <v>943210</v>
      </c>
      <c r="C52" s="147" t="s">
        <v>342</v>
      </c>
      <c r="D52" s="153" t="s">
        <v>344</v>
      </c>
      <c r="E52" s="147" t="s">
        <v>348</v>
      </c>
      <c r="F52" s="147" t="s">
        <v>349</v>
      </c>
      <c r="G52" s="148">
        <v>45</v>
      </c>
      <c r="H52" s="148"/>
      <c r="I52" s="148">
        <v>1.6</v>
      </c>
      <c r="J52" s="147">
        <v>6400</v>
      </c>
      <c r="K52" s="147">
        <v>6.42</v>
      </c>
      <c r="L52" s="147" t="str">
        <f t="shared" si="0"/>
        <v>451.66.42HSTFIN CUT</v>
      </c>
      <c r="M52" s="147" t="str">
        <f>VLOOKUP(Table5[[#This Row],[Key]],aug[[#All],[Key]:[Bucket CTL]],2,0)</f>
        <v>45-0-1.6-ERW 2-FIN CUT</v>
      </c>
      <c r="N52" s="147" t="str">
        <f>VLOOKUP(Table5[[#This Row],[Key]],aug[[#All],[Key]:[Bucket CTL]],3,0)</f>
        <v>45-0-1.6-ERW 2-FIN CUT-6.4</v>
      </c>
      <c r="O52" s="149" t="b">
        <f>VLOOKUP(L52,aug[[#All],[Key]:[TSL Material Code]],7,0)</f>
        <v>1</v>
      </c>
      <c r="P52" s="149" t="s">
        <v>6334</v>
      </c>
      <c r="Q52" s="19">
        <v>10</v>
      </c>
      <c r="R52" s="147">
        <v>5</v>
      </c>
      <c r="S52" s="147">
        <v>18</v>
      </c>
      <c r="T52" s="147"/>
      <c r="U52" s="147">
        <f t="shared" si="1"/>
        <v>13</v>
      </c>
      <c r="V52" s="147"/>
      <c r="W52" s="147">
        <f t="shared" si="2"/>
        <v>13</v>
      </c>
      <c r="X52" s="19">
        <f t="shared" si="3"/>
        <v>-3</v>
      </c>
      <c r="Y52" s="167">
        <v>30</v>
      </c>
      <c r="Z52" s="19">
        <f>SUMIFS(meghsteelsales_previousmonth[Quantity],meghsteelsales_previousmonth[Length Bucket],Table5[[#This Row],[Bucket CTL]])/1000</f>
        <v>0</v>
      </c>
      <c r="AA52" s="419">
        <f>SUMIFS(meghsteelsales_currentmonth[Quantity],meghsteelsales_currentmonth[Length Bucket],Table5[[#This Row],[Bucket CTL]])/1000</f>
        <v>0</v>
      </c>
      <c r="AB52">
        <f>Table5[[#This Row],[ INDENT  FOR SEP-25 recommended]]+Table5[[#This Row],[order logg ]]</f>
        <v>30</v>
      </c>
      <c r="AC52" s="52">
        <f>Table5[[#This Row],[Before 20th]]+Table5[[#This Row],[after 20th]]</f>
        <v>0</v>
      </c>
      <c r="AD52" s="52">
        <f>IF((Table5[[#This Row],[Total Indent]]-Table5[[#This Row],[Total Dispatched]])&lt;0,0,Table5[[#This Row],[Total Indent]]-Table5[[#This Row],[Total Dispatched]])</f>
        <v>30</v>
      </c>
    </row>
    <row r="53" spans="1:30" hidden="1" x14ac:dyDescent="0.25">
      <c r="A53" s="265" t="s">
        <v>341</v>
      </c>
      <c r="B53" s="147">
        <v>943210</v>
      </c>
      <c r="C53" s="147" t="s">
        <v>342</v>
      </c>
      <c r="D53" s="153" t="s">
        <v>366</v>
      </c>
      <c r="E53" s="147" t="s">
        <v>348</v>
      </c>
      <c r="F53" s="147" t="s">
        <v>366</v>
      </c>
      <c r="G53" s="148">
        <v>45</v>
      </c>
      <c r="H53" s="148"/>
      <c r="I53" s="148">
        <v>3.5</v>
      </c>
      <c r="J53" s="147">
        <v>6100</v>
      </c>
      <c r="K53" s="147">
        <v>6.1</v>
      </c>
      <c r="L53" s="147" t="str">
        <f t="shared" si="0"/>
        <v>453.56.1CEW-1FIN CUT</v>
      </c>
      <c r="M53" s="147" t="e">
        <f>VLOOKUP(Table5[[#This Row],[Key]],aug[[#All],[Key]:[Bucket CTL]],2,0)</f>
        <v>#N/A</v>
      </c>
      <c r="N53" s="147" t="e">
        <f>VLOOKUP(Table5[[#This Row],[Key]],aug[[#All],[Key]:[Bucket CTL]],3,0)</f>
        <v>#N/A</v>
      </c>
      <c r="O53" s="158" t="s">
        <v>367</v>
      </c>
      <c r="P53" s="149">
        <v>3500263</v>
      </c>
      <c r="Q53" s="19">
        <v>10</v>
      </c>
      <c r="R53" s="147"/>
      <c r="S53" s="147">
        <v>0</v>
      </c>
      <c r="T53" s="147"/>
      <c r="U53" s="147"/>
      <c r="V53" s="147">
        <v>10</v>
      </c>
      <c r="W53" s="147"/>
      <c r="X53" s="19"/>
      <c r="Y53" s="167">
        <f t="shared" si="4"/>
        <v>0</v>
      </c>
      <c r="Z53" s="19">
        <f>SUMIFS(meghsteelsales_previousmonth[Quantity],meghsteelsales_previousmonth[Length Bucket],Table5[[#This Row],[Bucket CTL]])/1000</f>
        <v>0</v>
      </c>
      <c r="AA53" s="419">
        <f>SUMIFS(meghsteelsales_currentmonth[Quantity],meghsteelsales_currentmonth[Length Bucket],Table5[[#This Row],[Bucket CTL]])/1000</f>
        <v>0</v>
      </c>
      <c r="AB53">
        <f>Table5[[#This Row],[ INDENT  FOR SEP-25 recommended]]+Table5[[#This Row],[order logg ]]</f>
        <v>10</v>
      </c>
      <c r="AC53" s="52">
        <f>Table5[[#This Row],[Before 20th]]+Table5[[#This Row],[after 20th]]</f>
        <v>0</v>
      </c>
      <c r="AD53" s="52">
        <f>IF((Table5[[#This Row],[Total Indent]]-Table5[[#This Row],[Total Dispatched]])&lt;0,0,Table5[[#This Row],[Total Indent]]-Table5[[#This Row],[Total Dispatched]])</f>
        <v>10</v>
      </c>
    </row>
    <row r="54" spans="1:30" hidden="1" x14ac:dyDescent="0.25">
      <c r="A54" s="265" t="s">
        <v>5</v>
      </c>
      <c r="B54" s="147">
        <v>943211</v>
      </c>
      <c r="C54" s="147" t="s">
        <v>358</v>
      </c>
      <c r="D54" s="153" t="s">
        <v>366</v>
      </c>
      <c r="E54" s="147" t="s">
        <v>348</v>
      </c>
      <c r="F54" s="147" t="s">
        <v>357</v>
      </c>
      <c r="G54" s="148">
        <v>47.63</v>
      </c>
      <c r="H54" s="148"/>
      <c r="I54" s="148">
        <v>4</v>
      </c>
      <c r="J54" s="147">
        <v>6040</v>
      </c>
      <c r="K54" s="147">
        <v>6.04</v>
      </c>
      <c r="L54" s="147" t="str">
        <f t="shared" si="0"/>
        <v>47.6346.04CEWFIN CUT</v>
      </c>
      <c r="M54" s="147" t="s">
        <v>6335</v>
      </c>
      <c r="N54" s="147" t="s">
        <v>6336</v>
      </c>
      <c r="O54" s="149" t="b">
        <f>VLOOKUP(L54,aug[[#All],[Key]:[TSL Material Code]],7,0)</f>
        <v>1</v>
      </c>
      <c r="P54" s="149" t="str">
        <f>VLOOKUP(L54,aug[[#All],[Key]:[TSL Material Code]],8,0)</f>
        <v>0788</v>
      </c>
      <c r="Q54" s="19">
        <v>10</v>
      </c>
      <c r="R54" s="147">
        <v>0</v>
      </c>
      <c r="S54" s="147">
        <v>0</v>
      </c>
      <c r="T54" s="147"/>
      <c r="U54" s="147">
        <f t="shared" si="1"/>
        <v>0</v>
      </c>
      <c r="V54" s="147">
        <v>0</v>
      </c>
      <c r="W54" s="147">
        <f t="shared" si="2"/>
        <v>0</v>
      </c>
      <c r="X54" s="19">
        <f t="shared" si="3"/>
        <v>10</v>
      </c>
      <c r="Y54" s="167">
        <f t="shared" si="4"/>
        <v>15</v>
      </c>
      <c r="Z54" s="19">
        <f>SUMIFS(meghsteelsales_previousmonth[Quantity],meghsteelsales_previousmonth[Length Bucket],Table5[[#This Row],[Bucket CTL]])/1000</f>
        <v>0</v>
      </c>
      <c r="AA54" s="419">
        <f>SUMIFS(meghsteelsales_currentmonth[Quantity],meghsteelsales_currentmonth[Length Bucket],Table5[[#This Row],[Bucket CTL]])/1000</f>
        <v>0</v>
      </c>
      <c r="AB54">
        <f>Table5[[#This Row],[ INDENT  FOR SEP-25 recommended]]+Table5[[#This Row],[order logg ]]</f>
        <v>15</v>
      </c>
      <c r="AC54" s="52">
        <f>Table5[[#This Row],[Before 20th]]+Table5[[#This Row],[after 20th]]</f>
        <v>0</v>
      </c>
      <c r="AD54" s="52">
        <f>IF((Table5[[#This Row],[Total Indent]]-Table5[[#This Row],[Total Dispatched]])&lt;0,0,Table5[[#This Row],[Total Indent]]-Table5[[#This Row],[Total Dispatched]])</f>
        <v>15</v>
      </c>
    </row>
    <row r="55" spans="1:30" hidden="1" x14ac:dyDescent="0.25">
      <c r="A55" s="265" t="s">
        <v>5</v>
      </c>
      <c r="B55" s="147">
        <v>943211</v>
      </c>
      <c r="C55" s="147" t="s">
        <v>358</v>
      </c>
      <c r="D55" s="153" t="s">
        <v>338</v>
      </c>
      <c r="E55" s="147" t="s">
        <v>348</v>
      </c>
      <c r="F55" s="147" t="s">
        <v>340</v>
      </c>
      <c r="G55" s="148">
        <v>48</v>
      </c>
      <c r="H55" s="148"/>
      <c r="I55" s="148">
        <v>1.2</v>
      </c>
      <c r="J55" s="147">
        <v>620</v>
      </c>
      <c r="K55" s="147">
        <v>0.62</v>
      </c>
      <c r="L55" s="147" t="str">
        <f t="shared" si="0"/>
        <v>481.20.62ERWFIN CUT</v>
      </c>
      <c r="M55" s="147" t="str">
        <f>VLOOKUP(Table5[[#This Row],[Key]],aug[[#All],[Key]:[Bucket CTL]],2,0)</f>
        <v>48--1.2-ERW 1-FIN CUT</v>
      </c>
      <c r="N55" s="147" t="str">
        <f>VLOOKUP(Table5[[#This Row],[Key]],aug[[#All],[Key]:[Bucket CTL]],3,0)</f>
        <v>48--1.2-ERW 1-FIN CUT-0.620</v>
      </c>
      <c r="O55" s="149" t="b">
        <f>VLOOKUP(L55,aug[[#All],[Key]:[TSL Material Code]],7,0)</f>
        <v>1</v>
      </c>
      <c r="P55" s="149" t="str">
        <f>VLOOKUP(L55,aug[[#All],[Key]:[TSL Material Code]],8,0)</f>
        <v>0789</v>
      </c>
      <c r="Q55" s="19">
        <v>10</v>
      </c>
      <c r="R55" s="147">
        <v>0</v>
      </c>
      <c r="S55" s="147">
        <v>0</v>
      </c>
      <c r="T55" s="147"/>
      <c r="U55" s="147">
        <f t="shared" si="1"/>
        <v>0</v>
      </c>
      <c r="V55" s="147"/>
      <c r="W55" s="147">
        <f t="shared" si="2"/>
        <v>0</v>
      </c>
      <c r="X55" s="19">
        <f t="shared" si="3"/>
        <v>10</v>
      </c>
      <c r="Y55" s="167">
        <v>40</v>
      </c>
      <c r="Z55" s="19">
        <f>SUMIFS(meghsteelsales_previousmonth[Quantity],meghsteelsales_previousmonth[Length Bucket],Table5[[#This Row],[Bucket CTL]])/1000</f>
        <v>0</v>
      </c>
      <c r="AA55" s="419">
        <f>SUMIFS(meghsteelsales_currentmonth[Quantity],meghsteelsales_currentmonth[Length Bucket],Table5[[#This Row],[Bucket CTL]])/1000</f>
        <v>0</v>
      </c>
      <c r="AB55">
        <f>Table5[[#This Row],[ INDENT  FOR SEP-25 recommended]]+Table5[[#This Row],[order logg ]]</f>
        <v>40</v>
      </c>
      <c r="AC55" s="52">
        <f>Table5[[#This Row],[Before 20th]]+Table5[[#This Row],[after 20th]]</f>
        <v>0</v>
      </c>
      <c r="AD55" s="52">
        <f>IF((Table5[[#This Row],[Total Indent]]-Table5[[#This Row],[Total Dispatched]])&lt;0,0,Table5[[#This Row],[Total Indent]]-Table5[[#This Row],[Total Dispatched]])</f>
        <v>40</v>
      </c>
    </row>
    <row r="56" spans="1:30" hidden="1" x14ac:dyDescent="0.25">
      <c r="A56" s="265" t="s">
        <v>5</v>
      </c>
      <c r="B56" s="147">
        <v>943211</v>
      </c>
      <c r="C56" s="147" t="s">
        <v>359</v>
      </c>
      <c r="D56" s="153" t="s">
        <v>338</v>
      </c>
      <c r="E56" s="147" t="s">
        <v>348</v>
      </c>
      <c r="F56" s="147" t="s">
        <v>340</v>
      </c>
      <c r="G56" s="148">
        <v>48</v>
      </c>
      <c r="H56" s="148"/>
      <c r="I56" s="148">
        <v>1.2</v>
      </c>
      <c r="J56" s="147">
        <v>650</v>
      </c>
      <c r="K56" s="147">
        <v>0.7</v>
      </c>
      <c r="L56" s="147" t="str">
        <f t="shared" si="0"/>
        <v>481.20.7ERWFIN CUT</v>
      </c>
      <c r="M56" s="147" t="str">
        <f>VLOOKUP(Table5[[#This Row],[Key]],aug[[#All],[Key]:[Bucket CTL]],2,0)</f>
        <v>48--1.2-ERW 1-FIN CUT</v>
      </c>
      <c r="N56" s="147" t="str">
        <f>VLOOKUP(Table5[[#This Row],[Key]],aug[[#All],[Key]:[Bucket CTL]],3,0)</f>
        <v>48--1.2-ERW 1-FIN CUT-0.7</v>
      </c>
      <c r="O56" s="149" t="b">
        <f>VLOOKUP(L56,aug[[#All],[Key]:[TSL Material Code]],7,0)</f>
        <v>1</v>
      </c>
      <c r="P56" s="149" t="str">
        <f>VLOOKUP(L56,aug[[#All],[Key]:[TSL Material Code]],8,0)</f>
        <v>0789</v>
      </c>
      <c r="Q56" s="19">
        <v>14</v>
      </c>
      <c r="R56" s="147">
        <v>0</v>
      </c>
      <c r="S56" s="147">
        <v>0</v>
      </c>
      <c r="T56" s="147"/>
      <c r="U56" s="147">
        <f t="shared" si="1"/>
        <v>0</v>
      </c>
      <c r="V56" s="147"/>
      <c r="W56" s="147">
        <f t="shared" si="2"/>
        <v>0</v>
      </c>
      <c r="X56" s="19">
        <f t="shared" si="3"/>
        <v>14</v>
      </c>
      <c r="Y56" s="167">
        <v>36</v>
      </c>
      <c r="Z56" s="19">
        <f>SUMIFS(meghsteelsales_previousmonth[Quantity],meghsteelsales_previousmonth[Length Bucket],Table5[[#This Row],[Bucket CTL]])/1000</f>
        <v>0</v>
      </c>
      <c r="AA56" s="419">
        <f>SUMIFS(meghsteelsales_currentmonth[Quantity],meghsteelsales_currentmonth[Length Bucket],Table5[[#This Row],[Bucket CTL]])/1000</f>
        <v>0</v>
      </c>
      <c r="AB56">
        <f>Table5[[#This Row],[ INDENT  FOR SEP-25 recommended]]+Table5[[#This Row],[order logg ]]</f>
        <v>36</v>
      </c>
      <c r="AC56" s="52">
        <f>Table5[[#This Row],[Before 20th]]+Table5[[#This Row],[after 20th]]</f>
        <v>0</v>
      </c>
      <c r="AD56" s="52">
        <f>IF((Table5[[#This Row],[Total Indent]]-Table5[[#This Row],[Total Dispatched]])&lt;0,0,Table5[[#This Row],[Total Indent]]-Table5[[#This Row],[Total Dispatched]])</f>
        <v>36</v>
      </c>
    </row>
    <row r="57" spans="1:30" hidden="1" x14ac:dyDescent="0.25">
      <c r="A57" s="265" t="s">
        <v>341</v>
      </c>
      <c r="B57" s="147">
        <v>943210</v>
      </c>
      <c r="C57" s="147" t="s">
        <v>342</v>
      </c>
      <c r="D57" s="153" t="s">
        <v>344</v>
      </c>
      <c r="E57" s="147" t="s">
        <v>348</v>
      </c>
      <c r="F57" s="147" t="s">
        <v>349</v>
      </c>
      <c r="G57" s="148">
        <v>48.6</v>
      </c>
      <c r="H57" s="148"/>
      <c r="I57" s="148">
        <v>2</v>
      </c>
      <c r="J57" s="147">
        <v>6270</v>
      </c>
      <c r="K57" s="147">
        <v>6.27</v>
      </c>
      <c r="L57" s="147" t="str">
        <f t="shared" si="0"/>
        <v>48.626.27HSTFIN CUT</v>
      </c>
      <c r="M57" s="147" t="str">
        <f>VLOOKUP(Table5[[#This Row],[Key]],aug[[#All],[Key]:[Bucket CTL]],2,0)</f>
        <v>No Key</v>
      </c>
      <c r="N57" s="147" t="str">
        <f>VLOOKUP(Table5[[#This Row],[Key]],aug[[#All],[Key]:[Bucket CTL]],3,0)</f>
        <v>No Key</v>
      </c>
      <c r="O57" s="149" t="b">
        <f>VLOOKUP(L57,aug[[#All],[Key]:[TSL Material Code]],7,0)</f>
        <v>1</v>
      </c>
      <c r="P57" s="149" t="str">
        <f>VLOOKUP(L57,aug[[#All],[Key]:[TSL Material Code]],8,0)</f>
        <v>056</v>
      </c>
      <c r="Q57" s="19">
        <v>10</v>
      </c>
      <c r="R57" s="147">
        <v>2</v>
      </c>
      <c r="S57" s="147">
        <v>40</v>
      </c>
      <c r="T57" s="147"/>
      <c r="U57" s="147">
        <f t="shared" si="1"/>
        <v>38</v>
      </c>
      <c r="V57" s="147">
        <v>0</v>
      </c>
      <c r="W57" s="147">
        <f t="shared" si="2"/>
        <v>38</v>
      </c>
      <c r="X57" s="19">
        <f t="shared" si="3"/>
        <v>-28</v>
      </c>
      <c r="Y57" s="167">
        <f t="shared" si="4"/>
        <v>0</v>
      </c>
      <c r="Z57" s="19">
        <f>SUMIFS(meghsteelsales_previousmonth[Quantity],meghsteelsales_previousmonth[Length Bucket],Table5[[#This Row],[Bucket CTL]])/1000</f>
        <v>0</v>
      </c>
      <c r="AA57" s="419">
        <f>SUMIFS(meghsteelsales_currentmonth[Quantity],meghsteelsales_currentmonth[Length Bucket],Table5[[#This Row],[Bucket CTL]])/1000</f>
        <v>0</v>
      </c>
      <c r="AB57">
        <f>Table5[[#This Row],[ INDENT  FOR SEP-25 recommended]]+Table5[[#This Row],[order logg ]]</f>
        <v>0</v>
      </c>
      <c r="AC57" s="52">
        <f>Table5[[#This Row],[Before 20th]]+Table5[[#This Row],[after 20th]]</f>
        <v>0</v>
      </c>
      <c r="AD57" s="52">
        <f>IF((Table5[[#This Row],[Total Indent]]-Table5[[#This Row],[Total Dispatched]])&lt;0,0,Table5[[#This Row],[Total Indent]]-Table5[[#This Row],[Total Dispatched]])</f>
        <v>0</v>
      </c>
    </row>
    <row r="58" spans="1:30" hidden="1" x14ac:dyDescent="0.25">
      <c r="A58" s="265" t="s">
        <v>341</v>
      </c>
      <c r="B58" s="147">
        <v>943210</v>
      </c>
      <c r="C58" s="147" t="s">
        <v>342</v>
      </c>
      <c r="D58" s="153" t="s">
        <v>344</v>
      </c>
      <c r="E58" s="147" t="s">
        <v>348</v>
      </c>
      <c r="F58" s="147" t="s">
        <v>349</v>
      </c>
      <c r="G58" s="148">
        <v>48.6</v>
      </c>
      <c r="H58" s="148"/>
      <c r="I58" s="148">
        <v>2.2999999999999998</v>
      </c>
      <c r="J58" s="147">
        <v>6270</v>
      </c>
      <c r="K58" s="147">
        <v>6.27</v>
      </c>
      <c r="L58" s="147" t="str">
        <f t="shared" si="0"/>
        <v>48.62.36.27HSTFIN CUT</v>
      </c>
      <c r="M58" s="147" t="str">
        <f>VLOOKUP(Table5[[#This Row],[Key]],aug[[#All],[Key]:[Bucket CTL]],2,0)</f>
        <v>48.6-0-2.3-ERW 2-FC</v>
      </c>
      <c r="N58" s="147" t="str">
        <f>VLOOKUP(Table5[[#This Row],[Key]],aug[[#All],[Key]:[Bucket CTL]],3,0)</f>
        <v>48.6-0-2.3-ERW 2-FC-6.27</v>
      </c>
      <c r="O58" s="149" t="b">
        <f>VLOOKUP(L58,aug[[#All],[Key]:[TSL Material Code]],7,0)</f>
        <v>1</v>
      </c>
      <c r="P58" s="149" t="str">
        <f>VLOOKUP(L58,aug[[#All],[Key]:[TSL Material Code]],8,0)</f>
        <v>056</v>
      </c>
      <c r="Q58" s="19">
        <v>10</v>
      </c>
      <c r="R58" s="147">
        <v>0</v>
      </c>
      <c r="S58" s="147">
        <v>0</v>
      </c>
      <c r="T58" s="147"/>
      <c r="U58" s="147">
        <f t="shared" si="1"/>
        <v>0</v>
      </c>
      <c r="V58" s="147">
        <v>9</v>
      </c>
      <c r="W58" s="147">
        <f t="shared" si="2"/>
        <v>9</v>
      </c>
      <c r="X58" s="19">
        <f t="shared" si="3"/>
        <v>1</v>
      </c>
      <c r="Y58" s="167">
        <f t="shared" si="4"/>
        <v>1.5</v>
      </c>
      <c r="Z58" s="19">
        <f>SUMIFS(meghsteelsales_previousmonth[Quantity],meghsteelsales_previousmonth[Length Bucket],Table5[[#This Row],[Bucket CTL]])/1000</f>
        <v>0</v>
      </c>
      <c r="AA58" s="419">
        <f>SUMIFS(meghsteelsales_currentmonth[Quantity],meghsteelsales_currentmonth[Length Bucket],Table5[[#This Row],[Bucket CTL]])/1000</f>
        <v>0</v>
      </c>
      <c r="AB58">
        <f>Table5[[#This Row],[ INDENT  FOR SEP-25 recommended]]+Table5[[#This Row],[order logg ]]</f>
        <v>10.5</v>
      </c>
      <c r="AC58" s="52">
        <f>Table5[[#This Row],[Before 20th]]+Table5[[#This Row],[after 20th]]</f>
        <v>0</v>
      </c>
      <c r="AD58" s="52">
        <f>IF((Table5[[#This Row],[Total Indent]]-Table5[[#This Row],[Total Dispatched]])&lt;0,0,Table5[[#This Row],[Total Indent]]-Table5[[#This Row],[Total Dispatched]])</f>
        <v>10.5</v>
      </c>
    </row>
    <row r="59" spans="1:30" hidden="1" x14ac:dyDescent="0.25">
      <c r="A59" s="265" t="s">
        <v>341</v>
      </c>
      <c r="B59" s="147">
        <v>943210</v>
      </c>
      <c r="C59" s="147" t="s">
        <v>342</v>
      </c>
      <c r="D59" s="153" t="s">
        <v>338</v>
      </c>
      <c r="E59" s="147" t="s">
        <v>348</v>
      </c>
      <c r="F59" s="147" t="s">
        <v>340</v>
      </c>
      <c r="G59" s="148">
        <v>48.6</v>
      </c>
      <c r="H59" s="148"/>
      <c r="I59" s="148">
        <v>3.5</v>
      </c>
      <c r="J59" s="147">
        <v>6000</v>
      </c>
      <c r="K59" s="147">
        <v>6</v>
      </c>
      <c r="L59" s="147" t="str">
        <f t="shared" si="0"/>
        <v>48.63.56ERWFIN CUT</v>
      </c>
      <c r="M59" s="147" t="str">
        <f>VLOOKUP(Table5[[#This Row],[Key]],aug[[#All],[Key]:[Bucket CTL]],2,0)</f>
        <v>48.6-0-3.5-ERW 1-FC</v>
      </c>
      <c r="N59" s="147" t="str">
        <f>VLOOKUP(Table5[[#This Row],[Key]],aug[[#All],[Key]:[Bucket CTL]],3,0)</f>
        <v>48.6-0-3.5-ERW 1-FC-6</v>
      </c>
      <c r="O59" s="149" t="b">
        <f>VLOOKUP(L59,aug[[#All],[Key]:[TSL Material Code]],7,0)</f>
        <v>1</v>
      </c>
      <c r="P59" s="149" t="str">
        <f>VLOOKUP(L59,aug[[#All],[Key]:[TSL Material Code]],8,0)</f>
        <v>0789</v>
      </c>
      <c r="Q59" s="19">
        <v>25</v>
      </c>
      <c r="R59" s="147">
        <v>5</v>
      </c>
      <c r="S59" s="147">
        <v>5</v>
      </c>
      <c r="T59" s="147"/>
      <c r="U59" s="147">
        <f t="shared" si="1"/>
        <v>0</v>
      </c>
      <c r="V59" s="147"/>
      <c r="W59" s="147">
        <f t="shared" si="2"/>
        <v>0</v>
      </c>
      <c r="X59" s="19">
        <f t="shared" si="3"/>
        <v>25</v>
      </c>
      <c r="Y59" s="167">
        <v>30</v>
      </c>
      <c r="Z59" s="19">
        <f>SUMIFS(meghsteelsales_previousmonth[Quantity],meghsteelsales_previousmonth[Length Bucket],Table5[[#This Row],[Bucket CTL]])/1000</f>
        <v>2.991104</v>
      </c>
      <c r="AA59" s="419">
        <f>SUMIFS(meghsteelsales_currentmonth[Quantity],meghsteelsales_currentmonth[Length Bucket],Table5[[#This Row],[Bucket CTL]])/1000</f>
        <v>14.154752</v>
      </c>
      <c r="AB59">
        <f>Table5[[#This Row],[ INDENT  FOR SEP-25 recommended]]+Table5[[#This Row],[order logg ]]</f>
        <v>30</v>
      </c>
      <c r="AC59" s="52">
        <f>Table5[[#This Row],[Before 20th]]+Table5[[#This Row],[after 20th]]</f>
        <v>17.145856000000002</v>
      </c>
      <c r="AD59" s="52">
        <f>IF((Table5[[#This Row],[Total Indent]]-Table5[[#This Row],[Total Dispatched]])&lt;0,0,Table5[[#This Row],[Total Indent]]-Table5[[#This Row],[Total Dispatched]])</f>
        <v>12.854143999999998</v>
      </c>
    </row>
    <row r="60" spans="1:30" hidden="1" x14ac:dyDescent="0.25">
      <c r="A60" s="265" t="s">
        <v>10</v>
      </c>
      <c r="B60" s="147">
        <v>943209</v>
      </c>
      <c r="C60" s="147" t="s">
        <v>116</v>
      </c>
      <c r="D60" s="153" t="s">
        <v>338</v>
      </c>
      <c r="E60" s="147" t="s">
        <v>348</v>
      </c>
      <c r="F60" s="147" t="s">
        <v>340</v>
      </c>
      <c r="G60" s="168" t="s">
        <v>368</v>
      </c>
      <c r="H60" s="168"/>
      <c r="I60" s="168">
        <v>1.6</v>
      </c>
      <c r="J60" s="147">
        <v>6000</v>
      </c>
      <c r="K60" s="147">
        <v>6</v>
      </c>
      <c r="L60" s="147" t="str">
        <f t="shared" si="0"/>
        <v>59x301.66ERWFIN CUT</v>
      </c>
      <c r="M60" s="147" t="str">
        <f>VLOOKUP(Table5[[#This Row],[Key]],aug[[#All],[Key]:[Bucket CTL]],2,0)</f>
        <v>59-30-1.6-ERW 1-FIN CUT</v>
      </c>
      <c r="N60" s="147" t="str">
        <f>VLOOKUP(Table5[[#This Row],[Key]],aug[[#All],[Key]:[Bucket CTL]],3,0)</f>
        <v>59-30-1.6-ERW 1-FIN CUT-6</v>
      </c>
      <c r="O60" s="149" t="b">
        <f>VLOOKUP(L60,aug[[#All],[Key]:[TSL Material Code]],7,0)</f>
        <v>1</v>
      </c>
      <c r="P60" s="149" t="str">
        <f>VLOOKUP(L60,aug[[#All],[Key]:[TSL Material Code]],8,0)</f>
        <v>0789</v>
      </c>
      <c r="Q60" s="19">
        <v>5</v>
      </c>
      <c r="R60" s="147">
        <v>0</v>
      </c>
      <c r="S60" s="147">
        <v>0</v>
      </c>
      <c r="T60" s="147"/>
      <c r="U60" s="147">
        <f t="shared" si="1"/>
        <v>0</v>
      </c>
      <c r="V60" s="147"/>
      <c r="W60" s="147">
        <f t="shared" si="2"/>
        <v>0</v>
      </c>
      <c r="X60" s="19">
        <f t="shared" si="3"/>
        <v>5</v>
      </c>
      <c r="Y60" s="167">
        <v>12</v>
      </c>
      <c r="Z60" s="19">
        <f>SUMIFS(meghsteelsales_previousmonth[Quantity],meghsteelsales_previousmonth[Length Bucket],Table5[[#This Row],[Bucket CTL]])/1000</f>
        <v>5.12</v>
      </c>
      <c r="AA60" s="419">
        <f>SUMIFS(meghsteelsales_currentmonth[Quantity],meghsteelsales_currentmonth[Length Bucket],Table5[[#This Row],[Bucket CTL]])/1000</f>
        <v>0</v>
      </c>
      <c r="AB60">
        <f>Table5[[#This Row],[ INDENT  FOR SEP-25 recommended]]+Table5[[#This Row],[order logg ]]</f>
        <v>12</v>
      </c>
      <c r="AC60" s="52">
        <f>Table5[[#This Row],[Before 20th]]+Table5[[#This Row],[after 20th]]</f>
        <v>5.12</v>
      </c>
      <c r="AD60" s="52">
        <f>IF((Table5[[#This Row],[Total Indent]]-Table5[[#This Row],[Total Dispatched]])&lt;0,0,Table5[[#This Row],[Total Indent]]-Table5[[#This Row],[Total Dispatched]])</f>
        <v>6.88</v>
      </c>
    </row>
    <row r="61" spans="1:30" hidden="1" x14ac:dyDescent="0.25">
      <c r="A61" s="265" t="s">
        <v>5</v>
      </c>
      <c r="B61" s="147">
        <v>943211</v>
      </c>
      <c r="C61" s="147" t="s">
        <v>369</v>
      </c>
      <c r="D61" s="153" t="s">
        <v>338</v>
      </c>
      <c r="E61" s="147" t="s">
        <v>348</v>
      </c>
      <c r="F61" s="147" t="s">
        <v>340</v>
      </c>
      <c r="G61" s="168" t="s">
        <v>368</v>
      </c>
      <c r="H61" s="168"/>
      <c r="I61" s="168">
        <v>1.6</v>
      </c>
      <c r="J61" s="169">
        <v>572.5</v>
      </c>
      <c r="K61" s="147">
        <v>0.57250000000000001</v>
      </c>
      <c r="L61" s="147" t="str">
        <f t="shared" si="0"/>
        <v>59x301.60.5725ERWFIN CUT</v>
      </c>
      <c r="M61" s="147" t="str">
        <f>VLOOKUP(Table5[[#This Row],[Key]],aug[[#All],[Key]:[Bucket CTL]],2,0)</f>
        <v>59-30-1.6-ERW 1-FIN CUT</v>
      </c>
      <c r="N61" s="147" t="str">
        <f>VLOOKUP(Table5[[#This Row],[Key]],aug[[#All],[Key]:[Bucket CTL]],3,0)</f>
        <v>59-30-1.6-ERW 1-FIN CUT-0.573</v>
      </c>
      <c r="O61" s="149" t="b">
        <f>VLOOKUP(L61,aug[[#All],[Key]:[TSL Material Code]],7,0)</f>
        <v>1</v>
      </c>
      <c r="P61" s="149" t="str">
        <f>VLOOKUP(L61,aug[[#All],[Key]:[TSL Material Code]],8,0)</f>
        <v>0789</v>
      </c>
      <c r="Q61" s="19">
        <v>40</v>
      </c>
      <c r="R61" s="147">
        <v>0</v>
      </c>
      <c r="S61" s="147">
        <v>0</v>
      </c>
      <c r="T61" s="147"/>
      <c r="U61" s="147">
        <f t="shared" si="1"/>
        <v>0</v>
      </c>
      <c r="V61" s="147"/>
      <c r="W61" s="147">
        <f t="shared" si="2"/>
        <v>0</v>
      </c>
      <c r="X61" s="19">
        <f t="shared" si="3"/>
        <v>40</v>
      </c>
      <c r="Y61" s="167">
        <v>50</v>
      </c>
      <c r="Z61" s="19">
        <f>SUMIFS(meghsteelsales_previousmonth[Quantity],meghsteelsales_previousmonth[Length Bucket],Table5[[#This Row],[Bucket CTL]])/1000</f>
        <v>9.4819599999999991</v>
      </c>
      <c r="AA61" s="419">
        <f>SUMIFS(meghsteelsales_currentmonth[Quantity],meghsteelsales_currentmonth[Length Bucket],Table5[[#This Row],[Bucket CTL]])/1000</f>
        <v>0</v>
      </c>
      <c r="AB61">
        <f>Table5[[#This Row],[ INDENT  FOR SEP-25 recommended]]+Table5[[#This Row],[order logg ]]</f>
        <v>50</v>
      </c>
      <c r="AC61" s="52">
        <f>Table5[[#This Row],[Before 20th]]+Table5[[#This Row],[after 20th]]</f>
        <v>9.4819599999999991</v>
      </c>
      <c r="AD61" s="52">
        <f>IF((Table5[[#This Row],[Total Indent]]-Table5[[#This Row],[Total Dispatched]])&lt;0,0,Table5[[#This Row],[Total Indent]]-Table5[[#This Row],[Total Dispatched]])</f>
        <v>40.518039999999999</v>
      </c>
    </row>
    <row r="62" spans="1:30" hidden="1" x14ac:dyDescent="0.25">
      <c r="A62" s="265" t="s">
        <v>5</v>
      </c>
      <c r="B62" s="147">
        <v>943211</v>
      </c>
      <c r="C62" s="147" t="s">
        <v>358</v>
      </c>
      <c r="D62" s="153" t="s">
        <v>338</v>
      </c>
      <c r="E62" s="147" t="s">
        <v>348</v>
      </c>
      <c r="F62" s="147" t="s">
        <v>340</v>
      </c>
      <c r="G62" s="168" t="s">
        <v>370</v>
      </c>
      <c r="H62" s="168"/>
      <c r="I62" s="168">
        <v>1.6</v>
      </c>
      <c r="J62" s="169">
        <v>6040</v>
      </c>
      <c r="K62" s="147">
        <v>6.04</v>
      </c>
      <c r="L62" s="147" t="str">
        <f t="shared" si="0"/>
        <v>50X501.66.04ERWFIN CUT</v>
      </c>
      <c r="M62" s="147" t="s">
        <v>6337</v>
      </c>
      <c r="N62" s="147" t="s">
        <v>6338</v>
      </c>
      <c r="O62" s="149" t="b">
        <f>VLOOKUP(L62,aug[[#All],[Key]:[TSL Material Code]],7,0)</f>
        <v>1</v>
      </c>
      <c r="P62" s="149" t="str">
        <f>VLOOKUP(L62,aug[[#All],[Key]:[TSL Material Code]],8,0)</f>
        <v>056</v>
      </c>
      <c r="Q62" s="19">
        <v>10</v>
      </c>
      <c r="R62" s="147">
        <v>0</v>
      </c>
      <c r="S62" s="147">
        <v>0</v>
      </c>
      <c r="T62" s="147"/>
      <c r="U62" s="147">
        <f t="shared" si="1"/>
        <v>0</v>
      </c>
      <c r="V62" s="147">
        <v>20</v>
      </c>
      <c r="W62" s="147">
        <f t="shared" si="2"/>
        <v>20</v>
      </c>
      <c r="X62" s="19">
        <f t="shared" si="3"/>
        <v>-10</v>
      </c>
      <c r="Y62" s="167">
        <f t="shared" si="4"/>
        <v>0</v>
      </c>
      <c r="Z62" s="19">
        <f>SUMIFS(meghsteelsales_previousmonth[Quantity],meghsteelsales_previousmonth[Length Bucket],Table5[[#This Row],[Bucket CTL]])/1000</f>
        <v>0</v>
      </c>
      <c r="AA62" s="419">
        <f>SUMIFS(meghsteelsales_currentmonth[Quantity],meghsteelsales_currentmonth[Length Bucket],Table5[[#This Row],[Bucket CTL]])/1000</f>
        <v>16.988</v>
      </c>
      <c r="AB62">
        <f>Table5[[#This Row],[ INDENT  FOR SEP-25 recommended]]+Table5[[#This Row],[order logg ]]</f>
        <v>20</v>
      </c>
      <c r="AC62" s="52">
        <f>Table5[[#This Row],[Before 20th]]+Table5[[#This Row],[after 20th]]</f>
        <v>16.988</v>
      </c>
      <c r="AD62" s="52">
        <f>IF((Table5[[#This Row],[Total Indent]]-Table5[[#This Row],[Total Dispatched]])&lt;0,0,Table5[[#This Row],[Total Indent]]-Table5[[#This Row],[Total Dispatched]])</f>
        <v>3.0120000000000005</v>
      </c>
    </row>
    <row r="63" spans="1:30" hidden="1" x14ac:dyDescent="0.25">
      <c r="A63" s="265" t="s">
        <v>5</v>
      </c>
      <c r="B63" s="147">
        <v>943211</v>
      </c>
      <c r="C63" s="147" t="s">
        <v>358</v>
      </c>
      <c r="D63" s="153" t="s">
        <v>338</v>
      </c>
      <c r="E63" s="147" t="s">
        <v>348</v>
      </c>
      <c r="F63" s="147" t="s">
        <v>340</v>
      </c>
      <c r="G63" s="168">
        <v>50.8</v>
      </c>
      <c r="H63" s="168"/>
      <c r="I63" s="168">
        <v>2.6</v>
      </c>
      <c r="J63" s="169">
        <v>6000</v>
      </c>
      <c r="K63" s="147">
        <v>6</v>
      </c>
      <c r="L63" s="147" t="str">
        <f t="shared" si="0"/>
        <v>50.82.66ERWFIN CUT</v>
      </c>
      <c r="M63" s="147" t="s">
        <v>6339</v>
      </c>
      <c r="N63" s="147" t="s">
        <v>6340</v>
      </c>
      <c r="O63" s="149" t="b">
        <f>VLOOKUP(L63,aug[[#All],[Key]:[TSL Material Code]],7,0)</f>
        <v>1</v>
      </c>
      <c r="P63" s="149" t="str">
        <f>VLOOKUP(L63,aug[[#All],[Key]:[TSL Material Code]],8,0)</f>
        <v>056</v>
      </c>
      <c r="Q63" s="19">
        <v>5</v>
      </c>
      <c r="R63" s="147">
        <v>0</v>
      </c>
      <c r="S63" s="147">
        <v>0</v>
      </c>
      <c r="T63" s="147"/>
      <c r="U63" s="147">
        <f t="shared" si="1"/>
        <v>0</v>
      </c>
      <c r="V63" s="147">
        <v>5</v>
      </c>
      <c r="W63" s="147">
        <v>0</v>
      </c>
      <c r="X63" s="19">
        <v>5</v>
      </c>
      <c r="Y63" s="167">
        <f t="shared" si="4"/>
        <v>7.5</v>
      </c>
      <c r="Z63" s="19">
        <f>SUMIFS(meghsteelsales_previousmonth[Quantity],meghsteelsales_previousmonth[Length Bucket],Table5[[#This Row],[Bucket CTL]])/1000</f>
        <v>0</v>
      </c>
      <c r="AA63" s="419">
        <f>SUMIFS(meghsteelsales_currentmonth[Quantity],meghsteelsales_currentmonth[Length Bucket],Table5[[#This Row],[Bucket CTL]])/1000</f>
        <v>0</v>
      </c>
      <c r="AB63">
        <f>Table5[[#This Row],[ INDENT  FOR SEP-25 recommended]]+Table5[[#This Row],[order logg ]]</f>
        <v>12.5</v>
      </c>
      <c r="AC63" s="52">
        <f>Table5[[#This Row],[Before 20th]]+Table5[[#This Row],[after 20th]]</f>
        <v>0</v>
      </c>
      <c r="AD63" s="52">
        <f>IF((Table5[[#This Row],[Total Indent]]-Table5[[#This Row],[Total Dispatched]])&lt;0,0,Table5[[#This Row],[Total Indent]]-Table5[[#This Row],[Total Dispatched]])</f>
        <v>12.5</v>
      </c>
    </row>
    <row r="64" spans="1:30" hidden="1" x14ac:dyDescent="0.25">
      <c r="A64" s="265" t="s">
        <v>5</v>
      </c>
      <c r="B64" s="147">
        <v>943211</v>
      </c>
      <c r="C64" s="147" t="s">
        <v>358</v>
      </c>
      <c r="D64" s="153" t="s">
        <v>366</v>
      </c>
      <c r="E64" s="147" t="s">
        <v>348</v>
      </c>
      <c r="F64" s="147" t="s">
        <v>357</v>
      </c>
      <c r="G64" s="168">
        <v>50.8</v>
      </c>
      <c r="H64" s="168">
        <v>45.6</v>
      </c>
      <c r="I64" s="168">
        <v>2.6</v>
      </c>
      <c r="J64" s="169">
        <v>6000</v>
      </c>
      <c r="K64" s="147">
        <v>6</v>
      </c>
      <c r="L64" s="147" t="str">
        <f t="shared" si="0"/>
        <v>50.82.66CEWFIN CUT</v>
      </c>
      <c r="M64" s="147" t="s">
        <v>6341</v>
      </c>
      <c r="N64" s="147" t="s">
        <v>6342</v>
      </c>
      <c r="O64" s="149" t="b">
        <f>VLOOKUP(L64,aug[[#All],[Key]:[TSL Material Code]],7,0)</f>
        <v>1</v>
      </c>
      <c r="P64" s="149" t="str">
        <f>VLOOKUP(L64,aug[[#All],[Key]:[TSL Material Code]],8,0)</f>
        <v>056</v>
      </c>
      <c r="Q64" s="19">
        <v>5</v>
      </c>
      <c r="R64" s="147">
        <v>0</v>
      </c>
      <c r="S64" s="147">
        <v>4</v>
      </c>
      <c r="T64" s="147"/>
      <c r="U64" s="147">
        <f t="shared" si="1"/>
        <v>4</v>
      </c>
      <c r="V64" s="147">
        <v>5</v>
      </c>
      <c r="W64" s="147">
        <v>0</v>
      </c>
      <c r="X64" s="19">
        <v>5</v>
      </c>
      <c r="Y64" s="167">
        <f t="shared" si="4"/>
        <v>7.5</v>
      </c>
      <c r="Z64" s="19">
        <f>SUMIFS(meghsteelsales_previousmonth[Quantity],meghsteelsales_previousmonth[Length Bucket],Table5[[#This Row],[Bucket CTL]])/1000</f>
        <v>0</v>
      </c>
      <c r="AA64" s="419">
        <f>SUMIFS(meghsteelsales_currentmonth[Quantity],meghsteelsales_currentmonth[Length Bucket],Table5[[#This Row],[Bucket CTL]])/1000</f>
        <v>0</v>
      </c>
      <c r="AB64">
        <f>Table5[[#This Row],[ INDENT  FOR SEP-25 recommended]]+Table5[[#This Row],[order logg ]]</f>
        <v>12.5</v>
      </c>
      <c r="AC64" s="52">
        <f>Table5[[#This Row],[Before 20th]]+Table5[[#This Row],[after 20th]]</f>
        <v>0</v>
      </c>
      <c r="AD64" s="52">
        <f>IF((Table5[[#This Row],[Total Indent]]-Table5[[#This Row],[Total Dispatched]])&lt;0,0,Table5[[#This Row],[Total Indent]]-Table5[[#This Row],[Total Dispatched]])</f>
        <v>12.5</v>
      </c>
    </row>
    <row r="65" spans="1:30" hidden="1" x14ac:dyDescent="0.25">
      <c r="A65" s="265" t="s">
        <v>10</v>
      </c>
      <c r="B65" s="147">
        <v>943209</v>
      </c>
      <c r="C65" s="147" t="s">
        <v>346</v>
      </c>
      <c r="D65" s="153" t="s">
        <v>338</v>
      </c>
      <c r="E65" s="147" t="s">
        <v>348</v>
      </c>
      <c r="F65" s="147" t="s">
        <v>340</v>
      </c>
      <c r="G65" s="148">
        <v>57.15</v>
      </c>
      <c r="H65" s="148"/>
      <c r="I65" s="148">
        <v>2.5</v>
      </c>
      <c r="J65" s="147">
        <v>5710</v>
      </c>
      <c r="K65" s="147">
        <v>5.71</v>
      </c>
      <c r="L65" s="147" t="str">
        <f t="shared" si="0"/>
        <v>57.152.55.71ERWFIN CUT</v>
      </c>
      <c r="M65" s="147" t="str">
        <f>VLOOKUP(Table5[[#This Row],[Key]],aug[[#All],[Key]:[Bucket CTL]],2,0)</f>
        <v>57.15-0-2.5-ERW 1-FC</v>
      </c>
      <c r="N65" s="147" t="str">
        <f>VLOOKUP(Table5[[#This Row],[Key]],aug[[#All],[Key]:[Bucket CTL]],3,0)</f>
        <v>57.15-0-2.5-ERW 1-FC-5.711</v>
      </c>
      <c r="O65" s="149" t="b">
        <f>VLOOKUP(L65,aug[[#All],[Key]:[TSL Material Code]],7,0)</f>
        <v>1</v>
      </c>
      <c r="P65" s="149" t="str">
        <f>VLOOKUP(L65,aug[[#All],[Key]:[TSL Material Code]],8,0)</f>
        <v>056</v>
      </c>
      <c r="Q65" s="19">
        <v>80</v>
      </c>
      <c r="R65" s="147">
        <v>49</v>
      </c>
      <c r="S65" s="147">
        <v>49</v>
      </c>
      <c r="T65" s="147">
        <v>0</v>
      </c>
      <c r="U65" s="147">
        <f t="shared" si="1"/>
        <v>0</v>
      </c>
      <c r="V65" s="147">
        <v>128</v>
      </c>
      <c r="W65" s="147">
        <f t="shared" si="2"/>
        <v>128</v>
      </c>
      <c r="X65" s="19">
        <f t="shared" si="3"/>
        <v>-48</v>
      </c>
      <c r="Y65" s="167">
        <f t="shared" si="4"/>
        <v>0</v>
      </c>
      <c r="Z65" s="19">
        <f>SUMIFS(meghsteelsales_previousmonth[Quantity],meghsteelsales_previousmonth[Length Bucket],Table5[[#This Row],[Bucket CTL]])/1000</f>
        <v>16.138103999999998</v>
      </c>
      <c r="AA65" s="419">
        <f>SUMIFS(meghsteelsales_currentmonth[Quantity],meghsteelsales_currentmonth[Length Bucket],Table5[[#This Row],[Bucket CTL]])/1000</f>
        <v>206.77804999999998</v>
      </c>
      <c r="AB65">
        <f>Table5[[#This Row],[ INDENT  FOR SEP-25 recommended]]+Table5[[#This Row],[order logg ]]</f>
        <v>128</v>
      </c>
      <c r="AC65" s="52">
        <f>Table5[[#This Row],[Before 20th]]+Table5[[#This Row],[after 20th]]</f>
        <v>222.91615399999998</v>
      </c>
      <c r="AD65" s="52">
        <f>IF((Table5[[#This Row],[Total Indent]]-Table5[[#This Row],[Total Dispatched]])&lt;0,0,Table5[[#This Row],[Total Indent]]-Table5[[#This Row],[Total Dispatched]])</f>
        <v>0</v>
      </c>
    </row>
    <row r="66" spans="1:30" hidden="1" x14ac:dyDescent="0.25">
      <c r="A66" s="265" t="s">
        <v>10</v>
      </c>
      <c r="B66" s="147">
        <v>943209</v>
      </c>
      <c r="C66" s="147" t="s">
        <v>346</v>
      </c>
      <c r="D66" s="153" t="s">
        <v>338</v>
      </c>
      <c r="E66" s="147" t="s">
        <v>348</v>
      </c>
      <c r="F66" s="147" t="s">
        <v>340</v>
      </c>
      <c r="G66" s="148">
        <v>57.15</v>
      </c>
      <c r="H66" s="148"/>
      <c r="I66" s="148">
        <v>2.5</v>
      </c>
      <c r="J66" s="147">
        <v>5750</v>
      </c>
      <c r="K66" s="147">
        <v>5.75</v>
      </c>
      <c r="L66" s="147" t="str">
        <f t="shared" si="0"/>
        <v>57.152.55.75ERWFIN CUT</v>
      </c>
      <c r="M66" s="147" t="e">
        <f>VLOOKUP(Table5[[#This Row],[Key]],aug[[#All],[Key]:[Bucket CTL]],2,0)</f>
        <v>#N/A</v>
      </c>
      <c r="N66" s="147" t="e">
        <f>VLOOKUP(Table5[[#This Row],[Key]],aug[[#All],[Key]:[Bucket CTL]],3,0)</f>
        <v>#N/A</v>
      </c>
      <c r="O66" s="158" t="s">
        <v>367</v>
      </c>
      <c r="P66" s="149">
        <v>3501047</v>
      </c>
      <c r="Q66" s="19">
        <v>20</v>
      </c>
      <c r="R66" s="147">
        <v>18</v>
      </c>
      <c r="S66" s="147">
        <v>18</v>
      </c>
      <c r="T66" s="147">
        <v>0</v>
      </c>
      <c r="U66" s="147">
        <f t="shared" si="1"/>
        <v>0</v>
      </c>
      <c r="V66" s="147">
        <v>5</v>
      </c>
      <c r="W66" s="147">
        <f t="shared" si="2"/>
        <v>5</v>
      </c>
      <c r="X66" s="19">
        <f t="shared" si="3"/>
        <v>15</v>
      </c>
      <c r="Y66" s="167">
        <f t="shared" si="4"/>
        <v>22.5</v>
      </c>
      <c r="Z66" s="19">
        <f>SUMIFS(meghsteelsales_previousmonth[Quantity],meghsteelsales_previousmonth[Length Bucket],Table5[[#This Row],[Bucket CTL]])/1000</f>
        <v>0</v>
      </c>
      <c r="AA66" s="419">
        <f>SUMIFS(meghsteelsales_currentmonth[Quantity],meghsteelsales_currentmonth[Length Bucket],Table5[[#This Row],[Bucket CTL]])/1000</f>
        <v>0</v>
      </c>
      <c r="AB66">
        <f>Table5[[#This Row],[ INDENT  FOR SEP-25 recommended]]+Table5[[#This Row],[order logg ]]</f>
        <v>27.5</v>
      </c>
      <c r="AC66" s="52">
        <f>Table5[[#This Row],[Before 20th]]+Table5[[#This Row],[after 20th]]</f>
        <v>0</v>
      </c>
      <c r="AD66" s="52">
        <f>IF((Table5[[#This Row],[Total Indent]]-Table5[[#This Row],[Total Dispatched]])&lt;0,0,Table5[[#This Row],[Total Indent]]-Table5[[#This Row],[Total Dispatched]])</f>
        <v>27.5</v>
      </c>
    </row>
    <row r="67" spans="1:30" hidden="1" x14ac:dyDescent="0.25">
      <c r="A67" s="265" t="s">
        <v>10</v>
      </c>
      <c r="B67" s="147">
        <v>943209</v>
      </c>
      <c r="C67" s="147" t="s">
        <v>346</v>
      </c>
      <c r="D67" s="153" t="s">
        <v>338</v>
      </c>
      <c r="E67" s="147" t="s">
        <v>348</v>
      </c>
      <c r="F67" s="147" t="s">
        <v>340</v>
      </c>
      <c r="G67" s="148">
        <v>57.15</v>
      </c>
      <c r="H67" s="148"/>
      <c r="I67" s="148">
        <v>2.5</v>
      </c>
      <c r="J67" s="147">
        <v>6100</v>
      </c>
      <c r="K67" s="147">
        <v>6.1</v>
      </c>
      <c r="L67" s="147" t="str">
        <f t="shared" ref="L67:L69" si="5">_xlfn.CONCAT(G67,I67,K67,F67,E67)</f>
        <v>57.152.56.1ERWFIN CUT</v>
      </c>
      <c r="M67" s="147" t="str">
        <f>VLOOKUP(Table5[[#This Row],[Key]],aug[[#All],[Key]:[Bucket CTL]],2,0)</f>
        <v>57.15-0-2.5-ERW 1-FC</v>
      </c>
      <c r="N67" s="147" t="str">
        <f>VLOOKUP(Table5[[#This Row],[Key]],aug[[#All],[Key]:[Bucket CTL]],3,0)</f>
        <v>57.15-0-2.5-ERW 1-FC-6.1</v>
      </c>
      <c r="O67" s="149" t="b">
        <f>VLOOKUP(L67,aug[[#All],[Key]:[TSL Material Code]],7,0)</f>
        <v>1</v>
      </c>
      <c r="P67" s="149" t="str">
        <f>VLOOKUP(L67,aug[[#All],[Key]:[TSL Material Code]],8,0)</f>
        <v>056</v>
      </c>
      <c r="Q67" s="19">
        <v>80</v>
      </c>
      <c r="R67" s="147">
        <v>20</v>
      </c>
      <c r="S67" s="147">
        <v>26</v>
      </c>
      <c r="T67" s="147">
        <v>0</v>
      </c>
      <c r="U67" s="147">
        <f t="shared" si="1"/>
        <v>6</v>
      </c>
      <c r="V67" s="147">
        <v>146</v>
      </c>
      <c r="W67" s="147">
        <f t="shared" si="2"/>
        <v>152</v>
      </c>
      <c r="X67" s="19">
        <f t="shared" si="3"/>
        <v>-72</v>
      </c>
      <c r="Y67" s="167">
        <f t="shared" ref="Y67:Y69" si="6">IF(X67&gt;0,X67,0)*150%</f>
        <v>0</v>
      </c>
      <c r="Z67" s="19">
        <f>SUMIFS(meghsteelsales_previousmonth[Quantity],meghsteelsales_previousmonth[Length Bucket],Table5[[#This Row],[Bucket CTL]])/1000</f>
        <v>0</v>
      </c>
      <c r="AA67" s="419">
        <f>SUMIFS(meghsteelsales_currentmonth[Quantity],meghsteelsales_currentmonth[Length Bucket],Table5[[#This Row],[Bucket CTL]])/1000</f>
        <v>52.086044999999999</v>
      </c>
      <c r="AB67">
        <f>Table5[[#This Row],[ INDENT  FOR SEP-25 recommended]]+Table5[[#This Row],[order logg ]]</f>
        <v>146</v>
      </c>
      <c r="AC67" s="52">
        <f>Table5[[#This Row],[Before 20th]]+Table5[[#This Row],[after 20th]]</f>
        <v>52.086044999999999</v>
      </c>
      <c r="AD67" s="52">
        <f>IF((Table5[[#This Row],[Total Indent]]-Table5[[#This Row],[Total Dispatched]])&lt;0,0,Table5[[#This Row],[Total Indent]]-Table5[[#This Row],[Total Dispatched]])</f>
        <v>93.913955000000001</v>
      </c>
    </row>
    <row r="68" spans="1:30" hidden="1" x14ac:dyDescent="0.25">
      <c r="A68" s="265" t="s">
        <v>341</v>
      </c>
      <c r="B68" s="147">
        <v>943210</v>
      </c>
      <c r="C68" s="147" t="s">
        <v>342</v>
      </c>
      <c r="D68" s="153" t="s">
        <v>338</v>
      </c>
      <c r="E68" s="147" t="s">
        <v>348</v>
      </c>
      <c r="F68" s="147" t="s">
        <v>340</v>
      </c>
      <c r="G68" s="148">
        <v>57.15</v>
      </c>
      <c r="H68" s="148"/>
      <c r="I68" s="148">
        <v>3</v>
      </c>
      <c r="J68" s="147">
        <v>5650</v>
      </c>
      <c r="K68" s="147">
        <v>5.65</v>
      </c>
      <c r="L68" s="147" t="str">
        <f t="shared" si="5"/>
        <v>57.1535.65ERWFIN CUT</v>
      </c>
      <c r="M68" s="147" t="str">
        <f>VLOOKUP(Table5[[#This Row],[Key]],aug[[#All],[Key]:[Bucket CTL]],2,0)</f>
        <v>57.15-0-3-ERW 1-FC</v>
      </c>
      <c r="N68" s="147" t="str">
        <f>VLOOKUP(Table5[[#This Row],[Key]],aug[[#All],[Key]:[Bucket CTL]],3,0)</f>
        <v>57.15-0-3-ERW 1-FC-5.65</v>
      </c>
      <c r="O68" s="149" t="b">
        <f>VLOOKUP(L68,aug[[#All],[Key]:[TSL Material Code]],7,0)</f>
        <v>1</v>
      </c>
      <c r="P68" s="149" t="str">
        <f>VLOOKUP(L68,aug[[#All],[Key]:[TSL Material Code]],8,0)</f>
        <v>056</v>
      </c>
      <c r="Q68" s="19">
        <v>10</v>
      </c>
      <c r="R68" s="147">
        <v>0</v>
      </c>
      <c r="S68" s="147">
        <v>0</v>
      </c>
      <c r="T68" s="147"/>
      <c r="U68" s="147">
        <f t="shared" ref="U68:U69" si="7">S68-R68</f>
        <v>0</v>
      </c>
      <c r="V68" s="147">
        <v>15</v>
      </c>
      <c r="W68" s="147">
        <f t="shared" si="2"/>
        <v>15</v>
      </c>
      <c r="X68" s="19">
        <f t="shared" si="3"/>
        <v>-5</v>
      </c>
      <c r="Y68" s="167">
        <f t="shared" si="6"/>
        <v>0</v>
      </c>
      <c r="Z68" s="19">
        <f>SUMIFS(meghsteelsales_previousmonth[Quantity],meghsteelsales_previousmonth[Length Bucket],Table5[[#This Row],[Bucket CTL]])/1000</f>
        <v>0</v>
      </c>
      <c r="AA68" s="419">
        <f>SUMIFS(meghsteelsales_currentmonth[Quantity],meghsteelsales_currentmonth[Length Bucket],Table5[[#This Row],[Bucket CTL]])/1000</f>
        <v>0</v>
      </c>
      <c r="AB68">
        <f>Table5[[#This Row],[ INDENT  FOR SEP-25 recommended]]+Table5[[#This Row],[order logg ]]</f>
        <v>15</v>
      </c>
      <c r="AC68" s="52">
        <f>Table5[[#This Row],[Before 20th]]+Table5[[#This Row],[after 20th]]</f>
        <v>0</v>
      </c>
      <c r="AD68" s="52">
        <f>IF((Table5[[#This Row],[Total Indent]]-Table5[[#This Row],[Total Dispatched]])&lt;0,0,Table5[[#This Row],[Total Indent]]-Table5[[#This Row],[Total Dispatched]])</f>
        <v>15</v>
      </c>
    </row>
    <row r="69" spans="1:30" hidden="1" x14ac:dyDescent="0.25">
      <c r="A69" s="389" t="s">
        <v>10</v>
      </c>
      <c r="B69" s="147">
        <v>943209</v>
      </c>
      <c r="C69" s="285" t="s">
        <v>112</v>
      </c>
      <c r="D69" s="390" t="s">
        <v>338</v>
      </c>
      <c r="E69" s="285" t="s">
        <v>348</v>
      </c>
      <c r="F69" s="285" t="s">
        <v>340</v>
      </c>
      <c r="G69" s="391">
        <v>60.3</v>
      </c>
      <c r="H69" s="391"/>
      <c r="I69" s="391">
        <v>2</v>
      </c>
      <c r="J69" s="285">
        <v>5900</v>
      </c>
      <c r="K69" s="285">
        <v>5.9</v>
      </c>
      <c r="L69" s="285" t="str">
        <f t="shared" si="5"/>
        <v>60.325.9ERWFIN CUT</v>
      </c>
      <c r="M69" s="147" t="str">
        <f>VLOOKUP(Table5[[#This Row],[Key]],aug[[#All],[Key]:[Bucket CTL]],2,0)</f>
        <v>60.3-0-2-ERW 1-FC</v>
      </c>
      <c r="N69" s="147" t="str">
        <f>VLOOKUP(Table5[[#This Row],[Key]],aug[[#All],[Key]:[Bucket CTL]],3,0)</f>
        <v>60.3-0-2-ERW 1-FC-5.9</v>
      </c>
      <c r="O69" s="421" t="b">
        <f>VLOOKUP(L69,aug[[#All],[Key]:[TSL Material Code]],7,0)</f>
        <v>1</v>
      </c>
      <c r="P69" s="421" t="str">
        <f>VLOOKUP(L69,aug[[#All],[Key]:[TSL Material Code]],8,0)</f>
        <v>0788</v>
      </c>
      <c r="Q69" s="392">
        <v>30</v>
      </c>
      <c r="R69" s="285">
        <v>4</v>
      </c>
      <c r="S69" s="285">
        <v>25</v>
      </c>
      <c r="T69" s="285"/>
      <c r="U69" s="285">
        <f t="shared" si="7"/>
        <v>21</v>
      </c>
      <c r="V69" s="285">
        <v>10.9</v>
      </c>
      <c r="W69" s="285">
        <f t="shared" si="2"/>
        <v>31.9</v>
      </c>
      <c r="X69" s="392">
        <f t="shared" si="3"/>
        <v>-1.8999999999999986</v>
      </c>
      <c r="Y69" s="422">
        <f t="shared" si="6"/>
        <v>0</v>
      </c>
      <c r="Z69" s="19">
        <f>SUMIFS(meghsteelsales_previousmonth[Quantity],meghsteelsales_previousmonth[Length Bucket],Table5[[#This Row],[Bucket CTL]])/1000</f>
        <v>42.22</v>
      </c>
      <c r="AA69" s="419">
        <f>SUMIFS(meghsteelsales_currentmonth[Quantity],meghsteelsales_currentmonth[Length Bucket],Table5[[#This Row],[Bucket CTL]])/1000</f>
        <v>14.679999999999998</v>
      </c>
      <c r="AB69">
        <f>Table5[[#This Row],[ INDENT  FOR SEP-25 recommended]]+Table5[[#This Row],[order logg ]]</f>
        <v>10.9</v>
      </c>
      <c r="AC69" s="52">
        <f>Table5[[#This Row],[Before 20th]]+Table5[[#This Row],[after 20th]]</f>
        <v>56.9</v>
      </c>
      <c r="AD69" s="52">
        <f>IF((Table5[[#This Row],[Total Indent]]-Table5[[#This Row],[Total Dispatched]])&lt;0,0,Table5[[#This Row],[Total Indent]]-Table5[[#This Row],[Total Dispatched]])</f>
        <v>0</v>
      </c>
    </row>
    <row r="70" spans="1:30" x14ac:dyDescent="0.25">
      <c r="J70" s="152" t="s">
        <v>372</v>
      </c>
      <c r="K70" s="152"/>
      <c r="L70" s="152"/>
      <c r="M70" s="152"/>
      <c r="N70" s="197"/>
      <c r="O70" s="152">
        <f t="shared" ref="O70:Y70" si="8">SUM(Q2:Q69)</f>
        <v>1301</v>
      </c>
      <c r="P70" s="152">
        <f t="shared" si="8"/>
        <v>333</v>
      </c>
      <c r="Q70" s="152">
        <f>SUM(S2:S69)</f>
        <v>701.9</v>
      </c>
      <c r="R70" s="152">
        <f t="shared" si="8"/>
        <v>63</v>
      </c>
      <c r="S70" s="152">
        <f t="shared" si="8"/>
        <v>368.9</v>
      </c>
      <c r="T70" s="152">
        <f t="shared" si="8"/>
        <v>905.4</v>
      </c>
      <c r="U70" s="152">
        <f t="shared" si="8"/>
        <v>1250.3000000000002</v>
      </c>
      <c r="V70" s="152">
        <f t="shared" si="8"/>
        <v>40.699999999999996</v>
      </c>
      <c r="W70" s="172">
        <f t="shared" si="8"/>
        <v>904.5</v>
      </c>
      <c r="X70" s="15">
        <f t="shared" si="8"/>
        <v>667.07412799999997</v>
      </c>
      <c r="Y70" s="15">
        <f t="shared" si="8"/>
        <v>723.59615799999983</v>
      </c>
      <c r="Z70">
        <f>SUBTOTAL(9,Table5[Before 20th])</f>
        <v>8.7460000000000004</v>
      </c>
      <c r="AA70">
        <f>SUBTOTAL(9,Table5[after 20th])</f>
        <v>7.35</v>
      </c>
      <c r="AB70">
        <f>SUBTOTAL(9,Table5[Total Indent])</f>
        <v>144.5</v>
      </c>
      <c r="AC70">
        <f>SUBTOTAL(9,Table5[Total Dispatched])</f>
        <v>16.096</v>
      </c>
      <c r="AD70">
        <f>SUBTOTAL(9,Table5[GAP])</f>
        <v>128.404</v>
      </c>
    </row>
    <row r="71" spans="1:30" x14ac:dyDescent="0.25">
      <c r="N71" s="198"/>
      <c r="V71"/>
      <c r="W71" s="173"/>
    </row>
    <row r="72" spans="1:30" x14ac:dyDescent="0.25">
      <c r="N72" s="198"/>
      <c r="V72"/>
      <c r="W72" s="173"/>
    </row>
    <row r="73" spans="1:30" ht="63.75" x14ac:dyDescent="0.25">
      <c r="A73" s="424" t="s">
        <v>322</v>
      </c>
      <c r="B73" s="425" t="s">
        <v>2</v>
      </c>
      <c r="C73" s="269" t="s">
        <v>312</v>
      </c>
      <c r="D73" s="425" t="s">
        <v>316</v>
      </c>
      <c r="E73" s="272" t="s">
        <v>317</v>
      </c>
      <c r="F73" s="425" t="s">
        <v>318</v>
      </c>
      <c r="G73" s="425" t="s">
        <v>319</v>
      </c>
      <c r="H73" s="425" t="s">
        <v>320</v>
      </c>
      <c r="I73" s="425" t="s">
        <v>323</v>
      </c>
      <c r="J73" s="425" t="s">
        <v>6329</v>
      </c>
      <c r="K73" s="270" t="s">
        <v>313</v>
      </c>
      <c r="L73" s="271" t="s">
        <v>314</v>
      </c>
      <c r="M73" s="425" t="s">
        <v>374</v>
      </c>
      <c r="N73" s="425" t="s">
        <v>6343</v>
      </c>
      <c r="O73" s="425" t="s">
        <v>377</v>
      </c>
      <c r="P73" s="425" t="s">
        <v>378</v>
      </c>
      <c r="V73"/>
      <c r="W73" s="173"/>
    </row>
    <row r="74" spans="1:30" ht="31.5" x14ac:dyDescent="0.25">
      <c r="A74" s="91" t="s">
        <v>367</v>
      </c>
      <c r="B74" s="15" t="s">
        <v>10</v>
      </c>
      <c r="C74" s="15">
        <v>943209</v>
      </c>
      <c r="D74" s="15">
        <v>19.05</v>
      </c>
      <c r="E74" s="15">
        <v>0</v>
      </c>
      <c r="F74" s="15">
        <v>2</v>
      </c>
      <c r="G74" s="15">
        <v>5800</v>
      </c>
      <c r="H74" s="15">
        <v>5.8</v>
      </c>
      <c r="I74" s="15">
        <v>3212868</v>
      </c>
      <c r="J74" s="15">
        <v>10</v>
      </c>
      <c r="K74" s="92" t="s">
        <v>338</v>
      </c>
      <c r="L74" s="426" t="s">
        <v>339</v>
      </c>
      <c r="M74" s="426" t="s">
        <v>6344</v>
      </c>
      <c r="N74" s="450" t="s">
        <v>6344</v>
      </c>
      <c r="O74" s="451">
        <v>9519030855</v>
      </c>
      <c r="P74" s="450" t="s">
        <v>6345</v>
      </c>
      <c r="V74"/>
      <c r="W74" s="173"/>
    </row>
    <row r="75" spans="1:30" ht="47.25" x14ac:dyDescent="0.25">
      <c r="A75" s="91" t="s">
        <v>367</v>
      </c>
      <c r="B75" s="15" t="s">
        <v>10</v>
      </c>
      <c r="C75" s="15">
        <v>943209</v>
      </c>
      <c r="D75" s="15">
        <v>19.05</v>
      </c>
      <c r="E75" s="15">
        <v>0</v>
      </c>
      <c r="F75" s="15">
        <v>2.2999999999999998</v>
      </c>
      <c r="G75" s="15">
        <v>7000</v>
      </c>
      <c r="H75" s="15">
        <v>7</v>
      </c>
      <c r="I75" s="15">
        <v>3500582</v>
      </c>
      <c r="J75" s="15">
        <v>28.5</v>
      </c>
      <c r="K75" s="92" t="s">
        <v>338</v>
      </c>
      <c r="L75" s="426" t="s">
        <v>339</v>
      </c>
      <c r="M75" s="15" t="s">
        <v>1423</v>
      </c>
      <c r="N75" s="447" t="s">
        <v>1423</v>
      </c>
      <c r="O75" s="448">
        <v>9519030855</v>
      </c>
      <c r="P75" s="447" t="s">
        <v>6346</v>
      </c>
      <c r="V75"/>
      <c r="W75" s="173"/>
    </row>
    <row r="76" spans="1:30" ht="31.5" x14ac:dyDescent="0.25">
      <c r="A76" s="91" t="s">
        <v>367</v>
      </c>
      <c r="B76" s="15" t="s">
        <v>10</v>
      </c>
      <c r="C76" s="15">
        <v>943209</v>
      </c>
      <c r="D76" s="15">
        <v>22.2</v>
      </c>
      <c r="E76" s="15">
        <v>0</v>
      </c>
      <c r="F76" s="15">
        <v>1.6</v>
      </c>
      <c r="G76" s="15">
        <v>5670</v>
      </c>
      <c r="H76" s="15">
        <v>5.67</v>
      </c>
      <c r="I76" s="15">
        <v>4055022</v>
      </c>
      <c r="J76" s="15">
        <v>15</v>
      </c>
      <c r="K76" s="92" t="s">
        <v>338</v>
      </c>
      <c r="L76" s="426" t="s">
        <v>339</v>
      </c>
      <c r="M76" s="15" t="s">
        <v>6288</v>
      </c>
      <c r="N76" s="447" t="s">
        <v>6288</v>
      </c>
      <c r="O76" s="448">
        <v>9519031914</v>
      </c>
      <c r="P76" s="447" t="s">
        <v>6345</v>
      </c>
      <c r="V76"/>
      <c r="W76" s="173"/>
    </row>
    <row r="77" spans="1:30" ht="47.25" x14ac:dyDescent="0.25">
      <c r="A77" s="91" t="s">
        <v>367</v>
      </c>
      <c r="B77" s="15" t="s">
        <v>10</v>
      </c>
      <c r="C77" s="15">
        <v>943209</v>
      </c>
      <c r="D77" s="15">
        <v>25.4</v>
      </c>
      <c r="E77" s="15">
        <v>0</v>
      </c>
      <c r="F77" s="15">
        <v>1.6</v>
      </c>
      <c r="G77" s="15">
        <v>6000</v>
      </c>
      <c r="H77" s="15">
        <v>6</v>
      </c>
      <c r="I77" s="15">
        <v>3500097</v>
      </c>
      <c r="J77" s="15">
        <v>15</v>
      </c>
      <c r="K77" s="92" t="s">
        <v>338</v>
      </c>
      <c r="L77" s="426" t="s">
        <v>339</v>
      </c>
      <c r="M77" s="15" t="s">
        <v>6290</v>
      </c>
      <c r="N77" s="447" t="s">
        <v>6290</v>
      </c>
      <c r="O77" s="448">
        <v>9519031891</v>
      </c>
      <c r="P77" s="447" t="s">
        <v>6346</v>
      </c>
      <c r="V77"/>
      <c r="W77" s="173"/>
    </row>
    <row r="78" spans="1:30" ht="31.5" x14ac:dyDescent="0.25">
      <c r="A78" s="91" t="s">
        <v>367</v>
      </c>
      <c r="B78" s="15" t="s">
        <v>10</v>
      </c>
      <c r="C78" s="15">
        <v>943209</v>
      </c>
      <c r="D78" s="15">
        <v>25.4</v>
      </c>
      <c r="E78" s="15">
        <v>0</v>
      </c>
      <c r="F78" s="15">
        <v>2</v>
      </c>
      <c r="G78" s="15">
        <v>5840</v>
      </c>
      <c r="H78" s="15">
        <v>5.82</v>
      </c>
      <c r="I78" s="15">
        <v>3240023</v>
      </c>
      <c r="J78" s="15">
        <v>10</v>
      </c>
      <c r="K78" s="92" t="s">
        <v>338</v>
      </c>
      <c r="L78" s="426" t="s">
        <v>339</v>
      </c>
      <c r="M78" s="15" t="s">
        <v>6347</v>
      </c>
      <c r="N78" s="447" t="s">
        <v>6347</v>
      </c>
      <c r="O78" s="448">
        <v>9519030855</v>
      </c>
      <c r="P78" s="447" t="s">
        <v>6346</v>
      </c>
      <c r="V78"/>
      <c r="W78" s="173"/>
    </row>
    <row r="79" spans="1:30" ht="47.25" x14ac:dyDescent="0.25">
      <c r="A79" s="91" t="s">
        <v>367</v>
      </c>
      <c r="B79" s="15" t="s">
        <v>10</v>
      </c>
      <c r="C79" s="15">
        <v>943209</v>
      </c>
      <c r="D79" s="15">
        <v>38.1</v>
      </c>
      <c r="E79" s="15">
        <v>0</v>
      </c>
      <c r="F79" s="15">
        <v>2.5</v>
      </c>
      <c r="G79" s="15">
        <v>6190</v>
      </c>
      <c r="H79" s="15">
        <v>6.19</v>
      </c>
      <c r="I79" s="15">
        <v>3502007</v>
      </c>
      <c r="J79" s="15">
        <v>82.5</v>
      </c>
      <c r="K79" s="92" t="s">
        <v>344</v>
      </c>
      <c r="L79" s="426" t="s">
        <v>348</v>
      </c>
      <c r="M79" s="15" t="s">
        <v>5993</v>
      </c>
      <c r="N79" s="447" t="s">
        <v>5993</v>
      </c>
      <c r="O79" s="448">
        <v>9519030855</v>
      </c>
      <c r="P79" s="447" t="s">
        <v>6346</v>
      </c>
      <c r="V79"/>
      <c r="W79" s="173"/>
    </row>
    <row r="80" spans="1:30" ht="47.25" x14ac:dyDescent="0.25">
      <c r="A80" s="91" t="s">
        <v>367</v>
      </c>
      <c r="B80" s="15" t="s">
        <v>10</v>
      </c>
      <c r="C80" s="15">
        <v>943209</v>
      </c>
      <c r="D80" s="15">
        <v>57.15</v>
      </c>
      <c r="E80" s="15">
        <v>0</v>
      </c>
      <c r="F80" s="15">
        <v>2.5</v>
      </c>
      <c r="G80" s="15">
        <v>5750</v>
      </c>
      <c r="H80" s="15">
        <v>5.75</v>
      </c>
      <c r="I80" s="15">
        <v>3501047</v>
      </c>
      <c r="J80" s="15">
        <v>22.5</v>
      </c>
      <c r="K80" s="92" t="s">
        <v>338</v>
      </c>
      <c r="L80" s="426" t="s">
        <v>348</v>
      </c>
      <c r="M80" s="15" t="s">
        <v>2371</v>
      </c>
      <c r="N80" s="447" t="s">
        <v>2371</v>
      </c>
      <c r="O80" s="448">
        <v>9519030855</v>
      </c>
      <c r="P80" s="447" t="s">
        <v>6346</v>
      </c>
      <c r="V80"/>
      <c r="W80" s="173"/>
    </row>
    <row r="81" spans="1:23" ht="47.25" x14ac:dyDescent="0.25">
      <c r="A81" s="91" t="s">
        <v>367</v>
      </c>
      <c r="B81" s="15" t="s">
        <v>5</v>
      </c>
      <c r="C81" s="15">
        <v>943211</v>
      </c>
      <c r="D81" s="15">
        <v>50.8</v>
      </c>
      <c r="E81" s="15">
        <v>0</v>
      </c>
      <c r="F81" s="15">
        <v>2.6</v>
      </c>
      <c r="G81" s="15">
        <v>6000</v>
      </c>
      <c r="H81" s="15">
        <v>6</v>
      </c>
      <c r="I81" s="15">
        <v>3518437</v>
      </c>
      <c r="J81" s="15">
        <v>7.5</v>
      </c>
      <c r="K81" s="92" t="s">
        <v>338</v>
      </c>
      <c r="L81" s="426" t="s">
        <v>348</v>
      </c>
      <c r="M81" s="15" t="s">
        <v>6293</v>
      </c>
      <c r="N81" s="447" t="s">
        <v>6293</v>
      </c>
      <c r="O81" s="448">
        <v>9519031095</v>
      </c>
      <c r="P81" s="447" t="s">
        <v>6346</v>
      </c>
      <c r="U81">
        <v>56</v>
      </c>
      <c r="V81"/>
      <c r="W81" s="173"/>
    </row>
    <row r="82" spans="1:23" ht="47.25" x14ac:dyDescent="0.25">
      <c r="A82" s="91" t="s">
        <v>367</v>
      </c>
      <c r="B82" s="15" t="s">
        <v>5</v>
      </c>
      <c r="C82" s="15">
        <v>943211</v>
      </c>
      <c r="D82" s="15">
        <v>50.8</v>
      </c>
      <c r="E82" s="15">
        <v>45.6</v>
      </c>
      <c r="F82" s="15">
        <v>2.6</v>
      </c>
      <c r="G82" s="15">
        <v>6000</v>
      </c>
      <c r="H82" s="15">
        <v>6</v>
      </c>
      <c r="I82" s="15">
        <v>3500695</v>
      </c>
      <c r="J82" s="15">
        <v>7.5</v>
      </c>
      <c r="K82" s="92" t="s">
        <v>366</v>
      </c>
      <c r="L82" s="426" t="s">
        <v>348</v>
      </c>
      <c r="M82" s="15" t="s">
        <v>6294</v>
      </c>
      <c r="N82" s="447" t="s">
        <v>6294</v>
      </c>
      <c r="O82" s="448">
        <v>9519031095</v>
      </c>
      <c r="P82" s="447" t="s">
        <v>6346</v>
      </c>
      <c r="V82"/>
      <c r="W82" s="173"/>
    </row>
    <row r="83" spans="1:23" ht="47.25" x14ac:dyDescent="0.25">
      <c r="A83" s="91" t="s">
        <v>367</v>
      </c>
      <c r="B83" s="15" t="s">
        <v>341</v>
      </c>
      <c r="C83" s="15">
        <v>943210</v>
      </c>
      <c r="D83" s="15">
        <v>25.4</v>
      </c>
      <c r="E83" s="15">
        <v>0</v>
      </c>
      <c r="F83" s="15">
        <v>1.4</v>
      </c>
      <c r="G83" s="15">
        <v>5531</v>
      </c>
      <c r="H83" s="15">
        <v>5.5309999999999997</v>
      </c>
      <c r="I83" s="15">
        <v>3501900</v>
      </c>
      <c r="J83" s="15">
        <v>10</v>
      </c>
      <c r="K83" s="92" t="s">
        <v>344</v>
      </c>
      <c r="L83" s="426" t="s">
        <v>348</v>
      </c>
      <c r="M83" s="15" t="s">
        <v>1563</v>
      </c>
      <c r="N83" s="447" t="s">
        <v>1563</v>
      </c>
      <c r="O83" s="448">
        <v>9519031013</v>
      </c>
      <c r="P83" s="447" t="s">
        <v>6346</v>
      </c>
      <c r="V83"/>
      <c r="W83" s="173"/>
    </row>
    <row r="84" spans="1:23" ht="31.5" x14ac:dyDescent="0.25">
      <c r="A84" s="91" t="s">
        <v>367</v>
      </c>
      <c r="B84" s="15" t="s">
        <v>341</v>
      </c>
      <c r="C84" s="15">
        <v>943210</v>
      </c>
      <c r="D84" s="15">
        <v>45</v>
      </c>
      <c r="E84" s="15">
        <v>0</v>
      </c>
      <c r="F84" s="15">
        <v>1.4</v>
      </c>
      <c r="G84" s="15">
        <v>5700</v>
      </c>
      <c r="H84" s="15">
        <v>5.7</v>
      </c>
      <c r="I84" s="15">
        <v>3545558</v>
      </c>
      <c r="J84" s="15">
        <v>15</v>
      </c>
      <c r="K84" s="92" t="s">
        <v>338</v>
      </c>
      <c r="L84" s="426" t="s">
        <v>348</v>
      </c>
      <c r="M84" s="15" t="s">
        <v>2378</v>
      </c>
      <c r="N84" s="447" t="s">
        <v>2378</v>
      </c>
      <c r="O84" s="448">
        <v>9519031013</v>
      </c>
      <c r="P84" s="447" t="s">
        <v>6346</v>
      </c>
      <c r="V84"/>
      <c r="W84" s="173"/>
    </row>
    <row r="85" spans="1:23" ht="47.25" x14ac:dyDescent="0.25">
      <c r="A85" s="91" t="s">
        <v>367</v>
      </c>
      <c r="B85" s="15" t="s">
        <v>341</v>
      </c>
      <c r="C85" s="15">
        <v>943210</v>
      </c>
      <c r="D85" s="15">
        <v>48.6</v>
      </c>
      <c r="E85" s="15">
        <v>0</v>
      </c>
      <c r="F85" s="15">
        <v>2.2999999999999998</v>
      </c>
      <c r="G85" s="15">
        <v>6270</v>
      </c>
      <c r="H85" s="15">
        <v>6.27</v>
      </c>
      <c r="I85" s="15">
        <v>3549720</v>
      </c>
      <c r="J85" s="15">
        <v>10</v>
      </c>
      <c r="K85" s="92" t="s">
        <v>344</v>
      </c>
      <c r="L85" s="426" t="s">
        <v>348</v>
      </c>
      <c r="M85" s="15" t="s">
        <v>5971</v>
      </c>
      <c r="N85" s="447" t="s">
        <v>5971</v>
      </c>
      <c r="O85" s="448">
        <v>9519031013</v>
      </c>
      <c r="P85" s="447" t="s">
        <v>6346</v>
      </c>
      <c r="V85"/>
      <c r="W85" s="173"/>
    </row>
    <row r="86" spans="1:23" ht="31.5" x14ac:dyDescent="0.25">
      <c r="A86" s="91" t="s">
        <v>362</v>
      </c>
      <c r="B86" s="15" t="s">
        <v>5</v>
      </c>
      <c r="C86" s="15">
        <v>943211</v>
      </c>
      <c r="D86" s="15">
        <v>47.63</v>
      </c>
      <c r="E86" s="15">
        <v>0</v>
      </c>
      <c r="F86" s="15">
        <v>4</v>
      </c>
      <c r="G86" s="15">
        <v>6040</v>
      </c>
      <c r="H86" s="15">
        <v>6.04</v>
      </c>
      <c r="I86" s="15">
        <v>3500635</v>
      </c>
      <c r="J86" s="15">
        <v>15</v>
      </c>
      <c r="K86" s="92" t="s">
        <v>366</v>
      </c>
      <c r="L86" s="426" t="s">
        <v>348</v>
      </c>
      <c r="M86" s="15" t="s">
        <v>5466</v>
      </c>
      <c r="N86" s="447" t="s">
        <v>5466</v>
      </c>
      <c r="O86" s="448">
        <v>9519031108</v>
      </c>
      <c r="P86" s="447" t="s">
        <v>6348</v>
      </c>
      <c r="V86"/>
      <c r="W86" s="173"/>
    </row>
    <row r="87" spans="1:23" ht="31.5" x14ac:dyDescent="0.25">
      <c r="A87" s="91" t="s">
        <v>345</v>
      </c>
      <c r="B87" s="15" t="s">
        <v>10</v>
      </c>
      <c r="C87" s="15">
        <v>943209</v>
      </c>
      <c r="D87" s="15">
        <v>12.7</v>
      </c>
      <c r="E87" s="15">
        <v>0</v>
      </c>
      <c r="F87" s="15">
        <v>1.2</v>
      </c>
      <c r="G87" s="15">
        <v>6000</v>
      </c>
      <c r="H87" s="15">
        <v>6</v>
      </c>
      <c r="I87" s="15">
        <v>1939985</v>
      </c>
      <c r="J87" s="15">
        <v>24</v>
      </c>
      <c r="K87" s="92" t="s">
        <v>338</v>
      </c>
      <c r="L87" s="426" t="s">
        <v>339</v>
      </c>
      <c r="M87" s="15" t="s">
        <v>1137</v>
      </c>
      <c r="N87" s="447" t="s">
        <v>1137</v>
      </c>
      <c r="O87" s="448">
        <v>9519030964</v>
      </c>
      <c r="P87" s="447" t="s">
        <v>6346</v>
      </c>
      <c r="V87"/>
      <c r="W87" s="173"/>
    </row>
    <row r="88" spans="1:23" ht="31.5" x14ac:dyDescent="0.25">
      <c r="A88" s="91" t="s">
        <v>345</v>
      </c>
      <c r="B88" s="15" t="s">
        <v>10</v>
      </c>
      <c r="C88" s="15">
        <v>943209</v>
      </c>
      <c r="D88" s="15">
        <v>12.7</v>
      </c>
      <c r="E88" s="15">
        <v>0</v>
      </c>
      <c r="F88" s="15">
        <v>2</v>
      </c>
      <c r="G88" s="15">
        <v>6000</v>
      </c>
      <c r="H88" s="15">
        <v>6</v>
      </c>
      <c r="I88" s="15">
        <v>236166</v>
      </c>
      <c r="J88" s="15">
        <v>10</v>
      </c>
      <c r="K88" s="92" t="s">
        <v>338</v>
      </c>
      <c r="L88" s="426" t="s">
        <v>339</v>
      </c>
      <c r="M88" s="15" t="s">
        <v>6349</v>
      </c>
      <c r="N88" s="447" t="s">
        <v>6349</v>
      </c>
      <c r="O88" s="448"/>
      <c r="P88" s="447" t="s">
        <v>6350</v>
      </c>
      <c r="V88"/>
      <c r="W88" s="173"/>
    </row>
    <row r="89" spans="1:23" ht="31.5" x14ac:dyDescent="0.25">
      <c r="A89" s="91" t="s">
        <v>345</v>
      </c>
      <c r="B89" s="15" t="s">
        <v>10</v>
      </c>
      <c r="C89" s="15">
        <v>943209</v>
      </c>
      <c r="D89" s="15">
        <v>15.88</v>
      </c>
      <c r="E89" s="15">
        <v>0</v>
      </c>
      <c r="F89" s="15">
        <v>1.2</v>
      </c>
      <c r="G89" s="15">
        <v>6000</v>
      </c>
      <c r="H89" s="15">
        <v>6</v>
      </c>
      <c r="I89" s="15">
        <v>1940054</v>
      </c>
      <c r="J89" s="15">
        <v>12</v>
      </c>
      <c r="K89" s="92" t="s">
        <v>338</v>
      </c>
      <c r="L89" s="426" t="s">
        <v>339</v>
      </c>
      <c r="M89" s="15" t="s">
        <v>2206</v>
      </c>
      <c r="N89" s="447" t="s">
        <v>2206</v>
      </c>
      <c r="O89" s="448">
        <v>9519030964</v>
      </c>
      <c r="P89" s="447" t="s">
        <v>6346</v>
      </c>
      <c r="V89"/>
      <c r="W89" s="173"/>
    </row>
    <row r="90" spans="1:23" ht="31.5" x14ac:dyDescent="0.25">
      <c r="A90" s="91" t="s">
        <v>345</v>
      </c>
      <c r="B90" s="15" t="s">
        <v>10</v>
      </c>
      <c r="C90" s="15">
        <v>943209</v>
      </c>
      <c r="D90" s="15">
        <v>18.3</v>
      </c>
      <c r="E90" s="15">
        <v>0</v>
      </c>
      <c r="F90" s="15">
        <v>1</v>
      </c>
      <c r="G90" s="15">
        <v>6000</v>
      </c>
      <c r="H90" s="15">
        <v>6</v>
      </c>
      <c r="I90" s="15">
        <v>2288945</v>
      </c>
      <c r="J90" s="15">
        <v>15</v>
      </c>
      <c r="K90" s="92" t="s">
        <v>338</v>
      </c>
      <c r="L90" s="426" t="s">
        <v>339</v>
      </c>
      <c r="M90" s="15" t="s">
        <v>1241</v>
      </c>
      <c r="N90" s="447" t="s">
        <v>1241</v>
      </c>
      <c r="O90" s="448">
        <v>9519030964</v>
      </c>
      <c r="P90" s="447" t="s">
        <v>6346</v>
      </c>
      <c r="V90"/>
      <c r="W90" s="173"/>
    </row>
    <row r="91" spans="1:23" ht="31.5" x14ac:dyDescent="0.25">
      <c r="A91" s="91" t="s">
        <v>345</v>
      </c>
      <c r="B91" s="15" t="s">
        <v>10</v>
      </c>
      <c r="C91" s="15">
        <v>943209</v>
      </c>
      <c r="D91" s="15">
        <v>21.4</v>
      </c>
      <c r="E91" s="15">
        <v>0</v>
      </c>
      <c r="F91" s="15">
        <v>1.6</v>
      </c>
      <c r="G91" s="15">
        <v>6000</v>
      </c>
      <c r="H91" s="15">
        <v>6</v>
      </c>
      <c r="I91" s="15">
        <v>3219710</v>
      </c>
      <c r="J91" s="15">
        <v>10</v>
      </c>
      <c r="K91" s="92" t="s">
        <v>338</v>
      </c>
      <c r="L91" s="426" t="s">
        <v>339</v>
      </c>
      <c r="M91" s="15" t="s">
        <v>1434</v>
      </c>
      <c r="N91" s="447" t="s">
        <v>1434</v>
      </c>
      <c r="O91" s="448">
        <v>9519030964</v>
      </c>
      <c r="P91" s="447" t="s">
        <v>6346</v>
      </c>
      <c r="V91"/>
      <c r="W91" s="173"/>
    </row>
    <row r="92" spans="1:23" ht="31.5" x14ac:dyDescent="0.25">
      <c r="A92" s="91" t="s">
        <v>345</v>
      </c>
      <c r="B92" s="15" t="s">
        <v>10</v>
      </c>
      <c r="C92" s="15">
        <v>943209</v>
      </c>
      <c r="D92" s="15">
        <v>22.2</v>
      </c>
      <c r="E92" s="15">
        <v>0</v>
      </c>
      <c r="F92" s="15">
        <v>1.6</v>
      </c>
      <c r="G92" s="15">
        <v>5270</v>
      </c>
      <c r="H92" s="15">
        <v>5.27</v>
      </c>
      <c r="I92" s="15">
        <v>3575894</v>
      </c>
      <c r="J92" s="15">
        <v>40</v>
      </c>
      <c r="K92" s="92" t="s">
        <v>338</v>
      </c>
      <c r="L92" s="426" t="s">
        <v>339</v>
      </c>
      <c r="M92" s="15" t="s">
        <v>2292</v>
      </c>
      <c r="N92" s="447" t="s">
        <v>2292</v>
      </c>
      <c r="O92" s="448">
        <v>9519030964</v>
      </c>
      <c r="P92" s="447" t="s">
        <v>6346</v>
      </c>
      <c r="V92"/>
      <c r="W92" s="173"/>
    </row>
    <row r="93" spans="1:23" ht="31.5" x14ac:dyDescent="0.25">
      <c r="A93" s="91" t="s">
        <v>345</v>
      </c>
      <c r="B93" s="15" t="s">
        <v>10</v>
      </c>
      <c r="C93" s="15">
        <v>943209</v>
      </c>
      <c r="D93" s="15">
        <v>25.4</v>
      </c>
      <c r="E93" s="15">
        <v>0</v>
      </c>
      <c r="F93" s="15">
        <v>2</v>
      </c>
      <c r="G93" s="15">
        <v>6050</v>
      </c>
      <c r="H93" s="15">
        <v>6.05</v>
      </c>
      <c r="I93" s="15">
        <v>4055021</v>
      </c>
      <c r="J93" s="15">
        <v>23</v>
      </c>
      <c r="K93" s="92" t="s">
        <v>338</v>
      </c>
      <c r="L93" s="426" t="s">
        <v>339</v>
      </c>
      <c r="M93" s="15" t="s">
        <v>6289</v>
      </c>
      <c r="N93" s="447" t="s">
        <v>6289</v>
      </c>
      <c r="O93" s="448">
        <v>9519030964</v>
      </c>
      <c r="P93" s="447" t="s">
        <v>6346</v>
      </c>
      <c r="V93"/>
      <c r="W93" s="173"/>
    </row>
    <row r="94" spans="1:23" ht="31.5" x14ac:dyDescent="0.25">
      <c r="A94" s="91" t="s">
        <v>345</v>
      </c>
      <c r="B94" s="15" t="s">
        <v>10</v>
      </c>
      <c r="C94" s="15">
        <v>943209</v>
      </c>
      <c r="D94" s="15">
        <v>31.75</v>
      </c>
      <c r="E94" s="15">
        <v>0</v>
      </c>
      <c r="F94" s="15">
        <v>2</v>
      </c>
      <c r="G94" s="15">
        <v>6000</v>
      </c>
      <c r="H94" s="15">
        <v>6</v>
      </c>
      <c r="I94" s="15">
        <v>1931387</v>
      </c>
      <c r="J94" s="15">
        <v>15</v>
      </c>
      <c r="K94" s="92" t="s">
        <v>338</v>
      </c>
      <c r="L94" s="426" t="s">
        <v>348</v>
      </c>
      <c r="M94" s="15" t="s">
        <v>6301</v>
      </c>
      <c r="N94" s="447" t="s">
        <v>6301</v>
      </c>
      <c r="O94" s="448">
        <v>9519030964</v>
      </c>
      <c r="P94" s="447" t="s">
        <v>6346</v>
      </c>
      <c r="V94"/>
      <c r="W94" s="173"/>
    </row>
    <row r="95" spans="1:23" ht="31.5" x14ac:dyDescent="0.25">
      <c r="A95" s="91" t="s">
        <v>345</v>
      </c>
      <c r="B95" s="15" t="s">
        <v>10</v>
      </c>
      <c r="C95" s="15">
        <v>943209</v>
      </c>
      <c r="D95" s="15">
        <v>34.93</v>
      </c>
      <c r="E95" s="15">
        <v>0</v>
      </c>
      <c r="F95" s="15">
        <v>1.2</v>
      </c>
      <c r="G95" s="15">
        <v>6000</v>
      </c>
      <c r="H95" s="15">
        <v>6</v>
      </c>
      <c r="I95" s="15">
        <v>1940701</v>
      </c>
      <c r="J95" s="15">
        <v>10</v>
      </c>
      <c r="K95" s="92" t="s">
        <v>338</v>
      </c>
      <c r="L95" s="426" t="s">
        <v>348</v>
      </c>
      <c r="M95" s="15" t="s">
        <v>1988</v>
      </c>
      <c r="N95" s="449" t="s">
        <v>1988</v>
      </c>
      <c r="O95" s="448">
        <v>9519031095</v>
      </c>
      <c r="P95" s="447" t="s">
        <v>6346</v>
      </c>
      <c r="V95"/>
      <c r="W95" s="173"/>
    </row>
    <row r="96" spans="1:23" ht="31.5" x14ac:dyDescent="0.25">
      <c r="A96" s="368" t="s">
        <v>367</v>
      </c>
      <c r="B96" s="15" t="s">
        <v>10</v>
      </c>
      <c r="C96" s="15">
        <v>943209</v>
      </c>
      <c r="D96" s="15">
        <v>41.28</v>
      </c>
      <c r="E96" s="15">
        <v>0</v>
      </c>
      <c r="F96" s="15">
        <v>2.6</v>
      </c>
      <c r="G96" s="15">
        <v>6000</v>
      </c>
      <c r="H96" s="15">
        <v>6</v>
      </c>
      <c r="I96" s="15">
        <v>3501716</v>
      </c>
      <c r="J96" s="15">
        <v>84</v>
      </c>
      <c r="K96" s="92" t="s">
        <v>338</v>
      </c>
      <c r="L96" s="426" t="s">
        <v>348</v>
      </c>
      <c r="M96" s="15" t="s">
        <v>6071</v>
      </c>
      <c r="N96" s="447" t="s">
        <v>6071</v>
      </c>
      <c r="O96" s="448">
        <v>9519030964</v>
      </c>
      <c r="P96" s="447" t="s">
        <v>6345</v>
      </c>
    </row>
    <row r="97" spans="1:20" ht="94.5" x14ac:dyDescent="0.25">
      <c r="A97" s="91" t="s">
        <v>345</v>
      </c>
      <c r="B97" s="15" t="s">
        <v>10</v>
      </c>
      <c r="C97" s="15">
        <v>943209</v>
      </c>
      <c r="D97" s="15" t="s">
        <v>363</v>
      </c>
      <c r="E97" s="15">
        <v>0</v>
      </c>
      <c r="F97" s="15">
        <v>1.6</v>
      </c>
      <c r="G97" s="15">
        <v>6130</v>
      </c>
      <c r="H97" s="15">
        <v>6.13</v>
      </c>
      <c r="I97" s="15">
        <v>3919144</v>
      </c>
      <c r="J97" s="15">
        <v>10</v>
      </c>
      <c r="K97" s="92" t="s">
        <v>338</v>
      </c>
      <c r="L97" s="426" t="s">
        <v>348</v>
      </c>
      <c r="M97" s="15" t="s">
        <v>6071</v>
      </c>
      <c r="N97" s="449" t="s">
        <v>6071</v>
      </c>
      <c r="O97" s="448">
        <v>9519030855</v>
      </c>
      <c r="P97" s="447" t="s">
        <v>6346</v>
      </c>
      <c r="R97" s="447" t="s">
        <v>6302</v>
      </c>
      <c r="S97" s="448">
        <v>9519030964</v>
      </c>
      <c r="T97" s="447" t="s">
        <v>6346</v>
      </c>
    </row>
    <row r="98" spans="1:20" ht="47.25" x14ac:dyDescent="0.25">
      <c r="A98" s="91" t="s">
        <v>345</v>
      </c>
      <c r="B98" s="15" t="s">
        <v>10</v>
      </c>
      <c r="C98" s="15">
        <v>943209</v>
      </c>
      <c r="D98" s="15" t="s">
        <v>365</v>
      </c>
      <c r="E98" s="15">
        <v>0</v>
      </c>
      <c r="F98" s="15">
        <v>1.6</v>
      </c>
      <c r="G98" s="15">
        <v>5900</v>
      </c>
      <c r="H98" s="15">
        <v>5.9</v>
      </c>
      <c r="I98" s="15">
        <v>3836440</v>
      </c>
      <c r="J98" s="15">
        <v>12</v>
      </c>
      <c r="K98" s="92" t="s">
        <v>338</v>
      </c>
      <c r="L98" s="426" t="s">
        <v>348</v>
      </c>
      <c r="M98" s="15" t="s">
        <v>6351</v>
      </c>
      <c r="N98" s="447" t="s">
        <v>6351</v>
      </c>
      <c r="O98" s="448">
        <v>9519031914</v>
      </c>
      <c r="P98" s="447" t="s">
        <v>6346</v>
      </c>
    </row>
    <row r="99" spans="1:20" ht="47.25" x14ac:dyDescent="0.25">
      <c r="A99" s="91" t="s">
        <v>345</v>
      </c>
      <c r="B99" s="15" t="s">
        <v>10</v>
      </c>
      <c r="C99" s="15">
        <v>943209</v>
      </c>
      <c r="D99" s="15" t="s">
        <v>368</v>
      </c>
      <c r="E99" s="15">
        <v>0</v>
      </c>
      <c r="F99" s="15">
        <v>1.6</v>
      </c>
      <c r="G99" s="15">
        <v>6000</v>
      </c>
      <c r="H99" s="15">
        <v>6</v>
      </c>
      <c r="I99" s="15">
        <v>1940925</v>
      </c>
      <c r="J99" s="15">
        <v>12</v>
      </c>
      <c r="K99" s="92" t="s">
        <v>338</v>
      </c>
      <c r="L99" s="426" t="s">
        <v>348</v>
      </c>
      <c r="M99" s="15" t="s">
        <v>6303</v>
      </c>
      <c r="N99" s="447" t="s">
        <v>6303</v>
      </c>
      <c r="O99" s="448">
        <v>9519030964</v>
      </c>
      <c r="P99" s="447" t="s">
        <v>6346</v>
      </c>
    </row>
    <row r="100" spans="1:20" ht="31.5" x14ac:dyDescent="0.25">
      <c r="A100" s="91" t="s">
        <v>345</v>
      </c>
      <c r="B100" s="15" t="s">
        <v>5</v>
      </c>
      <c r="C100" s="15">
        <v>943211</v>
      </c>
      <c r="D100" s="15">
        <v>34.93</v>
      </c>
      <c r="E100" s="15">
        <v>0</v>
      </c>
      <c r="F100" s="15">
        <v>1.2</v>
      </c>
      <c r="G100" s="15">
        <v>620</v>
      </c>
      <c r="H100" s="15">
        <v>0.62</v>
      </c>
      <c r="I100" s="15">
        <v>2397073</v>
      </c>
      <c r="J100" s="15">
        <v>34</v>
      </c>
      <c r="K100" s="92" t="s">
        <v>338</v>
      </c>
      <c r="L100" s="426" t="s">
        <v>348</v>
      </c>
      <c r="M100" s="15" t="s">
        <v>1617</v>
      </c>
      <c r="N100" s="447" t="s">
        <v>1617</v>
      </c>
      <c r="O100" s="448">
        <v>9519031118</v>
      </c>
      <c r="P100" s="447" t="s">
        <v>6346</v>
      </c>
    </row>
    <row r="101" spans="1:20" ht="31.5" x14ac:dyDescent="0.25">
      <c r="A101" s="91" t="s">
        <v>345</v>
      </c>
      <c r="B101" s="15" t="s">
        <v>5</v>
      </c>
      <c r="C101" s="15">
        <v>943211</v>
      </c>
      <c r="D101" s="15">
        <v>34.93</v>
      </c>
      <c r="E101" s="15">
        <v>0</v>
      </c>
      <c r="F101" s="15">
        <v>1.2</v>
      </c>
      <c r="G101" s="15">
        <v>650</v>
      </c>
      <c r="H101" s="15">
        <v>0.7</v>
      </c>
      <c r="I101" s="15">
        <v>3649699</v>
      </c>
      <c r="J101" s="15">
        <v>28</v>
      </c>
      <c r="K101" s="92" t="s">
        <v>338</v>
      </c>
      <c r="L101" s="426" t="s">
        <v>348</v>
      </c>
      <c r="M101" s="15" t="s">
        <v>6300</v>
      </c>
      <c r="N101" s="447" t="s">
        <v>6300</v>
      </c>
      <c r="O101" s="448">
        <v>9519031118</v>
      </c>
      <c r="P101" s="447" t="s">
        <v>6346</v>
      </c>
    </row>
    <row r="102" spans="1:20" ht="31.5" x14ac:dyDescent="0.25">
      <c r="A102" s="91" t="s">
        <v>345</v>
      </c>
      <c r="B102" s="15" t="s">
        <v>5</v>
      </c>
      <c r="C102" s="15">
        <v>943211</v>
      </c>
      <c r="D102" s="15">
        <v>48</v>
      </c>
      <c r="E102" s="15">
        <v>0</v>
      </c>
      <c r="F102" s="15">
        <v>1.2</v>
      </c>
      <c r="G102" s="15">
        <v>620</v>
      </c>
      <c r="H102" s="15">
        <v>0.62</v>
      </c>
      <c r="I102" s="15">
        <v>2397072</v>
      </c>
      <c r="J102" s="15">
        <v>40</v>
      </c>
      <c r="K102" s="92" t="s">
        <v>338</v>
      </c>
      <c r="L102" s="426" t="s">
        <v>348</v>
      </c>
      <c r="M102" s="15" t="s">
        <v>1703</v>
      </c>
      <c r="N102" s="447" t="s">
        <v>1703</v>
      </c>
      <c r="O102" s="448">
        <v>9519031118</v>
      </c>
      <c r="P102" s="447" t="s">
        <v>6346</v>
      </c>
    </row>
    <row r="103" spans="1:20" ht="31.5" x14ac:dyDescent="0.25">
      <c r="A103" s="91" t="s">
        <v>345</v>
      </c>
      <c r="B103" s="15" t="s">
        <v>5</v>
      </c>
      <c r="C103" s="15">
        <v>943211</v>
      </c>
      <c r="D103" s="15">
        <v>48</v>
      </c>
      <c r="E103" s="15">
        <v>0</v>
      </c>
      <c r="F103" s="15">
        <v>1.2</v>
      </c>
      <c r="G103" s="15">
        <v>650</v>
      </c>
      <c r="H103" s="15">
        <v>0.7</v>
      </c>
      <c r="I103" s="15">
        <v>3649700</v>
      </c>
      <c r="J103" s="15">
        <v>36</v>
      </c>
      <c r="K103" s="92" t="s">
        <v>338</v>
      </c>
      <c r="L103" s="426" t="s">
        <v>348</v>
      </c>
      <c r="M103" s="15" t="s">
        <v>2276</v>
      </c>
      <c r="N103" s="447" t="s">
        <v>2276</v>
      </c>
      <c r="O103" s="448">
        <v>9519031118</v>
      </c>
      <c r="P103" s="447" t="s">
        <v>6346</v>
      </c>
    </row>
    <row r="104" spans="1:20" ht="47.25" x14ac:dyDescent="0.25">
      <c r="A104" s="91" t="s">
        <v>345</v>
      </c>
      <c r="B104" s="15" t="s">
        <v>5</v>
      </c>
      <c r="C104" s="15">
        <v>943211</v>
      </c>
      <c r="D104" s="15" t="s">
        <v>368</v>
      </c>
      <c r="E104" s="15">
        <v>0</v>
      </c>
      <c r="F104" s="15">
        <v>1.6</v>
      </c>
      <c r="G104" s="15">
        <v>572.5</v>
      </c>
      <c r="H104" s="15">
        <v>0.57250000000000001</v>
      </c>
      <c r="I104" s="15">
        <v>2420716</v>
      </c>
      <c r="J104" s="15">
        <v>50</v>
      </c>
      <c r="K104" s="92" t="s">
        <v>338</v>
      </c>
      <c r="L104" s="426" t="s">
        <v>348</v>
      </c>
      <c r="M104" s="15" t="s">
        <v>1756</v>
      </c>
      <c r="N104" s="447" t="s">
        <v>1756</v>
      </c>
      <c r="O104" s="448">
        <v>9519031118</v>
      </c>
      <c r="P104" s="447" t="s">
        <v>6346</v>
      </c>
    </row>
    <row r="105" spans="1:20" ht="31.5" x14ac:dyDescent="0.25">
      <c r="A105" s="91" t="s">
        <v>345</v>
      </c>
      <c r="B105" s="15" t="s">
        <v>341</v>
      </c>
      <c r="C105" s="15">
        <v>943210</v>
      </c>
      <c r="D105" s="15">
        <v>15.88</v>
      </c>
      <c r="E105" s="15">
        <v>0</v>
      </c>
      <c r="F105" s="15">
        <v>2</v>
      </c>
      <c r="G105" s="15">
        <v>6000</v>
      </c>
      <c r="H105" s="15">
        <v>6</v>
      </c>
      <c r="I105" s="15">
        <v>1940120</v>
      </c>
      <c r="J105" s="15">
        <v>6</v>
      </c>
      <c r="K105" s="92" t="s">
        <v>338</v>
      </c>
      <c r="L105" s="426" t="s">
        <v>339</v>
      </c>
      <c r="M105" s="15" t="s">
        <v>540</v>
      </c>
      <c r="N105" s="447" t="s">
        <v>540</v>
      </c>
      <c r="O105" s="448">
        <v>9519031061</v>
      </c>
      <c r="P105" s="447" t="s">
        <v>6346</v>
      </c>
    </row>
    <row r="106" spans="1:20" ht="31.5" x14ac:dyDescent="0.25">
      <c r="A106" s="91" t="s">
        <v>345</v>
      </c>
      <c r="B106" s="15" t="s">
        <v>341</v>
      </c>
      <c r="C106" s="15">
        <v>943210</v>
      </c>
      <c r="D106" s="15">
        <v>22.2</v>
      </c>
      <c r="E106" s="15">
        <v>0</v>
      </c>
      <c r="F106" s="15">
        <v>2</v>
      </c>
      <c r="G106" s="15">
        <v>5390</v>
      </c>
      <c r="H106" s="15">
        <v>5.39</v>
      </c>
      <c r="I106" s="15">
        <v>2431251</v>
      </c>
      <c r="J106" s="15">
        <v>67</v>
      </c>
      <c r="K106" s="92" t="s">
        <v>350</v>
      </c>
      <c r="L106" s="426" t="s">
        <v>348</v>
      </c>
      <c r="M106" s="15" t="s">
        <v>2300</v>
      </c>
      <c r="N106" s="447" t="s">
        <v>2300</v>
      </c>
      <c r="O106" s="448">
        <v>9519031061</v>
      </c>
      <c r="P106" s="447" t="s">
        <v>6346</v>
      </c>
    </row>
    <row r="107" spans="1:20" ht="31.5" x14ac:dyDescent="0.25">
      <c r="A107" s="91" t="s">
        <v>345</v>
      </c>
      <c r="B107" s="15" t="s">
        <v>341</v>
      </c>
      <c r="C107" s="15">
        <v>943210</v>
      </c>
      <c r="D107" s="15">
        <v>25.4</v>
      </c>
      <c r="E107" s="15">
        <v>0</v>
      </c>
      <c r="F107" s="15">
        <v>1.4</v>
      </c>
      <c r="G107" s="15">
        <v>6060</v>
      </c>
      <c r="H107" s="15">
        <v>6.06</v>
      </c>
      <c r="I107" s="15">
        <v>3557792</v>
      </c>
      <c r="J107" s="15">
        <v>61</v>
      </c>
      <c r="K107" s="92" t="s">
        <v>338</v>
      </c>
      <c r="L107" s="426" t="s">
        <v>348</v>
      </c>
      <c r="M107" s="15" t="s">
        <v>1564</v>
      </c>
      <c r="N107" s="447" t="s">
        <v>1564</v>
      </c>
      <c r="O107" s="448">
        <v>9519031061</v>
      </c>
      <c r="P107" s="447" t="s">
        <v>6346</v>
      </c>
    </row>
    <row r="108" spans="1:20" ht="47.25" x14ac:dyDescent="0.25">
      <c r="A108" s="91" t="s">
        <v>345</v>
      </c>
      <c r="B108" s="15" t="s">
        <v>341</v>
      </c>
      <c r="C108" s="15">
        <v>943210</v>
      </c>
      <c r="D108" s="15">
        <v>45</v>
      </c>
      <c r="E108" s="15">
        <v>0</v>
      </c>
      <c r="F108" s="15">
        <v>1.4</v>
      </c>
      <c r="G108" s="15">
        <v>6400</v>
      </c>
      <c r="H108" s="15">
        <v>6.42</v>
      </c>
      <c r="I108" s="15">
        <v>3502343</v>
      </c>
      <c r="J108" s="15">
        <v>30</v>
      </c>
      <c r="K108" s="92" t="s">
        <v>344</v>
      </c>
      <c r="L108" s="426" t="s">
        <v>348</v>
      </c>
      <c r="M108" s="15" t="s">
        <v>6352</v>
      </c>
      <c r="N108" s="447" t="s">
        <v>6352</v>
      </c>
      <c r="O108" s="448">
        <v>9519031061</v>
      </c>
      <c r="P108" s="447" t="s">
        <v>6345</v>
      </c>
    </row>
    <row r="109" spans="1:20" ht="47.25" x14ac:dyDescent="0.25">
      <c r="A109" s="91" t="s">
        <v>345</v>
      </c>
      <c r="B109" s="15" t="s">
        <v>341</v>
      </c>
      <c r="C109" s="15">
        <v>943210</v>
      </c>
      <c r="D109" s="15">
        <v>45</v>
      </c>
      <c r="E109" s="15">
        <v>0</v>
      </c>
      <c r="F109" s="15">
        <v>1.6</v>
      </c>
      <c r="G109" s="15">
        <v>6400</v>
      </c>
      <c r="H109" s="15">
        <v>6.42</v>
      </c>
      <c r="I109" s="15" t="s">
        <v>6334</v>
      </c>
      <c r="J109" s="15">
        <v>30</v>
      </c>
      <c r="K109" s="92" t="s">
        <v>344</v>
      </c>
      <c r="L109" s="426" t="s">
        <v>348</v>
      </c>
      <c r="M109" s="15" t="s">
        <v>6353</v>
      </c>
      <c r="N109" s="452" t="s">
        <v>6353</v>
      </c>
      <c r="O109" s="453">
        <v>9519031061</v>
      </c>
      <c r="P109" s="452" t="s">
        <v>6345</v>
      </c>
    </row>
    <row r="110" spans="1:20" ht="15.75" x14ac:dyDescent="0.25">
      <c r="A110" s="91">
        <v>789</v>
      </c>
      <c r="B110" s="15" t="s">
        <v>10</v>
      </c>
      <c r="C110" s="15">
        <v>943209</v>
      </c>
      <c r="D110" s="15" t="s">
        <v>363</v>
      </c>
      <c r="E110" s="15">
        <v>0</v>
      </c>
      <c r="F110" s="15">
        <v>1.6</v>
      </c>
      <c r="G110" s="15">
        <v>6130</v>
      </c>
      <c r="H110" s="15">
        <v>6.13</v>
      </c>
      <c r="I110" s="15">
        <v>3919144</v>
      </c>
      <c r="J110" s="15">
        <v>10</v>
      </c>
      <c r="K110" s="92" t="s">
        <v>338</v>
      </c>
      <c r="L110" s="15" t="s">
        <v>348</v>
      </c>
      <c r="M110" s="15" t="s">
        <v>6302</v>
      </c>
      <c r="N110" s="452"/>
      <c r="O110" s="452">
        <v>9519030964</v>
      </c>
      <c r="P110" s="453" t="s">
        <v>6346</v>
      </c>
    </row>
    <row r="111" spans="1:20" ht="31.5" x14ac:dyDescent="0.25">
      <c r="A111" s="418" t="s">
        <v>345</v>
      </c>
      <c r="B111" s="423" t="s">
        <v>341</v>
      </c>
      <c r="C111" s="423">
        <v>943210</v>
      </c>
      <c r="D111" s="423">
        <v>48.6</v>
      </c>
      <c r="E111" s="423">
        <v>0</v>
      </c>
      <c r="F111" s="423">
        <v>3.5</v>
      </c>
      <c r="G111" s="423">
        <v>6000</v>
      </c>
      <c r="H111" s="423">
        <v>6</v>
      </c>
      <c r="I111" s="423">
        <v>3502422</v>
      </c>
      <c r="J111" s="423">
        <v>30</v>
      </c>
      <c r="K111" s="92" t="s">
        <v>338</v>
      </c>
      <c r="L111" s="426" t="s">
        <v>348</v>
      </c>
      <c r="M111" s="423" t="s">
        <v>2374</v>
      </c>
      <c r="N111" s="452" t="s">
        <v>2374</v>
      </c>
      <c r="O111" s="453" t="s">
        <v>6354</v>
      </c>
      <c r="P111" s="452" t="s">
        <v>6346</v>
      </c>
    </row>
    <row r="117" spans="1:10" x14ac:dyDescent="0.25">
      <c r="A117" s="456" t="s">
        <v>316</v>
      </c>
      <c r="B117" s="457" t="s">
        <v>317</v>
      </c>
      <c r="C117" s="457" t="s">
        <v>2506</v>
      </c>
      <c r="D117" s="457" t="s">
        <v>2170</v>
      </c>
      <c r="E117" s="457" t="s">
        <v>199</v>
      </c>
      <c r="F117" s="457" t="s">
        <v>6321</v>
      </c>
      <c r="G117" s="457" t="s">
        <v>6355</v>
      </c>
      <c r="H117" s="457" t="s">
        <v>258</v>
      </c>
      <c r="I117" s="457" t="s">
        <v>6356</v>
      </c>
      <c r="J117" s="458" t="s">
        <v>387</v>
      </c>
    </row>
    <row r="118" spans="1:10" x14ac:dyDescent="0.25">
      <c r="A118" s="459">
        <v>19.05</v>
      </c>
      <c r="B118" s="460">
        <v>0</v>
      </c>
      <c r="C118" s="15">
        <v>2.2999999999999998</v>
      </c>
      <c r="D118" s="460">
        <v>7</v>
      </c>
      <c r="E118" s="15" t="s">
        <v>6357</v>
      </c>
      <c r="F118" s="460">
        <v>3500582</v>
      </c>
      <c r="G118" s="460" t="e">
        <f>VLOOKUP(F118,[1]!zmat[#All],2,0)</f>
        <v>#REF!</v>
      </c>
      <c r="H118" s="15">
        <v>943209</v>
      </c>
      <c r="I118" s="15">
        <v>56</v>
      </c>
      <c r="J118" s="92">
        <v>20</v>
      </c>
    </row>
    <row r="119" spans="1:10" x14ac:dyDescent="0.25">
      <c r="A119" s="461">
        <v>22.2</v>
      </c>
      <c r="B119" s="462">
        <v>0</v>
      </c>
      <c r="C119" s="463">
        <v>2</v>
      </c>
      <c r="D119" s="462">
        <v>5.0999999999999996</v>
      </c>
      <c r="E119" s="463"/>
      <c r="F119" s="462">
        <v>3500554</v>
      </c>
      <c r="G119" s="462" t="e">
        <f>VLOOKUP(F119,[1]!zmat[#All],2,0)</f>
        <v>#REF!</v>
      </c>
      <c r="H119" s="463">
        <v>943209</v>
      </c>
      <c r="I119" s="463">
        <v>56</v>
      </c>
      <c r="J119" s="464">
        <v>30</v>
      </c>
    </row>
    <row r="120" spans="1:10" x14ac:dyDescent="0.25">
      <c r="A120" s="461">
        <v>22.2</v>
      </c>
      <c r="B120" s="462">
        <v>0</v>
      </c>
      <c r="C120" s="463">
        <v>2</v>
      </c>
      <c r="D120" s="462">
        <v>5.9510000000000005</v>
      </c>
      <c r="E120" s="463" t="s">
        <v>6358</v>
      </c>
      <c r="F120" s="462">
        <v>3905466</v>
      </c>
      <c r="G120" s="462" t="e">
        <f>VLOOKUP(F120,[1]!zmat[#All],2,0)</f>
        <v>#REF!</v>
      </c>
      <c r="H120" s="463">
        <v>943209</v>
      </c>
      <c r="I120" s="463">
        <v>56</v>
      </c>
      <c r="J120" s="464">
        <v>60</v>
      </c>
    </row>
    <row r="121" spans="1:10" x14ac:dyDescent="0.25">
      <c r="A121" s="461">
        <v>22.2</v>
      </c>
      <c r="B121" s="462">
        <v>0</v>
      </c>
      <c r="C121" s="463">
        <v>2</v>
      </c>
      <c r="D121" s="462">
        <v>6.0010000000000003</v>
      </c>
      <c r="E121" s="463" t="s">
        <v>4238</v>
      </c>
      <c r="F121" s="462">
        <v>3502494</v>
      </c>
      <c r="G121" s="462" t="e">
        <f>VLOOKUP(F121,[1]!zmat[#All],2,0)</f>
        <v>#REF!</v>
      </c>
      <c r="H121" s="463">
        <v>943209</v>
      </c>
      <c r="I121" s="463">
        <v>56</v>
      </c>
      <c r="J121" s="464">
        <v>40</v>
      </c>
    </row>
    <row r="122" spans="1:10" x14ac:dyDescent="0.25">
      <c r="A122" s="461">
        <v>25.4</v>
      </c>
      <c r="B122" s="462">
        <v>0</v>
      </c>
      <c r="C122" s="463">
        <v>1.6</v>
      </c>
      <c r="D122" s="462">
        <v>6</v>
      </c>
      <c r="E122" s="463" t="s">
        <v>6359</v>
      </c>
      <c r="F122" s="462">
        <v>3500097</v>
      </c>
      <c r="G122" s="462" t="e">
        <f>VLOOKUP(F122,[1]!zmat[#All],2,0)</f>
        <v>#REF!</v>
      </c>
      <c r="H122" s="463">
        <v>943209</v>
      </c>
      <c r="I122" s="463">
        <v>56</v>
      </c>
      <c r="J122" s="464">
        <v>30</v>
      </c>
    </row>
    <row r="123" spans="1:10" x14ac:dyDescent="0.25">
      <c r="A123" s="461">
        <v>25.4</v>
      </c>
      <c r="B123" s="462">
        <v>0</v>
      </c>
      <c r="C123" s="463">
        <v>2.5</v>
      </c>
      <c r="D123" s="462">
        <v>5.53</v>
      </c>
      <c r="E123" s="463" t="s">
        <v>2821</v>
      </c>
      <c r="F123" s="462">
        <v>3502256</v>
      </c>
      <c r="G123" s="462" t="e">
        <f>VLOOKUP(F123,[1]!zmat[#All],2,0)</f>
        <v>#REF!</v>
      </c>
      <c r="H123" s="463">
        <v>943209</v>
      </c>
      <c r="I123" s="463">
        <v>56</v>
      </c>
      <c r="J123" s="464">
        <v>20</v>
      </c>
    </row>
    <row r="124" spans="1:10" x14ac:dyDescent="0.25">
      <c r="A124" s="459">
        <v>38.1</v>
      </c>
      <c r="B124" s="460">
        <v>0</v>
      </c>
      <c r="C124" s="15">
        <v>1.6</v>
      </c>
      <c r="D124" s="460">
        <v>6.19</v>
      </c>
      <c r="E124" s="15" t="s">
        <v>3100</v>
      </c>
      <c r="F124" s="460">
        <v>3502254</v>
      </c>
      <c r="G124" s="460" t="e">
        <f>VLOOKUP(F124,[1]!zmat[#All],2,0)</f>
        <v>#REF!</v>
      </c>
      <c r="H124" s="15">
        <v>943209</v>
      </c>
      <c r="I124" s="15">
        <v>56</v>
      </c>
      <c r="J124" s="92">
        <v>30</v>
      </c>
    </row>
    <row r="125" spans="1:10" x14ac:dyDescent="0.25">
      <c r="A125" s="459">
        <v>38.1</v>
      </c>
      <c r="B125" s="460">
        <v>0</v>
      </c>
      <c r="C125" s="15">
        <v>2</v>
      </c>
      <c r="D125" s="460">
        <v>5.65</v>
      </c>
      <c r="E125" s="15" t="s">
        <v>6358</v>
      </c>
      <c r="F125" s="460">
        <v>3500959</v>
      </c>
      <c r="G125" s="460" t="e">
        <f>VLOOKUP(F125,[1]!zmat[#All],2,0)</f>
        <v>#REF!</v>
      </c>
      <c r="H125" s="15">
        <v>943209</v>
      </c>
      <c r="I125" s="15">
        <v>56</v>
      </c>
      <c r="J125" s="92">
        <v>20</v>
      </c>
    </row>
    <row r="126" spans="1:10" x14ac:dyDescent="0.25">
      <c r="A126" s="459">
        <v>38.1</v>
      </c>
      <c r="B126" s="460">
        <v>0</v>
      </c>
      <c r="C126" s="15">
        <v>2.5</v>
      </c>
      <c r="D126" s="460">
        <v>6.19</v>
      </c>
      <c r="E126" s="15" t="s">
        <v>4238</v>
      </c>
      <c r="F126" s="460">
        <v>3502007</v>
      </c>
      <c r="G126" s="460" t="e">
        <f>VLOOKUP(F126,[1]!zmat[#All],2,0)</f>
        <v>#REF!</v>
      </c>
      <c r="H126" s="15">
        <v>943209</v>
      </c>
      <c r="I126" s="15">
        <v>56</v>
      </c>
      <c r="J126" s="92">
        <v>40</v>
      </c>
    </row>
    <row r="127" spans="1:10" x14ac:dyDescent="0.25">
      <c r="A127" s="459">
        <v>41.28</v>
      </c>
      <c r="B127" s="460">
        <v>0</v>
      </c>
      <c r="C127" s="15">
        <v>3.15</v>
      </c>
      <c r="D127" s="460">
        <v>5.86</v>
      </c>
      <c r="E127" s="15" t="s">
        <v>6360</v>
      </c>
      <c r="F127" s="460">
        <v>3673889</v>
      </c>
      <c r="G127" s="460" t="e">
        <f>VLOOKUP(F127,[1]!zmat[#All],2,0)</f>
        <v>#REF!</v>
      </c>
      <c r="H127" s="15">
        <v>943210</v>
      </c>
      <c r="I127" s="15">
        <v>56</v>
      </c>
      <c r="J127" s="92">
        <v>20</v>
      </c>
    </row>
    <row r="128" spans="1:10" x14ac:dyDescent="0.25">
      <c r="A128" s="465">
        <v>48.6</v>
      </c>
      <c r="B128" s="466">
        <v>0</v>
      </c>
      <c r="C128" s="423">
        <v>2.2999999999999998</v>
      </c>
      <c r="D128" s="466">
        <v>6.2700000000000005</v>
      </c>
      <c r="E128" s="423" t="s">
        <v>4238</v>
      </c>
      <c r="F128" s="466">
        <v>3549720</v>
      </c>
      <c r="G128" s="466" t="e">
        <f>VLOOKUP(F128,[1]!zmat[#All],2,0)</f>
        <v>#REF!</v>
      </c>
      <c r="H128" s="423">
        <v>943210</v>
      </c>
      <c r="I128" s="423">
        <v>56</v>
      </c>
      <c r="J128" s="455">
        <v>15</v>
      </c>
    </row>
    <row r="129" spans="1:10" x14ac:dyDescent="0.25">
      <c r="A129" s="465"/>
      <c r="B129" s="466"/>
      <c r="C129" s="423"/>
      <c r="D129" s="466"/>
      <c r="E129" s="423"/>
      <c r="F129" s="466"/>
      <c r="G129" s="466"/>
      <c r="H129" s="423"/>
      <c r="I129" s="423"/>
      <c r="J129" s="455">
        <f>SUBTOTAL(109,Table129[Quantity])</f>
        <v>325</v>
      </c>
    </row>
  </sheetData>
  <phoneticPr fontId="13" type="noConversion"/>
  <conditionalFormatting sqref="L2:N69">
    <cfRule type="duplicateValues" dxfId="53" priority="393"/>
  </conditionalFormatting>
  <pageMargins left="0.7" right="0.7" top="0.75" bottom="0.75" header="0.3" footer="0.3"/>
  <pageSetup orientation="portrait" r:id="rId1"/>
  <tableParts count="3">
    <tablePart r:id="rId2"/>
    <tablePart r:id="rId3"/>
    <tablePart r:id="rId4"/>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AF844-0083-4420-BEA7-93334AF1AA31}">
  <sheetPr codeName="Sheet33"/>
  <dimension ref="A1:Y125"/>
  <sheetViews>
    <sheetView topLeftCell="A115" workbookViewId="0">
      <selection activeCell="E120" sqref="E120"/>
    </sheetView>
  </sheetViews>
  <sheetFormatPr defaultRowHeight="15" x14ac:dyDescent="0.25"/>
  <cols>
    <col min="1" max="1" width="16.42578125" customWidth="1"/>
    <col min="2" max="2" width="35.7109375" bestFit="1" customWidth="1"/>
    <col min="3" max="3" width="10" customWidth="1"/>
    <col min="4" max="4" width="42.7109375" bestFit="1" customWidth="1"/>
    <col min="5" max="5" width="9.28515625" customWidth="1"/>
    <col min="6" max="6" width="24.7109375" bestFit="1" customWidth="1"/>
    <col min="7" max="7" width="29.140625" bestFit="1" customWidth="1"/>
    <col min="13" max="13" width="42.7109375" bestFit="1" customWidth="1"/>
    <col min="14" max="14" width="29.7109375" bestFit="1" customWidth="1"/>
    <col min="21" max="21" width="29.140625" bestFit="1" customWidth="1"/>
  </cols>
  <sheetData>
    <row r="1" spans="1:25" x14ac:dyDescent="0.25">
      <c r="A1" s="163" t="s">
        <v>380</v>
      </c>
      <c r="B1" s="164" t="s">
        <v>381</v>
      </c>
      <c r="C1" s="164" t="s">
        <v>385</v>
      </c>
      <c r="D1" s="164" t="s">
        <v>388</v>
      </c>
      <c r="E1" s="164" t="s">
        <v>1127</v>
      </c>
      <c r="F1" s="166" t="s">
        <v>261</v>
      </c>
      <c r="G1" s="166" t="s">
        <v>6361</v>
      </c>
      <c r="L1" t="s">
        <v>6362</v>
      </c>
    </row>
    <row r="2" spans="1:25" x14ac:dyDescent="0.25">
      <c r="A2">
        <v>943209</v>
      </c>
      <c r="B2" t="s">
        <v>37</v>
      </c>
      <c r="C2">
        <v>1940054</v>
      </c>
      <c r="D2" t="s">
        <v>2206</v>
      </c>
      <c r="E2">
        <v>6</v>
      </c>
      <c r="F2" t="s">
        <v>463</v>
      </c>
      <c r="G2" t="str">
        <f>_xlfn.CONCAT(F2,"-",E2)</f>
        <v>15.88-0-1.2-ERW 1-PE-6</v>
      </c>
      <c r="J2" s="164" t="s">
        <v>380</v>
      </c>
      <c r="K2" s="164" t="s">
        <v>381</v>
      </c>
      <c r="L2" s="164" t="s">
        <v>385</v>
      </c>
      <c r="M2" s="164" t="s">
        <v>388</v>
      </c>
      <c r="N2" s="175" t="s">
        <v>6361</v>
      </c>
      <c r="T2" t="s">
        <v>6363</v>
      </c>
    </row>
    <row r="3" spans="1:25" x14ac:dyDescent="0.25">
      <c r="A3">
        <v>943209</v>
      </c>
      <c r="B3" t="s">
        <v>37</v>
      </c>
      <c r="C3">
        <v>3500582</v>
      </c>
      <c r="D3" t="s">
        <v>1423</v>
      </c>
      <c r="E3">
        <v>7</v>
      </c>
      <c r="F3" t="s">
        <v>407</v>
      </c>
      <c r="G3" t="str">
        <f>_xlfn.CONCAT(F3,"-",E3)</f>
        <v>19.05-0-2.3-ERW 1-PE-7</v>
      </c>
      <c r="J3" t="str" cm="1">
        <f t="array" ref="J3:N68">_xlfn.UNIQUE(_xlfn.CHOOSECOLS(meghsteelsales_currentmonth[],_xlfn.XMATCH(J2:N2,meghsteelsales_currentmonth[#Headers])))</f>
        <v>0000943209</v>
      </c>
      <c r="K3" t="str">
        <v>MEGH STEELS PRIVATE LIMITED - TVS A</v>
      </c>
      <c r="L3">
        <v>3907863</v>
      </c>
      <c r="M3" t="str">
        <v>TUB-O-N-AUT-AW-FC-57.15X2.500X5.7110</v>
      </c>
      <c r="N3" t="str">
        <v>57.15-0-2.5-ERW 1-FC-5.711</v>
      </c>
      <c r="O3" s="43">
        <f>SUMIFS(meghsteelsales_currentmonth[Quantity],meghsteelsales_currentmonth[Length Bucket],'MeghSteel Buckets_use file'!N3)/1000</f>
        <v>206.77804999999998</v>
      </c>
      <c r="P3" s="43">
        <f>SUMIFS('Apr VSM Schedule'!$AA$2:$AA$71,'Apr VSM Schedule'!$O$2:$O$71,'MeghSteel Buckets_use file'!N3)</f>
        <v>206.77804999999998</v>
      </c>
      <c r="Q3" s="43">
        <f>O3-P3</f>
        <v>0</v>
      </c>
      <c r="T3" t="str" cm="1">
        <f t="array" ref="T3:T8">_xlfn._xlws.FILTER(_xlfn.ANCHORARRAY(U3),ISNA(_xlfn.XMATCH(_xlfn.ANCHORARRAY(U3),N3:N43)))</f>
        <v>22.23-0-2-ERW 1-PE-5.39</v>
      </c>
      <c r="U3" t="str" cm="1">
        <f t="array" ref="U3:U28">_xlfn._xlws.SORT(_xlfn.UNIQUE(meghsteelsales_currentmonth[Length Bucket]))</f>
        <v>12.7-0-1.2-ERW 1-PE-6</v>
      </c>
      <c r="V3">
        <f>SUMIFS(meghsteelsales_currentmonth[Quantity],meghsteelsales_currentmonth[Length Bucket],U3)</f>
        <v>10210</v>
      </c>
      <c r="Y3" t="s">
        <v>6364</v>
      </c>
    </row>
    <row r="4" spans="1:25" x14ac:dyDescent="0.25">
      <c r="A4">
        <v>943209</v>
      </c>
      <c r="B4" t="s">
        <v>37</v>
      </c>
      <c r="C4">
        <v>3509196</v>
      </c>
      <c r="D4" t="s">
        <v>1378</v>
      </c>
      <c r="E4">
        <v>0.82</v>
      </c>
      <c r="F4" t="s">
        <v>604</v>
      </c>
      <c r="G4" t="s">
        <v>6163</v>
      </c>
      <c r="J4" t="str">
        <v>0000943209</v>
      </c>
      <c r="K4" t="str">
        <v>MEGH STEELS PRIVATE LIMITED - TVS A</v>
      </c>
      <c r="L4">
        <v>3500582</v>
      </c>
      <c r="M4" t="str">
        <v>TUB-O-N-AUT-AW-PE-19.05X2.300X7.00-ERW 1</v>
      </c>
      <c r="N4" t="str">
        <v>19.05-0-2.3-ERW 1-PE-7</v>
      </c>
      <c r="O4" s="43">
        <f>SUMIFS(meghsteelsales_currentmonth[Quantity],meghsteelsales_currentmonth[Length Bucket],'MeghSteel Buckets_use file'!N4)/1000</f>
        <v>4.2763360000000006</v>
      </c>
      <c r="P4" s="43">
        <f>SUMIFS('Apr VSM Schedule'!$AA$2:$AA$71,'Apr VSM Schedule'!$O$2:$O$71,'MeghSteel Buckets_use file'!N4)</f>
        <v>4.2763360000000006</v>
      </c>
      <c r="Q4" s="43">
        <f t="shared" ref="Q4:Q24" si="0">O4-P4</f>
        <v>0</v>
      </c>
      <c r="T4" t="str">
        <v>34.93-0-1.2-ERW 1-FC-0.620</v>
      </c>
      <c r="U4" t="str">
        <v>19.05-0-1.6-ERW 1-PE-6</v>
      </c>
      <c r="V4">
        <f>SUMIFS(meghsteelsales_currentmonth[Quantity],meghsteelsales_currentmonth[Length Bucket],U4)</f>
        <v>12041.82</v>
      </c>
      <c r="Y4" t="str" cm="1">
        <f t="array" ref="Y4:Y13">_xlfn._xlws.FILTER(N3:N26,ISNA(_xlfn.XMATCH(N3:N26,Table5[Bucket CTL])))</f>
        <v>57.15-0-2.5-ERW 1-FC-5.95</v>
      </c>
    </row>
    <row r="5" spans="1:25" x14ac:dyDescent="0.25">
      <c r="A5">
        <v>943209</v>
      </c>
      <c r="B5" t="s">
        <v>37</v>
      </c>
      <c r="C5">
        <v>3499307</v>
      </c>
      <c r="D5" t="s">
        <v>1384</v>
      </c>
      <c r="E5">
        <v>6</v>
      </c>
      <c r="F5" t="s">
        <v>604</v>
      </c>
      <c r="G5" t="s">
        <v>6163</v>
      </c>
      <c r="J5" t="str">
        <v>0000943209</v>
      </c>
      <c r="K5" t="str">
        <v>MEGH STEELS PRIVATE LIMITED - TVS A</v>
      </c>
      <c r="L5">
        <v>3905466</v>
      </c>
      <c r="M5" t="str">
        <v>TUB-O-N-AUT-AW-PE-22.20X2.000X5.9510</v>
      </c>
      <c r="N5" t="str">
        <v>22.23-0-2-ERW 1-PE-5.951</v>
      </c>
      <c r="O5" s="43">
        <f>SUMIFS(meghsteelsales_currentmonth[Quantity],meghsteelsales_currentmonth[Length Bucket],'MeghSteel Buckets_use file'!N5)/1000</f>
        <v>51.635232000000002</v>
      </c>
      <c r="P5" s="43">
        <f>SUMIFS('Apr VSM Schedule'!$AA$2:$AA$71,'Apr VSM Schedule'!$O$2:$O$71,'MeghSteel Buckets_use file'!N5)</f>
        <v>51.635232000000002</v>
      </c>
      <c r="Q5" s="43">
        <f t="shared" si="0"/>
        <v>0</v>
      </c>
      <c r="T5" t="str">
        <v>38.1-0-1.6-ERW 1-FC-6.19</v>
      </c>
      <c r="U5" t="str">
        <v>19.05-0-2.3-ERW 1-PE-7</v>
      </c>
      <c r="V5">
        <f>SUMIFS(meghsteelsales_currentmonth[Quantity],meghsteelsales_currentmonth[Length Bucket],U5)</f>
        <v>4276.3360000000002</v>
      </c>
      <c r="Y5">
        <v>0</v>
      </c>
    </row>
    <row r="6" spans="1:25" x14ac:dyDescent="0.25">
      <c r="A6">
        <v>943209</v>
      </c>
      <c r="B6" t="s">
        <v>37</v>
      </c>
      <c r="C6">
        <v>3673888</v>
      </c>
      <c r="D6" t="s">
        <v>1382</v>
      </c>
      <c r="E6">
        <v>5.8410000000000002</v>
      </c>
      <c r="F6" t="s">
        <v>604</v>
      </c>
      <c r="G6" t="str">
        <f>_xlfn.CONCAT(F6,"-",E6)</f>
        <v>19.05-0-2-ERW 1-PE-5.841</v>
      </c>
      <c r="J6" t="str">
        <v>0000943209</v>
      </c>
      <c r="K6" t="str">
        <v>MEGH STEELS PRIVATE LIMITED - TVS A</v>
      </c>
      <c r="L6">
        <v>3910001</v>
      </c>
      <c r="M6" t="str">
        <v>TUB-O-N-AUT-AW-FC-57.15X2.500X6.1000</v>
      </c>
      <c r="N6" t="str">
        <v>57.15-0-2.5-ERW 1-FC-6.1</v>
      </c>
      <c r="O6" s="43">
        <f>SUMIFS(meghsteelsales_currentmonth[Quantity],meghsteelsales_currentmonth[Length Bucket],'MeghSteel Buckets_use file'!N6)/1000</f>
        <v>52.086044999999999</v>
      </c>
      <c r="P6" s="43">
        <f>SUMIFS('Apr VSM Schedule'!$AA$2:$AA$71,'Apr VSM Schedule'!$O$2:$O$71,'MeghSteel Buckets_use file'!N6)</f>
        <v>52.086044999999999</v>
      </c>
      <c r="Q6" s="43">
        <f t="shared" si="0"/>
        <v>0</v>
      </c>
      <c r="T6" t="str">
        <v>45--1.4-ERW 1-FIN CUT-5.7</v>
      </c>
      <c r="U6" t="str">
        <v>22.23-0-1.2-ERW 1-PE-5.87</v>
      </c>
      <c r="V6">
        <f>SUMIFS(meghsteelsales_currentmonth[Quantity],meghsteelsales_currentmonth[Length Bucket],U6)</f>
        <v>12956.144999999999</v>
      </c>
      <c r="Y6">
        <v>0</v>
      </c>
    </row>
    <row r="7" spans="1:25" x14ac:dyDescent="0.25">
      <c r="A7">
        <v>943209</v>
      </c>
      <c r="B7" t="s">
        <v>37</v>
      </c>
      <c r="C7">
        <v>3534935</v>
      </c>
      <c r="D7" t="s">
        <v>2312</v>
      </c>
      <c r="E7">
        <v>5.8</v>
      </c>
      <c r="F7" t="s">
        <v>412</v>
      </c>
      <c r="G7" t="s">
        <v>6167</v>
      </c>
      <c r="J7" t="str">
        <v>0000943209</v>
      </c>
      <c r="K7" t="str">
        <v>MEGH STEELS PRIVATE LIMITED - TVS A</v>
      </c>
      <c r="L7">
        <v>3502422</v>
      </c>
      <c r="M7" t="str">
        <v>TUB-O-N-AUT-AW-FC-48.60X3.500X6.0500</v>
      </c>
      <c r="N7" t="str">
        <v>48.6-0-3.5-ERW 1-FC-6</v>
      </c>
      <c r="O7" s="43">
        <f>SUMIFS(meghsteelsales_currentmonth[Quantity],meghsteelsales_currentmonth[Length Bucket],'MeghSteel Buckets_use file'!N7)/1000</f>
        <v>14.154752</v>
      </c>
      <c r="P7" s="43">
        <f>SUMIFS('Apr VSM Schedule'!$AA$2:$AA$71,'Apr VSM Schedule'!$O$2:$O$71,'MeghSteel Buckets_use file'!N7)</f>
        <v>14.154752</v>
      </c>
      <c r="Q7" s="43">
        <f t="shared" si="0"/>
        <v>0</v>
      </c>
      <c r="T7" t="str">
        <v>57.15-0-2.5-ERW 1-FC-5.75</v>
      </c>
      <c r="U7" t="str">
        <v>22.23-0-1.6-ERW 1-PE-5.67</v>
      </c>
      <c r="V7">
        <f>SUMIFS(meghsteelsales_currentmonth[Quantity],meghsteelsales_currentmonth[Length Bucket],U7)</f>
        <v>1881.885</v>
      </c>
      <c r="Y7">
        <v>0</v>
      </c>
    </row>
    <row r="8" spans="1:25" x14ac:dyDescent="0.25">
      <c r="A8">
        <v>943209</v>
      </c>
      <c r="B8" t="s">
        <v>37</v>
      </c>
      <c r="C8">
        <v>3905466</v>
      </c>
      <c r="D8" t="s">
        <v>1487</v>
      </c>
      <c r="E8">
        <v>5.9509999999999996</v>
      </c>
      <c r="F8" t="s">
        <v>633</v>
      </c>
      <c r="G8" t="str">
        <f>_xlfn.CONCAT(F8,"-",E8)</f>
        <v>22.23-0-2-ERW 1-PE-5.951</v>
      </c>
      <c r="J8" t="str">
        <v>0000943209</v>
      </c>
      <c r="K8" t="str">
        <v>MEGH STEELS PRIVATE LIMITED - TVS A</v>
      </c>
      <c r="L8">
        <v>3502007</v>
      </c>
      <c r="M8" t="str">
        <v>TUB-O-N-AUT-AH-FC-38.10X2.500X6.1900 HST</v>
      </c>
      <c r="N8" t="str">
        <v>38.1-0-2.5-ERW 2 MAHS-FC-6.19</v>
      </c>
      <c r="O8" s="43">
        <f>SUMIFS(meghsteelsales_currentmonth[Quantity],meghsteelsales_currentmonth[Length Bucket],'MeghSteel Buckets_use file'!N8)/1000</f>
        <v>111.79929199999995</v>
      </c>
      <c r="P8" s="43">
        <f>SUMIFS('Apr VSM Schedule'!$AA$2:$AA$71,'Apr VSM Schedule'!$O$2:$O$71,'MeghSteel Buckets_use file'!N8)</f>
        <v>111.79929199999995</v>
      </c>
      <c r="Q8" s="43">
        <f t="shared" si="0"/>
        <v>0</v>
      </c>
      <c r="T8" t="str">
        <v>60.3-0-2-ERW 1-FC-5.9</v>
      </c>
      <c r="U8" t="str">
        <v>22.23-0-2-ERW 1-PE-5.39</v>
      </c>
      <c r="V8">
        <f>SUMIFS(meghsteelsales_currentmonth[Quantity],meghsteelsales_currentmonth[Length Bucket],U8)</f>
        <v>22540</v>
      </c>
      <c r="Y8">
        <v>0</v>
      </c>
    </row>
    <row r="9" spans="1:25" x14ac:dyDescent="0.25">
      <c r="A9">
        <v>943210</v>
      </c>
      <c r="B9" t="s">
        <v>32</v>
      </c>
      <c r="C9">
        <v>3568328</v>
      </c>
      <c r="D9" t="s">
        <v>2321</v>
      </c>
      <c r="E9">
        <v>5.39</v>
      </c>
      <c r="F9" t="s">
        <v>562</v>
      </c>
      <c r="G9" t="s">
        <v>6171</v>
      </c>
      <c r="J9" t="str">
        <v>0000943209</v>
      </c>
      <c r="K9" t="str">
        <v>MEGH STEELS PRIVATE LIMITED - TVS A</v>
      </c>
      <c r="L9">
        <v>4045220</v>
      </c>
      <c r="M9" t="str">
        <v>TUB-O-N-AUT-AW-FC-57.15X2.500X5.9500</v>
      </c>
      <c r="N9" t="str">
        <v>57.15-0-2.5-ERW 1-FC-5.95</v>
      </c>
      <c r="O9" s="43">
        <f>SUMIFS(meghsteelsales_currentmonth[Quantity],meghsteelsales_currentmonth[Length Bucket],'MeghSteel Buckets_use file'!N9)/1000</f>
        <v>6.6326640000000001</v>
      </c>
      <c r="P9" s="43">
        <f>SUMIFS('Apr VSM Schedule'!$AA$2:$AA$71,'Apr VSM Schedule'!$O$2:$O$71,'MeghSteel Buckets_use file'!N9)</f>
        <v>0</v>
      </c>
      <c r="Q9" s="43">
        <f t="shared" si="0"/>
        <v>6.6326640000000001</v>
      </c>
      <c r="U9" t="str">
        <v>22.23-0-2-ERW 1-PE-5.951</v>
      </c>
      <c r="V9">
        <f>SUMIFS(meghsteelsales_currentmonth[Quantity],meghsteelsales_currentmonth[Length Bucket],U9)</f>
        <v>51635.232000000004</v>
      </c>
      <c r="Y9" t="str">
        <v>48.62.36.27HSTFIN CUT-6.27</v>
      </c>
    </row>
    <row r="10" spans="1:25" x14ac:dyDescent="0.25">
      <c r="A10">
        <v>943209</v>
      </c>
      <c r="B10" t="s">
        <v>37</v>
      </c>
      <c r="C10">
        <v>521118</v>
      </c>
      <c r="D10" t="s">
        <v>1450</v>
      </c>
      <c r="E10">
        <v>1.1619999999999999</v>
      </c>
      <c r="F10" t="s">
        <v>633</v>
      </c>
      <c r="G10" t="s">
        <v>6168</v>
      </c>
      <c r="J10" t="str">
        <v>0000943210</v>
      </c>
      <c r="K10" t="str">
        <v>MEGH STEELS PRIVATE LIMITED - HMSIL</v>
      </c>
      <c r="L10">
        <v>3673889</v>
      </c>
      <c r="M10" t="str">
        <v>TUB-O-N-AUT-AW-FC-41.28X3.150X5.8600</v>
      </c>
      <c r="N10" t="str">
        <v>41.28-0-3.15-ERW 1-FC-5.86</v>
      </c>
      <c r="O10" s="43">
        <f>SUMIFS(meghsteelsales_currentmonth[Quantity],meghsteelsales_currentmonth[Length Bucket],'MeghSteel Buckets_use file'!N10)/1000</f>
        <v>9.6830499999999997</v>
      </c>
      <c r="P10" s="43"/>
      <c r="Q10" s="43">
        <f t="shared" si="0"/>
        <v>9.6830499999999997</v>
      </c>
      <c r="U10" t="str">
        <v>25.4-0-2.5-ERW 1-PE-5.53</v>
      </c>
      <c r="V10">
        <f>SUMIFS(meghsteelsales_currentmonth[Quantity],meghsteelsales_currentmonth[Length Bucket],U10)</f>
        <v>37814.834999999999</v>
      </c>
      <c r="Y10">
        <v>0</v>
      </c>
    </row>
    <row r="11" spans="1:25" x14ac:dyDescent="0.25">
      <c r="A11">
        <v>943209</v>
      </c>
      <c r="B11" t="s">
        <v>37</v>
      </c>
      <c r="C11">
        <v>3502494</v>
      </c>
      <c r="D11" t="s">
        <v>6296</v>
      </c>
      <c r="E11">
        <v>6.0010000000000003</v>
      </c>
      <c r="F11" t="s">
        <v>679</v>
      </c>
      <c r="G11" t="str">
        <f t="shared" ref="G11:G26" si="1">_xlfn.CONCAT(F11,"-",E11)</f>
        <v>22.23-0-2-ERW 2 MAHS-FC-6.001</v>
      </c>
      <c r="J11" t="str">
        <v>0000943209</v>
      </c>
      <c r="K11" t="str">
        <v>MEGH STEELS PRIVATE LIMITED - TVS A</v>
      </c>
      <c r="L11">
        <v>4173571</v>
      </c>
      <c r="M11" t="str">
        <v>TUB-O-N-AUT-AW-PE-22.20X1.600X5.6850</v>
      </c>
      <c r="N11">
        <v>0</v>
      </c>
      <c r="O11" s="43">
        <f>SUMIFS(meghsteelsales_currentmonth[Quantity],meghsteelsales_currentmonth[Length Bucket],'MeghSteel Buckets_use file'!N11)/1000</f>
        <v>0</v>
      </c>
      <c r="P11" s="43">
        <f>SUMIFS('Apr VSM Schedule'!$AA$2:$AA$71,'Apr VSM Schedule'!$O$2:$O$71,'MeghSteel Buckets_use file'!N11)</f>
        <v>0</v>
      </c>
      <c r="Q11" s="43">
        <f t="shared" si="0"/>
        <v>0</v>
      </c>
      <c r="U11" t="str">
        <v>31.75-0-2.3-ERW 1-FC-5.92</v>
      </c>
      <c r="V11">
        <f>SUMIFS(meghsteelsales_currentmonth[Quantity],meghsteelsales_currentmonth[Length Bucket],U11)</f>
        <v>19919</v>
      </c>
      <c r="Y11">
        <v>0</v>
      </c>
    </row>
    <row r="12" spans="1:25" x14ac:dyDescent="0.25">
      <c r="A12">
        <v>943209</v>
      </c>
      <c r="B12" t="s">
        <v>37</v>
      </c>
      <c r="C12">
        <v>3500097</v>
      </c>
      <c r="D12" t="s">
        <v>6290</v>
      </c>
      <c r="E12">
        <v>6</v>
      </c>
      <c r="F12" t="s">
        <v>468</v>
      </c>
      <c r="G12" t="str">
        <f t="shared" si="1"/>
        <v>25.4-0-1.6-ERW 1-PE-6</v>
      </c>
      <c r="J12" t="str">
        <v>0000943209</v>
      </c>
      <c r="K12" t="str">
        <v>MEGH STEELS PRIVATE LIMITED - TVS A</v>
      </c>
      <c r="L12">
        <v>3882110</v>
      </c>
      <c r="M12" t="str">
        <v>TUB-O-N-AUT-AW-PE-22.20X1.200X5.8700</v>
      </c>
      <c r="N12" t="str">
        <v>22.23-0-1.2-ERW 1-PE-5.87</v>
      </c>
      <c r="O12" s="43">
        <f>SUMIFS(meghsteelsales_currentmonth[Quantity],meghsteelsales_currentmonth[Length Bucket],'MeghSteel Buckets_use file'!N12)/1000</f>
        <v>12.956144999999999</v>
      </c>
      <c r="P12" s="43">
        <f>SUMIFS('Apr VSM Schedule'!$AA$2:$AA$71,'Apr VSM Schedule'!$O$2:$O$71,'MeghSteel Buckets_use file'!N12)</f>
        <v>12.956144999999999</v>
      </c>
      <c r="Q12" s="43">
        <f t="shared" si="0"/>
        <v>0</v>
      </c>
      <c r="U12" t="str">
        <v>34.93-0-1.2-ERW 1-FC-0.620</v>
      </c>
      <c r="V12">
        <f>SUMIFS(meghsteelsales_currentmonth[Quantity],meghsteelsales_currentmonth[Length Bucket],U12)</f>
        <v>3100</v>
      </c>
      <c r="Y12">
        <v>0</v>
      </c>
    </row>
    <row r="13" spans="1:25" x14ac:dyDescent="0.25">
      <c r="A13">
        <v>943209</v>
      </c>
      <c r="B13" t="s">
        <v>37</v>
      </c>
      <c r="C13">
        <v>3502256</v>
      </c>
      <c r="D13" t="s">
        <v>1580</v>
      </c>
      <c r="E13">
        <v>5.53</v>
      </c>
      <c r="F13" t="s">
        <v>2222</v>
      </c>
      <c r="G13" t="str">
        <f t="shared" si="1"/>
        <v>25.4-0-2.5-ERW 1-PE-5.53</v>
      </c>
      <c r="J13" t="str">
        <v>0000943209</v>
      </c>
      <c r="K13" t="str">
        <v>MEGH STEELS PRIVATE LIMITED - TVS A</v>
      </c>
      <c r="L13">
        <v>3498997</v>
      </c>
      <c r="M13" t="str">
        <v>TUB-O-N-AUT-AW-PE-19.05X1.60X6.000-ERW 1</v>
      </c>
      <c r="N13" t="str">
        <v>19.05-0-1.6-ERW 1-PE-6</v>
      </c>
      <c r="O13" s="43">
        <f>SUMIFS(meghsteelsales_currentmonth[Quantity],meghsteelsales_currentmonth[Length Bucket],'MeghSteel Buckets_use file'!N13)/1000</f>
        <v>12.04182</v>
      </c>
      <c r="P13" s="43">
        <f>SUMIFS('Apr VSM Schedule'!$AA$2:$AA$71,'Apr VSM Schedule'!$O$2:$O$71,'MeghSteel Buckets_use file'!N13)</f>
        <v>12.04182</v>
      </c>
      <c r="Q13" s="43">
        <f t="shared" si="0"/>
        <v>0</v>
      </c>
      <c r="U13" t="str">
        <v>38.1-0-1.6-ERW 1-FC-6.19</v>
      </c>
      <c r="V13">
        <f>SUMIFS(meghsteelsales_currentmonth[Quantity],meghsteelsales_currentmonth[Length Bucket],U13)</f>
        <v>15520</v>
      </c>
      <c r="Y13">
        <v>0</v>
      </c>
    </row>
    <row r="14" spans="1:25" x14ac:dyDescent="0.25">
      <c r="A14">
        <v>943209</v>
      </c>
      <c r="B14" t="s">
        <v>37</v>
      </c>
      <c r="C14">
        <v>3171772</v>
      </c>
      <c r="D14" t="s">
        <v>2040</v>
      </c>
      <c r="E14">
        <v>6</v>
      </c>
      <c r="F14" t="s">
        <v>832</v>
      </c>
      <c r="G14" t="str">
        <f t="shared" si="1"/>
        <v>31.75-0-1.2-ERW 1-PE-6</v>
      </c>
      <c r="J14" t="str">
        <v>0000943209</v>
      </c>
      <c r="K14" t="str">
        <v>MEGH STEELS PRIVATE LIMITED - TVS A</v>
      </c>
      <c r="L14">
        <v>3954021</v>
      </c>
      <c r="M14" t="str">
        <v>TUB-O-N-AUT-AW-PE-22.20X1.600X5.6700</v>
      </c>
      <c r="N14" t="str">
        <v>22.23-0-1.6-ERW 1-PE-5.67</v>
      </c>
      <c r="O14" s="43">
        <f>SUMIFS(meghsteelsales_currentmonth[Quantity],meghsteelsales_currentmonth[Length Bucket],'MeghSteel Buckets_use file'!N14)/1000</f>
        <v>1.881885</v>
      </c>
      <c r="P14" s="43">
        <f>SUMIFS('Apr VSM Schedule'!$AA$2:$AA$71,'Apr VSM Schedule'!$O$2:$O$71,'MeghSteel Buckets_use file'!N14)</f>
        <v>1.881885</v>
      </c>
      <c r="Q14" s="43">
        <f t="shared" si="0"/>
        <v>0</v>
      </c>
      <c r="U14" t="str">
        <v>38.1-0-2.5-ERW 2 MAHS-FC-6.19</v>
      </c>
      <c r="V14">
        <f>SUMIFS(meghsteelsales_currentmonth[Quantity],meghsteelsales_currentmonth[Length Bucket],U14)</f>
        <v>111799.29199999996</v>
      </c>
    </row>
    <row r="15" spans="1:25" x14ac:dyDescent="0.25">
      <c r="A15">
        <v>943209</v>
      </c>
      <c r="B15" t="s">
        <v>37</v>
      </c>
      <c r="C15">
        <v>3500081</v>
      </c>
      <c r="D15" t="s">
        <v>1610</v>
      </c>
      <c r="E15">
        <v>6</v>
      </c>
      <c r="F15" t="s">
        <v>6180</v>
      </c>
      <c r="G15" t="str">
        <f t="shared" si="1"/>
        <v>31.75--2.3-ERW 1-FIN CUT-6</v>
      </c>
      <c r="J15" t="str">
        <v>0000943209</v>
      </c>
      <c r="K15" t="str">
        <v>MEGH STEELS PRIVATE LIMITED - TVS A</v>
      </c>
      <c r="L15">
        <v>3501116</v>
      </c>
      <c r="M15" t="str">
        <v>TUB-O-N-AUT-AW-PE-22.20X1.600X5.2640</v>
      </c>
      <c r="N15">
        <v>0</v>
      </c>
      <c r="O15" s="43">
        <f>SUMIFS(meghsteelsales_currentmonth[Quantity],meghsteelsales_currentmonth[Length Bucket],'MeghSteel Buckets_use file'!N15)/1000</f>
        <v>0</v>
      </c>
      <c r="P15" s="43">
        <f>SUMIFS('Apr VSM Schedule'!$AA$2:$AA$71,'Apr VSM Schedule'!$O$2:$O$71,'MeghSteel Buckets_use file'!N15)</f>
        <v>0</v>
      </c>
      <c r="Q15" s="43">
        <f t="shared" si="0"/>
        <v>0</v>
      </c>
      <c r="U15" t="str">
        <v>41.28-0-2.6-ERW 1-FC-6</v>
      </c>
      <c r="V15">
        <f>SUMIFS(meghsteelsales_currentmonth[Quantity],meghsteelsales_currentmonth[Length Bucket],U15)</f>
        <v>60509.999999999993</v>
      </c>
    </row>
    <row r="16" spans="1:25" x14ac:dyDescent="0.25">
      <c r="A16">
        <v>943211</v>
      </c>
      <c r="B16" t="s">
        <v>36</v>
      </c>
      <c r="C16">
        <v>3649699</v>
      </c>
      <c r="D16" t="s">
        <v>6300</v>
      </c>
      <c r="E16">
        <v>0.7</v>
      </c>
      <c r="F16" t="s">
        <v>1034</v>
      </c>
      <c r="G16" t="str">
        <f t="shared" si="1"/>
        <v>34.93-0-1.2-ERW 1-FC-0.7</v>
      </c>
      <c r="J16" t="str">
        <v>0000943210</v>
      </c>
      <c r="K16" t="str">
        <v>MEGH STEELS PRIVATE LIMITED - HMSIL</v>
      </c>
      <c r="L16">
        <v>3501105</v>
      </c>
      <c r="M16" t="str">
        <v>TUB-O-N-AUT-AW-FC-57.15X3.000X5.65-ERW 1</v>
      </c>
      <c r="N16">
        <v>0</v>
      </c>
      <c r="O16" s="43">
        <f>SUMIFS(meghsteelsales_currentmonth[Quantity],meghsteelsales_currentmonth[Length Bucket],'MeghSteel Buckets_use file'!N16)/1000</f>
        <v>0</v>
      </c>
      <c r="P16" s="43">
        <f>SUMIFS('Apr VSM Schedule'!$AA$2:$AA$71,'Apr VSM Schedule'!$O$2:$O$71,'MeghSteel Buckets_use file'!N16)</f>
        <v>0</v>
      </c>
      <c r="Q16" s="43">
        <f t="shared" si="0"/>
        <v>0</v>
      </c>
      <c r="U16" t="str">
        <v>41.28-0-3.15-ERW 1-FC-5.86</v>
      </c>
      <c r="V16">
        <f>SUMIFS(meghsteelsales_currentmonth[Quantity],meghsteelsales_currentmonth[Length Bucket],U16)</f>
        <v>9683.0499999999993</v>
      </c>
    </row>
    <row r="17" spans="1:22" x14ac:dyDescent="0.25">
      <c r="A17">
        <v>943209</v>
      </c>
      <c r="B17" t="s">
        <v>37</v>
      </c>
      <c r="C17">
        <v>3502254</v>
      </c>
      <c r="D17" t="s">
        <v>858</v>
      </c>
      <c r="E17">
        <v>6.19</v>
      </c>
      <c r="F17" t="s">
        <v>1043</v>
      </c>
      <c r="G17" t="str">
        <f t="shared" si="1"/>
        <v>38.1-0-1.6-ERW 1-FC-6.19</v>
      </c>
      <c r="J17" t="str">
        <v>0000943210</v>
      </c>
      <c r="K17" t="str">
        <v>MEGH STEELS PRIVATE LIMITED - HMSIL</v>
      </c>
      <c r="L17">
        <v>3502301</v>
      </c>
      <c r="M17" t="str">
        <v>TUB-O-N-AUT-AW-FC-48.60X2.000X6.270 HST</v>
      </c>
      <c r="N17">
        <v>0</v>
      </c>
      <c r="O17" s="43">
        <f>SUMIFS(meghsteelsales_currentmonth[Quantity],meghsteelsales_currentmonth[Length Bucket],'MeghSteel Buckets_use file'!N17)/1000</f>
        <v>0</v>
      </c>
      <c r="P17" s="43">
        <f>SUMIFS('Apr VSM Schedule'!$AA$2:$AA$71,'Apr VSM Schedule'!$O$2:$O$71,'MeghSteel Buckets_use file'!N17)</f>
        <v>0</v>
      </c>
      <c r="Q17" s="43">
        <f t="shared" si="0"/>
        <v>0</v>
      </c>
      <c r="U17" t="str">
        <v>42.7-0-3.5-ERW 1-FC-6</v>
      </c>
      <c r="V17">
        <f>SUMIFS(meghsteelsales_currentmonth[Quantity],meghsteelsales_currentmonth[Length Bucket],U17)</f>
        <v>2354.9160000000002</v>
      </c>
    </row>
    <row r="18" spans="1:22" x14ac:dyDescent="0.25">
      <c r="A18">
        <v>943209</v>
      </c>
      <c r="B18" t="s">
        <v>37</v>
      </c>
      <c r="C18">
        <v>3502007</v>
      </c>
      <c r="D18" t="s">
        <v>5993</v>
      </c>
      <c r="E18">
        <v>6.19</v>
      </c>
      <c r="F18" t="s">
        <v>1048</v>
      </c>
      <c r="G18" t="str">
        <f t="shared" si="1"/>
        <v>38.1-0-2.5-ERW 2 MAHS-FC-6.19</v>
      </c>
      <c r="J18" t="str">
        <v>0000943210</v>
      </c>
      <c r="K18" t="str">
        <v>MEGH STEELS PRIVATE LIMITED - HMSIL</v>
      </c>
      <c r="L18">
        <v>3549720</v>
      </c>
      <c r="M18" t="str">
        <v>TUB-O-N-AUT-AW-FC-48.60X2.300X6.270 HST</v>
      </c>
      <c r="N18" t="str">
        <v>48.62.36.27HSTFIN CUT-6.27</v>
      </c>
      <c r="O18" s="43">
        <f>SUMIFS(meghsteelsales_currentmonth[Quantity],meghsteelsales_currentmonth[Length Bucket],'MeghSteel Buckets_use file'!N18)/1000</f>
        <v>15.547239999999999</v>
      </c>
      <c r="P18" s="43">
        <f>SUMIFS('Apr VSM Schedule'!$AA$2:$AA$71,'Apr VSM Schedule'!$O$2:$O$71,'MeghSteel Buckets_use file'!N18)</f>
        <v>0</v>
      </c>
      <c r="Q18" s="43">
        <f t="shared" si="0"/>
        <v>15.547239999999999</v>
      </c>
      <c r="U18" t="str">
        <v>42.7-0-4-ERW 1-FC-6</v>
      </c>
      <c r="V18">
        <f>SUMIFS(meghsteelsales_currentmonth[Quantity],meghsteelsales_currentmonth[Length Bucket],U18)</f>
        <v>35316.800000000003</v>
      </c>
    </row>
    <row r="19" spans="1:22" x14ac:dyDescent="0.25">
      <c r="A19">
        <v>943209</v>
      </c>
      <c r="B19" t="s">
        <v>37</v>
      </c>
      <c r="C19">
        <v>3500959</v>
      </c>
      <c r="D19" t="s">
        <v>1651</v>
      </c>
      <c r="E19">
        <v>5.65</v>
      </c>
      <c r="F19" t="s">
        <v>860</v>
      </c>
      <c r="G19" t="str">
        <f t="shared" si="1"/>
        <v>38.1-0-2-ERW 1-FC-5.65</v>
      </c>
      <c r="J19" t="str">
        <v>0000943210</v>
      </c>
      <c r="K19" t="str">
        <v>MEGH STEELS PRIVATE LIMITED - HMSIL</v>
      </c>
      <c r="L19">
        <v>3891285</v>
      </c>
      <c r="M19" t="str">
        <v>TUB-O-N-AUT-AW-PE-19.05X1.40X6.000 HST</v>
      </c>
      <c r="N19">
        <v>0</v>
      </c>
      <c r="O19" s="43">
        <f>SUMIFS(meghsteelsales_currentmonth[Quantity],meghsteelsales_currentmonth[Length Bucket],'MeghSteel Buckets_use file'!N19)/1000</f>
        <v>0</v>
      </c>
      <c r="P19" s="43"/>
      <c r="Q19" s="43">
        <f t="shared" si="0"/>
        <v>0</v>
      </c>
      <c r="U19" t="str">
        <v>45--1.4-ERW 1-FIN CUT-5.7</v>
      </c>
      <c r="V19">
        <f>SUMIFS(meghsteelsales_currentmonth[Quantity],meghsteelsales_currentmonth[Length Bucket],U19)</f>
        <v>7350</v>
      </c>
    </row>
    <row r="20" spans="1:22" x14ac:dyDescent="0.25">
      <c r="A20">
        <v>943209</v>
      </c>
      <c r="B20" t="s">
        <v>37</v>
      </c>
      <c r="C20">
        <v>3502252</v>
      </c>
      <c r="D20" t="s">
        <v>1688</v>
      </c>
      <c r="E20">
        <v>6.08</v>
      </c>
      <c r="F20" t="s">
        <v>886</v>
      </c>
      <c r="G20" t="s">
        <v>6189</v>
      </c>
      <c r="J20" t="str">
        <v>0000943211</v>
      </c>
      <c r="K20" t="str">
        <v>MEGH STEELS PRIVATE LIMITED - RE</v>
      </c>
      <c r="L20">
        <v>3499396</v>
      </c>
      <c r="M20" t="str">
        <v>TUB-O-N-AUT-AW-FC-34.93X1.200X5.900</v>
      </c>
      <c r="N20">
        <v>0</v>
      </c>
      <c r="O20" s="43">
        <f>SUMIFS(meghsteelsales_currentmonth[Quantity],meghsteelsales_currentmonth[Length Bucket],'MeghSteel Buckets_use file'!N20)/1000</f>
        <v>0</v>
      </c>
      <c r="P20" s="43">
        <f>SUMIFS('Apr VSM Schedule'!$AA$2:$AA$71,'Apr VSM Schedule'!$O$2:$O$71,'MeghSteel Buckets_use file'!N20)</f>
        <v>0</v>
      </c>
      <c r="Q20" s="43">
        <f t="shared" si="0"/>
        <v>0</v>
      </c>
      <c r="U20" t="str">
        <v>48.6-0-3.5-ERW 1-FC-6</v>
      </c>
      <c r="V20">
        <f>SUMIFS(meghsteelsales_currentmonth[Quantity],meghsteelsales_currentmonth[Length Bucket],U20)</f>
        <v>14154.752</v>
      </c>
    </row>
    <row r="21" spans="1:22" x14ac:dyDescent="0.25">
      <c r="A21">
        <v>943209</v>
      </c>
      <c r="B21" t="s">
        <v>37</v>
      </c>
      <c r="C21">
        <v>3239889</v>
      </c>
      <c r="D21" t="s">
        <v>1688</v>
      </c>
      <c r="E21">
        <v>6.08</v>
      </c>
      <c r="F21" t="s">
        <v>886</v>
      </c>
      <c r="G21" t="s">
        <v>6189</v>
      </c>
      <c r="J21" t="str">
        <v>0000943209</v>
      </c>
      <c r="K21" t="str">
        <v>MEGH STEELS PRIVATE LIMITED - TVS A</v>
      </c>
      <c r="L21">
        <v>3502256</v>
      </c>
      <c r="M21" t="str">
        <v>TUB-O-N-AUT-AW-PE-25.40X2.500X5.5300</v>
      </c>
      <c r="N21" t="str">
        <v>25.4-0-2.5-ERW 1-PE-5.53</v>
      </c>
      <c r="O21" s="43">
        <f>SUMIFS(meghsteelsales_currentmonth[Quantity],meghsteelsales_currentmonth[Length Bucket],'MeghSteel Buckets_use file'!N21)/1000</f>
        <v>37.814835000000002</v>
      </c>
      <c r="P21" s="43"/>
      <c r="Q21" s="43"/>
      <c r="U21" t="str">
        <v>48.62.36.27HSTFIN CUT-6.27</v>
      </c>
      <c r="V21">
        <f>SUMIFS(meghsteelsales_currentmonth[Quantity],meghsteelsales_currentmonth[Length Bucket],U21)</f>
        <v>15547.239999999998</v>
      </c>
    </row>
    <row r="22" spans="1:22" x14ac:dyDescent="0.25">
      <c r="A22">
        <v>943209</v>
      </c>
      <c r="B22" t="s">
        <v>37</v>
      </c>
      <c r="C22">
        <v>3500650</v>
      </c>
      <c r="D22" t="s">
        <v>1694</v>
      </c>
      <c r="E22">
        <v>6</v>
      </c>
      <c r="F22" t="s">
        <v>875</v>
      </c>
      <c r="G22" t="str">
        <f t="shared" si="1"/>
        <v>42.7-0-3.5-ERW 1-FC-6</v>
      </c>
      <c r="J22" t="str">
        <v>0000943209</v>
      </c>
      <c r="K22" t="str">
        <v>MEGH STEELS PRIVATE LIMITED - TVS A</v>
      </c>
      <c r="L22">
        <v>3500650</v>
      </c>
      <c r="M22" t="str">
        <v>TUB-O-N-AUT-BH-FC-42.70X3.500X6.000</v>
      </c>
      <c r="N22" t="str">
        <v>42.7-0-3.5-ERW 1-FC-6</v>
      </c>
      <c r="O22" s="43">
        <f>SUMIFS(meghsteelsales_currentmonth[Quantity],meghsteelsales_currentmonth[Length Bucket],'MeghSteel Buckets_use file'!N22)/1000</f>
        <v>2.3549160000000002</v>
      </c>
      <c r="P22" s="43">
        <f>SUMIFS('Apr VSM Schedule'!$AA$2:$AA$71,'Apr VSM Schedule'!$O$2:$O$71,'MeghSteel Buckets_use file'!N22)</f>
        <v>2.3549160000000002</v>
      </c>
      <c r="Q22" s="43">
        <f t="shared" si="0"/>
        <v>0</v>
      </c>
      <c r="U22" t="str">
        <v>50-50-1.6-ERW 1-FIN CUT-6.04</v>
      </c>
      <c r="V22">
        <f>SUMIFS(meghsteelsales_currentmonth[Quantity],meghsteelsales_currentmonth[Length Bucket],U22)</f>
        <v>16988</v>
      </c>
    </row>
    <row r="23" spans="1:22" x14ac:dyDescent="0.25">
      <c r="A23">
        <v>943210</v>
      </c>
      <c r="B23" t="s">
        <v>32</v>
      </c>
      <c r="C23">
        <v>3502189</v>
      </c>
      <c r="D23" t="s">
        <v>6365</v>
      </c>
      <c r="E23">
        <v>6.46</v>
      </c>
      <c r="F23" t="s">
        <v>5061</v>
      </c>
      <c r="G23" t="str">
        <f t="shared" si="1"/>
        <v>45--1.4-ERW 2-FIN CUT-6.46</v>
      </c>
      <c r="J23" t="str">
        <v>0000943209</v>
      </c>
      <c r="K23" t="str">
        <v>MEGH STEELS PRIVATE LIMITED - TVS A</v>
      </c>
      <c r="L23">
        <v>3500391</v>
      </c>
      <c r="M23" t="str">
        <v>TUB-O-N-AUT-AW-FC-54.00X3.000X5.910</v>
      </c>
      <c r="N23">
        <v>0</v>
      </c>
      <c r="O23" s="43">
        <f>SUMIFS(meghsteelsales_currentmonth[Quantity],meghsteelsales_currentmonth[Length Bucket],'MeghSteel Buckets_use file'!N23)/1000</f>
        <v>0</v>
      </c>
      <c r="P23" s="43">
        <f>SUMIFS('Apr VSM Schedule'!$AA$2:$AA$71,'Apr VSM Schedule'!$O$2:$O$71,'MeghSteel Buckets_use file'!N23)</f>
        <v>0</v>
      </c>
      <c r="Q23" s="43">
        <f t="shared" si="0"/>
        <v>0</v>
      </c>
      <c r="U23" t="str">
        <v>57.15-0-2.5-ERW 1-FC-5.711</v>
      </c>
      <c r="V23">
        <f>SUMIFS(meghsteelsales_currentmonth[Quantity],meghsteelsales_currentmonth[Length Bucket],U23)</f>
        <v>206778.05</v>
      </c>
    </row>
    <row r="24" spans="1:22" x14ac:dyDescent="0.25">
      <c r="A24">
        <v>943211</v>
      </c>
      <c r="B24" t="s">
        <v>36</v>
      </c>
      <c r="C24">
        <v>3649700</v>
      </c>
      <c r="D24" t="s">
        <v>2276</v>
      </c>
      <c r="E24">
        <v>0.7</v>
      </c>
      <c r="F24" t="s">
        <v>6198</v>
      </c>
      <c r="G24" t="str">
        <f t="shared" si="1"/>
        <v>48--1.2-ERW 1-FIN CUT-0.7</v>
      </c>
      <c r="J24" t="str">
        <v>0000943211</v>
      </c>
      <c r="K24" t="str">
        <v>MEGH STEELS PRIVATE LIMITED - RE</v>
      </c>
      <c r="L24">
        <v>3500641</v>
      </c>
      <c r="M24" t="str">
        <v>TUB-S-AW-SHS-50.0X50.0X1.6X6.121 FC HDP</v>
      </c>
      <c r="N24" t="str">
        <v>50-50-1.6-ERW 1-FIN CUT-6.04</v>
      </c>
      <c r="O24" s="43">
        <f>SUMIFS(meghsteelsales_currentmonth[Quantity],meghsteelsales_currentmonth[Length Bucket],'MeghSteel Buckets_use file'!N24)/1000</f>
        <v>16.988</v>
      </c>
      <c r="P24" s="43">
        <f>SUMIFS('Apr VSM Schedule'!$AA$2:$AA$71,'Apr VSM Schedule'!$O$2:$O$71,'MeghSteel Buckets_use file'!N24)</f>
        <v>0</v>
      </c>
      <c r="Q24" s="43">
        <f t="shared" si="0"/>
        <v>16.988</v>
      </c>
      <c r="U24" t="str">
        <v>57.15-0-2.5-ERW 1-FC-5.75</v>
      </c>
      <c r="V24">
        <f>SUMIFS(meghsteelsales_currentmonth[Quantity],meghsteelsales_currentmonth[Length Bucket],U24)</f>
        <v>15740</v>
      </c>
    </row>
    <row r="25" spans="1:22" x14ac:dyDescent="0.25">
      <c r="A25">
        <v>943209</v>
      </c>
      <c r="B25" t="s">
        <v>37</v>
      </c>
      <c r="C25">
        <v>3501047</v>
      </c>
      <c r="D25" t="s">
        <v>2371</v>
      </c>
      <c r="E25">
        <v>5.75</v>
      </c>
      <c r="F25" t="s">
        <v>926</v>
      </c>
      <c r="G25" t="str">
        <f t="shared" si="1"/>
        <v>57.15-0-2.5-ERW 1-FC-5.75</v>
      </c>
      <c r="J25" t="str">
        <v>0000943209</v>
      </c>
      <c r="K25" t="str">
        <v>MEGH STEELS PRIVATE LIMITED - TVS A</v>
      </c>
      <c r="L25">
        <v>3500714</v>
      </c>
      <c r="M25" t="str">
        <v>TUB-O-N-AUT-BH-FC-42.70X4.000X5.50-ERW 1</v>
      </c>
      <c r="N25" t="str">
        <v>42.7-0-4-ERW 1-FC-6</v>
      </c>
      <c r="O25" s="43">
        <f>SUMIFS(meghsteelsales_currentmonth[Quantity],meghsteelsales_currentmonth[Length Bucket],'MeghSteel Buckets_use file'!N25)/1000</f>
        <v>35.316800000000001</v>
      </c>
      <c r="P25">
        <f>SUM(P3:P24)</f>
        <v>469.96447299999994</v>
      </c>
      <c r="U25" t="str">
        <v>57.15-0-2.5-ERW 1-FC-5.95</v>
      </c>
    </row>
    <row r="26" spans="1:22" x14ac:dyDescent="0.25">
      <c r="A26">
        <v>943209</v>
      </c>
      <c r="B26" t="s">
        <v>37</v>
      </c>
      <c r="C26">
        <v>3910001</v>
      </c>
      <c r="D26" t="s">
        <v>1752</v>
      </c>
      <c r="E26">
        <v>6.1</v>
      </c>
      <c r="F26" t="s">
        <v>926</v>
      </c>
      <c r="G26" t="str">
        <f t="shared" si="1"/>
        <v>57.15-0-2.5-ERW 1-FC-6.1</v>
      </c>
      <c r="J26" t="str">
        <v>0000943210</v>
      </c>
      <c r="K26" t="str">
        <v>MEGH STEELS PRIVATE LIMITED - HMSIL</v>
      </c>
      <c r="L26">
        <v>1931046</v>
      </c>
      <c r="M26" t="str">
        <v>TUB-O-N-AUT-AW-FC-28.58X3.250X6.0600</v>
      </c>
      <c r="N26">
        <v>0</v>
      </c>
      <c r="O26" s="43">
        <f>SUMIFS(meghsteelsales_currentmonth[Quantity],meghsteelsales_currentmonth[Length Bucket],'MeghSteel Buckets_use file'!N26)/1000</f>
        <v>0</v>
      </c>
      <c r="U26" t="str">
        <v>57.15-0-2.5-ERW 1-FC-6.1</v>
      </c>
    </row>
    <row r="27" spans="1:22" x14ac:dyDescent="0.25">
      <c r="A27">
        <v>943211</v>
      </c>
      <c r="B27" t="s">
        <v>36</v>
      </c>
      <c r="C27">
        <v>3781647</v>
      </c>
      <c r="D27" t="s">
        <v>2279</v>
      </c>
      <c r="E27">
        <v>0.57199999999999995</v>
      </c>
      <c r="F27" t="s">
        <v>568</v>
      </c>
      <c r="G27" t="s">
        <v>6204</v>
      </c>
      <c r="J27" t="str">
        <v>0000943209</v>
      </c>
      <c r="K27" t="str">
        <v>MEGH STEELS PRIVATE LIMITED - TVS A</v>
      </c>
      <c r="L27">
        <v>4265906</v>
      </c>
      <c r="M27" t="str">
        <v>TUB-R-AW-AUT-50.00X30.00X2.500X6.1930</v>
      </c>
      <c r="N27">
        <v>0</v>
      </c>
      <c r="O27" s="43">
        <f>SUMIFS(meghsteelsales_currentmonth[Quantity],meghsteelsales_currentmonth[Length Bucket],'MeghSteel Buckets_use file'!N27)/1000</f>
        <v>0</v>
      </c>
      <c r="U27" t="str">
        <v>60.3-0-2-ERW 1-FC-5.9</v>
      </c>
    </row>
    <row r="28" spans="1:22" x14ac:dyDescent="0.25">
      <c r="A28">
        <v>943211</v>
      </c>
      <c r="B28" t="s">
        <v>36</v>
      </c>
      <c r="C28">
        <v>2420716</v>
      </c>
      <c r="D28" t="s">
        <v>1756</v>
      </c>
      <c r="E28">
        <v>0.57299999999999995</v>
      </c>
      <c r="F28" t="s">
        <v>568</v>
      </c>
      <c r="G28" t="str">
        <f>_xlfn.CONCAT(F28,"-",E28)</f>
        <v>59-30-1.6-ERW 1-FIN CUT-0.573</v>
      </c>
      <c r="J28" t="str">
        <v>0000943209</v>
      </c>
      <c r="K28" t="str">
        <v>MEGH STEELS PRIVATE LIMITED - TVS A</v>
      </c>
      <c r="L28">
        <v>1940292</v>
      </c>
      <c r="M28" t="str">
        <v>TUB-O-O-AUT-AW-PE-19.05X2.000X5.8000</v>
      </c>
      <c r="N28">
        <v>0</v>
      </c>
      <c r="O28" s="43">
        <f>SUMIFS(meghsteelsales_currentmonth[Quantity],meghsteelsales_currentmonth[Length Bucket],'MeghSteel Buckets_use file'!N28)/1000</f>
        <v>0</v>
      </c>
      <c r="U28">
        <v>0</v>
      </c>
    </row>
    <row r="29" spans="1:22" x14ac:dyDescent="0.25">
      <c r="A29">
        <v>943209</v>
      </c>
      <c r="B29" t="s">
        <v>37</v>
      </c>
      <c r="C29">
        <v>3702875</v>
      </c>
      <c r="D29" t="s">
        <v>2007</v>
      </c>
      <c r="E29">
        <v>6</v>
      </c>
      <c r="F29" t="s">
        <v>1070</v>
      </c>
      <c r="G29" t="s">
        <v>6208</v>
      </c>
      <c r="J29" t="str">
        <v>0000943209</v>
      </c>
      <c r="K29" t="str">
        <v>MEGH STEELS PRIVATE LIMITED - TVS A</v>
      </c>
      <c r="L29">
        <v>3994149</v>
      </c>
      <c r="M29" t="str">
        <v>TUB-O-N-AUT-AW-FC-41.28X2.600X6.0010</v>
      </c>
      <c r="N29" t="str">
        <v>41.28-0-2.6-ERW 1-FC-6</v>
      </c>
      <c r="O29" s="43">
        <f>SUMIFS(meghsteelsales_currentmonth[Quantity],meghsteelsales_currentmonth[Length Bucket],'MeghSteel Buckets_use file'!N29)/1000</f>
        <v>60.509999999999991</v>
      </c>
    </row>
    <row r="30" spans="1:22" x14ac:dyDescent="0.25">
      <c r="A30">
        <v>943209</v>
      </c>
      <c r="B30" t="s">
        <v>37</v>
      </c>
      <c r="C30">
        <v>3506193</v>
      </c>
      <c r="D30" t="s">
        <v>6366</v>
      </c>
      <c r="E30">
        <v>0.7</v>
      </c>
      <c r="F30" t="s">
        <v>412</v>
      </c>
      <c r="G30" t="s">
        <v>6167</v>
      </c>
      <c r="J30" t="str">
        <v>0000943209</v>
      </c>
      <c r="K30" t="str">
        <v>MEGH STEELS PRIVATE LIMITED - TVS A</v>
      </c>
      <c r="L30">
        <v>2430128</v>
      </c>
      <c r="M30" t="str">
        <v>TUB-R-AW-AUT-50.00X30.00X1.600X1.1000</v>
      </c>
      <c r="N30">
        <v>0</v>
      </c>
      <c r="O30" s="43">
        <f>SUMIFS(meghsteelsales_currentmonth[Quantity],meghsteelsales_currentmonth[Length Bucket],'MeghSteel Buckets_use file'!N30)/1000</f>
        <v>0</v>
      </c>
    </row>
    <row r="31" spans="1:22" x14ac:dyDescent="0.25">
      <c r="A31">
        <v>943209</v>
      </c>
      <c r="B31" t="s">
        <v>37</v>
      </c>
      <c r="C31">
        <v>3509424</v>
      </c>
      <c r="D31" t="s">
        <v>1654</v>
      </c>
      <c r="E31">
        <v>0.875</v>
      </c>
      <c r="F31" t="s">
        <v>1048</v>
      </c>
      <c r="G31" t="s">
        <v>6188</v>
      </c>
      <c r="J31" t="str">
        <v>0000943209</v>
      </c>
      <c r="K31" t="str">
        <v>MEGH STEELS PRIVATE LIMITED - TVS A</v>
      </c>
      <c r="L31">
        <v>2409618</v>
      </c>
      <c r="M31" t="str">
        <v>TUB-O-N-AUT-AW-PE-25.40X1.600X2.5900</v>
      </c>
      <c r="N31">
        <v>0</v>
      </c>
      <c r="O31" s="43">
        <f>SUMIFS(meghsteelsales_currentmonth[Quantity],meghsteelsales_currentmonth[Length Bucket],'MeghSteel Buckets_use file'!N31)/1000</f>
        <v>0</v>
      </c>
    </row>
    <row r="32" spans="1:22" x14ac:dyDescent="0.25">
      <c r="A32">
        <v>943209</v>
      </c>
      <c r="B32" t="s">
        <v>37</v>
      </c>
      <c r="C32">
        <v>3909479</v>
      </c>
      <c r="D32" t="s">
        <v>2177</v>
      </c>
      <c r="E32">
        <v>4.6500000000000004</v>
      </c>
      <c r="F32" t="s">
        <v>712</v>
      </c>
      <c r="G32" t="s">
        <v>6202</v>
      </c>
      <c r="J32" t="str">
        <v>0000943209</v>
      </c>
      <c r="K32" t="str">
        <v>MEGH STEELS PRIVATE LIMITED - TVS A</v>
      </c>
      <c r="L32">
        <v>1940045</v>
      </c>
      <c r="M32" t="str">
        <v>TUB-O-O-AUT-AW-PE-15.88X1.200X1.1300</v>
      </c>
      <c r="N32">
        <v>0</v>
      </c>
      <c r="O32" s="43">
        <f>SUMIFS(meghsteelsales_currentmonth[Quantity],meghsteelsales_currentmonth[Length Bucket],'MeghSteel Buckets_use file'!N32)/1000</f>
        <v>0</v>
      </c>
    </row>
    <row r="33" spans="1:15" x14ac:dyDescent="0.25">
      <c r="A33">
        <v>943209</v>
      </c>
      <c r="B33" t="s">
        <v>37</v>
      </c>
      <c r="C33">
        <v>3500714</v>
      </c>
      <c r="D33" t="s">
        <v>1922</v>
      </c>
      <c r="E33">
        <v>5.5</v>
      </c>
      <c r="F33" t="s">
        <v>891</v>
      </c>
      <c r="G33" t="s">
        <v>6195</v>
      </c>
      <c r="J33" t="str">
        <v>0000943209</v>
      </c>
      <c r="K33" t="str">
        <v>MEGH STEELS PRIVATE LIMITED - TVS A</v>
      </c>
      <c r="L33">
        <v>3409366</v>
      </c>
      <c r="M33" t="str">
        <v>TUB-O-N-AUT-AW-PE-19.05X1.200X0.1090</v>
      </c>
      <c r="N33">
        <v>0</v>
      </c>
      <c r="O33" s="43">
        <f>SUMIFS(meghsteelsales_currentmonth[Quantity],meghsteelsales_currentmonth[Length Bucket],'MeghSteel Buckets_use file'!N33)/1000</f>
        <v>0</v>
      </c>
    </row>
    <row r="34" spans="1:15" x14ac:dyDescent="0.25">
      <c r="A34">
        <v>943210</v>
      </c>
      <c r="B34" t="s">
        <v>32</v>
      </c>
      <c r="C34">
        <v>3545558</v>
      </c>
      <c r="D34" t="s">
        <v>2378</v>
      </c>
      <c r="E34">
        <v>5.7</v>
      </c>
      <c r="F34" t="s">
        <v>2379</v>
      </c>
      <c r="G34" t="s">
        <v>6197</v>
      </c>
      <c r="J34" t="str">
        <v>0000943209</v>
      </c>
      <c r="K34" t="str">
        <v>MEGH STEELS PRIVATE LIMITED - TVS A</v>
      </c>
      <c r="L34">
        <v>3229740</v>
      </c>
      <c r="M34" t="str">
        <v>TUB-O-N-AUT-AW-PE-19.05X1.200X1.0750</v>
      </c>
      <c r="N34">
        <v>0</v>
      </c>
      <c r="O34" s="43">
        <f>SUMIFS(meghsteelsales_currentmonth[Quantity],meghsteelsales_currentmonth[Length Bucket],'MeghSteel Buckets_use file'!N34)/1000</f>
        <v>0</v>
      </c>
    </row>
    <row r="35" spans="1:15" x14ac:dyDescent="0.25">
      <c r="A35">
        <v>943209</v>
      </c>
      <c r="B35" t="s">
        <v>37</v>
      </c>
      <c r="C35">
        <v>3907863</v>
      </c>
      <c r="D35" t="s">
        <v>1749</v>
      </c>
      <c r="E35">
        <v>5.7110000000000003</v>
      </c>
      <c r="F35" t="s">
        <v>926</v>
      </c>
      <c r="G35" t="str">
        <f>_xlfn.CONCAT(F35,"-",E35)</f>
        <v>57.15-0-2.5-ERW 1-FC-5.711</v>
      </c>
      <c r="J35" t="str">
        <v>0000943209</v>
      </c>
      <c r="K35" t="str">
        <v>MEGH STEELS PRIVATE LIMITED - TVS A</v>
      </c>
      <c r="L35">
        <v>2409616</v>
      </c>
      <c r="M35" t="str">
        <v>TUB-O-N-AUT-AW-PE-19.05X1.200X0.5130</v>
      </c>
      <c r="N35">
        <v>0</v>
      </c>
      <c r="O35" s="43">
        <f>SUMIFS(meghsteelsales_currentmonth[Quantity],meghsteelsales_currentmonth[Length Bucket],'MeghSteel Buckets_use file'!N35)/1000</f>
        <v>0</v>
      </c>
    </row>
    <row r="36" spans="1:15" x14ac:dyDescent="0.25">
      <c r="A36">
        <v>943209</v>
      </c>
      <c r="B36" t="s">
        <v>37</v>
      </c>
      <c r="C36">
        <v>3929508</v>
      </c>
      <c r="D36" t="s">
        <v>6367</v>
      </c>
      <c r="E36">
        <v>5.7690000000000001</v>
      </c>
      <c r="F36" t="s">
        <v>1043</v>
      </c>
      <c r="G36" t="s">
        <v>6186</v>
      </c>
      <c r="J36" t="str">
        <v>0000943209</v>
      </c>
      <c r="K36" t="str">
        <v>MEGH STEELS PRIVATE LIMITED - TVS A</v>
      </c>
      <c r="L36">
        <v>3432081</v>
      </c>
      <c r="M36" t="str">
        <v>TUB-O-N-AUT-AW-PE-12.70X1.600X0.1890</v>
      </c>
      <c r="N36">
        <v>0</v>
      </c>
      <c r="O36" s="43">
        <f>SUMIFS(meghsteelsales_currentmonth[Quantity],meghsteelsales_currentmonth[Length Bucket],'MeghSteel Buckets_use file'!N36)/1000</f>
        <v>0</v>
      </c>
    </row>
    <row r="37" spans="1:15" x14ac:dyDescent="0.25">
      <c r="A37">
        <v>943209</v>
      </c>
      <c r="B37" t="s">
        <v>37</v>
      </c>
      <c r="C37">
        <v>3929561</v>
      </c>
      <c r="D37" t="s">
        <v>6368</v>
      </c>
      <c r="E37">
        <v>5.78</v>
      </c>
      <c r="F37" t="s">
        <v>860</v>
      </c>
      <c r="G37" t="s">
        <v>6187</v>
      </c>
      <c r="J37" t="str">
        <v>0000943209</v>
      </c>
      <c r="K37" t="str">
        <v>MEGH STEELS PRIVATE LIMITED - TVS A</v>
      </c>
      <c r="L37">
        <v>4110464</v>
      </c>
      <c r="M37" t="str">
        <v>TUB-O-N-AUT-AW-PE-19.05X1.200X1.1450</v>
      </c>
      <c r="N37">
        <v>0</v>
      </c>
      <c r="O37" s="43">
        <f>SUMIFS(meghsteelsales_currentmonth[Quantity],meghsteelsales_currentmonth[Length Bucket],'MeghSteel Buckets_use file'!N37)/1000</f>
        <v>0</v>
      </c>
    </row>
    <row r="38" spans="1:15" x14ac:dyDescent="0.25">
      <c r="A38">
        <v>943210</v>
      </c>
      <c r="B38" t="s">
        <v>32</v>
      </c>
      <c r="C38">
        <v>3673889</v>
      </c>
      <c r="D38" t="s">
        <v>5969</v>
      </c>
      <c r="E38">
        <v>5.86</v>
      </c>
      <c r="F38" t="s">
        <v>6192</v>
      </c>
      <c r="G38" t="s">
        <v>6193</v>
      </c>
      <c r="J38" t="str">
        <v>0000943211</v>
      </c>
      <c r="K38" t="str">
        <v>MEGH STEELS PRIVATE LIMITED - RE</v>
      </c>
      <c r="L38">
        <v>4038150</v>
      </c>
      <c r="M38" t="str">
        <v>TUB-O-N-AUT-AW-FC-48.00X1.200X5.2850</v>
      </c>
      <c r="N38">
        <v>0</v>
      </c>
      <c r="O38" s="43">
        <f>SUMIFS(meghsteelsales_currentmonth[Quantity],meghsteelsales_currentmonth[Length Bucket],'MeghSteel Buckets_use file'!N38)/1000</f>
        <v>0</v>
      </c>
    </row>
    <row r="39" spans="1:15" x14ac:dyDescent="0.25">
      <c r="A39">
        <v>943209</v>
      </c>
      <c r="B39" t="s">
        <v>37</v>
      </c>
      <c r="C39">
        <v>3499781</v>
      </c>
      <c r="D39" t="s">
        <v>6369</v>
      </c>
      <c r="E39">
        <v>5.9</v>
      </c>
      <c r="F39" t="s">
        <v>1043</v>
      </c>
      <c r="G39" t="s">
        <v>6186</v>
      </c>
      <c r="J39" t="str">
        <v>0000943211</v>
      </c>
      <c r="K39" t="str">
        <v>MEGH STEELS PRIVATE LIMITED - RE</v>
      </c>
      <c r="L39">
        <v>1940684</v>
      </c>
      <c r="M39" t="str">
        <v>TUB-O-O-AUT-AW-FC-31.75X2.300X6.0000</v>
      </c>
      <c r="N39" t="str">
        <v>31.75-0-2.3-ERW 1-FC-5.92</v>
      </c>
      <c r="O39" s="43">
        <f>SUMIFS(meghsteelsales_currentmonth[Quantity],meghsteelsales_currentmonth[Length Bucket],'MeghSteel Buckets_use file'!N39)/1000</f>
        <v>19.919</v>
      </c>
    </row>
    <row r="40" spans="1:15" x14ac:dyDescent="0.25">
      <c r="A40">
        <v>943210</v>
      </c>
      <c r="B40" t="s">
        <v>32</v>
      </c>
      <c r="C40">
        <v>1940078</v>
      </c>
      <c r="D40" t="s">
        <v>518</v>
      </c>
      <c r="E40">
        <v>6</v>
      </c>
      <c r="F40" t="s">
        <v>506</v>
      </c>
      <c r="G40" t="s">
        <v>6158</v>
      </c>
      <c r="J40" t="str">
        <v>0000943209</v>
      </c>
      <c r="K40" t="str">
        <v>MEGH STEELS PRIVATE LIMITED - TVS A</v>
      </c>
      <c r="L40">
        <v>1939985</v>
      </c>
      <c r="M40" t="str">
        <v>TUB-O-O-AUT-AW-PE-12.70X1.200X6.0000</v>
      </c>
      <c r="N40" t="str">
        <v>12.7-0-1.2-ERW 1-PE-6</v>
      </c>
      <c r="O40" s="43">
        <f>SUMIFS(meghsteelsales_currentmonth[Quantity],meghsteelsales_currentmonth[Length Bucket],'MeghSteel Buckets_use file'!N40)/1000</f>
        <v>10.210000000000001</v>
      </c>
    </row>
    <row r="41" spans="1:15" x14ac:dyDescent="0.25">
      <c r="A41">
        <v>943210</v>
      </c>
      <c r="B41" t="s">
        <v>32</v>
      </c>
      <c r="C41">
        <v>1900224</v>
      </c>
      <c r="D41" t="s">
        <v>513</v>
      </c>
      <c r="E41">
        <v>6</v>
      </c>
      <c r="F41" t="s">
        <v>506</v>
      </c>
      <c r="G41" t="s">
        <v>6158</v>
      </c>
      <c r="J41" t="str">
        <v>0000943209</v>
      </c>
      <c r="K41" t="str">
        <v>MEGH STEELS PRIVATE LIMITED - TVS A</v>
      </c>
      <c r="L41">
        <v>3929640</v>
      </c>
      <c r="M41" t="str">
        <v>TUB-O-N-AUT-AW-PE-22.23X1.200X5.3000</v>
      </c>
      <c r="N41">
        <v>0</v>
      </c>
      <c r="O41" s="43">
        <f>SUMIFS(meghsteelsales_currentmonth[Quantity],meghsteelsales_currentmonth[Length Bucket],'MeghSteel Buckets_use file'!N41)/1000</f>
        <v>0</v>
      </c>
    </row>
    <row r="42" spans="1:15" x14ac:dyDescent="0.25">
      <c r="A42">
        <v>943209</v>
      </c>
      <c r="B42" t="s">
        <v>37</v>
      </c>
      <c r="C42">
        <v>1940572</v>
      </c>
      <c r="D42" t="s">
        <v>6370</v>
      </c>
      <c r="E42">
        <v>6</v>
      </c>
      <c r="F42" t="s">
        <v>468</v>
      </c>
      <c r="G42" t="s">
        <v>6172</v>
      </c>
      <c r="J42" t="str">
        <v>0000943209</v>
      </c>
      <c r="K42" t="str">
        <v>MEGH STEELS PRIVATE LIMITED - TVS A</v>
      </c>
      <c r="L42">
        <v>1940337</v>
      </c>
      <c r="M42" t="str">
        <v>TUB-O-O-AUT-AW-PE-19.05X2.300X6.3200</v>
      </c>
      <c r="N42">
        <v>0</v>
      </c>
      <c r="O42" s="43">
        <f>SUMIFS(meghsteelsales_currentmonth[Quantity],meghsteelsales_currentmonth[Length Bucket],'MeghSteel Buckets_use file'!N42)/1000</f>
        <v>0</v>
      </c>
    </row>
    <row r="43" spans="1:15" x14ac:dyDescent="0.25">
      <c r="A43">
        <v>943209</v>
      </c>
      <c r="B43" t="s">
        <v>37</v>
      </c>
      <c r="C43">
        <v>1940925</v>
      </c>
      <c r="D43" t="s">
        <v>6303</v>
      </c>
      <c r="E43">
        <v>6</v>
      </c>
      <c r="F43" t="s">
        <v>568</v>
      </c>
      <c r="G43" t="s">
        <v>6203</v>
      </c>
      <c r="J43" t="str">
        <v>0000943209</v>
      </c>
      <c r="K43" t="str">
        <v>MEGH STEELS PRIVATE LIMITED - TVS A</v>
      </c>
      <c r="L43">
        <v>3239890</v>
      </c>
      <c r="M43" t="str">
        <v>TUB-O-N-AUT-AW-PE-19.05X1.200X0.3300</v>
      </c>
      <c r="N43">
        <v>0</v>
      </c>
      <c r="O43" s="43">
        <f>SUMIFS(meghsteelsales_currentmonth[Quantity],meghsteelsales_currentmonth[Length Bucket],'MeghSteel Buckets_use file'!N43)/1000</f>
        <v>0</v>
      </c>
    </row>
    <row r="44" spans="1:15" x14ac:dyDescent="0.25">
      <c r="A44">
        <v>943209</v>
      </c>
      <c r="B44" t="s">
        <v>37</v>
      </c>
      <c r="C44">
        <v>3919144</v>
      </c>
      <c r="D44" t="s">
        <v>6302</v>
      </c>
      <c r="E44">
        <v>6.13</v>
      </c>
      <c r="F44" t="s">
        <v>428</v>
      </c>
      <c r="G44" t="s">
        <v>6191</v>
      </c>
      <c r="J44" t="str">
        <v>0000943209</v>
      </c>
      <c r="K44" t="str">
        <v>MEGH STEELS PRIVATE LIMITED - TVS A</v>
      </c>
      <c r="L44">
        <v>3635694</v>
      </c>
      <c r="M44" t="str">
        <v>TUB-O-N-AUT-AW-PE-19.05X1.000X1.2000</v>
      </c>
      <c r="N44">
        <v>0</v>
      </c>
      <c r="O44" s="43">
        <f>SUMIFS(meghsteelsales_currentmonth[Quantity],meghsteelsales_currentmonth[Length Bucket],'MeghSteel Buckets_use file'!N44)/1000</f>
        <v>0</v>
      </c>
    </row>
    <row r="45" spans="1:15" x14ac:dyDescent="0.25">
      <c r="A45">
        <v>943209</v>
      </c>
      <c r="B45" t="s">
        <v>37</v>
      </c>
      <c r="C45">
        <v>1940833</v>
      </c>
      <c r="D45" t="s">
        <v>2338</v>
      </c>
      <c r="E45">
        <v>6.23</v>
      </c>
      <c r="F45" t="s">
        <v>586</v>
      </c>
      <c r="G45" t="s">
        <v>6371</v>
      </c>
      <c r="J45" t="str">
        <v>0000943211</v>
      </c>
      <c r="K45" t="str">
        <v>MEGH STEELS PRIVATE LIMITED - RE</v>
      </c>
      <c r="L45">
        <v>2397073</v>
      </c>
      <c r="M45" t="str">
        <v>TUB-O-N-AUT-AW-FC-34.93X1.200X0.6200</v>
      </c>
      <c r="N45" t="str">
        <v>34.93-0-1.2-ERW 1-FC-0.620</v>
      </c>
      <c r="O45" s="43">
        <f>SUMIFS(meghsteelsales_currentmonth[Quantity],meghsteelsales_currentmonth[Length Bucket],'MeghSteel Buckets_use file'!N45)/1000</f>
        <v>3.1</v>
      </c>
    </row>
    <row r="46" spans="1:15" x14ac:dyDescent="0.25">
      <c r="A46">
        <v>943213</v>
      </c>
      <c r="B46" t="s">
        <v>34</v>
      </c>
      <c r="C46">
        <v>3694074</v>
      </c>
      <c r="D46" t="s">
        <v>1615</v>
      </c>
      <c r="E46">
        <v>6.4</v>
      </c>
      <c r="F46" t="s">
        <v>6372</v>
      </c>
      <c r="G46" t="s">
        <v>6373</v>
      </c>
      <c r="J46" t="str">
        <v>0000943210</v>
      </c>
      <c r="K46" t="str">
        <v>MEGH STEELS PRIVATE LIMITED - HMSIL</v>
      </c>
      <c r="L46">
        <v>3731691</v>
      </c>
      <c r="M46" t="str">
        <v>TUB-O-N-AUT-AW-FC-42.70X1.600X0.4160</v>
      </c>
      <c r="N46">
        <v>0</v>
      </c>
      <c r="O46" s="43">
        <f>SUMIFS(meghsteelsales_currentmonth[Quantity],meghsteelsales_currentmonth[Length Bucket],'MeghSteel Buckets_use file'!N46)/1000</f>
        <v>0</v>
      </c>
    </row>
    <row r="47" spans="1:15" x14ac:dyDescent="0.25">
      <c r="A47">
        <v>943209</v>
      </c>
      <c r="B47" t="s">
        <v>37</v>
      </c>
      <c r="C47">
        <v>3974562</v>
      </c>
      <c r="D47" t="s">
        <v>6374</v>
      </c>
      <c r="E47">
        <v>5.87</v>
      </c>
      <c r="F47" t="s">
        <v>607</v>
      </c>
      <c r="G47" t="str">
        <f>_xlfn.CONCAT(F47,"-",E47)</f>
        <v>22.23-0-1.2-ERW 1-PE-5.87</v>
      </c>
      <c r="J47" t="str">
        <v>0000943209</v>
      </c>
      <c r="K47" t="str">
        <v>MEGH STEELS PRIVATE LIMITED - TVS A</v>
      </c>
      <c r="L47">
        <v>3597050</v>
      </c>
      <c r="M47" t="str">
        <v>TUB-O-N-AUT-AW-FC-41.28X3.150X5.9400</v>
      </c>
      <c r="N47" t="str">
        <v>41.28-0-3.15-ERW 1-FC-5.86</v>
      </c>
      <c r="O47" s="43">
        <f>SUMIFS(meghsteelsales_currentmonth[Quantity],meghsteelsales_currentmonth[Length Bucket],'MeghSteel Buckets_use file'!N47)/1000</f>
        <v>9.6830499999999997</v>
      </c>
    </row>
    <row r="48" spans="1:15" x14ac:dyDescent="0.25">
      <c r="A48">
        <v>943209</v>
      </c>
      <c r="B48" t="s">
        <v>37</v>
      </c>
      <c r="C48">
        <v>2288945</v>
      </c>
      <c r="D48" t="s">
        <v>1241</v>
      </c>
      <c r="E48">
        <v>6.1449999999999996</v>
      </c>
      <c r="F48" t="s">
        <v>980</v>
      </c>
      <c r="G48" t="s">
        <v>6160</v>
      </c>
      <c r="J48" t="str">
        <v>0000943209</v>
      </c>
      <c r="K48" t="str">
        <v>MEGH STEELS PRIVATE LIMITED - TVS A</v>
      </c>
      <c r="L48">
        <v>3410966</v>
      </c>
      <c r="M48" t="str">
        <v>TUB-O-N-AUT-AW-FC-22.23X2.000X6.0000</v>
      </c>
      <c r="N48">
        <v>0</v>
      </c>
      <c r="O48" s="43">
        <f>SUMIFS(meghsteelsales_currentmonth[Quantity],meghsteelsales_currentmonth[Length Bucket],'MeghSteel Buckets_use file'!N48)/1000</f>
        <v>0</v>
      </c>
    </row>
    <row r="49" spans="1:15" x14ac:dyDescent="0.25">
      <c r="A49">
        <v>943209</v>
      </c>
      <c r="B49" t="s">
        <v>37</v>
      </c>
      <c r="C49">
        <v>3929589</v>
      </c>
      <c r="D49" t="s">
        <v>6375</v>
      </c>
      <c r="E49">
        <v>5.77</v>
      </c>
      <c r="F49" t="s">
        <v>983</v>
      </c>
      <c r="G49" t="s">
        <v>6161</v>
      </c>
      <c r="J49" t="str">
        <v>0000943209</v>
      </c>
      <c r="K49" t="str">
        <v>MEGH STEELS PRIVATE LIMITED - TVS A</v>
      </c>
      <c r="L49">
        <v>4272693</v>
      </c>
      <c r="M49" t="str">
        <v>TUB-O-N-AUT-AW-FC-22.20X2.000X5.9500</v>
      </c>
      <c r="N49">
        <v>0</v>
      </c>
      <c r="O49" s="43">
        <f>SUMIFS(meghsteelsales_currentmonth[Quantity],meghsteelsales_currentmonth[Length Bucket],'MeghSteel Buckets_use file'!N49)/1000</f>
        <v>0</v>
      </c>
    </row>
    <row r="50" spans="1:15" x14ac:dyDescent="0.25">
      <c r="A50">
        <v>943209</v>
      </c>
      <c r="B50" t="s">
        <v>37</v>
      </c>
      <c r="C50">
        <v>3929651</v>
      </c>
      <c r="D50" t="s">
        <v>6376</v>
      </c>
      <c r="E50">
        <v>6.05</v>
      </c>
      <c r="F50" t="s">
        <v>983</v>
      </c>
      <c r="G50" t="s">
        <v>6161</v>
      </c>
      <c r="J50" t="str">
        <v>0000943209</v>
      </c>
      <c r="K50" t="str">
        <v>MEGH STEELS PRIVATE LIMITED - TVS A</v>
      </c>
      <c r="L50">
        <v>2431251</v>
      </c>
      <c r="M50" t="str">
        <v>TUB-O-N-AUT-AW-PE-22.23X2.000X5.4000</v>
      </c>
      <c r="N50" t="str">
        <v>22.23-0-2-ERW 1-PE-5.39</v>
      </c>
    </row>
    <row r="51" spans="1:15" x14ac:dyDescent="0.25">
      <c r="A51">
        <v>943209</v>
      </c>
      <c r="B51" t="s">
        <v>37</v>
      </c>
      <c r="C51">
        <v>1940256</v>
      </c>
      <c r="D51" t="s">
        <v>2445</v>
      </c>
      <c r="E51">
        <v>6</v>
      </c>
      <c r="F51" t="s">
        <v>983</v>
      </c>
      <c r="G51" t="str">
        <f t="shared" ref="G51" si="2">_xlfn.CONCAT(F51,"-",E51)</f>
        <v>19.05-0-1.6-ERW 1-PE-6</v>
      </c>
      <c r="J51" t="str">
        <v>0000943209</v>
      </c>
      <c r="K51" t="str">
        <v>MEGH STEELS PRIVATE LIMITED - TVS A</v>
      </c>
      <c r="L51">
        <v>1940046</v>
      </c>
      <c r="M51" t="str">
        <v>TUB-O-O-AUT-AW-PE-15.88X1.200X1.3100</v>
      </c>
      <c r="N51">
        <v>0</v>
      </c>
    </row>
    <row r="52" spans="1:15" x14ac:dyDescent="0.25">
      <c r="A52">
        <v>943209</v>
      </c>
      <c r="B52" t="s">
        <v>37</v>
      </c>
      <c r="C52">
        <v>3974562</v>
      </c>
      <c r="D52" t="s">
        <v>6374</v>
      </c>
      <c r="E52">
        <v>5.87</v>
      </c>
      <c r="F52" t="s">
        <v>607</v>
      </c>
      <c r="G52" t="str">
        <f t="shared" ref="G52" si="3">_xlfn.CONCAT(F52,"-",E52)</f>
        <v>22.23-0-1.2-ERW 1-PE-5.87</v>
      </c>
      <c r="J52" t="str">
        <v>0000943209</v>
      </c>
      <c r="K52" t="str">
        <v>MEGH STEELS PRIVATE LIMITED - TVS A</v>
      </c>
      <c r="L52">
        <v>4241099</v>
      </c>
      <c r="M52" t="str">
        <v>CUT-O-N-AUT-AW-PE-15.88X1.200X0.7300</v>
      </c>
      <c r="N52">
        <v>0</v>
      </c>
    </row>
    <row r="53" spans="1:15" x14ac:dyDescent="0.25">
      <c r="A53">
        <v>943209</v>
      </c>
      <c r="B53" t="s">
        <v>37</v>
      </c>
      <c r="C53">
        <v>3575893</v>
      </c>
      <c r="D53" t="s">
        <v>6377</v>
      </c>
      <c r="E53">
        <v>5.8849999999999998</v>
      </c>
      <c r="F53" t="s">
        <v>607</v>
      </c>
      <c r="G53" t="s">
        <v>6165</v>
      </c>
      <c r="J53" t="str">
        <v>0000943211</v>
      </c>
      <c r="K53" t="str">
        <v>MEGH STEELS PRIVATE LIMITED - RE</v>
      </c>
      <c r="L53">
        <v>3460088</v>
      </c>
      <c r="M53" t="str">
        <v>TUB-O-N-AUT-AW-FC-48.00X1.200X5.6700</v>
      </c>
      <c r="N53">
        <v>0</v>
      </c>
    </row>
    <row r="54" spans="1:15" x14ac:dyDescent="0.25">
      <c r="A54">
        <v>943209</v>
      </c>
      <c r="B54" t="s">
        <v>37</v>
      </c>
      <c r="C54">
        <v>3919144</v>
      </c>
      <c r="D54" t="s">
        <v>6302</v>
      </c>
      <c r="E54">
        <v>6.13</v>
      </c>
      <c r="F54" t="s">
        <v>428</v>
      </c>
      <c r="G54" t="str">
        <f>_xlfn.CONCAT(F54,"-",E54)</f>
        <v>40-25-1.6-ERW 1-FC-6.13</v>
      </c>
      <c r="J54" t="str">
        <v>0000943209</v>
      </c>
      <c r="K54" t="str">
        <v>MEGH STEELS PRIVATE LIMITED - TVS A</v>
      </c>
      <c r="L54">
        <v>3457574</v>
      </c>
      <c r="M54" t="str">
        <v>TUB-O-N-AUT-AW-PE-41.28X2.600X6.0200</v>
      </c>
      <c r="N54" t="str">
        <v>41.28-0-2.6-ERW 1-FC-6</v>
      </c>
    </row>
    <row r="55" spans="1:15" x14ac:dyDescent="0.25">
      <c r="A55">
        <v>943209</v>
      </c>
      <c r="B55" t="s">
        <v>37</v>
      </c>
      <c r="C55">
        <v>3907863</v>
      </c>
      <c r="D55" t="s">
        <v>1749</v>
      </c>
      <c r="E55">
        <v>5.7110000000000003</v>
      </c>
      <c r="F55" t="s">
        <v>926</v>
      </c>
      <c r="G55" t="str">
        <f>_xlfn.CONCAT(F55,"-",E55)</f>
        <v>57.15-0-2.5-ERW 1-FC-5.711</v>
      </c>
      <c r="J55" t="str">
        <v>0000943209</v>
      </c>
      <c r="K55" t="str">
        <v>MEGH STEELS PRIVATE LIMITED - TVS A</v>
      </c>
      <c r="L55">
        <v>3545558</v>
      </c>
      <c r="M55" t="str">
        <v>TUB-O-N-AUT-AW-FC-45.00X1.400X5.7000</v>
      </c>
      <c r="N55" t="str">
        <v>45--1.4-ERW 1-FIN CUT-5.7</v>
      </c>
    </row>
    <row r="56" spans="1:15" x14ac:dyDescent="0.25">
      <c r="A56">
        <v>943209</v>
      </c>
      <c r="B56" t="s">
        <v>37</v>
      </c>
      <c r="C56">
        <v>3183146</v>
      </c>
      <c r="D56" t="s">
        <v>6378</v>
      </c>
      <c r="E56">
        <v>5.96</v>
      </c>
      <c r="F56" t="s">
        <v>607</v>
      </c>
      <c r="G56" t="s">
        <v>6165</v>
      </c>
      <c r="J56" t="str">
        <v>0000943209</v>
      </c>
      <c r="K56" t="str">
        <v>MEGH STEELS PRIVATE LIMITED - TVS A</v>
      </c>
      <c r="L56">
        <v>3501716</v>
      </c>
      <c r="M56" t="str">
        <v>TUB-O-N-AUT-AW-FC-41.28X2.600X6.0000</v>
      </c>
      <c r="N56" t="str">
        <v>41.28-0-2.6-ERW 1-FC-6</v>
      </c>
    </row>
    <row r="57" spans="1:15" x14ac:dyDescent="0.25">
      <c r="A57">
        <v>943213</v>
      </c>
      <c r="B57" t="s">
        <v>34</v>
      </c>
      <c r="C57">
        <v>3502725</v>
      </c>
      <c r="D57" t="s">
        <v>1736</v>
      </c>
      <c r="E57">
        <v>4.7750000000000004</v>
      </c>
      <c r="F57" t="s">
        <v>6211</v>
      </c>
      <c r="G57" t="str">
        <f>_xlfn.CONCAT(F57,"-",E57)</f>
        <v>50-6-SLT-4.775</v>
      </c>
      <c r="J57" t="str">
        <v>0000943209</v>
      </c>
      <c r="K57" t="str">
        <v>MEGH STEELS PRIVATE LIMITED - TVS A</v>
      </c>
      <c r="L57">
        <v>3775569</v>
      </c>
      <c r="M57" t="str">
        <v>TUB-I-C-AUT-AD-FC-12.50X3.250X6.2000</v>
      </c>
      <c r="N57">
        <v>0</v>
      </c>
    </row>
    <row r="58" spans="1:15" x14ac:dyDescent="0.25">
      <c r="A58">
        <v>943209</v>
      </c>
      <c r="B58" t="s">
        <v>37</v>
      </c>
      <c r="C58">
        <v>3994149</v>
      </c>
      <c r="D58" t="s">
        <v>2395</v>
      </c>
      <c r="E58">
        <v>6.0010000000000003</v>
      </c>
      <c r="F58" t="s">
        <v>886</v>
      </c>
      <c r="G58" t="s">
        <v>6189</v>
      </c>
      <c r="J58" t="str">
        <v>0000943209</v>
      </c>
      <c r="K58" t="str">
        <v>MEGH STEELS PRIVATE LIMITED - TVS A</v>
      </c>
      <c r="L58">
        <v>3702875</v>
      </c>
      <c r="M58" t="str">
        <v>TUB-O-N-AUT-AW-FC-60.30X2.000X6.0000</v>
      </c>
      <c r="N58" t="str">
        <v>60.3-0-2-ERW 1-FC-5.9</v>
      </c>
    </row>
    <row r="59" spans="1:15" x14ac:dyDescent="0.25">
      <c r="A59">
        <v>943209</v>
      </c>
      <c r="B59" t="s">
        <v>37</v>
      </c>
      <c r="C59">
        <v>1940120</v>
      </c>
      <c r="D59" t="s">
        <v>540</v>
      </c>
      <c r="E59">
        <v>6</v>
      </c>
      <c r="F59" t="s">
        <v>537</v>
      </c>
      <c r="G59" t="str">
        <f>_xlfn.CONCAT(F59,"-",E59)</f>
        <v>15.88-0-2-ERW 1-PE-6</v>
      </c>
      <c r="J59" t="str">
        <v>0000943209</v>
      </c>
      <c r="K59" t="str">
        <v>MEGH STEELS PRIVATE LIMITED - TVS A</v>
      </c>
      <c r="L59">
        <v>3502254</v>
      </c>
      <c r="M59" t="str">
        <v>TUB-O-N-AUT-AW-FC-38.10X1.600X6.1900</v>
      </c>
      <c r="N59" t="str">
        <v>38.1-0-1.6-ERW 1-FC-6.19</v>
      </c>
    </row>
    <row r="60" spans="1:15" x14ac:dyDescent="0.25">
      <c r="A60">
        <v>943209</v>
      </c>
      <c r="B60" t="s">
        <v>37</v>
      </c>
      <c r="C60">
        <v>3500554</v>
      </c>
      <c r="D60" t="s">
        <v>1485</v>
      </c>
      <c r="E60">
        <v>5.0999999999999996</v>
      </c>
      <c r="F60" t="s">
        <v>633</v>
      </c>
      <c r="G60" t="s">
        <v>6169</v>
      </c>
      <c r="I60" t="e">
        <f>VLOOKUP(Table18[[#This Row],[MATERAIL NUMBER]],[5]!Table1[#All],9,0)</f>
        <v>#REF!</v>
      </c>
      <c r="J60" t="str">
        <v>0000943209</v>
      </c>
      <c r="K60" t="str">
        <v>MEGH STEELS PRIVATE LIMITED - TVS A</v>
      </c>
      <c r="L60">
        <v>3501047</v>
      </c>
      <c r="M60" t="str">
        <v>TUB-O-N-AUT-AW-FC-57.15X2.50X5.750-ERW 1</v>
      </c>
      <c r="N60" t="str">
        <v>57.15-0-2.5-ERW 1-FC-5.75</v>
      </c>
    </row>
    <row r="61" spans="1:15" x14ac:dyDescent="0.25">
      <c r="A61">
        <v>943209</v>
      </c>
      <c r="B61" t="s">
        <v>37</v>
      </c>
      <c r="C61">
        <v>3682124</v>
      </c>
      <c r="D61" t="s">
        <v>5100</v>
      </c>
      <c r="E61">
        <v>6.45</v>
      </c>
      <c r="F61" t="s">
        <v>412</v>
      </c>
      <c r="G61" t="s">
        <v>6167</v>
      </c>
      <c r="I61" t="s">
        <v>1868</v>
      </c>
      <c r="J61" t="str">
        <v>0000943210</v>
      </c>
      <c r="K61" t="str">
        <v>MEGH STEELS PRIVATE LIMITED - HMSIL</v>
      </c>
      <c r="L61">
        <v>3545558</v>
      </c>
      <c r="M61" t="str">
        <v>TUB-O-N-AUT-AW-FC-45.00X1.400X5.7000</v>
      </c>
      <c r="N61" t="str">
        <v>45--1.4-ERW 1-FIN CUT-5.7</v>
      </c>
    </row>
    <row r="62" spans="1:15" x14ac:dyDescent="0.25">
      <c r="A62">
        <v>943209</v>
      </c>
      <c r="B62" t="s">
        <v>37</v>
      </c>
      <c r="C62">
        <v>2385290</v>
      </c>
      <c r="D62" t="s">
        <v>3128</v>
      </c>
      <c r="E62">
        <v>6</v>
      </c>
      <c r="F62" t="s">
        <v>1008</v>
      </c>
      <c r="G62" t="s">
        <v>6174</v>
      </c>
      <c r="I62" t="e">
        <f>VLOOKUP(Table18[[#This Row],[MATERAIL NUMBER]],[5]!Table1[#All],9,0)</f>
        <v>#REF!</v>
      </c>
      <c r="J62" t="str">
        <v>0000943210</v>
      </c>
      <c r="K62" t="str">
        <v>MEGH STEELS PRIVATE LIMITED - HMSIL</v>
      </c>
      <c r="L62">
        <v>3701546</v>
      </c>
      <c r="M62" t="str">
        <v>TUB-O-N-AUT-AW-FC-28.58X3.250X6.0600</v>
      </c>
      <c r="N62">
        <v>0</v>
      </c>
    </row>
    <row r="63" spans="1:15" x14ac:dyDescent="0.25">
      <c r="A63">
        <v>943209</v>
      </c>
      <c r="B63" t="s">
        <v>37</v>
      </c>
      <c r="C63">
        <v>3702203</v>
      </c>
      <c r="D63" t="s">
        <v>6379</v>
      </c>
      <c r="E63">
        <v>6</v>
      </c>
      <c r="F63" t="s">
        <v>6183</v>
      </c>
      <c r="G63" t="str">
        <f>_xlfn.CONCAT(F63,"-",E63)</f>
        <v>31.75--3.65-ERW 1-FC-6</v>
      </c>
      <c r="I63" t="e">
        <f>VLOOKUP(Table18[[#This Row],[MATERAIL NUMBER]],[5]!Table1[#All],9,0)</f>
        <v>#REF!</v>
      </c>
      <c r="J63" t="str">
        <v>0000943211</v>
      </c>
      <c r="K63" t="str">
        <v>MEGH STEELS PRIVATE LIMITED - RE</v>
      </c>
      <c r="L63">
        <v>4072797</v>
      </c>
      <c r="M63" t="str">
        <v>TUB-O-N-AUT-AW-FC-31.75X2.300X5.9200</v>
      </c>
      <c r="N63">
        <v>0</v>
      </c>
    </row>
    <row r="64" spans="1:15" x14ac:dyDescent="0.25">
      <c r="A64">
        <v>943209</v>
      </c>
      <c r="B64" t="s">
        <v>37</v>
      </c>
      <c r="C64">
        <v>3500540</v>
      </c>
      <c r="D64" t="s">
        <v>6380</v>
      </c>
      <c r="E64">
        <v>5.6</v>
      </c>
      <c r="F64" t="s">
        <v>712</v>
      </c>
      <c r="G64" t="s">
        <v>6202</v>
      </c>
      <c r="I64" t="s">
        <v>1868</v>
      </c>
      <c r="J64" t="str">
        <v>0000943209</v>
      </c>
      <c r="K64" t="str">
        <v>MEGH STEELS PRIVATE LIMITED - TVS A</v>
      </c>
      <c r="L64">
        <v>3597718</v>
      </c>
      <c r="M64" t="str">
        <v>TUB-R-AW-RHS-40.00X25.00X1.600X5.9900</v>
      </c>
      <c r="N64">
        <v>0</v>
      </c>
    </row>
    <row r="65" spans="1:14" x14ac:dyDescent="0.25">
      <c r="A65">
        <v>943209</v>
      </c>
      <c r="B65" t="s">
        <v>37</v>
      </c>
      <c r="C65">
        <v>3501092</v>
      </c>
      <c r="D65" t="s">
        <v>6381</v>
      </c>
      <c r="E65">
        <v>5.9450000000000003</v>
      </c>
      <c r="F65" t="s">
        <v>6200</v>
      </c>
      <c r="G65" t="s">
        <v>6201</v>
      </c>
      <c r="I65" t="s">
        <v>2088</v>
      </c>
      <c r="J65" t="str">
        <v>0000943209</v>
      </c>
      <c r="K65" t="str">
        <v>MEGH STEELS PRIVATE LIMITED - TVS A</v>
      </c>
      <c r="L65">
        <v>3500240</v>
      </c>
      <c r="M65" t="str">
        <v>TUB-O-N-AUT-AH-FC-38.10X2.5X5.65 HSTERW2</v>
      </c>
      <c r="N65">
        <v>0</v>
      </c>
    </row>
    <row r="66" spans="1:14" x14ac:dyDescent="0.25">
      <c r="A66">
        <v>943209</v>
      </c>
      <c r="B66" t="s">
        <v>37</v>
      </c>
      <c r="C66">
        <v>3597588</v>
      </c>
      <c r="D66" t="s">
        <v>6382</v>
      </c>
      <c r="E66">
        <v>6.55</v>
      </c>
      <c r="F66" t="s">
        <v>6200</v>
      </c>
      <c r="G66" t="s">
        <v>6201</v>
      </c>
      <c r="I66" t="e">
        <f>VLOOKUP(Table18[[#This Row],[MATERAIL NUMBER]],[5]!Table1[#All],9,0)</f>
        <v>#REF!</v>
      </c>
      <c r="J66" t="str">
        <v>0000943209</v>
      </c>
      <c r="K66" t="str">
        <v>MEGH STEELS PRIVATE LIMITED - TVS A</v>
      </c>
      <c r="L66">
        <v>3948187</v>
      </c>
      <c r="M66" t="str">
        <v>CUT-O-C-AUT-AD-FC-29.40X4.500X0.3590</v>
      </c>
      <c r="N66">
        <v>0</v>
      </c>
    </row>
    <row r="67" spans="1:14" x14ac:dyDescent="0.25">
      <c r="A67">
        <v>943210</v>
      </c>
      <c r="B67" t="s">
        <v>32</v>
      </c>
      <c r="C67">
        <v>3498997</v>
      </c>
      <c r="D67" t="s">
        <v>1355</v>
      </c>
      <c r="E67">
        <v>6</v>
      </c>
      <c r="F67" t="s">
        <v>983</v>
      </c>
      <c r="G67" t="s">
        <v>6161</v>
      </c>
      <c r="J67" t="str">
        <v>0000943209</v>
      </c>
      <c r="K67" t="str">
        <v>MEGH STEELS PRIVATE LIMITED - TVS A</v>
      </c>
      <c r="L67">
        <v>1940458</v>
      </c>
      <c r="M67" t="str">
        <v>TUB-O-O-AUT-AW-PE-22.23X2.000X0.7390</v>
      </c>
      <c r="N67">
        <v>0</v>
      </c>
    </row>
    <row r="68" spans="1:14" x14ac:dyDescent="0.25">
      <c r="A68">
        <v>943211</v>
      </c>
      <c r="B68" t="s">
        <v>36</v>
      </c>
      <c r="C68">
        <v>2397073</v>
      </c>
      <c r="D68" t="s">
        <v>1617</v>
      </c>
      <c r="E68">
        <v>0.62</v>
      </c>
      <c r="F68" t="s">
        <v>1034</v>
      </c>
      <c r="G68" t="s">
        <v>6185</v>
      </c>
      <c r="J68" t="str">
        <v>0000943209</v>
      </c>
      <c r="K68" t="str">
        <v>MEGH STEELS PRIVATE LIMITED - TVS A</v>
      </c>
      <c r="L68">
        <v>3186831</v>
      </c>
      <c r="M68" t="str">
        <v>TUB-O-N-AUT-AW-FC-41.28X2.600X0.8480</v>
      </c>
      <c r="N68">
        <v>0</v>
      </c>
    </row>
    <row r="69" spans="1:14" x14ac:dyDescent="0.25">
      <c r="A69">
        <v>943209</v>
      </c>
      <c r="B69" t="s">
        <v>37</v>
      </c>
      <c r="C69">
        <v>3925391</v>
      </c>
      <c r="D69" t="s">
        <v>1680</v>
      </c>
      <c r="E69">
        <v>5.93</v>
      </c>
      <c r="F69" t="s">
        <v>586</v>
      </c>
      <c r="G69" t="s">
        <v>4936</v>
      </c>
    </row>
    <row r="70" spans="1:14" x14ac:dyDescent="0.25">
      <c r="A70">
        <v>943211</v>
      </c>
      <c r="B70" t="s">
        <v>36</v>
      </c>
      <c r="C70">
        <v>2397072</v>
      </c>
      <c r="D70" t="s">
        <v>1703</v>
      </c>
      <c r="E70">
        <v>0.62</v>
      </c>
      <c r="F70" t="s">
        <v>6198</v>
      </c>
      <c r="G70" t="s">
        <v>6199</v>
      </c>
    </row>
    <row r="71" spans="1:14" x14ac:dyDescent="0.25">
      <c r="A71">
        <v>943209</v>
      </c>
      <c r="B71" t="s">
        <v>37</v>
      </c>
      <c r="C71">
        <v>3594528</v>
      </c>
      <c r="D71" t="s">
        <v>2007</v>
      </c>
      <c r="E71">
        <v>6</v>
      </c>
      <c r="F71" t="s">
        <v>1070</v>
      </c>
      <c r="G71" t="s">
        <v>6208</v>
      </c>
    </row>
    <row r="72" spans="1:14" x14ac:dyDescent="0.25">
      <c r="A72">
        <v>943209</v>
      </c>
      <c r="B72" t="s">
        <v>37</v>
      </c>
      <c r="C72">
        <v>1939985</v>
      </c>
      <c r="D72" t="s">
        <v>1137</v>
      </c>
      <c r="E72">
        <v>6</v>
      </c>
      <c r="F72" t="s">
        <v>398</v>
      </c>
      <c r="G72" t="str">
        <f t="shared" ref="G72:G73" si="4">_xlfn.CONCAT(F72,"-",E72)</f>
        <v>12.7-0-1.2-ERW 1-PE-6</v>
      </c>
    </row>
    <row r="73" spans="1:14" x14ac:dyDescent="0.25">
      <c r="A73">
        <v>943209</v>
      </c>
      <c r="B73" t="s">
        <v>37</v>
      </c>
      <c r="C73">
        <v>1939986</v>
      </c>
      <c r="D73" t="s">
        <v>1135</v>
      </c>
      <c r="E73">
        <v>6</v>
      </c>
      <c r="F73" t="s">
        <v>398</v>
      </c>
      <c r="G73" t="str">
        <f t="shared" si="4"/>
        <v>12.7-0-1.2-ERW 1-PE-6</v>
      </c>
    </row>
    <row r="74" spans="1:14" x14ac:dyDescent="0.25">
      <c r="A74">
        <v>943210</v>
      </c>
      <c r="B74" t="s">
        <v>32</v>
      </c>
      <c r="C74">
        <v>2431251</v>
      </c>
      <c r="D74" t="s">
        <v>2300</v>
      </c>
      <c r="E74">
        <v>5.4</v>
      </c>
      <c r="F74" t="s">
        <v>562</v>
      </c>
      <c r="G74" t="s">
        <v>6171</v>
      </c>
    </row>
    <row r="75" spans="1:14" x14ac:dyDescent="0.25">
      <c r="A75">
        <v>943209</v>
      </c>
      <c r="B75" t="s">
        <v>37</v>
      </c>
      <c r="C75">
        <v>2332896</v>
      </c>
      <c r="D75" t="s">
        <v>6383</v>
      </c>
      <c r="E75">
        <v>5.8</v>
      </c>
      <c r="F75" t="s">
        <v>1008</v>
      </c>
      <c r="G75" t="s">
        <v>6174</v>
      </c>
    </row>
    <row r="76" spans="1:14" x14ac:dyDescent="0.25">
      <c r="A76">
        <v>943209</v>
      </c>
      <c r="B76" t="s">
        <v>37</v>
      </c>
      <c r="C76">
        <v>3929644</v>
      </c>
      <c r="D76" t="s">
        <v>6384</v>
      </c>
      <c r="E76">
        <v>5.95</v>
      </c>
      <c r="F76" t="s">
        <v>1008</v>
      </c>
      <c r="G76" t="s">
        <v>6174</v>
      </c>
    </row>
    <row r="77" spans="1:14" x14ac:dyDescent="0.25">
      <c r="A77">
        <v>943209</v>
      </c>
      <c r="B77" t="s">
        <v>37</v>
      </c>
      <c r="C77">
        <v>3673890</v>
      </c>
      <c r="D77" t="s">
        <v>2462</v>
      </c>
      <c r="E77">
        <v>5.84</v>
      </c>
      <c r="F77" t="s">
        <v>1008</v>
      </c>
      <c r="G77" t="s">
        <v>6174</v>
      </c>
    </row>
    <row r="78" spans="1:14" x14ac:dyDescent="0.25">
      <c r="A78">
        <v>943209</v>
      </c>
      <c r="B78" t="s">
        <v>37</v>
      </c>
      <c r="C78">
        <v>3929590</v>
      </c>
      <c r="D78" t="s">
        <v>6385</v>
      </c>
      <c r="E78">
        <v>5.8360000000000003</v>
      </c>
      <c r="F78" t="s">
        <v>604</v>
      </c>
      <c r="G78" t="s">
        <v>6163</v>
      </c>
    </row>
    <row r="79" spans="1:14" x14ac:dyDescent="0.25">
      <c r="A79">
        <v>943209</v>
      </c>
      <c r="B79" t="s">
        <v>37</v>
      </c>
      <c r="C79">
        <v>1940333</v>
      </c>
      <c r="D79" t="s">
        <v>2298</v>
      </c>
      <c r="E79">
        <v>6</v>
      </c>
      <c r="F79" t="s">
        <v>407</v>
      </c>
      <c r="G79" t="s">
        <v>6164</v>
      </c>
    </row>
    <row r="80" spans="1:14" x14ac:dyDescent="0.25">
      <c r="A80">
        <v>943210</v>
      </c>
      <c r="B80" t="s">
        <v>32</v>
      </c>
      <c r="C80">
        <v>3501900</v>
      </c>
      <c r="D80" t="s">
        <v>1563</v>
      </c>
      <c r="E80">
        <v>5.5309999999999997</v>
      </c>
      <c r="F80" t="s">
        <v>6245</v>
      </c>
      <c r="G80" t="str">
        <f>_xlfn.CONCAT(F80,"-",E80)</f>
        <v>25.4-0-1.4-ERW 2-FC-5.531</v>
      </c>
    </row>
    <row r="81" spans="1:7" x14ac:dyDescent="0.25">
      <c r="A81">
        <v>943209</v>
      </c>
      <c r="B81" t="s">
        <v>37</v>
      </c>
      <c r="C81">
        <v>2424885</v>
      </c>
      <c r="D81" t="s">
        <v>6386</v>
      </c>
      <c r="E81">
        <v>5.81</v>
      </c>
      <c r="F81" t="s">
        <v>568</v>
      </c>
      <c r="G81" t="s">
        <v>6203</v>
      </c>
    </row>
    <row r="82" spans="1:7" x14ac:dyDescent="0.25">
      <c r="A82">
        <v>943209</v>
      </c>
      <c r="B82" t="s">
        <v>37</v>
      </c>
      <c r="C82">
        <v>3738265</v>
      </c>
      <c r="D82" t="s">
        <v>3681</v>
      </c>
      <c r="E82">
        <v>6.28</v>
      </c>
      <c r="F82" t="s">
        <v>633</v>
      </c>
      <c r="G82" t="s">
        <v>6168</v>
      </c>
    </row>
    <row r="83" spans="1:7" x14ac:dyDescent="0.25">
      <c r="A83">
        <v>943209</v>
      </c>
      <c r="B83" t="s">
        <v>37</v>
      </c>
      <c r="C83">
        <v>1940493</v>
      </c>
      <c r="D83" t="s">
        <v>1885</v>
      </c>
      <c r="E83">
        <v>6</v>
      </c>
      <c r="F83" t="s">
        <v>633</v>
      </c>
      <c r="G83" t="s">
        <v>6168</v>
      </c>
    </row>
    <row r="84" spans="1:7" x14ac:dyDescent="0.25">
      <c r="A84">
        <v>943209</v>
      </c>
      <c r="B84" t="s">
        <v>37</v>
      </c>
      <c r="C84">
        <v>3219710</v>
      </c>
      <c r="D84" t="s">
        <v>1434</v>
      </c>
      <c r="E84">
        <v>6</v>
      </c>
      <c r="F84" t="s">
        <v>6216</v>
      </c>
      <c r="G84" t="s">
        <v>6217</v>
      </c>
    </row>
    <row r="85" spans="1:7" x14ac:dyDescent="0.25">
      <c r="A85">
        <v>943210</v>
      </c>
      <c r="B85" t="s">
        <v>32</v>
      </c>
      <c r="C85">
        <v>3136139</v>
      </c>
      <c r="D85" t="s">
        <v>1753</v>
      </c>
      <c r="E85">
        <v>0.46</v>
      </c>
      <c r="F85" t="s">
        <v>926</v>
      </c>
      <c r="G85" t="s">
        <v>6387</v>
      </c>
    </row>
    <row r="86" spans="1:7" x14ac:dyDescent="0.25">
      <c r="A86">
        <v>943209</v>
      </c>
      <c r="B86" t="s">
        <v>37</v>
      </c>
      <c r="C86">
        <v>4045220</v>
      </c>
      <c r="D86" t="s">
        <v>5967</v>
      </c>
      <c r="E86">
        <v>5.95</v>
      </c>
      <c r="F86" t="s">
        <v>926</v>
      </c>
      <c r="G86" t="s">
        <v>6251</v>
      </c>
    </row>
    <row r="87" spans="1:7" x14ac:dyDescent="0.25">
      <c r="A87">
        <v>943211</v>
      </c>
      <c r="B87" t="s">
        <v>36</v>
      </c>
      <c r="C87">
        <v>3768907</v>
      </c>
      <c r="D87" t="s">
        <v>655</v>
      </c>
      <c r="E87">
        <v>0.246</v>
      </c>
      <c r="F87" t="s">
        <v>6192</v>
      </c>
      <c r="G87" t="s">
        <v>6193</v>
      </c>
    </row>
    <row r="88" spans="1:7" x14ac:dyDescent="0.25">
      <c r="A88">
        <v>943210</v>
      </c>
      <c r="B88" t="s">
        <v>32</v>
      </c>
      <c r="C88">
        <v>3557792</v>
      </c>
      <c r="D88" t="s">
        <v>1564</v>
      </c>
      <c r="E88">
        <v>6.06</v>
      </c>
      <c r="F88" t="s">
        <v>6245</v>
      </c>
      <c r="G88" t="s">
        <v>6388</v>
      </c>
    </row>
    <row r="89" spans="1:7" x14ac:dyDescent="0.25">
      <c r="A89">
        <v>943209</v>
      </c>
      <c r="B89" t="s">
        <v>37</v>
      </c>
      <c r="C89">
        <v>4055021</v>
      </c>
      <c r="D89" t="s">
        <v>6289</v>
      </c>
      <c r="E89">
        <v>6.05</v>
      </c>
      <c r="F89" t="s">
        <v>1008</v>
      </c>
      <c r="G89" t="s">
        <v>6250</v>
      </c>
    </row>
    <row r="90" spans="1:7" x14ac:dyDescent="0.25">
      <c r="A90">
        <v>943209</v>
      </c>
      <c r="B90" t="s">
        <v>37</v>
      </c>
      <c r="C90">
        <v>3575894</v>
      </c>
      <c r="D90" t="s">
        <v>2292</v>
      </c>
      <c r="E90">
        <v>5.27</v>
      </c>
      <c r="F90" t="s">
        <v>412</v>
      </c>
      <c r="G90" t="s">
        <v>6249</v>
      </c>
    </row>
    <row r="91" spans="1:7" x14ac:dyDescent="0.25">
      <c r="A91">
        <v>943209</v>
      </c>
      <c r="B91" t="s">
        <v>37</v>
      </c>
      <c r="C91">
        <v>4067800</v>
      </c>
      <c r="D91" t="s">
        <v>6389</v>
      </c>
      <c r="E91">
        <v>5.8</v>
      </c>
      <c r="F91" t="s">
        <v>604</v>
      </c>
      <c r="G91" t="str">
        <f>_xlfn.CONCAT(F91,"-",E91)</f>
        <v>19.05-0-2-ERW 1-PE-5.8</v>
      </c>
    </row>
    <row r="92" spans="1:7" x14ac:dyDescent="0.25">
      <c r="A92">
        <v>943209</v>
      </c>
      <c r="B92" t="s">
        <v>37</v>
      </c>
      <c r="C92">
        <v>3954021</v>
      </c>
      <c r="D92" t="s">
        <v>5982</v>
      </c>
      <c r="E92">
        <v>5.67</v>
      </c>
      <c r="F92" t="s">
        <v>412</v>
      </c>
      <c r="G92" t="str">
        <f t="shared" ref="G92:G100" si="5">_xlfn.CONCAT(F92,"-",E92)</f>
        <v>22.23-0-1.6-ERW 1-PE-5.67</v>
      </c>
    </row>
    <row r="93" spans="1:7" x14ac:dyDescent="0.25">
      <c r="A93">
        <v>943209</v>
      </c>
      <c r="B93" t="s">
        <v>37</v>
      </c>
      <c r="C93">
        <v>3882110</v>
      </c>
      <c r="D93" t="s">
        <v>1454</v>
      </c>
      <c r="E93">
        <v>5.87</v>
      </c>
      <c r="F93" t="s">
        <v>607</v>
      </c>
      <c r="G93" t="str">
        <f t="shared" si="5"/>
        <v>22.23-0-1.2-ERW 1-PE-5.87</v>
      </c>
    </row>
    <row r="94" spans="1:7" x14ac:dyDescent="0.25">
      <c r="A94">
        <v>943209</v>
      </c>
      <c r="B94" t="s">
        <v>37</v>
      </c>
      <c r="C94">
        <v>3673011</v>
      </c>
      <c r="D94" t="s">
        <v>651</v>
      </c>
      <c r="E94">
        <v>5.27</v>
      </c>
      <c r="F94" t="s">
        <v>412</v>
      </c>
      <c r="G94" t="str">
        <f t="shared" si="5"/>
        <v>22.23-0-1.6-ERW 1-PE-5.27</v>
      </c>
    </row>
    <row r="95" spans="1:7" x14ac:dyDescent="0.25">
      <c r="A95">
        <v>943209</v>
      </c>
      <c r="B95" t="s">
        <v>37</v>
      </c>
      <c r="C95">
        <v>3499230</v>
      </c>
      <c r="D95" t="s">
        <v>6390</v>
      </c>
      <c r="E95">
        <v>6</v>
      </c>
      <c r="F95" t="s">
        <v>633</v>
      </c>
      <c r="G95" t="s">
        <v>6168</v>
      </c>
    </row>
    <row r="96" spans="1:7" x14ac:dyDescent="0.25">
      <c r="A96">
        <v>943210</v>
      </c>
      <c r="B96" t="s">
        <v>32</v>
      </c>
      <c r="C96">
        <v>3777563</v>
      </c>
      <c r="D96" t="s">
        <v>2391</v>
      </c>
      <c r="E96">
        <v>5.79</v>
      </c>
      <c r="G96" t="str">
        <f t="shared" si="5"/>
        <v>-5.79</v>
      </c>
    </row>
    <row r="97" spans="1:7" x14ac:dyDescent="0.25">
      <c r="A97">
        <v>943209</v>
      </c>
      <c r="B97" t="s">
        <v>37</v>
      </c>
      <c r="C97">
        <v>3230501</v>
      </c>
      <c r="D97" t="s">
        <v>6391</v>
      </c>
      <c r="E97">
        <v>5.86</v>
      </c>
      <c r="F97" t="s">
        <v>6192</v>
      </c>
      <c r="G97" t="s">
        <v>6193</v>
      </c>
    </row>
    <row r="98" spans="1:7" x14ac:dyDescent="0.25">
      <c r="A98">
        <v>943210</v>
      </c>
      <c r="B98" t="s">
        <v>32</v>
      </c>
      <c r="C98">
        <v>3514380</v>
      </c>
      <c r="D98" t="s">
        <v>6392</v>
      </c>
      <c r="E98">
        <v>6.4</v>
      </c>
      <c r="F98" t="s">
        <v>5071</v>
      </c>
      <c r="G98" t="s">
        <v>6277</v>
      </c>
    </row>
    <row r="99" spans="1:7" x14ac:dyDescent="0.25">
      <c r="A99">
        <v>943210</v>
      </c>
      <c r="B99" t="s">
        <v>32</v>
      </c>
      <c r="C99">
        <v>3514971</v>
      </c>
      <c r="D99" t="s">
        <v>6393</v>
      </c>
      <c r="E99">
        <v>6.4</v>
      </c>
      <c r="F99" t="s">
        <v>6275</v>
      </c>
      <c r="G99" t="s">
        <v>6276</v>
      </c>
    </row>
    <row r="100" spans="1:7" x14ac:dyDescent="0.25">
      <c r="A100">
        <v>943209</v>
      </c>
      <c r="B100" t="s">
        <v>37</v>
      </c>
      <c r="C100">
        <v>2325422</v>
      </c>
      <c r="D100" t="s">
        <v>6394</v>
      </c>
      <c r="E100">
        <v>5.7</v>
      </c>
      <c r="G100" t="str">
        <f t="shared" si="5"/>
        <v>-5.7</v>
      </c>
    </row>
    <row r="101" spans="1:7" x14ac:dyDescent="0.25">
      <c r="A101">
        <v>943209</v>
      </c>
      <c r="B101" t="s">
        <v>37</v>
      </c>
      <c r="C101">
        <v>3501716</v>
      </c>
      <c r="D101" t="s">
        <v>6071</v>
      </c>
      <c r="E101">
        <v>6</v>
      </c>
      <c r="F101" t="s">
        <v>886</v>
      </c>
      <c r="G101" t="s">
        <v>6189</v>
      </c>
    </row>
    <row r="102" spans="1:7" x14ac:dyDescent="0.25">
      <c r="A102">
        <v>943211</v>
      </c>
      <c r="B102" t="s">
        <v>36</v>
      </c>
      <c r="C102">
        <v>2396906</v>
      </c>
      <c r="D102" t="s">
        <v>6395</v>
      </c>
      <c r="E102">
        <v>0.65</v>
      </c>
      <c r="F102" t="s">
        <v>1034</v>
      </c>
      <c r="G102" t="str">
        <f>_xlfn.CONCAT(F102,"-",E102)</f>
        <v>34.93-0-1.2-ERW 1-FC-0.65</v>
      </c>
    </row>
    <row r="103" spans="1:7" x14ac:dyDescent="0.25">
      <c r="A103">
        <v>943210</v>
      </c>
      <c r="B103" t="s">
        <v>32</v>
      </c>
      <c r="C103">
        <v>3549720</v>
      </c>
      <c r="D103" t="s">
        <v>5971</v>
      </c>
      <c r="E103">
        <v>6.27</v>
      </c>
      <c r="F103" t="s">
        <v>6396</v>
      </c>
      <c r="G103" t="str">
        <f>_xlfn.CONCAT(F103,"-",E103)</f>
        <v>48.62.36.27HSTFIN CUT-6.27</v>
      </c>
    </row>
    <row r="104" spans="1:7" x14ac:dyDescent="0.25">
      <c r="A104">
        <v>943210</v>
      </c>
      <c r="B104" t="s">
        <v>32</v>
      </c>
      <c r="C104">
        <v>4104592</v>
      </c>
      <c r="D104" t="s">
        <v>6397</v>
      </c>
      <c r="E104">
        <v>6</v>
      </c>
      <c r="F104" t="s">
        <v>6398</v>
      </c>
      <c r="G104" t="str">
        <f t="shared" ref="G104:G106" si="6">_xlfn.CONCAT(F104,"-",E104)</f>
        <v>19.051.46ERW2NON FIN-6</v>
      </c>
    </row>
    <row r="105" spans="1:7" x14ac:dyDescent="0.25">
      <c r="A105">
        <v>943209</v>
      </c>
      <c r="B105" t="s">
        <v>37</v>
      </c>
      <c r="C105">
        <v>3775636</v>
      </c>
      <c r="D105" t="s">
        <v>811</v>
      </c>
      <c r="E105">
        <v>0.78300000000000003</v>
      </c>
      <c r="F105" t="s">
        <v>2222</v>
      </c>
      <c r="G105" t="s">
        <v>6175</v>
      </c>
    </row>
    <row r="106" spans="1:7" x14ac:dyDescent="0.25">
      <c r="A106">
        <v>943209</v>
      </c>
      <c r="B106" t="s">
        <v>37</v>
      </c>
      <c r="C106">
        <v>2440971</v>
      </c>
      <c r="D106" t="s">
        <v>1676</v>
      </c>
      <c r="E106">
        <v>0.318</v>
      </c>
      <c r="F106" t="s">
        <v>428</v>
      </c>
      <c r="G106" t="str">
        <f t="shared" si="6"/>
        <v>40-25-1.6-ERW 1-FC-0.318</v>
      </c>
    </row>
    <row r="107" spans="1:7" x14ac:dyDescent="0.25">
      <c r="A107">
        <v>943209</v>
      </c>
      <c r="B107" t="s">
        <v>37</v>
      </c>
      <c r="C107">
        <v>3731697</v>
      </c>
      <c r="D107" t="s">
        <v>1748</v>
      </c>
      <c r="E107">
        <v>0.52600000000000002</v>
      </c>
      <c r="F107" t="s">
        <v>926</v>
      </c>
      <c r="G107" t="s">
        <v>6251</v>
      </c>
    </row>
    <row r="108" spans="1:7" x14ac:dyDescent="0.25">
      <c r="A108">
        <v>943210</v>
      </c>
      <c r="B108" t="s">
        <v>32</v>
      </c>
      <c r="C108">
        <v>4104593</v>
      </c>
      <c r="D108" t="s">
        <v>6399</v>
      </c>
      <c r="E108">
        <v>5.65</v>
      </c>
      <c r="F108" t="s">
        <v>6278</v>
      </c>
      <c r="G108" t="s">
        <v>6279</v>
      </c>
    </row>
    <row r="109" spans="1:7" x14ac:dyDescent="0.25">
      <c r="A109">
        <v>943211</v>
      </c>
      <c r="B109" t="s">
        <v>36</v>
      </c>
      <c r="C109">
        <v>2397060</v>
      </c>
      <c r="D109" t="s">
        <v>1704</v>
      </c>
      <c r="E109">
        <v>0.65</v>
      </c>
      <c r="F109" t="s">
        <v>6198</v>
      </c>
      <c r="G109" t="s">
        <v>2277</v>
      </c>
    </row>
    <row r="110" spans="1:7" x14ac:dyDescent="0.25">
      <c r="A110">
        <v>943209</v>
      </c>
      <c r="B110" t="s">
        <v>37</v>
      </c>
      <c r="C110">
        <v>3597050</v>
      </c>
      <c r="D110" t="s">
        <v>2486</v>
      </c>
      <c r="E110">
        <v>5.94</v>
      </c>
      <c r="F110" t="s">
        <v>6192</v>
      </c>
      <c r="G110" t="s">
        <v>6193</v>
      </c>
    </row>
    <row r="111" spans="1:7" x14ac:dyDescent="0.25">
      <c r="A111">
        <v>943209</v>
      </c>
      <c r="B111" t="s">
        <v>37</v>
      </c>
      <c r="C111">
        <v>4105140</v>
      </c>
      <c r="D111" t="s">
        <v>6400</v>
      </c>
      <c r="E111">
        <v>6.2850000000000001</v>
      </c>
      <c r="F111" t="s">
        <v>6192</v>
      </c>
      <c r="G111" t="s">
        <v>6193</v>
      </c>
    </row>
    <row r="112" spans="1:7" x14ac:dyDescent="0.25">
      <c r="A112">
        <v>943209</v>
      </c>
      <c r="B112" t="s">
        <v>37</v>
      </c>
      <c r="C112">
        <v>1931387</v>
      </c>
      <c r="D112" t="s">
        <v>6301</v>
      </c>
      <c r="E112">
        <v>6</v>
      </c>
      <c r="F112" t="s">
        <v>6274</v>
      </c>
      <c r="G112" t="s">
        <v>6273</v>
      </c>
    </row>
    <row r="113" spans="1:7" x14ac:dyDescent="0.25">
      <c r="A113">
        <v>943211</v>
      </c>
      <c r="B113" t="s">
        <v>36</v>
      </c>
      <c r="C113">
        <v>3499589</v>
      </c>
      <c r="D113" t="s">
        <v>6401</v>
      </c>
      <c r="E113">
        <v>5.0999999999999996</v>
      </c>
      <c r="F113" t="s">
        <v>1034</v>
      </c>
      <c r="G113" t="s">
        <v>6333</v>
      </c>
    </row>
    <row r="114" spans="1:7" x14ac:dyDescent="0.25">
      <c r="A114">
        <v>943211</v>
      </c>
      <c r="B114" t="s">
        <v>36</v>
      </c>
      <c r="C114">
        <v>3518437</v>
      </c>
      <c r="D114" t="s">
        <v>6293</v>
      </c>
      <c r="E114">
        <v>6</v>
      </c>
      <c r="F114" t="s">
        <v>6339</v>
      </c>
      <c r="G114" t="s">
        <v>6340</v>
      </c>
    </row>
    <row r="115" spans="1:7" x14ac:dyDescent="0.25">
      <c r="A115">
        <v>943210</v>
      </c>
      <c r="B115" t="s">
        <v>32</v>
      </c>
      <c r="C115">
        <v>3500635</v>
      </c>
      <c r="D115" t="s">
        <v>5466</v>
      </c>
      <c r="E115">
        <v>6</v>
      </c>
      <c r="F115" t="s">
        <v>6335</v>
      </c>
      <c r="G115" t="s">
        <v>6336</v>
      </c>
    </row>
    <row r="116" spans="1:7" x14ac:dyDescent="0.25">
      <c r="A116">
        <v>943209</v>
      </c>
      <c r="B116" t="s">
        <v>37</v>
      </c>
      <c r="C116">
        <v>3570819</v>
      </c>
      <c r="D116" t="s">
        <v>6402</v>
      </c>
      <c r="E116">
        <v>5.95</v>
      </c>
      <c r="F116" t="s">
        <v>1008</v>
      </c>
      <c r="G116" t="s">
        <v>6250</v>
      </c>
    </row>
    <row r="117" spans="1:7" x14ac:dyDescent="0.25">
      <c r="A117">
        <v>943209</v>
      </c>
      <c r="B117" t="s">
        <v>37</v>
      </c>
      <c r="C117">
        <v>3502422</v>
      </c>
      <c r="D117" t="s">
        <v>2374</v>
      </c>
      <c r="E117">
        <v>6.05</v>
      </c>
      <c r="F117" t="s">
        <v>712</v>
      </c>
      <c r="G117" t="s">
        <v>6202</v>
      </c>
    </row>
    <row r="118" spans="1:7" x14ac:dyDescent="0.25">
      <c r="A118" t="s">
        <v>5999</v>
      </c>
      <c r="B118" t="s">
        <v>36</v>
      </c>
      <c r="C118">
        <v>3191790</v>
      </c>
      <c r="D118" t="s">
        <v>1727</v>
      </c>
      <c r="E118">
        <v>6.04</v>
      </c>
      <c r="F118" s="147" t="s">
        <v>6337</v>
      </c>
      <c r="G118" t="str">
        <f>_xlfn.CONCAT(F118,"-",E118)</f>
        <v>50-50-1.6-ERW 1-FIN CUT-6.04</v>
      </c>
    </row>
    <row r="119" spans="1:7" x14ac:dyDescent="0.25">
      <c r="A119" t="s">
        <v>5999</v>
      </c>
      <c r="B119" t="s">
        <v>36</v>
      </c>
      <c r="C119">
        <v>3500695</v>
      </c>
      <c r="D119" t="s">
        <v>6294</v>
      </c>
      <c r="E119">
        <v>6</v>
      </c>
      <c r="F119" t="s">
        <v>6341</v>
      </c>
      <c r="G119" t="s">
        <v>6342</v>
      </c>
    </row>
    <row r="120" spans="1:7" x14ac:dyDescent="0.25">
      <c r="A120" t="s">
        <v>5966</v>
      </c>
      <c r="B120" t="s">
        <v>37</v>
      </c>
      <c r="C120">
        <v>3905049</v>
      </c>
      <c r="D120" t="s">
        <v>2399</v>
      </c>
      <c r="E120">
        <v>5.9</v>
      </c>
      <c r="F120" t="s">
        <v>1070</v>
      </c>
      <c r="G120" t="s">
        <v>6208</v>
      </c>
    </row>
    <row r="121" spans="1:7" x14ac:dyDescent="0.25">
      <c r="A121" t="s">
        <v>5966</v>
      </c>
      <c r="B121" t="s">
        <v>37</v>
      </c>
      <c r="C121">
        <v>3457574</v>
      </c>
      <c r="D121" t="s">
        <v>6070</v>
      </c>
      <c r="E121">
        <v>6.02</v>
      </c>
      <c r="F121" t="s">
        <v>886</v>
      </c>
      <c r="G121" t="s">
        <v>6189</v>
      </c>
    </row>
    <row r="122" spans="1:7" x14ac:dyDescent="0.25">
      <c r="A122" t="s">
        <v>5968</v>
      </c>
      <c r="B122" t="s">
        <v>32</v>
      </c>
      <c r="C122">
        <v>1940627</v>
      </c>
      <c r="D122" t="s">
        <v>1587</v>
      </c>
      <c r="E122">
        <v>6</v>
      </c>
      <c r="F122" t="s">
        <v>6192</v>
      </c>
      <c r="G122" t="s">
        <v>6193</v>
      </c>
    </row>
    <row r="123" spans="1:7" x14ac:dyDescent="0.25">
      <c r="A123" t="s">
        <v>5966</v>
      </c>
      <c r="B123" t="s">
        <v>37</v>
      </c>
      <c r="C123">
        <v>3591303</v>
      </c>
      <c r="D123" t="s">
        <v>6403</v>
      </c>
      <c r="E123">
        <v>6</v>
      </c>
      <c r="F123" t="s">
        <v>836</v>
      </c>
      <c r="G123" t="s">
        <v>6273</v>
      </c>
    </row>
    <row r="124" spans="1:7" x14ac:dyDescent="0.25">
      <c r="A124" t="s">
        <v>5966</v>
      </c>
      <c r="B124" t="s">
        <v>37</v>
      </c>
      <c r="C124">
        <v>1940684</v>
      </c>
      <c r="D124" t="s">
        <v>6032</v>
      </c>
      <c r="E124">
        <v>6</v>
      </c>
      <c r="F124" t="s">
        <v>1029</v>
      </c>
      <c r="G124" t="s">
        <v>6332</v>
      </c>
    </row>
    <row r="125" spans="1:7" x14ac:dyDescent="0.25">
      <c r="A125" t="s">
        <v>5999</v>
      </c>
      <c r="B125" t="s">
        <v>36</v>
      </c>
      <c r="C125">
        <v>3500641</v>
      </c>
      <c r="D125" t="s">
        <v>3977</v>
      </c>
      <c r="E125">
        <v>6.04</v>
      </c>
      <c r="F125" t="s">
        <v>6337</v>
      </c>
      <c r="G125" t="s">
        <v>6338</v>
      </c>
    </row>
  </sheetData>
  <conditionalFormatting sqref="C2:C125">
    <cfRule type="duplicateValues" dxfId="52" priority="387"/>
  </conditionalFormatting>
  <conditionalFormatting sqref="E113:E117">
    <cfRule type="duplicateValues" dxfId="51" priority="2"/>
  </conditionalFormatting>
  <conditionalFormatting sqref="F118">
    <cfRule type="duplicateValues" dxfId="50" priority="1"/>
  </conditionalFormatting>
  <conditionalFormatting sqref="N1:N1048576 G1:G1048576">
    <cfRule type="duplicateValues" dxfId="49" priority="3"/>
  </conditionalFormatting>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1AF01-5BB3-44E0-9F1E-AA736162C5F0}">
  <sheetPr codeName="Sheet36"/>
  <dimension ref="A1:O569"/>
  <sheetViews>
    <sheetView topLeftCell="H1" workbookViewId="0">
      <selection activeCell="E9" sqref="E9"/>
    </sheetView>
  </sheetViews>
  <sheetFormatPr defaultColWidth="8.28515625" defaultRowHeight="15" x14ac:dyDescent="0.25"/>
  <cols>
    <col min="1" max="1" width="16.7109375" bestFit="1" customWidth="1"/>
    <col min="2" max="2" width="35.7109375" bestFit="1" customWidth="1"/>
    <col min="3" max="3" width="13.7109375" bestFit="1" customWidth="1"/>
    <col min="4" max="4" width="11" bestFit="1" customWidth="1"/>
    <col min="5" max="5" width="25.140625" bestFit="1" customWidth="1"/>
    <col min="6" max="6" width="21" bestFit="1" customWidth="1"/>
    <col min="7" max="7" width="14.28515625" bestFit="1" customWidth="1"/>
    <col min="8" max="8" width="42.7109375" bestFit="1" customWidth="1"/>
    <col min="9" max="9" width="11" bestFit="1" customWidth="1"/>
    <col min="10" max="10" width="28" bestFit="1" customWidth="1"/>
    <col min="11" max="11" width="27.42578125" bestFit="1" customWidth="1"/>
    <col min="12" max="12" width="34.28515625" bestFit="1" customWidth="1"/>
    <col min="13" max="13" width="31.5703125" bestFit="1" customWidth="1"/>
    <col min="14" max="14" width="16.85546875" bestFit="1" customWidth="1"/>
    <col min="15" max="15" width="29.140625" bestFit="1" customWidth="1"/>
    <col min="16" max="16" width="24.7109375" bestFit="1" customWidth="1"/>
    <col min="17" max="17" width="29.140625" bestFit="1" customWidth="1"/>
  </cols>
  <sheetData>
    <row r="1" spans="1:15" x14ac:dyDescent="0.25">
      <c r="A1" t="s">
        <v>380</v>
      </c>
      <c r="B1" t="s">
        <v>381</v>
      </c>
      <c r="C1" t="s">
        <v>382</v>
      </c>
      <c r="D1" t="s">
        <v>383</v>
      </c>
      <c r="E1" t="s">
        <v>384</v>
      </c>
      <c r="F1" t="s">
        <v>385</v>
      </c>
      <c r="G1" t="s">
        <v>6404</v>
      </c>
      <c r="H1" t="s">
        <v>388</v>
      </c>
      <c r="I1" t="s">
        <v>387</v>
      </c>
      <c r="J1" t="s">
        <v>1125</v>
      </c>
      <c r="K1" t="s">
        <v>6405</v>
      </c>
      <c r="L1" t="s">
        <v>1126</v>
      </c>
      <c r="M1" t="s">
        <v>1127</v>
      </c>
      <c r="N1" t="s">
        <v>389</v>
      </c>
      <c r="O1" t="s">
        <v>6361</v>
      </c>
    </row>
    <row r="2" spans="1:15" x14ac:dyDescent="0.25">
      <c r="A2" t="s">
        <v>5966</v>
      </c>
      <c r="B2" t="s">
        <v>37</v>
      </c>
      <c r="C2" t="s">
        <v>392</v>
      </c>
      <c r="D2">
        <v>127</v>
      </c>
      <c r="E2">
        <v>725.31700000000001</v>
      </c>
      <c r="F2">
        <v>3907863</v>
      </c>
      <c r="G2" t="s">
        <v>367</v>
      </c>
      <c r="H2" t="s">
        <v>1749</v>
      </c>
      <c r="I2">
        <v>2350.3890000000001</v>
      </c>
      <c r="J2">
        <v>57.15</v>
      </c>
      <c r="K2">
        <v>0</v>
      </c>
      <c r="L2">
        <v>2.5</v>
      </c>
      <c r="M2">
        <v>5.7110000000000003</v>
      </c>
      <c r="N2" t="s">
        <v>33</v>
      </c>
      <c r="O2" t="s">
        <v>6205</v>
      </c>
    </row>
    <row r="3" spans="1:15" x14ac:dyDescent="0.25">
      <c r="A3" t="s">
        <v>5966</v>
      </c>
      <c r="B3" t="s">
        <v>37</v>
      </c>
      <c r="C3" t="s">
        <v>392</v>
      </c>
      <c r="D3">
        <v>127</v>
      </c>
      <c r="E3">
        <v>725.31700000000001</v>
      </c>
      <c r="F3">
        <v>3907863</v>
      </c>
      <c r="G3" t="s">
        <v>367</v>
      </c>
      <c r="H3" t="s">
        <v>1749</v>
      </c>
      <c r="I3">
        <v>2350.3890000000001</v>
      </c>
      <c r="J3">
        <v>57.15</v>
      </c>
      <c r="K3">
        <v>0</v>
      </c>
      <c r="L3">
        <v>2.5</v>
      </c>
      <c r="M3">
        <v>5.7110000000000003</v>
      </c>
      <c r="N3" t="s">
        <v>33</v>
      </c>
      <c r="O3" t="s">
        <v>6205</v>
      </c>
    </row>
    <row r="4" spans="1:15" x14ac:dyDescent="0.25">
      <c r="A4" t="s">
        <v>5966</v>
      </c>
      <c r="B4" t="s">
        <v>37</v>
      </c>
      <c r="C4" t="s">
        <v>392</v>
      </c>
      <c r="D4">
        <v>127</v>
      </c>
      <c r="E4">
        <v>725.31700000000001</v>
      </c>
      <c r="F4">
        <v>3907863</v>
      </c>
      <c r="G4" t="s">
        <v>367</v>
      </c>
      <c r="H4" t="s">
        <v>1749</v>
      </c>
      <c r="I4">
        <v>2350.3890000000001</v>
      </c>
      <c r="J4">
        <v>57.15</v>
      </c>
      <c r="K4">
        <v>0</v>
      </c>
      <c r="L4">
        <v>2.5</v>
      </c>
      <c r="M4">
        <v>5.7110000000000003</v>
      </c>
      <c r="N4" t="s">
        <v>33</v>
      </c>
      <c r="O4" t="s">
        <v>6205</v>
      </c>
    </row>
    <row r="5" spans="1:15" x14ac:dyDescent="0.25">
      <c r="A5" t="s">
        <v>5966</v>
      </c>
      <c r="B5" t="s">
        <v>37</v>
      </c>
      <c r="C5" t="s">
        <v>392</v>
      </c>
      <c r="D5">
        <v>127</v>
      </c>
      <c r="E5">
        <v>725.31700000000001</v>
      </c>
      <c r="F5">
        <v>3907863</v>
      </c>
      <c r="G5" t="s">
        <v>367</v>
      </c>
      <c r="H5" t="s">
        <v>1749</v>
      </c>
      <c r="I5">
        <v>2350.3890000000001</v>
      </c>
      <c r="J5">
        <v>57.15</v>
      </c>
      <c r="K5">
        <v>0</v>
      </c>
      <c r="L5">
        <v>2.5</v>
      </c>
      <c r="M5">
        <v>5.7110000000000003</v>
      </c>
      <c r="N5" t="s">
        <v>33</v>
      </c>
      <c r="O5" t="s">
        <v>6205</v>
      </c>
    </row>
    <row r="6" spans="1:15" x14ac:dyDescent="0.25">
      <c r="A6" t="s">
        <v>5966</v>
      </c>
      <c r="B6" t="s">
        <v>37</v>
      </c>
      <c r="C6" t="s">
        <v>392</v>
      </c>
      <c r="D6">
        <v>127</v>
      </c>
      <c r="E6">
        <v>725.31700000000001</v>
      </c>
      <c r="F6">
        <v>3907863</v>
      </c>
      <c r="G6" t="s">
        <v>367</v>
      </c>
      <c r="H6" t="s">
        <v>1749</v>
      </c>
      <c r="I6">
        <v>2350.3890000000001</v>
      </c>
      <c r="J6">
        <v>57.15</v>
      </c>
      <c r="K6">
        <v>0</v>
      </c>
      <c r="L6">
        <v>2.5</v>
      </c>
      <c r="M6">
        <v>5.7110000000000003</v>
      </c>
      <c r="N6" t="s">
        <v>33</v>
      </c>
      <c r="O6" t="s">
        <v>6205</v>
      </c>
    </row>
    <row r="7" spans="1:15" x14ac:dyDescent="0.25">
      <c r="A7" t="s">
        <v>5966</v>
      </c>
      <c r="B7" t="s">
        <v>37</v>
      </c>
      <c r="C7" t="s">
        <v>392</v>
      </c>
      <c r="D7">
        <v>127</v>
      </c>
      <c r="E7">
        <v>725.31700000000001</v>
      </c>
      <c r="F7">
        <v>3907863</v>
      </c>
      <c r="G7" t="s">
        <v>367</v>
      </c>
      <c r="H7" t="s">
        <v>1749</v>
      </c>
      <c r="I7">
        <v>2350.3890000000001</v>
      </c>
      <c r="J7">
        <v>57.15</v>
      </c>
      <c r="K7">
        <v>0</v>
      </c>
      <c r="L7">
        <v>2.5</v>
      </c>
      <c r="M7">
        <v>5.7110000000000003</v>
      </c>
      <c r="N7" t="s">
        <v>33</v>
      </c>
      <c r="O7" t="s">
        <v>6205</v>
      </c>
    </row>
    <row r="8" spans="1:15" x14ac:dyDescent="0.25">
      <c r="A8" t="s">
        <v>5966</v>
      </c>
      <c r="B8" t="s">
        <v>37</v>
      </c>
      <c r="C8" t="s">
        <v>392</v>
      </c>
      <c r="D8">
        <v>138</v>
      </c>
      <c r="E8">
        <v>788.13900000000001</v>
      </c>
      <c r="F8">
        <v>3907863</v>
      </c>
      <c r="G8" t="s">
        <v>367</v>
      </c>
      <c r="H8" t="s">
        <v>1749</v>
      </c>
      <c r="I8">
        <v>2553.9659999999999</v>
      </c>
      <c r="J8">
        <v>57.15</v>
      </c>
      <c r="K8">
        <v>0</v>
      </c>
      <c r="L8">
        <v>2.5</v>
      </c>
      <c r="M8">
        <v>5.7110000000000003</v>
      </c>
      <c r="N8" t="s">
        <v>33</v>
      </c>
      <c r="O8" t="s">
        <v>6205</v>
      </c>
    </row>
    <row r="9" spans="1:15" x14ac:dyDescent="0.25">
      <c r="A9" t="s">
        <v>5966</v>
      </c>
      <c r="B9" t="s">
        <v>37</v>
      </c>
      <c r="C9" t="s">
        <v>392</v>
      </c>
      <c r="D9">
        <v>138</v>
      </c>
      <c r="E9">
        <v>788.13900000000001</v>
      </c>
      <c r="F9">
        <v>3907863</v>
      </c>
      <c r="G9" t="s">
        <v>367</v>
      </c>
      <c r="H9" t="s">
        <v>1749</v>
      </c>
      <c r="I9">
        <v>2553.9659999999999</v>
      </c>
      <c r="J9">
        <v>57.15</v>
      </c>
      <c r="K9">
        <v>0</v>
      </c>
      <c r="L9">
        <v>2.5</v>
      </c>
      <c r="M9">
        <v>5.7110000000000003</v>
      </c>
      <c r="N9" t="s">
        <v>33</v>
      </c>
      <c r="O9" t="s">
        <v>6205</v>
      </c>
    </row>
    <row r="10" spans="1:15" x14ac:dyDescent="0.25">
      <c r="A10" t="s">
        <v>5966</v>
      </c>
      <c r="B10" t="s">
        <v>37</v>
      </c>
      <c r="C10" t="s">
        <v>392</v>
      </c>
      <c r="D10">
        <v>138</v>
      </c>
      <c r="E10">
        <v>788.13900000000001</v>
      </c>
      <c r="F10">
        <v>3907863</v>
      </c>
      <c r="G10" t="s">
        <v>367</v>
      </c>
      <c r="H10" t="s">
        <v>1749</v>
      </c>
      <c r="I10">
        <v>2553.9659999999999</v>
      </c>
      <c r="J10">
        <v>57.15</v>
      </c>
      <c r="K10">
        <v>0</v>
      </c>
      <c r="L10">
        <v>2.5</v>
      </c>
      <c r="M10">
        <v>5.7110000000000003</v>
      </c>
      <c r="N10" t="s">
        <v>33</v>
      </c>
      <c r="O10" t="s">
        <v>6205</v>
      </c>
    </row>
    <row r="11" spans="1:15" x14ac:dyDescent="0.25">
      <c r="A11" t="s">
        <v>5966</v>
      </c>
      <c r="B11" t="s">
        <v>37</v>
      </c>
      <c r="C11" t="s">
        <v>392</v>
      </c>
      <c r="D11">
        <v>138</v>
      </c>
      <c r="E11">
        <v>788.13900000000001</v>
      </c>
      <c r="F11">
        <v>3907863</v>
      </c>
      <c r="G11" t="s">
        <v>367</v>
      </c>
      <c r="H11" t="s">
        <v>1749</v>
      </c>
      <c r="I11">
        <v>2553.9659999999999</v>
      </c>
      <c r="J11">
        <v>57.15</v>
      </c>
      <c r="K11">
        <v>0</v>
      </c>
      <c r="L11">
        <v>2.5</v>
      </c>
      <c r="M11">
        <v>5.7110000000000003</v>
      </c>
      <c r="N11" t="s">
        <v>33</v>
      </c>
      <c r="O11" t="s">
        <v>6205</v>
      </c>
    </row>
    <row r="12" spans="1:15" x14ac:dyDescent="0.25">
      <c r="A12" t="s">
        <v>5966</v>
      </c>
      <c r="B12" t="s">
        <v>37</v>
      </c>
      <c r="C12" t="s">
        <v>392</v>
      </c>
      <c r="D12">
        <v>138</v>
      </c>
      <c r="E12">
        <v>788.13900000000001</v>
      </c>
      <c r="F12">
        <v>3907863</v>
      </c>
      <c r="G12" t="s">
        <v>367</v>
      </c>
      <c r="H12" t="s">
        <v>1749</v>
      </c>
      <c r="I12">
        <v>2553.9659999999999</v>
      </c>
      <c r="J12">
        <v>57.15</v>
      </c>
      <c r="K12">
        <v>0</v>
      </c>
      <c r="L12">
        <v>2.5</v>
      </c>
      <c r="M12">
        <v>5.7110000000000003</v>
      </c>
      <c r="N12" t="s">
        <v>33</v>
      </c>
      <c r="O12" t="s">
        <v>6205</v>
      </c>
    </row>
    <row r="13" spans="1:15" x14ac:dyDescent="0.25">
      <c r="A13" t="s">
        <v>5966</v>
      </c>
      <c r="B13" t="s">
        <v>37</v>
      </c>
      <c r="C13" t="s">
        <v>392</v>
      </c>
      <c r="D13">
        <v>138</v>
      </c>
      <c r="E13">
        <v>788.13900000000001</v>
      </c>
      <c r="F13">
        <v>3907863</v>
      </c>
      <c r="G13" t="s">
        <v>367</v>
      </c>
      <c r="H13" t="s">
        <v>1749</v>
      </c>
      <c r="I13">
        <v>2553.9659999999999</v>
      </c>
      <c r="J13">
        <v>57.15</v>
      </c>
      <c r="K13">
        <v>0</v>
      </c>
      <c r="L13">
        <v>2.5</v>
      </c>
      <c r="M13">
        <v>5.7110000000000003</v>
      </c>
      <c r="N13" t="s">
        <v>33</v>
      </c>
      <c r="O13" t="s">
        <v>6205</v>
      </c>
    </row>
    <row r="14" spans="1:15" x14ac:dyDescent="0.25">
      <c r="A14" t="s">
        <v>5966</v>
      </c>
      <c r="B14" t="s">
        <v>37</v>
      </c>
      <c r="C14" t="s">
        <v>392</v>
      </c>
      <c r="D14">
        <v>60</v>
      </c>
      <c r="E14">
        <v>342.66899999999998</v>
      </c>
      <c r="F14">
        <v>3907863</v>
      </c>
      <c r="G14" t="s">
        <v>367</v>
      </c>
      <c r="H14" t="s">
        <v>1749</v>
      </c>
      <c r="I14">
        <v>1110.42</v>
      </c>
      <c r="J14">
        <v>57.15</v>
      </c>
      <c r="K14">
        <v>0</v>
      </c>
      <c r="L14">
        <v>2.5</v>
      </c>
      <c r="M14">
        <v>5.7110000000000003</v>
      </c>
      <c r="N14" t="s">
        <v>33</v>
      </c>
      <c r="O14" t="s">
        <v>6205</v>
      </c>
    </row>
    <row r="15" spans="1:15" x14ac:dyDescent="0.25">
      <c r="A15" t="s">
        <v>5966</v>
      </c>
      <c r="B15" t="s">
        <v>37</v>
      </c>
      <c r="C15" t="s">
        <v>392</v>
      </c>
      <c r="D15">
        <v>60</v>
      </c>
      <c r="E15">
        <v>342.66899999999998</v>
      </c>
      <c r="F15">
        <v>3907863</v>
      </c>
      <c r="G15" t="s">
        <v>367</v>
      </c>
      <c r="H15" t="s">
        <v>1749</v>
      </c>
      <c r="I15">
        <v>1110.42</v>
      </c>
      <c r="J15">
        <v>57.15</v>
      </c>
      <c r="K15">
        <v>0</v>
      </c>
      <c r="L15">
        <v>2.5</v>
      </c>
      <c r="M15">
        <v>5.7110000000000003</v>
      </c>
      <c r="N15" t="s">
        <v>33</v>
      </c>
      <c r="O15" t="s">
        <v>6205</v>
      </c>
    </row>
    <row r="16" spans="1:15" x14ac:dyDescent="0.25">
      <c r="A16" t="s">
        <v>5966</v>
      </c>
      <c r="B16" t="s">
        <v>37</v>
      </c>
      <c r="C16" t="s">
        <v>392</v>
      </c>
      <c r="D16">
        <v>26</v>
      </c>
      <c r="E16">
        <v>148.49</v>
      </c>
      <c r="F16">
        <v>3907863</v>
      </c>
      <c r="G16" t="s">
        <v>367</v>
      </c>
      <c r="H16" t="s">
        <v>1749</v>
      </c>
      <c r="I16">
        <v>481.18200000000002</v>
      </c>
      <c r="J16">
        <v>57.15</v>
      </c>
      <c r="K16">
        <v>0</v>
      </c>
      <c r="L16">
        <v>2.5</v>
      </c>
      <c r="M16">
        <v>5.7110000000000003</v>
      </c>
      <c r="N16" t="s">
        <v>33</v>
      </c>
      <c r="O16" t="s">
        <v>6205</v>
      </c>
    </row>
    <row r="17" spans="1:15" x14ac:dyDescent="0.25">
      <c r="A17" t="s">
        <v>5966</v>
      </c>
      <c r="B17" t="s">
        <v>37</v>
      </c>
      <c r="C17" t="s">
        <v>392</v>
      </c>
      <c r="D17">
        <v>26</v>
      </c>
      <c r="E17">
        <v>148.49</v>
      </c>
      <c r="F17">
        <v>3907863</v>
      </c>
      <c r="G17" t="s">
        <v>367</v>
      </c>
      <c r="H17" t="s">
        <v>1749</v>
      </c>
      <c r="I17">
        <v>481.18200000000002</v>
      </c>
      <c r="J17">
        <v>57.15</v>
      </c>
      <c r="K17">
        <v>0</v>
      </c>
      <c r="L17">
        <v>2.5</v>
      </c>
      <c r="M17">
        <v>5.7110000000000003</v>
      </c>
      <c r="N17" t="s">
        <v>33</v>
      </c>
      <c r="O17" t="s">
        <v>6205</v>
      </c>
    </row>
    <row r="18" spans="1:15" x14ac:dyDescent="0.25">
      <c r="A18" t="s">
        <v>5966</v>
      </c>
      <c r="B18" t="s">
        <v>37</v>
      </c>
      <c r="C18" t="s">
        <v>392</v>
      </c>
      <c r="D18">
        <v>127</v>
      </c>
      <c r="E18">
        <v>725.31700000000001</v>
      </c>
      <c r="F18">
        <v>3907863</v>
      </c>
      <c r="G18" t="s">
        <v>367</v>
      </c>
      <c r="H18" t="s">
        <v>1749</v>
      </c>
      <c r="I18">
        <v>2350.3890000000001</v>
      </c>
      <c r="J18">
        <v>57.15</v>
      </c>
      <c r="K18">
        <v>0</v>
      </c>
      <c r="L18">
        <v>2.5</v>
      </c>
      <c r="M18">
        <v>5.7110000000000003</v>
      </c>
      <c r="N18" t="s">
        <v>33</v>
      </c>
      <c r="O18" t="s">
        <v>6205</v>
      </c>
    </row>
    <row r="19" spans="1:15" x14ac:dyDescent="0.25">
      <c r="A19" t="s">
        <v>5966</v>
      </c>
      <c r="B19" t="s">
        <v>37</v>
      </c>
      <c r="C19" t="s">
        <v>392</v>
      </c>
      <c r="D19">
        <v>127</v>
      </c>
      <c r="E19">
        <v>725.31700000000001</v>
      </c>
      <c r="F19">
        <v>3907863</v>
      </c>
      <c r="G19" t="s">
        <v>367</v>
      </c>
      <c r="H19" t="s">
        <v>1749</v>
      </c>
      <c r="I19">
        <v>2350.3890000000001</v>
      </c>
      <c r="J19">
        <v>57.15</v>
      </c>
      <c r="K19">
        <v>0</v>
      </c>
      <c r="L19">
        <v>2.5</v>
      </c>
      <c r="M19">
        <v>5.7110000000000003</v>
      </c>
      <c r="N19" t="s">
        <v>33</v>
      </c>
      <c r="O19" t="s">
        <v>6205</v>
      </c>
    </row>
    <row r="20" spans="1:15" x14ac:dyDescent="0.25">
      <c r="A20" t="s">
        <v>5966</v>
      </c>
      <c r="B20" t="s">
        <v>37</v>
      </c>
      <c r="C20" t="s">
        <v>392</v>
      </c>
      <c r="D20">
        <v>127</v>
      </c>
      <c r="E20">
        <v>725.31700000000001</v>
      </c>
      <c r="F20">
        <v>3907863</v>
      </c>
      <c r="G20" t="s">
        <v>367</v>
      </c>
      <c r="H20" t="s">
        <v>1749</v>
      </c>
      <c r="I20">
        <v>2350.3890000000001</v>
      </c>
      <c r="J20">
        <v>57.15</v>
      </c>
      <c r="K20">
        <v>0</v>
      </c>
      <c r="L20">
        <v>2.5</v>
      </c>
      <c r="M20">
        <v>5.7110000000000003</v>
      </c>
      <c r="N20" t="s">
        <v>33</v>
      </c>
      <c r="O20" t="s">
        <v>6205</v>
      </c>
    </row>
    <row r="21" spans="1:15" x14ac:dyDescent="0.25">
      <c r="A21" t="s">
        <v>5966</v>
      </c>
      <c r="B21" t="s">
        <v>37</v>
      </c>
      <c r="C21" t="s">
        <v>392</v>
      </c>
      <c r="D21">
        <v>127</v>
      </c>
      <c r="E21">
        <v>725.31700000000001</v>
      </c>
      <c r="F21">
        <v>3907863</v>
      </c>
      <c r="G21" t="s">
        <v>367</v>
      </c>
      <c r="H21" t="s">
        <v>1749</v>
      </c>
      <c r="I21">
        <v>2350.3890000000001</v>
      </c>
      <c r="J21">
        <v>57.15</v>
      </c>
      <c r="K21">
        <v>0</v>
      </c>
      <c r="L21">
        <v>2.5</v>
      </c>
      <c r="M21">
        <v>5.7110000000000003</v>
      </c>
      <c r="N21" t="s">
        <v>33</v>
      </c>
      <c r="O21" t="s">
        <v>6205</v>
      </c>
    </row>
    <row r="22" spans="1:15" x14ac:dyDescent="0.25">
      <c r="A22" t="s">
        <v>5966</v>
      </c>
      <c r="B22" t="s">
        <v>37</v>
      </c>
      <c r="C22" t="s">
        <v>392</v>
      </c>
      <c r="D22">
        <v>127</v>
      </c>
      <c r="E22">
        <v>725.31700000000001</v>
      </c>
      <c r="F22">
        <v>3907863</v>
      </c>
      <c r="G22" t="s">
        <v>367</v>
      </c>
      <c r="H22" t="s">
        <v>1749</v>
      </c>
      <c r="I22">
        <v>2350.3890000000001</v>
      </c>
      <c r="J22">
        <v>57.15</v>
      </c>
      <c r="K22">
        <v>0</v>
      </c>
      <c r="L22">
        <v>2.5</v>
      </c>
      <c r="M22">
        <v>5.7110000000000003</v>
      </c>
      <c r="N22" t="s">
        <v>33</v>
      </c>
      <c r="O22" t="s">
        <v>6205</v>
      </c>
    </row>
    <row r="23" spans="1:15" x14ac:dyDescent="0.25">
      <c r="A23" t="s">
        <v>5966</v>
      </c>
      <c r="B23" t="s">
        <v>37</v>
      </c>
      <c r="C23" t="s">
        <v>392</v>
      </c>
      <c r="D23">
        <v>127</v>
      </c>
      <c r="E23">
        <v>725.31700000000001</v>
      </c>
      <c r="F23">
        <v>3907863</v>
      </c>
      <c r="G23" t="s">
        <v>367</v>
      </c>
      <c r="H23" t="s">
        <v>1749</v>
      </c>
      <c r="I23">
        <v>2350.3890000000001</v>
      </c>
      <c r="J23">
        <v>57.15</v>
      </c>
      <c r="K23">
        <v>0</v>
      </c>
      <c r="L23">
        <v>2.5</v>
      </c>
      <c r="M23">
        <v>5.7110000000000003</v>
      </c>
      <c r="N23" t="s">
        <v>33</v>
      </c>
      <c r="O23" t="s">
        <v>6205</v>
      </c>
    </row>
    <row r="24" spans="1:15" x14ac:dyDescent="0.25">
      <c r="A24" t="s">
        <v>5966</v>
      </c>
      <c r="B24" t="s">
        <v>37</v>
      </c>
      <c r="C24" t="s">
        <v>392</v>
      </c>
      <c r="D24">
        <v>138</v>
      </c>
      <c r="E24">
        <v>788.13900000000001</v>
      </c>
      <c r="F24">
        <v>3907863</v>
      </c>
      <c r="G24" t="s">
        <v>367</v>
      </c>
      <c r="H24" t="s">
        <v>1749</v>
      </c>
      <c r="I24">
        <v>2553.9659999999999</v>
      </c>
      <c r="J24">
        <v>57.15</v>
      </c>
      <c r="K24">
        <v>0</v>
      </c>
      <c r="L24">
        <v>2.5</v>
      </c>
      <c r="M24">
        <v>5.7110000000000003</v>
      </c>
      <c r="N24" t="s">
        <v>33</v>
      </c>
      <c r="O24" t="s">
        <v>6205</v>
      </c>
    </row>
    <row r="25" spans="1:15" x14ac:dyDescent="0.25">
      <c r="A25" t="s">
        <v>5966</v>
      </c>
      <c r="B25" t="s">
        <v>37</v>
      </c>
      <c r="C25" t="s">
        <v>392</v>
      </c>
      <c r="D25">
        <v>138</v>
      </c>
      <c r="E25">
        <v>788.13900000000001</v>
      </c>
      <c r="F25">
        <v>3907863</v>
      </c>
      <c r="G25" t="s">
        <v>367</v>
      </c>
      <c r="H25" t="s">
        <v>1749</v>
      </c>
      <c r="I25">
        <v>2553.9659999999999</v>
      </c>
      <c r="J25">
        <v>57.15</v>
      </c>
      <c r="K25">
        <v>0</v>
      </c>
      <c r="L25">
        <v>2.5</v>
      </c>
      <c r="M25">
        <v>5.7110000000000003</v>
      </c>
      <c r="N25" t="s">
        <v>33</v>
      </c>
      <c r="O25" t="s">
        <v>6205</v>
      </c>
    </row>
    <row r="26" spans="1:15" x14ac:dyDescent="0.25">
      <c r="A26" t="s">
        <v>5966</v>
      </c>
      <c r="B26" t="s">
        <v>37</v>
      </c>
      <c r="C26" t="s">
        <v>392</v>
      </c>
      <c r="D26">
        <v>138</v>
      </c>
      <c r="E26">
        <v>788.13900000000001</v>
      </c>
      <c r="F26">
        <v>3907863</v>
      </c>
      <c r="G26" t="s">
        <v>367</v>
      </c>
      <c r="H26" t="s">
        <v>1749</v>
      </c>
      <c r="I26">
        <v>2553.9659999999999</v>
      </c>
      <c r="J26">
        <v>57.15</v>
      </c>
      <c r="K26">
        <v>0</v>
      </c>
      <c r="L26">
        <v>2.5</v>
      </c>
      <c r="M26">
        <v>5.7110000000000003</v>
      </c>
      <c r="N26" t="s">
        <v>33</v>
      </c>
      <c r="O26" t="s">
        <v>6205</v>
      </c>
    </row>
    <row r="27" spans="1:15" x14ac:dyDescent="0.25">
      <c r="A27" t="s">
        <v>5966</v>
      </c>
      <c r="B27" t="s">
        <v>37</v>
      </c>
      <c r="C27" t="s">
        <v>392</v>
      </c>
      <c r="D27">
        <v>138</v>
      </c>
      <c r="E27">
        <v>788.13900000000001</v>
      </c>
      <c r="F27">
        <v>3907863</v>
      </c>
      <c r="G27" t="s">
        <v>367</v>
      </c>
      <c r="H27" t="s">
        <v>1749</v>
      </c>
      <c r="I27">
        <v>2553.9659999999999</v>
      </c>
      <c r="J27">
        <v>57.15</v>
      </c>
      <c r="K27">
        <v>0</v>
      </c>
      <c r="L27">
        <v>2.5</v>
      </c>
      <c r="M27">
        <v>5.7110000000000003</v>
      </c>
      <c r="N27" t="s">
        <v>33</v>
      </c>
      <c r="O27" t="s">
        <v>6205</v>
      </c>
    </row>
    <row r="28" spans="1:15" x14ac:dyDescent="0.25">
      <c r="A28" t="s">
        <v>5966</v>
      </c>
      <c r="B28" t="s">
        <v>37</v>
      </c>
      <c r="C28" t="s">
        <v>392</v>
      </c>
      <c r="D28">
        <v>138</v>
      </c>
      <c r="E28">
        <v>788.13900000000001</v>
      </c>
      <c r="F28">
        <v>3907863</v>
      </c>
      <c r="G28" t="s">
        <v>367</v>
      </c>
      <c r="H28" t="s">
        <v>1749</v>
      </c>
      <c r="I28">
        <v>2553.9659999999999</v>
      </c>
      <c r="J28">
        <v>57.15</v>
      </c>
      <c r="K28">
        <v>0</v>
      </c>
      <c r="L28">
        <v>2.5</v>
      </c>
      <c r="M28">
        <v>5.7110000000000003</v>
      </c>
      <c r="N28" t="s">
        <v>33</v>
      </c>
      <c r="O28" t="s">
        <v>6205</v>
      </c>
    </row>
    <row r="29" spans="1:15" x14ac:dyDescent="0.25">
      <c r="A29" t="s">
        <v>5966</v>
      </c>
      <c r="B29" t="s">
        <v>37</v>
      </c>
      <c r="C29" t="s">
        <v>392</v>
      </c>
      <c r="D29">
        <v>138</v>
      </c>
      <c r="E29">
        <v>788.13900000000001</v>
      </c>
      <c r="F29">
        <v>3907863</v>
      </c>
      <c r="G29" t="s">
        <v>367</v>
      </c>
      <c r="H29" t="s">
        <v>1749</v>
      </c>
      <c r="I29">
        <v>2553.9659999999999</v>
      </c>
      <c r="J29">
        <v>57.15</v>
      </c>
      <c r="K29">
        <v>0</v>
      </c>
      <c r="L29">
        <v>2.5</v>
      </c>
      <c r="M29">
        <v>5.7110000000000003</v>
      </c>
      <c r="N29" t="s">
        <v>33</v>
      </c>
      <c r="O29" t="s">
        <v>6205</v>
      </c>
    </row>
    <row r="30" spans="1:15" x14ac:dyDescent="0.25">
      <c r="A30" t="s">
        <v>5966</v>
      </c>
      <c r="B30" t="s">
        <v>37</v>
      </c>
      <c r="C30" t="s">
        <v>392</v>
      </c>
      <c r="D30">
        <v>138</v>
      </c>
      <c r="E30">
        <v>788.13900000000001</v>
      </c>
      <c r="F30">
        <v>3907863</v>
      </c>
      <c r="G30" t="s">
        <v>367</v>
      </c>
      <c r="H30" t="s">
        <v>1749</v>
      </c>
      <c r="I30">
        <v>2553.9659999999999</v>
      </c>
      <c r="J30">
        <v>57.15</v>
      </c>
      <c r="K30">
        <v>0</v>
      </c>
      <c r="L30">
        <v>2.5</v>
      </c>
      <c r="M30">
        <v>5.7110000000000003</v>
      </c>
      <c r="N30" t="s">
        <v>33</v>
      </c>
      <c r="O30" t="s">
        <v>6205</v>
      </c>
    </row>
    <row r="31" spans="1:15" x14ac:dyDescent="0.25">
      <c r="A31" t="s">
        <v>5966</v>
      </c>
      <c r="B31" t="s">
        <v>37</v>
      </c>
      <c r="C31" t="s">
        <v>392</v>
      </c>
      <c r="D31">
        <v>138</v>
      </c>
      <c r="E31">
        <v>788.13900000000001</v>
      </c>
      <c r="F31">
        <v>3907863</v>
      </c>
      <c r="G31" t="s">
        <v>367</v>
      </c>
      <c r="H31" t="s">
        <v>1749</v>
      </c>
      <c r="I31">
        <v>2553.9659999999999</v>
      </c>
      <c r="J31">
        <v>57.15</v>
      </c>
      <c r="K31">
        <v>0</v>
      </c>
      <c r="L31">
        <v>2.5</v>
      </c>
      <c r="M31">
        <v>5.7110000000000003</v>
      </c>
      <c r="N31" t="s">
        <v>33</v>
      </c>
      <c r="O31" t="s">
        <v>6205</v>
      </c>
    </row>
    <row r="32" spans="1:15" x14ac:dyDescent="0.25">
      <c r="A32" t="s">
        <v>5966</v>
      </c>
      <c r="B32" t="s">
        <v>37</v>
      </c>
      <c r="C32" t="s">
        <v>392</v>
      </c>
      <c r="D32">
        <v>60</v>
      </c>
      <c r="E32">
        <v>342.66899999999998</v>
      </c>
      <c r="F32">
        <v>3907863</v>
      </c>
      <c r="G32" t="s">
        <v>367</v>
      </c>
      <c r="H32" t="s">
        <v>1749</v>
      </c>
      <c r="I32">
        <v>1110.42</v>
      </c>
      <c r="J32">
        <v>57.15</v>
      </c>
      <c r="K32">
        <v>0</v>
      </c>
      <c r="L32">
        <v>2.5</v>
      </c>
      <c r="M32">
        <v>5.7110000000000003</v>
      </c>
      <c r="N32" t="s">
        <v>33</v>
      </c>
      <c r="O32" t="s">
        <v>6205</v>
      </c>
    </row>
    <row r="33" spans="1:15" x14ac:dyDescent="0.25">
      <c r="A33" t="s">
        <v>5966</v>
      </c>
      <c r="B33" t="s">
        <v>37</v>
      </c>
      <c r="C33" t="s">
        <v>392</v>
      </c>
      <c r="D33">
        <v>60</v>
      </c>
      <c r="E33">
        <v>342.66899999999998</v>
      </c>
      <c r="F33">
        <v>3907863</v>
      </c>
      <c r="G33" t="s">
        <v>367</v>
      </c>
      <c r="H33" t="s">
        <v>1749</v>
      </c>
      <c r="I33">
        <v>1110.42</v>
      </c>
      <c r="J33">
        <v>57.15</v>
      </c>
      <c r="K33">
        <v>0</v>
      </c>
      <c r="L33">
        <v>2.5</v>
      </c>
      <c r="M33">
        <v>5.7110000000000003</v>
      </c>
      <c r="N33" t="s">
        <v>33</v>
      </c>
      <c r="O33" t="s">
        <v>6205</v>
      </c>
    </row>
    <row r="34" spans="1:15" x14ac:dyDescent="0.25">
      <c r="A34" t="s">
        <v>5966</v>
      </c>
      <c r="B34" t="s">
        <v>37</v>
      </c>
      <c r="C34" t="s">
        <v>392</v>
      </c>
      <c r="D34">
        <v>94</v>
      </c>
      <c r="E34">
        <v>536.84900000000005</v>
      </c>
      <c r="F34">
        <v>3907863</v>
      </c>
      <c r="G34" t="s">
        <v>367</v>
      </c>
      <c r="H34" t="s">
        <v>1749</v>
      </c>
      <c r="I34">
        <v>1739.6579999999999</v>
      </c>
      <c r="J34">
        <v>57.15</v>
      </c>
      <c r="K34">
        <v>0</v>
      </c>
      <c r="L34">
        <v>2.5</v>
      </c>
      <c r="M34">
        <v>5.7110000000000003</v>
      </c>
      <c r="N34" t="s">
        <v>33</v>
      </c>
      <c r="O34" t="s">
        <v>6205</v>
      </c>
    </row>
    <row r="35" spans="1:15" x14ac:dyDescent="0.25">
      <c r="A35" t="s">
        <v>5966</v>
      </c>
      <c r="B35" t="s">
        <v>37</v>
      </c>
      <c r="C35" t="s">
        <v>392</v>
      </c>
      <c r="D35">
        <v>94</v>
      </c>
      <c r="E35">
        <v>536.84900000000005</v>
      </c>
      <c r="F35">
        <v>3907863</v>
      </c>
      <c r="G35" t="s">
        <v>367</v>
      </c>
      <c r="H35" t="s">
        <v>1749</v>
      </c>
      <c r="I35">
        <v>1739.6579999999999</v>
      </c>
      <c r="J35">
        <v>57.15</v>
      </c>
      <c r="K35">
        <v>0</v>
      </c>
      <c r="L35">
        <v>2.5</v>
      </c>
      <c r="M35">
        <v>5.7110000000000003</v>
      </c>
      <c r="N35" t="s">
        <v>33</v>
      </c>
      <c r="O35" t="s">
        <v>6205</v>
      </c>
    </row>
    <row r="36" spans="1:15" x14ac:dyDescent="0.25">
      <c r="A36" t="s">
        <v>5966</v>
      </c>
      <c r="B36" t="s">
        <v>37</v>
      </c>
      <c r="C36" t="s">
        <v>392</v>
      </c>
      <c r="D36">
        <v>53</v>
      </c>
      <c r="E36">
        <v>302.69099999999997</v>
      </c>
      <c r="F36">
        <v>3907863</v>
      </c>
      <c r="G36" t="s">
        <v>367</v>
      </c>
      <c r="H36" t="s">
        <v>1749</v>
      </c>
      <c r="I36">
        <v>980.87099999999998</v>
      </c>
      <c r="J36">
        <v>57.15</v>
      </c>
      <c r="K36">
        <v>0</v>
      </c>
      <c r="L36">
        <v>2.5</v>
      </c>
      <c r="M36">
        <v>5.7110000000000003</v>
      </c>
      <c r="N36" t="s">
        <v>33</v>
      </c>
      <c r="O36" t="s">
        <v>6205</v>
      </c>
    </row>
    <row r="37" spans="1:15" x14ac:dyDescent="0.25">
      <c r="A37" t="s">
        <v>5966</v>
      </c>
      <c r="B37" t="s">
        <v>37</v>
      </c>
      <c r="C37" t="s">
        <v>392</v>
      </c>
      <c r="D37">
        <v>53</v>
      </c>
      <c r="E37">
        <v>302.69099999999997</v>
      </c>
      <c r="F37">
        <v>3907863</v>
      </c>
      <c r="G37" t="s">
        <v>367</v>
      </c>
      <c r="H37" t="s">
        <v>1749</v>
      </c>
      <c r="I37">
        <v>980.87099999999998</v>
      </c>
      <c r="J37">
        <v>57.15</v>
      </c>
      <c r="K37">
        <v>0</v>
      </c>
      <c r="L37">
        <v>2.5</v>
      </c>
      <c r="M37">
        <v>5.7110000000000003</v>
      </c>
      <c r="N37" t="s">
        <v>33</v>
      </c>
      <c r="O37" t="s">
        <v>6205</v>
      </c>
    </row>
    <row r="38" spans="1:15" x14ac:dyDescent="0.25">
      <c r="A38" t="s">
        <v>5966</v>
      </c>
      <c r="B38" t="s">
        <v>37</v>
      </c>
      <c r="C38" t="s">
        <v>392</v>
      </c>
      <c r="D38">
        <v>54</v>
      </c>
      <c r="E38">
        <v>308.40199999999999</v>
      </c>
      <c r="F38">
        <v>3907863</v>
      </c>
      <c r="G38" t="s">
        <v>367</v>
      </c>
      <c r="H38" t="s">
        <v>1749</v>
      </c>
      <c r="I38">
        <v>999.37800000000004</v>
      </c>
      <c r="J38">
        <v>57.15</v>
      </c>
      <c r="K38">
        <v>0</v>
      </c>
      <c r="L38">
        <v>2.5</v>
      </c>
      <c r="M38">
        <v>5.7110000000000003</v>
      </c>
      <c r="N38" t="s">
        <v>33</v>
      </c>
      <c r="O38" t="s">
        <v>6205</v>
      </c>
    </row>
    <row r="39" spans="1:15" x14ac:dyDescent="0.25">
      <c r="A39" t="s">
        <v>5966</v>
      </c>
      <c r="B39" t="s">
        <v>37</v>
      </c>
      <c r="C39" t="s">
        <v>392</v>
      </c>
      <c r="D39">
        <v>54</v>
      </c>
      <c r="E39">
        <v>308.40199999999999</v>
      </c>
      <c r="F39">
        <v>3907863</v>
      </c>
      <c r="G39" t="s">
        <v>367</v>
      </c>
      <c r="H39" t="s">
        <v>1749</v>
      </c>
      <c r="I39">
        <v>999.37800000000004</v>
      </c>
      <c r="J39">
        <v>57.15</v>
      </c>
      <c r="K39">
        <v>0</v>
      </c>
      <c r="L39">
        <v>2.5</v>
      </c>
      <c r="M39">
        <v>5.7110000000000003</v>
      </c>
      <c r="N39" t="s">
        <v>33</v>
      </c>
      <c r="O39" t="s">
        <v>6205</v>
      </c>
    </row>
    <row r="40" spans="1:15" x14ac:dyDescent="0.25">
      <c r="A40" t="s">
        <v>5966</v>
      </c>
      <c r="B40" t="s">
        <v>37</v>
      </c>
      <c r="C40" t="s">
        <v>392</v>
      </c>
      <c r="D40">
        <v>199</v>
      </c>
      <c r="E40">
        <v>1392.9960000000001</v>
      </c>
      <c r="F40">
        <v>3500582</v>
      </c>
      <c r="G40" t="s">
        <v>367</v>
      </c>
      <c r="H40" t="s">
        <v>1423</v>
      </c>
      <c r="I40">
        <v>1323.47</v>
      </c>
      <c r="J40">
        <v>19.05</v>
      </c>
      <c r="K40">
        <v>0</v>
      </c>
      <c r="L40">
        <v>2.2999999999999998</v>
      </c>
      <c r="M40">
        <v>7</v>
      </c>
      <c r="N40" t="s">
        <v>33</v>
      </c>
      <c r="O40" t="s">
        <v>6164</v>
      </c>
    </row>
    <row r="41" spans="1:15" x14ac:dyDescent="0.25">
      <c r="A41" t="s">
        <v>5966</v>
      </c>
      <c r="B41" t="s">
        <v>37</v>
      </c>
      <c r="C41" t="s">
        <v>392</v>
      </c>
      <c r="D41">
        <v>420</v>
      </c>
      <c r="E41">
        <v>2499.413</v>
      </c>
      <c r="F41">
        <v>3905466</v>
      </c>
      <c r="G41" t="s">
        <v>367</v>
      </c>
      <c r="H41" t="s">
        <v>1487</v>
      </c>
      <c r="I41">
        <v>2433.9839999999999</v>
      </c>
      <c r="J41">
        <v>22.2</v>
      </c>
      <c r="K41">
        <v>0</v>
      </c>
      <c r="L41">
        <v>2</v>
      </c>
      <c r="M41">
        <v>5.9509999999999996</v>
      </c>
      <c r="N41" t="s">
        <v>33</v>
      </c>
      <c r="O41" t="s">
        <v>6168</v>
      </c>
    </row>
    <row r="42" spans="1:15" x14ac:dyDescent="0.25">
      <c r="A42" t="s">
        <v>5966</v>
      </c>
      <c r="B42" t="s">
        <v>37</v>
      </c>
      <c r="C42" t="s">
        <v>392</v>
      </c>
      <c r="D42">
        <v>420</v>
      </c>
      <c r="E42">
        <v>2499.413</v>
      </c>
      <c r="F42">
        <v>3905466</v>
      </c>
      <c r="G42" t="s">
        <v>367</v>
      </c>
      <c r="H42" t="s">
        <v>1487</v>
      </c>
      <c r="I42">
        <v>2433.9839999999999</v>
      </c>
      <c r="J42">
        <v>22.2</v>
      </c>
      <c r="K42">
        <v>0</v>
      </c>
      <c r="L42">
        <v>2</v>
      </c>
      <c r="M42">
        <v>5.9509999999999996</v>
      </c>
      <c r="N42" t="s">
        <v>33</v>
      </c>
      <c r="O42" t="s">
        <v>6168</v>
      </c>
    </row>
    <row r="43" spans="1:15" x14ac:dyDescent="0.25">
      <c r="A43" t="s">
        <v>5966</v>
      </c>
      <c r="B43" t="s">
        <v>37</v>
      </c>
      <c r="C43" t="s">
        <v>392</v>
      </c>
      <c r="D43">
        <v>420</v>
      </c>
      <c r="E43">
        <v>2499.413</v>
      </c>
      <c r="F43">
        <v>3905466</v>
      </c>
      <c r="G43" t="s">
        <v>367</v>
      </c>
      <c r="H43" t="s">
        <v>1487</v>
      </c>
      <c r="I43">
        <v>2433.9839999999999</v>
      </c>
      <c r="J43">
        <v>22.2</v>
      </c>
      <c r="K43">
        <v>0</v>
      </c>
      <c r="L43">
        <v>2</v>
      </c>
      <c r="M43">
        <v>5.9509999999999996</v>
      </c>
      <c r="N43" t="s">
        <v>33</v>
      </c>
      <c r="O43" t="s">
        <v>6168</v>
      </c>
    </row>
    <row r="44" spans="1:15" x14ac:dyDescent="0.25">
      <c r="A44" t="s">
        <v>5966</v>
      </c>
      <c r="B44" t="s">
        <v>37</v>
      </c>
      <c r="C44" t="s">
        <v>392</v>
      </c>
      <c r="D44">
        <v>418</v>
      </c>
      <c r="E44">
        <v>2487.5120000000002</v>
      </c>
      <c r="F44">
        <v>3905466</v>
      </c>
      <c r="G44" t="s">
        <v>367</v>
      </c>
      <c r="H44" t="s">
        <v>1487</v>
      </c>
      <c r="I44">
        <v>2422.3939999999998</v>
      </c>
      <c r="J44">
        <v>22.2</v>
      </c>
      <c r="K44">
        <v>0</v>
      </c>
      <c r="L44">
        <v>2</v>
      </c>
      <c r="M44">
        <v>5.9509999999999996</v>
      </c>
      <c r="N44" t="s">
        <v>33</v>
      </c>
      <c r="O44" t="s">
        <v>6168</v>
      </c>
    </row>
    <row r="45" spans="1:15" x14ac:dyDescent="0.25">
      <c r="A45" t="s">
        <v>5966</v>
      </c>
      <c r="B45" t="s">
        <v>37</v>
      </c>
      <c r="C45" t="s">
        <v>392</v>
      </c>
      <c r="D45">
        <v>412</v>
      </c>
      <c r="E45">
        <v>2451.8049999999998</v>
      </c>
      <c r="F45">
        <v>3905466</v>
      </c>
      <c r="G45" t="s">
        <v>367</v>
      </c>
      <c r="H45" t="s">
        <v>1487</v>
      </c>
      <c r="I45">
        <v>2387.6219999999998</v>
      </c>
      <c r="J45">
        <v>22.2</v>
      </c>
      <c r="K45">
        <v>0</v>
      </c>
      <c r="L45">
        <v>2</v>
      </c>
      <c r="M45">
        <v>5.9509999999999996</v>
      </c>
      <c r="N45" t="s">
        <v>33</v>
      </c>
      <c r="O45" t="s">
        <v>6168</v>
      </c>
    </row>
    <row r="46" spans="1:15" x14ac:dyDescent="0.25">
      <c r="A46" t="s">
        <v>5966</v>
      </c>
      <c r="B46" t="s">
        <v>37</v>
      </c>
      <c r="C46" t="s">
        <v>392</v>
      </c>
      <c r="D46">
        <v>419</v>
      </c>
      <c r="E46">
        <v>2493.462</v>
      </c>
      <c r="F46">
        <v>3905466</v>
      </c>
      <c r="G46" t="s">
        <v>367</v>
      </c>
      <c r="H46" t="s">
        <v>1487</v>
      </c>
      <c r="I46">
        <v>2428.1889999999999</v>
      </c>
      <c r="J46">
        <v>22.2</v>
      </c>
      <c r="K46">
        <v>0</v>
      </c>
      <c r="L46">
        <v>2</v>
      </c>
      <c r="M46">
        <v>5.9509999999999996</v>
      </c>
      <c r="N46" t="s">
        <v>33</v>
      </c>
      <c r="O46" t="s">
        <v>6168</v>
      </c>
    </row>
    <row r="47" spans="1:15" x14ac:dyDescent="0.25">
      <c r="A47" t="s">
        <v>5966</v>
      </c>
      <c r="B47" t="s">
        <v>37</v>
      </c>
      <c r="C47" t="s">
        <v>392</v>
      </c>
      <c r="D47">
        <v>127</v>
      </c>
      <c r="E47">
        <v>774.69799999999998</v>
      </c>
      <c r="F47">
        <v>3910001</v>
      </c>
      <c r="G47" t="s">
        <v>367</v>
      </c>
      <c r="H47" t="s">
        <v>1752</v>
      </c>
      <c r="I47">
        <v>2510.4090000000001</v>
      </c>
      <c r="J47">
        <v>57.15</v>
      </c>
      <c r="K47">
        <v>0</v>
      </c>
      <c r="L47">
        <v>2.5</v>
      </c>
      <c r="M47">
        <v>6.1</v>
      </c>
      <c r="N47" t="s">
        <v>33</v>
      </c>
      <c r="O47" t="s">
        <v>6206</v>
      </c>
    </row>
    <row r="48" spans="1:15" x14ac:dyDescent="0.25">
      <c r="A48" t="s">
        <v>5966</v>
      </c>
      <c r="B48" t="s">
        <v>37</v>
      </c>
      <c r="C48" t="s">
        <v>392</v>
      </c>
      <c r="D48">
        <v>127</v>
      </c>
      <c r="E48">
        <v>774.69799999999998</v>
      </c>
      <c r="F48">
        <v>3910001</v>
      </c>
      <c r="G48" t="s">
        <v>367</v>
      </c>
      <c r="H48" t="s">
        <v>1752</v>
      </c>
      <c r="I48">
        <v>2510.4090000000001</v>
      </c>
      <c r="J48">
        <v>57.15</v>
      </c>
      <c r="K48">
        <v>0</v>
      </c>
      <c r="L48">
        <v>2.5</v>
      </c>
      <c r="M48">
        <v>6.1</v>
      </c>
      <c r="N48" t="s">
        <v>33</v>
      </c>
      <c r="O48" t="s">
        <v>6206</v>
      </c>
    </row>
    <row r="49" spans="1:15" x14ac:dyDescent="0.25">
      <c r="A49" t="s">
        <v>5966</v>
      </c>
      <c r="B49" t="s">
        <v>37</v>
      </c>
      <c r="C49" t="s">
        <v>392</v>
      </c>
      <c r="D49">
        <v>127</v>
      </c>
      <c r="E49">
        <v>774.69799999999998</v>
      </c>
      <c r="F49">
        <v>3910001</v>
      </c>
      <c r="G49" t="s">
        <v>367</v>
      </c>
      <c r="H49" t="s">
        <v>1752</v>
      </c>
      <c r="I49">
        <v>2510.4090000000001</v>
      </c>
      <c r="J49">
        <v>57.15</v>
      </c>
      <c r="K49">
        <v>0</v>
      </c>
      <c r="L49">
        <v>2.5</v>
      </c>
      <c r="M49">
        <v>6.1</v>
      </c>
      <c r="N49" t="s">
        <v>33</v>
      </c>
      <c r="O49" t="s">
        <v>6206</v>
      </c>
    </row>
    <row r="50" spans="1:15" x14ac:dyDescent="0.25">
      <c r="A50" t="s">
        <v>5966</v>
      </c>
      <c r="B50" t="s">
        <v>37</v>
      </c>
      <c r="C50" t="s">
        <v>392</v>
      </c>
      <c r="D50">
        <v>127</v>
      </c>
      <c r="E50">
        <v>774.69799999999998</v>
      </c>
      <c r="F50">
        <v>3910001</v>
      </c>
      <c r="G50" t="s">
        <v>367</v>
      </c>
      <c r="H50" t="s">
        <v>1752</v>
      </c>
      <c r="I50">
        <v>2510.4090000000001</v>
      </c>
      <c r="J50">
        <v>57.15</v>
      </c>
      <c r="K50">
        <v>0</v>
      </c>
      <c r="L50">
        <v>2.5</v>
      </c>
      <c r="M50">
        <v>6.1</v>
      </c>
      <c r="N50" t="s">
        <v>33</v>
      </c>
      <c r="O50" t="s">
        <v>6206</v>
      </c>
    </row>
    <row r="51" spans="1:15" x14ac:dyDescent="0.25">
      <c r="A51" t="s">
        <v>5966</v>
      </c>
      <c r="B51" t="s">
        <v>37</v>
      </c>
      <c r="C51" t="s">
        <v>392</v>
      </c>
      <c r="D51">
        <v>127</v>
      </c>
      <c r="E51">
        <v>774.69799999999998</v>
      </c>
      <c r="F51">
        <v>3910001</v>
      </c>
      <c r="G51" t="s">
        <v>367</v>
      </c>
      <c r="H51" t="s">
        <v>1752</v>
      </c>
      <c r="I51">
        <v>2510.4090000000001</v>
      </c>
      <c r="J51">
        <v>57.15</v>
      </c>
      <c r="K51">
        <v>0</v>
      </c>
      <c r="L51">
        <v>2.5</v>
      </c>
      <c r="M51">
        <v>6.1</v>
      </c>
      <c r="N51" t="s">
        <v>33</v>
      </c>
      <c r="O51" t="s">
        <v>6206</v>
      </c>
    </row>
    <row r="52" spans="1:15" x14ac:dyDescent="0.25">
      <c r="A52" t="s">
        <v>5966</v>
      </c>
      <c r="B52" t="s">
        <v>37</v>
      </c>
      <c r="C52" t="s">
        <v>392</v>
      </c>
      <c r="D52">
        <v>127</v>
      </c>
      <c r="E52">
        <v>774.69799999999998</v>
      </c>
      <c r="F52">
        <v>3910001</v>
      </c>
      <c r="G52" t="s">
        <v>367</v>
      </c>
      <c r="H52" t="s">
        <v>1752</v>
      </c>
      <c r="I52">
        <v>2510.4090000000001</v>
      </c>
      <c r="J52">
        <v>57.15</v>
      </c>
      <c r="K52">
        <v>0</v>
      </c>
      <c r="L52">
        <v>2.5</v>
      </c>
      <c r="M52">
        <v>6.1</v>
      </c>
      <c r="N52" t="s">
        <v>33</v>
      </c>
      <c r="O52" t="s">
        <v>6206</v>
      </c>
    </row>
    <row r="53" spans="1:15" x14ac:dyDescent="0.25">
      <c r="A53" t="s">
        <v>5966</v>
      </c>
      <c r="B53" t="s">
        <v>37</v>
      </c>
      <c r="C53" t="s">
        <v>392</v>
      </c>
      <c r="D53">
        <v>127</v>
      </c>
      <c r="E53">
        <v>774.69799999999998</v>
      </c>
      <c r="F53">
        <v>3910001</v>
      </c>
      <c r="G53" t="s">
        <v>367</v>
      </c>
      <c r="H53" t="s">
        <v>1752</v>
      </c>
      <c r="I53">
        <v>2510.4090000000001</v>
      </c>
      <c r="J53">
        <v>57.15</v>
      </c>
      <c r="K53">
        <v>0</v>
      </c>
      <c r="L53">
        <v>2.5</v>
      </c>
      <c r="M53">
        <v>6.1</v>
      </c>
      <c r="N53" t="s">
        <v>33</v>
      </c>
      <c r="O53" t="s">
        <v>6206</v>
      </c>
    </row>
    <row r="54" spans="1:15" x14ac:dyDescent="0.25">
      <c r="A54" t="s">
        <v>5966</v>
      </c>
      <c r="B54" t="s">
        <v>37</v>
      </c>
      <c r="C54" t="s">
        <v>392</v>
      </c>
      <c r="D54">
        <v>127</v>
      </c>
      <c r="E54">
        <v>774.69799999999998</v>
      </c>
      <c r="F54">
        <v>3910001</v>
      </c>
      <c r="G54" t="s">
        <v>367</v>
      </c>
      <c r="H54" t="s">
        <v>1752</v>
      </c>
      <c r="I54">
        <v>2510.4090000000001</v>
      </c>
      <c r="J54">
        <v>57.15</v>
      </c>
      <c r="K54">
        <v>0</v>
      </c>
      <c r="L54">
        <v>2.5</v>
      </c>
      <c r="M54">
        <v>6.1</v>
      </c>
      <c r="N54" t="s">
        <v>33</v>
      </c>
      <c r="O54" t="s">
        <v>6206</v>
      </c>
    </row>
    <row r="55" spans="1:15" x14ac:dyDescent="0.25">
      <c r="A55" t="s">
        <v>5966</v>
      </c>
      <c r="B55" t="s">
        <v>37</v>
      </c>
      <c r="C55" t="s">
        <v>392</v>
      </c>
      <c r="D55">
        <v>126</v>
      </c>
      <c r="E55">
        <v>768.59799999999996</v>
      </c>
      <c r="F55">
        <v>3910001</v>
      </c>
      <c r="G55" t="s">
        <v>367</v>
      </c>
      <c r="H55" t="s">
        <v>1752</v>
      </c>
      <c r="I55">
        <v>2490.6419999999998</v>
      </c>
      <c r="J55">
        <v>57.15</v>
      </c>
      <c r="K55">
        <v>0</v>
      </c>
      <c r="L55">
        <v>2.5</v>
      </c>
      <c r="M55">
        <v>6.1</v>
      </c>
      <c r="N55" t="s">
        <v>33</v>
      </c>
      <c r="O55" t="s">
        <v>6206</v>
      </c>
    </row>
    <row r="56" spans="1:15" x14ac:dyDescent="0.25">
      <c r="A56" t="s">
        <v>5966</v>
      </c>
      <c r="B56" t="s">
        <v>37</v>
      </c>
      <c r="C56" t="s">
        <v>392</v>
      </c>
      <c r="D56">
        <v>125</v>
      </c>
      <c r="E56">
        <v>762.49800000000005</v>
      </c>
      <c r="F56">
        <v>3910001</v>
      </c>
      <c r="G56" t="s">
        <v>367</v>
      </c>
      <c r="H56" t="s">
        <v>1752</v>
      </c>
      <c r="I56">
        <v>2470.875</v>
      </c>
      <c r="J56">
        <v>57.15</v>
      </c>
      <c r="K56">
        <v>0</v>
      </c>
      <c r="L56">
        <v>2.5</v>
      </c>
      <c r="M56">
        <v>6.1</v>
      </c>
      <c r="N56" t="s">
        <v>33</v>
      </c>
      <c r="O56" t="s">
        <v>6206</v>
      </c>
    </row>
    <row r="57" spans="1:15" x14ac:dyDescent="0.25">
      <c r="A57" t="s">
        <v>5966</v>
      </c>
      <c r="B57" t="s">
        <v>37</v>
      </c>
      <c r="C57" t="s">
        <v>392</v>
      </c>
      <c r="D57">
        <v>96</v>
      </c>
      <c r="E57">
        <v>585.59900000000005</v>
      </c>
      <c r="F57">
        <v>3910001</v>
      </c>
      <c r="G57" t="s">
        <v>367</v>
      </c>
      <c r="H57" t="s">
        <v>1752</v>
      </c>
      <c r="I57">
        <v>1897.6320000000001</v>
      </c>
      <c r="J57">
        <v>57.15</v>
      </c>
      <c r="K57">
        <v>0</v>
      </c>
      <c r="L57">
        <v>2.5</v>
      </c>
      <c r="M57">
        <v>6.1</v>
      </c>
      <c r="N57" t="s">
        <v>33</v>
      </c>
      <c r="O57" t="s">
        <v>6206</v>
      </c>
    </row>
    <row r="58" spans="1:15" x14ac:dyDescent="0.25">
      <c r="A58" t="s">
        <v>5966</v>
      </c>
      <c r="B58" t="s">
        <v>37</v>
      </c>
      <c r="C58" t="s">
        <v>392</v>
      </c>
      <c r="D58">
        <v>128</v>
      </c>
      <c r="E58">
        <v>780.798</v>
      </c>
      <c r="F58">
        <v>3910001</v>
      </c>
      <c r="G58" t="s">
        <v>367</v>
      </c>
      <c r="H58" t="s">
        <v>1752</v>
      </c>
      <c r="I58">
        <v>2530.1759999999999</v>
      </c>
      <c r="J58">
        <v>57.15</v>
      </c>
      <c r="K58">
        <v>0</v>
      </c>
      <c r="L58">
        <v>2.5</v>
      </c>
      <c r="M58">
        <v>6.1</v>
      </c>
      <c r="N58" t="s">
        <v>33</v>
      </c>
      <c r="O58" t="s">
        <v>6206</v>
      </c>
    </row>
    <row r="59" spans="1:15" x14ac:dyDescent="0.25">
      <c r="A59" t="s">
        <v>5966</v>
      </c>
      <c r="B59" t="s">
        <v>37</v>
      </c>
      <c r="C59" t="s">
        <v>392</v>
      </c>
      <c r="D59">
        <v>128</v>
      </c>
      <c r="E59">
        <v>780.798</v>
      </c>
      <c r="F59">
        <v>3910001</v>
      </c>
      <c r="G59" t="s">
        <v>367</v>
      </c>
      <c r="H59" t="s">
        <v>1752</v>
      </c>
      <c r="I59">
        <v>2530.1759999999999</v>
      </c>
      <c r="J59">
        <v>57.15</v>
      </c>
      <c r="K59">
        <v>0</v>
      </c>
      <c r="L59">
        <v>2.5</v>
      </c>
      <c r="M59">
        <v>6.1</v>
      </c>
      <c r="N59" t="s">
        <v>33</v>
      </c>
      <c r="O59" t="s">
        <v>6206</v>
      </c>
    </row>
    <row r="60" spans="1:15" x14ac:dyDescent="0.25">
      <c r="A60" t="s">
        <v>5966</v>
      </c>
      <c r="B60" t="s">
        <v>37</v>
      </c>
      <c r="C60" t="s">
        <v>392</v>
      </c>
      <c r="D60">
        <v>128</v>
      </c>
      <c r="E60">
        <v>780.798</v>
      </c>
      <c r="F60">
        <v>3910001</v>
      </c>
      <c r="G60" t="s">
        <v>367</v>
      </c>
      <c r="H60" t="s">
        <v>1752</v>
      </c>
      <c r="I60">
        <v>2530.1759999999999</v>
      </c>
      <c r="J60">
        <v>57.15</v>
      </c>
      <c r="K60">
        <v>0</v>
      </c>
      <c r="L60">
        <v>2.5</v>
      </c>
      <c r="M60">
        <v>6.1</v>
      </c>
      <c r="N60" t="s">
        <v>33</v>
      </c>
      <c r="O60" t="s">
        <v>6206</v>
      </c>
    </row>
    <row r="61" spans="1:15" x14ac:dyDescent="0.25">
      <c r="A61" t="s">
        <v>5966</v>
      </c>
      <c r="B61" t="s">
        <v>37</v>
      </c>
      <c r="C61" t="s">
        <v>392</v>
      </c>
      <c r="D61">
        <v>128</v>
      </c>
      <c r="E61">
        <v>780.798</v>
      </c>
      <c r="F61">
        <v>3910001</v>
      </c>
      <c r="G61" t="s">
        <v>367</v>
      </c>
      <c r="H61" t="s">
        <v>1752</v>
      </c>
      <c r="I61">
        <v>2530.1759999999999</v>
      </c>
      <c r="J61">
        <v>57.15</v>
      </c>
      <c r="K61">
        <v>0</v>
      </c>
      <c r="L61">
        <v>2.5</v>
      </c>
      <c r="M61">
        <v>6.1</v>
      </c>
      <c r="N61" t="s">
        <v>33</v>
      </c>
      <c r="O61" t="s">
        <v>6206</v>
      </c>
    </row>
    <row r="62" spans="1:15" x14ac:dyDescent="0.25">
      <c r="A62" t="s">
        <v>5966</v>
      </c>
      <c r="B62" t="s">
        <v>37</v>
      </c>
      <c r="C62" t="s">
        <v>392</v>
      </c>
      <c r="D62">
        <v>127</v>
      </c>
      <c r="E62">
        <v>774.69799999999998</v>
      </c>
      <c r="F62">
        <v>3910001</v>
      </c>
      <c r="G62" t="s">
        <v>367</v>
      </c>
      <c r="H62" t="s">
        <v>1752</v>
      </c>
      <c r="I62">
        <v>2510.4090000000001</v>
      </c>
      <c r="J62">
        <v>57.15</v>
      </c>
      <c r="K62">
        <v>0</v>
      </c>
      <c r="L62">
        <v>2.5</v>
      </c>
      <c r="M62">
        <v>6.1</v>
      </c>
      <c r="N62" t="s">
        <v>33</v>
      </c>
      <c r="O62" t="s">
        <v>6206</v>
      </c>
    </row>
    <row r="63" spans="1:15" x14ac:dyDescent="0.25">
      <c r="A63" t="s">
        <v>5966</v>
      </c>
      <c r="B63" t="s">
        <v>37</v>
      </c>
      <c r="C63" t="s">
        <v>392</v>
      </c>
      <c r="D63">
        <v>127</v>
      </c>
      <c r="E63">
        <v>774.69799999999998</v>
      </c>
      <c r="F63">
        <v>3910001</v>
      </c>
      <c r="G63" t="s">
        <v>367</v>
      </c>
      <c r="H63" t="s">
        <v>1752</v>
      </c>
      <c r="I63">
        <v>2510.4090000000001</v>
      </c>
      <c r="J63">
        <v>57.15</v>
      </c>
      <c r="K63">
        <v>0</v>
      </c>
      <c r="L63">
        <v>2.5</v>
      </c>
      <c r="M63">
        <v>6.1</v>
      </c>
      <c r="N63" t="s">
        <v>33</v>
      </c>
      <c r="O63" t="s">
        <v>6206</v>
      </c>
    </row>
    <row r="64" spans="1:15" x14ac:dyDescent="0.25">
      <c r="A64" t="s">
        <v>5966</v>
      </c>
      <c r="B64" t="s">
        <v>37</v>
      </c>
      <c r="C64" t="s">
        <v>392</v>
      </c>
      <c r="D64">
        <v>127</v>
      </c>
      <c r="E64">
        <v>774.69799999999998</v>
      </c>
      <c r="F64">
        <v>3910001</v>
      </c>
      <c r="G64" t="s">
        <v>367</v>
      </c>
      <c r="H64" t="s">
        <v>1752</v>
      </c>
      <c r="I64">
        <v>2510.4090000000001</v>
      </c>
      <c r="J64">
        <v>57.15</v>
      </c>
      <c r="K64">
        <v>0</v>
      </c>
      <c r="L64">
        <v>2.5</v>
      </c>
      <c r="M64">
        <v>6.1</v>
      </c>
      <c r="N64" t="s">
        <v>33</v>
      </c>
      <c r="O64" t="s">
        <v>6206</v>
      </c>
    </row>
    <row r="65" spans="1:15" x14ac:dyDescent="0.25">
      <c r="A65" t="s">
        <v>5966</v>
      </c>
      <c r="B65" t="s">
        <v>37</v>
      </c>
      <c r="C65" t="s">
        <v>392</v>
      </c>
      <c r="D65">
        <v>127</v>
      </c>
      <c r="E65">
        <v>774.69799999999998</v>
      </c>
      <c r="F65">
        <v>3910001</v>
      </c>
      <c r="G65" t="s">
        <v>367</v>
      </c>
      <c r="H65" t="s">
        <v>1752</v>
      </c>
      <c r="I65">
        <v>2510.4090000000001</v>
      </c>
      <c r="J65">
        <v>57.15</v>
      </c>
      <c r="K65">
        <v>0</v>
      </c>
      <c r="L65">
        <v>2.5</v>
      </c>
      <c r="M65">
        <v>6.1</v>
      </c>
      <c r="N65" t="s">
        <v>33</v>
      </c>
      <c r="O65" t="s">
        <v>6206</v>
      </c>
    </row>
    <row r="66" spans="1:15" x14ac:dyDescent="0.25">
      <c r="A66" t="s">
        <v>5966</v>
      </c>
      <c r="B66" t="s">
        <v>37</v>
      </c>
      <c r="C66" t="s">
        <v>392</v>
      </c>
      <c r="D66">
        <v>126</v>
      </c>
      <c r="E66">
        <v>768.59799999999996</v>
      </c>
      <c r="F66">
        <v>3910001</v>
      </c>
      <c r="G66" t="s">
        <v>367</v>
      </c>
      <c r="H66" t="s">
        <v>1752</v>
      </c>
      <c r="I66">
        <v>2490.6419999999998</v>
      </c>
      <c r="J66">
        <v>57.15</v>
      </c>
      <c r="K66">
        <v>0</v>
      </c>
      <c r="L66">
        <v>2.5</v>
      </c>
      <c r="M66">
        <v>6.1</v>
      </c>
      <c r="N66" t="s">
        <v>33</v>
      </c>
      <c r="O66" t="s">
        <v>6206</v>
      </c>
    </row>
    <row r="67" spans="1:15" x14ac:dyDescent="0.25">
      <c r="A67" t="s">
        <v>5966</v>
      </c>
      <c r="B67" t="s">
        <v>37</v>
      </c>
      <c r="C67" t="s">
        <v>392</v>
      </c>
      <c r="D67">
        <v>126</v>
      </c>
      <c r="E67">
        <v>768.59799999999996</v>
      </c>
      <c r="F67">
        <v>3910001</v>
      </c>
      <c r="G67" t="s">
        <v>367</v>
      </c>
      <c r="H67" t="s">
        <v>1752</v>
      </c>
      <c r="I67">
        <v>2490.6419999999998</v>
      </c>
      <c r="J67">
        <v>57.15</v>
      </c>
      <c r="K67">
        <v>0</v>
      </c>
      <c r="L67">
        <v>2.5</v>
      </c>
      <c r="M67">
        <v>6.1</v>
      </c>
      <c r="N67" t="s">
        <v>33</v>
      </c>
      <c r="O67" t="s">
        <v>6206</v>
      </c>
    </row>
    <row r="68" spans="1:15" x14ac:dyDescent="0.25">
      <c r="A68" t="s">
        <v>5966</v>
      </c>
      <c r="B68" t="s">
        <v>37</v>
      </c>
      <c r="C68" t="s">
        <v>392</v>
      </c>
      <c r="D68">
        <v>127</v>
      </c>
      <c r="E68">
        <v>768.36800000000005</v>
      </c>
      <c r="F68">
        <v>3502422</v>
      </c>
      <c r="G68" t="s">
        <v>367</v>
      </c>
      <c r="H68" t="s">
        <v>2374</v>
      </c>
      <c r="I68">
        <v>2991.1039999999998</v>
      </c>
      <c r="J68">
        <v>48.6</v>
      </c>
      <c r="K68">
        <v>0</v>
      </c>
      <c r="L68">
        <v>3.5</v>
      </c>
      <c r="M68">
        <v>6.05</v>
      </c>
      <c r="N68" t="s">
        <v>33</v>
      </c>
      <c r="O68" t="s">
        <v>6202</v>
      </c>
    </row>
    <row r="69" spans="1:15" x14ac:dyDescent="0.25">
      <c r="A69" t="s">
        <v>5966</v>
      </c>
      <c r="B69" t="s">
        <v>37</v>
      </c>
      <c r="C69" t="s">
        <v>392</v>
      </c>
      <c r="D69">
        <v>127</v>
      </c>
      <c r="E69">
        <v>768.36800000000005</v>
      </c>
      <c r="F69">
        <v>3502422</v>
      </c>
      <c r="G69" t="s">
        <v>367</v>
      </c>
      <c r="H69" t="s">
        <v>2374</v>
      </c>
      <c r="I69">
        <v>2991.1039999999998</v>
      </c>
      <c r="J69">
        <v>48.6</v>
      </c>
      <c r="K69">
        <v>0</v>
      </c>
      <c r="L69">
        <v>3.5</v>
      </c>
      <c r="M69">
        <v>6.05</v>
      </c>
      <c r="N69" t="s">
        <v>33</v>
      </c>
      <c r="O69" t="s">
        <v>6202</v>
      </c>
    </row>
    <row r="70" spans="1:15" x14ac:dyDescent="0.25">
      <c r="A70" t="s">
        <v>5966</v>
      </c>
      <c r="B70" t="s">
        <v>37</v>
      </c>
      <c r="C70" t="s">
        <v>392</v>
      </c>
      <c r="D70">
        <v>127</v>
      </c>
      <c r="E70">
        <v>768.36800000000005</v>
      </c>
      <c r="F70">
        <v>3502422</v>
      </c>
      <c r="G70" t="s">
        <v>367</v>
      </c>
      <c r="H70" t="s">
        <v>2374</v>
      </c>
      <c r="I70">
        <v>2991.1039999999998</v>
      </c>
      <c r="J70">
        <v>48.6</v>
      </c>
      <c r="K70">
        <v>0</v>
      </c>
      <c r="L70">
        <v>3.5</v>
      </c>
      <c r="M70">
        <v>6.05</v>
      </c>
      <c r="N70" t="s">
        <v>33</v>
      </c>
      <c r="O70" t="s">
        <v>6202</v>
      </c>
    </row>
    <row r="71" spans="1:15" x14ac:dyDescent="0.25">
      <c r="A71" t="s">
        <v>5966</v>
      </c>
      <c r="B71" t="s">
        <v>37</v>
      </c>
      <c r="C71" t="s">
        <v>392</v>
      </c>
      <c r="D71">
        <v>126</v>
      </c>
      <c r="E71">
        <v>762.31799999999998</v>
      </c>
      <c r="F71">
        <v>3502422</v>
      </c>
      <c r="G71" t="s">
        <v>367</v>
      </c>
      <c r="H71" t="s">
        <v>2374</v>
      </c>
      <c r="I71">
        <v>2967.5520000000001</v>
      </c>
      <c r="J71">
        <v>48.6</v>
      </c>
      <c r="K71">
        <v>0</v>
      </c>
      <c r="L71">
        <v>3.5</v>
      </c>
      <c r="M71">
        <v>6.05</v>
      </c>
      <c r="N71" t="s">
        <v>33</v>
      </c>
      <c r="O71" t="s">
        <v>6202</v>
      </c>
    </row>
    <row r="72" spans="1:15" x14ac:dyDescent="0.25">
      <c r="A72" t="s">
        <v>5966</v>
      </c>
      <c r="B72" t="s">
        <v>37</v>
      </c>
      <c r="C72" t="s">
        <v>392</v>
      </c>
      <c r="D72">
        <v>94</v>
      </c>
      <c r="E72">
        <v>568.71400000000006</v>
      </c>
      <c r="F72">
        <v>3502422</v>
      </c>
      <c r="G72" t="s">
        <v>367</v>
      </c>
      <c r="H72" t="s">
        <v>2374</v>
      </c>
      <c r="I72">
        <v>2213.8879999999999</v>
      </c>
      <c r="J72">
        <v>48.6</v>
      </c>
      <c r="K72">
        <v>0</v>
      </c>
      <c r="L72">
        <v>3.5</v>
      </c>
      <c r="M72">
        <v>6.05</v>
      </c>
      <c r="N72" t="s">
        <v>33</v>
      </c>
      <c r="O72" t="s">
        <v>6202</v>
      </c>
    </row>
    <row r="73" spans="1:15" x14ac:dyDescent="0.25">
      <c r="A73" t="s">
        <v>5966</v>
      </c>
      <c r="B73" t="s">
        <v>37</v>
      </c>
      <c r="C73" t="s">
        <v>392</v>
      </c>
      <c r="D73">
        <v>217</v>
      </c>
      <c r="E73">
        <v>1343.182</v>
      </c>
      <c r="F73">
        <v>3502007</v>
      </c>
      <c r="G73" t="s">
        <v>367</v>
      </c>
      <c r="H73" t="s">
        <v>5993</v>
      </c>
      <c r="I73">
        <v>2838.143</v>
      </c>
      <c r="J73">
        <v>38.1</v>
      </c>
      <c r="K73">
        <v>0</v>
      </c>
      <c r="L73">
        <v>2.5</v>
      </c>
      <c r="M73">
        <v>6.19</v>
      </c>
      <c r="N73" t="s">
        <v>33</v>
      </c>
      <c r="O73" t="s">
        <v>6188</v>
      </c>
    </row>
    <row r="74" spans="1:15" x14ac:dyDescent="0.25">
      <c r="A74" t="s">
        <v>5966</v>
      </c>
      <c r="B74" t="s">
        <v>37</v>
      </c>
      <c r="C74" t="s">
        <v>392</v>
      </c>
      <c r="D74">
        <v>217</v>
      </c>
      <c r="E74">
        <v>1343.182</v>
      </c>
      <c r="F74">
        <v>3502007</v>
      </c>
      <c r="G74" t="s">
        <v>367</v>
      </c>
      <c r="H74" t="s">
        <v>5993</v>
      </c>
      <c r="I74">
        <v>2838.143</v>
      </c>
      <c r="J74">
        <v>38.1</v>
      </c>
      <c r="K74">
        <v>0</v>
      </c>
      <c r="L74">
        <v>2.5</v>
      </c>
      <c r="M74">
        <v>6.19</v>
      </c>
      <c r="N74" t="s">
        <v>33</v>
      </c>
      <c r="O74" t="s">
        <v>6188</v>
      </c>
    </row>
    <row r="75" spans="1:15" x14ac:dyDescent="0.25">
      <c r="A75" t="s">
        <v>5966</v>
      </c>
      <c r="B75" t="s">
        <v>37</v>
      </c>
      <c r="C75" t="s">
        <v>392</v>
      </c>
      <c r="D75">
        <v>217</v>
      </c>
      <c r="E75">
        <v>1343.182</v>
      </c>
      <c r="F75">
        <v>3502007</v>
      </c>
      <c r="G75" t="s">
        <v>367</v>
      </c>
      <c r="H75" t="s">
        <v>5993</v>
      </c>
      <c r="I75">
        <v>2838.143</v>
      </c>
      <c r="J75">
        <v>38.1</v>
      </c>
      <c r="K75">
        <v>0</v>
      </c>
      <c r="L75">
        <v>2.5</v>
      </c>
      <c r="M75">
        <v>6.19</v>
      </c>
      <c r="N75" t="s">
        <v>33</v>
      </c>
      <c r="O75" t="s">
        <v>6188</v>
      </c>
    </row>
    <row r="76" spans="1:15" x14ac:dyDescent="0.25">
      <c r="A76" t="s">
        <v>5966</v>
      </c>
      <c r="B76" t="s">
        <v>37</v>
      </c>
      <c r="C76" t="s">
        <v>392</v>
      </c>
      <c r="D76">
        <v>217</v>
      </c>
      <c r="E76">
        <v>1343.182</v>
      </c>
      <c r="F76">
        <v>3502007</v>
      </c>
      <c r="G76" t="s">
        <v>367</v>
      </c>
      <c r="H76" t="s">
        <v>5993</v>
      </c>
      <c r="I76">
        <v>2838.143</v>
      </c>
      <c r="J76">
        <v>38.1</v>
      </c>
      <c r="K76">
        <v>0</v>
      </c>
      <c r="L76">
        <v>2.5</v>
      </c>
      <c r="M76">
        <v>6.19</v>
      </c>
      <c r="N76" t="s">
        <v>33</v>
      </c>
      <c r="O76" t="s">
        <v>6188</v>
      </c>
    </row>
    <row r="77" spans="1:15" x14ac:dyDescent="0.25">
      <c r="A77" t="s">
        <v>5966</v>
      </c>
      <c r="B77" t="s">
        <v>37</v>
      </c>
      <c r="C77" t="s">
        <v>392</v>
      </c>
      <c r="D77">
        <v>217</v>
      </c>
      <c r="E77">
        <v>1343.182</v>
      </c>
      <c r="F77">
        <v>3502007</v>
      </c>
      <c r="G77" t="s">
        <v>367</v>
      </c>
      <c r="H77" t="s">
        <v>5993</v>
      </c>
      <c r="I77">
        <v>2838.143</v>
      </c>
      <c r="J77">
        <v>38.1</v>
      </c>
      <c r="K77">
        <v>0</v>
      </c>
      <c r="L77">
        <v>2.5</v>
      </c>
      <c r="M77">
        <v>6.19</v>
      </c>
      <c r="N77" t="s">
        <v>33</v>
      </c>
      <c r="O77" t="s">
        <v>6188</v>
      </c>
    </row>
    <row r="78" spans="1:15" x14ac:dyDescent="0.25">
      <c r="A78" t="s">
        <v>5966</v>
      </c>
      <c r="B78" t="s">
        <v>37</v>
      </c>
      <c r="C78" t="s">
        <v>392</v>
      </c>
      <c r="D78">
        <v>217</v>
      </c>
      <c r="E78">
        <v>1343.182</v>
      </c>
      <c r="F78">
        <v>3502007</v>
      </c>
      <c r="G78" t="s">
        <v>367</v>
      </c>
      <c r="H78" t="s">
        <v>5993</v>
      </c>
      <c r="I78">
        <v>2838.143</v>
      </c>
      <c r="J78">
        <v>38.1</v>
      </c>
      <c r="K78">
        <v>0</v>
      </c>
      <c r="L78">
        <v>2.5</v>
      </c>
      <c r="M78">
        <v>6.19</v>
      </c>
      <c r="N78" t="s">
        <v>33</v>
      </c>
      <c r="O78" t="s">
        <v>6188</v>
      </c>
    </row>
    <row r="79" spans="1:15" x14ac:dyDescent="0.25">
      <c r="A79" t="s">
        <v>5966</v>
      </c>
      <c r="B79" t="s">
        <v>37</v>
      </c>
      <c r="C79" t="s">
        <v>392</v>
      </c>
      <c r="D79">
        <v>217</v>
      </c>
      <c r="E79">
        <v>1343.182</v>
      </c>
      <c r="F79">
        <v>3502007</v>
      </c>
      <c r="G79" t="s">
        <v>367</v>
      </c>
      <c r="H79" t="s">
        <v>5993</v>
      </c>
      <c r="I79">
        <v>2838.143</v>
      </c>
      <c r="J79">
        <v>38.1</v>
      </c>
      <c r="K79">
        <v>0</v>
      </c>
      <c r="L79">
        <v>2.5</v>
      </c>
      <c r="M79">
        <v>6.19</v>
      </c>
      <c r="N79" t="s">
        <v>33</v>
      </c>
      <c r="O79" t="s">
        <v>6188</v>
      </c>
    </row>
    <row r="80" spans="1:15" x14ac:dyDescent="0.25">
      <c r="A80" t="s">
        <v>5966</v>
      </c>
      <c r="B80" t="s">
        <v>37</v>
      </c>
      <c r="C80" t="s">
        <v>392</v>
      </c>
      <c r="D80">
        <v>217</v>
      </c>
      <c r="E80">
        <v>1343.182</v>
      </c>
      <c r="F80">
        <v>3502007</v>
      </c>
      <c r="G80" t="s">
        <v>367</v>
      </c>
      <c r="H80" t="s">
        <v>5993</v>
      </c>
      <c r="I80">
        <v>2838.143</v>
      </c>
      <c r="J80">
        <v>38.1</v>
      </c>
      <c r="K80">
        <v>0</v>
      </c>
      <c r="L80">
        <v>2.5</v>
      </c>
      <c r="M80">
        <v>6.19</v>
      </c>
      <c r="N80" t="s">
        <v>33</v>
      </c>
      <c r="O80" t="s">
        <v>6188</v>
      </c>
    </row>
    <row r="81" spans="1:15" x14ac:dyDescent="0.25">
      <c r="A81" t="s">
        <v>5966</v>
      </c>
      <c r="B81" t="s">
        <v>37</v>
      </c>
      <c r="C81" t="s">
        <v>392</v>
      </c>
      <c r="D81">
        <v>217</v>
      </c>
      <c r="E81">
        <v>1343.182</v>
      </c>
      <c r="F81">
        <v>3502007</v>
      </c>
      <c r="G81" t="s">
        <v>367</v>
      </c>
      <c r="H81" t="s">
        <v>5993</v>
      </c>
      <c r="I81">
        <v>2838.143</v>
      </c>
      <c r="J81">
        <v>38.1</v>
      </c>
      <c r="K81">
        <v>0</v>
      </c>
      <c r="L81">
        <v>2.5</v>
      </c>
      <c r="M81">
        <v>6.19</v>
      </c>
      <c r="N81" t="s">
        <v>33</v>
      </c>
      <c r="O81" t="s">
        <v>6188</v>
      </c>
    </row>
    <row r="82" spans="1:15" x14ac:dyDescent="0.25">
      <c r="A82" t="s">
        <v>5966</v>
      </c>
      <c r="B82" t="s">
        <v>37</v>
      </c>
      <c r="C82" t="s">
        <v>392</v>
      </c>
      <c r="D82">
        <v>217</v>
      </c>
      <c r="E82">
        <v>1343.182</v>
      </c>
      <c r="F82">
        <v>3502007</v>
      </c>
      <c r="G82" t="s">
        <v>367</v>
      </c>
      <c r="H82" t="s">
        <v>5993</v>
      </c>
      <c r="I82">
        <v>2838.143</v>
      </c>
      <c r="J82">
        <v>38.1</v>
      </c>
      <c r="K82">
        <v>0</v>
      </c>
      <c r="L82">
        <v>2.5</v>
      </c>
      <c r="M82">
        <v>6.19</v>
      </c>
      <c r="N82" t="s">
        <v>33</v>
      </c>
      <c r="O82" t="s">
        <v>6188</v>
      </c>
    </row>
    <row r="83" spans="1:15" x14ac:dyDescent="0.25">
      <c r="A83" t="s">
        <v>5966</v>
      </c>
      <c r="B83" t="s">
        <v>37</v>
      </c>
      <c r="C83" t="s">
        <v>392</v>
      </c>
      <c r="D83">
        <v>217</v>
      </c>
      <c r="E83">
        <v>1343.182</v>
      </c>
      <c r="F83">
        <v>3502007</v>
      </c>
      <c r="G83" t="s">
        <v>367</v>
      </c>
      <c r="H83" t="s">
        <v>5993</v>
      </c>
      <c r="I83">
        <v>2838.143</v>
      </c>
      <c r="J83">
        <v>38.1</v>
      </c>
      <c r="K83">
        <v>0</v>
      </c>
      <c r="L83">
        <v>2.5</v>
      </c>
      <c r="M83">
        <v>6.19</v>
      </c>
      <c r="N83" t="s">
        <v>33</v>
      </c>
      <c r="O83" t="s">
        <v>6188</v>
      </c>
    </row>
    <row r="84" spans="1:15" x14ac:dyDescent="0.25">
      <c r="A84" t="s">
        <v>5966</v>
      </c>
      <c r="B84" t="s">
        <v>37</v>
      </c>
      <c r="C84" t="s">
        <v>392</v>
      </c>
      <c r="D84">
        <v>217</v>
      </c>
      <c r="E84">
        <v>1343.182</v>
      </c>
      <c r="F84">
        <v>3502007</v>
      </c>
      <c r="G84" t="s">
        <v>367</v>
      </c>
      <c r="H84" t="s">
        <v>5993</v>
      </c>
      <c r="I84">
        <v>2838.143</v>
      </c>
      <c r="J84">
        <v>38.1</v>
      </c>
      <c r="K84">
        <v>0</v>
      </c>
      <c r="L84">
        <v>2.5</v>
      </c>
      <c r="M84">
        <v>6.19</v>
      </c>
      <c r="N84" t="s">
        <v>33</v>
      </c>
      <c r="O84" t="s">
        <v>6188</v>
      </c>
    </row>
    <row r="85" spans="1:15" x14ac:dyDescent="0.25">
      <c r="A85" t="s">
        <v>5966</v>
      </c>
      <c r="B85" t="s">
        <v>37</v>
      </c>
      <c r="C85" t="s">
        <v>392</v>
      </c>
      <c r="D85">
        <v>217</v>
      </c>
      <c r="E85">
        <v>1343.182</v>
      </c>
      <c r="F85">
        <v>3502007</v>
      </c>
      <c r="G85" t="s">
        <v>367</v>
      </c>
      <c r="H85" t="s">
        <v>5993</v>
      </c>
      <c r="I85">
        <v>2838.143</v>
      </c>
      <c r="J85">
        <v>38.1</v>
      </c>
      <c r="K85">
        <v>0</v>
      </c>
      <c r="L85">
        <v>2.5</v>
      </c>
      <c r="M85">
        <v>6.19</v>
      </c>
      <c r="N85" t="s">
        <v>33</v>
      </c>
      <c r="O85" t="s">
        <v>6188</v>
      </c>
    </row>
    <row r="86" spans="1:15" x14ac:dyDescent="0.25">
      <c r="A86" t="s">
        <v>5966</v>
      </c>
      <c r="B86" t="s">
        <v>37</v>
      </c>
      <c r="C86" t="s">
        <v>392</v>
      </c>
      <c r="D86">
        <v>217</v>
      </c>
      <c r="E86">
        <v>1343.182</v>
      </c>
      <c r="F86">
        <v>3502007</v>
      </c>
      <c r="G86" t="s">
        <v>367</v>
      </c>
      <c r="H86" t="s">
        <v>5993</v>
      </c>
      <c r="I86">
        <v>2838.143</v>
      </c>
      <c r="J86">
        <v>38.1</v>
      </c>
      <c r="K86">
        <v>0</v>
      </c>
      <c r="L86">
        <v>2.5</v>
      </c>
      <c r="M86">
        <v>6.19</v>
      </c>
      <c r="N86" t="s">
        <v>33</v>
      </c>
      <c r="O86" t="s">
        <v>6188</v>
      </c>
    </row>
    <row r="87" spans="1:15" x14ac:dyDescent="0.25">
      <c r="A87" t="s">
        <v>5966</v>
      </c>
      <c r="B87" t="s">
        <v>37</v>
      </c>
      <c r="C87" t="s">
        <v>392</v>
      </c>
      <c r="D87">
        <v>217</v>
      </c>
      <c r="E87">
        <v>1343.182</v>
      </c>
      <c r="F87">
        <v>3502007</v>
      </c>
      <c r="G87" t="s">
        <v>367</v>
      </c>
      <c r="H87" t="s">
        <v>5993</v>
      </c>
      <c r="I87">
        <v>2838.143</v>
      </c>
      <c r="J87">
        <v>38.1</v>
      </c>
      <c r="K87">
        <v>0</v>
      </c>
      <c r="L87">
        <v>2.5</v>
      </c>
      <c r="M87">
        <v>6.19</v>
      </c>
      <c r="N87" t="s">
        <v>33</v>
      </c>
      <c r="O87" t="s">
        <v>6188</v>
      </c>
    </row>
    <row r="88" spans="1:15" x14ac:dyDescent="0.25">
      <c r="A88" t="s">
        <v>5966</v>
      </c>
      <c r="B88" t="s">
        <v>37</v>
      </c>
      <c r="C88" t="s">
        <v>392</v>
      </c>
      <c r="D88">
        <v>216</v>
      </c>
      <c r="E88">
        <v>1336.992</v>
      </c>
      <c r="F88">
        <v>3502007</v>
      </c>
      <c r="G88" t="s">
        <v>367</v>
      </c>
      <c r="H88" t="s">
        <v>5993</v>
      </c>
      <c r="I88">
        <v>2825.0639999999999</v>
      </c>
      <c r="J88">
        <v>38.1</v>
      </c>
      <c r="K88">
        <v>0</v>
      </c>
      <c r="L88">
        <v>2.5</v>
      </c>
      <c r="M88">
        <v>6.19</v>
      </c>
      <c r="N88" t="s">
        <v>33</v>
      </c>
      <c r="O88" t="s">
        <v>6188</v>
      </c>
    </row>
    <row r="89" spans="1:15" x14ac:dyDescent="0.25">
      <c r="A89" t="s">
        <v>5966</v>
      </c>
      <c r="B89" t="s">
        <v>37</v>
      </c>
      <c r="C89" t="s">
        <v>392</v>
      </c>
      <c r="D89">
        <v>216</v>
      </c>
      <c r="E89">
        <v>1336.992</v>
      </c>
      <c r="F89">
        <v>3502007</v>
      </c>
      <c r="G89" t="s">
        <v>367</v>
      </c>
      <c r="H89" t="s">
        <v>5993</v>
      </c>
      <c r="I89">
        <v>2825.0639999999999</v>
      </c>
      <c r="J89">
        <v>38.1</v>
      </c>
      <c r="K89">
        <v>0</v>
      </c>
      <c r="L89">
        <v>2.5</v>
      </c>
      <c r="M89">
        <v>6.19</v>
      </c>
      <c r="N89" t="s">
        <v>33</v>
      </c>
      <c r="O89" t="s">
        <v>6188</v>
      </c>
    </row>
    <row r="90" spans="1:15" x14ac:dyDescent="0.25">
      <c r="A90" t="s">
        <v>5966</v>
      </c>
      <c r="B90" t="s">
        <v>37</v>
      </c>
      <c r="C90" t="s">
        <v>392</v>
      </c>
      <c r="D90">
        <v>219</v>
      </c>
      <c r="E90">
        <v>1355.5609999999999</v>
      </c>
      <c r="F90">
        <v>3502007</v>
      </c>
      <c r="G90" t="s">
        <v>367</v>
      </c>
      <c r="H90" t="s">
        <v>5993</v>
      </c>
      <c r="I90">
        <v>2864.3009999999999</v>
      </c>
      <c r="J90">
        <v>38.1</v>
      </c>
      <c r="K90">
        <v>0</v>
      </c>
      <c r="L90">
        <v>2.5</v>
      </c>
      <c r="M90">
        <v>6.19</v>
      </c>
      <c r="N90" t="s">
        <v>33</v>
      </c>
      <c r="O90" t="s">
        <v>6188</v>
      </c>
    </row>
    <row r="91" spans="1:15" x14ac:dyDescent="0.25">
      <c r="A91" t="s">
        <v>5966</v>
      </c>
      <c r="B91" t="s">
        <v>37</v>
      </c>
      <c r="C91" t="s">
        <v>392</v>
      </c>
      <c r="D91">
        <v>217</v>
      </c>
      <c r="E91">
        <v>1343.182</v>
      </c>
      <c r="F91">
        <v>3502007</v>
      </c>
      <c r="G91" t="s">
        <v>367</v>
      </c>
      <c r="H91" t="s">
        <v>5993</v>
      </c>
      <c r="I91">
        <v>2838.143</v>
      </c>
      <c r="J91">
        <v>38.1</v>
      </c>
      <c r="K91">
        <v>0</v>
      </c>
      <c r="L91">
        <v>2.5</v>
      </c>
      <c r="M91">
        <v>6.19</v>
      </c>
      <c r="N91" t="s">
        <v>33</v>
      </c>
      <c r="O91" t="s">
        <v>6188</v>
      </c>
    </row>
    <row r="92" spans="1:15" x14ac:dyDescent="0.25">
      <c r="A92" t="s">
        <v>5966</v>
      </c>
      <c r="B92" t="s">
        <v>37</v>
      </c>
      <c r="C92" t="s">
        <v>392</v>
      </c>
      <c r="D92">
        <v>217</v>
      </c>
      <c r="E92">
        <v>1343.182</v>
      </c>
      <c r="F92">
        <v>3502007</v>
      </c>
      <c r="G92" t="s">
        <v>367</v>
      </c>
      <c r="H92" t="s">
        <v>5993</v>
      </c>
      <c r="I92">
        <v>2838.143</v>
      </c>
      <c r="J92">
        <v>38.1</v>
      </c>
      <c r="K92">
        <v>0</v>
      </c>
      <c r="L92">
        <v>2.5</v>
      </c>
      <c r="M92">
        <v>6.19</v>
      </c>
      <c r="N92" t="s">
        <v>33</v>
      </c>
      <c r="O92" t="s">
        <v>6188</v>
      </c>
    </row>
    <row r="93" spans="1:15" x14ac:dyDescent="0.25">
      <c r="A93" t="s">
        <v>5966</v>
      </c>
      <c r="B93" t="s">
        <v>37</v>
      </c>
      <c r="C93" t="s">
        <v>392</v>
      </c>
      <c r="D93">
        <v>217</v>
      </c>
      <c r="E93">
        <v>1343.182</v>
      </c>
      <c r="F93">
        <v>3502007</v>
      </c>
      <c r="G93" t="s">
        <v>367</v>
      </c>
      <c r="H93" t="s">
        <v>5993</v>
      </c>
      <c r="I93">
        <v>2838.143</v>
      </c>
      <c r="J93">
        <v>38.1</v>
      </c>
      <c r="K93">
        <v>0</v>
      </c>
      <c r="L93">
        <v>2.5</v>
      </c>
      <c r="M93">
        <v>6.19</v>
      </c>
      <c r="N93" t="s">
        <v>33</v>
      </c>
      <c r="O93" t="s">
        <v>6188</v>
      </c>
    </row>
    <row r="94" spans="1:15" x14ac:dyDescent="0.25">
      <c r="A94" t="s">
        <v>5966</v>
      </c>
      <c r="B94" t="s">
        <v>37</v>
      </c>
      <c r="C94" t="s">
        <v>392</v>
      </c>
      <c r="D94">
        <v>217</v>
      </c>
      <c r="E94">
        <v>1343.182</v>
      </c>
      <c r="F94">
        <v>3502007</v>
      </c>
      <c r="G94" t="s">
        <v>367</v>
      </c>
      <c r="H94" t="s">
        <v>5993</v>
      </c>
      <c r="I94">
        <v>2838.143</v>
      </c>
      <c r="J94">
        <v>38.1</v>
      </c>
      <c r="K94">
        <v>0</v>
      </c>
      <c r="L94">
        <v>2.5</v>
      </c>
      <c r="M94">
        <v>6.19</v>
      </c>
      <c r="N94" t="s">
        <v>33</v>
      </c>
      <c r="O94" t="s">
        <v>6188</v>
      </c>
    </row>
    <row r="95" spans="1:15" x14ac:dyDescent="0.25">
      <c r="A95" t="s">
        <v>5966</v>
      </c>
      <c r="B95" t="s">
        <v>37</v>
      </c>
      <c r="C95" t="s">
        <v>392</v>
      </c>
      <c r="D95">
        <v>217</v>
      </c>
      <c r="E95">
        <v>1343.182</v>
      </c>
      <c r="F95">
        <v>3502007</v>
      </c>
      <c r="G95" t="s">
        <v>367</v>
      </c>
      <c r="H95" t="s">
        <v>5993</v>
      </c>
      <c r="I95">
        <v>2838.143</v>
      </c>
      <c r="J95">
        <v>38.1</v>
      </c>
      <c r="K95">
        <v>0</v>
      </c>
      <c r="L95">
        <v>2.5</v>
      </c>
      <c r="M95">
        <v>6.19</v>
      </c>
      <c r="N95" t="s">
        <v>33</v>
      </c>
      <c r="O95" t="s">
        <v>6188</v>
      </c>
    </row>
    <row r="96" spans="1:15" x14ac:dyDescent="0.25">
      <c r="A96" t="s">
        <v>5966</v>
      </c>
      <c r="B96" t="s">
        <v>37</v>
      </c>
      <c r="C96" t="s">
        <v>392</v>
      </c>
      <c r="D96">
        <v>217</v>
      </c>
      <c r="E96">
        <v>1343.182</v>
      </c>
      <c r="F96">
        <v>3502007</v>
      </c>
      <c r="G96" t="s">
        <v>367</v>
      </c>
      <c r="H96" t="s">
        <v>5993</v>
      </c>
      <c r="I96">
        <v>2838.143</v>
      </c>
      <c r="J96">
        <v>38.1</v>
      </c>
      <c r="K96">
        <v>0</v>
      </c>
      <c r="L96">
        <v>2.5</v>
      </c>
      <c r="M96">
        <v>6.19</v>
      </c>
      <c r="N96" t="s">
        <v>33</v>
      </c>
      <c r="O96" t="s">
        <v>6188</v>
      </c>
    </row>
    <row r="97" spans="1:15" x14ac:dyDescent="0.25">
      <c r="A97" t="s">
        <v>5966</v>
      </c>
      <c r="B97" t="s">
        <v>37</v>
      </c>
      <c r="C97" t="s">
        <v>392</v>
      </c>
      <c r="D97">
        <v>217</v>
      </c>
      <c r="E97">
        <v>1343.182</v>
      </c>
      <c r="F97">
        <v>3502007</v>
      </c>
      <c r="G97" t="s">
        <v>367</v>
      </c>
      <c r="H97" t="s">
        <v>5993</v>
      </c>
      <c r="I97">
        <v>2838.143</v>
      </c>
      <c r="J97">
        <v>38.1</v>
      </c>
      <c r="K97">
        <v>0</v>
      </c>
      <c r="L97">
        <v>2.5</v>
      </c>
      <c r="M97">
        <v>6.19</v>
      </c>
      <c r="N97" t="s">
        <v>33</v>
      </c>
      <c r="O97" t="s">
        <v>6188</v>
      </c>
    </row>
    <row r="98" spans="1:15" x14ac:dyDescent="0.25">
      <c r="A98" t="s">
        <v>5966</v>
      </c>
      <c r="B98" t="s">
        <v>37</v>
      </c>
      <c r="C98" t="s">
        <v>392</v>
      </c>
      <c r="D98">
        <v>216</v>
      </c>
      <c r="E98">
        <v>1336.992</v>
      </c>
      <c r="F98">
        <v>3502007</v>
      </c>
      <c r="G98" t="s">
        <v>367</v>
      </c>
      <c r="H98" t="s">
        <v>5993</v>
      </c>
      <c r="I98">
        <v>2825.0639999999999</v>
      </c>
      <c r="J98">
        <v>38.1</v>
      </c>
      <c r="K98">
        <v>0</v>
      </c>
      <c r="L98">
        <v>2.5</v>
      </c>
      <c r="M98">
        <v>6.19</v>
      </c>
      <c r="N98" t="s">
        <v>33</v>
      </c>
      <c r="O98" t="s">
        <v>6188</v>
      </c>
    </row>
    <row r="99" spans="1:15" x14ac:dyDescent="0.25">
      <c r="A99" t="s">
        <v>5966</v>
      </c>
      <c r="B99" t="s">
        <v>37</v>
      </c>
      <c r="C99" t="s">
        <v>392</v>
      </c>
      <c r="D99">
        <v>221</v>
      </c>
      <c r="E99">
        <v>1367.941</v>
      </c>
      <c r="F99">
        <v>3502007</v>
      </c>
      <c r="G99" t="s">
        <v>367</v>
      </c>
      <c r="H99" t="s">
        <v>5993</v>
      </c>
      <c r="I99">
        <v>2890.4589999999998</v>
      </c>
      <c r="J99">
        <v>38.1</v>
      </c>
      <c r="K99">
        <v>0</v>
      </c>
      <c r="L99">
        <v>2.5</v>
      </c>
      <c r="M99">
        <v>6.19</v>
      </c>
      <c r="N99" t="s">
        <v>33</v>
      </c>
      <c r="O99" t="s">
        <v>6188</v>
      </c>
    </row>
    <row r="100" spans="1:15" x14ac:dyDescent="0.25">
      <c r="A100" t="s">
        <v>5966</v>
      </c>
      <c r="B100" t="s">
        <v>37</v>
      </c>
      <c r="C100" t="s">
        <v>392</v>
      </c>
      <c r="D100">
        <v>127</v>
      </c>
      <c r="E100">
        <v>755.65099999999995</v>
      </c>
      <c r="F100">
        <v>4045220</v>
      </c>
      <c r="G100" t="s">
        <v>367</v>
      </c>
      <c r="H100" t="s">
        <v>5967</v>
      </c>
      <c r="I100">
        <v>2448.6869999999999</v>
      </c>
      <c r="J100">
        <v>57.15</v>
      </c>
      <c r="K100">
        <v>0</v>
      </c>
      <c r="L100">
        <v>2.5</v>
      </c>
      <c r="M100">
        <v>5.95</v>
      </c>
      <c r="N100" t="s">
        <v>33</v>
      </c>
      <c r="O100" t="s">
        <v>6251</v>
      </c>
    </row>
    <row r="101" spans="1:15" x14ac:dyDescent="0.25">
      <c r="A101" t="s">
        <v>5966</v>
      </c>
      <c r="B101" t="s">
        <v>37</v>
      </c>
      <c r="C101" t="s">
        <v>392</v>
      </c>
      <c r="D101">
        <v>127</v>
      </c>
      <c r="E101">
        <v>755.65099999999995</v>
      </c>
      <c r="F101">
        <v>4045220</v>
      </c>
      <c r="G101" t="s">
        <v>367</v>
      </c>
      <c r="H101" t="s">
        <v>5967</v>
      </c>
      <c r="I101">
        <v>2448.6869999999999</v>
      </c>
      <c r="J101">
        <v>57.15</v>
      </c>
      <c r="K101">
        <v>0</v>
      </c>
      <c r="L101">
        <v>2.5</v>
      </c>
      <c r="M101">
        <v>5.95</v>
      </c>
      <c r="N101" t="s">
        <v>33</v>
      </c>
      <c r="O101" t="s">
        <v>6251</v>
      </c>
    </row>
    <row r="102" spans="1:15" x14ac:dyDescent="0.25">
      <c r="A102" t="s">
        <v>5968</v>
      </c>
      <c r="B102" t="s">
        <v>32</v>
      </c>
      <c r="C102" t="s">
        <v>392</v>
      </c>
      <c r="D102">
        <v>73</v>
      </c>
      <c r="E102">
        <v>427.786</v>
      </c>
      <c r="F102">
        <v>3673889</v>
      </c>
      <c r="G102" t="s">
        <v>367</v>
      </c>
      <c r="H102" t="s">
        <v>5969</v>
      </c>
      <c r="I102">
        <v>1248.665</v>
      </c>
      <c r="J102">
        <v>41.28</v>
      </c>
      <c r="K102">
        <v>0</v>
      </c>
      <c r="L102">
        <v>3.15</v>
      </c>
      <c r="M102">
        <v>5.86</v>
      </c>
      <c r="N102" t="s">
        <v>33</v>
      </c>
      <c r="O102" t="s">
        <v>6193</v>
      </c>
    </row>
    <row r="103" spans="1:15" x14ac:dyDescent="0.25">
      <c r="A103" t="s">
        <v>5968</v>
      </c>
      <c r="B103" t="s">
        <v>32</v>
      </c>
      <c r="C103" t="s">
        <v>392</v>
      </c>
      <c r="D103">
        <v>169</v>
      </c>
      <c r="E103">
        <v>990.35400000000004</v>
      </c>
      <c r="F103">
        <v>3673889</v>
      </c>
      <c r="G103" t="s">
        <v>367</v>
      </c>
      <c r="H103" t="s">
        <v>5969</v>
      </c>
      <c r="I103">
        <v>2890.7449999999999</v>
      </c>
      <c r="J103">
        <v>41.28</v>
      </c>
      <c r="K103">
        <v>0</v>
      </c>
      <c r="L103">
        <v>3.15</v>
      </c>
      <c r="M103">
        <v>5.86</v>
      </c>
      <c r="N103" t="s">
        <v>33</v>
      </c>
      <c r="O103" t="s">
        <v>6193</v>
      </c>
    </row>
    <row r="104" spans="1:15" x14ac:dyDescent="0.25">
      <c r="A104" t="s">
        <v>5968</v>
      </c>
      <c r="B104" t="s">
        <v>32</v>
      </c>
      <c r="C104" t="s">
        <v>392</v>
      </c>
      <c r="D104">
        <v>168</v>
      </c>
      <c r="E104">
        <v>984.49400000000003</v>
      </c>
      <c r="F104">
        <v>3673889</v>
      </c>
      <c r="G104" t="s">
        <v>367</v>
      </c>
      <c r="H104" t="s">
        <v>5969</v>
      </c>
      <c r="I104">
        <v>2873.64</v>
      </c>
      <c r="J104">
        <v>41.28</v>
      </c>
      <c r="K104">
        <v>0</v>
      </c>
      <c r="L104">
        <v>3.15</v>
      </c>
      <c r="M104">
        <v>5.86</v>
      </c>
      <c r="N104" t="s">
        <v>33</v>
      </c>
      <c r="O104" t="s">
        <v>6193</v>
      </c>
    </row>
    <row r="105" spans="1:15" x14ac:dyDescent="0.25">
      <c r="A105" t="s">
        <v>5966</v>
      </c>
      <c r="B105" t="s">
        <v>37</v>
      </c>
      <c r="C105" t="s">
        <v>392</v>
      </c>
      <c r="D105">
        <v>419</v>
      </c>
      <c r="E105">
        <v>2382.0129999999999</v>
      </c>
      <c r="F105">
        <v>4173571</v>
      </c>
      <c r="G105" t="s">
        <v>367</v>
      </c>
      <c r="H105" t="s">
        <v>5972</v>
      </c>
      <c r="I105">
        <v>1869.0329999999999</v>
      </c>
      <c r="J105">
        <v>22.2</v>
      </c>
      <c r="K105">
        <v>0</v>
      </c>
      <c r="L105">
        <v>1.6</v>
      </c>
      <c r="M105">
        <v>5.6849999999999996</v>
      </c>
      <c r="N105" t="s">
        <v>33</v>
      </c>
    </row>
    <row r="106" spans="1:15" x14ac:dyDescent="0.25">
      <c r="A106" t="s">
        <v>5966</v>
      </c>
      <c r="B106" t="s">
        <v>37</v>
      </c>
      <c r="C106" t="s">
        <v>392</v>
      </c>
      <c r="D106">
        <v>420</v>
      </c>
      <c r="E106">
        <v>2387.6979999999999</v>
      </c>
      <c r="F106">
        <v>4173571</v>
      </c>
      <c r="G106" t="s">
        <v>367</v>
      </c>
      <c r="H106" t="s">
        <v>5972</v>
      </c>
      <c r="I106">
        <v>1873.4939999999999</v>
      </c>
      <c r="J106">
        <v>22.2</v>
      </c>
      <c r="K106">
        <v>0</v>
      </c>
      <c r="L106">
        <v>1.6</v>
      </c>
      <c r="M106">
        <v>5.6849999999999996</v>
      </c>
      <c r="N106" t="s">
        <v>33</v>
      </c>
    </row>
    <row r="107" spans="1:15" x14ac:dyDescent="0.25">
      <c r="A107" t="s">
        <v>5966</v>
      </c>
      <c r="B107" t="s">
        <v>37</v>
      </c>
      <c r="C107" t="s">
        <v>392</v>
      </c>
      <c r="D107">
        <v>419</v>
      </c>
      <c r="E107">
        <v>2382.0140000000001</v>
      </c>
      <c r="F107">
        <v>4173571</v>
      </c>
      <c r="G107" t="s">
        <v>367</v>
      </c>
      <c r="H107" t="s">
        <v>5972</v>
      </c>
      <c r="I107">
        <v>1869.0340000000001</v>
      </c>
      <c r="J107">
        <v>22.2</v>
      </c>
      <c r="K107">
        <v>0</v>
      </c>
      <c r="L107">
        <v>1.6</v>
      </c>
      <c r="M107">
        <v>5.6849999999999996</v>
      </c>
      <c r="N107" t="s">
        <v>33</v>
      </c>
    </row>
    <row r="108" spans="1:15" x14ac:dyDescent="0.25">
      <c r="A108" t="s">
        <v>5966</v>
      </c>
      <c r="B108" t="s">
        <v>37</v>
      </c>
      <c r="C108" t="s">
        <v>392</v>
      </c>
      <c r="D108">
        <v>420</v>
      </c>
      <c r="E108">
        <v>2387.6979999999999</v>
      </c>
      <c r="F108">
        <v>4173571</v>
      </c>
      <c r="G108" t="s">
        <v>367</v>
      </c>
      <c r="H108" t="s">
        <v>5972</v>
      </c>
      <c r="I108">
        <v>1873.4939999999999</v>
      </c>
      <c r="J108">
        <v>22.2</v>
      </c>
      <c r="K108">
        <v>0</v>
      </c>
      <c r="L108">
        <v>1.6</v>
      </c>
      <c r="M108">
        <v>5.6849999999999996</v>
      </c>
      <c r="N108" t="s">
        <v>33</v>
      </c>
    </row>
    <row r="109" spans="1:15" x14ac:dyDescent="0.25">
      <c r="A109" t="s">
        <v>5966</v>
      </c>
      <c r="B109" t="s">
        <v>37</v>
      </c>
      <c r="C109" t="s">
        <v>392</v>
      </c>
      <c r="D109">
        <v>419</v>
      </c>
      <c r="E109">
        <v>2382.0129999999999</v>
      </c>
      <c r="F109">
        <v>4173571</v>
      </c>
      <c r="G109" t="s">
        <v>367</v>
      </c>
      <c r="H109" t="s">
        <v>5972</v>
      </c>
      <c r="I109">
        <v>1869.0329999999999</v>
      </c>
      <c r="J109">
        <v>22.2</v>
      </c>
      <c r="K109">
        <v>0</v>
      </c>
      <c r="L109">
        <v>1.6</v>
      </c>
      <c r="M109">
        <v>5.6849999999999996</v>
      </c>
      <c r="N109" t="s">
        <v>33</v>
      </c>
    </row>
    <row r="110" spans="1:15" x14ac:dyDescent="0.25">
      <c r="A110" t="s">
        <v>5966</v>
      </c>
      <c r="B110" t="s">
        <v>37</v>
      </c>
      <c r="C110" t="s">
        <v>392</v>
      </c>
      <c r="D110">
        <v>419</v>
      </c>
      <c r="E110">
        <v>2382.0129999999999</v>
      </c>
      <c r="F110">
        <v>4173571</v>
      </c>
      <c r="G110" t="s">
        <v>367</v>
      </c>
      <c r="H110" t="s">
        <v>5972</v>
      </c>
      <c r="I110">
        <v>1869.0329999999999</v>
      </c>
      <c r="J110">
        <v>22.2</v>
      </c>
      <c r="K110">
        <v>0</v>
      </c>
      <c r="L110">
        <v>1.6</v>
      </c>
      <c r="M110">
        <v>5.6849999999999996</v>
      </c>
      <c r="N110" t="s">
        <v>33</v>
      </c>
    </row>
    <row r="111" spans="1:15" x14ac:dyDescent="0.25">
      <c r="A111" t="s">
        <v>5966</v>
      </c>
      <c r="B111" t="s">
        <v>37</v>
      </c>
      <c r="C111" t="s">
        <v>392</v>
      </c>
      <c r="D111">
        <v>419</v>
      </c>
      <c r="E111">
        <v>2459.5520000000001</v>
      </c>
      <c r="F111">
        <v>3882110</v>
      </c>
      <c r="G111" t="s">
        <v>367</v>
      </c>
      <c r="H111" t="s">
        <v>1454</v>
      </c>
      <c r="I111">
        <v>1444.1669999999999</v>
      </c>
      <c r="J111">
        <v>22.2</v>
      </c>
      <c r="K111">
        <v>0</v>
      </c>
      <c r="L111">
        <v>1.2</v>
      </c>
      <c r="M111">
        <v>5.87</v>
      </c>
      <c r="N111" t="s">
        <v>33</v>
      </c>
      <c r="O111" t="s">
        <v>6165</v>
      </c>
    </row>
    <row r="112" spans="1:15" x14ac:dyDescent="0.25">
      <c r="A112" t="s">
        <v>5966</v>
      </c>
      <c r="B112" t="s">
        <v>37</v>
      </c>
      <c r="C112" t="s">
        <v>392</v>
      </c>
      <c r="D112">
        <v>419</v>
      </c>
      <c r="E112">
        <v>2459.5520000000001</v>
      </c>
      <c r="F112">
        <v>3882110</v>
      </c>
      <c r="G112" t="s">
        <v>367</v>
      </c>
      <c r="H112" t="s">
        <v>1454</v>
      </c>
      <c r="I112">
        <v>1444.1669999999999</v>
      </c>
      <c r="J112">
        <v>22.2</v>
      </c>
      <c r="K112">
        <v>0</v>
      </c>
      <c r="L112">
        <v>1.2</v>
      </c>
      <c r="M112">
        <v>5.87</v>
      </c>
      <c r="N112" t="s">
        <v>33</v>
      </c>
      <c r="O112" t="s">
        <v>6165</v>
      </c>
    </row>
    <row r="113" spans="1:15" x14ac:dyDescent="0.25">
      <c r="A113" t="s">
        <v>5966</v>
      </c>
      <c r="B113" t="s">
        <v>37</v>
      </c>
      <c r="C113" t="s">
        <v>392</v>
      </c>
      <c r="D113">
        <v>419</v>
      </c>
      <c r="E113">
        <v>2459.5520000000001</v>
      </c>
      <c r="F113">
        <v>3882110</v>
      </c>
      <c r="G113" t="s">
        <v>367</v>
      </c>
      <c r="H113" t="s">
        <v>1454</v>
      </c>
      <c r="I113">
        <v>1444.1669999999999</v>
      </c>
      <c r="J113">
        <v>22.2</v>
      </c>
      <c r="K113">
        <v>0</v>
      </c>
      <c r="L113">
        <v>1.2</v>
      </c>
      <c r="M113">
        <v>5.87</v>
      </c>
      <c r="N113" t="s">
        <v>33</v>
      </c>
      <c r="O113" t="s">
        <v>6165</v>
      </c>
    </row>
    <row r="114" spans="1:15" x14ac:dyDescent="0.25">
      <c r="A114" t="s">
        <v>5966</v>
      </c>
      <c r="B114" t="s">
        <v>37</v>
      </c>
      <c r="C114" t="s">
        <v>392</v>
      </c>
      <c r="D114">
        <v>420</v>
      </c>
      <c r="E114">
        <v>2465.4229999999998</v>
      </c>
      <c r="F114">
        <v>3882110</v>
      </c>
      <c r="G114" t="s">
        <v>367</v>
      </c>
      <c r="H114" t="s">
        <v>1454</v>
      </c>
      <c r="I114">
        <v>1447.614</v>
      </c>
      <c r="J114">
        <v>22.2</v>
      </c>
      <c r="K114">
        <v>0</v>
      </c>
      <c r="L114">
        <v>1.2</v>
      </c>
      <c r="M114">
        <v>5.87</v>
      </c>
      <c r="N114" t="s">
        <v>33</v>
      </c>
      <c r="O114" t="s">
        <v>6165</v>
      </c>
    </row>
    <row r="115" spans="1:15" x14ac:dyDescent="0.25">
      <c r="A115" t="s">
        <v>5966</v>
      </c>
      <c r="B115" t="s">
        <v>37</v>
      </c>
      <c r="C115" t="s">
        <v>392</v>
      </c>
      <c r="D115">
        <v>411</v>
      </c>
      <c r="E115">
        <v>2412.5929999999998</v>
      </c>
      <c r="F115">
        <v>3882110</v>
      </c>
      <c r="G115" t="s">
        <v>367</v>
      </c>
      <c r="H115" t="s">
        <v>1454</v>
      </c>
      <c r="I115">
        <v>1416.5940000000001</v>
      </c>
      <c r="J115">
        <v>22.2</v>
      </c>
      <c r="K115">
        <v>0</v>
      </c>
      <c r="L115">
        <v>1.2</v>
      </c>
      <c r="M115">
        <v>5.87</v>
      </c>
      <c r="N115" t="s">
        <v>33</v>
      </c>
      <c r="O115" t="s">
        <v>6165</v>
      </c>
    </row>
    <row r="116" spans="1:15" x14ac:dyDescent="0.25">
      <c r="A116" t="s">
        <v>5966</v>
      </c>
      <c r="B116" t="s">
        <v>37</v>
      </c>
      <c r="C116" t="s">
        <v>392</v>
      </c>
      <c r="D116">
        <v>418</v>
      </c>
      <c r="E116">
        <v>2453.683</v>
      </c>
      <c r="F116">
        <v>3882110</v>
      </c>
      <c r="G116" t="s">
        <v>367</v>
      </c>
      <c r="H116" t="s">
        <v>1454</v>
      </c>
      <c r="I116">
        <v>1440.721</v>
      </c>
      <c r="J116">
        <v>22.2</v>
      </c>
      <c r="K116">
        <v>0</v>
      </c>
      <c r="L116">
        <v>1.2</v>
      </c>
      <c r="M116">
        <v>5.87</v>
      </c>
      <c r="N116" t="s">
        <v>33</v>
      </c>
      <c r="O116" t="s">
        <v>6165</v>
      </c>
    </row>
    <row r="117" spans="1:15" x14ac:dyDescent="0.25">
      <c r="A117" t="s">
        <v>5966</v>
      </c>
      <c r="B117" t="s">
        <v>37</v>
      </c>
      <c r="C117" t="s">
        <v>392</v>
      </c>
      <c r="D117">
        <v>558</v>
      </c>
      <c r="E117">
        <v>3347.944</v>
      </c>
      <c r="F117">
        <v>3498997</v>
      </c>
      <c r="G117" t="s">
        <v>367</v>
      </c>
      <c r="H117" t="s">
        <v>1355</v>
      </c>
      <c r="I117">
        <v>2226.42</v>
      </c>
      <c r="J117">
        <v>19.05</v>
      </c>
      <c r="K117">
        <v>0</v>
      </c>
      <c r="L117">
        <v>1.6</v>
      </c>
      <c r="M117">
        <v>6</v>
      </c>
      <c r="N117" t="s">
        <v>33</v>
      </c>
      <c r="O117" t="s">
        <v>6161</v>
      </c>
    </row>
    <row r="118" spans="1:15" x14ac:dyDescent="0.25">
      <c r="A118" t="s">
        <v>5966</v>
      </c>
      <c r="B118" t="s">
        <v>37</v>
      </c>
      <c r="C118" t="s">
        <v>392</v>
      </c>
      <c r="D118">
        <v>558</v>
      </c>
      <c r="E118">
        <v>3347.944</v>
      </c>
      <c r="F118">
        <v>3498997</v>
      </c>
      <c r="G118" t="s">
        <v>367</v>
      </c>
      <c r="H118" t="s">
        <v>1355</v>
      </c>
      <c r="I118">
        <v>2226.42</v>
      </c>
      <c r="J118">
        <v>19.05</v>
      </c>
      <c r="K118">
        <v>0</v>
      </c>
      <c r="L118">
        <v>1.6</v>
      </c>
      <c r="M118">
        <v>6</v>
      </c>
      <c r="N118" t="s">
        <v>33</v>
      </c>
      <c r="O118" t="s">
        <v>6161</v>
      </c>
    </row>
    <row r="119" spans="1:15" x14ac:dyDescent="0.25">
      <c r="A119" t="s">
        <v>5966</v>
      </c>
      <c r="B119" t="s">
        <v>37</v>
      </c>
      <c r="C119" t="s">
        <v>392</v>
      </c>
      <c r="D119">
        <v>559</v>
      </c>
      <c r="E119">
        <v>3353.944</v>
      </c>
      <c r="F119">
        <v>3498997</v>
      </c>
      <c r="G119" t="s">
        <v>367</v>
      </c>
      <c r="H119" t="s">
        <v>1355</v>
      </c>
      <c r="I119">
        <v>2230.41</v>
      </c>
      <c r="J119">
        <v>19.05</v>
      </c>
      <c r="K119">
        <v>0</v>
      </c>
      <c r="L119">
        <v>1.6</v>
      </c>
      <c r="M119">
        <v>6</v>
      </c>
      <c r="N119" t="s">
        <v>33</v>
      </c>
      <c r="O119" t="s">
        <v>6161</v>
      </c>
    </row>
    <row r="120" spans="1:15" x14ac:dyDescent="0.25">
      <c r="A120" t="s">
        <v>5966</v>
      </c>
      <c r="B120" t="s">
        <v>37</v>
      </c>
      <c r="C120" t="s">
        <v>392</v>
      </c>
      <c r="D120">
        <v>559</v>
      </c>
      <c r="E120">
        <v>3353.944</v>
      </c>
      <c r="F120">
        <v>3498997</v>
      </c>
      <c r="G120" t="s">
        <v>367</v>
      </c>
      <c r="H120" t="s">
        <v>1355</v>
      </c>
      <c r="I120">
        <v>2230.41</v>
      </c>
      <c r="J120">
        <v>19.05</v>
      </c>
      <c r="K120">
        <v>0</v>
      </c>
      <c r="L120">
        <v>1.6</v>
      </c>
      <c r="M120">
        <v>6</v>
      </c>
      <c r="N120" t="s">
        <v>33</v>
      </c>
      <c r="O120" t="s">
        <v>6161</v>
      </c>
    </row>
    <row r="121" spans="1:15" x14ac:dyDescent="0.25">
      <c r="A121" t="s">
        <v>5966</v>
      </c>
      <c r="B121" t="s">
        <v>37</v>
      </c>
      <c r="C121" t="s">
        <v>392</v>
      </c>
      <c r="D121">
        <v>423</v>
      </c>
      <c r="E121">
        <v>2398.3919999999998</v>
      </c>
      <c r="F121">
        <v>3954021</v>
      </c>
      <c r="G121" t="s">
        <v>367</v>
      </c>
      <c r="H121" t="s">
        <v>5982</v>
      </c>
      <c r="I121">
        <v>1881.885</v>
      </c>
      <c r="J121">
        <v>22.2</v>
      </c>
      <c r="K121">
        <v>0</v>
      </c>
      <c r="L121">
        <v>1.6</v>
      </c>
      <c r="M121">
        <v>5.67</v>
      </c>
      <c r="N121" t="s">
        <v>33</v>
      </c>
      <c r="O121" t="s">
        <v>6167</v>
      </c>
    </row>
    <row r="122" spans="1:15" x14ac:dyDescent="0.25">
      <c r="A122" t="s">
        <v>5966</v>
      </c>
      <c r="B122" t="s">
        <v>37</v>
      </c>
      <c r="C122" t="s">
        <v>392</v>
      </c>
      <c r="D122">
        <v>422</v>
      </c>
      <c r="E122">
        <v>2221.3719999999998</v>
      </c>
      <c r="F122">
        <v>3501116</v>
      </c>
      <c r="G122" t="s">
        <v>367</v>
      </c>
      <c r="H122" t="s">
        <v>5983</v>
      </c>
      <c r="I122">
        <v>1742.9870000000001</v>
      </c>
      <c r="J122">
        <v>22.2</v>
      </c>
      <c r="K122">
        <v>0</v>
      </c>
      <c r="L122">
        <v>1.6</v>
      </c>
      <c r="M122">
        <v>5.2640000000000002</v>
      </c>
      <c r="N122" t="s">
        <v>33</v>
      </c>
    </row>
    <row r="123" spans="1:15" x14ac:dyDescent="0.25">
      <c r="A123" t="s">
        <v>5968</v>
      </c>
      <c r="B123" t="s">
        <v>32</v>
      </c>
      <c r="C123" t="s">
        <v>392</v>
      </c>
      <c r="D123">
        <v>135</v>
      </c>
      <c r="E123">
        <v>762.76700000000005</v>
      </c>
      <c r="F123">
        <v>3501105</v>
      </c>
      <c r="G123" t="s">
        <v>367</v>
      </c>
      <c r="H123" t="s">
        <v>1754</v>
      </c>
      <c r="I123">
        <v>3007.665</v>
      </c>
      <c r="J123">
        <v>57.15</v>
      </c>
      <c r="K123">
        <v>0</v>
      </c>
      <c r="L123">
        <v>3</v>
      </c>
      <c r="M123">
        <v>5.65</v>
      </c>
      <c r="N123" t="s">
        <v>33</v>
      </c>
    </row>
    <row r="124" spans="1:15" x14ac:dyDescent="0.25">
      <c r="A124" t="s">
        <v>5968</v>
      </c>
      <c r="B124" t="s">
        <v>32</v>
      </c>
      <c r="C124" t="s">
        <v>392</v>
      </c>
      <c r="D124">
        <v>127</v>
      </c>
      <c r="E124">
        <v>717.56600000000003</v>
      </c>
      <c r="F124">
        <v>3501105</v>
      </c>
      <c r="G124" t="s">
        <v>367</v>
      </c>
      <c r="H124" t="s">
        <v>1754</v>
      </c>
      <c r="I124">
        <v>2829.433</v>
      </c>
      <c r="J124">
        <v>57.15</v>
      </c>
      <c r="K124">
        <v>0</v>
      </c>
      <c r="L124">
        <v>3</v>
      </c>
      <c r="M124">
        <v>5.65</v>
      </c>
      <c r="N124" t="s">
        <v>33</v>
      </c>
    </row>
    <row r="125" spans="1:15" x14ac:dyDescent="0.25">
      <c r="A125" t="s">
        <v>5968</v>
      </c>
      <c r="B125" t="s">
        <v>32</v>
      </c>
      <c r="C125" t="s">
        <v>392</v>
      </c>
      <c r="D125">
        <v>127</v>
      </c>
      <c r="E125">
        <v>717.56600000000003</v>
      </c>
      <c r="F125">
        <v>3501105</v>
      </c>
      <c r="G125" t="s">
        <v>367</v>
      </c>
      <c r="H125" t="s">
        <v>1754</v>
      </c>
      <c r="I125">
        <v>2829.433</v>
      </c>
      <c r="J125">
        <v>57.15</v>
      </c>
      <c r="K125">
        <v>0</v>
      </c>
      <c r="L125">
        <v>3</v>
      </c>
      <c r="M125">
        <v>5.65</v>
      </c>
      <c r="N125" t="s">
        <v>33</v>
      </c>
    </row>
    <row r="126" spans="1:15" x14ac:dyDescent="0.25">
      <c r="A126" t="s">
        <v>5968</v>
      </c>
      <c r="B126" t="s">
        <v>32</v>
      </c>
      <c r="C126" t="s">
        <v>392</v>
      </c>
      <c r="D126">
        <v>127</v>
      </c>
      <c r="E126">
        <v>717.56600000000003</v>
      </c>
      <c r="F126">
        <v>3501105</v>
      </c>
      <c r="G126" t="s">
        <v>367</v>
      </c>
      <c r="H126" t="s">
        <v>1754</v>
      </c>
      <c r="I126">
        <v>2829.433</v>
      </c>
      <c r="J126">
        <v>57.15</v>
      </c>
      <c r="K126">
        <v>0</v>
      </c>
      <c r="L126">
        <v>3</v>
      </c>
      <c r="M126">
        <v>5.65</v>
      </c>
      <c r="N126" t="s">
        <v>33</v>
      </c>
    </row>
    <row r="127" spans="1:15" x14ac:dyDescent="0.25">
      <c r="A127" t="s">
        <v>5968</v>
      </c>
      <c r="B127" t="s">
        <v>32</v>
      </c>
      <c r="C127" t="s">
        <v>392</v>
      </c>
      <c r="D127">
        <v>91</v>
      </c>
      <c r="E127">
        <v>514.16099999999994</v>
      </c>
      <c r="F127">
        <v>3501105</v>
      </c>
      <c r="G127" t="s">
        <v>367</v>
      </c>
      <c r="H127" t="s">
        <v>1754</v>
      </c>
      <c r="I127">
        <v>2027.3889999999999</v>
      </c>
      <c r="J127">
        <v>57.15</v>
      </c>
      <c r="K127">
        <v>0</v>
      </c>
      <c r="L127">
        <v>3</v>
      </c>
      <c r="M127">
        <v>5.65</v>
      </c>
      <c r="N127" t="s">
        <v>33</v>
      </c>
    </row>
    <row r="128" spans="1:15" x14ac:dyDescent="0.25">
      <c r="A128" t="s">
        <v>5968</v>
      </c>
      <c r="B128" t="s">
        <v>32</v>
      </c>
      <c r="C128" t="s">
        <v>392</v>
      </c>
      <c r="D128">
        <v>125</v>
      </c>
      <c r="E128">
        <v>706.26499999999999</v>
      </c>
      <c r="F128">
        <v>3501105</v>
      </c>
      <c r="G128" t="s">
        <v>367</v>
      </c>
      <c r="H128" t="s">
        <v>1754</v>
      </c>
      <c r="I128">
        <v>2784.875</v>
      </c>
      <c r="J128">
        <v>57.15</v>
      </c>
      <c r="K128">
        <v>0</v>
      </c>
      <c r="L128">
        <v>3</v>
      </c>
      <c r="M128">
        <v>5.65</v>
      </c>
      <c r="N128" t="s">
        <v>33</v>
      </c>
    </row>
    <row r="129" spans="1:15" x14ac:dyDescent="0.25">
      <c r="A129" t="s">
        <v>5968</v>
      </c>
      <c r="B129" t="s">
        <v>32</v>
      </c>
      <c r="C129" t="s">
        <v>392</v>
      </c>
      <c r="D129">
        <v>125</v>
      </c>
      <c r="E129">
        <v>706.26499999999999</v>
      </c>
      <c r="F129">
        <v>3501105</v>
      </c>
      <c r="G129" t="s">
        <v>367</v>
      </c>
      <c r="H129" t="s">
        <v>1754</v>
      </c>
      <c r="I129">
        <v>2784.875</v>
      </c>
      <c r="J129">
        <v>57.15</v>
      </c>
      <c r="K129">
        <v>0</v>
      </c>
      <c r="L129">
        <v>3</v>
      </c>
      <c r="M129">
        <v>5.65</v>
      </c>
      <c r="N129" t="s">
        <v>33</v>
      </c>
    </row>
    <row r="130" spans="1:15" x14ac:dyDescent="0.25">
      <c r="A130" t="s">
        <v>5968</v>
      </c>
      <c r="B130" t="s">
        <v>32</v>
      </c>
      <c r="C130" t="s">
        <v>392</v>
      </c>
      <c r="D130">
        <v>127</v>
      </c>
      <c r="E130">
        <v>717.56600000000003</v>
      </c>
      <c r="F130">
        <v>3501105</v>
      </c>
      <c r="G130" t="s">
        <v>367</v>
      </c>
      <c r="H130" t="s">
        <v>1754</v>
      </c>
      <c r="I130">
        <v>2829.433</v>
      </c>
      <c r="J130">
        <v>57.15</v>
      </c>
      <c r="K130">
        <v>0</v>
      </c>
      <c r="L130">
        <v>3</v>
      </c>
      <c r="M130">
        <v>5.65</v>
      </c>
      <c r="N130" t="s">
        <v>33</v>
      </c>
    </row>
    <row r="131" spans="1:15" x14ac:dyDescent="0.25">
      <c r="A131" t="s">
        <v>5968</v>
      </c>
      <c r="B131" t="s">
        <v>32</v>
      </c>
      <c r="C131" t="s">
        <v>392</v>
      </c>
      <c r="D131">
        <v>127</v>
      </c>
      <c r="E131">
        <v>717.56600000000003</v>
      </c>
      <c r="F131">
        <v>3501105</v>
      </c>
      <c r="G131" t="s">
        <v>367</v>
      </c>
      <c r="H131" t="s">
        <v>1754</v>
      </c>
      <c r="I131">
        <v>2829.433</v>
      </c>
      <c r="J131">
        <v>57.15</v>
      </c>
      <c r="K131">
        <v>0</v>
      </c>
      <c r="L131">
        <v>3</v>
      </c>
      <c r="M131">
        <v>5.65</v>
      </c>
      <c r="N131" t="s">
        <v>33</v>
      </c>
    </row>
    <row r="132" spans="1:15" x14ac:dyDescent="0.25">
      <c r="A132" t="s">
        <v>5968</v>
      </c>
      <c r="B132" t="s">
        <v>32</v>
      </c>
      <c r="C132" t="s">
        <v>392</v>
      </c>
      <c r="D132">
        <v>130</v>
      </c>
      <c r="E132">
        <v>815.09299999999996</v>
      </c>
      <c r="F132">
        <v>3502301</v>
      </c>
      <c r="G132" t="s">
        <v>367</v>
      </c>
      <c r="H132" t="s">
        <v>5970</v>
      </c>
      <c r="I132">
        <v>1828.58</v>
      </c>
      <c r="J132">
        <v>48.6</v>
      </c>
      <c r="K132">
        <v>0</v>
      </c>
      <c r="L132">
        <v>2</v>
      </c>
      <c r="M132">
        <v>6.27</v>
      </c>
      <c r="N132" t="s">
        <v>33</v>
      </c>
    </row>
    <row r="133" spans="1:15" x14ac:dyDescent="0.25">
      <c r="A133" t="s">
        <v>5968</v>
      </c>
      <c r="B133" t="s">
        <v>32</v>
      </c>
      <c r="C133" t="s">
        <v>392</v>
      </c>
      <c r="D133">
        <v>127</v>
      </c>
      <c r="E133">
        <v>796.28300000000002</v>
      </c>
      <c r="F133">
        <v>3502301</v>
      </c>
      <c r="G133" t="s">
        <v>367</v>
      </c>
      <c r="H133" t="s">
        <v>5970</v>
      </c>
      <c r="I133">
        <v>1786.3820000000001</v>
      </c>
      <c r="J133">
        <v>48.6</v>
      </c>
      <c r="K133">
        <v>0</v>
      </c>
      <c r="L133">
        <v>2</v>
      </c>
      <c r="M133">
        <v>6.27</v>
      </c>
      <c r="N133" t="s">
        <v>33</v>
      </c>
    </row>
    <row r="134" spans="1:15" x14ac:dyDescent="0.25">
      <c r="A134" t="s">
        <v>5968</v>
      </c>
      <c r="B134" t="s">
        <v>32</v>
      </c>
      <c r="C134" t="s">
        <v>392</v>
      </c>
      <c r="D134">
        <v>126</v>
      </c>
      <c r="E134">
        <v>790.01300000000003</v>
      </c>
      <c r="F134">
        <v>3502301</v>
      </c>
      <c r="G134" t="s">
        <v>367</v>
      </c>
      <c r="H134" t="s">
        <v>5970</v>
      </c>
      <c r="I134">
        <v>1772.316</v>
      </c>
      <c r="J134">
        <v>48.6</v>
      </c>
      <c r="K134">
        <v>0</v>
      </c>
      <c r="L134">
        <v>2</v>
      </c>
      <c r="M134">
        <v>6.27</v>
      </c>
      <c r="N134" t="s">
        <v>33</v>
      </c>
    </row>
    <row r="135" spans="1:15" x14ac:dyDescent="0.25">
      <c r="A135" t="s">
        <v>5968</v>
      </c>
      <c r="B135" t="s">
        <v>32</v>
      </c>
      <c r="C135" t="s">
        <v>392</v>
      </c>
      <c r="D135">
        <v>127</v>
      </c>
      <c r="E135">
        <v>796.28499999999997</v>
      </c>
      <c r="F135">
        <v>3549720</v>
      </c>
      <c r="G135" t="s">
        <v>367</v>
      </c>
      <c r="H135" t="s">
        <v>5971</v>
      </c>
      <c r="I135">
        <v>2004.568</v>
      </c>
      <c r="J135">
        <v>48.6</v>
      </c>
      <c r="K135">
        <v>0</v>
      </c>
      <c r="L135">
        <v>2.2999999999999998</v>
      </c>
      <c r="M135">
        <v>6.27</v>
      </c>
      <c r="N135" t="s">
        <v>33</v>
      </c>
      <c r="O135" t="s">
        <v>6406</v>
      </c>
    </row>
    <row r="136" spans="1:15" x14ac:dyDescent="0.25">
      <c r="A136" t="s">
        <v>5968</v>
      </c>
      <c r="B136" t="s">
        <v>32</v>
      </c>
      <c r="C136" t="s">
        <v>392</v>
      </c>
      <c r="D136">
        <v>126</v>
      </c>
      <c r="E136">
        <v>790.01499999999999</v>
      </c>
      <c r="F136">
        <v>3549720</v>
      </c>
      <c r="G136" t="s">
        <v>367</v>
      </c>
      <c r="H136" t="s">
        <v>5971</v>
      </c>
      <c r="I136">
        <v>1988.7840000000001</v>
      </c>
      <c r="J136">
        <v>48.6</v>
      </c>
      <c r="K136">
        <v>0</v>
      </c>
      <c r="L136">
        <v>2.2999999999999998</v>
      </c>
      <c r="M136">
        <v>6.27</v>
      </c>
      <c r="N136" t="s">
        <v>33</v>
      </c>
      <c r="O136" t="s">
        <v>6406</v>
      </c>
    </row>
    <row r="137" spans="1:15" x14ac:dyDescent="0.25">
      <c r="A137" t="s">
        <v>5968</v>
      </c>
      <c r="B137" t="s">
        <v>32</v>
      </c>
      <c r="C137" t="s">
        <v>392</v>
      </c>
      <c r="D137">
        <v>99</v>
      </c>
      <c r="E137">
        <v>620.726</v>
      </c>
      <c r="F137">
        <v>3549720</v>
      </c>
      <c r="G137" t="s">
        <v>367</v>
      </c>
      <c r="H137" t="s">
        <v>5971</v>
      </c>
      <c r="I137">
        <v>1562.616</v>
      </c>
      <c r="J137">
        <v>48.6</v>
      </c>
      <c r="K137">
        <v>0</v>
      </c>
      <c r="L137">
        <v>2.2999999999999998</v>
      </c>
      <c r="M137">
        <v>6.27</v>
      </c>
      <c r="N137" t="s">
        <v>33</v>
      </c>
      <c r="O137" t="s">
        <v>6406</v>
      </c>
    </row>
    <row r="138" spans="1:15" x14ac:dyDescent="0.25">
      <c r="A138" t="s">
        <v>5968</v>
      </c>
      <c r="B138" t="s">
        <v>32</v>
      </c>
      <c r="C138" t="s">
        <v>392</v>
      </c>
      <c r="D138">
        <v>127</v>
      </c>
      <c r="E138">
        <v>796.28499999999997</v>
      </c>
      <c r="F138">
        <v>3549720</v>
      </c>
      <c r="G138" t="s">
        <v>367</v>
      </c>
      <c r="H138" t="s">
        <v>5971</v>
      </c>
      <c r="I138">
        <v>2004.568</v>
      </c>
      <c r="J138">
        <v>48.6</v>
      </c>
      <c r="K138">
        <v>0</v>
      </c>
      <c r="L138">
        <v>2.2999999999999998</v>
      </c>
      <c r="M138">
        <v>6.27</v>
      </c>
      <c r="N138" t="s">
        <v>33</v>
      </c>
      <c r="O138" t="s">
        <v>6406</v>
      </c>
    </row>
    <row r="139" spans="1:15" x14ac:dyDescent="0.25">
      <c r="A139" t="s">
        <v>5968</v>
      </c>
      <c r="B139" t="s">
        <v>32</v>
      </c>
      <c r="C139" t="s">
        <v>392</v>
      </c>
      <c r="D139">
        <v>126</v>
      </c>
      <c r="E139">
        <v>790.01499999999999</v>
      </c>
      <c r="F139">
        <v>3549720</v>
      </c>
      <c r="G139" t="s">
        <v>367</v>
      </c>
      <c r="H139" t="s">
        <v>5971</v>
      </c>
      <c r="I139">
        <v>1988.7840000000001</v>
      </c>
      <c r="J139">
        <v>48.6</v>
      </c>
      <c r="K139">
        <v>0</v>
      </c>
      <c r="L139">
        <v>2.2999999999999998</v>
      </c>
      <c r="M139">
        <v>6.27</v>
      </c>
      <c r="N139" t="s">
        <v>33</v>
      </c>
      <c r="O139" t="s">
        <v>6406</v>
      </c>
    </row>
    <row r="140" spans="1:15" x14ac:dyDescent="0.25">
      <c r="A140" t="s">
        <v>5968</v>
      </c>
      <c r="B140" t="s">
        <v>32</v>
      </c>
      <c r="C140" t="s">
        <v>392</v>
      </c>
      <c r="D140">
        <v>127</v>
      </c>
      <c r="E140">
        <v>796.28499999999997</v>
      </c>
      <c r="F140">
        <v>3549720</v>
      </c>
      <c r="G140" t="s">
        <v>367</v>
      </c>
      <c r="H140" t="s">
        <v>5971</v>
      </c>
      <c r="I140">
        <v>2004.568</v>
      </c>
      <c r="J140">
        <v>48.6</v>
      </c>
      <c r="K140">
        <v>0</v>
      </c>
      <c r="L140">
        <v>2.2999999999999998</v>
      </c>
      <c r="M140">
        <v>6.27</v>
      </c>
      <c r="N140" t="s">
        <v>33</v>
      </c>
      <c r="O140" t="s">
        <v>6406</v>
      </c>
    </row>
    <row r="141" spans="1:15" x14ac:dyDescent="0.25">
      <c r="A141" t="s">
        <v>5968</v>
      </c>
      <c r="B141" t="s">
        <v>32</v>
      </c>
      <c r="C141" t="s">
        <v>392</v>
      </c>
      <c r="D141">
        <v>127</v>
      </c>
      <c r="E141">
        <v>796.28499999999997</v>
      </c>
      <c r="F141">
        <v>3549720</v>
      </c>
      <c r="G141" t="s">
        <v>367</v>
      </c>
      <c r="H141" t="s">
        <v>5971</v>
      </c>
      <c r="I141">
        <v>2004.568</v>
      </c>
      <c r="J141">
        <v>48.6</v>
      </c>
      <c r="K141">
        <v>0</v>
      </c>
      <c r="L141">
        <v>2.2999999999999998</v>
      </c>
      <c r="M141">
        <v>6.27</v>
      </c>
      <c r="N141" t="s">
        <v>33</v>
      </c>
      <c r="O141" t="s">
        <v>6406</v>
      </c>
    </row>
    <row r="142" spans="1:15" x14ac:dyDescent="0.25">
      <c r="A142" t="s">
        <v>5968</v>
      </c>
      <c r="B142" t="s">
        <v>32</v>
      </c>
      <c r="C142" t="s">
        <v>392</v>
      </c>
      <c r="D142">
        <v>126</v>
      </c>
      <c r="E142">
        <v>790.01499999999999</v>
      </c>
      <c r="F142">
        <v>3549720</v>
      </c>
      <c r="G142" t="s">
        <v>367</v>
      </c>
      <c r="H142" t="s">
        <v>5971</v>
      </c>
      <c r="I142">
        <v>1988.7840000000001</v>
      </c>
      <c r="J142">
        <v>48.6</v>
      </c>
      <c r="K142">
        <v>0</v>
      </c>
      <c r="L142">
        <v>2.2999999999999998</v>
      </c>
      <c r="M142">
        <v>6.27</v>
      </c>
      <c r="N142" t="s">
        <v>33</v>
      </c>
      <c r="O142" t="s">
        <v>6406</v>
      </c>
    </row>
    <row r="143" spans="1:15" x14ac:dyDescent="0.25">
      <c r="A143" t="s">
        <v>5968</v>
      </c>
      <c r="B143" t="s">
        <v>32</v>
      </c>
      <c r="C143" t="s">
        <v>392</v>
      </c>
      <c r="D143">
        <v>558</v>
      </c>
      <c r="E143">
        <v>3348.0329999999999</v>
      </c>
      <c r="F143">
        <v>3891285</v>
      </c>
      <c r="G143" t="s">
        <v>367</v>
      </c>
      <c r="H143" t="s">
        <v>1329</v>
      </c>
      <c r="I143">
        <v>1945.914</v>
      </c>
      <c r="J143">
        <v>19.05</v>
      </c>
      <c r="K143">
        <v>0</v>
      </c>
      <c r="L143">
        <v>1.4</v>
      </c>
      <c r="M143">
        <v>6</v>
      </c>
      <c r="N143" t="s">
        <v>33</v>
      </c>
    </row>
    <row r="144" spans="1:15" x14ac:dyDescent="0.25">
      <c r="A144" t="s">
        <v>5968</v>
      </c>
      <c r="B144" t="s">
        <v>32</v>
      </c>
      <c r="C144" t="s">
        <v>392</v>
      </c>
      <c r="D144">
        <v>558</v>
      </c>
      <c r="E144">
        <v>3348.0329999999999</v>
      </c>
      <c r="F144">
        <v>3891285</v>
      </c>
      <c r="G144" t="s">
        <v>367</v>
      </c>
      <c r="H144" t="s">
        <v>1329</v>
      </c>
      <c r="I144">
        <v>1945.914</v>
      </c>
      <c r="J144">
        <v>19.05</v>
      </c>
      <c r="K144">
        <v>0</v>
      </c>
      <c r="L144">
        <v>1.4</v>
      </c>
      <c r="M144">
        <v>6</v>
      </c>
      <c r="N144" t="s">
        <v>33</v>
      </c>
    </row>
    <row r="145" spans="1:15" x14ac:dyDescent="0.25">
      <c r="A145" t="s">
        <v>5968</v>
      </c>
      <c r="B145" t="s">
        <v>32</v>
      </c>
      <c r="C145" t="s">
        <v>392</v>
      </c>
      <c r="D145">
        <v>298</v>
      </c>
      <c r="E145">
        <v>1788.018</v>
      </c>
      <c r="F145">
        <v>3891285</v>
      </c>
      <c r="G145" t="s">
        <v>367</v>
      </c>
      <c r="H145" t="s">
        <v>1329</v>
      </c>
      <c r="I145">
        <v>1039.2159999999999</v>
      </c>
      <c r="J145">
        <v>19.05</v>
      </c>
      <c r="K145">
        <v>0</v>
      </c>
      <c r="L145">
        <v>1.4</v>
      </c>
      <c r="M145">
        <v>6</v>
      </c>
      <c r="N145" t="s">
        <v>33</v>
      </c>
    </row>
    <row r="146" spans="1:15" x14ac:dyDescent="0.25">
      <c r="A146" t="s">
        <v>5966</v>
      </c>
      <c r="B146" t="s">
        <v>37</v>
      </c>
      <c r="C146" t="s">
        <v>392</v>
      </c>
      <c r="D146">
        <v>419</v>
      </c>
      <c r="E146">
        <v>2493.462</v>
      </c>
      <c r="F146">
        <v>3905466</v>
      </c>
      <c r="G146" t="s">
        <v>367</v>
      </c>
      <c r="H146" t="s">
        <v>1487</v>
      </c>
      <c r="I146">
        <v>2428.1889999999999</v>
      </c>
      <c r="J146">
        <v>22.2</v>
      </c>
      <c r="K146">
        <v>0</v>
      </c>
      <c r="L146">
        <v>2</v>
      </c>
      <c r="M146">
        <v>5.9509999999999996</v>
      </c>
      <c r="N146" t="s">
        <v>33</v>
      </c>
      <c r="O146" t="s">
        <v>6168</v>
      </c>
    </row>
    <row r="147" spans="1:15" x14ac:dyDescent="0.25">
      <c r="A147" t="s">
        <v>5966</v>
      </c>
      <c r="B147" t="s">
        <v>37</v>
      </c>
      <c r="C147" t="s">
        <v>392</v>
      </c>
      <c r="D147">
        <v>410</v>
      </c>
      <c r="E147">
        <v>2439.9029999999998</v>
      </c>
      <c r="F147">
        <v>3905466</v>
      </c>
      <c r="G147" t="s">
        <v>367</v>
      </c>
      <c r="H147" t="s">
        <v>1487</v>
      </c>
      <c r="I147">
        <v>2376.0320000000002</v>
      </c>
      <c r="J147">
        <v>22.2</v>
      </c>
      <c r="K147">
        <v>0</v>
      </c>
      <c r="L147">
        <v>2</v>
      </c>
      <c r="M147">
        <v>5.9509999999999996</v>
      </c>
      <c r="N147" t="s">
        <v>33</v>
      </c>
      <c r="O147" t="s">
        <v>6168</v>
      </c>
    </row>
    <row r="148" spans="1:15" x14ac:dyDescent="0.25">
      <c r="A148" t="s">
        <v>5966</v>
      </c>
      <c r="B148" t="s">
        <v>37</v>
      </c>
      <c r="C148" t="s">
        <v>392</v>
      </c>
      <c r="D148">
        <v>416</v>
      </c>
      <c r="E148">
        <v>2475.6089999999999</v>
      </c>
      <c r="F148">
        <v>3905466</v>
      </c>
      <c r="G148" t="s">
        <v>367</v>
      </c>
      <c r="H148" t="s">
        <v>1487</v>
      </c>
      <c r="I148">
        <v>2410.8029999999999</v>
      </c>
      <c r="J148">
        <v>22.2</v>
      </c>
      <c r="K148">
        <v>0</v>
      </c>
      <c r="L148">
        <v>2</v>
      </c>
      <c r="M148">
        <v>5.9509999999999996</v>
      </c>
      <c r="N148" t="s">
        <v>33</v>
      </c>
      <c r="O148" t="s">
        <v>6168</v>
      </c>
    </row>
    <row r="149" spans="1:15" x14ac:dyDescent="0.25">
      <c r="A149" t="s">
        <v>5966</v>
      </c>
      <c r="B149" t="s">
        <v>37</v>
      </c>
      <c r="C149" t="s">
        <v>392</v>
      </c>
      <c r="D149">
        <v>274</v>
      </c>
      <c r="E149">
        <v>1630.57</v>
      </c>
      <c r="F149">
        <v>3905466</v>
      </c>
      <c r="G149" t="s">
        <v>367</v>
      </c>
      <c r="H149" t="s">
        <v>1487</v>
      </c>
      <c r="I149">
        <v>1587.885</v>
      </c>
      <c r="J149">
        <v>22.2</v>
      </c>
      <c r="K149">
        <v>0</v>
      </c>
      <c r="L149">
        <v>2</v>
      </c>
      <c r="M149">
        <v>5.9509999999999996</v>
      </c>
      <c r="N149" t="s">
        <v>33</v>
      </c>
      <c r="O149" t="s">
        <v>6168</v>
      </c>
    </row>
    <row r="150" spans="1:15" x14ac:dyDescent="0.25">
      <c r="A150" t="s">
        <v>5966</v>
      </c>
      <c r="B150" t="s">
        <v>37</v>
      </c>
      <c r="C150" t="s">
        <v>392</v>
      </c>
      <c r="D150">
        <v>417</v>
      </c>
      <c r="E150">
        <v>2481.56</v>
      </c>
      <c r="F150">
        <v>3905466</v>
      </c>
      <c r="G150" t="s">
        <v>367</v>
      </c>
      <c r="H150" t="s">
        <v>1487</v>
      </c>
      <c r="I150">
        <v>2416.598</v>
      </c>
      <c r="J150">
        <v>22.2</v>
      </c>
      <c r="K150">
        <v>0</v>
      </c>
      <c r="L150">
        <v>2</v>
      </c>
      <c r="M150">
        <v>5.9509999999999996</v>
      </c>
      <c r="N150" t="s">
        <v>33</v>
      </c>
      <c r="O150" t="s">
        <v>6168</v>
      </c>
    </row>
    <row r="151" spans="1:15" x14ac:dyDescent="0.25">
      <c r="A151" t="s">
        <v>5966</v>
      </c>
      <c r="B151" t="s">
        <v>37</v>
      </c>
      <c r="C151" t="s">
        <v>392</v>
      </c>
      <c r="D151">
        <v>216</v>
      </c>
      <c r="E151">
        <v>1336.992</v>
      </c>
      <c r="F151">
        <v>3502007</v>
      </c>
      <c r="G151" t="s">
        <v>367</v>
      </c>
      <c r="H151" t="s">
        <v>5993</v>
      </c>
      <c r="I151">
        <v>2825.0639999999999</v>
      </c>
      <c r="J151">
        <v>38.1</v>
      </c>
      <c r="K151">
        <v>0</v>
      </c>
      <c r="L151">
        <v>2.5</v>
      </c>
      <c r="M151">
        <v>6.19</v>
      </c>
      <c r="N151" t="s">
        <v>33</v>
      </c>
      <c r="O151" t="s">
        <v>6188</v>
      </c>
    </row>
    <row r="152" spans="1:15" x14ac:dyDescent="0.25">
      <c r="A152" t="s">
        <v>5966</v>
      </c>
      <c r="B152" t="s">
        <v>37</v>
      </c>
      <c r="C152" t="s">
        <v>392</v>
      </c>
      <c r="D152">
        <v>216</v>
      </c>
      <c r="E152">
        <v>1336.992</v>
      </c>
      <c r="F152">
        <v>3502007</v>
      </c>
      <c r="G152" t="s">
        <v>367</v>
      </c>
      <c r="H152" t="s">
        <v>5993</v>
      </c>
      <c r="I152">
        <v>2825.0639999999999</v>
      </c>
      <c r="J152">
        <v>38.1</v>
      </c>
      <c r="K152">
        <v>0</v>
      </c>
      <c r="L152">
        <v>2.5</v>
      </c>
      <c r="M152">
        <v>6.19</v>
      </c>
      <c r="N152" t="s">
        <v>33</v>
      </c>
      <c r="O152" t="s">
        <v>6188</v>
      </c>
    </row>
    <row r="153" spans="1:15" x14ac:dyDescent="0.25">
      <c r="A153" t="s">
        <v>5966</v>
      </c>
      <c r="B153" t="s">
        <v>37</v>
      </c>
      <c r="C153" t="s">
        <v>392</v>
      </c>
      <c r="D153">
        <v>215</v>
      </c>
      <c r="E153">
        <v>1330.8019999999999</v>
      </c>
      <c r="F153">
        <v>3502007</v>
      </c>
      <c r="G153" t="s">
        <v>367</v>
      </c>
      <c r="H153" t="s">
        <v>5993</v>
      </c>
      <c r="I153">
        <v>2811.9850000000001</v>
      </c>
      <c r="J153">
        <v>38.1</v>
      </c>
      <c r="K153">
        <v>0</v>
      </c>
      <c r="L153">
        <v>2.5</v>
      </c>
      <c r="M153">
        <v>6.19</v>
      </c>
      <c r="N153" t="s">
        <v>33</v>
      </c>
      <c r="O153" t="s">
        <v>6188</v>
      </c>
    </row>
    <row r="154" spans="1:15" x14ac:dyDescent="0.25">
      <c r="A154" t="s">
        <v>5966</v>
      </c>
      <c r="B154" t="s">
        <v>37</v>
      </c>
      <c r="C154" t="s">
        <v>392</v>
      </c>
      <c r="D154">
        <v>215</v>
      </c>
      <c r="E154">
        <v>1330.8019999999999</v>
      </c>
      <c r="F154">
        <v>3502007</v>
      </c>
      <c r="G154" t="s">
        <v>367</v>
      </c>
      <c r="H154" t="s">
        <v>5993</v>
      </c>
      <c r="I154">
        <v>2811.9850000000001</v>
      </c>
      <c r="J154">
        <v>38.1</v>
      </c>
      <c r="K154">
        <v>0</v>
      </c>
      <c r="L154">
        <v>2.5</v>
      </c>
      <c r="M154">
        <v>6.19</v>
      </c>
      <c r="N154" t="s">
        <v>33</v>
      </c>
      <c r="O154" t="s">
        <v>6188</v>
      </c>
    </row>
    <row r="155" spans="1:15" x14ac:dyDescent="0.25">
      <c r="A155" t="s">
        <v>5966</v>
      </c>
      <c r="B155" t="s">
        <v>37</v>
      </c>
      <c r="C155" t="s">
        <v>392</v>
      </c>
      <c r="D155">
        <v>217</v>
      </c>
      <c r="E155">
        <v>1343.182</v>
      </c>
      <c r="F155">
        <v>3502007</v>
      </c>
      <c r="G155" t="s">
        <v>367</v>
      </c>
      <c r="H155" t="s">
        <v>5993</v>
      </c>
      <c r="I155">
        <v>2838.143</v>
      </c>
      <c r="J155">
        <v>38.1</v>
      </c>
      <c r="K155">
        <v>0</v>
      </c>
      <c r="L155">
        <v>2.5</v>
      </c>
      <c r="M155">
        <v>6.19</v>
      </c>
      <c r="N155" t="s">
        <v>33</v>
      </c>
      <c r="O155" t="s">
        <v>6188</v>
      </c>
    </row>
    <row r="156" spans="1:15" x14ac:dyDescent="0.25">
      <c r="A156" t="s">
        <v>5966</v>
      </c>
      <c r="B156" t="s">
        <v>37</v>
      </c>
      <c r="C156" t="s">
        <v>392</v>
      </c>
      <c r="D156">
        <v>217</v>
      </c>
      <c r="E156">
        <v>1343.182</v>
      </c>
      <c r="F156">
        <v>3502007</v>
      </c>
      <c r="G156" t="s">
        <v>367</v>
      </c>
      <c r="H156" t="s">
        <v>5993</v>
      </c>
      <c r="I156">
        <v>2838.143</v>
      </c>
      <c r="J156">
        <v>38.1</v>
      </c>
      <c r="K156">
        <v>0</v>
      </c>
      <c r="L156">
        <v>2.5</v>
      </c>
      <c r="M156">
        <v>6.19</v>
      </c>
      <c r="N156" t="s">
        <v>33</v>
      </c>
      <c r="O156" t="s">
        <v>6188</v>
      </c>
    </row>
    <row r="157" spans="1:15" x14ac:dyDescent="0.25">
      <c r="A157" t="s">
        <v>5966</v>
      </c>
      <c r="B157" t="s">
        <v>37</v>
      </c>
      <c r="C157" t="s">
        <v>392</v>
      </c>
      <c r="D157">
        <v>217</v>
      </c>
      <c r="E157">
        <v>1343.182</v>
      </c>
      <c r="F157">
        <v>3502007</v>
      </c>
      <c r="G157" t="s">
        <v>367</v>
      </c>
      <c r="H157" t="s">
        <v>5993</v>
      </c>
      <c r="I157">
        <v>2838.143</v>
      </c>
      <c r="J157">
        <v>38.1</v>
      </c>
      <c r="K157">
        <v>0</v>
      </c>
      <c r="L157">
        <v>2.5</v>
      </c>
      <c r="M157">
        <v>6.19</v>
      </c>
      <c r="N157" t="s">
        <v>33</v>
      </c>
      <c r="O157" t="s">
        <v>6188</v>
      </c>
    </row>
    <row r="158" spans="1:15" x14ac:dyDescent="0.25">
      <c r="A158" t="s">
        <v>5966</v>
      </c>
      <c r="B158" t="s">
        <v>37</v>
      </c>
      <c r="C158" t="s">
        <v>392</v>
      </c>
      <c r="D158">
        <v>217</v>
      </c>
      <c r="E158">
        <v>1343.182</v>
      </c>
      <c r="F158">
        <v>3502007</v>
      </c>
      <c r="G158" t="s">
        <v>367</v>
      </c>
      <c r="H158" t="s">
        <v>5993</v>
      </c>
      <c r="I158">
        <v>2838.143</v>
      </c>
      <c r="J158">
        <v>38.1</v>
      </c>
      <c r="K158">
        <v>0</v>
      </c>
      <c r="L158">
        <v>2.5</v>
      </c>
      <c r="M158">
        <v>6.19</v>
      </c>
      <c r="N158" t="s">
        <v>33</v>
      </c>
      <c r="O158" t="s">
        <v>6188</v>
      </c>
    </row>
    <row r="159" spans="1:15" x14ac:dyDescent="0.25">
      <c r="A159" t="s">
        <v>5966</v>
      </c>
      <c r="B159" t="s">
        <v>37</v>
      </c>
      <c r="C159" t="s">
        <v>392</v>
      </c>
      <c r="D159">
        <v>217</v>
      </c>
      <c r="E159">
        <v>1343.182</v>
      </c>
      <c r="F159">
        <v>3502007</v>
      </c>
      <c r="G159" t="s">
        <v>367</v>
      </c>
      <c r="H159" t="s">
        <v>5993</v>
      </c>
      <c r="I159">
        <v>2838.143</v>
      </c>
      <c r="J159">
        <v>38.1</v>
      </c>
      <c r="K159">
        <v>0</v>
      </c>
      <c r="L159">
        <v>2.5</v>
      </c>
      <c r="M159">
        <v>6.19</v>
      </c>
      <c r="N159" t="s">
        <v>33</v>
      </c>
      <c r="O159" t="s">
        <v>6188</v>
      </c>
    </row>
    <row r="160" spans="1:15" x14ac:dyDescent="0.25">
      <c r="A160" t="s">
        <v>5999</v>
      </c>
      <c r="B160" t="s">
        <v>36</v>
      </c>
      <c r="C160" t="s">
        <v>392</v>
      </c>
      <c r="D160">
        <v>216</v>
      </c>
      <c r="E160">
        <v>1274.3910000000001</v>
      </c>
      <c r="F160">
        <v>3499396</v>
      </c>
      <c r="G160" t="s">
        <v>367</v>
      </c>
      <c r="H160" t="s">
        <v>6000</v>
      </c>
      <c r="I160">
        <v>1200.377</v>
      </c>
      <c r="J160">
        <v>34.93</v>
      </c>
      <c r="K160">
        <v>0</v>
      </c>
      <c r="L160">
        <v>1.2</v>
      </c>
      <c r="M160">
        <v>5.9</v>
      </c>
      <c r="N160" t="s">
        <v>33</v>
      </c>
    </row>
    <row r="161" spans="1:15" x14ac:dyDescent="0.25">
      <c r="A161" t="s">
        <v>5999</v>
      </c>
      <c r="B161" t="s">
        <v>36</v>
      </c>
      <c r="C161" t="s">
        <v>392</v>
      </c>
      <c r="D161">
        <v>217</v>
      </c>
      <c r="E161">
        <v>1280.29</v>
      </c>
      <c r="F161">
        <v>3499396</v>
      </c>
      <c r="G161" t="s">
        <v>367</v>
      </c>
      <c r="H161" t="s">
        <v>6000</v>
      </c>
      <c r="I161">
        <v>1205.934</v>
      </c>
      <c r="J161">
        <v>34.93</v>
      </c>
      <c r="K161">
        <v>0</v>
      </c>
      <c r="L161">
        <v>1.2</v>
      </c>
      <c r="M161">
        <v>5.9</v>
      </c>
      <c r="N161" t="s">
        <v>33</v>
      </c>
    </row>
    <row r="162" spans="1:15" x14ac:dyDescent="0.25">
      <c r="A162" t="s">
        <v>5999</v>
      </c>
      <c r="B162" t="s">
        <v>36</v>
      </c>
      <c r="C162" t="s">
        <v>392</v>
      </c>
      <c r="D162">
        <v>217</v>
      </c>
      <c r="E162">
        <v>1280.29</v>
      </c>
      <c r="F162">
        <v>3499396</v>
      </c>
      <c r="G162" t="s">
        <v>367</v>
      </c>
      <c r="H162" t="s">
        <v>6000</v>
      </c>
      <c r="I162">
        <v>1205.934</v>
      </c>
      <c r="J162">
        <v>34.93</v>
      </c>
      <c r="K162">
        <v>0</v>
      </c>
      <c r="L162">
        <v>1.2</v>
      </c>
      <c r="M162">
        <v>5.9</v>
      </c>
      <c r="N162" t="s">
        <v>33</v>
      </c>
    </row>
    <row r="163" spans="1:15" x14ac:dyDescent="0.25">
      <c r="A163" t="s">
        <v>5999</v>
      </c>
      <c r="B163" t="s">
        <v>36</v>
      </c>
      <c r="C163" t="s">
        <v>392</v>
      </c>
      <c r="D163">
        <v>217</v>
      </c>
      <c r="E163">
        <v>1280.29</v>
      </c>
      <c r="F163">
        <v>3499396</v>
      </c>
      <c r="G163" t="s">
        <v>367</v>
      </c>
      <c r="H163" t="s">
        <v>6000</v>
      </c>
      <c r="I163">
        <v>1205.934</v>
      </c>
      <c r="J163">
        <v>34.93</v>
      </c>
      <c r="K163">
        <v>0</v>
      </c>
      <c r="L163">
        <v>1.2</v>
      </c>
      <c r="M163">
        <v>5.9</v>
      </c>
      <c r="N163" t="s">
        <v>33</v>
      </c>
    </row>
    <row r="164" spans="1:15" x14ac:dyDescent="0.25">
      <c r="A164" t="s">
        <v>5999</v>
      </c>
      <c r="B164" t="s">
        <v>36</v>
      </c>
      <c r="C164" t="s">
        <v>392</v>
      </c>
      <c r="D164">
        <v>213</v>
      </c>
      <c r="E164">
        <v>1256.691</v>
      </c>
      <c r="F164">
        <v>3499396</v>
      </c>
      <c r="G164" t="s">
        <v>367</v>
      </c>
      <c r="H164" t="s">
        <v>6000</v>
      </c>
      <c r="I164">
        <v>1183.7049999999999</v>
      </c>
      <c r="J164">
        <v>34.93</v>
      </c>
      <c r="K164">
        <v>0</v>
      </c>
      <c r="L164">
        <v>1.2</v>
      </c>
      <c r="M164">
        <v>5.9</v>
      </c>
      <c r="N164" t="s">
        <v>33</v>
      </c>
    </row>
    <row r="165" spans="1:15" x14ac:dyDescent="0.25">
      <c r="A165" t="s">
        <v>5966</v>
      </c>
      <c r="B165" t="s">
        <v>37</v>
      </c>
      <c r="C165" t="s">
        <v>392</v>
      </c>
      <c r="D165">
        <v>224</v>
      </c>
      <c r="E165">
        <v>1343.9780000000001</v>
      </c>
      <c r="F165">
        <v>3498997</v>
      </c>
      <c r="G165" t="s">
        <v>367</v>
      </c>
      <c r="H165" t="s">
        <v>1355</v>
      </c>
      <c r="I165">
        <v>893.76</v>
      </c>
      <c r="J165">
        <v>19.05</v>
      </c>
      <c r="K165">
        <v>0</v>
      </c>
      <c r="L165">
        <v>1.6</v>
      </c>
      <c r="M165">
        <v>6</v>
      </c>
      <c r="N165" t="s">
        <v>33</v>
      </c>
      <c r="O165" t="s">
        <v>6161</v>
      </c>
    </row>
    <row r="166" spans="1:15" x14ac:dyDescent="0.25">
      <c r="A166" t="s">
        <v>5966</v>
      </c>
      <c r="B166" t="s">
        <v>37</v>
      </c>
      <c r="C166" t="s">
        <v>392</v>
      </c>
      <c r="D166">
        <v>413</v>
      </c>
      <c r="E166">
        <v>2457.7570000000001</v>
      </c>
      <c r="F166">
        <v>3905466</v>
      </c>
      <c r="G166" t="s">
        <v>367</v>
      </c>
      <c r="H166" t="s">
        <v>1487</v>
      </c>
      <c r="I166">
        <v>2393.4180000000001</v>
      </c>
      <c r="J166">
        <v>22.2</v>
      </c>
      <c r="K166">
        <v>0</v>
      </c>
      <c r="L166">
        <v>2</v>
      </c>
      <c r="M166">
        <v>5.9509999999999996</v>
      </c>
      <c r="N166" t="s">
        <v>33</v>
      </c>
      <c r="O166" t="s">
        <v>6168</v>
      </c>
    </row>
    <row r="167" spans="1:15" x14ac:dyDescent="0.25">
      <c r="A167" t="s">
        <v>5966</v>
      </c>
      <c r="B167" t="s">
        <v>37</v>
      </c>
      <c r="C167" t="s">
        <v>392</v>
      </c>
      <c r="D167">
        <v>420</v>
      </c>
      <c r="E167">
        <v>2499.413</v>
      </c>
      <c r="F167">
        <v>3905466</v>
      </c>
      <c r="G167" t="s">
        <v>367</v>
      </c>
      <c r="H167" t="s">
        <v>1487</v>
      </c>
      <c r="I167">
        <v>2433.9839999999999</v>
      </c>
      <c r="J167">
        <v>22.2</v>
      </c>
      <c r="K167">
        <v>0</v>
      </c>
      <c r="L167">
        <v>2</v>
      </c>
      <c r="M167">
        <v>5.9509999999999996</v>
      </c>
      <c r="N167" t="s">
        <v>33</v>
      </c>
      <c r="O167" t="s">
        <v>6168</v>
      </c>
    </row>
    <row r="168" spans="1:15" x14ac:dyDescent="0.25">
      <c r="A168" t="s">
        <v>5966</v>
      </c>
      <c r="B168" t="s">
        <v>37</v>
      </c>
      <c r="C168" t="s">
        <v>392</v>
      </c>
      <c r="D168">
        <v>300</v>
      </c>
      <c r="E168">
        <v>1785.2950000000001</v>
      </c>
      <c r="F168">
        <v>3905466</v>
      </c>
      <c r="G168" t="s">
        <v>367</v>
      </c>
      <c r="H168" t="s">
        <v>1487</v>
      </c>
      <c r="I168">
        <v>1738.56</v>
      </c>
      <c r="J168">
        <v>22.2</v>
      </c>
      <c r="K168">
        <v>0</v>
      </c>
      <c r="L168">
        <v>2</v>
      </c>
      <c r="M168">
        <v>5.9509999999999996</v>
      </c>
      <c r="N168" t="s">
        <v>33</v>
      </c>
      <c r="O168" t="s">
        <v>6168</v>
      </c>
    </row>
    <row r="169" spans="1:15" x14ac:dyDescent="0.25">
      <c r="A169" t="s">
        <v>5966</v>
      </c>
      <c r="B169" t="s">
        <v>37</v>
      </c>
      <c r="C169" t="s">
        <v>392</v>
      </c>
      <c r="D169">
        <v>419</v>
      </c>
      <c r="E169">
        <v>2493.462</v>
      </c>
      <c r="F169">
        <v>3905466</v>
      </c>
      <c r="G169" t="s">
        <v>367</v>
      </c>
      <c r="H169" t="s">
        <v>1487</v>
      </c>
      <c r="I169">
        <v>2428.1889999999999</v>
      </c>
      <c r="J169">
        <v>22.2</v>
      </c>
      <c r="K169">
        <v>0</v>
      </c>
      <c r="L169">
        <v>2</v>
      </c>
      <c r="M169">
        <v>5.9509999999999996</v>
      </c>
      <c r="N169" t="s">
        <v>33</v>
      </c>
      <c r="O169" t="s">
        <v>6168</v>
      </c>
    </row>
    <row r="170" spans="1:15" x14ac:dyDescent="0.25">
      <c r="A170" t="s">
        <v>5966</v>
      </c>
      <c r="B170" t="s">
        <v>37</v>
      </c>
      <c r="C170" t="s">
        <v>392</v>
      </c>
      <c r="D170">
        <v>395</v>
      </c>
      <c r="E170">
        <v>2350.6379999999999</v>
      </c>
      <c r="F170">
        <v>3905466</v>
      </c>
      <c r="G170" t="s">
        <v>367</v>
      </c>
      <c r="H170" t="s">
        <v>1487</v>
      </c>
      <c r="I170">
        <v>2289.1039999999998</v>
      </c>
      <c r="J170">
        <v>22.2</v>
      </c>
      <c r="K170">
        <v>0</v>
      </c>
      <c r="L170">
        <v>2</v>
      </c>
      <c r="M170">
        <v>5.9509999999999996</v>
      </c>
      <c r="N170" t="s">
        <v>33</v>
      </c>
      <c r="O170" t="s">
        <v>6168</v>
      </c>
    </row>
    <row r="171" spans="1:15" x14ac:dyDescent="0.25">
      <c r="A171" t="s">
        <v>5966</v>
      </c>
      <c r="B171" t="s">
        <v>37</v>
      </c>
      <c r="C171" t="s">
        <v>392</v>
      </c>
      <c r="D171">
        <v>422</v>
      </c>
      <c r="E171">
        <v>2511.3150000000001</v>
      </c>
      <c r="F171">
        <v>3905466</v>
      </c>
      <c r="G171" t="s">
        <v>367</v>
      </c>
      <c r="H171" t="s">
        <v>1487</v>
      </c>
      <c r="I171">
        <v>2445.5740000000001</v>
      </c>
      <c r="J171">
        <v>22.2</v>
      </c>
      <c r="K171">
        <v>0</v>
      </c>
      <c r="L171">
        <v>2</v>
      </c>
      <c r="M171">
        <v>5.9509999999999996</v>
      </c>
      <c r="N171" t="s">
        <v>33</v>
      </c>
      <c r="O171" t="s">
        <v>6168</v>
      </c>
    </row>
    <row r="172" spans="1:15" x14ac:dyDescent="0.25">
      <c r="A172" t="s">
        <v>5966</v>
      </c>
      <c r="B172" t="s">
        <v>37</v>
      </c>
      <c r="C172" t="s">
        <v>392</v>
      </c>
      <c r="D172">
        <v>417</v>
      </c>
      <c r="E172">
        <v>2481.56</v>
      </c>
      <c r="F172">
        <v>3905466</v>
      </c>
      <c r="G172" t="s">
        <v>367</v>
      </c>
      <c r="H172" t="s">
        <v>1487</v>
      </c>
      <c r="I172">
        <v>2416.598</v>
      </c>
      <c r="J172">
        <v>22.2</v>
      </c>
      <c r="K172">
        <v>0</v>
      </c>
      <c r="L172">
        <v>2</v>
      </c>
      <c r="M172">
        <v>5.9509999999999996</v>
      </c>
      <c r="N172" t="s">
        <v>33</v>
      </c>
      <c r="O172" t="s">
        <v>6168</v>
      </c>
    </row>
    <row r="173" spans="1:15" x14ac:dyDescent="0.25">
      <c r="A173" t="s">
        <v>5966</v>
      </c>
      <c r="B173" t="s">
        <v>37</v>
      </c>
      <c r="C173" t="s">
        <v>392</v>
      </c>
      <c r="D173">
        <v>418</v>
      </c>
      <c r="E173">
        <v>2487.5120000000002</v>
      </c>
      <c r="F173">
        <v>3905466</v>
      </c>
      <c r="G173" t="s">
        <v>367</v>
      </c>
      <c r="H173" t="s">
        <v>1487</v>
      </c>
      <c r="I173">
        <v>2422.3939999999998</v>
      </c>
      <c r="J173">
        <v>22.2</v>
      </c>
      <c r="K173">
        <v>0</v>
      </c>
      <c r="L173">
        <v>2</v>
      </c>
      <c r="M173">
        <v>5.9509999999999996</v>
      </c>
      <c r="N173" t="s">
        <v>33</v>
      </c>
      <c r="O173" t="s">
        <v>6168</v>
      </c>
    </row>
    <row r="174" spans="1:15" x14ac:dyDescent="0.25">
      <c r="A174" t="s">
        <v>5966</v>
      </c>
      <c r="B174" t="s">
        <v>37</v>
      </c>
      <c r="C174" t="s">
        <v>392</v>
      </c>
      <c r="D174">
        <v>423</v>
      </c>
      <c r="E174">
        <v>2517.2660000000001</v>
      </c>
      <c r="F174">
        <v>3905466</v>
      </c>
      <c r="G174" t="s">
        <v>367</v>
      </c>
      <c r="H174" t="s">
        <v>1487</v>
      </c>
      <c r="I174">
        <v>2451.37</v>
      </c>
      <c r="J174">
        <v>22.2</v>
      </c>
      <c r="K174">
        <v>0</v>
      </c>
      <c r="L174">
        <v>2</v>
      </c>
      <c r="M174">
        <v>5.9509999999999996</v>
      </c>
      <c r="N174" t="s">
        <v>33</v>
      </c>
      <c r="O174" t="s">
        <v>6168</v>
      </c>
    </row>
    <row r="175" spans="1:15" x14ac:dyDescent="0.25">
      <c r="A175" t="s">
        <v>5966</v>
      </c>
      <c r="B175" t="s">
        <v>37</v>
      </c>
      <c r="C175" t="s">
        <v>392</v>
      </c>
      <c r="D175">
        <v>419</v>
      </c>
      <c r="E175">
        <v>2493.4609999999998</v>
      </c>
      <c r="F175">
        <v>3905466</v>
      </c>
      <c r="G175" t="s">
        <v>367</v>
      </c>
      <c r="H175" t="s">
        <v>1487</v>
      </c>
      <c r="I175">
        <v>2428.1880000000001</v>
      </c>
      <c r="J175">
        <v>22.2</v>
      </c>
      <c r="K175">
        <v>0</v>
      </c>
      <c r="L175">
        <v>2</v>
      </c>
      <c r="M175">
        <v>5.9509999999999996</v>
      </c>
      <c r="N175" t="s">
        <v>33</v>
      </c>
      <c r="O175" t="s">
        <v>6168</v>
      </c>
    </row>
    <row r="176" spans="1:15" x14ac:dyDescent="0.25">
      <c r="A176" t="s">
        <v>5966</v>
      </c>
      <c r="B176" t="s">
        <v>37</v>
      </c>
      <c r="C176" t="s">
        <v>392</v>
      </c>
      <c r="D176">
        <v>416</v>
      </c>
      <c r="E176">
        <v>2441.942</v>
      </c>
      <c r="F176">
        <v>3882110</v>
      </c>
      <c r="G176" t="s">
        <v>367</v>
      </c>
      <c r="H176" t="s">
        <v>1454</v>
      </c>
      <c r="I176">
        <v>1433.827</v>
      </c>
      <c r="J176">
        <v>22.2</v>
      </c>
      <c r="K176">
        <v>0</v>
      </c>
      <c r="L176">
        <v>1.2</v>
      </c>
      <c r="M176">
        <v>5.87</v>
      </c>
      <c r="N176" t="s">
        <v>33</v>
      </c>
      <c r="O176" t="s">
        <v>6165</v>
      </c>
    </row>
    <row r="177" spans="1:15" x14ac:dyDescent="0.25">
      <c r="A177" t="s">
        <v>5966</v>
      </c>
      <c r="B177" t="s">
        <v>37</v>
      </c>
      <c r="C177" t="s">
        <v>392</v>
      </c>
      <c r="D177">
        <v>420</v>
      </c>
      <c r="E177">
        <v>2465.4229999999998</v>
      </c>
      <c r="F177">
        <v>3882110</v>
      </c>
      <c r="G177" t="s">
        <v>367</v>
      </c>
      <c r="H177" t="s">
        <v>1454</v>
      </c>
      <c r="I177">
        <v>1447.614</v>
      </c>
      <c r="J177">
        <v>22.2</v>
      </c>
      <c r="K177">
        <v>0</v>
      </c>
      <c r="L177">
        <v>1.2</v>
      </c>
      <c r="M177">
        <v>5.87</v>
      </c>
      <c r="N177" t="s">
        <v>33</v>
      </c>
      <c r="O177" t="s">
        <v>6165</v>
      </c>
    </row>
    <row r="178" spans="1:15" x14ac:dyDescent="0.25">
      <c r="A178" t="s">
        <v>5966</v>
      </c>
      <c r="B178" t="s">
        <v>37</v>
      </c>
      <c r="C178" t="s">
        <v>392</v>
      </c>
      <c r="D178">
        <v>417</v>
      </c>
      <c r="E178">
        <v>2447.8130000000001</v>
      </c>
      <c r="F178">
        <v>3882110</v>
      </c>
      <c r="G178" t="s">
        <v>367</v>
      </c>
      <c r="H178" t="s">
        <v>1454</v>
      </c>
      <c r="I178">
        <v>1437.2739999999999</v>
      </c>
      <c r="J178">
        <v>22.2</v>
      </c>
      <c r="K178">
        <v>0</v>
      </c>
      <c r="L178">
        <v>1.2</v>
      </c>
      <c r="M178">
        <v>5.87</v>
      </c>
      <c r="N178" t="s">
        <v>33</v>
      </c>
      <c r="O178" t="s">
        <v>6165</v>
      </c>
    </row>
    <row r="179" spans="1:15" x14ac:dyDescent="0.25">
      <c r="A179" t="s">
        <v>5966</v>
      </c>
      <c r="B179" t="s">
        <v>37</v>
      </c>
      <c r="C179" t="s">
        <v>392</v>
      </c>
      <c r="D179">
        <v>444</v>
      </c>
      <c r="E179">
        <v>3107.989</v>
      </c>
      <c r="F179">
        <v>3500582</v>
      </c>
      <c r="G179" t="s">
        <v>367</v>
      </c>
      <c r="H179" t="s">
        <v>1423</v>
      </c>
      <c r="I179">
        <v>2952.866</v>
      </c>
      <c r="J179">
        <v>19.05</v>
      </c>
      <c r="K179">
        <v>0</v>
      </c>
      <c r="L179">
        <v>2.2999999999999998</v>
      </c>
      <c r="M179">
        <v>7</v>
      </c>
      <c r="N179" t="s">
        <v>33</v>
      </c>
      <c r="O179" t="s">
        <v>6164</v>
      </c>
    </row>
    <row r="180" spans="1:15" x14ac:dyDescent="0.25">
      <c r="A180" t="s">
        <v>5966</v>
      </c>
      <c r="B180" t="s">
        <v>37</v>
      </c>
      <c r="C180" t="s">
        <v>392</v>
      </c>
      <c r="D180">
        <v>419</v>
      </c>
      <c r="E180">
        <v>2493.462</v>
      </c>
      <c r="F180">
        <v>3905466</v>
      </c>
      <c r="G180" t="s">
        <v>367</v>
      </c>
      <c r="H180" t="s">
        <v>1487</v>
      </c>
      <c r="I180">
        <v>2428.1889999999999</v>
      </c>
      <c r="J180">
        <v>22.2</v>
      </c>
      <c r="K180">
        <v>0</v>
      </c>
      <c r="L180">
        <v>2</v>
      </c>
      <c r="M180">
        <v>5.9509999999999996</v>
      </c>
      <c r="N180" t="s">
        <v>33</v>
      </c>
      <c r="O180" t="s">
        <v>6168</v>
      </c>
    </row>
    <row r="181" spans="1:15" x14ac:dyDescent="0.25">
      <c r="A181" t="s">
        <v>5966</v>
      </c>
      <c r="B181" t="s">
        <v>37</v>
      </c>
      <c r="C181" t="s">
        <v>392</v>
      </c>
      <c r="D181">
        <v>90</v>
      </c>
      <c r="E181">
        <v>535.50099999999998</v>
      </c>
      <c r="F181">
        <v>4045220</v>
      </c>
      <c r="G181" t="s">
        <v>367</v>
      </c>
      <c r="H181" t="s">
        <v>5967</v>
      </c>
      <c r="I181">
        <v>1735.29</v>
      </c>
      <c r="J181">
        <v>57.15</v>
      </c>
      <c r="K181">
        <v>0</v>
      </c>
      <c r="L181">
        <v>2.5</v>
      </c>
      <c r="M181">
        <v>5.95</v>
      </c>
      <c r="N181" t="s">
        <v>33</v>
      </c>
      <c r="O181" t="s">
        <v>6251</v>
      </c>
    </row>
    <row r="182" spans="1:15" x14ac:dyDescent="0.25">
      <c r="A182" t="s">
        <v>5966</v>
      </c>
      <c r="B182" t="s">
        <v>37</v>
      </c>
      <c r="C182" t="s">
        <v>392</v>
      </c>
      <c r="D182">
        <v>560</v>
      </c>
      <c r="E182">
        <v>3359.944</v>
      </c>
      <c r="F182">
        <v>3498997</v>
      </c>
      <c r="G182" t="s">
        <v>367</v>
      </c>
      <c r="H182" t="s">
        <v>1355</v>
      </c>
      <c r="I182">
        <v>2234.4</v>
      </c>
      <c r="J182">
        <v>19.05</v>
      </c>
      <c r="K182">
        <v>0</v>
      </c>
      <c r="L182">
        <v>1.6</v>
      </c>
      <c r="M182">
        <v>6</v>
      </c>
      <c r="N182" t="s">
        <v>33</v>
      </c>
      <c r="O182" t="s">
        <v>6161</v>
      </c>
    </row>
    <row r="183" spans="1:15" x14ac:dyDescent="0.25">
      <c r="A183" t="s">
        <v>5966</v>
      </c>
      <c r="B183" t="s">
        <v>37</v>
      </c>
      <c r="C183" t="s">
        <v>392</v>
      </c>
      <c r="D183">
        <v>419</v>
      </c>
      <c r="E183">
        <v>2382.0129999999999</v>
      </c>
      <c r="F183">
        <v>4173571</v>
      </c>
      <c r="G183" t="s">
        <v>367</v>
      </c>
      <c r="H183" t="s">
        <v>5972</v>
      </c>
      <c r="I183">
        <v>1869.0329999999999</v>
      </c>
      <c r="J183">
        <v>22.2</v>
      </c>
      <c r="K183">
        <v>0</v>
      </c>
      <c r="L183">
        <v>1.6</v>
      </c>
      <c r="M183">
        <v>5.6849999999999996</v>
      </c>
      <c r="N183" t="s">
        <v>33</v>
      </c>
    </row>
    <row r="184" spans="1:15" x14ac:dyDescent="0.25">
      <c r="A184" t="s">
        <v>5966</v>
      </c>
      <c r="B184" t="s">
        <v>37</v>
      </c>
      <c r="C184" t="s">
        <v>392</v>
      </c>
      <c r="D184">
        <v>350</v>
      </c>
      <c r="E184">
        <v>1935.529</v>
      </c>
      <c r="F184">
        <v>3502256</v>
      </c>
      <c r="G184" t="s">
        <v>367</v>
      </c>
      <c r="H184" t="s">
        <v>1580</v>
      </c>
      <c r="I184">
        <v>2634.835</v>
      </c>
      <c r="J184">
        <v>25.4</v>
      </c>
      <c r="K184">
        <v>0</v>
      </c>
      <c r="L184">
        <v>2.5</v>
      </c>
      <c r="M184">
        <v>5.53</v>
      </c>
      <c r="N184" t="s">
        <v>33</v>
      </c>
      <c r="O184" t="s">
        <v>6175</v>
      </c>
    </row>
    <row r="185" spans="1:15" x14ac:dyDescent="0.25">
      <c r="A185" t="s">
        <v>5966</v>
      </c>
      <c r="B185" t="s">
        <v>37</v>
      </c>
      <c r="C185" t="s">
        <v>392</v>
      </c>
      <c r="D185">
        <v>116</v>
      </c>
      <c r="E185">
        <v>695.97900000000004</v>
      </c>
      <c r="F185">
        <v>3500650</v>
      </c>
      <c r="G185" t="s">
        <v>367</v>
      </c>
      <c r="H185" t="s">
        <v>1694</v>
      </c>
      <c r="I185">
        <v>2354.9160000000002</v>
      </c>
      <c r="J185">
        <v>42.7</v>
      </c>
      <c r="K185">
        <v>0</v>
      </c>
      <c r="L185">
        <v>3.5</v>
      </c>
      <c r="M185">
        <v>6</v>
      </c>
      <c r="N185" t="s">
        <v>33</v>
      </c>
      <c r="O185" t="s">
        <v>6194</v>
      </c>
    </row>
    <row r="186" spans="1:15" x14ac:dyDescent="0.25">
      <c r="A186" t="s">
        <v>5966</v>
      </c>
      <c r="B186" t="s">
        <v>37</v>
      </c>
      <c r="C186" t="s">
        <v>392</v>
      </c>
      <c r="D186">
        <v>219</v>
      </c>
      <c r="E186">
        <v>1355.5609999999999</v>
      </c>
      <c r="F186">
        <v>3502007</v>
      </c>
      <c r="G186" t="s">
        <v>367</v>
      </c>
      <c r="H186" t="s">
        <v>5993</v>
      </c>
      <c r="I186">
        <v>2864.3009999999999</v>
      </c>
      <c r="J186">
        <v>38.1</v>
      </c>
      <c r="K186">
        <v>0</v>
      </c>
      <c r="L186">
        <v>2.5</v>
      </c>
      <c r="M186">
        <v>6.19</v>
      </c>
      <c r="N186" t="s">
        <v>33</v>
      </c>
      <c r="O186" t="s">
        <v>6188</v>
      </c>
    </row>
    <row r="187" spans="1:15" x14ac:dyDescent="0.25">
      <c r="A187" t="s">
        <v>5966</v>
      </c>
      <c r="B187" t="s">
        <v>37</v>
      </c>
      <c r="C187" t="s">
        <v>392</v>
      </c>
      <c r="D187">
        <v>216</v>
      </c>
      <c r="E187">
        <v>1336.992</v>
      </c>
      <c r="F187">
        <v>3502007</v>
      </c>
      <c r="G187" t="s">
        <v>367</v>
      </c>
      <c r="H187" t="s">
        <v>5993</v>
      </c>
      <c r="I187">
        <v>2825.0639999999999</v>
      </c>
      <c r="J187">
        <v>38.1</v>
      </c>
      <c r="K187">
        <v>0</v>
      </c>
      <c r="L187">
        <v>2.5</v>
      </c>
      <c r="M187">
        <v>6.19</v>
      </c>
      <c r="N187" t="s">
        <v>33</v>
      </c>
      <c r="O187" t="s">
        <v>6188</v>
      </c>
    </row>
    <row r="188" spans="1:15" x14ac:dyDescent="0.25">
      <c r="A188" t="s">
        <v>5966</v>
      </c>
      <c r="B188" t="s">
        <v>37</v>
      </c>
      <c r="C188" t="s">
        <v>392</v>
      </c>
      <c r="D188">
        <v>88</v>
      </c>
      <c r="E188">
        <v>544.70000000000005</v>
      </c>
      <c r="F188">
        <v>3502007</v>
      </c>
      <c r="G188" t="s">
        <v>367</v>
      </c>
      <c r="H188" t="s">
        <v>5993</v>
      </c>
      <c r="I188">
        <v>1150.952</v>
      </c>
      <c r="J188">
        <v>38.1</v>
      </c>
      <c r="K188">
        <v>0</v>
      </c>
      <c r="L188">
        <v>2.5</v>
      </c>
      <c r="M188">
        <v>6.19</v>
      </c>
      <c r="N188" t="s">
        <v>33</v>
      </c>
      <c r="O188" t="s">
        <v>6188</v>
      </c>
    </row>
    <row r="189" spans="1:15" x14ac:dyDescent="0.25">
      <c r="A189" t="s">
        <v>5966</v>
      </c>
      <c r="B189" t="s">
        <v>37</v>
      </c>
      <c r="C189" t="s">
        <v>392</v>
      </c>
      <c r="D189">
        <v>216</v>
      </c>
      <c r="E189">
        <v>1336.992</v>
      </c>
      <c r="F189">
        <v>3502007</v>
      </c>
      <c r="G189" t="s">
        <v>367</v>
      </c>
      <c r="H189" t="s">
        <v>5993</v>
      </c>
      <c r="I189">
        <v>2825.0639999999999</v>
      </c>
      <c r="J189">
        <v>38.1</v>
      </c>
      <c r="K189">
        <v>0</v>
      </c>
      <c r="L189">
        <v>2.5</v>
      </c>
      <c r="M189">
        <v>6.19</v>
      </c>
      <c r="N189" t="s">
        <v>33</v>
      </c>
      <c r="O189" t="s">
        <v>6188</v>
      </c>
    </row>
    <row r="190" spans="1:15" x14ac:dyDescent="0.25">
      <c r="A190" t="s">
        <v>5966</v>
      </c>
      <c r="B190" t="s">
        <v>37</v>
      </c>
      <c r="C190" t="s">
        <v>392</v>
      </c>
      <c r="D190">
        <v>126</v>
      </c>
      <c r="E190">
        <v>745.88</v>
      </c>
      <c r="F190">
        <v>3500391</v>
      </c>
      <c r="G190" t="s">
        <v>362</v>
      </c>
      <c r="H190" t="s">
        <v>2397</v>
      </c>
      <c r="I190">
        <v>2770.2</v>
      </c>
      <c r="J190">
        <v>54</v>
      </c>
      <c r="K190">
        <v>0</v>
      </c>
      <c r="L190">
        <v>3</v>
      </c>
      <c r="M190">
        <v>5.91</v>
      </c>
      <c r="N190" t="s">
        <v>33</v>
      </c>
    </row>
    <row r="191" spans="1:15" x14ac:dyDescent="0.25">
      <c r="A191" t="s">
        <v>5999</v>
      </c>
      <c r="B191" t="s">
        <v>36</v>
      </c>
      <c r="C191" t="s">
        <v>392</v>
      </c>
      <c r="D191">
        <v>92</v>
      </c>
      <c r="E191">
        <v>560.94799999999998</v>
      </c>
      <c r="F191">
        <v>3500641</v>
      </c>
      <c r="G191" t="s">
        <v>362</v>
      </c>
      <c r="H191" t="s">
        <v>6009</v>
      </c>
      <c r="I191">
        <v>1335</v>
      </c>
      <c r="J191">
        <v>50</v>
      </c>
      <c r="K191">
        <v>50</v>
      </c>
      <c r="L191">
        <v>1.6</v>
      </c>
      <c r="M191">
        <v>6.1</v>
      </c>
      <c r="N191" t="s">
        <v>33</v>
      </c>
      <c r="O191" t="s">
        <v>6338</v>
      </c>
    </row>
    <row r="192" spans="1:15" x14ac:dyDescent="0.25">
      <c r="A192" t="s">
        <v>5999</v>
      </c>
      <c r="B192" t="s">
        <v>36</v>
      </c>
      <c r="C192" t="s">
        <v>392</v>
      </c>
      <c r="D192">
        <v>92</v>
      </c>
      <c r="E192">
        <v>560.94799999999998</v>
      </c>
      <c r="F192">
        <v>3500641</v>
      </c>
      <c r="G192" t="s">
        <v>362</v>
      </c>
      <c r="H192" t="s">
        <v>6009</v>
      </c>
      <c r="I192">
        <v>1335</v>
      </c>
      <c r="J192">
        <v>50</v>
      </c>
      <c r="K192">
        <v>50</v>
      </c>
      <c r="L192">
        <v>1.6</v>
      </c>
      <c r="M192">
        <v>6.1</v>
      </c>
      <c r="N192" t="s">
        <v>33</v>
      </c>
      <c r="O192" t="s">
        <v>6338</v>
      </c>
    </row>
    <row r="193" spans="1:15" x14ac:dyDescent="0.25">
      <c r="A193" t="s">
        <v>5999</v>
      </c>
      <c r="B193" t="s">
        <v>36</v>
      </c>
      <c r="C193" t="s">
        <v>392</v>
      </c>
      <c r="D193">
        <v>92</v>
      </c>
      <c r="E193">
        <v>560.94799999999998</v>
      </c>
      <c r="F193">
        <v>3500641</v>
      </c>
      <c r="G193" t="s">
        <v>362</v>
      </c>
      <c r="H193" t="s">
        <v>6009</v>
      </c>
      <c r="I193">
        <v>1335</v>
      </c>
      <c r="J193">
        <v>50</v>
      </c>
      <c r="K193">
        <v>50</v>
      </c>
      <c r="L193">
        <v>1.6</v>
      </c>
      <c r="M193">
        <v>6.1</v>
      </c>
      <c r="N193" t="s">
        <v>33</v>
      </c>
      <c r="O193" t="s">
        <v>6338</v>
      </c>
    </row>
    <row r="194" spans="1:15" x14ac:dyDescent="0.25">
      <c r="A194" t="s">
        <v>5999</v>
      </c>
      <c r="B194" t="s">
        <v>36</v>
      </c>
      <c r="C194" t="s">
        <v>392</v>
      </c>
      <c r="D194">
        <v>92</v>
      </c>
      <c r="E194">
        <v>560.94799999999998</v>
      </c>
      <c r="F194">
        <v>3500641</v>
      </c>
      <c r="G194" t="s">
        <v>362</v>
      </c>
      <c r="H194" t="s">
        <v>6009</v>
      </c>
      <c r="I194">
        <v>1335</v>
      </c>
      <c r="J194">
        <v>50</v>
      </c>
      <c r="K194">
        <v>50</v>
      </c>
      <c r="L194">
        <v>1.6</v>
      </c>
      <c r="M194">
        <v>6.1</v>
      </c>
      <c r="N194" t="s">
        <v>33</v>
      </c>
      <c r="O194" t="s">
        <v>6338</v>
      </c>
    </row>
    <row r="195" spans="1:15" x14ac:dyDescent="0.25">
      <c r="A195" t="s">
        <v>5966</v>
      </c>
      <c r="B195" t="s">
        <v>37</v>
      </c>
      <c r="C195" t="s">
        <v>392</v>
      </c>
      <c r="D195">
        <v>61</v>
      </c>
      <c r="E195">
        <v>337.37099999999998</v>
      </c>
      <c r="F195">
        <v>3500714</v>
      </c>
      <c r="G195" t="s">
        <v>362</v>
      </c>
      <c r="H195" t="s">
        <v>1922</v>
      </c>
      <c r="I195">
        <v>1259</v>
      </c>
      <c r="J195">
        <v>42.7</v>
      </c>
      <c r="K195">
        <v>0</v>
      </c>
      <c r="L195">
        <v>4</v>
      </c>
      <c r="M195">
        <v>5.5</v>
      </c>
      <c r="N195" t="s">
        <v>33</v>
      </c>
      <c r="O195" t="s">
        <v>6195</v>
      </c>
    </row>
    <row r="196" spans="1:15" x14ac:dyDescent="0.25">
      <c r="A196" t="s">
        <v>5966</v>
      </c>
      <c r="B196" t="s">
        <v>37</v>
      </c>
      <c r="C196" t="s">
        <v>392</v>
      </c>
      <c r="D196">
        <v>128</v>
      </c>
      <c r="E196">
        <v>704.27099999999996</v>
      </c>
      <c r="F196">
        <v>3500714</v>
      </c>
      <c r="G196" t="s">
        <v>362</v>
      </c>
      <c r="H196" t="s">
        <v>1922</v>
      </c>
      <c r="I196">
        <v>2628.2</v>
      </c>
      <c r="J196">
        <v>42.7</v>
      </c>
      <c r="K196">
        <v>0</v>
      </c>
      <c r="L196">
        <v>4</v>
      </c>
      <c r="M196">
        <v>5.5</v>
      </c>
      <c r="N196" t="s">
        <v>33</v>
      </c>
      <c r="O196" t="s">
        <v>6195</v>
      </c>
    </row>
    <row r="197" spans="1:15" x14ac:dyDescent="0.25">
      <c r="A197" t="s">
        <v>5966</v>
      </c>
      <c r="B197" t="s">
        <v>37</v>
      </c>
      <c r="C197" t="s">
        <v>392</v>
      </c>
      <c r="D197">
        <v>114</v>
      </c>
      <c r="E197">
        <v>625.75699999999995</v>
      </c>
      <c r="F197">
        <v>3500714</v>
      </c>
      <c r="G197" t="s">
        <v>362</v>
      </c>
      <c r="H197" t="s">
        <v>1922</v>
      </c>
      <c r="I197">
        <v>2335.1999999999998</v>
      </c>
      <c r="J197">
        <v>42.7</v>
      </c>
      <c r="K197">
        <v>0</v>
      </c>
      <c r="L197">
        <v>4</v>
      </c>
      <c r="M197">
        <v>5.5</v>
      </c>
      <c r="N197" t="s">
        <v>33</v>
      </c>
      <c r="O197" t="s">
        <v>6195</v>
      </c>
    </row>
    <row r="198" spans="1:15" x14ac:dyDescent="0.25">
      <c r="A198" t="s">
        <v>5966</v>
      </c>
      <c r="B198" t="s">
        <v>37</v>
      </c>
      <c r="C198" t="s">
        <v>392</v>
      </c>
      <c r="D198">
        <v>93</v>
      </c>
      <c r="E198">
        <v>511.81700000000001</v>
      </c>
      <c r="F198">
        <v>3500714</v>
      </c>
      <c r="G198" t="s">
        <v>362</v>
      </c>
      <c r="H198" t="s">
        <v>1922</v>
      </c>
      <c r="I198">
        <v>1910</v>
      </c>
      <c r="J198">
        <v>42.7</v>
      </c>
      <c r="K198">
        <v>0</v>
      </c>
      <c r="L198">
        <v>4</v>
      </c>
      <c r="M198">
        <v>5.5</v>
      </c>
      <c r="N198" t="s">
        <v>33</v>
      </c>
      <c r="O198" t="s">
        <v>6195</v>
      </c>
    </row>
    <row r="199" spans="1:15" x14ac:dyDescent="0.25">
      <c r="A199" t="s">
        <v>5966</v>
      </c>
      <c r="B199" t="s">
        <v>37</v>
      </c>
      <c r="C199" t="s">
        <v>392</v>
      </c>
      <c r="D199">
        <v>107</v>
      </c>
      <c r="E199">
        <v>586.36599999999999</v>
      </c>
      <c r="F199">
        <v>3500714</v>
      </c>
      <c r="G199" t="s">
        <v>362</v>
      </c>
      <c r="H199" t="s">
        <v>1922</v>
      </c>
      <c r="I199">
        <v>2188.1999999999998</v>
      </c>
      <c r="J199">
        <v>42.7</v>
      </c>
      <c r="K199">
        <v>0</v>
      </c>
      <c r="L199">
        <v>4</v>
      </c>
      <c r="M199">
        <v>5.5</v>
      </c>
      <c r="N199" t="s">
        <v>33</v>
      </c>
      <c r="O199" t="s">
        <v>6195</v>
      </c>
    </row>
    <row r="200" spans="1:15" x14ac:dyDescent="0.25">
      <c r="A200" t="s">
        <v>5966</v>
      </c>
      <c r="B200" t="s">
        <v>37</v>
      </c>
      <c r="C200" t="s">
        <v>392</v>
      </c>
      <c r="D200">
        <v>112</v>
      </c>
      <c r="E200">
        <v>614.50199999999995</v>
      </c>
      <c r="F200">
        <v>3500714</v>
      </c>
      <c r="G200" t="s">
        <v>362</v>
      </c>
      <c r="H200" t="s">
        <v>1922</v>
      </c>
      <c r="I200">
        <v>2293.1999999999998</v>
      </c>
      <c r="J200">
        <v>42.7</v>
      </c>
      <c r="K200">
        <v>0</v>
      </c>
      <c r="L200">
        <v>4</v>
      </c>
      <c r="M200">
        <v>5.5</v>
      </c>
      <c r="N200" t="s">
        <v>33</v>
      </c>
      <c r="O200" t="s">
        <v>6195</v>
      </c>
    </row>
    <row r="201" spans="1:15" x14ac:dyDescent="0.25">
      <c r="A201" t="s">
        <v>5966</v>
      </c>
      <c r="B201" t="s">
        <v>37</v>
      </c>
      <c r="C201" t="s">
        <v>392</v>
      </c>
      <c r="D201">
        <v>118</v>
      </c>
      <c r="E201">
        <v>698.97699999999998</v>
      </c>
      <c r="F201">
        <v>3500391</v>
      </c>
      <c r="G201" t="s">
        <v>362</v>
      </c>
      <c r="H201" t="s">
        <v>2397</v>
      </c>
      <c r="I201">
        <v>2596</v>
      </c>
      <c r="J201">
        <v>54</v>
      </c>
      <c r="K201">
        <v>0</v>
      </c>
      <c r="L201">
        <v>3</v>
      </c>
      <c r="M201">
        <v>5.91</v>
      </c>
      <c r="N201" t="s">
        <v>33</v>
      </c>
    </row>
    <row r="202" spans="1:15" x14ac:dyDescent="0.25">
      <c r="A202" t="s">
        <v>5966</v>
      </c>
      <c r="B202" t="s">
        <v>37</v>
      </c>
      <c r="C202" t="s">
        <v>392</v>
      </c>
      <c r="D202">
        <v>131</v>
      </c>
      <c r="E202">
        <v>771.40499999999997</v>
      </c>
      <c r="F202">
        <v>3500391</v>
      </c>
      <c r="G202" t="s">
        <v>362</v>
      </c>
      <c r="H202" t="s">
        <v>2397</v>
      </c>
      <c r="I202">
        <v>2865</v>
      </c>
      <c r="J202">
        <v>54</v>
      </c>
      <c r="K202">
        <v>0</v>
      </c>
      <c r="L202">
        <v>3</v>
      </c>
      <c r="M202">
        <v>5.91</v>
      </c>
      <c r="N202" t="s">
        <v>33</v>
      </c>
    </row>
    <row r="203" spans="1:15" x14ac:dyDescent="0.25">
      <c r="A203" t="s">
        <v>5966</v>
      </c>
      <c r="B203" t="s">
        <v>37</v>
      </c>
      <c r="C203" t="s">
        <v>392</v>
      </c>
      <c r="D203">
        <v>144</v>
      </c>
      <c r="E203">
        <v>849.21900000000005</v>
      </c>
      <c r="F203">
        <v>3500391</v>
      </c>
      <c r="G203" t="s">
        <v>362</v>
      </c>
      <c r="H203" t="s">
        <v>2397</v>
      </c>
      <c r="I203">
        <v>3154</v>
      </c>
      <c r="J203">
        <v>54</v>
      </c>
      <c r="K203">
        <v>0</v>
      </c>
      <c r="L203">
        <v>3</v>
      </c>
      <c r="M203">
        <v>5.91</v>
      </c>
      <c r="N203" t="s">
        <v>33</v>
      </c>
    </row>
    <row r="204" spans="1:15" x14ac:dyDescent="0.25">
      <c r="A204" t="s">
        <v>5966</v>
      </c>
      <c r="B204" t="s">
        <v>37</v>
      </c>
      <c r="C204" t="s">
        <v>392</v>
      </c>
      <c r="D204">
        <v>144</v>
      </c>
      <c r="E204">
        <v>849.21900000000005</v>
      </c>
      <c r="F204">
        <v>3500391</v>
      </c>
      <c r="G204" t="s">
        <v>362</v>
      </c>
      <c r="H204" t="s">
        <v>2397</v>
      </c>
      <c r="I204">
        <v>3154</v>
      </c>
      <c r="J204">
        <v>54</v>
      </c>
      <c r="K204">
        <v>0</v>
      </c>
      <c r="L204">
        <v>3</v>
      </c>
      <c r="M204">
        <v>5.91</v>
      </c>
      <c r="N204" t="s">
        <v>33</v>
      </c>
    </row>
    <row r="205" spans="1:15" x14ac:dyDescent="0.25">
      <c r="A205" t="s">
        <v>5966</v>
      </c>
      <c r="B205" t="s">
        <v>37</v>
      </c>
      <c r="C205" t="s">
        <v>392</v>
      </c>
      <c r="D205">
        <v>144</v>
      </c>
      <c r="E205">
        <v>849.21900000000005</v>
      </c>
      <c r="F205">
        <v>3500391</v>
      </c>
      <c r="G205" t="s">
        <v>362</v>
      </c>
      <c r="H205" t="s">
        <v>2397</v>
      </c>
      <c r="I205">
        <v>3154</v>
      </c>
      <c r="J205">
        <v>54</v>
      </c>
      <c r="K205">
        <v>0</v>
      </c>
      <c r="L205">
        <v>3</v>
      </c>
      <c r="M205">
        <v>5.91</v>
      </c>
      <c r="N205" t="s">
        <v>33</v>
      </c>
    </row>
    <row r="206" spans="1:15" x14ac:dyDescent="0.25">
      <c r="A206" t="s">
        <v>5966</v>
      </c>
      <c r="B206" t="s">
        <v>37</v>
      </c>
      <c r="C206" t="s">
        <v>392</v>
      </c>
      <c r="D206">
        <v>144</v>
      </c>
      <c r="E206">
        <v>849.21900000000005</v>
      </c>
      <c r="F206">
        <v>3500391</v>
      </c>
      <c r="G206" t="s">
        <v>362</v>
      </c>
      <c r="H206" t="s">
        <v>2397</v>
      </c>
      <c r="I206">
        <v>3154</v>
      </c>
      <c r="J206">
        <v>54</v>
      </c>
      <c r="K206">
        <v>0</v>
      </c>
      <c r="L206">
        <v>3</v>
      </c>
      <c r="M206">
        <v>5.91</v>
      </c>
      <c r="N206" t="s">
        <v>33</v>
      </c>
    </row>
    <row r="207" spans="1:15" x14ac:dyDescent="0.25">
      <c r="A207" t="s">
        <v>5966</v>
      </c>
      <c r="B207" t="s">
        <v>37</v>
      </c>
      <c r="C207" t="s">
        <v>392</v>
      </c>
      <c r="D207">
        <v>144</v>
      </c>
      <c r="E207">
        <v>849.21900000000005</v>
      </c>
      <c r="F207">
        <v>3500391</v>
      </c>
      <c r="G207" t="s">
        <v>362</v>
      </c>
      <c r="H207" t="s">
        <v>2397</v>
      </c>
      <c r="I207">
        <v>3154</v>
      </c>
      <c r="J207">
        <v>54</v>
      </c>
      <c r="K207">
        <v>0</v>
      </c>
      <c r="L207">
        <v>3</v>
      </c>
      <c r="M207">
        <v>5.91</v>
      </c>
      <c r="N207" t="s">
        <v>33</v>
      </c>
    </row>
    <row r="208" spans="1:15" x14ac:dyDescent="0.25">
      <c r="A208" t="s">
        <v>5966</v>
      </c>
      <c r="B208" t="s">
        <v>37</v>
      </c>
      <c r="C208" t="s">
        <v>392</v>
      </c>
      <c r="D208">
        <v>142</v>
      </c>
      <c r="E208">
        <v>837.37199999999996</v>
      </c>
      <c r="F208">
        <v>3500391</v>
      </c>
      <c r="G208" t="s">
        <v>362</v>
      </c>
      <c r="H208" t="s">
        <v>2397</v>
      </c>
      <c r="I208">
        <v>3110</v>
      </c>
      <c r="J208">
        <v>54</v>
      </c>
      <c r="K208">
        <v>0</v>
      </c>
      <c r="L208">
        <v>3</v>
      </c>
      <c r="M208">
        <v>5.91</v>
      </c>
      <c r="N208" t="s">
        <v>33</v>
      </c>
    </row>
    <row r="209" spans="1:15" x14ac:dyDescent="0.25">
      <c r="A209" t="s">
        <v>5966</v>
      </c>
      <c r="B209" t="s">
        <v>37</v>
      </c>
      <c r="C209" t="s">
        <v>392</v>
      </c>
      <c r="D209">
        <v>144</v>
      </c>
      <c r="E209">
        <v>849.21900000000005</v>
      </c>
      <c r="F209">
        <v>3500391</v>
      </c>
      <c r="G209" t="s">
        <v>362</v>
      </c>
      <c r="H209" t="s">
        <v>2397</v>
      </c>
      <c r="I209">
        <v>3154</v>
      </c>
      <c r="J209">
        <v>54</v>
      </c>
      <c r="K209">
        <v>0</v>
      </c>
      <c r="L209">
        <v>3</v>
      </c>
      <c r="M209">
        <v>5.91</v>
      </c>
      <c r="N209" t="s">
        <v>33</v>
      </c>
    </row>
    <row r="210" spans="1:15" x14ac:dyDescent="0.25">
      <c r="A210" t="s">
        <v>5966</v>
      </c>
      <c r="B210" t="s">
        <v>37</v>
      </c>
      <c r="C210" t="s">
        <v>392</v>
      </c>
      <c r="D210">
        <v>140</v>
      </c>
      <c r="E210">
        <v>825.25599999999997</v>
      </c>
      <c r="F210">
        <v>3500391</v>
      </c>
      <c r="G210" t="s">
        <v>362</v>
      </c>
      <c r="H210" t="s">
        <v>2397</v>
      </c>
      <c r="I210">
        <v>3065</v>
      </c>
      <c r="J210">
        <v>54</v>
      </c>
      <c r="K210">
        <v>0</v>
      </c>
      <c r="L210">
        <v>3</v>
      </c>
      <c r="M210">
        <v>5.91</v>
      </c>
      <c r="N210" t="s">
        <v>33</v>
      </c>
    </row>
    <row r="211" spans="1:15" x14ac:dyDescent="0.25">
      <c r="A211" t="s">
        <v>5966</v>
      </c>
      <c r="B211" t="s">
        <v>37</v>
      </c>
      <c r="C211" t="s">
        <v>392</v>
      </c>
      <c r="D211">
        <v>143</v>
      </c>
      <c r="E211">
        <v>843.56500000000005</v>
      </c>
      <c r="F211">
        <v>3500391</v>
      </c>
      <c r="G211" t="s">
        <v>362</v>
      </c>
      <c r="H211" t="s">
        <v>2397</v>
      </c>
      <c r="I211">
        <v>3133</v>
      </c>
      <c r="J211">
        <v>54</v>
      </c>
      <c r="K211">
        <v>0</v>
      </c>
      <c r="L211">
        <v>3</v>
      </c>
      <c r="M211">
        <v>5.91</v>
      </c>
      <c r="N211" t="s">
        <v>33</v>
      </c>
    </row>
    <row r="212" spans="1:15" x14ac:dyDescent="0.25">
      <c r="A212" t="s">
        <v>5966</v>
      </c>
      <c r="B212" t="s">
        <v>37</v>
      </c>
      <c r="C212" t="s">
        <v>392</v>
      </c>
      <c r="D212">
        <v>134</v>
      </c>
      <c r="E212">
        <v>789.44500000000005</v>
      </c>
      <c r="F212">
        <v>3500391</v>
      </c>
      <c r="G212" t="s">
        <v>362</v>
      </c>
      <c r="H212" t="s">
        <v>2397</v>
      </c>
      <c r="I212">
        <v>2932</v>
      </c>
      <c r="J212">
        <v>54</v>
      </c>
      <c r="K212">
        <v>0</v>
      </c>
      <c r="L212">
        <v>3</v>
      </c>
      <c r="M212">
        <v>5.91</v>
      </c>
      <c r="N212" t="s">
        <v>33</v>
      </c>
    </row>
    <row r="213" spans="1:15" x14ac:dyDescent="0.25">
      <c r="A213" t="s">
        <v>5966</v>
      </c>
      <c r="B213" t="s">
        <v>37</v>
      </c>
      <c r="C213" t="s">
        <v>392</v>
      </c>
      <c r="D213">
        <v>143</v>
      </c>
      <c r="E213">
        <v>843.56500000000005</v>
      </c>
      <c r="F213">
        <v>3500391</v>
      </c>
      <c r="G213" t="s">
        <v>362</v>
      </c>
      <c r="H213" t="s">
        <v>2397</v>
      </c>
      <c r="I213">
        <v>3133</v>
      </c>
      <c r="J213">
        <v>54</v>
      </c>
      <c r="K213">
        <v>0</v>
      </c>
      <c r="L213">
        <v>3</v>
      </c>
      <c r="M213">
        <v>5.91</v>
      </c>
      <c r="N213" t="s">
        <v>33</v>
      </c>
    </row>
    <row r="214" spans="1:15" x14ac:dyDescent="0.25">
      <c r="A214" t="s">
        <v>5966</v>
      </c>
      <c r="B214" t="s">
        <v>37</v>
      </c>
      <c r="C214" t="s">
        <v>392</v>
      </c>
      <c r="D214">
        <v>139</v>
      </c>
      <c r="E214">
        <v>819.60199999999998</v>
      </c>
      <c r="F214">
        <v>3500391</v>
      </c>
      <c r="G214" t="s">
        <v>362</v>
      </c>
      <c r="H214" t="s">
        <v>2397</v>
      </c>
      <c r="I214">
        <v>3044</v>
      </c>
      <c r="J214">
        <v>54</v>
      </c>
      <c r="K214">
        <v>0</v>
      </c>
      <c r="L214">
        <v>3</v>
      </c>
      <c r="M214">
        <v>5.91</v>
      </c>
      <c r="N214" t="s">
        <v>33</v>
      </c>
    </row>
    <row r="215" spans="1:15" x14ac:dyDescent="0.25">
      <c r="A215" t="s">
        <v>5999</v>
      </c>
      <c r="B215" t="s">
        <v>36</v>
      </c>
      <c r="C215" t="s">
        <v>392</v>
      </c>
      <c r="D215">
        <v>91</v>
      </c>
      <c r="E215">
        <v>556.74599999999998</v>
      </c>
      <c r="F215">
        <v>3500641</v>
      </c>
      <c r="G215" t="s">
        <v>362</v>
      </c>
      <c r="H215" t="s">
        <v>6009</v>
      </c>
      <c r="I215">
        <v>1325</v>
      </c>
      <c r="J215">
        <v>50</v>
      </c>
      <c r="K215">
        <v>50</v>
      </c>
      <c r="L215">
        <v>1.6</v>
      </c>
      <c r="M215">
        <v>6.1</v>
      </c>
      <c r="N215" t="s">
        <v>33</v>
      </c>
      <c r="O215" t="s">
        <v>6338</v>
      </c>
    </row>
    <row r="216" spans="1:15" x14ac:dyDescent="0.25">
      <c r="A216" t="s">
        <v>5999</v>
      </c>
      <c r="B216" t="s">
        <v>36</v>
      </c>
      <c r="C216" t="s">
        <v>392</v>
      </c>
      <c r="D216">
        <v>91</v>
      </c>
      <c r="E216">
        <v>556.74599999999998</v>
      </c>
      <c r="F216">
        <v>3500641</v>
      </c>
      <c r="G216" t="s">
        <v>362</v>
      </c>
      <c r="H216" t="s">
        <v>6009</v>
      </c>
      <c r="I216">
        <v>1325</v>
      </c>
      <c r="J216">
        <v>50</v>
      </c>
      <c r="K216">
        <v>50</v>
      </c>
      <c r="L216">
        <v>1.6</v>
      </c>
      <c r="M216">
        <v>6.1</v>
      </c>
      <c r="N216" t="s">
        <v>33</v>
      </c>
      <c r="O216" t="s">
        <v>6338</v>
      </c>
    </row>
    <row r="217" spans="1:15" x14ac:dyDescent="0.25">
      <c r="A217" t="s">
        <v>5999</v>
      </c>
      <c r="B217" t="s">
        <v>36</v>
      </c>
      <c r="C217" t="s">
        <v>392</v>
      </c>
      <c r="D217">
        <v>91</v>
      </c>
      <c r="E217">
        <v>556.74599999999998</v>
      </c>
      <c r="F217">
        <v>3500641</v>
      </c>
      <c r="G217" t="s">
        <v>362</v>
      </c>
      <c r="H217" t="s">
        <v>6009</v>
      </c>
      <c r="I217">
        <v>1325</v>
      </c>
      <c r="J217">
        <v>50</v>
      </c>
      <c r="K217">
        <v>50</v>
      </c>
      <c r="L217">
        <v>1.6</v>
      </c>
      <c r="M217">
        <v>6.1</v>
      </c>
      <c r="N217" t="s">
        <v>33</v>
      </c>
      <c r="O217" t="s">
        <v>6338</v>
      </c>
    </row>
    <row r="218" spans="1:15" x14ac:dyDescent="0.25">
      <c r="A218" t="s">
        <v>5999</v>
      </c>
      <c r="B218" t="s">
        <v>36</v>
      </c>
      <c r="C218" t="s">
        <v>392</v>
      </c>
      <c r="D218">
        <v>91</v>
      </c>
      <c r="E218">
        <v>556.74599999999998</v>
      </c>
      <c r="F218">
        <v>3500641</v>
      </c>
      <c r="G218" t="s">
        <v>362</v>
      </c>
      <c r="H218" t="s">
        <v>6009</v>
      </c>
      <c r="I218">
        <v>1325</v>
      </c>
      <c r="J218">
        <v>50</v>
      </c>
      <c r="K218">
        <v>50</v>
      </c>
      <c r="L218">
        <v>1.6</v>
      </c>
      <c r="M218">
        <v>6.1</v>
      </c>
      <c r="N218" t="s">
        <v>33</v>
      </c>
      <c r="O218" t="s">
        <v>6338</v>
      </c>
    </row>
    <row r="219" spans="1:15" x14ac:dyDescent="0.25">
      <c r="A219" t="s">
        <v>5966</v>
      </c>
      <c r="B219" t="s">
        <v>37</v>
      </c>
      <c r="C219" t="s">
        <v>392</v>
      </c>
      <c r="D219">
        <v>109</v>
      </c>
      <c r="E219">
        <v>599.17499999999995</v>
      </c>
      <c r="F219">
        <v>3500714</v>
      </c>
      <c r="G219" t="s">
        <v>362</v>
      </c>
      <c r="H219" t="s">
        <v>1922</v>
      </c>
      <c r="I219">
        <v>2236</v>
      </c>
      <c r="J219">
        <v>42.7</v>
      </c>
      <c r="K219">
        <v>0</v>
      </c>
      <c r="L219">
        <v>4</v>
      </c>
      <c r="M219">
        <v>5.5</v>
      </c>
      <c r="N219" t="s">
        <v>33</v>
      </c>
      <c r="O219" t="s">
        <v>6195</v>
      </c>
    </row>
    <row r="220" spans="1:15" x14ac:dyDescent="0.25">
      <c r="A220" t="s">
        <v>5966</v>
      </c>
      <c r="B220" t="s">
        <v>37</v>
      </c>
      <c r="C220" t="s">
        <v>392</v>
      </c>
      <c r="D220">
        <v>115</v>
      </c>
      <c r="E220">
        <v>632.93899999999996</v>
      </c>
      <c r="F220">
        <v>3500714</v>
      </c>
      <c r="G220" t="s">
        <v>362</v>
      </c>
      <c r="H220" t="s">
        <v>1922</v>
      </c>
      <c r="I220">
        <v>2362</v>
      </c>
      <c r="J220">
        <v>42.7</v>
      </c>
      <c r="K220">
        <v>0</v>
      </c>
      <c r="L220">
        <v>4</v>
      </c>
      <c r="M220">
        <v>5.5</v>
      </c>
      <c r="N220" t="s">
        <v>33</v>
      </c>
      <c r="O220" t="s">
        <v>6195</v>
      </c>
    </row>
    <row r="221" spans="1:15" x14ac:dyDescent="0.25">
      <c r="A221" t="s">
        <v>5966</v>
      </c>
      <c r="B221" t="s">
        <v>37</v>
      </c>
      <c r="C221" t="s">
        <v>392</v>
      </c>
      <c r="D221">
        <v>115</v>
      </c>
      <c r="E221">
        <v>632.93899999999996</v>
      </c>
      <c r="F221">
        <v>3500714</v>
      </c>
      <c r="G221" t="s">
        <v>362</v>
      </c>
      <c r="H221" t="s">
        <v>1922</v>
      </c>
      <c r="I221">
        <v>2362</v>
      </c>
      <c r="J221">
        <v>42.7</v>
      </c>
      <c r="K221">
        <v>0</v>
      </c>
      <c r="L221">
        <v>4</v>
      </c>
      <c r="M221">
        <v>5.5</v>
      </c>
      <c r="N221" t="s">
        <v>33</v>
      </c>
      <c r="O221" t="s">
        <v>6195</v>
      </c>
    </row>
    <row r="222" spans="1:15" x14ac:dyDescent="0.25">
      <c r="A222" t="s">
        <v>5966</v>
      </c>
      <c r="B222" t="s">
        <v>37</v>
      </c>
      <c r="C222" t="s">
        <v>392</v>
      </c>
      <c r="D222">
        <v>100</v>
      </c>
      <c r="E222">
        <v>548.79700000000003</v>
      </c>
      <c r="F222">
        <v>3500714</v>
      </c>
      <c r="G222" t="s">
        <v>362</v>
      </c>
      <c r="H222" t="s">
        <v>1922</v>
      </c>
      <c r="I222">
        <v>2048</v>
      </c>
      <c r="J222">
        <v>42.7</v>
      </c>
      <c r="K222">
        <v>0</v>
      </c>
      <c r="L222">
        <v>4</v>
      </c>
      <c r="M222">
        <v>5.5</v>
      </c>
      <c r="N222" t="s">
        <v>33</v>
      </c>
      <c r="O222" t="s">
        <v>6195</v>
      </c>
    </row>
    <row r="223" spans="1:15" x14ac:dyDescent="0.25">
      <c r="A223" t="s">
        <v>5966</v>
      </c>
      <c r="B223" t="s">
        <v>37</v>
      </c>
      <c r="C223" t="s">
        <v>392</v>
      </c>
      <c r="D223">
        <v>100</v>
      </c>
      <c r="E223">
        <v>548.79700000000003</v>
      </c>
      <c r="F223">
        <v>3500714</v>
      </c>
      <c r="G223" t="s">
        <v>362</v>
      </c>
      <c r="H223" t="s">
        <v>1922</v>
      </c>
      <c r="I223">
        <v>2048</v>
      </c>
      <c r="J223">
        <v>42.7</v>
      </c>
      <c r="K223">
        <v>0</v>
      </c>
      <c r="L223">
        <v>4</v>
      </c>
      <c r="M223">
        <v>5.5</v>
      </c>
      <c r="N223" t="s">
        <v>33</v>
      </c>
      <c r="O223" t="s">
        <v>6195</v>
      </c>
    </row>
    <row r="224" spans="1:15" x14ac:dyDescent="0.25">
      <c r="A224" t="s">
        <v>5966</v>
      </c>
      <c r="B224" t="s">
        <v>37</v>
      </c>
      <c r="C224" t="s">
        <v>392</v>
      </c>
      <c r="D224">
        <v>108</v>
      </c>
      <c r="E224">
        <v>593.81500000000005</v>
      </c>
      <c r="F224">
        <v>3500714</v>
      </c>
      <c r="G224" t="s">
        <v>362</v>
      </c>
      <c r="H224" t="s">
        <v>1922</v>
      </c>
      <c r="I224">
        <v>2216</v>
      </c>
      <c r="J224">
        <v>42.7</v>
      </c>
      <c r="K224">
        <v>0</v>
      </c>
      <c r="L224">
        <v>4</v>
      </c>
      <c r="M224">
        <v>5.5</v>
      </c>
      <c r="N224" t="s">
        <v>33</v>
      </c>
      <c r="O224" t="s">
        <v>6195</v>
      </c>
    </row>
    <row r="225" spans="1:15" x14ac:dyDescent="0.25">
      <c r="A225" t="s">
        <v>5966</v>
      </c>
      <c r="B225" t="s">
        <v>37</v>
      </c>
      <c r="C225" t="s">
        <v>392</v>
      </c>
      <c r="D225">
        <v>113</v>
      </c>
      <c r="E225">
        <v>621.952</v>
      </c>
      <c r="F225">
        <v>3500714</v>
      </c>
      <c r="G225" t="s">
        <v>362</v>
      </c>
      <c r="H225" t="s">
        <v>1922</v>
      </c>
      <c r="I225">
        <v>2321</v>
      </c>
      <c r="J225">
        <v>42.7</v>
      </c>
      <c r="K225">
        <v>0</v>
      </c>
      <c r="L225">
        <v>4</v>
      </c>
      <c r="M225">
        <v>5.5</v>
      </c>
      <c r="N225" t="s">
        <v>33</v>
      </c>
      <c r="O225" t="s">
        <v>6195</v>
      </c>
    </row>
    <row r="226" spans="1:15" x14ac:dyDescent="0.25">
      <c r="A226" t="s">
        <v>5966</v>
      </c>
      <c r="B226" t="s">
        <v>37</v>
      </c>
      <c r="C226" t="s">
        <v>392</v>
      </c>
      <c r="D226">
        <v>115</v>
      </c>
      <c r="E226">
        <v>633.20600000000002</v>
      </c>
      <c r="F226">
        <v>3500714</v>
      </c>
      <c r="G226" t="s">
        <v>362</v>
      </c>
      <c r="H226" t="s">
        <v>1922</v>
      </c>
      <c r="I226">
        <v>2363</v>
      </c>
      <c r="J226">
        <v>42.7</v>
      </c>
      <c r="K226">
        <v>0</v>
      </c>
      <c r="L226">
        <v>4</v>
      </c>
      <c r="M226">
        <v>5.5</v>
      </c>
      <c r="N226" t="s">
        <v>33</v>
      </c>
      <c r="O226" t="s">
        <v>6195</v>
      </c>
    </row>
    <row r="227" spans="1:15" x14ac:dyDescent="0.25">
      <c r="A227" t="s">
        <v>5966</v>
      </c>
      <c r="B227" t="s">
        <v>37</v>
      </c>
      <c r="C227" t="s">
        <v>392</v>
      </c>
      <c r="D227">
        <v>115</v>
      </c>
      <c r="E227">
        <v>633.20600000000002</v>
      </c>
      <c r="F227">
        <v>3500714</v>
      </c>
      <c r="G227" t="s">
        <v>362</v>
      </c>
      <c r="H227" t="s">
        <v>1922</v>
      </c>
      <c r="I227">
        <v>2363</v>
      </c>
      <c r="J227">
        <v>42.7</v>
      </c>
      <c r="K227">
        <v>0</v>
      </c>
      <c r="L227">
        <v>4</v>
      </c>
      <c r="M227">
        <v>5.5</v>
      </c>
      <c r="N227" t="s">
        <v>33</v>
      </c>
      <c r="O227" t="s">
        <v>6195</v>
      </c>
    </row>
    <row r="228" spans="1:15" x14ac:dyDescent="0.25">
      <c r="A228" t="s">
        <v>5966</v>
      </c>
      <c r="B228" t="s">
        <v>37</v>
      </c>
      <c r="C228" t="s">
        <v>392</v>
      </c>
      <c r="D228">
        <v>116</v>
      </c>
      <c r="E228">
        <v>638.83399999999995</v>
      </c>
      <c r="F228">
        <v>3500714</v>
      </c>
      <c r="G228" t="s">
        <v>362</v>
      </c>
      <c r="H228" t="s">
        <v>1922</v>
      </c>
      <c r="I228">
        <v>2384</v>
      </c>
      <c r="J228">
        <v>42.7</v>
      </c>
      <c r="K228">
        <v>0</v>
      </c>
      <c r="L228">
        <v>4</v>
      </c>
      <c r="M228">
        <v>5.5</v>
      </c>
      <c r="N228" t="s">
        <v>33</v>
      </c>
      <c r="O228" t="s">
        <v>6195</v>
      </c>
    </row>
    <row r="229" spans="1:15" x14ac:dyDescent="0.25">
      <c r="A229" t="s">
        <v>5999</v>
      </c>
      <c r="B229" t="s">
        <v>36</v>
      </c>
      <c r="C229" t="s">
        <v>392</v>
      </c>
      <c r="D229">
        <v>71</v>
      </c>
      <c r="E229">
        <v>431.95100000000002</v>
      </c>
      <c r="F229">
        <v>3500641</v>
      </c>
      <c r="G229" t="s">
        <v>362</v>
      </c>
      <c r="H229" t="s">
        <v>6009</v>
      </c>
      <c r="I229">
        <v>1028</v>
      </c>
      <c r="J229">
        <v>50</v>
      </c>
      <c r="K229">
        <v>50</v>
      </c>
      <c r="L229">
        <v>1.6</v>
      </c>
      <c r="M229">
        <v>6.1</v>
      </c>
      <c r="N229" t="s">
        <v>33</v>
      </c>
      <c r="O229" t="s">
        <v>6338</v>
      </c>
    </row>
    <row r="230" spans="1:15" x14ac:dyDescent="0.25">
      <c r="A230" t="s">
        <v>5999</v>
      </c>
      <c r="B230" t="s">
        <v>36</v>
      </c>
      <c r="C230" t="s">
        <v>392</v>
      </c>
      <c r="D230">
        <v>91</v>
      </c>
      <c r="E230">
        <v>556.74599999999998</v>
      </c>
      <c r="F230">
        <v>3500641</v>
      </c>
      <c r="G230" t="s">
        <v>362</v>
      </c>
      <c r="H230" t="s">
        <v>6009</v>
      </c>
      <c r="I230">
        <v>1325</v>
      </c>
      <c r="J230">
        <v>50</v>
      </c>
      <c r="K230">
        <v>50</v>
      </c>
      <c r="L230">
        <v>1.6</v>
      </c>
      <c r="M230">
        <v>6.1</v>
      </c>
      <c r="N230" t="s">
        <v>33</v>
      </c>
      <c r="O230" t="s">
        <v>6338</v>
      </c>
    </row>
    <row r="231" spans="1:15" x14ac:dyDescent="0.25">
      <c r="A231" t="s">
        <v>5999</v>
      </c>
      <c r="B231" t="s">
        <v>36</v>
      </c>
      <c r="C231" t="s">
        <v>392</v>
      </c>
      <c r="D231">
        <v>91</v>
      </c>
      <c r="E231">
        <v>556.74599999999998</v>
      </c>
      <c r="F231">
        <v>3500641</v>
      </c>
      <c r="G231" t="s">
        <v>362</v>
      </c>
      <c r="H231" t="s">
        <v>6009</v>
      </c>
      <c r="I231">
        <v>1325</v>
      </c>
      <c r="J231">
        <v>50</v>
      </c>
      <c r="K231">
        <v>50</v>
      </c>
      <c r="L231">
        <v>1.6</v>
      </c>
      <c r="M231">
        <v>6.1</v>
      </c>
      <c r="N231" t="s">
        <v>33</v>
      </c>
      <c r="O231" t="s">
        <v>6338</v>
      </c>
    </row>
    <row r="232" spans="1:15" x14ac:dyDescent="0.25">
      <c r="A232" t="s">
        <v>5999</v>
      </c>
      <c r="B232" t="s">
        <v>36</v>
      </c>
      <c r="C232" t="s">
        <v>392</v>
      </c>
      <c r="D232">
        <v>92</v>
      </c>
      <c r="E232">
        <v>560.94799999999998</v>
      </c>
      <c r="F232">
        <v>3500641</v>
      </c>
      <c r="G232" t="s">
        <v>362</v>
      </c>
      <c r="H232" t="s">
        <v>6009</v>
      </c>
      <c r="I232">
        <v>1335</v>
      </c>
      <c r="J232">
        <v>50</v>
      </c>
      <c r="K232">
        <v>50</v>
      </c>
      <c r="L232">
        <v>1.6</v>
      </c>
      <c r="M232">
        <v>6.1</v>
      </c>
      <c r="N232" t="s">
        <v>33</v>
      </c>
      <c r="O232" t="s">
        <v>6338</v>
      </c>
    </row>
    <row r="233" spans="1:15" x14ac:dyDescent="0.25">
      <c r="A233" t="s">
        <v>5999</v>
      </c>
      <c r="B233" t="s">
        <v>36</v>
      </c>
      <c r="C233" t="s">
        <v>392</v>
      </c>
      <c r="D233">
        <v>92</v>
      </c>
      <c r="E233">
        <v>560.94799999999998</v>
      </c>
      <c r="F233">
        <v>3500641</v>
      </c>
      <c r="G233" t="s">
        <v>362</v>
      </c>
      <c r="H233" t="s">
        <v>6009</v>
      </c>
      <c r="I233">
        <v>1335</v>
      </c>
      <c r="J233">
        <v>50</v>
      </c>
      <c r="K233">
        <v>50</v>
      </c>
      <c r="L233">
        <v>1.6</v>
      </c>
      <c r="M233">
        <v>6.1</v>
      </c>
      <c r="N233" t="s">
        <v>33</v>
      </c>
      <c r="O233" t="s">
        <v>6338</v>
      </c>
    </row>
    <row r="234" spans="1:15" x14ac:dyDescent="0.25">
      <c r="A234" t="s">
        <v>5968</v>
      </c>
      <c r="B234" t="s">
        <v>32</v>
      </c>
      <c r="C234" t="s">
        <v>392</v>
      </c>
      <c r="D234">
        <v>126</v>
      </c>
      <c r="E234">
        <v>762.71600000000001</v>
      </c>
      <c r="F234">
        <v>1931046</v>
      </c>
      <c r="G234" t="s">
        <v>362</v>
      </c>
      <c r="H234" t="s">
        <v>6082</v>
      </c>
      <c r="I234">
        <v>1549</v>
      </c>
      <c r="J234">
        <v>28.58</v>
      </c>
      <c r="K234">
        <v>0</v>
      </c>
      <c r="L234">
        <v>3.25</v>
      </c>
      <c r="M234">
        <v>6.06</v>
      </c>
      <c r="N234" t="s">
        <v>33</v>
      </c>
    </row>
    <row r="235" spans="1:15" x14ac:dyDescent="0.25">
      <c r="A235" t="s">
        <v>5966</v>
      </c>
      <c r="B235" t="s">
        <v>37</v>
      </c>
      <c r="C235" t="s">
        <v>392</v>
      </c>
      <c r="D235">
        <v>118</v>
      </c>
      <c r="E235">
        <v>674.279</v>
      </c>
      <c r="F235">
        <v>3907863</v>
      </c>
      <c r="G235" t="s">
        <v>345</v>
      </c>
      <c r="H235" t="s">
        <v>1749</v>
      </c>
      <c r="I235">
        <v>2185</v>
      </c>
      <c r="J235">
        <v>57.15</v>
      </c>
      <c r="K235">
        <v>0</v>
      </c>
      <c r="L235">
        <v>2.5</v>
      </c>
      <c r="M235">
        <v>5.7110000000000003</v>
      </c>
      <c r="N235" t="s">
        <v>33</v>
      </c>
      <c r="O235" t="s">
        <v>6205</v>
      </c>
    </row>
    <row r="236" spans="1:15" x14ac:dyDescent="0.25">
      <c r="A236" t="s">
        <v>5966</v>
      </c>
      <c r="B236" t="s">
        <v>37</v>
      </c>
      <c r="C236" t="s">
        <v>392</v>
      </c>
      <c r="D236">
        <v>118</v>
      </c>
      <c r="E236">
        <v>674.279</v>
      </c>
      <c r="F236">
        <v>3907863</v>
      </c>
      <c r="G236" t="s">
        <v>345</v>
      </c>
      <c r="H236" t="s">
        <v>1749</v>
      </c>
      <c r="I236">
        <v>2185</v>
      </c>
      <c r="J236">
        <v>57.15</v>
      </c>
      <c r="K236">
        <v>0</v>
      </c>
      <c r="L236">
        <v>2.5</v>
      </c>
      <c r="M236">
        <v>5.7110000000000003</v>
      </c>
      <c r="N236" t="s">
        <v>33</v>
      </c>
      <c r="O236" t="s">
        <v>6205</v>
      </c>
    </row>
    <row r="237" spans="1:15" x14ac:dyDescent="0.25">
      <c r="A237" t="s">
        <v>5966</v>
      </c>
      <c r="B237" t="s">
        <v>37</v>
      </c>
      <c r="C237" t="s">
        <v>392</v>
      </c>
      <c r="D237">
        <v>80</v>
      </c>
      <c r="E237">
        <v>456.72</v>
      </c>
      <c r="F237">
        <v>3907863</v>
      </c>
      <c r="G237" t="s">
        <v>345</v>
      </c>
      <c r="H237" t="s">
        <v>1749</v>
      </c>
      <c r="I237">
        <v>1480</v>
      </c>
      <c r="J237">
        <v>57.15</v>
      </c>
      <c r="K237">
        <v>0</v>
      </c>
      <c r="L237">
        <v>2.5</v>
      </c>
      <c r="M237">
        <v>5.7110000000000003</v>
      </c>
      <c r="N237" t="s">
        <v>33</v>
      </c>
      <c r="O237" t="s">
        <v>6205</v>
      </c>
    </row>
    <row r="238" spans="1:15" x14ac:dyDescent="0.25">
      <c r="A238" t="s">
        <v>5966</v>
      </c>
      <c r="B238" t="s">
        <v>37</v>
      </c>
      <c r="C238" t="s">
        <v>392</v>
      </c>
      <c r="D238">
        <v>80</v>
      </c>
      <c r="E238">
        <v>456.72</v>
      </c>
      <c r="F238">
        <v>3907863</v>
      </c>
      <c r="G238" t="s">
        <v>345</v>
      </c>
      <c r="H238" t="s">
        <v>1749</v>
      </c>
      <c r="I238">
        <v>1480</v>
      </c>
      <c r="J238">
        <v>57.15</v>
      </c>
      <c r="K238">
        <v>0</v>
      </c>
      <c r="L238">
        <v>2.5</v>
      </c>
      <c r="M238">
        <v>5.7110000000000003</v>
      </c>
      <c r="N238" t="s">
        <v>33</v>
      </c>
      <c r="O238" t="s">
        <v>6205</v>
      </c>
    </row>
    <row r="239" spans="1:15" x14ac:dyDescent="0.25">
      <c r="A239" t="s">
        <v>5966</v>
      </c>
      <c r="B239" t="s">
        <v>37</v>
      </c>
      <c r="C239" t="s">
        <v>392</v>
      </c>
      <c r="D239">
        <v>84</v>
      </c>
      <c r="E239">
        <v>478.32100000000003</v>
      </c>
      <c r="F239">
        <v>3907863</v>
      </c>
      <c r="G239" t="s">
        <v>345</v>
      </c>
      <c r="H239" t="s">
        <v>1749</v>
      </c>
      <c r="I239">
        <v>1550</v>
      </c>
      <c r="J239">
        <v>57.15</v>
      </c>
      <c r="K239">
        <v>0</v>
      </c>
      <c r="L239">
        <v>2.5</v>
      </c>
      <c r="M239">
        <v>5.7110000000000003</v>
      </c>
      <c r="N239" t="s">
        <v>33</v>
      </c>
      <c r="O239" t="s">
        <v>6205</v>
      </c>
    </row>
    <row r="240" spans="1:15" x14ac:dyDescent="0.25">
      <c r="A240" t="s">
        <v>5966</v>
      </c>
      <c r="B240" t="s">
        <v>37</v>
      </c>
      <c r="C240" t="s">
        <v>392</v>
      </c>
      <c r="D240">
        <v>84</v>
      </c>
      <c r="E240">
        <v>478.32100000000003</v>
      </c>
      <c r="F240">
        <v>3907863</v>
      </c>
      <c r="G240" t="s">
        <v>345</v>
      </c>
      <c r="H240" t="s">
        <v>1749</v>
      </c>
      <c r="I240">
        <v>1550</v>
      </c>
      <c r="J240">
        <v>57.15</v>
      </c>
      <c r="K240">
        <v>0</v>
      </c>
      <c r="L240">
        <v>2.5</v>
      </c>
      <c r="M240">
        <v>5.7110000000000003</v>
      </c>
      <c r="N240" t="s">
        <v>33</v>
      </c>
      <c r="O240" t="s">
        <v>6205</v>
      </c>
    </row>
    <row r="241" spans="1:15" x14ac:dyDescent="0.25">
      <c r="A241" t="s">
        <v>5966</v>
      </c>
      <c r="B241" t="s">
        <v>37</v>
      </c>
      <c r="C241" t="s">
        <v>392</v>
      </c>
      <c r="D241">
        <v>80</v>
      </c>
      <c r="E241">
        <v>456.72</v>
      </c>
      <c r="F241">
        <v>3907863</v>
      </c>
      <c r="G241" t="s">
        <v>345</v>
      </c>
      <c r="H241" t="s">
        <v>1749</v>
      </c>
      <c r="I241">
        <v>1480</v>
      </c>
      <c r="J241">
        <v>57.15</v>
      </c>
      <c r="K241">
        <v>0</v>
      </c>
      <c r="L241">
        <v>2.5</v>
      </c>
      <c r="M241">
        <v>5.7110000000000003</v>
      </c>
      <c r="N241" t="s">
        <v>33</v>
      </c>
      <c r="O241" t="s">
        <v>6205</v>
      </c>
    </row>
    <row r="242" spans="1:15" x14ac:dyDescent="0.25">
      <c r="A242" t="s">
        <v>5966</v>
      </c>
      <c r="B242" t="s">
        <v>37</v>
      </c>
      <c r="C242" t="s">
        <v>392</v>
      </c>
      <c r="D242">
        <v>80</v>
      </c>
      <c r="E242">
        <v>456.72</v>
      </c>
      <c r="F242">
        <v>3907863</v>
      </c>
      <c r="G242" t="s">
        <v>345</v>
      </c>
      <c r="H242" t="s">
        <v>1749</v>
      </c>
      <c r="I242">
        <v>1480</v>
      </c>
      <c r="J242">
        <v>57.15</v>
      </c>
      <c r="K242">
        <v>0</v>
      </c>
      <c r="L242">
        <v>2.5</v>
      </c>
      <c r="M242">
        <v>5.7110000000000003</v>
      </c>
      <c r="N242" t="s">
        <v>33</v>
      </c>
      <c r="O242" t="s">
        <v>6205</v>
      </c>
    </row>
    <row r="243" spans="1:15" x14ac:dyDescent="0.25">
      <c r="A243" t="s">
        <v>5966</v>
      </c>
      <c r="B243" t="s">
        <v>37</v>
      </c>
      <c r="C243" t="s">
        <v>392</v>
      </c>
      <c r="D243">
        <v>82</v>
      </c>
      <c r="E243">
        <v>465.97699999999998</v>
      </c>
      <c r="F243">
        <v>3907863</v>
      </c>
      <c r="G243" t="s">
        <v>345</v>
      </c>
      <c r="H243" t="s">
        <v>1749</v>
      </c>
      <c r="I243">
        <v>1510</v>
      </c>
      <c r="J243">
        <v>57.15</v>
      </c>
      <c r="K243">
        <v>0</v>
      </c>
      <c r="L243">
        <v>2.5</v>
      </c>
      <c r="M243">
        <v>5.7110000000000003</v>
      </c>
      <c r="N243" t="s">
        <v>33</v>
      </c>
      <c r="O243" t="s">
        <v>6205</v>
      </c>
    </row>
    <row r="244" spans="1:15" x14ac:dyDescent="0.25">
      <c r="A244" t="s">
        <v>5966</v>
      </c>
      <c r="B244" t="s">
        <v>37</v>
      </c>
      <c r="C244" t="s">
        <v>392</v>
      </c>
      <c r="D244">
        <v>82</v>
      </c>
      <c r="E244">
        <v>465.97699999999998</v>
      </c>
      <c r="F244">
        <v>3907863</v>
      </c>
      <c r="G244" t="s">
        <v>345</v>
      </c>
      <c r="H244" t="s">
        <v>1749</v>
      </c>
      <c r="I244">
        <v>1510</v>
      </c>
      <c r="J244">
        <v>57.15</v>
      </c>
      <c r="K244">
        <v>0</v>
      </c>
      <c r="L244">
        <v>2.5</v>
      </c>
      <c r="M244">
        <v>5.7110000000000003</v>
      </c>
      <c r="N244" t="s">
        <v>33</v>
      </c>
      <c r="O244" t="s">
        <v>6205</v>
      </c>
    </row>
    <row r="245" spans="1:15" x14ac:dyDescent="0.25">
      <c r="A245" t="s">
        <v>5966</v>
      </c>
      <c r="B245" t="s">
        <v>37</v>
      </c>
      <c r="C245" t="s">
        <v>392</v>
      </c>
      <c r="D245">
        <v>78</v>
      </c>
      <c r="E245">
        <v>445.91899999999998</v>
      </c>
      <c r="F245">
        <v>3907863</v>
      </c>
      <c r="G245" t="s">
        <v>345</v>
      </c>
      <c r="H245" t="s">
        <v>1749</v>
      </c>
      <c r="I245">
        <v>1445</v>
      </c>
      <c r="J245">
        <v>57.15</v>
      </c>
      <c r="K245">
        <v>0</v>
      </c>
      <c r="L245">
        <v>2.5</v>
      </c>
      <c r="M245">
        <v>5.7110000000000003</v>
      </c>
      <c r="N245" t="s">
        <v>33</v>
      </c>
      <c r="O245" t="s">
        <v>6205</v>
      </c>
    </row>
    <row r="246" spans="1:15" x14ac:dyDescent="0.25">
      <c r="A246" t="s">
        <v>5966</v>
      </c>
      <c r="B246" t="s">
        <v>37</v>
      </c>
      <c r="C246" t="s">
        <v>392</v>
      </c>
      <c r="D246">
        <v>78</v>
      </c>
      <c r="E246">
        <v>445.91899999999998</v>
      </c>
      <c r="F246">
        <v>3907863</v>
      </c>
      <c r="G246" t="s">
        <v>345</v>
      </c>
      <c r="H246" t="s">
        <v>1749</v>
      </c>
      <c r="I246">
        <v>1445</v>
      </c>
      <c r="J246">
        <v>57.15</v>
      </c>
      <c r="K246">
        <v>0</v>
      </c>
      <c r="L246">
        <v>2.5</v>
      </c>
      <c r="M246">
        <v>5.7110000000000003</v>
      </c>
      <c r="N246" t="s">
        <v>33</v>
      </c>
      <c r="O246" t="s">
        <v>6205</v>
      </c>
    </row>
    <row r="247" spans="1:15" x14ac:dyDescent="0.25">
      <c r="A247" t="s">
        <v>5966</v>
      </c>
      <c r="B247" t="s">
        <v>37</v>
      </c>
      <c r="C247" t="s">
        <v>392</v>
      </c>
      <c r="D247">
        <v>76</v>
      </c>
      <c r="E247">
        <v>432.03199999999998</v>
      </c>
      <c r="F247">
        <v>3907863</v>
      </c>
      <c r="G247" t="s">
        <v>345</v>
      </c>
      <c r="H247" t="s">
        <v>1749</v>
      </c>
      <c r="I247">
        <v>1400</v>
      </c>
      <c r="J247">
        <v>57.15</v>
      </c>
      <c r="K247">
        <v>0</v>
      </c>
      <c r="L247">
        <v>2.5</v>
      </c>
      <c r="M247">
        <v>5.7110000000000003</v>
      </c>
      <c r="N247" t="s">
        <v>33</v>
      </c>
      <c r="O247" t="s">
        <v>6205</v>
      </c>
    </row>
    <row r="248" spans="1:15" x14ac:dyDescent="0.25">
      <c r="A248" t="s">
        <v>5966</v>
      </c>
      <c r="B248" t="s">
        <v>37</v>
      </c>
      <c r="C248" t="s">
        <v>392</v>
      </c>
      <c r="D248">
        <v>76</v>
      </c>
      <c r="E248">
        <v>432.03199999999998</v>
      </c>
      <c r="F248">
        <v>3907863</v>
      </c>
      <c r="G248" t="s">
        <v>345</v>
      </c>
      <c r="H248" t="s">
        <v>1749</v>
      </c>
      <c r="I248">
        <v>1400</v>
      </c>
      <c r="J248">
        <v>57.15</v>
      </c>
      <c r="K248">
        <v>0</v>
      </c>
      <c r="L248">
        <v>2.5</v>
      </c>
      <c r="M248">
        <v>5.7110000000000003</v>
      </c>
      <c r="N248" t="s">
        <v>33</v>
      </c>
      <c r="O248" t="s">
        <v>6205</v>
      </c>
    </row>
    <row r="249" spans="1:15" x14ac:dyDescent="0.25">
      <c r="A249" t="s">
        <v>5966</v>
      </c>
      <c r="B249" t="s">
        <v>37</v>
      </c>
      <c r="C249" t="s">
        <v>392</v>
      </c>
      <c r="D249">
        <v>82</v>
      </c>
      <c r="E249">
        <v>465.97699999999998</v>
      </c>
      <c r="F249">
        <v>3907863</v>
      </c>
      <c r="G249" t="s">
        <v>345</v>
      </c>
      <c r="H249" t="s">
        <v>1749</v>
      </c>
      <c r="I249">
        <v>1510</v>
      </c>
      <c r="J249">
        <v>57.15</v>
      </c>
      <c r="K249">
        <v>0</v>
      </c>
      <c r="L249">
        <v>2.5</v>
      </c>
      <c r="M249">
        <v>5.7110000000000003</v>
      </c>
      <c r="N249" t="s">
        <v>33</v>
      </c>
      <c r="O249" t="s">
        <v>6205</v>
      </c>
    </row>
    <row r="250" spans="1:15" x14ac:dyDescent="0.25">
      <c r="A250" t="s">
        <v>5966</v>
      </c>
      <c r="B250" t="s">
        <v>37</v>
      </c>
      <c r="C250" t="s">
        <v>392</v>
      </c>
      <c r="D250">
        <v>82</v>
      </c>
      <c r="E250">
        <v>465.97699999999998</v>
      </c>
      <c r="F250">
        <v>3907863</v>
      </c>
      <c r="G250" t="s">
        <v>345</v>
      </c>
      <c r="H250" t="s">
        <v>1749</v>
      </c>
      <c r="I250">
        <v>1510</v>
      </c>
      <c r="J250">
        <v>57.15</v>
      </c>
      <c r="K250">
        <v>0</v>
      </c>
      <c r="L250">
        <v>2.5</v>
      </c>
      <c r="M250">
        <v>5.7110000000000003</v>
      </c>
      <c r="N250" t="s">
        <v>33</v>
      </c>
      <c r="O250" t="s">
        <v>6205</v>
      </c>
    </row>
    <row r="251" spans="1:15" x14ac:dyDescent="0.25">
      <c r="A251" t="s">
        <v>5966</v>
      </c>
      <c r="B251" t="s">
        <v>37</v>
      </c>
      <c r="C251" t="s">
        <v>392</v>
      </c>
      <c r="D251">
        <v>80</v>
      </c>
      <c r="E251">
        <v>457.33699999999999</v>
      </c>
      <c r="F251">
        <v>3907863</v>
      </c>
      <c r="G251" t="s">
        <v>345</v>
      </c>
      <c r="H251" t="s">
        <v>1749</v>
      </c>
      <c r="I251">
        <v>1482</v>
      </c>
      <c r="J251">
        <v>57.15</v>
      </c>
      <c r="K251">
        <v>0</v>
      </c>
      <c r="L251">
        <v>2.5</v>
      </c>
      <c r="M251">
        <v>5.7110000000000003</v>
      </c>
      <c r="N251" t="s">
        <v>33</v>
      </c>
      <c r="O251" t="s">
        <v>6205</v>
      </c>
    </row>
    <row r="252" spans="1:15" x14ac:dyDescent="0.25">
      <c r="A252" t="s">
        <v>5966</v>
      </c>
      <c r="B252" t="s">
        <v>37</v>
      </c>
      <c r="C252" t="s">
        <v>392</v>
      </c>
      <c r="D252">
        <v>80</v>
      </c>
      <c r="E252">
        <v>457.33699999999999</v>
      </c>
      <c r="F252">
        <v>3907863</v>
      </c>
      <c r="G252" t="s">
        <v>345</v>
      </c>
      <c r="H252" t="s">
        <v>1749</v>
      </c>
      <c r="I252">
        <v>1482</v>
      </c>
      <c r="J252">
        <v>57.15</v>
      </c>
      <c r="K252">
        <v>0</v>
      </c>
      <c r="L252">
        <v>2.5</v>
      </c>
      <c r="M252">
        <v>5.7110000000000003</v>
      </c>
      <c r="N252" t="s">
        <v>33</v>
      </c>
      <c r="O252" t="s">
        <v>6205</v>
      </c>
    </row>
    <row r="253" spans="1:15" x14ac:dyDescent="0.25">
      <c r="A253" t="s">
        <v>5966</v>
      </c>
      <c r="B253" t="s">
        <v>37</v>
      </c>
      <c r="C253" t="s">
        <v>392</v>
      </c>
      <c r="D253">
        <v>73</v>
      </c>
      <c r="E253">
        <v>415.67700000000002</v>
      </c>
      <c r="F253">
        <v>3907863</v>
      </c>
      <c r="G253" t="s">
        <v>345</v>
      </c>
      <c r="H253" t="s">
        <v>1749</v>
      </c>
      <c r="I253">
        <v>1347</v>
      </c>
      <c r="J253">
        <v>57.15</v>
      </c>
      <c r="K253">
        <v>0</v>
      </c>
      <c r="L253">
        <v>2.5</v>
      </c>
      <c r="M253">
        <v>5.7110000000000003</v>
      </c>
      <c r="N253" t="s">
        <v>33</v>
      </c>
      <c r="O253" t="s">
        <v>6205</v>
      </c>
    </row>
    <row r="254" spans="1:15" x14ac:dyDescent="0.25">
      <c r="A254" t="s">
        <v>5966</v>
      </c>
      <c r="B254" t="s">
        <v>37</v>
      </c>
      <c r="C254" t="s">
        <v>392</v>
      </c>
      <c r="D254">
        <v>73</v>
      </c>
      <c r="E254">
        <v>415.67700000000002</v>
      </c>
      <c r="F254">
        <v>3907863</v>
      </c>
      <c r="G254" t="s">
        <v>345</v>
      </c>
      <c r="H254" t="s">
        <v>1749</v>
      </c>
      <c r="I254">
        <v>1347</v>
      </c>
      <c r="J254">
        <v>57.15</v>
      </c>
      <c r="K254">
        <v>0</v>
      </c>
      <c r="L254">
        <v>2.5</v>
      </c>
      <c r="M254">
        <v>5.7110000000000003</v>
      </c>
      <c r="N254" t="s">
        <v>33</v>
      </c>
      <c r="O254" t="s">
        <v>6205</v>
      </c>
    </row>
    <row r="255" spans="1:15" x14ac:dyDescent="0.25">
      <c r="A255" t="s">
        <v>5966</v>
      </c>
      <c r="B255" t="s">
        <v>37</v>
      </c>
      <c r="C255" t="s">
        <v>392</v>
      </c>
      <c r="D255">
        <v>81</v>
      </c>
      <c r="E255">
        <v>463.2</v>
      </c>
      <c r="F255">
        <v>3907863</v>
      </c>
      <c r="G255" t="s">
        <v>345</v>
      </c>
      <c r="H255" t="s">
        <v>1749</v>
      </c>
      <c r="I255">
        <v>1501</v>
      </c>
      <c r="J255">
        <v>57.15</v>
      </c>
      <c r="K255">
        <v>0</v>
      </c>
      <c r="L255">
        <v>2.5</v>
      </c>
      <c r="M255">
        <v>5.7110000000000003</v>
      </c>
      <c r="N255" t="s">
        <v>33</v>
      </c>
      <c r="O255" t="s">
        <v>6205</v>
      </c>
    </row>
    <row r="256" spans="1:15" x14ac:dyDescent="0.25">
      <c r="A256" t="s">
        <v>5966</v>
      </c>
      <c r="B256" t="s">
        <v>37</v>
      </c>
      <c r="C256" t="s">
        <v>392</v>
      </c>
      <c r="D256">
        <v>81</v>
      </c>
      <c r="E256">
        <v>463.2</v>
      </c>
      <c r="F256">
        <v>3907863</v>
      </c>
      <c r="G256" t="s">
        <v>345</v>
      </c>
      <c r="H256" t="s">
        <v>1749</v>
      </c>
      <c r="I256">
        <v>1501</v>
      </c>
      <c r="J256">
        <v>57.15</v>
      </c>
      <c r="K256">
        <v>0</v>
      </c>
      <c r="L256">
        <v>2.5</v>
      </c>
      <c r="M256">
        <v>5.7110000000000003</v>
      </c>
      <c r="N256" t="s">
        <v>33</v>
      </c>
      <c r="O256" t="s">
        <v>6205</v>
      </c>
    </row>
    <row r="257" spans="1:15" x14ac:dyDescent="0.25">
      <c r="A257" t="s">
        <v>5966</v>
      </c>
      <c r="B257" t="s">
        <v>37</v>
      </c>
      <c r="C257" t="s">
        <v>392</v>
      </c>
      <c r="D257">
        <v>74</v>
      </c>
      <c r="E257">
        <v>421.84800000000001</v>
      </c>
      <c r="F257">
        <v>3907863</v>
      </c>
      <c r="G257" t="s">
        <v>345</v>
      </c>
      <c r="H257" t="s">
        <v>1749</v>
      </c>
      <c r="I257">
        <v>1367</v>
      </c>
      <c r="J257">
        <v>57.15</v>
      </c>
      <c r="K257">
        <v>0</v>
      </c>
      <c r="L257">
        <v>2.5</v>
      </c>
      <c r="M257">
        <v>5.7110000000000003</v>
      </c>
      <c r="N257" t="s">
        <v>33</v>
      </c>
      <c r="O257" t="s">
        <v>6205</v>
      </c>
    </row>
    <row r="258" spans="1:15" x14ac:dyDescent="0.25">
      <c r="A258" t="s">
        <v>5966</v>
      </c>
      <c r="B258" t="s">
        <v>37</v>
      </c>
      <c r="C258" t="s">
        <v>392</v>
      </c>
      <c r="D258">
        <v>74</v>
      </c>
      <c r="E258">
        <v>421.84800000000001</v>
      </c>
      <c r="F258">
        <v>3907863</v>
      </c>
      <c r="G258" t="s">
        <v>345</v>
      </c>
      <c r="H258" t="s">
        <v>1749</v>
      </c>
      <c r="I258">
        <v>1367</v>
      </c>
      <c r="J258">
        <v>57.15</v>
      </c>
      <c r="K258">
        <v>0</v>
      </c>
      <c r="L258">
        <v>2.5</v>
      </c>
      <c r="M258">
        <v>5.7110000000000003</v>
      </c>
      <c r="N258" t="s">
        <v>33</v>
      </c>
      <c r="O258" t="s">
        <v>6205</v>
      </c>
    </row>
    <row r="259" spans="1:15" x14ac:dyDescent="0.25">
      <c r="A259" t="s">
        <v>5966</v>
      </c>
      <c r="B259" t="s">
        <v>37</v>
      </c>
      <c r="C259" t="s">
        <v>392</v>
      </c>
      <c r="D259">
        <v>80</v>
      </c>
      <c r="E259">
        <v>457.33699999999999</v>
      </c>
      <c r="F259">
        <v>3907863</v>
      </c>
      <c r="G259" t="s">
        <v>345</v>
      </c>
      <c r="H259" t="s">
        <v>1749</v>
      </c>
      <c r="I259">
        <v>1482</v>
      </c>
      <c r="J259">
        <v>57.15</v>
      </c>
      <c r="K259">
        <v>0</v>
      </c>
      <c r="L259">
        <v>2.5</v>
      </c>
      <c r="M259">
        <v>5.7110000000000003</v>
      </c>
      <c r="N259" t="s">
        <v>33</v>
      </c>
      <c r="O259" t="s">
        <v>6205</v>
      </c>
    </row>
    <row r="260" spans="1:15" x14ac:dyDescent="0.25">
      <c r="A260" t="s">
        <v>5966</v>
      </c>
      <c r="B260" t="s">
        <v>37</v>
      </c>
      <c r="C260" t="s">
        <v>392</v>
      </c>
      <c r="D260">
        <v>80</v>
      </c>
      <c r="E260">
        <v>457.33699999999999</v>
      </c>
      <c r="F260">
        <v>3907863</v>
      </c>
      <c r="G260" t="s">
        <v>345</v>
      </c>
      <c r="H260" t="s">
        <v>1749</v>
      </c>
      <c r="I260">
        <v>1482</v>
      </c>
      <c r="J260">
        <v>57.15</v>
      </c>
      <c r="K260">
        <v>0</v>
      </c>
      <c r="L260">
        <v>2.5</v>
      </c>
      <c r="M260">
        <v>5.7110000000000003</v>
      </c>
      <c r="N260" t="s">
        <v>33</v>
      </c>
      <c r="O260" t="s">
        <v>6205</v>
      </c>
    </row>
    <row r="261" spans="1:15" x14ac:dyDescent="0.25">
      <c r="A261" t="s">
        <v>5966</v>
      </c>
      <c r="B261" t="s">
        <v>37</v>
      </c>
      <c r="C261" t="s">
        <v>392</v>
      </c>
      <c r="D261">
        <v>79</v>
      </c>
      <c r="E261">
        <v>451.47399999999999</v>
      </c>
      <c r="F261">
        <v>3907863</v>
      </c>
      <c r="G261" t="s">
        <v>345</v>
      </c>
      <c r="H261" t="s">
        <v>1749</v>
      </c>
      <c r="I261">
        <v>1463</v>
      </c>
      <c r="J261">
        <v>57.15</v>
      </c>
      <c r="K261">
        <v>0</v>
      </c>
      <c r="L261">
        <v>2.5</v>
      </c>
      <c r="M261">
        <v>5.7110000000000003</v>
      </c>
      <c r="N261" t="s">
        <v>33</v>
      </c>
      <c r="O261" t="s">
        <v>6205</v>
      </c>
    </row>
    <row r="262" spans="1:15" x14ac:dyDescent="0.25">
      <c r="A262" t="s">
        <v>5966</v>
      </c>
      <c r="B262" t="s">
        <v>37</v>
      </c>
      <c r="C262" t="s">
        <v>392</v>
      </c>
      <c r="D262">
        <v>79</v>
      </c>
      <c r="E262">
        <v>451.47399999999999</v>
      </c>
      <c r="F262">
        <v>3907863</v>
      </c>
      <c r="G262" t="s">
        <v>345</v>
      </c>
      <c r="H262" t="s">
        <v>1749</v>
      </c>
      <c r="I262">
        <v>1463</v>
      </c>
      <c r="J262">
        <v>57.15</v>
      </c>
      <c r="K262">
        <v>0</v>
      </c>
      <c r="L262">
        <v>2.5</v>
      </c>
      <c r="M262">
        <v>5.7110000000000003</v>
      </c>
      <c r="N262" t="s">
        <v>33</v>
      </c>
      <c r="O262" t="s">
        <v>6205</v>
      </c>
    </row>
    <row r="263" spans="1:15" x14ac:dyDescent="0.25">
      <c r="A263" t="s">
        <v>5966</v>
      </c>
      <c r="B263" t="s">
        <v>37</v>
      </c>
      <c r="C263" t="s">
        <v>392</v>
      </c>
      <c r="D263">
        <v>78</v>
      </c>
      <c r="E263">
        <v>445.61</v>
      </c>
      <c r="F263">
        <v>3907863</v>
      </c>
      <c r="G263" t="s">
        <v>345</v>
      </c>
      <c r="H263" t="s">
        <v>1749</v>
      </c>
      <c r="I263">
        <v>1444</v>
      </c>
      <c r="J263">
        <v>57.15</v>
      </c>
      <c r="K263">
        <v>0</v>
      </c>
      <c r="L263">
        <v>2.5</v>
      </c>
      <c r="M263">
        <v>5.7110000000000003</v>
      </c>
      <c r="N263" t="s">
        <v>33</v>
      </c>
      <c r="O263" t="s">
        <v>6205</v>
      </c>
    </row>
    <row r="264" spans="1:15" x14ac:dyDescent="0.25">
      <c r="A264" t="s">
        <v>5966</v>
      </c>
      <c r="B264" t="s">
        <v>37</v>
      </c>
      <c r="C264" t="s">
        <v>392</v>
      </c>
      <c r="D264">
        <v>78</v>
      </c>
      <c r="E264">
        <v>445.61</v>
      </c>
      <c r="F264">
        <v>3907863</v>
      </c>
      <c r="G264" t="s">
        <v>345</v>
      </c>
      <c r="H264" t="s">
        <v>1749</v>
      </c>
      <c r="I264">
        <v>1444</v>
      </c>
      <c r="J264">
        <v>57.15</v>
      </c>
      <c r="K264">
        <v>0</v>
      </c>
      <c r="L264">
        <v>2.5</v>
      </c>
      <c r="M264">
        <v>5.7110000000000003</v>
      </c>
      <c r="N264" t="s">
        <v>33</v>
      </c>
      <c r="O264" t="s">
        <v>6205</v>
      </c>
    </row>
    <row r="265" spans="1:15" x14ac:dyDescent="0.25">
      <c r="A265" t="s">
        <v>5966</v>
      </c>
      <c r="B265" t="s">
        <v>37</v>
      </c>
      <c r="C265" t="s">
        <v>392</v>
      </c>
      <c r="D265">
        <v>29</v>
      </c>
      <c r="E265">
        <v>164.78899999999999</v>
      </c>
      <c r="F265">
        <v>3907863</v>
      </c>
      <c r="G265" t="s">
        <v>345</v>
      </c>
      <c r="H265" t="s">
        <v>1749</v>
      </c>
      <c r="I265">
        <v>534</v>
      </c>
      <c r="J265">
        <v>57.15</v>
      </c>
      <c r="K265">
        <v>0</v>
      </c>
      <c r="L265">
        <v>2.5</v>
      </c>
      <c r="M265">
        <v>5.7110000000000003</v>
      </c>
      <c r="N265" t="s">
        <v>33</v>
      </c>
      <c r="O265" t="s">
        <v>6205</v>
      </c>
    </row>
    <row r="266" spans="1:15" x14ac:dyDescent="0.25">
      <c r="A266" t="s">
        <v>5966</v>
      </c>
      <c r="B266" t="s">
        <v>37</v>
      </c>
      <c r="C266" t="s">
        <v>392</v>
      </c>
      <c r="D266">
        <v>29</v>
      </c>
      <c r="E266">
        <v>164.78899999999999</v>
      </c>
      <c r="F266">
        <v>3907863</v>
      </c>
      <c r="G266" t="s">
        <v>345</v>
      </c>
      <c r="H266" t="s">
        <v>1749</v>
      </c>
      <c r="I266">
        <v>534</v>
      </c>
      <c r="J266">
        <v>57.15</v>
      </c>
      <c r="K266">
        <v>0</v>
      </c>
      <c r="L266">
        <v>2.5</v>
      </c>
      <c r="M266">
        <v>5.7110000000000003</v>
      </c>
      <c r="N266" t="s">
        <v>33</v>
      </c>
      <c r="O266" t="s">
        <v>6205</v>
      </c>
    </row>
    <row r="267" spans="1:15" x14ac:dyDescent="0.25">
      <c r="A267" t="s">
        <v>5966</v>
      </c>
      <c r="B267" t="s">
        <v>37</v>
      </c>
      <c r="C267" t="s">
        <v>392</v>
      </c>
      <c r="D267">
        <v>79</v>
      </c>
      <c r="E267">
        <v>452.09100000000001</v>
      </c>
      <c r="F267">
        <v>3907863</v>
      </c>
      <c r="G267" t="s">
        <v>345</v>
      </c>
      <c r="H267" t="s">
        <v>1749</v>
      </c>
      <c r="I267">
        <v>1465</v>
      </c>
      <c r="J267">
        <v>57.15</v>
      </c>
      <c r="K267">
        <v>0</v>
      </c>
      <c r="L267">
        <v>2.5</v>
      </c>
      <c r="M267">
        <v>5.7110000000000003</v>
      </c>
      <c r="N267" t="s">
        <v>33</v>
      </c>
      <c r="O267" t="s">
        <v>6205</v>
      </c>
    </row>
    <row r="268" spans="1:15" x14ac:dyDescent="0.25">
      <c r="A268" t="s">
        <v>5966</v>
      </c>
      <c r="B268" t="s">
        <v>37</v>
      </c>
      <c r="C268" t="s">
        <v>392</v>
      </c>
      <c r="D268">
        <v>79</v>
      </c>
      <c r="E268">
        <v>452.09100000000001</v>
      </c>
      <c r="F268">
        <v>3907863</v>
      </c>
      <c r="G268" t="s">
        <v>345</v>
      </c>
      <c r="H268" t="s">
        <v>1749</v>
      </c>
      <c r="I268">
        <v>1465</v>
      </c>
      <c r="J268">
        <v>57.15</v>
      </c>
      <c r="K268">
        <v>0</v>
      </c>
      <c r="L268">
        <v>2.5</v>
      </c>
      <c r="M268">
        <v>5.7110000000000003</v>
      </c>
      <c r="N268" t="s">
        <v>33</v>
      </c>
      <c r="O268" t="s">
        <v>6205</v>
      </c>
    </row>
    <row r="269" spans="1:15" x14ac:dyDescent="0.25">
      <c r="A269" t="s">
        <v>5966</v>
      </c>
      <c r="B269" t="s">
        <v>37</v>
      </c>
      <c r="C269" t="s">
        <v>392</v>
      </c>
      <c r="D269">
        <v>79</v>
      </c>
      <c r="E269">
        <v>452.09100000000001</v>
      </c>
      <c r="F269">
        <v>3907863</v>
      </c>
      <c r="G269" t="s">
        <v>345</v>
      </c>
      <c r="H269" t="s">
        <v>1749</v>
      </c>
      <c r="I269">
        <v>1465</v>
      </c>
      <c r="J269">
        <v>57.15</v>
      </c>
      <c r="K269">
        <v>0</v>
      </c>
      <c r="L269">
        <v>2.5</v>
      </c>
      <c r="M269">
        <v>5.7110000000000003</v>
      </c>
      <c r="N269" t="s">
        <v>33</v>
      </c>
      <c r="O269" t="s">
        <v>6205</v>
      </c>
    </row>
    <row r="270" spans="1:15" x14ac:dyDescent="0.25">
      <c r="A270" t="s">
        <v>5966</v>
      </c>
      <c r="B270" t="s">
        <v>37</v>
      </c>
      <c r="C270" t="s">
        <v>392</v>
      </c>
      <c r="D270">
        <v>79</v>
      </c>
      <c r="E270">
        <v>452.09100000000001</v>
      </c>
      <c r="F270">
        <v>3907863</v>
      </c>
      <c r="G270" t="s">
        <v>345</v>
      </c>
      <c r="H270" t="s">
        <v>1749</v>
      </c>
      <c r="I270">
        <v>1465</v>
      </c>
      <c r="J270">
        <v>57.15</v>
      </c>
      <c r="K270">
        <v>0</v>
      </c>
      <c r="L270">
        <v>2.5</v>
      </c>
      <c r="M270">
        <v>5.7110000000000003</v>
      </c>
      <c r="N270" t="s">
        <v>33</v>
      </c>
      <c r="O270" t="s">
        <v>6205</v>
      </c>
    </row>
    <row r="271" spans="1:15" x14ac:dyDescent="0.25">
      <c r="A271" t="s">
        <v>5966</v>
      </c>
      <c r="B271" t="s">
        <v>37</v>
      </c>
      <c r="C271" t="s">
        <v>392</v>
      </c>
      <c r="D271">
        <v>77</v>
      </c>
      <c r="E271">
        <v>439.74700000000001</v>
      </c>
      <c r="F271">
        <v>3907863</v>
      </c>
      <c r="G271" t="s">
        <v>345</v>
      </c>
      <c r="H271" t="s">
        <v>1749</v>
      </c>
      <c r="I271">
        <v>1425</v>
      </c>
      <c r="J271">
        <v>57.15</v>
      </c>
      <c r="K271">
        <v>0</v>
      </c>
      <c r="L271">
        <v>2.5</v>
      </c>
      <c r="M271">
        <v>5.7110000000000003</v>
      </c>
      <c r="N271" t="s">
        <v>33</v>
      </c>
      <c r="O271" t="s">
        <v>6205</v>
      </c>
    </row>
    <row r="272" spans="1:15" x14ac:dyDescent="0.25">
      <c r="A272" t="s">
        <v>5966</v>
      </c>
      <c r="B272" t="s">
        <v>37</v>
      </c>
      <c r="C272" t="s">
        <v>392</v>
      </c>
      <c r="D272">
        <v>77</v>
      </c>
      <c r="E272">
        <v>439.74700000000001</v>
      </c>
      <c r="F272">
        <v>3907863</v>
      </c>
      <c r="G272" t="s">
        <v>345</v>
      </c>
      <c r="H272" t="s">
        <v>1749</v>
      </c>
      <c r="I272">
        <v>1425</v>
      </c>
      <c r="J272">
        <v>57.15</v>
      </c>
      <c r="K272">
        <v>0</v>
      </c>
      <c r="L272">
        <v>2.5</v>
      </c>
      <c r="M272">
        <v>5.7110000000000003</v>
      </c>
      <c r="N272" t="s">
        <v>33</v>
      </c>
      <c r="O272" t="s">
        <v>6205</v>
      </c>
    </row>
    <row r="273" spans="1:15" x14ac:dyDescent="0.25">
      <c r="A273" t="s">
        <v>5966</v>
      </c>
      <c r="B273" t="s">
        <v>37</v>
      </c>
      <c r="C273" t="s">
        <v>392</v>
      </c>
      <c r="D273">
        <v>77</v>
      </c>
      <c r="E273">
        <v>439.74700000000001</v>
      </c>
      <c r="F273">
        <v>3907863</v>
      </c>
      <c r="G273" t="s">
        <v>345</v>
      </c>
      <c r="H273" t="s">
        <v>1749</v>
      </c>
      <c r="I273">
        <v>1425</v>
      </c>
      <c r="J273">
        <v>57.15</v>
      </c>
      <c r="K273">
        <v>0</v>
      </c>
      <c r="L273">
        <v>2.5</v>
      </c>
      <c r="M273">
        <v>5.7110000000000003</v>
      </c>
      <c r="N273" t="s">
        <v>33</v>
      </c>
      <c r="O273" t="s">
        <v>6205</v>
      </c>
    </row>
    <row r="274" spans="1:15" x14ac:dyDescent="0.25">
      <c r="A274" t="s">
        <v>5966</v>
      </c>
      <c r="B274" t="s">
        <v>37</v>
      </c>
      <c r="C274" t="s">
        <v>392</v>
      </c>
      <c r="D274">
        <v>77</v>
      </c>
      <c r="E274">
        <v>439.74700000000001</v>
      </c>
      <c r="F274">
        <v>3907863</v>
      </c>
      <c r="G274" t="s">
        <v>345</v>
      </c>
      <c r="H274" t="s">
        <v>1749</v>
      </c>
      <c r="I274">
        <v>1425</v>
      </c>
      <c r="J274">
        <v>57.15</v>
      </c>
      <c r="K274">
        <v>0</v>
      </c>
      <c r="L274">
        <v>2.5</v>
      </c>
      <c r="M274">
        <v>5.7110000000000003</v>
      </c>
      <c r="N274" t="s">
        <v>33</v>
      </c>
      <c r="O274" t="s">
        <v>6205</v>
      </c>
    </row>
    <row r="275" spans="1:15" x14ac:dyDescent="0.25">
      <c r="A275" t="s">
        <v>5966</v>
      </c>
      <c r="B275" t="s">
        <v>37</v>
      </c>
      <c r="C275" t="s">
        <v>392</v>
      </c>
      <c r="D275">
        <v>78</v>
      </c>
      <c r="E275">
        <v>445.91899999999998</v>
      </c>
      <c r="F275">
        <v>3907863</v>
      </c>
      <c r="G275" t="s">
        <v>345</v>
      </c>
      <c r="H275" t="s">
        <v>1749</v>
      </c>
      <c r="I275">
        <v>1445</v>
      </c>
      <c r="J275">
        <v>57.15</v>
      </c>
      <c r="K275">
        <v>0</v>
      </c>
      <c r="L275">
        <v>2.5</v>
      </c>
      <c r="M275">
        <v>5.7110000000000003</v>
      </c>
      <c r="N275" t="s">
        <v>33</v>
      </c>
      <c r="O275" t="s">
        <v>6205</v>
      </c>
    </row>
    <row r="276" spans="1:15" x14ac:dyDescent="0.25">
      <c r="A276" t="s">
        <v>5966</v>
      </c>
      <c r="B276" t="s">
        <v>37</v>
      </c>
      <c r="C276" t="s">
        <v>392</v>
      </c>
      <c r="D276">
        <v>78</v>
      </c>
      <c r="E276">
        <v>445.91899999999998</v>
      </c>
      <c r="F276">
        <v>3907863</v>
      </c>
      <c r="G276" t="s">
        <v>345</v>
      </c>
      <c r="H276" t="s">
        <v>1749</v>
      </c>
      <c r="I276">
        <v>1445</v>
      </c>
      <c r="J276">
        <v>57.15</v>
      </c>
      <c r="K276">
        <v>0</v>
      </c>
      <c r="L276">
        <v>2.5</v>
      </c>
      <c r="M276">
        <v>5.7110000000000003</v>
      </c>
      <c r="N276" t="s">
        <v>33</v>
      </c>
      <c r="O276" t="s">
        <v>6205</v>
      </c>
    </row>
    <row r="277" spans="1:15" x14ac:dyDescent="0.25">
      <c r="A277" t="s">
        <v>5966</v>
      </c>
      <c r="B277" t="s">
        <v>37</v>
      </c>
      <c r="C277" t="s">
        <v>392</v>
      </c>
      <c r="D277">
        <v>76</v>
      </c>
      <c r="E277">
        <v>436.661</v>
      </c>
      <c r="F277">
        <v>3907863</v>
      </c>
      <c r="G277" t="s">
        <v>345</v>
      </c>
      <c r="H277" t="s">
        <v>1749</v>
      </c>
      <c r="I277">
        <v>1415</v>
      </c>
      <c r="J277">
        <v>57.15</v>
      </c>
      <c r="K277">
        <v>0</v>
      </c>
      <c r="L277">
        <v>2.5</v>
      </c>
      <c r="M277">
        <v>5.7110000000000003</v>
      </c>
      <c r="N277" t="s">
        <v>33</v>
      </c>
      <c r="O277" t="s">
        <v>6205</v>
      </c>
    </row>
    <row r="278" spans="1:15" x14ac:dyDescent="0.25">
      <c r="A278" t="s">
        <v>5966</v>
      </c>
      <c r="B278" t="s">
        <v>37</v>
      </c>
      <c r="C278" t="s">
        <v>392</v>
      </c>
      <c r="D278">
        <v>76</v>
      </c>
      <c r="E278">
        <v>436.661</v>
      </c>
      <c r="F278">
        <v>3907863</v>
      </c>
      <c r="G278" t="s">
        <v>345</v>
      </c>
      <c r="H278" t="s">
        <v>1749</v>
      </c>
      <c r="I278">
        <v>1415</v>
      </c>
      <c r="J278">
        <v>57.15</v>
      </c>
      <c r="K278">
        <v>0</v>
      </c>
      <c r="L278">
        <v>2.5</v>
      </c>
      <c r="M278">
        <v>5.7110000000000003</v>
      </c>
      <c r="N278" t="s">
        <v>33</v>
      </c>
      <c r="O278" t="s">
        <v>6205</v>
      </c>
    </row>
    <row r="279" spans="1:15" x14ac:dyDescent="0.25">
      <c r="A279" t="s">
        <v>5966</v>
      </c>
      <c r="B279" t="s">
        <v>37</v>
      </c>
      <c r="C279" t="s">
        <v>392</v>
      </c>
      <c r="D279">
        <v>81</v>
      </c>
      <c r="E279">
        <v>459.80599999999998</v>
      </c>
      <c r="F279">
        <v>3907863</v>
      </c>
      <c r="G279" t="s">
        <v>345</v>
      </c>
      <c r="H279" t="s">
        <v>1749</v>
      </c>
      <c r="I279">
        <v>1490</v>
      </c>
      <c r="J279">
        <v>57.15</v>
      </c>
      <c r="K279">
        <v>0</v>
      </c>
      <c r="L279">
        <v>2.5</v>
      </c>
      <c r="M279">
        <v>5.7110000000000003</v>
      </c>
      <c r="N279" t="s">
        <v>33</v>
      </c>
      <c r="O279" t="s">
        <v>6205</v>
      </c>
    </row>
    <row r="280" spans="1:15" x14ac:dyDescent="0.25">
      <c r="A280" t="s">
        <v>5966</v>
      </c>
      <c r="B280" t="s">
        <v>37</v>
      </c>
      <c r="C280" t="s">
        <v>392</v>
      </c>
      <c r="D280">
        <v>81</v>
      </c>
      <c r="E280">
        <v>459.80599999999998</v>
      </c>
      <c r="F280">
        <v>3907863</v>
      </c>
      <c r="G280" t="s">
        <v>345</v>
      </c>
      <c r="H280" t="s">
        <v>1749</v>
      </c>
      <c r="I280">
        <v>1490</v>
      </c>
      <c r="J280">
        <v>57.15</v>
      </c>
      <c r="K280">
        <v>0</v>
      </c>
      <c r="L280">
        <v>2.5</v>
      </c>
      <c r="M280">
        <v>5.7110000000000003</v>
      </c>
      <c r="N280" t="s">
        <v>33</v>
      </c>
      <c r="O280" t="s">
        <v>6205</v>
      </c>
    </row>
    <row r="281" spans="1:15" x14ac:dyDescent="0.25">
      <c r="A281" t="s">
        <v>5966</v>
      </c>
      <c r="B281" t="s">
        <v>37</v>
      </c>
      <c r="C281" t="s">
        <v>392</v>
      </c>
      <c r="D281">
        <v>79</v>
      </c>
      <c r="E281">
        <v>453.63400000000001</v>
      </c>
      <c r="F281">
        <v>3907863</v>
      </c>
      <c r="G281" t="s">
        <v>345</v>
      </c>
      <c r="H281" t="s">
        <v>1749</v>
      </c>
      <c r="I281">
        <v>1470</v>
      </c>
      <c r="J281">
        <v>57.15</v>
      </c>
      <c r="K281">
        <v>0</v>
      </c>
      <c r="L281">
        <v>2.5</v>
      </c>
      <c r="M281">
        <v>5.7110000000000003</v>
      </c>
      <c r="N281" t="s">
        <v>33</v>
      </c>
      <c r="O281" t="s">
        <v>6205</v>
      </c>
    </row>
    <row r="282" spans="1:15" x14ac:dyDescent="0.25">
      <c r="A282" t="s">
        <v>5966</v>
      </c>
      <c r="B282" t="s">
        <v>37</v>
      </c>
      <c r="C282" t="s">
        <v>392</v>
      </c>
      <c r="D282">
        <v>79</v>
      </c>
      <c r="E282">
        <v>453.63400000000001</v>
      </c>
      <c r="F282">
        <v>3907863</v>
      </c>
      <c r="G282" t="s">
        <v>345</v>
      </c>
      <c r="H282" t="s">
        <v>1749</v>
      </c>
      <c r="I282">
        <v>1470</v>
      </c>
      <c r="J282">
        <v>57.15</v>
      </c>
      <c r="K282">
        <v>0</v>
      </c>
      <c r="L282">
        <v>2.5</v>
      </c>
      <c r="M282">
        <v>5.7110000000000003</v>
      </c>
      <c r="N282" t="s">
        <v>33</v>
      </c>
      <c r="O282" t="s">
        <v>6205</v>
      </c>
    </row>
    <row r="283" spans="1:15" x14ac:dyDescent="0.25">
      <c r="A283" t="s">
        <v>5966</v>
      </c>
      <c r="B283" t="s">
        <v>37</v>
      </c>
      <c r="C283" t="s">
        <v>392</v>
      </c>
      <c r="D283">
        <v>77</v>
      </c>
      <c r="E283">
        <v>441.29</v>
      </c>
      <c r="F283">
        <v>3907863</v>
      </c>
      <c r="G283" t="s">
        <v>345</v>
      </c>
      <c r="H283" t="s">
        <v>1749</v>
      </c>
      <c r="I283">
        <v>1430</v>
      </c>
      <c r="J283">
        <v>57.15</v>
      </c>
      <c r="K283">
        <v>0</v>
      </c>
      <c r="L283">
        <v>2.5</v>
      </c>
      <c r="M283">
        <v>5.7110000000000003</v>
      </c>
      <c r="N283" t="s">
        <v>33</v>
      </c>
      <c r="O283" t="s">
        <v>6205</v>
      </c>
    </row>
    <row r="284" spans="1:15" x14ac:dyDescent="0.25">
      <c r="A284" t="s">
        <v>5966</v>
      </c>
      <c r="B284" t="s">
        <v>37</v>
      </c>
      <c r="C284" t="s">
        <v>392</v>
      </c>
      <c r="D284">
        <v>77</v>
      </c>
      <c r="E284">
        <v>441.29</v>
      </c>
      <c r="F284">
        <v>3907863</v>
      </c>
      <c r="G284" t="s">
        <v>345</v>
      </c>
      <c r="H284" t="s">
        <v>1749</v>
      </c>
      <c r="I284">
        <v>1430</v>
      </c>
      <c r="J284">
        <v>57.15</v>
      </c>
      <c r="K284">
        <v>0</v>
      </c>
      <c r="L284">
        <v>2.5</v>
      </c>
      <c r="M284">
        <v>5.7110000000000003</v>
      </c>
      <c r="N284" t="s">
        <v>33</v>
      </c>
      <c r="O284" t="s">
        <v>6205</v>
      </c>
    </row>
    <row r="285" spans="1:15" x14ac:dyDescent="0.25">
      <c r="A285" t="s">
        <v>5966</v>
      </c>
      <c r="B285" t="s">
        <v>37</v>
      </c>
      <c r="C285" t="s">
        <v>392</v>
      </c>
      <c r="D285">
        <v>83</v>
      </c>
      <c r="E285">
        <v>472.149</v>
      </c>
      <c r="F285">
        <v>3907863</v>
      </c>
      <c r="G285" t="s">
        <v>345</v>
      </c>
      <c r="H285" t="s">
        <v>1749</v>
      </c>
      <c r="I285">
        <v>1530</v>
      </c>
      <c r="J285">
        <v>57.15</v>
      </c>
      <c r="K285">
        <v>0</v>
      </c>
      <c r="L285">
        <v>2.5</v>
      </c>
      <c r="M285">
        <v>5.7110000000000003</v>
      </c>
      <c r="N285" t="s">
        <v>33</v>
      </c>
      <c r="O285" t="s">
        <v>6205</v>
      </c>
    </row>
    <row r="286" spans="1:15" x14ac:dyDescent="0.25">
      <c r="A286" t="s">
        <v>5966</v>
      </c>
      <c r="B286" t="s">
        <v>37</v>
      </c>
      <c r="C286" t="s">
        <v>392</v>
      </c>
      <c r="D286">
        <v>83</v>
      </c>
      <c r="E286">
        <v>472.149</v>
      </c>
      <c r="F286">
        <v>3907863</v>
      </c>
      <c r="G286" t="s">
        <v>345</v>
      </c>
      <c r="H286" t="s">
        <v>1749</v>
      </c>
      <c r="I286">
        <v>1530</v>
      </c>
      <c r="J286">
        <v>57.15</v>
      </c>
      <c r="K286">
        <v>0</v>
      </c>
      <c r="L286">
        <v>2.5</v>
      </c>
      <c r="M286">
        <v>5.7110000000000003</v>
      </c>
      <c r="N286" t="s">
        <v>33</v>
      </c>
      <c r="O286" t="s">
        <v>6205</v>
      </c>
    </row>
    <row r="287" spans="1:15" x14ac:dyDescent="0.25">
      <c r="A287" t="s">
        <v>5966</v>
      </c>
      <c r="B287" t="s">
        <v>37</v>
      </c>
      <c r="C287" t="s">
        <v>392</v>
      </c>
      <c r="D287">
        <v>78</v>
      </c>
      <c r="E287">
        <v>447.46199999999999</v>
      </c>
      <c r="F287">
        <v>3907863</v>
      </c>
      <c r="G287" t="s">
        <v>345</v>
      </c>
      <c r="H287" t="s">
        <v>1749</v>
      </c>
      <c r="I287">
        <v>1450</v>
      </c>
      <c r="J287">
        <v>57.15</v>
      </c>
      <c r="K287">
        <v>0</v>
      </c>
      <c r="L287">
        <v>2.5</v>
      </c>
      <c r="M287">
        <v>5.7110000000000003</v>
      </c>
      <c r="N287" t="s">
        <v>33</v>
      </c>
      <c r="O287" t="s">
        <v>6205</v>
      </c>
    </row>
    <row r="288" spans="1:15" x14ac:dyDescent="0.25">
      <c r="A288" t="s">
        <v>5966</v>
      </c>
      <c r="B288" t="s">
        <v>37</v>
      </c>
      <c r="C288" t="s">
        <v>392</v>
      </c>
      <c r="D288">
        <v>78</v>
      </c>
      <c r="E288">
        <v>447.46199999999999</v>
      </c>
      <c r="F288">
        <v>3907863</v>
      </c>
      <c r="G288" t="s">
        <v>345</v>
      </c>
      <c r="H288" t="s">
        <v>1749</v>
      </c>
      <c r="I288">
        <v>1450</v>
      </c>
      <c r="J288">
        <v>57.15</v>
      </c>
      <c r="K288">
        <v>0</v>
      </c>
      <c r="L288">
        <v>2.5</v>
      </c>
      <c r="M288">
        <v>5.7110000000000003</v>
      </c>
      <c r="N288" t="s">
        <v>33</v>
      </c>
      <c r="O288" t="s">
        <v>6205</v>
      </c>
    </row>
    <row r="289" spans="1:15" x14ac:dyDescent="0.25">
      <c r="A289" t="s">
        <v>5966</v>
      </c>
      <c r="B289" t="s">
        <v>37</v>
      </c>
      <c r="C289" t="s">
        <v>392</v>
      </c>
      <c r="D289">
        <v>81</v>
      </c>
      <c r="E289">
        <v>459.80599999999998</v>
      </c>
      <c r="F289">
        <v>3907863</v>
      </c>
      <c r="G289" t="s">
        <v>345</v>
      </c>
      <c r="H289" t="s">
        <v>1749</v>
      </c>
      <c r="I289">
        <v>1490</v>
      </c>
      <c r="J289">
        <v>57.15</v>
      </c>
      <c r="K289">
        <v>0</v>
      </c>
      <c r="L289">
        <v>2.5</v>
      </c>
      <c r="M289">
        <v>5.7110000000000003</v>
      </c>
      <c r="N289" t="s">
        <v>33</v>
      </c>
      <c r="O289" t="s">
        <v>6205</v>
      </c>
    </row>
    <row r="290" spans="1:15" x14ac:dyDescent="0.25">
      <c r="A290" t="s">
        <v>5966</v>
      </c>
      <c r="B290" t="s">
        <v>37</v>
      </c>
      <c r="C290" t="s">
        <v>392</v>
      </c>
      <c r="D290">
        <v>81</v>
      </c>
      <c r="E290">
        <v>459.80599999999998</v>
      </c>
      <c r="F290">
        <v>3907863</v>
      </c>
      <c r="G290" t="s">
        <v>345</v>
      </c>
      <c r="H290" t="s">
        <v>1749</v>
      </c>
      <c r="I290">
        <v>1490</v>
      </c>
      <c r="J290">
        <v>57.15</v>
      </c>
      <c r="K290">
        <v>0</v>
      </c>
      <c r="L290">
        <v>2.5</v>
      </c>
      <c r="M290">
        <v>5.7110000000000003</v>
      </c>
      <c r="N290" t="s">
        <v>33</v>
      </c>
      <c r="O290" t="s">
        <v>6205</v>
      </c>
    </row>
    <row r="291" spans="1:15" x14ac:dyDescent="0.25">
      <c r="A291" t="s">
        <v>5966</v>
      </c>
      <c r="B291" t="s">
        <v>37</v>
      </c>
      <c r="C291" t="s">
        <v>392</v>
      </c>
      <c r="D291">
        <v>33</v>
      </c>
      <c r="E291">
        <v>187.31700000000001</v>
      </c>
      <c r="F291">
        <v>3907863</v>
      </c>
      <c r="G291" t="s">
        <v>345</v>
      </c>
      <c r="H291" t="s">
        <v>1749</v>
      </c>
      <c r="I291">
        <v>607</v>
      </c>
      <c r="J291">
        <v>57.15</v>
      </c>
      <c r="K291">
        <v>0</v>
      </c>
      <c r="L291">
        <v>2.5</v>
      </c>
      <c r="M291">
        <v>5.7110000000000003</v>
      </c>
      <c r="N291" t="s">
        <v>33</v>
      </c>
      <c r="O291" t="s">
        <v>6205</v>
      </c>
    </row>
    <row r="292" spans="1:15" x14ac:dyDescent="0.25">
      <c r="A292" t="s">
        <v>5966</v>
      </c>
      <c r="B292" t="s">
        <v>37</v>
      </c>
      <c r="C292" t="s">
        <v>392</v>
      </c>
      <c r="D292">
        <v>33</v>
      </c>
      <c r="E292">
        <v>187.31700000000001</v>
      </c>
      <c r="F292">
        <v>3907863</v>
      </c>
      <c r="G292" t="s">
        <v>345</v>
      </c>
      <c r="H292" t="s">
        <v>1749</v>
      </c>
      <c r="I292">
        <v>607</v>
      </c>
      <c r="J292">
        <v>57.15</v>
      </c>
      <c r="K292">
        <v>0</v>
      </c>
      <c r="L292">
        <v>2.5</v>
      </c>
      <c r="M292">
        <v>5.7110000000000003</v>
      </c>
      <c r="N292" t="s">
        <v>33</v>
      </c>
      <c r="O292" t="s">
        <v>6205</v>
      </c>
    </row>
    <row r="293" spans="1:15" x14ac:dyDescent="0.25">
      <c r="A293" t="s">
        <v>5966</v>
      </c>
      <c r="B293" t="s">
        <v>37</v>
      </c>
      <c r="C293" t="s">
        <v>392</v>
      </c>
      <c r="D293">
        <v>143</v>
      </c>
      <c r="E293">
        <v>887.28</v>
      </c>
      <c r="F293">
        <v>4265906</v>
      </c>
      <c r="G293" t="s">
        <v>345</v>
      </c>
      <c r="H293" t="s">
        <v>6027</v>
      </c>
      <c r="I293">
        <v>2500</v>
      </c>
      <c r="J293">
        <v>50</v>
      </c>
      <c r="K293">
        <v>30</v>
      </c>
      <c r="L293">
        <v>2.5</v>
      </c>
      <c r="M293">
        <v>6.1929999999999996</v>
      </c>
      <c r="N293" t="s">
        <v>33</v>
      </c>
    </row>
    <row r="294" spans="1:15" x14ac:dyDescent="0.25">
      <c r="A294" t="s">
        <v>5966</v>
      </c>
      <c r="B294" t="s">
        <v>37</v>
      </c>
      <c r="C294" t="s">
        <v>392</v>
      </c>
      <c r="D294">
        <v>158</v>
      </c>
      <c r="E294">
        <v>977.07299999999998</v>
      </c>
      <c r="F294">
        <v>4265906</v>
      </c>
      <c r="G294" t="s">
        <v>345</v>
      </c>
      <c r="H294" t="s">
        <v>6027</v>
      </c>
      <c r="I294">
        <v>2753</v>
      </c>
      <c r="J294">
        <v>50</v>
      </c>
      <c r="K294">
        <v>30</v>
      </c>
      <c r="L294">
        <v>2.5</v>
      </c>
      <c r="M294">
        <v>6.1929999999999996</v>
      </c>
      <c r="N294" t="s">
        <v>33</v>
      </c>
    </row>
    <row r="295" spans="1:15" x14ac:dyDescent="0.25">
      <c r="A295" t="s">
        <v>5966</v>
      </c>
      <c r="B295" t="s">
        <v>37</v>
      </c>
      <c r="C295" t="s">
        <v>392</v>
      </c>
      <c r="D295">
        <v>419</v>
      </c>
      <c r="E295">
        <v>2429.8620000000001</v>
      </c>
      <c r="F295">
        <v>1940292</v>
      </c>
      <c r="G295" t="s">
        <v>345</v>
      </c>
      <c r="H295" t="s">
        <v>2719</v>
      </c>
      <c r="I295">
        <v>2044</v>
      </c>
      <c r="J295">
        <v>19.05</v>
      </c>
      <c r="K295">
        <v>0</v>
      </c>
      <c r="L295">
        <v>2</v>
      </c>
      <c r="M295">
        <v>5.8</v>
      </c>
      <c r="N295" t="s">
        <v>33</v>
      </c>
    </row>
    <row r="296" spans="1:15" x14ac:dyDescent="0.25">
      <c r="A296" t="s">
        <v>5966</v>
      </c>
      <c r="B296" t="s">
        <v>37</v>
      </c>
      <c r="C296" t="s">
        <v>392</v>
      </c>
      <c r="D296">
        <v>615</v>
      </c>
      <c r="E296">
        <v>3569.9</v>
      </c>
      <c r="F296">
        <v>1940292</v>
      </c>
      <c r="G296" t="s">
        <v>345</v>
      </c>
      <c r="H296" t="s">
        <v>2719</v>
      </c>
      <c r="I296">
        <v>3003</v>
      </c>
      <c r="J296">
        <v>19.05</v>
      </c>
      <c r="K296">
        <v>0</v>
      </c>
      <c r="L296">
        <v>2</v>
      </c>
      <c r="M296">
        <v>5.8</v>
      </c>
      <c r="N296" t="s">
        <v>33</v>
      </c>
    </row>
    <row r="297" spans="1:15" x14ac:dyDescent="0.25">
      <c r="A297" t="s">
        <v>5966</v>
      </c>
      <c r="B297" t="s">
        <v>37</v>
      </c>
      <c r="C297" t="s">
        <v>392</v>
      </c>
      <c r="D297">
        <v>742</v>
      </c>
      <c r="E297">
        <v>4303.3760000000002</v>
      </c>
      <c r="F297">
        <v>1940292</v>
      </c>
      <c r="G297" t="s">
        <v>345</v>
      </c>
      <c r="H297" t="s">
        <v>2719</v>
      </c>
      <c r="I297">
        <v>3620</v>
      </c>
      <c r="J297">
        <v>19.05</v>
      </c>
      <c r="K297">
        <v>0</v>
      </c>
      <c r="L297">
        <v>2</v>
      </c>
      <c r="M297">
        <v>5.8</v>
      </c>
      <c r="N297" t="s">
        <v>33</v>
      </c>
    </row>
    <row r="298" spans="1:15" x14ac:dyDescent="0.25">
      <c r="A298" t="s">
        <v>5966</v>
      </c>
      <c r="B298" t="s">
        <v>37</v>
      </c>
      <c r="C298" t="s">
        <v>392</v>
      </c>
      <c r="D298">
        <v>717</v>
      </c>
      <c r="E298">
        <v>4158.3450000000003</v>
      </c>
      <c r="F298">
        <v>1940292</v>
      </c>
      <c r="G298" t="s">
        <v>345</v>
      </c>
      <c r="H298" t="s">
        <v>2719</v>
      </c>
      <c r="I298">
        <v>3498</v>
      </c>
      <c r="J298">
        <v>19.05</v>
      </c>
      <c r="K298">
        <v>0</v>
      </c>
      <c r="L298">
        <v>2</v>
      </c>
      <c r="M298">
        <v>5.8</v>
      </c>
      <c r="N298" t="s">
        <v>33</v>
      </c>
    </row>
    <row r="299" spans="1:15" x14ac:dyDescent="0.25">
      <c r="A299" t="s">
        <v>5966</v>
      </c>
      <c r="B299" t="s">
        <v>37</v>
      </c>
      <c r="C299" t="s">
        <v>392</v>
      </c>
      <c r="D299">
        <v>302</v>
      </c>
      <c r="E299">
        <v>1752.259</v>
      </c>
      <c r="F299">
        <v>1940292</v>
      </c>
      <c r="G299" t="s">
        <v>345</v>
      </c>
      <c r="H299" t="s">
        <v>2719</v>
      </c>
      <c r="I299">
        <v>1474</v>
      </c>
      <c r="J299">
        <v>19.05</v>
      </c>
      <c r="K299">
        <v>0</v>
      </c>
      <c r="L299">
        <v>2</v>
      </c>
      <c r="M299">
        <v>5.8</v>
      </c>
      <c r="N299" t="s">
        <v>33</v>
      </c>
    </row>
    <row r="300" spans="1:15" x14ac:dyDescent="0.25">
      <c r="A300" t="s">
        <v>5966</v>
      </c>
      <c r="B300" t="s">
        <v>37</v>
      </c>
      <c r="C300" t="s">
        <v>392</v>
      </c>
      <c r="D300">
        <v>326</v>
      </c>
      <c r="E300">
        <v>1891.346</v>
      </c>
      <c r="F300">
        <v>1940292</v>
      </c>
      <c r="G300" t="s">
        <v>345</v>
      </c>
      <c r="H300" t="s">
        <v>2719</v>
      </c>
      <c r="I300">
        <v>1591</v>
      </c>
      <c r="J300">
        <v>19.05</v>
      </c>
      <c r="K300">
        <v>0</v>
      </c>
      <c r="L300">
        <v>2</v>
      </c>
      <c r="M300">
        <v>5.8</v>
      </c>
      <c r="N300" t="s">
        <v>33</v>
      </c>
    </row>
    <row r="301" spans="1:15" x14ac:dyDescent="0.25">
      <c r="A301" t="s">
        <v>5966</v>
      </c>
      <c r="B301" t="s">
        <v>37</v>
      </c>
      <c r="C301" t="s">
        <v>392</v>
      </c>
      <c r="D301">
        <v>220</v>
      </c>
      <c r="E301">
        <v>1321.6780000000001</v>
      </c>
      <c r="F301">
        <v>3994149</v>
      </c>
      <c r="G301" t="s">
        <v>345</v>
      </c>
      <c r="H301" t="s">
        <v>2395</v>
      </c>
      <c r="I301">
        <v>3160</v>
      </c>
      <c r="J301">
        <v>41.28</v>
      </c>
      <c r="K301">
        <v>0</v>
      </c>
      <c r="L301">
        <v>2.6</v>
      </c>
      <c r="M301">
        <v>6.0010000000000003</v>
      </c>
      <c r="N301" t="s">
        <v>33</v>
      </c>
      <c r="O301" t="s">
        <v>6189</v>
      </c>
    </row>
    <row r="302" spans="1:15" x14ac:dyDescent="0.25">
      <c r="A302" t="s">
        <v>5966</v>
      </c>
      <c r="B302" t="s">
        <v>37</v>
      </c>
      <c r="C302" t="s">
        <v>392</v>
      </c>
      <c r="D302">
        <v>220</v>
      </c>
      <c r="E302">
        <v>1317.4960000000001</v>
      </c>
      <c r="F302">
        <v>3994149</v>
      </c>
      <c r="G302" t="s">
        <v>345</v>
      </c>
      <c r="H302" t="s">
        <v>2395</v>
      </c>
      <c r="I302">
        <v>3150</v>
      </c>
      <c r="J302">
        <v>41.28</v>
      </c>
      <c r="K302">
        <v>0</v>
      </c>
      <c r="L302">
        <v>2.6</v>
      </c>
      <c r="M302">
        <v>6.0010000000000003</v>
      </c>
      <c r="N302" t="s">
        <v>33</v>
      </c>
      <c r="O302" t="s">
        <v>6189</v>
      </c>
    </row>
    <row r="303" spans="1:15" x14ac:dyDescent="0.25">
      <c r="A303" t="s">
        <v>5966</v>
      </c>
      <c r="B303" t="s">
        <v>37</v>
      </c>
      <c r="C303" t="s">
        <v>392</v>
      </c>
      <c r="D303">
        <v>208</v>
      </c>
      <c r="E303">
        <v>1246.393</v>
      </c>
      <c r="F303">
        <v>3994149</v>
      </c>
      <c r="G303" t="s">
        <v>345</v>
      </c>
      <c r="H303" t="s">
        <v>2395</v>
      </c>
      <c r="I303">
        <v>2980</v>
      </c>
      <c r="J303">
        <v>41.28</v>
      </c>
      <c r="K303">
        <v>0</v>
      </c>
      <c r="L303">
        <v>2.6</v>
      </c>
      <c r="M303">
        <v>6.0010000000000003</v>
      </c>
      <c r="N303" t="s">
        <v>33</v>
      </c>
      <c r="O303" t="s">
        <v>6189</v>
      </c>
    </row>
    <row r="304" spans="1:15" x14ac:dyDescent="0.25">
      <c r="A304" t="s">
        <v>5966</v>
      </c>
      <c r="B304" t="s">
        <v>37</v>
      </c>
      <c r="C304" t="s">
        <v>392</v>
      </c>
      <c r="D304">
        <v>224</v>
      </c>
      <c r="E304">
        <v>1346.7729999999999</v>
      </c>
      <c r="F304">
        <v>3994149</v>
      </c>
      <c r="G304" t="s">
        <v>345</v>
      </c>
      <c r="H304" t="s">
        <v>2395</v>
      </c>
      <c r="I304">
        <v>3220</v>
      </c>
      <c r="J304">
        <v>41.28</v>
      </c>
      <c r="K304">
        <v>0</v>
      </c>
      <c r="L304">
        <v>2.6</v>
      </c>
      <c r="M304">
        <v>6.0010000000000003</v>
      </c>
      <c r="N304" t="s">
        <v>33</v>
      </c>
      <c r="O304" t="s">
        <v>6189</v>
      </c>
    </row>
    <row r="305" spans="1:15" x14ac:dyDescent="0.25">
      <c r="A305" t="s">
        <v>5966</v>
      </c>
      <c r="B305" t="s">
        <v>37</v>
      </c>
      <c r="C305" t="s">
        <v>392</v>
      </c>
      <c r="D305">
        <v>144</v>
      </c>
      <c r="E305">
        <v>865.78300000000002</v>
      </c>
      <c r="F305">
        <v>3994149</v>
      </c>
      <c r="G305" t="s">
        <v>345</v>
      </c>
      <c r="H305" t="s">
        <v>2395</v>
      </c>
      <c r="I305">
        <v>2070</v>
      </c>
      <c r="J305">
        <v>41.28</v>
      </c>
      <c r="K305">
        <v>0</v>
      </c>
      <c r="L305">
        <v>2.6</v>
      </c>
      <c r="M305">
        <v>6.0010000000000003</v>
      </c>
      <c r="N305" t="s">
        <v>33</v>
      </c>
      <c r="O305" t="s">
        <v>6189</v>
      </c>
    </row>
    <row r="306" spans="1:15" x14ac:dyDescent="0.25">
      <c r="A306" t="s">
        <v>5966</v>
      </c>
      <c r="B306" t="s">
        <v>37</v>
      </c>
      <c r="C306" t="s">
        <v>392</v>
      </c>
      <c r="D306">
        <v>144</v>
      </c>
      <c r="E306">
        <v>865.78300000000002</v>
      </c>
      <c r="F306">
        <v>3994149</v>
      </c>
      <c r="G306" t="s">
        <v>345</v>
      </c>
      <c r="H306" t="s">
        <v>2395</v>
      </c>
      <c r="I306">
        <v>2070</v>
      </c>
      <c r="J306">
        <v>41.28</v>
      </c>
      <c r="K306">
        <v>0</v>
      </c>
      <c r="L306">
        <v>2.6</v>
      </c>
      <c r="M306">
        <v>6.0010000000000003</v>
      </c>
      <c r="N306" t="s">
        <v>33</v>
      </c>
      <c r="O306" t="s">
        <v>6189</v>
      </c>
    </row>
    <row r="307" spans="1:15" x14ac:dyDescent="0.25">
      <c r="A307" t="s">
        <v>5966</v>
      </c>
      <c r="B307" t="s">
        <v>37</v>
      </c>
      <c r="C307" t="s">
        <v>392</v>
      </c>
      <c r="D307">
        <v>142</v>
      </c>
      <c r="E307">
        <v>853.23500000000001</v>
      </c>
      <c r="F307">
        <v>3994149</v>
      </c>
      <c r="G307" t="s">
        <v>345</v>
      </c>
      <c r="H307" t="s">
        <v>2395</v>
      </c>
      <c r="I307">
        <v>2040</v>
      </c>
      <c r="J307">
        <v>41.28</v>
      </c>
      <c r="K307">
        <v>0</v>
      </c>
      <c r="L307">
        <v>2.6</v>
      </c>
      <c r="M307">
        <v>6.0010000000000003</v>
      </c>
      <c r="N307" t="s">
        <v>33</v>
      </c>
      <c r="O307" t="s">
        <v>6189</v>
      </c>
    </row>
    <row r="308" spans="1:15" x14ac:dyDescent="0.25">
      <c r="A308" t="s">
        <v>5966</v>
      </c>
      <c r="B308" t="s">
        <v>37</v>
      </c>
      <c r="C308" t="s">
        <v>392</v>
      </c>
      <c r="D308">
        <v>131</v>
      </c>
      <c r="E308">
        <v>786.31500000000005</v>
      </c>
      <c r="F308">
        <v>3994149</v>
      </c>
      <c r="G308" t="s">
        <v>345</v>
      </c>
      <c r="H308" t="s">
        <v>2395</v>
      </c>
      <c r="I308">
        <v>1880</v>
      </c>
      <c r="J308">
        <v>41.28</v>
      </c>
      <c r="K308">
        <v>0</v>
      </c>
      <c r="L308">
        <v>2.6</v>
      </c>
      <c r="M308">
        <v>6.0010000000000003</v>
      </c>
      <c r="N308" t="s">
        <v>33</v>
      </c>
      <c r="O308" t="s">
        <v>6189</v>
      </c>
    </row>
    <row r="309" spans="1:15" x14ac:dyDescent="0.25">
      <c r="A309" t="s">
        <v>5966</v>
      </c>
      <c r="B309" t="s">
        <v>37</v>
      </c>
      <c r="C309" t="s">
        <v>392</v>
      </c>
      <c r="D309">
        <v>150</v>
      </c>
      <c r="E309">
        <v>899.24300000000005</v>
      </c>
      <c r="F309">
        <v>3994149</v>
      </c>
      <c r="G309" t="s">
        <v>345</v>
      </c>
      <c r="H309" t="s">
        <v>2395</v>
      </c>
      <c r="I309">
        <v>2150</v>
      </c>
      <c r="J309">
        <v>41.28</v>
      </c>
      <c r="K309">
        <v>0</v>
      </c>
      <c r="L309">
        <v>2.6</v>
      </c>
      <c r="M309">
        <v>6.0010000000000003</v>
      </c>
      <c r="N309" t="s">
        <v>33</v>
      </c>
      <c r="O309" t="s">
        <v>6189</v>
      </c>
    </row>
    <row r="310" spans="1:15" x14ac:dyDescent="0.25">
      <c r="A310" t="s">
        <v>5966</v>
      </c>
      <c r="B310" t="s">
        <v>37</v>
      </c>
      <c r="C310" t="s">
        <v>392</v>
      </c>
      <c r="D310">
        <v>139</v>
      </c>
      <c r="E310">
        <v>836.505</v>
      </c>
      <c r="F310">
        <v>3994149</v>
      </c>
      <c r="G310" t="s">
        <v>345</v>
      </c>
      <c r="H310" t="s">
        <v>2395</v>
      </c>
      <c r="I310">
        <v>2000</v>
      </c>
      <c r="J310">
        <v>41.28</v>
      </c>
      <c r="K310">
        <v>0</v>
      </c>
      <c r="L310">
        <v>2.6</v>
      </c>
      <c r="M310">
        <v>6.0010000000000003</v>
      </c>
      <c r="N310" t="s">
        <v>33</v>
      </c>
      <c r="O310" t="s">
        <v>6189</v>
      </c>
    </row>
    <row r="311" spans="1:15" x14ac:dyDescent="0.25">
      <c r="A311" t="s">
        <v>5966</v>
      </c>
      <c r="B311" t="s">
        <v>37</v>
      </c>
      <c r="C311" t="s">
        <v>392</v>
      </c>
      <c r="D311">
        <v>121</v>
      </c>
      <c r="E311">
        <v>723.577</v>
      </c>
      <c r="F311">
        <v>3994149</v>
      </c>
      <c r="G311" t="s">
        <v>345</v>
      </c>
      <c r="H311" t="s">
        <v>2395</v>
      </c>
      <c r="I311">
        <v>1730</v>
      </c>
      <c r="J311">
        <v>41.28</v>
      </c>
      <c r="K311">
        <v>0</v>
      </c>
      <c r="L311">
        <v>2.6</v>
      </c>
      <c r="M311">
        <v>6.0010000000000003</v>
      </c>
      <c r="N311" t="s">
        <v>33</v>
      </c>
      <c r="O311" t="s">
        <v>6189</v>
      </c>
    </row>
    <row r="312" spans="1:15" x14ac:dyDescent="0.25">
      <c r="A312" t="s">
        <v>5966</v>
      </c>
      <c r="B312" t="s">
        <v>37</v>
      </c>
      <c r="C312" t="s">
        <v>397</v>
      </c>
      <c r="D312">
        <v>149</v>
      </c>
      <c r="E312">
        <v>163.953</v>
      </c>
      <c r="F312">
        <v>2430128</v>
      </c>
      <c r="G312" t="s">
        <v>345</v>
      </c>
      <c r="H312" t="s">
        <v>475</v>
      </c>
      <c r="I312">
        <v>318.41300000000001</v>
      </c>
      <c r="J312">
        <v>50</v>
      </c>
      <c r="K312">
        <v>30</v>
      </c>
      <c r="L312">
        <v>1.6</v>
      </c>
      <c r="M312">
        <v>1.1000000000000001</v>
      </c>
      <c r="N312" t="s">
        <v>33</v>
      </c>
    </row>
    <row r="313" spans="1:15" x14ac:dyDescent="0.25">
      <c r="A313" t="s">
        <v>5966</v>
      </c>
      <c r="B313" t="s">
        <v>37</v>
      </c>
      <c r="C313" t="s">
        <v>397</v>
      </c>
      <c r="D313">
        <v>199</v>
      </c>
      <c r="E313">
        <v>218.971</v>
      </c>
      <c r="F313">
        <v>2430128</v>
      </c>
      <c r="G313" t="s">
        <v>345</v>
      </c>
      <c r="H313" t="s">
        <v>475</v>
      </c>
      <c r="I313">
        <v>425.26299999999998</v>
      </c>
      <c r="J313">
        <v>50</v>
      </c>
      <c r="K313">
        <v>30</v>
      </c>
      <c r="L313">
        <v>1.6</v>
      </c>
      <c r="M313">
        <v>1.1000000000000001</v>
      </c>
      <c r="N313" t="s">
        <v>33</v>
      </c>
    </row>
    <row r="314" spans="1:15" x14ac:dyDescent="0.25">
      <c r="A314" t="s">
        <v>5966</v>
      </c>
      <c r="B314" t="s">
        <v>37</v>
      </c>
      <c r="C314" t="s">
        <v>397</v>
      </c>
      <c r="D314">
        <v>102</v>
      </c>
      <c r="E314">
        <v>112.236</v>
      </c>
      <c r="F314">
        <v>2430128</v>
      </c>
      <c r="G314" t="s">
        <v>345</v>
      </c>
      <c r="H314" t="s">
        <v>475</v>
      </c>
      <c r="I314">
        <v>217.97399999999999</v>
      </c>
      <c r="J314">
        <v>50</v>
      </c>
      <c r="K314">
        <v>30</v>
      </c>
      <c r="L314">
        <v>1.6</v>
      </c>
      <c r="M314">
        <v>1.1000000000000001</v>
      </c>
      <c r="N314" t="s">
        <v>33</v>
      </c>
    </row>
    <row r="315" spans="1:15" x14ac:dyDescent="0.25">
      <c r="A315" t="s">
        <v>5966</v>
      </c>
      <c r="B315" t="s">
        <v>37</v>
      </c>
      <c r="C315" t="s">
        <v>397</v>
      </c>
      <c r="D315">
        <v>458</v>
      </c>
      <c r="E315">
        <v>1186.559</v>
      </c>
      <c r="F315">
        <v>2409618</v>
      </c>
      <c r="G315" t="s">
        <v>345</v>
      </c>
      <c r="H315" t="s">
        <v>469</v>
      </c>
      <c r="I315">
        <v>1114.7719999999999</v>
      </c>
      <c r="J315">
        <v>25.4</v>
      </c>
      <c r="K315">
        <v>0</v>
      </c>
      <c r="L315">
        <v>1.6</v>
      </c>
      <c r="M315">
        <v>2.59</v>
      </c>
      <c r="N315" t="s">
        <v>33</v>
      </c>
    </row>
    <row r="316" spans="1:15" x14ac:dyDescent="0.25">
      <c r="A316" t="s">
        <v>5966</v>
      </c>
      <c r="B316" t="s">
        <v>37</v>
      </c>
      <c r="C316" t="s">
        <v>397</v>
      </c>
      <c r="D316">
        <v>362</v>
      </c>
      <c r="E316">
        <v>937.84799999999996</v>
      </c>
      <c r="F316">
        <v>2409618</v>
      </c>
      <c r="G316" t="s">
        <v>345</v>
      </c>
      <c r="H316" t="s">
        <v>469</v>
      </c>
      <c r="I316">
        <v>881.10799999999995</v>
      </c>
      <c r="J316">
        <v>25.4</v>
      </c>
      <c r="K316">
        <v>0</v>
      </c>
      <c r="L316">
        <v>1.6</v>
      </c>
      <c r="M316">
        <v>2.59</v>
      </c>
      <c r="N316" t="s">
        <v>33</v>
      </c>
    </row>
    <row r="317" spans="1:15" x14ac:dyDescent="0.25">
      <c r="A317" t="s">
        <v>5966</v>
      </c>
      <c r="B317" t="s">
        <v>37</v>
      </c>
      <c r="C317" t="s">
        <v>397</v>
      </c>
      <c r="D317">
        <v>233</v>
      </c>
      <c r="E317">
        <v>263.16300000000001</v>
      </c>
      <c r="F317">
        <v>1940045</v>
      </c>
      <c r="G317" t="s">
        <v>345</v>
      </c>
      <c r="H317" t="s">
        <v>1190</v>
      </c>
      <c r="I317">
        <v>109.976</v>
      </c>
      <c r="J317">
        <v>15.88</v>
      </c>
      <c r="K317">
        <v>0</v>
      </c>
      <c r="L317">
        <v>1.2</v>
      </c>
      <c r="M317">
        <v>1.1299999999999999</v>
      </c>
      <c r="N317" t="s">
        <v>33</v>
      </c>
    </row>
    <row r="318" spans="1:15" x14ac:dyDescent="0.25">
      <c r="A318" t="s">
        <v>5966</v>
      </c>
      <c r="B318" t="s">
        <v>37</v>
      </c>
      <c r="C318" t="s">
        <v>397</v>
      </c>
      <c r="D318">
        <v>144</v>
      </c>
      <c r="E318">
        <v>162.642</v>
      </c>
      <c r="F318">
        <v>1940045</v>
      </c>
      <c r="G318" t="s">
        <v>345</v>
      </c>
      <c r="H318" t="s">
        <v>1190</v>
      </c>
      <c r="I318">
        <v>67.968000000000004</v>
      </c>
      <c r="J318">
        <v>15.88</v>
      </c>
      <c r="K318">
        <v>0</v>
      </c>
      <c r="L318">
        <v>1.2</v>
      </c>
      <c r="M318">
        <v>1.1299999999999999</v>
      </c>
      <c r="N318" t="s">
        <v>33</v>
      </c>
    </row>
    <row r="319" spans="1:15" x14ac:dyDescent="0.25">
      <c r="A319" t="s">
        <v>5966</v>
      </c>
      <c r="B319" t="s">
        <v>37</v>
      </c>
      <c r="C319" t="s">
        <v>397</v>
      </c>
      <c r="D319">
        <v>148</v>
      </c>
      <c r="E319">
        <v>167.16</v>
      </c>
      <c r="F319">
        <v>1940045</v>
      </c>
      <c r="G319" t="s">
        <v>345</v>
      </c>
      <c r="H319" t="s">
        <v>1190</v>
      </c>
      <c r="I319">
        <v>69.855999999999995</v>
      </c>
      <c r="J319">
        <v>15.88</v>
      </c>
      <c r="K319">
        <v>0</v>
      </c>
      <c r="L319">
        <v>1.2</v>
      </c>
      <c r="M319">
        <v>1.1299999999999999</v>
      </c>
      <c r="N319" t="s">
        <v>33</v>
      </c>
    </row>
    <row r="320" spans="1:15" x14ac:dyDescent="0.25">
      <c r="A320" t="s">
        <v>5966</v>
      </c>
      <c r="B320" t="s">
        <v>37</v>
      </c>
      <c r="C320" t="s">
        <v>397</v>
      </c>
      <c r="D320">
        <v>25</v>
      </c>
      <c r="E320">
        <v>2.7440000000000002</v>
      </c>
      <c r="F320">
        <v>3409366</v>
      </c>
      <c r="G320" t="s">
        <v>345</v>
      </c>
      <c r="H320" t="s">
        <v>1313</v>
      </c>
      <c r="I320">
        <v>1.45</v>
      </c>
      <c r="J320">
        <v>19.05</v>
      </c>
      <c r="K320">
        <v>0</v>
      </c>
      <c r="L320">
        <v>1.2</v>
      </c>
      <c r="M320">
        <v>0.109</v>
      </c>
      <c r="N320" t="s">
        <v>33</v>
      </c>
    </row>
    <row r="321" spans="1:14" x14ac:dyDescent="0.25">
      <c r="A321" t="s">
        <v>5966</v>
      </c>
      <c r="B321" t="s">
        <v>37</v>
      </c>
      <c r="C321" t="s">
        <v>397</v>
      </c>
      <c r="D321">
        <v>2375</v>
      </c>
      <c r="E321">
        <v>260.64299999999997</v>
      </c>
      <c r="F321">
        <v>3409366</v>
      </c>
      <c r="G321" t="s">
        <v>345</v>
      </c>
      <c r="H321" t="s">
        <v>1313</v>
      </c>
      <c r="I321">
        <v>137.75</v>
      </c>
      <c r="J321">
        <v>19.05</v>
      </c>
      <c r="K321">
        <v>0</v>
      </c>
      <c r="L321">
        <v>1.2</v>
      </c>
      <c r="M321">
        <v>0.109</v>
      </c>
      <c r="N321" t="s">
        <v>33</v>
      </c>
    </row>
    <row r="322" spans="1:14" x14ac:dyDescent="0.25">
      <c r="A322" t="s">
        <v>5966</v>
      </c>
      <c r="B322" t="s">
        <v>37</v>
      </c>
      <c r="C322" t="s">
        <v>397</v>
      </c>
      <c r="D322">
        <v>3100</v>
      </c>
      <c r="E322">
        <v>3332.4780000000001</v>
      </c>
      <c r="F322">
        <v>3229740</v>
      </c>
      <c r="G322" t="s">
        <v>345</v>
      </c>
      <c r="H322" t="s">
        <v>472</v>
      </c>
      <c r="I322">
        <v>1692.566</v>
      </c>
      <c r="J322">
        <v>19.05</v>
      </c>
      <c r="K322">
        <v>0</v>
      </c>
      <c r="L322">
        <v>1.2</v>
      </c>
      <c r="M322">
        <v>1.075</v>
      </c>
      <c r="N322" t="s">
        <v>33</v>
      </c>
    </row>
    <row r="323" spans="1:14" x14ac:dyDescent="0.25">
      <c r="A323" t="s">
        <v>5966</v>
      </c>
      <c r="B323" t="s">
        <v>37</v>
      </c>
      <c r="C323" t="s">
        <v>397</v>
      </c>
      <c r="D323">
        <v>850</v>
      </c>
      <c r="E323">
        <v>913.74400000000003</v>
      </c>
      <c r="F323">
        <v>3229740</v>
      </c>
      <c r="G323" t="s">
        <v>345</v>
      </c>
      <c r="H323" t="s">
        <v>472</v>
      </c>
      <c r="I323">
        <v>464.09100000000001</v>
      </c>
      <c r="J323">
        <v>19.05</v>
      </c>
      <c r="K323">
        <v>0</v>
      </c>
      <c r="L323">
        <v>1.2</v>
      </c>
      <c r="M323">
        <v>1.075</v>
      </c>
      <c r="N323" t="s">
        <v>33</v>
      </c>
    </row>
    <row r="324" spans="1:14" x14ac:dyDescent="0.25">
      <c r="A324" t="s">
        <v>5966</v>
      </c>
      <c r="B324" t="s">
        <v>37</v>
      </c>
      <c r="C324" t="s">
        <v>397</v>
      </c>
      <c r="D324">
        <v>19</v>
      </c>
      <c r="E324">
        <v>9.7789999999999999</v>
      </c>
      <c r="F324">
        <v>2409616</v>
      </c>
      <c r="G324" t="s">
        <v>345</v>
      </c>
      <c r="H324" t="s">
        <v>1317</v>
      </c>
      <c r="I324">
        <v>5.1680000000000001</v>
      </c>
      <c r="J324">
        <v>19.05</v>
      </c>
      <c r="K324">
        <v>0</v>
      </c>
      <c r="L324">
        <v>1.2</v>
      </c>
      <c r="M324">
        <v>0.51300000000000001</v>
      </c>
      <c r="N324" t="s">
        <v>33</v>
      </c>
    </row>
    <row r="325" spans="1:14" x14ac:dyDescent="0.25">
      <c r="A325" t="s">
        <v>5966</v>
      </c>
      <c r="B325" t="s">
        <v>37</v>
      </c>
      <c r="C325" t="s">
        <v>397</v>
      </c>
      <c r="D325">
        <v>16</v>
      </c>
      <c r="E325">
        <v>8.2349999999999994</v>
      </c>
      <c r="F325">
        <v>2409616</v>
      </c>
      <c r="G325" t="s">
        <v>345</v>
      </c>
      <c r="H325" t="s">
        <v>1317</v>
      </c>
      <c r="I325">
        <v>4.3520000000000003</v>
      </c>
      <c r="J325">
        <v>19.05</v>
      </c>
      <c r="K325">
        <v>0</v>
      </c>
      <c r="L325">
        <v>1.2</v>
      </c>
      <c r="M325">
        <v>0.51300000000000001</v>
      </c>
      <c r="N325" t="s">
        <v>33</v>
      </c>
    </row>
    <row r="326" spans="1:14" x14ac:dyDescent="0.25">
      <c r="A326" t="s">
        <v>5966</v>
      </c>
      <c r="B326" t="s">
        <v>37</v>
      </c>
      <c r="C326" t="s">
        <v>397</v>
      </c>
      <c r="D326">
        <v>247</v>
      </c>
      <c r="E326">
        <v>127.122</v>
      </c>
      <c r="F326">
        <v>2409616</v>
      </c>
      <c r="G326" t="s">
        <v>345</v>
      </c>
      <c r="H326" t="s">
        <v>1317</v>
      </c>
      <c r="I326">
        <v>67.183999999999997</v>
      </c>
      <c r="J326">
        <v>19.05</v>
      </c>
      <c r="K326">
        <v>0</v>
      </c>
      <c r="L326">
        <v>1.2</v>
      </c>
      <c r="M326">
        <v>0.51300000000000001</v>
      </c>
      <c r="N326" t="s">
        <v>33</v>
      </c>
    </row>
    <row r="327" spans="1:14" x14ac:dyDescent="0.25">
      <c r="A327" t="s">
        <v>5966</v>
      </c>
      <c r="B327" t="s">
        <v>37</v>
      </c>
      <c r="C327" t="s">
        <v>397</v>
      </c>
      <c r="D327">
        <v>3918</v>
      </c>
      <c r="E327">
        <v>2016.454</v>
      </c>
      <c r="F327">
        <v>2409616</v>
      </c>
      <c r="G327" t="s">
        <v>345</v>
      </c>
      <c r="H327" t="s">
        <v>1317</v>
      </c>
      <c r="I327">
        <v>1065.6959999999999</v>
      </c>
      <c r="J327">
        <v>19.05</v>
      </c>
      <c r="K327">
        <v>0</v>
      </c>
      <c r="L327">
        <v>1.2</v>
      </c>
      <c r="M327">
        <v>0.51300000000000001</v>
      </c>
      <c r="N327" t="s">
        <v>33</v>
      </c>
    </row>
    <row r="328" spans="1:14" x14ac:dyDescent="0.25">
      <c r="A328" t="s">
        <v>5966</v>
      </c>
      <c r="B328" t="s">
        <v>37</v>
      </c>
      <c r="C328" t="s">
        <v>397</v>
      </c>
      <c r="D328">
        <v>11373</v>
      </c>
      <c r="E328">
        <v>2154.174</v>
      </c>
      <c r="F328">
        <v>3432081</v>
      </c>
      <c r="G328" t="s">
        <v>345</v>
      </c>
      <c r="H328" t="s">
        <v>417</v>
      </c>
      <c r="I328">
        <v>943.95899999999995</v>
      </c>
      <c r="J328">
        <v>12.7</v>
      </c>
      <c r="K328">
        <v>0</v>
      </c>
      <c r="L328">
        <v>1.6</v>
      </c>
      <c r="M328">
        <v>0.189</v>
      </c>
      <c r="N328" t="s">
        <v>33</v>
      </c>
    </row>
    <row r="329" spans="1:14" x14ac:dyDescent="0.25">
      <c r="A329" t="s">
        <v>5966</v>
      </c>
      <c r="B329" t="s">
        <v>37</v>
      </c>
      <c r="C329" t="s">
        <v>397</v>
      </c>
      <c r="D329">
        <v>1227</v>
      </c>
      <c r="E329">
        <v>232.40799999999999</v>
      </c>
      <c r="F329">
        <v>3432081</v>
      </c>
      <c r="G329" t="s">
        <v>345</v>
      </c>
      <c r="H329" t="s">
        <v>417</v>
      </c>
      <c r="I329">
        <v>101.84099999999999</v>
      </c>
      <c r="J329">
        <v>12.7</v>
      </c>
      <c r="K329">
        <v>0</v>
      </c>
      <c r="L329">
        <v>1.6</v>
      </c>
      <c r="M329">
        <v>0.189</v>
      </c>
      <c r="N329" t="s">
        <v>33</v>
      </c>
    </row>
    <row r="330" spans="1:14" x14ac:dyDescent="0.25">
      <c r="A330" t="s">
        <v>5966</v>
      </c>
      <c r="B330" t="s">
        <v>37</v>
      </c>
      <c r="C330" t="s">
        <v>397</v>
      </c>
      <c r="D330">
        <v>6</v>
      </c>
      <c r="E330">
        <v>6.87</v>
      </c>
      <c r="F330">
        <v>4110464</v>
      </c>
      <c r="G330" t="s">
        <v>345</v>
      </c>
      <c r="H330" t="s">
        <v>477</v>
      </c>
      <c r="I330">
        <v>3.629</v>
      </c>
      <c r="J330">
        <v>19.05</v>
      </c>
      <c r="K330">
        <v>0</v>
      </c>
      <c r="L330">
        <v>1.2</v>
      </c>
      <c r="M330">
        <v>1.145</v>
      </c>
      <c r="N330" t="s">
        <v>33</v>
      </c>
    </row>
    <row r="331" spans="1:14" x14ac:dyDescent="0.25">
      <c r="A331" t="s">
        <v>5966</v>
      </c>
      <c r="B331" t="s">
        <v>37</v>
      </c>
      <c r="C331" t="s">
        <v>397</v>
      </c>
      <c r="D331">
        <v>30</v>
      </c>
      <c r="E331">
        <v>34.35</v>
      </c>
      <c r="F331">
        <v>4110464</v>
      </c>
      <c r="G331" t="s">
        <v>345</v>
      </c>
      <c r="H331" t="s">
        <v>477</v>
      </c>
      <c r="I331">
        <v>18.145</v>
      </c>
      <c r="J331">
        <v>19.05</v>
      </c>
      <c r="K331">
        <v>0</v>
      </c>
      <c r="L331">
        <v>1.2</v>
      </c>
      <c r="M331">
        <v>1.145</v>
      </c>
      <c r="N331" t="s">
        <v>33</v>
      </c>
    </row>
    <row r="332" spans="1:14" x14ac:dyDescent="0.25">
      <c r="A332" t="s">
        <v>5966</v>
      </c>
      <c r="B332" t="s">
        <v>37</v>
      </c>
      <c r="C332" t="s">
        <v>397</v>
      </c>
      <c r="D332">
        <v>210</v>
      </c>
      <c r="E332">
        <v>240.452</v>
      </c>
      <c r="F332">
        <v>4110464</v>
      </c>
      <c r="G332" t="s">
        <v>345</v>
      </c>
      <c r="H332" t="s">
        <v>477</v>
      </c>
      <c r="I332">
        <v>127.017</v>
      </c>
      <c r="J332">
        <v>19.05</v>
      </c>
      <c r="K332">
        <v>0</v>
      </c>
      <c r="L332">
        <v>1.2</v>
      </c>
      <c r="M332">
        <v>1.145</v>
      </c>
      <c r="N332" t="s">
        <v>33</v>
      </c>
    </row>
    <row r="333" spans="1:14" x14ac:dyDescent="0.25">
      <c r="A333" t="s">
        <v>5966</v>
      </c>
      <c r="B333" t="s">
        <v>37</v>
      </c>
      <c r="C333" t="s">
        <v>397</v>
      </c>
      <c r="D333">
        <v>2876</v>
      </c>
      <c r="E333">
        <v>3293.0450000000001</v>
      </c>
      <c r="F333">
        <v>4110464</v>
      </c>
      <c r="G333" t="s">
        <v>345</v>
      </c>
      <c r="H333" t="s">
        <v>477</v>
      </c>
      <c r="I333">
        <v>1739.5329999999999</v>
      </c>
      <c r="J333">
        <v>19.05</v>
      </c>
      <c r="K333">
        <v>0</v>
      </c>
      <c r="L333">
        <v>1.2</v>
      </c>
      <c r="M333">
        <v>1.145</v>
      </c>
      <c r="N333" t="s">
        <v>33</v>
      </c>
    </row>
    <row r="334" spans="1:14" x14ac:dyDescent="0.25">
      <c r="A334" t="s">
        <v>5966</v>
      </c>
      <c r="B334" t="s">
        <v>37</v>
      </c>
      <c r="C334" t="s">
        <v>397</v>
      </c>
      <c r="D334">
        <v>928</v>
      </c>
      <c r="E334">
        <v>1062.568</v>
      </c>
      <c r="F334">
        <v>4110464</v>
      </c>
      <c r="G334" t="s">
        <v>345</v>
      </c>
      <c r="H334" t="s">
        <v>477</v>
      </c>
      <c r="I334">
        <v>561.29600000000005</v>
      </c>
      <c r="J334">
        <v>19.05</v>
      </c>
      <c r="K334">
        <v>0</v>
      </c>
      <c r="L334">
        <v>1.2</v>
      </c>
      <c r="M334">
        <v>1.145</v>
      </c>
      <c r="N334" t="s">
        <v>33</v>
      </c>
    </row>
    <row r="335" spans="1:14" x14ac:dyDescent="0.25">
      <c r="A335" t="s">
        <v>5999</v>
      </c>
      <c r="B335" t="s">
        <v>36</v>
      </c>
      <c r="C335" t="s">
        <v>392</v>
      </c>
      <c r="D335">
        <v>196</v>
      </c>
      <c r="E335">
        <v>1035.7270000000001</v>
      </c>
      <c r="F335">
        <v>4038150</v>
      </c>
      <c r="G335" t="s">
        <v>345</v>
      </c>
      <c r="H335" t="s">
        <v>6031</v>
      </c>
      <c r="I335">
        <v>1435</v>
      </c>
      <c r="J335">
        <v>48</v>
      </c>
      <c r="K335">
        <v>0</v>
      </c>
      <c r="L335">
        <v>1.2</v>
      </c>
      <c r="M335">
        <v>5.2850000000000001</v>
      </c>
      <c r="N335" t="s">
        <v>33</v>
      </c>
    </row>
    <row r="336" spans="1:14" x14ac:dyDescent="0.25">
      <c r="A336" t="s">
        <v>5999</v>
      </c>
      <c r="B336" t="s">
        <v>36</v>
      </c>
      <c r="C336" t="s">
        <v>392</v>
      </c>
      <c r="D336">
        <v>208</v>
      </c>
      <c r="E336">
        <v>1100.6859999999999</v>
      </c>
      <c r="F336">
        <v>4038150</v>
      </c>
      <c r="G336" t="s">
        <v>345</v>
      </c>
      <c r="H336" t="s">
        <v>6031</v>
      </c>
      <c r="I336">
        <v>1525</v>
      </c>
      <c r="J336">
        <v>48</v>
      </c>
      <c r="K336">
        <v>0</v>
      </c>
      <c r="L336">
        <v>1.2</v>
      </c>
      <c r="M336">
        <v>5.2850000000000001</v>
      </c>
      <c r="N336" t="s">
        <v>33</v>
      </c>
    </row>
    <row r="337" spans="1:15" x14ac:dyDescent="0.25">
      <c r="A337" t="s">
        <v>5999</v>
      </c>
      <c r="B337" t="s">
        <v>36</v>
      </c>
      <c r="C337" t="s">
        <v>392</v>
      </c>
      <c r="D337">
        <v>125</v>
      </c>
      <c r="E337">
        <v>659.69</v>
      </c>
      <c r="F337">
        <v>4038150</v>
      </c>
      <c r="G337" t="s">
        <v>345</v>
      </c>
      <c r="H337" t="s">
        <v>6031</v>
      </c>
      <c r="I337">
        <v>914</v>
      </c>
      <c r="J337">
        <v>48</v>
      </c>
      <c r="K337">
        <v>0</v>
      </c>
      <c r="L337">
        <v>1.2</v>
      </c>
      <c r="M337">
        <v>5.2850000000000001</v>
      </c>
      <c r="N337" t="s">
        <v>33</v>
      </c>
    </row>
    <row r="338" spans="1:15" x14ac:dyDescent="0.25">
      <c r="A338" t="s">
        <v>5999</v>
      </c>
      <c r="B338" t="s">
        <v>36</v>
      </c>
      <c r="C338" t="s">
        <v>392</v>
      </c>
      <c r="D338">
        <v>197</v>
      </c>
      <c r="E338">
        <v>1040.058</v>
      </c>
      <c r="F338">
        <v>4038150</v>
      </c>
      <c r="G338" t="s">
        <v>345</v>
      </c>
      <c r="H338" t="s">
        <v>6031</v>
      </c>
      <c r="I338">
        <v>1441</v>
      </c>
      <c r="J338">
        <v>48</v>
      </c>
      <c r="K338">
        <v>0</v>
      </c>
      <c r="L338">
        <v>1.2</v>
      </c>
      <c r="M338">
        <v>5.2850000000000001</v>
      </c>
      <c r="N338" t="s">
        <v>33</v>
      </c>
    </row>
    <row r="339" spans="1:15" x14ac:dyDescent="0.25">
      <c r="A339" t="s">
        <v>5999</v>
      </c>
      <c r="B339" t="s">
        <v>36</v>
      </c>
      <c r="C339" t="s">
        <v>392</v>
      </c>
      <c r="D339">
        <v>109</v>
      </c>
      <c r="E339">
        <v>577.40899999999999</v>
      </c>
      <c r="F339">
        <v>4038150</v>
      </c>
      <c r="G339" t="s">
        <v>345</v>
      </c>
      <c r="H339" t="s">
        <v>6031</v>
      </c>
      <c r="I339">
        <v>800</v>
      </c>
      <c r="J339">
        <v>48</v>
      </c>
      <c r="K339">
        <v>0</v>
      </c>
      <c r="L339">
        <v>1.2</v>
      </c>
      <c r="M339">
        <v>5.2850000000000001</v>
      </c>
      <c r="N339" t="s">
        <v>33</v>
      </c>
    </row>
    <row r="340" spans="1:15" x14ac:dyDescent="0.25">
      <c r="A340" t="s">
        <v>5999</v>
      </c>
      <c r="B340" t="s">
        <v>36</v>
      </c>
      <c r="C340" t="s">
        <v>392</v>
      </c>
      <c r="D340">
        <v>12</v>
      </c>
      <c r="E340">
        <v>62.070999999999998</v>
      </c>
      <c r="F340">
        <v>4038150</v>
      </c>
      <c r="G340" t="s">
        <v>345</v>
      </c>
      <c r="H340" t="s">
        <v>6031</v>
      </c>
      <c r="I340">
        <v>86</v>
      </c>
      <c r="J340">
        <v>48</v>
      </c>
      <c r="K340">
        <v>0</v>
      </c>
      <c r="L340">
        <v>1.2</v>
      </c>
      <c r="M340">
        <v>5.2850000000000001</v>
      </c>
      <c r="N340" t="s">
        <v>33</v>
      </c>
    </row>
    <row r="341" spans="1:15" x14ac:dyDescent="0.25">
      <c r="A341" t="s">
        <v>5999</v>
      </c>
      <c r="B341" t="s">
        <v>36</v>
      </c>
      <c r="C341" t="s">
        <v>392</v>
      </c>
      <c r="D341">
        <v>106</v>
      </c>
      <c r="E341">
        <v>636.14599999999996</v>
      </c>
      <c r="F341">
        <v>1940684</v>
      </c>
      <c r="G341" t="s">
        <v>345</v>
      </c>
      <c r="H341" t="s">
        <v>6032</v>
      </c>
      <c r="I341">
        <v>1063</v>
      </c>
      <c r="J341">
        <v>31.75</v>
      </c>
      <c r="K341">
        <v>0</v>
      </c>
      <c r="L341">
        <v>2.2999999999999998</v>
      </c>
      <c r="M341">
        <v>6</v>
      </c>
      <c r="N341" t="s">
        <v>33</v>
      </c>
      <c r="O341" t="s">
        <v>6332</v>
      </c>
    </row>
    <row r="342" spans="1:15" x14ac:dyDescent="0.25">
      <c r="A342" t="s">
        <v>5999</v>
      </c>
      <c r="B342" t="s">
        <v>36</v>
      </c>
      <c r="C342" t="s">
        <v>392</v>
      </c>
      <c r="D342">
        <v>239</v>
      </c>
      <c r="E342">
        <v>1436.2660000000001</v>
      </c>
      <c r="F342">
        <v>1940684</v>
      </c>
      <c r="G342" t="s">
        <v>345</v>
      </c>
      <c r="H342" t="s">
        <v>6032</v>
      </c>
      <c r="I342">
        <v>2400</v>
      </c>
      <c r="J342">
        <v>31.75</v>
      </c>
      <c r="K342">
        <v>0</v>
      </c>
      <c r="L342">
        <v>2.2999999999999998</v>
      </c>
      <c r="M342">
        <v>6</v>
      </c>
      <c r="N342" t="s">
        <v>33</v>
      </c>
      <c r="O342" t="s">
        <v>6332</v>
      </c>
    </row>
    <row r="343" spans="1:15" x14ac:dyDescent="0.25">
      <c r="A343" t="s">
        <v>5999</v>
      </c>
      <c r="B343" t="s">
        <v>36</v>
      </c>
      <c r="C343" t="s">
        <v>392</v>
      </c>
      <c r="D343">
        <v>158</v>
      </c>
      <c r="E343">
        <v>949.13199999999995</v>
      </c>
      <c r="F343">
        <v>1940684</v>
      </c>
      <c r="G343" t="s">
        <v>345</v>
      </c>
      <c r="H343" t="s">
        <v>6032</v>
      </c>
      <c r="I343">
        <v>1586</v>
      </c>
      <c r="J343">
        <v>31.75</v>
      </c>
      <c r="K343">
        <v>0</v>
      </c>
      <c r="L343">
        <v>2.2999999999999998</v>
      </c>
      <c r="M343">
        <v>6</v>
      </c>
      <c r="N343" t="s">
        <v>33</v>
      </c>
      <c r="O343" t="s">
        <v>6332</v>
      </c>
    </row>
    <row r="344" spans="1:15" x14ac:dyDescent="0.25">
      <c r="A344" t="s">
        <v>5999</v>
      </c>
      <c r="B344" t="s">
        <v>36</v>
      </c>
      <c r="C344" t="s">
        <v>392</v>
      </c>
      <c r="D344">
        <v>80</v>
      </c>
      <c r="E344">
        <v>478.755</v>
      </c>
      <c r="F344">
        <v>1940684</v>
      </c>
      <c r="G344" t="s">
        <v>345</v>
      </c>
      <c r="H344" t="s">
        <v>6032</v>
      </c>
      <c r="I344">
        <v>800</v>
      </c>
      <c r="J344">
        <v>31.75</v>
      </c>
      <c r="K344">
        <v>0</v>
      </c>
      <c r="L344">
        <v>2.2999999999999998</v>
      </c>
      <c r="M344">
        <v>6</v>
      </c>
      <c r="N344" t="s">
        <v>33</v>
      </c>
      <c r="O344" t="s">
        <v>6332</v>
      </c>
    </row>
    <row r="345" spans="1:15" x14ac:dyDescent="0.25">
      <c r="A345" t="s">
        <v>5999</v>
      </c>
      <c r="B345" t="s">
        <v>36</v>
      </c>
      <c r="C345" t="s">
        <v>392</v>
      </c>
      <c r="D345">
        <v>234</v>
      </c>
      <c r="E345">
        <v>1406.3440000000001</v>
      </c>
      <c r="F345">
        <v>1940684</v>
      </c>
      <c r="G345" t="s">
        <v>345</v>
      </c>
      <c r="H345" t="s">
        <v>6032</v>
      </c>
      <c r="I345">
        <v>2350</v>
      </c>
      <c r="J345">
        <v>31.75</v>
      </c>
      <c r="K345">
        <v>0</v>
      </c>
      <c r="L345">
        <v>2.2999999999999998</v>
      </c>
      <c r="M345">
        <v>6</v>
      </c>
      <c r="N345" t="s">
        <v>33</v>
      </c>
      <c r="O345" t="s">
        <v>6332</v>
      </c>
    </row>
    <row r="346" spans="1:15" x14ac:dyDescent="0.25">
      <c r="A346" t="s">
        <v>5999</v>
      </c>
      <c r="B346" t="s">
        <v>36</v>
      </c>
      <c r="C346" t="s">
        <v>392</v>
      </c>
      <c r="D346">
        <v>239</v>
      </c>
      <c r="E346">
        <v>1436.2660000000001</v>
      </c>
      <c r="F346">
        <v>1940684</v>
      </c>
      <c r="G346" t="s">
        <v>345</v>
      </c>
      <c r="H346" t="s">
        <v>6032</v>
      </c>
      <c r="I346">
        <v>2400</v>
      </c>
      <c r="J346">
        <v>31.75</v>
      </c>
      <c r="K346">
        <v>0</v>
      </c>
      <c r="L346">
        <v>2.2999999999999998</v>
      </c>
      <c r="M346">
        <v>6</v>
      </c>
      <c r="N346" t="s">
        <v>33</v>
      </c>
      <c r="O346" t="s">
        <v>6332</v>
      </c>
    </row>
    <row r="347" spans="1:15" x14ac:dyDescent="0.25">
      <c r="A347" t="s">
        <v>5999</v>
      </c>
      <c r="B347" t="s">
        <v>36</v>
      </c>
      <c r="C347" t="s">
        <v>392</v>
      </c>
      <c r="D347">
        <v>237</v>
      </c>
      <c r="E347">
        <v>1424.297</v>
      </c>
      <c r="F347">
        <v>1940684</v>
      </c>
      <c r="G347" t="s">
        <v>345</v>
      </c>
      <c r="H347" t="s">
        <v>6032</v>
      </c>
      <c r="I347">
        <v>2380</v>
      </c>
      <c r="J347">
        <v>31.75</v>
      </c>
      <c r="K347">
        <v>0</v>
      </c>
      <c r="L347">
        <v>2.2999999999999998</v>
      </c>
      <c r="M347">
        <v>6</v>
      </c>
      <c r="N347" t="s">
        <v>33</v>
      </c>
      <c r="O347" t="s">
        <v>6332</v>
      </c>
    </row>
    <row r="348" spans="1:15" x14ac:dyDescent="0.25">
      <c r="A348" t="s">
        <v>5999</v>
      </c>
      <c r="B348" t="s">
        <v>36</v>
      </c>
      <c r="C348" t="s">
        <v>392</v>
      </c>
      <c r="D348">
        <v>230</v>
      </c>
      <c r="E348">
        <v>1382.4059999999999</v>
      </c>
      <c r="F348">
        <v>1940684</v>
      </c>
      <c r="G348" t="s">
        <v>345</v>
      </c>
      <c r="H348" t="s">
        <v>6032</v>
      </c>
      <c r="I348">
        <v>2310</v>
      </c>
      <c r="J348">
        <v>31.75</v>
      </c>
      <c r="K348">
        <v>0</v>
      </c>
      <c r="L348">
        <v>2.2999999999999998</v>
      </c>
      <c r="M348">
        <v>6</v>
      </c>
      <c r="N348" t="s">
        <v>33</v>
      </c>
      <c r="O348" t="s">
        <v>6332</v>
      </c>
    </row>
    <row r="349" spans="1:15" x14ac:dyDescent="0.25">
      <c r="A349" t="s">
        <v>5966</v>
      </c>
      <c r="B349" t="s">
        <v>37</v>
      </c>
      <c r="C349" t="s">
        <v>392</v>
      </c>
      <c r="D349">
        <v>1071</v>
      </c>
      <c r="E349">
        <v>6427.732</v>
      </c>
      <c r="F349">
        <v>1939985</v>
      </c>
      <c r="G349" t="s">
        <v>345</v>
      </c>
      <c r="H349" t="s">
        <v>1137</v>
      </c>
      <c r="I349">
        <v>2188</v>
      </c>
      <c r="J349">
        <v>12.7</v>
      </c>
      <c r="K349">
        <v>0</v>
      </c>
      <c r="L349">
        <v>1.2</v>
      </c>
      <c r="M349">
        <v>6</v>
      </c>
      <c r="N349" t="s">
        <v>33</v>
      </c>
      <c r="O349" t="s">
        <v>6155</v>
      </c>
    </row>
    <row r="350" spans="1:15" x14ac:dyDescent="0.25">
      <c r="A350" t="s">
        <v>5966</v>
      </c>
      <c r="B350" t="s">
        <v>37</v>
      </c>
      <c r="C350" t="s">
        <v>392</v>
      </c>
      <c r="D350">
        <v>1243</v>
      </c>
      <c r="E350">
        <v>7461.81</v>
      </c>
      <c r="F350">
        <v>1939985</v>
      </c>
      <c r="G350" t="s">
        <v>345</v>
      </c>
      <c r="H350" t="s">
        <v>1137</v>
      </c>
      <c r="I350">
        <v>2540</v>
      </c>
      <c r="J350">
        <v>12.7</v>
      </c>
      <c r="K350">
        <v>0</v>
      </c>
      <c r="L350">
        <v>1.2</v>
      </c>
      <c r="M350">
        <v>6</v>
      </c>
      <c r="N350" t="s">
        <v>33</v>
      </c>
      <c r="O350" t="s">
        <v>6155</v>
      </c>
    </row>
    <row r="351" spans="1:15" x14ac:dyDescent="0.25">
      <c r="A351" t="s">
        <v>5966</v>
      </c>
      <c r="B351" t="s">
        <v>37</v>
      </c>
      <c r="C351" t="s">
        <v>392</v>
      </c>
      <c r="D351">
        <v>1045</v>
      </c>
      <c r="E351">
        <v>6272.0330000000004</v>
      </c>
      <c r="F351">
        <v>1939985</v>
      </c>
      <c r="G351" t="s">
        <v>345</v>
      </c>
      <c r="H351" t="s">
        <v>1137</v>
      </c>
      <c r="I351">
        <v>2135</v>
      </c>
      <c r="J351">
        <v>12.7</v>
      </c>
      <c r="K351">
        <v>0</v>
      </c>
      <c r="L351">
        <v>1.2</v>
      </c>
      <c r="M351">
        <v>6</v>
      </c>
      <c r="N351" t="s">
        <v>33</v>
      </c>
      <c r="O351" t="s">
        <v>6155</v>
      </c>
    </row>
    <row r="352" spans="1:15" x14ac:dyDescent="0.25">
      <c r="A352" t="s">
        <v>5966</v>
      </c>
      <c r="B352" t="s">
        <v>37</v>
      </c>
      <c r="C352" t="s">
        <v>392</v>
      </c>
      <c r="D352">
        <v>538</v>
      </c>
      <c r="E352">
        <v>3231.4920000000002</v>
      </c>
      <c r="F352">
        <v>1939985</v>
      </c>
      <c r="G352" t="s">
        <v>345</v>
      </c>
      <c r="H352" t="s">
        <v>1137</v>
      </c>
      <c r="I352">
        <v>1100</v>
      </c>
      <c r="J352">
        <v>12.7</v>
      </c>
      <c r="K352">
        <v>0</v>
      </c>
      <c r="L352">
        <v>1.2</v>
      </c>
      <c r="M352">
        <v>6</v>
      </c>
      <c r="N352" t="s">
        <v>33</v>
      </c>
      <c r="O352" t="s">
        <v>6155</v>
      </c>
    </row>
    <row r="353" spans="1:15" x14ac:dyDescent="0.25">
      <c r="A353" t="s">
        <v>5966</v>
      </c>
      <c r="B353" t="s">
        <v>37</v>
      </c>
      <c r="C353" t="s">
        <v>392</v>
      </c>
      <c r="D353">
        <v>550</v>
      </c>
      <c r="E353">
        <v>3301.998</v>
      </c>
      <c r="F353">
        <v>1939985</v>
      </c>
      <c r="G353" t="s">
        <v>345</v>
      </c>
      <c r="H353" t="s">
        <v>1137</v>
      </c>
      <c r="I353">
        <v>1124</v>
      </c>
      <c r="J353">
        <v>12.7</v>
      </c>
      <c r="K353">
        <v>0</v>
      </c>
      <c r="L353">
        <v>1.2</v>
      </c>
      <c r="M353">
        <v>6</v>
      </c>
      <c r="N353" t="s">
        <v>33</v>
      </c>
      <c r="O353" t="s">
        <v>6155</v>
      </c>
    </row>
    <row r="354" spans="1:15" x14ac:dyDescent="0.25">
      <c r="A354" t="s">
        <v>5966</v>
      </c>
      <c r="B354" t="s">
        <v>37</v>
      </c>
      <c r="C354" t="s">
        <v>392</v>
      </c>
      <c r="D354">
        <v>550</v>
      </c>
      <c r="E354">
        <v>3299.06</v>
      </c>
      <c r="F354">
        <v>1939985</v>
      </c>
      <c r="G354" t="s">
        <v>345</v>
      </c>
      <c r="H354" t="s">
        <v>1137</v>
      </c>
      <c r="I354">
        <v>1123</v>
      </c>
      <c r="J354">
        <v>12.7</v>
      </c>
      <c r="K354">
        <v>0</v>
      </c>
      <c r="L354">
        <v>1.2</v>
      </c>
      <c r="M354">
        <v>6</v>
      </c>
      <c r="N354" t="s">
        <v>33</v>
      </c>
      <c r="O354" t="s">
        <v>6155</v>
      </c>
    </row>
    <row r="355" spans="1:15" x14ac:dyDescent="0.25">
      <c r="A355" t="s">
        <v>5966</v>
      </c>
      <c r="B355" t="s">
        <v>37</v>
      </c>
      <c r="C355" t="s">
        <v>392</v>
      </c>
      <c r="D355">
        <v>620</v>
      </c>
      <c r="E355">
        <v>3286.7469999999998</v>
      </c>
      <c r="F355">
        <v>3929640</v>
      </c>
      <c r="G355" t="s">
        <v>345</v>
      </c>
      <c r="H355" t="s">
        <v>6041</v>
      </c>
      <c r="I355">
        <v>2046</v>
      </c>
      <c r="J355">
        <v>22.23</v>
      </c>
      <c r="K355">
        <v>0</v>
      </c>
      <c r="L355">
        <v>1.2</v>
      </c>
      <c r="M355">
        <v>5.3</v>
      </c>
      <c r="N355" t="s">
        <v>33</v>
      </c>
    </row>
    <row r="356" spans="1:15" x14ac:dyDescent="0.25">
      <c r="A356" t="s">
        <v>5966</v>
      </c>
      <c r="B356" t="s">
        <v>37</v>
      </c>
      <c r="C356" t="s">
        <v>392</v>
      </c>
      <c r="D356">
        <v>576</v>
      </c>
      <c r="E356">
        <v>3053.8150000000001</v>
      </c>
      <c r="F356">
        <v>3929640</v>
      </c>
      <c r="G356" t="s">
        <v>345</v>
      </c>
      <c r="H356" t="s">
        <v>6041</v>
      </c>
      <c r="I356">
        <v>1901</v>
      </c>
      <c r="J356">
        <v>22.23</v>
      </c>
      <c r="K356">
        <v>0</v>
      </c>
      <c r="L356">
        <v>1.2</v>
      </c>
      <c r="M356">
        <v>5.3</v>
      </c>
      <c r="N356" t="s">
        <v>33</v>
      </c>
    </row>
    <row r="357" spans="1:15" x14ac:dyDescent="0.25">
      <c r="A357" t="s">
        <v>5966</v>
      </c>
      <c r="B357" t="s">
        <v>37</v>
      </c>
      <c r="C357" t="s">
        <v>392</v>
      </c>
      <c r="D357">
        <v>611</v>
      </c>
      <c r="E357">
        <v>3238.5540000000001</v>
      </c>
      <c r="F357">
        <v>3929640</v>
      </c>
      <c r="G357" t="s">
        <v>345</v>
      </c>
      <c r="H357" t="s">
        <v>6041</v>
      </c>
      <c r="I357">
        <v>2016</v>
      </c>
      <c r="J357">
        <v>22.23</v>
      </c>
      <c r="K357">
        <v>0</v>
      </c>
      <c r="L357">
        <v>1.2</v>
      </c>
      <c r="M357">
        <v>5.3</v>
      </c>
      <c r="N357" t="s">
        <v>33</v>
      </c>
    </row>
    <row r="358" spans="1:15" x14ac:dyDescent="0.25">
      <c r="A358" t="s">
        <v>5966</v>
      </c>
      <c r="B358" t="s">
        <v>37</v>
      </c>
      <c r="C358" t="s">
        <v>392</v>
      </c>
      <c r="D358">
        <v>496</v>
      </c>
      <c r="E358">
        <v>2629.7190000000001</v>
      </c>
      <c r="F358">
        <v>3929640</v>
      </c>
      <c r="G358" t="s">
        <v>345</v>
      </c>
      <c r="H358" t="s">
        <v>6041</v>
      </c>
      <c r="I358">
        <v>1637</v>
      </c>
      <c r="J358">
        <v>22.23</v>
      </c>
      <c r="K358">
        <v>0</v>
      </c>
      <c r="L358">
        <v>1.2</v>
      </c>
      <c r="M358">
        <v>5.3</v>
      </c>
      <c r="N358" t="s">
        <v>33</v>
      </c>
    </row>
    <row r="359" spans="1:15" x14ac:dyDescent="0.25">
      <c r="A359" t="s">
        <v>5966</v>
      </c>
      <c r="B359" t="s">
        <v>37</v>
      </c>
      <c r="C359" t="s">
        <v>392</v>
      </c>
      <c r="D359">
        <v>80</v>
      </c>
      <c r="E359">
        <v>457.33699999999999</v>
      </c>
      <c r="F359">
        <v>3907863</v>
      </c>
      <c r="G359" t="s">
        <v>345</v>
      </c>
      <c r="H359" t="s">
        <v>1749</v>
      </c>
      <c r="I359">
        <v>1482</v>
      </c>
      <c r="J359">
        <v>57.15</v>
      </c>
      <c r="K359">
        <v>0</v>
      </c>
      <c r="L359">
        <v>2.5</v>
      </c>
      <c r="M359">
        <v>5.7110000000000003</v>
      </c>
      <c r="N359" t="s">
        <v>33</v>
      </c>
      <c r="O359" t="s">
        <v>6205</v>
      </c>
    </row>
    <row r="360" spans="1:15" x14ac:dyDescent="0.25">
      <c r="A360" t="s">
        <v>5966</v>
      </c>
      <c r="B360" t="s">
        <v>37</v>
      </c>
      <c r="C360" t="s">
        <v>392</v>
      </c>
      <c r="D360">
        <v>80</v>
      </c>
      <c r="E360">
        <v>457.33699999999999</v>
      </c>
      <c r="F360">
        <v>3907863</v>
      </c>
      <c r="G360" t="s">
        <v>345</v>
      </c>
      <c r="H360" t="s">
        <v>1749</v>
      </c>
      <c r="I360">
        <v>1482</v>
      </c>
      <c r="J360">
        <v>57.15</v>
      </c>
      <c r="K360">
        <v>0</v>
      </c>
      <c r="L360">
        <v>2.5</v>
      </c>
      <c r="M360">
        <v>5.7110000000000003</v>
      </c>
      <c r="N360" t="s">
        <v>33</v>
      </c>
      <c r="O360" t="s">
        <v>6205</v>
      </c>
    </row>
    <row r="361" spans="1:15" x14ac:dyDescent="0.25">
      <c r="A361" t="s">
        <v>5966</v>
      </c>
      <c r="B361" t="s">
        <v>37</v>
      </c>
      <c r="C361" t="s">
        <v>392</v>
      </c>
      <c r="D361">
        <v>77</v>
      </c>
      <c r="E361">
        <v>442.21600000000001</v>
      </c>
      <c r="F361">
        <v>3907863</v>
      </c>
      <c r="G361" t="s">
        <v>345</v>
      </c>
      <c r="H361" t="s">
        <v>1749</v>
      </c>
      <c r="I361">
        <v>1433</v>
      </c>
      <c r="J361">
        <v>57.15</v>
      </c>
      <c r="K361">
        <v>0</v>
      </c>
      <c r="L361">
        <v>2.5</v>
      </c>
      <c r="M361">
        <v>5.7110000000000003</v>
      </c>
      <c r="N361" t="s">
        <v>33</v>
      </c>
      <c r="O361" t="s">
        <v>6205</v>
      </c>
    </row>
    <row r="362" spans="1:15" x14ac:dyDescent="0.25">
      <c r="A362" t="s">
        <v>5966</v>
      </c>
      <c r="B362" t="s">
        <v>37</v>
      </c>
      <c r="C362" t="s">
        <v>392</v>
      </c>
      <c r="D362">
        <v>77</v>
      </c>
      <c r="E362">
        <v>442.21600000000001</v>
      </c>
      <c r="F362">
        <v>3907863</v>
      </c>
      <c r="G362" t="s">
        <v>345</v>
      </c>
      <c r="H362" t="s">
        <v>1749</v>
      </c>
      <c r="I362">
        <v>1433</v>
      </c>
      <c r="J362">
        <v>57.15</v>
      </c>
      <c r="K362">
        <v>0</v>
      </c>
      <c r="L362">
        <v>2.5</v>
      </c>
      <c r="M362">
        <v>5.7110000000000003</v>
      </c>
      <c r="N362" t="s">
        <v>33</v>
      </c>
      <c r="O362" t="s">
        <v>6205</v>
      </c>
    </row>
    <row r="363" spans="1:15" x14ac:dyDescent="0.25">
      <c r="A363" t="s">
        <v>5966</v>
      </c>
      <c r="B363" t="s">
        <v>37</v>
      </c>
      <c r="C363" t="s">
        <v>392</v>
      </c>
      <c r="D363">
        <v>77</v>
      </c>
      <c r="E363">
        <v>439.74700000000001</v>
      </c>
      <c r="F363">
        <v>3907863</v>
      </c>
      <c r="G363" t="s">
        <v>345</v>
      </c>
      <c r="H363" t="s">
        <v>1749</v>
      </c>
      <c r="I363">
        <v>1425</v>
      </c>
      <c r="J363">
        <v>57.15</v>
      </c>
      <c r="K363">
        <v>0</v>
      </c>
      <c r="L363">
        <v>2.5</v>
      </c>
      <c r="M363">
        <v>5.7110000000000003</v>
      </c>
      <c r="N363" t="s">
        <v>33</v>
      </c>
      <c r="O363" t="s">
        <v>6205</v>
      </c>
    </row>
    <row r="364" spans="1:15" x14ac:dyDescent="0.25">
      <c r="A364" t="s">
        <v>5966</v>
      </c>
      <c r="B364" t="s">
        <v>37</v>
      </c>
      <c r="C364" t="s">
        <v>392</v>
      </c>
      <c r="D364">
        <v>77</v>
      </c>
      <c r="E364">
        <v>439.74700000000001</v>
      </c>
      <c r="F364">
        <v>3907863</v>
      </c>
      <c r="G364" t="s">
        <v>345</v>
      </c>
      <c r="H364" t="s">
        <v>1749</v>
      </c>
      <c r="I364">
        <v>1425</v>
      </c>
      <c r="J364">
        <v>57.15</v>
      </c>
      <c r="K364">
        <v>0</v>
      </c>
      <c r="L364">
        <v>2.5</v>
      </c>
      <c r="M364">
        <v>5.7110000000000003</v>
      </c>
      <c r="N364" t="s">
        <v>33</v>
      </c>
      <c r="O364" t="s">
        <v>6205</v>
      </c>
    </row>
    <row r="365" spans="1:15" x14ac:dyDescent="0.25">
      <c r="A365" t="s">
        <v>5966</v>
      </c>
      <c r="B365" t="s">
        <v>37</v>
      </c>
      <c r="C365" t="s">
        <v>392</v>
      </c>
      <c r="D365">
        <v>80</v>
      </c>
      <c r="E365">
        <v>458.26299999999998</v>
      </c>
      <c r="F365">
        <v>3907863</v>
      </c>
      <c r="G365" t="s">
        <v>345</v>
      </c>
      <c r="H365" t="s">
        <v>1749</v>
      </c>
      <c r="I365">
        <v>1485</v>
      </c>
      <c r="J365">
        <v>57.15</v>
      </c>
      <c r="K365">
        <v>0</v>
      </c>
      <c r="L365">
        <v>2.5</v>
      </c>
      <c r="M365">
        <v>5.7110000000000003</v>
      </c>
      <c r="N365" t="s">
        <v>33</v>
      </c>
      <c r="O365" t="s">
        <v>6205</v>
      </c>
    </row>
    <row r="366" spans="1:15" x14ac:dyDescent="0.25">
      <c r="A366" t="s">
        <v>5966</v>
      </c>
      <c r="B366" t="s">
        <v>37</v>
      </c>
      <c r="C366" t="s">
        <v>392</v>
      </c>
      <c r="D366">
        <v>80</v>
      </c>
      <c r="E366">
        <v>458.26299999999998</v>
      </c>
      <c r="F366">
        <v>3907863</v>
      </c>
      <c r="G366" t="s">
        <v>345</v>
      </c>
      <c r="H366" t="s">
        <v>1749</v>
      </c>
      <c r="I366">
        <v>1485</v>
      </c>
      <c r="J366">
        <v>57.15</v>
      </c>
      <c r="K366">
        <v>0</v>
      </c>
      <c r="L366">
        <v>2.5</v>
      </c>
      <c r="M366">
        <v>5.7110000000000003</v>
      </c>
      <c r="N366" t="s">
        <v>33</v>
      </c>
      <c r="O366" t="s">
        <v>6205</v>
      </c>
    </row>
    <row r="367" spans="1:15" x14ac:dyDescent="0.25">
      <c r="A367" t="s">
        <v>5966</v>
      </c>
      <c r="B367" t="s">
        <v>37</v>
      </c>
      <c r="C367" t="s">
        <v>392</v>
      </c>
      <c r="D367">
        <v>91</v>
      </c>
      <c r="E367">
        <v>518.43899999999996</v>
      </c>
      <c r="F367">
        <v>3907863</v>
      </c>
      <c r="G367" t="s">
        <v>345</v>
      </c>
      <c r="H367" t="s">
        <v>1749</v>
      </c>
      <c r="I367">
        <v>1680</v>
      </c>
      <c r="J367">
        <v>57.15</v>
      </c>
      <c r="K367">
        <v>0</v>
      </c>
      <c r="L367">
        <v>2.5</v>
      </c>
      <c r="M367">
        <v>5.7110000000000003</v>
      </c>
      <c r="N367" t="s">
        <v>33</v>
      </c>
      <c r="O367" t="s">
        <v>6205</v>
      </c>
    </row>
    <row r="368" spans="1:15" x14ac:dyDescent="0.25">
      <c r="A368" t="s">
        <v>5966</v>
      </c>
      <c r="B368" t="s">
        <v>37</v>
      </c>
      <c r="C368" t="s">
        <v>392</v>
      </c>
      <c r="D368">
        <v>91</v>
      </c>
      <c r="E368">
        <v>518.43899999999996</v>
      </c>
      <c r="F368">
        <v>3907863</v>
      </c>
      <c r="G368" t="s">
        <v>345</v>
      </c>
      <c r="H368" t="s">
        <v>1749</v>
      </c>
      <c r="I368">
        <v>1680</v>
      </c>
      <c r="J368">
        <v>57.15</v>
      </c>
      <c r="K368">
        <v>0</v>
      </c>
      <c r="L368">
        <v>2.5</v>
      </c>
      <c r="M368">
        <v>5.7110000000000003</v>
      </c>
      <c r="N368" t="s">
        <v>33</v>
      </c>
      <c r="O368" t="s">
        <v>6205</v>
      </c>
    </row>
    <row r="369" spans="1:15" x14ac:dyDescent="0.25">
      <c r="A369" t="s">
        <v>5966</v>
      </c>
      <c r="B369" t="s">
        <v>37</v>
      </c>
      <c r="C369" t="s">
        <v>392</v>
      </c>
      <c r="D369">
        <v>82</v>
      </c>
      <c r="E369">
        <v>465.97699999999998</v>
      </c>
      <c r="F369">
        <v>3907863</v>
      </c>
      <c r="G369" t="s">
        <v>345</v>
      </c>
      <c r="H369" t="s">
        <v>1749</v>
      </c>
      <c r="I369">
        <v>1510</v>
      </c>
      <c r="J369">
        <v>57.15</v>
      </c>
      <c r="K369">
        <v>0</v>
      </c>
      <c r="L369">
        <v>2.5</v>
      </c>
      <c r="M369">
        <v>5.7110000000000003</v>
      </c>
      <c r="N369" t="s">
        <v>33</v>
      </c>
      <c r="O369" t="s">
        <v>6205</v>
      </c>
    </row>
    <row r="370" spans="1:15" x14ac:dyDescent="0.25">
      <c r="A370" t="s">
        <v>5966</v>
      </c>
      <c r="B370" t="s">
        <v>37</v>
      </c>
      <c r="C370" t="s">
        <v>392</v>
      </c>
      <c r="D370">
        <v>82</v>
      </c>
      <c r="E370">
        <v>465.97699999999998</v>
      </c>
      <c r="F370">
        <v>3907863</v>
      </c>
      <c r="G370" t="s">
        <v>345</v>
      </c>
      <c r="H370" t="s">
        <v>1749</v>
      </c>
      <c r="I370">
        <v>1510</v>
      </c>
      <c r="J370">
        <v>57.15</v>
      </c>
      <c r="K370">
        <v>0</v>
      </c>
      <c r="L370">
        <v>2.5</v>
      </c>
      <c r="M370">
        <v>5.7110000000000003</v>
      </c>
      <c r="N370" t="s">
        <v>33</v>
      </c>
      <c r="O370" t="s">
        <v>6205</v>
      </c>
    </row>
    <row r="371" spans="1:15" x14ac:dyDescent="0.25">
      <c r="A371" t="s">
        <v>5966</v>
      </c>
      <c r="B371" t="s">
        <v>37</v>
      </c>
      <c r="C371" t="s">
        <v>392</v>
      </c>
      <c r="D371">
        <v>76</v>
      </c>
      <c r="E371">
        <v>431.72300000000001</v>
      </c>
      <c r="F371">
        <v>3907863</v>
      </c>
      <c r="G371" t="s">
        <v>345</v>
      </c>
      <c r="H371" t="s">
        <v>1749</v>
      </c>
      <c r="I371">
        <v>1399</v>
      </c>
      <c r="J371">
        <v>57.15</v>
      </c>
      <c r="K371">
        <v>0</v>
      </c>
      <c r="L371">
        <v>2.5</v>
      </c>
      <c r="M371">
        <v>5.7110000000000003</v>
      </c>
      <c r="N371" t="s">
        <v>33</v>
      </c>
      <c r="O371" t="s">
        <v>6205</v>
      </c>
    </row>
    <row r="372" spans="1:15" x14ac:dyDescent="0.25">
      <c r="A372" t="s">
        <v>5966</v>
      </c>
      <c r="B372" t="s">
        <v>37</v>
      </c>
      <c r="C372" t="s">
        <v>392</v>
      </c>
      <c r="D372">
        <v>76</v>
      </c>
      <c r="E372">
        <v>431.72300000000001</v>
      </c>
      <c r="F372">
        <v>3907863</v>
      </c>
      <c r="G372" t="s">
        <v>345</v>
      </c>
      <c r="H372" t="s">
        <v>1749</v>
      </c>
      <c r="I372">
        <v>1399</v>
      </c>
      <c r="J372">
        <v>57.15</v>
      </c>
      <c r="K372">
        <v>0</v>
      </c>
      <c r="L372">
        <v>2.5</v>
      </c>
      <c r="M372">
        <v>5.7110000000000003</v>
      </c>
      <c r="N372" t="s">
        <v>33</v>
      </c>
      <c r="O372" t="s">
        <v>6205</v>
      </c>
    </row>
    <row r="373" spans="1:15" x14ac:dyDescent="0.25">
      <c r="A373" t="s">
        <v>5966</v>
      </c>
      <c r="B373" t="s">
        <v>37</v>
      </c>
      <c r="C373" t="s">
        <v>392</v>
      </c>
      <c r="D373">
        <v>86</v>
      </c>
      <c r="E373">
        <v>493.75099999999998</v>
      </c>
      <c r="F373">
        <v>3907863</v>
      </c>
      <c r="G373" t="s">
        <v>345</v>
      </c>
      <c r="H373" t="s">
        <v>1749</v>
      </c>
      <c r="I373">
        <v>1600</v>
      </c>
      <c r="J373">
        <v>57.15</v>
      </c>
      <c r="K373">
        <v>0</v>
      </c>
      <c r="L373">
        <v>2.5</v>
      </c>
      <c r="M373">
        <v>5.7110000000000003</v>
      </c>
      <c r="N373" t="s">
        <v>33</v>
      </c>
      <c r="O373" t="s">
        <v>6205</v>
      </c>
    </row>
    <row r="374" spans="1:15" x14ac:dyDescent="0.25">
      <c r="A374" t="s">
        <v>5966</v>
      </c>
      <c r="B374" t="s">
        <v>37</v>
      </c>
      <c r="C374" t="s">
        <v>392</v>
      </c>
      <c r="D374">
        <v>86</v>
      </c>
      <c r="E374">
        <v>493.75099999999998</v>
      </c>
      <c r="F374">
        <v>3907863</v>
      </c>
      <c r="G374" t="s">
        <v>345</v>
      </c>
      <c r="H374" t="s">
        <v>1749</v>
      </c>
      <c r="I374">
        <v>1600</v>
      </c>
      <c r="J374">
        <v>57.15</v>
      </c>
      <c r="K374">
        <v>0</v>
      </c>
      <c r="L374">
        <v>2.5</v>
      </c>
      <c r="M374">
        <v>5.7110000000000003</v>
      </c>
      <c r="N374" t="s">
        <v>33</v>
      </c>
      <c r="O374" t="s">
        <v>6205</v>
      </c>
    </row>
    <row r="375" spans="1:15" x14ac:dyDescent="0.25">
      <c r="A375" t="s">
        <v>5966</v>
      </c>
      <c r="B375" t="s">
        <v>37</v>
      </c>
      <c r="C375" t="s">
        <v>392</v>
      </c>
      <c r="D375">
        <v>78</v>
      </c>
      <c r="E375">
        <v>447.46199999999999</v>
      </c>
      <c r="F375">
        <v>3907863</v>
      </c>
      <c r="G375" t="s">
        <v>345</v>
      </c>
      <c r="H375" t="s">
        <v>1749</v>
      </c>
      <c r="I375">
        <v>1450</v>
      </c>
      <c r="J375">
        <v>57.15</v>
      </c>
      <c r="K375">
        <v>0</v>
      </c>
      <c r="L375">
        <v>2.5</v>
      </c>
      <c r="M375">
        <v>5.7110000000000003</v>
      </c>
      <c r="N375" t="s">
        <v>33</v>
      </c>
      <c r="O375" t="s">
        <v>6205</v>
      </c>
    </row>
    <row r="376" spans="1:15" x14ac:dyDescent="0.25">
      <c r="A376" t="s">
        <v>5966</v>
      </c>
      <c r="B376" t="s">
        <v>37</v>
      </c>
      <c r="C376" t="s">
        <v>392</v>
      </c>
      <c r="D376">
        <v>78</v>
      </c>
      <c r="E376">
        <v>447.46199999999999</v>
      </c>
      <c r="F376">
        <v>3907863</v>
      </c>
      <c r="G376" t="s">
        <v>345</v>
      </c>
      <c r="H376" t="s">
        <v>1749</v>
      </c>
      <c r="I376">
        <v>1450</v>
      </c>
      <c r="J376">
        <v>57.15</v>
      </c>
      <c r="K376">
        <v>0</v>
      </c>
      <c r="L376">
        <v>2.5</v>
      </c>
      <c r="M376">
        <v>5.7110000000000003</v>
      </c>
      <c r="N376" t="s">
        <v>33</v>
      </c>
      <c r="O376" t="s">
        <v>6205</v>
      </c>
    </row>
    <row r="377" spans="1:15" x14ac:dyDescent="0.25">
      <c r="A377" t="s">
        <v>5966</v>
      </c>
      <c r="B377" t="s">
        <v>37</v>
      </c>
      <c r="C377" t="s">
        <v>392</v>
      </c>
      <c r="D377">
        <v>80</v>
      </c>
      <c r="E377">
        <v>456.72</v>
      </c>
      <c r="F377">
        <v>3907863</v>
      </c>
      <c r="G377" t="s">
        <v>345</v>
      </c>
      <c r="H377" t="s">
        <v>1749</v>
      </c>
      <c r="I377">
        <v>1480</v>
      </c>
      <c r="J377">
        <v>57.15</v>
      </c>
      <c r="K377">
        <v>0</v>
      </c>
      <c r="L377">
        <v>2.5</v>
      </c>
      <c r="M377">
        <v>5.7110000000000003</v>
      </c>
      <c r="N377" t="s">
        <v>33</v>
      </c>
      <c r="O377" t="s">
        <v>6205</v>
      </c>
    </row>
    <row r="378" spans="1:15" x14ac:dyDescent="0.25">
      <c r="A378" t="s">
        <v>5966</v>
      </c>
      <c r="B378" t="s">
        <v>37</v>
      </c>
      <c r="C378" t="s">
        <v>392</v>
      </c>
      <c r="D378">
        <v>80</v>
      </c>
      <c r="E378">
        <v>456.72</v>
      </c>
      <c r="F378">
        <v>3907863</v>
      </c>
      <c r="G378" t="s">
        <v>345</v>
      </c>
      <c r="H378" t="s">
        <v>1749</v>
      </c>
      <c r="I378">
        <v>1480</v>
      </c>
      <c r="J378">
        <v>57.15</v>
      </c>
      <c r="K378">
        <v>0</v>
      </c>
      <c r="L378">
        <v>2.5</v>
      </c>
      <c r="M378">
        <v>5.7110000000000003</v>
      </c>
      <c r="N378" t="s">
        <v>33</v>
      </c>
      <c r="O378" t="s">
        <v>6205</v>
      </c>
    </row>
    <row r="379" spans="1:15" x14ac:dyDescent="0.25">
      <c r="A379" t="s">
        <v>5966</v>
      </c>
      <c r="B379" t="s">
        <v>37</v>
      </c>
      <c r="C379" t="s">
        <v>392</v>
      </c>
      <c r="D379">
        <v>81</v>
      </c>
      <c r="E379">
        <v>462.892</v>
      </c>
      <c r="F379">
        <v>3907863</v>
      </c>
      <c r="G379" t="s">
        <v>345</v>
      </c>
      <c r="H379" t="s">
        <v>1749</v>
      </c>
      <c r="I379">
        <v>1500</v>
      </c>
      <c r="J379">
        <v>57.15</v>
      </c>
      <c r="K379">
        <v>0</v>
      </c>
      <c r="L379">
        <v>2.5</v>
      </c>
      <c r="M379">
        <v>5.7110000000000003</v>
      </c>
      <c r="N379" t="s">
        <v>33</v>
      </c>
      <c r="O379" t="s">
        <v>6205</v>
      </c>
    </row>
    <row r="380" spans="1:15" x14ac:dyDescent="0.25">
      <c r="A380" t="s">
        <v>5966</v>
      </c>
      <c r="B380" t="s">
        <v>37</v>
      </c>
      <c r="C380" t="s">
        <v>392</v>
      </c>
      <c r="D380">
        <v>81</v>
      </c>
      <c r="E380">
        <v>462.892</v>
      </c>
      <c r="F380">
        <v>3907863</v>
      </c>
      <c r="G380" t="s">
        <v>345</v>
      </c>
      <c r="H380" t="s">
        <v>1749</v>
      </c>
      <c r="I380">
        <v>1500</v>
      </c>
      <c r="J380">
        <v>57.15</v>
      </c>
      <c r="K380">
        <v>0</v>
      </c>
      <c r="L380">
        <v>2.5</v>
      </c>
      <c r="M380">
        <v>5.7110000000000003</v>
      </c>
      <c r="N380" t="s">
        <v>33</v>
      </c>
      <c r="O380" t="s">
        <v>6205</v>
      </c>
    </row>
    <row r="381" spans="1:15" x14ac:dyDescent="0.25">
      <c r="A381" t="s">
        <v>5966</v>
      </c>
      <c r="B381" t="s">
        <v>37</v>
      </c>
      <c r="C381" t="s">
        <v>392</v>
      </c>
      <c r="D381">
        <v>82</v>
      </c>
      <c r="E381">
        <v>467.82900000000001</v>
      </c>
      <c r="F381">
        <v>3907863</v>
      </c>
      <c r="G381" t="s">
        <v>345</v>
      </c>
      <c r="H381" t="s">
        <v>1749</v>
      </c>
      <c r="I381">
        <v>1516</v>
      </c>
      <c r="J381">
        <v>57.15</v>
      </c>
      <c r="K381">
        <v>0</v>
      </c>
      <c r="L381">
        <v>2.5</v>
      </c>
      <c r="M381">
        <v>5.7110000000000003</v>
      </c>
      <c r="N381" t="s">
        <v>33</v>
      </c>
      <c r="O381" t="s">
        <v>6205</v>
      </c>
    </row>
    <row r="382" spans="1:15" x14ac:dyDescent="0.25">
      <c r="A382" t="s">
        <v>5966</v>
      </c>
      <c r="B382" t="s">
        <v>37</v>
      </c>
      <c r="C382" t="s">
        <v>392</v>
      </c>
      <c r="D382">
        <v>82</v>
      </c>
      <c r="E382">
        <v>467.82900000000001</v>
      </c>
      <c r="F382">
        <v>3907863</v>
      </c>
      <c r="G382" t="s">
        <v>345</v>
      </c>
      <c r="H382" t="s">
        <v>1749</v>
      </c>
      <c r="I382">
        <v>1516</v>
      </c>
      <c r="J382">
        <v>57.15</v>
      </c>
      <c r="K382">
        <v>0</v>
      </c>
      <c r="L382">
        <v>2.5</v>
      </c>
      <c r="M382">
        <v>5.7110000000000003</v>
      </c>
      <c r="N382" t="s">
        <v>33</v>
      </c>
      <c r="O382" t="s">
        <v>6205</v>
      </c>
    </row>
    <row r="383" spans="1:15" x14ac:dyDescent="0.25">
      <c r="A383" t="s">
        <v>5966</v>
      </c>
      <c r="B383" t="s">
        <v>37</v>
      </c>
      <c r="C383" t="s">
        <v>392</v>
      </c>
      <c r="D383">
        <v>76</v>
      </c>
      <c r="E383">
        <v>433.57499999999999</v>
      </c>
      <c r="F383">
        <v>3907863</v>
      </c>
      <c r="G383" t="s">
        <v>345</v>
      </c>
      <c r="H383" t="s">
        <v>1749</v>
      </c>
      <c r="I383">
        <v>1405</v>
      </c>
      <c r="J383">
        <v>57.15</v>
      </c>
      <c r="K383">
        <v>0</v>
      </c>
      <c r="L383">
        <v>2.5</v>
      </c>
      <c r="M383">
        <v>5.7110000000000003</v>
      </c>
      <c r="N383" t="s">
        <v>33</v>
      </c>
      <c r="O383" t="s">
        <v>6205</v>
      </c>
    </row>
    <row r="384" spans="1:15" x14ac:dyDescent="0.25">
      <c r="A384" t="s">
        <v>5966</v>
      </c>
      <c r="B384" t="s">
        <v>37</v>
      </c>
      <c r="C384" t="s">
        <v>392</v>
      </c>
      <c r="D384">
        <v>76</v>
      </c>
      <c r="E384">
        <v>433.57499999999999</v>
      </c>
      <c r="F384">
        <v>3907863</v>
      </c>
      <c r="G384" t="s">
        <v>345</v>
      </c>
      <c r="H384" t="s">
        <v>1749</v>
      </c>
      <c r="I384">
        <v>1405</v>
      </c>
      <c r="J384">
        <v>57.15</v>
      </c>
      <c r="K384">
        <v>0</v>
      </c>
      <c r="L384">
        <v>2.5</v>
      </c>
      <c r="M384">
        <v>5.7110000000000003</v>
      </c>
      <c r="N384" t="s">
        <v>33</v>
      </c>
      <c r="O384" t="s">
        <v>6205</v>
      </c>
    </row>
    <row r="385" spans="1:15" x14ac:dyDescent="0.25">
      <c r="A385" t="s">
        <v>5966</v>
      </c>
      <c r="B385" t="s">
        <v>37</v>
      </c>
      <c r="C385" t="s">
        <v>392</v>
      </c>
      <c r="D385">
        <v>76</v>
      </c>
      <c r="E385">
        <v>433.57499999999999</v>
      </c>
      <c r="F385">
        <v>3907863</v>
      </c>
      <c r="G385" t="s">
        <v>345</v>
      </c>
      <c r="H385" t="s">
        <v>1749</v>
      </c>
      <c r="I385">
        <v>1405</v>
      </c>
      <c r="J385">
        <v>57.15</v>
      </c>
      <c r="K385">
        <v>0</v>
      </c>
      <c r="L385">
        <v>2.5</v>
      </c>
      <c r="M385">
        <v>5.7110000000000003</v>
      </c>
      <c r="N385" t="s">
        <v>33</v>
      </c>
      <c r="O385" t="s">
        <v>6205</v>
      </c>
    </row>
    <row r="386" spans="1:15" x14ac:dyDescent="0.25">
      <c r="A386" t="s">
        <v>5966</v>
      </c>
      <c r="B386" t="s">
        <v>37</v>
      </c>
      <c r="C386" t="s">
        <v>392</v>
      </c>
      <c r="D386">
        <v>76</v>
      </c>
      <c r="E386">
        <v>433.57499999999999</v>
      </c>
      <c r="F386">
        <v>3907863</v>
      </c>
      <c r="G386" t="s">
        <v>345</v>
      </c>
      <c r="H386" t="s">
        <v>1749</v>
      </c>
      <c r="I386">
        <v>1405</v>
      </c>
      <c r="J386">
        <v>57.15</v>
      </c>
      <c r="K386">
        <v>0</v>
      </c>
      <c r="L386">
        <v>2.5</v>
      </c>
      <c r="M386">
        <v>5.7110000000000003</v>
      </c>
      <c r="N386" t="s">
        <v>33</v>
      </c>
      <c r="O386" t="s">
        <v>6205</v>
      </c>
    </row>
    <row r="387" spans="1:15" x14ac:dyDescent="0.25">
      <c r="A387" t="s">
        <v>5966</v>
      </c>
      <c r="B387" t="s">
        <v>37</v>
      </c>
      <c r="C387" t="s">
        <v>392</v>
      </c>
      <c r="D387">
        <v>81</v>
      </c>
      <c r="E387">
        <v>462.892</v>
      </c>
      <c r="F387">
        <v>3907863</v>
      </c>
      <c r="G387" t="s">
        <v>345</v>
      </c>
      <c r="H387" t="s">
        <v>1749</v>
      </c>
      <c r="I387">
        <v>1500</v>
      </c>
      <c r="J387">
        <v>57.15</v>
      </c>
      <c r="K387">
        <v>0</v>
      </c>
      <c r="L387">
        <v>2.5</v>
      </c>
      <c r="M387">
        <v>5.7110000000000003</v>
      </c>
      <c r="N387" t="s">
        <v>33</v>
      </c>
      <c r="O387" t="s">
        <v>6205</v>
      </c>
    </row>
    <row r="388" spans="1:15" x14ac:dyDescent="0.25">
      <c r="A388" t="s">
        <v>5966</v>
      </c>
      <c r="B388" t="s">
        <v>37</v>
      </c>
      <c r="C388" t="s">
        <v>392</v>
      </c>
      <c r="D388">
        <v>81</v>
      </c>
      <c r="E388">
        <v>462.892</v>
      </c>
      <c r="F388">
        <v>3907863</v>
      </c>
      <c r="G388" t="s">
        <v>345</v>
      </c>
      <c r="H388" t="s">
        <v>1749</v>
      </c>
      <c r="I388">
        <v>1500</v>
      </c>
      <c r="J388">
        <v>57.15</v>
      </c>
      <c r="K388">
        <v>0</v>
      </c>
      <c r="L388">
        <v>2.5</v>
      </c>
      <c r="M388">
        <v>5.7110000000000003</v>
      </c>
      <c r="N388" t="s">
        <v>33</v>
      </c>
      <c r="O388" t="s">
        <v>6205</v>
      </c>
    </row>
    <row r="389" spans="1:15" x14ac:dyDescent="0.25">
      <c r="A389" t="s">
        <v>5966</v>
      </c>
      <c r="B389" t="s">
        <v>37</v>
      </c>
      <c r="C389" t="s">
        <v>392</v>
      </c>
      <c r="D389">
        <v>77</v>
      </c>
      <c r="E389">
        <v>441.29</v>
      </c>
      <c r="F389">
        <v>3907863</v>
      </c>
      <c r="G389" t="s">
        <v>345</v>
      </c>
      <c r="H389" t="s">
        <v>1749</v>
      </c>
      <c r="I389">
        <v>1430</v>
      </c>
      <c r="J389">
        <v>57.15</v>
      </c>
      <c r="K389">
        <v>0</v>
      </c>
      <c r="L389">
        <v>2.5</v>
      </c>
      <c r="M389">
        <v>5.7110000000000003</v>
      </c>
      <c r="N389" t="s">
        <v>33</v>
      </c>
      <c r="O389" t="s">
        <v>6205</v>
      </c>
    </row>
    <row r="390" spans="1:15" x14ac:dyDescent="0.25">
      <c r="A390" t="s">
        <v>5966</v>
      </c>
      <c r="B390" t="s">
        <v>37</v>
      </c>
      <c r="C390" t="s">
        <v>392</v>
      </c>
      <c r="D390">
        <v>77</v>
      </c>
      <c r="E390">
        <v>441.29</v>
      </c>
      <c r="F390">
        <v>3907863</v>
      </c>
      <c r="G390" t="s">
        <v>345</v>
      </c>
      <c r="H390" t="s">
        <v>1749</v>
      </c>
      <c r="I390">
        <v>1430</v>
      </c>
      <c r="J390">
        <v>57.15</v>
      </c>
      <c r="K390">
        <v>0</v>
      </c>
      <c r="L390">
        <v>2.5</v>
      </c>
      <c r="M390">
        <v>5.7110000000000003</v>
      </c>
      <c r="N390" t="s">
        <v>33</v>
      </c>
      <c r="O390" t="s">
        <v>6205</v>
      </c>
    </row>
    <row r="391" spans="1:15" x14ac:dyDescent="0.25">
      <c r="A391" t="s">
        <v>5999</v>
      </c>
      <c r="B391" t="s">
        <v>36</v>
      </c>
      <c r="C391" t="s">
        <v>392</v>
      </c>
      <c r="D391">
        <v>61</v>
      </c>
      <c r="E391">
        <v>363.25599999999997</v>
      </c>
      <c r="F391">
        <v>1940684</v>
      </c>
      <c r="G391" t="s">
        <v>345</v>
      </c>
      <c r="H391" t="s">
        <v>6032</v>
      </c>
      <c r="I391">
        <v>607</v>
      </c>
      <c r="J391">
        <v>31.75</v>
      </c>
      <c r="K391">
        <v>0</v>
      </c>
      <c r="L391">
        <v>2.2999999999999998</v>
      </c>
      <c r="M391">
        <v>6</v>
      </c>
      <c r="N391" t="s">
        <v>33</v>
      </c>
      <c r="O391" t="s">
        <v>6332</v>
      </c>
    </row>
    <row r="392" spans="1:15" x14ac:dyDescent="0.25">
      <c r="A392" t="s">
        <v>5999</v>
      </c>
      <c r="B392" t="s">
        <v>36</v>
      </c>
      <c r="C392" t="s">
        <v>392</v>
      </c>
      <c r="D392">
        <v>156</v>
      </c>
      <c r="E392">
        <v>936.56500000000005</v>
      </c>
      <c r="F392">
        <v>1940684</v>
      </c>
      <c r="G392" t="s">
        <v>345</v>
      </c>
      <c r="H392" t="s">
        <v>6032</v>
      </c>
      <c r="I392">
        <v>1565</v>
      </c>
      <c r="J392">
        <v>31.75</v>
      </c>
      <c r="K392">
        <v>0</v>
      </c>
      <c r="L392">
        <v>2.2999999999999998</v>
      </c>
      <c r="M392">
        <v>6</v>
      </c>
      <c r="N392" t="s">
        <v>33</v>
      </c>
      <c r="O392" t="s">
        <v>6332</v>
      </c>
    </row>
    <row r="393" spans="1:15" x14ac:dyDescent="0.25">
      <c r="A393" t="s">
        <v>5999</v>
      </c>
      <c r="B393" t="s">
        <v>36</v>
      </c>
      <c r="C393" t="s">
        <v>392</v>
      </c>
      <c r="D393">
        <v>11</v>
      </c>
      <c r="E393">
        <v>65.828999999999994</v>
      </c>
      <c r="F393">
        <v>1940684</v>
      </c>
      <c r="G393" t="s">
        <v>345</v>
      </c>
      <c r="H393" t="s">
        <v>6032</v>
      </c>
      <c r="I393">
        <v>110</v>
      </c>
      <c r="J393">
        <v>31.75</v>
      </c>
      <c r="K393">
        <v>0</v>
      </c>
      <c r="L393">
        <v>2.2999999999999998</v>
      </c>
      <c r="M393">
        <v>6</v>
      </c>
      <c r="N393" t="s">
        <v>33</v>
      </c>
      <c r="O393" t="s">
        <v>6332</v>
      </c>
    </row>
    <row r="394" spans="1:15" x14ac:dyDescent="0.25">
      <c r="A394" t="s">
        <v>5999</v>
      </c>
      <c r="B394" t="s">
        <v>36</v>
      </c>
      <c r="C394" t="s">
        <v>392</v>
      </c>
      <c r="D394">
        <v>160</v>
      </c>
      <c r="E394">
        <v>957.51</v>
      </c>
      <c r="F394">
        <v>1940684</v>
      </c>
      <c r="G394" t="s">
        <v>345</v>
      </c>
      <c r="H394" t="s">
        <v>6032</v>
      </c>
      <c r="I394">
        <v>1600</v>
      </c>
      <c r="J394">
        <v>31.75</v>
      </c>
      <c r="K394">
        <v>0</v>
      </c>
      <c r="L394">
        <v>2.2999999999999998</v>
      </c>
      <c r="M394">
        <v>6</v>
      </c>
      <c r="N394" t="s">
        <v>33</v>
      </c>
      <c r="O394" t="s">
        <v>6332</v>
      </c>
    </row>
    <row r="395" spans="1:15" x14ac:dyDescent="0.25">
      <c r="A395" t="s">
        <v>5999</v>
      </c>
      <c r="B395" t="s">
        <v>36</v>
      </c>
      <c r="C395" t="s">
        <v>392</v>
      </c>
      <c r="D395">
        <v>75</v>
      </c>
      <c r="E395">
        <v>447.63600000000002</v>
      </c>
      <c r="F395">
        <v>1940684</v>
      </c>
      <c r="G395" t="s">
        <v>345</v>
      </c>
      <c r="H395" t="s">
        <v>6032</v>
      </c>
      <c r="I395">
        <v>748</v>
      </c>
      <c r="J395">
        <v>31.75</v>
      </c>
      <c r="K395">
        <v>0</v>
      </c>
      <c r="L395">
        <v>2.2999999999999998</v>
      </c>
      <c r="M395">
        <v>6</v>
      </c>
      <c r="N395" t="s">
        <v>33</v>
      </c>
      <c r="O395" t="s">
        <v>6332</v>
      </c>
    </row>
    <row r="396" spans="1:15" x14ac:dyDescent="0.25">
      <c r="A396" t="s">
        <v>5966</v>
      </c>
      <c r="B396" t="s">
        <v>37</v>
      </c>
      <c r="C396" t="s">
        <v>392</v>
      </c>
      <c r="D396">
        <v>416</v>
      </c>
      <c r="E396">
        <v>2630.471</v>
      </c>
      <c r="F396">
        <v>1940337</v>
      </c>
      <c r="G396" t="s">
        <v>345</v>
      </c>
      <c r="H396" t="s">
        <v>2303</v>
      </c>
      <c r="I396">
        <v>2500</v>
      </c>
      <c r="J396">
        <v>19.05</v>
      </c>
      <c r="K396">
        <v>0</v>
      </c>
      <c r="L396">
        <v>2.2999999999999998</v>
      </c>
      <c r="M396">
        <v>6.32</v>
      </c>
      <c r="N396" t="s">
        <v>33</v>
      </c>
    </row>
    <row r="397" spans="1:15" x14ac:dyDescent="0.25">
      <c r="A397" t="s">
        <v>5966</v>
      </c>
      <c r="B397" t="s">
        <v>37</v>
      </c>
      <c r="C397" t="s">
        <v>392</v>
      </c>
      <c r="D397">
        <v>509</v>
      </c>
      <c r="E397">
        <v>3219.6970000000001</v>
      </c>
      <c r="F397">
        <v>1940337</v>
      </c>
      <c r="G397" t="s">
        <v>345</v>
      </c>
      <c r="H397" t="s">
        <v>2303</v>
      </c>
      <c r="I397">
        <v>3060</v>
      </c>
      <c r="J397">
        <v>19.05</v>
      </c>
      <c r="K397">
        <v>0</v>
      </c>
      <c r="L397">
        <v>2.2999999999999998</v>
      </c>
      <c r="M397">
        <v>6.32</v>
      </c>
      <c r="N397" t="s">
        <v>33</v>
      </c>
    </row>
    <row r="398" spans="1:15" x14ac:dyDescent="0.25">
      <c r="A398" t="s">
        <v>5966</v>
      </c>
      <c r="B398" t="s">
        <v>37</v>
      </c>
      <c r="C398" t="s">
        <v>392</v>
      </c>
      <c r="D398">
        <v>520</v>
      </c>
      <c r="E398">
        <v>3288.0889999999999</v>
      </c>
      <c r="F398">
        <v>1940337</v>
      </c>
      <c r="G398" t="s">
        <v>345</v>
      </c>
      <c r="H398" t="s">
        <v>2303</v>
      </c>
      <c r="I398">
        <v>3125</v>
      </c>
      <c r="J398">
        <v>19.05</v>
      </c>
      <c r="K398">
        <v>0</v>
      </c>
      <c r="L398">
        <v>2.2999999999999998</v>
      </c>
      <c r="M398">
        <v>6.32</v>
      </c>
      <c r="N398" t="s">
        <v>33</v>
      </c>
    </row>
    <row r="399" spans="1:15" x14ac:dyDescent="0.25">
      <c r="A399" t="s">
        <v>5966</v>
      </c>
      <c r="B399" t="s">
        <v>37</v>
      </c>
      <c r="C399" t="s">
        <v>392</v>
      </c>
      <c r="D399">
        <v>167</v>
      </c>
      <c r="E399">
        <v>1057.4490000000001</v>
      </c>
      <c r="F399">
        <v>1940337</v>
      </c>
      <c r="G399" t="s">
        <v>345</v>
      </c>
      <c r="H399" t="s">
        <v>2303</v>
      </c>
      <c r="I399">
        <v>1005</v>
      </c>
      <c r="J399">
        <v>19.05</v>
      </c>
      <c r="K399">
        <v>0</v>
      </c>
      <c r="L399">
        <v>2.2999999999999998</v>
      </c>
      <c r="M399">
        <v>6.32</v>
      </c>
      <c r="N399" t="s">
        <v>33</v>
      </c>
    </row>
    <row r="400" spans="1:15" x14ac:dyDescent="0.25">
      <c r="A400" t="s">
        <v>5966</v>
      </c>
      <c r="B400" t="s">
        <v>37</v>
      </c>
      <c r="C400" t="s">
        <v>392</v>
      </c>
      <c r="D400">
        <v>460</v>
      </c>
      <c r="E400">
        <v>2909.3009999999999</v>
      </c>
      <c r="F400">
        <v>1940337</v>
      </c>
      <c r="G400" t="s">
        <v>345</v>
      </c>
      <c r="H400" t="s">
        <v>2303</v>
      </c>
      <c r="I400">
        <v>2765</v>
      </c>
      <c r="J400">
        <v>19.05</v>
      </c>
      <c r="K400">
        <v>0</v>
      </c>
      <c r="L400">
        <v>2.2999999999999998</v>
      </c>
      <c r="M400">
        <v>6.32</v>
      </c>
      <c r="N400" t="s">
        <v>33</v>
      </c>
    </row>
    <row r="401" spans="1:15" x14ac:dyDescent="0.25">
      <c r="A401" t="s">
        <v>5966</v>
      </c>
      <c r="B401" t="s">
        <v>37</v>
      </c>
      <c r="C401" t="s">
        <v>392</v>
      </c>
      <c r="D401">
        <v>387</v>
      </c>
      <c r="E401">
        <v>2446.3380000000002</v>
      </c>
      <c r="F401">
        <v>1940337</v>
      </c>
      <c r="G401" t="s">
        <v>345</v>
      </c>
      <c r="H401" t="s">
        <v>2303</v>
      </c>
      <c r="I401">
        <v>2325</v>
      </c>
      <c r="J401">
        <v>19.05</v>
      </c>
      <c r="K401">
        <v>0</v>
      </c>
      <c r="L401">
        <v>2.2999999999999998</v>
      </c>
      <c r="M401">
        <v>6.32</v>
      </c>
      <c r="N401" t="s">
        <v>33</v>
      </c>
    </row>
    <row r="402" spans="1:15" x14ac:dyDescent="0.25">
      <c r="A402" t="s">
        <v>5966</v>
      </c>
      <c r="B402" t="s">
        <v>37</v>
      </c>
      <c r="C402" t="s">
        <v>392</v>
      </c>
      <c r="D402">
        <v>293</v>
      </c>
      <c r="E402">
        <v>1851.8520000000001</v>
      </c>
      <c r="F402">
        <v>1940337</v>
      </c>
      <c r="G402" t="s">
        <v>345</v>
      </c>
      <c r="H402" t="s">
        <v>2303</v>
      </c>
      <c r="I402">
        <v>1760</v>
      </c>
      <c r="J402">
        <v>19.05</v>
      </c>
      <c r="K402">
        <v>0</v>
      </c>
      <c r="L402">
        <v>2.2999999999999998</v>
      </c>
      <c r="M402">
        <v>6.32</v>
      </c>
      <c r="N402" t="s">
        <v>33</v>
      </c>
    </row>
    <row r="403" spans="1:15" x14ac:dyDescent="0.25">
      <c r="A403" t="s">
        <v>5966</v>
      </c>
      <c r="B403" t="s">
        <v>37</v>
      </c>
      <c r="C403" t="s">
        <v>392</v>
      </c>
      <c r="D403">
        <v>146</v>
      </c>
      <c r="E403">
        <v>877.91200000000003</v>
      </c>
      <c r="F403">
        <v>3994149</v>
      </c>
      <c r="G403" t="s">
        <v>345</v>
      </c>
      <c r="H403" t="s">
        <v>2395</v>
      </c>
      <c r="I403">
        <v>2099</v>
      </c>
      <c r="J403">
        <v>41.28</v>
      </c>
      <c r="K403">
        <v>0</v>
      </c>
      <c r="L403">
        <v>2.6</v>
      </c>
      <c r="M403">
        <v>6.0010000000000003</v>
      </c>
      <c r="N403" t="s">
        <v>33</v>
      </c>
      <c r="O403" t="s">
        <v>6189</v>
      </c>
    </row>
    <row r="404" spans="1:15" x14ac:dyDescent="0.25">
      <c r="A404" t="s">
        <v>5966</v>
      </c>
      <c r="B404" t="s">
        <v>37</v>
      </c>
      <c r="C404" t="s">
        <v>392</v>
      </c>
      <c r="D404">
        <v>142</v>
      </c>
      <c r="E404">
        <v>849.471</v>
      </c>
      <c r="F404">
        <v>3994149</v>
      </c>
      <c r="G404" t="s">
        <v>345</v>
      </c>
      <c r="H404" t="s">
        <v>2395</v>
      </c>
      <c r="I404">
        <v>2031</v>
      </c>
      <c r="J404">
        <v>41.28</v>
      </c>
      <c r="K404">
        <v>0</v>
      </c>
      <c r="L404">
        <v>2.6</v>
      </c>
      <c r="M404">
        <v>6.0010000000000003</v>
      </c>
      <c r="N404" t="s">
        <v>33</v>
      </c>
      <c r="O404" t="s">
        <v>6189</v>
      </c>
    </row>
    <row r="405" spans="1:15" x14ac:dyDescent="0.25">
      <c r="A405" t="s">
        <v>5966</v>
      </c>
      <c r="B405" t="s">
        <v>37</v>
      </c>
      <c r="C405" t="s">
        <v>397</v>
      </c>
      <c r="D405">
        <v>1164</v>
      </c>
      <c r="E405">
        <v>3015.6210000000001</v>
      </c>
      <c r="F405">
        <v>2409618</v>
      </c>
      <c r="G405" t="s">
        <v>345</v>
      </c>
      <c r="H405" t="s">
        <v>469</v>
      </c>
      <c r="I405">
        <v>2833.1759999999999</v>
      </c>
      <c r="J405">
        <v>25.4</v>
      </c>
      <c r="K405">
        <v>0</v>
      </c>
      <c r="L405">
        <v>1.6</v>
      </c>
      <c r="M405">
        <v>2.59</v>
      </c>
      <c r="N405" t="s">
        <v>33</v>
      </c>
    </row>
    <row r="406" spans="1:15" x14ac:dyDescent="0.25">
      <c r="A406" t="s">
        <v>5966</v>
      </c>
      <c r="B406" t="s">
        <v>37</v>
      </c>
      <c r="C406" t="s">
        <v>397</v>
      </c>
      <c r="D406">
        <v>57</v>
      </c>
      <c r="E406">
        <v>147.672</v>
      </c>
      <c r="F406">
        <v>2409618</v>
      </c>
      <c r="G406" t="s">
        <v>345</v>
      </c>
      <c r="H406" t="s">
        <v>469</v>
      </c>
      <c r="I406">
        <v>138.738</v>
      </c>
      <c r="J406">
        <v>25.4</v>
      </c>
      <c r="K406">
        <v>0</v>
      </c>
      <c r="L406">
        <v>1.6</v>
      </c>
      <c r="M406">
        <v>2.59</v>
      </c>
      <c r="N406" t="s">
        <v>33</v>
      </c>
    </row>
    <row r="407" spans="1:15" x14ac:dyDescent="0.25">
      <c r="A407" t="s">
        <v>5966</v>
      </c>
      <c r="B407" t="s">
        <v>37</v>
      </c>
      <c r="C407" t="s">
        <v>397</v>
      </c>
      <c r="D407">
        <v>1209</v>
      </c>
      <c r="E407">
        <v>3132.2040000000002</v>
      </c>
      <c r="F407">
        <v>2409618</v>
      </c>
      <c r="G407" t="s">
        <v>345</v>
      </c>
      <c r="H407" t="s">
        <v>469</v>
      </c>
      <c r="I407">
        <v>2942.7060000000001</v>
      </c>
      <c r="J407">
        <v>25.4</v>
      </c>
      <c r="K407">
        <v>0</v>
      </c>
      <c r="L407">
        <v>1.6</v>
      </c>
      <c r="M407">
        <v>2.59</v>
      </c>
      <c r="N407" t="s">
        <v>33</v>
      </c>
    </row>
    <row r="408" spans="1:15" x14ac:dyDescent="0.25">
      <c r="A408" t="s">
        <v>5966</v>
      </c>
      <c r="B408" t="s">
        <v>37</v>
      </c>
      <c r="C408" t="s">
        <v>397</v>
      </c>
      <c r="D408">
        <v>70</v>
      </c>
      <c r="E408">
        <v>181.352</v>
      </c>
      <c r="F408">
        <v>2409618</v>
      </c>
      <c r="G408" t="s">
        <v>345</v>
      </c>
      <c r="H408" t="s">
        <v>469</v>
      </c>
      <c r="I408">
        <v>170.38</v>
      </c>
      <c r="J408">
        <v>25.4</v>
      </c>
      <c r="K408">
        <v>0</v>
      </c>
      <c r="L408">
        <v>1.6</v>
      </c>
      <c r="M408">
        <v>2.59</v>
      </c>
      <c r="N408" t="s">
        <v>33</v>
      </c>
    </row>
    <row r="409" spans="1:15" x14ac:dyDescent="0.25">
      <c r="A409" t="s">
        <v>5966</v>
      </c>
      <c r="B409" t="s">
        <v>37</v>
      </c>
      <c r="C409" t="s">
        <v>397</v>
      </c>
      <c r="D409">
        <v>3538</v>
      </c>
      <c r="E409">
        <v>1167.569</v>
      </c>
      <c r="F409">
        <v>3239890</v>
      </c>
      <c r="G409" t="s">
        <v>345</v>
      </c>
      <c r="H409" t="s">
        <v>1315</v>
      </c>
      <c r="I409">
        <v>593.00800000000004</v>
      </c>
      <c r="J409">
        <v>19.05</v>
      </c>
      <c r="K409">
        <v>0</v>
      </c>
      <c r="L409">
        <v>1.2</v>
      </c>
      <c r="M409">
        <v>0.33</v>
      </c>
      <c r="N409" t="s">
        <v>33</v>
      </c>
    </row>
    <row r="410" spans="1:15" x14ac:dyDescent="0.25">
      <c r="A410" t="s">
        <v>5966</v>
      </c>
      <c r="B410" t="s">
        <v>37</v>
      </c>
      <c r="C410" t="s">
        <v>397</v>
      </c>
      <c r="D410">
        <v>2911</v>
      </c>
      <c r="E410">
        <v>960.654</v>
      </c>
      <c r="F410">
        <v>3239890</v>
      </c>
      <c r="G410" t="s">
        <v>345</v>
      </c>
      <c r="H410" t="s">
        <v>1315</v>
      </c>
      <c r="I410">
        <v>487.916</v>
      </c>
      <c r="J410">
        <v>19.05</v>
      </c>
      <c r="K410">
        <v>0</v>
      </c>
      <c r="L410">
        <v>1.2</v>
      </c>
      <c r="M410">
        <v>0.33</v>
      </c>
      <c r="N410" t="s">
        <v>33</v>
      </c>
    </row>
    <row r="411" spans="1:15" x14ac:dyDescent="0.25">
      <c r="A411" t="s">
        <v>5966</v>
      </c>
      <c r="B411" t="s">
        <v>37</v>
      </c>
      <c r="C411" t="s">
        <v>397</v>
      </c>
      <c r="D411">
        <v>1199</v>
      </c>
      <c r="E411">
        <v>395.68</v>
      </c>
      <c r="F411">
        <v>3239890</v>
      </c>
      <c r="G411" t="s">
        <v>345</v>
      </c>
      <c r="H411" t="s">
        <v>1315</v>
      </c>
      <c r="I411">
        <v>200.96600000000001</v>
      </c>
      <c r="J411">
        <v>19.05</v>
      </c>
      <c r="K411">
        <v>0</v>
      </c>
      <c r="L411">
        <v>1.2</v>
      </c>
      <c r="M411">
        <v>0.33</v>
      </c>
      <c r="N411" t="s">
        <v>33</v>
      </c>
    </row>
    <row r="412" spans="1:15" x14ac:dyDescent="0.25">
      <c r="A412" t="s">
        <v>5966</v>
      </c>
      <c r="B412" t="s">
        <v>37</v>
      </c>
      <c r="C412" t="s">
        <v>397</v>
      </c>
      <c r="D412">
        <v>52</v>
      </c>
      <c r="E412">
        <v>17.16</v>
      </c>
      <c r="F412">
        <v>3239890</v>
      </c>
      <c r="G412" t="s">
        <v>345</v>
      </c>
      <c r="H412" t="s">
        <v>1315</v>
      </c>
      <c r="I412">
        <v>8.7159999999999993</v>
      </c>
      <c r="J412">
        <v>19.05</v>
      </c>
      <c r="K412">
        <v>0</v>
      </c>
      <c r="L412">
        <v>1.2</v>
      </c>
      <c r="M412">
        <v>0.33</v>
      </c>
      <c r="N412" t="s">
        <v>33</v>
      </c>
    </row>
    <row r="413" spans="1:15" x14ac:dyDescent="0.25">
      <c r="A413" t="s">
        <v>5966</v>
      </c>
      <c r="B413" t="s">
        <v>37</v>
      </c>
      <c r="C413" t="s">
        <v>397</v>
      </c>
      <c r="D413">
        <v>2600</v>
      </c>
      <c r="E413">
        <v>1338.127</v>
      </c>
      <c r="F413">
        <v>2409616</v>
      </c>
      <c r="G413" t="s">
        <v>345</v>
      </c>
      <c r="H413" t="s">
        <v>1317</v>
      </c>
      <c r="I413">
        <v>707.2</v>
      </c>
      <c r="J413">
        <v>19.05</v>
      </c>
      <c r="K413">
        <v>0</v>
      </c>
      <c r="L413">
        <v>1.2</v>
      </c>
      <c r="M413">
        <v>0.51300000000000001</v>
      </c>
      <c r="N413" t="s">
        <v>33</v>
      </c>
    </row>
    <row r="414" spans="1:15" x14ac:dyDescent="0.25">
      <c r="A414" t="s">
        <v>5966</v>
      </c>
      <c r="B414" t="s">
        <v>37</v>
      </c>
      <c r="C414" t="s">
        <v>397</v>
      </c>
      <c r="D414">
        <v>1190</v>
      </c>
      <c r="E414">
        <v>1429.71</v>
      </c>
      <c r="F414">
        <v>3635694</v>
      </c>
      <c r="G414" t="s">
        <v>345</v>
      </c>
      <c r="H414" t="s">
        <v>649</v>
      </c>
      <c r="I414">
        <v>636.65</v>
      </c>
      <c r="J414">
        <v>19.05</v>
      </c>
      <c r="K414">
        <v>0</v>
      </c>
      <c r="L414">
        <v>1</v>
      </c>
      <c r="M414">
        <v>1.2</v>
      </c>
      <c r="N414" t="s">
        <v>33</v>
      </c>
    </row>
    <row r="415" spans="1:15" x14ac:dyDescent="0.25">
      <c r="A415" t="s">
        <v>5966</v>
      </c>
      <c r="B415" t="s">
        <v>37</v>
      </c>
      <c r="C415" t="s">
        <v>397</v>
      </c>
      <c r="D415">
        <v>1117</v>
      </c>
      <c r="E415">
        <v>1342.0050000000001</v>
      </c>
      <c r="F415">
        <v>3635694</v>
      </c>
      <c r="G415" t="s">
        <v>345</v>
      </c>
      <c r="H415" t="s">
        <v>649</v>
      </c>
      <c r="I415">
        <v>597.59500000000003</v>
      </c>
      <c r="J415">
        <v>19.05</v>
      </c>
      <c r="K415">
        <v>0</v>
      </c>
      <c r="L415">
        <v>1</v>
      </c>
      <c r="M415">
        <v>1.2</v>
      </c>
      <c r="N415" t="s">
        <v>33</v>
      </c>
    </row>
    <row r="416" spans="1:15" x14ac:dyDescent="0.25">
      <c r="A416" t="s">
        <v>5966</v>
      </c>
      <c r="B416" t="s">
        <v>37</v>
      </c>
      <c r="C416" t="s">
        <v>397</v>
      </c>
      <c r="D416">
        <v>174</v>
      </c>
      <c r="E416">
        <v>209.05</v>
      </c>
      <c r="F416">
        <v>3635694</v>
      </c>
      <c r="G416" t="s">
        <v>345</v>
      </c>
      <c r="H416" t="s">
        <v>649</v>
      </c>
      <c r="I416">
        <v>93.09</v>
      </c>
      <c r="J416">
        <v>19.05</v>
      </c>
      <c r="K416">
        <v>0</v>
      </c>
      <c r="L416">
        <v>1</v>
      </c>
      <c r="M416">
        <v>1.2</v>
      </c>
      <c r="N416" t="s">
        <v>33</v>
      </c>
    </row>
    <row r="417" spans="1:15" x14ac:dyDescent="0.25">
      <c r="A417" t="s">
        <v>5966</v>
      </c>
      <c r="B417" t="s">
        <v>37</v>
      </c>
      <c r="C417" t="s">
        <v>397</v>
      </c>
      <c r="D417">
        <v>3910</v>
      </c>
      <c r="E417">
        <v>4697.62</v>
      </c>
      <c r="F417">
        <v>3635694</v>
      </c>
      <c r="G417" t="s">
        <v>345</v>
      </c>
      <c r="H417" t="s">
        <v>649</v>
      </c>
      <c r="I417">
        <v>2091.85</v>
      </c>
      <c r="J417">
        <v>19.05</v>
      </c>
      <c r="K417">
        <v>0</v>
      </c>
      <c r="L417">
        <v>1</v>
      </c>
      <c r="M417">
        <v>1.2</v>
      </c>
      <c r="N417" t="s">
        <v>33</v>
      </c>
    </row>
    <row r="418" spans="1:15" x14ac:dyDescent="0.25">
      <c r="A418" t="s">
        <v>5966</v>
      </c>
      <c r="B418" t="s">
        <v>37</v>
      </c>
      <c r="C418" t="s">
        <v>397</v>
      </c>
      <c r="D418">
        <v>499</v>
      </c>
      <c r="E418">
        <v>599.51700000000005</v>
      </c>
      <c r="F418">
        <v>3635694</v>
      </c>
      <c r="G418" t="s">
        <v>345</v>
      </c>
      <c r="H418" t="s">
        <v>649</v>
      </c>
      <c r="I418">
        <v>266.96499999999997</v>
      </c>
      <c r="J418">
        <v>19.05</v>
      </c>
      <c r="K418">
        <v>0</v>
      </c>
      <c r="L418">
        <v>1</v>
      </c>
      <c r="M418">
        <v>1.2</v>
      </c>
      <c r="N418" t="s">
        <v>33</v>
      </c>
    </row>
    <row r="419" spans="1:15" x14ac:dyDescent="0.25">
      <c r="A419" t="s">
        <v>5966</v>
      </c>
      <c r="B419" t="s">
        <v>37</v>
      </c>
      <c r="C419" t="s">
        <v>397</v>
      </c>
      <c r="D419">
        <v>60</v>
      </c>
      <c r="E419">
        <v>72.085999999999999</v>
      </c>
      <c r="F419">
        <v>3635694</v>
      </c>
      <c r="G419" t="s">
        <v>345</v>
      </c>
      <c r="H419" t="s">
        <v>649</v>
      </c>
      <c r="I419">
        <v>32.1</v>
      </c>
      <c r="J419">
        <v>19.05</v>
      </c>
      <c r="K419">
        <v>0</v>
      </c>
      <c r="L419">
        <v>1</v>
      </c>
      <c r="M419">
        <v>1.2</v>
      </c>
      <c r="N419" t="s">
        <v>33</v>
      </c>
    </row>
    <row r="420" spans="1:15" x14ac:dyDescent="0.25">
      <c r="A420" t="s">
        <v>5966</v>
      </c>
      <c r="B420" t="s">
        <v>37</v>
      </c>
      <c r="C420" t="s">
        <v>392</v>
      </c>
      <c r="D420">
        <v>5</v>
      </c>
      <c r="E420">
        <v>28.649000000000001</v>
      </c>
      <c r="F420">
        <v>3502256</v>
      </c>
      <c r="G420" t="s">
        <v>345</v>
      </c>
      <c r="H420" t="s">
        <v>1580</v>
      </c>
      <c r="I420">
        <v>39</v>
      </c>
      <c r="J420">
        <v>25.4</v>
      </c>
      <c r="K420">
        <v>0</v>
      </c>
      <c r="L420">
        <v>2.5</v>
      </c>
      <c r="M420">
        <v>5.53</v>
      </c>
      <c r="N420" t="s">
        <v>33</v>
      </c>
      <c r="O420" t="s">
        <v>6175</v>
      </c>
    </row>
    <row r="421" spans="1:15" x14ac:dyDescent="0.25">
      <c r="A421" t="s">
        <v>5966</v>
      </c>
      <c r="B421" t="s">
        <v>37</v>
      </c>
      <c r="C421" t="s">
        <v>392</v>
      </c>
      <c r="D421">
        <v>360</v>
      </c>
      <c r="E421">
        <v>1990.7439999999999</v>
      </c>
      <c r="F421">
        <v>3502256</v>
      </c>
      <c r="G421" t="s">
        <v>345</v>
      </c>
      <c r="H421" t="s">
        <v>1580</v>
      </c>
      <c r="I421">
        <v>2710</v>
      </c>
      <c r="J421">
        <v>25.4</v>
      </c>
      <c r="K421">
        <v>0</v>
      </c>
      <c r="L421">
        <v>2.5</v>
      </c>
      <c r="M421">
        <v>5.53</v>
      </c>
      <c r="N421" t="s">
        <v>33</v>
      </c>
      <c r="O421" t="s">
        <v>6175</v>
      </c>
    </row>
    <row r="422" spans="1:15" x14ac:dyDescent="0.25">
      <c r="A422" t="s">
        <v>5966</v>
      </c>
      <c r="B422" t="s">
        <v>37</v>
      </c>
      <c r="C422" t="s">
        <v>392</v>
      </c>
      <c r="D422">
        <v>398</v>
      </c>
      <c r="E422">
        <v>2200.837</v>
      </c>
      <c r="F422">
        <v>3502256</v>
      </c>
      <c r="G422" t="s">
        <v>345</v>
      </c>
      <c r="H422" t="s">
        <v>1580</v>
      </c>
      <c r="I422">
        <v>2996</v>
      </c>
      <c r="J422">
        <v>25.4</v>
      </c>
      <c r="K422">
        <v>0</v>
      </c>
      <c r="L422">
        <v>2.5</v>
      </c>
      <c r="M422">
        <v>5.53</v>
      </c>
      <c r="N422" t="s">
        <v>33</v>
      </c>
      <c r="O422" t="s">
        <v>6175</v>
      </c>
    </row>
    <row r="423" spans="1:15" x14ac:dyDescent="0.25">
      <c r="A423" t="s">
        <v>5966</v>
      </c>
      <c r="B423" t="s">
        <v>37</v>
      </c>
      <c r="C423" t="s">
        <v>392</v>
      </c>
      <c r="D423">
        <v>416</v>
      </c>
      <c r="E423">
        <v>2302.2109999999998</v>
      </c>
      <c r="F423">
        <v>3502256</v>
      </c>
      <c r="G423" t="s">
        <v>345</v>
      </c>
      <c r="H423" t="s">
        <v>1580</v>
      </c>
      <c r="I423">
        <v>3134</v>
      </c>
      <c r="J423">
        <v>25.4</v>
      </c>
      <c r="K423">
        <v>0</v>
      </c>
      <c r="L423">
        <v>2.5</v>
      </c>
      <c r="M423">
        <v>5.53</v>
      </c>
      <c r="N423" t="s">
        <v>33</v>
      </c>
      <c r="O423" t="s">
        <v>6175</v>
      </c>
    </row>
    <row r="424" spans="1:15" x14ac:dyDescent="0.25">
      <c r="A424" t="s">
        <v>5966</v>
      </c>
      <c r="B424" t="s">
        <v>37</v>
      </c>
      <c r="C424" t="s">
        <v>392</v>
      </c>
      <c r="D424">
        <v>357</v>
      </c>
      <c r="E424">
        <v>1976.787</v>
      </c>
      <c r="F424">
        <v>3502256</v>
      </c>
      <c r="G424" t="s">
        <v>345</v>
      </c>
      <c r="H424" t="s">
        <v>1580</v>
      </c>
      <c r="I424">
        <v>2691</v>
      </c>
      <c r="J424">
        <v>25.4</v>
      </c>
      <c r="K424">
        <v>0</v>
      </c>
      <c r="L424">
        <v>2.5</v>
      </c>
      <c r="M424">
        <v>5.53</v>
      </c>
      <c r="N424" t="s">
        <v>33</v>
      </c>
      <c r="O424" t="s">
        <v>6175</v>
      </c>
    </row>
    <row r="425" spans="1:15" x14ac:dyDescent="0.25">
      <c r="A425" t="s">
        <v>5966</v>
      </c>
      <c r="B425" t="s">
        <v>37</v>
      </c>
      <c r="C425" t="s">
        <v>392</v>
      </c>
      <c r="D425">
        <v>386</v>
      </c>
      <c r="E425">
        <v>2134.7240000000002</v>
      </c>
      <c r="F425">
        <v>3502256</v>
      </c>
      <c r="G425" t="s">
        <v>345</v>
      </c>
      <c r="H425" t="s">
        <v>1580</v>
      </c>
      <c r="I425">
        <v>2906</v>
      </c>
      <c r="J425">
        <v>25.4</v>
      </c>
      <c r="K425">
        <v>0</v>
      </c>
      <c r="L425">
        <v>2.5</v>
      </c>
      <c r="M425">
        <v>5.53</v>
      </c>
      <c r="N425" t="s">
        <v>33</v>
      </c>
      <c r="O425" t="s">
        <v>6175</v>
      </c>
    </row>
    <row r="426" spans="1:15" x14ac:dyDescent="0.25">
      <c r="A426" t="s">
        <v>5966</v>
      </c>
      <c r="B426" t="s">
        <v>37</v>
      </c>
      <c r="C426" t="s">
        <v>392</v>
      </c>
      <c r="D426">
        <v>164</v>
      </c>
      <c r="E426">
        <v>906.48599999999999</v>
      </c>
      <c r="F426">
        <v>3502256</v>
      </c>
      <c r="G426" t="s">
        <v>345</v>
      </c>
      <c r="H426" t="s">
        <v>1580</v>
      </c>
      <c r="I426">
        <v>1234</v>
      </c>
      <c r="J426">
        <v>25.4</v>
      </c>
      <c r="K426">
        <v>0</v>
      </c>
      <c r="L426">
        <v>2.5</v>
      </c>
      <c r="M426">
        <v>5.53</v>
      </c>
      <c r="N426" t="s">
        <v>33</v>
      </c>
      <c r="O426" t="s">
        <v>6175</v>
      </c>
    </row>
    <row r="427" spans="1:15" x14ac:dyDescent="0.25">
      <c r="A427" t="s">
        <v>5966</v>
      </c>
      <c r="B427" t="s">
        <v>37</v>
      </c>
      <c r="C427" t="s">
        <v>392</v>
      </c>
      <c r="D427">
        <v>415</v>
      </c>
      <c r="E427">
        <v>2294.8649999999998</v>
      </c>
      <c r="F427">
        <v>3502256</v>
      </c>
      <c r="G427" t="s">
        <v>345</v>
      </c>
      <c r="H427" t="s">
        <v>1580</v>
      </c>
      <c r="I427">
        <v>3124</v>
      </c>
      <c r="J427">
        <v>25.4</v>
      </c>
      <c r="K427">
        <v>0</v>
      </c>
      <c r="L427">
        <v>2.5</v>
      </c>
      <c r="M427">
        <v>5.53</v>
      </c>
      <c r="N427" t="s">
        <v>33</v>
      </c>
      <c r="O427" t="s">
        <v>6175</v>
      </c>
    </row>
    <row r="428" spans="1:15" x14ac:dyDescent="0.25">
      <c r="A428" t="s">
        <v>5966</v>
      </c>
      <c r="B428" t="s">
        <v>37</v>
      </c>
      <c r="C428" t="s">
        <v>392</v>
      </c>
      <c r="D428">
        <v>320</v>
      </c>
      <c r="E428">
        <v>1767.4280000000001</v>
      </c>
      <c r="F428">
        <v>3502256</v>
      </c>
      <c r="G428" t="s">
        <v>345</v>
      </c>
      <c r="H428" t="s">
        <v>1580</v>
      </c>
      <c r="I428">
        <v>2406</v>
      </c>
      <c r="J428">
        <v>25.4</v>
      </c>
      <c r="K428">
        <v>0</v>
      </c>
      <c r="L428">
        <v>2.5</v>
      </c>
      <c r="M428">
        <v>5.53</v>
      </c>
      <c r="N428" t="s">
        <v>33</v>
      </c>
      <c r="O428" t="s">
        <v>6175</v>
      </c>
    </row>
    <row r="429" spans="1:15" x14ac:dyDescent="0.25">
      <c r="A429" t="s">
        <v>5966</v>
      </c>
      <c r="B429" t="s">
        <v>37</v>
      </c>
      <c r="C429" t="s">
        <v>392</v>
      </c>
      <c r="D429">
        <v>339</v>
      </c>
      <c r="E429">
        <v>1876.1479999999999</v>
      </c>
      <c r="F429">
        <v>3502256</v>
      </c>
      <c r="G429" t="s">
        <v>345</v>
      </c>
      <c r="H429" t="s">
        <v>1580</v>
      </c>
      <c r="I429">
        <v>2554</v>
      </c>
      <c r="J429">
        <v>25.4</v>
      </c>
      <c r="K429">
        <v>0</v>
      </c>
      <c r="L429">
        <v>2.5</v>
      </c>
      <c r="M429">
        <v>5.53</v>
      </c>
      <c r="N429" t="s">
        <v>33</v>
      </c>
      <c r="O429" t="s">
        <v>6175</v>
      </c>
    </row>
    <row r="430" spans="1:15" x14ac:dyDescent="0.25">
      <c r="A430" t="s">
        <v>5966</v>
      </c>
      <c r="B430" t="s">
        <v>37</v>
      </c>
      <c r="C430" t="s">
        <v>392</v>
      </c>
      <c r="D430">
        <v>71</v>
      </c>
      <c r="E430">
        <v>393.74099999999999</v>
      </c>
      <c r="F430">
        <v>3502256</v>
      </c>
      <c r="G430" t="s">
        <v>345</v>
      </c>
      <c r="H430" t="s">
        <v>1580</v>
      </c>
      <c r="I430">
        <v>536</v>
      </c>
      <c r="J430">
        <v>25.4</v>
      </c>
      <c r="K430">
        <v>0</v>
      </c>
      <c r="L430">
        <v>2.5</v>
      </c>
      <c r="M430">
        <v>5.53</v>
      </c>
      <c r="N430" t="s">
        <v>33</v>
      </c>
      <c r="O430" t="s">
        <v>6175</v>
      </c>
    </row>
    <row r="431" spans="1:15" x14ac:dyDescent="0.25">
      <c r="A431" t="s">
        <v>5999</v>
      </c>
      <c r="B431" t="s">
        <v>36</v>
      </c>
      <c r="C431" t="s">
        <v>397</v>
      </c>
      <c r="D431">
        <v>2504</v>
      </c>
      <c r="E431">
        <v>1554.6569999999999</v>
      </c>
      <c r="F431">
        <v>2397073</v>
      </c>
      <c r="G431" t="s">
        <v>345</v>
      </c>
      <c r="H431" t="s">
        <v>1617</v>
      </c>
      <c r="I431">
        <v>1552.48</v>
      </c>
      <c r="J431">
        <v>34.93</v>
      </c>
      <c r="K431">
        <v>0</v>
      </c>
      <c r="L431">
        <v>1.2</v>
      </c>
      <c r="M431">
        <v>0.62</v>
      </c>
      <c r="N431" t="s">
        <v>33</v>
      </c>
      <c r="O431" t="s">
        <v>6185</v>
      </c>
    </row>
    <row r="432" spans="1:15" x14ac:dyDescent="0.25">
      <c r="A432" t="s">
        <v>5999</v>
      </c>
      <c r="B432" t="s">
        <v>36</v>
      </c>
      <c r="C432" t="s">
        <v>397</v>
      </c>
      <c r="D432">
        <v>2496</v>
      </c>
      <c r="E432">
        <v>1549.69</v>
      </c>
      <c r="F432">
        <v>2397073</v>
      </c>
      <c r="G432" t="s">
        <v>345</v>
      </c>
      <c r="H432" t="s">
        <v>1617</v>
      </c>
      <c r="I432">
        <v>1547.52</v>
      </c>
      <c r="J432">
        <v>34.93</v>
      </c>
      <c r="K432">
        <v>0</v>
      </c>
      <c r="L432">
        <v>1.2</v>
      </c>
      <c r="M432">
        <v>0.62</v>
      </c>
      <c r="N432" t="s">
        <v>33</v>
      </c>
      <c r="O432" t="s">
        <v>6185</v>
      </c>
    </row>
    <row r="433" spans="1:15" x14ac:dyDescent="0.25">
      <c r="A433" t="s">
        <v>5968</v>
      </c>
      <c r="B433" t="s">
        <v>32</v>
      </c>
      <c r="C433" t="s">
        <v>397</v>
      </c>
      <c r="D433">
        <v>2321</v>
      </c>
      <c r="E433">
        <v>965.71199999999999</v>
      </c>
      <c r="F433">
        <v>3731691</v>
      </c>
      <c r="G433" t="s">
        <v>345</v>
      </c>
      <c r="H433" t="s">
        <v>1690</v>
      </c>
      <c r="I433">
        <v>1566.675</v>
      </c>
      <c r="J433">
        <v>42.7</v>
      </c>
      <c r="K433">
        <v>0</v>
      </c>
      <c r="L433">
        <v>1.6</v>
      </c>
      <c r="M433">
        <v>0.41599999999999998</v>
      </c>
      <c r="N433" t="s">
        <v>33</v>
      </c>
    </row>
    <row r="434" spans="1:15" x14ac:dyDescent="0.25">
      <c r="A434" t="s">
        <v>5968</v>
      </c>
      <c r="B434" t="s">
        <v>32</v>
      </c>
      <c r="C434" t="s">
        <v>397</v>
      </c>
      <c r="D434">
        <v>29</v>
      </c>
      <c r="E434">
        <v>12.066000000000001</v>
      </c>
      <c r="F434">
        <v>3731691</v>
      </c>
      <c r="G434" t="s">
        <v>345</v>
      </c>
      <c r="H434" t="s">
        <v>1690</v>
      </c>
      <c r="I434">
        <v>19.574999999999999</v>
      </c>
      <c r="J434">
        <v>42.7</v>
      </c>
      <c r="K434">
        <v>0</v>
      </c>
      <c r="L434">
        <v>1.6</v>
      </c>
      <c r="M434">
        <v>0.41599999999999998</v>
      </c>
      <c r="N434" t="s">
        <v>33</v>
      </c>
    </row>
    <row r="435" spans="1:15" x14ac:dyDescent="0.25">
      <c r="A435" t="s">
        <v>5966</v>
      </c>
      <c r="B435" t="s">
        <v>37</v>
      </c>
      <c r="C435" t="s">
        <v>392</v>
      </c>
      <c r="D435">
        <v>134</v>
      </c>
      <c r="E435">
        <v>806.39099999999996</v>
      </c>
      <c r="F435">
        <v>3994149</v>
      </c>
      <c r="G435" t="s">
        <v>345</v>
      </c>
      <c r="H435" t="s">
        <v>2395</v>
      </c>
      <c r="I435">
        <v>1928</v>
      </c>
      <c r="J435">
        <v>41.28</v>
      </c>
      <c r="K435">
        <v>0</v>
      </c>
      <c r="L435">
        <v>2.6</v>
      </c>
      <c r="M435">
        <v>6.0010000000000003</v>
      </c>
      <c r="N435" t="s">
        <v>33</v>
      </c>
      <c r="O435" t="s">
        <v>6189</v>
      </c>
    </row>
    <row r="436" spans="1:15" x14ac:dyDescent="0.25">
      <c r="A436" t="s">
        <v>5966</v>
      </c>
      <c r="B436" t="s">
        <v>37</v>
      </c>
      <c r="C436" t="s">
        <v>392</v>
      </c>
      <c r="D436">
        <v>143</v>
      </c>
      <c r="E436">
        <v>857.83600000000001</v>
      </c>
      <c r="F436">
        <v>3994149</v>
      </c>
      <c r="G436" t="s">
        <v>345</v>
      </c>
      <c r="H436" t="s">
        <v>2395</v>
      </c>
      <c r="I436">
        <v>2051</v>
      </c>
      <c r="J436">
        <v>41.28</v>
      </c>
      <c r="K436">
        <v>0</v>
      </c>
      <c r="L436">
        <v>2.6</v>
      </c>
      <c r="M436">
        <v>6.0010000000000003</v>
      </c>
      <c r="N436" t="s">
        <v>33</v>
      </c>
      <c r="O436" t="s">
        <v>6189</v>
      </c>
    </row>
    <row r="437" spans="1:15" x14ac:dyDescent="0.25">
      <c r="A437" t="s">
        <v>5966</v>
      </c>
      <c r="B437" t="s">
        <v>37</v>
      </c>
      <c r="C437" t="s">
        <v>392</v>
      </c>
      <c r="D437">
        <v>29</v>
      </c>
      <c r="E437">
        <v>176.084</v>
      </c>
      <c r="F437">
        <v>3994149</v>
      </c>
      <c r="G437" t="s">
        <v>345</v>
      </c>
      <c r="H437" t="s">
        <v>2395</v>
      </c>
      <c r="I437">
        <v>421</v>
      </c>
      <c r="J437">
        <v>41.28</v>
      </c>
      <c r="K437">
        <v>0</v>
      </c>
      <c r="L437">
        <v>2.6</v>
      </c>
      <c r="M437">
        <v>6.0010000000000003</v>
      </c>
      <c r="N437" t="s">
        <v>33</v>
      </c>
      <c r="O437" t="s">
        <v>6189</v>
      </c>
    </row>
    <row r="438" spans="1:15" x14ac:dyDescent="0.25">
      <c r="A438" t="s">
        <v>5966</v>
      </c>
      <c r="B438" t="s">
        <v>37</v>
      </c>
      <c r="C438" t="s">
        <v>392</v>
      </c>
      <c r="D438">
        <v>282</v>
      </c>
      <c r="E438">
        <v>1493.9760000000001</v>
      </c>
      <c r="F438">
        <v>3929640</v>
      </c>
      <c r="G438" t="s">
        <v>345</v>
      </c>
      <c r="H438" t="s">
        <v>6041</v>
      </c>
      <c r="I438">
        <v>930</v>
      </c>
      <c r="J438">
        <v>22.23</v>
      </c>
      <c r="K438">
        <v>0</v>
      </c>
      <c r="L438">
        <v>1.2</v>
      </c>
      <c r="M438">
        <v>5.3</v>
      </c>
      <c r="N438" t="s">
        <v>33</v>
      </c>
    </row>
    <row r="439" spans="1:15" x14ac:dyDescent="0.25">
      <c r="A439" t="s">
        <v>5966</v>
      </c>
      <c r="B439" t="s">
        <v>37</v>
      </c>
      <c r="C439" t="s">
        <v>392</v>
      </c>
      <c r="D439">
        <v>118</v>
      </c>
      <c r="E439">
        <v>700.25599999999997</v>
      </c>
      <c r="F439">
        <v>3597050</v>
      </c>
      <c r="G439" t="s">
        <v>345</v>
      </c>
      <c r="H439" t="s">
        <v>2486</v>
      </c>
      <c r="I439">
        <v>2075</v>
      </c>
      <c r="J439">
        <v>41.28</v>
      </c>
      <c r="K439">
        <v>0</v>
      </c>
      <c r="L439">
        <v>3.15</v>
      </c>
      <c r="M439">
        <v>5.94</v>
      </c>
      <c r="N439" t="s">
        <v>33</v>
      </c>
      <c r="O439" t="s">
        <v>6193</v>
      </c>
    </row>
    <row r="440" spans="1:15" x14ac:dyDescent="0.25">
      <c r="A440" t="s">
        <v>5966</v>
      </c>
      <c r="B440" t="s">
        <v>37</v>
      </c>
      <c r="C440" t="s">
        <v>392</v>
      </c>
      <c r="D440">
        <v>31</v>
      </c>
      <c r="E440">
        <v>185.61</v>
      </c>
      <c r="F440">
        <v>3597050</v>
      </c>
      <c r="G440" t="s">
        <v>345</v>
      </c>
      <c r="H440" t="s">
        <v>2486</v>
      </c>
      <c r="I440">
        <v>550</v>
      </c>
      <c r="J440">
        <v>41.28</v>
      </c>
      <c r="K440">
        <v>0</v>
      </c>
      <c r="L440">
        <v>3.15</v>
      </c>
      <c r="M440">
        <v>5.94</v>
      </c>
      <c r="N440" t="s">
        <v>33</v>
      </c>
      <c r="O440" t="s">
        <v>6193</v>
      </c>
    </row>
    <row r="441" spans="1:15" x14ac:dyDescent="0.25">
      <c r="A441" t="s">
        <v>5966</v>
      </c>
      <c r="B441" t="s">
        <v>37</v>
      </c>
      <c r="C441" t="s">
        <v>392</v>
      </c>
      <c r="D441">
        <v>3</v>
      </c>
      <c r="E441">
        <v>15.186</v>
      </c>
      <c r="F441">
        <v>3597050</v>
      </c>
      <c r="G441" t="s">
        <v>345</v>
      </c>
      <c r="H441" t="s">
        <v>2486</v>
      </c>
      <c r="I441">
        <v>45</v>
      </c>
      <c r="J441">
        <v>41.28</v>
      </c>
      <c r="K441">
        <v>0</v>
      </c>
      <c r="L441">
        <v>3.15</v>
      </c>
      <c r="M441">
        <v>5.94</v>
      </c>
      <c r="N441" t="s">
        <v>33</v>
      </c>
      <c r="O441" t="s">
        <v>6193</v>
      </c>
    </row>
    <row r="442" spans="1:15" x14ac:dyDescent="0.25">
      <c r="A442" t="s">
        <v>5966</v>
      </c>
      <c r="B442" t="s">
        <v>37</v>
      </c>
      <c r="C442" t="s">
        <v>392</v>
      </c>
      <c r="D442">
        <v>458</v>
      </c>
      <c r="E442">
        <v>2744.9409999999998</v>
      </c>
      <c r="F442">
        <v>3410966</v>
      </c>
      <c r="G442" t="s">
        <v>345</v>
      </c>
      <c r="H442" t="s">
        <v>6055</v>
      </c>
      <c r="I442">
        <v>2740</v>
      </c>
      <c r="J442">
        <v>22.23</v>
      </c>
      <c r="K442">
        <v>0</v>
      </c>
      <c r="L442">
        <v>2</v>
      </c>
      <c r="M442">
        <v>6</v>
      </c>
      <c r="N442" t="s">
        <v>33</v>
      </c>
    </row>
    <row r="443" spans="1:15" x14ac:dyDescent="0.25">
      <c r="A443" t="s">
        <v>5966</v>
      </c>
      <c r="B443" t="s">
        <v>37</v>
      </c>
      <c r="C443" t="s">
        <v>392</v>
      </c>
      <c r="D443">
        <v>405</v>
      </c>
      <c r="E443">
        <v>2430.375</v>
      </c>
      <c r="F443">
        <v>3410966</v>
      </c>
      <c r="G443" t="s">
        <v>345</v>
      </c>
      <c r="H443" t="s">
        <v>6055</v>
      </c>
      <c r="I443">
        <v>2426</v>
      </c>
      <c r="J443">
        <v>22.23</v>
      </c>
      <c r="K443">
        <v>0</v>
      </c>
      <c r="L443">
        <v>2</v>
      </c>
      <c r="M443">
        <v>6</v>
      </c>
      <c r="N443" t="s">
        <v>33</v>
      </c>
    </row>
    <row r="444" spans="1:15" x14ac:dyDescent="0.25">
      <c r="A444" t="s">
        <v>5966</v>
      </c>
      <c r="B444" t="s">
        <v>37</v>
      </c>
      <c r="C444" t="s">
        <v>392</v>
      </c>
      <c r="D444">
        <v>348</v>
      </c>
      <c r="E444">
        <v>2087.7579999999998</v>
      </c>
      <c r="F444">
        <v>3410966</v>
      </c>
      <c r="G444" t="s">
        <v>345</v>
      </c>
      <c r="H444" t="s">
        <v>6055</v>
      </c>
      <c r="I444">
        <v>2084</v>
      </c>
      <c r="J444">
        <v>22.23</v>
      </c>
      <c r="K444">
        <v>0</v>
      </c>
      <c r="L444">
        <v>2</v>
      </c>
      <c r="M444">
        <v>6</v>
      </c>
      <c r="N444" t="s">
        <v>33</v>
      </c>
    </row>
    <row r="445" spans="1:15" x14ac:dyDescent="0.25">
      <c r="A445" t="s">
        <v>5966</v>
      </c>
      <c r="B445" t="s">
        <v>37</v>
      </c>
      <c r="C445" t="s">
        <v>392</v>
      </c>
      <c r="D445">
        <v>439</v>
      </c>
      <c r="E445">
        <v>2611.4690000000001</v>
      </c>
      <c r="F445">
        <v>4272693</v>
      </c>
      <c r="G445" t="s">
        <v>345</v>
      </c>
      <c r="H445" t="s">
        <v>6056</v>
      </c>
      <c r="I445">
        <v>2484</v>
      </c>
      <c r="J445">
        <v>22.2</v>
      </c>
      <c r="K445">
        <v>0</v>
      </c>
      <c r="L445">
        <v>2</v>
      </c>
      <c r="M445">
        <v>5.95</v>
      </c>
      <c r="N445" t="s">
        <v>33</v>
      </c>
    </row>
    <row r="446" spans="1:15" x14ac:dyDescent="0.25">
      <c r="A446" t="s">
        <v>5966</v>
      </c>
      <c r="B446" t="s">
        <v>37</v>
      </c>
      <c r="C446" t="s">
        <v>392</v>
      </c>
      <c r="D446">
        <v>473</v>
      </c>
      <c r="E446">
        <v>2812.27</v>
      </c>
      <c r="F446">
        <v>4272693</v>
      </c>
      <c r="G446" t="s">
        <v>345</v>
      </c>
      <c r="H446" t="s">
        <v>6056</v>
      </c>
      <c r="I446">
        <v>2675</v>
      </c>
      <c r="J446">
        <v>22.2</v>
      </c>
      <c r="K446">
        <v>0</v>
      </c>
      <c r="L446">
        <v>2</v>
      </c>
      <c r="M446">
        <v>5.95</v>
      </c>
      <c r="N446" t="s">
        <v>33</v>
      </c>
    </row>
    <row r="447" spans="1:15" x14ac:dyDescent="0.25">
      <c r="A447" t="s">
        <v>5966</v>
      </c>
      <c r="B447" t="s">
        <v>37</v>
      </c>
      <c r="C447" t="s">
        <v>392</v>
      </c>
      <c r="D447">
        <v>356</v>
      </c>
      <c r="E447">
        <v>2118.402</v>
      </c>
      <c r="F447">
        <v>4272693</v>
      </c>
      <c r="G447" t="s">
        <v>345</v>
      </c>
      <c r="H447" t="s">
        <v>6056</v>
      </c>
      <c r="I447">
        <v>2015</v>
      </c>
      <c r="J447">
        <v>22.2</v>
      </c>
      <c r="K447">
        <v>0</v>
      </c>
      <c r="L447">
        <v>2</v>
      </c>
      <c r="M447">
        <v>5.95</v>
      </c>
      <c r="N447" t="s">
        <v>33</v>
      </c>
    </row>
    <row r="448" spans="1:15" x14ac:dyDescent="0.25">
      <c r="A448" t="s">
        <v>5966</v>
      </c>
      <c r="B448" t="s">
        <v>37</v>
      </c>
      <c r="C448" t="s">
        <v>392</v>
      </c>
      <c r="D448">
        <v>326</v>
      </c>
      <c r="E448">
        <v>1940.729</v>
      </c>
      <c r="F448">
        <v>4272693</v>
      </c>
      <c r="G448" t="s">
        <v>345</v>
      </c>
      <c r="H448" t="s">
        <v>6056</v>
      </c>
      <c r="I448">
        <v>1846</v>
      </c>
      <c r="J448">
        <v>22.2</v>
      </c>
      <c r="K448">
        <v>0</v>
      </c>
      <c r="L448">
        <v>2</v>
      </c>
      <c r="M448">
        <v>5.95</v>
      </c>
      <c r="N448" t="s">
        <v>33</v>
      </c>
    </row>
    <row r="449" spans="1:15" x14ac:dyDescent="0.25">
      <c r="A449" t="s">
        <v>5966</v>
      </c>
      <c r="B449" t="s">
        <v>37</v>
      </c>
      <c r="C449" t="s">
        <v>392</v>
      </c>
      <c r="D449">
        <v>509</v>
      </c>
      <c r="E449">
        <v>2746.9450000000002</v>
      </c>
      <c r="F449">
        <v>2431251</v>
      </c>
      <c r="G449" t="s">
        <v>345</v>
      </c>
      <c r="H449" t="s">
        <v>2300</v>
      </c>
      <c r="I449">
        <v>2742</v>
      </c>
      <c r="J449">
        <v>22.23</v>
      </c>
      <c r="K449">
        <v>0</v>
      </c>
      <c r="L449">
        <v>2</v>
      </c>
      <c r="M449">
        <v>5.4</v>
      </c>
      <c r="N449" t="s">
        <v>33</v>
      </c>
      <c r="O449" t="s">
        <v>6171</v>
      </c>
    </row>
    <row r="450" spans="1:15" x14ac:dyDescent="0.25">
      <c r="A450" t="s">
        <v>5966</v>
      </c>
      <c r="B450" t="s">
        <v>37</v>
      </c>
      <c r="C450" t="s">
        <v>392</v>
      </c>
      <c r="D450">
        <v>505</v>
      </c>
      <c r="E450">
        <v>2729.9140000000002</v>
      </c>
      <c r="F450">
        <v>2431251</v>
      </c>
      <c r="G450" t="s">
        <v>345</v>
      </c>
      <c r="H450" t="s">
        <v>2300</v>
      </c>
      <c r="I450">
        <v>2725</v>
      </c>
      <c r="J450">
        <v>22.23</v>
      </c>
      <c r="K450">
        <v>0</v>
      </c>
      <c r="L450">
        <v>2</v>
      </c>
      <c r="M450">
        <v>5.4</v>
      </c>
      <c r="N450" t="s">
        <v>33</v>
      </c>
      <c r="O450" t="s">
        <v>6171</v>
      </c>
    </row>
    <row r="451" spans="1:15" x14ac:dyDescent="0.25">
      <c r="A451" t="s">
        <v>5966</v>
      </c>
      <c r="B451" t="s">
        <v>37</v>
      </c>
      <c r="C451" t="s">
        <v>392</v>
      </c>
      <c r="D451">
        <v>504</v>
      </c>
      <c r="E451">
        <v>2719.8960000000002</v>
      </c>
      <c r="F451">
        <v>2431251</v>
      </c>
      <c r="G451" t="s">
        <v>345</v>
      </c>
      <c r="H451" t="s">
        <v>2300</v>
      </c>
      <c r="I451">
        <v>2715</v>
      </c>
      <c r="J451">
        <v>22.23</v>
      </c>
      <c r="K451">
        <v>0</v>
      </c>
      <c r="L451">
        <v>2</v>
      </c>
      <c r="M451">
        <v>5.4</v>
      </c>
      <c r="N451" t="s">
        <v>33</v>
      </c>
      <c r="O451" t="s">
        <v>6171</v>
      </c>
    </row>
    <row r="452" spans="1:15" x14ac:dyDescent="0.25">
      <c r="A452" t="s">
        <v>5966</v>
      </c>
      <c r="B452" t="s">
        <v>37</v>
      </c>
      <c r="C452" t="s">
        <v>392</v>
      </c>
      <c r="D452">
        <v>501</v>
      </c>
      <c r="E452">
        <v>2704.8690000000001</v>
      </c>
      <c r="F452">
        <v>2431251</v>
      </c>
      <c r="G452" t="s">
        <v>345</v>
      </c>
      <c r="H452" t="s">
        <v>2300</v>
      </c>
      <c r="I452">
        <v>2700</v>
      </c>
      <c r="J452">
        <v>22.23</v>
      </c>
      <c r="K452">
        <v>0</v>
      </c>
      <c r="L452">
        <v>2</v>
      </c>
      <c r="M452">
        <v>5.4</v>
      </c>
      <c r="N452" t="s">
        <v>33</v>
      </c>
      <c r="O452" t="s">
        <v>6171</v>
      </c>
    </row>
    <row r="453" spans="1:15" x14ac:dyDescent="0.25">
      <c r="A453" t="s">
        <v>5966</v>
      </c>
      <c r="B453" t="s">
        <v>37</v>
      </c>
      <c r="C453" t="s">
        <v>392</v>
      </c>
      <c r="D453">
        <v>501</v>
      </c>
      <c r="E453">
        <v>2704.8690000000001</v>
      </c>
      <c r="F453">
        <v>2431251</v>
      </c>
      <c r="G453" t="s">
        <v>345</v>
      </c>
      <c r="H453" t="s">
        <v>2300</v>
      </c>
      <c r="I453">
        <v>2700</v>
      </c>
      <c r="J453">
        <v>22.23</v>
      </c>
      <c r="K453">
        <v>0</v>
      </c>
      <c r="L453">
        <v>2</v>
      </c>
      <c r="M453">
        <v>5.4</v>
      </c>
      <c r="N453" t="s">
        <v>33</v>
      </c>
      <c r="O453" t="s">
        <v>6171</v>
      </c>
    </row>
    <row r="454" spans="1:15" x14ac:dyDescent="0.25">
      <c r="A454" t="s">
        <v>5966</v>
      </c>
      <c r="B454" t="s">
        <v>37</v>
      </c>
      <c r="C454" t="s">
        <v>392</v>
      </c>
      <c r="D454">
        <v>497</v>
      </c>
      <c r="E454">
        <v>2682.8290000000002</v>
      </c>
      <c r="F454">
        <v>2431251</v>
      </c>
      <c r="G454" t="s">
        <v>345</v>
      </c>
      <c r="H454" t="s">
        <v>2300</v>
      </c>
      <c r="I454">
        <v>2678</v>
      </c>
      <c r="J454">
        <v>22.23</v>
      </c>
      <c r="K454">
        <v>0</v>
      </c>
      <c r="L454">
        <v>2</v>
      </c>
      <c r="M454">
        <v>5.4</v>
      </c>
      <c r="N454" t="s">
        <v>33</v>
      </c>
      <c r="O454" t="s">
        <v>6171</v>
      </c>
    </row>
    <row r="455" spans="1:15" x14ac:dyDescent="0.25">
      <c r="A455" t="s">
        <v>5966</v>
      </c>
      <c r="B455" t="s">
        <v>37</v>
      </c>
      <c r="C455" t="s">
        <v>392</v>
      </c>
      <c r="D455">
        <v>492</v>
      </c>
      <c r="E455">
        <v>2659.788</v>
      </c>
      <c r="F455">
        <v>2431251</v>
      </c>
      <c r="G455" t="s">
        <v>345</v>
      </c>
      <c r="H455" t="s">
        <v>2300</v>
      </c>
      <c r="I455">
        <v>2655</v>
      </c>
      <c r="J455">
        <v>22.23</v>
      </c>
      <c r="K455">
        <v>0</v>
      </c>
      <c r="L455">
        <v>2</v>
      </c>
      <c r="M455">
        <v>5.4</v>
      </c>
      <c r="N455" t="s">
        <v>33</v>
      </c>
      <c r="O455" t="s">
        <v>6171</v>
      </c>
    </row>
    <row r="456" spans="1:15" x14ac:dyDescent="0.25">
      <c r="A456" t="s">
        <v>5966</v>
      </c>
      <c r="B456" t="s">
        <v>37</v>
      </c>
      <c r="C456" t="s">
        <v>392</v>
      </c>
      <c r="D456">
        <v>482</v>
      </c>
      <c r="E456">
        <v>2604.6880000000001</v>
      </c>
      <c r="F456">
        <v>2431251</v>
      </c>
      <c r="G456" t="s">
        <v>345</v>
      </c>
      <c r="H456" t="s">
        <v>2300</v>
      </c>
      <c r="I456">
        <v>2600</v>
      </c>
      <c r="J456">
        <v>22.23</v>
      </c>
      <c r="K456">
        <v>0</v>
      </c>
      <c r="L456">
        <v>2</v>
      </c>
      <c r="M456">
        <v>5.4</v>
      </c>
      <c r="N456" t="s">
        <v>33</v>
      </c>
      <c r="O456" t="s">
        <v>6171</v>
      </c>
    </row>
    <row r="457" spans="1:15" x14ac:dyDescent="0.25">
      <c r="A457" t="s">
        <v>5966</v>
      </c>
      <c r="B457" t="s">
        <v>37</v>
      </c>
      <c r="C457" t="s">
        <v>392</v>
      </c>
      <c r="D457">
        <v>190</v>
      </c>
      <c r="E457">
        <v>1026.848</v>
      </c>
      <c r="F457">
        <v>2431251</v>
      </c>
      <c r="G457" t="s">
        <v>345</v>
      </c>
      <c r="H457" t="s">
        <v>2300</v>
      </c>
      <c r="I457">
        <v>1025</v>
      </c>
      <c r="J457">
        <v>22.23</v>
      </c>
      <c r="K457">
        <v>0</v>
      </c>
      <c r="L457">
        <v>2</v>
      </c>
      <c r="M457">
        <v>5.4</v>
      </c>
      <c r="N457" t="s">
        <v>33</v>
      </c>
      <c r="O457" t="s">
        <v>6171</v>
      </c>
    </row>
    <row r="458" spans="1:15" x14ac:dyDescent="0.25">
      <c r="A458" t="s">
        <v>5966</v>
      </c>
      <c r="B458" t="s">
        <v>37</v>
      </c>
      <c r="C458" t="s">
        <v>392</v>
      </c>
      <c r="D458">
        <v>443</v>
      </c>
      <c r="E458">
        <v>2657.7840000000001</v>
      </c>
      <c r="F458">
        <v>3410966</v>
      </c>
      <c r="G458" t="s">
        <v>345</v>
      </c>
      <c r="H458" t="s">
        <v>6055</v>
      </c>
      <c r="I458">
        <v>2653</v>
      </c>
      <c r="J458">
        <v>22.23</v>
      </c>
      <c r="K458">
        <v>0</v>
      </c>
      <c r="L458">
        <v>2</v>
      </c>
      <c r="M458">
        <v>6</v>
      </c>
      <c r="N458" t="s">
        <v>33</v>
      </c>
    </row>
    <row r="459" spans="1:15" x14ac:dyDescent="0.25">
      <c r="A459" t="s">
        <v>5966</v>
      </c>
      <c r="B459" t="s">
        <v>37</v>
      </c>
      <c r="C459" t="s">
        <v>392</v>
      </c>
      <c r="D459">
        <v>440</v>
      </c>
      <c r="E459">
        <v>2639.752</v>
      </c>
      <c r="F459">
        <v>3410966</v>
      </c>
      <c r="G459" t="s">
        <v>345</v>
      </c>
      <c r="H459" t="s">
        <v>6055</v>
      </c>
      <c r="I459">
        <v>2635</v>
      </c>
      <c r="J459">
        <v>22.23</v>
      </c>
      <c r="K459">
        <v>0</v>
      </c>
      <c r="L459">
        <v>2</v>
      </c>
      <c r="M459">
        <v>6</v>
      </c>
      <c r="N459" t="s">
        <v>33</v>
      </c>
    </row>
    <row r="460" spans="1:15" x14ac:dyDescent="0.25">
      <c r="A460" t="s">
        <v>5966</v>
      </c>
      <c r="B460" t="s">
        <v>37</v>
      </c>
      <c r="C460" t="s">
        <v>392</v>
      </c>
      <c r="D460">
        <v>416</v>
      </c>
      <c r="E460">
        <v>2495.4920000000002</v>
      </c>
      <c r="F460">
        <v>3410966</v>
      </c>
      <c r="G460" t="s">
        <v>345</v>
      </c>
      <c r="H460" t="s">
        <v>6055</v>
      </c>
      <c r="I460">
        <v>2491</v>
      </c>
      <c r="J460">
        <v>22.23</v>
      </c>
      <c r="K460">
        <v>0</v>
      </c>
      <c r="L460">
        <v>2</v>
      </c>
      <c r="M460">
        <v>6</v>
      </c>
      <c r="N460" t="s">
        <v>33</v>
      </c>
    </row>
    <row r="461" spans="1:15" x14ac:dyDescent="0.25">
      <c r="A461" t="s">
        <v>5966</v>
      </c>
      <c r="B461" t="s">
        <v>37</v>
      </c>
      <c r="C461" t="s">
        <v>392</v>
      </c>
      <c r="D461">
        <v>441</v>
      </c>
      <c r="E461">
        <v>2645.7620000000002</v>
      </c>
      <c r="F461">
        <v>3410966</v>
      </c>
      <c r="G461" t="s">
        <v>345</v>
      </c>
      <c r="H461" t="s">
        <v>6055</v>
      </c>
      <c r="I461">
        <v>2641</v>
      </c>
      <c r="J461">
        <v>22.23</v>
      </c>
      <c r="K461">
        <v>0</v>
      </c>
      <c r="L461">
        <v>2</v>
      </c>
      <c r="M461">
        <v>6</v>
      </c>
      <c r="N461" t="s">
        <v>33</v>
      </c>
    </row>
    <row r="462" spans="1:15" x14ac:dyDescent="0.25">
      <c r="A462" t="s">
        <v>5966</v>
      </c>
      <c r="B462" t="s">
        <v>37</v>
      </c>
      <c r="C462" t="s">
        <v>392</v>
      </c>
      <c r="D462">
        <v>444</v>
      </c>
      <c r="E462">
        <v>2663.7950000000001</v>
      </c>
      <c r="F462">
        <v>3410966</v>
      </c>
      <c r="G462" t="s">
        <v>345</v>
      </c>
      <c r="H462" t="s">
        <v>6055</v>
      </c>
      <c r="I462">
        <v>2659</v>
      </c>
      <c r="J462">
        <v>22.23</v>
      </c>
      <c r="K462">
        <v>0</v>
      </c>
      <c r="L462">
        <v>2</v>
      </c>
      <c r="M462">
        <v>6</v>
      </c>
      <c r="N462" t="s">
        <v>33</v>
      </c>
    </row>
    <row r="463" spans="1:15" x14ac:dyDescent="0.25">
      <c r="A463" t="s">
        <v>5966</v>
      </c>
      <c r="B463" t="s">
        <v>37</v>
      </c>
      <c r="C463" t="s">
        <v>392</v>
      </c>
      <c r="D463">
        <v>421</v>
      </c>
      <c r="E463">
        <v>2525.5459999999998</v>
      </c>
      <c r="F463">
        <v>3410966</v>
      </c>
      <c r="G463" t="s">
        <v>345</v>
      </c>
      <c r="H463" t="s">
        <v>6055</v>
      </c>
      <c r="I463">
        <v>2521</v>
      </c>
      <c r="J463">
        <v>22.23</v>
      </c>
      <c r="K463">
        <v>0</v>
      </c>
      <c r="L463">
        <v>2</v>
      </c>
      <c r="M463">
        <v>6</v>
      </c>
      <c r="N463" t="s">
        <v>33</v>
      </c>
    </row>
    <row r="464" spans="1:15" x14ac:dyDescent="0.25">
      <c r="A464" t="s">
        <v>5966</v>
      </c>
      <c r="B464" t="s">
        <v>37</v>
      </c>
      <c r="C464" t="s">
        <v>392</v>
      </c>
      <c r="D464">
        <v>451</v>
      </c>
      <c r="E464">
        <v>2704.8690000000001</v>
      </c>
      <c r="F464">
        <v>3410966</v>
      </c>
      <c r="G464" t="s">
        <v>345</v>
      </c>
      <c r="H464" t="s">
        <v>6055</v>
      </c>
      <c r="I464">
        <v>2700</v>
      </c>
      <c r="J464">
        <v>22.23</v>
      </c>
      <c r="K464">
        <v>0</v>
      </c>
      <c r="L464">
        <v>2</v>
      </c>
      <c r="M464">
        <v>6</v>
      </c>
      <c r="N464" t="s">
        <v>33</v>
      </c>
    </row>
    <row r="465" spans="1:14" x14ac:dyDescent="0.25">
      <c r="A465" t="s">
        <v>5966</v>
      </c>
      <c r="B465" t="s">
        <v>37</v>
      </c>
      <c r="C465" t="s">
        <v>392</v>
      </c>
      <c r="D465">
        <v>326</v>
      </c>
      <c r="E465">
        <v>1953.5160000000001</v>
      </c>
      <c r="F465">
        <v>3410966</v>
      </c>
      <c r="G465" t="s">
        <v>345</v>
      </c>
      <c r="H465" t="s">
        <v>6055</v>
      </c>
      <c r="I465">
        <v>1950</v>
      </c>
      <c r="J465">
        <v>22.23</v>
      </c>
      <c r="K465">
        <v>0</v>
      </c>
      <c r="L465">
        <v>2</v>
      </c>
      <c r="M465">
        <v>6</v>
      </c>
      <c r="N465" t="s">
        <v>33</v>
      </c>
    </row>
    <row r="466" spans="1:14" x14ac:dyDescent="0.25">
      <c r="A466" t="s">
        <v>5966</v>
      </c>
      <c r="B466" t="s">
        <v>37</v>
      </c>
      <c r="C466" t="s">
        <v>392</v>
      </c>
      <c r="D466">
        <v>410</v>
      </c>
      <c r="E466">
        <v>2458.4250000000002</v>
      </c>
      <c r="F466">
        <v>3410966</v>
      </c>
      <c r="G466" t="s">
        <v>345</v>
      </c>
      <c r="H466" t="s">
        <v>6055</v>
      </c>
      <c r="I466">
        <v>2454</v>
      </c>
      <c r="J466">
        <v>22.23</v>
      </c>
      <c r="K466">
        <v>0</v>
      </c>
      <c r="L466">
        <v>2</v>
      </c>
      <c r="M466">
        <v>6</v>
      </c>
      <c r="N466" t="s">
        <v>33</v>
      </c>
    </row>
    <row r="467" spans="1:14" x14ac:dyDescent="0.25">
      <c r="A467" t="s">
        <v>5966</v>
      </c>
      <c r="B467" t="s">
        <v>37</v>
      </c>
      <c r="C467" t="s">
        <v>392</v>
      </c>
      <c r="D467">
        <v>537</v>
      </c>
      <c r="E467">
        <v>3220.797</v>
      </c>
      <c r="F467">
        <v>3410966</v>
      </c>
      <c r="G467" t="s">
        <v>345</v>
      </c>
      <c r="H467" t="s">
        <v>6055</v>
      </c>
      <c r="I467">
        <v>3215</v>
      </c>
      <c r="J467">
        <v>22.23</v>
      </c>
      <c r="K467">
        <v>0</v>
      </c>
      <c r="L467">
        <v>2</v>
      </c>
      <c r="M467">
        <v>6</v>
      </c>
      <c r="N467" t="s">
        <v>33</v>
      </c>
    </row>
    <row r="468" spans="1:14" x14ac:dyDescent="0.25">
      <c r="A468" t="s">
        <v>5966</v>
      </c>
      <c r="B468" t="s">
        <v>37</v>
      </c>
      <c r="C468" t="s">
        <v>392</v>
      </c>
      <c r="D468">
        <v>110</v>
      </c>
      <c r="E468">
        <v>662.19200000000001</v>
      </c>
      <c r="F468">
        <v>3410966</v>
      </c>
      <c r="G468" t="s">
        <v>345</v>
      </c>
      <c r="H468" t="s">
        <v>6055</v>
      </c>
      <c r="I468">
        <v>661</v>
      </c>
      <c r="J468">
        <v>22.23</v>
      </c>
      <c r="K468">
        <v>0</v>
      </c>
      <c r="L468">
        <v>2</v>
      </c>
      <c r="M468">
        <v>6</v>
      </c>
      <c r="N468" t="s">
        <v>33</v>
      </c>
    </row>
    <row r="469" spans="1:14" x14ac:dyDescent="0.25">
      <c r="A469" t="s">
        <v>5966</v>
      </c>
      <c r="B469" t="s">
        <v>37</v>
      </c>
      <c r="C469" t="s">
        <v>397</v>
      </c>
      <c r="D469">
        <v>2</v>
      </c>
      <c r="E469">
        <v>2.2010000000000001</v>
      </c>
      <c r="F469">
        <v>2430128</v>
      </c>
      <c r="G469" t="s">
        <v>345</v>
      </c>
      <c r="H469" t="s">
        <v>475</v>
      </c>
      <c r="I469">
        <v>4.274</v>
      </c>
      <c r="J469">
        <v>50</v>
      </c>
      <c r="K469">
        <v>30</v>
      </c>
      <c r="L469">
        <v>1.6</v>
      </c>
      <c r="M469">
        <v>1.1000000000000001</v>
      </c>
      <c r="N469" t="s">
        <v>33</v>
      </c>
    </row>
    <row r="470" spans="1:14" x14ac:dyDescent="0.25">
      <c r="A470" t="s">
        <v>5966</v>
      </c>
      <c r="B470" t="s">
        <v>37</v>
      </c>
      <c r="C470" t="s">
        <v>397</v>
      </c>
      <c r="D470">
        <v>1465</v>
      </c>
      <c r="E470">
        <v>1612.02</v>
      </c>
      <c r="F470">
        <v>2430128</v>
      </c>
      <c r="G470" t="s">
        <v>345</v>
      </c>
      <c r="H470" t="s">
        <v>475</v>
      </c>
      <c r="I470">
        <v>3130.7049999999999</v>
      </c>
      <c r="J470">
        <v>50</v>
      </c>
      <c r="K470">
        <v>30</v>
      </c>
      <c r="L470">
        <v>1.6</v>
      </c>
      <c r="M470">
        <v>1.1000000000000001</v>
      </c>
      <c r="N470" t="s">
        <v>33</v>
      </c>
    </row>
    <row r="471" spans="1:14" x14ac:dyDescent="0.25">
      <c r="A471" t="s">
        <v>5966</v>
      </c>
      <c r="B471" t="s">
        <v>37</v>
      </c>
      <c r="C471" t="s">
        <v>397</v>
      </c>
      <c r="D471">
        <v>399</v>
      </c>
      <c r="E471">
        <v>1033.7049999999999</v>
      </c>
      <c r="F471">
        <v>2409618</v>
      </c>
      <c r="G471" t="s">
        <v>345</v>
      </c>
      <c r="H471" t="s">
        <v>469</v>
      </c>
      <c r="I471">
        <v>971.16600000000005</v>
      </c>
      <c r="J471">
        <v>25.4</v>
      </c>
      <c r="K471">
        <v>0</v>
      </c>
      <c r="L471">
        <v>1.6</v>
      </c>
      <c r="M471">
        <v>2.59</v>
      </c>
      <c r="N471" t="s">
        <v>33</v>
      </c>
    </row>
    <row r="472" spans="1:14" x14ac:dyDescent="0.25">
      <c r="A472" t="s">
        <v>5966</v>
      </c>
      <c r="B472" t="s">
        <v>37</v>
      </c>
      <c r="C472" t="s">
        <v>397</v>
      </c>
      <c r="D472">
        <v>401</v>
      </c>
      <c r="E472">
        <v>1038.8869999999999</v>
      </c>
      <c r="F472">
        <v>2409618</v>
      </c>
      <c r="G472" t="s">
        <v>345</v>
      </c>
      <c r="H472" t="s">
        <v>469</v>
      </c>
      <c r="I472">
        <v>976.03399999999999</v>
      </c>
      <c r="J472">
        <v>25.4</v>
      </c>
      <c r="K472">
        <v>0</v>
      </c>
      <c r="L472">
        <v>1.6</v>
      </c>
      <c r="M472">
        <v>2.59</v>
      </c>
      <c r="N472" t="s">
        <v>33</v>
      </c>
    </row>
    <row r="473" spans="1:14" x14ac:dyDescent="0.25">
      <c r="A473" t="s">
        <v>5966</v>
      </c>
      <c r="B473" t="s">
        <v>37</v>
      </c>
      <c r="C473" t="s">
        <v>397</v>
      </c>
      <c r="D473">
        <v>2275</v>
      </c>
      <c r="E473">
        <v>2977.806</v>
      </c>
      <c r="F473">
        <v>1940046</v>
      </c>
      <c r="G473" t="s">
        <v>345</v>
      </c>
      <c r="H473" t="s">
        <v>466</v>
      </c>
      <c r="I473">
        <v>1244.425</v>
      </c>
      <c r="J473">
        <v>15.88</v>
      </c>
      <c r="K473">
        <v>0</v>
      </c>
      <c r="L473">
        <v>1.2</v>
      </c>
      <c r="M473">
        <v>1.31</v>
      </c>
      <c r="N473" t="s">
        <v>33</v>
      </c>
    </row>
    <row r="474" spans="1:14" x14ac:dyDescent="0.25">
      <c r="A474" t="s">
        <v>5966</v>
      </c>
      <c r="B474" t="s">
        <v>37</v>
      </c>
      <c r="C474" t="s">
        <v>397</v>
      </c>
      <c r="D474">
        <v>4800</v>
      </c>
      <c r="E474">
        <v>526.774</v>
      </c>
      <c r="F474">
        <v>3409366</v>
      </c>
      <c r="G474" t="s">
        <v>345</v>
      </c>
      <c r="H474" t="s">
        <v>1313</v>
      </c>
      <c r="I474">
        <v>278.39999999999998</v>
      </c>
      <c r="J474">
        <v>19.05</v>
      </c>
      <c r="K474">
        <v>0</v>
      </c>
      <c r="L474">
        <v>1.2</v>
      </c>
      <c r="M474">
        <v>0.109</v>
      </c>
      <c r="N474" t="s">
        <v>33</v>
      </c>
    </row>
    <row r="475" spans="1:14" x14ac:dyDescent="0.25">
      <c r="A475" t="s">
        <v>5966</v>
      </c>
      <c r="B475" t="s">
        <v>37</v>
      </c>
      <c r="C475" t="s">
        <v>397</v>
      </c>
      <c r="D475">
        <v>1439</v>
      </c>
      <c r="E475">
        <v>1647.6669999999999</v>
      </c>
      <c r="F475">
        <v>4110464</v>
      </c>
      <c r="G475" t="s">
        <v>345</v>
      </c>
      <c r="H475" t="s">
        <v>477</v>
      </c>
      <c r="I475">
        <v>870.37099999999998</v>
      </c>
      <c r="J475">
        <v>19.05</v>
      </c>
      <c r="K475">
        <v>0</v>
      </c>
      <c r="L475">
        <v>1.2</v>
      </c>
      <c r="M475">
        <v>1.145</v>
      </c>
      <c r="N475" t="s">
        <v>33</v>
      </c>
    </row>
    <row r="476" spans="1:14" x14ac:dyDescent="0.25">
      <c r="A476" t="s">
        <v>5966</v>
      </c>
      <c r="B476" t="s">
        <v>37</v>
      </c>
      <c r="C476" t="s">
        <v>397</v>
      </c>
      <c r="D476">
        <v>436</v>
      </c>
      <c r="E476">
        <v>499.22399999999999</v>
      </c>
      <c r="F476">
        <v>4110464</v>
      </c>
      <c r="G476" t="s">
        <v>345</v>
      </c>
      <c r="H476" t="s">
        <v>477</v>
      </c>
      <c r="I476">
        <v>263.71199999999999</v>
      </c>
      <c r="J476">
        <v>19.05</v>
      </c>
      <c r="K476">
        <v>0</v>
      </c>
      <c r="L476">
        <v>1.2</v>
      </c>
      <c r="M476">
        <v>1.145</v>
      </c>
      <c r="N476" t="s">
        <v>33</v>
      </c>
    </row>
    <row r="477" spans="1:14" x14ac:dyDescent="0.25">
      <c r="A477" t="s">
        <v>5966</v>
      </c>
      <c r="B477" t="s">
        <v>37</v>
      </c>
      <c r="C477" t="s">
        <v>397</v>
      </c>
      <c r="D477">
        <v>3550</v>
      </c>
      <c r="E477">
        <v>1827.058</v>
      </c>
      <c r="F477">
        <v>2409616</v>
      </c>
      <c r="G477" t="s">
        <v>345</v>
      </c>
      <c r="H477" t="s">
        <v>1317</v>
      </c>
      <c r="I477">
        <v>965.6</v>
      </c>
      <c r="J477">
        <v>19.05</v>
      </c>
      <c r="K477">
        <v>0</v>
      </c>
      <c r="L477">
        <v>1.2</v>
      </c>
      <c r="M477">
        <v>0.51300000000000001</v>
      </c>
      <c r="N477" t="s">
        <v>33</v>
      </c>
    </row>
    <row r="478" spans="1:14" x14ac:dyDescent="0.25">
      <c r="A478" t="s">
        <v>5966</v>
      </c>
      <c r="B478" t="s">
        <v>37</v>
      </c>
      <c r="C478" t="s">
        <v>397</v>
      </c>
      <c r="D478">
        <v>66</v>
      </c>
      <c r="E478">
        <v>48.18</v>
      </c>
      <c r="F478">
        <v>4241099</v>
      </c>
      <c r="G478" t="s">
        <v>345</v>
      </c>
      <c r="H478" t="s">
        <v>2203</v>
      </c>
      <c r="I478">
        <v>20.939</v>
      </c>
      <c r="J478">
        <v>15.88</v>
      </c>
      <c r="K478">
        <v>0</v>
      </c>
      <c r="L478">
        <v>1.2</v>
      </c>
      <c r="M478">
        <v>0.73</v>
      </c>
      <c r="N478" t="s">
        <v>33</v>
      </c>
    </row>
    <row r="479" spans="1:14" x14ac:dyDescent="0.25">
      <c r="A479" t="s">
        <v>5966</v>
      </c>
      <c r="B479" t="s">
        <v>37</v>
      </c>
      <c r="C479" t="s">
        <v>397</v>
      </c>
      <c r="D479">
        <v>7</v>
      </c>
      <c r="E479">
        <v>5.1100000000000003</v>
      </c>
      <c r="F479">
        <v>4241099</v>
      </c>
      <c r="G479" t="s">
        <v>345</v>
      </c>
      <c r="H479" t="s">
        <v>2203</v>
      </c>
      <c r="I479">
        <v>2.2210000000000001</v>
      </c>
      <c r="J479">
        <v>15.88</v>
      </c>
      <c r="K479">
        <v>0</v>
      </c>
      <c r="L479">
        <v>1.2</v>
      </c>
      <c r="M479">
        <v>0.73</v>
      </c>
      <c r="N479" t="s">
        <v>33</v>
      </c>
    </row>
    <row r="480" spans="1:14" x14ac:dyDescent="0.25">
      <c r="A480" t="s">
        <v>5966</v>
      </c>
      <c r="B480" t="s">
        <v>37</v>
      </c>
      <c r="C480" t="s">
        <v>397</v>
      </c>
      <c r="D480">
        <v>2849</v>
      </c>
      <c r="E480">
        <v>2079.7539999999999</v>
      </c>
      <c r="F480">
        <v>4241099</v>
      </c>
      <c r="G480" t="s">
        <v>345</v>
      </c>
      <c r="H480" t="s">
        <v>2203</v>
      </c>
      <c r="I480">
        <v>903.86099999999999</v>
      </c>
      <c r="J480">
        <v>15.88</v>
      </c>
      <c r="K480">
        <v>0</v>
      </c>
      <c r="L480">
        <v>1.2</v>
      </c>
      <c r="M480">
        <v>0.73</v>
      </c>
      <c r="N480" t="s">
        <v>33</v>
      </c>
    </row>
    <row r="481" spans="1:14" x14ac:dyDescent="0.25">
      <c r="A481" t="s">
        <v>5966</v>
      </c>
      <c r="B481" t="s">
        <v>37</v>
      </c>
      <c r="C481" t="s">
        <v>397</v>
      </c>
      <c r="D481">
        <v>3178</v>
      </c>
      <c r="E481">
        <v>2319.922</v>
      </c>
      <c r="F481">
        <v>4241099</v>
      </c>
      <c r="G481" t="s">
        <v>345</v>
      </c>
      <c r="H481" t="s">
        <v>2203</v>
      </c>
      <c r="I481">
        <v>1008.2380000000001</v>
      </c>
      <c r="J481">
        <v>15.88</v>
      </c>
      <c r="K481">
        <v>0</v>
      </c>
      <c r="L481">
        <v>1.2</v>
      </c>
      <c r="M481">
        <v>0.73</v>
      </c>
      <c r="N481" t="s">
        <v>33</v>
      </c>
    </row>
    <row r="482" spans="1:14" x14ac:dyDescent="0.25">
      <c r="A482" t="s">
        <v>5966</v>
      </c>
      <c r="B482" t="s">
        <v>37</v>
      </c>
      <c r="C482" t="s">
        <v>392</v>
      </c>
      <c r="D482">
        <v>26</v>
      </c>
      <c r="E482">
        <v>156.64599999999999</v>
      </c>
      <c r="F482">
        <v>4272693</v>
      </c>
      <c r="G482" t="s">
        <v>345</v>
      </c>
      <c r="H482" t="s">
        <v>6056</v>
      </c>
      <c r="I482">
        <v>149</v>
      </c>
      <c r="J482">
        <v>22.2</v>
      </c>
      <c r="K482">
        <v>0</v>
      </c>
      <c r="L482">
        <v>2</v>
      </c>
      <c r="M482">
        <v>5.95</v>
      </c>
      <c r="N482" t="s">
        <v>33</v>
      </c>
    </row>
    <row r="483" spans="1:14" x14ac:dyDescent="0.25">
      <c r="A483" t="s">
        <v>5966</v>
      </c>
      <c r="B483" t="s">
        <v>37</v>
      </c>
      <c r="C483" t="s">
        <v>392</v>
      </c>
      <c r="D483">
        <v>233</v>
      </c>
      <c r="E483">
        <v>1387.7370000000001</v>
      </c>
      <c r="F483">
        <v>4272693</v>
      </c>
      <c r="G483" t="s">
        <v>345</v>
      </c>
      <c r="H483" t="s">
        <v>6056</v>
      </c>
      <c r="I483">
        <v>1320</v>
      </c>
      <c r="J483">
        <v>22.2</v>
      </c>
      <c r="K483">
        <v>0</v>
      </c>
      <c r="L483">
        <v>2</v>
      </c>
      <c r="M483">
        <v>5.95</v>
      </c>
      <c r="N483" t="s">
        <v>33</v>
      </c>
    </row>
    <row r="484" spans="1:14" x14ac:dyDescent="0.25">
      <c r="A484" t="s">
        <v>5966</v>
      </c>
      <c r="B484" t="s">
        <v>37</v>
      </c>
      <c r="C484" t="s">
        <v>392</v>
      </c>
      <c r="D484">
        <v>491</v>
      </c>
      <c r="E484">
        <v>2922.6579999999999</v>
      </c>
      <c r="F484">
        <v>4272693</v>
      </c>
      <c r="G484" t="s">
        <v>345</v>
      </c>
      <c r="H484" t="s">
        <v>6056</v>
      </c>
      <c r="I484">
        <v>2780</v>
      </c>
      <c r="J484">
        <v>22.2</v>
      </c>
      <c r="K484">
        <v>0</v>
      </c>
      <c r="L484">
        <v>2</v>
      </c>
      <c r="M484">
        <v>5.95</v>
      </c>
      <c r="N484" t="s">
        <v>33</v>
      </c>
    </row>
    <row r="485" spans="1:14" x14ac:dyDescent="0.25">
      <c r="A485" t="s">
        <v>5966</v>
      </c>
      <c r="B485" t="s">
        <v>37</v>
      </c>
      <c r="C485" t="s">
        <v>392</v>
      </c>
      <c r="D485">
        <v>489</v>
      </c>
      <c r="E485">
        <v>2906.8879999999999</v>
      </c>
      <c r="F485">
        <v>4272693</v>
      </c>
      <c r="G485" t="s">
        <v>345</v>
      </c>
      <c r="H485" t="s">
        <v>6056</v>
      </c>
      <c r="I485">
        <v>2765</v>
      </c>
      <c r="J485">
        <v>22.2</v>
      </c>
      <c r="K485">
        <v>0</v>
      </c>
      <c r="L485">
        <v>2</v>
      </c>
      <c r="M485">
        <v>5.95</v>
      </c>
      <c r="N485" t="s">
        <v>33</v>
      </c>
    </row>
    <row r="486" spans="1:14" x14ac:dyDescent="0.25">
      <c r="A486" t="s">
        <v>5966</v>
      </c>
      <c r="B486" t="s">
        <v>37</v>
      </c>
      <c r="C486" t="s">
        <v>392</v>
      </c>
      <c r="D486">
        <v>495</v>
      </c>
      <c r="E486">
        <v>2943.6849999999999</v>
      </c>
      <c r="F486">
        <v>4272693</v>
      </c>
      <c r="G486" t="s">
        <v>345</v>
      </c>
      <c r="H486" t="s">
        <v>6056</v>
      </c>
      <c r="I486">
        <v>2800</v>
      </c>
      <c r="J486">
        <v>22.2</v>
      </c>
      <c r="K486">
        <v>0</v>
      </c>
      <c r="L486">
        <v>2</v>
      </c>
      <c r="M486">
        <v>5.95</v>
      </c>
      <c r="N486" t="s">
        <v>33</v>
      </c>
    </row>
    <row r="487" spans="1:14" x14ac:dyDescent="0.25">
      <c r="A487" t="s">
        <v>5966</v>
      </c>
      <c r="B487" t="s">
        <v>37</v>
      </c>
      <c r="C487" t="s">
        <v>392</v>
      </c>
      <c r="D487">
        <v>292</v>
      </c>
      <c r="E487">
        <v>1735.723</v>
      </c>
      <c r="F487">
        <v>4272693</v>
      </c>
      <c r="G487" t="s">
        <v>345</v>
      </c>
      <c r="H487" t="s">
        <v>6056</v>
      </c>
      <c r="I487">
        <v>1651</v>
      </c>
      <c r="J487">
        <v>22.2</v>
      </c>
      <c r="K487">
        <v>0</v>
      </c>
      <c r="L487">
        <v>2</v>
      </c>
      <c r="M487">
        <v>5.95</v>
      </c>
      <c r="N487" t="s">
        <v>33</v>
      </c>
    </row>
    <row r="488" spans="1:14" x14ac:dyDescent="0.25">
      <c r="A488" t="s">
        <v>5966</v>
      </c>
      <c r="B488" t="s">
        <v>37</v>
      </c>
      <c r="C488" t="s">
        <v>392</v>
      </c>
      <c r="D488">
        <v>366</v>
      </c>
      <c r="E488">
        <v>2176.2240000000002</v>
      </c>
      <c r="F488">
        <v>4272693</v>
      </c>
      <c r="G488" t="s">
        <v>345</v>
      </c>
      <c r="H488" t="s">
        <v>6056</v>
      </c>
      <c r="I488">
        <v>2070</v>
      </c>
      <c r="J488">
        <v>22.2</v>
      </c>
      <c r="K488">
        <v>0</v>
      </c>
      <c r="L488">
        <v>2</v>
      </c>
      <c r="M488">
        <v>5.95</v>
      </c>
      <c r="N488" t="s">
        <v>33</v>
      </c>
    </row>
    <row r="489" spans="1:14" x14ac:dyDescent="0.25">
      <c r="A489" t="s">
        <v>5966</v>
      </c>
      <c r="B489" t="s">
        <v>37</v>
      </c>
      <c r="C489" t="s">
        <v>392</v>
      </c>
      <c r="D489">
        <v>402</v>
      </c>
      <c r="E489">
        <v>2391.7440000000001</v>
      </c>
      <c r="F489">
        <v>4272693</v>
      </c>
      <c r="G489" t="s">
        <v>345</v>
      </c>
      <c r="H489" t="s">
        <v>6056</v>
      </c>
      <c r="I489">
        <v>2275</v>
      </c>
      <c r="J489">
        <v>22.2</v>
      </c>
      <c r="K489">
        <v>0</v>
      </c>
      <c r="L489">
        <v>2</v>
      </c>
      <c r="M489">
        <v>5.95</v>
      </c>
      <c r="N489" t="s">
        <v>33</v>
      </c>
    </row>
    <row r="490" spans="1:14" x14ac:dyDescent="0.25">
      <c r="A490" t="s">
        <v>5966</v>
      </c>
      <c r="B490" t="s">
        <v>37</v>
      </c>
      <c r="C490" t="s">
        <v>392</v>
      </c>
      <c r="D490">
        <v>382</v>
      </c>
      <c r="E490">
        <v>2272.9450000000002</v>
      </c>
      <c r="F490">
        <v>4272693</v>
      </c>
      <c r="G490" t="s">
        <v>345</v>
      </c>
      <c r="H490" t="s">
        <v>6056</v>
      </c>
      <c r="I490">
        <v>2162</v>
      </c>
      <c r="J490">
        <v>22.2</v>
      </c>
      <c r="K490">
        <v>0</v>
      </c>
      <c r="L490">
        <v>2</v>
      </c>
      <c r="M490">
        <v>5.95</v>
      </c>
      <c r="N490" t="s">
        <v>33</v>
      </c>
    </row>
    <row r="491" spans="1:14" x14ac:dyDescent="0.25">
      <c r="A491" t="s">
        <v>5966</v>
      </c>
      <c r="B491" t="s">
        <v>37</v>
      </c>
      <c r="C491" t="s">
        <v>392</v>
      </c>
      <c r="D491">
        <v>515</v>
      </c>
      <c r="E491">
        <v>3063.5349999999999</v>
      </c>
      <c r="F491">
        <v>4272693</v>
      </c>
      <c r="G491" t="s">
        <v>345</v>
      </c>
      <c r="H491" t="s">
        <v>6056</v>
      </c>
      <c r="I491">
        <v>2914</v>
      </c>
      <c r="J491">
        <v>22.2</v>
      </c>
      <c r="K491">
        <v>0</v>
      </c>
      <c r="L491">
        <v>2</v>
      </c>
      <c r="M491">
        <v>5.95</v>
      </c>
      <c r="N491" t="s">
        <v>33</v>
      </c>
    </row>
    <row r="492" spans="1:14" x14ac:dyDescent="0.25">
      <c r="A492" t="s">
        <v>5966</v>
      </c>
      <c r="B492" t="s">
        <v>37</v>
      </c>
      <c r="C492" t="s">
        <v>392</v>
      </c>
      <c r="D492">
        <v>48</v>
      </c>
      <c r="E492">
        <v>288.06099999999998</v>
      </c>
      <c r="F492">
        <v>4272693</v>
      </c>
      <c r="G492" t="s">
        <v>345</v>
      </c>
      <c r="H492" t="s">
        <v>6056</v>
      </c>
      <c r="I492">
        <v>274</v>
      </c>
      <c r="J492">
        <v>22.2</v>
      </c>
      <c r="K492">
        <v>0</v>
      </c>
      <c r="L492">
        <v>2</v>
      </c>
      <c r="M492">
        <v>5.95</v>
      </c>
      <c r="N492" t="s">
        <v>33</v>
      </c>
    </row>
    <row r="493" spans="1:14" x14ac:dyDescent="0.25">
      <c r="A493" t="s">
        <v>5999</v>
      </c>
      <c r="B493" t="s">
        <v>36</v>
      </c>
      <c r="C493" t="s">
        <v>392</v>
      </c>
      <c r="D493">
        <v>201</v>
      </c>
      <c r="E493">
        <v>1139.6610000000001</v>
      </c>
      <c r="F493">
        <v>3460088</v>
      </c>
      <c r="G493" t="s">
        <v>345</v>
      </c>
      <c r="H493" t="s">
        <v>2249</v>
      </c>
      <c r="I493">
        <v>1579</v>
      </c>
      <c r="J493">
        <v>48</v>
      </c>
      <c r="K493">
        <v>0</v>
      </c>
      <c r="L493">
        <v>1.2</v>
      </c>
      <c r="M493">
        <v>5.67</v>
      </c>
      <c r="N493" t="s">
        <v>33</v>
      </c>
    </row>
    <row r="494" spans="1:14" x14ac:dyDescent="0.25">
      <c r="A494" t="s">
        <v>5999</v>
      </c>
      <c r="B494" t="s">
        <v>36</v>
      </c>
      <c r="C494" t="s">
        <v>392</v>
      </c>
      <c r="D494">
        <v>191</v>
      </c>
      <c r="E494">
        <v>1082.6420000000001</v>
      </c>
      <c r="F494">
        <v>3460088</v>
      </c>
      <c r="G494" t="s">
        <v>345</v>
      </c>
      <c r="H494" t="s">
        <v>2249</v>
      </c>
      <c r="I494">
        <v>1500</v>
      </c>
      <c r="J494">
        <v>48</v>
      </c>
      <c r="K494">
        <v>0</v>
      </c>
      <c r="L494">
        <v>1.2</v>
      </c>
      <c r="M494">
        <v>5.67</v>
      </c>
      <c r="N494" t="s">
        <v>33</v>
      </c>
    </row>
    <row r="495" spans="1:14" x14ac:dyDescent="0.25">
      <c r="A495" t="s">
        <v>5999</v>
      </c>
      <c r="B495" t="s">
        <v>36</v>
      </c>
      <c r="C495" t="s">
        <v>392</v>
      </c>
      <c r="D495">
        <v>154</v>
      </c>
      <c r="E495">
        <v>873.33100000000002</v>
      </c>
      <c r="F495">
        <v>3460088</v>
      </c>
      <c r="G495" t="s">
        <v>345</v>
      </c>
      <c r="H495" t="s">
        <v>2249</v>
      </c>
      <c r="I495">
        <v>1210</v>
      </c>
      <c r="J495">
        <v>48</v>
      </c>
      <c r="K495">
        <v>0</v>
      </c>
      <c r="L495">
        <v>1.2</v>
      </c>
      <c r="M495">
        <v>5.67</v>
      </c>
      <c r="N495" t="s">
        <v>33</v>
      </c>
    </row>
    <row r="496" spans="1:14" x14ac:dyDescent="0.25">
      <c r="A496" t="s">
        <v>5999</v>
      </c>
      <c r="B496" t="s">
        <v>36</v>
      </c>
      <c r="C496" t="s">
        <v>392</v>
      </c>
      <c r="D496">
        <v>197</v>
      </c>
      <c r="E496">
        <v>1118.73</v>
      </c>
      <c r="F496">
        <v>3460088</v>
      </c>
      <c r="G496" t="s">
        <v>345</v>
      </c>
      <c r="H496" t="s">
        <v>2249</v>
      </c>
      <c r="I496">
        <v>1550</v>
      </c>
      <c r="J496">
        <v>48</v>
      </c>
      <c r="K496">
        <v>0</v>
      </c>
      <c r="L496">
        <v>1.2</v>
      </c>
      <c r="M496">
        <v>5.67</v>
      </c>
      <c r="N496" t="s">
        <v>33</v>
      </c>
    </row>
    <row r="497" spans="1:15" x14ac:dyDescent="0.25">
      <c r="A497" t="s">
        <v>5999</v>
      </c>
      <c r="B497" t="s">
        <v>36</v>
      </c>
      <c r="C497" t="s">
        <v>392</v>
      </c>
      <c r="D497">
        <v>202</v>
      </c>
      <c r="E497">
        <v>1143.991</v>
      </c>
      <c r="F497">
        <v>3460088</v>
      </c>
      <c r="G497" t="s">
        <v>345</v>
      </c>
      <c r="H497" t="s">
        <v>2249</v>
      </c>
      <c r="I497">
        <v>1585</v>
      </c>
      <c r="J497">
        <v>48</v>
      </c>
      <c r="K497">
        <v>0</v>
      </c>
      <c r="L497">
        <v>1.2</v>
      </c>
      <c r="M497">
        <v>5.67</v>
      </c>
      <c r="N497" t="s">
        <v>33</v>
      </c>
    </row>
    <row r="498" spans="1:15" x14ac:dyDescent="0.25">
      <c r="A498" t="s">
        <v>5999</v>
      </c>
      <c r="B498" t="s">
        <v>36</v>
      </c>
      <c r="C498" t="s">
        <v>392</v>
      </c>
      <c r="D498">
        <v>195</v>
      </c>
      <c r="E498">
        <v>1104.2940000000001</v>
      </c>
      <c r="F498">
        <v>3460088</v>
      </c>
      <c r="G498" t="s">
        <v>345</v>
      </c>
      <c r="H498" t="s">
        <v>2249</v>
      </c>
      <c r="I498">
        <v>1530</v>
      </c>
      <c r="J498">
        <v>48</v>
      </c>
      <c r="K498">
        <v>0</v>
      </c>
      <c r="L498">
        <v>1.2</v>
      </c>
      <c r="M498">
        <v>5.67</v>
      </c>
      <c r="N498" t="s">
        <v>33</v>
      </c>
    </row>
    <row r="499" spans="1:15" x14ac:dyDescent="0.25">
      <c r="A499" t="s">
        <v>5999</v>
      </c>
      <c r="B499" t="s">
        <v>36</v>
      </c>
      <c r="C499" t="s">
        <v>392</v>
      </c>
      <c r="D499">
        <v>59</v>
      </c>
      <c r="E499">
        <v>336.34100000000001</v>
      </c>
      <c r="F499">
        <v>3460088</v>
      </c>
      <c r="G499" t="s">
        <v>345</v>
      </c>
      <c r="H499" t="s">
        <v>2249</v>
      </c>
      <c r="I499">
        <v>466</v>
      </c>
      <c r="J499">
        <v>48</v>
      </c>
      <c r="K499">
        <v>0</v>
      </c>
      <c r="L499">
        <v>1.2</v>
      </c>
      <c r="M499">
        <v>5.67</v>
      </c>
      <c r="N499" t="s">
        <v>33</v>
      </c>
    </row>
    <row r="500" spans="1:15" x14ac:dyDescent="0.25">
      <c r="A500" t="s">
        <v>5966</v>
      </c>
      <c r="B500" t="s">
        <v>37</v>
      </c>
      <c r="C500" t="s">
        <v>392</v>
      </c>
      <c r="D500">
        <v>464</v>
      </c>
      <c r="E500">
        <v>2565.1950000000002</v>
      </c>
      <c r="F500">
        <v>3502256</v>
      </c>
      <c r="G500" t="s">
        <v>345</v>
      </c>
      <c r="H500" t="s">
        <v>1580</v>
      </c>
      <c r="I500">
        <v>3492</v>
      </c>
      <c r="J500">
        <v>25.4</v>
      </c>
      <c r="K500">
        <v>0</v>
      </c>
      <c r="L500">
        <v>2.5</v>
      </c>
      <c r="M500">
        <v>5.53</v>
      </c>
      <c r="N500" t="s">
        <v>33</v>
      </c>
      <c r="O500" t="s">
        <v>6175</v>
      </c>
    </row>
    <row r="501" spans="1:15" x14ac:dyDescent="0.25">
      <c r="A501" t="s">
        <v>5966</v>
      </c>
      <c r="B501" t="s">
        <v>37</v>
      </c>
      <c r="C501" t="s">
        <v>392</v>
      </c>
      <c r="D501">
        <v>167</v>
      </c>
      <c r="E501">
        <v>924.11699999999996</v>
      </c>
      <c r="F501">
        <v>3502256</v>
      </c>
      <c r="G501" t="s">
        <v>345</v>
      </c>
      <c r="H501" t="s">
        <v>1580</v>
      </c>
      <c r="I501">
        <v>1258</v>
      </c>
      <c r="J501">
        <v>25.4</v>
      </c>
      <c r="K501">
        <v>0</v>
      </c>
      <c r="L501">
        <v>2.5</v>
      </c>
      <c r="M501">
        <v>5.53</v>
      </c>
      <c r="N501" t="s">
        <v>33</v>
      </c>
      <c r="O501" t="s">
        <v>6175</v>
      </c>
    </row>
    <row r="502" spans="1:15" x14ac:dyDescent="0.25">
      <c r="A502" t="s">
        <v>5966</v>
      </c>
      <c r="B502" t="s">
        <v>37</v>
      </c>
      <c r="C502" t="s">
        <v>392</v>
      </c>
      <c r="D502">
        <v>316</v>
      </c>
      <c r="E502">
        <v>1746.125</v>
      </c>
      <c r="F502">
        <v>3502256</v>
      </c>
      <c r="G502" t="s">
        <v>345</v>
      </c>
      <c r="H502" t="s">
        <v>1580</v>
      </c>
      <c r="I502">
        <v>2377</v>
      </c>
      <c r="J502">
        <v>25.4</v>
      </c>
      <c r="K502">
        <v>0</v>
      </c>
      <c r="L502">
        <v>2.5</v>
      </c>
      <c r="M502">
        <v>5.53</v>
      </c>
      <c r="N502" t="s">
        <v>33</v>
      </c>
      <c r="O502" t="s">
        <v>6175</v>
      </c>
    </row>
    <row r="503" spans="1:15" x14ac:dyDescent="0.25">
      <c r="A503" t="s">
        <v>5966</v>
      </c>
      <c r="B503" t="s">
        <v>37</v>
      </c>
      <c r="C503" t="s">
        <v>392</v>
      </c>
      <c r="D503">
        <v>264</v>
      </c>
      <c r="E503">
        <v>1459.634</v>
      </c>
      <c r="F503">
        <v>3502256</v>
      </c>
      <c r="G503" t="s">
        <v>345</v>
      </c>
      <c r="H503" t="s">
        <v>1580</v>
      </c>
      <c r="I503">
        <v>1987</v>
      </c>
      <c r="J503">
        <v>25.4</v>
      </c>
      <c r="K503">
        <v>0</v>
      </c>
      <c r="L503">
        <v>2.5</v>
      </c>
      <c r="M503">
        <v>5.53</v>
      </c>
      <c r="N503" t="s">
        <v>33</v>
      </c>
      <c r="O503" t="s">
        <v>6175</v>
      </c>
    </row>
    <row r="504" spans="1:15" x14ac:dyDescent="0.25">
      <c r="A504" t="s">
        <v>5966</v>
      </c>
      <c r="B504" t="s">
        <v>37</v>
      </c>
      <c r="C504" t="s">
        <v>392</v>
      </c>
      <c r="D504">
        <v>231</v>
      </c>
      <c r="E504">
        <v>1275.252</v>
      </c>
      <c r="F504">
        <v>3502256</v>
      </c>
      <c r="G504" t="s">
        <v>345</v>
      </c>
      <c r="H504" t="s">
        <v>1580</v>
      </c>
      <c r="I504">
        <v>1736</v>
      </c>
      <c r="J504">
        <v>25.4</v>
      </c>
      <c r="K504">
        <v>0</v>
      </c>
      <c r="L504">
        <v>2.5</v>
      </c>
      <c r="M504">
        <v>5.53</v>
      </c>
      <c r="N504" t="s">
        <v>33</v>
      </c>
      <c r="O504" t="s">
        <v>6175</v>
      </c>
    </row>
    <row r="505" spans="1:15" x14ac:dyDescent="0.25">
      <c r="A505" t="s">
        <v>5966</v>
      </c>
      <c r="B505" t="s">
        <v>37</v>
      </c>
      <c r="C505" t="s">
        <v>392</v>
      </c>
      <c r="D505">
        <v>129</v>
      </c>
      <c r="E505">
        <v>777.47799999999995</v>
      </c>
      <c r="F505">
        <v>3457574</v>
      </c>
      <c r="G505" t="s">
        <v>345</v>
      </c>
      <c r="H505" t="s">
        <v>6070</v>
      </c>
      <c r="I505">
        <v>1929</v>
      </c>
      <c r="J505">
        <v>41.28</v>
      </c>
      <c r="K505">
        <v>0</v>
      </c>
      <c r="L505">
        <v>2.6</v>
      </c>
      <c r="M505">
        <v>6.02</v>
      </c>
      <c r="N505" t="s">
        <v>33</v>
      </c>
      <c r="O505" t="s">
        <v>6189</v>
      </c>
    </row>
    <row r="506" spans="1:15" x14ac:dyDescent="0.25">
      <c r="A506" t="s">
        <v>5966</v>
      </c>
      <c r="B506" t="s">
        <v>37</v>
      </c>
      <c r="C506" t="s">
        <v>392</v>
      </c>
      <c r="D506">
        <v>124</v>
      </c>
      <c r="E506">
        <v>748.45799999999997</v>
      </c>
      <c r="F506">
        <v>3457574</v>
      </c>
      <c r="G506" t="s">
        <v>345</v>
      </c>
      <c r="H506" t="s">
        <v>6070</v>
      </c>
      <c r="I506">
        <v>1857</v>
      </c>
      <c r="J506">
        <v>41.28</v>
      </c>
      <c r="K506">
        <v>0</v>
      </c>
      <c r="L506">
        <v>2.6</v>
      </c>
      <c r="M506">
        <v>6.02</v>
      </c>
      <c r="N506" t="s">
        <v>33</v>
      </c>
      <c r="O506" t="s">
        <v>6189</v>
      </c>
    </row>
    <row r="507" spans="1:15" x14ac:dyDescent="0.25">
      <c r="A507" t="s">
        <v>5966</v>
      </c>
      <c r="B507" t="s">
        <v>37</v>
      </c>
      <c r="C507" t="s">
        <v>392</v>
      </c>
      <c r="D507">
        <v>183</v>
      </c>
      <c r="E507">
        <v>1103.1400000000001</v>
      </c>
      <c r="F507">
        <v>3457574</v>
      </c>
      <c r="G507" t="s">
        <v>345</v>
      </c>
      <c r="H507" t="s">
        <v>6070</v>
      </c>
      <c r="I507">
        <v>2737</v>
      </c>
      <c r="J507">
        <v>41.28</v>
      </c>
      <c r="K507">
        <v>0</v>
      </c>
      <c r="L507">
        <v>2.6</v>
      </c>
      <c r="M507">
        <v>6.02</v>
      </c>
      <c r="N507" t="s">
        <v>33</v>
      </c>
      <c r="O507" t="s">
        <v>6189</v>
      </c>
    </row>
    <row r="508" spans="1:15" x14ac:dyDescent="0.25">
      <c r="A508" t="s">
        <v>5966</v>
      </c>
      <c r="B508" t="s">
        <v>37</v>
      </c>
      <c r="C508" t="s">
        <v>392</v>
      </c>
      <c r="D508">
        <v>186</v>
      </c>
      <c r="E508">
        <v>1119.2619999999999</v>
      </c>
      <c r="F508">
        <v>3457574</v>
      </c>
      <c r="G508" t="s">
        <v>345</v>
      </c>
      <c r="H508" t="s">
        <v>6070</v>
      </c>
      <c r="I508">
        <v>2777</v>
      </c>
      <c r="J508">
        <v>41.28</v>
      </c>
      <c r="K508">
        <v>0</v>
      </c>
      <c r="L508">
        <v>2.6</v>
      </c>
      <c r="M508">
        <v>6.02</v>
      </c>
      <c r="N508" t="s">
        <v>33</v>
      </c>
      <c r="O508" t="s">
        <v>6189</v>
      </c>
    </row>
    <row r="509" spans="1:15" x14ac:dyDescent="0.25">
      <c r="A509" t="s">
        <v>5966</v>
      </c>
      <c r="B509" t="s">
        <v>37</v>
      </c>
      <c r="C509" t="s">
        <v>392</v>
      </c>
      <c r="D509">
        <v>163</v>
      </c>
      <c r="E509">
        <v>929.08</v>
      </c>
      <c r="F509">
        <v>3545558</v>
      </c>
      <c r="G509" t="s">
        <v>1834</v>
      </c>
      <c r="H509" t="s">
        <v>2378</v>
      </c>
      <c r="I509">
        <v>1330.8140000000001</v>
      </c>
      <c r="J509">
        <v>45</v>
      </c>
      <c r="K509">
        <v>0</v>
      </c>
      <c r="L509">
        <v>1.4</v>
      </c>
      <c r="M509">
        <v>5.7</v>
      </c>
      <c r="N509" t="s">
        <v>33</v>
      </c>
      <c r="O509" t="s">
        <v>6197</v>
      </c>
    </row>
    <row r="510" spans="1:15" x14ac:dyDescent="0.25">
      <c r="A510" t="s">
        <v>5966</v>
      </c>
      <c r="B510" t="s">
        <v>37</v>
      </c>
      <c r="C510" t="s">
        <v>392</v>
      </c>
      <c r="D510">
        <v>148</v>
      </c>
      <c r="E510">
        <v>843.58100000000002</v>
      </c>
      <c r="F510">
        <v>3545558</v>
      </c>
      <c r="G510" t="s">
        <v>1834</v>
      </c>
      <c r="H510" t="s">
        <v>2378</v>
      </c>
      <c r="I510">
        <v>1208.346</v>
      </c>
      <c r="J510">
        <v>45</v>
      </c>
      <c r="K510">
        <v>0</v>
      </c>
      <c r="L510">
        <v>1.4</v>
      </c>
      <c r="M510">
        <v>5.7</v>
      </c>
      <c r="N510" t="s">
        <v>33</v>
      </c>
      <c r="O510" t="s">
        <v>6197</v>
      </c>
    </row>
    <row r="511" spans="1:15" x14ac:dyDescent="0.25">
      <c r="A511" t="s">
        <v>5966</v>
      </c>
      <c r="B511" t="s">
        <v>37</v>
      </c>
      <c r="C511" t="s">
        <v>392</v>
      </c>
      <c r="D511">
        <v>145</v>
      </c>
      <c r="E511">
        <v>826.48199999999997</v>
      </c>
      <c r="F511">
        <v>3545558</v>
      </c>
      <c r="G511" t="s">
        <v>1834</v>
      </c>
      <c r="H511" t="s">
        <v>2378</v>
      </c>
      <c r="I511">
        <v>1183.8530000000001</v>
      </c>
      <c r="J511">
        <v>45</v>
      </c>
      <c r="K511">
        <v>0</v>
      </c>
      <c r="L511">
        <v>1.4</v>
      </c>
      <c r="M511">
        <v>5.7</v>
      </c>
      <c r="N511" t="s">
        <v>33</v>
      </c>
      <c r="O511" t="s">
        <v>6197</v>
      </c>
    </row>
    <row r="512" spans="1:15" x14ac:dyDescent="0.25">
      <c r="A512" t="s">
        <v>5966</v>
      </c>
      <c r="B512" t="s">
        <v>37</v>
      </c>
      <c r="C512" t="s">
        <v>392</v>
      </c>
      <c r="D512">
        <v>40</v>
      </c>
      <c r="E512">
        <v>228.279</v>
      </c>
      <c r="F512">
        <v>3545558</v>
      </c>
      <c r="G512" t="s">
        <v>1834</v>
      </c>
      <c r="H512" t="s">
        <v>2378</v>
      </c>
      <c r="I512">
        <v>326.98700000000002</v>
      </c>
      <c r="J512">
        <v>45</v>
      </c>
      <c r="K512">
        <v>0</v>
      </c>
      <c r="L512">
        <v>1.4</v>
      </c>
      <c r="M512">
        <v>5.7</v>
      </c>
      <c r="N512" t="s">
        <v>33</v>
      </c>
      <c r="O512" t="s">
        <v>6197</v>
      </c>
    </row>
    <row r="513" spans="1:15" x14ac:dyDescent="0.25">
      <c r="A513" t="s">
        <v>5966</v>
      </c>
      <c r="B513" t="s">
        <v>37</v>
      </c>
      <c r="C513" t="s">
        <v>392</v>
      </c>
      <c r="D513">
        <v>407</v>
      </c>
      <c r="E513">
        <v>2444.384</v>
      </c>
      <c r="F513">
        <v>3501716</v>
      </c>
      <c r="G513" t="s">
        <v>1834</v>
      </c>
      <c r="H513" t="s">
        <v>6071</v>
      </c>
      <c r="I513">
        <v>6062.56</v>
      </c>
      <c r="J513">
        <v>41.28</v>
      </c>
      <c r="K513">
        <v>0</v>
      </c>
      <c r="L513">
        <v>2.6</v>
      </c>
      <c r="M513">
        <v>6</v>
      </c>
      <c r="N513" t="s">
        <v>33</v>
      </c>
      <c r="O513" t="s">
        <v>6189</v>
      </c>
    </row>
    <row r="514" spans="1:15" x14ac:dyDescent="0.25">
      <c r="A514" t="s">
        <v>5966</v>
      </c>
      <c r="B514" t="s">
        <v>37</v>
      </c>
      <c r="C514" t="s">
        <v>392</v>
      </c>
      <c r="D514">
        <v>223</v>
      </c>
      <c r="E514">
        <v>1335.864</v>
      </c>
      <c r="F514">
        <v>3501716</v>
      </c>
      <c r="G514" t="s">
        <v>1834</v>
      </c>
      <c r="H514" t="s">
        <v>6071</v>
      </c>
      <c r="I514">
        <v>3313.21</v>
      </c>
      <c r="J514">
        <v>41.28</v>
      </c>
      <c r="K514">
        <v>0</v>
      </c>
      <c r="L514">
        <v>2.6</v>
      </c>
      <c r="M514">
        <v>6</v>
      </c>
      <c r="N514" t="s">
        <v>33</v>
      </c>
      <c r="O514" t="s">
        <v>6189</v>
      </c>
    </row>
    <row r="515" spans="1:15" x14ac:dyDescent="0.25">
      <c r="A515" t="s">
        <v>5966</v>
      </c>
      <c r="B515" t="s">
        <v>37</v>
      </c>
      <c r="C515" t="s">
        <v>392</v>
      </c>
      <c r="D515">
        <v>36</v>
      </c>
      <c r="E515">
        <v>214.864</v>
      </c>
      <c r="F515">
        <v>3501716</v>
      </c>
      <c r="G515" t="s">
        <v>1834</v>
      </c>
      <c r="H515" t="s">
        <v>6071</v>
      </c>
      <c r="I515">
        <v>532.90499999999997</v>
      </c>
      <c r="J515">
        <v>41.28</v>
      </c>
      <c r="K515">
        <v>0</v>
      </c>
      <c r="L515">
        <v>2.6</v>
      </c>
      <c r="M515">
        <v>6</v>
      </c>
      <c r="N515" t="s">
        <v>33</v>
      </c>
      <c r="O515" t="s">
        <v>6189</v>
      </c>
    </row>
    <row r="516" spans="1:15" x14ac:dyDescent="0.25">
      <c r="A516" t="s">
        <v>5966</v>
      </c>
      <c r="B516" t="s">
        <v>37</v>
      </c>
      <c r="C516" t="s">
        <v>392</v>
      </c>
      <c r="D516">
        <v>8</v>
      </c>
      <c r="E516">
        <v>47.707999999999998</v>
      </c>
      <c r="F516">
        <v>3501716</v>
      </c>
      <c r="G516" t="s">
        <v>1834</v>
      </c>
      <c r="H516" t="s">
        <v>6071</v>
      </c>
      <c r="I516">
        <v>118.325</v>
      </c>
      <c r="J516">
        <v>41.28</v>
      </c>
      <c r="K516">
        <v>0</v>
      </c>
      <c r="L516">
        <v>2.6</v>
      </c>
      <c r="M516">
        <v>6</v>
      </c>
      <c r="N516" t="s">
        <v>33</v>
      </c>
      <c r="O516" t="s">
        <v>6189</v>
      </c>
    </row>
    <row r="517" spans="1:15" x14ac:dyDescent="0.25">
      <c r="A517" t="s">
        <v>5966</v>
      </c>
      <c r="B517" t="s">
        <v>37</v>
      </c>
      <c r="C517" t="s">
        <v>392</v>
      </c>
      <c r="D517">
        <v>53</v>
      </c>
      <c r="E517">
        <v>320.37700000000001</v>
      </c>
      <c r="F517">
        <v>3501716</v>
      </c>
      <c r="G517" t="s">
        <v>1834</v>
      </c>
      <c r="H517" t="s">
        <v>6071</v>
      </c>
      <c r="I517">
        <v>794.6</v>
      </c>
      <c r="J517">
        <v>41.28</v>
      </c>
      <c r="K517">
        <v>0</v>
      </c>
      <c r="L517">
        <v>2.6</v>
      </c>
      <c r="M517">
        <v>6</v>
      </c>
      <c r="N517" t="s">
        <v>33</v>
      </c>
      <c r="O517" t="s">
        <v>6189</v>
      </c>
    </row>
    <row r="518" spans="1:15" x14ac:dyDescent="0.25">
      <c r="A518" t="s">
        <v>5966</v>
      </c>
      <c r="B518" t="s">
        <v>37</v>
      </c>
      <c r="C518" t="s">
        <v>392</v>
      </c>
      <c r="D518">
        <v>47</v>
      </c>
      <c r="E518">
        <v>281.38900000000001</v>
      </c>
      <c r="F518">
        <v>3501716</v>
      </c>
      <c r="G518" t="s">
        <v>1834</v>
      </c>
      <c r="H518" t="s">
        <v>6071</v>
      </c>
      <c r="I518">
        <v>697.9</v>
      </c>
      <c r="J518">
        <v>41.28</v>
      </c>
      <c r="K518">
        <v>0</v>
      </c>
      <c r="L518">
        <v>2.6</v>
      </c>
      <c r="M518">
        <v>6</v>
      </c>
      <c r="N518" t="s">
        <v>33</v>
      </c>
      <c r="O518" t="s">
        <v>6189</v>
      </c>
    </row>
    <row r="519" spans="1:15" x14ac:dyDescent="0.25">
      <c r="A519" t="s">
        <v>5966</v>
      </c>
      <c r="B519" t="s">
        <v>37</v>
      </c>
      <c r="C519" t="s">
        <v>392</v>
      </c>
      <c r="D519">
        <v>274</v>
      </c>
      <c r="E519">
        <v>1640.9970000000001</v>
      </c>
      <c r="F519">
        <v>3501716</v>
      </c>
      <c r="G519" t="s">
        <v>1834</v>
      </c>
      <c r="H519" t="s">
        <v>6071</v>
      </c>
      <c r="I519">
        <v>4070</v>
      </c>
      <c r="J519">
        <v>41.28</v>
      </c>
      <c r="K519">
        <v>0</v>
      </c>
      <c r="L519">
        <v>2.6</v>
      </c>
      <c r="M519">
        <v>6</v>
      </c>
      <c r="N519" t="s">
        <v>33</v>
      </c>
      <c r="O519" t="s">
        <v>6189</v>
      </c>
    </row>
    <row r="520" spans="1:15" x14ac:dyDescent="0.25">
      <c r="A520" t="s">
        <v>5966</v>
      </c>
      <c r="B520" t="s">
        <v>37</v>
      </c>
      <c r="C520" t="s">
        <v>392</v>
      </c>
      <c r="D520">
        <v>24</v>
      </c>
      <c r="E520">
        <v>141.92400000000001</v>
      </c>
      <c r="F520">
        <v>3501716</v>
      </c>
      <c r="G520" t="s">
        <v>1834</v>
      </c>
      <c r="H520" t="s">
        <v>6071</v>
      </c>
      <c r="I520">
        <v>352</v>
      </c>
      <c r="J520">
        <v>41.28</v>
      </c>
      <c r="K520">
        <v>0</v>
      </c>
      <c r="L520">
        <v>2.6</v>
      </c>
      <c r="M520">
        <v>6</v>
      </c>
      <c r="N520" t="s">
        <v>33</v>
      </c>
      <c r="O520" t="s">
        <v>6189</v>
      </c>
    </row>
    <row r="521" spans="1:15" x14ac:dyDescent="0.25">
      <c r="A521" t="s">
        <v>5966</v>
      </c>
      <c r="B521" t="s">
        <v>37</v>
      </c>
      <c r="C521" t="s">
        <v>392</v>
      </c>
      <c r="D521">
        <v>13</v>
      </c>
      <c r="E521">
        <v>80.234999999999999</v>
      </c>
      <c r="F521">
        <v>3501716</v>
      </c>
      <c r="G521" t="s">
        <v>1834</v>
      </c>
      <c r="H521" t="s">
        <v>6071</v>
      </c>
      <c r="I521">
        <v>199</v>
      </c>
      <c r="J521">
        <v>41.28</v>
      </c>
      <c r="K521">
        <v>0</v>
      </c>
      <c r="L521">
        <v>2.6</v>
      </c>
      <c r="M521">
        <v>6</v>
      </c>
      <c r="N521" t="s">
        <v>33</v>
      </c>
      <c r="O521" t="s">
        <v>6189</v>
      </c>
    </row>
    <row r="522" spans="1:15" x14ac:dyDescent="0.25">
      <c r="A522" t="s">
        <v>5966</v>
      </c>
      <c r="B522" t="s">
        <v>37</v>
      </c>
      <c r="C522" t="s">
        <v>392</v>
      </c>
      <c r="D522">
        <v>6</v>
      </c>
      <c r="E522">
        <v>36.085999999999999</v>
      </c>
      <c r="F522">
        <v>3501716</v>
      </c>
      <c r="G522" t="s">
        <v>1834</v>
      </c>
      <c r="H522" t="s">
        <v>6071</v>
      </c>
      <c r="I522">
        <v>89.5</v>
      </c>
      <c r="J522">
        <v>41.28</v>
      </c>
      <c r="K522">
        <v>0</v>
      </c>
      <c r="L522">
        <v>2.6</v>
      </c>
      <c r="M522">
        <v>6</v>
      </c>
      <c r="N522" t="s">
        <v>33</v>
      </c>
      <c r="O522" t="s">
        <v>6189</v>
      </c>
    </row>
    <row r="523" spans="1:15" x14ac:dyDescent="0.25">
      <c r="A523" t="s">
        <v>5966</v>
      </c>
      <c r="B523" t="s">
        <v>37</v>
      </c>
      <c r="C523" t="s">
        <v>392</v>
      </c>
      <c r="D523">
        <v>150</v>
      </c>
      <c r="E523">
        <v>929.68</v>
      </c>
      <c r="F523">
        <v>3775569</v>
      </c>
      <c r="G523" t="s">
        <v>1834</v>
      </c>
      <c r="H523" t="s">
        <v>595</v>
      </c>
      <c r="I523">
        <v>1174</v>
      </c>
      <c r="J523">
        <v>19</v>
      </c>
      <c r="K523">
        <v>12.5</v>
      </c>
      <c r="L523">
        <v>3.25</v>
      </c>
      <c r="M523">
        <v>6.2</v>
      </c>
      <c r="N523" t="s">
        <v>33</v>
      </c>
    </row>
    <row r="524" spans="1:15" x14ac:dyDescent="0.25">
      <c r="A524" t="s">
        <v>5966</v>
      </c>
      <c r="B524" t="s">
        <v>37</v>
      </c>
      <c r="C524" t="s">
        <v>392</v>
      </c>
      <c r="D524">
        <v>34</v>
      </c>
      <c r="E524">
        <v>210.643</v>
      </c>
      <c r="F524">
        <v>3775569</v>
      </c>
      <c r="G524" t="s">
        <v>1834</v>
      </c>
      <c r="H524" t="s">
        <v>595</v>
      </c>
      <c r="I524">
        <v>266</v>
      </c>
      <c r="J524">
        <v>19</v>
      </c>
      <c r="K524">
        <v>12.5</v>
      </c>
      <c r="L524">
        <v>3.25</v>
      </c>
      <c r="M524">
        <v>6.2</v>
      </c>
      <c r="N524" t="s">
        <v>33</v>
      </c>
    </row>
    <row r="525" spans="1:15" x14ac:dyDescent="0.25">
      <c r="A525" t="s">
        <v>5966</v>
      </c>
      <c r="B525" t="s">
        <v>37</v>
      </c>
      <c r="C525" t="s">
        <v>392</v>
      </c>
      <c r="D525">
        <v>104</v>
      </c>
      <c r="E525">
        <v>623.798</v>
      </c>
      <c r="F525">
        <v>3702875</v>
      </c>
      <c r="G525" t="s">
        <v>1834</v>
      </c>
      <c r="H525" t="s">
        <v>2007</v>
      </c>
      <c r="I525">
        <v>1751</v>
      </c>
      <c r="J525">
        <v>60.3</v>
      </c>
      <c r="K525">
        <v>0</v>
      </c>
      <c r="L525">
        <v>2</v>
      </c>
      <c r="M525">
        <v>6</v>
      </c>
      <c r="N525" t="s">
        <v>33</v>
      </c>
      <c r="O525" t="s">
        <v>6208</v>
      </c>
    </row>
    <row r="526" spans="1:15" x14ac:dyDescent="0.25">
      <c r="A526" t="s">
        <v>5966</v>
      </c>
      <c r="B526" t="s">
        <v>37</v>
      </c>
      <c r="C526" t="s">
        <v>392</v>
      </c>
      <c r="D526">
        <v>108</v>
      </c>
      <c r="E526">
        <v>648.37900000000002</v>
      </c>
      <c r="F526">
        <v>3702875</v>
      </c>
      <c r="G526" t="s">
        <v>1834</v>
      </c>
      <c r="H526" t="s">
        <v>2007</v>
      </c>
      <c r="I526">
        <v>1820</v>
      </c>
      <c r="J526">
        <v>60.3</v>
      </c>
      <c r="K526">
        <v>0</v>
      </c>
      <c r="L526">
        <v>2</v>
      </c>
      <c r="M526">
        <v>6</v>
      </c>
      <c r="N526" t="s">
        <v>33</v>
      </c>
      <c r="O526" t="s">
        <v>6208</v>
      </c>
    </row>
    <row r="527" spans="1:15" x14ac:dyDescent="0.25">
      <c r="A527" t="s">
        <v>5966</v>
      </c>
      <c r="B527" t="s">
        <v>37</v>
      </c>
      <c r="C527" t="s">
        <v>392</v>
      </c>
      <c r="D527">
        <v>132</v>
      </c>
      <c r="E527">
        <v>792.66099999999994</v>
      </c>
      <c r="F527">
        <v>3702875</v>
      </c>
      <c r="G527" t="s">
        <v>1834</v>
      </c>
      <c r="H527" t="s">
        <v>2007</v>
      </c>
      <c r="I527">
        <v>2225</v>
      </c>
      <c r="J527">
        <v>60.3</v>
      </c>
      <c r="K527">
        <v>0</v>
      </c>
      <c r="L527">
        <v>2</v>
      </c>
      <c r="M527">
        <v>6</v>
      </c>
      <c r="N527" t="s">
        <v>33</v>
      </c>
      <c r="O527" t="s">
        <v>6208</v>
      </c>
    </row>
    <row r="528" spans="1:15" x14ac:dyDescent="0.25">
      <c r="A528" t="s">
        <v>5966</v>
      </c>
      <c r="B528" t="s">
        <v>37</v>
      </c>
      <c r="C528" t="s">
        <v>392</v>
      </c>
      <c r="D528">
        <v>159</v>
      </c>
      <c r="E528">
        <v>955.46799999999996</v>
      </c>
      <c r="F528">
        <v>3702875</v>
      </c>
      <c r="G528" t="s">
        <v>1834</v>
      </c>
      <c r="H528" t="s">
        <v>2007</v>
      </c>
      <c r="I528">
        <v>2682</v>
      </c>
      <c r="J528">
        <v>60.3</v>
      </c>
      <c r="K528">
        <v>0</v>
      </c>
      <c r="L528">
        <v>2</v>
      </c>
      <c r="M528">
        <v>6</v>
      </c>
      <c r="N528" t="s">
        <v>33</v>
      </c>
      <c r="O528" t="s">
        <v>6208</v>
      </c>
    </row>
    <row r="529" spans="1:15" x14ac:dyDescent="0.25">
      <c r="A529" t="s">
        <v>5966</v>
      </c>
      <c r="B529" t="s">
        <v>37</v>
      </c>
      <c r="C529" t="s">
        <v>392</v>
      </c>
      <c r="D529">
        <v>101</v>
      </c>
      <c r="E529">
        <v>608.12300000000005</v>
      </c>
      <c r="F529">
        <v>3702875</v>
      </c>
      <c r="G529" t="s">
        <v>1834</v>
      </c>
      <c r="H529" t="s">
        <v>2007</v>
      </c>
      <c r="I529">
        <v>1707</v>
      </c>
      <c r="J529">
        <v>60.3</v>
      </c>
      <c r="K529">
        <v>0</v>
      </c>
      <c r="L529">
        <v>2</v>
      </c>
      <c r="M529">
        <v>6</v>
      </c>
      <c r="N529" t="s">
        <v>33</v>
      </c>
      <c r="O529" t="s">
        <v>6208</v>
      </c>
    </row>
    <row r="530" spans="1:15" x14ac:dyDescent="0.25">
      <c r="A530" t="s">
        <v>5966</v>
      </c>
      <c r="B530" t="s">
        <v>37</v>
      </c>
      <c r="C530" t="s">
        <v>392</v>
      </c>
      <c r="D530">
        <v>112</v>
      </c>
      <c r="E530">
        <v>669.75400000000002</v>
      </c>
      <c r="F530">
        <v>3702875</v>
      </c>
      <c r="G530" t="s">
        <v>1834</v>
      </c>
      <c r="H530" t="s">
        <v>2007</v>
      </c>
      <c r="I530">
        <v>1880</v>
      </c>
      <c r="J530">
        <v>60.3</v>
      </c>
      <c r="K530">
        <v>0</v>
      </c>
      <c r="L530">
        <v>2</v>
      </c>
      <c r="M530">
        <v>6</v>
      </c>
      <c r="N530" t="s">
        <v>33</v>
      </c>
      <c r="O530" t="s">
        <v>6208</v>
      </c>
    </row>
    <row r="531" spans="1:15" x14ac:dyDescent="0.25">
      <c r="A531" t="s">
        <v>5966</v>
      </c>
      <c r="B531" t="s">
        <v>37</v>
      </c>
      <c r="C531" t="s">
        <v>392</v>
      </c>
      <c r="D531">
        <v>29</v>
      </c>
      <c r="E531">
        <v>172.78200000000001</v>
      </c>
      <c r="F531">
        <v>3702875</v>
      </c>
      <c r="G531" t="s">
        <v>1834</v>
      </c>
      <c r="H531" t="s">
        <v>2007</v>
      </c>
      <c r="I531">
        <v>485</v>
      </c>
      <c r="J531">
        <v>60.3</v>
      </c>
      <c r="K531">
        <v>0</v>
      </c>
      <c r="L531">
        <v>2</v>
      </c>
      <c r="M531">
        <v>6</v>
      </c>
      <c r="N531" t="s">
        <v>33</v>
      </c>
      <c r="O531" t="s">
        <v>6208</v>
      </c>
    </row>
    <row r="532" spans="1:15" x14ac:dyDescent="0.25">
      <c r="A532" t="s">
        <v>5966</v>
      </c>
      <c r="B532" t="s">
        <v>37</v>
      </c>
      <c r="C532" t="s">
        <v>392</v>
      </c>
      <c r="D532">
        <v>41</v>
      </c>
      <c r="E532">
        <v>243.447</v>
      </c>
      <c r="F532">
        <v>3702875</v>
      </c>
      <c r="G532" t="s">
        <v>1834</v>
      </c>
      <c r="H532" t="s">
        <v>2007</v>
      </c>
      <c r="I532">
        <v>683.35699999999997</v>
      </c>
      <c r="J532">
        <v>60.3</v>
      </c>
      <c r="K532">
        <v>0</v>
      </c>
      <c r="L532">
        <v>2</v>
      </c>
      <c r="M532">
        <v>6</v>
      </c>
      <c r="N532" t="s">
        <v>33</v>
      </c>
      <c r="O532" t="s">
        <v>6208</v>
      </c>
    </row>
    <row r="533" spans="1:15" x14ac:dyDescent="0.25">
      <c r="A533" t="s">
        <v>5966</v>
      </c>
      <c r="B533" t="s">
        <v>37</v>
      </c>
      <c r="C533" t="s">
        <v>392</v>
      </c>
      <c r="D533">
        <v>4</v>
      </c>
      <c r="E533">
        <v>25.436</v>
      </c>
      <c r="F533">
        <v>3702875</v>
      </c>
      <c r="G533" t="s">
        <v>1834</v>
      </c>
      <c r="H533" t="s">
        <v>2007</v>
      </c>
      <c r="I533">
        <v>71.400000000000006</v>
      </c>
      <c r="J533">
        <v>60.3</v>
      </c>
      <c r="K533">
        <v>0</v>
      </c>
      <c r="L533">
        <v>2</v>
      </c>
      <c r="M533">
        <v>6</v>
      </c>
      <c r="N533" t="s">
        <v>33</v>
      </c>
      <c r="O533" t="s">
        <v>6208</v>
      </c>
    </row>
    <row r="534" spans="1:15" x14ac:dyDescent="0.25">
      <c r="A534" t="s">
        <v>5966</v>
      </c>
      <c r="B534" t="s">
        <v>37</v>
      </c>
      <c r="C534" t="s">
        <v>392</v>
      </c>
      <c r="D534">
        <v>6</v>
      </c>
      <c r="E534">
        <v>35.020000000000003</v>
      </c>
      <c r="F534">
        <v>3702875</v>
      </c>
      <c r="G534" t="s">
        <v>1834</v>
      </c>
      <c r="H534" t="s">
        <v>2007</v>
      </c>
      <c r="I534">
        <v>98.3</v>
      </c>
      <c r="J534">
        <v>60.3</v>
      </c>
      <c r="K534">
        <v>0</v>
      </c>
      <c r="L534">
        <v>2</v>
      </c>
      <c r="M534">
        <v>6</v>
      </c>
      <c r="N534" t="s">
        <v>33</v>
      </c>
      <c r="O534" t="s">
        <v>6208</v>
      </c>
    </row>
    <row r="535" spans="1:15" x14ac:dyDescent="0.25">
      <c r="A535" t="s">
        <v>5966</v>
      </c>
      <c r="B535" t="s">
        <v>37</v>
      </c>
      <c r="C535" t="s">
        <v>392</v>
      </c>
      <c r="D535">
        <v>71</v>
      </c>
      <c r="E535">
        <v>427.50299999999999</v>
      </c>
      <c r="F535">
        <v>3702875</v>
      </c>
      <c r="G535" t="s">
        <v>1834</v>
      </c>
      <c r="H535" t="s">
        <v>2007</v>
      </c>
      <c r="I535">
        <v>1200</v>
      </c>
      <c r="J535">
        <v>60.3</v>
      </c>
      <c r="K535">
        <v>0</v>
      </c>
      <c r="L535">
        <v>2</v>
      </c>
      <c r="M535">
        <v>6</v>
      </c>
      <c r="N535" t="s">
        <v>33</v>
      </c>
      <c r="O535" t="s">
        <v>6208</v>
      </c>
    </row>
    <row r="536" spans="1:15" x14ac:dyDescent="0.25">
      <c r="A536" t="s">
        <v>5966</v>
      </c>
      <c r="B536" t="s">
        <v>37</v>
      </c>
      <c r="C536" t="s">
        <v>392</v>
      </c>
      <c r="D536">
        <v>5</v>
      </c>
      <c r="E536">
        <v>27.411000000000001</v>
      </c>
      <c r="F536">
        <v>3702875</v>
      </c>
      <c r="G536" t="s">
        <v>1834</v>
      </c>
      <c r="H536" t="s">
        <v>2007</v>
      </c>
      <c r="I536">
        <v>76.942999999999998</v>
      </c>
      <c r="J536">
        <v>60.3</v>
      </c>
      <c r="K536">
        <v>0</v>
      </c>
      <c r="L536">
        <v>2</v>
      </c>
      <c r="M536">
        <v>6</v>
      </c>
      <c r="N536" t="s">
        <v>33</v>
      </c>
      <c r="O536" t="s">
        <v>6208</v>
      </c>
    </row>
    <row r="537" spans="1:15" x14ac:dyDescent="0.25">
      <c r="A537" t="s">
        <v>5966</v>
      </c>
      <c r="B537" t="s">
        <v>37</v>
      </c>
      <c r="C537" t="s">
        <v>392</v>
      </c>
      <c r="D537">
        <v>216</v>
      </c>
      <c r="E537">
        <v>1337.0640000000001</v>
      </c>
      <c r="F537">
        <v>3502254</v>
      </c>
      <c r="G537" t="s">
        <v>1834</v>
      </c>
      <c r="H537" t="s">
        <v>858</v>
      </c>
      <c r="I537">
        <v>1925.64</v>
      </c>
      <c r="J537">
        <v>38.1</v>
      </c>
      <c r="K537">
        <v>0</v>
      </c>
      <c r="L537">
        <v>1.6</v>
      </c>
      <c r="M537">
        <v>6.19</v>
      </c>
      <c r="N537" t="s">
        <v>33</v>
      </c>
      <c r="O537" t="s">
        <v>6186</v>
      </c>
    </row>
    <row r="538" spans="1:15" x14ac:dyDescent="0.25">
      <c r="A538" t="s">
        <v>5966</v>
      </c>
      <c r="B538" t="s">
        <v>37</v>
      </c>
      <c r="C538" t="s">
        <v>392</v>
      </c>
      <c r="D538">
        <v>217</v>
      </c>
      <c r="E538">
        <v>1343.2539999999999</v>
      </c>
      <c r="F538">
        <v>3502254</v>
      </c>
      <c r="G538" t="s">
        <v>1834</v>
      </c>
      <c r="H538" t="s">
        <v>858</v>
      </c>
      <c r="I538">
        <v>1934.5550000000001</v>
      </c>
      <c r="J538">
        <v>38.1</v>
      </c>
      <c r="K538">
        <v>0</v>
      </c>
      <c r="L538">
        <v>1.6</v>
      </c>
      <c r="M538">
        <v>6.19</v>
      </c>
      <c r="N538" t="s">
        <v>33</v>
      </c>
      <c r="O538" t="s">
        <v>6186</v>
      </c>
    </row>
    <row r="539" spans="1:15" x14ac:dyDescent="0.25">
      <c r="A539" t="s">
        <v>5966</v>
      </c>
      <c r="B539" t="s">
        <v>37</v>
      </c>
      <c r="C539" t="s">
        <v>392</v>
      </c>
      <c r="D539">
        <v>214</v>
      </c>
      <c r="E539">
        <v>1324.684</v>
      </c>
      <c r="F539">
        <v>3502254</v>
      </c>
      <c r="G539" t="s">
        <v>1834</v>
      </c>
      <c r="H539" t="s">
        <v>858</v>
      </c>
      <c r="I539">
        <v>1907.81</v>
      </c>
      <c r="J539">
        <v>38.1</v>
      </c>
      <c r="K539">
        <v>0</v>
      </c>
      <c r="L539">
        <v>1.6</v>
      </c>
      <c r="M539">
        <v>6.19</v>
      </c>
      <c r="N539" t="s">
        <v>33</v>
      </c>
      <c r="O539" t="s">
        <v>6186</v>
      </c>
    </row>
    <row r="540" spans="1:15" x14ac:dyDescent="0.25">
      <c r="A540" t="s">
        <v>5966</v>
      </c>
      <c r="B540" t="s">
        <v>37</v>
      </c>
      <c r="C540" t="s">
        <v>392</v>
      </c>
      <c r="D540">
        <v>216</v>
      </c>
      <c r="E540">
        <v>1337.0640000000001</v>
      </c>
      <c r="F540">
        <v>3502254</v>
      </c>
      <c r="G540" t="s">
        <v>1834</v>
      </c>
      <c r="H540" t="s">
        <v>858</v>
      </c>
      <c r="I540">
        <v>1925.64</v>
      </c>
      <c r="J540">
        <v>38.1</v>
      </c>
      <c r="K540">
        <v>0</v>
      </c>
      <c r="L540">
        <v>1.6</v>
      </c>
      <c r="M540">
        <v>6.19</v>
      </c>
      <c r="N540" t="s">
        <v>33</v>
      </c>
      <c r="O540" t="s">
        <v>6186</v>
      </c>
    </row>
    <row r="541" spans="1:15" x14ac:dyDescent="0.25">
      <c r="A541" t="s">
        <v>5966</v>
      </c>
      <c r="B541" t="s">
        <v>37</v>
      </c>
      <c r="C541" t="s">
        <v>392</v>
      </c>
      <c r="D541">
        <v>217</v>
      </c>
      <c r="E541">
        <v>1343.2539999999999</v>
      </c>
      <c r="F541">
        <v>3502254</v>
      </c>
      <c r="G541" t="s">
        <v>1834</v>
      </c>
      <c r="H541" t="s">
        <v>858</v>
      </c>
      <c r="I541">
        <v>1934.5550000000001</v>
      </c>
      <c r="J541">
        <v>38.1</v>
      </c>
      <c r="K541">
        <v>0</v>
      </c>
      <c r="L541">
        <v>1.6</v>
      </c>
      <c r="M541">
        <v>6.19</v>
      </c>
      <c r="N541" t="s">
        <v>33</v>
      </c>
      <c r="O541" t="s">
        <v>6186</v>
      </c>
    </row>
    <row r="542" spans="1:15" x14ac:dyDescent="0.25">
      <c r="A542" t="s">
        <v>5966</v>
      </c>
      <c r="B542" t="s">
        <v>37</v>
      </c>
      <c r="C542" t="s">
        <v>392</v>
      </c>
      <c r="D542">
        <v>216</v>
      </c>
      <c r="E542">
        <v>1337.0640000000001</v>
      </c>
      <c r="F542">
        <v>3502254</v>
      </c>
      <c r="G542" t="s">
        <v>1834</v>
      </c>
      <c r="H542" t="s">
        <v>858</v>
      </c>
      <c r="I542">
        <v>1925.64</v>
      </c>
      <c r="J542">
        <v>38.1</v>
      </c>
      <c r="K542">
        <v>0</v>
      </c>
      <c r="L542">
        <v>1.6</v>
      </c>
      <c r="M542">
        <v>6.19</v>
      </c>
      <c r="N542" t="s">
        <v>33</v>
      </c>
      <c r="O542" t="s">
        <v>6186</v>
      </c>
    </row>
    <row r="543" spans="1:15" x14ac:dyDescent="0.25">
      <c r="A543" t="s">
        <v>5966</v>
      </c>
      <c r="B543" t="s">
        <v>37</v>
      </c>
      <c r="C543" t="s">
        <v>392</v>
      </c>
      <c r="D543">
        <v>216</v>
      </c>
      <c r="E543">
        <v>1337.0640000000001</v>
      </c>
      <c r="F543">
        <v>3502254</v>
      </c>
      <c r="G543" t="s">
        <v>1834</v>
      </c>
      <c r="H543" t="s">
        <v>858</v>
      </c>
      <c r="I543">
        <v>1925.64</v>
      </c>
      <c r="J543">
        <v>38.1</v>
      </c>
      <c r="K543">
        <v>0</v>
      </c>
      <c r="L543">
        <v>1.6</v>
      </c>
      <c r="M543">
        <v>6.19</v>
      </c>
      <c r="N543" t="s">
        <v>33</v>
      </c>
      <c r="O543" t="s">
        <v>6186</v>
      </c>
    </row>
    <row r="544" spans="1:15" x14ac:dyDescent="0.25">
      <c r="A544" t="s">
        <v>5966</v>
      </c>
      <c r="B544" t="s">
        <v>37</v>
      </c>
      <c r="C544" t="s">
        <v>392</v>
      </c>
      <c r="D544">
        <v>7</v>
      </c>
      <c r="E544">
        <v>42.021999999999998</v>
      </c>
      <c r="F544">
        <v>3502254</v>
      </c>
      <c r="G544" t="s">
        <v>1834</v>
      </c>
      <c r="H544" t="s">
        <v>858</v>
      </c>
      <c r="I544">
        <v>60.52</v>
      </c>
      <c r="J544">
        <v>38.1</v>
      </c>
      <c r="K544">
        <v>0</v>
      </c>
      <c r="L544">
        <v>1.6</v>
      </c>
      <c r="M544">
        <v>6.19</v>
      </c>
      <c r="N544" t="s">
        <v>33</v>
      </c>
      <c r="O544" t="s">
        <v>6186</v>
      </c>
    </row>
    <row r="545" spans="1:15" x14ac:dyDescent="0.25">
      <c r="A545" t="s">
        <v>5966</v>
      </c>
      <c r="B545" t="s">
        <v>37</v>
      </c>
      <c r="C545" t="s">
        <v>392</v>
      </c>
      <c r="D545">
        <v>217</v>
      </c>
      <c r="E545">
        <v>1343.2539999999999</v>
      </c>
      <c r="F545">
        <v>3502254</v>
      </c>
      <c r="G545" t="s">
        <v>1834</v>
      </c>
      <c r="H545" t="s">
        <v>858</v>
      </c>
      <c r="I545">
        <v>1934.5550000000001</v>
      </c>
      <c r="J545">
        <v>38.1</v>
      </c>
      <c r="K545">
        <v>0</v>
      </c>
      <c r="L545">
        <v>1.6</v>
      </c>
      <c r="M545">
        <v>6.19</v>
      </c>
      <c r="N545" t="s">
        <v>33</v>
      </c>
      <c r="O545" t="s">
        <v>6186</v>
      </c>
    </row>
    <row r="546" spans="1:15" x14ac:dyDescent="0.25">
      <c r="A546" t="s">
        <v>5966</v>
      </c>
      <c r="B546" t="s">
        <v>37</v>
      </c>
      <c r="C546" t="s">
        <v>392</v>
      </c>
      <c r="D546">
        <v>5</v>
      </c>
      <c r="E546">
        <v>31.555</v>
      </c>
      <c r="F546">
        <v>3502254</v>
      </c>
      <c r="G546" t="s">
        <v>1834</v>
      </c>
      <c r="H546" t="s">
        <v>858</v>
      </c>
      <c r="I546">
        <v>45.445</v>
      </c>
      <c r="J546">
        <v>38.1</v>
      </c>
      <c r="K546">
        <v>0</v>
      </c>
      <c r="L546">
        <v>1.6</v>
      </c>
      <c r="M546">
        <v>6.19</v>
      </c>
      <c r="N546" t="s">
        <v>33</v>
      </c>
      <c r="O546" t="s">
        <v>6186</v>
      </c>
    </row>
    <row r="547" spans="1:15" x14ac:dyDescent="0.25">
      <c r="A547" t="s">
        <v>5966</v>
      </c>
      <c r="B547" t="s">
        <v>37</v>
      </c>
      <c r="C547" t="s">
        <v>392</v>
      </c>
      <c r="D547">
        <v>127</v>
      </c>
      <c r="E547">
        <v>730.255</v>
      </c>
      <c r="F547">
        <v>3501047</v>
      </c>
      <c r="G547" t="s">
        <v>1834</v>
      </c>
      <c r="H547" t="s">
        <v>2371</v>
      </c>
      <c r="I547">
        <v>2366.3910000000001</v>
      </c>
      <c r="J547">
        <v>57.15</v>
      </c>
      <c r="K547">
        <v>0</v>
      </c>
      <c r="L547">
        <v>2.5</v>
      </c>
      <c r="M547">
        <v>5.75</v>
      </c>
      <c r="N547" t="s">
        <v>33</v>
      </c>
      <c r="O547" t="s">
        <v>6207</v>
      </c>
    </row>
    <row r="548" spans="1:15" x14ac:dyDescent="0.25">
      <c r="A548" t="s">
        <v>5966</v>
      </c>
      <c r="B548" t="s">
        <v>37</v>
      </c>
      <c r="C548" t="s">
        <v>392</v>
      </c>
      <c r="D548">
        <v>127</v>
      </c>
      <c r="E548">
        <v>730.255</v>
      </c>
      <c r="F548">
        <v>3501047</v>
      </c>
      <c r="G548" t="s">
        <v>1834</v>
      </c>
      <c r="H548" t="s">
        <v>2371</v>
      </c>
      <c r="I548">
        <v>2366.3910000000001</v>
      </c>
      <c r="J548">
        <v>57.15</v>
      </c>
      <c r="K548">
        <v>0</v>
      </c>
      <c r="L548">
        <v>2.5</v>
      </c>
      <c r="M548">
        <v>5.75</v>
      </c>
      <c r="N548" t="s">
        <v>33</v>
      </c>
      <c r="O548" t="s">
        <v>6207</v>
      </c>
    </row>
    <row r="549" spans="1:15" x14ac:dyDescent="0.25">
      <c r="A549" t="s">
        <v>5966</v>
      </c>
      <c r="B549" t="s">
        <v>37</v>
      </c>
      <c r="C549" t="s">
        <v>392</v>
      </c>
      <c r="D549">
        <v>126</v>
      </c>
      <c r="E549">
        <v>724.505</v>
      </c>
      <c r="F549">
        <v>3501047</v>
      </c>
      <c r="G549" t="s">
        <v>1834</v>
      </c>
      <c r="H549" t="s">
        <v>2371</v>
      </c>
      <c r="I549">
        <v>2347.7579999999998</v>
      </c>
      <c r="J549">
        <v>57.15</v>
      </c>
      <c r="K549">
        <v>0</v>
      </c>
      <c r="L549">
        <v>2.5</v>
      </c>
      <c r="M549">
        <v>5.75</v>
      </c>
      <c r="N549" t="s">
        <v>33</v>
      </c>
      <c r="O549" t="s">
        <v>6207</v>
      </c>
    </row>
    <row r="550" spans="1:15" x14ac:dyDescent="0.25">
      <c r="A550" t="s">
        <v>5966</v>
      </c>
      <c r="B550" t="s">
        <v>37</v>
      </c>
      <c r="C550" t="s">
        <v>392</v>
      </c>
      <c r="D550">
        <v>127</v>
      </c>
      <c r="E550">
        <v>730.255</v>
      </c>
      <c r="F550">
        <v>3501047</v>
      </c>
      <c r="G550" t="s">
        <v>1834</v>
      </c>
      <c r="H550" t="s">
        <v>2371</v>
      </c>
      <c r="I550">
        <v>2366.3910000000001</v>
      </c>
      <c r="J550">
        <v>57.15</v>
      </c>
      <c r="K550">
        <v>0</v>
      </c>
      <c r="L550">
        <v>2.5</v>
      </c>
      <c r="M550">
        <v>5.75</v>
      </c>
      <c r="N550" t="s">
        <v>33</v>
      </c>
      <c r="O550" t="s">
        <v>6207</v>
      </c>
    </row>
    <row r="551" spans="1:15" x14ac:dyDescent="0.25">
      <c r="A551" t="s">
        <v>5966</v>
      </c>
      <c r="B551" t="s">
        <v>37</v>
      </c>
      <c r="C551" t="s">
        <v>392</v>
      </c>
      <c r="D551">
        <v>127</v>
      </c>
      <c r="E551">
        <v>730.255</v>
      </c>
      <c r="F551">
        <v>3501047</v>
      </c>
      <c r="G551" t="s">
        <v>1834</v>
      </c>
      <c r="H551" t="s">
        <v>2371</v>
      </c>
      <c r="I551">
        <v>2366.3910000000001</v>
      </c>
      <c r="J551">
        <v>57.15</v>
      </c>
      <c r="K551">
        <v>0</v>
      </c>
      <c r="L551">
        <v>2.5</v>
      </c>
      <c r="M551">
        <v>5.75</v>
      </c>
      <c r="N551" t="s">
        <v>33</v>
      </c>
      <c r="O551" t="s">
        <v>6207</v>
      </c>
    </row>
    <row r="552" spans="1:15" x14ac:dyDescent="0.25">
      <c r="A552" t="s">
        <v>5966</v>
      </c>
      <c r="B552" t="s">
        <v>37</v>
      </c>
      <c r="C552" t="s">
        <v>392</v>
      </c>
      <c r="D552">
        <v>127</v>
      </c>
      <c r="E552">
        <v>730.255</v>
      </c>
      <c r="F552">
        <v>3501047</v>
      </c>
      <c r="G552" t="s">
        <v>1834</v>
      </c>
      <c r="H552" t="s">
        <v>2371</v>
      </c>
      <c r="I552">
        <v>2366.3910000000001</v>
      </c>
      <c r="J552">
        <v>57.15</v>
      </c>
      <c r="K552">
        <v>0</v>
      </c>
      <c r="L552">
        <v>2.5</v>
      </c>
      <c r="M552">
        <v>5.75</v>
      </c>
      <c r="N552" t="s">
        <v>33</v>
      </c>
      <c r="O552" t="s">
        <v>6207</v>
      </c>
    </row>
    <row r="553" spans="1:15" x14ac:dyDescent="0.25">
      <c r="A553" t="s">
        <v>5966</v>
      </c>
      <c r="B553" t="s">
        <v>37</v>
      </c>
      <c r="C553" t="s">
        <v>392</v>
      </c>
      <c r="D553">
        <v>1</v>
      </c>
      <c r="E553">
        <v>3.1749999999999998</v>
      </c>
      <c r="F553">
        <v>3501047</v>
      </c>
      <c r="G553" t="s">
        <v>1834</v>
      </c>
      <c r="H553" t="s">
        <v>2371</v>
      </c>
      <c r="I553">
        <v>10.287000000000001</v>
      </c>
      <c r="J553">
        <v>57.15</v>
      </c>
      <c r="K553">
        <v>0</v>
      </c>
      <c r="L553">
        <v>2.5</v>
      </c>
      <c r="M553">
        <v>5.75</v>
      </c>
      <c r="N553" t="s">
        <v>33</v>
      </c>
      <c r="O553" t="s">
        <v>6207</v>
      </c>
    </row>
    <row r="554" spans="1:15" x14ac:dyDescent="0.25">
      <c r="A554" t="s">
        <v>5966</v>
      </c>
      <c r="B554" t="s">
        <v>37</v>
      </c>
      <c r="C554" t="s">
        <v>392</v>
      </c>
      <c r="D554">
        <v>83</v>
      </c>
      <c r="E554">
        <v>478.32100000000003</v>
      </c>
      <c r="F554">
        <v>3501047</v>
      </c>
      <c r="G554" t="s">
        <v>1834</v>
      </c>
      <c r="H554" t="s">
        <v>2371</v>
      </c>
      <c r="I554">
        <v>1550</v>
      </c>
      <c r="J554">
        <v>57.15</v>
      </c>
      <c r="K554">
        <v>0</v>
      </c>
      <c r="L554">
        <v>2.5</v>
      </c>
      <c r="M554">
        <v>5.75</v>
      </c>
      <c r="N554" t="s">
        <v>33</v>
      </c>
      <c r="O554" t="s">
        <v>6207</v>
      </c>
    </row>
    <row r="555" spans="1:15" x14ac:dyDescent="0.25">
      <c r="A555" t="s">
        <v>5968</v>
      </c>
      <c r="B555" t="s">
        <v>32</v>
      </c>
      <c r="C555" t="s">
        <v>392</v>
      </c>
      <c r="D555">
        <v>161</v>
      </c>
      <c r="E555">
        <v>917.68</v>
      </c>
      <c r="F555">
        <v>3545558</v>
      </c>
      <c r="G555" t="s">
        <v>1834</v>
      </c>
      <c r="H555" t="s">
        <v>2378</v>
      </c>
      <c r="I555">
        <v>1314.4849999999999</v>
      </c>
      <c r="J555">
        <v>45</v>
      </c>
      <c r="K555">
        <v>0</v>
      </c>
      <c r="L555">
        <v>1.4</v>
      </c>
      <c r="M555">
        <v>5.7</v>
      </c>
      <c r="N555" t="s">
        <v>33</v>
      </c>
      <c r="O555" t="s">
        <v>6197</v>
      </c>
    </row>
    <row r="556" spans="1:15" x14ac:dyDescent="0.25">
      <c r="A556" t="s">
        <v>5968</v>
      </c>
      <c r="B556" t="s">
        <v>32</v>
      </c>
      <c r="C556" t="s">
        <v>392</v>
      </c>
      <c r="D556">
        <v>136</v>
      </c>
      <c r="E556">
        <v>775.18299999999999</v>
      </c>
      <c r="F556">
        <v>3545558</v>
      </c>
      <c r="G556" t="s">
        <v>1834</v>
      </c>
      <c r="H556" t="s">
        <v>2378</v>
      </c>
      <c r="I556">
        <v>1110.3720000000001</v>
      </c>
      <c r="J556">
        <v>45</v>
      </c>
      <c r="K556">
        <v>0</v>
      </c>
      <c r="L556">
        <v>1.4</v>
      </c>
      <c r="M556">
        <v>5.7</v>
      </c>
      <c r="N556" t="s">
        <v>33</v>
      </c>
      <c r="O556" t="s">
        <v>6197</v>
      </c>
    </row>
    <row r="557" spans="1:15" x14ac:dyDescent="0.25">
      <c r="A557" t="s">
        <v>5968</v>
      </c>
      <c r="B557" t="s">
        <v>32</v>
      </c>
      <c r="C557" t="s">
        <v>392</v>
      </c>
      <c r="D557">
        <v>103</v>
      </c>
      <c r="E557">
        <v>586.803</v>
      </c>
      <c r="F557">
        <v>3545558</v>
      </c>
      <c r="G557" t="s">
        <v>1834</v>
      </c>
      <c r="H557" t="s">
        <v>2378</v>
      </c>
      <c r="I557">
        <v>840.53700000000003</v>
      </c>
      <c r="J557">
        <v>45</v>
      </c>
      <c r="K557">
        <v>0</v>
      </c>
      <c r="L557">
        <v>1.4</v>
      </c>
      <c r="M557">
        <v>5.7</v>
      </c>
      <c r="N557" t="s">
        <v>33</v>
      </c>
      <c r="O557" t="s">
        <v>6197</v>
      </c>
    </row>
    <row r="558" spans="1:15" x14ac:dyDescent="0.25">
      <c r="A558" t="s">
        <v>5968</v>
      </c>
      <c r="B558" t="s">
        <v>32</v>
      </c>
      <c r="C558" t="s">
        <v>392</v>
      </c>
      <c r="D558">
        <v>4</v>
      </c>
      <c r="E558">
        <v>24.158999999999999</v>
      </c>
      <c r="F558">
        <v>3545558</v>
      </c>
      <c r="G558" t="s">
        <v>1834</v>
      </c>
      <c r="H558" t="s">
        <v>2378</v>
      </c>
      <c r="I558">
        <v>34.606000000000002</v>
      </c>
      <c r="J558">
        <v>45</v>
      </c>
      <c r="K558">
        <v>0</v>
      </c>
      <c r="L558">
        <v>1.4</v>
      </c>
      <c r="M558">
        <v>5.7</v>
      </c>
      <c r="N558" t="s">
        <v>33</v>
      </c>
      <c r="O558" t="s">
        <v>6197</v>
      </c>
    </row>
    <row r="559" spans="1:15" x14ac:dyDescent="0.25">
      <c r="A559" t="s">
        <v>5968</v>
      </c>
      <c r="B559" t="s">
        <v>32</v>
      </c>
      <c r="C559" t="s">
        <v>392</v>
      </c>
      <c r="D559">
        <v>117</v>
      </c>
      <c r="E559">
        <v>709.72199999999998</v>
      </c>
      <c r="F559">
        <v>3701546</v>
      </c>
      <c r="G559" t="s">
        <v>1834</v>
      </c>
      <c r="H559" t="s">
        <v>6082</v>
      </c>
      <c r="I559">
        <v>1422</v>
      </c>
      <c r="J559">
        <v>28.58</v>
      </c>
      <c r="K559">
        <v>0</v>
      </c>
      <c r="L559">
        <v>3.25</v>
      </c>
      <c r="M559">
        <v>6.06</v>
      </c>
      <c r="N559" t="s">
        <v>33</v>
      </c>
    </row>
    <row r="560" spans="1:15" x14ac:dyDescent="0.25">
      <c r="A560" t="s">
        <v>5968</v>
      </c>
      <c r="B560" t="s">
        <v>32</v>
      </c>
      <c r="C560" t="s">
        <v>392</v>
      </c>
      <c r="D560">
        <v>113</v>
      </c>
      <c r="E560">
        <v>687.76199999999994</v>
      </c>
      <c r="F560">
        <v>3701546</v>
      </c>
      <c r="G560" t="s">
        <v>1834</v>
      </c>
      <c r="H560" t="s">
        <v>6082</v>
      </c>
      <c r="I560">
        <v>1378</v>
      </c>
      <c r="J560">
        <v>28.58</v>
      </c>
      <c r="K560">
        <v>0</v>
      </c>
      <c r="L560">
        <v>3.25</v>
      </c>
      <c r="M560">
        <v>6.06</v>
      </c>
      <c r="N560" t="s">
        <v>33</v>
      </c>
    </row>
    <row r="561" spans="1:14" x14ac:dyDescent="0.25">
      <c r="A561" t="s">
        <v>5999</v>
      </c>
      <c r="B561" t="s">
        <v>36</v>
      </c>
      <c r="C561" t="s">
        <v>392</v>
      </c>
      <c r="D561">
        <v>169</v>
      </c>
      <c r="E561">
        <v>999.76099999999997</v>
      </c>
      <c r="F561">
        <v>4072797</v>
      </c>
      <c r="G561" t="s">
        <v>1834</v>
      </c>
      <c r="H561" t="s">
        <v>2362</v>
      </c>
      <c r="I561">
        <v>1670</v>
      </c>
      <c r="J561">
        <v>31.75</v>
      </c>
      <c r="K561">
        <v>0</v>
      </c>
      <c r="L561">
        <v>2.2999999999999998</v>
      </c>
      <c r="M561">
        <v>5.92</v>
      </c>
      <c r="N561" t="s">
        <v>33</v>
      </c>
    </row>
    <row r="562" spans="1:14" x14ac:dyDescent="0.25">
      <c r="A562" t="s">
        <v>5966</v>
      </c>
      <c r="B562" t="s">
        <v>37</v>
      </c>
      <c r="C562" t="s">
        <v>392</v>
      </c>
      <c r="D562">
        <v>117</v>
      </c>
      <c r="E562">
        <v>702.29200000000003</v>
      </c>
      <c r="F562">
        <v>3597718</v>
      </c>
      <c r="G562" t="s">
        <v>1834</v>
      </c>
      <c r="H562" t="s">
        <v>2383</v>
      </c>
      <c r="I562">
        <v>1100</v>
      </c>
      <c r="J562">
        <v>40</v>
      </c>
      <c r="K562">
        <v>25</v>
      </c>
      <c r="L562">
        <v>1.6</v>
      </c>
      <c r="M562">
        <v>5.99</v>
      </c>
      <c r="N562" t="s">
        <v>33</v>
      </c>
    </row>
    <row r="563" spans="1:14" x14ac:dyDescent="0.25">
      <c r="A563" t="s">
        <v>5966</v>
      </c>
      <c r="B563" t="s">
        <v>37</v>
      </c>
      <c r="C563" t="s">
        <v>392</v>
      </c>
      <c r="D563">
        <v>42</v>
      </c>
      <c r="E563">
        <v>236.63</v>
      </c>
      <c r="F563">
        <v>3500240</v>
      </c>
      <c r="G563" t="s">
        <v>1834</v>
      </c>
      <c r="H563" t="s">
        <v>2358</v>
      </c>
      <c r="I563">
        <v>500</v>
      </c>
      <c r="J563">
        <v>38.1</v>
      </c>
      <c r="K563">
        <v>0</v>
      </c>
      <c r="L563">
        <v>2.5</v>
      </c>
      <c r="M563">
        <v>5.65</v>
      </c>
      <c r="N563" t="s">
        <v>33</v>
      </c>
    </row>
    <row r="564" spans="1:14" x14ac:dyDescent="0.25">
      <c r="A564" t="s">
        <v>5966</v>
      </c>
      <c r="B564" t="s">
        <v>37</v>
      </c>
      <c r="C564" t="s">
        <v>397</v>
      </c>
      <c r="D564">
        <v>5900</v>
      </c>
      <c r="E564">
        <v>2118.1109999999999</v>
      </c>
      <c r="F564">
        <v>3948187</v>
      </c>
      <c r="G564" t="s">
        <v>1835</v>
      </c>
      <c r="H564" t="s">
        <v>6080</v>
      </c>
      <c r="I564">
        <v>5855.0940000000001</v>
      </c>
      <c r="J564">
        <v>29.4</v>
      </c>
      <c r="K564">
        <v>0</v>
      </c>
      <c r="L564">
        <v>4.5</v>
      </c>
      <c r="M564">
        <v>0.35899999999999999</v>
      </c>
      <c r="N564" t="s">
        <v>33</v>
      </c>
    </row>
    <row r="565" spans="1:14" x14ac:dyDescent="0.25">
      <c r="A565" t="s">
        <v>5966</v>
      </c>
      <c r="B565" t="s">
        <v>37</v>
      </c>
      <c r="C565" t="s">
        <v>397</v>
      </c>
      <c r="D565">
        <v>6720</v>
      </c>
      <c r="E565">
        <v>4968.8010000000004</v>
      </c>
      <c r="F565">
        <v>1940458</v>
      </c>
      <c r="G565" t="s">
        <v>1835</v>
      </c>
      <c r="H565" t="s">
        <v>6081</v>
      </c>
      <c r="I565">
        <v>4959.3599999999997</v>
      </c>
      <c r="J565">
        <v>22.23</v>
      </c>
      <c r="K565">
        <v>0</v>
      </c>
      <c r="L565">
        <v>2</v>
      </c>
      <c r="M565">
        <v>0.73899999999999999</v>
      </c>
      <c r="N565" t="s">
        <v>33</v>
      </c>
    </row>
    <row r="566" spans="1:14" x14ac:dyDescent="0.25">
      <c r="A566" t="s">
        <v>5968</v>
      </c>
      <c r="B566" t="s">
        <v>32</v>
      </c>
      <c r="C566" t="s">
        <v>392</v>
      </c>
      <c r="D566">
        <v>116</v>
      </c>
      <c r="E566">
        <v>702.15200000000004</v>
      </c>
      <c r="F566">
        <v>1931046</v>
      </c>
      <c r="G566" t="s">
        <v>1835</v>
      </c>
      <c r="H566" t="s">
        <v>6082</v>
      </c>
      <c r="I566">
        <v>1426</v>
      </c>
      <c r="J566">
        <v>28.58</v>
      </c>
      <c r="K566">
        <v>0</v>
      </c>
      <c r="L566">
        <v>3.25</v>
      </c>
      <c r="M566">
        <v>6.06</v>
      </c>
      <c r="N566" t="s">
        <v>33</v>
      </c>
    </row>
    <row r="567" spans="1:14" x14ac:dyDescent="0.25">
      <c r="A567" t="s">
        <v>5968</v>
      </c>
      <c r="B567" t="s">
        <v>32</v>
      </c>
      <c r="C567" t="s">
        <v>392</v>
      </c>
      <c r="D567">
        <v>223</v>
      </c>
      <c r="E567">
        <v>1350.14</v>
      </c>
      <c r="F567">
        <v>1931046</v>
      </c>
      <c r="G567" t="s">
        <v>1835</v>
      </c>
      <c r="H567" t="s">
        <v>6082</v>
      </c>
      <c r="I567">
        <v>2742</v>
      </c>
      <c r="J567">
        <v>28.58</v>
      </c>
      <c r="K567">
        <v>0</v>
      </c>
      <c r="L567">
        <v>3.25</v>
      </c>
      <c r="M567">
        <v>6.06</v>
      </c>
      <c r="N567" t="s">
        <v>33</v>
      </c>
    </row>
    <row r="568" spans="1:14" x14ac:dyDescent="0.25">
      <c r="A568" t="s">
        <v>5968</v>
      </c>
      <c r="B568" t="s">
        <v>32</v>
      </c>
      <c r="C568" t="s">
        <v>392</v>
      </c>
      <c r="D568">
        <v>230</v>
      </c>
      <c r="E568">
        <v>1392.4860000000001</v>
      </c>
      <c r="F568">
        <v>1931046</v>
      </c>
      <c r="G568" t="s">
        <v>1835</v>
      </c>
      <c r="H568" t="s">
        <v>6082</v>
      </c>
      <c r="I568">
        <v>2828</v>
      </c>
      <c r="J568">
        <v>28.58</v>
      </c>
      <c r="K568">
        <v>0</v>
      </c>
      <c r="L568">
        <v>3.25</v>
      </c>
      <c r="M568">
        <v>6.06</v>
      </c>
      <c r="N568" t="s">
        <v>33</v>
      </c>
    </row>
    <row r="569" spans="1:14" x14ac:dyDescent="0.25">
      <c r="A569" t="s">
        <v>5966</v>
      </c>
      <c r="B569" t="s">
        <v>37</v>
      </c>
      <c r="C569" t="s">
        <v>397</v>
      </c>
      <c r="D569">
        <v>3000</v>
      </c>
      <c r="E569">
        <v>2544.0329999999999</v>
      </c>
      <c r="F569">
        <v>3186831</v>
      </c>
      <c r="G569" t="s">
        <v>1835</v>
      </c>
      <c r="H569" t="s">
        <v>2068</v>
      </c>
      <c r="I569">
        <v>6312</v>
      </c>
      <c r="J569">
        <v>41.28</v>
      </c>
      <c r="K569">
        <v>0</v>
      </c>
      <c r="L569">
        <v>2.6</v>
      </c>
      <c r="M569">
        <v>0.84799999999999998</v>
      </c>
      <c r="N569" t="s">
        <v>33</v>
      </c>
    </row>
  </sheetData>
  <phoneticPr fontId="13" type="noConversion"/>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0D04-D3A2-4F51-9A99-7E94242F387D}">
  <sheetPr codeName="Sheet37"/>
  <dimension ref="A1:AA561"/>
  <sheetViews>
    <sheetView workbookViewId="0">
      <selection activeCell="G8" sqref="G8"/>
    </sheetView>
  </sheetViews>
  <sheetFormatPr defaultRowHeight="15" x14ac:dyDescent="0.25"/>
  <cols>
    <col min="1" max="1" width="15.7109375" bestFit="1" customWidth="1"/>
    <col min="2" max="2" width="16.7109375" bestFit="1" customWidth="1"/>
    <col min="3" max="3" width="35.7109375" bestFit="1" customWidth="1"/>
    <col min="4" max="4" width="13.7109375" bestFit="1" customWidth="1"/>
    <col min="5" max="5" width="11" bestFit="1" customWidth="1"/>
    <col min="6" max="6" width="25.140625" bestFit="1" customWidth="1"/>
    <col min="7" max="7" width="11" bestFit="1" customWidth="1"/>
    <col min="8" max="8" width="14.28515625" bestFit="1" customWidth="1"/>
    <col min="9" max="9" width="21" bestFit="1" customWidth="1"/>
    <col min="10" max="10" width="42.7109375" bestFit="1" customWidth="1"/>
    <col min="11" max="11" width="28" bestFit="1" customWidth="1"/>
    <col min="12" max="12" width="27.42578125" bestFit="1" customWidth="1"/>
    <col min="13" max="13" width="34.28515625" bestFit="1" customWidth="1"/>
    <col min="14" max="14" width="31.5703125" customWidth="1"/>
    <col min="15" max="15" width="7.5703125" bestFit="1" customWidth="1"/>
    <col min="16" max="16" width="29.140625" bestFit="1" customWidth="1"/>
    <col min="22" max="22" width="29.7109375" bestFit="1" customWidth="1"/>
    <col min="27" max="27" width="29.7109375" bestFit="1" customWidth="1"/>
  </cols>
  <sheetData>
    <row r="1" spans="1:27" x14ac:dyDescent="0.25">
      <c r="A1" t="s">
        <v>6407</v>
      </c>
      <c r="B1" t="s">
        <v>380</v>
      </c>
      <c r="C1" t="s">
        <v>381</v>
      </c>
      <c r="D1" t="s">
        <v>382</v>
      </c>
      <c r="E1" t="s">
        <v>383</v>
      </c>
      <c r="F1" t="s">
        <v>384</v>
      </c>
      <c r="G1" t="s">
        <v>387</v>
      </c>
      <c r="H1" t="s">
        <v>6404</v>
      </c>
      <c r="I1" t="s">
        <v>385</v>
      </c>
      <c r="J1" t="s">
        <v>388</v>
      </c>
      <c r="K1" t="s">
        <v>1125</v>
      </c>
      <c r="L1" t="s">
        <v>6405</v>
      </c>
      <c r="M1" t="s">
        <v>1126</v>
      </c>
      <c r="N1" t="s">
        <v>1127</v>
      </c>
      <c r="O1" t="s">
        <v>2</v>
      </c>
      <c r="P1" t="s">
        <v>6361</v>
      </c>
      <c r="W1">
        <f>SUBTOTAL(9,W2:W20)</f>
        <v>516683.47299999994</v>
      </c>
    </row>
    <row r="2" spans="1:27" x14ac:dyDescent="0.25">
      <c r="A2">
        <v>46193</v>
      </c>
      <c r="B2" t="s">
        <v>5966</v>
      </c>
      <c r="C2" t="s">
        <v>37</v>
      </c>
      <c r="D2" t="s">
        <v>397</v>
      </c>
      <c r="E2">
        <v>9355</v>
      </c>
      <c r="F2">
        <v>1945.827</v>
      </c>
      <c r="G2">
        <v>7428.39</v>
      </c>
      <c r="H2" t="s">
        <v>1835</v>
      </c>
      <c r="I2">
        <v>3784469</v>
      </c>
      <c r="J2" t="s">
        <v>5297</v>
      </c>
      <c r="K2">
        <v>42.7</v>
      </c>
      <c r="L2">
        <v>0</v>
      </c>
      <c r="M2">
        <v>4</v>
      </c>
      <c r="N2">
        <v>0.20799999999999999</v>
      </c>
      <c r="O2" t="s">
        <v>33</v>
      </c>
      <c r="V2" cm="1">
        <f t="array" ref="V2:V32">_xlfn.UNIQUE(meghsteelsales_previousmonth[Length Bucket])</f>
        <v>0</v>
      </c>
      <c r="W2">
        <f>SUMIFS(meghsteelsales_previousmonth[Quantity],meghsteelsales_previousmonth[Length Bucket],V2)</f>
        <v>0</v>
      </c>
      <c r="Z2" t="s">
        <v>6154</v>
      </c>
      <c r="AA2" t="str" cm="1">
        <f t="array" ref="AA2:AA40">_xlfn.UNIQUE(Z2:Z70)</f>
        <v>No Key</v>
      </c>
    </row>
    <row r="3" spans="1:27" x14ac:dyDescent="0.25">
      <c r="A3">
        <v>46193</v>
      </c>
      <c r="B3" t="s">
        <v>5966</v>
      </c>
      <c r="C3" t="s">
        <v>37</v>
      </c>
      <c r="D3" t="s">
        <v>397</v>
      </c>
      <c r="E3">
        <v>3748</v>
      </c>
      <c r="F3">
        <v>779.57899999999995</v>
      </c>
      <c r="G3">
        <v>2976.12</v>
      </c>
      <c r="H3" t="s">
        <v>1835</v>
      </c>
      <c r="I3">
        <v>3784469</v>
      </c>
      <c r="J3" t="s">
        <v>5297</v>
      </c>
      <c r="K3">
        <v>42.7</v>
      </c>
      <c r="L3">
        <v>0</v>
      </c>
      <c r="M3">
        <v>4</v>
      </c>
      <c r="N3">
        <v>0.20799999999999999</v>
      </c>
      <c r="O3" t="s">
        <v>33</v>
      </c>
      <c r="V3" t="str">
        <v>59-30-1.6-ERW 1-FIN CUT-0.573</v>
      </c>
      <c r="W3">
        <f>SUMIFS(meghsteelsales_previousmonth[Quantity],meghsteelsales_previousmonth[Length Bucket],V3)</f>
        <v>9481.9599999999991</v>
      </c>
      <c r="Z3" t="s">
        <v>6154</v>
      </c>
      <c r="AA3">
        <v>0</v>
      </c>
    </row>
    <row r="4" spans="1:27" x14ac:dyDescent="0.25">
      <c r="A4">
        <v>46198</v>
      </c>
      <c r="B4" t="s">
        <v>5999</v>
      </c>
      <c r="C4" t="s">
        <v>36</v>
      </c>
      <c r="D4" t="s">
        <v>397</v>
      </c>
      <c r="E4">
        <v>5940</v>
      </c>
      <c r="F4">
        <v>3225.4140000000002</v>
      </c>
      <c r="G4">
        <v>7403.616</v>
      </c>
      <c r="H4" t="s">
        <v>1835</v>
      </c>
      <c r="I4">
        <v>3508188</v>
      </c>
      <c r="J4" t="s">
        <v>6408</v>
      </c>
      <c r="K4">
        <v>50</v>
      </c>
      <c r="L4">
        <v>50</v>
      </c>
      <c r="M4">
        <v>1.6</v>
      </c>
      <c r="N4">
        <v>0.54300000000000004</v>
      </c>
      <c r="O4" t="s">
        <v>33</v>
      </c>
      <c r="V4" t="str">
        <v>25.4-0-2.5-ERW 1-PE-5.53</v>
      </c>
      <c r="W4">
        <f>SUMIFS(meghsteelsales_previousmonth[Quantity],meghsteelsales_previousmonth[Length Bucket],V4)</f>
        <v>105755.07600000003</v>
      </c>
      <c r="Z4" t="s">
        <v>6154</v>
      </c>
      <c r="AA4" t="str">
        <v>15.88-0-1.2-ERW 1-PE-6</v>
      </c>
    </row>
    <row r="5" spans="1:27" x14ac:dyDescent="0.25">
      <c r="A5">
        <v>46189</v>
      </c>
      <c r="B5" t="s">
        <v>5999</v>
      </c>
      <c r="C5" t="s">
        <v>36</v>
      </c>
      <c r="D5" t="s">
        <v>397</v>
      </c>
      <c r="E5">
        <v>1225</v>
      </c>
      <c r="F5">
        <v>701.90499999999997</v>
      </c>
      <c r="G5">
        <v>1302.175</v>
      </c>
      <c r="H5" t="s">
        <v>345</v>
      </c>
      <c r="I5">
        <v>3781647</v>
      </c>
      <c r="J5" t="s">
        <v>2279</v>
      </c>
      <c r="K5">
        <v>59</v>
      </c>
      <c r="L5">
        <v>30</v>
      </c>
      <c r="M5">
        <v>1.6</v>
      </c>
      <c r="N5">
        <v>0.57199999999999995</v>
      </c>
      <c r="O5" t="s">
        <v>33</v>
      </c>
      <c r="P5" t="s">
        <v>6204</v>
      </c>
      <c r="V5" t="str">
        <v>22.23-0-1.6-ERW 1-PE-5.27</v>
      </c>
      <c r="W5">
        <f>SUMIFS(meghsteelsales_previousmonth[Quantity],meghsteelsales_previousmonth[Length Bucket],V5)</f>
        <v>43080</v>
      </c>
      <c r="Z5" t="s">
        <v>6154</v>
      </c>
      <c r="AA5" t="str">
        <v>15.88-0-1.6-ERW 1-PE-6</v>
      </c>
    </row>
    <row r="6" spans="1:27" x14ac:dyDescent="0.25">
      <c r="A6">
        <v>46189</v>
      </c>
      <c r="B6" t="s">
        <v>5999</v>
      </c>
      <c r="C6" t="s">
        <v>36</v>
      </c>
      <c r="D6" t="s">
        <v>397</v>
      </c>
      <c r="E6">
        <v>2495</v>
      </c>
      <c r="F6">
        <v>1429.595</v>
      </c>
      <c r="G6">
        <v>2652.1849999999999</v>
      </c>
      <c r="H6" t="s">
        <v>345</v>
      </c>
      <c r="I6">
        <v>3781647</v>
      </c>
      <c r="J6" t="s">
        <v>2279</v>
      </c>
      <c r="K6">
        <v>59</v>
      </c>
      <c r="L6">
        <v>30</v>
      </c>
      <c r="M6">
        <v>1.6</v>
      </c>
      <c r="N6">
        <v>0.57199999999999995</v>
      </c>
      <c r="O6" t="s">
        <v>33</v>
      </c>
      <c r="P6" t="s">
        <v>6204</v>
      </c>
      <c r="V6" t="str">
        <v>22.23-0-2-ERW 1-PE-5.39</v>
      </c>
      <c r="W6">
        <f>SUMIFS(meghsteelsales_previousmonth[Quantity],meghsteelsales_previousmonth[Length Bucket],V6)</f>
        <v>4500</v>
      </c>
      <c r="AA6" t="str">
        <v>18.2-0-1-ERW 1-PE-6</v>
      </c>
    </row>
    <row r="7" spans="1:27" x14ac:dyDescent="0.25">
      <c r="A7">
        <v>46189</v>
      </c>
      <c r="B7" t="s">
        <v>5999</v>
      </c>
      <c r="C7" t="s">
        <v>36</v>
      </c>
      <c r="D7" t="s">
        <v>397</v>
      </c>
      <c r="E7">
        <v>2595</v>
      </c>
      <c r="F7">
        <v>1486.894</v>
      </c>
      <c r="G7">
        <v>2758.4850000000001</v>
      </c>
      <c r="H7" t="s">
        <v>345</v>
      </c>
      <c r="I7">
        <v>3781647</v>
      </c>
      <c r="J7" t="s">
        <v>2279</v>
      </c>
      <c r="K7">
        <v>59</v>
      </c>
      <c r="L7">
        <v>30</v>
      </c>
      <c r="M7">
        <v>1.6</v>
      </c>
      <c r="N7">
        <v>0.57199999999999995</v>
      </c>
      <c r="O7" t="s">
        <v>33</v>
      </c>
      <c r="P7" t="s">
        <v>6204</v>
      </c>
      <c r="V7" t="str">
        <v>42.7-0-4-ERW 1-FC-6</v>
      </c>
      <c r="W7">
        <f>SUMIFS(meghsteelsales_previousmonth[Quantity],meghsteelsales_previousmonth[Length Bucket],V7)</f>
        <v>38312</v>
      </c>
      <c r="Z7" t="s">
        <v>6157</v>
      </c>
      <c r="AA7" t="str">
        <v>19.05-0-2-ERW 1-PE-5.841</v>
      </c>
    </row>
    <row r="8" spans="1:27" x14ac:dyDescent="0.25">
      <c r="A8">
        <v>46189</v>
      </c>
      <c r="B8" t="s">
        <v>5999</v>
      </c>
      <c r="C8" t="s">
        <v>36</v>
      </c>
      <c r="D8" t="s">
        <v>397</v>
      </c>
      <c r="E8">
        <v>2605</v>
      </c>
      <c r="F8">
        <v>1492.623</v>
      </c>
      <c r="G8">
        <v>2769.1149999999998</v>
      </c>
      <c r="H8" t="s">
        <v>345</v>
      </c>
      <c r="I8">
        <v>3781647</v>
      </c>
      <c r="J8" t="s">
        <v>2279</v>
      </c>
      <c r="K8">
        <v>59</v>
      </c>
      <c r="L8">
        <v>30</v>
      </c>
      <c r="M8">
        <v>1.6</v>
      </c>
      <c r="N8">
        <v>0.57199999999999995</v>
      </c>
      <c r="O8" t="s">
        <v>33</v>
      </c>
      <c r="P8" t="s">
        <v>6204</v>
      </c>
      <c r="V8" t="str">
        <v>38.1-0-2-ERW 1-FC-5.65</v>
      </c>
      <c r="W8">
        <f>SUMIFS(meghsteelsales_previousmonth[Quantity],meghsteelsales_previousmonth[Length Bucket],V8)</f>
        <v>3604.7469999999998</v>
      </c>
      <c r="Z8" t="s">
        <v>6157</v>
      </c>
      <c r="AA8" t="str">
        <v>19.05-0-2.3-ERW 1-PE-7</v>
      </c>
    </row>
    <row r="9" spans="1:27" x14ac:dyDescent="0.25">
      <c r="A9">
        <v>46202</v>
      </c>
      <c r="B9" t="s">
        <v>5966</v>
      </c>
      <c r="C9" t="s">
        <v>37</v>
      </c>
      <c r="D9" t="s">
        <v>397</v>
      </c>
      <c r="E9">
        <v>4748</v>
      </c>
      <c r="F9">
        <v>3717.989</v>
      </c>
      <c r="G9">
        <v>5251.2879999999996</v>
      </c>
      <c r="H9" t="s">
        <v>1835</v>
      </c>
      <c r="I9">
        <v>3542856</v>
      </c>
      <c r="J9" t="s">
        <v>6409</v>
      </c>
      <c r="K9">
        <v>25.4</v>
      </c>
      <c r="L9">
        <v>0</v>
      </c>
      <c r="M9">
        <v>2.5</v>
      </c>
      <c r="N9">
        <v>0.78300000000000003</v>
      </c>
      <c r="O9" t="s">
        <v>33</v>
      </c>
      <c r="V9" t="str">
        <v>22.23-0-1.6-ERW 1-PE-5.67</v>
      </c>
      <c r="W9">
        <f>SUMIFS(meghsteelsales_previousmonth[Quantity],meghsteelsales_previousmonth[Length Bucket],V9)</f>
        <v>27178.328000000001</v>
      </c>
      <c r="Z9" t="s">
        <v>6158</v>
      </c>
      <c r="AA9" t="str">
        <v>22.23-0-1.2-ERW 1-PE-5.87</v>
      </c>
    </row>
    <row r="10" spans="1:27" x14ac:dyDescent="0.25">
      <c r="A10">
        <v>46181</v>
      </c>
      <c r="B10" t="s">
        <v>5966</v>
      </c>
      <c r="C10" t="s">
        <v>37</v>
      </c>
      <c r="D10" t="s">
        <v>392</v>
      </c>
      <c r="E10">
        <v>164</v>
      </c>
      <c r="F10">
        <v>128.15100000000001</v>
      </c>
      <c r="G10">
        <v>181</v>
      </c>
      <c r="H10" t="s">
        <v>1834</v>
      </c>
      <c r="I10">
        <v>3775636</v>
      </c>
      <c r="J10" t="s">
        <v>811</v>
      </c>
      <c r="K10">
        <v>25.4</v>
      </c>
      <c r="L10">
        <v>0</v>
      </c>
      <c r="M10">
        <v>2.5</v>
      </c>
      <c r="N10">
        <v>0.78300000000000003</v>
      </c>
      <c r="O10" t="s">
        <v>33</v>
      </c>
      <c r="P10" t="s">
        <v>6175</v>
      </c>
      <c r="V10" t="str">
        <v>45--1.4-ERW 1-FIN CUT-5.7</v>
      </c>
      <c r="W10">
        <f>SUMIFS(meghsteelsales_previousmonth[Quantity],meghsteelsales_previousmonth[Length Bucket],V10)</f>
        <v>4816</v>
      </c>
      <c r="Z10" t="s">
        <v>6154</v>
      </c>
      <c r="AA10" t="str">
        <v>22.23-0-1.6-ERW 1-PE-5.67</v>
      </c>
    </row>
    <row r="11" spans="1:27" x14ac:dyDescent="0.25">
      <c r="A11">
        <v>46201</v>
      </c>
      <c r="B11" t="s">
        <v>5966</v>
      </c>
      <c r="C11" t="s">
        <v>37</v>
      </c>
      <c r="D11" t="s">
        <v>392</v>
      </c>
      <c r="E11">
        <v>168</v>
      </c>
      <c r="F11">
        <v>745.21600000000001</v>
      </c>
      <c r="G11">
        <v>2060</v>
      </c>
      <c r="H11" t="s">
        <v>362</v>
      </c>
      <c r="I11">
        <v>3995629</v>
      </c>
      <c r="J11" t="s">
        <v>394</v>
      </c>
      <c r="K11">
        <v>29.4</v>
      </c>
      <c r="L11">
        <v>0</v>
      </c>
      <c r="M11">
        <v>4.5</v>
      </c>
      <c r="N11">
        <v>4.4400000000000004</v>
      </c>
      <c r="O11" t="s">
        <v>33</v>
      </c>
      <c r="V11" t="str">
        <v>57.15-0-2.5-ERW 1-FC-5.711</v>
      </c>
      <c r="W11">
        <f>SUMIFS(meghsteelsales_previousmonth[Quantity],meghsteelsales_previousmonth[Length Bucket],V11)</f>
        <v>16138.103999999999</v>
      </c>
      <c r="Z11" t="s">
        <v>6160</v>
      </c>
      <c r="AA11" t="str">
        <v>22.23-0-2-ERW 1-PE-5.951</v>
      </c>
    </row>
    <row r="12" spans="1:27" x14ac:dyDescent="0.25">
      <c r="A12">
        <v>46201</v>
      </c>
      <c r="B12" t="s">
        <v>5966</v>
      </c>
      <c r="C12" t="s">
        <v>37</v>
      </c>
      <c r="D12" t="s">
        <v>392</v>
      </c>
      <c r="E12">
        <v>161</v>
      </c>
      <c r="F12">
        <v>714.10500000000002</v>
      </c>
      <c r="G12">
        <v>1974</v>
      </c>
      <c r="H12" t="s">
        <v>362</v>
      </c>
      <c r="I12">
        <v>3995629</v>
      </c>
      <c r="J12" t="s">
        <v>394</v>
      </c>
      <c r="K12">
        <v>29.4</v>
      </c>
      <c r="L12">
        <v>0</v>
      </c>
      <c r="M12">
        <v>4.5</v>
      </c>
      <c r="N12">
        <v>4.4400000000000004</v>
      </c>
      <c r="O12" t="s">
        <v>33</v>
      </c>
      <c r="V12" t="str">
        <v>57.15-0-2.5-ERW 1-FC-5.75</v>
      </c>
      <c r="W12">
        <f>SUMIFS(meghsteelsales_previousmonth[Quantity],meghsteelsales_previousmonth[Length Bucket],V12)</f>
        <v>9464</v>
      </c>
      <c r="Z12" t="s">
        <v>6154</v>
      </c>
      <c r="AA12" t="str">
        <v>22.23-0-2-ERW 1-PE-5.1</v>
      </c>
    </row>
    <row r="13" spans="1:27" x14ac:dyDescent="0.25">
      <c r="A13">
        <v>46201</v>
      </c>
      <c r="B13" t="s">
        <v>5966</v>
      </c>
      <c r="C13" t="s">
        <v>37</v>
      </c>
      <c r="D13" t="s">
        <v>392</v>
      </c>
      <c r="E13">
        <v>140</v>
      </c>
      <c r="F13">
        <v>621.13400000000001</v>
      </c>
      <c r="G13">
        <v>1717</v>
      </c>
      <c r="H13" t="s">
        <v>362</v>
      </c>
      <c r="I13">
        <v>3995629</v>
      </c>
      <c r="J13" t="s">
        <v>394</v>
      </c>
      <c r="K13">
        <v>29.4</v>
      </c>
      <c r="L13">
        <v>0</v>
      </c>
      <c r="M13">
        <v>4.5</v>
      </c>
      <c r="N13">
        <v>4.4400000000000004</v>
      </c>
      <c r="O13" t="s">
        <v>33</v>
      </c>
      <c r="V13" t="str">
        <v>25.4-0-2-ERW 1-PE-5.82</v>
      </c>
      <c r="W13">
        <f>SUMIFS(meghsteelsales_previousmonth[Quantity],meghsteelsales_previousmonth[Length Bucket],V13)</f>
        <v>46943.582000000009</v>
      </c>
      <c r="Z13" t="s">
        <v>6154</v>
      </c>
      <c r="AA13" t="str">
        <v>22.23-0-2-ERW 2 MAHS-FC-6.001</v>
      </c>
    </row>
    <row r="14" spans="1:27" x14ac:dyDescent="0.25">
      <c r="A14">
        <v>46201</v>
      </c>
      <c r="B14" t="s">
        <v>5966</v>
      </c>
      <c r="C14" t="s">
        <v>37</v>
      </c>
      <c r="D14" t="s">
        <v>392</v>
      </c>
      <c r="E14">
        <v>140</v>
      </c>
      <c r="F14">
        <v>621.13400000000001</v>
      </c>
      <c r="G14">
        <v>1717</v>
      </c>
      <c r="H14" t="s">
        <v>362</v>
      </c>
      <c r="I14">
        <v>3995629</v>
      </c>
      <c r="J14" t="s">
        <v>394</v>
      </c>
      <c r="K14">
        <v>29.4</v>
      </c>
      <c r="L14">
        <v>0</v>
      </c>
      <c r="M14">
        <v>4.5</v>
      </c>
      <c r="N14">
        <v>4.4400000000000004</v>
      </c>
      <c r="O14" t="s">
        <v>33</v>
      </c>
      <c r="V14" t="str">
        <v>41.28-0-3.15-ERW 1-FC-5.86</v>
      </c>
      <c r="W14">
        <f>SUMIFS(meghsteelsales_previousmonth[Quantity],meghsteelsales_previousmonth[Length Bucket],V14)</f>
        <v>48390.045000000006</v>
      </c>
      <c r="Z14" t="s">
        <v>6163</v>
      </c>
      <c r="AA14" t="str">
        <v>22.23-0-2-ERW 1-PE-5.39</v>
      </c>
    </row>
    <row r="15" spans="1:27" x14ac:dyDescent="0.25">
      <c r="A15">
        <v>46201</v>
      </c>
      <c r="B15" t="s">
        <v>5966</v>
      </c>
      <c r="C15" t="s">
        <v>37</v>
      </c>
      <c r="D15" t="s">
        <v>392</v>
      </c>
      <c r="E15">
        <v>103</v>
      </c>
      <c r="F15">
        <v>456.89699999999999</v>
      </c>
      <c r="G15">
        <v>1263</v>
      </c>
      <c r="H15" t="s">
        <v>362</v>
      </c>
      <c r="I15">
        <v>3995629</v>
      </c>
      <c r="J15" t="s">
        <v>394</v>
      </c>
      <c r="K15">
        <v>29.4</v>
      </c>
      <c r="L15">
        <v>0</v>
      </c>
      <c r="M15">
        <v>4.5</v>
      </c>
      <c r="N15">
        <v>4.4400000000000004</v>
      </c>
      <c r="O15" t="s">
        <v>33</v>
      </c>
      <c r="V15" t="str">
        <v>22.23-0-1.2-ERW 1-PE-5.87</v>
      </c>
      <c r="W15">
        <f>SUMIFS(meghsteelsales_previousmonth[Quantity],meghsteelsales_previousmonth[Length Bucket],V15)</f>
        <v>7327.6850000000013</v>
      </c>
      <c r="Z15" t="s">
        <v>6164</v>
      </c>
      <c r="AA15" t="str">
        <v>25.4-0-1.6-ERW 1-PE-6</v>
      </c>
    </row>
    <row r="16" spans="1:27" x14ac:dyDescent="0.25">
      <c r="A16">
        <v>46201</v>
      </c>
      <c r="B16" t="s">
        <v>5966</v>
      </c>
      <c r="C16" t="s">
        <v>37</v>
      </c>
      <c r="D16" t="s">
        <v>392</v>
      </c>
      <c r="E16">
        <v>100</v>
      </c>
      <c r="F16">
        <v>443.512</v>
      </c>
      <c r="G16">
        <v>1226</v>
      </c>
      <c r="H16" t="s">
        <v>362</v>
      </c>
      <c r="I16">
        <v>3995629</v>
      </c>
      <c r="J16" t="s">
        <v>394</v>
      </c>
      <c r="K16">
        <v>29.4</v>
      </c>
      <c r="L16">
        <v>0</v>
      </c>
      <c r="M16">
        <v>4.5</v>
      </c>
      <c r="N16">
        <v>4.4400000000000004</v>
      </c>
      <c r="O16" t="s">
        <v>33</v>
      </c>
      <c r="V16" t="str">
        <v>60.3-0-2-ERW 1-FC-5.9</v>
      </c>
      <c r="W16">
        <f>SUMIFS(meghsteelsales_previousmonth[Quantity],meghsteelsales_previousmonth[Length Bucket],V16)</f>
        <v>42220</v>
      </c>
      <c r="Z16" t="s">
        <v>6154</v>
      </c>
      <c r="AA16" t="str">
        <v>25.4-0-2.5-ERW 1-PE-5.53</v>
      </c>
    </row>
    <row r="17" spans="1:27" x14ac:dyDescent="0.25">
      <c r="A17">
        <v>46201</v>
      </c>
      <c r="B17" t="s">
        <v>5966</v>
      </c>
      <c r="C17" t="s">
        <v>37</v>
      </c>
      <c r="D17" t="s">
        <v>392</v>
      </c>
      <c r="E17">
        <v>33</v>
      </c>
      <c r="F17">
        <v>146.511</v>
      </c>
      <c r="G17">
        <v>405</v>
      </c>
      <c r="H17" t="s">
        <v>362</v>
      </c>
      <c r="I17">
        <v>3995629</v>
      </c>
      <c r="J17" t="s">
        <v>394</v>
      </c>
      <c r="K17">
        <v>29.4</v>
      </c>
      <c r="L17">
        <v>0</v>
      </c>
      <c r="M17">
        <v>4.5</v>
      </c>
      <c r="N17">
        <v>4.4400000000000004</v>
      </c>
      <c r="O17" t="s">
        <v>33</v>
      </c>
      <c r="V17" t="str">
        <v>22.23-0-2-ERW 1-PE-5.951</v>
      </c>
      <c r="W17">
        <f>SUMIFS(meghsteelsales_previousmonth[Quantity],meghsteelsales_previousmonth[Length Bucket],V17)</f>
        <v>85542.945999999953</v>
      </c>
      <c r="Z17" t="s">
        <v>6165</v>
      </c>
      <c r="AA17" t="e">
        <v>#N/A</v>
      </c>
    </row>
    <row r="18" spans="1:27" x14ac:dyDescent="0.25">
      <c r="A18">
        <v>46201</v>
      </c>
      <c r="B18" t="s">
        <v>5966</v>
      </c>
      <c r="C18" t="s">
        <v>37</v>
      </c>
      <c r="D18" t="s">
        <v>392</v>
      </c>
      <c r="E18">
        <v>146</v>
      </c>
      <c r="F18">
        <v>647.54200000000003</v>
      </c>
      <c r="G18">
        <v>1790</v>
      </c>
      <c r="H18" t="s">
        <v>362</v>
      </c>
      <c r="I18">
        <v>3995629</v>
      </c>
      <c r="J18" t="s">
        <v>394</v>
      </c>
      <c r="K18">
        <v>29.4</v>
      </c>
      <c r="L18">
        <v>0</v>
      </c>
      <c r="M18">
        <v>4.5</v>
      </c>
      <c r="N18">
        <v>4.4400000000000004</v>
      </c>
      <c r="O18" t="s">
        <v>33</v>
      </c>
      <c r="V18" t="str">
        <v>12.7-0-1.2-ERW 1-PE-6</v>
      </c>
      <c r="W18">
        <f>SUMIFS(meghsteelsales_previousmonth[Quantity],meghsteelsales_previousmonth[Length Bucket],V18)</f>
        <v>7199</v>
      </c>
      <c r="Z18" t="s">
        <v>6154</v>
      </c>
      <c r="AA18" t="str">
        <v>31.75-0-1.2-ERW 1-PE-6</v>
      </c>
    </row>
    <row r="19" spans="1:27" x14ac:dyDescent="0.25">
      <c r="A19">
        <v>46194</v>
      </c>
      <c r="B19" t="s">
        <v>5999</v>
      </c>
      <c r="C19" t="s">
        <v>36</v>
      </c>
      <c r="D19" t="s">
        <v>392</v>
      </c>
      <c r="E19">
        <v>4</v>
      </c>
      <c r="F19">
        <v>20.03</v>
      </c>
      <c r="G19">
        <v>20</v>
      </c>
      <c r="H19" t="s">
        <v>345</v>
      </c>
      <c r="I19">
        <v>1931377</v>
      </c>
      <c r="J19" t="s">
        <v>6410</v>
      </c>
      <c r="K19">
        <v>34.93</v>
      </c>
      <c r="L19">
        <v>0</v>
      </c>
      <c r="M19">
        <v>1.2</v>
      </c>
      <c r="N19">
        <v>5.0999999999999996</v>
      </c>
      <c r="O19" t="s">
        <v>33</v>
      </c>
      <c r="V19" t="str">
        <v>15.88-0-1.2-ERW 1-PE-6</v>
      </c>
      <c r="W19">
        <f>SUMIFS(meghsteelsales_previousmonth[Quantity],meghsteelsales_previousmonth[Length Bucket],V19)</f>
        <v>5990</v>
      </c>
      <c r="Z19" t="s">
        <v>6167</v>
      </c>
      <c r="AA19" t="str">
        <v>31.75--2.3-ERW 1-FIN CUT-6</v>
      </c>
    </row>
    <row r="20" spans="1:27" x14ac:dyDescent="0.25">
      <c r="A20">
        <v>46191</v>
      </c>
      <c r="B20" t="s">
        <v>5999</v>
      </c>
      <c r="C20" t="s">
        <v>36</v>
      </c>
      <c r="D20" t="s">
        <v>392</v>
      </c>
      <c r="E20">
        <v>373</v>
      </c>
      <c r="F20">
        <v>1902.854</v>
      </c>
      <c r="G20">
        <v>1900</v>
      </c>
      <c r="H20" t="s">
        <v>345</v>
      </c>
      <c r="I20">
        <v>1931377</v>
      </c>
      <c r="J20" t="s">
        <v>6410</v>
      </c>
      <c r="K20">
        <v>34.93</v>
      </c>
      <c r="L20">
        <v>0</v>
      </c>
      <c r="M20">
        <v>1.2</v>
      </c>
      <c r="N20">
        <v>5.0999999999999996</v>
      </c>
      <c r="O20" t="s">
        <v>33</v>
      </c>
      <c r="V20" t="str">
        <v>19.05-0-1.6-ERW 1-PE-6</v>
      </c>
      <c r="W20">
        <f>SUMIFS(meghsteelsales_previousmonth[Quantity],meghsteelsales_previousmonth[Length Bucket],V20)</f>
        <v>10740</v>
      </c>
      <c r="Z20" t="s">
        <v>6168</v>
      </c>
      <c r="AA20" t="str">
        <v>34.93-0-1.2-ERW 1-FC-0.7</v>
      </c>
    </row>
    <row r="21" spans="1:27" x14ac:dyDescent="0.25">
      <c r="A21">
        <v>46194</v>
      </c>
      <c r="B21" t="s">
        <v>5999</v>
      </c>
      <c r="C21" t="s">
        <v>36</v>
      </c>
      <c r="D21" t="s">
        <v>392</v>
      </c>
      <c r="E21">
        <v>370</v>
      </c>
      <c r="F21">
        <v>1886.83</v>
      </c>
      <c r="G21">
        <v>1884</v>
      </c>
      <c r="H21" t="s">
        <v>345</v>
      </c>
      <c r="I21">
        <v>1931377</v>
      </c>
      <c r="J21" t="s">
        <v>6410</v>
      </c>
      <c r="K21">
        <v>34.93</v>
      </c>
      <c r="L21">
        <v>0</v>
      </c>
      <c r="M21">
        <v>1.2</v>
      </c>
      <c r="N21">
        <v>5.0999999999999996</v>
      </c>
      <c r="O21" t="s">
        <v>33</v>
      </c>
      <c r="V21" t="str">
        <v>25.4-0-1.6-ERW 1-PE-6</v>
      </c>
      <c r="Z21" t="s">
        <v>6169</v>
      </c>
      <c r="AA21" t="str">
        <v>38.1-0-1.6-ERW 1-FC-6.19</v>
      </c>
    </row>
    <row r="22" spans="1:27" x14ac:dyDescent="0.25">
      <c r="A22">
        <v>46194</v>
      </c>
      <c r="B22" t="s">
        <v>5999</v>
      </c>
      <c r="C22" t="s">
        <v>36</v>
      </c>
      <c r="D22" t="s">
        <v>392</v>
      </c>
      <c r="E22">
        <v>188</v>
      </c>
      <c r="F22">
        <v>957.43600000000004</v>
      </c>
      <c r="G22">
        <v>956</v>
      </c>
      <c r="H22" t="s">
        <v>345</v>
      </c>
      <c r="I22">
        <v>1931377</v>
      </c>
      <c r="J22" t="s">
        <v>6410</v>
      </c>
      <c r="K22">
        <v>34.93</v>
      </c>
      <c r="L22">
        <v>0</v>
      </c>
      <c r="M22">
        <v>1.2</v>
      </c>
      <c r="N22">
        <v>5.0999999999999996</v>
      </c>
      <c r="O22" t="s">
        <v>33</v>
      </c>
      <c r="V22" t="str">
        <v>59-30-1.6-ERW 1-FIN CUT-6</v>
      </c>
      <c r="Z22" t="s">
        <v>6170</v>
      </c>
      <c r="AA22" t="str">
        <v>38.1-0-2-ERW 1-FC-5.65</v>
      </c>
    </row>
    <row r="23" spans="1:27" x14ac:dyDescent="0.25">
      <c r="A23">
        <v>46194</v>
      </c>
      <c r="B23" t="s">
        <v>5999</v>
      </c>
      <c r="C23" t="s">
        <v>36</v>
      </c>
      <c r="D23" t="s">
        <v>392</v>
      </c>
      <c r="E23">
        <v>185</v>
      </c>
      <c r="F23">
        <v>943.41499999999996</v>
      </c>
      <c r="G23">
        <v>942</v>
      </c>
      <c r="H23" t="s">
        <v>345</v>
      </c>
      <c r="I23">
        <v>1931377</v>
      </c>
      <c r="J23" t="s">
        <v>6410</v>
      </c>
      <c r="K23">
        <v>34.93</v>
      </c>
      <c r="L23">
        <v>0</v>
      </c>
      <c r="M23">
        <v>1.2</v>
      </c>
      <c r="N23">
        <v>5.0999999999999996</v>
      </c>
      <c r="O23" t="s">
        <v>33</v>
      </c>
      <c r="V23" t="str">
        <v>31.75-0-2.3-ERW 1-FC-5.92</v>
      </c>
      <c r="Z23" t="s">
        <v>6171</v>
      </c>
      <c r="AA23" t="str">
        <v>38.1-0-2.5-ERW 2 MAHS-FC-6.19</v>
      </c>
    </row>
    <row r="24" spans="1:27" x14ac:dyDescent="0.25">
      <c r="A24">
        <v>46194</v>
      </c>
      <c r="B24" t="s">
        <v>5999</v>
      </c>
      <c r="C24" t="s">
        <v>36</v>
      </c>
      <c r="D24" t="s">
        <v>392</v>
      </c>
      <c r="E24">
        <v>173</v>
      </c>
      <c r="F24">
        <v>880.32</v>
      </c>
      <c r="G24">
        <v>879</v>
      </c>
      <c r="H24" t="s">
        <v>345</v>
      </c>
      <c r="I24">
        <v>1931377</v>
      </c>
      <c r="J24" t="s">
        <v>6410</v>
      </c>
      <c r="K24">
        <v>34.93</v>
      </c>
      <c r="L24">
        <v>0</v>
      </c>
      <c r="M24">
        <v>1.2</v>
      </c>
      <c r="N24">
        <v>5.0999999999999996</v>
      </c>
      <c r="O24" t="s">
        <v>33</v>
      </c>
      <c r="V24" t="str">
        <v>42.7-0-3.5-ERW 1-FC-6</v>
      </c>
      <c r="Z24" t="s">
        <v>6154</v>
      </c>
      <c r="AA24" t="str">
        <v>41.28-0-2.6-ERW 1-FC-6</v>
      </c>
    </row>
    <row r="25" spans="1:27" x14ac:dyDescent="0.25">
      <c r="A25">
        <v>46191</v>
      </c>
      <c r="B25" t="s">
        <v>5999</v>
      </c>
      <c r="C25" t="s">
        <v>36</v>
      </c>
      <c r="D25" t="s">
        <v>392</v>
      </c>
      <c r="E25">
        <v>373</v>
      </c>
      <c r="F25">
        <v>1902.854</v>
      </c>
      <c r="G25">
        <v>1900</v>
      </c>
      <c r="H25" t="s">
        <v>345</v>
      </c>
      <c r="I25">
        <v>1931377</v>
      </c>
      <c r="J25" t="s">
        <v>6410</v>
      </c>
      <c r="K25">
        <v>34.93</v>
      </c>
      <c r="L25">
        <v>0</v>
      </c>
      <c r="M25">
        <v>1.2</v>
      </c>
      <c r="N25">
        <v>5.0999999999999996</v>
      </c>
      <c r="O25" t="s">
        <v>33</v>
      </c>
      <c r="V25" t="str">
        <v>41.28-0-2.6-ERW 1-FC-6</v>
      </c>
      <c r="Z25" t="s">
        <v>6154</v>
      </c>
      <c r="AA25" t="str">
        <v>40-25-1.6-ERW 1-FC-5.88</v>
      </c>
    </row>
    <row r="26" spans="1:27" x14ac:dyDescent="0.25">
      <c r="A26">
        <v>46191</v>
      </c>
      <c r="B26" t="s">
        <v>5999</v>
      </c>
      <c r="C26" t="s">
        <v>36</v>
      </c>
      <c r="D26" t="s">
        <v>392</v>
      </c>
      <c r="E26">
        <v>373</v>
      </c>
      <c r="F26">
        <v>1902.854</v>
      </c>
      <c r="G26">
        <v>1900</v>
      </c>
      <c r="H26" t="s">
        <v>345</v>
      </c>
      <c r="I26">
        <v>1931377</v>
      </c>
      <c r="J26" t="s">
        <v>6410</v>
      </c>
      <c r="K26">
        <v>34.93</v>
      </c>
      <c r="L26">
        <v>0</v>
      </c>
      <c r="M26">
        <v>1.2</v>
      </c>
      <c r="N26">
        <v>5.0999999999999996</v>
      </c>
      <c r="O26" t="s">
        <v>33</v>
      </c>
      <c r="V26" t="str">
        <v>48.6-0-3.5-ERW 1-FC-6</v>
      </c>
      <c r="Z26" t="s">
        <v>6172</v>
      </c>
      <c r="AA26" t="str">
        <v>40-25-1.6-ERW 1-FC-6.13</v>
      </c>
    </row>
    <row r="27" spans="1:27" x14ac:dyDescent="0.25">
      <c r="A27">
        <v>46191</v>
      </c>
      <c r="B27" t="s">
        <v>5999</v>
      </c>
      <c r="C27" t="s">
        <v>36</v>
      </c>
      <c r="D27" t="s">
        <v>392</v>
      </c>
      <c r="E27">
        <v>373</v>
      </c>
      <c r="F27">
        <v>1902.854</v>
      </c>
      <c r="G27">
        <v>1900</v>
      </c>
      <c r="H27" t="s">
        <v>345</v>
      </c>
      <c r="I27">
        <v>1931377</v>
      </c>
      <c r="J27" t="s">
        <v>6410</v>
      </c>
      <c r="K27">
        <v>34.93</v>
      </c>
      <c r="L27">
        <v>0</v>
      </c>
      <c r="M27">
        <v>1.2</v>
      </c>
      <c r="N27">
        <v>5.0999999999999996</v>
      </c>
      <c r="O27" t="s">
        <v>33</v>
      </c>
      <c r="V27" t="str">
        <v>38.1-0-1.6-ERW 1-FC-6.19</v>
      </c>
      <c r="Z27" t="s">
        <v>6154</v>
      </c>
      <c r="AA27" t="str">
        <v>41.28-0-3.15-ERW 1-FC-5.86</v>
      </c>
    </row>
    <row r="28" spans="1:27" x14ac:dyDescent="0.25">
      <c r="A28">
        <v>46191</v>
      </c>
      <c r="B28" t="s">
        <v>5999</v>
      </c>
      <c r="C28" t="s">
        <v>36</v>
      </c>
      <c r="D28" t="s">
        <v>392</v>
      </c>
      <c r="E28">
        <v>371</v>
      </c>
      <c r="F28">
        <v>1892.8389999999999</v>
      </c>
      <c r="G28">
        <v>1890</v>
      </c>
      <c r="H28" t="s">
        <v>345</v>
      </c>
      <c r="I28">
        <v>1931377</v>
      </c>
      <c r="J28" t="s">
        <v>6410</v>
      </c>
      <c r="K28">
        <v>34.93</v>
      </c>
      <c r="L28">
        <v>0</v>
      </c>
      <c r="M28">
        <v>1.2</v>
      </c>
      <c r="N28">
        <v>5.0999999999999996</v>
      </c>
      <c r="O28" t="s">
        <v>33</v>
      </c>
      <c r="V28" t="str">
        <v>38.1-0-2.5-ERW 2 MAHS-FC-6.19</v>
      </c>
      <c r="Z28" t="s">
        <v>6175</v>
      </c>
      <c r="AA28" t="str">
        <v>42.7-0-3.5-ERW 1-FC-6</v>
      </c>
    </row>
    <row r="29" spans="1:27" x14ac:dyDescent="0.25">
      <c r="A29">
        <v>46194</v>
      </c>
      <c r="B29" t="s">
        <v>5999</v>
      </c>
      <c r="C29" t="s">
        <v>36</v>
      </c>
      <c r="D29" t="s">
        <v>392</v>
      </c>
      <c r="E29">
        <v>4</v>
      </c>
      <c r="F29">
        <v>19.029</v>
      </c>
      <c r="G29">
        <v>19</v>
      </c>
      <c r="H29" t="s">
        <v>345</v>
      </c>
      <c r="I29">
        <v>1931377</v>
      </c>
      <c r="J29" t="s">
        <v>6410</v>
      </c>
      <c r="K29">
        <v>34.93</v>
      </c>
      <c r="L29">
        <v>0</v>
      </c>
      <c r="M29">
        <v>1.2</v>
      </c>
      <c r="N29">
        <v>5.0999999999999996</v>
      </c>
      <c r="O29" t="s">
        <v>33</v>
      </c>
      <c r="V29" t="str">
        <v>48.62.36.27HSTFIN CUT-6.27</v>
      </c>
      <c r="Z29" t="s">
        <v>6154</v>
      </c>
      <c r="AA29" t="str">
        <v>42.7-0-4-ERW 1-FC-6</v>
      </c>
    </row>
    <row r="30" spans="1:27" x14ac:dyDescent="0.25">
      <c r="A30">
        <v>46191</v>
      </c>
      <c r="B30" t="s">
        <v>5999</v>
      </c>
      <c r="C30" t="s">
        <v>36</v>
      </c>
      <c r="D30" t="s">
        <v>392</v>
      </c>
      <c r="E30">
        <v>185</v>
      </c>
      <c r="F30">
        <v>942.41399999999999</v>
      </c>
      <c r="G30">
        <v>941</v>
      </c>
      <c r="H30" t="s">
        <v>345</v>
      </c>
      <c r="I30">
        <v>1931377</v>
      </c>
      <c r="J30" t="s">
        <v>6410</v>
      </c>
      <c r="K30">
        <v>34.93</v>
      </c>
      <c r="L30">
        <v>0</v>
      </c>
      <c r="M30">
        <v>1.2</v>
      </c>
      <c r="N30">
        <v>5.0999999999999996</v>
      </c>
      <c r="O30" t="s">
        <v>33</v>
      </c>
      <c r="V30" t="str">
        <v>45-0-1.4-ERW 2-FIN CUT-6.4</v>
      </c>
      <c r="Z30" t="s">
        <v>6154</v>
      </c>
      <c r="AA30" t="str">
        <v>40-30-1.6-ERW 1-FC-5.9</v>
      </c>
    </row>
    <row r="31" spans="1:27" x14ac:dyDescent="0.25">
      <c r="A31">
        <v>46191</v>
      </c>
      <c r="B31" t="s">
        <v>5999</v>
      </c>
      <c r="C31" t="s">
        <v>36</v>
      </c>
      <c r="D31" t="s">
        <v>392</v>
      </c>
      <c r="E31">
        <v>377</v>
      </c>
      <c r="F31">
        <v>1921.883</v>
      </c>
      <c r="G31">
        <v>1919</v>
      </c>
      <c r="H31" t="s">
        <v>345</v>
      </c>
      <c r="I31">
        <v>1931377</v>
      </c>
      <c r="J31" t="s">
        <v>6410</v>
      </c>
      <c r="K31">
        <v>34.93</v>
      </c>
      <c r="L31">
        <v>0</v>
      </c>
      <c r="M31">
        <v>1.2</v>
      </c>
      <c r="N31">
        <v>5.0999999999999996</v>
      </c>
      <c r="O31" t="s">
        <v>33</v>
      </c>
      <c r="V31" t="str">
        <v>32-4.5-SLT-6.4</v>
      </c>
      <c r="Z31" t="e">
        <v>#N/A</v>
      </c>
      <c r="AA31" t="str">
        <v>45--1.4-ERW 2-FIN CUT-6.4</v>
      </c>
    </row>
    <row r="32" spans="1:27" x14ac:dyDescent="0.25">
      <c r="A32">
        <v>46191</v>
      </c>
      <c r="B32" t="s">
        <v>5999</v>
      </c>
      <c r="C32" t="s">
        <v>36</v>
      </c>
      <c r="D32" t="s">
        <v>392</v>
      </c>
      <c r="E32">
        <v>369</v>
      </c>
      <c r="F32">
        <v>1882.8240000000001</v>
      </c>
      <c r="G32">
        <v>1880</v>
      </c>
      <c r="H32" t="s">
        <v>345</v>
      </c>
      <c r="I32">
        <v>1931377</v>
      </c>
      <c r="J32" t="s">
        <v>6410</v>
      </c>
      <c r="K32">
        <v>34.93</v>
      </c>
      <c r="L32">
        <v>0</v>
      </c>
      <c r="M32">
        <v>1.2</v>
      </c>
      <c r="N32">
        <v>5.0999999999999996</v>
      </c>
      <c r="O32" t="s">
        <v>33</v>
      </c>
      <c r="V32" t="str">
        <v>19.05-0-2.3-ERW 1-PE-7</v>
      </c>
      <c r="Z32" t="s">
        <v>6154</v>
      </c>
      <c r="AA32" t="str">
        <v>45--1.4-ERW 1-FIN CUT-5.7</v>
      </c>
    </row>
    <row r="33" spans="1:27" x14ac:dyDescent="0.25">
      <c r="A33">
        <v>46191</v>
      </c>
      <c r="B33" t="s">
        <v>5999</v>
      </c>
      <c r="C33" t="s">
        <v>36</v>
      </c>
      <c r="D33" t="s">
        <v>392</v>
      </c>
      <c r="E33">
        <v>373</v>
      </c>
      <c r="F33">
        <v>1902.854</v>
      </c>
      <c r="G33">
        <v>1900</v>
      </c>
      <c r="H33" t="s">
        <v>345</v>
      </c>
      <c r="I33">
        <v>1931377</v>
      </c>
      <c r="J33" t="s">
        <v>6410</v>
      </c>
      <c r="K33">
        <v>34.93</v>
      </c>
      <c r="L33">
        <v>0</v>
      </c>
      <c r="M33">
        <v>1.2</v>
      </c>
      <c r="N33">
        <v>5.0999999999999996</v>
      </c>
      <c r="O33" t="s">
        <v>33</v>
      </c>
      <c r="Z33" t="s">
        <v>6178</v>
      </c>
      <c r="AA33" t="str">
        <v>48--1.2-ERW 1-FIN CUT-0.7</v>
      </c>
    </row>
    <row r="34" spans="1:27" x14ac:dyDescent="0.25">
      <c r="A34">
        <v>46198</v>
      </c>
      <c r="B34" t="s">
        <v>5966</v>
      </c>
      <c r="C34" t="s">
        <v>37</v>
      </c>
      <c r="D34" t="s">
        <v>392</v>
      </c>
      <c r="E34">
        <v>423</v>
      </c>
      <c r="F34">
        <v>2226.6350000000002</v>
      </c>
      <c r="G34">
        <v>1747.117</v>
      </c>
      <c r="H34" t="s">
        <v>367</v>
      </c>
      <c r="I34">
        <v>3501116</v>
      </c>
      <c r="J34" t="s">
        <v>5983</v>
      </c>
      <c r="K34">
        <v>22.2</v>
      </c>
      <c r="L34">
        <v>0</v>
      </c>
      <c r="M34">
        <v>1.6</v>
      </c>
      <c r="N34">
        <v>5.2640000000000002</v>
      </c>
      <c r="O34" t="s">
        <v>33</v>
      </c>
      <c r="Z34" t="s">
        <v>6181</v>
      </c>
      <c r="AA34" t="str">
        <v>48.6-0-3.5-ERW 1-FC-6</v>
      </c>
    </row>
    <row r="35" spans="1:27" x14ac:dyDescent="0.25">
      <c r="A35">
        <v>46198</v>
      </c>
      <c r="B35" t="s">
        <v>5966</v>
      </c>
      <c r="C35" t="s">
        <v>37</v>
      </c>
      <c r="D35" t="s">
        <v>392</v>
      </c>
      <c r="E35">
        <v>415</v>
      </c>
      <c r="F35">
        <v>2184.5230000000001</v>
      </c>
      <c r="G35">
        <v>1714.0740000000001</v>
      </c>
      <c r="H35" t="s">
        <v>367</v>
      </c>
      <c r="I35">
        <v>3501116</v>
      </c>
      <c r="J35" t="s">
        <v>5983</v>
      </c>
      <c r="K35">
        <v>22.2</v>
      </c>
      <c r="L35">
        <v>0</v>
      </c>
      <c r="M35">
        <v>1.6</v>
      </c>
      <c r="N35">
        <v>5.2640000000000002</v>
      </c>
      <c r="O35" t="s">
        <v>33</v>
      </c>
      <c r="Z35" t="s">
        <v>6154</v>
      </c>
      <c r="AA35" t="str">
        <v>59-30-1.6-ERW 1-FIN CUT-6</v>
      </c>
    </row>
    <row r="36" spans="1:27" x14ac:dyDescent="0.25">
      <c r="A36">
        <v>46198</v>
      </c>
      <c r="B36" t="s">
        <v>5966</v>
      </c>
      <c r="C36" t="s">
        <v>37</v>
      </c>
      <c r="D36" t="s">
        <v>392</v>
      </c>
      <c r="E36">
        <v>200</v>
      </c>
      <c r="F36">
        <v>1052.7829999999999</v>
      </c>
      <c r="G36">
        <v>826.06</v>
      </c>
      <c r="H36" t="s">
        <v>367</v>
      </c>
      <c r="I36">
        <v>3501116</v>
      </c>
      <c r="J36" t="s">
        <v>5983</v>
      </c>
      <c r="K36">
        <v>22.2</v>
      </c>
      <c r="L36">
        <v>0</v>
      </c>
      <c r="M36">
        <v>1.6</v>
      </c>
      <c r="N36">
        <v>5.2640000000000002</v>
      </c>
      <c r="O36" t="s">
        <v>33</v>
      </c>
      <c r="Z36" t="s">
        <v>6154</v>
      </c>
      <c r="AA36" t="str">
        <v>59-30-1.6-ERW 1-FIN CUT-0.573</v>
      </c>
    </row>
    <row r="37" spans="1:27" x14ac:dyDescent="0.25">
      <c r="A37">
        <v>46198</v>
      </c>
      <c r="B37" t="s">
        <v>5966</v>
      </c>
      <c r="C37" t="s">
        <v>37</v>
      </c>
      <c r="D37" t="s">
        <v>392</v>
      </c>
      <c r="E37">
        <v>420</v>
      </c>
      <c r="F37">
        <v>2210.8429999999998</v>
      </c>
      <c r="G37">
        <v>1734.7260000000001</v>
      </c>
      <c r="H37" t="s">
        <v>367</v>
      </c>
      <c r="I37">
        <v>3501116</v>
      </c>
      <c r="J37" t="s">
        <v>5983</v>
      </c>
      <c r="K37">
        <v>22.2</v>
      </c>
      <c r="L37">
        <v>0</v>
      </c>
      <c r="M37">
        <v>1.6</v>
      </c>
      <c r="N37">
        <v>5.2640000000000002</v>
      </c>
      <c r="O37" t="s">
        <v>33</v>
      </c>
      <c r="Z37" t="s">
        <v>4610</v>
      </c>
      <c r="AA37" t="str">
        <v>57.15-0-2.5-ERW 1-FC-5.711</v>
      </c>
    </row>
    <row r="38" spans="1:27" x14ac:dyDescent="0.25">
      <c r="A38">
        <v>46176</v>
      </c>
      <c r="B38" t="s">
        <v>5966</v>
      </c>
      <c r="C38" t="s">
        <v>37</v>
      </c>
      <c r="D38" t="s">
        <v>392</v>
      </c>
      <c r="E38">
        <v>493</v>
      </c>
      <c r="F38">
        <v>2600.6880000000001</v>
      </c>
      <c r="G38">
        <v>2118</v>
      </c>
      <c r="H38" t="s">
        <v>345</v>
      </c>
      <c r="I38">
        <v>3575894</v>
      </c>
      <c r="J38" t="s">
        <v>2292</v>
      </c>
      <c r="K38">
        <v>22.23</v>
      </c>
      <c r="L38">
        <v>0</v>
      </c>
      <c r="M38">
        <v>1.6</v>
      </c>
      <c r="N38">
        <v>5.27</v>
      </c>
      <c r="O38" t="s">
        <v>33</v>
      </c>
      <c r="P38" t="s">
        <v>6249</v>
      </c>
      <c r="Z38" t="s">
        <v>6154</v>
      </c>
      <c r="AA38" t="str">
        <v>57.15-0-2.5-ERW 1-FC-6.1</v>
      </c>
    </row>
    <row r="39" spans="1:27" x14ac:dyDescent="0.25">
      <c r="A39">
        <v>46176</v>
      </c>
      <c r="B39" t="s">
        <v>5966</v>
      </c>
      <c r="C39" t="s">
        <v>37</v>
      </c>
      <c r="D39" t="s">
        <v>392</v>
      </c>
      <c r="E39">
        <v>649</v>
      </c>
      <c r="F39">
        <v>3419.6950000000002</v>
      </c>
      <c r="G39">
        <v>2785</v>
      </c>
      <c r="H39" t="s">
        <v>345</v>
      </c>
      <c r="I39">
        <v>3575894</v>
      </c>
      <c r="J39" t="s">
        <v>2292</v>
      </c>
      <c r="K39">
        <v>22.23</v>
      </c>
      <c r="L39">
        <v>0</v>
      </c>
      <c r="M39">
        <v>1.6</v>
      </c>
      <c r="N39">
        <v>5.27</v>
      </c>
      <c r="O39" t="s">
        <v>33</v>
      </c>
      <c r="P39" t="s">
        <v>6249</v>
      </c>
      <c r="Z39" t="s">
        <v>6186</v>
      </c>
      <c r="AA39" t="str">
        <v>57.15-0-2.5-ERW 1-FC-5.75</v>
      </c>
    </row>
    <row r="40" spans="1:27" x14ac:dyDescent="0.25">
      <c r="A40">
        <v>46176</v>
      </c>
      <c r="B40" t="s">
        <v>5966</v>
      </c>
      <c r="C40" t="s">
        <v>37</v>
      </c>
      <c r="D40" t="s">
        <v>392</v>
      </c>
      <c r="E40">
        <v>638</v>
      </c>
      <c r="F40">
        <v>3364.44</v>
      </c>
      <c r="G40">
        <v>2740</v>
      </c>
      <c r="H40" t="s">
        <v>345</v>
      </c>
      <c r="I40">
        <v>3575894</v>
      </c>
      <c r="J40" t="s">
        <v>2292</v>
      </c>
      <c r="K40">
        <v>22.23</v>
      </c>
      <c r="L40">
        <v>0</v>
      </c>
      <c r="M40">
        <v>1.6</v>
      </c>
      <c r="N40">
        <v>5.27</v>
      </c>
      <c r="O40" t="s">
        <v>33</v>
      </c>
      <c r="P40" t="s">
        <v>6249</v>
      </c>
      <c r="Z40" t="s">
        <v>6187</v>
      </c>
      <c r="AA40" t="str">
        <v>60.3-0-2-ERW 1-FC-5.9</v>
      </c>
    </row>
    <row r="41" spans="1:27" x14ac:dyDescent="0.25">
      <c r="A41">
        <v>46176</v>
      </c>
      <c r="B41" t="s">
        <v>5966</v>
      </c>
      <c r="C41" t="s">
        <v>37</v>
      </c>
      <c r="D41" t="s">
        <v>392</v>
      </c>
      <c r="E41">
        <v>415</v>
      </c>
      <c r="F41">
        <v>2188.114</v>
      </c>
      <c r="G41">
        <v>1782</v>
      </c>
      <c r="H41" t="s">
        <v>345</v>
      </c>
      <c r="I41">
        <v>3575894</v>
      </c>
      <c r="J41" t="s">
        <v>2292</v>
      </c>
      <c r="K41">
        <v>22.23</v>
      </c>
      <c r="L41">
        <v>0</v>
      </c>
      <c r="M41">
        <v>1.6</v>
      </c>
      <c r="N41">
        <v>5.27</v>
      </c>
      <c r="O41" t="s">
        <v>33</v>
      </c>
      <c r="P41" t="s">
        <v>6249</v>
      </c>
      <c r="Z41" t="s">
        <v>6188</v>
      </c>
    </row>
    <row r="42" spans="1:27" x14ac:dyDescent="0.25">
      <c r="A42">
        <v>46176</v>
      </c>
      <c r="B42" t="s">
        <v>5966</v>
      </c>
      <c r="C42" t="s">
        <v>37</v>
      </c>
      <c r="D42" t="s">
        <v>392</v>
      </c>
      <c r="E42">
        <v>659</v>
      </c>
      <c r="F42">
        <v>3474.951</v>
      </c>
      <c r="G42">
        <v>2830</v>
      </c>
      <c r="H42" t="s">
        <v>345</v>
      </c>
      <c r="I42">
        <v>3575894</v>
      </c>
      <c r="J42" t="s">
        <v>2292</v>
      </c>
      <c r="K42">
        <v>22.23</v>
      </c>
      <c r="L42">
        <v>0</v>
      </c>
      <c r="M42">
        <v>1.6</v>
      </c>
      <c r="N42">
        <v>5.27</v>
      </c>
      <c r="O42" t="s">
        <v>33</v>
      </c>
      <c r="P42" t="s">
        <v>6249</v>
      </c>
      <c r="Z42" t="s">
        <v>6189</v>
      </c>
    </row>
    <row r="43" spans="1:27" x14ac:dyDescent="0.25">
      <c r="A43">
        <v>46176</v>
      </c>
      <c r="B43" t="s">
        <v>5966</v>
      </c>
      <c r="C43" t="s">
        <v>37</v>
      </c>
      <c r="D43" t="s">
        <v>392</v>
      </c>
      <c r="E43">
        <v>290</v>
      </c>
      <c r="F43">
        <v>1528.7329999999999</v>
      </c>
      <c r="G43">
        <v>1245</v>
      </c>
      <c r="H43" t="s">
        <v>345</v>
      </c>
      <c r="I43">
        <v>3575894</v>
      </c>
      <c r="J43" t="s">
        <v>2292</v>
      </c>
      <c r="K43">
        <v>22.23</v>
      </c>
      <c r="L43">
        <v>0</v>
      </c>
      <c r="M43">
        <v>1.6</v>
      </c>
      <c r="N43">
        <v>5.27</v>
      </c>
      <c r="O43" t="s">
        <v>33</v>
      </c>
      <c r="P43" t="s">
        <v>6249</v>
      </c>
      <c r="Z43" t="s">
        <v>6190</v>
      </c>
    </row>
    <row r="44" spans="1:27" x14ac:dyDescent="0.25">
      <c r="A44">
        <v>46199</v>
      </c>
      <c r="B44" t="s">
        <v>5966</v>
      </c>
      <c r="C44" t="s">
        <v>37</v>
      </c>
      <c r="D44" t="s">
        <v>392</v>
      </c>
      <c r="E44">
        <v>648</v>
      </c>
      <c r="F44">
        <v>3413.556</v>
      </c>
      <c r="G44">
        <v>2780</v>
      </c>
      <c r="H44" t="s">
        <v>345</v>
      </c>
      <c r="I44">
        <v>3575894</v>
      </c>
      <c r="J44" t="s">
        <v>2292</v>
      </c>
      <c r="K44">
        <v>22.23</v>
      </c>
      <c r="L44">
        <v>0</v>
      </c>
      <c r="M44">
        <v>1.6</v>
      </c>
      <c r="N44">
        <v>5.27</v>
      </c>
      <c r="O44" t="s">
        <v>33</v>
      </c>
      <c r="P44" t="s">
        <v>6249</v>
      </c>
      <c r="Z44" t="s">
        <v>6191</v>
      </c>
    </row>
    <row r="45" spans="1:27" x14ac:dyDescent="0.25">
      <c r="A45">
        <v>46198</v>
      </c>
      <c r="B45" t="s">
        <v>5966</v>
      </c>
      <c r="C45" t="s">
        <v>37</v>
      </c>
      <c r="D45" t="s">
        <v>392</v>
      </c>
      <c r="E45">
        <v>559</v>
      </c>
      <c r="F45">
        <v>2946.9549999999999</v>
      </c>
      <c r="G45">
        <v>2400</v>
      </c>
      <c r="H45" t="s">
        <v>345</v>
      </c>
      <c r="I45">
        <v>3575894</v>
      </c>
      <c r="J45" t="s">
        <v>2292</v>
      </c>
      <c r="K45">
        <v>22.23</v>
      </c>
      <c r="L45">
        <v>0</v>
      </c>
      <c r="M45">
        <v>1.6</v>
      </c>
      <c r="N45">
        <v>5.27</v>
      </c>
      <c r="O45" t="s">
        <v>33</v>
      </c>
      <c r="P45" t="s">
        <v>6249</v>
      </c>
      <c r="Z45" t="s">
        <v>6193</v>
      </c>
    </row>
    <row r="46" spans="1:27" x14ac:dyDescent="0.25">
      <c r="A46">
        <v>46198</v>
      </c>
      <c r="B46" t="s">
        <v>5966</v>
      </c>
      <c r="C46" t="s">
        <v>37</v>
      </c>
      <c r="D46" t="s">
        <v>392</v>
      </c>
      <c r="E46">
        <v>53</v>
      </c>
      <c r="F46">
        <v>281.18900000000002</v>
      </c>
      <c r="G46">
        <v>229</v>
      </c>
      <c r="H46" t="s">
        <v>345</v>
      </c>
      <c r="I46">
        <v>3575894</v>
      </c>
      <c r="J46" t="s">
        <v>2292</v>
      </c>
      <c r="K46">
        <v>22.23</v>
      </c>
      <c r="L46">
        <v>0</v>
      </c>
      <c r="M46">
        <v>1.6</v>
      </c>
      <c r="N46">
        <v>5.27</v>
      </c>
      <c r="O46" t="s">
        <v>33</v>
      </c>
      <c r="P46" t="s">
        <v>6249</v>
      </c>
      <c r="Z46" t="s">
        <v>6194</v>
      </c>
    </row>
    <row r="47" spans="1:27" x14ac:dyDescent="0.25">
      <c r="A47">
        <v>46198</v>
      </c>
      <c r="B47" t="s">
        <v>5966</v>
      </c>
      <c r="C47" t="s">
        <v>37</v>
      </c>
      <c r="D47" t="s">
        <v>392</v>
      </c>
      <c r="E47">
        <v>638</v>
      </c>
      <c r="F47">
        <v>3364.44</v>
      </c>
      <c r="G47">
        <v>2740</v>
      </c>
      <c r="H47" t="s">
        <v>345</v>
      </c>
      <c r="I47">
        <v>3575894</v>
      </c>
      <c r="J47" t="s">
        <v>2292</v>
      </c>
      <c r="K47">
        <v>22.23</v>
      </c>
      <c r="L47">
        <v>0</v>
      </c>
      <c r="M47">
        <v>1.6</v>
      </c>
      <c r="N47">
        <v>5.27</v>
      </c>
      <c r="O47" t="s">
        <v>33</v>
      </c>
      <c r="P47" t="s">
        <v>6249</v>
      </c>
      <c r="Z47" t="s">
        <v>6195</v>
      </c>
    </row>
    <row r="48" spans="1:27" x14ac:dyDescent="0.25">
      <c r="A48">
        <v>46203</v>
      </c>
      <c r="B48" t="s">
        <v>5966</v>
      </c>
      <c r="C48" t="s">
        <v>37</v>
      </c>
      <c r="D48" t="s">
        <v>392</v>
      </c>
      <c r="E48">
        <v>260</v>
      </c>
      <c r="F48">
        <v>1370.3340000000001</v>
      </c>
      <c r="G48">
        <v>1116</v>
      </c>
      <c r="H48" t="s">
        <v>345</v>
      </c>
      <c r="I48">
        <v>3575894</v>
      </c>
      <c r="J48" t="s">
        <v>2292</v>
      </c>
      <c r="K48">
        <v>22.23</v>
      </c>
      <c r="L48">
        <v>0</v>
      </c>
      <c r="M48">
        <v>1.6</v>
      </c>
      <c r="N48">
        <v>5.27</v>
      </c>
      <c r="O48" t="s">
        <v>33</v>
      </c>
      <c r="P48" t="s">
        <v>6249</v>
      </c>
      <c r="Z48" t="s">
        <v>4936</v>
      </c>
    </row>
    <row r="49" spans="1:26" x14ac:dyDescent="0.25">
      <c r="A49">
        <v>46198</v>
      </c>
      <c r="B49" t="s">
        <v>5966</v>
      </c>
      <c r="C49" t="s">
        <v>37</v>
      </c>
      <c r="D49" t="s">
        <v>392</v>
      </c>
      <c r="E49">
        <v>82</v>
      </c>
      <c r="F49">
        <v>430.99200000000002</v>
      </c>
      <c r="G49">
        <v>351</v>
      </c>
      <c r="H49" t="s">
        <v>345</v>
      </c>
      <c r="I49">
        <v>3575894</v>
      </c>
      <c r="J49" t="s">
        <v>2292</v>
      </c>
      <c r="K49">
        <v>22.23</v>
      </c>
      <c r="L49">
        <v>0</v>
      </c>
      <c r="M49">
        <v>1.6</v>
      </c>
      <c r="N49">
        <v>5.27</v>
      </c>
      <c r="O49" t="s">
        <v>33</v>
      </c>
      <c r="P49" t="s">
        <v>6249</v>
      </c>
      <c r="Z49" t="s">
        <v>6196</v>
      </c>
    </row>
    <row r="50" spans="1:26" x14ac:dyDescent="0.25">
      <c r="A50">
        <v>46199</v>
      </c>
      <c r="B50" t="s">
        <v>5966</v>
      </c>
      <c r="C50" t="s">
        <v>37</v>
      </c>
      <c r="D50" t="s">
        <v>392</v>
      </c>
      <c r="E50">
        <v>631</v>
      </c>
      <c r="F50">
        <v>3327.6030000000001</v>
      </c>
      <c r="G50">
        <v>2710</v>
      </c>
      <c r="H50" t="s">
        <v>345</v>
      </c>
      <c r="I50">
        <v>3575894</v>
      </c>
      <c r="J50" t="s">
        <v>2292</v>
      </c>
      <c r="K50">
        <v>22.23</v>
      </c>
      <c r="L50">
        <v>0</v>
      </c>
      <c r="M50">
        <v>1.6</v>
      </c>
      <c r="N50">
        <v>5.27</v>
      </c>
      <c r="O50" t="s">
        <v>33</v>
      </c>
      <c r="P50" t="s">
        <v>6249</v>
      </c>
      <c r="Z50" t="s">
        <v>6197</v>
      </c>
    </row>
    <row r="51" spans="1:26" x14ac:dyDescent="0.25">
      <c r="A51">
        <v>46197</v>
      </c>
      <c r="B51" t="s">
        <v>5966</v>
      </c>
      <c r="C51" t="s">
        <v>37</v>
      </c>
      <c r="D51" t="s">
        <v>392</v>
      </c>
      <c r="E51">
        <v>89</v>
      </c>
      <c r="F51">
        <v>467.82900000000001</v>
      </c>
      <c r="G51">
        <v>381</v>
      </c>
      <c r="H51" t="s">
        <v>345</v>
      </c>
      <c r="I51">
        <v>3575894</v>
      </c>
      <c r="J51" t="s">
        <v>2292</v>
      </c>
      <c r="K51">
        <v>22.23</v>
      </c>
      <c r="L51">
        <v>0</v>
      </c>
      <c r="M51">
        <v>1.6</v>
      </c>
      <c r="N51">
        <v>5.27</v>
      </c>
      <c r="O51" t="s">
        <v>33</v>
      </c>
      <c r="P51" t="s">
        <v>6249</v>
      </c>
      <c r="Z51" t="s">
        <v>6154</v>
      </c>
    </row>
    <row r="52" spans="1:26" x14ac:dyDescent="0.25">
      <c r="A52">
        <v>46197</v>
      </c>
      <c r="B52" t="s">
        <v>5966</v>
      </c>
      <c r="C52" t="s">
        <v>37</v>
      </c>
      <c r="D52" t="s">
        <v>392</v>
      </c>
      <c r="E52">
        <v>238</v>
      </c>
      <c r="F52">
        <v>1256.1389999999999</v>
      </c>
      <c r="G52">
        <v>1023</v>
      </c>
      <c r="H52" t="s">
        <v>345</v>
      </c>
      <c r="I52">
        <v>3575894</v>
      </c>
      <c r="J52" t="s">
        <v>2292</v>
      </c>
      <c r="K52">
        <v>22.23</v>
      </c>
      <c r="L52">
        <v>0</v>
      </c>
      <c r="M52">
        <v>1.6</v>
      </c>
      <c r="N52">
        <v>5.27</v>
      </c>
      <c r="O52" t="s">
        <v>33</v>
      </c>
      <c r="P52" t="s">
        <v>6249</v>
      </c>
      <c r="Z52" t="s">
        <v>6154</v>
      </c>
    </row>
    <row r="53" spans="1:26" x14ac:dyDescent="0.25">
      <c r="A53">
        <v>46203</v>
      </c>
      <c r="B53" t="s">
        <v>5966</v>
      </c>
      <c r="C53" t="s">
        <v>37</v>
      </c>
      <c r="D53" t="s">
        <v>392</v>
      </c>
      <c r="E53">
        <v>557</v>
      </c>
      <c r="F53">
        <v>2933.4479999999999</v>
      </c>
      <c r="G53">
        <v>2389</v>
      </c>
      <c r="H53" t="s">
        <v>345</v>
      </c>
      <c r="I53">
        <v>3575894</v>
      </c>
      <c r="J53" t="s">
        <v>2292</v>
      </c>
      <c r="K53">
        <v>22.23</v>
      </c>
      <c r="L53">
        <v>0</v>
      </c>
      <c r="M53">
        <v>1.6</v>
      </c>
      <c r="N53">
        <v>5.27</v>
      </c>
      <c r="O53" t="s">
        <v>33</v>
      </c>
      <c r="P53" t="s">
        <v>6249</v>
      </c>
      <c r="Z53" t="s">
        <v>2277</v>
      </c>
    </row>
    <row r="54" spans="1:26" x14ac:dyDescent="0.25">
      <c r="A54">
        <v>46199</v>
      </c>
      <c r="B54" t="s">
        <v>5966</v>
      </c>
      <c r="C54" t="s">
        <v>37</v>
      </c>
      <c r="D54" t="s">
        <v>392</v>
      </c>
      <c r="E54">
        <v>2</v>
      </c>
      <c r="F54">
        <v>12.279</v>
      </c>
      <c r="G54">
        <v>10</v>
      </c>
      <c r="H54" t="s">
        <v>345</v>
      </c>
      <c r="I54">
        <v>3575894</v>
      </c>
      <c r="J54" t="s">
        <v>2292</v>
      </c>
      <c r="K54">
        <v>22.23</v>
      </c>
      <c r="L54">
        <v>0</v>
      </c>
      <c r="M54">
        <v>1.6</v>
      </c>
      <c r="N54">
        <v>5.27</v>
      </c>
      <c r="O54" t="s">
        <v>33</v>
      </c>
      <c r="P54" t="s">
        <v>6249</v>
      </c>
      <c r="Z54" t="s">
        <v>6154</v>
      </c>
    </row>
    <row r="55" spans="1:26" x14ac:dyDescent="0.25">
      <c r="A55">
        <v>46198</v>
      </c>
      <c r="B55" t="s">
        <v>5966</v>
      </c>
      <c r="C55" t="s">
        <v>37</v>
      </c>
      <c r="D55" t="s">
        <v>392</v>
      </c>
      <c r="E55">
        <v>617</v>
      </c>
      <c r="F55">
        <v>3253.9290000000001</v>
      </c>
      <c r="G55">
        <v>2650</v>
      </c>
      <c r="H55" t="s">
        <v>345</v>
      </c>
      <c r="I55">
        <v>3575894</v>
      </c>
      <c r="J55" t="s">
        <v>2292</v>
      </c>
      <c r="K55">
        <v>22.23</v>
      </c>
      <c r="L55">
        <v>0</v>
      </c>
      <c r="M55">
        <v>1.6</v>
      </c>
      <c r="N55">
        <v>5.27</v>
      </c>
      <c r="O55" t="s">
        <v>33</v>
      </c>
      <c r="P55" t="s">
        <v>6249</v>
      </c>
      <c r="Z55" t="s">
        <v>6154</v>
      </c>
    </row>
    <row r="56" spans="1:26" x14ac:dyDescent="0.25">
      <c r="A56">
        <v>46197</v>
      </c>
      <c r="B56" t="s">
        <v>5966</v>
      </c>
      <c r="C56" t="s">
        <v>37</v>
      </c>
      <c r="D56" t="s">
        <v>392</v>
      </c>
      <c r="E56">
        <v>473</v>
      </c>
      <c r="F56">
        <v>2490.1770000000001</v>
      </c>
      <c r="G56">
        <v>2028</v>
      </c>
      <c r="H56" t="s">
        <v>345</v>
      </c>
      <c r="I56">
        <v>3575894</v>
      </c>
      <c r="J56" t="s">
        <v>2292</v>
      </c>
      <c r="K56">
        <v>22.23</v>
      </c>
      <c r="L56">
        <v>0</v>
      </c>
      <c r="M56">
        <v>1.6</v>
      </c>
      <c r="N56">
        <v>5.27</v>
      </c>
      <c r="O56" t="s">
        <v>33</v>
      </c>
      <c r="P56" t="s">
        <v>6249</v>
      </c>
      <c r="Z56" t="s">
        <v>6202</v>
      </c>
    </row>
    <row r="57" spans="1:26" x14ac:dyDescent="0.25">
      <c r="A57">
        <v>46197</v>
      </c>
      <c r="B57" t="s">
        <v>5966</v>
      </c>
      <c r="C57" t="s">
        <v>37</v>
      </c>
      <c r="D57" t="s">
        <v>392</v>
      </c>
      <c r="E57">
        <v>701</v>
      </c>
      <c r="F57">
        <v>3692.2890000000002</v>
      </c>
      <c r="G57">
        <v>3007</v>
      </c>
      <c r="H57" t="s">
        <v>345</v>
      </c>
      <c r="I57">
        <v>3575894</v>
      </c>
      <c r="J57" t="s">
        <v>2292</v>
      </c>
      <c r="K57">
        <v>22.23</v>
      </c>
      <c r="L57">
        <v>0</v>
      </c>
      <c r="M57">
        <v>1.6</v>
      </c>
      <c r="N57">
        <v>5.27</v>
      </c>
      <c r="O57" t="s">
        <v>33</v>
      </c>
      <c r="P57" t="s">
        <v>6249</v>
      </c>
      <c r="Z57" t="s">
        <v>6203</v>
      </c>
    </row>
    <row r="58" spans="1:26" x14ac:dyDescent="0.25">
      <c r="A58">
        <v>46198</v>
      </c>
      <c r="B58" t="s">
        <v>5966</v>
      </c>
      <c r="C58" t="s">
        <v>37</v>
      </c>
      <c r="D58" t="s">
        <v>392</v>
      </c>
      <c r="E58">
        <v>643</v>
      </c>
      <c r="F58">
        <v>3388.998</v>
      </c>
      <c r="G58">
        <v>2760</v>
      </c>
      <c r="H58" t="s">
        <v>345</v>
      </c>
      <c r="I58">
        <v>3575894</v>
      </c>
      <c r="J58" t="s">
        <v>2292</v>
      </c>
      <c r="K58">
        <v>22.23</v>
      </c>
      <c r="L58">
        <v>0</v>
      </c>
      <c r="M58">
        <v>1.6</v>
      </c>
      <c r="N58">
        <v>5.27</v>
      </c>
      <c r="O58" t="s">
        <v>33</v>
      </c>
      <c r="P58" t="s">
        <v>6249</v>
      </c>
      <c r="Z58" t="s">
        <v>6204</v>
      </c>
    </row>
    <row r="59" spans="1:26" x14ac:dyDescent="0.25">
      <c r="A59">
        <v>46197</v>
      </c>
      <c r="B59" t="s">
        <v>5966</v>
      </c>
      <c r="C59" t="s">
        <v>37</v>
      </c>
      <c r="D59" t="s">
        <v>392</v>
      </c>
      <c r="E59">
        <v>260</v>
      </c>
      <c r="F59">
        <v>1372.79</v>
      </c>
      <c r="G59">
        <v>1118</v>
      </c>
      <c r="H59" t="s">
        <v>345</v>
      </c>
      <c r="I59">
        <v>3575894</v>
      </c>
      <c r="J59" t="s">
        <v>2292</v>
      </c>
      <c r="K59">
        <v>22.23</v>
      </c>
      <c r="L59">
        <v>0</v>
      </c>
      <c r="M59">
        <v>1.6</v>
      </c>
      <c r="N59">
        <v>5.27</v>
      </c>
      <c r="O59" t="s">
        <v>33</v>
      </c>
      <c r="P59" t="s">
        <v>6249</v>
      </c>
      <c r="Z59" t="s">
        <v>6205</v>
      </c>
    </row>
    <row r="60" spans="1:26" x14ac:dyDescent="0.25">
      <c r="A60">
        <v>46197</v>
      </c>
      <c r="B60" t="s">
        <v>5966</v>
      </c>
      <c r="C60" t="s">
        <v>37</v>
      </c>
      <c r="D60" t="s">
        <v>392</v>
      </c>
      <c r="E60">
        <v>31</v>
      </c>
      <c r="F60">
        <v>160.85499999999999</v>
      </c>
      <c r="G60">
        <v>131</v>
      </c>
      <c r="H60" t="s">
        <v>345</v>
      </c>
      <c r="I60">
        <v>3575894</v>
      </c>
      <c r="J60" t="s">
        <v>2292</v>
      </c>
      <c r="K60">
        <v>22.23</v>
      </c>
      <c r="L60">
        <v>0</v>
      </c>
      <c r="M60">
        <v>1.6</v>
      </c>
      <c r="N60">
        <v>5.27</v>
      </c>
      <c r="O60" t="s">
        <v>33</v>
      </c>
      <c r="P60" t="s">
        <v>6249</v>
      </c>
      <c r="Z60" t="s">
        <v>6206</v>
      </c>
    </row>
    <row r="61" spans="1:26" x14ac:dyDescent="0.25">
      <c r="A61">
        <v>46197</v>
      </c>
      <c r="B61" t="s">
        <v>5966</v>
      </c>
      <c r="C61" t="s">
        <v>37</v>
      </c>
      <c r="D61" t="s">
        <v>392</v>
      </c>
      <c r="E61">
        <v>6</v>
      </c>
      <c r="F61">
        <v>30.696999999999999</v>
      </c>
      <c r="G61">
        <v>25</v>
      </c>
      <c r="H61" t="s">
        <v>345</v>
      </c>
      <c r="I61">
        <v>3575894</v>
      </c>
      <c r="J61" t="s">
        <v>2292</v>
      </c>
      <c r="K61">
        <v>22.23</v>
      </c>
      <c r="L61">
        <v>0</v>
      </c>
      <c r="M61">
        <v>1.6</v>
      </c>
      <c r="N61">
        <v>5.27</v>
      </c>
      <c r="O61" t="s">
        <v>33</v>
      </c>
      <c r="P61" t="s">
        <v>6249</v>
      </c>
      <c r="Z61" t="s">
        <v>6207</v>
      </c>
    </row>
    <row r="62" spans="1:26" x14ac:dyDescent="0.25">
      <c r="A62">
        <v>46197</v>
      </c>
      <c r="B62" t="s">
        <v>5966</v>
      </c>
      <c r="C62" t="s">
        <v>37</v>
      </c>
      <c r="D62" t="s">
        <v>392</v>
      </c>
      <c r="E62">
        <v>404</v>
      </c>
      <c r="F62">
        <v>2126.7190000000001</v>
      </c>
      <c r="G62">
        <v>1732</v>
      </c>
      <c r="H62" t="s">
        <v>345</v>
      </c>
      <c r="I62">
        <v>3575894</v>
      </c>
      <c r="J62" t="s">
        <v>2292</v>
      </c>
      <c r="K62">
        <v>22.23</v>
      </c>
      <c r="L62">
        <v>0</v>
      </c>
      <c r="M62">
        <v>1.6</v>
      </c>
      <c r="N62">
        <v>5.27</v>
      </c>
      <c r="O62" t="s">
        <v>33</v>
      </c>
      <c r="P62" t="s">
        <v>6249</v>
      </c>
      <c r="Z62" t="s">
        <v>6154</v>
      </c>
    </row>
    <row r="63" spans="1:26" x14ac:dyDescent="0.25">
      <c r="A63">
        <v>46175</v>
      </c>
      <c r="B63" t="s">
        <v>5966</v>
      </c>
      <c r="C63" t="s">
        <v>37</v>
      </c>
      <c r="D63" t="s">
        <v>392</v>
      </c>
      <c r="E63">
        <v>485</v>
      </c>
      <c r="F63">
        <v>2555.6080000000002</v>
      </c>
      <c r="G63">
        <v>2400</v>
      </c>
      <c r="H63" t="s">
        <v>345</v>
      </c>
      <c r="I63">
        <v>4187875</v>
      </c>
      <c r="J63" t="s">
        <v>2179</v>
      </c>
      <c r="K63">
        <v>25.4</v>
      </c>
      <c r="L63">
        <v>0</v>
      </c>
      <c r="M63">
        <v>1.6</v>
      </c>
      <c r="N63">
        <v>5.27</v>
      </c>
      <c r="O63" t="s">
        <v>33</v>
      </c>
      <c r="Z63" t="s">
        <v>6208</v>
      </c>
    </row>
    <row r="64" spans="1:26" x14ac:dyDescent="0.25">
      <c r="A64">
        <v>46175</v>
      </c>
      <c r="B64" t="s">
        <v>5966</v>
      </c>
      <c r="C64" t="s">
        <v>37</v>
      </c>
      <c r="D64" t="s">
        <v>392</v>
      </c>
      <c r="E64">
        <v>351</v>
      </c>
      <c r="F64">
        <v>1850.6859999999999</v>
      </c>
      <c r="G64">
        <v>1738</v>
      </c>
      <c r="H64" t="s">
        <v>345</v>
      </c>
      <c r="I64">
        <v>4187875</v>
      </c>
      <c r="J64" t="s">
        <v>2179</v>
      </c>
      <c r="K64">
        <v>25.4</v>
      </c>
      <c r="L64">
        <v>0</v>
      </c>
      <c r="M64">
        <v>1.6</v>
      </c>
      <c r="N64">
        <v>5.27</v>
      </c>
      <c r="O64" t="s">
        <v>33</v>
      </c>
      <c r="Z64" t="s">
        <v>6154</v>
      </c>
    </row>
    <row r="65" spans="1:26" x14ac:dyDescent="0.25">
      <c r="A65">
        <v>46175</v>
      </c>
      <c r="B65" t="s">
        <v>5966</v>
      </c>
      <c r="C65" t="s">
        <v>37</v>
      </c>
      <c r="D65" t="s">
        <v>392</v>
      </c>
      <c r="E65">
        <v>128</v>
      </c>
      <c r="F65">
        <v>672.97699999999998</v>
      </c>
      <c r="G65">
        <v>632</v>
      </c>
      <c r="H65" t="s">
        <v>345</v>
      </c>
      <c r="I65">
        <v>4187875</v>
      </c>
      <c r="J65" t="s">
        <v>2179</v>
      </c>
      <c r="K65">
        <v>25.4</v>
      </c>
      <c r="L65">
        <v>0</v>
      </c>
      <c r="M65">
        <v>1.6</v>
      </c>
      <c r="N65">
        <v>5.27</v>
      </c>
      <c r="O65" t="s">
        <v>33</v>
      </c>
      <c r="Z65" t="s">
        <v>6154</v>
      </c>
    </row>
    <row r="66" spans="1:26" x14ac:dyDescent="0.25">
      <c r="A66">
        <v>46192</v>
      </c>
      <c r="B66" t="s">
        <v>5999</v>
      </c>
      <c r="C66" t="s">
        <v>36</v>
      </c>
      <c r="D66" t="s">
        <v>392</v>
      </c>
      <c r="E66">
        <v>214</v>
      </c>
      <c r="F66">
        <v>1129.556</v>
      </c>
      <c r="G66">
        <v>1565</v>
      </c>
      <c r="H66" t="s">
        <v>345</v>
      </c>
      <c r="I66">
        <v>4038150</v>
      </c>
      <c r="J66" t="s">
        <v>6031</v>
      </c>
      <c r="K66">
        <v>48</v>
      </c>
      <c r="L66">
        <v>0</v>
      </c>
      <c r="M66">
        <v>1.2</v>
      </c>
      <c r="N66">
        <v>5.2850000000000001</v>
      </c>
      <c r="O66" t="s">
        <v>33</v>
      </c>
      <c r="Z66" t="s">
        <v>6154</v>
      </c>
    </row>
    <row r="67" spans="1:26" x14ac:dyDescent="0.25">
      <c r="A67">
        <v>46192</v>
      </c>
      <c r="B67" t="s">
        <v>5999</v>
      </c>
      <c r="C67" t="s">
        <v>36</v>
      </c>
      <c r="D67" t="s">
        <v>392</v>
      </c>
      <c r="E67">
        <v>321</v>
      </c>
      <c r="F67">
        <v>1694.6949999999999</v>
      </c>
      <c r="G67">
        <v>2348</v>
      </c>
      <c r="H67" t="s">
        <v>345</v>
      </c>
      <c r="I67">
        <v>4038150</v>
      </c>
      <c r="J67" t="s">
        <v>6031</v>
      </c>
      <c r="K67">
        <v>48</v>
      </c>
      <c r="L67">
        <v>0</v>
      </c>
      <c r="M67">
        <v>1.2</v>
      </c>
      <c r="N67">
        <v>5.2850000000000001</v>
      </c>
      <c r="O67" t="s">
        <v>33</v>
      </c>
      <c r="Z67" t="e">
        <v>#N/A</v>
      </c>
    </row>
    <row r="68" spans="1:26" x14ac:dyDescent="0.25">
      <c r="A68">
        <v>46192</v>
      </c>
      <c r="B68" t="s">
        <v>5999</v>
      </c>
      <c r="C68" t="s">
        <v>36</v>
      </c>
      <c r="D68" t="s">
        <v>392</v>
      </c>
      <c r="E68">
        <v>208</v>
      </c>
      <c r="F68">
        <v>1100.6859999999999</v>
      </c>
      <c r="G68">
        <v>1525</v>
      </c>
      <c r="H68" t="s">
        <v>345</v>
      </c>
      <c r="I68">
        <v>4038150</v>
      </c>
      <c r="J68" t="s">
        <v>6031</v>
      </c>
      <c r="K68">
        <v>48</v>
      </c>
      <c r="L68">
        <v>0</v>
      </c>
      <c r="M68">
        <v>1.2</v>
      </c>
      <c r="N68">
        <v>5.2850000000000001</v>
      </c>
      <c r="O68" t="s">
        <v>33</v>
      </c>
      <c r="Z68" t="s">
        <v>6154</v>
      </c>
    </row>
    <row r="69" spans="1:26" x14ac:dyDescent="0.25">
      <c r="A69">
        <v>46192</v>
      </c>
      <c r="B69" t="s">
        <v>5999</v>
      </c>
      <c r="C69" t="s">
        <v>36</v>
      </c>
      <c r="D69" t="s">
        <v>392</v>
      </c>
      <c r="E69">
        <v>211</v>
      </c>
      <c r="F69">
        <v>1115.1210000000001</v>
      </c>
      <c r="G69">
        <v>1545</v>
      </c>
      <c r="H69" t="s">
        <v>345</v>
      </c>
      <c r="I69">
        <v>4038150</v>
      </c>
      <c r="J69" t="s">
        <v>6031</v>
      </c>
      <c r="K69">
        <v>48</v>
      </c>
      <c r="L69">
        <v>0</v>
      </c>
      <c r="M69">
        <v>1.2</v>
      </c>
      <c r="N69">
        <v>5.2850000000000001</v>
      </c>
      <c r="O69" t="s">
        <v>33</v>
      </c>
      <c r="Z69" t="s">
        <v>6154</v>
      </c>
    </row>
    <row r="70" spans="1:26" x14ac:dyDescent="0.25">
      <c r="A70">
        <v>46192</v>
      </c>
      <c r="B70" t="s">
        <v>5999</v>
      </c>
      <c r="C70" t="s">
        <v>36</v>
      </c>
      <c r="D70" t="s">
        <v>392</v>
      </c>
      <c r="E70">
        <v>205</v>
      </c>
      <c r="F70">
        <v>1082.6420000000001</v>
      </c>
      <c r="G70">
        <v>1500</v>
      </c>
      <c r="H70" t="s">
        <v>345</v>
      </c>
      <c r="I70">
        <v>4038150</v>
      </c>
      <c r="J70" t="s">
        <v>6031</v>
      </c>
      <c r="K70">
        <v>48</v>
      </c>
      <c r="L70">
        <v>0</v>
      </c>
      <c r="M70">
        <v>1.2</v>
      </c>
      <c r="N70">
        <v>5.2850000000000001</v>
      </c>
      <c r="O70" t="s">
        <v>33</v>
      </c>
    </row>
    <row r="71" spans="1:26" x14ac:dyDescent="0.25">
      <c r="A71">
        <v>46192</v>
      </c>
      <c r="B71" t="s">
        <v>5999</v>
      </c>
      <c r="C71" t="s">
        <v>36</v>
      </c>
      <c r="D71" t="s">
        <v>392</v>
      </c>
      <c r="E71">
        <v>211</v>
      </c>
      <c r="F71">
        <v>1115.1210000000001</v>
      </c>
      <c r="G71">
        <v>1545</v>
      </c>
      <c r="H71" t="s">
        <v>345</v>
      </c>
      <c r="I71">
        <v>4038150</v>
      </c>
      <c r="J71" t="s">
        <v>6031</v>
      </c>
      <c r="K71">
        <v>48</v>
      </c>
      <c r="L71">
        <v>0</v>
      </c>
      <c r="M71">
        <v>1.2</v>
      </c>
      <c r="N71">
        <v>5.2850000000000001</v>
      </c>
      <c r="O71" t="s">
        <v>33</v>
      </c>
    </row>
    <row r="72" spans="1:26" x14ac:dyDescent="0.25">
      <c r="A72">
        <v>46192</v>
      </c>
      <c r="B72" t="s">
        <v>5999</v>
      </c>
      <c r="C72" t="s">
        <v>36</v>
      </c>
      <c r="D72" t="s">
        <v>392</v>
      </c>
      <c r="E72">
        <v>126</v>
      </c>
      <c r="F72">
        <v>666.18499999999995</v>
      </c>
      <c r="G72">
        <v>923</v>
      </c>
      <c r="H72" t="s">
        <v>345</v>
      </c>
      <c r="I72">
        <v>4038150</v>
      </c>
      <c r="J72" t="s">
        <v>6031</v>
      </c>
      <c r="K72">
        <v>48</v>
      </c>
      <c r="L72">
        <v>0</v>
      </c>
      <c r="M72">
        <v>1.2</v>
      </c>
      <c r="N72">
        <v>5.2850000000000001</v>
      </c>
      <c r="O72" t="s">
        <v>33</v>
      </c>
    </row>
    <row r="73" spans="1:26" x14ac:dyDescent="0.25">
      <c r="A73">
        <v>46194</v>
      </c>
      <c r="B73" t="s">
        <v>5999</v>
      </c>
      <c r="C73" t="s">
        <v>36</v>
      </c>
      <c r="D73" t="s">
        <v>392</v>
      </c>
      <c r="E73">
        <v>324</v>
      </c>
      <c r="F73">
        <v>1713.461</v>
      </c>
      <c r="G73">
        <v>2374</v>
      </c>
      <c r="H73" t="s">
        <v>345</v>
      </c>
      <c r="I73">
        <v>4038150</v>
      </c>
      <c r="J73" t="s">
        <v>6031</v>
      </c>
      <c r="K73">
        <v>48</v>
      </c>
      <c r="L73">
        <v>0</v>
      </c>
      <c r="M73">
        <v>1.2</v>
      </c>
      <c r="N73">
        <v>5.2850000000000001</v>
      </c>
      <c r="O73" t="s">
        <v>33</v>
      </c>
    </row>
    <row r="74" spans="1:26" x14ac:dyDescent="0.25">
      <c r="A74">
        <v>46194</v>
      </c>
      <c r="B74" t="s">
        <v>5999</v>
      </c>
      <c r="C74" t="s">
        <v>36</v>
      </c>
      <c r="D74" t="s">
        <v>392</v>
      </c>
      <c r="E74">
        <v>85</v>
      </c>
      <c r="F74">
        <v>451.822</v>
      </c>
      <c r="G74">
        <v>626</v>
      </c>
      <c r="H74" t="s">
        <v>345</v>
      </c>
      <c r="I74">
        <v>4038150</v>
      </c>
      <c r="J74" t="s">
        <v>6031</v>
      </c>
      <c r="K74">
        <v>48</v>
      </c>
      <c r="L74">
        <v>0</v>
      </c>
      <c r="M74">
        <v>1.2</v>
      </c>
      <c r="N74">
        <v>5.2850000000000001</v>
      </c>
      <c r="O74" t="s">
        <v>33</v>
      </c>
    </row>
    <row r="75" spans="1:26" x14ac:dyDescent="0.25">
      <c r="A75">
        <v>46192</v>
      </c>
      <c r="B75" t="s">
        <v>5999</v>
      </c>
      <c r="C75" t="s">
        <v>36</v>
      </c>
      <c r="D75" t="s">
        <v>392</v>
      </c>
      <c r="E75">
        <v>212</v>
      </c>
      <c r="F75">
        <v>1118.73</v>
      </c>
      <c r="G75">
        <v>1550</v>
      </c>
      <c r="H75" t="s">
        <v>345</v>
      </c>
      <c r="I75">
        <v>4038150</v>
      </c>
      <c r="J75" t="s">
        <v>6031</v>
      </c>
      <c r="K75">
        <v>48</v>
      </c>
      <c r="L75">
        <v>0</v>
      </c>
      <c r="M75">
        <v>1.2</v>
      </c>
      <c r="N75">
        <v>5.2850000000000001</v>
      </c>
      <c r="O75" t="s">
        <v>33</v>
      </c>
    </row>
    <row r="76" spans="1:26" x14ac:dyDescent="0.25">
      <c r="A76">
        <v>46192</v>
      </c>
      <c r="B76" t="s">
        <v>5999</v>
      </c>
      <c r="C76" t="s">
        <v>36</v>
      </c>
      <c r="D76" t="s">
        <v>392</v>
      </c>
      <c r="E76">
        <v>212</v>
      </c>
      <c r="F76">
        <v>1118.008</v>
      </c>
      <c r="G76">
        <v>1549</v>
      </c>
      <c r="H76" t="s">
        <v>345</v>
      </c>
      <c r="I76">
        <v>4038150</v>
      </c>
      <c r="J76" t="s">
        <v>6031</v>
      </c>
      <c r="K76">
        <v>48</v>
      </c>
      <c r="L76">
        <v>0</v>
      </c>
      <c r="M76">
        <v>1.2</v>
      </c>
      <c r="N76">
        <v>5.2850000000000001</v>
      </c>
      <c r="O76" t="s">
        <v>33</v>
      </c>
    </row>
    <row r="77" spans="1:26" x14ac:dyDescent="0.25">
      <c r="A77">
        <v>46199</v>
      </c>
      <c r="B77" t="s">
        <v>5966</v>
      </c>
      <c r="C77" t="s">
        <v>37</v>
      </c>
      <c r="D77" t="s">
        <v>392</v>
      </c>
      <c r="E77">
        <v>409</v>
      </c>
      <c r="F77">
        <v>2168.6750000000002</v>
      </c>
      <c r="G77">
        <v>1350</v>
      </c>
      <c r="H77" t="s">
        <v>345</v>
      </c>
      <c r="I77">
        <v>3929640</v>
      </c>
      <c r="J77" t="s">
        <v>6041</v>
      </c>
      <c r="K77">
        <v>22.23</v>
      </c>
      <c r="L77">
        <v>0</v>
      </c>
      <c r="M77">
        <v>1.2</v>
      </c>
      <c r="N77">
        <v>5.3</v>
      </c>
      <c r="O77" t="s">
        <v>33</v>
      </c>
    </row>
    <row r="78" spans="1:26" x14ac:dyDescent="0.25">
      <c r="A78">
        <v>46197</v>
      </c>
      <c r="B78" t="s">
        <v>5966</v>
      </c>
      <c r="C78" t="s">
        <v>37</v>
      </c>
      <c r="D78" t="s">
        <v>392</v>
      </c>
      <c r="E78">
        <v>621</v>
      </c>
      <c r="F78">
        <v>3293.1729999999998</v>
      </c>
      <c r="G78">
        <v>2050</v>
      </c>
      <c r="H78" t="s">
        <v>345</v>
      </c>
      <c r="I78">
        <v>3929640</v>
      </c>
      <c r="J78" t="s">
        <v>6041</v>
      </c>
      <c r="K78">
        <v>22.23</v>
      </c>
      <c r="L78">
        <v>0</v>
      </c>
      <c r="M78">
        <v>1.2</v>
      </c>
      <c r="N78">
        <v>5.3</v>
      </c>
      <c r="O78" t="s">
        <v>33</v>
      </c>
    </row>
    <row r="79" spans="1:26" x14ac:dyDescent="0.25">
      <c r="A79">
        <v>46197</v>
      </c>
      <c r="B79" t="s">
        <v>5966</v>
      </c>
      <c r="C79" t="s">
        <v>37</v>
      </c>
      <c r="D79" t="s">
        <v>392</v>
      </c>
      <c r="E79">
        <v>621</v>
      </c>
      <c r="F79">
        <v>3293.1729999999998</v>
      </c>
      <c r="G79">
        <v>2050</v>
      </c>
      <c r="H79" t="s">
        <v>345</v>
      </c>
      <c r="I79">
        <v>3929640</v>
      </c>
      <c r="J79" t="s">
        <v>6041</v>
      </c>
      <c r="K79">
        <v>22.23</v>
      </c>
      <c r="L79">
        <v>0</v>
      </c>
      <c r="M79">
        <v>1.2</v>
      </c>
      <c r="N79">
        <v>5.3</v>
      </c>
      <c r="O79" t="s">
        <v>33</v>
      </c>
    </row>
    <row r="80" spans="1:26" x14ac:dyDescent="0.25">
      <c r="A80">
        <v>46197</v>
      </c>
      <c r="B80" t="s">
        <v>5966</v>
      </c>
      <c r="C80" t="s">
        <v>37</v>
      </c>
      <c r="D80" t="s">
        <v>392</v>
      </c>
      <c r="E80">
        <v>500</v>
      </c>
      <c r="F80">
        <v>2650.6019999999999</v>
      </c>
      <c r="G80">
        <v>1650</v>
      </c>
      <c r="H80" t="s">
        <v>345</v>
      </c>
      <c r="I80">
        <v>3929640</v>
      </c>
      <c r="J80" t="s">
        <v>6041</v>
      </c>
      <c r="K80">
        <v>22.23</v>
      </c>
      <c r="L80">
        <v>0</v>
      </c>
      <c r="M80">
        <v>1.2</v>
      </c>
      <c r="N80">
        <v>5.3</v>
      </c>
      <c r="O80" t="s">
        <v>33</v>
      </c>
    </row>
    <row r="81" spans="1:16" x14ac:dyDescent="0.25">
      <c r="A81">
        <v>46197</v>
      </c>
      <c r="B81" t="s">
        <v>5966</v>
      </c>
      <c r="C81" t="s">
        <v>37</v>
      </c>
      <c r="D81" t="s">
        <v>392</v>
      </c>
      <c r="E81">
        <v>181</v>
      </c>
      <c r="F81">
        <v>959.03599999999994</v>
      </c>
      <c r="G81">
        <v>597</v>
      </c>
      <c r="H81" t="s">
        <v>345</v>
      </c>
      <c r="I81">
        <v>3929640</v>
      </c>
      <c r="J81" t="s">
        <v>6041</v>
      </c>
      <c r="K81">
        <v>22.23</v>
      </c>
      <c r="L81">
        <v>0</v>
      </c>
      <c r="M81">
        <v>1.2</v>
      </c>
      <c r="N81">
        <v>5.3</v>
      </c>
      <c r="O81" t="s">
        <v>33</v>
      </c>
    </row>
    <row r="82" spans="1:16" x14ac:dyDescent="0.25">
      <c r="A82">
        <v>46189</v>
      </c>
      <c r="B82" t="s">
        <v>5966</v>
      </c>
      <c r="C82" t="s">
        <v>37</v>
      </c>
      <c r="D82" t="s">
        <v>392</v>
      </c>
      <c r="E82">
        <v>105</v>
      </c>
      <c r="F82">
        <v>567.02099999999996</v>
      </c>
      <c r="G82">
        <v>566</v>
      </c>
      <c r="H82" t="s">
        <v>345</v>
      </c>
      <c r="I82">
        <v>2431251</v>
      </c>
      <c r="J82" t="s">
        <v>2300</v>
      </c>
      <c r="K82">
        <v>22.23</v>
      </c>
      <c r="L82">
        <v>0</v>
      </c>
      <c r="M82">
        <v>2</v>
      </c>
      <c r="N82">
        <v>5.4</v>
      </c>
      <c r="O82" t="s">
        <v>33</v>
      </c>
      <c r="P82" t="s">
        <v>6171</v>
      </c>
    </row>
    <row r="83" spans="1:16" x14ac:dyDescent="0.25">
      <c r="A83">
        <v>46189</v>
      </c>
      <c r="B83" t="s">
        <v>5966</v>
      </c>
      <c r="C83" t="s">
        <v>37</v>
      </c>
      <c r="D83" t="s">
        <v>392</v>
      </c>
      <c r="E83">
        <v>132</v>
      </c>
      <c r="F83">
        <v>712.28200000000004</v>
      </c>
      <c r="G83">
        <v>711</v>
      </c>
      <c r="H83" t="s">
        <v>345</v>
      </c>
      <c r="I83">
        <v>2431251</v>
      </c>
      <c r="J83" t="s">
        <v>2300</v>
      </c>
      <c r="K83">
        <v>22.23</v>
      </c>
      <c r="L83">
        <v>0</v>
      </c>
      <c r="M83">
        <v>2</v>
      </c>
      <c r="N83">
        <v>5.4</v>
      </c>
      <c r="O83" t="s">
        <v>33</v>
      </c>
      <c r="P83" t="s">
        <v>6171</v>
      </c>
    </row>
    <row r="84" spans="1:16" x14ac:dyDescent="0.25">
      <c r="A84">
        <v>46189</v>
      </c>
      <c r="B84" t="s">
        <v>5966</v>
      </c>
      <c r="C84" t="s">
        <v>37</v>
      </c>
      <c r="D84" t="s">
        <v>392</v>
      </c>
      <c r="E84">
        <v>317</v>
      </c>
      <c r="F84">
        <v>1712.0820000000001</v>
      </c>
      <c r="G84">
        <v>1709</v>
      </c>
      <c r="H84" t="s">
        <v>345</v>
      </c>
      <c r="I84">
        <v>2431251</v>
      </c>
      <c r="J84" t="s">
        <v>2300</v>
      </c>
      <c r="K84">
        <v>22.23</v>
      </c>
      <c r="L84">
        <v>0</v>
      </c>
      <c r="M84">
        <v>2</v>
      </c>
      <c r="N84">
        <v>5.4</v>
      </c>
      <c r="O84" t="s">
        <v>33</v>
      </c>
      <c r="P84" t="s">
        <v>6171</v>
      </c>
    </row>
    <row r="85" spans="1:16" x14ac:dyDescent="0.25">
      <c r="A85">
        <v>46189</v>
      </c>
      <c r="B85" t="s">
        <v>5966</v>
      </c>
      <c r="C85" t="s">
        <v>37</v>
      </c>
      <c r="D85" t="s">
        <v>392</v>
      </c>
      <c r="E85">
        <v>281</v>
      </c>
      <c r="F85">
        <v>1516.73</v>
      </c>
      <c r="G85">
        <v>1514</v>
      </c>
      <c r="H85" t="s">
        <v>345</v>
      </c>
      <c r="I85">
        <v>2431251</v>
      </c>
      <c r="J85" t="s">
        <v>2300</v>
      </c>
      <c r="K85">
        <v>22.23</v>
      </c>
      <c r="L85">
        <v>0</v>
      </c>
      <c r="M85">
        <v>2</v>
      </c>
      <c r="N85">
        <v>5.4</v>
      </c>
      <c r="O85" t="s">
        <v>33</v>
      </c>
      <c r="P85" t="s">
        <v>6171</v>
      </c>
    </row>
    <row r="86" spans="1:16" x14ac:dyDescent="0.25">
      <c r="A86">
        <v>46199</v>
      </c>
      <c r="B86" t="s">
        <v>5966</v>
      </c>
      <c r="C86" t="s">
        <v>37</v>
      </c>
      <c r="D86" t="s">
        <v>392</v>
      </c>
      <c r="E86">
        <v>103</v>
      </c>
      <c r="F86">
        <v>564.33900000000006</v>
      </c>
      <c r="G86">
        <v>2106</v>
      </c>
      <c r="H86" t="s">
        <v>362</v>
      </c>
      <c r="I86">
        <v>3500714</v>
      </c>
      <c r="J86" t="s">
        <v>1922</v>
      </c>
      <c r="K86">
        <v>42.7</v>
      </c>
      <c r="L86">
        <v>0</v>
      </c>
      <c r="M86">
        <v>4</v>
      </c>
      <c r="N86">
        <v>5.5</v>
      </c>
      <c r="O86" t="s">
        <v>33</v>
      </c>
      <c r="P86" t="s">
        <v>6195</v>
      </c>
    </row>
    <row r="87" spans="1:16" x14ac:dyDescent="0.25">
      <c r="A87">
        <v>46199</v>
      </c>
      <c r="B87" t="s">
        <v>5966</v>
      </c>
      <c r="C87" t="s">
        <v>37</v>
      </c>
      <c r="D87" t="s">
        <v>392</v>
      </c>
      <c r="E87">
        <v>98</v>
      </c>
      <c r="F87">
        <v>541.56200000000001</v>
      </c>
      <c r="G87">
        <v>2021</v>
      </c>
      <c r="H87" t="s">
        <v>362</v>
      </c>
      <c r="I87">
        <v>3500714</v>
      </c>
      <c r="J87" t="s">
        <v>1922</v>
      </c>
      <c r="K87">
        <v>42.7</v>
      </c>
      <c r="L87">
        <v>0</v>
      </c>
      <c r="M87">
        <v>4</v>
      </c>
      <c r="N87">
        <v>5.5</v>
      </c>
      <c r="O87" t="s">
        <v>33</v>
      </c>
      <c r="P87" t="s">
        <v>6195</v>
      </c>
    </row>
    <row r="88" spans="1:16" x14ac:dyDescent="0.25">
      <c r="A88">
        <v>46199</v>
      </c>
      <c r="B88" t="s">
        <v>5966</v>
      </c>
      <c r="C88" t="s">
        <v>37</v>
      </c>
      <c r="D88" t="s">
        <v>392</v>
      </c>
      <c r="E88">
        <v>105</v>
      </c>
      <c r="F88">
        <v>575.32600000000002</v>
      </c>
      <c r="G88">
        <v>2147</v>
      </c>
      <c r="H88" t="s">
        <v>362</v>
      </c>
      <c r="I88">
        <v>3500714</v>
      </c>
      <c r="J88" t="s">
        <v>1922</v>
      </c>
      <c r="K88">
        <v>42.7</v>
      </c>
      <c r="L88">
        <v>0</v>
      </c>
      <c r="M88">
        <v>4</v>
      </c>
      <c r="N88">
        <v>5.5</v>
      </c>
      <c r="O88" t="s">
        <v>33</v>
      </c>
      <c r="P88" t="s">
        <v>6195</v>
      </c>
    </row>
    <row r="89" spans="1:16" x14ac:dyDescent="0.25">
      <c r="A89">
        <v>46199</v>
      </c>
      <c r="B89" t="s">
        <v>5966</v>
      </c>
      <c r="C89" t="s">
        <v>37</v>
      </c>
      <c r="D89" t="s">
        <v>392</v>
      </c>
      <c r="E89">
        <v>101</v>
      </c>
      <c r="F89">
        <v>552.81600000000003</v>
      </c>
      <c r="G89">
        <v>2063</v>
      </c>
      <c r="H89" t="s">
        <v>362</v>
      </c>
      <c r="I89">
        <v>3500714</v>
      </c>
      <c r="J89" t="s">
        <v>1922</v>
      </c>
      <c r="K89">
        <v>42.7</v>
      </c>
      <c r="L89">
        <v>0</v>
      </c>
      <c r="M89">
        <v>4</v>
      </c>
      <c r="N89">
        <v>5.5</v>
      </c>
      <c r="O89" t="s">
        <v>33</v>
      </c>
      <c r="P89" t="s">
        <v>6195</v>
      </c>
    </row>
    <row r="90" spans="1:16" x14ac:dyDescent="0.25">
      <c r="A90">
        <v>46199</v>
      </c>
      <c r="B90" t="s">
        <v>5966</v>
      </c>
      <c r="C90" t="s">
        <v>37</v>
      </c>
      <c r="D90" t="s">
        <v>392</v>
      </c>
      <c r="E90">
        <v>103</v>
      </c>
      <c r="F90">
        <v>564.07100000000003</v>
      </c>
      <c r="G90">
        <v>2105</v>
      </c>
      <c r="H90" t="s">
        <v>362</v>
      </c>
      <c r="I90">
        <v>3500714</v>
      </c>
      <c r="J90" t="s">
        <v>1922</v>
      </c>
      <c r="K90">
        <v>42.7</v>
      </c>
      <c r="L90">
        <v>0</v>
      </c>
      <c r="M90">
        <v>4</v>
      </c>
      <c r="N90">
        <v>5.5</v>
      </c>
      <c r="O90" t="s">
        <v>33</v>
      </c>
      <c r="P90" t="s">
        <v>6195</v>
      </c>
    </row>
    <row r="91" spans="1:16" x14ac:dyDescent="0.25">
      <c r="A91">
        <v>46199</v>
      </c>
      <c r="B91" t="s">
        <v>5966</v>
      </c>
      <c r="C91" t="s">
        <v>37</v>
      </c>
      <c r="D91" t="s">
        <v>392</v>
      </c>
      <c r="E91">
        <v>108</v>
      </c>
      <c r="F91">
        <v>592.20799999999997</v>
      </c>
      <c r="G91">
        <v>2210</v>
      </c>
      <c r="H91" t="s">
        <v>362</v>
      </c>
      <c r="I91">
        <v>3500714</v>
      </c>
      <c r="J91" t="s">
        <v>1922</v>
      </c>
      <c r="K91">
        <v>42.7</v>
      </c>
      <c r="L91">
        <v>0</v>
      </c>
      <c r="M91">
        <v>4</v>
      </c>
      <c r="N91">
        <v>5.5</v>
      </c>
      <c r="O91" t="s">
        <v>33</v>
      </c>
      <c r="P91" t="s">
        <v>6195</v>
      </c>
    </row>
    <row r="92" spans="1:16" x14ac:dyDescent="0.25">
      <c r="A92">
        <v>46200</v>
      </c>
      <c r="B92" t="s">
        <v>5966</v>
      </c>
      <c r="C92" t="s">
        <v>37</v>
      </c>
      <c r="D92" t="s">
        <v>392</v>
      </c>
      <c r="E92">
        <v>102</v>
      </c>
      <c r="F92">
        <v>558.44399999999996</v>
      </c>
      <c r="G92">
        <v>2084</v>
      </c>
      <c r="H92" t="s">
        <v>362</v>
      </c>
      <c r="I92">
        <v>3500714</v>
      </c>
      <c r="J92" t="s">
        <v>1922</v>
      </c>
      <c r="K92">
        <v>42.7</v>
      </c>
      <c r="L92">
        <v>0</v>
      </c>
      <c r="M92">
        <v>4</v>
      </c>
      <c r="N92">
        <v>5.5</v>
      </c>
      <c r="O92" t="s">
        <v>33</v>
      </c>
      <c r="P92" t="s">
        <v>6195</v>
      </c>
    </row>
    <row r="93" spans="1:16" x14ac:dyDescent="0.25">
      <c r="A93">
        <v>46200</v>
      </c>
      <c r="B93" t="s">
        <v>5966</v>
      </c>
      <c r="C93" t="s">
        <v>37</v>
      </c>
      <c r="D93" t="s">
        <v>392</v>
      </c>
      <c r="E93">
        <v>105</v>
      </c>
      <c r="F93">
        <v>575.32600000000002</v>
      </c>
      <c r="G93">
        <v>2147</v>
      </c>
      <c r="H93" t="s">
        <v>362</v>
      </c>
      <c r="I93">
        <v>3500714</v>
      </c>
      <c r="J93" t="s">
        <v>1922</v>
      </c>
      <c r="K93">
        <v>42.7</v>
      </c>
      <c r="L93">
        <v>0</v>
      </c>
      <c r="M93">
        <v>4</v>
      </c>
      <c r="N93">
        <v>5.5</v>
      </c>
      <c r="O93" t="s">
        <v>33</v>
      </c>
      <c r="P93" t="s">
        <v>6195</v>
      </c>
    </row>
    <row r="94" spans="1:16" x14ac:dyDescent="0.25">
      <c r="A94">
        <v>46200</v>
      </c>
      <c r="B94" t="s">
        <v>5966</v>
      </c>
      <c r="C94" t="s">
        <v>37</v>
      </c>
      <c r="D94" t="s">
        <v>392</v>
      </c>
      <c r="E94">
        <v>105</v>
      </c>
      <c r="F94">
        <v>575.32600000000002</v>
      </c>
      <c r="G94">
        <v>2147</v>
      </c>
      <c r="H94" t="s">
        <v>362</v>
      </c>
      <c r="I94">
        <v>3500714</v>
      </c>
      <c r="J94" t="s">
        <v>1922</v>
      </c>
      <c r="K94">
        <v>42.7</v>
      </c>
      <c r="L94">
        <v>0</v>
      </c>
      <c r="M94">
        <v>4</v>
      </c>
      <c r="N94">
        <v>5.5</v>
      </c>
      <c r="O94" t="s">
        <v>33</v>
      </c>
      <c r="P94" t="s">
        <v>6195</v>
      </c>
    </row>
    <row r="95" spans="1:16" x14ac:dyDescent="0.25">
      <c r="A95">
        <v>46200</v>
      </c>
      <c r="B95" t="s">
        <v>5966</v>
      </c>
      <c r="C95" t="s">
        <v>37</v>
      </c>
      <c r="D95" t="s">
        <v>392</v>
      </c>
      <c r="E95">
        <v>104</v>
      </c>
      <c r="F95">
        <v>569.69799999999998</v>
      </c>
      <c r="G95">
        <v>2126</v>
      </c>
      <c r="H95" t="s">
        <v>362</v>
      </c>
      <c r="I95">
        <v>3500714</v>
      </c>
      <c r="J95" t="s">
        <v>1922</v>
      </c>
      <c r="K95">
        <v>42.7</v>
      </c>
      <c r="L95">
        <v>0</v>
      </c>
      <c r="M95">
        <v>4</v>
      </c>
      <c r="N95">
        <v>5.5</v>
      </c>
      <c r="O95" t="s">
        <v>33</v>
      </c>
      <c r="P95" t="s">
        <v>6195</v>
      </c>
    </row>
    <row r="96" spans="1:16" x14ac:dyDescent="0.25">
      <c r="A96">
        <v>46200</v>
      </c>
      <c r="B96" t="s">
        <v>5966</v>
      </c>
      <c r="C96" t="s">
        <v>37</v>
      </c>
      <c r="D96" t="s">
        <v>392</v>
      </c>
      <c r="E96">
        <v>104</v>
      </c>
      <c r="F96">
        <v>569.69799999999998</v>
      </c>
      <c r="G96">
        <v>2126</v>
      </c>
      <c r="H96" t="s">
        <v>362</v>
      </c>
      <c r="I96">
        <v>3500714</v>
      </c>
      <c r="J96" t="s">
        <v>1922</v>
      </c>
      <c r="K96">
        <v>42.7</v>
      </c>
      <c r="L96">
        <v>0</v>
      </c>
      <c r="M96">
        <v>4</v>
      </c>
      <c r="N96">
        <v>5.5</v>
      </c>
      <c r="O96" t="s">
        <v>33</v>
      </c>
      <c r="P96" t="s">
        <v>6195</v>
      </c>
    </row>
    <row r="97" spans="1:16" x14ac:dyDescent="0.25">
      <c r="A97">
        <v>46200</v>
      </c>
      <c r="B97" t="s">
        <v>5966</v>
      </c>
      <c r="C97" t="s">
        <v>37</v>
      </c>
      <c r="D97" t="s">
        <v>392</v>
      </c>
      <c r="E97">
        <v>103</v>
      </c>
      <c r="F97">
        <v>564.07100000000003</v>
      </c>
      <c r="G97">
        <v>2105</v>
      </c>
      <c r="H97" t="s">
        <v>362</v>
      </c>
      <c r="I97">
        <v>3500714</v>
      </c>
      <c r="J97" t="s">
        <v>1922</v>
      </c>
      <c r="K97">
        <v>42.7</v>
      </c>
      <c r="L97">
        <v>0</v>
      </c>
      <c r="M97">
        <v>4</v>
      </c>
      <c r="N97">
        <v>5.5</v>
      </c>
      <c r="O97" t="s">
        <v>33</v>
      </c>
      <c r="P97" t="s">
        <v>6195</v>
      </c>
    </row>
    <row r="98" spans="1:16" x14ac:dyDescent="0.25">
      <c r="A98">
        <v>46201</v>
      </c>
      <c r="B98" t="s">
        <v>5966</v>
      </c>
      <c r="C98" t="s">
        <v>37</v>
      </c>
      <c r="D98" t="s">
        <v>392</v>
      </c>
      <c r="E98">
        <v>97</v>
      </c>
      <c r="F98">
        <v>532.45100000000002</v>
      </c>
      <c r="G98">
        <v>1987</v>
      </c>
      <c r="H98" t="s">
        <v>362</v>
      </c>
      <c r="I98">
        <v>3500714</v>
      </c>
      <c r="J98" t="s">
        <v>1922</v>
      </c>
      <c r="K98">
        <v>42.7</v>
      </c>
      <c r="L98">
        <v>0</v>
      </c>
      <c r="M98">
        <v>4</v>
      </c>
      <c r="N98">
        <v>5.5</v>
      </c>
      <c r="O98" t="s">
        <v>33</v>
      </c>
      <c r="P98" t="s">
        <v>6195</v>
      </c>
    </row>
    <row r="99" spans="1:16" x14ac:dyDescent="0.25">
      <c r="A99">
        <v>46201</v>
      </c>
      <c r="B99" t="s">
        <v>5966</v>
      </c>
      <c r="C99" t="s">
        <v>37</v>
      </c>
      <c r="D99" t="s">
        <v>392</v>
      </c>
      <c r="E99">
        <v>99</v>
      </c>
      <c r="F99">
        <v>545.31299999999999</v>
      </c>
      <c r="G99">
        <v>2035</v>
      </c>
      <c r="H99" t="s">
        <v>362</v>
      </c>
      <c r="I99">
        <v>3500714</v>
      </c>
      <c r="J99" t="s">
        <v>1922</v>
      </c>
      <c r="K99">
        <v>42.7</v>
      </c>
      <c r="L99">
        <v>0</v>
      </c>
      <c r="M99">
        <v>4</v>
      </c>
      <c r="N99">
        <v>5.5</v>
      </c>
      <c r="O99" t="s">
        <v>33</v>
      </c>
      <c r="P99" t="s">
        <v>6195</v>
      </c>
    </row>
    <row r="100" spans="1:16" x14ac:dyDescent="0.25">
      <c r="A100">
        <v>46199</v>
      </c>
      <c r="B100" t="s">
        <v>5966</v>
      </c>
      <c r="C100" t="s">
        <v>37</v>
      </c>
      <c r="D100" t="s">
        <v>392</v>
      </c>
      <c r="E100">
        <v>92</v>
      </c>
      <c r="F100">
        <v>507.798</v>
      </c>
      <c r="G100">
        <v>1895</v>
      </c>
      <c r="H100" t="s">
        <v>362</v>
      </c>
      <c r="I100">
        <v>3500714</v>
      </c>
      <c r="J100" t="s">
        <v>1922</v>
      </c>
      <c r="K100">
        <v>42.7</v>
      </c>
      <c r="L100">
        <v>0</v>
      </c>
      <c r="M100">
        <v>4</v>
      </c>
      <c r="N100">
        <v>5.5</v>
      </c>
      <c r="O100" t="s">
        <v>33</v>
      </c>
      <c r="P100" t="s">
        <v>6195</v>
      </c>
    </row>
    <row r="101" spans="1:16" x14ac:dyDescent="0.25">
      <c r="A101">
        <v>46201</v>
      </c>
      <c r="B101" t="s">
        <v>5966</v>
      </c>
      <c r="C101" t="s">
        <v>37</v>
      </c>
      <c r="D101" t="s">
        <v>392</v>
      </c>
      <c r="E101">
        <v>111</v>
      </c>
      <c r="F101">
        <v>612.84100000000001</v>
      </c>
      <c r="G101">
        <v>2287</v>
      </c>
      <c r="H101" t="s">
        <v>362</v>
      </c>
      <c r="I101">
        <v>3500714</v>
      </c>
      <c r="J101" t="s">
        <v>1922</v>
      </c>
      <c r="K101">
        <v>42.7</v>
      </c>
      <c r="L101">
        <v>0</v>
      </c>
      <c r="M101">
        <v>4</v>
      </c>
      <c r="N101">
        <v>5.5</v>
      </c>
      <c r="O101" t="s">
        <v>33</v>
      </c>
      <c r="P101" t="s">
        <v>6195</v>
      </c>
    </row>
    <row r="102" spans="1:16" x14ac:dyDescent="0.25">
      <c r="A102">
        <v>46201</v>
      </c>
      <c r="B102" t="s">
        <v>5966</v>
      </c>
      <c r="C102" t="s">
        <v>37</v>
      </c>
      <c r="D102" t="s">
        <v>392</v>
      </c>
      <c r="E102">
        <v>114</v>
      </c>
      <c r="F102">
        <v>629.72299999999996</v>
      </c>
      <c r="G102">
        <v>2350</v>
      </c>
      <c r="H102" t="s">
        <v>362</v>
      </c>
      <c r="I102">
        <v>3500714</v>
      </c>
      <c r="J102" t="s">
        <v>1922</v>
      </c>
      <c r="K102">
        <v>42.7</v>
      </c>
      <c r="L102">
        <v>0</v>
      </c>
      <c r="M102">
        <v>4</v>
      </c>
      <c r="N102">
        <v>5.5</v>
      </c>
      <c r="O102" t="s">
        <v>33</v>
      </c>
      <c r="P102" t="s">
        <v>6195</v>
      </c>
    </row>
    <row r="103" spans="1:16" x14ac:dyDescent="0.25">
      <c r="A103">
        <v>46201</v>
      </c>
      <c r="B103" t="s">
        <v>5966</v>
      </c>
      <c r="C103" t="s">
        <v>37</v>
      </c>
      <c r="D103" t="s">
        <v>392</v>
      </c>
      <c r="E103">
        <v>116</v>
      </c>
      <c r="F103">
        <v>635.35</v>
      </c>
      <c r="G103">
        <v>2371</v>
      </c>
      <c r="H103" t="s">
        <v>362</v>
      </c>
      <c r="I103">
        <v>3500714</v>
      </c>
      <c r="J103" t="s">
        <v>1922</v>
      </c>
      <c r="K103">
        <v>42.7</v>
      </c>
      <c r="L103">
        <v>0</v>
      </c>
      <c r="M103">
        <v>4</v>
      </c>
      <c r="N103">
        <v>5.5</v>
      </c>
      <c r="O103" t="s">
        <v>33</v>
      </c>
      <c r="P103" t="s">
        <v>6195</v>
      </c>
    </row>
    <row r="104" spans="1:16" x14ac:dyDescent="0.25">
      <c r="A104">
        <v>46202</v>
      </c>
      <c r="B104" t="s">
        <v>5966</v>
      </c>
      <c r="C104" t="s">
        <v>37</v>
      </c>
      <c r="D104" t="s">
        <v>392</v>
      </c>
      <c r="E104">
        <v>350</v>
      </c>
      <c r="F104">
        <v>1935.529</v>
      </c>
      <c r="G104">
        <v>2634.835</v>
      </c>
      <c r="H104" t="s">
        <v>367</v>
      </c>
      <c r="I104">
        <v>3502256</v>
      </c>
      <c r="J104" t="s">
        <v>1580</v>
      </c>
      <c r="K104">
        <v>25.4</v>
      </c>
      <c r="L104">
        <v>0</v>
      </c>
      <c r="M104">
        <v>2.5</v>
      </c>
      <c r="N104">
        <v>5.53</v>
      </c>
      <c r="O104" t="s">
        <v>33</v>
      </c>
      <c r="P104" t="s">
        <v>6175</v>
      </c>
    </row>
    <row r="105" spans="1:16" x14ac:dyDescent="0.25">
      <c r="A105">
        <v>46202</v>
      </c>
      <c r="B105" t="s">
        <v>5966</v>
      </c>
      <c r="C105" t="s">
        <v>37</v>
      </c>
      <c r="D105" t="s">
        <v>392</v>
      </c>
      <c r="E105">
        <v>350</v>
      </c>
      <c r="F105">
        <v>1935.529</v>
      </c>
      <c r="G105">
        <v>2634.835</v>
      </c>
      <c r="H105" t="s">
        <v>367</v>
      </c>
      <c r="I105">
        <v>3502256</v>
      </c>
      <c r="J105" t="s">
        <v>1580</v>
      </c>
      <c r="K105">
        <v>25.4</v>
      </c>
      <c r="L105">
        <v>0</v>
      </c>
      <c r="M105">
        <v>2.5</v>
      </c>
      <c r="N105">
        <v>5.53</v>
      </c>
      <c r="O105" t="s">
        <v>33</v>
      </c>
      <c r="P105" t="s">
        <v>6175</v>
      </c>
    </row>
    <row r="106" spans="1:16" x14ac:dyDescent="0.25">
      <c r="A106">
        <v>46201</v>
      </c>
      <c r="B106" t="s">
        <v>5966</v>
      </c>
      <c r="C106" t="s">
        <v>37</v>
      </c>
      <c r="D106" t="s">
        <v>392</v>
      </c>
      <c r="E106">
        <v>350</v>
      </c>
      <c r="F106">
        <v>1935.529</v>
      </c>
      <c r="G106">
        <v>2634.835</v>
      </c>
      <c r="H106" t="s">
        <v>367</v>
      </c>
      <c r="I106">
        <v>3502256</v>
      </c>
      <c r="J106" t="s">
        <v>1580</v>
      </c>
      <c r="K106">
        <v>25.4</v>
      </c>
      <c r="L106">
        <v>0</v>
      </c>
      <c r="M106">
        <v>2.5</v>
      </c>
      <c r="N106">
        <v>5.53</v>
      </c>
      <c r="O106" t="s">
        <v>33</v>
      </c>
      <c r="P106" t="s">
        <v>6175</v>
      </c>
    </row>
    <row r="107" spans="1:16" x14ac:dyDescent="0.25">
      <c r="A107">
        <v>46202</v>
      </c>
      <c r="B107" t="s">
        <v>5966</v>
      </c>
      <c r="C107" t="s">
        <v>37</v>
      </c>
      <c r="D107" t="s">
        <v>392</v>
      </c>
      <c r="E107">
        <v>350</v>
      </c>
      <c r="F107">
        <v>1935.529</v>
      </c>
      <c r="G107">
        <v>2634.835</v>
      </c>
      <c r="H107" t="s">
        <v>367</v>
      </c>
      <c r="I107">
        <v>3502256</v>
      </c>
      <c r="J107" t="s">
        <v>1580</v>
      </c>
      <c r="K107">
        <v>25.4</v>
      </c>
      <c r="L107">
        <v>0</v>
      </c>
      <c r="M107">
        <v>2.5</v>
      </c>
      <c r="N107">
        <v>5.53</v>
      </c>
      <c r="O107" t="s">
        <v>33</v>
      </c>
      <c r="P107" t="s">
        <v>6175</v>
      </c>
    </row>
    <row r="108" spans="1:16" x14ac:dyDescent="0.25">
      <c r="A108">
        <v>46201</v>
      </c>
      <c r="B108" t="s">
        <v>5966</v>
      </c>
      <c r="C108" t="s">
        <v>37</v>
      </c>
      <c r="D108" t="s">
        <v>392</v>
      </c>
      <c r="E108">
        <v>348</v>
      </c>
      <c r="F108">
        <v>1924.4690000000001</v>
      </c>
      <c r="G108">
        <v>2619.779</v>
      </c>
      <c r="H108" t="s">
        <v>367</v>
      </c>
      <c r="I108">
        <v>3502256</v>
      </c>
      <c r="J108" t="s">
        <v>1580</v>
      </c>
      <c r="K108">
        <v>25.4</v>
      </c>
      <c r="L108">
        <v>0</v>
      </c>
      <c r="M108">
        <v>2.5</v>
      </c>
      <c r="N108">
        <v>5.53</v>
      </c>
      <c r="O108" t="s">
        <v>33</v>
      </c>
      <c r="P108" t="s">
        <v>6175</v>
      </c>
    </row>
    <row r="109" spans="1:16" x14ac:dyDescent="0.25">
      <c r="A109">
        <v>46201</v>
      </c>
      <c r="B109" t="s">
        <v>5966</v>
      </c>
      <c r="C109" t="s">
        <v>37</v>
      </c>
      <c r="D109" t="s">
        <v>392</v>
      </c>
      <c r="E109">
        <v>348</v>
      </c>
      <c r="F109">
        <v>1924.4690000000001</v>
      </c>
      <c r="G109">
        <v>2619.779</v>
      </c>
      <c r="H109" t="s">
        <v>367</v>
      </c>
      <c r="I109">
        <v>3502256</v>
      </c>
      <c r="J109" t="s">
        <v>1580</v>
      </c>
      <c r="K109">
        <v>25.4</v>
      </c>
      <c r="L109">
        <v>0</v>
      </c>
      <c r="M109">
        <v>2.5</v>
      </c>
      <c r="N109">
        <v>5.53</v>
      </c>
      <c r="O109" t="s">
        <v>33</v>
      </c>
      <c r="P109" t="s">
        <v>6175</v>
      </c>
    </row>
    <row r="110" spans="1:16" x14ac:dyDescent="0.25">
      <c r="A110">
        <v>46202</v>
      </c>
      <c r="B110" t="s">
        <v>5966</v>
      </c>
      <c r="C110" t="s">
        <v>37</v>
      </c>
      <c r="D110" t="s">
        <v>392</v>
      </c>
      <c r="E110">
        <v>350</v>
      </c>
      <c r="F110">
        <v>1935.529</v>
      </c>
      <c r="G110">
        <v>2634.835</v>
      </c>
      <c r="H110" t="s">
        <v>367</v>
      </c>
      <c r="I110">
        <v>3502256</v>
      </c>
      <c r="J110" t="s">
        <v>1580</v>
      </c>
      <c r="K110">
        <v>25.4</v>
      </c>
      <c r="L110">
        <v>0</v>
      </c>
      <c r="M110">
        <v>2.5</v>
      </c>
      <c r="N110">
        <v>5.53</v>
      </c>
      <c r="O110" t="s">
        <v>33</v>
      </c>
      <c r="P110" t="s">
        <v>6175</v>
      </c>
    </row>
    <row r="111" spans="1:16" x14ac:dyDescent="0.25">
      <c r="A111">
        <v>46201</v>
      </c>
      <c r="B111" t="s">
        <v>5966</v>
      </c>
      <c r="C111" t="s">
        <v>37</v>
      </c>
      <c r="D111" t="s">
        <v>392</v>
      </c>
      <c r="E111">
        <v>349</v>
      </c>
      <c r="F111">
        <v>1929.999</v>
      </c>
      <c r="G111">
        <v>2627.3069999999998</v>
      </c>
      <c r="H111" t="s">
        <v>367</v>
      </c>
      <c r="I111">
        <v>3502256</v>
      </c>
      <c r="J111" t="s">
        <v>1580</v>
      </c>
      <c r="K111">
        <v>25.4</v>
      </c>
      <c r="L111">
        <v>0</v>
      </c>
      <c r="M111">
        <v>2.5</v>
      </c>
      <c r="N111">
        <v>5.53</v>
      </c>
      <c r="O111" t="s">
        <v>33</v>
      </c>
      <c r="P111" t="s">
        <v>6175</v>
      </c>
    </row>
    <row r="112" spans="1:16" x14ac:dyDescent="0.25">
      <c r="A112">
        <v>46201</v>
      </c>
      <c r="B112" t="s">
        <v>5966</v>
      </c>
      <c r="C112" t="s">
        <v>37</v>
      </c>
      <c r="D112" t="s">
        <v>392</v>
      </c>
      <c r="E112">
        <v>349</v>
      </c>
      <c r="F112">
        <v>1929.999</v>
      </c>
      <c r="G112">
        <v>2627.3069999999998</v>
      </c>
      <c r="H112" t="s">
        <v>367</v>
      </c>
      <c r="I112">
        <v>3502256</v>
      </c>
      <c r="J112" t="s">
        <v>1580</v>
      </c>
      <c r="K112">
        <v>25.4</v>
      </c>
      <c r="L112">
        <v>0</v>
      </c>
      <c r="M112">
        <v>2.5</v>
      </c>
      <c r="N112">
        <v>5.53</v>
      </c>
      <c r="O112" t="s">
        <v>33</v>
      </c>
      <c r="P112" t="s">
        <v>6175</v>
      </c>
    </row>
    <row r="113" spans="1:16" x14ac:dyDescent="0.25">
      <c r="A113">
        <v>46201</v>
      </c>
      <c r="B113" t="s">
        <v>5966</v>
      </c>
      <c r="C113" t="s">
        <v>37</v>
      </c>
      <c r="D113" t="s">
        <v>392</v>
      </c>
      <c r="E113">
        <v>350</v>
      </c>
      <c r="F113">
        <v>1935.529</v>
      </c>
      <c r="G113">
        <v>2634.835</v>
      </c>
      <c r="H113" t="s">
        <v>367</v>
      </c>
      <c r="I113">
        <v>3502256</v>
      </c>
      <c r="J113" t="s">
        <v>1580</v>
      </c>
      <c r="K113">
        <v>25.4</v>
      </c>
      <c r="L113">
        <v>0</v>
      </c>
      <c r="M113">
        <v>2.5</v>
      </c>
      <c r="N113">
        <v>5.53</v>
      </c>
      <c r="O113" t="s">
        <v>33</v>
      </c>
      <c r="P113" t="s">
        <v>6175</v>
      </c>
    </row>
    <row r="114" spans="1:16" x14ac:dyDescent="0.25">
      <c r="A114">
        <v>46201</v>
      </c>
      <c r="B114" t="s">
        <v>5966</v>
      </c>
      <c r="C114" t="s">
        <v>37</v>
      </c>
      <c r="D114" t="s">
        <v>392</v>
      </c>
      <c r="E114">
        <v>350</v>
      </c>
      <c r="F114">
        <v>1935.529</v>
      </c>
      <c r="G114">
        <v>2634.835</v>
      </c>
      <c r="H114" t="s">
        <v>367</v>
      </c>
      <c r="I114">
        <v>3502256</v>
      </c>
      <c r="J114" t="s">
        <v>1580</v>
      </c>
      <c r="K114">
        <v>25.4</v>
      </c>
      <c r="L114">
        <v>0</v>
      </c>
      <c r="M114">
        <v>2.5</v>
      </c>
      <c r="N114">
        <v>5.53</v>
      </c>
      <c r="O114" t="s">
        <v>33</v>
      </c>
      <c r="P114" t="s">
        <v>6175</v>
      </c>
    </row>
    <row r="115" spans="1:16" x14ac:dyDescent="0.25">
      <c r="A115">
        <v>46201</v>
      </c>
      <c r="B115" t="s">
        <v>5966</v>
      </c>
      <c r="C115" t="s">
        <v>37</v>
      </c>
      <c r="D115" t="s">
        <v>392</v>
      </c>
      <c r="E115">
        <v>350</v>
      </c>
      <c r="F115">
        <v>1935.529</v>
      </c>
      <c r="G115">
        <v>2634.835</v>
      </c>
      <c r="H115" t="s">
        <v>367</v>
      </c>
      <c r="I115">
        <v>3502256</v>
      </c>
      <c r="J115" t="s">
        <v>1580</v>
      </c>
      <c r="K115">
        <v>25.4</v>
      </c>
      <c r="L115">
        <v>0</v>
      </c>
      <c r="M115">
        <v>2.5</v>
      </c>
      <c r="N115">
        <v>5.53</v>
      </c>
      <c r="O115" t="s">
        <v>33</v>
      </c>
      <c r="P115" t="s">
        <v>6175</v>
      </c>
    </row>
    <row r="116" spans="1:16" x14ac:dyDescent="0.25">
      <c r="A116">
        <v>46201</v>
      </c>
      <c r="B116" t="s">
        <v>5966</v>
      </c>
      <c r="C116" t="s">
        <v>37</v>
      </c>
      <c r="D116" t="s">
        <v>392</v>
      </c>
      <c r="E116">
        <v>150</v>
      </c>
      <c r="F116">
        <v>829.51099999999997</v>
      </c>
      <c r="G116">
        <v>1129.2139999999999</v>
      </c>
      <c r="H116" t="s">
        <v>367</v>
      </c>
      <c r="I116">
        <v>3502256</v>
      </c>
      <c r="J116" t="s">
        <v>1580</v>
      </c>
      <c r="K116">
        <v>25.4</v>
      </c>
      <c r="L116">
        <v>0</v>
      </c>
      <c r="M116">
        <v>2.5</v>
      </c>
      <c r="N116">
        <v>5.53</v>
      </c>
      <c r="O116" t="s">
        <v>33</v>
      </c>
      <c r="P116" t="s">
        <v>6175</v>
      </c>
    </row>
    <row r="117" spans="1:16" x14ac:dyDescent="0.25">
      <c r="A117">
        <v>46202</v>
      </c>
      <c r="B117" t="s">
        <v>5966</v>
      </c>
      <c r="C117" t="s">
        <v>37</v>
      </c>
      <c r="D117" t="s">
        <v>392</v>
      </c>
      <c r="E117">
        <v>350</v>
      </c>
      <c r="F117">
        <v>1935.529</v>
      </c>
      <c r="G117">
        <v>2634.835</v>
      </c>
      <c r="H117" t="s">
        <v>367</v>
      </c>
      <c r="I117">
        <v>3502256</v>
      </c>
      <c r="J117" t="s">
        <v>1580</v>
      </c>
      <c r="K117">
        <v>25.4</v>
      </c>
      <c r="L117">
        <v>0</v>
      </c>
      <c r="M117">
        <v>2.5</v>
      </c>
      <c r="N117">
        <v>5.53</v>
      </c>
      <c r="O117" t="s">
        <v>33</v>
      </c>
      <c r="P117" t="s">
        <v>6175</v>
      </c>
    </row>
    <row r="118" spans="1:16" x14ac:dyDescent="0.25">
      <c r="A118">
        <v>46202</v>
      </c>
      <c r="B118" t="s">
        <v>5966</v>
      </c>
      <c r="C118" t="s">
        <v>37</v>
      </c>
      <c r="D118" t="s">
        <v>392</v>
      </c>
      <c r="E118">
        <v>348</v>
      </c>
      <c r="F118">
        <v>1924.4690000000001</v>
      </c>
      <c r="G118">
        <v>2619.779</v>
      </c>
      <c r="H118" t="s">
        <v>367</v>
      </c>
      <c r="I118">
        <v>3502256</v>
      </c>
      <c r="J118" t="s">
        <v>1580</v>
      </c>
      <c r="K118">
        <v>25.4</v>
      </c>
      <c r="L118">
        <v>0</v>
      </c>
      <c r="M118">
        <v>2.5</v>
      </c>
      <c r="N118">
        <v>5.53</v>
      </c>
      <c r="O118" t="s">
        <v>33</v>
      </c>
      <c r="P118" t="s">
        <v>6175</v>
      </c>
    </row>
    <row r="119" spans="1:16" x14ac:dyDescent="0.25">
      <c r="A119">
        <v>46202</v>
      </c>
      <c r="B119" t="s">
        <v>5966</v>
      </c>
      <c r="C119" t="s">
        <v>37</v>
      </c>
      <c r="D119" t="s">
        <v>392</v>
      </c>
      <c r="E119">
        <v>350</v>
      </c>
      <c r="F119">
        <v>1935.529</v>
      </c>
      <c r="G119">
        <v>2634.835</v>
      </c>
      <c r="H119" t="s">
        <v>367</v>
      </c>
      <c r="I119">
        <v>3502256</v>
      </c>
      <c r="J119" t="s">
        <v>1580</v>
      </c>
      <c r="K119">
        <v>25.4</v>
      </c>
      <c r="L119">
        <v>0</v>
      </c>
      <c r="M119">
        <v>2.5</v>
      </c>
      <c r="N119">
        <v>5.53</v>
      </c>
      <c r="O119" t="s">
        <v>33</v>
      </c>
      <c r="P119" t="s">
        <v>6175</v>
      </c>
    </row>
    <row r="120" spans="1:16" x14ac:dyDescent="0.25">
      <c r="A120">
        <v>46203</v>
      </c>
      <c r="B120" t="s">
        <v>5966</v>
      </c>
      <c r="C120" t="s">
        <v>37</v>
      </c>
      <c r="D120" t="s">
        <v>392</v>
      </c>
      <c r="E120">
        <v>129</v>
      </c>
      <c r="F120">
        <v>713.38099999999997</v>
      </c>
      <c r="G120">
        <v>971.125</v>
      </c>
      <c r="H120" t="s">
        <v>367</v>
      </c>
      <c r="I120">
        <v>3502256</v>
      </c>
      <c r="J120" t="s">
        <v>1580</v>
      </c>
      <c r="K120">
        <v>25.4</v>
      </c>
      <c r="L120">
        <v>0</v>
      </c>
      <c r="M120">
        <v>2.5</v>
      </c>
      <c r="N120">
        <v>5.53</v>
      </c>
      <c r="O120" t="s">
        <v>33</v>
      </c>
      <c r="P120" t="s">
        <v>6175</v>
      </c>
    </row>
    <row r="121" spans="1:16" x14ac:dyDescent="0.25">
      <c r="A121">
        <v>46203</v>
      </c>
      <c r="B121" t="s">
        <v>5966</v>
      </c>
      <c r="C121" t="s">
        <v>37</v>
      </c>
      <c r="D121" t="s">
        <v>392</v>
      </c>
      <c r="E121">
        <v>349</v>
      </c>
      <c r="F121">
        <v>1929.999</v>
      </c>
      <c r="G121">
        <v>2627.3069999999998</v>
      </c>
      <c r="H121" t="s">
        <v>367</v>
      </c>
      <c r="I121">
        <v>3502256</v>
      </c>
      <c r="J121" t="s">
        <v>1580</v>
      </c>
      <c r="K121">
        <v>25.4</v>
      </c>
      <c r="L121">
        <v>0</v>
      </c>
      <c r="M121">
        <v>2.5</v>
      </c>
      <c r="N121">
        <v>5.53</v>
      </c>
      <c r="O121" t="s">
        <v>33</v>
      </c>
      <c r="P121" t="s">
        <v>6175</v>
      </c>
    </row>
    <row r="122" spans="1:16" x14ac:dyDescent="0.25">
      <c r="A122">
        <v>46203</v>
      </c>
      <c r="B122" t="s">
        <v>5966</v>
      </c>
      <c r="C122" t="s">
        <v>37</v>
      </c>
      <c r="D122" t="s">
        <v>392</v>
      </c>
      <c r="E122">
        <v>350</v>
      </c>
      <c r="F122">
        <v>1935.529</v>
      </c>
      <c r="G122">
        <v>2634.835</v>
      </c>
      <c r="H122" t="s">
        <v>367</v>
      </c>
      <c r="I122">
        <v>3502256</v>
      </c>
      <c r="J122" t="s">
        <v>1580</v>
      </c>
      <c r="K122">
        <v>25.4</v>
      </c>
      <c r="L122">
        <v>0</v>
      </c>
      <c r="M122">
        <v>2.5</v>
      </c>
      <c r="N122">
        <v>5.53</v>
      </c>
      <c r="O122" t="s">
        <v>33</v>
      </c>
      <c r="P122" t="s">
        <v>6175</v>
      </c>
    </row>
    <row r="123" spans="1:16" x14ac:dyDescent="0.25">
      <c r="A123">
        <v>46203</v>
      </c>
      <c r="B123" t="s">
        <v>5966</v>
      </c>
      <c r="C123" t="s">
        <v>37</v>
      </c>
      <c r="D123" t="s">
        <v>392</v>
      </c>
      <c r="E123">
        <v>349</v>
      </c>
      <c r="F123">
        <v>1929.999</v>
      </c>
      <c r="G123">
        <v>2627.3069999999998</v>
      </c>
      <c r="H123" t="s">
        <v>367</v>
      </c>
      <c r="I123">
        <v>3502256</v>
      </c>
      <c r="J123" t="s">
        <v>1580</v>
      </c>
      <c r="K123">
        <v>25.4</v>
      </c>
      <c r="L123">
        <v>0</v>
      </c>
      <c r="M123">
        <v>2.5</v>
      </c>
      <c r="N123">
        <v>5.53</v>
      </c>
      <c r="O123" t="s">
        <v>33</v>
      </c>
      <c r="P123" t="s">
        <v>6175</v>
      </c>
    </row>
    <row r="124" spans="1:16" x14ac:dyDescent="0.25">
      <c r="A124">
        <v>46203</v>
      </c>
      <c r="B124" t="s">
        <v>5966</v>
      </c>
      <c r="C124" t="s">
        <v>37</v>
      </c>
      <c r="D124" t="s">
        <v>392</v>
      </c>
      <c r="E124">
        <v>349</v>
      </c>
      <c r="F124">
        <v>1929.999</v>
      </c>
      <c r="G124">
        <v>2627.3069999999998</v>
      </c>
      <c r="H124" t="s">
        <v>367</v>
      </c>
      <c r="I124">
        <v>3502256</v>
      </c>
      <c r="J124" t="s">
        <v>1580</v>
      </c>
      <c r="K124">
        <v>25.4</v>
      </c>
      <c r="L124">
        <v>0</v>
      </c>
      <c r="M124">
        <v>2.5</v>
      </c>
      <c r="N124">
        <v>5.53</v>
      </c>
      <c r="O124" t="s">
        <v>33</v>
      </c>
      <c r="P124" t="s">
        <v>6175</v>
      </c>
    </row>
    <row r="125" spans="1:16" x14ac:dyDescent="0.25">
      <c r="A125">
        <v>46203</v>
      </c>
      <c r="B125" t="s">
        <v>5966</v>
      </c>
      <c r="C125" t="s">
        <v>37</v>
      </c>
      <c r="D125" t="s">
        <v>392</v>
      </c>
      <c r="E125">
        <v>350</v>
      </c>
      <c r="F125">
        <v>1935.529</v>
      </c>
      <c r="G125">
        <v>2634.835</v>
      </c>
      <c r="H125" t="s">
        <v>367</v>
      </c>
      <c r="I125">
        <v>3502256</v>
      </c>
      <c r="J125" t="s">
        <v>1580</v>
      </c>
      <c r="K125">
        <v>25.4</v>
      </c>
      <c r="L125">
        <v>0</v>
      </c>
      <c r="M125">
        <v>2.5</v>
      </c>
      <c r="N125">
        <v>5.53</v>
      </c>
      <c r="O125" t="s">
        <v>33</v>
      </c>
      <c r="P125" t="s">
        <v>6175</v>
      </c>
    </row>
    <row r="126" spans="1:16" x14ac:dyDescent="0.25">
      <c r="A126">
        <v>46203</v>
      </c>
      <c r="B126" t="s">
        <v>5966</v>
      </c>
      <c r="C126" t="s">
        <v>37</v>
      </c>
      <c r="D126" t="s">
        <v>392</v>
      </c>
      <c r="E126">
        <v>349</v>
      </c>
      <c r="F126">
        <v>1929.999</v>
      </c>
      <c r="G126">
        <v>2627.3069999999998</v>
      </c>
      <c r="H126" t="s">
        <v>367</v>
      </c>
      <c r="I126">
        <v>3502256</v>
      </c>
      <c r="J126" t="s">
        <v>1580</v>
      </c>
      <c r="K126">
        <v>25.4</v>
      </c>
      <c r="L126">
        <v>0</v>
      </c>
      <c r="M126">
        <v>2.5</v>
      </c>
      <c r="N126">
        <v>5.53</v>
      </c>
      <c r="O126" t="s">
        <v>33</v>
      </c>
      <c r="P126" t="s">
        <v>6175</v>
      </c>
    </row>
    <row r="127" spans="1:16" x14ac:dyDescent="0.25">
      <c r="A127">
        <v>46203</v>
      </c>
      <c r="B127" t="s">
        <v>5966</v>
      </c>
      <c r="C127" t="s">
        <v>37</v>
      </c>
      <c r="D127" t="s">
        <v>392</v>
      </c>
      <c r="E127">
        <v>350</v>
      </c>
      <c r="F127">
        <v>1935.529</v>
      </c>
      <c r="G127">
        <v>2634.835</v>
      </c>
      <c r="H127" t="s">
        <v>367</v>
      </c>
      <c r="I127">
        <v>3502256</v>
      </c>
      <c r="J127" t="s">
        <v>1580</v>
      </c>
      <c r="K127">
        <v>25.4</v>
      </c>
      <c r="L127">
        <v>0</v>
      </c>
      <c r="M127">
        <v>2.5</v>
      </c>
      <c r="N127">
        <v>5.53</v>
      </c>
      <c r="O127" t="s">
        <v>33</v>
      </c>
      <c r="P127" t="s">
        <v>6175</v>
      </c>
    </row>
    <row r="128" spans="1:16" x14ac:dyDescent="0.25">
      <c r="A128">
        <v>46203</v>
      </c>
      <c r="B128" t="s">
        <v>5966</v>
      </c>
      <c r="C128" t="s">
        <v>37</v>
      </c>
      <c r="D128" t="s">
        <v>392</v>
      </c>
      <c r="E128">
        <v>349</v>
      </c>
      <c r="F128">
        <v>1929.999</v>
      </c>
      <c r="G128">
        <v>2627.3069999999998</v>
      </c>
      <c r="H128" t="s">
        <v>367</v>
      </c>
      <c r="I128">
        <v>3502256</v>
      </c>
      <c r="J128" t="s">
        <v>1580</v>
      </c>
      <c r="K128">
        <v>25.4</v>
      </c>
      <c r="L128">
        <v>0</v>
      </c>
      <c r="M128">
        <v>2.5</v>
      </c>
      <c r="N128">
        <v>5.53</v>
      </c>
      <c r="O128" t="s">
        <v>33</v>
      </c>
      <c r="P128" t="s">
        <v>6175</v>
      </c>
    </row>
    <row r="129" spans="1:16" x14ac:dyDescent="0.25">
      <c r="A129">
        <v>46203</v>
      </c>
      <c r="B129" t="s">
        <v>5966</v>
      </c>
      <c r="C129" t="s">
        <v>37</v>
      </c>
      <c r="D129" t="s">
        <v>392</v>
      </c>
      <c r="E129">
        <v>349</v>
      </c>
      <c r="F129">
        <v>1929.999</v>
      </c>
      <c r="G129">
        <v>2627.3069999999998</v>
      </c>
      <c r="H129" t="s">
        <v>367</v>
      </c>
      <c r="I129">
        <v>3502256</v>
      </c>
      <c r="J129" t="s">
        <v>1580</v>
      </c>
      <c r="K129">
        <v>25.4</v>
      </c>
      <c r="L129">
        <v>0</v>
      </c>
      <c r="M129">
        <v>2.5</v>
      </c>
      <c r="N129">
        <v>5.53</v>
      </c>
      <c r="O129" t="s">
        <v>33</v>
      </c>
      <c r="P129" t="s">
        <v>6175</v>
      </c>
    </row>
    <row r="130" spans="1:16" x14ac:dyDescent="0.25">
      <c r="A130">
        <v>46202</v>
      </c>
      <c r="B130" t="s">
        <v>5966</v>
      </c>
      <c r="C130" t="s">
        <v>37</v>
      </c>
      <c r="D130" t="s">
        <v>392</v>
      </c>
      <c r="E130">
        <v>349</v>
      </c>
      <c r="F130">
        <v>1929.999</v>
      </c>
      <c r="G130">
        <v>2627.3069999999998</v>
      </c>
      <c r="H130" t="s">
        <v>367</v>
      </c>
      <c r="I130">
        <v>3502256</v>
      </c>
      <c r="J130" t="s">
        <v>1580</v>
      </c>
      <c r="K130">
        <v>25.4</v>
      </c>
      <c r="L130">
        <v>0</v>
      </c>
      <c r="M130">
        <v>2.5</v>
      </c>
      <c r="N130">
        <v>5.53</v>
      </c>
      <c r="O130" t="s">
        <v>33</v>
      </c>
      <c r="P130" t="s">
        <v>6175</v>
      </c>
    </row>
    <row r="131" spans="1:16" x14ac:dyDescent="0.25">
      <c r="A131">
        <v>46202</v>
      </c>
      <c r="B131" t="s">
        <v>5966</v>
      </c>
      <c r="C131" t="s">
        <v>37</v>
      </c>
      <c r="D131" t="s">
        <v>392</v>
      </c>
      <c r="E131">
        <v>349</v>
      </c>
      <c r="F131">
        <v>1929.999</v>
      </c>
      <c r="G131">
        <v>2627.3069999999998</v>
      </c>
      <c r="H131" t="s">
        <v>367</v>
      </c>
      <c r="I131">
        <v>3502256</v>
      </c>
      <c r="J131" t="s">
        <v>1580</v>
      </c>
      <c r="K131">
        <v>25.4</v>
      </c>
      <c r="L131">
        <v>0</v>
      </c>
      <c r="M131">
        <v>2.5</v>
      </c>
      <c r="N131">
        <v>5.53</v>
      </c>
      <c r="O131" t="s">
        <v>33</v>
      </c>
      <c r="P131" t="s">
        <v>6175</v>
      </c>
    </row>
    <row r="132" spans="1:16" x14ac:dyDescent="0.25">
      <c r="A132">
        <v>46202</v>
      </c>
      <c r="B132" t="s">
        <v>5966</v>
      </c>
      <c r="C132" t="s">
        <v>37</v>
      </c>
      <c r="D132" t="s">
        <v>392</v>
      </c>
      <c r="E132">
        <v>350</v>
      </c>
      <c r="F132">
        <v>1935.529</v>
      </c>
      <c r="G132">
        <v>2634.835</v>
      </c>
      <c r="H132" t="s">
        <v>367</v>
      </c>
      <c r="I132">
        <v>3502256</v>
      </c>
      <c r="J132" t="s">
        <v>1580</v>
      </c>
      <c r="K132">
        <v>25.4</v>
      </c>
      <c r="L132">
        <v>0</v>
      </c>
      <c r="M132">
        <v>2.5</v>
      </c>
      <c r="N132">
        <v>5.53</v>
      </c>
      <c r="O132" t="s">
        <v>33</v>
      </c>
      <c r="P132" t="s">
        <v>6175</v>
      </c>
    </row>
    <row r="133" spans="1:16" x14ac:dyDescent="0.25">
      <c r="A133">
        <v>46202</v>
      </c>
      <c r="B133" t="s">
        <v>5966</v>
      </c>
      <c r="C133" t="s">
        <v>37</v>
      </c>
      <c r="D133" t="s">
        <v>392</v>
      </c>
      <c r="E133">
        <v>350</v>
      </c>
      <c r="F133">
        <v>1935.529</v>
      </c>
      <c r="G133">
        <v>2634.835</v>
      </c>
      <c r="H133" t="s">
        <v>367</v>
      </c>
      <c r="I133">
        <v>3502256</v>
      </c>
      <c r="J133" t="s">
        <v>1580</v>
      </c>
      <c r="K133">
        <v>25.4</v>
      </c>
      <c r="L133">
        <v>0</v>
      </c>
      <c r="M133">
        <v>2.5</v>
      </c>
      <c r="N133">
        <v>5.53</v>
      </c>
      <c r="O133" t="s">
        <v>33</v>
      </c>
      <c r="P133" t="s">
        <v>6175</v>
      </c>
    </row>
    <row r="134" spans="1:16" x14ac:dyDescent="0.25">
      <c r="A134">
        <v>46202</v>
      </c>
      <c r="B134" t="s">
        <v>5966</v>
      </c>
      <c r="C134" t="s">
        <v>37</v>
      </c>
      <c r="D134" t="s">
        <v>392</v>
      </c>
      <c r="E134">
        <v>352</v>
      </c>
      <c r="F134">
        <v>1946.5889999999999</v>
      </c>
      <c r="G134">
        <v>2649.8910000000001</v>
      </c>
      <c r="H134" t="s">
        <v>367</v>
      </c>
      <c r="I134">
        <v>3502256</v>
      </c>
      <c r="J134" t="s">
        <v>1580</v>
      </c>
      <c r="K134">
        <v>25.4</v>
      </c>
      <c r="L134">
        <v>0</v>
      </c>
      <c r="M134">
        <v>2.5</v>
      </c>
      <c r="N134">
        <v>5.53</v>
      </c>
      <c r="O134" t="s">
        <v>33</v>
      </c>
      <c r="P134" t="s">
        <v>6175</v>
      </c>
    </row>
    <row r="135" spans="1:16" x14ac:dyDescent="0.25">
      <c r="A135">
        <v>46202</v>
      </c>
      <c r="B135" t="s">
        <v>5966</v>
      </c>
      <c r="C135" t="s">
        <v>37</v>
      </c>
      <c r="D135" t="s">
        <v>392</v>
      </c>
      <c r="E135">
        <v>350</v>
      </c>
      <c r="F135">
        <v>1935.529</v>
      </c>
      <c r="G135">
        <v>2634.835</v>
      </c>
      <c r="H135" t="s">
        <v>367</v>
      </c>
      <c r="I135">
        <v>3502256</v>
      </c>
      <c r="J135" t="s">
        <v>1580</v>
      </c>
      <c r="K135">
        <v>25.4</v>
      </c>
      <c r="L135">
        <v>0</v>
      </c>
      <c r="M135">
        <v>2.5</v>
      </c>
      <c r="N135">
        <v>5.53</v>
      </c>
      <c r="O135" t="s">
        <v>33</v>
      </c>
      <c r="P135" t="s">
        <v>6175</v>
      </c>
    </row>
    <row r="136" spans="1:16" x14ac:dyDescent="0.25">
      <c r="A136">
        <v>46201</v>
      </c>
      <c r="B136" t="s">
        <v>5966</v>
      </c>
      <c r="C136" t="s">
        <v>37</v>
      </c>
      <c r="D136" t="s">
        <v>392</v>
      </c>
      <c r="E136">
        <v>350</v>
      </c>
      <c r="F136">
        <v>1935.529</v>
      </c>
      <c r="G136">
        <v>2634.835</v>
      </c>
      <c r="H136" t="s">
        <v>367</v>
      </c>
      <c r="I136">
        <v>3502256</v>
      </c>
      <c r="J136" t="s">
        <v>1580</v>
      </c>
      <c r="K136">
        <v>25.4</v>
      </c>
      <c r="L136">
        <v>0</v>
      </c>
      <c r="M136">
        <v>2.5</v>
      </c>
      <c r="N136">
        <v>5.53</v>
      </c>
      <c r="O136" t="s">
        <v>33</v>
      </c>
      <c r="P136" t="s">
        <v>6175</v>
      </c>
    </row>
    <row r="137" spans="1:16" x14ac:dyDescent="0.25">
      <c r="A137">
        <v>46177</v>
      </c>
      <c r="B137" t="s">
        <v>5966</v>
      </c>
      <c r="C137" t="s">
        <v>37</v>
      </c>
      <c r="D137" t="s">
        <v>392</v>
      </c>
      <c r="E137">
        <v>350</v>
      </c>
      <c r="F137">
        <v>1935.529</v>
      </c>
      <c r="G137">
        <v>2634.835</v>
      </c>
      <c r="H137" t="s">
        <v>367</v>
      </c>
      <c r="I137">
        <v>3502256</v>
      </c>
      <c r="J137" t="s">
        <v>1580</v>
      </c>
      <c r="K137">
        <v>25.4</v>
      </c>
      <c r="L137">
        <v>0</v>
      </c>
      <c r="M137">
        <v>2.5</v>
      </c>
      <c r="N137">
        <v>5.53</v>
      </c>
      <c r="O137" t="s">
        <v>33</v>
      </c>
      <c r="P137" t="s">
        <v>6175</v>
      </c>
    </row>
    <row r="138" spans="1:16" x14ac:dyDescent="0.25">
      <c r="A138">
        <v>46178</v>
      </c>
      <c r="B138" t="s">
        <v>5966</v>
      </c>
      <c r="C138" t="s">
        <v>37</v>
      </c>
      <c r="D138" t="s">
        <v>392</v>
      </c>
      <c r="E138">
        <v>126</v>
      </c>
      <c r="F138">
        <v>696.79100000000005</v>
      </c>
      <c r="G138">
        <v>948.54100000000005</v>
      </c>
      <c r="H138" t="s">
        <v>367</v>
      </c>
      <c r="I138">
        <v>3502256</v>
      </c>
      <c r="J138" t="s">
        <v>1580</v>
      </c>
      <c r="K138">
        <v>25.4</v>
      </c>
      <c r="L138">
        <v>0</v>
      </c>
      <c r="M138">
        <v>2.5</v>
      </c>
      <c r="N138">
        <v>5.53</v>
      </c>
      <c r="O138" t="s">
        <v>33</v>
      </c>
      <c r="P138" t="s">
        <v>6175</v>
      </c>
    </row>
    <row r="139" spans="1:16" x14ac:dyDescent="0.25">
      <c r="A139">
        <v>46177</v>
      </c>
      <c r="B139" t="s">
        <v>5966</v>
      </c>
      <c r="C139" t="s">
        <v>37</v>
      </c>
      <c r="D139" t="s">
        <v>392</v>
      </c>
      <c r="E139">
        <v>350</v>
      </c>
      <c r="F139">
        <v>1935.529</v>
      </c>
      <c r="G139">
        <v>2634.835</v>
      </c>
      <c r="H139" t="s">
        <v>367</v>
      </c>
      <c r="I139">
        <v>3502256</v>
      </c>
      <c r="J139" t="s">
        <v>1580</v>
      </c>
      <c r="K139">
        <v>25.4</v>
      </c>
      <c r="L139">
        <v>0</v>
      </c>
      <c r="M139">
        <v>2.5</v>
      </c>
      <c r="N139">
        <v>5.53</v>
      </c>
      <c r="O139" t="s">
        <v>33</v>
      </c>
      <c r="P139" t="s">
        <v>6175</v>
      </c>
    </row>
    <row r="140" spans="1:16" x14ac:dyDescent="0.25">
      <c r="A140">
        <v>46177</v>
      </c>
      <c r="B140" t="s">
        <v>5966</v>
      </c>
      <c r="C140" t="s">
        <v>37</v>
      </c>
      <c r="D140" t="s">
        <v>392</v>
      </c>
      <c r="E140">
        <v>349</v>
      </c>
      <c r="F140">
        <v>1929.999</v>
      </c>
      <c r="G140">
        <v>2627.3069999999998</v>
      </c>
      <c r="H140" t="s">
        <v>367</v>
      </c>
      <c r="I140">
        <v>3502256</v>
      </c>
      <c r="J140" t="s">
        <v>1580</v>
      </c>
      <c r="K140">
        <v>25.4</v>
      </c>
      <c r="L140">
        <v>0</v>
      </c>
      <c r="M140">
        <v>2.5</v>
      </c>
      <c r="N140">
        <v>5.53</v>
      </c>
      <c r="O140" t="s">
        <v>33</v>
      </c>
      <c r="P140" t="s">
        <v>6175</v>
      </c>
    </row>
    <row r="141" spans="1:16" x14ac:dyDescent="0.25">
      <c r="A141">
        <v>46177</v>
      </c>
      <c r="B141" t="s">
        <v>5966</v>
      </c>
      <c r="C141" t="s">
        <v>37</v>
      </c>
      <c r="D141" t="s">
        <v>392</v>
      </c>
      <c r="E141">
        <v>348</v>
      </c>
      <c r="F141">
        <v>1924.4690000000001</v>
      </c>
      <c r="G141">
        <v>2619.779</v>
      </c>
      <c r="H141" t="s">
        <v>367</v>
      </c>
      <c r="I141">
        <v>3502256</v>
      </c>
      <c r="J141" t="s">
        <v>1580</v>
      </c>
      <c r="K141">
        <v>25.4</v>
      </c>
      <c r="L141">
        <v>0</v>
      </c>
      <c r="M141">
        <v>2.5</v>
      </c>
      <c r="N141">
        <v>5.53</v>
      </c>
      <c r="O141" t="s">
        <v>33</v>
      </c>
      <c r="P141" t="s">
        <v>6175</v>
      </c>
    </row>
    <row r="142" spans="1:16" x14ac:dyDescent="0.25">
      <c r="A142">
        <v>46177</v>
      </c>
      <c r="B142" t="s">
        <v>5966</v>
      </c>
      <c r="C142" t="s">
        <v>37</v>
      </c>
      <c r="D142" t="s">
        <v>392</v>
      </c>
      <c r="E142">
        <v>349</v>
      </c>
      <c r="F142">
        <v>1929.999</v>
      </c>
      <c r="G142">
        <v>2627.3069999999998</v>
      </c>
      <c r="H142" t="s">
        <v>367</v>
      </c>
      <c r="I142">
        <v>3502256</v>
      </c>
      <c r="J142" t="s">
        <v>1580</v>
      </c>
      <c r="K142">
        <v>25.4</v>
      </c>
      <c r="L142">
        <v>0</v>
      </c>
      <c r="M142">
        <v>2.5</v>
      </c>
      <c r="N142">
        <v>5.53</v>
      </c>
      <c r="O142" t="s">
        <v>33</v>
      </c>
      <c r="P142" t="s">
        <v>6175</v>
      </c>
    </row>
    <row r="143" spans="1:16" x14ac:dyDescent="0.25">
      <c r="A143">
        <v>46177</v>
      </c>
      <c r="B143" t="s">
        <v>5966</v>
      </c>
      <c r="C143" t="s">
        <v>37</v>
      </c>
      <c r="D143" t="s">
        <v>392</v>
      </c>
      <c r="E143">
        <v>348</v>
      </c>
      <c r="F143">
        <v>1924.4690000000001</v>
      </c>
      <c r="G143">
        <v>2619.779</v>
      </c>
      <c r="H143" t="s">
        <v>367</v>
      </c>
      <c r="I143">
        <v>3502256</v>
      </c>
      <c r="J143" t="s">
        <v>1580</v>
      </c>
      <c r="K143">
        <v>25.4</v>
      </c>
      <c r="L143">
        <v>0</v>
      </c>
      <c r="M143">
        <v>2.5</v>
      </c>
      <c r="N143">
        <v>5.53</v>
      </c>
      <c r="O143" t="s">
        <v>33</v>
      </c>
      <c r="P143" t="s">
        <v>6175</v>
      </c>
    </row>
    <row r="144" spans="1:16" x14ac:dyDescent="0.25">
      <c r="A144">
        <v>46177</v>
      </c>
      <c r="B144" t="s">
        <v>5966</v>
      </c>
      <c r="C144" t="s">
        <v>37</v>
      </c>
      <c r="D144" t="s">
        <v>392</v>
      </c>
      <c r="E144">
        <v>340</v>
      </c>
      <c r="F144">
        <v>1880.2280000000001</v>
      </c>
      <c r="G144">
        <v>2559.5540000000001</v>
      </c>
      <c r="H144" t="s">
        <v>367</v>
      </c>
      <c r="I144">
        <v>3502256</v>
      </c>
      <c r="J144" t="s">
        <v>1580</v>
      </c>
      <c r="K144">
        <v>25.4</v>
      </c>
      <c r="L144">
        <v>0</v>
      </c>
      <c r="M144">
        <v>2.5</v>
      </c>
      <c r="N144">
        <v>5.53</v>
      </c>
      <c r="O144" t="s">
        <v>33</v>
      </c>
      <c r="P144" t="s">
        <v>6175</v>
      </c>
    </row>
    <row r="145" spans="1:16" x14ac:dyDescent="0.25">
      <c r="A145">
        <v>46177</v>
      </c>
      <c r="B145" t="s">
        <v>5966</v>
      </c>
      <c r="C145" t="s">
        <v>37</v>
      </c>
      <c r="D145" t="s">
        <v>392</v>
      </c>
      <c r="E145">
        <v>349</v>
      </c>
      <c r="F145">
        <v>1929.999</v>
      </c>
      <c r="G145">
        <v>2627.3069999999998</v>
      </c>
      <c r="H145" t="s">
        <v>367</v>
      </c>
      <c r="I145">
        <v>3502256</v>
      </c>
      <c r="J145" t="s">
        <v>1580</v>
      </c>
      <c r="K145">
        <v>25.4</v>
      </c>
      <c r="L145">
        <v>0</v>
      </c>
      <c r="M145">
        <v>2.5</v>
      </c>
      <c r="N145">
        <v>5.53</v>
      </c>
      <c r="O145" t="s">
        <v>33</v>
      </c>
      <c r="P145" t="s">
        <v>6175</v>
      </c>
    </row>
    <row r="146" spans="1:16" x14ac:dyDescent="0.25">
      <c r="A146">
        <v>46185</v>
      </c>
      <c r="B146" t="s">
        <v>5999</v>
      </c>
      <c r="C146" t="s">
        <v>36</v>
      </c>
      <c r="D146" t="s">
        <v>392</v>
      </c>
      <c r="E146">
        <v>208</v>
      </c>
      <c r="F146">
        <v>1154.096</v>
      </c>
      <c r="G146">
        <v>1599</v>
      </c>
      <c r="H146" t="s">
        <v>345</v>
      </c>
      <c r="I146">
        <v>4180803</v>
      </c>
      <c r="J146" t="s">
        <v>6411</v>
      </c>
      <c r="K146">
        <v>48</v>
      </c>
      <c r="L146">
        <v>0</v>
      </c>
      <c r="M146">
        <v>1.2</v>
      </c>
      <c r="N146">
        <v>5.55</v>
      </c>
      <c r="O146" t="s">
        <v>33</v>
      </c>
    </row>
    <row r="147" spans="1:16" x14ac:dyDescent="0.25">
      <c r="A147">
        <v>46185</v>
      </c>
      <c r="B147" t="s">
        <v>5999</v>
      </c>
      <c r="C147" t="s">
        <v>36</v>
      </c>
      <c r="D147" t="s">
        <v>392</v>
      </c>
      <c r="E147">
        <v>14</v>
      </c>
      <c r="F147">
        <v>79.394000000000005</v>
      </c>
      <c r="G147">
        <v>110</v>
      </c>
      <c r="H147" t="s">
        <v>345</v>
      </c>
      <c r="I147">
        <v>4180803</v>
      </c>
      <c r="J147" t="s">
        <v>6411</v>
      </c>
      <c r="K147">
        <v>48</v>
      </c>
      <c r="L147">
        <v>0</v>
      </c>
      <c r="M147">
        <v>1.2</v>
      </c>
      <c r="N147">
        <v>5.55</v>
      </c>
      <c r="O147" t="s">
        <v>33</v>
      </c>
    </row>
    <row r="148" spans="1:16" x14ac:dyDescent="0.25">
      <c r="A148">
        <v>46185</v>
      </c>
      <c r="B148" t="s">
        <v>5999</v>
      </c>
      <c r="C148" t="s">
        <v>36</v>
      </c>
      <c r="D148" t="s">
        <v>392</v>
      </c>
      <c r="E148">
        <v>207</v>
      </c>
      <c r="F148">
        <v>1149.0440000000001</v>
      </c>
      <c r="G148">
        <v>1592</v>
      </c>
      <c r="H148" t="s">
        <v>345</v>
      </c>
      <c r="I148">
        <v>4180803</v>
      </c>
      <c r="J148" t="s">
        <v>6411</v>
      </c>
      <c r="K148">
        <v>48</v>
      </c>
      <c r="L148">
        <v>0</v>
      </c>
      <c r="M148">
        <v>1.2</v>
      </c>
      <c r="N148">
        <v>5.55</v>
      </c>
      <c r="O148" t="s">
        <v>33</v>
      </c>
    </row>
    <row r="149" spans="1:16" x14ac:dyDescent="0.25">
      <c r="A149">
        <v>46185</v>
      </c>
      <c r="B149" t="s">
        <v>5999</v>
      </c>
      <c r="C149" t="s">
        <v>36</v>
      </c>
      <c r="D149" t="s">
        <v>392</v>
      </c>
      <c r="E149">
        <v>200</v>
      </c>
      <c r="F149">
        <v>1110.069</v>
      </c>
      <c r="G149">
        <v>1538</v>
      </c>
      <c r="H149" t="s">
        <v>345</v>
      </c>
      <c r="I149">
        <v>4180803</v>
      </c>
      <c r="J149" t="s">
        <v>6411</v>
      </c>
      <c r="K149">
        <v>48</v>
      </c>
      <c r="L149">
        <v>0</v>
      </c>
      <c r="M149">
        <v>1.2</v>
      </c>
      <c r="N149">
        <v>5.55</v>
      </c>
      <c r="O149" t="s">
        <v>33</v>
      </c>
    </row>
    <row r="150" spans="1:16" x14ac:dyDescent="0.25">
      <c r="A150">
        <v>46185</v>
      </c>
      <c r="B150" t="s">
        <v>5999</v>
      </c>
      <c r="C150" t="s">
        <v>36</v>
      </c>
      <c r="D150" t="s">
        <v>392</v>
      </c>
      <c r="E150">
        <v>172</v>
      </c>
      <c r="F150">
        <v>953.44600000000003</v>
      </c>
      <c r="G150">
        <v>1321</v>
      </c>
      <c r="H150" t="s">
        <v>345</v>
      </c>
      <c r="I150">
        <v>4180803</v>
      </c>
      <c r="J150" t="s">
        <v>6411</v>
      </c>
      <c r="K150">
        <v>48</v>
      </c>
      <c r="L150">
        <v>0</v>
      </c>
      <c r="M150">
        <v>1.2</v>
      </c>
      <c r="N150">
        <v>5.55</v>
      </c>
      <c r="O150" t="s">
        <v>33</v>
      </c>
    </row>
    <row r="151" spans="1:16" x14ac:dyDescent="0.25">
      <c r="A151">
        <v>46178</v>
      </c>
      <c r="B151" t="s">
        <v>5966</v>
      </c>
      <c r="C151" t="s">
        <v>37</v>
      </c>
      <c r="D151" t="s">
        <v>392</v>
      </c>
      <c r="E151">
        <v>150</v>
      </c>
      <c r="F151">
        <v>847.47199999999998</v>
      </c>
      <c r="G151">
        <v>1473.33</v>
      </c>
      <c r="H151" t="s">
        <v>367</v>
      </c>
      <c r="I151">
        <v>3500959</v>
      </c>
      <c r="J151" t="s">
        <v>1651</v>
      </c>
      <c r="K151">
        <v>38.1</v>
      </c>
      <c r="L151">
        <v>0</v>
      </c>
      <c r="M151">
        <v>2</v>
      </c>
      <c r="N151">
        <v>5.65</v>
      </c>
      <c r="O151" t="s">
        <v>33</v>
      </c>
      <c r="P151" t="s">
        <v>6187</v>
      </c>
    </row>
    <row r="152" spans="1:16" x14ac:dyDescent="0.25">
      <c r="A152">
        <v>46178</v>
      </c>
      <c r="B152" t="s">
        <v>5966</v>
      </c>
      <c r="C152" t="s">
        <v>37</v>
      </c>
      <c r="D152" t="s">
        <v>392</v>
      </c>
      <c r="E152">
        <v>217</v>
      </c>
      <c r="F152">
        <v>1226.009</v>
      </c>
      <c r="G152">
        <v>2131.4169999999999</v>
      </c>
      <c r="H152" t="s">
        <v>367</v>
      </c>
      <c r="I152">
        <v>3500959</v>
      </c>
      <c r="J152" t="s">
        <v>1651</v>
      </c>
      <c r="K152">
        <v>38.1</v>
      </c>
      <c r="L152">
        <v>0</v>
      </c>
      <c r="M152">
        <v>2</v>
      </c>
      <c r="N152">
        <v>5.65</v>
      </c>
      <c r="O152" t="s">
        <v>33</v>
      </c>
      <c r="P152" t="s">
        <v>6187</v>
      </c>
    </row>
    <row r="153" spans="1:16" x14ac:dyDescent="0.25">
      <c r="A153">
        <v>46189</v>
      </c>
      <c r="B153" t="s">
        <v>5999</v>
      </c>
      <c r="C153" t="s">
        <v>36</v>
      </c>
      <c r="D153" t="s">
        <v>392</v>
      </c>
      <c r="E153">
        <v>108</v>
      </c>
      <c r="F153">
        <v>612.053</v>
      </c>
      <c r="G153">
        <v>848</v>
      </c>
      <c r="H153" t="s">
        <v>345</v>
      </c>
      <c r="I153">
        <v>3460088</v>
      </c>
      <c r="J153" t="s">
        <v>2249</v>
      </c>
      <c r="K153">
        <v>48</v>
      </c>
      <c r="L153">
        <v>0</v>
      </c>
      <c r="M153">
        <v>1.2</v>
      </c>
      <c r="N153">
        <v>5.67</v>
      </c>
      <c r="O153" t="s">
        <v>33</v>
      </c>
    </row>
    <row r="154" spans="1:16" x14ac:dyDescent="0.25">
      <c r="A154">
        <v>46189</v>
      </c>
      <c r="B154" t="s">
        <v>5999</v>
      </c>
      <c r="C154" t="s">
        <v>36</v>
      </c>
      <c r="D154" t="s">
        <v>392</v>
      </c>
      <c r="E154">
        <v>124</v>
      </c>
      <c r="F154">
        <v>703.71699999999998</v>
      </c>
      <c r="G154">
        <v>975</v>
      </c>
      <c r="H154" t="s">
        <v>345</v>
      </c>
      <c r="I154">
        <v>3460088</v>
      </c>
      <c r="J154" t="s">
        <v>2249</v>
      </c>
      <c r="K154">
        <v>48</v>
      </c>
      <c r="L154">
        <v>0</v>
      </c>
      <c r="M154">
        <v>1.2</v>
      </c>
      <c r="N154">
        <v>5.67</v>
      </c>
      <c r="O154" t="s">
        <v>33</v>
      </c>
    </row>
    <row r="155" spans="1:16" x14ac:dyDescent="0.25">
      <c r="A155">
        <v>46189</v>
      </c>
      <c r="B155" t="s">
        <v>5999</v>
      </c>
      <c r="C155" t="s">
        <v>36</v>
      </c>
      <c r="D155" t="s">
        <v>392</v>
      </c>
      <c r="E155">
        <v>194</v>
      </c>
      <c r="F155">
        <v>1099.9639999999999</v>
      </c>
      <c r="G155">
        <v>1524</v>
      </c>
      <c r="H155" t="s">
        <v>345</v>
      </c>
      <c r="I155">
        <v>3460088</v>
      </c>
      <c r="J155" t="s">
        <v>2249</v>
      </c>
      <c r="K155">
        <v>48</v>
      </c>
      <c r="L155">
        <v>0</v>
      </c>
      <c r="M155">
        <v>1.2</v>
      </c>
      <c r="N155">
        <v>5.67</v>
      </c>
      <c r="O155" t="s">
        <v>33</v>
      </c>
    </row>
    <row r="156" spans="1:16" x14ac:dyDescent="0.25">
      <c r="A156">
        <v>46189</v>
      </c>
      <c r="B156" t="s">
        <v>5999</v>
      </c>
      <c r="C156" t="s">
        <v>36</v>
      </c>
      <c r="D156" t="s">
        <v>392</v>
      </c>
      <c r="E156">
        <v>155</v>
      </c>
      <c r="F156">
        <v>876.21799999999996</v>
      </c>
      <c r="G156">
        <v>1214</v>
      </c>
      <c r="H156" t="s">
        <v>345</v>
      </c>
      <c r="I156">
        <v>3460088</v>
      </c>
      <c r="J156" t="s">
        <v>2249</v>
      </c>
      <c r="K156">
        <v>48</v>
      </c>
      <c r="L156">
        <v>0</v>
      </c>
      <c r="M156">
        <v>1.2</v>
      </c>
      <c r="N156">
        <v>5.67</v>
      </c>
      <c r="O156" t="s">
        <v>33</v>
      </c>
    </row>
    <row r="157" spans="1:16" x14ac:dyDescent="0.25">
      <c r="A157">
        <v>46189</v>
      </c>
      <c r="B157" t="s">
        <v>5999</v>
      </c>
      <c r="C157" t="s">
        <v>36</v>
      </c>
      <c r="D157" t="s">
        <v>392</v>
      </c>
      <c r="E157">
        <v>201</v>
      </c>
      <c r="F157">
        <v>1139.6610000000001</v>
      </c>
      <c r="G157">
        <v>1579</v>
      </c>
      <c r="H157" t="s">
        <v>345</v>
      </c>
      <c r="I157">
        <v>3460088</v>
      </c>
      <c r="J157" t="s">
        <v>2249</v>
      </c>
      <c r="K157">
        <v>48</v>
      </c>
      <c r="L157">
        <v>0</v>
      </c>
      <c r="M157">
        <v>1.2</v>
      </c>
      <c r="N157">
        <v>5.67</v>
      </c>
      <c r="O157" t="s">
        <v>33</v>
      </c>
    </row>
    <row r="158" spans="1:16" x14ac:dyDescent="0.25">
      <c r="A158">
        <v>46198</v>
      </c>
      <c r="B158" t="s">
        <v>5966</v>
      </c>
      <c r="C158" t="s">
        <v>37</v>
      </c>
      <c r="D158" t="s">
        <v>392</v>
      </c>
      <c r="E158">
        <v>419</v>
      </c>
      <c r="F158">
        <v>2375.712</v>
      </c>
      <c r="G158">
        <v>1864.0889999999999</v>
      </c>
      <c r="H158" t="s">
        <v>367</v>
      </c>
      <c r="I158">
        <v>3954021</v>
      </c>
      <c r="J158" t="s">
        <v>5982</v>
      </c>
      <c r="K158">
        <v>22.2</v>
      </c>
      <c r="L158">
        <v>0</v>
      </c>
      <c r="M158">
        <v>1.6</v>
      </c>
      <c r="N158">
        <v>5.67</v>
      </c>
      <c r="O158" t="s">
        <v>33</v>
      </c>
      <c r="P158" t="s">
        <v>6167</v>
      </c>
    </row>
    <row r="159" spans="1:16" x14ac:dyDescent="0.25">
      <c r="A159">
        <v>46198</v>
      </c>
      <c r="B159" t="s">
        <v>5966</v>
      </c>
      <c r="C159" t="s">
        <v>37</v>
      </c>
      <c r="D159" t="s">
        <v>392</v>
      </c>
      <c r="E159">
        <v>419</v>
      </c>
      <c r="F159">
        <v>2375.712</v>
      </c>
      <c r="G159">
        <v>1864.0889999999999</v>
      </c>
      <c r="H159" t="s">
        <v>367</v>
      </c>
      <c r="I159">
        <v>3954021</v>
      </c>
      <c r="J159" t="s">
        <v>5982</v>
      </c>
      <c r="K159">
        <v>22.2</v>
      </c>
      <c r="L159">
        <v>0</v>
      </c>
      <c r="M159">
        <v>1.6</v>
      </c>
      <c r="N159">
        <v>5.67</v>
      </c>
      <c r="O159" t="s">
        <v>33</v>
      </c>
      <c r="P159" t="s">
        <v>6167</v>
      </c>
    </row>
    <row r="160" spans="1:16" x14ac:dyDescent="0.25">
      <c r="A160">
        <v>46198</v>
      </c>
      <c r="B160" t="s">
        <v>5966</v>
      </c>
      <c r="C160" t="s">
        <v>37</v>
      </c>
      <c r="D160" t="s">
        <v>392</v>
      </c>
      <c r="E160">
        <v>419</v>
      </c>
      <c r="F160">
        <v>2375.712</v>
      </c>
      <c r="G160">
        <v>1864.0889999999999</v>
      </c>
      <c r="H160" t="s">
        <v>367</v>
      </c>
      <c r="I160">
        <v>3954021</v>
      </c>
      <c r="J160" t="s">
        <v>5982</v>
      </c>
      <c r="K160">
        <v>22.2</v>
      </c>
      <c r="L160">
        <v>0</v>
      </c>
      <c r="M160">
        <v>1.6</v>
      </c>
      <c r="N160">
        <v>5.67</v>
      </c>
      <c r="O160" t="s">
        <v>33</v>
      </c>
      <c r="P160" t="s">
        <v>6167</v>
      </c>
    </row>
    <row r="161" spans="1:16" x14ac:dyDescent="0.25">
      <c r="A161">
        <v>46198</v>
      </c>
      <c r="B161" t="s">
        <v>5966</v>
      </c>
      <c r="C161" t="s">
        <v>37</v>
      </c>
      <c r="D161" t="s">
        <v>392</v>
      </c>
      <c r="E161">
        <v>249</v>
      </c>
      <c r="F161">
        <v>1411.819</v>
      </c>
      <c r="G161">
        <v>1107.7760000000001</v>
      </c>
      <c r="H161" t="s">
        <v>367</v>
      </c>
      <c r="I161">
        <v>3954021</v>
      </c>
      <c r="J161" t="s">
        <v>5982</v>
      </c>
      <c r="K161">
        <v>22.2</v>
      </c>
      <c r="L161">
        <v>0</v>
      </c>
      <c r="M161">
        <v>1.6</v>
      </c>
      <c r="N161">
        <v>5.67</v>
      </c>
      <c r="O161" t="s">
        <v>33</v>
      </c>
      <c r="P161" t="s">
        <v>6167</v>
      </c>
    </row>
    <row r="162" spans="1:16" x14ac:dyDescent="0.25">
      <c r="A162">
        <v>46198</v>
      </c>
      <c r="B162" t="s">
        <v>5966</v>
      </c>
      <c r="C162" t="s">
        <v>37</v>
      </c>
      <c r="D162" t="s">
        <v>392</v>
      </c>
      <c r="E162">
        <v>416</v>
      </c>
      <c r="F162">
        <v>2358.701</v>
      </c>
      <c r="G162">
        <v>1850.742</v>
      </c>
      <c r="H162" t="s">
        <v>367</v>
      </c>
      <c r="I162">
        <v>3954021</v>
      </c>
      <c r="J162" t="s">
        <v>5982</v>
      </c>
      <c r="K162">
        <v>22.2</v>
      </c>
      <c r="L162">
        <v>0</v>
      </c>
      <c r="M162">
        <v>1.6</v>
      </c>
      <c r="N162">
        <v>5.67</v>
      </c>
      <c r="O162" t="s">
        <v>33</v>
      </c>
      <c r="P162" t="s">
        <v>6167</v>
      </c>
    </row>
    <row r="163" spans="1:16" x14ac:dyDescent="0.25">
      <c r="A163">
        <v>46198</v>
      </c>
      <c r="B163" t="s">
        <v>5966</v>
      </c>
      <c r="C163" t="s">
        <v>37</v>
      </c>
      <c r="D163" t="s">
        <v>392</v>
      </c>
      <c r="E163">
        <v>420</v>
      </c>
      <c r="F163">
        <v>2381.3820000000001</v>
      </c>
      <c r="G163">
        <v>1868.538</v>
      </c>
      <c r="H163" t="s">
        <v>367</v>
      </c>
      <c r="I163">
        <v>3954021</v>
      </c>
      <c r="J163" t="s">
        <v>5982</v>
      </c>
      <c r="K163">
        <v>22.2</v>
      </c>
      <c r="L163">
        <v>0</v>
      </c>
      <c r="M163">
        <v>1.6</v>
      </c>
      <c r="N163">
        <v>5.67</v>
      </c>
      <c r="O163" t="s">
        <v>33</v>
      </c>
      <c r="P163" t="s">
        <v>6167</v>
      </c>
    </row>
    <row r="164" spans="1:16" x14ac:dyDescent="0.25">
      <c r="A164">
        <v>46198</v>
      </c>
      <c r="B164" t="s">
        <v>5966</v>
      </c>
      <c r="C164" t="s">
        <v>37</v>
      </c>
      <c r="D164" t="s">
        <v>392</v>
      </c>
      <c r="E164">
        <v>416</v>
      </c>
      <c r="F164">
        <v>2358.701</v>
      </c>
      <c r="G164">
        <v>1850.742</v>
      </c>
      <c r="H164" t="s">
        <v>367</v>
      </c>
      <c r="I164">
        <v>3954021</v>
      </c>
      <c r="J164" t="s">
        <v>5982</v>
      </c>
      <c r="K164">
        <v>22.2</v>
      </c>
      <c r="L164">
        <v>0</v>
      </c>
      <c r="M164">
        <v>1.6</v>
      </c>
      <c r="N164">
        <v>5.67</v>
      </c>
      <c r="O164" t="s">
        <v>33</v>
      </c>
      <c r="P164" t="s">
        <v>6167</v>
      </c>
    </row>
    <row r="165" spans="1:16" x14ac:dyDescent="0.25">
      <c r="A165">
        <v>46198</v>
      </c>
      <c r="B165" t="s">
        <v>5966</v>
      </c>
      <c r="C165" t="s">
        <v>37</v>
      </c>
      <c r="D165" t="s">
        <v>392</v>
      </c>
      <c r="E165">
        <v>416</v>
      </c>
      <c r="F165">
        <v>2358.701</v>
      </c>
      <c r="G165">
        <v>1850.742</v>
      </c>
      <c r="H165" t="s">
        <v>367</v>
      </c>
      <c r="I165">
        <v>3954021</v>
      </c>
      <c r="J165" t="s">
        <v>5982</v>
      </c>
      <c r="K165">
        <v>22.2</v>
      </c>
      <c r="L165">
        <v>0</v>
      </c>
      <c r="M165">
        <v>1.6</v>
      </c>
      <c r="N165">
        <v>5.67</v>
      </c>
      <c r="O165" t="s">
        <v>33</v>
      </c>
      <c r="P165" t="s">
        <v>6167</v>
      </c>
    </row>
    <row r="166" spans="1:16" x14ac:dyDescent="0.25">
      <c r="A166">
        <v>46198</v>
      </c>
      <c r="B166" t="s">
        <v>5966</v>
      </c>
      <c r="C166" t="s">
        <v>37</v>
      </c>
      <c r="D166" t="s">
        <v>392</v>
      </c>
      <c r="E166">
        <v>419</v>
      </c>
      <c r="F166">
        <v>2375.712</v>
      </c>
      <c r="G166">
        <v>1864.0889999999999</v>
      </c>
      <c r="H166" t="s">
        <v>367</v>
      </c>
      <c r="I166">
        <v>3954021</v>
      </c>
      <c r="J166" t="s">
        <v>5982</v>
      </c>
      <c r="K166">
        <v>22.2</v>
      </c>
      <c r="L166">
        <v>0</v>
      </c>
      <c r="M166">
        <v>1.6</v>
      </c>
      <c r="N166">
        <v>5.67</v>
      </c>
      <c r="O166" t="s">
        <v>33</v>
      </c>
      <c r="P166" t="s">
        <v>6167</v>
      </c>
    </row>
    <row r="167" spans="1:16" x14ac:dyDescent="0.25">
      <c r="A167">
        <v>46198</v>
      </c>
      <c r="B167" t="s">
        <v>5966</v>
      </c>
      <c r="C167" t="s">
        <v>37</v>
      </c>
      <c r="D167" t="s">
        <v>392</v>
      </c>
      <c r="E167">
        <v>419</v>
      </c>
      <c r="F167">
        <v>2375.712</v>
      </c>
      <c r="G167">
        <v>1864.0889999999999</v>
      </c>
      <c r="H167" t="s">
        <v>367</v>
      </c>
      <c r="I167">
        <v>3954021</v>
      </c>
      <c r="J167" t="s">
        <v>5982</v>
      </c>
      <c r="K167">
        <v>22.2</v>
      </c>
      <c r="L167">
        <v>0</v>
      </c>
      <c r="M167">
        <v>1.6</v>
      </c>
      <c r="N167">
        <v>5.67</v>
      </c>
      <c r="O167" t="s">
        <v>33</v>
      </c>
      <c r="P167" t="s">
        <v>6167</v>
      </c>
    </row>
    <row r="168" spans="1:16" x14ac:dyDescent="0.25">
      <c r="A168">
        <v>46198</v>
      </c>
      <c r="B168" t="s">
        <v>5966</v>
      </c>
      <c r="C168" t="s">
        <v>37</v>
      </c>
      <c r="D168" t="s">
        <v>392</v>
      </c>
      <c r="E168">
        <v>420</v>
      </c>
      <c r="F168">
        <v>2381.3820000000001</v>
      </c>
      <c r="G168">
        <v>1868.538</v>
      </c>
      <c r="H168" t="s">
        <v>367</v>
      </c>
      <c r="I168">
        <v>3954021</v>
      </c>
      <c r="J168" t="s">
        <v>5982</v>
      </c>
      <c r="K168">
        <v>22.2</v>
      </c>
      <c r="L168">
        <v>0</v>
      </c>
      <c r="M168">
        <v>1.6</v>
      </c>
      <c r="N168">
        <v>5.67</v>
      </c>
      <c r="O168" t="s">
        <v>33</v>
      </c>
      <c r="P168" t="s">
        <v>6167</v>
      </c>
    </row>
    <row r="169" spans="1:16" x14ac:dyDescent="0.25">
      <c r="A169">
        <v>46198</v>
      </c>
      <c r="B169" t="s">
        <v>5966</v>
      </c>
      <c r="C169" t="s">
        <v>37</v>
      </c>
      <c r="D169" t="s">
        <v>392</v>
      </c>
      <c r="E169">
        <v>420</v>
      </c>
      <c r="F169">
        <v>2381.3820000000001</v>
      </c>
      <c r="G169">
        <v>1868.538</v>
      </c>
      <c r="H169" t="s">
        <v>367</v>
      </c>
      <c r="I169">
        <v>3954021</v>
      </c>
      <c r="J169" t="s">
        <v>5982</v>
      </c>
      <c r="K169">
        <v>22.2</v>
      </c>
      <c r="L169">
        <v>0</v>
      </c>
      <c r="M169">
        <v>1.6</v>
      </c>
      <c r="N169">
        <v>5.67</v>
      </c>
      <c r="O169" t="s">
        <v>33</v>
      </c>
      <c r="P169" t="s">
        <v>6167</v>
      </c>
    </row>
    <row r="170" spans="1:16" x14ac:dyDescent="0.25">
      <c r="A170">
        <v>46198</v>
      </c>
      <c r="B170" t="s">
        <v>5966</v>
      </c>
      <c r="C170" t="s">
        <v>37</v>
      </c>
      <c r="D170" t="s">
        <v>392</v>
      </c>
      <c r="E170">
        <v>420</v>
      </c>
      <c r="F170">
        <v>2381.3820000000001</v>
      </c>
      <c r="G170">
        <v>1868.538</v>
      </c>
      <c r="H170" t="s">
        <v>367</v>
      </c>
      <c r="I170">
        <v>3954021</v>
      </c>
      <c r="J170" t="s">
        <v>5982</v>
      </c>
      <c r="K170">
        <v>22.2</v>
      </c>
      <c r="L170">
        <v>0</v>
      </c>
      <c r="M170">
        <v>1.6</v>
      </c>
      <c r="N170">
        <v>5.67</v>
      </c>
      <c r="O170" t="s">
        <v>33</v>
      </c>
      <c r="P170" t="s">
        <v>6167</v>
      </c>
    </row>
    <row r="171" spans="1:16" x14ac:dyDescent="0.25">
      <c r="A171">
        <v>46198</v>
      </c>
      <c r="B171" t="s">
        <v>5966</v>
      </c>
      <c r="C171" t="s">
        <v>37</v>
      </c>
      <c r="D171" t="s">
        <v>392</v>
      </c>
      <c r="E171">
        <v>417</v>
      </c>
      <c r="F171">
        <v>2364.3719999999998</v>
      </c>
      <c r="G171">
        <v>1855.191</v>
      </c>
      <c r="H171" t="s">
        <v>367</v>
      </c>
      <c r="I171">
        <v>3954021</v>
      </c>
      <c r="J171" t="s">
        <v>5982</v>
      </c>
      <c r="K171">
        <v>22.2</v>
      </c>
      <c r="L171">
        <v>0</v>
      </c>
      <c r="M171">
        <v>1.6</v>
      </c>
      <c r="N171">
        <v>5.67</v>
      </c>
      <c r="O171" t="s">
        <v>33</v>
      </c>
      <c r="P171" t="s">
        <v>6167</v>
      </c>
    </row>
    <row r="172" spans="1:16" x14ac:dyDescent="0.25">
      <c r="A172">
        <v>46198</v>
      </c>
      <c r="B172" t="s">
        <v>5966</v>
      </c>
      <c r="C172" t="s">
        <v>37</v>
      </c>
      <c r="D172" t="s">
        <v>392</v>
      </c>
      <c r="E172">
        <v>420</v>
      </c>
      <c r="F172">
        <v>2381.3820000000001</v>
      </c>
      <c r="G172">
        <v>1868.538</v>
      </c>
      <c r="H172" t="s">
        <v>367</v>
      </c>
      <c r="I172">
        <v>3954021</v>
      </c>
      <c r="J172" t="s">
        <v>5982</v>
      </c>
      <c r="K172">
        <v>22.2</v>
      </c>
      <c r="L172">
        <v>0</v>
      </c>
      <c r="M172">
        <v>1.6</v>
      </c>
      <c r="N172">
        <v>5.67</v>
      </c>
      <c r="O172" t="s">
        <v>33</v>
      </c>
      <c r="P172" t="s">
        <v>6167</v>
      </c>
    </row>
    <row r="173" spans="1:16" x14ac:dyDescent="0.25">
      <c r="A173">
        <v>46198</v>
      </c>
      <c r="B173" t="s">
        <v>5966</v>
      </c>
      <c r="C173" t="s">
        <v>37</v>
      </c>
      <c r="D173" t="s">
        <v>392</v>
      </c>
      <c r="E173">
        <v>157</v>
      </c>
      <c r="F173">
        <v>889.39800000000002</v>
      </c>
      <c r="G173">
        <v>724</v>
      </c>
      <c r="H173" t="s">
        <v>345</v>
      </c>
      <c r="I173">
        <v>4055022</v>
      </c>
      <c r="J173" t="s">
        <v>6288</v>
      </c>
      <c r="K173">
        <v>22.23</v>
      </c>
      <c r="L173">
        <v>0</v>
      </c>
      <c r="M173">
        <v>1.6</v>
      </c>
      <c r="N173">
        <v>5.67</v>
      </c>
      <c r="O173" t="s">
        <v>33</v>
      </c>
    </row>
    <row r="174" spans="1:16" x14ac:dyDescent="0.25">
      <c r="A174">
        <v>46199</v>
      </c>
      <c r="B174" t="s">
        <v>5966</v>
      </c>
      <c r="C174" t="s">
        <v>37</v>
      </c>
      <c r="D174" t="s">
        <v>392</v>
      </c>
      <c r="E174">
        <v>4</v>
      </c>
      <c r="F174">
        <v>24.568999999999999</v>
      </c>
      <c r="G174">
        <v>20</v>
      </c>
      <c r="H174" t="s">
        <v>345</v>
      </c>
      <c r="I174">
        <v>4055022</v>
      </c>
      <c r="J174" t="s">
        <v>6288</v>
      </c>
      <c r="K174">
        <v>22.23</v>
      </c>
      <c r="L174">
        <v>0</v>
      </c>
      <c r="M174">
        <v>1.6</v>
      </c>
      <c r="N174">
        <v>5.67</v>
      </c>
      <c r="O174" t="s">
        <v>33</v>
      </c>
    </row>
    <row r="175" spans="1:16" x14ac:dyDescent="0.25">
      <c r="A175">
        <v>46199</v>
      </c>
      <c r="B175" t="s">
        <v>5966</v>
      </c>
      <c r="C175" t="s">
        <v>37</v>
      </c>
      <c r="D175" t="s">
        <v>392</v>
      </c>
      <c r="E175">
        <v>286</v>
      </c>
      <c r="F175">
        <v>1621.5550000000001</v>
      </c>
      <c r="G175">
        <v>1320</v>
      </c>
      <c r="H175" t="s">
        <v>345</v>
      </c>
      <c r="I175">
        <v>4055022</v>
      </c>
      <c r="J175" t="s">
        <v>6288</v>
      </c>
      <c r="K175">
        <v>22.23</v>
      </c>
      <c r="L175">
        <v>0</v>
      </c>
      <c r="M175">
        <v>1.6</v>
      </c>
      <c r="N175">
        <v>5.67</v>
      </c>
      <c r="O175" t="s">
        <v>33</v>
      </c>
    </row>
    <row r="176" spans="1:16" x14ac:dyDescent="0.25">
      <c r="A176">
        <v>46199</v>
      </c>
      <c r="B176" t="s">
        <v>5966</v>
      </c>
      <c r="C176" t="s">
        <v>37</v>
      </c>
      <c r="D176" t="s">
        <v>392</v>
      </c>
      <c r="E176">
        <v>155</v>
      </c>
      <c r="F176">
        <v>880.79899999999998</v>
      </c>
      <c r="G176">
        <v>717</v>
      </c>
      <c r="H176" t="s">
        <v>345</v>
      </c>
      <c r="I176">
        <v>4055022</v>
      </c>
      <c r="J176" t="s">
        <v>6288</v>
      </c>
      <c r="K176">
        <v>22.23</v>
      </c>
      <c r="L176">
        <v>0</v>
      </c>
      <c r="M176">
        <v>1.6</v>
      </c>
      <c r="N176">
        <v>5.67</v>
      </c>
      <c r="O176" t="s">
        <v>33</v>
      </c>
    </row>
    <row r="177" spans="1:15" x14ac:dyDescent="0.25">
      <c r="A177">
        <v>46199</v>
      </c>
      <c r="B177" t="s">
        <v>5966</v>
      </c>
      <c r="C177" t="s">
        <v>37</v>
      </c>
      <c r="D177" t="s">
        <v>392</v>
      </c>
      <c r="E177">
        <v>603</v>
      </c>
      <c r="F177">
        <v>3418.779</v>
      </c>
      <c r="G177">
        <v>2783</v>
      </c>
      <c r="H177" t="s">
        <v>345</v>
      </c>
      <c r="I177">
        <v>4055022</v>
      </c>
      <c r="J177" t="s">
        <v>6288</v>
      </c>
      <c r="K177">
        <v>22.23</v>
      </c>
      <c r="L177">
        <v>0</v>
      </c>
      <c r="M177">
        <v>1.6</v>
      </c>
      <c r="N177">
        <v>5.67</v>
      </c>
      <c r="O177" t="s">
        <v>33</v>
      </c>
    </row>
    <row r="178" spans="1:15" x14ac:dyDescent="0.25">
      <c r="A178">
        <v>46199</v>
      </c>
      <c r="B178" t="s">
        <v>5966</v>
      </c>
      <c r="C178" t="s">
        <v>37</v>
      </c>
      <c r="D178" t="s">
        <v>392</v>
      </c>
      <c r="E178">
        <v>598</v>
      </c>
      <c r="F178">
        <v>3390.5250000000001</v>
      </c>
      <c r="G178">
        <v>2760</v>
      </c>
      <c r="H178" t="s">
        <v>345</v>
      </c>
      <c r="I178">
        <v>4055022</v>
      </c>
      <c r="J178" t="s">
        <v>6288</v>
      </c>
      <c r="K178">
        <v>22.23</v>
      </c>
      <c r="L178">
        <v>0</v>
      </c>
      <c r="M178">
        <v>1.6</v>
      </c>
      <c r="N178">
        <v>5.67</v>
      </c>
      <c r="O178" t="s">
        <v>33</v>
      </c>
    </row>
    <row r="179" spans="1:15" x14ac:dyDescent="0.25">
      <c r="A179">
        <v>46199</v>
      </c>
      <c r="B179" t="s">
        <v>5966</v>
      </c>
      <c r="C179" t="s">
        <v>37</v>
      </c>
      <c r="D179" t="s">
        <v>392</v>
      </c>
      <c r="E179">
        <v>455</v>
      </c>
      <c r="F179">
        <v>2582.2040000000002</v>
      </c>
      <c r="G179">
        <v>2102</v>
      </c>
      <c r="H179" t="s">
        <v>345</v>
      </c>
      <c r="I179">
        <v>4055022</v>
      </c>
      <c r="J179" t="s">
        <v>6288</v>
      </c>
      <c r="K179">
        <v>22.23</v>
      </c>
      <c r="L179">
        <v>0</v>
      </c>
      <c r="M179">
        <v>1.6</v>
      </c>
      <c r="N179">
        <v>5.67</v>
      </c>
      <c r="O179" t="s">
        <v>33</v>
      </c>
    </row>
    <row r="180" spans="1:15" x14ac:dyDescent="0.25">
      <c r="A180">
        <v>46199</v>
      </c>
      <c r="B180" t="s">
        <v>5966</v>
      </c>
      <c r="C180" t="s">
        <v>37</v>
      </c>
      <c r="D180" t="s">
        <v>392</v>
      </c>
      <c r="E180">
        <v>454</v>
      </c>
      <c r="F180">
        <v>2576.0619999999999</v>
      </c>
      <c r="G180">
        <v>2097</v>
      </c>
      <c r="H180" t="s">
        <v>345</v>
      </c>
      <c r="I180">
        <v>4055022</v>
      </c>
      <c r="J180" t="s">
        <v>6288</v>
      </c>
      <c r="K180">
        <v>22.23</v>
      </c>
      <c r="L180">
        <v>0</v>
      </c>
      <c r="M180">
        <v>1.6</v>
      </c>
      <c r="N180">
        <v>5.67</v>
      </c>
      <c r="O180" t="s">
        <v>33</v>
      </c>
    </row>
    <row r="181" spans="1:15" x14ac:dyDescent="0.25">
      <c r="A181">
        <v>46198</v>
      </c>
      <c r="B181" t="s">
        <v>5966</v>
      </c>
      <c r="C181" t="s">
        <v>37</v>
      </c>
      <c r="D181" t="s">
        <v>392</v>
      </c>
      <c r="E181">
        <v>566</v>
      </c>
      <c r="F181">
        <v>3209.942</v>
      </c>
      <c r="G181">
        <v>2613</v>
      </c>
      <c r="H181" t="s">
        <v>345</v>
      </c>
      <c r="I181">
        <v>4055022</v>
      </c>
      <c r="J181" t="s">
        <v>6288</v>
      </c>
      <c r="K181">
        <v>22.23</v>
      </c>
      <c r="L181">
        <v>0</v>
      </c>
      <c r="M181">
        <v>1.6</v>
      </c>
      <c r="N181">
        <v>5.67</v>
      </c>
      <c r="O181" t="s">
        <v>33</v>
      </c>
    </row>
    <row r="182" spans="1:15" x14ac:dyDescent="0.25">
      <c r="A182">
        <v>46199</v>
      </c>
      <c r="B182" t="s">
        <v>5966</v>
      </c>
      <c r="C182" t="s">
        <v>37</v>
      </c>
      <c r="D182" t="s">
        <v>392</v>
      </c>
      <c r="E182">
        <v>95</v>
      </c>
      <c r="F182">
        <v>539.29</v>
      </c>
      <c r="G182">
        <v>439</v>
      </c>
      <c r="H182" t="s">
        <v>345</v>
      </c>
      <c r="I182">
        <v>4055022</v>
      </c>
      <c r="J182" t="s">
        <v>6288</v>
      </c>
      <c r="K182">
        <v>22.23</v>
      </c>
      <c r="L182">
        <v>0</v>
      </c>
      <c r="M182">
        <v>1.6</v>
      </c>
      <c r="N182">
        <v>5.67</v>
      </c>
      <c r="O182" t="s">
        <v>33</v>
      </c>
    </row>
    <row r="183" spans="1:15" x14ac:dyDescent="0.25">
      <c r="A183">
        <v>46198</v>
      </c>
      <c r="B183" t="s">
        <v>5966</v>
      </c>
      <c r="C183" t="s">
        <v>37</v>
      </c>
      <c r="D183" t="s">
        <v>392</v>
      </c>
      <c r="E183">
        <v>591</v>
      </c>
      <c r="F183">
        <v>3352.4430000000002</v>
      </c>
      <c r="G183">
        <v>2729</v>
      </c>
      <c r="H183" t="s">
        <v>345</v>
      </c>
      <c r="I183">
        <v>4055022</v>
      </c>
      <c r="J183" t="s">
        <v>6288</v>
      </c>
      <c r="K183">
        <v>22.23</v>
      </c>
      <c r="L183">
        <v>0</v>
      </c>
      <c r="M183">
        <v>1.6</v>
      </c>
      <c r="N183">
        <v>5.67</v>
      </c>
      <c r="O183" t="s">
        <v>33</v>
      </c>
    </row>
    <row r="184" spans="1:15" x14ac:dyDescent="0.25">
      <c r="A184">
        <v>46198</v>
      </c>
      <c r="B184" t="s">
        <v>5966</v>
      </c>
      <c r="C184" t="s">
        <v>37</v>
      </c>
      <c r="D184" t="s">
        <v>392</v>
      </c>
      <c r="E184">
        <v>431</v>
      </c>
      <c r="F184">
        <v>2443.3890000000001</v>
      </c>
      <c r="G184">
        <v>1989</v>
      </c>
      <c r="H184" t="s">
        <v>345</v>
      </c>
      <c r="I184">
        <v>4055022</v>
      </c>
      <c r="J184" t="s">
        <v>6288</v>
      </c>
      <c r="K184">
        <v>22.23</v>
      </c>
      <c r="L184">
        <v>0</v>
      </c>
      <c r="M184">
        <v>1.6</v>
      </c>
      <c r="N184">
        <v>5.67</v>
      </c>
      <c r="O184" t="s">
        <v>33</v>
      </c>
    </row>
    <row r="185" spans="1:15" x14ac:dyDescent="0.25">
      <c r="A185">
        <v>46176</v>
      </c>
      <c r="B185" t="s">
        <v>5966</v>
      </c>
      <c r="C185" t="s">
        <v>37</v>
      </c>
      <c r="D185" t="s">
        <v>392</v>
      </c>
      <c r="E185">
        <v>621</v>
      </c>
      <c r="F185">
        <v>3520.74</v>
      </c>
      <c r="G185">
        <v>2866</v>
      </c>
      <c r="H185" t="s">
        <v>345</v>
      </c>
      <c r="I185">
        <v>4055022</v>
      </c>
      <c r="J185" t="s">
        <v>6288</v>
      </c>
      <c r="K185">
        <v>22.23</v>
      </c>
      <c r="L185">
        <v>0</v>
      </c>
      <c r="M185">
        <v>1.6</v>
      </c>
      <c r="N185">
        <v>5.67</v>
      </c>
      <c r="O185" t="s">
        <v>33</v>
      </c>
    </row>
    <row r="186" spans="1:15" x14ac:dyDescent="0.25">
      <c r="A186">
        <v>46203</v>
      </c>
      <c r="B186" t="s">
        <v>5966</v>
      </c>
      <c r="C186" t="s">
        <v>37</v>
      </c>
      <c r="D186" t="s">
        <v>392</v>
      </c>
      <c r="E186">
        <v>510</v>
      </c>
      <c r="F186">
        <v>2893.002</v>
      </c>
      <c r="G186">
        <v>2355</v>
      </c>
      <c r="H186" t="s">
        <v>345</v>
      </c>
      <c r="I186">
        <v>4055022</v>
      </c>
      <c r="J186" t="s">
        <v>6288</v>
      </c>
      <c r="K186">
        <v>22.23</v>
      </c>
      <c r="L186">
        <v>0</v>
      </c>
      <c r="M186">
        <v>1.6</v>
      </c>
      <c r="N186">
        <v>5.67</v>
      </c>
      <c r="O186" t="s">
        <v>33</v>
      </c>
    </row>
    <row r="187" spans="1:15" x14ac:dyDescent="0.25">
      <c r="A187">
        <v>46198</v>
      </c>
      <c r="B187" t="s">
        <v>5966</v>
      </c>
      <c r="C187" t="s">
        <v>37</v>
      </c>
      <c r="D187" t="s">
        <v>392</v>
      </c>
      <c r="E187">
        <v>891</v>
      </c>
      <c r="F187">
        <v>5052.6189999999997</v>
      </c>
      <c r="G187">
        <v>4113</v>
      </c>
      <c r="H187" t="s">
        <v>345</v>
      </c>
      <c r="I187">
        <v>4055022</v>
      </c>
      <c r="J187" t="s">
        <v>6288</v>
      </c>
      <c r="K187">
        <v>22.23</v>
      </c>
      <c r="L187">
        <v>0</v>
      </c>
      <c r="M187">
        <v>1.6</v>
      </c>
      <c r="N187">
        <v>5.67</v>
      </c>
      <c r="O187" t="s">
        <v>33</v>
      </c>
    </row>
    <row r="188" spans="1:15" x14ac:dyDescent="0.25">
      <c r="A188">
        <v>46176</v>
      </c>
      <c r="B188" t="s">
        <v>5966</v>
      </c>
      <c r="C188" t="s">
        <v>37</v>
      </c>
      <c r="D188" t="s">
        <v>392</v>
      </c>
      <c r="E188">
        <v>620</v>
      </c>
      <c r="F188">
        <v>3513.37</v>
      </c>
      <c r="G188">
        <v>2860</v>
      </c>
      <c r="H188" t="s">
        <v>345</v>
      </c>
      <c r="I188">
        <v>4055022</v>
      </c>
      <c r="J188" t="s">
        <v>6288</v>
      </c>
      <c r="K188">
        <v>22.23</v>
      </c>
      <c r="L188">
        <v>0</v>
      </c>
      <c r="M188">
        <v>1.6</v>
      </c>
      <c r="N188">
        <v>5.67</v>
      </c>
      <c r="O188" t="s">
        <v>33</v>
      </c>
    </row>
    <row r="189" spans="1:15" x14ac:dyDescent="0.25">
      <c r="A189">
        <v>46176</v>
      </c>
      <c r="B189" t="s">
        <v>5966</v>
      </c>
      <c r="C189" t="s">
        <v>37</v>
      </c>
      <c r="D189" t="s">
        <v>392</v>
      </c>
      <c r="E189">
        <v>498</v>
      </c>
      <c r="F189">
        <v>2822.98</v>
      </c>
      <c r="G189">
        <v>2298</v>
      </c>
      <c r="H189" t="s">
        <v>345</v>
      </c>
      <c r="I189">
        <v>4055022</v>
      </c>
      <c r="J189" t="s">
        <v>6288</v>
      </c>
      <c r="K189">
        <v>22.23</v>
      </c>
      <c r="L189">
        <v>0</v>
      </c>
      <c r="M189">
        <v>1.6</v>
      </c>
      <c r="N189">
        <v>5.67</v>
      </c>
      <c r="O189" t="s">
        <v>33</v>
      </c>
    </row>
    <row r="190" spans="1:15" x14ac:dyDescent="0.25">
      <c r="A190">
        <v>46199</v>
      </c>
      <c r="B190" t="s">
        <v>5966</v>
      </c>
      <c r="C190" t="s">
        <v>37</v>
      </c>
      <c r="D190" t="s">
        <v>392</v>
      </c>
      <c r="E190">
        <v>598</v>
      </c>
      <c r="F190">
        <v>3392.9810000000002</v>
      </c>
      <c r="G190">
        <v>2762</v>
      </c>
      <c r="H190" t="s">
        <v>345</v>
      </c>
      <c r="I190">
        <v>4055022</v>
      </c>
      <c r="J190" t="s">
        <v>6288</v>
      </c>
      <c r="K190">
        <v>22.23</v>
      </c>
      <c r="L190">
        <v>0</v>
      </c>
      <c r="M190">
        <v>1.6</v>
      </c>
      <c r="N190">
        <v>5.67</v>
      </c>
      <c r="O190" t="s">
        <v>33</v>
      </c>
    </row>
    <row r="191" spans="1:15" x14ac:dyDescent="0.25">
      <c r="A191">
        <v>46198</v>
      </c>
      <c r="B191" t="s">
        <v>5966</v>
      </c>
      <c r="C191" t="s">
        <v>37</v>
      </c>
      <c r="D191" t="s">
        <v>392</v>
      </c>
      <c r="E191">
        <v>282</v>
      </c>
      <c r="F191">
        <v>1599.443</v>
      </c>
      <c r="G191">
        <v>1302</v>
      </c>
      <c r="H191" t="s">
        <v>345</v>
      </c>
      <c r="I191">
        <v>4055022</v>
      </c>
      <c r="J191" t="s">
        <v>6288</v>
      </c>
      <c r="K191">
        <v>22.23</v>
      </c>
      <c r="L191">
        <v>0</v>
      </c>
      <c r="M191">
        <v>1.6</v>
      </c>
      <c r="N191">
        <v>5.67</v>
      </c>
      <c r="O191" t="s">
        <v>33</v>
      </c>
    </row>
    <row r="192" spans="1:15" x14ac:dyDescent="0.25">
      <c r="A192">
        <v>46176</v>
      </c>
      <c r="B192" t="s">
        <v>5966</v>
      </c>
      <c r="C192" t="s">
        <v>37</v>
      </c>
      <c r="D192" t="s">
        <v>392</v>
      </c>
      <c r="E192">
        <v>97</v>
      </c>
      <c r="F192">
        <v>547.88900000000001</v>
      </c>
      <c r="G192">
        <v>446</v>
      </c>
      <c r="H192" t="s">
        <v>345</v>
      </c>
      <c r="I192">
        <v>4055022</v>
      </c>
      <c r="J192" t="s">
        <v>6288</v>
      </c>
      <c r="K192">
        <v>22.23</v>
      </c>
      <c r="L192">
        <v>0</v>
      </c>
      <c r="M192">
        <v>1.6</v>
      </c>
      <c r="N192">
        <v>5.67</v>
      </c>
      <c r="O192" t="s">
        <v>33</v>
      </c>
    </row>
    <row r="193" spans="1:16" x14ac:dyDescent="0.25">
      <c r="A193">
        <v>46198</v>
      </c>
      <c r="B193" t="s">
        <v>5966</v>
      </c>
      <c r="C193" t="s">
        <v>37</v>
      </c>
      <c r="D193" t="s">
        <v>392</v>
      </c>
      <c r="E193">
        <v>299</v>
      </c>
      <c r="F193">
        <v>1699.8130000000001</v>
      </c>
      <c r="G193">
        <v>1333.749</v>
      </c>
      <c r="H193" t="s">
        <v>367</v>
      </c>
      <c r="I193">
        <v>4173571</v>
      </c>
      <c r="J193" t="s">
        <v>5972</v>
      </c>
      <c r="K193">
        <v>22.2</v>
      </c>
      <c r="L193">
        <v>0</v>
      </c>
      <c r="M193">
        <v>1.6</v>
      </c>
      <c r="N193">
        <v>5.6849999999999996</v>
      </c>
      <c r="O193" t="s">
        <v>33</v>
      </c>
    </row>
    <row r="194" spans="1:16" x14ac:dyDescent="0.25">
      <c r="A194">
        <v>46198</v>
      </c>
      <c r="B194" t="s">
        <v>5966</v>
      </c>
      <c r="C194" t="s">
        <v>37</v>
      </c>
      <c r="D194" t="s">
        <v>392</v>
      </c>
      <c r="E194">
        <v>420</v>
      </c>
      <c r="F194">
        <v>2387.6979999999999</v>
      </c>
      <c r="G194">
        <v>1873.4939999999999</v>
      </c>
      <c r="H194" t="s">
        <v>367</v>
      </c>
      <c r="I194">
        <v>4173571</v>
      </c>
      <c r="J194" t="s">
        <v>5972</v>
      </c>
      <c r="K194">
        <v>22.2</v>
      </c>
      <c r="L194">
        <v>0</v>
      </c>
      <c r="M194">
        <v>1.6</v>
      </c>
      <c r="N194">
        <v>5.6849999999999996</v>
      </c>
      <c r="O194" t="s">
        <v>33</v>
      </c>
    </row>
    <row r="195" spans="1:16" x14ac:dyDescent="0.25">
      <c r="A195">
        <v>46198</v>
      </c>
      <c r="B195" t="s">
        <v>5966</v>
      </c>
      <c r="C195" t="s">
        <v>37</v>
      </c>
      <c r="D195" t="s">
        <v>392</v>
      </c>
      <c r="E195">
        <v>419</v>
      </c>
      <c r="F195">
        <v>2382.0129999999999</v>
      </c>
      <c r="G195">
        <v>1869.0329999999999</v>
      </c>
      <c r="H195" t="s">
        <v>367</v>
      </c>
      <c r="I195">
        <v>4173571</v>
      </c>
      <c r="J195" t="s">
        <v>5972</v>
      </c>
      <c r="K195">
        <v>22.2</v>
      </c>
      <c r="L195">
        <v>0</v>
      </c>
      <c r="M195">
        <v>1.6</v>
      </c>
      <c r="N195">
        <v>5.6849999999999996</v>
      </c>
      <c r="O195" t="s">
        <v>33</v>
      </c>
    </row>
    <row r="196" spans="1:16" x14ac:dyDescent="0.25">
      <c r="A196">
        <v>46198</v>
      </c>
      <c r="B196" t="s">
        <v>5966</v>
      </c>
      <c r="C196" t="s">
        <v>37</v>
      </c>
      <c r="D196" t="s">
        <v>392</v>
      </c>
      <c r="E196">
        <v>419</v>
      </c>
      <c r="F196">
        <v>2382.0129999999999</v>
      </c>
      <c r="G196">
        <v>1869.0329999999999</v>
      </c>
      <c r="H196" t="s">
        <v>367</v>
      </c>
      <c r="I196">
        <v>4173571</v>
      </c>
      <c r="J196" t="s">
        <v>5972</v>
      </c>
      <c r="K196">
        <v>22.2</v>
      </c>
      <c r="L196">
        <v>0</v>
      </c>
      <c r="M196">
        <v>1.6</v>
      </c>
      <c r="N196">
        <v>5.6849999999999996</v>
      </c>
      <c r="O196" t="s">
        <v>33</v>
      </c>
    </row>
    <row r="197" spans="1:16" x14ac:dyDescent="0.25">
      <c r="A197">
        <v>46198</v>
      </c>
      <c r="B197" t="s">
        <v>5966</v>
      </c>
      <c r="C197" t="s">
        <v>37</v>
      </c>
      <c r="D197" t="s">
        <v>392</v>
      </c>
      <c r="E197">
        <v>419</v>
      </c>
      <c r="F197">
        <v>2382.0129999999999</v>
      </c>
      <c r="G197">
        <v>1869.0329999999999</v>
      </c>
      <c r="H197" t="s">
        <v>367</v>
      </c>
      <c r="I197">
        <v>4173571</v>
      </c>
      <c r="J197" t="s">
        <v>5972</v>
      </c>
      <c r="K197">
        <v>22.2</v>
      </c>
      <c r="L197">
        <v>0</v>
      </c>
      <c r="M197">
        <v>1.6</v>
      </c>
      <c r="N197">
        <v>5.6849999999999996</v>
      </c>
      <c r="O197" t="s">
        <v>33</v>
      </c>
    </row>
    <row r="198" spans="1:16" x14ac:dyDescent="0.25">
      <c r="A198">
        <v>46198</v>
      </c>
      <c r="B198" t="s">
        <v>5966</v>
      </c>
      <c r="C198" t="s">
        <v>37</v>
      </c>
      <c r="D198" t="s">
        <v>392</v>
      </c>
      <c r="E198">
        <v>419</v>
      </c>
      <c r="F198">
        <v>2382.0129999999999</v>
      </c>
      <c r="G198">
        <v>1869.0329999999999</v>
      </c>
      <c r="H198" t="s">
        <v>367</v>
      </c>
      <c r="I198">
        <v>4173571</v>
      </c>
      <c r="J198" t="s">
        <v>5972</v>
      </c>
      <c r="K198">
        <v>22.2</v>
      </c>
      <c r="L198">
        <v>0</v>
      </c>
      <c r="M198">
        <v>1.6</v>
      </c>
      <c r="N198">
        <v>5.6849999999999996</v>
      </c>
      <c r="O198" t="s">
        <v>33</v>
      </c>
    </row>
    <row r="199" spans="1:16" x14ac:dyDescent="0.25">
      <c r="A199">
        <v>46198</v>
      </c>
      <c r="B199" t="s">
        <v>5966</v>
      </c>
      <c r="C199" t="s">
        <v>37</v>
      </c>
      <c r="D199" t="s">
        <v>392</v>
      </c>
      <c r="E199">
        <v>420</v>
      </c>
      <c r="F199">
        <v>2387.6979999999999</v>
      </c>
      <c r="G199">
        <v>1873.4939999999999</v>
      </c>
      <c r="H199" t="s">
        <v>367</v>
      </c>
      <c r="I199">
        <v>4173571</v>
      </c>
      <c r="J199" t="s">
        <v>5972</v>
      </c>
      <c r="K199">
        <v>22.2</v>
      </c>
      <c r="L199">
        <v>0</v>
      </c>
      <c r="M199">
        <v>1.6</v>
      </c>
      <c r="N199">
        <v>5.6849999999999996</v>
      </c>
      <c r="O199" t="s">
        <v>33</v>
      </c>
    </row>
    <row r="200" spans="1:16" x14ac:dyDescent="0.25">
      <c r="A200">
        <v>46198</v>
      </c>
      <c r="B200" t="s">
        <v>5966</v>
      </c>
      <c r="C200" t="s">
        <v>37</v>
      </c>
      <c r="D200" t="s">
        <v>392</v>
      </c>
      <c r="E200">
        <v>420</v>
      </c>
      <c r="F200">
        <v>2387.6979999999999</v>
      </c>
      <c r="G200">
        <v>1873.4939999999999</v>
      </c>
      <c r="H200" t="s">
        <v>367</v>
      </c>
      <c r="I200">
        <v>4173571</v>
      </c>
      <c r="J200" t="s">
        <v>5972</v>
      </c>
      <c r="K200">
        <v>22.2</v>
      </c>
      <c r="L200">
        <v>0</v>
      </c>
      <c r="M200">
        <v>1.6</v>
      </c>
      <c r="N200">
        <v>5.6849999999999996</v>
      </c>
      <c r="O200" t="s">
        <v>33</v>
      </c>
    </row>
    <row r="201" spans="1:16" x14ac:dyDescent="0.25">
      <c r="A201">
        <v>46198</v>
      </c>
      <c r="B201" t="s">
        <v>5966</v>
      </c>
      <c r="C201" t="s">
        <v>37</v>
      </c>
      <c r="D201" t="s">
        <v>392</v>
      </c>
      <c r="E201">
        <v>430</v>
      </c>
      <c r="F201">
        <v>2444.547</v>
      </c>
      <c r="G201">
        <v>1918.1</v>
      </c>
      <c r="H201" t="s">
        <v>367</v>
      </c>
      <c r="I201">
        <v>4173571</v>
      </c>
      <c r="J201" t="s">
        <v>5972</v>
      </c>
      <c r="K201">
        <v>22.2</v>
      </c>
      <c r="L201">
        <v>0</v>
      </c>
      <c r="M201">
        <v>1.6</v>
      </c>
      <c r="N201">
        <v>5.6849999999999996</v>
      </c>
      <c r="O201" t="s">
        <v>33</v>
      </c>
    </row>
    <row r="202" spans="1:16" x14ac:dyDescent="0.25">
      <c r="A202">
        <v>46198</v>
      </c>
      <c r="B202" t="s">
        <v>5966</v>
      </c>
      <c r="C202" t="s">
        <v>37</v>
      </c>
      <c r="D202" t="s">
        <v>392</v>
      </c>
      <c r="E202">
        <v>417</v>
      </c>
      <c r="F202">
        <v>2370.643</v>
      </c>
      <c r="G202">
        <v>1860.1120000000001</v>
      </c>
      <c r="H202" t="s">
        <v>367</v>
      </c>
      <c r="I202">
        <v>4173571</v>
      </c>
      <c r="J202" t="s">
        <v>5972</v>
      </c>
      <c r="K202">
        <v>22.2</v>
      </c>
      <c r="L202">
        <v>0</v>
      </c>
      <c r="M202">
        <v>1.6</v>
      </c>
      <c r="N202">
        <v>5.6849999999999996</v>
      </c>
      <c r="O202" t="s">
        <v>33</v>
      </c>
    </row>
    <row r="203" spans="1:16" x14ac:dyDescent="0.25">
      <c r="A203">
        <v>46198</v>
      </c>
      <c r="B203" t="s">
        <v>5966</v>
      </c>
      <c r="C203" t="s">
        <v>37</v>
      </c>
      <c r="D203" t="s">
        <v>392</v>
      </c>
      <c r="E203">
        <v>419</v>
      </c>
      <c r="F203">
        <v>2382.0129999999999</v>
      </c>
      <c r="G203">
        <v>1869.0329999999999</v>
      </c>
      <c r="H203" t="s">
        <v>367</v>
      </c>
      <c r="I203">
        <v>4173571</v>
      </c>
      <c r="J203" t="s">
        <v>5972</v>
      </c>
      <c r="K203">
        <v>22.2</v>
      </c>
      <c r="L203">
        <v>0</v>
      </c>
      <c r="M203">
        <v>1.6</v>
      </c>
      <c r="N203">
        <v>5.6849999999999996</v>
      </c>
      <c r="O203" t="s">
        <v>33</v>
      </c>
    </row>
    <row r="204" spans="1:16" x14ac:dyDescent="0.25">
      <c r="A204">
        <v>46198</v>
      </c>
      <c r="B204" t="s">
        <v>5966</v>
      </c>
      <c r="C204" t="s">
        <v>37</v>
      </c>
      <c r="D204" t="s">
        <v>392</v>
      </c>
      <c r="E204">
        <v>420</v>
      </c>
      <c r="F204">
        <v>2387.6979999999999</v>
      </c>
      <c r="G204">
        <v>1873.4939999999999</v>
      </c>
      <c r="H204" t="s">
        <v>367</v>
      </c>
      <c r="I204">
        <v>4173571</v>
      </c>
      <c r="J204" t="s">
        <v>5972</v>
      </c>
      <c r="K204">
        <v>22.2</v>
      </c>
      <c r="L204">
        <v>0</v>
      </c>
      <c r="M204">
        <v>1.6</v>
      </c>
      <c r="N204">
        <v>5.6849999999999996</v>
      </c>
      <c r="O204" t="s">
        <v>33</v>
      </c>
    </row>
    <row r="205" spans="1:16" x14ac:dyDescent="0.25">
      <c r="A205">
        <v>46198</v>
      </c>
      <c r="B205" t="s">
        <v>5966</v>
      </c>
      <c r="C205" t="s">
        <v>37</v>
      </c>
      <c r="D205" t="s">
        <v>392</v>
      </c>
      <c r="E205">
        <v>420</v>
      </c>
      <c r="F205">
        <v>2387.6979999999999</v>
      </c>
      <c r="G205">
        <v>1873.4939999999999</v>
      </c>
      <c r="H205" t="s">
        <v>367</v>
      </c>
      <c r="I205">
        <v>4173571</v>
      </c>
      <c r="J205" t="s">
        <v>5972</v>
      </c>
      <c r="K205">
        <v>22.2</v>
      </c>
      <c r="L205">
        <v>0</v>
      </c>
      <c r="M205">
        <v>1.6</v>
      </c>
      <c r="N205">
        <v>5.6849999999999996</v>
      </c>
      <c r="O205" t="s">
        <v>33</v>
      </c>
    </row>
    <row r="206" spans="1:16" x14ac:dyDescent="0.25">
      <c r="A206">
        <v>46199</v>
      </c>
      <c r="B206" t="s">
        <v>5966</v>
      </c>
      <c r="C206" t="s">
        <v>37</v>
      </c>
      <c r="D206" t="s">
        <v>392</v>
      </c>
      <c r="E206">
        <v>114</v>
      </c>
      <c r="F206">
        <v>649.048</v>
      </c>
      <c r="G206">
        <v>929.697</v>
      </c>
      <c r="H206" t="s">
        <v>1834</v>
      </c>
      <c r="I206">
        <v>3545558</v>
      </c>
      <c r="J206" t="s">
        <v>2378</v>
      </c>
      <c r="K206">
        <v>45</v>
      </c>
      <c r="L206">
        <v>0</v>
      </c>
      <c r="M206">
        <v>1.4</v>
      </c>
      <c r="N206">
        <v>5.7</v>
      </c>
      <c r="O206" t="s">
        <v>33</v>
      </c>
      <c r="P206" t="s">
        <v>6197</v>
      </c>
    </row>
    <row r="207" spans="1:16" x14ac:dyDescent="0.25">
      <c r="A207">
        <v>46199</v>
      </c>
      <c r="B207" t="s">
        <v>5966</v>
      </c>
      <c r="C207" t="s">
        <v>37</v>
      </c>
      <c r="D207" t="s">
        <v>392</v>
      </c>
      <c r="E207">
        <v>191</v>
      </c>
      <c r="F207">
        <v>1088.6759999999999</v>
      </c>
      <c r="G207">
        <v>1559.42</v>
      </c>
      <c r="H207" t="s">
        <v>1834</v>
      </c>
      <c r="I207">
        <v>3545558</v>
      </c>
      <c r="J207" t="s">
        <v>2378</v>
      </c>
      <c r="K207">
        <v>45</v>
      </c>
      <c r="L207">
        <v>0</v>
      </c>
      <c r="M207">
        <v>1.4</v>
      </c>
      <c r="N207">
        <v>5.7</v>
      </c>
      <c r="O207" t="s">
        <v>33</v>
      </c>
      <c r="P207" t="s">
        <v>6197</v>
      </c>
    </row>
    <row r="208" spans="1:16" x14ac:dyDescent="0.25">
      <c r="A208">
        <v>46199</v>
      </c>
      <c r="B208" t="s">
        <v>5966</v>
      </c>
      <c r="C208" t="s">
        <v>37</v>
      </c>
      <c r="D208" t="s">
        <v>392</v>
      </c>
      <c r="E208">
        <v>139</v>
      </c>
      <c r="F208">
        <v>792.28300000000002</v>
      </c>
      <c r="G208">
        <v>1134.866</v>
      </c>
      <c r="H208" t="s">
        <v>1834</v>
      </c>
      <c r="I208">
        <v>3545558</v>
      </c>
      <c r="J208" t="s">
        <v>2378</v>
      </c>
      <c r="K208">
        <v>45</v>
      </c>
      <c r="L208">
        <v>0</v>
      </c>
      <c r="M208">
        <v>1.4</v>
      </c>
      <c r="N208">
        <v>5.7</v>
      </c>
      <c r="O208" t="s">
        <v>33</v>
      </c>
      <c r="P208" t="s">
        <v>6197</v>
      </c>
    </row>
    <row r="209" spans="1:16" x14ac:dyDescent="0.25">
      <c r="A209">
        <v>46199</v>
      </c>
      <c r="B209" t="s">
        <v>5966</v>
      </c>
      <c r="C209" t="s">
        <v>37</v>
      </c>
      <c r="D209" t="s">
        <v>392</v>
      </c>
      <c r="E209">
        <v>146</v>
      </c>
      <c r="F209">
        <v>832.18200000000002</v>
      </c>
      <c r="G209">
        <v>1192.0170000000001</v>
      </c>
      <c r="H209" t="s">
        <v>1834</v>
      </c>
      <c r="I209">
        <v>3545558</v>
      </c>
      <c r="J209" t="s">
        <v>2378</v>
      </c>
      <c r="K209">
        <v>45</v>
      </c>
      <c r="L209">
        <v>0</v>
      </c>
      <c r="M209">
        <v>1.4</v>
      </c>
      <c r="N209">
        <v>5.7</v>
      </c>
      <c r="O209" t="s">
        <v>33</v>
      </c>
      <c r="P209" t="s">
        <v>6197</v>
      </c>
    </row>
    <row r="210" spans="1:16" x14ac:dyDescent="0.25">
      <c r="A210">
        <v>46178</v>
      </c>
      <c r="B210" t="s">
        <v>5966</v>
      </c>
      <c r="C210" t="s">
        <v>37</v>
      </c>
      <c r="D210" t="s">
        <v>392</v>
      </c>
      <c r="E210">
        <v>127</v>
      </c>
      <c r="F210">
        <v>725.31700000000001</v>
      </c>
      <c r="G210">
        <v>2350.3890000000001</v>
      </c>
      <c r="H210" t="s">
        <v>367</v>
      </c>
      <c r="I210">
        <v>3907863</v>
      </c>
      <c r="J210" t="s">
        <v>1749</v>
      </c>
      <c r="K210">
        <v>57.15</v>
      </c>
      <c r="L210">
        <v>0</v>
      </c>
      <c r="M210">
        <v>2.5</v>
      </c>
      <c r="N210">
        <v>5.7110000000000003</v>
      </c>
      <c r="O210" t="s">
        <v>33</v>
      </c>
      <c r="P210" t="s">
        <v>6205</v>
      </c>
    </row>
    <row r="211" spans="1:16" x14ac:dyDescent="0.25">
      <c r="A211">
        <v>46178</v>
      </c>
      <c r="B211" t="s">
        <v>5966</v>
      </c>
      <c r="C211" t="s">
        <v>37</v>
      </c>
      <c r="D211" t="s">
        <v>392</v>
      </c>
      <c r="E211">
        <v>127</v>
      </c>
      <c r="F211">
        <v>725.31700000000001</v>
      </c>
      <c r="G211">
        <v>2350.3890000000001</v>
      </c>
      <c r="H211" t="s">
        <v>367</v>
      </c>
      <c r="I211">
        <v>3907863</v>
      </c>
      <c r="J211" t="s">
        <v>1749</v>
      </c>
      <c r="K211">
        <v>57.15</v>
      </c>
      <c r="L211">
        <v>0</v>
      </c>
      <c r="M211">
        <v>2.5</v>
      </c>
      <c r="N211">
        <v>5.7110000000000003</v>
      </c>
      <c r="O211" t="s">
        <v>33</v>
      </c>
      <c r="P211" t="s">
        <v>6205</v>
      </c>
    </row>
    <row r="212" spans="1:16" x14ac:dyDescent="0.25">
      <c r="A212">
        <v>46178</v>
      </c>
      <c r="B212" t="s">
        <v>5966</v>
      </c>
      <c r="C212" t="s">
        <v>37</v>
      </c>
      <c r="D212" t="s">
        <v>392</v>
      </c>
      <c r="E212">
        <v>127</v>
      </c>
      <c r="F212">
        <v>725.31700000000001</v>
      </c>
      <c r="G212">
        <v>2350.3890000000001</v>
      </c>
      <c r="H212" t="s">
        <v>367</v>
      </c>
      <c r="I212">
        <v>3907863</v>
      </c>
      <c r="J212" t="s">
        <v>1749</v>
      </c>
      <c r="K212">
        <v>57.15</v>
      </c>
      <c r="L212">
        <v>0</v>
      </c>
      <c r="M212">
        <v>2.5</v>
      </c>
      <c r="N212">
        <v>5.7110000000000003</v>
      </c>
      <c r="O212" t="s">
        <v>33</v>
      </c>
      <c r="P212" t="s">
        <v>6205</v>
      </c>
    </row>
    <row r="213" spans="1:16" x14ac:dyDescent="0.25">
      <c r="A213">
        <v>46178</v>
      </c>
      <c r="B213" t="s">
        <v>5966</v>
      </c>
      <c r="C213" t="s">
        <v>37</v>
      </c>
      <c r="D213" t="s">
        <v>392</v>
      </c>
      <c r="E213">
        <v>127</v>
      </c>
      <c r="F213">
        <v>725.31700000000001</v>
      </c>
      <c r="G213">
        <v>2350.3890000000001</v>
      </c>
      <c r="H213" t="s">
        <v>367</v>
      </c>
      <c r="I213">
        <v>3907863</v>
      </c>
      <c r="J213" t="s">
        <v>1749</v>
      </c>
      <c r="K213">
        <v>57.15</v>
      </c>
      <c r="L213">
        <v>0</v>
      </c>
      <c r="M213">
        <v>2.5</v>
      </c>
      <c r="N213">
        <v>5.7110000000000003</v>
      </c>
      <c r="O213" t="s">
        <v>33</v>
      </c>
      <c r="P213" t="s">
        <v>6205</v>
      </c>
    </row>
    <row r="214" spans="1:16" x14ac:dyDescent="0.25">
      <c r="A214">
        <v>46178</v>
      </c>
      <c r="B214" t="s">
        <v>5966</v>
      </c>
      <c r="C214" t="s">
        <v>37</v>
      </c>
      <c r="D214" t="s">
        <v>392</v>
      </c>
      <c r="E214">
        <v>127</v>
      </c>
      <c r="F214">
        <v>725.31700000000001</v>
      </c>
      <c r="G214">
        <v>2350.3890000000001</v>
      </c>
      <c r="H214" t="s">
        <v>367</v>
      </c>
      <c r="I214">
        <v>3907863</v>
      </c>
      <c r="J214" t="s">
        <v>1749</v>
      </c>
      <c r="K214">
        <v>57.15</v>
      </c>
      <c r="L214">
        <v>0</v>
      </c>
      <c r="M214">
        <v>2.5</v>
      </c>
      <c r="N214">
        <v>5.7110000000000003</v>
      </c>
      <c r="O214" t="s">
        <v>33</v>
      </c>
      <c r="P214" t="s">
        <v>6205</v>
      </c>
    </row>
    <row r="215" spans="1:16" x14ac:dyDescent="0.25">
      <c r="A215">
        <v>46178</v>
      </c>
      <c r="B215" t="s">
        <v>5966</v>
      </c>
      <c r="C215" t="s">
        <v>37</v>
      </c>
      <c r="D215" t="s">
        <v>392</v>
      </c>
      <c r="E215">
        <v>127</v>
      </c>
      <c r="F215">
        <v>725.31700000000001</v>
      </c>
      <c r="G215">
        <v>2350.3890000000001</v>
      </c>
      <c r="H215" t="s">
        <v>367</v>
      </c>
      <c r="I215">
        <v>3907863</v>
      </c>
      <c r="J215" t="s">
        <v>1749</v>
      </c>
      <c r="K215">
        <v>57.15</v>
      </c>
      <c r="L215">
        <v>0</v>
      </c>
      <c r="M215">
        <v>2.5</v>
      </c>
      <c r="N215">
        <v>5.7110000000000003</v>
      </c>
      <c r="O215" t="s">
        <v>33</v>
      </c>
      <c r="P215" t="s">
        <v>6205</v>
      </c>
    </row>
    <row r="216" spans="1:16" x14ac:dyDescent="0.25">
      <c r="A216">
        <v>46191</v>
      </c>
      <c r="B216" t="s">
        <v>5966</v>
      </c>
      <c r="C216" t="s">
        <v>37</v>
      </c>
      <c r="D216" t="s">
        <v>392</v>
      </c>
      <c r="E216">
        <v>55</v>
      </c>
      <c r="F216">
        <v>314.11399999999998</v>
      </c>
      <c r="G216">
        <v>1017.885</v>
      </c>
      <c r="H216" t="s">
        <v>367</v>
      </c>
      <c r="I216">
        <v>3907863</v>
      </c>
      <c r="J216" t="s">
        <v>1749</v>
      </c>
      <c r="K216">
        <v>57.15</v>
      </c>
      <c r="L216">
        <v>0</v>
      </c>
      <c r="M216">
        <v>2.5</v>
      </c>
      <c r="N216">
        <v>5.7110000000000003</v>
      </c>
      <c r="O216" t="s">
        <v>33</v>
      </c>
      <c r="P216" t="s">
        <v>6205</v>
      </c>
    </row>
    <row r="217" spans="1:16" x14ac:dyDescent="0.25">
      <c r="A217">
        <v>46191</v>
      </c>
      <c r="B217" t="s">
        <v>5966</v>
      </c>
      <c r="C217" t="s">
        <v>37</v>
      </c>
      <c r="D217" t="s">
        <v>392</v>
      </c>
      <c r="E217">
        <v>55</v>
      </c>
      <c r="F217">
        <v>314.11399999999998</v>
      </c>
      <c r="G217">
        <v>1017.885</v>
      </c>
      <c r="H217" t="s">
        <v>367</v>
      </c>
      <c r="I217">
        <v>3907863</v>
      </c>
      <c r="J217" t="s">
        <v>1749</v>
      </c>
      <c r="K217">
        <v>57.15</v>
      </c>
      <c r="L217">
        <v>0</v>
      </c>
      <c r="M217">
        <v>2.5</v>
      </c>
      <c r="N217">
        <v>5.7110000000000003</v>
      </c>
      <c r="O217" t="s">
        <v>33</v>
      </c>
      <c r="P217" t="s">
        <v>6205</v>
      </c>
    </row>
    <row r="218" spans="1:16" x14ac:dyDescent="0.25">
      <c r="A218">
        <v>46199</v>
      </c>
      <c r="B218" t="s">
        <v>5966</v>
      </c>
      <c r="C218" t="s">
        <v>37</v>
      </c>
      <c r="D218" t="s">
        <v>392</v>
      </c>
      <c r="E218">
        <v>125</v>
      </c>
      <c r="F218">
        <v>718.27200000000005</v>
      </c>
      <c r="G218">
        <v>2327.5610000000001</v>
      </c>
      <c r="H218" t="s">
        <v>1834</v>
      </c>
      <c r="I218">
        <v>3501047</v>
      </c>
      <c r="J218" t="s">
        <v>2371</v>
      </c>
      <c r="K218">
        <v>57.15</v>
      </c>
      <c r="L218">
        <v>0</v>
      </c>
      <c r="M218">
        <v>2.5</v>
      </c>
      <c r="N218">
        <v>5.75</v>
      </c>
      <c r="O218" t="s">
        <v>33</v>
      </c>
      <c r="P218" t="s">
        <v>6207</v>
      </c>
    </row>
    <row r="219" spans="1:16" x14ac:dyDescent="0.25">
      <c r="A219">
        <v>46199</v>
      </c>
      <c r="B219" t="s">
        <v>5966</v>
      </c>
      <c r="C219" t="s">
        <v>37</v>
      </c>
      <c r="D219" t="s">
        <v>392</v>
      </c>
      <c r="E219">
        <v>126</v>
      </c>
      <c r="F219">
        <v>724.505</v>
      </c>
      <c r="G219">
        <v>2347.7579999999998</v>
      </c>
      <c r="H219" t="s">
        <v>1834</v>
      </c>
      <c r="I219">
        <v>3501047</v>
      </c>
      <c r="J219" t="s">
        <v>2371</v>
      </c>
      <c r="K219">
        <v>57.15</v>
      </c>
      <c r="L219">
        <v>0</v>
      </c>
      <c r="M219">
        <v>2.5</v>
      </c>
      <c r="N219">
        <v>5.75</v>
      </c>
      <c r="O219" t="s">
        <v>33</v>
      </c>
      <c r="P219" t="s">
        <v>6207</v>
      </c>
    </row>
    <row r="220" spans="1:16" x14ac:dyDescent="0.25">
      <c r="A220">
        <v>46199</v>
      </c>
      <c r="B220" t="s">
        <v>5966</v>
      </c>
      <c r="C220" t="s">
        <v>37</v>
      </c>
      <c r="D220" t="s">
        <v>392</v>
      </c>
      <c r="E220">
        <v>130</v>
      </c>
      <c r="F220">
        <v>747.505</v>
      </c>
      <c r="G220">
        <v>2422.29</v>
      </c>
      <c r="H220" t="s">
        <v>1834</v>
      </c>
      <c r="I220">
        <v>3501047</v>
      </c>
      <c r="J220" t="s">
        <v>2371</v>
      </c>
      <c r="K220">
        <v>57.15</v>
      </c>
      <c r="L220">
        <v>0</v>
      </c>
      <c r="M220">
        <v>2.5</v>
      </c>
      <c r="N220">
        <v>5.75</v>
      </c>
      <c r="O220" t="s">
        <v>33</v>
      </c>
      <c r="P220" t="s">
        <v>6207</v>
      </c>
    </row>
    <row r="221" spans="1:16" x14ac:dyDescent="0.25">
      <c r="A221">
        <v>46199</v>
      </c>
      <c r="B221" t="s">
        <v>5966</v>
      </c>
      <c r="C221" t="s">
        <v>37</v>
      </c>
      <c r="D221" t="s">
        <v>392</v>
      </c>
      <c r="E221">
        <v>127</v>
      </c>
      <c r="F221">
        <v>730.255</v>
      </c>
      <c r="G221">
        <v>2366.3910000000001</v>
      </c>
      <c r="H221" t="s">
        <v>1834</v>
      </c>
      <c r="I221">
        <v>3501047</v>
      </c>
      <c r="J221" t="s">
        <v>2371</v>
      </c>
      <c r="K221">
        <v>57.15</v>
      </c>
      <c r="L221">
        <v>0</v>
      </c>
      <c r="M221">
        <v>2.5</v>
      </c>
      <c r="N221">
        <v>5.75</v>
      </c>
      <c r="O221" t="s">
        <v>33</v>
      </c>
      <c r="P221" t="s">
        <v>6207</v>
      </c>
    </row>
    <row r="222" spans="1:16" x14ac:dyDescent="0.25">
      <c r="A222">
        <v>46189</v>
      </c>
      <c r="B222" t="s">
        <v>5966</v>
      </c>
      <c r="C222" t="s">
        <v>37</v>
      </c>
      <c r="D222" t="s">
        <v>392</v>
      </c>
      <c r="E222">
        <v>563</v>
      </c>
      <c r="F222">
        <v>3265.5729999999999</v>
      </c>
      <c r="G222">
        <v>2747</v>
      </c>
      <c r="H222" t="s">
        <v>345</v>
      </c>
      <c r="I222">
        <v>1940292</v>
      </c>
      <c r="J222" t="s">
        <v>2719</v>
      </c>
      <c r="K222">
        <v>19.05</v>
      </c>
      <c r="L222">
        <v>0</v>
      </c>
      <c r="M222">
        <v>2</v>
      </c>
      <c r="N222">
        <v>5.8</v>
      </c>
      <c r="O222" t="s">
        <v>33</v>
      </c>
    </row>
    <row r="223" spans="1:16" x14ac:dyDescent="0.25">
      <c r="A223">
        <v>46183</v>
      </c>
      <c r="B223" t="s">
        <v>5966</v>
      </c>
      <c r="C223" t="s">
        <v>37</v>
      </c>
      <c r="D223" t="s">
        <v>392</v>
      </c>
      <c r="E223">
        <v>434</v>
      </c>
      <c r="F223">
        <v>2517.8319999999999</v>
      </c>
      <c r="G223">
        <v>2118</v>
      </c>
      <c r="H223" t="s">
        <v>345</v>
      </c>
      <c r="I223">
        <v>1940292</v>
      </c>
      <c r="J223" t="s">
        <v>2719</v>
      </c>
      <c r="K223">
        <v>19.05</v>
      </c>
      <c r="L223">
        <v>0</v>
      </c>
      <c r="M223">
        <v>2</v>
      </c>
      <c r="N223">
        <v>5.8</v>
      </c>
      <c r="O223" t="s">
        <v>33</v>
      </c>
    </row>
    <row r="224" spans="1:16" x14ac:dyDescent="0.25">
      <c r="A224">
        <v>46183</v>
      </c>
      <c r="B224" t="s">
        <v>5966</v>
      </c>
      <c r="C224" t="s">
        <v>37</v>
      </c>
      <c r="D224" t="s">
        <v>392</v>
      </c>
      <c r="E224">
        <v>160</v>
      </c>
      <c r="F224">
        <v>929.62400000000002</v>
      </c>
      <c r="G224">
        <v>782</v>
      </c>
      <c r="H224" t="s">
        <v>345</v>
      </c>
      <c r="I224">
        <v>1940292</v>
      </c>
      <c r="J224" t="s">
        <v>2719</v>
      </c>
      <c r="K224">
        <v>19.05</v>
      </c>
      <c r="L224">
        <v>0</v>
      </c>
      <c r="M224">
        <v>2</v>
      </c>
      <c r="N224">
        <v>5.8</v>
      </c>
      <c r="O224" t="s">
        <v>33</v>
      </c>
    </row>
    <row r="225" spans="1:16" x14ac:dyDescent="0.25">
      <c r="A225">
        <v>46183</v>
      </c>
      <c r="B225" t="s">
        <v>5966</v>
      </c>
      <c r="C225" t="s">
        <v>37</v>
      </c>
      <c r="D225" t="s">
        <v>392</v>
      </c>
      <c r="E225">
        <v>163</v>
      </c>
      <c r="F225">
        <v>942.70100000000002</v>
      </c>
      <c r="G225">
        <v>793</v>
      </c>
      <c r="H225" t="s">
        <v>345</v>
      </c>
      <c r="I225">
        <v>1940292</v>
      </c>
      <c r="J225" t="s">
        <v>2719</v>
      </c>
      <c r="K225">
        <v>19.05</v>
      </c>
      <c r="L225">
        <v>0</v>
      </c>
      <c r="M225">
        <v>2</v>
      </c>
      <c r="N225">
        <v>5.8</v>
      </c>
      <c r="O225" t="s">
        <v>33</v>
      </c>
    </row>
    <row r="226" spans="1:16" x14ac:dyDescent="0.25">
      <c r="A226">
        <v>46183</v>
      </c>
      <c r="B226" t="s">
        <v>5966</v>
      </c>
      <c r="C226" t="s">
        <v>37</v>
      </c>
      <c r="D226" t="s">
        <v>392</v>
      </c>
      <c r="E226">
        <v>215</v>
      </c>
      <c r="F226">
        <v>1247.028</v>
      </c>
      <c r="G226">
        <v>1049</v>
      </c>
      <c r="H226" t="s">
        <v>345</v>
      </c>
      <c r="I226">
        <v>1940292</v>
      </c>
      <c r="J226" t="s">
        <v>2719</v>
      </c>
      <c r="K226">
        <v>19.05</v>
      </c>
      <c r="L226">
        <v>0</v>
      </c>
      <c r="M226">
        <v>2</v>
      </c>
      <c r="N226">
        <v>5.8</v>
      </c>
      <c r="O226" t="s">
        <v>33</v>
      </c>
    </row>
    <row r="227" spans="1:16" x14ac:dyDescent="0.25">
      <c r="A227">
        <v>46183</v>
      </c>
      <c r="B227" t="s">
        <v>5966</v>
      </c>
      <c r="C227" t="s">
        <v>37</v>
      </c>
      <c r="D227" t="s">
        <v>392</v>
      </c>
      <c r="E227">
        <v>207</v>
      </c>
      <c r="F227">
        <v>1198.288</v>
      </c>
      <c r="G227">
        <v>1008</v>
      </c>
      <c r="H227" t="s">
        <v>345</v>
      </c>
      <c r="I227">
        <v>1940292</v>
      </c>
      <c r="J227" t="s">
        <v>2719</v>
      </c>
      <c r="K227">
        <v>19.05</v>
      </c>
      <c r="L227">
        <v>0</v>
      </c>
      <c r="M227">
        <v>2</v>
      </c>
      <c r="N227">
        <v>5.8</v>
      </c>
      <c r="O227" t="s">
        <v>33</v>
      </c>
    </row>
    <row r="228" spans="1:16" x14ac:dyDescent="0.25">
      <c r="A228">
        <v>46185</v>
      </c>
      <c r="B228" t="s">
        <v>5966</v>
      </c>
      <c r="C228" t="s">
        <v>37</v>
      </c>
      <c r="D228" t="s">
        <v>392</v>
      </c>
      <c r="E228">
        <v>523</v>
      </c>
      <c r="F228">
        <v>3033.761</v>
      </c>
      <c r="G228">
        <v>2552</v>
      </c>
      <c r="H228" t="s">
        <v>345</v>
      </c>
      <c r="I228">
        <v>1940292</v>
      </c>
      <c r="J228" t="s">
        <v>2719</v>
      </c>
      <c r="K228">
        <v>19.05</v>
      </c>
      <c r="L228">
        <v>0</v>
      </c>
      <c r="M228">
        <v>2</v>
      </c>
      <c r="N228">
        <v>5.8</v>
      </c>
      <c r="O228" t="s">
        <v>33</v>
      </c>
    </row>
    <row r="229" spans="1:16" x14ac:dyDescent="0.25">
      <c r="A229">
        <v>46185</v>
      </c>
      <c r="B229" t="s">
        <v>5966</v>
      </c>
      <c r="C229" t="s">
        <v>37</v>
      </c>
      <c r="D229" t="s">
        <v>392</v>
      </c>
      <c r="E229">
        <v>525</v>
      </c>
      <c r="F229">
        <v>3045.6489999999999</v>
      </c>
      <c r="G229">
        <v>2562</v>
      </c>
      <c r="H229" t="s">
        <v>345</v>
      </c>
      <c r="I229">
        <v>1940292</v>
      </c>
      <c r="J229" t="s">
        <v>2719</v>
      </c>
      <c r="K229">
        <v>19.05</v>
      </c>
      <c r="L229">
        <v>0</v>
      </c>
      <c r="M229">
        <v>2</v>
      </c>
      <c r="N229">
        <v>5.8</v>
      </c>
      <c r="O229" t="s">
        <v>33</v>
      </c>
    </row>
    <row r="230" spans="1:16" x14ac:dyDescent="0.25">
      <c r="A230">
        <v>46185</v>
      </c>
      <c r="B230" t="s">
        <v>5966</v>
      </c>
      <c r="C230" t="s">
        <v>37</v>
      </c>
      <c r="D230" t="s">
        <v>392</v>
      </c>
      <c r="E230">
        <v>600</v>
      </c>
      <c r="F230">
        <v>3480.7420000000002</v>
      </c>
      <c r="G230">
        <v>2928</v>
      </c>
      <c r="H230" t="s">
        <v>345</v>
      </c>
      <c r="I230">
        <v>1940292</v>
      </c>
      <c r="J230" t="s">
        <v>2719</v>
      </c>
      <c r="K230">
        <v>19.05</v>
      </c>
      <c r="L230">
        <v>0</v>
      </c>
      <c r="M230">
        <v>2</v>
      </c>
      <c r="N230">
        <v>5.8</v>
      </c>
      <c r="O230" t="s">
        <v>33</v>
      </c>
    </row>
    <row r="231" spans="1:16" x14ac:dyDescent="0.25">
      <c r="A231">
        <v>46185</v>
      </c>
      <c r="B231" t="s">
        <v>5966</v>
      </c>
      <c r="C231" t="s">
        <v>37</v>
      </c>
      <c r="D231" t="s">
        <v>392</v>
      </c>
      <c r="E231">
        <v>483</v>
      </c>
      <c r="F231">
        <v>2803.1379999999999</v>
      </c>
      <c r="G231">
        <v>2358</v>
      </c>
      <c r="H231" t="s">
        <v>345</v>
      </c>
      <c r="I231">
        <v>1940292</v>
      </c>
      <c r="J231" t="s">
        <v>2719</v>
      </c>
      <c r="K231">
        <v>19.05</v>
      </c>
      <c r="L231">
        <v>0</v>
      </c>
      <c r="M231">
        <v>2</v>
      </c>
      <c r="N231">
        <v>5.8</v>
      </c>
      <c r="O231" t="s">
        <v>33</v>
      </c>
    </row>
    <row r="232" spans="1:16" x14ac:dyDescent="0.25">
      <c r="A232">
        <v>46189</v>
      </c>
      <c r="B232" t="s">
        <v>5966</v>
      </c>
      <c r="C232" t="s">
        <v>37</v>
      </c>
      <c r="D232" t="s">
        <v>392</v>
      </c>
      <c r="E232">
        <v>48</v>
      </c>
      <c r="F232">
        <v>278.17399999999998</v>
      </c>
      <c r="G232">
        <v>234</v>
      </c>
      <c r="H232" t="s">
        <v>345</v>
      </c>
      <c r="I232">
        <v>1940292</v>
      </c>
      <c r="J232" t="s">
        <v>2719</v>
      </c>
      <c r="K232">
        <v>19.05</v>
      </c>
      <c r="L232">
        <v>0</v>
      </c>
      <c r="M232">
        <v>2</v>
      </c>
      <c r="N232">
        <v>5.8</v>
      </c>
      <c r="O232" t="s">
        <v>33</v>
      </c>
    </row>
    <row r="233" spans="1:16" x14ac:dyDescent="0.25">
      <c r="A233">
        <v>46189</v>
      </c>
      <c r="B233" t="s">
        <v>5966</v>
      </c>
      <c r="C233" t="s">
        <v>37</v>
      </c>
      <c r="D233" t="s">
        <v>392</v>
      </c>
      <c r="E233">
        <v>251</v>
      </c>
      <c r="F233">
        <v>1456.2529999999999</v>
      </c>
      <c r="G233">
        <v>1225</v>
      </c>
      <c r="H233" t="s">
        <v>345</v>
      </c>
      <c r="I233">
        <v>1940292</v>
      </c>
      <c r="J233" t="s">
        <v>2719</v>
      </c>
      <c r="K233">
        <v>19.05</v>
      </c>
      <c r="L233">
        <v>0</v>
      </c>
      <c r="M233">
        <v>2</v>
      </c>
      <c r="N233">
        <v>5.8</v>
      </c>
      <c r="O233" t="s">
        <v>33</v>
      </c>
    </row>
    <row r="234" spans="1:16" x14ac:dyDescent="0.25">
      <c r="A234">
        <v>46189</v>
      </c>
      <c r="B234" t="s">
        <v>5966</v>
      </c>
      <c r="C234" t="s">
        <v>37</v>
      </c>
      <c r="D234" t="s">
        <v>392</v>
      </c>
      <c r="E234">
        <v>737</v>
      </c>
      <c r="F234">
        <v>4272.4679999999998</v>
      </c>
      <c r="G234">
        <v>3594</v>
      </c>
      <c r="H234" t="s">
        <v>345</v>
      </c>
      <c r="I234">
        <v>1940292</v>
      </c>
      <c r="J234" t="s">
        <v>2719</v>
      </c>
      <c r="K234">
        <v>19.05</v>
      </c>
      <c r="L234">
        <v>0</v>
      </c>
      <c r="M234">
        <v>2</v>
      </c>
      <c r="N234">
        <v>5.8</v>
      </c>
      <c r="O234" t="s">
        <v>33</v>
      </c>
    </row>
    <row r="235" spans="1:16" x14ac:dyDescent="0.25">
      <c r="A235">
        <v>46183</v>
      </c>
      <c r="B235" t="s">
        <v>5966</v>
      </c>
      <c r="C235" t="s">
        <v>37</v>
      </c>
      <c r="D235" t="s">
        <v>392</v>
      </c>
      <c r="E235">
        <v>219</v>
      </c>
      <c r="F235">
        <v>1269.615</v>
      </c>
      <c r="G235">
        <v>1068</v>
      </c>
      <c r="H235" t="s">
        <v>345</v>
      </c>
      <c r="I235">
        <v>1940292</v>
      </c>
      <c r="J235" t="s">
        <v>2719</v>
      </c>
      <c r="K235">
        <v>19.05</v>
      </c>
      <c r="L235">
        <v>0</v>
      </c>
      <c r="M235">
        <v>2</v>
      </c>
      <c r="N235">
        <v>5.8</v>
      </c>
      <c r="O235" t="s">
        <v>33</v>
      </c>
    </row>
    <row r="236" spans="1:16" x14ac:dyDescent="0.25">
      <c r="A236">
        <v>46183</v>
      </c>
      <c r="B236" t="s">
        <v>5966</v>
      </c>
      <c r="C236" t="s">
        <v>37</v>
      </c>
      <c r="D236" t="s">
        <v>392</v>
      </c>
      <c r="E236">
        <v>68</v>
      </c>
      <c r="F236">
        <v>393.48500000000001</v>
      </c>
      <c r="G236">
        <v>331</v>
      </c>
      <c r="H236" t="s">
        <v>345</v>
      </c>
      <c r="I236">
        <v>1940292</v>
      </c>
      <c r="J236" t="s">
        <v>2719</v>
      </c>
      <c r="K236">
        <v>19.05</v>
      </c>
      <c r="L236">
        <v>0</v>
      </c>
      <c r="M236">
        <v>2</v>
      </c>
      <c r="N236">
        <v>5.8</v>
      </c>
      <c r="O236" t="s">
        <v>33</v>
      </c>
    </row>
    <row r="237" spans="1:16" x14ac:dyDescent="0.25">
      <c r="A237">
        <v>46183</v>
      </c>
      <c r="B237" t="s">
        <v>5966</v>
      </c>
      <c r="C237" t="s">
        <v>37</v>
      </c>
      <c r="D237" t="s">
        <v>392</v>
      </c>
      <c r="E237">
        <v>519</v>
      </c>
      <c r="F237">
        <v>3008.797</v>
      </c>
      <c r="G237">
        <v>2531</v>
      </c>
      <c r="H237" t="s">
        <v>345</v>
      </c>
      <c r="I237">
        <v>1940292</v>
      </c>
      <c r="J237" t="s">
        <v>2719</v>
      </c>
      <c r="K237">
        <v>19.05</v>
      </c>
      <c r="L237">
        <v>0</v>
      </c>
      <c r="M237">
        <v>2</v>
      </c>
      <c r="N237">
        <v>5.8</v>
      </c>
      <c r="O237" t="s">
        <v>33</v>
      </c>
    </row>
    <row r="238" spans="1:16" x14ac:dyDescent="0.25">
      <c r="A238">
        <v>46201</v>
      </c>
      <c r="B238" t="s">
        <v>5966</v>
      </c>
      <c r="C238" t="s">
        <v>37</v>
      </c>
      <c r="D238" t="s">
        <v>392</v>
      </c>
      <c r="E238">
        <v>420</v>
      </c>
      <c r="F238">
        <v>2452.8119999999999</v>
      </c>
      <c r="G238">
        <v>2766.0360000000001</v>
      </c>
      <c r="H238" t="s">
        <v>367</v>
      </c>
      <c r="I238">
        <v>3673890</v>
      </c>
      <c r="J238" t="s">
        <v>2462</v>
      </c>
      <c r="K238">
        <v>25.4</v>
      </c>
      <c r="L238">
        <v>0</v>
      </c>
      <c r="M238">
        <v>2</v>
      </c>
      <c r="N238">
        <v>5.84</v>
      </c>
      <c r="O238" t="s">
        <v>33</v>
      </c>
      <c r="P238" t="s">
        <v>6174</v>
      </c>
    </row>
    <row r="239" spans="1:16" x14ac:dyDescent="0.25">
      <c r="A239">
        <v>46203</v>
      </c>
      <c r="B239" t="s">
        <v>5966</v>
      </c>
      <c r="C239" t="s">
        <v>37</v>
      </c>
      <c r="D239" t="s">
        <v>392</v>
      </c>
      <c r="E239">
        <v>416</v>
      </c>
      <c r="F239">
        <v>2429.4520000000002</v>
      </c>
      <c r="G239">
        <v>2739.6930000000002</v>
      </c>
      <c r="H239" t="s">
        <v>367</v>
      </c>
      <c r="I239">
        <v>3673890</v>
      </c>
      <c r="J239" t="s">
        <v>2462</v>
      </c>
      <c r="K239">
        <v>25.4</v>
      </c>
      <c r="L239">
        <v>0</v>
      </c>
      <c r="M239">
        <v>2</v>
      </c>
      <c r="N239">
        <v>5.84</v>
      </c>
      <c r="O239" t="s">
        <v>33</v>
      </c>
      <c r="P239" t="s">
        <v>6174</v>
      </c>
    </row>
    <row r="240" spans="1:16" x14ac:dyDescent="0.25">
      <c r="A240">
        <v>46203</v>
      </c>
      <c r="B240" t="s">
        <v>5966</v>
      </c>
      <c r="C240" t="s">
        <v>37</v>
      </c>
      <c r="D240" t="s">
        <v>392</v>
      </c>
      <c r="E240">
        <v>339</v>
      </c>
      <c r="F240">
        <v>1979.769</v>
      </c>
      <c r="G240">
        <v>2232.5859999999998</v>
      </c>
      <c r="H240" t="s">
        <v>367</v>
      </c>
      <c r="I240">
        <v>3673890</v>
      </c>
      <c r="J240" t="s">
        <v>2462</v>
      </c>
      <c r="K240">
        <v>25.4</v>
      </c>
      <c r="L240">
        <v>0</v>
      </c>
      <c r="M240">
        <v>2</v>
      </c>
      <c r="N240">
        <v>5.84</v>
      </c>
      <c r="O240" t="s">
        <v>33</v>
      </c>
      <c r="P240" t="s">
        <v>6174</v>
      </c>
    </row>
    <row r="241" spans="1:16" x14ac:dyDescent="0.25">
      <c r="A241">
        <v>46203</v>
      </c>
      <c r="B241" t="s">
        <v>5966</v>
      </c>
      <c r="C241" t="s">
        <v>37</v>
      </c>
      <c r="D241" t="s">
        <v>392</v>
      </c>
      <c r="E241">
        <v>420</v>
      </c>
      <c r="F241">
        <v>2452.8119999999999</v>
      </c>
      <c r="G241">
        <v>2766.0360000000001</v>
      </c>
      <c r="H241" t="s">
        <v>367</v>
      </c>
      <c r="I241">
        <v>3673890</v>
      </c>
      <c r="J241" t="s">
        <v>2462</v>
      </c>
      <c r="K241">
        <v>25.4</v>
      </c>
      <c r="L241">
        <v>0</v>
      </c>
      <c r="M241">
        <v>2</v>
      </c>
      <c r="N241">
        <v>5.84</v>
      </c>
      <c r="O241" t="s">
        <v>33</v>
      </c>
      <c r="P241" t="s">
        <v>6174</v>
      </c>
    </row>
    <row r="242" spans="1:16" x14ac:dyDescent="0.25">
      <c r="A242">
        <v>46201</v>
      </c>
      <c r="B242" t="s">
        <v>5966</v>
      </c>
      <c r="C242" t="s">
        <v>37</v>
      </c>
      <c r="D242" t="s">
        <v>392</v>
      </c>
      <c r="E242">
        <v>418</v>
      </c>
      <c r="F242">
        <v>2441.1320000000001</v>
      </c>
      <c r="G242">
        <v>2752.8649999999998</v>
      </c>
      <c r="H242" t="s">
        <v>367</v>
      </c>
      <c r="I242">
        <v>3673890</v>
      </c>
      <c r="J242" t="s">
        <v>2462</v>
      </c>
      <c r="K242">
        <v>25.4</v>
      </c>
      <c r="L242">
        <v>0</v>
      </c>
      <c r="M242">
        <v>2</v>
      </c>
      <c r="N242">
        <v>5.84</v>
      </c>
      <c r="O242" t="s">
        <v>33</v>
      </c>
      <c r="P242" t="s">
        <v>6174</v>
      </c>
    </row>
    <row r="243" spans="1:16" x14ac:dyDescent="0.25">
      <c r="A243">
        <v>46201</v>
      </c>
      <c r="B243" t="s">
        <v>5966</v>
      </c>
      <c r="C243" t="s">
        <v>37</v>
      </c>
      <c r="D243" t="s">
        <v>392</v>
      </c>
      <c r="E243">
        <v>419</v>
      </c>
      <c r="F243">
        <v>2446.9720000000002</v>
      </c>
      <c r="G243">
        <v>2759.45</v>
      </c>
      <c r="H243" t="s">
        <v>367</v>
      </c>
      <c r="I243">
        <v>3673890</v>
      </c>
      <c r="J243" t="s">
        <v>2462</v>
      </c>
      <c r="K243">
        <v>25.4</v>
      </c>
      <c r="L243">
        <v>0</v>
      </c>
      <c r="M243">
        <v>2</v>
      </c>
      <c r="N243">
        <v>5.84</v>
      </c>
      <c r="O243" t="s">
        <v>33</v>
      </c>
      <c r="P243" t="s">
        <v>6174</v>
      </c>
    </row>
    <row r="244" spans="1:16" x14ac:dyDescent="0.25">
      <c r="A244">
        <v>46201</v>
      </c>
      <c r="B244" t="s">
        <v>5966</v>
      </c>
      <c r="C244" t="s">
        <v>37</v>
      </c>
      <c r="D244" t="s">
        <v>392</v>
      </c>
      <c r="E244">
        <v>419</v>
      </c>
      <c r="F244">
        <v>2446.9720000000002</v>
      </c>
      <c r="G244">
        <v>2759.45</v>
      </c>
      <c r="H244" t="s">
        <v>367</v>
      </c>
      <c r="I244">
        <v>3673890</v>
      </c>
      <c r="J244" t="s">
        <v>2462</v>
      </c>
      <c r="K244">
        <v>25.4</v>
      </c>
      <c r="L244">
        <v>0</v>
      </c>
      <c r="M244">
        <v>2</v>
      </c>
      <c r="N244">
        <v>5.84</v>
      </c>
      <c r="O244" t="s">
        <v>33</v>
      </c>
      <c r="P244" t="s">
        <v>6174</v>
      </c>
    </row>
    <row r="245" spans="1:16" x14ac:dyDescent="0.25">
      <c r="A245">
        <v>46201</v>
      </c>
      <c r="B245" t="s">
        <v>5966</v>
      </c>
      <c r="C245" t="s">
        <v>37</v>
      </c>
      <c r="D245" t="s">
        <v>392</v>
      </c>
      <c r="E245">
        <v>420</v>
      </c>
      <c r="F245">
        <v>2452.8119999999999</v>
      </c>
      <c r="G245">
        <v>2766.0360000000001</v>
      </c>
      <c r="H245" t="s">
        <v>367</v>
      </c>
      <c r="I245">
        <v>3673890</v>
      </c>
      <c r="J245" t="s">
        <v>2462</v>
      </c>
      <c r="K245">
        <v>25.4</v>
      </c>
      <c r="L245">
        <v>0</v>
      </c>
      <c r="M245">
        <v>2</v>
      </c>
      <c r="N245">
        <v>5.84</v>
      </c>
      <c r="O245" t="s">
        <v>33</v>
      </c>
      <c r="P245" t="s">
        <v>6174</v>
      </c>
    </row>
    <row r="246" spans="1:16" x14ac:dyDescent="0.25">
      <c r="A246">
        <v>46201</v>
      </c>
      <c r="B246" t="s">
        <v>5966</v>
      </c>
      <c r="C246" t="s">
        <v>37</v>
      </c>
      <c r="D246" t="s">
        <v>392</v>
      </c>
      <c r="E246">
        <v>420</v>
      </c>
      <c r="F246">
        <v>2452.8119999999999</v>
      </c>
      <c r="G246">
        <v>2766.0360000000001</v>
      </c>
      <c r="H246" t="s">
        <v>367</v>
      </c>
      <c r="I246">
        <v>3673890</v>
      </c>
      <c r="J246" t="s">
        <v>2462</v>
      </c>
      <c r="K246">
        <v>25.4</v>
      </c>
      <c r="L246">
        <v>0</v>
      </c>
      <c r="M246">
        <v>2</v>
      </c>
      <c r="N246">
        <v>5.84</v>
      </c>
      <c r="O246" t="s">
        <v>33</v>
      </c>
      <c r="P246" t="s">
        <v>6174</v>
      </c>
    </row>
    <row r="247" spans="1:16" x14ac:dyDescent="0.25">
      <c r="A247">
        <v>46201</v>
      </c>
      <c r="B247" t="s">
        <v>5966</v>
      </c>
      <c r="C247" t="s">
        <v>37</v>
      </c>
      <c r="D247" t="s">
        <v>392</v>
      </c>
      <c r="E247">
        <v>420</v>
      </c>
      <c r="F247">
        <v>2452.8119999999999</v>
      </c>
      <c r="G247">
        <v>2766.0360000000001</v>
      </c>
      <c r="H247" t="s">
        <v>367</v>
      </c>
      <c r="I247">
        <v>3673890</v>
      </c>
      <c r="J247" t="s">
        <v>2462</v>
      </c>
      <c r="K247">
        <v>25.4</v>
      </c>
      <c r="L247">
        <v>0</v>
      </c>
      <c r="M247">
        <v>2</v>
      </c>
      <c r="N247">
        <v>5.84</v>
      </c>
      <c r="O247" t="s">
        <v>33</v>
      </c>
      <c r="P247" t="s">
        <v>6174</v>
      </c>
    </row>
    <row r="248" spans="1:16" x14ac:dyDescent="0.25">
      <c r="A248">
        <v>46202</v>
      </c>
      <c r="B248" t="s">
        <v>5966</v>
      </c>
      <c r="C248" t="s">
        <v>37</v>
      </c>
      <c r="D248" t="s">
        <v>392</v>
      </c>
      <c r="E248">
        <v>300</v>
      </c>
      <c r="F248">
        <v>1752.009</v>
      </c>
      <c r="G248">
        <v>1975.74</v>
      </c>
      <c r="H248" t="s">
        <v>367</v>
      </c>
      <c r="I248">
        <v>3673890</v>
      </c>
      <c r="J248" t="s">
        <v>2462</v>
      </c>
      <c r="K248">
        <v>25.4</v>
      </c>
      <c r="L248">
        <v>0</v>
      </c>
      <c r="M248">
        <v>2</v>
      </c>
      <c r="N248">
        <v>5.84</v>
      </c>
      <c r="O248" t="s">
        <v>33</v>
      </c>
      <c r="P248" t="s">
        <v>6174</v>
      </c>
    </row>
    <row r="249" spans="1:16" x14ac:dyDescent="0.25">
      <c r="A249">
        <v>46202</v>
      </c>
      <c r="B249" t="s">
        <v>5966</v>
      </c>
      <c r="C249" t="s">
        <v>37</v>
      </c>
      <c r="D249" t="s">
        <v>392</v>
      </c>
      <c r="E249">
        <v>420</v>
      </c>
      <c r="F249">
        <v>2452.8119999999999</v>
      </c>
      <c r="G249">
        <v>2766.0360000000001</v>
      </c>
      <c r="H249" t="s">
        <v>367</v>
      </c>
      <c r="I249">
        <v>3673890</v>
      </c>
      <c r="J249" t="s">
        <v>2462</v>
      </c>
      <c r="K249">
        <v>25.4</v>
      </c>
      <c r="L249">
        <v>0</v>
      </c>
      <c r="M249">
        <v>2</v>
      </c>
      <c r="N249">
        <v>5.84</v>
      </c>
      <c r="O249" t="s">
        <v>33</v>
      </c>
      <c r="P249" t="s">
        <v>6174</v>
      </c>
    </row>
    <row r="250" spans="1:16" x14ac:dyDescent="0.25">
      <c r="A250">
        <v>46201</v>
      </c>
      <c r="B250" t="s">
        <v>5966</v>
      </c>
      <c r="C250" t="s">
        <v>37</v>
      </c>
      <c r="D250" t="s">
        <v>392</v>
      </c>
      <c r="E250">
        <v>420</v>
      </c>
      <c r="F250">
        <v>2452.8119999999999</v>
      </c>
      <c r="G250">
        <v>2766.0360000000001</v>
      </c>
      <c r="H250" t="s">
        <v>367</v>
      </c>
      <c r="I250">
        <v>3673890</v>
      </c>
      <c r="J250" t="s">
        <v>2462</v>
      </c>
      <c r="K250">
        <v>25.4</v>
      </c>
      <c r="L250">
        <v>0</v>
      </c>
      <c r="M250">
        <v>2</v>
      </c>
      <c r="N250">
        <v>5.84</v>
      </c>
      <c r="O250" t="s">
        <v>33</v>
      </c>
      <c r="P250" t="s">
        <v>6174</v>
      </c>
    </row>
    <row r="251" spans="1:16" x14ac:dyDescent="0.25">
      <c r="A251">
        <v>46201</v>
      </c>
      <c r="B251" t="s">
        <v>5966</v>
      </c>
      <c r="C251" t="s">
        <v>37</v>
      </c>
      <c r="D251" t="s">
        <v>392</v>
      </c>
      <c r="E251">
        <v>421</v>
      </c>
      <c r="F251">
        <v>2458.652</v>
      </c>
      <c r="G251">
        <v>2772.6219999999998</v>
      </c>
      <c r="H251" t="s">
        <v>367</v>
      </c>
      <c r="I251">
        <v>3673890</v>
      </c>
      <c r="J251" t="s">
        <v>2462</v>
      </c>
      <c r="K251">
        <v>25.4</v>
      </c>
      <c r="L251">
        <v>0</v>
      </c>
      <c r="M251">
        <v>2</v>
      </c>
      <c r="N251">
        <v>5.84</v>
      </c>
      <c r="O251" t="s">
        <v>33</v>
      </c>
      <c r="P251" t="s">
        <v>6174</v>
      </c>
    </row>
    <row r="252" spans="1:16" x14ac:dyDescent="0.25">
      <c r="A252">
        <v>46203</v>
      </c>
      <c r="B252" t="s">
        <v>5966</v>
      </c>
      <c r="C252" t="s">
        <v>37</v>
      </c>
      <c r="D252" t="s">
        <v>392</v>
      </c>
      <c r="E252">
        <v>420</v>
      </c>
      <c r="F252">
        <v>2452.8119999999999</v>
      </c>
      <c r="G252">
        <v>2766.0360000000001</v>
      </c>
      <c r="H252" t="s">
        <v>367</v>
      </c>
      <c r="I252">
        <v>3673890</v>
      </c>
      <c r="J252" t="s">
        <v>2462</v>
      </c>
      <c r="K252">
        <v>25.4</v>
      </c>
      <c r="L252">
        <v>0</v>
      </c>
      <c r="M252">
        <v>2</v>
      </c>
      <c r="N252">
        <v>5.84</v>
      </c>
      <c r="O252" t="s">
        <v>33</v>
      </c>
      <c r="P252" t="s">
        <v>6174</v>
      </c>
    </row>
    <row r="253" spans="1:16" x14ac:dyDescent="0.25">
      <c r="A253">
        <v>46178</v>
      </c>
      <c r="B253" t="s">
        <v>5966</v>
      </c>
      <c r="C253" t="s">
        <v>37</v>
      </c>
      <c r="D253" t="s">
        <v>392</v>
      </c>
      <c r="E253">
        <v>420</v>
      </c>
      <c r="F253">
        <v>2452.8119999999999</v>
      </c>
      <c r="G253">
        <v>2766.0360000000001</v>
      </c>
      <c r="H253" t="s">
        <v>367</v>
      </c>
      <c r="I253">
        <v>3673890</v>
      </c>
      <c r="J253" t="s">
        <v>2462</v>
      </c>
      <c r="K253">
        <v>25.4</v>
      </c>
      <c r="L253">
        <v>0</v>
      </c>
      <c r="M253">
        <v>2</v>
      </c>
      <c r="N253">
        <v>5.84</v>
      </c>
      <c r="O253" t="s">
        <v>33</v>
      </c>
      <c r="P253" t="s">
        <v>6174</v>
      </c>
    </row>
    <row r="254" spans="1:16" x14ac:dyDescent="0.25">
      <c r="A254">
        <v>46203</v>
      </c>
      <c r="B254" t="s">
        <v>5966</v>
      </c>
      <c r="C254" t="s">
        <v>37</v>
      </c>
      <c r="D254" t="s">
        <v>392</v>
      </c>
      <c r="E254">
        <v>198</v>
      </c>
      <c r="F254">
        <v>1156.325</v>
      </c>
      <c r="G254">
        <v>1303.9880000000001</v>
      </c>
      <c r="H254" t="s">
        <v>367</v>
      </c>
      <c r="I254">
        <v>3673890</v>
      </c>
      <c r="J254" t="s">
        <v>2462</v>
      </c>
      <c r="K254">
        <v>25.4</v>
      </c>
      <c r="L254">
        <v>0</v>
      </c>
      <c r="M254">
        <v>2</v>
      </c>
      <c r="N254">
        <v>5.84</v>
      </c>
      <c r="O254" t="s">
        <v>33</v>
      </c>
      <c r="P254" t="s">
        <v>6174</v>
      </c>
    </row>
    <row r="255" spans="1:16" x14ac:dyDescent="0.25">
      <c r="A255">
        <v>46203</v>
      </c>
      <c r="B255" t="s">
        <v>5966</v>
      </c>
      <c r="C255" t="s">
        <v>37</v>
      </c>
      <c r="D255" t="s">
        <v>392</v>
      </c>
      <c r="E255">
        <v>418</v>
      </c>
      <c r="F255">
        <v>2441.1320000000001</v>
      </c>
      <c r="G255">
        <v>2752.864</v>
      </c>
      <c r="H255" t="s">
        <v>367</v>
      </c>
      <c r="I255">
        <v>3673890</v>
      </c>
      <c r="J255" t="s">
        <v>2462</v>
      </c>
      <c r="K255">
        <v>25.4</v>
      </c>
      <c r="L255">
        <v>0</v>
      </c>
      <c r="M255">
        <v>2</v>
      </c>
      <c r="N255">
        <v>5.84</v>
      </c>
      <c r="O255" t="s">
        <v>33</v>
      </c>
      <c r="P255" t="s">
        <v>6174</v>
      </c>
    </row>
    <row r="256" spans="1:16" x14ac:dyDescent="0.25">
      <c r="A256">
        <v>46198</v>
      </c>
      <c r="B256" t="s">
        <v>5968</v>
      </c>
      <c r="C256" t="s">
        <v>32</v>
      </c>
      <c r="D256" t="s">
        <v>392</v>
      </c>
      <c r="E256">
        <v>169</v>
      </c>
      <c r="F256">
        <v>990.35400000000004</v>
      </c>
      <c r="G256">
        <v>2890.7449999999999</v>
      </c>
      <c r="H256" t="s">
        <v>367</v>
      </c>
      <c r="I256">
        <v>3673889</v>
      </c>
      <c r="J256" t="s">
        <v>5969</v>
      </c>
      <c r="K256">
        <v>41.28</v>
      </c>
      <c r="L256">
        <v>0</v>
      </c>
      <c r="M256">
        <v>3.15</v>
      </c>
      <c r="N256">
        <v>5.86</v>
      </c>
      <c r="O256" t="s">
        <v>33</v>
      </c>
      <c r="P256" t="s">
        <v>6193</v>
      </c>
    </row>
    <row r="257" spans="1:16" x14ac:dyDescent="0.25">
      <c r="A257">
        <v>46198</v>
      </c>
      <c r="B257" t="s">
        <v>5968</v>
      </c>
      <c r="C257" t="s">
        <v>32</v>
      </c>
      <c r="D257" t="s">
        <v>392</v>
      </c>
      <c r="E257">
        <v>169</v>
      </c>
      <c r="F257">
        <v>990.35400000000004</v>
      </c>
      <c r="G257">
        <v>2890.7449999999999</v>
      </c>
      <c r="H257" t="s">
        <v>367</v>
      </c>
      <c r="I257">
        <v>3673889</v>
      </c>
      <c r="J257" t="s">
        <v>5969</v>
      </c>
      <c r="K257">
        <v>41.28</v>
      </c>
      <c r="L257">
        <v>0</v>
      </c>
      <c r="M257">
        <v>3.15</v>
      </c>
      <c r="N257">
        <v>5.86</v>
      </c>
      <c r="O257" t="s">
        <v>33</v>
      </c>
      <c r="P257" t="s">
        <v>6193</v>
      </c>
    </row>
    <row r="258" spans="1:16" x14ac:dyDescent="0.25">
      <c r="A258">
        <v>46198</v>
      </c>
      <c r="B258" t="s">
        <v>5968</v>
      </c>
      <c r="C258" t="s">
        <v>32</v>
      </c>
      <c r="D258" t="s">
        <v>392</v>
      </c>
      <c r="E258">
        <v>161</v>
      </c>
      <c r="F258">
        <v>943.47400000000005</v>
      </c>
      <c r="G258">
        <v>2753.9050000000002</v>
      </c>
      <c r="H258" t="s">
        <v>367</v>
      </c>
      <c r="I258">
        <v>3673889</v>
      </c>
      <c r="J258" t="s">
        <v>5969</v>
      </c>
      <c r="K258">
        <v>41.28</v>
      </c>
      <c r="L258">
        <v>0</v>
      </c>
      <c r="M258">
        <v>3.15</v>
      </c>
      <c r="N258">
        <v>5.86</v>
      </c>
      <c r="O258" t="s">
        <v>33</v>
      </c>
      <c r="P258" t="s">
        <v>6193</v>
      </c>
    </row>
    <row r="259" spans="1:16" x14ac:dyDescent="0.25">
      <c r="A259">
        <v>46198</v>
      </c>
      <c r="B259" t="s">
        <v>5968</v>
      </c>
      <c r="C259" t="s">
        <v>32</v>
      </c>
      <c r="D259" t="s">
        <v>392</v>
      </c>
      <c r="E259">
        <v>132</v>
      </c>
      <c r="F259">
        <v>773.53099999999995</v>
      </c>
      <c r="G259">
        <v>2257.86</v>
      </c>
      <c r="H259" t="s">
        <v>367</v>
      </c>
      <c r="I259">
        <v>3673889</v>
      </c>
      <c r="J259" t="s">
        <v>5969</v>
      </c>
      <c r="K259">
        <v>41.28</v>
      </c>
      <c r="L259">
        <v>0</v>
      </c>
      <c r="M259">
        <v>3.15</v>
      </c>
      <c r="N259">
        <v>5.86</v>
      </c>
      <c r="O259" t="s">
        <v>33</v>
      </c>
      <c r="P259" t="s">
        <v>6193</v>
      </c>
    </row>
    <row r="260" spans="1:16" x14ac:dyDescent="0.25">
      <c r="A260">
        <v>46199</v>
      </c>
      <c r="B260" t="s">
        <v>5968</v>
      </c>
      <c r="C260" t="s">
        <v>32</v>
      </c>
      <c r="D260" t="s">
        <v>392</v>
      </c>
      <c r="E260">
        <v>125</v>
      </c>
      <c r="F260">
        <v>732.51099999999997</v>
      </c>
      <c r="G260">
        <v>2138.125</v>
      </c>
      <c r="H260" t="s">
        <v>367</v>
      </c>
      <c r="I260">
        <v>3673889</v>
      </c>
      <c r="J260" t="s">
        <v>5969</v>
      </c>
      <c r="K260">
        <v>41.28</v>
      </c>
      <c r="L260">
        <v>0</v>
      </c>
      <c r="M260">
        <v>3.15</v>
      </c>
      <c r="N260">
        <v>5.86</v>
      </c>
      <c r="O260" t="s">
        <v>33</v>
      </c>
      <c r="P260" t="s">
        <v>6193</v>
      </c>
    </row>
    <row r="261" spans="1:16" x14ac:dyDescent="0.25">
      <c r="A261">
        <v>46198</v>
      </c>
      <c r="B261" t="s">
        <v>5968</v>
      </c>
      <c r="C261" t="s">
        <v>32</v>
      </c>
      <c r="D261" t="s">
        <v>392</v>
      </c>
      <c r="E261">
        <v>169</v>
      </c>
      <c r="F261">
        <v>990.35400000000004</v>
      </c>
      <c r="G261">
        <v>2890.7449999999999</v>
      </c>
      <c r="H261" t="s">
        <v>367</v>
      </c>
      <c r="I261">
        <v>3673889</v>
      </c>
      <c r="J261" t="s">
        <v>5969</v>
      </c>
      <c r="K261">
        <v>41.28</v>
      </c>
      <c r="L261">
        <v>0</v>
      </c>
      <c r="M261">
        <v>3.15</v>
      </c>
      <c r="N261">
        <v>5.86</v>
      </c>
      <c r="O261" t="s">
        <v>33</v>
      </c>
      <c r="P261" t="s">
        <v>6193</v>
      </c>
    </row>
    <row r="262" spans="1:16" x14ac:dyDescent="0.25">
      <c r="A262">
        <v>46198</v>
      </c>
      <c r="B262" t="s">
        <v>5968</v>
      </c>
      <c r="C262" t="s">
        <v>32</v>
      </c>
      <c r="D262" t="s">
        <v>392</v>
      </c>
      <c r="E262">
        <v>127</v>
      </c>
      <c r="F262">
        <v>744.23099999999999</v>
      </c>
      <c r="G262">
        <v>2172.335</v>
      </c>
      <c r="H262" t="s">
        <v>367</v>
      </c>
      <c r="I262">
        <v>3673889</v>
      </c>
      <c r="J262" t="s">
        <v>5969</v>
      </c>
      <c r="K262">
        <v>41.28</v>
      </c>
      <c r="L262">
        <v>0</v>
      </c>
      <c r="M262">
        <v>3.15</v>
      </c>
      <c r="N262">
        <v>5.86</v>
      </c>
      <c r="O262" t="s">
        <v>33</v>
      </c>
      <c r="P262" t="s">
        <v>6193</v>
      </c>
    </row>
    <row r="263" spans="1:16" x14ac:dyDescent="0.25">
      <c r="A263">
        <v>46198</v>
      </c>
      <c r="B263" t="s">
        <v>5968</v>
      </c>
      <c r="C263" t="s">
        <v>32</v>
      </c>
      <c r="D263" t="s">
        <v>392</v>
      </c>
      <c r="E263">
        <v>126</v>
      </c>
      <c r="F263">
        <v>738.37099999999998</v>
      </c>
      <c r="G263">
        <v>2155.23</v>
      </c>
      <c r="H263" t="s">
        <v>367</v>
      </c>
      <c r="I263">
        <v>3673889</v>
      </c>
      <c r="J263" t="s">
        <v>5969</v>
      </c>
      <c r="K263">
        <v>41.28</v>
      </c>
      <c r="L263">
        <v>0</v>
      </c>
      <c r="M263">
        <v>3.15</v>
      </c>
      <c r="N263">
        <v>5.86</v>
      </c>
      <c r="O263" t="s">
        <v>33</v>
      </c>
      <c r="P263" t="s">
        <v>6193</v>
      </c>
    </row>
    <row r="264" spans="1:16" x14ac:dyDescent="0.25">
      <c r="A264">
        <v>46199</v>
      </c>
      <c r="B264" t="s">
        <v>5968</v>
      </c>
      <c r="C264" t="s">
        <v>32</v>
      </c>
      <c r="D264" t="s">
        <v>392</v>
      </c>
      <c r="E264">
        <v>182</v>
      </c>
      <c r="F264">
        <v>1066.5350000000001</v>
      </c>
      <c r="G264">
        <v>3113.11</v>
      </c>
      <c r="H264" t="s">
        <v>367</v>
      </c>
      <c r="I264">
        <v>3673889</v>
      </c>
      <c r="J264" t="s">
        <v>5969</v>
      </c>
      <c r="K264">
        <v>41.28</v>
      </c>
      <c r="L264">
        <v>0</v>
      </c>
      <c r="M264">
        <v>3.15</v>
      </c>
      <c r="N264">
        <v>5.86</v>
      </c>
      <c r="O264" t="s">
        <v>33</v>
      </c>
      <c r="P264" t="s">
        <v>6193</v>
      </c>
    </row>
    <row r="265" spans="1:16" x14ac:dyDescent="0.25">
      <c r="A265">
        <v>46198</v>
      </c>
      <c r="B265" t="s">
        <v>5968</v>
      </c>
      <c r="C265" t="s">
        <v>32</v>
      </c>
      <c r="D265" t="s">
        <v>392</v>
      </c>
      <c r="E265">
        <v>169</v>
      </c>
      <c r="F265">
        <v>990.35400000000004</v>
      </c>
      <c r="G265">
        <v>2890.7449999999999</v>
      </c>
      <c r="H265" t="s">
        <v>367</v>
      </c>
      <c r="I265">
        <v>3673889</v>
      </c>
      <c r="J265" t="s">
        <v>5969</v>
      </c>
      <c r="K265">
        <v>41.28</v>
      </c>
      <c r="L265">
        <v>0</v>
      </c>
      <c r="M265">
        <v>3.15</v>
      </c>
      <c r="N265">
        <v>5.86</v>
      </c>
      <c r="O265" t="s">
        <v>33</v>
      </c>
      <c r="P265" t="s">
        <v>6193</v>
      </c>
    </row>
    <row r="266" spans="1:16" x14ac:dyDescent="0.25">
      <c r="A266">
        <v>46198</v>
      </c>
      <c r="B266" t="s">
        <v>5968</v>
      </c>
      <c r="C266" t="s">
        <v>32</v>
      </c>
      <c r="D266" t="s">
        <v>392</v>
      </c>
      <c r="E266">
        <v>169</v>
      </c>
      <c r="F266">
        <v>990.35400000000004</v>
      </c>
      <c r="G266">
        <v>2890.7449999999999</v>
      </c>
      <c r="H266" t="s">
        <v>367</v>
      </c>
      <c r="I266">
        <v>3673889</v>
      </c>
      <c r="J266" t="s">
        <v>5969</v>
      </c>
      <c r="K266">
        <v>41.28</v>
      </c>
      <c r="L266">
        <v>0</v>
      </c>
      <c r="M266">
        <v>3.15</v>
      </c>
      <c r="N266">
        <v>5.86</v>
      </c>
      <c r="O266" t="s">
        <v>33</v>
      </c>
      <c r="P266" t="s">
        <v>6193</v>
      </c>
    </row>
    <row r="267" spans="1:16" x14ac:dyDescent="0.25">
      <c r="A267">
        <v>46199</v>
      </c>
      <c r="B267" t="s">
        <v>5968</v>
      </c>
      <c r="C267" t="s">
        <v>32</v>
      </c>
      <c r="D267" t="s">
        <v>392</v>
      </c>
      <c r="E267">
        <v>169</v>
      </c>
      <c r="F267">
        <v>990.35400000000004</v>
      </c>
      <c r="G267">
        <v>2890.7449999999999</v>
      </c>
      <c r="H267" t="s">
        <v>367</v>
      </c>
      <c r="I267">
        <v>3673889</v>
      </c>
      <c r="J267" t="s">
        <v>5969</v>
      </c>
      <c r="K267">
        <v>41.28</v>
      </c>
      <c r="L267">
        <v>0</v>
      </c>
      <c r="M267">
        <v>3.15</v>
      </c>
      <c r="N267">
        <v>5.86</v>
      </c>
      <c r="O267" t="s">
        <v>33</v>
      </c>
      <c r="P267" t="s">
        <v>6193</v>
      </c>
    </row>
    <row r="268" spans="1:16" x14ac:dyDescent="0.25">
      <c r="A268">
        <v>46199</v>
      </c>
      <c r="B268" t="s">
        <v>5968</v>
      </c>
      <c r="C268" t="s">
        <v>32</v>
      </c>
      <c r="D268" t="s">
        <v>392</v>
      </c>
      <c r="E268">
        <v>169</v>
      </c>
      <c r="F268">
        <v>990.35400000000004</v>
      </c>
      <c r="G268">
        <v>2890.7449999999999</v>
      </c>
      <c r="H268" t="s">
        <v>367</v>
      </c>
      <c r="I268">
        <v>3673889</v>
      </c>
      <c r="J268" t="s">
        <v>5969</v>
      </c>
      <c r="K268">
        <v>41.28</v>
      </c>
      <c r="L268">
        <v>0</v>
      </c>
      <c r="M268">
        <v>3.15</v>
      </c>
      <c r="N268">
        <v>5.86</v>
      </c>
      <c r="O268" t="s">
        <v>33</v>
      </c>
      <c r="P268" t="s">
        <v>6193</v>
      </c>
    </row>
    <row r="269" spans="1:16" x14ac:dyDescent="0.25">
      <c r="A269">
        <v>46199</v>
      </c>
      <c r="B269" t="s">
        <v>5968</v>
      </c>
      <c r="C269" t="s">
        <v>32</v>
      </c>
      <c r="D269" t="s">
        <v>392</v>
      </c>
      <c r="E269">
        <v>171</v>
      </c>
      <c r="F269">
        <v>1002.074</v>
      </c>
      <c r="G269">
        <v>2924.9549999999999</v>
      </c>
      <c r="H269" t="s">
        <v>367</v>
      </c>
      <c r="I269">
        <v>3673889</v>
      </c>
      <c r="J269" t="s">
        <v>5969</v>
      </c>
      <c r="K269">
        <v>41.28</v>
      </c>
      <c r="L269">
        <v>0</v>
      </c>
      <c r="M269">
        <v>3.15</v>
      </c>
      <c r="N269">
        <v>5.86</v>
      </c>
      <c r="O269" t="s">
        <v>33</v>
      </c>
      <c r="P269" t="s">
        <v>6193</v>
      </c>
    </row>
    <row r="270" spans="1:16" x14ac:dyDescent="0.25">
      <c r="A270">
        <v>46199</v>
      </c>
      <c r="B270" t="s">
        <v>5968</v>
      </c>
      <c r="C270" t="s">
        <v>32</v>
      </c>
      <c r="D270" t="s">
        <v>392</v>
      </c>
      <c r="E270">
        <v>167</v>
      </c>
      <c r="F270">
        <v>978.63400000000001</v>
      </c>
      <c r="G270">
        <v>2856.5349999999999</v>
      </c>
      <c r="H270" t="s">
        <v>367</v>
      </c>
      <c r="I270">
        <v>3673889</v>
      </c>
      <c r="J270" t="s">
        <v>5969</v>
      </c>
      <c r="K270">
        <v>41.28</v>
      </c>
      <c r="L270">
        <v>0</v>
      </c>
      <c r="M270">
        <v>3.15</v>
      </c>
      <c r="N270">
        <v>5.86</v>
      </c>
      <c r="O270" t="s">
        <v>33</v>
      </c>
      <c r="P270" t="s">
        <v>6193</v>
      </c>
    </row>
    <row r="271" spans="1:16" x14ac:dyDescent="0.25">
      <c r="A271">
        <v>46199</v>
      </c>
      <c r="B271" t="s">
        <v>5968</v>
      </c>
      <c r="C271" t="s">
        <v>32</v>
      </c>
      <c r="D271" t="s">
        <v>392</v>
      </c>
      <c r="E271">
        <v>135</v>
      </c>
      <c r="F271">
        <v>791.11099999999999</v>
      </c>
      <c r="G271">
        <v>2309.1750000000002</v>
      </c>
      <c r="H271" t="s">
        <v>367</v>
      </c>
      <c r="I271">
        <v>3673889</v>
      </c>
      <c r="J271" t="s">
        <v>5969</v>
      </c>
      <c r="K271">
        <v>41.28</v>
      </c>
      <c r="L271">
        <v>0</v>
      </c>
      <c r="M271">
        <v>3.15</v>
      </c>
      <c r="N271">
        <v>5.86</v>
      </c>
      <c r="O271" t="s">
        <v>33</v>
      </c>
      <c r="P271" t="s">
        <v>6193</v>
      </c>
    </row>
    <row r="272" spans="1:16" x14ac:dyDescent="0.25">
      <c r="A272">
        <v>46199</v>
      </c>
      <c r="B272" t="s">
        <v>5968</v>
      </c>
      <c r="C272" t="s">
        <v>32</v>
      </c>
      <c r="D272" t="s">
        <v>392</v>
      </c>
      <c r="E272">
        <v>170</v>
      </c>
      <c r="F272">
        <v>996.21400000000006</v>
      </c>
      <c r="G272">
        <v>2907.85</v>
      </c>
      <c r="H272" t="s">
        <v>367</v>
      </c>
      <c r="I272">
        <v>3673889</v>
      </c>
      <c r="J272" t="s">
        <v>5969</v>
      </c>
      <c r="K272">
        <v>41.28</v>
      </c>
      <c r="L272">
        <v>0</v>
      </c>
      <c r="M272">
        <v>3.15</v>
      </c>
      <c r="N272">
        <v>5.86</v>
      </c>
      <c r="O272" t="s">
        <v>33</v>
      </c>
      <c r="P272" t="s">
        <v>6193</v>
      </c>
    </row>
    <row r="273" spans="1:16" x14ac:dyDescent="0.25">
      <c r="A273">
        <v>46199</v>
      </c>
      <c r="B273" t="s">
        <v>5968</v>
      </c>
      <c r="C273" t="s">
        <v>32</v>
      </c>
      <c r="D273" t="s">
        <v>392</v>
      </c>
      <c r="E273">
        <v>150</v>
      </c>
      <c r="F273">
        <v>879.01300000000003</v>
      </c>
      <c r="G273">
        <v>2565.75</v>
      </c>
      <c r="H273" t="s">
        <v>367</v>
      </c>
      <c r="I273">
        <v>3673889</v>
      </c>
      <c r="J273" t="s">
        <v>5969</v>
      </c>
      <c r="K273">
        <v>41.28</v>
      </c>
      <c r="L273">
        <v>0</v>
      </c>
      <c r="M273">
        <v>3.15</v>
      </c>
      <c r="N273">
        <v>5.86</v>
      </c>
      <c r="O273" t="s">
        <v>33</v>
      </c>
      <c r="P273" t="s">
        <v>6193</v>
      </c>
    </row>
    <row r="274" spans="1:16" x14ac:dyDescent="0.25">
      <c r="A274">
        <v>46203</v>
      </c>
      <c r="B274" t="s">
        <v>5966</v>
      </c>
      <c r="C274" t="s">
        <v>37</v>
      </c>
      <c r="D274" t="s">
        <v>392</v>
      </c>
      <c r="E274">
        <v>420</v>
      </c>
      <c r="F274">
        <v>2465.4229999999998</v>
      </c>
      <c r="G274">
        <v>1447.614</v>
      </c>
      <c r="H274" t="s">
        <v>367</v>
      </c>
      <c r="I274">
        <v>3882110</v>
      </c>
      <c r="J274" t="s">
        <v>1454</v>
      </c>
      <c r="K274">
        <v>22.2</v>
      </c>
      <c r="L274">
        <v>0</v>
      </c>
      <c r="M274">
        <v>1.2</v>
      </c>
      <c r="N274">
        <v>5.87</v>
      </c>
      <c r="O274" t="s">
        <v>33</v>
      </c>
      <c r="P274" t="s">
        <v>6165</v>
      </c>
    </row>
    <row r="275" spans="1:16" x14ac:dyDescent="0.25">
      <c r="A275">
        <v>46203</v>
      </c>
      <c r="B275" t="s">
        <v>5966</v>
      </c>
      <c r="C275" t="s">
        <v>37</v>
      </c>
      <c r="D275" t="s">
        <v>392</v>
      </c>
      <c r="E275">
        <v>421</v>
      </c>
      <c r="F275">
        <v>2471.2930000000001</v>
      </c>
      <c r="G275">
        <v>1451.0609999999999</v>
      </c>
      <c r="H275" t="s">
        <v>367</v>
      </c>
      <c r="I275">
        <v>3882110</v>
      </c>
      <c r="J275" t="s">
        <v>1454</v>
      </c>
      <c r="K275">
        <v>22.2</v>
      </c>
      <c r="L275">
        <v>0</v>
      </c>
      <c r="M275">
        <v>1.2</v>
      </c>
      <c r="N275">
        <v>5.87</v>
      </c>
      <c r="O275" t="s">
        <v>33</v>
      </c>
      <c r="P275" t="s">
        <v>6165</v>
      </c>
    </row>
    <row r="276" spans="1:16" x14ac:dyDescent="0.25">
      <c r="A276">
        <v>46203</v>
      </c>
      <c r="B276" t="s">
        <v>5966</v>
      </c>
      <c r="C276" t="s">
        <v>37</v>
      </c>
      <c r="D276" t="s">
        <v>392</v>
      </c>
      <c r="E276">
        <v>419</v>
      </c>
      <c r="F276">
        <v>2459.5520000000001</v>
      </c>
      <c r="G276">
        <v>1444.1669999999999</v>
      </c>
      <c r="H276" t="s">
        <v>367</v>
      </c>
      <c r="I276">
        <v>3882110</v>
      </c>
      <c r="J276" t="s">
        <v>1454</v>
      </c>
      <c r="K276">
        <v>22.2</v>
      </c>
      <c r="L276">
        <v>0</v>
      </c>
      <c r="M276">
        <v>1.2</v>
      </c>
      <c r="N276">
        <v>5.87</v>
      </c>
      <c r="O276" t="s">
        <v>33</v>
      </c>
      <c r="P276" t="s">
        <v>6165</v>
      </c>
    </row>
    <row r="277" spans="1:16" x14ac:dyDescent="0.25">
      <c r="A277">
        <v>46203</v>
      </c>
      <c r="B277" t="s">
        <v>5966</v>
      </c>
      <c r="C277" t="s">
        <v>37</v>
      </c>
      <c r="D277" t="s">
        <v>392</v>
      </c>
      <c r="E277">
        <v>446</v>
      </c>
      <c r="F277">
        <v>2618.0450000000001</v>
      </c>
      <c r="G277">
        <v>1537.229</v>
      </c>
      <c r="H277" t="s">
        <v>367</v>
      </c>
      <c r="I277">
        <v>3882110</v>
      </c>
      <c r="J277" t="s">
        <v>1454</v>
      </c>
      <c r="K277">
        <v>22.2</v>
      </c>
      <c r="L277">
        <v>0</v>
      </c>
      <c r="M277">
        <v>1.2</v>
      </c>
      <c r="N277">
        <v>5.87</v>
      </c>
      <c r="O277" t="s">
        <v>33</v>
      </c>
      <c r="P277" t="s">
        <v>6165</v>
      </c>
    </row>
    <row r="278" spans="1:16" x14ac:dyDescent="0.25">
      <c r="A278">
        <v>46202</v>
      </c>
      <c r="B278" t="s">
        <v>5966</v>
      </c>
      <c r="C278" t="s">
        <v>37</v>
      </c>
      <c r="D278" t="s">
        <v>392</v>
      </c>
      <c r="E278">
        <v>420</v>
      </c>
      <c r="F278">
        <v>2465.4229999999998</v>
      </c>
      <c r="G278">
        <v>1447.614</v>
      </c>
      <c r="H278" t="s">
        <v>367</v>
      </c>
      <c r="I278">
        <v>3882110</v>
      </c>
      <c r="J278" t="s">
        <v>1454</v>
      </c>
      <c r="K278">
        <v>22.2</v>
      </c>
      <c r="L278">
        <v>0</v>
      </c>
      <c r="M278">
        <v>1.2</v>
      </c>
      <c r="N278">
        <v>5.87</v>
      </c>
      <c r="O278" t="s">
        <v>33</v>
      </c>
      <c r="P278" t="s">
        <v>6165</v>
      </c>
    </row>
    <row r="279" spans="1:16" x14ac:dyDescent="0.25">
      <c r="A279">
        <v>46200</v>
      </c>
      <c r="B279" t="s">
        <v>5999</v>
      </c>
      <c r="C279" t="s">
        <v>36</v>
      </c>
      <c r="D279" t="s">
        <v>392</v>
      </c>
      <c r="E279">
        <v>217</v>
      </c>
      <c r="F279">
        <v>1280.29</v>
      </c>
      <c r="G279">
        <v>1205.934</v>
      </c>
      <c r="H279" t="s">
        <v>367</v>
      </c>
      <c r="I279">
        <v>3499396</v>
      </c>
      <c r="J279" t="s">
        <v>6000</v>
      </c>
      <c r="K279">
        <v>34.93</v>
      </c>
      <c r="L279">
        <v>0</v>
      </c>
      <c r="M279">
        <v>1.2</v>
      </c>
      <c r="N279">
        <v>5.9</v>
      </c>
      <c r="O279" t="s">
        <v>33</v>
      </c>
    </row>
    <row r="280" spans="1:16" x14ac:dyDescent="0.25">
      <c r="A280">
        <v>46200</v>
      </c>
      <c r="B280" t="s">
        <v>5999</v>
      </c>
      <c r="C280" t="s">
        <v>36</v>
      </c>
      <c r="D280" t="s">
        <v>392</v>
      </c>
      <c r="E280">
        <v>217</v>
      </c>
      <c r="F280">
        <v>1280.29</v>
      </c>
      <c r="G280">
        <v>1205.934</v>
      </c>
      <c r="H280" t="s">
        <v>367</v>
      </c>
      <c r="I280">
        <v>3499396</v>
      </c>
      <c r="J280" t="s">
        <v>6000</v>
      </c>
      <c r="K280">
        <v>34.93</v>
      </c>
      <c r="L280">
        <v>0</v>
      </c>
      <c r="M280">
        <v>1.2</v>
      </c>
      <c r="N280">
        <v>5.9</v>
      </c>
      <c r="O280" t="s">
        <v>33</v>
      </c>
    </row>
    <row r="281" spans="1:16" x14ac:dyDescent="0.25">
      <c r="A281">
        <v>46200</v>
      </c>
      <c r="B281" t="s">
        <v>5999</v>
      </c>
      <c r="C281" t="s">
        <v>36</v>
      </c>
      <c r="D281" t="s">
        <v>392</v>
      </c>
      <c r="E281">
        <v>217</v>
      </c>
      <c r="F281">
        <v>1280.29</v>
      </c>
      <c r="G281">
        <v>1205.934</v>
      </c>
      <c r="H281" t="s">
        <v>367</v>
      </c>
      <c r="I281">
        <v>3499396</v>
      </c>
      <c r="J281" t="s">
        <v>6000</v>
      </c>
      <c r="K281">
        <v>34.93</v>
      </c>
      <c r="L281">
        <v>0</v>
      </c>
      <c r="M281">
        <v>1.2</v>
      </c>
      <c r="N281">
        <v>5.9</v>
      </c>
      <c r="O281" t="s">
        <v>33</v>
      </c>
    </row>
    <row r="282" spans="1:16" x14ac:dyDescent="0.25">
      <c r="A282">
        <v>46200</v>
      </c>
      <c r="B282" t="s">
        <v>5999</v>
      </c>
      <c r="C282" t="s">
        <v>36</v>
      </c>
      <c r="D282" t="s">
        <v>392</v>
      </c>
      <c r="E282">
        <v>214</v>
      </c>
      <c r="F282">
        <v>1262.5899999999999</v>
      </c>
      <c r="G282">
        <v>1189.2619999999999</v>
      </c>
      <c r="H282" t="s">
        <v>367</v>
      </c>
      <c r="I282">
        <v>3499396</v>
      </c>
      <c r="J282" t="s">
        <v>6000</v>
      </c>
      <c r="K282">
        <v>34.93</v>
      </c>
      <c r="L282">
        <v>0</v>
      </c>
      <c r="M282">
        <v>1.2</v>
      </c>
      <c r="N282">
        <v>5.9</v>
      </c>
      <c r="O282" t="s">
        <v>33</v>
      </c>
    </row>
    <row r="283" spans="1:16" x14ac:dyDescent="0.25">
      <c r="A283">
        <v>46200</v>
      </c>
      <c r="B283" t="s">
        <v>5999</v>
      </c>
      <c r="C283" t="s">
        <v>36</v>
      </c>
      <c r="D283" t="s">
        <v>392</v>
      </c>
      <c r="E283">
        <v>216</v>
      </c>
      <c r="F283">
        <v>1274.3910000000001</v>
      </c>
      <c r="G283">
        <v>1200.377</v>
      </c>
      <c r="H283" t="s">
        <v>367</v>
      </c>
      <c r="I283">
        <v>3499396</v>
      </c>
      <c r="J283" t="s">
        <v>6000</v>
      </c>
      <c r="K283">
        <v>34.93</v>
      </c>
      <c r="L283">
        <v>0</v>
      </c>
      <c r="M283">
        <v>1.2</v>
      </c>
      <c r="N283">
        <v>5.9</v>
      </c>
      <c r="O283" t="s">
        <v>33</v>
      </c>
    </row>
    <row r="284" spans="1:16" x14ac:dyDescent="0.25">
      <c r="A284">
        <v>46200</v>
      </c>
      <c r="B284" t="s">
        <v>5999</v>
      </c>
      <c r="C284" t="s">
        <v>36</v>
      </c>
      <c r="D284" t="s">
        <v>392</v>
      </c>
      <c r="E284">
        <v>217</v>
      </c>
      <c r="F284">
        <v>1280.29</v>
      </c>
      <c r="G284">
        <v>1205.934</v>
      </c>
      <c r="H284" t="s">
        <v>367</v>
      </c>
      <c r="I284">
        <v>3499396</v>
      </c>
      <c r="J284" t="s">
        <v>6000</v>
      </c>
      <c r="K284">
        <v>34.93</v>
      </c>
      <c r="L284">
        <v>0</v>
      </c>
      <c r="M284">
        <v>1.2</v>
      </c>
      <c r="N284">
        <v>5.9</v>
      </c>
      <c r="O284" t="s">
        <v>33</v>
      </c>
    </row>
    <row r="285" spans="1:16" x14ac:dyDescent="0.25">
      <c r="A285">
        <v>46200</v>
      </c>
      <c r="B285" t="s">
        <v>5999</v>
      </c>
      <c r="C285" t="s">
        <v>36</v>
      </c>
      <c r="D285" t="s">
        <v>392</v>
      </c>
      <c r="E285">
        <v>217</v>
      </c>
      <c r="F285">
        <v>1280.29</v>
      </c>
      <c r="G285">
        <v>1205.934</v>
      </c>
      <c r="H285" t="s">
        <v>367</v>
      </c>
      <c r="I285">
        <v>3499396</v>
      </c>
      <c r="J285" t="s">
        <v>6000</v>
      </c>
      <c r="K285">
        <v>34.93</v>
      </c>
      <c r="L285">
        <v>0</v>
      </c>
      <c r="M285">
        <v>1.2</v>
      </c>
      <c r="N285">
        <v>5.9</v>
      </c>
      <c r="O285" t="s">
        <v>33</v>
      </c>
    </row>
    <row r="286" spans="1:16" x14ac:dyDescent="0.25">
      <c r="A286">
        <v>46199</v>
      </c>
      <c r="B286" t="s">
        <v>5966</v>
      </c>
      <c r="C286" t="s">
        <v>37</v>
      </c>
      <c r="D286" t="s">
        <v>392</v>
      </c>
      <c r="E286">
        <v>18</v>
      </c>
      <c r="F286">
        <v>104.277</v>
      </c>
      <c r="G286">
        <v>158</v>
      </c>
      <c r="H286" t="s">
        <v>345</v>
      </c>
      <c r="I286">
        <v>4164767</v>
      </c>
      <c r="J286" t="s">
        <v>6351</v>
      </c>
      <c r="K286">
        <v>40</v>
      </c>
      <c r="L286">
        <v>30</v>
      </c>
      <c r="M286">
        <v>1.6</v>
      </c>
      <c r="N286">
        <v>5.9</v>
      </c>
      <c r="O286" t="s">
        <v>33</v>
      </c>
    </row>
    <row r="287" spans="1:16" x14ac:dyDescent="0.25">
      <c r="A287">
        <v>46199</v>
      </c>
      <c r="B287" t="s">
        <v>5966</v>
      </c>
      <c r="C287" t="s">
        <v>37</v>
      </c>
      <c r="D287" t="s">
        <v>392</v>
      </c>
      <c r="E287">
        <v>3</v>
      </c>
      <c r="F287">
        <v>16.498999999999999</v>
      </c>
      <c r="G287">
        <v>25</v>
      </c>
      <c r="H287" t="s">
        <v>345</v>
      </c>
      <c r="I287">
        <v>4164767</v>
      </c>
      <c r="J287" t="s">
        <v>6351</v>
      </c>
      <c r="K287">
        <v>40</v>
      </c>
      <c r="L287">
        <v>30</v>
      </c>
      <c r="M287">
        <v>1.6</v>
      </c>
      <c r="N287">
        <v>5.9</v>
      </c>
      <c r="O287" t="s">
        <v>33</v>
      </c>
    </row>
    <row r="288" spans="1:16" x14ac:dyDescent="0.25">
      <c r="A288">
        <v>46199</v>
      </c>
      <c r="B288" t="s">
        <v>5966</v>
      </c>
      <c r="C288" t="s">
        <v>37</v>
      </c>
      <c r="D288" t="s">
        <v>392</v>
      </c>
      <c r="E288">
        <v>191</v>
      </c>
      <c r="F288">
        <v>1127.904</v>
      </c>
      <c r="G288">
        <v>1709</v>
      </c>
      <c r="H288" t="s">
        <v>345</v>
      </c>
      <c r="I288">
        <v>4164767</v>
      </c>
      <c r="J288" t="s">
        <v>6351</v>
      </c>
      <c r="K288">
        <v>40</v>
      </c>
      <c r="L288">
        <v>30</v>
      </c>
      <c r="M288">
        <v>1.6</v>
      </c>
      <c r="N288">
        <v>5.9</v>
      </c>
      <c r="O288" t="s">
        <v>33</v>
      </c>
    </row>
    <row r="289" spans="1:16" x14ac:dyDescent="0.25">
      <c r="A289">
        <v>46199</v>
      </c>
      <c r="B289" t="s">
        <v>5966</v>
      </c>
      <c r="C289" t="s">
        <v>37</v>
      </c>
      <c r="D289" t="s">
        <v>392</v>
      </c>
      <c r="E289">
        <v>90</v>
      </c>
      <c r="F289">
        <v>533.26300000000003</v>
      </c>
      <c r="G289">
        <v>808</v>
      </c>
      <c r="H289" t="s">
        <v>345</v>
      </c>
      <c r="I289">
        <v>4164767</v>
      </c>
      <c r="J289" t="s">
        <v>6351</v>
      </c>
      <c r="K289">
        <v>40</v>
      </c>
      <c r="L289">
        <v>30</v>
      </c>
      <c r="M289">
        <v>1.6</v>
      </c>
      <c r="N289">
        <v>5.9</v>
      </c>
      <c r="O289" t="s">
        <v>33</v>
      </c>
    </row>
    <row r="290" spans="1:16" x14ac:dyDescent="0.25">
      <c r="A290">
        <v>46176</v>
      </c>
      <c r="B290" t="s">
        <v>5966</v>
      </c>
      <c r="C290" t="s">
        <v>37</v>
      </c>
      <c r="D290" t="s">
        <v>392</v>
      </c>
      <c r="E290">
        <v>35</v>
      </c>
      <c r="F290">
        <v>204.48599999999999</v>
      </c>
      <c r="G290">
        <v>588</v>
      </c>
      <c r="H290" t="s">
        <v>1834</v>
      </c>
      <c r="I290">
        <v>3905049</v>
      </c>
      <c r="J290" t="s">
        <v>2399</v>
      </c>
      <c r="K290">
        <v>60.3</v>
      </c>
      <c r="L290">
        <v>0</v>
      </c>
      <c r="M290">
        <v>2</v>
      </c>
      <c r="N290">
        <v>5.9</v>
      </c>
      <c r="O290" t="s">
        <v>33</v>
      </c>
      <c r="P290" t="s">
        <v>6208</v>
      </c>
    </row>
    <row r="291" spans="1:16" x14ac:dyDescent="0.25">
      <c r="A291">
        <v>46176</v>
      </c>
      <c r="B291" t="s">
        <v>5966</v>
      </c>
      <c r="C291" t="s">
        <v>37</v>
      </c>
      <c r="D291" t="s">
        <v>392</v>
      </c>
      <c r="E291">
        <v>94</v>
      </c>
      <c r="F291">
        <v>552.6</v>
      </c>
      <c r="G291">
        <v>1589</v>
      </c>
      <c r="H291" t="s">
        <v>1834</v>
      </c>
      <c r="I291">
        <v>3905049</v>
      </c>
      <c r="J291" t="s">
        <v>2399</v>
      </c>
      <c r="K291">
        <v>60.3</v>
      </c>
      <c r="L291">
        <v>0</v>
      </c>
      <c r="M291">
        <v>2</v>
      </c>
      <c r="N291">
        <v>5.9</v>
      </c>
      <c r="O291" t="s">
        <v>33</v>
      </c>
      <c r="P291" t="s">
        <v>6208</v>
      </c>
    </row>
    <row r="292" spans="1:16" x14ac:dyDescent="0.25">
      <c r="A292">
        <v>46176</v>
      </c>
      <c r="B292" t="s">
        <v>5966</v>
      </c>
      <c r="C292" t="s">
        <v>37</v>
      </c>
      <c r="D292" t="s">
        <v>392</v>
      </c>
      <c r="E292">
        <v>70</v>
      </c>
      <c r="F292">
        <v>411.05900000000003</v>
      </c>
      <c r="G292">
        <v>1182</v>
      </c>
      <c r="H292" t="s">
        <v>1834</v>
      </c>
      <c r="I292">
        <v>3905049</v>
      </c>
      <c r="J292" t="s">
        <v>2399</v>
      </c>
      <c r="K292">
        <v>60.3</v>
      </c>
      <c r="L292">
        <v>0</v>
      </c>
      <c r="M292">
        <v>2</v>
      </c>
      <c r="N292">
        <v>5.9</v>
      </c>
      <c r="O292" t="s">
        <v>33</v>
      </c>
      <c r="P292" t="s">
        <v>6208</v>
      </c>
    </row>
    <row r="293" spans="1:16" x14ac:dyDescent="0.25">
      <c r="A293">
        <v>46176</v>
      </c>
      <c r="B293" t="s">
        <v>5966</v>
      </c>
      <c r="C293" t="s">
        <v>37</v>
      </c>
      <c r="D293" t="s">
        <v>392</v>
      </c>
      <c r="E293">
        <v>47</v>
      </c>
      <c r="F293">
        <v>275.43</v>
      </c>
      <c r="G293">
        <v>792</v>
      </c>
      <c r="H293" t="s">
        <v>1834</v>
      </c>
      <c r="I293">
        <v>3905049</v>
      </c>
      <c r="J293" t="s">
        <v>2399</v>
      </c>
      <c r="K293">
        <v>60.3</v>
      </c>
      <c r="L293">
        <v>0</v>
      </c>
      <c r="M293">
        <v>2</v>
      </c>
      <c r="N293">
        <v>5.9</v>
      </c>
      <c r="O293" t="s">
        <v>33</v>
      </c>
      <c r="P293" t="s">
        <v>6208</v>
      </c>
    </row>
    <row r="294" spans="1:16" x14ac:dyDescent="0.25">
      <c r="A294">
        <v>46176</v>
      </c>
      <c r="B294" t="s">
        <v>5966</v>
      </c>
      <c r="C294" t="s">
        <v>37</v>
      </c>
      <c r="D294" t="s">
        <v>392</v>
      </c>
      <c r="E294">
        <v>49</v>
      </c>
      <c r="F294">
        <v>288.99299999999999</v>
      </c>
      <c r="G294">
        <v>831</v>
      </c>
      <c r="H294" t="s">
        <v>1834</v>
      </c>
      <c r="I294">
        <v>3905049</v>
      </c>
      <c r="J294" t="s">
        <v>2399</v>
      </c>
      <c r="K294">
        <v>60.3</v>
      </c>
      <c r="L294">
        <v>0</v>
      </c>
      <c r="M294">
        <v>2</v>
      </c>
      <c r="N294">
        <v>5.9</v>
      </c>
      <c r="O294" t="s">
        <v>33</v>
      </c>
      <c r="P294" t="s">
        <v>6208</v>
      </c>
    </row>
    <row r="295" spans="1:16" x14ac:dyDescent="0.25">
      <c r="A295">
        <v>46177</v>
      </c>
      <c r="B295" t="s">
        <v>5966</v>
      </c>
      <c r="C295" t="s">
        <v>37</v>
      </c>
      <c r="D295" t="s">
        <v>392</v>
      </c>
      <c r="E295">
        <v>94</v>
      </c>
      <c r="F295">
        <v>554.40800000000002</v>
      </c>
      <c r="G295">
        <v>1594.2</v>
      </c>
      <c r="H295" t="s">
        <v>362</v>
      </c>
      <c r="I295">
        <v>3905049</v>
      </c>
      <c r="J295" t="s">
        <v>2399</v>
      </c>
      <c r="K295">
        <v>60.3</v>
      </c>
      <c r="L295">
        <v>0</v>
      </c>
      <c r="M295">
        <v>2</v>
      </c>
      <c r="N295">
        <v>5.9</v>
      </c>
      <c r="O295" t="s">
        <v>33</v>
      </c>
      <c r="P295" t="s">
        <v>6208</v>
      </c>
    </row>
    <row r="296" spans="1:16" x14ac:dyDescent="0.25">
      <c r="A296">
        <v>46177</v>
      </c>
      <c r="B296" t="s">
        <v>5966</v>
      </c>
      <c r="C296" t="s">
        <v>37</v>
      </c>
      <c r="D296" t="s">
        <v>392</v>
      </c>
      <c r="E296">
        <v>59</v>
      </c>
      <c r="F296">
        <v>347.83499999999998</v>
      </c>
      <c r="G296">
        <v>1000.2</v>
      </c>
      <c r="H296" t="s">
        <v>362</v>
      </c>
      <c r="I296">
        <v>3905049</v>
      </c>
      <c r="J296" t="s">
        <v>2399</v>
      </c>
      <c r="K296">
        <v>60.3</v>
      </c>
      <c r="L296">
        <v>0</v>
      </c>
      <c r="M296">
        <v>2</v>
      </c>
      <c r="N296">
        <v>5.9</v>
      </c>
      <c r="O296" t="s">
        <v>33</v>
      </c>
      <c r="P296" t="s">
        <v>6208</v>
      </c>
    </row>
    <row r="297" spans="1:16" x14ac:dyDescent="0.25">
      <c r="A297">
        <v>46177</v>
      </c>
      <c r="B297" t="s">
        <v>5966</v>
      </c>
      <c r="C297" t="s">
        <v>37</v>
      </c>
      <c r="D297" t="s">
        <v>392</v>
      </c>
      <c r="E297">
        <v>99</v>
      </c>
      <c r="F297">
        <v>583.96799999999996</v>
      </c>
      <c r="G297">
        <v>1679.2</v>
      </c>
      <c r="H297" t="s">
        <v>362</v>
      </c>
      <c r="I297">
        <v>3905049</v>
      </c>
      <c r="J297" t="s">
        <v>2399</v>
      </c>
      <c r="K297">
        <v>60.3</v>
      </c>
      <c r="L297">
        <v>0</v>
      </c>
      <c r="M297">
        <v>2</v>
      </c>
      <c r="N297">
        <v>5.9</v>
      </c>
      <c r="O297" t="s">
        <v>33</v>
      </c>
      <c r="P297" t="s">
        <v>6208</v>
      </c>
    </row>
    <row r="298" spans="1:16" x14ac:dyDescent="0.25">
      <c r="A298">
        <v>46177</v>
      </c>
      <c r="B298" t="s">
        <v>5966</v>
      </c>
      <c r="C298" t="s">
        <v>37</v>
      </c>
      <c r="D298" t="s">
        <v>392</v>
      </c>
      <c r="E298">
        <v>99</v>
      </c>
      <c r="F298">
        <v>583.96799999999996</v>
      </c>
      <c r="G298">
        <v>1679.2</v>
      </c>
      <c r="H298" t="s">
        <v>362</v>
      </c>
      <c r="I298">
        <v>3905049</v>
      </c>
      <c r="J298" t="s">
        <v>2399</v>
      </c>
      <c r="K298">
        <v>60.3</v>
      </c>
      <c r="L298">
        <v>0</v>
      </c>
      <c r="M298">
        <v>2</v>
      </c>
      <c r="N298">
        <v>5.9</v>
      </c>
      <c r="O298" t="s">
        <v>33</v>
      </c>
      <c r="P298" t="s">
        <v>6208</v>
      </c>
    </row>
    <row r="299" spans="1:16" x14ac:dyDescent="0.25">
      <c r="A299">
        <v>46177</v>
      </c>
      <c r="B299" t="s">
        <v>5966</v>
      </c>
      <c r="C299" t="s">
        <v>37</v>
      </c>
      <c r="D299" t="s">
        <v>392</v>
      </c>
      <c r="E299">
        <v>77</v>
      </c>
      <c r="F299">
        <v>454.25099999999998</v>
      </c>
      <c r="G299">
        <v>1306.2</v>
      </c>
      <c r="H299" t="s">
        <v>362</v>
      </c>
      <c r="I299">
        <v>3905049</v>
      </c>
      <c r="J299" t="s">
        <v>2399</v>
      </c>
      <c r="K299">
        <v>60.3</v>
      </c>
      <c r="L299">
        <v>0</v>
      </c>
      <c r="M299">
        <v>2</v>
      </c>
      <c r="N299">
        <v>5.9</v>
      </c>
      <c r="O299" t="s">
        <v>33</v>
      </c>
      <c r="P299" t="s">
        <v>6208</v>
      </c>
    </row>
    <row r="300" spans="1:16" x14ac:dyDescent="0.25">
      <c r="A300">
        <v>46176</v>
      </c>
      <c r="B300" t="s">
        <v>5966</v>
      </c>
      <c r="C300" t="s">
        <v>37</v>
      </c>
      <c r="D300" t="s">
        <v>392</v>
      </c>
      <c r="E300">
        <v>3</v>
      </c>
      <c r="F300">
        <v>18.431999999999999</v>
      </c>
      <c r="G300">
        <v>53</v>
      </c>
      <c r="H300" t="s">
        <v>1834</v>
      </c>
      <c r="I300">
        <v>3905049</v>
      </c>
      <c r="J300" t="s">
        <v>2399</v>
      </c>
      <c r="K300">
        <v>60.3</v>
      </c>
      <c r="L300">
        <v>0</v>
      </c>
      <c r="M300">
        <v>2</v>
      </c>
      <c r="N300">
        <v>5.9</v>
      </c>
      <c r="O300" t="s">
        <v>33</v>
      </c>
      <c r="P300" t="s">
        <v>6208</v>
      </c>
    </row>
    <row r="301" spans="1:16" x14ac:dyDescent="0.25">
      <c r="A301">
        <v>46176</v>
      </c>
      <c r="B301" t="s">
        <v>5966</v>
      </c>
      <c r="C301" t="s">
        <v>37</v>
      </c>
      <c r="D301" t="s">
        <v>392</v>
      </c>
      <c r="E301">
        <v>80</v>
      </c>
      <c r="F301">
        <v>470.17899999999997</v>
      </c>
      <c r="G301">
        <v>1352</v>
      </c>
      <c r="H301" t="s">
        <v>1834</v>
      </c>
      <c r="I301">
        <v>3905049</v>
      </c>
      <c r="J301" t="s">
        <v>2399</v>
      </c>
      <c r="K301">
        <v>60.3</v>
      </c>
      <c r="L301">
        <v>0</v>
      </c>
      <c r="M301">
        <v>2</v>
      </c>
      <c r="N301">
        <v>5.9</v>
      </c>
      <c r="O301" t="s">
        <v>33</v>
      </c>
      <c r="P301" t="s">
        <v>6208</v>
      </c>
    </row>
    <row r="302" spans="1:16" x14ac:dyDescent="0.25">
      <c r="A302">
        <v>46176</v>
      </c>
      <c r="B302" t="s">
        <v>5966</v>
      </c>
      <c r="C302" t="s">
        <v>37</v>
      </c>
      <c r="D302" t="s">
        <v>392</v>
      </c>
      <c r="E302">
        <v>96</v>
      </c>
      <c r="F302">
        <v>564.42399999999998</v>
      </c>
      <c r="G302">
        <v>1623</v>
      </c>
      <c r="H302" t="s">
        <v>1834</v>
      </c>
      <c r="I302">
        <v>3905049</v>
      </c>
      <c r="J302" t="s">
        <v>2399</v>
      </c>
      <c r="K302">
        <v>60.3</v>
      </c>
      <c r="L302">
        <v>0</v>
      </c>
      <c r="M302">
        <v>2</v>
      </c>
      <c r="N302">
        <v>5.9</v>
      </c>
      <c r="O302" t="s">
        <v>33</v>
      </c>
      <c r="P302" t="s">
        <v>6208</v>
      </c>
    </row>
    <row r="303" spans="1:16" x14ac:dyDescent="0.25">
      <c r="A303">
        <v>46200</v>
      </c>
      <c r="B303" t="s">
        <v>5966</v>
      </c>
      <c r="C303" t="s">
        <v>37</v>
      </c>
      <c r="D303" t="s">
        <v>392</v>
      </c>
      <c r="E303">
        <v>127</v>
      </c>
      <c r="F303">
        <v>751.48099999999999</v>
      </c>
      <c r="G303">
        <v>2791</v>
      </c>
      <c r="H303" t="s">
        <v>362</v>
      </c>
      <c r="I303">
        <v>3500391</v>
      </c>
      <c r="J303" t="s">
        <v>2397</v>
      </c>
      <c r="K303">
        <v>54</v>
      </c>
      <c r="L303">
        <v>0</v>
      </c>
      <c r="M303">
        <v>3</v>
      </c>
      <c r="N303">
        <v>5.91</v>
      </c>
      <c r="O303" t="s">
        <v>33</v>
      </c>
    </row>
    <row r="304" spans="1:16" x14ac:dyDescent="0.25">
      <c r="A304">
        <v>46200</v>
      </c>
      <c r="B304" t="s">
        <v>5966</v>
      </c>
      <c r="C304" t="s">
        <v>37</v>
      </c>
      <c r="D304" t="s">
        <v>392</v>
      </c>
      <c r="E304">
        <v>127</v>
      </c>
      <c r="F304">
        <v>751.48099999999999</v>
      </c>
      <c r="G304">
        <v>2791</v>
      </c>
      <c r="H304" t="s">
        <v>362</v>
      </c>
      <c r="I304">
        <v>3500391</v>
      </c>
      <c r="J304" t="s">
        <v>2397</v>
      </c>
      <c r="K304">
        <v>54</v>
      </c>
      <c r="L304">
        <v>0</v>
      </c>
      <c r="M304">
        <v>3</v>
      </c>
      <c r="N304">
        <v>5.91</v>
      </c>
      <c r="O304" t="s">
        <v>33</v>
      </c>
    </row>
    <row r="305" spans="1:15" x14ac:dyDescent="0.25">
      <c r="A305">
        <v>46200</v>
      </c>
      <c r="B305" t="s">
        <v>5966</v>
      </c>
      <c r="C305" t="s">
        <v>37</v>
      </c>
      <c r="D305" t="s">
        <v>392</v>
      </c>
      <c r="E305">
        <v>127</v>
      </c>
      <c r="F305">
        <v>751.75</v>
      </c>
      <c r="G305">
        <v>2792</v>
      </c>
      <c r="H305" t="s">
        <v>362</v>
      </c>
      <c r="I305">
        <v>3500391</v>
      </c>
      <c r="J305" t="s">
        <v>2397</v>
      </c>
      <c r="K305">
        <v>54</v>
      </c>
      <c r="L305">
        <v>0</v>
      </c>
      <c r="M305">
        <v>3</v>
      </c>
      <c r="N305">
        <v>5.91</v>
      </c>
      <c r="O305" t="s">
        <v>33</v>
      </c>
    </row>
    <row r="306" spans="1:15" x14ac:dyDescent="0.25">
      <c r="A306">
        <v>46199</v>
      </c>
      <c r="B306" t="s">
        <v>5966</v>
      </c>
      <c r="C306" t="s">
        <v>37</v>
      </c>
      <c r="D306" t="s">
        <v>392</v>
      </c>
      <c r="E306">
        <v>123</v>
      </c>
      <c r="F306">
        <v>727.78700000000003</v>
      </c>
      <c r="G306">
        <v>2703</v>
      </c>
      <c r="H306" t="s">
        <v>362</v>
      </c>
      <c r="I306">
        <v>3500391</v>
      </c>
      <c r="J306" t="s">
        <v>2397</v>
      </c>
      <c r="K306">
        <v>54</v>
      </c>
      <c r="L306">
        <v>0</v>
      </c>
      <c r="M306">
        <v>3</v>
      </c>
      <c r="N306">
        <v>5.91</v>
      </c>
      <c r="O306" t="s">
        <v>33</v>
      </c>
    </row>
    <row r="307" spans="1:15" x14ac:dyDescent="0.25">
      <c r="A307">
        <v>46199</v>
      </c>
      <c r="B307" t="s">
        <v>5966</v>
      </c>
      <c r="C307" t="s">
        <v>37</v>
      </c>
      <c r="D307" t="s">
        <v>392</v>
      </c>
      <c r="E307">
        <v>121</v>
      </c>
      <c r="F307">
        <v>715.67</v>
      </c>
      <c r="G307">
        <v>2658</v>
      </c>
      <c r="H307" t="s">
        <v>362</v>
      </c>
      <c r="I307">
        <v>3500391</v>
      </c>
      <c r="J307" t="s">
        <v>2397</v>
      </c>
      <c r="K307">
        <v>54</v>
      </c>
      <c r="L307">
        <v>0</v>
      </c>
      <c r="M307">
        <v>3</v>
      </c>
      <c r="N307">
        <v>5.91</v>
      </c>
      <c r="O307" t="s">
        <v>33</v>
      </c>
    </row>
    <row r="308" spans="1:15" x14ac:dyDescent="0.25">
      <c r="A308">
        <v>46199</v>
      </c>
      <c r="B308" t="s">
        <v>5966</v>
      </c>
      <c r="C308" t="s">
        <v>37</v>
      </c>
      <c r="D308" t="s">
        <v>392</v>
      </c>
      <c r="E308">
        <v>127</v>
      </c>
      <c r="F308">
        <v>751.75</v>
      </c>
      <c r="G308">
        <v>2792</v>
      </c>
      <c r="H308" t="s">
        <v>362</v>
      </c>
      <c r="I308">
        <v>3500391</v>
      </c>
      <c r="J308" t="s">
        <v>2397</v>
      </c>
      <c r="K308">
        <v>54</v>
      </c>
      <c r="L308">
        <v>0</v>
      </c>
      <c r="M308">
        <v>3</v>
      </c>
      <c r="N308">
        <v>5.91</v>
      </c>
      <c r="O308" t="s">
        <v>33</v>
      </c>
    </row>
    <row r="309" spans="1:15" x14ac:dyDescent="0.25">
      <c r="A309">
        <v>46200</v>
      </c>
      <c r="B309" t="s">
        <v>5966</v>
      </c>
      <c r="C309" t="s">
        <v>37</v>
      </c>
      <c r="D309" t="s">
        <v>392</v>
      </c>
      <c r="E309">
        <v>126</v>
      </c>
      <c r="F309">
        <v>745.827</v>
      </c>
      <c r="G309">
        <v>2770</v>
      </c>
      <c r="H309" t="s">
        <v>362</v>
      </c>
      <c r="I309">
        <v>3500391</v>
      </c>
      <c r="J309" t="s">
        <v>2397</v>
      </c>
      <c r="K309">
        <v>54</v>
      </c>
      <c r="L309">
        <v>0</v>
      </c>
      <c r="M309">
        <v>3</v>
      </c>
      <c r="N309">
        <v>5.91</v>
      </c>
      <c r="O309" t="s">
        <v>33</v>
      </c>
    </row>
    <row r="310" spans="1:15" x14ac:dyDescent="0.25">
      <c r="A310">
        <v>46200</v>
      </c>
      <c r="B310" t="s">
        <v>5966</v>
      </c>
      <c r="C310" t="s">
        <v>37</v>
      </c>
      <c r="D310" t="s">
        <v>392</v>
      </c>
      <c r="E310">
        <v>117</v>
      </c>
      <c r="F310">
        <v>691.70699999999999</v>
      </c>
      <c r="G310">
        <v>2569</v>
      </c>
      <c r="H310" t="s">
        <v>362</v>
      </c>
      <c r="I310">
        <v>3500391</v>
      </c>
      <c r="J310" t="s">
        <v>2397</v>
      </c>
      <c r="K310">
        <v>54</v>
      </c>
      <c r="L310">
        <v>0</v>
      </c>
      <c r="M310">
        <v>3</v>
      </c>
      <c r="N310">
        <v>5.91</v>
      </c>
      <c r="O310" t="s">
        <v>33</v>
      </c>
    </row>
    <row r="311" spans="1:15" x14ac:dyDescent="0.25">
      <c r="A311">
        <v>46200</v>
      </c>
      <c r="B311" t="s">
        <v>5966</v>
      </c>
      <c r="C311" t="s">
        <v>37</v>
      </c>
      <c r="D311" t="s">
        <v>392</v>
      </c>
      <c r="E311">
        <v>127</v>
      </c>
      <c r="F311">
        <v>751.75</v>
      </c>
      <c r="G311">
        <v>2792</v>
      </c>
      <c r="H311" t="s">
        <v>362</v>
      </c>
      <c r="I311">
        <v>3500391</v>
      </c>
      <c r="J311" t="s">
        <v>2397</v>
      </c>
      <c r="K311">
        <v>54</v>
      </c>
      <c r="L311">
        <v>0</v>
      </c>
      <c r="M311">
        <v>3</v>
      </c>
      <c r="N311">
        <v>5.91</v>
      </c>
      <c r="O311" t="s">
        <v>33</v>
      </c>
    </row>
    <row r="312" spans="1:15" x14ac:dyDescent="0.25">
      <c r="A312">
        <v>46197</v>
      </c>
      <c r="B312" t="s">
        <v>5968</v>
      </c>
      <c r="C312" t="s">
        <v>32</v>
      </c>
      <c r="D312" t="s">
        <v>392</v>
      </c>
      <c r="E312">
        <v>176</v>
      </c>
      <c r="F312">
        <v>1047.96</v>
      </c>
      <c r="G312">
        <v>1700</v>
      </c>
      <c r="H312" t="s">
        <v>345</v>
      </c>
      <c r="I312">
        <v>3929637</v>
      </c>
      <c r="J312" t="s">
        <v>6412</v>
      </c>
      <c r="K312">
        <v>42.7</v>
      </c>
      <c r="L312">
        <v>0</v>
      </c>
      <c r="M312">
        <v>1.6</v>
      </c>
      <c r="N312">
        <v>5.94</v>
      </c>
      <c r="O312" t="s">
        <v>33</v>
      </c>
    </row>
    <row r="313" spans="1:15" x14ac:dyDescent="0.25">
      <c r="A313">
        <v>46197</v>
      </c>
      <c r="B313" t="s">
        <v>5968</v>
      </c>
      <c r="C313" t="s">
        <v>32</v>
      </c>
      <c r="D313" t="s">
        <v>392</v>
      </c>
      <c r="E313">
        <v>225</v>
      </c>
      <c r="F313">
        <v>1333.991</v>
      </c>
      <c r="G313">
        <v>2164</v>
      </c>
      <c r="H313" t="s">
        <v>345</v>
      </c>
      <c r="I313">
        <v>3929637</v>
      </c>
      <c r="J313" t="s">
        <v>6412</v>
      </c>
      <c r="K313">
        <v>42.7</v>
      </c>
      <c r="L313">
        <v>0</v>
      </c>
      <c r="M313">
        <v>1.6</v>
      </c>
      <c r="N313">
        <v>5.94</v>
      </c>
      <c r="O313" t="s">
        <v>33</v>
      </c>
    </row>
    <row r="314" spans="1:15" x14ac:dyDescent="0.25">
      <c r="A314">
        <v>46175</v>
      </c>
      <c r="B314" t="s">
        <v>5968</v>
      </c>
      <c r="C314" t="s">
        <v>32</v>
      </c>
      <c r="D314" t="s">
        <v>392</v>
      </c>
      <c r="E314">
        <v>50</v>
      </c>
      <c r="F314">
        <v>295.89400000000001</v>
      </c>
      <c r="G314">
        <v>480</v>
      </c>
      <c r="H314" t="s">
        <v>345</v>
      </c>
      <c r="I314">
        <v>3929637</v>
      </c>
      <c r="J314" t="s">
        <v>6412</v>
      </c>
      <c r="K314">
        <v>42.7</v>
      </c>
      <c r="L314">
        <v>0</v>
      </c>
      <c r="M314">
        <v>1.6</v>
      </c>
      <c r="N314">
        <v>5.94</v>
      </c>
      <c r="O314" t="s">
        <v>33</v>
      </c>
    </row>
    <row r="315" spans="1:15" x14ac:dyDescent="0.25">
      <c r="A315">
        <v>46175</v>
      </c>
      <c r="B315" t="s">
        <v>5968</v>
      </c>
      <c r="C315" t="s">
        <v>32</v>
      </c>
      <c r="D315" t="s">
        <v>392</v>
      </c>
      <c r="E315">
        <v>233</v>
      </c>
      <c r="F315">
        <v>1383.923</v>
      </c>
      <c r="G315">
        <v>2245</v>
      </c>
      <c r="H315" t="s">
        <v>345</v>
      </c>
      <c r="I315">
        <v>3929637</v>
      </c>
      <c r="J315" t="s">
        <v>6412</v>
      </c>
      <c r="K315">
        <v>42.7</v>
      </c>
      <c r="L315">
        <v>0</v>
      </c>
      <c r="M315">
        <v>1.6</v>
      </c>
      <c r="N315">
        <v>5.94</v>
      </c>
      <c r="O315" t="s">
        <v>33</v>
      </c>
    </row>
    <row r="316" spans="1:15" x14ac:dyDescent="0.25">
      <c r="A316">
        <v>46175</v>
      </c>
      <c r="B316" t="s">
        <v>5968</v>
      </c>
      <c r="C316" t="s">
        <v>32</v>
      </c>
      <c r="D316" t="s">
        <v>392</v>
      </c>
      <c r="E316">
        <v>236</v>
      </c>
      <c r="F316">
        <v>1402.4159999999999</v>
      </c>
      <c r="G316">
        <v>2275</v>
      </c>
      <c r="H316" t="s">
        <v>345</v>
      </c>
      <c r="I316">
        <v>3929637</v>
      </c>
      <c r="J316" t="s">
        <v>6412</v>
      </c>
      <c r="K316">
        <v>42.7</v>
      </c>
      <c r="L316">
        <v>0</v>
      </c>
      <c r="M316">
        <v>1.6</v>
      </c>
      <c r="N316">
        <v>5.94</v>
      </c>
      <c r="O316" t="s">
        <v>33</v>
      </c>
    </row>
    <row r="317" spans="1:15" x14ac:dyDescent="0.25">
      <c r="A317">
        <v>46175</v>
      </c>
      <c r="B317" t="s">
        <v>5968</v>
      </c>
      <c r="C317" t="s">
        <v>32</v>
      </c>
      <c r="D317" t="s">
        <v>392</v>
      </c>
      <c r="E317">
        <v>226</v>
      </c>
      <c r="F317">
        <v>1342.6210000000001</v>
      </c>
      <c r="G317">
        <v>2178</v>
      </c>
      <c r="H317" t="s">
        <v>345</v>
      </c>
      <c r="I317">
        <v>3929637</v>
      </c>
      <c r="J317" t="s">
        <v>6412</v>
      </c>
      <c r="K317">
        <v>42.7</v>
      </c>
      <c r="L317">
        <v>0</v>
      </c>
      <c r="M317">
        <v>1.6</v>
      </c>
      <c r="N317">
        <v>5.94</v>
      </c>
      <c r="O317" t="s">
        <v>33</v>
      </c>
    </row>
    <row r="318" spans="1:15" x14ac:dyDescent="0.25">
      <c r="A318">
        <v>46175</v>
      </c>
      <c r="B318" t="s">
        <v>5968</v>
      </c>
      <c r="C318" t="s">
        <v>32</v>
      </c>
      <c r="D318" t="s">
        <v>392</v>
      </c>
      <c r="E318">
        <v>220</v>
      </c>
      <c r="F318">
        <v>1306.867</v>
      </c>
      <c r="G318">
        <v>2120</v>
      </c>
      <c r="H318" t="s">
        <v>345</v>
      </c>
      <c r="I318">
        <v>3929637</v>
      </c>
      <c r="J318" t="s">
        <v>6412</v>
      </c>
      <c r="K318">
        <v>42.7</v>
      </c>
      <c r="L318">
        <v>0</v>
      </c>
      <c r="M318">
        <v>1.6</v>
      </c>
      <c r="N318">
        <v>5.94</v>
      </c>
      <c r="O318" t="s">
        <v>33</v>
      </c>
    </row>
    <row r="319" spans="1:15" x14ac:dyDescent="0.25">
      <c r="A319">
        <v>46175</v>
      </c>
      <c r="B319" t="s">
        <v>5968</v>
      </c>
      <c r="C319" t="s">
        <v>32</v>
      </c>
      <c r="D319" t="s">
        <v>392</v>
      </c>
      <c r="E319">
        <v>17</v>
      </c>
      <c r="F319">
        <v>102.33</v>
      </c>
      <c r="G319">
        <v>166</v>
      </c>
      <c r="H319" t="s">
        <v>345</v>
      </c>
      <c r="I319">
        <v>3929637</v>
      </c>
      <c r="J319" t="s">
        <v>6412</v>
      </c>
      <c r="K319">
        <v>42.7</v>
      </c>
      <c r="L319">
        <v>0</v>
      </c>
      <c r="M319">
        <v>1.6</v>
      </c>
      <c r="N319">
        <v>5.94</v>
      </c>
      <c r="O319" t="s">
        <v>33</v>
      </c>
    </row>
    <row r="320" spans="1:15" x14ac:dyDescent="0.25">
      <c r="A320">
        <v>46175</v>
      </c>
      <c r="B320" t="s">
        <v>5968</v>
      </c>
      <c r="C320" t="s">
        <v>32</v>
      </c>
      <c r="D320" t="s">
        <v>392</v>
      </c>
      <c r="E320">
        <v>116</v>
      </c>
      <c r="F320">
        <v>689.80399999999997</v>
      </c>
      <c r="G320">
        <v>1119</v>
      </c>
      <c r="H320" t="s">
        <v>345</v>
      </c>
      <c r="I320">
        <v>3929637</v>
      </c>
      <c r="J320" t="s">
        <v>6412</v>
      </c>
      <c r="K320">
        <v>42.7</v>
      </c>
      <c r="L320">
        <v>0</v>
      </c>
      <c r="M320">
        <v>1.6</v>
      </c>
      <c r="N320">
        <v>5.94</v>
      </c>
      <c r="O320" t="s">
        <v>33</v>
      </c>
    </row>
    <row r="321" spans="1:16" x14ac:dyDescent="0.25">
      <c r="A321">
        <v>46175</v>
      </c>
      <c r="B321" t="s">
        <v>5968</v>
      </c>
      <c r="C321" t="s">
        <v>32</v>
      </c>
      <c r="D321" t="s">
        <v>392</v>
      </c>
      <c r="E321">
        <v>116</v>
      </c>
      <c r="F321">
        <v>689.18799999999999</v>
      </c>
      <c r="G321">
        <v>1118</v>
      </c>
      <c r="H321" t="s">
        <v>345</v>
      </c>
      <c r="I321">
        <v>3929637</v>
      </c>
      <c r="J321" t="s">
        <v>6412</v>
      </c>
      <c r="K321">
        <v>42.7</v>
      </c>
      <c r="L321">
        <v>0</v>
      </c>
      <c r="M321">
        <v>1.6</v>
      </c>
      <c r="N321">
        <v>5.94</v>
      </c>
      <c r="O321" t="s">
        <v>33</v>
      </c>
    </row>
    <row r="322" spans="1:16" x14ac:dyDescent="0.25">
      <c r="A322">
        <v>46191</v>
      </c>
      <c r="B322" t="s">
        <v>5966</v>
      </c>
      <c r="C322" t="s">
        <v>37</v>
      </c>
      <c r="D322" t="s">
        <v>392</v>
      </c>
      <c r="E322">
        <v>460</v>
      </c>
      <c r="F322">
        <v>2737.4520000000002</v>
      </c>
      <c r="G322">
        <v>2665.7919999999999</v>
      </c>
      <c r="H322" t="s">
        <v>367</v>
      </c>
      <c r="I322">
        <v>3905466</v>
      </c>
      <c r="J322" t="s">
        <v>1487</v>
      </c>
      <c r="K322">
        <v>22.2</v>
      </c>
      <c r="L322">
        <v>0</v>
      </c>
      <c r="M322">
        <v>2</v>
      </c>
      <c r="N322">
        <v>5.9509999999999996</v>
      </c>
      <c r="O322" t="s">
        <v>33</v>
      </c>
      <c r="P322" t="s">
        <v>6168</v>
      </c>
    </row>
    <row r="323" spans="1:16" x14ac:dyDescent="0.25">
      <c r="A323">
        <v>46191</v>
      </c>
      <c r="B323" t="s">
        <v>5966</v>
      </c>
      <c r="C323" t="s">
        <v>37</v>
      </c>
      <c r="D323" t="s">
        <v>392</v>
      </c>
      <c r="E323">
        <v>427</v>
      </c>
      <c r="F323">
        <v>2541.069</v>
      </c>
      <c r="G323">
        <v>2474.549</v>
      </c>
      <c r="H323" t="s">
        <v>367</v>
      </c>
      <c r="I323">
        <v>3905466</v>
      </c>
      <c r="J323" t="s">
        <v>1487</v>
      </c>
      <c r="K323">
        <v>22.2</v>
      </c>
      <c r="L323">
        <v>0</v>
      </c>
      <c r="M323">
        <v>2</v>
      </c>
      <c r="N323">
        <v>5.9509999999999996</v>
      </c>
      <c r="O323" t="s">
        <v>33</v>
      </c>
      <c r="P323" t="s">
        <v>6168</v>
      </c>
    </row>
    <row r="324" spans="1:16" x14ac:dyDescent="0.25">
      <c r="A324">
        <v>46195</v>
      </c>
      <c r="B324" t="s">
        <v>5966</v>
      </c>
      <c r="C324" t="s">
        <v>37</v>
      </c>
      <c r="D324" t="s">
        <v>392</v>
      </c>
      <c r="E324">
        <v>419</v>
      </c>
      <c r="F324">
        <v>2493.462</v>
      </c>
      <c r="G324">
        <v>2428.1889999999999</v>
      </c>
      <c r="H324" t="s">
        <v>367</v>
      </c>
      <c r="I324">
        <v>3905466</v>
      </c>
      <c r="J324" t="s">
        <v>1487</v>
      </c>
      <c r="K324">
        <v>22.2</v>
      </c>
      <c r="L324">
        <v>0</v>
      </c>
      <c r="M324">
        <v>2</v>
      </c>
      <c r="N324">
        <v>5.9509999999999996</v>
      </c>
      <c r="O324" t="s">
        <v>33</v>
      </c>
      <c r="P324" t="s">
        <v>6168</v>
      </c>
    </row>
    <row r="325" spans="1:16" x14ac:dyDescent="0.25">
      <c r="A325">
        <v>46191</v>
      </c>
      <c r="B325" t="s">
        <v>5966</v>
      </c>
      <c r="C325" t="s">
        <v>37</v>
      </c>
      <c r="D325" t="s">
        <v>392</v>
      </c>
      <c r="E325">
        <v>422</v>
      </c>
      <c r="F325">
        <v>2511.3150000000001</v>
      </c>
      <c r="G325">
        <v>2445.5740000000001</v>
      </c>
      <c r="H325" t="s">
        <v>367</v>
      </c>
      <c r="I325">
        <v>3905466</v>
      </c>
      <c r="J325" t="s">
        <v>1487</v>
      </c>
      <c r="K325">
        <v>22.2</v>
      </c>
      <c r="L325">
        <v>0</v>
      </c>
      <c r="M325">
        <v>2</v>
      </c>
      <c r="N325">
        <v>5.9509999999999996</v>
      </c>
      <c r="O325" t="s">
        <v>33</v>
      </c>
      <c r="P325" t="s">
        <v>6168</v>
      </c>
    </row>
    <row r="326" spans="1:16" x14ac:dyDescent="0.25">
      <c r="A326">
        <v>46196</v>
      </c>
      <c r="B326" t="s">
        <v>5966</v>
      </c>
      <c r="C326" t="s">
        <v>37</v>
      </c>
      <c r="D326" t="s">
        <v>392</v>
      </c>
      <c r="E326">
        <v>420</v>
      </c>
      <c r="F326">
        <v>2499.413</v>
      </c>
      <c r="G326">
        <v>2433.9839999999999</v>
      </c>
      <c r="H326" t="s">
        <v>367</v>
      </c>
      <c r="I326">
        <v>3905466</v>
      </c>
      <c r="J326" t="s">
        <v>1487</v>
      </c>
      <c r="K326">
        <v>22.2</v>
      </c>
      <c r="L326">
        <v>0</v>
      </c>
      <c r="M326">
        <v>2</v>
      </c>
      <c r="N326">
        <v>5.9509999999999996</v>
      </c>
      <c r="O326" t="s">
        <v>33</v>
      </c>
      <c r="P326" t="s">
        <v>6168</v>
      </c>
    </row>
    <row r="327" spans="1:16" x14ac:dyDescent="0.25">
      <c r="A327">
        <v>46195</v>
      </c>
      <c r="B327" t="s">
        <v>5966</v>
      </c>
      <c r="C327" t="s">
        <v>37</v>
      </c>
      <c r="D327" t="s">
        <v>392</v>
      </c>
      <c r="E327">
        <v>419</v>
      </c>
      <c r="F327">
        <v>2493.462</v>
      </c>
      <c r="G327">
        <v>2428.1889999999999</v>
      </c>
      <c r="H327" t="s">
        <v>367</v>
      </c>
      <c r="I327">
        <v>3905466</v>
      </c>
      <c r="J327" t="s">
        <v>1487</v>
      </c>
      <c r="K327">
        <v>22.2</v>
      </c>
      <c r="L327">
        <v>0</v>
      </c>
      <c r="M327">
        <v>2</v>
      </c>
      <c r="N327">
        <v>5.9509999999999996</v>
      </c>
      <c r="O327" t="s">
        <v>33</v>
      </c>
      <c r="P327" t="s">
        <v>6168</v>
      </c>
    </row>
    <row r="328" spans="1:16" x14ac:dyDescent="0.25">
      <c r="A328">
        <v>46196</v>
      </c>
      <c r="B328" t="s">
        <v>5966</v>
      </c>
      <c r="C328" t="s">
        <v>37</v>
      </c>
      <c r="D328" t="s">
        <v>392</v>
      </c>
      <c r="E328">
        <v>420</v>
      </c>
      <c r="F328">
        <v>2499.413</v>
      </c>
      <c r="G328">
        <v>2433.9839999999999</v>
      </c>
      <c r="H328" t="s">
        <v>367</v>
      </c>
      <c r="I328">
        <v>3905466</v>
      </c>
      <c r="J328" t="s">
        <v>1487</v>
      </c>
      <c r="K328">
        <v>22.2</v>
      </c>
      <c r="L328">
        <v>0</v>
      </c>
      <c r="M328">
        <v>2</v>
      </c>
      <c r="N328">
        <v>5.9509999999999996</v>
      </c>
      <c r="O328" t="s">
        <v>33</v>
      </c>
      <c r="P328" t="s">
        <v>6168</v>
      </c>
    </row>
    <row r="329" spans="1:16" x14ac:dyDescent="0.25">
      <c r="A329">
        <v>46195</v>
      </c>
      <c r="B329" t="s">
        <v>5966</v>
      </c>
      <c r="C329" t="s">
        <v>37</v>
      </c>
      <c r="D329" t="s">
        <v>392</v>
      </c>
      <c r="E329">
        <v>419</v>
      </c>
      <c r="F329">
        <v>2493.462</v>
      </c>
      <c r="G329">
        <v>2428.1889999999999</v>
      </c>
      <c r="H329" t="s">
        <v>367</v>
      </c>
      <c r="I329">
        <v>3905466</v>
      </c>
      <c r="J329" t="s">
        <v>1487</v>
      </c>
      <c r="K329">
        <v>22.2</v>
      </c>
      <c r="L329">
        <v>0</v>
      </c>
      <c r="M329">
        <v>2</v>
      </c>
      <c r="N329">
        <v>5.9509999999999996</v>
      </c>
      <c r="O329" t="s">
        <v>33</v>
      </c>
      <c r="P329" t="s">
        <v>6168</v>
      </c>
    </row>
    <row r="330" spans="1:16" x14ac:dyDescent="0.25">
      <c r="A330">
        <v>46195</v>
      </c>
      <c r="B330" t="s">
        <v>5966</v>
      </c>
      <c r="C330" t="s">
        <v>37</v>
      </c>
      <c r="D330" t="s">
        <v>392</v>
      </c>
      <c r="E330">
        <v>419</v>
      </c>
      <c r="F330">
        <v>2493.462</v>
      </c>
      <c r="G330">
        <v>2428.1889999999999</v>
      </c>
      <c r="H330" t="s">
        <v>367</v>
      </c>
      <c r="I330">
        <v>3905466</v>
      </c>
      <c r="J330" t="s">
        <v>1487</v>
      </c>
      <c r="K330">
        <v>22.2</v>
      </c>
      <c r="L330">
        <v>0</v>
      </c>
      <c r="M330">
        <v>2</v>
      </c>
      <c r="N330">
        <v>5.9509999999999996</v>
      </c>
      <c r="O330" t="s">
        <v>33</v>
      </c>
      <c r="P330" t="s">
        <v>6168</v>
      </c>
    </row>
    <row r="331" spans="1:16" x14ac:dyDescent="0.25">
      <c r="A331">
        <v>46195</v>
      </c>
      <c r="B331" t="s">
        <v>5966</v>
      </c>
      <c r="C331" t="s">
        <v>37</v>
      </c>
      <c r="D331" t="s">
        <v>392</v>
      </c>
      <c r="E331">
        <v>419</v>
      </c>
      <c r="F331">
        <v>2493.462</v>
      </c>
      <c r="G331">
        <v>2428.1889999999999</v>
      </c>
      <c r="H331" t="s">
        <v>367</v>
      </c>
      <c r="I331">
        <v>3905466</v>
      </c>
      <c r="J331" t="s">
        <v>1487</v>
      </c>
      <c r="K331">
        <v>22.2</v>
      </c>
      <c r="L331">
        <v>0</v>
      </c>
      <c r="M331">
        <v>2</v>
      </c>
      <c r="N331">
        <v>5.9509999999999996</v>
      </c>
      <c r="O331" t="s">
        <v>33</v>
      </c>
      <c r="P331" t="s">
        <v>6168</v>
      </c>
    </row>
    <row r="332" spans="1:16" x14ac:dyDescent="0.25">
      <c r="A332">
        <v>46195</v>
      </c>
      <c r="B332" t="s">
        <v>5966</v>
      </c>
      <c r="C332" t="s">
        <v>37</v>
      </c>
      <c r="D332" t="s">
        <v>392</v>
      </c>
      <c r="E332">
        <v>420</v>
      </c>
      <c r="F332">
        <v>2499.413</v>
      </c>
      <c r="G332">
        <v>2433.9839999999999</v>
      </c>
      <c r="H332" t="s">
        <v>367</v>
      </c>
      <c r="I332">
        <v>3905466</v>
      </c>
      <c r="J332" t="s">
        <v>1487</v>
      </c>
      <c r="K332">
        <v>22.2</v>
      </c>
      <c r="L332">
        <v>0</v>
      </c>
      <c r="M332">
        <v>2</v>
      </c>
      <c r="N332">
        <v>5.9509999999999996</v>
      </c>
      <c r="O332" t="s">
        <v>33</v>
      </c>
      <c r="P332" t="s">
        <v>6168</v>
      </c>
    </row>
    <row r="333" spans="1:16" x14ac:dyDescent="0.25">
      <c r="A333">
        <v>46195</v>
      </c>
      <c r="B333" t="s">
        <v>5966</v>
      </c>
      <c r="C333" t="s">
        <v>37</v>
      </c>
      <c r="D333" t="s">
        <v>392</v>
      </c>
      <c r="E333">
        <v>420</v>
      </c>
      <c r="F333">
        <v>2499.413</v>
      </c>
      <c r="G333">
        <v>2433.9839999999999</v>
      </c>
      <c r="H333" t="s">
        <v>367</v>
      </c>
      <c r="I333">
        <v>3905466</v>
      </c>
      <c r="J333" t="s">
        <v>1487</v>
      </c>
      <c r="K333">
        <v>22.2</v>
      </c>
      <c r="L333">
        <v>0</v>
      </c>
      <c r="M333">
        <v>2</v>
      </c>
      <c r="N333">
        <v>5.9509999999999996</v>
      </c>
      <c r="O333" t="s">
        <v>33</v>
      </c>
      <c r="P333" t="s">
        <v>6168</v>
      </c>
    </row>
    <row r="334" spans="1:16" x14ac:dyDescent="0.25">
      <c r="A334">
        <v>46195</v>
      </c>
      <c r="B334" t="s">
        <v>5966</v>
      </c>
      <c r="C334" t="s">
        <v>37</v>
      </c>
      <c r="D334" t="s">
        <v>392</v>
      </c>
      <c r="E334">
        <v>420</v>
      </c>
      <c r="F334">
        <v>2499.413</v>
      </c>
      <c r="G334">
        <v>2433.9839999999999</v>
      </c>
      <c r="H334" t="s">
        <v>367</v>
      </c>
      <c r="I334">
        <v>3905466</v>
      </c>
      <c r="J334" t="s">
        <v>1487</v>
      </c>
      <c r="K334">
        <v>22.2</v>
      </c>
      <c r="L334">
        <v>0</v>
      </c>
      <c r="M334">
        <v>2</v>
      </c>
      <c r="N334">
        <v>5.9509999999999996</v>
      </c>
      <c r="O334" t="s">
        <v>33</v>
      </c>
      <c r="P334" t="s">
        <v>6168</v>
      </c>
    </row>
    <row r="335" spans="1:16" x14ac:dyDescent="0.25">
      <c r="A335">
        <v>46195</v>
      </c>
      <c r="B335" t="s">
        <v>5966</v>
      </c>
      <c r="C335" t="s">
        <v>37</v>
      </c>
      <c r="D335" t="s">
        <v>392</v>
      </c>
      <c r="E335">
        <v>465</v>
      </c>
      <c r="F335">
        <v>2767.2069999999999</v>
      </c>
      <c r="G335">
        <v>2694.768</v>
      </c>
      <c r="H335" t="s">
        <v>367</v>
      </c>
      <c r="I335">
        <v>3905466</v>
      </c>
      <c r="J335" t="s">
        <v>1487</v>
      </c>
      <c r="K335">
        <v>22.2</v>
      </c>
      <c r="L335">
        <v>0</v>
      </c>
      <c r="M335">
        <v>2</v>
      </c>
      <c r="N335">
        <v>5.9509999999999996</v>
      </c>
      <c r="O335" t="s">
        <v>33</v>
      </c>
      <c r="P335" t="s">
        <v>6168</v>
      </c>
    </row>
    <row r="336" spans="1:16" x14ac:dyDescent="0.25">
      <c r="A336">
        <v>46195</v>
      </c>
      <c r="B336" t="s">
        <v>5966</v>
      </c>
      <c r="C336" t="s">
        <v>37</v>
      </c>
      <c r="D336" t="s">
        <v>392</v>
      </c>
      <c r="E336">
        <v>420</v>
      </c>
      <c r="F336">
        <v>2499.4119999999998</v>
      </c>
      <c r="G336">
        <v>2433.9830000000002</v>
      </c>
      <c r="H336" t="s">
        <v>367</v>
      </c>
      <c r="I336">
        <v>3905466</v>
      </c>
      <c r="J336" t="s">
        <v>1487</v>
      </c>
      <c r="K336">
        <v>22.2</v>
      </c>
      <c r="L336">
        <v>0</v>
      </c>
      <c r="M336">
        <v>2</v>
      </c>
      <c r="N336">
        <v>5.9509999999999996</v>
      </c>
      <c r="O336" t="s">
        <v>33</v>
      </c>
      <c r="P336" t="s">
        <v>6168</v>
      </c>
    </row>
    <row r="337" spans="1:16" x14ac:dyDescent="0.25">
      <c r="A337">
        <v>46195</v>
      </c>
      <c r="B337" t="s">
        <v>5966</v>
      </c>
      <c r="C337" t="s">
        <v>37</v>
      </c>
      <c r="D337" t="s">
        <v>392</v>
      </c>
      <c r="E337">
        <v>419</v>
      </c>
      <c r="F337">
        <v>2493.462</v>
      </c>
      <c r="G337">
        <v>2428.1889999999999</v>
      </c>
      <c r="H337" t="s">
        <v>367</v>
      </c>
      <c r="I337">
        <v>3905466</v>
      </c>
      <c r="J337" t="s">
        <v>1487</v>
      </c>
      <c r="K337">
        <v>22.2</v>
      </c>
      <c r="L337">
        <v>0</v>
      </c>
      <c r="M337">
        <v>2</v>
      </c>
      <c r="N337">
        <v>5.9509999999999996</v>
      </c>
      <c r="O337" t="s">
        <v>33</v>
      </c>
      <c r="P337" t="s">
        <v>6168</v>
      </c>
    </row>
    <row r="338" spans="1:16" x14ac:dyDescent="0.25">
      <c r="A338">
        <v>46191</v>
      </c>
      <c r="B338" t="s">
        <v>5966</v>
      </c>
      <c r="C338" t="s">
        <v>37</v>
      </c>
      <c r="D338" t="s">
        <v>392</v>
      </c>
      <c r="E338">
        <v>418</v>
      </c>
      <c r="F338">
        <v>2487.5120000000002</v>
      </c>
      <c r="G338">
        <v>2422.3939999999998</v>
      </c>
      <c r="H338" t="s">
        <v>367</v>
      </c>
      <c r="I338">
        <v>3905466</v>
      </c>
      <c r="J338" t="s">
        <v>1487</v>
      </c>
      <c r="K338">
        <v>22.2</v>
      </c>
      <c r="L338">
        <v>0</v>
      </c>
      <c r="M338">
        <v>2</v>
      </c>
      <c r="N338">
        <v>5.9509999999999996</v>
      </c>
      <c r="O338" t="s">
        <v>33</v>
      </c>
      <c r="P338" t="s">
        <v>6168</v>
      </c>
    </row>
    <row r="339" spans="1:16" x14ac:dyDescent="0.25">
      <c r="A339">
        <v>46191</v>
      </c>
      <c r="B339" t="s">
        <v>5966</v>
      </c>
      <c r="C339" t="s">
        <v>37</v>
      </c>
      <c r="D339" t="s">
        <v>392</v>
      </c>
      <c r="E339">
        <v>418</v>
      </c>
      <c r="F339">
        <v>2487.5120000000002</v>
      </c>
      <c r="G339">
        <v>2422.3939999999998</v>
      </c>
      <c r="H339" t="s">
        <v>367</v>
      </c>
      <c r="I339">
        <v>3905466</v>
      </c>
      <c r="J339" t="s">
        <v>1487</v>
      </c>
      <c r="K339">
        <v>22.2</v>
      </c>
      <c r="L339">
        <v>0</v>
      </c>
      <c r="M339">
        <v>2</v>
      </c>
      <c r="N339">
        <v>5.9509999999999996</v>
      </c>
      <c r="O339" t="s">
        <v>33</v>
      </c>
      <c r="P339" t="s">
        <v>6168</v>
      </c>
    </row>
    <row r="340" spans="1:16" x14ac:dyDescent="0.25">
      <c r="A340">
        <v>46195</v>
      </c>
      <c r="B340" t="s">
        <v>5966</v>
      </c>
      <c r="C340" t="s">
        <v>37</v>
      </c>
      <c r="D340" t="s">
        <v>392</v>
      </c>
      <c r="E340">
        <v>419</v>
      </c>
      <c r="F340">
        <v>2493.462</v>
      </c>
      <c r="G340">
        <v>2428.1889999999999</v>
      </c>
      <c r="H340" t="s">
        <v>367</v>
      </c>
      <c r="I340">
        <v>3905466</v>
      </c>
      <c r="J340" t="s">
        <v>1487</v>
      </c>
      <c r="K340">
        <v>22.2</v>
      </c>
      <c r="L340">
        <v>0</v>
      </c>
      <c r="M340">
        <v>2</v>
      </c>
      <c r="N340">
        <v>5.9509999999999996</v>
      </c>
      <c r="O340" t="s">
        <v>33</v>
      </c>
      <c r="P340" t="s">
        <v>6168</v>
      </c>
    </row>
    <row r="341" spans="1:16" x14ac:dyDescent="0.25">
      <c r="A341">
        <v>46196</v>
      </c>
      <c r="B341" t="s">
        <v>5966</v>
      </c>
      <c r="C341" t="s">
        <v>37</v>
      </c>
      <c r="D341" t="s">
        <v>392</v>
      </c>
      <c r="E341">
        <v>420</v>
      </c>
      <c r="F341">
        <v>2499.413</v>
      </c>
      <c r="G341">
        <v>2433.9839999999999</v>
      </c>
      <c r="H341" t="s">
        <v>367</v>
      </c>
      <c r="I341">
        <v>3905466</v>
      </c>
      <c r="J341" t="s">
        <v>1487</v>
      </c>
      <c r="K341">
        <v>22.2</v>
      </c>
      <c r="L341">
        <v>0</v>
      </c>
      <c r="M341">
        <v>2</v>
      </c>
      <c r="N341">
        <v>5.9509999999999996</v>
      </c>
      <c r="O341" t="s">
        <v>33</v>
      </c>
      <c r="P341" t="s">
        <v>6168</v>
      </c>
    </row>
    <row r="342" spans="1:16" x14ac:dyDescent="0.25">
      <c r="A342">
        <v>46191</v>
      </c>
      <c r="B342" t="s">
        <v>5966</v>
      </c>
      <c r="C342" t="s">
        <v>37</v>
      </c>
      <c r="D342" t="s">
        <v>392</v>
      </c>
      <c r="E342">
        <v>419</v>
      </c>
      <c r="F342">
        <v>2493.462</v>
      </c>
      <c r="G342">
        <v>2428.1889999999999</v>
      </c>
      <c r="H342" t="s">
        <v>367</v>
      </c>
      <c r="I342">
        <v>3905466</v>
      </c>
      <c r="J342" t="s">
        <v>1487</v>
      </c>
      <c r="K342">
        <v>22.2</v>
      </c>
      <c r="L342">
        <v>0</v>
      </c>
      <c r="M342">
        <v>2</v>
      </c>
      <c r="N342">
        <v>5.9509999999999996</v>
      </c>
      <c r="O342" t="s">
        <v>33</v>
      </c>
      <c r="P342" t="s">
        <v>6168</v>
      </c>
    </row>
    <row r="343" spans="1:16" x14ac:dyDescent="0.25">
      <c r="A343">
        <v>46196</v>
      </c>
      <c r="B343" t="s">
        <v>5966</v>
      </c>
      <c r="C343" t="s">
        <v>37</v>
      </c>
      <c r="D343" t="s">
        <v>392</v>
      </c>
      <c r="E343">
        <v>420</v>
      </c>
      <c r="F343">
        <v>2499.413</v>
      </c>
      <c r="G343">
        <v>2433.9839999999999</v>
      </c>
      <c r="H343" t="s">
        <v>367</v>
      </c>
      <c r="I343">
        <v>3905466</v>
      </c>
      <c r="J343" t="s">
        <v>1487</v>
      </c>
      <c r="K343">
        <v>22.2</v>
      </c>
      <c r="L343">
        <v>0</v>
      </c>
      <c r="M343">
        <v>2</v>
      </c>
      <c r="N343">
        <v>5.9509999999999996</v>
      </c>
      <c r="O343" t="s">
        <v>33</v>
      </c>
      <c r="P343" t="s">
        <v>6168</v>
      </c>
    </row>
    <row r="344" spans="1:16" x14ac:dyDescent="0.25">
      <c r="A344">
        <v>46203</v>
      </c>
      <c r="B344" t="s">
        <v>5966</v>
      </c>
      <c r="C344" t="s">
        <v>37</v>
      </c>
      <c r="D344" t="s">
        <v>392</v>
      </c>
      <c r="E344">
        <v>420</v>
      </c>
      <c r="F344">
        <v>2499.413</v>
      </c>
      <c r="G344">
        <v>2433.9839999999999</v>
      </c>
      <c r="H344" t="s">
        <v>367</v>
      </c>
      <c r="I344">
        <v>3905466</v>
      </c>
      <c r="J344" t="s">
        <v>1487</v>
      </c>
      <c r="K344">
        <v>22.2</v>
      </c>
      <c r="L344">
        <v>0</v>
      </c>
      <c r="M344">
        <v>2</v>
      </c>
      <c r="N344">
        <v>5.9509999999999996</v>
      </c>
      <c r="O344" t="s">
        <v>33</v>
      </c>
      <c r="P344" t="s">
        <v>6168</v>
      </c>
    </row>
    <row r="345" spans="1:16" x14ac:dyDescent="0.25">
      <c r="A345">
        <v>46191</v>
      </c>
      <c r="B345" t="s">
        <v>5966</v>
      </c>
      <c r="C345" t="s">
        <v>37</v>
      </c>
      <c r="D345" t="s">
        <v>392</v>
      </c>
      <c r="E345">
        <v>420</v>
      </c>
      <c r="F345">
        <v>2499.413</v>
      </c>
      <c r="G345">
        <v>2433.9839999999999</v>
      </c>
      <c r="H345" t="s">
        <v>367</v>
      </c>
      <c r="I345">
        <v>3905466</v>
      </c>
      <c r="J345" t="s">
        <v>1487</v>
      </c>
      <c r="K345">
        <v>22.2</v>
      </c>
      <c r="L345">
        <v>0</v>
      </c>
      <c r="M345">
        <v>2</v>
      </c>
      <c r="N345">
        <v>5.9509999999999996</v>
      </c>
      <c r="O345" t="s">
        <v>33</v>
      </c>
      <c r="P345" t="s">
        <v>6168</v>
      </c>
    </row>
    <row r="346" spans="1:16" x14ac:dyDescent="0.25">
      <c r="A346">
        <v>46191</v>
      </c>
      <c r="B346" t="s">
        <v>5966</v>
      </c>
      <c r="C346" t="s">
        <v>37</v>
      </c>
      <c r="D346" t="s">
        <v>392</v>
      </c>
      <c r="E346">
        <v>420</v>
      </c>
      <c r="F346">
        <v>2499.413</v>
      </c>
      <c r="G346">
        <v>2433.9839999999999</v>
      </c>
      <c r="H346" t="s">
        <v>367</v>
      </c>
      <c r="I346">
        <v>3905466</v>
      </c>
      <c r="J346" t="s">
        <v>1487</v>
      </c>
      <c r="K346">
        <v>22.2</v>
      </c>
      <c r="L346">
        <v>0</v>
      </c>
      <c r="M346">
        <v>2</v>
      </c>
      <c r="N346">
        <v>5.9509999999999996</v>
      </c>
      <c r="O346" t="s">
        <v>33</v>
      </c>
      <c r="P346" t="s">
        <v>6168</v>
      </c>
    </row>
    <row r="347" spans="1:16" x14ac:dyDescent="0.25">
      <c r="A347">
        <v>46196</v>
      </c>
      <c r="B347" t="s">
        <v>5966</v>
      </c>
      <c r="C347" t="s">
        <v>37</v>
      </c>
      <c r="D347" t="s">
        <v>392</v>
      </c>
      <c r="E347">
        <v>411</v>
      </c>
      <c r="F347">
        <v>2445.8530000000001</v>
      </c>
      <c r="G347">
        <v>2381.826</v>
      </c>
      <c r="H347" t="s">
        <v>367</v>
      </c>
      <c r="I347">
        <v>3905466</v>
      </c>
      <c r="J347" t="s">
        <v>1487</v>
      </c>
      <c r="K347">
        <v>22.2</v>
      </c>
      <c r="L347">
        <v>0</v>
      </c>
      <c r="M347">
        <v>2</v>
      </c>
      <c r="N347">
        <v>5.9509999999999996</v>
      </c>
      <c r="O347" t="s">
        <v>33</v>
      </c>
      <c r="P347" t="s">
        <v>6168</v>
      </c>
    </row>
    <row r="348" spans="1:16" x14ac:dyDescent="0.25">
      <c r="A348">
        <v>46196</v>
      </c>
      <c r="B348" t="s">
        <v>5966</v>
      </c>
      <c r="C348" t="s">
        <v>37</v>
      </c>
      <c r="D348" t="s">
        <v>392</v>
      </c>
      <c r="E348">
        <v>414</v>
      </c>
      <c r="F348">
        <v>2463.7069999999999</v>
      </c>
      <c r="G348">
        <v>2399.2130000000002</v>
      </c>
      <c r="H348" t="s">
        <v>367</v>
      </c>
      <c r="I348">
        <v>3905466</v>
      </c>
      <c r="J348" t="s">
        <v>1487</v>
      </c>
      <c r="K348">
        <v>22.2</v>
      </c>
      <c r="L348">
        <v>0</v>
      </c>
      <c r="M348">
        <v>2</v>
      </c>
      <c r="N348">
        <v>5.9509999999999996</v>
      </c>
      <c r="O348" t="s">
        <v>33</v>
      </c>
      <c r="P348" t="s">
        <v>6168</v>
      </c>
    </row>
    <row r="349" spans="1:16" x14ac:dyDescent="0.25">
      <c r="A349">
        <v>46196</v>
      </c>
      <c r="B349" t="s">
        <v>5966</v>
      </c>
      <c r="C349" t="s">
        <v>37</v>
      </c>
      <c r="D349" t="s">
        <v>392</v>
      </c>
      <c r="E349">
        <v>419</v>
      </c>
      <c r="F349">
        <v>2493.462</v>
      </c>
      <c r="G349">
        <v>2428.1889999999999</v>
      </c>
      <c r="H349" t="s">
        <v>367</v>
      </c>
      <c r="I349">
        <v>3905466</v>
      </c>
      <c r="J349" t="s">
        <v>1487</v>
      </c>
      <c r="K349">
        <v>22.2</v>
      </c>
      <c r="L349">
        <v>0</v>
      </c>
      <c r="M349">
        <v>2</v>
      </c>
      <c r="N349">
        <v>5.9509999999999996</v>
      </c>
      <c r="O349" t="s">
        <v>33</v>
      </c>
      <c r="P349" t="s">
        <v>6168</v>
      </c>
    </row>
    <row r="350" spans="1:16" x14ac:dyDescent="0.25">
      <c r="A350">
        <v>46196</v>
      </c>
      <c r="B350" t="s">
        <v>5966</v>
      </c>
      <c r="C350" t="s">
        <v>37</v>
      </c>
      <c r="D350" t="s">
        <v>392</v>
      </c>
      <c r="E350">
        <v>419</v>
      </c>
      <c r="F350">
        <v>2493.462</v>
      </c>
      <c r="G350">
        <v>2428.1889999999999</v>
      </c>
      <c r="H350" t="s">
        <v>367</v>
      </c>
      <c r="I350">
        <v>3905466</v>
      </c>
      <c r="J350" t="s">
        <v>1487</v>
      </c>
      <c r="K350">
        <v>22.2</v>
      </c>
      <c r="L350">
        <v>0</v>
      </c>
      <c r="M350">
        <v>2</v>
      </c>
      <c r="N350">
        <v>5.9509999999999996</v>
      </c>
      <c r="O350" t="s">
        <v>33</v>
      </c>
      <c r="P350" t="s">
        <v>6168</v>
      </c>
    </row>
    <row r="351" spans="1:16" x14ac:dyDescent="0.25">
      <c r="A351">
        <v>46203</v>
      </c>
      <c r="B351" t="s">
        <v>5966</v>
      </c>
      <c r="C351" t="s">
        <v>37</v>
      </c>
      <c r="D351" t="s">
        <v>392</v>
      </c>
      <c r="E351">
        <v>420</v>
      </c>
      <c r="F351">
        <v>2499.413</v>
      </c>
      <c r="G351">
        <v>2433.9839999999999</v>
      </c>
      <c r="H351" t="s">
        <v>367</v>
      </c>
      <c r="I351">
        <v>3905466</v>
      </c>
      <c r="J351" t="s">
        <v>1487</v>
      </c>
      <c r="K351">
        <v>22.2</v>
      </c>
      <c r="L351">
        <v>0</v>
      </c>
      <c r="M351">
        <v>2</v>
      </c>
      <c r="N351">
        <v>5.9509999999999996</v>
      </c>
      <c r="O351" t="s">
        <v>33</v>
      </c>
      <c r="P351" t="s">
        <v>6168</v>
      </c>
    </row>
    <row r="352" spans="1:16" x14ac:dyDescent="0.25">
      <c r="A352">
        <v>46203</v>
      </c>
      <c r="B352" t="s">
        <v>5966</v>
      </c>
      <c r="C352" t="s">
        <v>37</v>
      </c>
      <c r="D352" t="s">
        <v>392</v>
      </c>
      <c r="E352">
        <v>420</v>
      </c>
      <c r="F352">
        <v>2499.413</v>
      </c>
      <c r="G352">
        <v>2433.9839999999999</v>
      </c>
      <c r="H352" t="s">
        <v>367</v>
      </c>
      <c r="I352">
        <v>3905466</v>
      </c>
      <c r="J352" t="s">
        <v>1487</v>
      </c>
      <c r="K352">
        <v>22.2</v>
      </c>
      <c r="L352">
        <v>0</v>
      </c>
      <c r="M352">
        <v>2</v>
      </c>
      <c r="N352">
        <v>5.9509999999999996</v>
      </c>
      <c r="O352" t="s">
        <v>33</v>
      </c>
      <c r="P352" t="s">
        <v>6168</v>
      </c>
    </row>
    <row r="353" spans="1:16" x14ac:dyDescent="0.25">
      <c r="A353">
        <v>46191</v>
      </c>
      <c r="B353" t="s">
        <v>5966</v>
      </c>
      <c r="C353" t="s">
        <v>37</v>
      </c>
      <c r="D353" t="s">
        <v>392</v>
      </c>
      <c r="E353">
        <v>419</v>
      </c>
      <c r="F353">
        <v>2493.462</v>
      </c>
      <c r="G353">
        <v>2428.1889999999999</v>
      </c>
      <c r="H353" t="s">
        <v>367</v>
      </c>
      <c r="I353">
        <v>3905466</v>
      </c>
      <c r="J353" t="s">
        <v>1487</v>
      </c>
      <c r="K353">
        <v>22.2</v>
      </c>
      <c r="L353">
        <v>0</v>
      </c>
      <c r="M353">
        <v>2</v>
      </c>
      <c r="N353">
        <v>5.9509999999999996</v>
      </c>
      <c r="O353" t="s">
        <v>33</v>
      </c>
      <c r="P353" t="s">
        <v>6168</v>
      </c>
    </row>
    <row r="354" spans="1:16" x14ac:dyDescent="0.25">
      <c r="A354">
        <v>46203</v>
      </c>
      <c r="B354" t="s">
        <v>5966</v>
      </c>
      <c r="C354" t="s">
        <v>37</v>
      </c>
      <c r="D354" t="s">
        <v>392</v>
      </c>
      <c r="E354">
        <v>418</v>
      </c>
      <c r="F354">
        <v>2487.5100000000002</v>
      </c>
      <c r="G354">
        <v>2422.393</v>
      </c>
      <c r="H354" t="s">
        <v>367</v>
      </c>
      <c r="I354">
        <v>3905466</v>
      </c>
      <c r="J354" t="s">
        <v>1487</v>
      </c>
      <c r="K354">
        <v>22.2</v>
      </c>
      <c r="L354">
        <v>0</v>
      </c>
      <c r="M354">
        <v>2</v>
      </c>
      <c r="N354">
        <v>5.9509999999999996</v>
      </c>
      <c r="O354" t="s">
        <v>33</v>
      </c>
      <c r="P354" t="s">
        <v>6168</v>
      </c>
    </row>
    <row r="355" spans="1:16" x14ac:dyDescent="0.25">
      <c r="A355">
        <v>46196</v>
      </c>
      <c r="B355" t="s">
        <v>5966</v>
      </c>
      <c r="C355" t="s">
        <v>37</v>
      </c>
      <c r="D355" t="s">
        <v>392</v>
      </c>
      <c r="E355">
        <v>420</v>
      </c>
      <c r="F355">
        <v>2499.413</v>
      </c>
      <c r="G355">
        <v>2433.9839999999999</v>
      </c>
      <c r="H355" t="s">
        <v>367</v>
      </c>
      <c r="I355">
        <v>3905466</v>
      </c>
      <c r="J355" t="s">
        <v>1487</v>
      </c>
      <c r="K355">
        <v>22.2</v>
      </c>
      <c r="L355">
        <v>0</v>
      </c>
      <c r="M355">
        <v>2</v>
      </c>
      <c r="N355">
        <v>5.9509999999999996</v>
      </c>
      <c r="O355" t="s">
        <v>33</v>
      </c>
      <c r="P355" t="s">
        <v>6168</v>
      </c>
    </row>
    <row r="356" spans="1:16" x14ac:dyDescent="0.25">
      <c r="A356">
        <v>46196</v>
      </c>
      <c r="B356" t="s">
        <v>5966</v>
      </c>
      <c r="C356" t="s">
        <v>37</v>
      </c>
      <c r="D356" t="s">
        <v>392</v>
      </c>
      <c r="E356">
        <v>419</v>
      </c>
      <c r="F356">
        <v>2493.462</v>
      </c>
      <c r="G356">
        <v>2428.1889999999999</v>
      </c>
      <c r="H356" t="s">
        <v>367</v>
      </c>
      <c r="I356">
        <v>3905466</v>
      </c>
      <c r="J356" t="s">
        <v>1487</v>
      </c>
      <c r="K356">
        <v>22.2</v>
      </c>
      <c r="L356">
        <v>0</v>
      </c>
      <c r="M356">
        <v>2</v>
      </c>
      <c r="N356">
        <v>5.9509999999999996</v>
      </c>
      <c r="O356" t="s">
        <v>33</v>
      </c>
      <c r="P356" t="s">
        <v>6168</v>
      </c>
    </row>
    <row r="357" spans="1:16" x14ac:dyDescent="0.25">
      <c r="A357">
        <v>46200</v>
      </c>
      <c r="B357" t="s">
        <v>5966</v>
      </c>
      <c r="C357" t="s">
        <v>37</v>
      </c>
      <c r="D357" t="s">
        <v>392</v>
      </c>
      <c r="E357">
        <v>277</v>
      </c>
      <c r="F357">
        <v>1659.325</v>
      </c>
      <c r="G357">
        <v>2599</v>
      </c>
      <c r="H357" t="s">
        <v>345</v>
      </c>
      <c r="I357">
        <v>3597718</v>
      </c>
      <c r="J357" t="s">
        <v>2383</v>
      </c>
      <c r="K357">
        <v>40</v>
      </c>
      <c r="L357">
        <v>25</v>
      </c>
      <c r="M357">
        <v>1.6</v>
      </c>
      <c r="N357">
        <v>5.99</v>
      </c>
      <c r="O357" t="s">
        <v>33</v>
      </c>
    </row>
    <row r="358" spans="1:16" x14ac:dyDescent="0.25">
      <c r="A358">
        <v>46200</v>
      </c>
      <c r="B358" t="s">
        <v>5966</v>
      </c>
      <c r="C358" t="s">
        <v>37</v>
      </c>
      <c r="D358" t="s">
        <v>392</v>
      </c>
      <c r="E358">
        <v>272</v>
      </c>
      <c r="F358">
        <v>1631.8710000000001</v>
      </c>
      <c r="G358">
        <v>2556</v>
      </c>
      <c r="H358" t="s">
        <v>345</v>
      </c>
      <c r="I358">
        <v>3597718</v>
      </c>
      <c r="J358" t="s">
        <v>2383</v>
      </c>
      <c r="K358">
        <v>40</v>
      </c>
      <c r="L358">
        <v>25</v>
      </c>
      <c r="M358">
        <v>1.6</v>
      </c>
      <c r="N358">
        <v>5.99</v>
      </c>
      <c r="O358" t="s">
        <v>33</v>
      </c>
    </row>
    <row r="359" spans="1:16" x14ac:dyDescent="0.25">
      <c r="A359">
        <v>46200</v>
      </c>
      <c r="B359" t="s">
        <v>5966</v>
      </c>
      <c r="C359" t="s">
        <v>37</v>
      </c>
      <c r="D359" t="s">
        <v>392</v>
      </c>
      <c r="E359">
        <v>276</v>
      </c>
      <c r="F359">
        <v>1652.94</v>
      </c>
      <c r="G359">
        <v>2589</v>
      </c>
      <c r="H359" t="s">
        <v>345</v>
      </c>
      <c r="I359">
        <v>3597718</v>
      </c>
      <c r="J359" t="s">
        <v>2383</v>
      </c>
      <c r="K359">
        <v>40</v>
      </c>
      <c r="L359">
        <v>25</v>
      </c>
      <c r="M359">
        <v>1.6</v>
      </c>
      <c r="N359">
        <v>5.99</v>
      </c>
      <c r="O359" t="s">
        <v>33</v>
      </c>
    </row>
    <row r="360" spans="1:16" x14ac:dyDescent="0.25">
      <c r="A360">
        <v>46200</v>
      </c>
      <c r="B360" t="s">
        <v>5966</v>
      </c>
      <c r="C360" t="s">
        <v>37</v>
      </c>
      <c r="D360" t="s">
        <v>392</v>
      </c>
      <c r="E360">
        <v>276</v>
      </c>
      <c r="F360">
        <v>1652.94</v>
      </c>
      <c r="G360">
        <v>2589</v>
      </c>
      <c r="H360" t="s">
        <v>345</v>
      </c>
      <c r="I360">
        <v>3597718</v>
      </c>
      <c r="J360" t="s">
        <v>2383</v>
      </c>
      <c r="K360">
        <v>40</v>
      </c>
      <c r="L360">
        <v>25</v>
      </c>
      <c r="M360">
        <v>1.6</v>
      </c>
      <c r="N360">
        <v>5.99</v>
      </c>
      <c r="O360" t="s">
        <v>33</v>
      </c>
    </row>
    <row r="361" spans="1:16" x14ac:dyDescent="0.25">
      <c r="A361">
        <v>46200</v>
      </c>
      <c r="B361" t="s">
        <v>5966</v>
      </c>
      <c r="C361" t="s">
        <v>37</v>
      </c>
      <c r="D361" t="s">
        <v>392</v>
      </c>
      <c r="E361">
        <v>286</v>
      </c>
      <c r="F361">
        <v>1712.954</v>
      </c>
      <c r="G361">
        <v>2683</v>
      </c>
      <c r="H361" t="s">
        <v>345</v>
      </c>
      <c r="I361">
        <v>3597718</v>
      </c>
      <c r="J361" t="s">
        <v>2383</v>
      </c>
      <c r="K361">
        <v>40</v>
      </c>
      <c r="L361">
        <v>25</v>
      </c>
      <c r="M361">
        <v>1.6</v>
      </c>
      <c r="N361">
        <v>5.99</v>
      </c>
      <c r="O361" t="s">
        <v>33</v>
      </c>
    </row>
    <row r="362" spans="1:16" x14ac:dyDescent="0.25">
      <c r="A362">
        <v>46200</v>
      </c>
      <c r="B362" t="s">
        <v>5966</v>
      </c>
      <c r="C362" t="s">
        <v>37</v>
      </c>
      <c r="D362" t="s">
        <v>392</v>
      </c>
      <c r="E362">
        <v>109</v>
      </c>
      <c r="F362">
        <v>649.93899999999996</v>
      </c>
      <c r="G362">
        <v>1018</v>
      </c>
      <c r="H362" t="s">
        <v>345</v>
      </c>
      <c r="I362">
        <v>3597718</v>
      </c>
      <c r="J362" t="s">
        <v>2383</v>
      </c>
      <c r="K362">
        <v>40</v>
      </c>
      <c r="L362">
        <v>25</v>
      </c>
      <c r="M362">
        <v>1.6</v>
      </c>
      <c r="N362">
        <v>5.99</v>
      </c>
      <c r="O362" t="s">
        <v>33</v>
      </c>
    </row>
    <row r="363" spans="1:16" x14ac:dyDescent="0.25">
      <c r="A363">
        <v>46200</v>
      </c>
      <c r="B363" t="s">
        <v>5966</v>
      </c>
      <c r="C363" t="s">
        <v>37</v>
      </c>
      <c r="D363" t="s">
        <v>392</v>
      </c>
      <c r="E363">
        <v>273</v>
      </c>
      <c r="F363">
        <v>1635.0640000000001</v>
      </c>
      <c r="G363">
        <v>2561</v>
      </c>
      <c r="H363" t="s">
        <v>345</v>
      </c>
      <c r="I363">
        <v>3597718</v>
      </c>
      <c r="J363" t="s">
        <v>2383</v>
      </c>
      <c r="K363">
        <v>40</v>
      </c>
      <c r="L363">
        <v>25</v>
      </c>
      <c r="M363">
        <v>1.6</v>
      </c>
      <c r="N363">
        <v>5.99</v>
      </c>
      <c r="O363" t="s">
        <v>33</v>
      </c>
    </row>
    <row r="364" spans="1:16" x14ac:dyDescent="0.25">
      <c r="A364">
        <v>46200</v>
      </c>
      <c r="B364" t="s">
        <v>5966</v>
      </c>
      <c r="C364" t="s">
        <v>37</v>
      </c>
      <c r="D364" t="s">
        <v>392</v>
      </c>
      <c r="E364">
        <v>269</v>
      </c>
      <c r="F364">
        <v>1611.441</v>
      </c>
      <c r="G364">
        <v>2524</v>
      </c>
      <c r="H364" t="s">
        <v>345</v>
      </c>
      <c r="I364">
        <v>3597718</v>
      </c>
      <c r="J364" t="s">
        <v>2383</v>
      </c>
      <c r="K364">
        <v>40</v>
      </c>
      <c r="L364">
        <v>25</v>
      </c>
      <c r="M364">
        <v>1.6</v>
      </c>
      <c r="N364">
        <v>5.99</v>
      </c>
      <c r="O364" t="s">
        <v>33</v>
      </c>
    </row>
    <row r="365" spans="1:16" x14ac:dyDescent="0.25">
      <c r="A365">
        <v>46200</v>
      </c>
      <c r="B365" t="s">
        <v>5966</v>
      </c>
      <c r="C365" t="s">
        <v>37</v>
      </c>
      <c r="D365" t="s">
        <v>392</v>
      </c>
      <c r="E365">
        <v>273</v>
      </c>
      <c r="F365">
        <v>1634.425</v>
      </c>
      <c r="G365">
        <v>2560</v>
      </c>
      <c r="H365" t="s">
        <v>345</v>
      </c>
      <c r="I365">
        <v>3597718</v>
      </c>
      <c r="J365" t="s">
        <v>2383</v>
      </c>
      <c r="K365">
        <v>40</v>
      </c>
      <c r="L365">
        <v>25</v>
      </c>
      <c r="M365">
        <v>1.6</v>
      </c>
      <c r="N365">
        <v>5.99</v>
      </c>
      <c r="O365" t="s">
        <v>33</v>
      </c>
    </row>
    <row r="366" spans="1:16" x14ac:dyDescent="0.25">
      <c r="A366">
        <v>46200</v>
      </c>
      <c r="B366" t="s">
        <v>5966</v>
      </c>
      <c r="C366" t="s">
        <v>37</v>
      </c>
      <c r="D366" t="s">
        <v>392</v>
      </c>
      <c r="E366">
        <v>130</v>
      </c>
      <c r="F366">
        <v>780.82100000000003</v>
      </c>
      <c r="G366">
        <v>1223</v>
      </c>
      <c r="H366" t="s">
        <v>345</v>
      </c>
      <c r="I366">
        <v>3597718</v>
      </c>
      <c r="J366" t="s">
        <v>2383</v>
      </c>
      <c r="K366">
        <v>40</v>
      </c>
      <c r="L366">
        <v>25</v>
      </c>
      <c r="M366">
        <v>1.6</v>
      </c>
      <c r="N366">
        <v>5.99</v>
      </c>
      <c r="O366" t="s">
        <v>33</v>
      </c>
    </row>
    <row r="367" spans="1:16" x14ac:dyDescent="0.25">
      <c r="A367">
        <v>46200</v>
      </c>
      <c r="B367" t="s">
        <v>5966</v>
      </c>
      <c r="C367" t="s">
        <v>37</v>
      </c>
      <c r="D367" t="s">
        <v>392</v>
      </c>
      <c r="E367">
        <v>278</v>
      </c>
      <c r="F367">
        <v>1665.0709999999999</v>
      </c>
      <c r="G367">
        <v>2608</v>
      </c>
      <c r="H367" t="s">
        <v>345</v>
      </c>
      <c r="I367">
        <v>3597718</v>
      </c>
      <c r="J367" t="s">
        <v>2383</v>
      </c>
      <c r="K367">
        <v>40</v>
      </c>
      <c r="L367">
        <v>25</v>
      </c>
      <c r="M367">
        <v>1.6</v>
      </c>
      <c r="N367">
        <v>5.99</v>
      </c>
      <c r="O367" t="s">
        <v>33</v>
      </c>
    </row>
    <row r="368" spans="1:16" x14ac:dyDescent="0.25">
      <c r="A368">
        <v>46194</v>
      </c>
      <c r="B368" t="s">
        <v>5966</v>
      </c>
      <c r="C368" t="s">
        <v>37</v>
      </c>
      <c r="D368" t="s">
        <v>392</v>
      </c>
      <c r="E368">
        <v>415</v>
      </c>
      <c r="F368">
        <v>2491.1869999999999</v>
      </c>
      <c r="G368">
        <v>848</v>
      </c>
      <c r="H368" t="s">
        <v>345</v>
      </c>
      <c r="I368">
        <v>1939985</v>
      </c>
      <c r="J368" t="s">
        <v>1137</v>
      </c>
      <c r="K368">
        <v>12.7</v>
      </c>
      <c r="L368">
        <v>0</v>
      </c>
      <c r="M368">
        <v>1.2</v>
      </c>
      <c r="N368">
        <v>6</v>
      </c>
      <c r="O368" t="s">
        <v>33</v>
      </c>
      <c r="P368" t="s">
        <v>6155</v>
      </c>
    </row>
    <row r="369" spans="1:16" x14ac:dyDescent="0.25">
      <c r="A369">
        <v>46194</v>
      </c>
      <c r="B369" t="s">
        <v>5966</v>
      </c>
      <c r="C369" t="s">
        <v>37</v>
      </c>
      <c r="D369" t="s">
        <v>392</v>
      </c>
      <c r="E369">
        <v>603</v>
      </c>
      <c r="F369">
        <v>3619.2710000000002</v>
      </c>
      <c r="G369">
        <v>1232</v>
      </c>
      <c r="H369" t="s">
        <v>345</v>
      </c>
      <c r="I369">
        <v>1939985</v>
      </c>
      <c r="J369" t="s">
        <v>1137</v>
      </c>
      <c r="K369">
        <v>12.7</v>
      </c>
      <c r="L369">
        <v>0</v>
      </c>
      <c r="M369">
        <v>1.2</v>
      </c>
      <c r="N369">
        <v>6</v>
      </c>
      <c r="O369" t="s">
        <v>33</v>
      </c>
      <c r="P369" t="s">
        <v>6155</v>
      </c>
    </row>
    <row r="370" spans="1:16" x14ac:dyDescent="0.25">
      <c r="A370">
        <v>46175</v>
      </c>
      <c r="B370" t="s">
        <v>5966</v>
      </c>
      <c r="C370" t="s">
        <v>37</v>
      </c>
      <c r="D370" t="s">
        <v>392</v>
      </c>
      <c r="E370">
        <v>975</v>
      </c>
      <c r="F370">
        <v>5849.0010000000002</v>
      </c>
      <c r="G370">
        <v>1991</v>
      </c>
      <c r="H370" t="s">
        <v>345</v>
      </c>
      <c r="I370">
        <v>1939985</v>
      </c>
      <c r="J370" t="s">
        <v>1137</v>
      </c>
      <c r="K370">
        <v>12.7</v>
      </c>
      <c r="L370">
        <v>0</v>
      </c>
      <c r="M370">
        <v>1.2</v>
      </c>
      <c r="N370">
        <v>6</v>
      </c>
      <c r="O370" t="s">
        <v>33</v>
      </c>
      <c r="P370" t="s">
        <v>6155</v>
      </c>
    </row>
    <row r="371" spans="1:16" x14ac:dyDescent="0.25">
      <c r="A371">
        <v>46175</v>
      </c>
      <c r="B371" t="s">
        <v>5966</v>
      </c>
      <c r="C371" t="s">
        <v>37</v>
      </c>
      <c r="D371" t="s">
        <v>392</v>
      </c>
      <c r="E371">
        <v>662</v>
      </c>
      <c r="F371">
        <v>3971.7979999999998</v>
      </c>
      <c r="G371">
        <v>1352</v>
      </c>
      <c r="H371" t="s">
        <v>345</v>
      </c>
      <c r="I371">
        <v>1939985</v>
      </c>
      <c r="J371" t="s">
        <v>1137</v>
      </c>
      <c r="K371">
        <v>12.7</v>
      </c>
      <c r="L371">
        <v>0</v>
      </c>
      <c r="M371">
        <v>1.2</v>
      </c>
      <c r="N371">
        <v>6</v>
      </c>
      <c r="O371" t="s">
        <v>33</v>
      </c>
      <c r="P371" t="s">
        <v>6155</v>
      </c>
    </row>
    <row r="372" spans="1:16" x14ac:dyDescent="0.25">
      <c r="A372">
        <v>46175</v>
      </c>
      <c r="B372" t="s">
        <v>5966</v>
      </c>
      <c r="C372" t="s">
        <v>37</v>
      </c>
      <c r="D372" t="s">
        <v>392</v>
      </c>
      <c r="E372">
        <v>750</v>
      </c>
      <c r="F372">
        <v>4503.5249999999996</v>
      </c>
      <c r="G372">
        <v>1533</v>
      </c>
      <c r="H372" t="s">
        <v>345</v>
      </c>
      <c r="I372">
        <v>1939985</v>
      </c>
      <c r="J372" t="s">
        <v>1137</v>
      </c>
      <c r="K372">
        <v>12.7</v>
      </c>
      <c r="L372">
        <v>0</v>
      </c>
      <c r="M372">
        <v>1.2</v>
      </c>
      <c r="N372">
        <v>6</v>
      </c>
      <c r="O372" t="s">
        <v>33</v>
      </c>
      <c r="P372" t="s">
        <v>6155</v>
      </c>
    </row>
    <row r="373" spans="1:16" x14ac:dyDescent="0.25">
      <c r="A373">
        <v>46175</v>
      </c>
      <c r="B373" t="s">
        <v>5966</v>
      </c>
      <c r="C373" t="s">
        <v>37</v>
      </c>
      <c r="D373" t="s">
        <v>392</v>
      </c>
      <c r="E373">
        <v>119</v>
      </c>
      <c r="F373">
        <v>713.86599999999999</v>
      </c>
      <c r="G373">
        <v>243</v>
      </c>
      <c r="H373" t="s">
        <v>345</v>
      </c>
      <c r="I373">
        <v>1939985</v>
      </c>
      <c r="J373" t="s">
        <v>1137</v>
      </c>
      <c r="K373">
        <v>12.7</v>
      </c>
      <c r="L373">
        <v>0</v>
      </c>
      <c r="M373">
        <v>1.2</v>
      </c>
      <c r="N373">
        <v>6</v>
      </c>
      <c r="O373" t="s">
        <v>33</v>
      </c>
      <c r="P373" t="s">
        <v>6155</v>
      </c>
    </row>
    <row r="374" spans="1:16" x14ac:dyDescent="0.25">
      <c r="A374">
        <v>46203</v>
      </c>
      <c r="B374" t="s">
        <v>5968</v>
      </c>
      <c r="C374" t="s">
        <v>32</v>
      </c>
      <c r="D374" t="s">
        <v>392</v>
      </c>
      <c r="E374">
        <v>76</v>
      </c>
      <c r="F374">
        <v>457.892</v>
      </c>
      <c r="G374">
        <v>199</v>
      </c>
      <c r="H374" t="s">
        <v>345</v>
      </c>
      <c r="I374">
        <v>1940054</v>
      </c>
      <c r="J374" t="s">
        <v>2206</v>
      </c>
      <c r="K374">
        <v>15.88</v>
      </c>
      <c r="L374">
        <v>0</v>
      </c>
      <c r="M374">
        <v>1.2</v>
      </c>
      <c r="N374">
        <v>6</v>
      </c>
      <c r="O374" t="s">
        <v>33</v>
      </c>
      <c r="P374" t="s">
        <v>6157</v>
      </c>
    </row>
    <row r="375" spans="1:16" x14ac:dyDescent="0.25">
      <c r="A375">
        <v>46203</v>
      </c>
      <c r="B375" t="s">
        <v>5968</v>
      </c>
      <c r="C375" t="s">
        <v>32</v>
      </c>
      <c r="D375" t="s">
        <v>392</v>
      </c>
      <c r="E375">
        <v>733</v>
      </c>
      <c r="F375">
        <v>4397.1469999999999</v>
      </c>
      <c r="G375">
        <v>1911</v>
      </c>
      <c r="H375" t="s">
        <v>345</v>
      </c>
      <c r="I375">
        <v>1940054</v>
      </c>
      <c r="J375" t="s">
        <v>2206</v>
      </c>
      <c r="K375">
        <v>15.88</v>
      </c>
      <c r="L375">
        <v>0</v>
      </c>
      <c r="M375">
        <v>1.2</v>
      </c>
      <c r="N375">
        <v>6</v>
      </c>
      <c r="O375" t="s">
        <v>33</v>
      </c>
      <c r="P375" t="s">
        <v>6157</v>
      </c>
    </row>
    <row r="376" spans="1:16" x14ac:dyDescent="0.25">
      <c r="A376">
        <v>46203</v>
      </c>
      <c r="B376" t="s">
        <v>5968</v>
      </c>
      <c r="C376" t="s">
        <v>32</v>
      </c>
      <c r="D376" t="s">
        <v>392</v>
      </c>
      <c r="E376">
        <v>740</v>
      </c>
      <c r="F376">
        <v>4440.8649999999998</v>
      </c>
      <c r="G376">
        <v>1930</v>
      </c>
      <c r="H376" t="s">
        <v>345</v>
      </c>
      <c r="I376">
        <v>1940054</v>
      </c>
      <c r="J376" t="s">
        <v>2206</v>
      </c>
      <c r="K376">
        <v>15.88</v>
      </c>
      <c r="L376">
        <v>0</v>
      </c>
      <c r="M376">
        <v>1.2</v>
      </c>
      <c r="N376">
        <v>6</v>
      </c>
      <c r="O376" t="s">
        <v>33</v>
      </c>
      <c r="P376" t="s">
        <v>6157</v>
      </c>
    </row>
    <row r="377" spans="1:16" x14ac:dyDescent="0.25">
      <c r="A377">
        <v>46203</v>
      </c>
      <c r="B377" t="s">
        <v>5968</v>
      </c>
      <c r="C377" t="s">
        <v>32</v>
      </c>
      <c r="D377" t="s">
        <v>392</v>
      </c>
      <c r="E377">
        <v>748</v>
      </c>
      <c r="F377">
        <v>4486.884</v>
      </c>
      <c r="G377">
        <v>1950</v>
      </c>
      <c r="H377" t="s">
        <v>345</v>
      </c>
      <c r="I377">
        <v>1940054</v>
      </c>
      <c r="J377" t="s">
        <v>2206</v>
      </c>
      <c r="K377">
        <v>15.88</v>
      </c>
      <c r="L377">
        <v>0</v>
      </c>
      <c r="M377">
        <v>1.2</v>
      </c>
      <c r="N377">
        <v>6</v>
      </c>
      <c r="O377" t="s">
        <v>33</v>
      </c>
      <c r="P377" t="s">
        <v>6157</v>
      </c>
    </row>
    <row r="378" spans="1:16" x14ac:dyDescent="0.25">
      <c r="A378">
        <v>46189</v>
      </c>
      <c r="B378" t="s">
        <v>5968</v>
      </c>
      <c r="C378" t="s">
        <v>32</v>
      </c>
      <c r="D378" t="s">
        <v>392</v>
      </c>
      <c r="E378">
        <v>317</v>
      </c>
      <c r="F378">
        <v>1901.6389999999999</v>
      </c>
      <c r="G378">
        <v>1160</v>
      </c>
      <c r="H378" t="s">
        <v>345</v>
      </c>
      <c r="I378">
        <v>1931848</v>
      </c>
      <c r="J378" t="s">
        <v>2533</v>
      </c>
      <c r="K378">
        <v>19.05</v>
      </c>
      <c r="L378">
        <v>0</v>
      </c>
      <c r="M378">
        <v>1.4</v>
      </c>
      <c r="N378">
        <v>6</v>
      </c>
      <c r="O378" t="s">
        <v>33</v>
      </c>
    </row>
    <row r="379" spans="1:16" x14ac:dyDescent="0.25">
      <c r="A379">
        <v>46189</v>
      </c>
      <c r="B379" t="s">
        <v>5968</v>
      </c>
      <c r="C379" t="s">
        <v>32</v>
      </c>
      <c r="D379" t="s">
        <v>392</v>
      </c>
      <c r="E379">
        <v>608</v>
      </c>
      <c r="F379">
        <v>3645.902</v>
      </c>
      <c r="G379">
        <v>2224</v>
      </c>
      <c r="H379" t="s">
        <v>345</v>
      </c>
      <c r="I379">
        <v>1931848</v>
      </c>
      <c r="J379" t="s">
        <v>2533</v>
      </c>
      <c r="K379">
        <v>19.05</v>
      </c>
      <c r="L379">
        <v>0</v>
      </c>
      <c r="M379">
        <v>1.4</v>
      </c>
      <c r="N379">
        <v>6</v>
      </c>
      <c r="O379" t="s">
        <v>33</v>
      </c>
    </row>
    <row r="380" spans="1:16" x14ac:dyDescent="0.25">
      <c r="A380">
        <v>46189</v>
      </c>
      <c r="B380" t="s">
        <v>5968</v>
      </c>
      <c r="C380" t="s">
        <v>32</v>
      </c>
      <c r="D380" t="s">
        <v>392</v>
      </c>
      <c r="E380">
        <v>383</v>
      </c>
      <c r="F380">
        <v>2295.0819999999999</v>
      </c>
      <c r="G380">
        <v>1400</v>
      </c>
      <c r="H380" t="s">
        <v>345</v>
      </c>
      <c r="I380">
        <v>1931848</v>
      </c>
      <c r="J380" t="s">
        <v>2533</v>
      </c>
      <c r="K380">
        <v>19.05</v>
      </c>
      <c r="L380">
        <v>0</v>
      </c>
      <c r="M380">
        <v>1.4</v>
      </c>
      <c r="N380">
        <v>6</v>
      </c>
      <c r="O380" t="s">
        <v>33</v>
      </c>
    </row>
    <row r="381" spans="1:16" x14ac:dyDescent="0.25">
      <c r="A381">
        <v>46189</v>
      </c>
      <c r="B381" t="s">
        <v>5968</v>
      </c>
      <c r="C381" t="s">
        <v>32</v>
      </c>
      <c r="D381" t="s">
        <v>392</v>
      </c>
      <c r="E381">
        <v>627</v>
      </c>
      <c r="F381">
        <v>3763.9340000000002</v>
      </c>
      <c r="G381">
        <v>2296</v>
      </c>
      <c r="H381" t="s">
        <v>345</v>
      </c>
      <c r="I381">
        <v>1931848</v>
      </c>
      <c r="J381" t="s">
        <v>2533</v>
      </c>
      <c r="K381">
        <v>19.05</v>
      </c>
      <c r="L381">
        <v>0</v>
      </c>
      <c r="M381">
        <v>1.4</v>
      </c>
      <c r="N381">
        <v>6</v>
      </c>
      <c r="O381" t="s">
        <v>33</v>
      </c>
    </row>
    <row r="382" spans="1:16" x14ac:dyDescent="0.25">
      <c r="A382">
        <v>46189</v>
      </c>
      <c r="B382" t="s">
        <v>5968</v>
      </c>
      <c r="C382" t="s">
        <v>32</v>
      </c>
      <c r="D382" t="s">
        <v>392</v>
      </c>
      <c r="E382">
        <v>620</v>
      </c>
      <c r="F382">
        <v>3722.951</v>
      </c>
      <c r="G382">
        <v>2271</v>
      </c>
      <c r="H382" t="s">
        <v>345</v>
      </c>
      <c r="I382">
        <v>1931848</v>
      </c>
      <c r="J382" t="s">
        <v>2533</v>
      </c>
      <c r="K382">
        <v>19.05</v>
      </c>
      <c r="L382">
        <v>0</v>
      </c>
      <c r="M382">
        <v>1.4</v>
      </c>
      <c r="N382">
        <v>6</v>
      </c>
      <c r="O382" t="s">
        <v>33</v>
      </c>
    </row>
    <row r="383" spans="1:16" x14ac:dyDescent="0.25">
      <c r="A383">
        <v>46189</v>
      </c>
      <c r="B383" t="s">
        <v>5968</v>
      </c>
      <c r="C383" t="s">
        <v>32</v>
      </c>
      <c r="D383" t="s">
        <v>392</v>
      </c>
      <c r="E383">
        <v>778</v>
      </c>
      <c r="F383">
        <v>4670.4920000000002</v>
      </c>
      <c r="G383">
        <v>2849</v>
      </c>
      <c r="H383" t="s">
        <v>345</v>
      </c>
      <c r="I383">
        <v>1931848</v>
      </c>
      <c r="J383" t="s">
        <v>2533</v>
      </c>
      <c r="K383">
        <v>19.05</v>
      </c>
      <c r="L383">
        <v>0</v>
      </c>
      <c r="M383">
        <v>1.4</v>
      </c>
      <c r="N383">
        <v>6</v>
      </c>
      <c r="O383" t="s">
        <v>33</v>
      </c>
    </row>
    <row r="384" spans="1:16" x14ac:dyDescent="0.25">
      <c r="A384">
        <v>46192</v>
      </c>
      <c r="B384" t="s">
        <v>5966</v>
      </c>
      <c r="C384" t="s">
        <v>37</v>
      </c>
      <c r="D384" t="s">
        <v>392</v>
      </c>
      <c r="E384">
        <v>558</v>
      </c>
      <c r="F384">
        <v>3347.944</v>
      </c>
      <c r="G384">
        <v>2226.42</v>
      </c>
      <c r="H384" t="s">
        <v>1834</v>
      </c>
      <c r="I384">
        <v>3498997</v>
      </c>
      <c r="J384" t="s">
        <v>1355</v>
      </c>
      <c r="K384">
        <v>19.05</v>
      </c>
      <c r="L384">
        <v>0</v>
      </c>
      <c r="M384">
        <v>1.6</v>
      </c>
      <c r="N384">
        <v>6</v>
      </c>
      <c r="O384" t="s">
        <v>33</v>
      </c>
      <c r="P384" t="s">
        <v>6161</v>
      </c>
    </row>
    <row r="385" spans="1:16" x14ac:dyDescent="0.25">
      <c r="A385">
        <v>46192</v>
      </c>
      <c r="B385" t="s">
        <v>5966</v>
      </c>
      <c r="C385" t="s">
        <v>37</v>
      </c>
      <c r="D385" t="s">
        <v>392</v>
      </c>
      <c r="E385">
        <v>555</v>
      </c>
      <c r="F385">
        <v>3329.944</v>
      </c>
      <c r="G385">
        <v>2214.4499999999998</v>
      </c>
      <c r="H385" t="s">
        <v>1834</v>
      </c>
      <c r="I385">
        <v>3498997</v>
      </c>
      <c r="J385" t="s">
        <v>1355</v>
      </c>
      <c r="K385">
        <v>19.05</v>
      </c>
      <c r="L385">
        <v>0</v>
      </c>
      <c r="M385">
        <v>1.6</v>
      </c>
      <c r="N385">
        <v>6</v>
      </c>
      <c r="O385" t="s">
        <v>33</v>
      </c>
      <c r="P385" t="s">
        <v>6161</v>
      </c>
    </row>
    <row r="386" spans="1:16" x14ac:dyDescent="0.25">
      <c r="A386">
        <v>46192</v>
      </c>
      <c r="B386" t="s">
        <v>5966</v>
      </c>
      <c r="C386" t="s">
        <v>37</v>
      </c>
      <c r="D386" t="s">
        <v>392</v>
      </c>
      <c r="E386">
        <v>558</v>
      </c>
      <c r="F386">
        <v>3347.944</v>
      </c>
      <c r="G386">
        <v>2226.42</v>
      </c>
      <c r="H386" t="s">
        <v>1834</v>
      </c>
      <c r="I386">
        <v>3498997</v>
      </c>
      <c r="J386" t="s">
        <v>1355</v>
      </c>
      <c r="K386">
        <v>19.05</v>
      </c>
      <c r="L386">
        <v>0</v>
      </c>
      <c r="M386">
        <v>1.6</v>
      </c>
      <c r="N386">
        <v>6</v>
      </c>
      <c r="O386" t="s">
        <v>33</v>
      </c>
      <c r="P386" t="s">
        <v>6161</v>
      </c>
    </row>
    <row r="387" spans="1:16" x14ac:dyDescent="0.25">
      <c r="A387">
        <v>46192</v>
      </c>
      <c r="B387" t="s">
        <v>5966</v>
      </c>
      <c r="C387" t="s">
        <v>37</v>
      </c>
      <c r="D387" t="s">
        <v>392</v>
      </c>
      <c r="E387">
        <v>458</v>
      </c>
      <c r="F387">
        <v>2747.9540000000002</v>
      </c>
      <c r="G387">
        <v>1827.42</v>
      </c>
      <c r="H387" t="s">
        <v>1834</v>
      </c>
      <c r="I387">
        <v>3498997</v>
      </c>
      <c r="J387" t="s">
        <v>1355</v>
      </c>
      <c r="K387">
        <v>19.05</v>
      </c>
      <c r="L387">
        <v>0</v>
      </c>
      <c r="M387">
        <v>1.6</v>
      </c>
      <c r="N387">
        <v>6</v>
      </c>
      <c r="O387" t="s">
        <v>33</v>
      </c>
      <c r="P387" t="s">
        <v>6161</v>
      </c>
    </row>
    <row r="388" spans="1:16" x14ac:dyDescent="0.25">
      <c r="A388">
        <v>46192</v>
      </c>
      <c r="B388" t="s">
        <v>5966</v>
      </c>
      <c r="C388" t="s">
        <v>37</v>
      </c>
      <c r="D388" t="s">
        <v>392</v>
      </c>
      <c r="E388">
        <v>3</v>
      </c>
      <c r="F388">
        <v>15.473000000000001</v>
      </c>
      <c r="G388">
        <v>10.29</v>
      </c>
      <c r="H388" t="s">
        <v>1834</v>
      </c>
      <c r="I388">
        <v>3498997</v>
      </c>
      <c r="J388" t="s">
        <v>1355</v>
      </c>
      <c r="K388">
        <v>19.05</v>
      </c>
      <c r="L388">
        <v>0</v>
      </c>
      <c r="M388">
        <v>1.6</v>
      </c>
      <c r="N388">
        <v>6</v>
      </c>
      <c r="O388" t="s">
        <v>33</v>
      </c>
      <c r="P388" t="s">
        <v>6161</v>
      </c>
    </row>
    <row r="389" spans="1:16" x14ac:dyDescent="0.25">
      <c r="A389">
        <v>46192</v>
      </c>
      <c r="B389" t="s">
        <v>5966</v>
      </c>
      <c r="C389" t="s">
        <v>37</v>
      </c>
      <c r="D389" t="s">
        <v>392</v>
      </c>
      <c r="E389">
        <v>560</v>
      </c>
      <c r="F389">
        <v>3360.846</v>
      </c>
      <c r="G389">
        <v>2235</v>
      </c>
      <c r="H389" t="s">
        <v>1834</v>
      </c>
      <c r="I389">
        <v>3498997</v>
      </c>
      <c r="J389" t="s">
        <v>1355</v>
      </c>
      <c r="K389">
        <v>19.05</v>
      </c>
      <c r="L389">
        <v>0</v>
      </c>
      <c r="M389">
        <v>1.6</v>
      </c>
      <c r="N389">
        <v>6</v>
      </c>
      <c r="O389" t="s">
        <v>33</v>
      </c>
      <c r="P389" t="s">
        <v>6161</v>
      </c>
    </row>
    <row r="390" spans="1:16" x14ac:dyDescent="0.25">
      <c r="A390">
        <v>46202</v>
      </c>
      <c r="B390" t="s">
        <v>5966</v>
      </c>
      <c r="C390" t="s">
        <v>37</v>
      </c>
      <c r="D390" t="s">
        <v>392</v>
      </c>
      <c r="E390">
        <v>419</v>
      </c>
      <c r="F390">
        <v>2514</v>
      </c>
      <c r="G390">
        <v>2278.1030000000001</v>
      </c>
      <c r="H390" t="s">
        <v>367</v>
      </c>
      <c r="I390">
        <v>3500097</v>
      </c>
      <c r="J390" t="s">
        <v>6290</v>
      </c>
      <c r="K390">
        <v>25.4</v>
      </c>
      <c r="L390">
        <v>0</v>
      </c>
      <c r="M390">
        <v>1.6</v>
      </c>
      <c r="N390">
        <v>6</v>
      </c>
      <c r="O390" t="s">
        <v>33</v>
      </c>
      <c r="P390" t="s">
        <v>6172</v>
      </c>
    </row>
    <row r="391" spans="1:16" x14ac:dyDescent="0.25">
      <c r="A391">
        <v>46202</v>
      </c>
      <c r="B391" t="s">
        <v>5966</v>
      </c>
      <c r="C391" t="s">
        <v>37</v>
      </c>
      <c r="D391" t="s">
        <v>392</v>
      </c>
      <c r="E391">
        <v>418</v>
      </c>
      <c r="F391">
        <v>2508</v>
      </c>
      <c r="G391">
        <v>2272.6660000000002</v>
      </c>
      <c r="H391" t="s">
        <v>367</v>
      </c>
      <c r="I391">
        <v>3500097</v>
      </c>
      <c r="J391" t="s">
        <v>6290</v>
      </c>
      <c r="K391">
        <v>25.4</v>
      </c>
      <c r="L391">
        <v>0</v>
      </c>
      <c r="M391">
        <v>1.6</v>
      </c>
      <c r="N391">
        <v>6</v>
      </c>
      <c r="O391" t="s">
        <v>33</v>
      </c>
      <c r="P391" t="s">
        <v>6172</v>
      </c>
    </row>
    <row r="392" spans="1:16" x14ac:dyDescent="0.25">
      <c r="A392">
        <v>46178</v>
      </c>
      <c r="B392" t="s">
        <v>5966</v>
      </c>
      <c r="C392" t="s">
        <v>37</v>
      </c>
      <c r="D392" t="s">
        <v>392</v>
      </c>
      <c r="E392">
        <v>420</v>
      </c>
      <c r="F392">
        <v>2520</v>
      </c>
      <c r="G392">
        <v>2283.54</v>
      </c>
      <c r="H392" t="s">
        <v>367</v>
      </c>
      <c r="I392">
        <v>3500097</v>
      </c>
      <c r="J392" t="s">
        <v>6290</v>
      </c>
      <c r="K392">
        <v>25.4</v>
      </c>
      <c r="L392">
        <v>0</v>
      </c>
      <c r="M392">
        <v>1.6</v>
      </c>
      <c r="N392">
        <v>6</v>
      </c>
      <c r="O392" t="s">
        <v>33</v>
      </c>
      <c r="P392" t="s">
        <v>6172</v>
      </c>
    </row>
    <row r="393" spans="1:16" x14ac:dyDescent="0.25">
      <c r="A393">
        <v>46178</v>
      </c>
      <c r="B393" t="s">
        <v>5966</v>
      </c>
      <c r="C393" t="s">
        <v>37</v>
      </c>
      <c r="D393" t="s">
        <v>392</v>
      </c>
      <c r="E393">
        <v>418</v>
      </c>
      <c r="F393">
        <v>2508</v>
      </c>
      <c r="G393">
        <v>2272.6660000000002</v>
      </c>
      <c r="H393" t="s">
        <v>367</v>
      </c>
      <c r="I393">
        <v>3500097</v>
      </c>
      <c r="J393" t="s">
        <v>6290</v>
      </c>
      <c r="K393">
        <v>25.4</v>
      </c>
      <c r="L393">
        <v>0</v>
      </c>
      <c r="M393">
        <v>1.6</v>
      </c>
      <c r="N393">
        <v>6</v>
      </c>
      <c r="O393" t="s">
        <v>33</v>
      </c>
      <c r="P393" t="s">
        <v>6172</v>
      </c>
    </row>
    <row r="394" spans="1:16" x14ac:dyDescent="0.25">
      <c r="A394">
        <v>46178</v>
      </c>
      <c r="B394" t="s">
        <v>5966</v>
      </c>
      <c r="C394" t="s">
        <v>37</v>
      </c>
      <c r="D394" t="s">
        <v>392</v>
      </c>
      <c r="E394">
        <v>333</v>
      </c>
      <c r="F394">
        <v>1998</v>
      </c>
      <c r="G394">
        <v>1810.521</v>
      </c>
      <c r="H394" t="s">
        <v>367</v>
      </c>
      <c r="I394">
        <v>3500097</v>
      </c>
      <c r="J394" t="s">
        <v>6290</v>
      </c>
      <c r="K394">
        <v>25.4</v>
      </c>
      <c r="L394">
        <v>0</v>
      </c>
      <c r="M394">
        <v>1.6</v>
      </c>
      <c r="N394">
        <v>6</v>
      </c>
      <c r="O394" t="s">
        <v>33</v>
      </c>
      <c r="P394" t="s">
        <v>6172</v>
      </c>
    </row>
    <row r="395" spans="1:16" x14ac:dyDescent="0.25">
      <c r="A395">
        <v>46178</v>
      </c>
      <c r="B395" t="s">
        <v>5966</v>
      </c>
      <c r="C395" t="s">
        <v>37</v>
      </c>
      <c r="D395" t="s">
        <v>392</v>
      </c>
      <c r="E395">
        <v>419</v>
      </c>
      <c r="F395">
        <v>2514</v>
      </c>
      <c r="G395">
        <v>2278.1030000000001</v>
      </c>
      <c r="H395" t="s">
        <v>367</v>
      </c>
      <c r="I395">
        <v>3500097</v>
      </c>
      <c r="J395" t="s">
        <v>6290</v>
      </c>
      <c r="K395">
        <v>25.4</v>
      </c>
      <c r="L395">
        <v>0</v>
      </c>
      <c r="M395">
        <v>1.6</v>
      </c>
      <c r="N395">
        <v>6</v>
      </c>
      <c r="O395" t="s">
        <v>33</v>
      </c>
      <c r="P395" t="s">
        <v>6172</v>
      </c>
    </row>
    <row r="396" spans="1:16" x14ac:dyDescent="0.25">
      <c r="A396">
        <v>46202</v>
      </c>
      <c r="B396" t="s">
        <v>5966</v>
      </c>
      <c r="C396" t="s">
        <v>37</v>
      </c>
      <c r="D396" t="s">
        <v>392</v>
      </c>
      <c r="E396">
        <v>419</v>
      </c>
      <c r="F396">
        <v>2514</v>
      </c>
      <c r="G396">
        <v>2278.1030000000001</v>
      </c>
      <c r="H396" t="s">
        <v>367</v>
      </c>
      <c r="I396">
        <v>3500097</v>
      </c>
      <c r="J396" t="s">
        <v>6290</v>
      </c>
      <c r="K396">
        <v>25.4</v>
      </c>
      <c r="L396">
        <v>0</v>
      </c>
      <c r="M396">
        <v>1.6</v>
      </c>
      <c r="N396">
        <v>6</v>
      </c>
      <c r="O396" t="s">
        <v>33</v>
      </c>
      <c r="P396" t="s">
        <v>6172</v>
      </c>
    </row>
    <row r="397" spans="1:16" x14ac:dyDescent="0.25">
      <c r="A397">
        <v>46203</v>
      </c>
      <c r="B397" t="s">
        <v>5966</v>
      </c>
      <c r="C397" t="s">
        <v>37</v>
      </c>
      <c r="D397" t="s">
        <v>392</v>
      </c>
      <c r="E397">
        <v>420</v>
      </c>
      <c r="F397">
        <v>2520</v>
      </c>
      <c r="G397">
        <v>2283.54</v>
      </c>
      <c r="H397" t="s">
        <v>367</v>
      </c>
      <c r="I397">
        <v>3500097</v>
      </c>
      <c r="J397" t="s">
        <v>6290</v>
      </c>
      <c r="K397">
        <v>25.4</v>
      </c>
      <c r="L397">
        <v>0</v>
      </c>
      <c r="M397">
        <v>1.6</v>
      </c>
      <c r="N397">
        <v>6</v>
      </c>
      <c r="O397" t="s">
        <v>33</v>
      </c>
      <c r="P397" t="s">
        <v>6172</v>
      </c>
    </row>
    <row r="398" spans="1:16" x14ac:dyDescent="0.25">
      <c r="A398">
        <v>46203</v>
      </c>
      <c r="B398" t="s">
        <v>5966</v>
      </c>
      <c r="C398" t="s">
        <v>37</v>
      </c>
      <c r="D398" t="s">
        <v>392</v>
      </c>
      <c r="E398">
        <v>420</v>
      </c>
      <c r="F398">
        <v>2520</v>
      </c>
      <c r="G398">
        <v>2283.54</v>
      </c>
      <c r="H398" t="s">
        <v>367</v>
      </c>
      <c r="I398">
        <v>3500097</v>
      </c>
      <c r="J398" t="s">
        <v>6290</v>
      </c>
      <c r="K398">
        <v>25.4</v>
      </c>
      <c r="L398">
        <v>0</v>
      </c>
      <c r="M398">
        <v>1.6</v>
      </c>
      <c r="N398">
        <v>6</v>
      </c>
      <c r="O398" t="s">
        <v>33</v>
      </c>
      <c r="P398" t="s">
        <v>6172</v>
      </c>
    </row>
    <row r="399" spans="1:16" x14ac:dyDescent="0.25">
      <c r="A399">
        <v>46203</v>
      </c>
      <c r="B399" t="s">
        <v>5966</v>
      </c>
      <c r="C399" t="s">
        <v>37</v>
      </c>
      <c r="D399" t="s">
        <v>392</v>
      </c>
      <c r="E399">
        <v>420</v>
      </c>
      <c r="F399">
        <v>2520</v>
      </c>
      <c r="G399">
        <v>2283.54</v>
      </c>
      <c r="H399" t="s">
        <v>367</v>
      </c>
      <c r="I399">
        <v>3500097</v>
      </c>
      <c r="J399" t="s">
        <v>6290</v>
      </c>
      <c r="K399">
        <v>25.4</v>
      </c>
      <c r="L399">
        <v>0</v>
      </c>
      <c r="M399">
        <v>1.6</v>
      </c>
      <c r="N399">
        <v>6</v>
      </c>
      <c r="O399" t="s">
        <v>33</v>
      </c>
      <c r="P399" t="s">
        <v>6172</v>
      </c>
    </row>
    <row r="400" spans="1:16" x14ac:dyDescent="0.25">
      <c r="A400">
        <v>46203</v>
      </c>
      <c r="B400" t="s">
        <v>5966</v>
      </c>
      <c r="C400" t="s">
        <v>37</v>
      </c>
      <c r="D400" t="s">
        <v>392</v>
      </c>
      <c r="E400">
        <v>420</v>
      </c>
      <c r="F400">
        <v>2520</v>
      </c>
      <c r="G400">
        <v>2283.54</v>
      </c>
      <c r="H400" t="s">
        <v>367</v>
      </c>
      <c r="I400">
        <v>3500097</v>
      </c>
      <c r="J400" t="s">
        <v>6290</v>
      </c>
      <c r="K400">
        <v>25.4</v>
      </c>
      <c r="L400">
        <v>0</v>
      </c>
      <c r="M400">
        <v>1.6</v>
      </c>
      <c r="N400">
        <v>6</v>
      </c>
      <c r="O400" t="s">
        <v>33</v>
      </c>
      <c r="P400" t="s">
        <v>6172</v>
      </c>
    </row>
    <row r="401" spans="1:16" x14ac:dyDescent="0.25">
      <c r="A401">
        <v>46178</v>
      </c>
      <c r="B401" t="s">
        <v>5966</v>
      </c>
      <c r="C401" t="s">
        <v>37</v>
      </c>
      <c r="D401" t="s">
        <v>392</v>
      </c>
      <c r="E401">
        <v>419</v>
      </c>
      <c r="F401">
        <v>2513.9969999999998</v>
      </c>
      <c r="G401">
        <v>2278.1</v>
      </c>
      <c r="H401" t="s">
        <v>367</v>
      </c>
      <c r="I401">
        <v>3500097</v>
      </c>
      <c r="J401" t="s">
        <v>6290</v>
      </c>
      <c r="K401">
        <v>25.4</v>
      </c>
      <c r="L401">
        <v>0</v>
      </c>
      <c r="M401">
        <v>1.6</v>
      </c>
      <c r="N401">
        <v>6</v>
      </c>
      <c r="O401" t="s">
        <v>33</v>
      </c>
      <c r="P401" t="s">
        <v>6172</v>
      </c>
    </row>
    <row r="402" spans="1:16" x14ac:dyDescent="0.25">
      <c r="A402">
        <v>46203</v>
      </c>
      <c r="B402" t="s">
        <v>5966</v>
      </c>
      <c r="C402" t="s">
        <v>37</v>
      </c>
      <c r="D402" t="s">
        <v>392</v>
      </c>
      <c r="E402">
        <v>417</v>
      </c>
      <c r="F402">
        <v>2502</v>
      </c>
      <c r="G402">
        <v>2267.2289999999998</v>
      </c>
      <c r="H402" t="s">
        <v>367</v>
      </c>
      <c r="I402">
        <v>3500097</v>
      </c>
      <c r="J402" t="s">
        <v>6290</v>
      </c>
      <c r="K402">
        <v>25.4</v>
      </c>
      <c r="L402">
        <v>0</v>
      </c>
      <c r="M402">
        <v>1.6</v>
      </c>
      <c r="N402">
        <v>6</v>
      </c>
      <c r="O402" t="s">
        <v>33</v>
      </c>
      <c r="P402" t="s">
        <v>6172</v>
      </c>
    </row>
    <row r="403" spans="1:16" x14ac:dyDescent="0.25">
      <c r="A403">
        <v>46202</v>
      </c>
      <c r="B403" t="s">
        <v>5966</v>
      </c>
      <c r="C403" t="s">
        <v>37</v>
      </c>
      <c r="D403" t="s">
        <v>392</v>
      </c>
      <c r="E403">
        <v>418</v>
      </c>
      <c r="F403">
        <v>2508</v>
      </c>
      <c r="G403">
        <v>2272.6660000000002</v>
      </c>
      <c r="H403" t="s">
        <v>367</v>
      </c>
      <c r="I403">
        <v>3500097</v>
      </c>
      <c r="J403" t="s">
        <v>6290</v>
      </c>
      <c r="K403">
        <v>25.4</v>
      </c>
      <c r="L403">
        <v>0</v>
      </c>
      <c r="M403">
        <v>1.6</v>
      </c>
      <c r="N403">
        <v>6</v>
      </c>
      <c r="O403" t="s">
        <v>33</v>
      </c>
      <c r="P403" t="s">
        <v>6172</v>
      </c>
    </row>
    <row r="404" spans="1:16" x14ac:dyDescent="0.25">
      <c r="A404">
        <v>46203</v>
      </c>
      <c r="B404" t="s">
        <v>5966</v>
      </c>
      <c r="C404" t="s">
        <v>37</v>
      </c>
      <c r="D404" t="s">
        <v>392</v>
      </c>
      <c r="E404">
        <v>420</v>
      </c>
      <c r="F404">
        <v>2520</v>
      </c>
      <c r="G404">
        <v>2283.54</v>
      </c>
      <c r="H404" t="s">
        <v>367</v>
      </c>
      <c r="I404">
        <v>3500097</v>
      </c>
      <c r="J404" t="s">
        <v>6290</v>
      </c>
      <c r="K404">
        <v>25.4</v>
      </c>
      <c r="L404">
        <v>0</v>
      </c>
      <c r="M404">
        <v>1.6</v>
      </c>
      <c r="N404">
        <v>6</v>
      </c>
      <c r="O404" t="s">
        <v>33</v>
      </c>
      <c r="P404" t="s">
        <v>6172</v>
      </c>
    </row>
    <row r="405" spans="1:16" x14ac:dyDescent="0.25">
      <c r="A405">
        <v>46203</v>
      </c>
      <c r="B405" t="s">
        <v>5966</v>
      </c>
      <c r="C405" t="s">
        <v>37</v>
      </c>
      <c r="D405" t="s">
        <v>392</v>
      </c>
      <c r="E405">
        <v>419</v>
      </c>
      <c r="F405">
        <v>2514</v>
      </c>
      <c r="G405">
        <v>2278.1030000000001</v>
      </c>
      <c r="H405" t="s">
        <v>367</v>
      </c>
      <c r="I405">
        <v>3500097</v>
      </c>
      <c r="J405" t="s">
        <v>6290</v>
      </c>
      <c r="K405">
        <v>25.4</v>
      </c>
      <c r="L405">
        <v>0</v>
      </c>
      <c r="M405">
        <v>1.6</v>
      </c>
      <c r="N405">
        <v>6</v>
      </c>
      <c r="O405" t="s">
        <v>33</v>
      </c>
      <c r="P405" t="s">
        <v>6172</v>
      </c>
    </row>
    <row r="406" spans="1:16" x14ac:dyDescent="0.25">
      <c r="A406">
        <v>46203</v>
      </c>
      <c r="B406" t="s">
        <v>5966</v>
      </c>
      <c r="C406" t="s">
        <v>37</v>
      </c>
      <c r="D406" t="s">
        <v>392</v>
      </c>
      <c r="E406">
        <v>419</v>
      </c>
      <c r="F406">
        <v>2514</v>
      </c>
      <c r="G406">
        <v>2278.1030000000001</v>
      </c>
      <c r="H406" t="s">
        <v>367</v>
      </c>
      <c r="I406">
        <v>3500097</v>
      </c>
      <c r="J406" t="s">
        <v>6290</v>
      </c>
      <c r="K406">
        <v>25.4</v>
      </c>
      <c r="L406">
        <v>0</v>
      </c>
      <c r="M406">
        <v>1.6</v>
      </c>
      <c r="N406">
        <v>6</v>
      </c>
      <c r="O406" t="s">
        <v>33</v>
      </c>
      <c r="P406" t="s">
        <v>6172</v>
      </c>
    </row>
    <row r="407" spans="1:16" x14ac:dyDescent="0.25">
      <c r="A407">
        <v>46203</v>
      </c>
      <c r="B407" t="s">
        <v>5966</v>
      </c>
      <c r="C407" t="s">
        <v>37</v>
      </c>
      <c r="D407" t="s">
        <v>392</v>
      </c>
      <c r="E407">
        <v>420</v>
      </c>
      <c r="F407">
        <v>2520</v>
      </c>
      <c r="G407">
        <v>2283.54</v>
      </c>
      <c r="H407" t="s">
        <v>367</v>
      </c>
      <c r="I407">
        <v>3500097</v>
      </c>
      <c r="J407" t="s">
        <v>6290</v>
      </c>
      <c r="K407">
        <v>25.4</v>
      </c>
      <c r="L407">
        <v>0</v>
      </c>
      <c r="M407">
        <v>1.6</v>
      </c>
      <c r="N407">
        <v>6</v>
      </c>
      <c r="O407" t="s">
        <v>33</v>
      </c>
      <c r="P407" t="s">
        <v>6172</v>
      </c>
    </row>
    <row r="408" spans="1:16" x14ac:dyDescent="0.25">
      <c r="A408">
        <v>46202</v>
      </c>
      <c r="B408" t="s">
        <v>5966</v>
      </c>
      <c r="C408" t="s">
        <v>37</v>
      </c>
      <c r="D408" t="s">
        <v>392</v>
      </c>
      <c r="E408">
        <v>419</v>
      </c>
      <c r="F408">
        <v>2514</v>
      </c>
      <c r="G408">
        <v>2278.1030000000001</v>
      </c>
      <c r="H408" t="s">
        <v>367</v>
      </c>
      <c r="I408">
        <v>3500097</v>
      </c>
      <c r="J408" t="s">
        <v>6290</v>
      </c>
      <c r="K408">
        <v>25.4</v>
      </c>
      <c r="L408">
        <v>0</v>
      </c>
      <c r="M408">
        <v>1.6</v>
      </c>
      <c r="N408">
        <v>6</v>
      </c>
      <c r="O408" t="s">
        <v>33</v>
      </c>
      <c r="P408" t="s">
        <v>6172</v>
      </c>
    </row>
    <row r="409" spans="1:16" x14ac:dyDescent="0.25">
      <c r="A409">
        <v>46202</v>
      </c>
      <c r="B409" t="s">
        <v>5966</v>
      </c>
      <c r="C409" t="s">
        <v>37</v>
      </c>
      <c r="D409" t="s">
        <v>392</v>
      </c>
      <c r="E409">
        <v>416</v>
      </c>
      <c r="F409">
        <v>2496</v>
      </c>
      <c r="G409">
        <v>2261.7919999999999</v>
      </c>
      <c r="H409" t="s">
        <v>367</v>
      </c>
      <c r="I409">
        <v>3500097</v>
      </c>
      <c r="J409" t="s">
        <v>6290</v>
      </c>
      <c r="K409">
        <v>25.4</v>
      </c>
      <c r="L409">
        <v>0</v>
      </c>
      <c r="M409">
        <v>1.6</v>
      </c>
      <c r="N409">
        <v>6</v>
      </c>
      <c r="O409" t="s">
        <v>33</v>
      </c>
      <c r="P409" t="s">
        <v>6172</v>
      </c>
    </row>
    <row r="410" spans="1:16" x14ac:dyDescent="0.25">
      <c r="A410">
        <v>46202</v>
      </c>
      <c r="B410" t="s">
        <v>5966</v>
      </c>
      <c r="C410" t="s">
        <v>37</v>
      </c>
      <c r="D410" t="s">
        <v>392</v>
      </c>
      <c r="E410">
        <v>418</v>
      </c>
      <c r="F410">
        <v>2508</v>
      </c>
      <c r="G410">
        <v>2272.6660000000002</v>
      </c>
      <c r="H410" t="s">
        <v>367</v>
      </c>
      <c r="I410">
        <v>3500097</v>
      </c>
      <c r="J410" t="s">
        <v>6290</v>
      </c>
      <c r="K410">
        <v>25.4</v>
      </c>
      <c r="L410">
        <v>0</v>
      </c>
      <c r="M410">
        <v>1.6</v>
      </c>
      <c r="N410">
        <v>6</v>
      </c>
      <c r="O410" t="s">
        <v>33</v>
      </c>
      <c r="P410" t="s">
        <v>6172</v>
      </c>
    </row>
    <row r="411" spans="1:16" x14ac:dyDescent="0.25">
      <c r="A411">
        <v>46202</v>
      </c>
      <c r="B411" t="s">
        <v>5966</v>
      </c>
      <c r="C411" t="s">
        <v>37</v>
      </c>
      <c r="D411" t="s">
        <v>392</v>
      </c>
      <c r="E411">
        <v>419</v>
      </c>
      <c r="F411">
        <v>2514</v>
      </c>
      <c r="G411">
        <v>2278.1030000000001</v>
      </c>
      <c r="H411" t="s">
        <v>367</v>
      </c>
      <c r="I411">
        <v>3500097</v>
      </c>
      <c r="J411" t="s">
        <v>6290</v>
      </c>
      <c r="K411">
        <v>25.4</v>
      </c>
      <c r="L411">
        <v>0</v>
      </c>
      <c r="M411">
        <v>1.6</v>
      </c>
      <c r="N411">
        <v>6</v>
      </c>
      <c r="O411" t="s">
        <v>33</v>
      </c>
      <c r="P411" t="s">
        <v>6172</v>
      </c>
    </row>
    <row r="412" spans="1:16" x14ac:dyDescent="0.25">
      <c r="A412">
        <v>46202</v>
      </c>
      <c r="B412" t="s">
        <v>5966</v>
      </c>
      <c r="C412" t="s">
        <v>37</v>
      </c>
      <c r="D412" t="s">
        <v>392</v>
      </c>
      <c r="E412">
        <v>419</v>
      </c>
      <c r="F412">
        <v>2514</v>
      </c>
      <c r="G412">
        <v>2278.1030000000001</v>
      </c>
      <c r="H412" t="s">
        <v>367</v>
      </c>
      <c r="I412">
        <v>3500097</v>
      </c>
      <c r="J412" t="s">
        <v>6290</v>
      </c>
      <c r="K412">
        <v>25.4</v>
      </c>
      <c r="L412">
        <v>0</v>
      </c>
      <c r="M412">
        <v>1.6</v>
      </c>
      <c r="N412">
        <v>6</v>
      </c>
      <c r="O412" t="s">
        <v>33</v>
      </c>
      <c r="P412" t="s">
        <v>6172</v>
      </c>
    </row>
    <row r="413" spans="1:16" x14ac:dyDescent="0.25">
      <c r="A413">
        <v>46202</v>
      </c>
      <c r="B413" t="s">
        <v>5966</v>
      </c>
      <c r="C413" t="s">
        <v>37</v>
      </c>
      <c r="D413" t="s">
        <v>392</v>
      </c>
      <c r="E413">
        <v>419</v>
      </c>
      <c r="F413">
        <v>2514</v>
      </c>
      <c r="G413">
        <v>2278.1030000000001</v>
      </c>
      <c r="H413" t="s">
        <v>367</v>
      </c>
      <c r="I413">
        <v>3500097</v>
      </c>
      <c r="J413" t="s">
        <v>6290</v>
      </c>
      <c r="K413">
        <v>25.4</v>
      </c>
      <c r="L413">
        <v>0</v>
      </c>
      <c r="M413">
        <v>1.6</v>
      </c>
      <c r="N413">
        <v>6</v>
      </c>
      <c r="O413" t="s">
        <v>33</v>
      </c>
      <c r="P413" t="s">
        <v>6172</v>
      </c>
    </row>
    <row r="414" spans="1:16" x14ac:dyDescent="0.25">
      <c r="A414">
        <v>46202</v>
      </c>
      <c r="B414" t="s">
        <v>5966</v>
      </c>
      <c r="C414" t="s">
        <v>37</v>
      </c>
      <c r="D414" t="s">
        <v>392</v>
      </c>
      <c r="E414">
        <v>419</v>
      </c>
      <c r="F414">
        <v>2514</v>
      </c>
      <c r="G414">
        <v>2278.1030000000001</v>
      </c>
      <c r="H414" t="s">
        <v>367</v>
      </c>
      <c r="I414">
        <v>3500097</v>
      </c>
      <c r="J414" t="s">
        <v>6290</v>
      </c>
      <c r="K414">
        <v>25.4</v>
      </c>
      <c r="L414">
        <v>0</v>
      </c>
      <c r="M414">
        <v>1.6</v>
      </c>
      <c r="N414">
        <v>6</v>
      </c>
      <c r="O414" t="s">
        <v>33</v>
      </c>
      <c r="P414" t="s">
        <v>6172</v>
      </c>
    </row>
    <row r="415" spans="1:16" x14ac:dyDescent="0.25">
      <c r="A415">
        <v>46202</v>
      </c>
      <c r="B415" t="s">
        <v>5966</v>
      </c>
      <c r="C415" t="s">
        <v>37</v>
      </c>
      <c r="D415" t="s">
        <v>392</v>
      </c>
      <c r="E415">
        <v>419</v>
      </c>
      <c r="F415">
        <v>2514</v>
      </c>
      <c r="G415">
        <v>2278.1030000000001</v>
      </c>
      <c r="H415" t="s">
        <v>367</v>
      </c>
      <c r="I415">
        <v>3500097</v>
      </c>
      <c r="J415" t="s">
        <v>6290</v>
      </c>
      <c r="K415">
        <v>25.4</v>
      </c>
      <c r="L415">
        <v>0</v>
      </c>
      <c r="M415">
        <v>1.6</v>
      </c>
      <c r="N415">
        <v>6</v>
      </c>
      <c r="O415" t="s">
        <v>33</v>
      </c>
      <c r="P415" t="s">
        <v>6172</v>
      </c>
    </row>
    <row r="416" spans="1:16" x14ac:dyDescent="0.25">
      <c r="A416">
        <v>46202</v>
      </c>
      <c r="B416" t="s">
        <v>5966</v>
      </c>
      <c r="C416" t="s">
        <v>37</v>
      </c>
      <c r="D416" t="s">
        <v>392</v>
      </c>
      <c r="E416">
        <v>417</v>
      </c>
      <c r="F416">
        <v>2502</v>
      </c>
      <c r="G416">
        <v>2267.2289999999998</v>
      </c>
      <c r="H416" t="s">
        <v>367</v>
      </c>
      <c r="I416">
        <v>3500097</v>
      </c>
      <c r="J416" t="s">
        <v>6290</v>
      </c>
      <c r="K416">
        <v>25.4</v>
      </c>
      <c r="L416">
        <v>0</v>
      </c>
      <c r="M416">
        <v>1.6</v>
      </c>
      <c r="N416">
        <v>6</v>
      </c>
      <c r="O416" t="s">
        <v>33</v>
      </c>
      <c r="P416" t="s">
        <v>6172</v>
      </c>
    </row>
    <row r="417" spans="1:16" x14ac:dyDescent="0.25">
      <c r="A417">
        <v>46202</v>
      </c>
      <c r="B417" t="s">
        <v>5966</v>
      </c>
      <c r="C417" t="s">
        <v>37</v>
      </c>
      <c r="D417" t="s">
        <v>392</v>
      </c>
      <c r="E417">
        <v>420</v>
      </c>
      <c r="F417">
        <v>2520</v>
      </c>
      <c r="G417">
        <v>2283.54</v>
      </c>
      <c r="H417" t="s">
        <v>367</v>
      </c>
      <c r="I417">
        <v>3500097</v>
      </c>
      <c r="J417" t="s">
        <v>6290</v>
      </c>
      <c r="K417">
        <v>25.4</v>
      </c>
      <c r="L417">
        <v>0</v>
      </c>
      <c r="M417">
        <v>1.6</v>
      </c>
      <c r="N417">
        <v>6</v>
      </c>
      <c r="O417" t="s">
        <v>33</v>
      </c>
      <c r="P417" t="s">
        <v>6172</v>
      </c>
    </row>
    <row r="418" spans="1:16" x14ac:dyDescent="0.25">
      <c r="A418">
        <v>46203</v>
      </c>
      <c r="B418" t="s">
        <v>5966</v>
      </c>
      <c r="C418" t="s">
        <v>37</v>
      </c>
      <c r="D418" t="s">
        <v>392</v>
      </c>
      <c r="E418">
        <v>226</v>
      </c>
      <c r="F418">
        <v>1354.0319999999999</v>
      </c>
      <c r="G418">
        <v>2512</v>
      </c>
      <c r="H418" t="s">
        <v>345</v>
      </c>
      <c r="I418">
        <v>1940925</v>
      </c>
      <c r="J418" t="s">
        <v>6303</v>
      </c>
      <c r="K418">
        <v>59</v>
      </c>
      <c r="L418">
        <v>30</v>
      </c>
      <c r="M418">
        <v>1.6</v>
      </c>
      <c r="N418">
        <v>6</v>
      </c>
      <c r="O418" t="s">
        <v>33</v>
      </c>
      <c r="P418" t="s">
        <v>6203</v>
      </c>
    </row>
    <row r="419" spans="1:16" x14ac:dyDescent="0.25">
      <c r="A419">
        <v>46203</v>
      </c>
      <c r="B419" t="s">
        <v>5966</v>
      </c>
      <c r="C419" t="s">
        <v>37</v>
      </c>
      <c r="D419" t="s">
        <v>392</v>
      </c>
      <c r="E419">
        <v>234</v>
      </c>
      <c r="F419">
        <v>1405.778</v>
      </c>
      <c r="G419">
        <v>2608</v>
      </c>
      <c r="H419" t="s">
        <v>345</v>
      </c>
      <c r="I419">
        <v>1940925</v>
      </c>
      <c r="J419" t="s">
        <v>6303</v>
      </c>
      <c r="K419">
        <v>59</v>
      </c>
      <c r="L419">
        <v>30</v>
      </c>
      <c r="M419">
        <v>1.6</v>
      </c>
      <c r="N419">
        <v>6</v>
      </c>
      <c r="O419" t="s">
        <v>33</v>
      </c>
      <c r="P419" t="s">
        <v>6203</v>
      </c>
    </row>
    <row r="420" spans="1:16" x14ac:dyDescent="0.25">
      <c r="A420">
        <v>46203</v>
      </c>
      <c r="B420" t="s">
        <v>5966</v>
      </c>
      <c r="C420" t="s">
        <v>37</v>
      </c>
      <c r="D420" t="s">
        <v>392</v>
      </c>
      <c r="E420">
        <v>117</v>
      </c>
      <c r="F420">
        <v>703.24199999999996</v>
      </c>
      <c r="G420">
        <v>1974</v>
      </c>
      <c r="H420" t="s">
        <v>1834</v>
      </c>
      <c r="I420">
        <v>3702875</v>
      </c>
      <c r="J420" t="s">
        <v>2007</v>
      </c>
      <c r="K420">
        <v>60.3</v>
      </c>
      <c r="L420">
        <v>0</v>
      </c>
      <c r="M420">
        <v>2</v>
      </c>
      <c r="N420">
        <v>6</v>
      </c>
      <c r="O420" t="s">
        <v>33</v>
      </c>
      <c r="P420" t="s">
        <v>6208</v>
      </c>
    </row>
    <row r="421" spans="1:16" x14ac:dyDescent="0.25">
      <c r="A421">
        <v>46203</v>
      </c>
      <c r="B421" t="s">
        <v>5966</v>
      </c>
      <c r="C421" t="s">
        <v>37</v>
      </c>
      <c r="D421" t="s">
        <v>392</v>
      </c>
      <c r="E421">
        <v>128</v>
      </c>
      <c r="F421">
        <v>769.505</v>
      </c>
      <c r="G421">
        <v>2160</v>
      </c>
      <c r="H421" t="s">
        <v>1834</v>
      </c>
      <c r="I421">
        <v>3702875</v>
      </c>
      <c r="J421" t="s">
        <v>2007</v>
      </c>
      <c r="K421">
        <v>60.3</v>
      </c>
      <c r="L421">
        <v>0</v>
      </c>
      <c r="M421">
        <v>2</v>
      </c>
      <c r="N421">
        <v>6</v>
      </c>
      <c r="O421" t="s">
        <v>33</v>
      </c>
      <c r="P421" t="s">
        <v>6208</v>
      </c>
    </row>
    <row r="422" spans="1:16" x14ac:dyDescent="0.25">
      <c r="A422">
        <v>46203</v>
      </c>
      <c r="B422" t="s">
        <v>5966</v>
      </c>
      <c r="C422" t="s">
        <v>37</v>
      </c>
      <c r="D422" t="s">
        <v>392</v>
      </c>
      <c r="E422">
        <v>7</v>
      </c>
      <c r="F422">
        <v>41.930999999999997</v>
      </c>
      <c r="G422">
        <v>117.7</v>
      </c>
      <c r="H422" t="s">
        <v>1834</v>
      </c>
      <c r="I422">
        <v>3702875</v>
      </c>
      <c r="J422" t="s">
        <v>2007</v>
      </c>
      <c r="K422">
        <v>60.3</v>
      </c>
      <c r="L422">
        <v>0</v>
      </c>
      <c r="M422">
        <v>2</v>
      </c>
      <c r="N422">
        <v>6</v>
      </c>
      <c r="O422" t="s">
        <v>33</v>
      </c>
      <c r="P422" t="s">
        <v>6208</v>
      </c>
    </row>
    <row r="423" spans="1:16" x14ac:dyDescent="0.25">
      <c r="A423">
        <v>46203</v>
      </c>
      <c r="B423" t="s">
        <v>5966</v>
      </c>
      <c r="C423" t="s">
        <v>37</v>
      </c>
      <c r="D423" t="s">
        <v>392</v>
      </c>
      <c r="E423">
        <v>114</v>
      </c>
      <c r="F423">
        <v>685.07299999999998</v>
      </c>
      <c r="G423">
        <v>1923</v>
      </c>
      <c r="H423" t="s">
        <v>1834</v>
      </c>
      <c r="I423">
        <v>3702875</v>
      </c>
      <c r="J423" t="s">
        <v>2007</v>
      </c>
      <c r="K423">
        <v>60.3</v>
      </c>
      <c r="L423">
        <v>0</v>
      </c>
      <c r="M423">
        <v>2</v>
      </c>
      <c r="N423">
        <v>6</v>
      </c>
      <c r="O423" t="s">
        <v>33</v>
      </c>
      <c r="P423" t="s">
        <v>6208</v>
      </c>
    </row>
    <row r="424" spans="1:16" x14ac:dyDescent="0.25">
      <c r="A424">
        <v>46177</v>
      </c>
      <c r="B424" t="s">
        <v>5966</v>
      </c>
      <c r="C424" t="s">
        <v>37</v>
      </c>
      <c r="D424" t="s">
        <v>392</v>
      </c>
      <c r="E424">
        <v>82</v>
      </c>
      <c r="F424">
        <v>491.62799999999999</v>
      </c>
      <c r="G424">
        <v>1380</v>
      </c>
      <c r="H424" t="s">
        <v>362</v>
      </c>
      <c r="I424">
        <v>3702875</v>
      </c>
      <c r="J424" t="s">
        <v>2007</v>
      </c>
      <c r="K424">
        <v>60.3</v>
      </c>
      <c r="L424">
        <v>0</v>
      </c>
      <c r="M424">
        <v>2</v>
      </c>
      <c r="N424">
        <v>6</v>
      </c>
      <c r="O424" t="s">
        <v>33</v>
      </c>
      <c r="P424" t="s">
        <v>6208</v>
      </c>
    </row>
    <row r="425" spans="1:16" x14ac:dyDescent="0.25">
      <c r="A425">
        <v>46177</v>
      </c>
      <c r="B425" t="s">
        <v>5966</v>
      </c>
      <c r="C425" t="s">
        <v>37</v>
      </c>
      <c r="D425" t="s">
        <v>392</v>
      </c>
      <c r="E425">
        <v>76</v>
      </c>
      <c r="F425">
        <v>454.57799999999997</v>
      </c>
      <c r="G425">
        <v>1276</v>
      </c>
      <c r="H425" t="s">
        <v>362</v>
      </c>
      <c r="I425">
        <v>3702875</v>
      </c>
      <c r="J425" t="s">
        <v>2007</v>
      </c>
      <c r="K425">
        <v>60.3</v>
      </c>
      <c r="L425">
        <v>0</v>
      </c>
      <c r="M425">
        <v>2</v>
      </c>
      <c r="N425">
        <v>6</v>
      </c>
      <c r="O425" t="s">
        <v>33</v>
      </c>
      <c r="P425" t="s">
        <v>6208</v>
      </c>
    </row>
    <row r="426" spans="1:16" x14ac:dyDescent="0.25">
      <c r="A426">
        <v>46177</v>
      </c>
      <c r="B426" t="s">
        <v>5966</v>
      </c>
      <c r="C426" t="s">
        <v>37</v>
      </c>
      <c r="D426" t="s">
        <v>392</v>
      </c>
      <c r="E426">
        <v>109</v>
      </c>
      <c r="F426">
        <v>651.22900000000004</v>
      </c>
      <c r="G426">
        <v>1828</v>
      </c>
      <c r="H426" t="s">
        <v>362</v>
      </c>
      <c r="I426">
        <v>3702875</v>
      </c>
      <c r="J426" t="s">
        <v>2007</v>
      </c>
      <c r="K426">
        <v>60.3</v>
      </c>
      <c r="L426">
        <v>0</v>
      </c>
      <c r="M426">
        <v>2</v>
      </c>
      <c r="N426">
        <v>6</v>
      </c>
      <c r="O426" t="s">
        <v>33</v>
      </c>
      <c r="P426" t="s">
        <v>6208</v>
      </c>
    </row>
    <row r="427" spans="1:16" x14ac:dyDescent="0.25">
      <c r="A427">
        <v>46177</v>
      </c>
      <c r="B427" t="s">
        <v>5966</v>
      </c>
      <c r="C427" t="s">
        <v>37</v>
      </c>
      <c r="D427" t="s">
        <v>392</v>
      </c>
      <c r="E427">
        <v>92</v>
      </c>
      <c r="F427">
        <v>552.90300000000002</v>
      </c>
      <c r="G427">
        <v>1552</v>
      </c>
      <c r="H427" t="s">
        <v>362</v>
      </c>
      <c r="I427">
        <v>3702875</v>
      </c>
      <c r="J427" t="s">
        <v>2007</v>
      </c>
      <c r="K427">
        <v>60.3</v>
      </c>
      <c r="L427">
        <v>0</v>
      </c>
      <c r="M427">
        <v>2</v>
      </c>
      <c r="N427">
        <v>6</v>
      </c>
      <c r="O427" t="s">
        <v>33</v>
      </c>
      <c r="P427" t="s">
        <v>6208</v>
      </c>
    </row>
    <row r="428" spans="1:16" x14ac:dyDescent="0.25">
      <c r="A428">
        <v>46203</v>
      </c>
      <c r="B428" t="s">
        <v>5966</v>
      </c>
      <c r="C428" t="s">
        <v>37</v>
      </c>
      <c r="D428" t="s">
        <v>392</v>
      </c>
      <c r="E428">
        <v>105</v>
      </c>
      <c r="F428">
        <v>629.85400000000004</v>
      </c>
      <c r="G428">
        <v>1768</v>
      </c>
      <c r="H428" t="s">
        <v>1834</v>
      </c>
      <c r="I428">
        <v>3702875</v>
      </c>
      <c r="J428" t="s">
        <v>2007</v>
      </c>
      <c r="K428">
        <v>60.3</v>
      </c>
      <c r="L428">
        <v>0</v>
      </c>
      <c r="M428">
        <v>2</v>
      </c>
      <c r="N428">
        <v>6</v>
      </c>
      <c r="O428" t="s">
        <v>33</v>
      </c>
      <c r="P428" t="s">
        <v>6208</v>
      </c>
    </row>
    <row r="429" spans="1:16" x14ac:dyDescent="0.25">
      <c r="A429">
        <v>46203</v>
      </c>
      <c r="B429" t="s">
        <v>5966</v>
      </c>
      <c r="C429" t="s">
        <v>37</v>
      </c>
      <c r="D429" t="s">
        <v>392</v>
      </c>
      <c r="E429">
        <v>120</v>
      </c>
      <c r="F429">
        <v>722.12300000000005</v>
      </c>
      <c r="G429">
        <v>2027</v>
      </c>
      <c r="H429" t="s">
        <v>1834</v>
      </c>
      <c r="I429">
        <v>3702875</v>
      </c>
      <c r="J429" t="s">
        <v>2007</v>
      </c>
      <c r="K429">
        <v>60.3</v>
      </c>
      <c r="L429">
        <v>0</v>
      </c>
      <c r="M429">
        <v>2</v>
      </c>
      <c r="N429">
        <v>6</v>
      </c>
      <c r="O429" t="s">
        <v>33</v>
      </c>
      <c r="P429" t="s">
        <v>6208</v>
      </c>
    </row>
    <row r="430" spans="1:16" x14ac:dyDescent="0.25">
      <c r="A430">
        <v>46203</v>
      </c>
      <c r="B430" t="s">
        <v>5966</v>
      </c>
      <c r="C430" t="s">
        <v>37</v>
      </c>
      <c r="D430" t="s">
        <v>392</v>
      </c>
      <c r="E430">
        <v>113</v>
      </c>
      <c r="F430">
        <v>679.01700000000005</v>
      </c>
      <c r="G430">
        <v>1906</v>
      </c>
      <c r="H430" t="s">
        <v>1834</v>
      </c>
      <c r="I430">
        <v>3702875</v>
      </c>
      <c r="J430" t="s">
        <v>2007</v>
      </c>
      <c r="K430">
        <v>60.3</v>
      </c>
      <c r="L430">
        <v>0</v>
      </c>
      <c r="M430">
        <v>2</v>
      </c>
      <c r="N430">
        <v>6</v>
      </c>
      <c r="O430" t="s">
        <v>33</v>
      </c>
      <c r="P430" t="s">
        <v>6208</v>
      </c>
    </row>
    <row r="431" spans="1:16" x14ac:dyDescent="0.25">
      <c r="A431">
        <v>46203</v>
      </c>
      <c r="B431" t="s">
        <v>5966</v>
      </c>
      <c r="C431" t="s">
        <v>37</v>
      </c>
      <c r="D431" t="s">
        <v>392</v>
      </c>
      <c r="E431">
        <v>87</v>
      </c>
      <c r="F431">
        <v>522.01599999999996</v>
      </c>
      <c r="G431">
        <v>1465.3</v>
      </c>
      <c r="H431" t="s">
        <v>1834</v>
      </c>
      <c r="I431">
        <v>3702875</v>
      </c>
      <c r="J431" t="s">
        <v>2007</v>
      </c>
      <c r="K431">
        <v>60.3</v>
      </c>
      <c r="L431">
        <v>0</v>
      </c>
      <c r="M431">
        <v>2</v>
      </c>
      <c r="N431">
        <v>6</v>
      </c>
      <c r="O431" t="s">
        <v>33</v>
      </c>
      <c r="P431" t="s">
        <v>6208</v>
      </c>
    </row>
    <row r="432" spans="1:16" x14ac:dyDescent="0.25">
      <c r="A432">
        <v>46203</v>
      </c>
      <c r="B432" t="s">
        <v>5966</v>
      </c>
      <c r="C432" t="s">
        <v>37</v>
      </c>
      <c r="D432" t="s">
        <v>392</v>
      </c>
      <c r="E432">
        <v>36</v>
      </c>
      <c r="F432">
        <v>216.245</v>
      </c>
      <c r="G432">
        <v>607</v>
      </c>
      <c r="H432" t="s">
        <v>1834</v>
      </c>
      <c r="I432">
        <v>3702875</v>
      </c>
      <c r="J432" t="s">
        <v>2007</v>
      </c>
      <c r="K432">
        <v>60.3</v>
      </c>
      <c r="L432">
        <v>0</v>
      </c>
      <c r="M432">
        <v>2</v>
      </c>
      <c r="N432">
        <v>6</v>
      </c>
      <c r="O432" t="s">
        <v>33</v>
      </c>
      <c r="P432" t="s">
        <v>6208</v>
      </c>
    </row>
    <row r="433" spans="1:16" x14ac:dyDescent="0.25">
      <c r="A433">
        <v>46177</v>
      </c>
      <c r="B433" t="s">
        <v>5966</v>
      </c>
      <c r="C433" t="s">
        <v>37</v>
      </c>
      <c r="D433" t="s">
        <v>392</v>
      </c>
      <c r="E433">
        <v>81</v>
      </c>
      <c r="F433">
        <v>485.21600000000001</v>
      </c>
      <c r="G433">
        <v>1362</v>
      </c>
      <c r="H433" t="s">
        <v>362</v>
      </c>
      <c r="I433">
        <v>3702875</v>
      </c>
      <c r="J433" t="s">
        <v>2007</v>
      </c>
      <c r="K433">
        <v>60.3</v>
      </c>
      <c r="L433">
        <v>0</v>
      </c>
      <c r="M433">
        <v>2</v>
      </c>
      <c r="N433">
        <v>6</v>
      </c>
      <c r="O433" t="s">
        <v>33</v>
      </c>
      <c r="P433" t="s">
        <v>6208</v>
      </c>
    </row>
    <row r="434" spans="1:16" x14ac:dyDescent="0.25">
      <c r="A434">
        <v>46177</v>
      </c>
      <c r="B434" t="s">
        <v>5966</v>
      </c>
      <c r="C434" t="s">
        <v>37</v>
      </c>
      <c r="D434" t="s">
        <v>392</v>
      </c>
      <c r="E434">
        <v>95</v>
      </c>
      <c r="F434">
        <v>571.42899999999997</v>
      </c>
      <c r="G434">
        <v>1604</v>
      </c>
      <c r="H434" t="s">
        <v>362</v>
      </c>
      <c r="I434">
        <v>3702875</v>
      </c>
      <c r="J434" t="s">
        <v>2007</v>
      </c>
      <c r="K434">
        <v>60.3</v>
      </c>
      <c r="L434">
        <v>0</v>
      </c>
      <c r="M434">
        <v>2</v>
      </c>
      <c r="N434">
        <v>6</v>
      </c>
      <c r="O434" t="s">
        <v>33</v>
      </c>
      <c r="P434" t="s">
        <v>6208</v>
      </c>
    </row>
    <row r="435" spans="1:16" x14ac:dyDescent="0.25">
      <c r="A435">
        <v>46177</v>
      </c>
      <c r="B435" t="s">
        <v>5966</v>
      </c>
      <c r="C435" t="s">
        <v>37</v>
      </c>
      <c r="D435" t="s">
        <v>392</v>
      </c>
      <c r="E435">
        <v>56</v>
      </c>
      <c r="F435">
        <v>337.72699999999998</v>
      </c>
      <c r="G435">
        <v>948</v>
      </c>
      <c r="H435" t="s">
        <v>362</v>
      </c>
      <c r="I435">
        <v>3702875</v>
      </c>
      <c r="J435" t="s">
        <v>2007</v>
      </c>
      <c r="K435">
        <v>60.3</v>
      </c>
      <c r="L435">
        <v>0</v>
      </c>
      <c r="M435">
        <v>2</v>
      </c>
      <c r="N435">
        <v>6</v>
      </c>
      <c r="O435" t="s">
        <v>33</v>
      </c>
      <c r="P435" t="s">
        <v>6208</v>
      </c>
    </row>
    <row r="436" spans="1:16" x14ac:dyDescent="0.25">
      <c r="A436">
        <v>46177</v>
      </c>
      <c r="B436" t="s">
        <v>5966</v>
      </c>
      <c r="C436" t="s">
        <v>37</v>
      </c>
      <c r="D436" t="s">
        <v>392</v>
      </c>
      <c r="E436">
        <v>78</v>
      </c>
      <c r="F436">
        <v>467.04700000000003</v>
      </c>
      <c r="G436">
        <v>1311</v>
      </c>
      <c r="H436" t="s">
        <v>362</v>
      </c>
      <c r="I436">
        <v>3702875</v>
      </c>
      <c r="J436" t="s">
        <v>2007</v>
      </c>
      <c r="K436">
        <v>60.3</v>
      </c>
      <c r="L436">
        <v>0</v>
      </c>
      <c r="M436">
        <v>2</v>
      </c>
      <c r="N436">
        <v>6</v>
      </c>
      <c r="O436" t="s">
        <v>33</v>
      </c>
      <c r="P436" t="s">
        <v>6208</v>
      </c>
    </row>
    <row r="437" spans="1:16" x14ac:dyDescent="0.25">
      <c r="A437">
        <v>46203</v>
      </c>
      <c r="B437" t="s">
        <v>5966</v>
      </c>
      <c r="C437" t="s">
        <v>37</v>
      </c>
      <c r="D437" t="s">
        <v>392</v>
      </c>
      <c r="E437">
        <v>103</v>
      </c>
      <c r="F437">
        <v>620.59100000000001</v>
      </c>
      <c r="G437">
        <v>1742</v>
      </c>
      <c r="H437" t="s">
        <v>1834</v>
      </c>
      <c r="I437">
        <v>3702875</v>
      </c>
      <c r="J437" t="s">
        <v>2007</v>
      </c>
      <c r="K437">
        <v>60.3</v>
      </c>
      <c r="L437">
        <v>0</v>
      </c>
      <c r="M437">
        <v>2</v>
      </c>
      <c r="N437">
        <v>6</v>
      </c>
      <c r="O437" t="s">
        <v>33</v>
      </c>
      <c r="P437" t="s">
        <v>6208</v>
      </c>
    </row>
    <row r="438" spans="1:16" x14ac:dyDescent="0.25">
      <c r="A438">
        <v>46197</v>
      </c>
      <c r="B438" t="s">
        <v>5999</v>
      </c>
      <c r="C438" t="s">
        <v>36</v>
      </c>
      <c r="D438" t="s">
        <v>392</v>
      </c>
      <c r="E438">
        <v>104</v>
      </c>
      <c r="F438">
        <v>621.18499999999995</v>
      </c>
      <c r="G438">
        <v>1038</v>
      </c>
      <c r="H438" t="s">
        <v>345</v>
      </c>
      <c r="I438">
        <v>1940684</v>
      </c>
      <c r="J438" t="s">
        <v>6032</v>
      </c>
      <c r="K438">
        <v>31.75</v>
      </c>
      <c r="L438">
        <v>0</v>
      </c>
      <c r="M438">
        <v>2.2999999999999998</v>
      </c>
      <c r="N438">
        <v>6</v>
      </c>
      <c r="O438" t="s">
        <v>33</v>
      </c>
      <c r="P438" t="s">
        <v>6332</v>
      </c>
    </row>
    <row r="439" spans="1:16" x14ac:dyDescent="0.25">
      <c r="A439">
        <v>46197</v>
      </c>
      <c r="B439" t="s">
        <v>5999</v>
      </c>
      <c r="C439" t="s">
        <v>36</v>
      </c>
      <c r="D439" t="s">
        <v>392</v>
      </c>
      <c r="E439">
        <v>160</v>
      </c>
      <c r="F439">
        <v>959.904</v>
      </c>
      <c r="G439">
        <v>1604</v>
      </c>
      <c r="H439" t="s">
        <v>345</v>
      </c>
      <c r="I439">
        <v>1940684</v>
      </c>
      <c r="J439" t="s">
        <v>6032</v>
      </c>
      <c r="K439">
        <v>31.75</v>
      </c>
      <c r="L439">
        <v>0</v>
      </c>
      <c r="M439">
        <v>2.2999999999999998</v>
      </c>
      <c r="N439">
        <v>6</v>
      </c>
      <c r="O439" t="s">
        <v>33</v>
      </c>
      <c r="P439" t="s">
        <v>6332</v>
      </c>
    </row>
    <row r="440" spans="1:16" x14ac:dyDescent="0.25">
      <c r="A440">
        <v>46197</v>
      </c>
      <c r="B440" t="s">
        <v>5999</v>
      </c>
      <c r="C440" t="s">
        <v>36</v>
      </c>
      <c r="D440" t="s">
        <v>392</v>
      </c>
      <c r="E440">
        <v>143</v>
      </c>
      <c r="F440">
        <v>859.96400000000006</v>
      </c>
      <c r="G440">
        <v>1437</v>
      </c>
      <c r="H440" t="s">
        <v>345</v>
      </c>
      <c r="I440">
        <v>1940684</v>
      </c>
      <c r="J440" t="s">
        <v>6032</v>
      </c>
      <c r="K440">
        <v>31.75</v>
      </c>
      <c r="L440">
        <v>0</v>
      </c>
      <c r="M440">
        <v>2.2999999999999998</v>
      </c>
      <c r="N440">
        <v>6</v>
      </c>
      <c r="O440" t="s">
        <v>33</v>
      </c>
      <c r="P440" t="s">
        <v>6332</v>
      </c>
    </row>
    <row r="441" spans="1:16" x14ac:dyDescent="0.25">
      <c r="A441">
        <v>46197</v>
      </c>
      <c r="B441" t="s">
        <v>5999</v>
      </c>
      <c r="C441" t="s">
        <v>36</v>
      </c>
      <c r="D441" t="s">
        <v>392</v>
      </c>
      <c r="E441">
        <v>143</v>
      </c>
      <c r="F441">
        <v>858.76700000000005</v>
      </c>
      <c r="G441">
        <v>1435</v>
      </c>
      <c r="H441" t="s">
        <v>345</v>
      </c>
      <c r="I441">
        <v>1940684</v>
      </c>
      <c r="J441" t="s">
        <v>6032</v>
      </c>
      <c r="K441">
        <v>31.75</v>
      </c>
      <c r="L441">
        <v>0</v>
      </c>
      <c r="M441">
        <v>2.2999999999999998</v>
      </c>
      <c r="N441">
        <v>6</v>
      </c>
      <c r="O441" t="s">
        <v>33</v>
      </c>
      <c r="P441" t="s">
        <v>6332</v>
      </c>
    </row>
    <row r="442" spans="1:16" x14ac:dyDescent="0.25">
      <c r="A442">
        <v>46199</v>
      </c>
      <c r="B442" t="s">
        <v>5999</v>
      </c>
      <c r="C442" t="s">
        <v>36</v>
      </c>
      <c r="D442" t="s">
        <v>392</v>
      </c>
      <c r="E442">
        <v>129</v>
      </c>
      <c r="F442">
        <v>771.54899999999998</v>
      </c>
      <c r="G442">
        <v>2125</v>
      </c>
      <c r="H442" t="s">
        <v>362</v>
      </c>
      <c r="I442">
        <v>3500699</v>
      </c>
      <c r="J442" t="s">
        <v>6299</v>
      </c>
      <c r="K442">
        <v>38.1</v>
      </c>
      <c r="L442">
        <v>0</v>
      </c>
      <c r="M442">
        <v>3.2</v>
      </c>
      <c r="N442">
        <v>6</v>
      </c>
      <c r="O442" t="s">
        <v>33</v>
      </c>
    </row>
    <row r="443" spans="1:16" x14ac:dyDescent="0.25">
      <c r="A443">
        <v>46199</v>
      </c>
      <c r="B443" t="s">
        <v>5999</v>
      </c>
      <c r="C443" t="s">
        <v>36</v>
      </c>
      <c r="D443" t="s">
        <v>392</v>
      </c>
      <c r="E443">
        <v>96</v>
      </c>
      <c r="F443">
        <v>573.66899999999998</v>
      </c>
      <c r="G443">
        <v>1580</v>
      </c>
      <c r="H443" t="s">
        <v>362</v>
      </c>
      <c r="I443">
        <v>3500699</v>
      </c>
      <c r="J443" t="s">
        <v>6299</v>
      </c>
      <c r="K443">
        <v>38.1</v>
      </c>
      <c r="L443">
        <v>0</v>
      </c>
      <c r="M443">
        <v>3.2</v>
      </c>
      <c r="N443">
        <v>6</v>
      </c>
      <c r="O443" t="s">
        <v>33</v>
      </c>
    </row>
    <row r="444" spans="1:16" x14ac:dyDescent="0.25">
      <c r="A444">
        <v>46199</v>
      </c>
      <c r="B444" t="s">
        <v>5999</v>
      </c>
      <c r="C444" t="s">
        <v>36</v>
      </c>
      <c r="D444" t="s">
        <v>392</v>
      </c>
      <c r="E444">
        <v>114</v>
      </c>
      <c r="F444">
        <v>681.505</v>
      </c>
      <c r="G444">
        <v>1877</v>
      </c>
      <c r="H444" t="s">
        <v>362</v>
      </c>
      <c r="I444">
        <v>3500699</v>
      </c>
      <c r="J444" t="s">
        <v>6299</v>
      </c>
      <c r="K444">
        <v>38.1</v>
      </c>
      <c r="L444">
        <v>0</v>
      </c>
      <c r="M444">
        <v>3.2</v>
      </c>
      <c r="N444">
        <v>6</v>
      </c>
      <c r="O444" t="s">
        <v>33</v>
      </c>
    </row>
    <row r="445" spans="1:16" x14ac:dyDescent="0.25">
      <c r="A445">
        <v>46199</v>
      </c>
      <c r="B445" t="s">
        <v>5999</v>
      </c>
      <c r="C445" t="s">
        <v>36</v>
      </c>
      <c r="D445" t="s">
        <v>392</v>
      </c>
      <c r="E445">
        <v>131</v>
      </c>
      <c r="F445">
        <v>783.53099999999995</v>
      </c>
      <c r="G445">
        <v>2158</v>
      </c>
      <c r="H445" t="s">
        <v>362</v>
      </c>
      <c r="I445">
        <v>3500699</v>
      </c>
      <c r="J445" t="s">
        <v>6299</v>
      </c>
      <c r="K445">
        <v>38.1</v>
      </c>
      <c r="L445">
        <v>0</v>
      </c>
      <c r="M445">
        <v>3.2</v>
      </c>
      <c r="N445">
        <v>6</v>
      </c>
      <c r="O445" t="s">
        <v>33</v>
      </c>
    </row>
    <row r="446" spans="1:16" x14ac:dyDescent="0.25">
      <c r="A446">
        <v>46177</v>
      </c>
      <c r="B446" t="s">
        <v>5966</v>
      </c>
      <c r="C446" t="s">
        <v>37</v>
      </c>
      <c r="D446" t="s">
        <v>392</v>
      </c>
      <c r="E446">
        <v>143</v>
      </c>
      <c r="F446">
        <v>857.97500000000002</v>
      </c>
      <c r="G446">
        <v>2903.0430000000001</v>
      </c>
      <c r="H446" t="s">
        <v>367</v>
      </c>
      <c r="I446">
        <v>3500650</v>
      </c>
      <c r="J446" t="s">
        <v>1694</v>
      </c>
      <c r="K446">
        <v>42.7</v>
      </c>
      <c r="L446">
        <v>0</v>
      </c>
      <c r="M446">
        <v>3.5</v>
      </c>
      <c r="N446">
        <v>6</v>
      </c>
      <c r="O446" t="s">
        <v>33</v>
      </c>
      <c r="P446" t="s">
        <v>6194</v>
      </c>
    </row>
    <row r="447" spans="1:16" x14ac:dyDescent="0.25">
      <c r="A447">
        <v>46177</v>
      </c>
      <c r="B447" t="s">
        <v>5966</v>
      </c>
      <c r="C447" t="s">
        <v>37</v>
      </c>
      <c r="D447" t="s">
        <v>392</v>
      </c>
      <c r="E447">
        <v>68</v>
      </c>
      <c r="F447">
        <v>407.988</v>
      </c>
      <c r="G447">
        <v>1380.4680000000001</v>
      </c>
      <c r="H447" t="s">
        <v>367</v>
      </c>
      <c r="I447">
        <v>3500650</v>
      </c>
      <c r="J447" t="s">
        <v>1694</v>
      </c>
      <c r="K447">
        <v>42.7</v>
      </c>
      <c r="L447">
        <v>0</v>
      </c>
      <c r="M447">
        <v>3.5</v>
      </c>
      <c r="N447">
        <v>6</v>
      </c>
      <c r="O447" t="s">
        <v>33</v>
      </c>
      <c r="P447" t="s">
        <v>6194</v>
      </c>
    </row>
    <row r="448" spans="1:16" x14ac:dyDescent="0.25">
      <c r="A448">
        <v>46203</v>
      </c>
      <c r="B448" t="s">
        <v>5966</v>
      </c>
      <c r="C448" t="s">
        <v>37</v>
      </c>
      <c r="D448" t="s">
        <v>392</v>
      </c>
      <c r="E448">
        <v>12</v>
      </c>
      <c r="F448">
        <v>73.611999999999995</v>
      </c>
      <c r="G448">
        <v>176</v>
      </c>
      <c r="H448" t="s">
        <v>345</v>
      </c>
      <c r="I448">
        <v>3994149</v>
      </c>
      <c r="J448" t="s">
        <v>2395</v>
      </c>
      <c r="K448">
        <v>41.28</v>
      </c>
      <c r="L448">
        <v>0</v>
      </c>
      <c r="M448">
        <v>2.6</v>
      </c>
      <c r="N448">
        <v>6.0010000000000003</v>
      </c>
      <c r="O448" t="s">
        <v>33</v>
      </c>
      <c r="P448" t="s">
        <v>6189</v>
      </c>
    </row>
    <row r="449" spans="1:16" x14ac:dyDescent="0.25">
      <c r="A449">
        <v>46203</v>
      </c>
      <c r="B449" t="s">
        <v>5966</v>
      </c>
      <c r="C449" t="s">
        <v>37</v>
      </c>
      <c r="D449" t="s">
        <v>392</v>
      </c>
      <c r="E449">
        <v>151</v>
      </c>
      <c r="F449">
        <v>904.68</v>
      </c>
      <c r="G449">
        <v>2163</v>
      </c>
      <c r="H449" t="s">
        <v>345</v>
      </c>
      <c r="I449">
        <v>3994149</v>
      </c>
      <c r="J449" t="s">
        <v>2395</v>
      </c>
      <c r="K449">
        <v>41.28</v>
      </c>
      <c r="L449">
        <v>0</v>
      </c>
      <c r="M449">
        <v>2.6</v>
      </c>
      <c r="N449">
        <v>6.0010000000000003</v>
      </c>
      <c r="O449" t="s">
        <v>33</v>
      </c>
      <c r="P449" t="s">
        <v>6189</v>
      </c>
    </row>
    <row r="450" spans="1:16" x14ac:dyDescent="0.25">
      <c r="A450">
        <v>46203</v>
      </c>
      <c r="B450" t="s">
        <v>5966</v>
      </c>
      <c r="C450" t="s">
        <v>37</v>
      </c>
      <c r="D450" t="s">
        <v>392</v>
      </c>
      <c r="E450">
        <v>148</v>
      </c>
      <c r="F450">
        <v>885.85900000000004</v>
      </c>
      <c r="G450">
        <v>2118</v>
      </c>
      <c r="H450" t="s">
        <v>345</v>
      </c>
      <c r="I450">
        <v>3994149</v>
      </c>
      <c r="J450" t="s">
        <v>2395</v>
      </c>
      <c r="K450">
        <v>41.28</v>
      </c>
      <c r="L450">
        <v>0</v>
      </c>
      <c r="M450">
        <v>2.6</v>
      </c>
      <c r="N450">
        <v>6.0010000000000003</v>
      </c>
      <c r="O450" t="s">
        <v>33</v>
      </c>
      <c r="P450" t="s">
        <v>6189</v>
      </c>
    </row>
    <row r="451" spans="1:16" x14ac:dyDescent="0.25">
      <c r="A451">
        <v>46203</v>
      </c>
      <c r="B451" t="s">
        <v>5966</v>
      </c>
      <c r="C451" t="s">
        <v>37</v>
      </c>
      <c r="D451" t="s">
        <v>392</v>
      </c>
      <c r="E451">
        <v>147</v>
      </c>
      <c r="F451">
        <v>881.67600000000004</v>
      </c>
      <c r="G451">
        <v>2108</v>
      </c>
      <c r="H451" t="s">
        <v>345</v>
      </c>
      <c r="I451">
        <v>3994149</v>
      </c>
      <c r="J451" t="s">
        <v>2395</v>
      </c>
      <c r="K451">
        <v>41.28</v>
      </c>
      <c r="L451">
        <v>0</v>
      </c>
      <c r="M451">
        <v>2.6</v>
      </c>
      <c r="N451">
        <v>6.0010000000000003</v>
      </c>
      <c r="O451" t="s">
        <v>33</v>
      </c>
      <c r="P451" t="s">
        <v>6189</v>
      </c>
    </row>
    <row r="452" spans="1:16" x14ac:dyDescent="0.25">
      <c r="A452">
        <v>46203</v>
      </c>
      <c r="B452" t="s">
        <v>5966</v>
      </c>
      <c r="C452" t="s">
        <v>37</v>
      </c>
      <c r="D452" t="s">
        <v>392</v>
      </c>
      <c r="E452">
        <v>147</v>
      </c>
      <c r="F452">
        <v>880.42200000000003</v>
      </c>
      <c r="G452">
        <v>2105</v>
      </c>
      <c r="H452" t="s">
        <v>345</v>
      </c>
      <c r="I452">
        <v>3994149</v>
      </c>
      <c r="J452" t="s">
        <v>2395</v>
      </c>
      <c r="K452">
        <v>41.28</v>
      </c>
      <c r="L452">
        <v>0</v>
      </c>
      <c r="M452">
        <v>2.6</v>
      </c>
      <c r="N452">
        <v>6.0010000000000003</v>
      </c>
      <c r="O452" t="s">
        <v>33</v>
      </c>
      <c r="P452" t="s">
        <v>6189</v>
      </c>
    </row>
    <row r="453" spans="1:16" x14ac:dyDescent="0.25">
      <c r="A453">
        <v>46178</v>
      </c>
      <c r="B453" t="s">
        <v>5966</v>
      </c>
      <c r="C453" t="s">
        <v>37</v>
      </c>
      <c r="D453" t="s">
        <v>392</v>
      </c>
      <c r="E453">
        <v>127</v>
      </c>
      <c r="F453">
        <v>768.36800000000005</v>
      </c>
      <c r="G453">
        <v>2991.1039999999998</v>
      </c>
      <c r="H453" t="s">
        <v>367</v>
      </c>
      <c r="I453">
        <v>3502422</v>
      </c>
      <c r="J453" t="s">
        <v>2374</v>
      </c>
      <c r="K453">
        <v>48.6</v>
      </c>
      <c r="L453">
        <v>0</v>
      </c>
      <c r="M453">
        <v>3.5</v>
      </c>
      <c r="N453">
        <v>6.05</v>
      </c>
      <c r="O453" t="s">
        <v>33</v>
      </c>
      <c r="P453" t="s">
        <v>6202</v>
      </c>
    </row>
    <row r="454" spans="1:16" x14ac:dyDescent="0.25">
      <c r="A454">
        <v>46183</v>
      </c>
      <c r="B454" t="s">
        <v>5966</v>
      </c>
      <c r="C454" t="s">
        <v>37</v>
      </c>
      <c r="D454" t="s">
        <v>392</v>
      </c>
      <c r="E454">
        <v>217</v>
      </c>
      <c r="F454">
        <v>1343.2539999999999</v>
      </c>
      <c r="G454">
        <v>1934.5550000000001</v>
      </c>
      <c r="H454" t="s">
        <v>367</v>
      </c>
      <c r="I454">
        <v>3502254</v>
      </c>
      <c r="J454" t="s">
        <v>858</v>
      </c>
      <c r="K454">
        <v>38.1</v>
      </c>
      <c r="L454">
        <v>0</v>
      </c>
      <c r="M454">
        <v>1.6</v>
      </c>
      <c r="N454">
        <v>6.19</v>
      </c>
      <c r="O454" t="s">
        <v>33</v>
      </c>
      <c r="P454" t="s">
        <v>6186</v>
      </c>
    </row>
    <row r="455" spans="1:16" x14ac:dyDescent="0.25">
      <c r="A455">
        <v>46183</v>
      </c>
      <c r="B455" t="s">
        <v>5966</v>
      </c>
      <c r="C455" t="s">
        <v>37</v>
      </c>
      <c r="D455" t="s">
        <v>392</v>
      </c>
      <c r="E455">
        <v>217</v>
      </c>
      <c r="F455">
        <v>1343.2539999999999</v>
      </c>
      <c r="G455">
        <v>1934.5550000000001</v>
      </c>
      <c r="H455" t="s">
        <v>367</v>
      </c>
      <c r="I455">
        <v>3502254</v>
      </c>
      <c r="J455" t="s">
        <v>858</v>
      </c>
      <c r="K455">
        <v>38.1</v>
      </c>
      <c r="L455">
        <v>0</v>
      </c>
      <c r="M455">
        <v>1.6</v>
      </c>
      <c r="N455">
        <v>6.19</v>
      </c>
      <c r="O455" t="s">
        <v>33</v>
      </c>
      <c r="P455" t="s">
        <v>6186</v>
      </c>
    </row>
    <row r="456" spans="1:16" x14ac:dyDescent="0.25">
      <c r="A456">
        <v>46183</v>
      </c>
      <c r="B456" t="s">
        <v>5966</v>
      </c>
      <c r="C456" t="s">
        <v>37</v>
      </c>
      <c r="D456" t="s">
        <v>392</v>
      </c>
      <c r="E456">
        <v>217</v>
      </c>
      <c r="F456">
        <v>1343.2539999999999</v>
      </c>
      <c r="G456">
        <v>1934.5550000000001</v>
      </c>
      <c r="H456" t="s">
        <v>367</v>
      </c>
      <c r="I456">
        <v>3502254</v>
      </c>
      <c r="J456" t="s">
        <v>858</v>
      </c>
      <c r="K456">
        <v>38.1</v>
      </c>
      <c r="L456">
        <v>0</v>
      </c>
      <c r="M456">
        <v>1.6</v>
      </c>
      <c r="N456">
        <v>6.19</v>
      </c>
      <c r="O456" t="s">
        <v>33</v>
      </c>
      <c r="P456" t="s">
        <v>6186</v>
      </c>
    </row>
    <row r="457" spans="1:16" x14ac:dyDescent="0.25">
      <c r="A457">
        <v>46183</v>
      </c>
      <c r="B457" t="s">
        <v>5966</v>
      </c>
      <c r="C457" t="s">
        <v>37</v>
      </c>
      <c r="D457" t="s">
        <v>392</v>
      </c>
      <c r="E457">
        <v>217</v>
      </c>
      <c r="F457">
        <v>1343.2539999999999</v>
      </c>
      <c r="G457">
        <v>1934.5550000000001</v>
      </c>
      <c r="H457" t="s">
        <v>367</v>
      </c>
      <c r="I457">
        <v>3502254</v>
      </c>
      <c r="J457" t="s">
        <v>858</v>
      </c>
      <c r="K457">
        <v>38.1</v>
      </c>
      <c r="L457">
        <v>0</v>
      </c>
      <c r="M457">
        <v>1.6</v>
      </c>
      <c r="N457">
        <v>6.19</v>
      </c>
      <c r="O457" t="s">
        <v>33</v>
      </c>
      <c r="P457" t="s">
        <v>6186</v>
      </c>
    </row>
    <row r="458" spans="1:16" x14ac:dyDescent="0.25">
      <c r="A458">
        <v>46183</v>
      </c>
      <c r="B458" t="s">
        <v>5966</v>
      </c>
      <c r="C458" t="s">
        <v>37</v>
      </c>
      <c r="D458" t="s">
        <v>392</v>
      </c>
      <c r="E458">
        <v>217</v>
      </c>
      <c r="F458">
        <v>1343.2539999999999</v>
      </c>
      <c r="G458">
        <v>1934.5550000000001</v>
      </c>
      <c r="H458" t="s">
        <v>367</v>
      </c>
      <c r="I458">
        <v>3502254</v>
      </c>
      <c r="J458" t="s">
        <v>858</v>
      </c>
      <c r="K458">
        <v>38.1</v>
      </c>
      <c r="L458">
        <v>0</v>
      </c>
      <c r="M458">
        <v>1.6</v>
      </c>
      <c r="N458">
        <v>6.19</v>
      </c>
      <c r="O458" t="s">
        <v>33</v>
      </c>
      <c r="P458" t="s">
        <v>6186</v>
      </c>
    </row>
    <row r="459" spans="1:16" x14ac:dyDescent="0.25">
      <c r="A459">
        <v>46183</v>
      </c>
      <c r="B459" t="s">
        <v>5966</v>
      </c>
      <c r="C459" t="s">
        <v>37</v>
      </c>
      <c r="D459" t="s">
        <v>392</v>
      </c>
      <c r="E459">
        <v>217</v>
      </c>
      <c r="F459">
        <v>1343.2539999999999</v>
      </c>
      <c r="G459">
        <v>1934.5550000000001</v>
      </c>
      <c r="H459" t="s">
        <v>367</v>
      </c>
      <c r="I459">
        <v>3502254</v>
      </c>
      <c r="J459" t="s">
        <v>858</v>
      </c>
      <c r="K459">
        <v>38.1</v>
      </c>
      <c r="L459">
        <v>0</v>
      </c>
      <c r="M459">
        <v>1.6</v>
      </c>
      <c r="N459">
        <v>6.19</v>
      </c>
      <c r="O459" t="s">
        <v>33</v>
      </c>
      <c r="P459" t="s">
        <v>6186</v>
      </c>
    </row>
    <row r="460" spans="1:16" x14ac:dyDescent="0.25">
      <c r="A460">
        <v>46183</v>
      </c>
      <c r="B460" t="s">
        <v>5966</v>
      </c>
      <c r="C460" t="s">
        <v>37</v>
      </c>
      <c r="D460" t="s">
        <v>392</v>
      </c>
      <c r="E460">
        <v>208</v>
      </c>
      <c r="F460">
        <v>1287.5429999999999</v>
      </c>
      <c r="G460">
        <v>1854.32</v>
      </c>
      <c r="H460" t="s">
        <v>367</v>
      </c>
      <c r="I460">
        <v>3502254</v>
      </c>
      <c r="J460" t="s">
        <v>858</v>
      </c>
      <c r="K460">
        <v>38.1</v>
      </c>
      <c r="L460">
        <v>0</v>
      </c>
      <c r="M460">
        <v>1.6</v>
      </c>
      <c r="N460">
        <v>6.19</v>
      </c>
      <c r="O460" t="s">
        <v>33</v>
      </c>
      <c r="P460" t="s">
        <v>6186</v>
      </c>
    </row>
    <row r="461" spans="1:16" x14ac:dyDescent="0.25">
      <c r="A461">
        <v>46183</v>
      </c>
      <c r="B461" t="s">
        <v>5966</v>
      </c>
      <c r="C461" t="s">
        <v>37</v>
      </c>
      <c r="D461" t="s">
        <v>392</v>
      </c>
      <c r="E461">
        <v>169</v>
      </c>
      <c r="F461">
        <v>1046.1289999999999</v>
      </c>
      <c r="G461">
        <v>1506.635</v>
      </c>
      <c r="H461" t="s">
        <v>367</v>
      </c>
      <c r="I461">
        <v>3502254</v>
      </c>
      <c r="J461" t="s">
        <v>858</v>
      </c>
      <c r="K461">
        <v>38.1</v>
      </c>
      <c r="L461">
        <v>0</v>
      </c>
      <c r="M461">
        <v>1.6</v>
      </c>
      <c r="N461">
        <v>6.19</v>
      </c>
      <c r="O461" t="s">
        <v>33</v>
      </c>
      <c r="P461" t="s">
        <v>6186</v>
      </c>
    </row>
    <row r="462" spans="1:16" x14ac:dyDescent="0.25">
      <c r="A462">
        <v>46191</v>
      </c>
      <c r="B462" t="s">
        <v>5966</v>
      </c>
      <c r="C462" t="s">
        <v>37</v>
      </c>
      <c r="D462" t="s">
        <v>392</v>
      </c>
      <c r="E462">
        <v>216</v>
      </c>
      <c r="F462">
        <v>1337.0640000000001</v>
      </c>
      <c r="G462">
        <v>1925.64</v>
      </c>
      <c r="H462" t="s">
        <v>367</v>
      </c>
      <c r="I462">
        <v>3502254</v>
      </c>
      <c r="J462" t="s">
        <v>858</v>
      </c>
      <c r="K462">
        <v>38.1</v>
      </c>
      <c r="L462">
        <v>0</v>
      </c>
      <c r="M462">
        <v>1.6</v>
      </c>
      <c r="N462">
        <v>6.19</v>
      </c>
      <c r="O462" t="s">
        <v>33</v>
      </c>
      <c r="P462" t="s">
        <v>6186</v>
      </c>
    </row>
    <row r="463" spans="1:16" x14ac:dyDescent="0.25">
      <c r="A463">
        <v>46191</v>
      </c>
      <c r="B463" t="s">
        <v>5966</v>
      </c>
      <c r="C463" t="s">
        <v>37</v>
      </c>
      <c r="D463" t="s">
        <v>392</v>
      </c>
      <c r="E463">
        <v>217</v>
      </c>
      <c r="F463">
        <v>1343.2539999999999</v>
      </c>
      <c r="G463">
        <v>1934.5550000000001</v>
      </c>
      <c r="H463" t="s">
        <v>367</v>
      </c>
      <c r="I463">
        <v>3502254</v>
      </c>
      <c r="J463" t="s">
        <v>858</v>
      </c>
      <c r="K463">
        <v>38.1</v>
      </c>
      <c r="L463">
        <v>0</v>
      </c>
      <c r="M463">
        <v>1.6</v>
      </c>
      <c r="N463">
        <v>6.19</v>
      </c>
      <c r="O463" t="s">
        <v>33</v>
      </c>
      <c r="P463" t="s">
        <v>6186</v>
      </c>
    </row>
    <row r="464" spans="1:16" x14ac:dyDescent="0.25">
      <c r="A464">
        <v>46183</v>
      </c>
      <c r="B464" t="s">
        <v>5966</v>
      </c>
      <c r="C464" t="s">
        <v>37</v>
      </c>
      <c r="D464" t="s">
        <v>392</v>
      </c>
      <c r="E464">
        <v>216</v>
      </c>
      <c r="F464">
        <v>1337.0640000000001</v>
      </c>
      <c r="G464">
        <v>1925.64</v>
      </c>
      <c r="H464" t="s">
        <v>367</v>
      </c>
      <c r="I464">
        <v>3502254</v>
      </c>
      <c r="J464" t="s">
        <v>858</v>
      </c>
      <c r="K464">
        <v>38.1</v>
      </c>
      <c r="L464">
        <v>0</v>
      </c>
      <c r="M464">
        <v>1.6</v>
      </c>
      <c r="N464">
        <v>6.19</v>
      </c>
      <c r="O464" t="s">
        <v>33</v>
      </c>
      <c r="P464" t="s">
        <v>6186</v>
      </c>
    </row>
    <row r="465" spans="1:16" x14ac:dyDescent="0.25">
      <c r="A465">
        <v>46183</v>
      </c>
      <c r="B465" t="s">
        <v>5966</v>
      </c>
      <c r="C465" t="s">
        <v>37</v>
      </c>
      <c r="D465" t="s">
        <v>392</v>
      </c>
      <c r="E465">
        <v>216</v>
      </c>
      <c r="F465">
        <v>1337.0640000000001</v>
      </c>
      <c r="G465">
        <v>1925.64</v>
      </c>
      <c r="H465" t="s">
        <v>367</v>
      </c>
      <c r="I465">
        <v>3502254</v>
      </c>
      <c r="J465" t="s">
        <v>858</v>
      </c>
      <c r="K465">
        <v>38.1</v>
      </c>
      <c r="L465">
        <v>0</v>
      </c>
      <c r="M465">
        <v>1.6</v>
      </c>
      <c r="N465">
        <v>6.19</v>
      </c>
      <c r="O465" t="s">
        <v>33</v>
      </c>
      <c r="P465" t="s">
        <v>6186</v>
      </c>
    </row>
    <row r="466" spans="1:16" x14ac:dyDescent="0.25">
      <c r="A466">
        <v>46178</v>
      </c>
      <c r="B466" t="s">
        <v>5966</v>
      </c>
      <c r="C466" t="s">
        <v>37</v>
      </c>
      <c r="D466" t="s">
        <v>392</v>
      </c>
      <c r="E466">
        <v>213</v>
      </c>
      <c r="F466">
        <v>1318.4939999999999</v>
      </c>
      <c r="G466">
        <v>1898.895</v>
      </c>
      <c r="H466" t="s">
        <v>367</v>
      </c>
      <c r="I466">
        <v>3502254</v>
      </c>
      <c r="J466" t="s">
        <v>858</v>
      </c>
      <c r="K466">
        <v>38.1</v>
      </c>
      <c r="L466">
        <v>0</v>
      </c>
      <c r="M466">
        <v>1.6</v>
      </c>
      <c r="N466">
        <v>6.19</v>
      </c>
      <c r="O466" t="s">
        <v>33</v>
      </c>
      <c r="P466" t="s">
        <v>6186</v>
      </c>
    </row>
    <row r="467" spans="1:16" x14ac:dyDescent="0.25">
      <c r="A467">
        <v>46183</v>
      </c>
      <c r="B467" t="s">
        <v>5966</v>
      </c>
      <c r="C467" t="s">
        <v>37</v>
      </c>
      <c r="D467" t="s">
        <v>392</v>
      </c>
      <c r="E467">
        <v>216</v>
      </c>
      <c r="F467">
        <v>1337.0640000000001</v>
      </c>
      <c r="G467">
        <v>1925.64</v>
      </c>
      <c r="H467" t="s">
        <v>367</v>
      </c>
      <c r="I467">
        <v>3502254</v>
      </c>
      <c r="J467" t="s">
        <v>858</v>
      </c>
      <c r="K467">
        <v>38.1</v>
      </c>
      <c r="L467">
        <v>0</v>
      </c>
      <c r="M467">
        <v>1.6</v>
      </c>
      <c r="N467">
        <v>6.19</v>
      </c>
      <c r="O467" t="s">
        <v>33</v>
      </c>
      <c r="P467" t="s">
        <v>6186</v>
      </c>
    </row>
    <row r="468" spans="1:16" x14ac:dyDescent="0.25">
      <c r="A468">
        <v>46183</v>
      </c>
      <c r="B468" t="s">
        <v>5966</v>
      </c>
      <c r="C468" t="s">
        <v>37</v>
      </c>
      <c r="D468" t="s">
        <v>392</v>
      </c>
      <c r="E468">
        <v>217</v>
      </c>
      <c r="F468">
        <v>1343.2539999999999</v>
      </c>
      <c r="G468">
        <v>1934.5550000000001</v>
      </c>
      <c r="H468" t="s">
        <v>367</v>
      </c>
      <c r="I468">
        <v>3502254</v>
      </c>
      <c r="J468" t="s">
        <v>858</v>
      </c>
      <c r="K468">
        <v>38.1</v>
      </c>
      <c r="L468">
        <v>0</v>
      </c>
      <c r="M468">
        <v>1.6</v>
      </c>
      <c r="N468">
        <v>6.19</v>
      </c>
      <c r="O468" t="s">
        <v>33</v>
      </c>
      <c r="P468" t="s">
        <v>6186</v>
      </c>
    </row>
    <row r="469" spans="1:16" x14ac:dyDescent="0.25">
      <c r="A469">
        <v>46195</v>
      </c>
      <c r="B469" t="s">
        <v>5966</v>
      </c>
      <c r="C469" t="s">
        <v>37</v>
      </c>
      <c r="D469" t="s">
        <v>392</v>
      </c>
      <c r="E469">
        <v>218</v>
      </c>
      <c r="F469">
        <v>1349.4449999999999</v>
      </c>
      <c r="G469">
        <v>1943.47</v>
      </c>
      <c r="H469" t="s">
        <v>367</v>
      </c>
      <c r="I469">
        <v>3502254</v>
      </c>
      <c r="J469" t="s">
        <v>858</v>
      </c>
      <c r="K469">
        <v>38.1</v>
      </c>
      <c r="L469">
        <v>0</v>
      </c>
      <c r="M469">
        <v>1.6</v>
      </c>
      <c r="N469">
        <v>6.19</v>
      </c>
      <c r="O469" t="s">
        <v>33</v>
      </c>
      <c r="P469" t="s">
        <v>6186</v>
      </c>
    </row>
    <row r="470" spans="1:16" x14ac:dyDescent="0.25">
      <c r="A470">
        <v>46183</v>
      </c>
      <c r="B470" t="s">
        <v>5966</v>
      </c>
      <c r="C470" t="s">
        <v>37</v>
      </c>
      <c r="D470" t="s">
        <v>392</v>
      </c>
      <c r="E470">
        <v>217</v>
      </c>
      <c r="F470">
        <v>1343.2539999999999</v>
      </c>
      <c r="G470">
        <v>1934.5550000000001</v>
      </c>
      <c r="H470" t="s">
        <v>367</v>
      </c>
      <c r="I470">
        <v>3502254</v>
      </c>
      <c r="J470" t="s">
        <v>858</v>
      </c>
      <c r="K470">
        <v>38.1</v>
      </c>
      <c r="L470">
        <v>0</v>
      </c>
      <c r="M470">
        <v>1.6</v>
      </c>
      <c r="N470">
        <v>6.19</v>
      </c>
      <c r="O470" t="s">
        <v>33</v>
      </c>
      <c r="P470" t="s">
        <v>6186</v>
      </c>
    </row>
    <row r="471" spans="1:16" x14ac:dyDescent="0.25">
      <c r="A471">
        <v>46195</v>
      </c>
      <c r="B471" t="s">
        <v>5966</v>
      </c>
      <c r="C471" t="s">
        <v>37</v>
      </c>
      <c r="D471" t="s">
        <v>392</v>
      </c>
      <c r="E471">
        <v>216</v>
      </c>
      <c r="F471">
        <v>1337.0640000000001</v>
      </c>
      <c r="G471">
        <v>1925.64</v>
      </c>
      <c r="H471" t="s">
        <v>367</v>
      </c>
      <c r="I471">
        <v>3502254</v>
      </c>
      <c r="J471" t="s">
        <v>858</v>
      </c>
      <c r="K471">
        <v>38.1</v>
      </c>
      <c r="L471">
        <v>0</v>
      </c>
      <c r="M471">
        <v>1.6</v>
      </c>
      <c r="N471">
        <v>6.19</v>
      </c>
      <c r="O471" t="s">
        <v>33</v>
      </c>
      <c r="P471" t="s">
        <v>6186</v>
      </c>
    </row>
    <row r="472" spans="1:16" x14ac:dyDescent="0.25">
      <c r="A472">
        <v>46195</v>
      </c>
      <c r="B472" t="s">
        <v>5966</v>
      </c>
      <c r="C472" t="s">
        <v>37</v>
      </c>
      <c r="D472" t="s">
        <v>392</v>
      </c>
      <c r="E472">
        <v>217</v>
      </c>
      <c r="F472">
        <v>1343.2539999999999</v>
      </c>
      <c r="G472">
        <v>1934.5550000000001</v>
      </c>
      <c r="H472" t="s">
        <v>367</v>
      </c>
      <c r="I472">
        <v>3502254</v>
      </c>
      <c r="J472" t="s">
        <v>858</v>
      </c>
      <c r="K472">
        <v>38.1</v>
      </c>
      <c r="L472">
        <v>0</v>
      </c>
      <c r="M472">
        <v>1.6</v>
      </c>
      <c r="N472">
        <v>6.19</v>
      </c>
      <c r="O472" t="s">
        <v>33</v>
      </c>
      <c r="P472" t="s">
        <v>6186</v>
      </c>
    </row>
    <row r="473" spans="1:16" x14ac:dyDescent="0.25">
      <c r="A473">
        <v>46195</v>
      </c>
      <c r="B473" t="s">
        <v>5966</v>
      </c>
      <c r="C473" t="s">
        <v>37</v>
      </c>
      <c r="D473" t="s">
        <v>392</v>
      </c>
      <c r="E473">
        <v>217</v>
      </c>
      <c r="F473">
        <v>1343.2539999999999</v>
      </c>
      <c r="G473">
        <v>1934.5550000000001</v>
      </c>
      <c r="H473" t="s">
        <v>367</v>
      </c>
      <c r="I473">
        <v>3502254</v>
      </c>
      <c r="J473" t="s">
        <v>858</v>
      </c>
      <c r="K473">
        <v>38.1</v>
      </c>
      <c r="L473">
        <v>0</v>
      </c>
      <c r="M473">
        <v>1.6</v>
      </c>
      <c r="N473">
        <v>6.19</v>
      </c>
      <c r="O473" t="s">
        <v>33</v>
      </c>
      <c r="P473" t="s">
        <v>6186</v>
      </c>
    </row>
    <row r="474" spans="1:16" x14ac:dyDescent="0.25">
      <c r="A474">
        <v>46191</v>
      </c>
      <c r="B474" t="s">
        <v>5966</v>
      </c>
      <c r="C474" t="s">
        <v>37</v>
      </c>
      <c r="D474" t="s">
        <v>392</v>
      </c>
      <c r="E474">
        <v>217</v>
      </c>
      <c r="F474">
        <v>1343.2539999999999</v>
      </c>
      <c r="G474">
        <v>1934.5550000000001</v>
      </c>
      <c r="H474" t="s">
        <v>367</v>
      </c>
      <c r="I474">
        <v>3502254</v>
      </c>
      <c r="J474" t="s">
        <v>858</v>
      </c>
      <c r="K474">
        <v>38.1</v>
      </c>
      <c r="L474">
        <v>0</v>
      </c>
      <c r="M474">
        <v>1.6</v>
      </c>
      <c r="N474">
        <v>6.19</v>
      </c>
      <c r="O474" t="s">
        <v>33</v>
      </c>
      <c r="P474" t="s">
        <v>6186</v>
      </c>
    </row>
    <row r="475" spans="1:16" x14ac:dyDescent="0.25">
      <c r="A475">
        <v>46195</v>
      </c>
      <c r="B475" t="s">
        <v>5966</v>
      </c>
      <c r="C475" t="s">
        <v>37</v>
      </c>
      <c r="D475" t="s">
        <v>392</v>
      </c>
      <c r="E475">
        <v>217</v>
      </c>
      <c r="F475">
        <v>1343.2539999999999</v>
      </c>
      <c r="G475">
        <v>1934.5550000000001</v>
      </c>
      <c r="H475" t="s">
        <v>367</v>
      </c>
      <c r="I475">
        <v>3502254</v>
      </c>
      <c r="J475" t="s">
        <v>858</v>
      </c>
      <c r="K475">
        <v>38.1</v>
      </c>
      <c r="L475">
        <v>0</v>
      </c>
      <c r="M475">
        <v>1.6</v>
      </c>
      <c r="N475">
        <v>6.19</v>
      </c>
      <c r="O475" t="s">
        <v>33</v>
      </c>
      <c r="P475" t="s">
        <v>6186</v>
      </c>
    </row>
    <row r="476" spans="1:16" x14ac:dyDescent="0.25">
      <c r="A476">
        <v>46195</v>
      </c>
      <c r="B476" t="s">
        <v>5966</v>
      </c>
      <c r="C476" t="s">
        <v>37</v>
      </c>
      <c r="D476" t="s">
        <v>392</v>
      </c>
      <c r="E476">
        <v>217</v>
      </c>
      <c r="F476">
        <v>1343.2539999999999</v>
      </c>
      <c r="G476">
        <v>1934.5550000000001</v>
      </c>
      <c r="H476" t="s">
        <v>367</v>
      </c>
      <c r="I476">
        <v>3502254</v>
      </c>
      <c r="J476" t="s">
        <v>858</v>
      </c>
      <c r="K476">
        <v>38.1</v>
      </c>
      <c r="L476">
        <v>0</v>
      </c>
      <c r="M476">
        <v>1.6</v>
      </c>
      <c r="N476">
        <v>6.19</v>
      </c>
      <c r="O476" t="s">
        <v>33</v>
      </c>
      <c r="P476" t="s">
        <v>6186</v>
      </c>
    </row>
    <row r="477" spans="1:16" x14ac:dyDescent="0.25">
      <c r="A477">
        <v>46191</v>
      </c>
      <c r="B477" t="s">
        <v>5966</v>
      </c>
      <c r="C477" t="s">
        <v>37</v>
      </c>
      <c r="D477" t="s">
        <v>392</v>
      </c>
      <c r="E477">
        <v>217</v>
      </c>
      <c r="F477">
        <v>1343.2539999999999</v>
      </c>
      <c r="G477">
        <v>1934.5550000000001</v>
      </c>
      <c r="H477" t="s">
        <v>367</v>
      </c>
      <c r="I477">
        <v>3502254</v>
      </c>
      <c r="J477" t="s">
        <v>858</v>
      </c>
      <c r="K477">
        <v>38.1</v>
      </c>
      <c r="L477">
        <v>0</v>
      </c>
      <c r="M477">
        <v>1.6</v>
      </c>
      <c r="N477">
        <v>6.19</v>
      </c>
      <c r="O477" t="s">
        <v>33</v>
      </c>
      <c r="P477" t="s">
        <v>6186</v>
      </c>
    </row>
    <row r="478" spans="1:16" x14ac:dyDescent="0.25">
      <c r="A478">
        <v>46202</v>
      </c>
      <c r="B478" t="s">
        <v>5966</v>
      </c>
      <c r="C478" t="s">
        <v>37</v>
      </c>
      <c r="D478" t="s">
        <v>392</v>
      </c>
      <c r="E478">
        <v>216</v>
      </c>
      <c r="F478">
        <v>1336.992</v>
      </c>
      <c r="G478">
        <v>2825.0639999999999</v>
      </c>
      <c r="H478" t="s">
        <v>367</v>
      </c>
      <c r="I478">
        <v>3502007</v>
      </c>
      <c r="J478" t="s">
        <v>5993</v>
      </c>
      <c r="K478">
        <v>38.1</v>
      </c>
      <c r="L478">
        <v>0</v>
      </c>
      <c r="M478">
        <v>2.5</v>
      </c>
      <c r="N478">
        <v>6.19</v>
      </c>
      <c r="O478" t="s">
        <v>33</v>
      </c>
      <c r="P478" t="s">
        <v>6188</v>
      </c>
    </row>
    <row r="479" spans="1:16" x14ac:dyDescent="0.25">
      <c r="A479">
        <v>46202</v>
      </c>
      <c r="B479" t="s">
        <v>5966</v>
      </c>
      <c r="C479" t="s">
        <v>37</v>
      </c>
      <c r="D479" t="s">
        <v>392</v>
      </c>
      <c r="E479">
        <v>217</v>
      </c>
      <c r="F479">
        <v>1343.182</v>
      </c>
      <c r="G479">
        <v>2838.143</v>
      </c>
      <c r="H479" t="s">
        <v>367</v>
      </c>
      <c r="I479">
        <v>3502007</v>
      </c>
      <c r="J479" t="s">
        <v>5993</v>
      </c>
      <c r="K479">
        <v>38.1</v>
      </c>
      <c r="L479">
        <v>0</v>
      </c>
      <c r="M479">
        <v>2.5</v>
      </c>
      <c r="N479">
        <v>6.19</v>
      </c>
      <c r="O479" t="s">
        <v>33</v>
      </c>
      <c r="P479" t="s">
        <v>6188</v>
      </c>
    </row>
    <row r="480" spans="1:16" x14ac:dyDescent="0.25">
      <c r="A480">
        <v>46181</v>
      </c>
      <c r="B480" t="s">
        <v>5966</v>
      </c>
      <c r="C480" t="s">
        <v>37</v>
      </c>
      <c r="D480" t="s">
        <v>392</v>
      </c>
      <c r="E480">
        <v>201</v>
      </c>
      <c r="F480">
        <v>1245.645</v>
      </c>
      <c r="G480">
        <v>1573</v>
      </c>
      <c r="H480" t="s">
        <v>1834</v>
      </c>
      <c r="I480">
        <v>3775569</v>
      </c>
      <c r="J480" t="s">
        <v>595</v>
      </c>
      <c r="K480">
        <v>19</v>
      </c>
      <c r="L480">
        <v>12.5</v>
      </c>
      <c r="M480">
        <v>3.25</v>
      </c>
      <c r="N480">
        <v>6.2</v>
      </c>
      <c r="O480" t="s">
        <v>33</v>
      </c>
    </row>
    <row r="481" spans="1:15" x14ac:dyDescent="0.25">
      <c r="A481">
        <v>46181</v>
      </c>
      <c r="B481" t="s">
        <v>5966</v>
      </c>
      <c r="C481" t="s">
        <v>37</v>
      </c>
      <c r="D481" t="s">
        <v>392</v>
      </c>
      <c r="E481">
        <v>306</v>
      </c>
      <c r="F481">
        <v>1896.579</v>
      </c>
      <c r="G481">
        <v>2395</v>
      </c>
      <c r="H481" t="s">
        <v>1834</v>
      </c>
      <c r="I481">
        <v>3775569</v>
      </c>
      <c r="J481" t="s">
        <v>595</v>
      </c>
      <c r="K481">
        <v>19</v>
      </c>
      <c r="L481">
        <v>12.5</v>
      </c>
      <c r="M481">
        <v>3.25</v>
      </c>
      <c r="N481">
        <v>6.2</v>
      </c>
      <c r="O481" t="s">
        <v>33</v>
      </c>
    </row>
    <row r="482" spans="1:15" x14ac:dyDescent="0.25">
      <c r="A482">
        <v>46181</v>
      </c>
      <c r="B482" t="s">
        <v>5966</v>
      </c>
      <c r="C482" t="s">
        <v>37</v>
      </c>
      <c r="D482" t="s">
        <v>392</v>
      </c>
      <c r="E482">
        <v>176</v>
      </c>
      <c r="F482">
        <v>1090.434</v>
      </c>
      <c r="G482">
        <v>1377</v>
      </c>
      <c r="H482" t="s">
        <v>1834</v>
      </c>
      <c r="I482">
        <v>3775569</v>
      </c>
      <c r="J482" t="s">
        <v>595</v>
      </c>
      <c r="K482">
        <v>19</v>
      </c>
      <c r="L482">
        <v>12.5</v>
      </c>
      <c r="M482">
        <v>3.25</v>
      </c>
      <c r="N482">
        <v>6.2</v>
      </c>
      <c r="O482" t="s">
        <v>33</v>
      </c>
    </row>
    <row r="483" spans="1:15" x14ac:dyDescent="0.25">
      <c r="A483">
        <v>46181</v>
      </c>
      <c r="B483" t="s">
        <v>5966</v>
      </c>
      <c r="C483" t="s">
        <v>37</v>
      </c>
      <c r="D483" t="s">
        <v>392</v>
      </c>
      <c r="E483">
        <v>140</v>
      </c>
      <c r="F483">
        <v>867.12099999999998</v>
      </c>
      <c r="G483">
        <v>1095</v>
      </c>
      <c r="H483" t="s">
        <v>1834</v>
      </c>
      <c r="I483">
        <v>3775569</v>
      </c>
      <c r="J483" t="s">
        <v>595</v>
      </c>
      <c r="K483">
        <v>19</v>
      </c>
      <c r="L483">
        <v>12.5</v>
      </c>
      <c r="M483">
        <v>3.25</v>
      </c>
      <c r="N483">
        <v>6.2</v>
      </c>
      <c r="O483" t="s">
        <v>33</v>
      </c>
    </row>
    <row r="484" spans="1:15" x14ac:dyDescent="0.25">
      <c r="A484">
        <v>46181</v>
      </c>
      <c r="B484" t="s">
        <v>5966</v>
      </c>
      <c r="C484" t="s">
        <v>37</v>
      </c>
      <c r="D484" t="s">
        <v>392</v>
      </c>
      <c r="E484">
        <v>150</v>
      </c>
      <c r="F484">
        <v>928.88800000000003</v>
      </c>
      <c r="G484">
        <v>1173</v>
      </c>
      <c r="H484" t="s">
        <v>1834</v>
      </c>
      <c r="I484">
        <v>3775569</v>
      </c>
      <c r="J484" t="s">
        <v>595</v>
      </c>
      <c r="K484">
        <v>19</v>
      </c>
      <c r="L484">
        <v>12.5</v>
      </c>
      <c r="M484">
        <v>3.25</v>
      </c>
      <c r="N484">
        <v>6.2</v>
      </c>
      <c r="O484" t="s">
        <v>33</v>
      </c>
    </row>
    <row r="485" spans="1:15" x14ac:dyDescent="0.25">
      <c r="A485">
        <v>46181</v>
      </c>
      <c r="B485" t="s">
        <v>5966</v>
      </c>
      <c r="C485" t="s">
        <v>37</v>
      </c>
      <c r="D485" t="s">
        <v>392</v>
      </c>
      <c r="E485">
        <v>74</v>
      </c>
      <c r="F485">
        <v>456.12900000000002</v>
      </c>
      <c r="G485">
        <v>576</v>
      </c>
      <c r="H485" t="s">
        <v>1834</v>
      </c>
      <c r="I485">
        <v>3775569</v>
      </c>
      <c r="J485" t="s">
        <v>595</v>
      </c>
      <c r="K485">
        <v>19</v>
      </c>
      <c r="L485">
        <v>12.5</v>
      </c>
      <c r="M485">
        <v>3.25</v>
      </c>
      <c r="N485">
        <v>6.2</v>
      </c>
      <c r="O485" t="s">
        <v>33</v>
      </c>
    </row>
    <row r="486" spans="1:15" x14ac:dyDescent="0.25">
      <c r="A486">
        <v>46181</v>
      </c>
      <c r="B486" t="s">
        <v>5966</v>
      </c>
      <c r="C486" t="s">
        <v>37</v>
      </c>
      <c r="D486" t="s">
        <v>392</v>
      </c>
      <c r="E486">
        <v>262</v>
      </c>
      <c r="F486">
        <v>1624.1690000000001</v>
      </c>
      <c r="G486">
        <v>2051</v>
      </c>
      <c r="H486" t="s">
        <v>1834</v>
      </c>
      <c r="I486">
        <v>3775569</v>
      </c>
      <c r="J486" t="s">
        <v>595</v>
      </c>
      <c r="K486">
        <v>19</v>
      </c>
      <c r="L486">
        <v>12.5</v>
      </c>
      <c r="M486">
        <v>3.25</v>
      </c>
      <c r="N486">
        <v>6.2</v>
      </c>
      <c r="O486" t="s">
        <v>33</v>
      </c>
    </row>
    <row r="487" spans="1:15" x14ac:dyDescent="0.25">
      <c r="A487">
        <v>46190</v>
      </c>
      <c r="B487" t="s">
        <v>6413</v>
      </c>
      <c r="C487" t="s">
        <v>34</v>
      </c>
      <c r="D487" t="s">
        <v>392</v>
      </c>
      <c r="E487">
        <v>56</v>
      </c>
      <c r="F487">
        <v>349.99799999999999</v>
      </c>
      <c r="G487">
        <v>2278.6959999999999</v>
      </c>
      <c r="H487" t="s">
        <v>367</v>
      </c>
      <c r="I487">
        <v>3772811</v>
      </c>
      <c r="J487" t="s">
        <v>6414</v>
      </c>
      <c r="K487">
        <v>50</v>
      </c>
      <c r="L487">
        <v>0</v>
      </c>
      <c r="M487">
        <v>6</v>
      </c>
      <c r="N487">
        <v>6.25</v>
      </c>
      <c r="O487" t="s">
        <v>35</v>
      </c>
    </row>
    <row r="488" spans="1:15" x14ac:dyDescent="0.25">
      <c r="A488">
        <v>46190</v>
      </c>
      <c r="B488" t="s">
        <v>6413</v>
      </c>
      <c r="C488" t="s">
        <v>34</v>
      </c>
      <c r="D488" t="s">
        <v>392</v>
      </c>
      <c r="E488">
        <v>58</v>
      </c>
      <c r="F488">
        <v>362.49799999999999</v>
      </c>
      <c r="G488">
        <v>2360.078</v>
      </c>
      <c r="H488" t="s">
        <v>367</v>
      </c>
      <c r="I488">
        <v>3772811</v>
      </c>
      <c r="J488" t="s">
        <v>6414</v>
      </c>
      <c r="K488">
        <v>50</v>
      </c>
      <c r="L488">
        <v>0</v>
      </c>
      <c r="M488">
        <v>6</v>
      </c>
      <c r="N488">
        <v>6.25</v>
      </c>
      <c r="O488" t="s">
        <v>35</v>
      </c>
    </row>
    <row r="489" spans="1:15" x14ac:dyDescent="0.25">
      <c r="A489">
        <v>46190</v>
      </c>
      <c r="B489" t="s">
        <v>6413</v>
      </c>
      <c r="C489" t="s">
        <v>34</v>
      </c>
      <c r="D489" t="s">
        <v>392</v>
      </c>
      <c r="E489">
        <v>58</v>
      </c>
      <c r="F489">
        <v>362.49799999999999</v>
      </c>
      <c r="G489">
        <v>2360.078</v>
      </c>
      <c r="H489" t="s">
        <v>367</v>
      </c>
      <c r="I489">
        <v>3772811</v>
      </c>
      <c r="J489" t="s">
        <v>6414</v>
      </c>
      <c r="K489">
        <v>50</v>
      </c>
      <c r="L489">
        <v>0</v>
      </c>
      <c r="M489">
        <v>6</v>
      </c>
      <c r="N489">
        <v>6.25</v>
      </c>
      <c r="O489" t="s">
        <v>35</v>
      </c>
    </row>
    <row r="490" spans="1:15" x14ac:dyDescent="0.25">
      <c r="A490">
        <v>46190</v>
      </c>
      <c r="B490" t="s">
        <v>6413</v>
      </c>
      <c r="C490" t="s">
        <v>34</v>
      </c>
      <c r="D490" t="s">
        <v>392</v>
      </c>
      <c r="E490">
        <v>56</v>
      </c>
      <c r="F490">
        <v>349.99799999999999</v>
      </c>
      <c r="G490">
        <v>2278.6959999999999</v>
      </c>
      <c r="H490" t="s">
        <v>367</v>
      </c>
      <c r="I490">
        <v>3772811</v>
      </c>
      <c r="J490" t="s">
        <v>6414</v>
      </c>
      <c r="K490">
        <v>50</v>
      </c>
      <c r="L490">
        <v>0</v>
      </c>
      <c r="M490">
        <v>6</v>
      </c>
      <c r="N490">
        <v>6.25</v>
      </c>
      <c r="O490" t="s">
        <v>35</v>
      </c>
    </row>
    <row r="491" spans="1:15" x14ac:dyDescent="0.25">
      <c r="A491">
        <v>46190</v>
      </c>
      <c r="B491" t="s">
        <v>6413</v>
      </c>
      <c r="C491" t="s">
        <v>34</v>
      </c>
      <c r="D491" t="s">
        <v>392</v>
      </c>
      <c r="E491">
        <v>59</v>
      </c>
      <c r="F491">
        <v>368.74799999999999</v>
      </c>
      <c r="G491">
        <v>2400.7689999999998</v>
      </c>
      <c r="H491" t="s">
        <v>367</v>
      </c>
      <c r="I491">
        <v>3772811</v>
      </c>
      <c r="J491" t="s">
        <v>6414</v>
      </c>
      <c r="K491">
        <v>50</v>
      </c>
      <c r="L491">
        <v>0</v>
      </c>
      <c r="M491">
        <v>6</v>
      </c>
      <c r="N491">
        <v>6.25</v>
      </c>
      <c r="O491" t="s">
        <v>35</v>
      </c>
    </row>
    <row r="492" spans="1:15" x14ac:dyDescent="0.25">
      <c r="A492">
        <v>46190</v>
      </c>
      <c r="B492" t="s">
        <v>6413</v>
      </c>
      <c r="C492" t="s">
        <v>34</v>
      </c>
      <c r="D492" t="s">
        <v>392</v>
      </c>
      <c r="E492">
        <v>57</v>
      </c>
      <c r="F492">
        <v>356.24799999999999</v>
      </c>
      <c r="G492">
        <v>2319.3870000000002</v>
      </c>
      <c r="H492" t="s">
        <v>367</v>
      </c>
      <c r="I492">
        <v>3772811</v>
      </c>
      <c r="J492" t="s">
        <v>6414</v>
      </c>
      <c r="K492">
        <v>50</v>
      </c>
      <c r="L492">
        <v>0</v>
      </c>
      <c r="M492">
        <v>6</v>
      </c>
      <c r="N492">
        <v>6.25</v>
      </c>
      <c r="O492" t="s">
        <v>35</v>
      </c>
    </row>
    <row r="493" spans="1:15" x14ac:dyDescent="0.25">
      <c r="A493">
        <v>46190</v>
      </c>
      <c r="B493" t="s">
        <v>6413</v>
      </c>
      <c r="C493" t="s">
        <v>34</v>
      </c>
      <c r="D493" t="s">
        <v>392</v>
      </c>
      <c r="E493">
        <v>52</v>
      </c>
      <c r="F493">
        <v>324.99799999999999</v>
      </c>
      <c r="G493">
        <v>2115.9319999999998</v>
      </c>
      <c r="H493" t="s">
        <v>367</v>
      </c>
      <c r="I493">
        <v>3772811</v>
      </c>
      <c r="J493" t="s">
        <v>6414</v>
      </c>
      <c r="K493">
        <v>50</v>
      </c>
      <c r="L493">
        <v>0</v>
      </c>
      <c r="M493">
        <v>6</v>
      </c>
      <c r="N493">
        <v>6.25</v>
      </c>
      <c r="O493" t="s">
        <v>35</v>
      </c>
    </row>
    <row r="494" spans="1:15" x14ac:dyDescent="0.25">
      <c r="A494">
        <v>46190</v>
      </c>
      <c r="B494" t="s">
        <v>6413</v>
      </c>
      <c r="C494" t="s">
        <v>34</v>
      </c>
      <c r="D494" t="s">
        <v>392</v>
      </c>
      <c r="E494">
        <v>54</v>
      </c>
      <c r="F494">
        <v>337.49799999999999</v>
      </c>
      <c r="G494">
        <v>2197.3139999999999</v>
      </c>
      <c r="H494" t="s">
        <v>367</v>
      </c>
      <c r="I494">
        <v>3772811</v>
      </c>
      <c r="J494" t="s">
        <v>6414</v>
      </c>
      <c r="K494">
        <v>50</v>
      </c>
      <c r="L494">
        <v>0</v>
      </c>
      <c r="M494">
        <v>6</v>
      </c>
      <c r="N494">
        <v>6.25</v>
      </c>
      <c r="O494" t="s">
        <v>35</v>
      </c>
    </row>
    <row r="495" spans="1:15" x14ac:dyDescent="0.25">
      <c r="A495">
        <v>46190</v>
      </c>
      <c r="B495" t="s">
        <v>6413</v>
      </c>
      <c r="C495" t="s">
        <v>34</v>
      </c>
      <c r="D495" t="s">
        <v>392</v>
      </c>
      <c r="E495">
        <v>56</v>
      </c>
      <c r="F495">
        <v>349.99799999999999</v>
      </c>
      <c r="G495">
        <v>2278.6959999999999</v>
      </c>
      <c r="H495" t="s">
        <v>367</v>
      </c>
      <c r="I495">
        <v>3772811</v>
      </c>
      <c r="J495" t="s">
        <v>6414</v>
      </c>
      <c r="K495">
        <v>50</v>
      </c>
      <c r="L495">
        <v>0</v>
      </c>
      <c r="M495">
        <v>6</v>
      </c>
      <c r="N495">
        <v>6.25</v>
      </c>
      <c r="O495" t="s">
        <v>35</v>
      </c>
    </row>
    <row r="496" spans="1:15" x14ac:dyDescent="0.25">
      <c r="A496">
        <v>46199</v>
      </c>
      <c r="B496" t="s">
        <v>6413</v>
      </c>
      <c r="C496" t="s">
        <v>34</v>
      </c>
      <c r="D496" t="s">
        <v>392</v>
      </c>
      <c r="E496">
        <v>59</v>
      </c>
      <c r="F496">
        <v>368.74799999999999</v>
      </c>
      <c r="G496">
        <v>2400.7689999999998</v>
      </c>
      <c r="H496" t="s">
        <v>367</v>
      </c>
      <c r="I496">
        <v>3772811</v>
      </c>
      <c r="J496" t="s">
        <v>6414</v>
      </c>
      <c r="K496">
        <v>50</v>
      </c>
      <c r="L496">
        <v>0</v>
      </c>
      <c r="M496">
        <v>6</v>
      </c>
      <c r="N496">
        <v>6.25</v>
      </c>
      <c r="O496" t="s">
        <v>35</v>
      </c>
    </row>
    <row r="497" spans="1:16" x14ac:dyDescent="0.25">
      <c r="A497">
        <v>46199</v>
      </c>
      <c r="B497" t="s">
        <v>6413</v>
      </c>
      <c r="C497" t="s">
        <v>34</v>
      </c>
      <c r="D497" t="s">
        <v>392</v>
      </c>
      <c r="E497">
        <v>58</v>
      </c>
      <c r="F497">
        <v>362.49799999999999</v>
      </c>
      <c r="G497">
        <v>2360.078</v>
      </c>
      <c r="H497" t="s">
        <v>367</v>
      </c>
      <c r="I497">
        <v>3772811</v>
      </c>
      <c r="J497" t="s">
        <v>6414</v>
      </c>
      <c r="K497">
        <v>50</v>
      </c>
      <c r="L497">
        <v>0</v>
      </c>
      <c r="M497">
        <v>6</v>
      </c>
      <c r="N497">
        <v>6.25</v>
      </c>
      <c r="O497" t="s">
        <v>35</v>
      </c>
    </row>
    <row r="498" spans="1:16" x14ac:dyDescent="0.25">
      <c r="A498">
        <v>46199</v>
      </c>
      <c r="B498" t="s">
        <v>6413</v>
      </c>
      <c r="C498" t="s">
        <v>34</v>
      </c>
      <c r="D498" t="s">
        <v>392</v>
      </c>
      <c r="E498">
        <v>57</v>
      </c>
      <c r="F498">
        <v>356.24799999999999</v>
      </c>
      <c r="G498">
        <v>2319.3870000000002</v>
      </c>
      <c r="H498" t="s">
        <v>367</v>
      </c>
      <c r="I498">
        <v>3772811</v>
      </c>
      <c r="J498" t="s">
        <v>6414</v>
      </c>
      <c r="K498">
        <v>50</v>
      </c>
      <c r="L498">
        <v>0</v>
      </c>
      <c r="M498">
        <v>6</v>
      </c>
      <c r="N498">
        <v>6.25</v>
      </c>
      <c r="O498" t="s">
        <v>35</v>
      </c>
    </row>
    <row r="499" spans="1:16" x14ac:dyDescent="0.25">
      <c r="A499">
        <v>46199</v>
      </c>
      <c r="B499" t="s">
        <v>6413</v>
      </c>
      <c r="C499" t="s">
        <v>34</v>
      </c>
      <c r="D499" t="s">
        <v>392</v>
      </c>
      <c r="E499">
        <v>56</v>
      </c>
      <c r="F499">
        <v>349.99799999999999</v>
      </c>
      <c r="G499">
        <v>2278.6959999999999</v>
      </c>
      <c r="H499" t="s">
        <v>367</v>
      </c>
      <c r="I499">
        <v>3772811</v>
      </c>
      <c r="J499" t="s">
        <v>6414</v>
      </c>
      <c r="K499">
        <v>50</v>
      </c>
      <c r="L499">
        <v>0</v>
      </c>
      <c r="M499">
        <v>6</v>
      </c>
      <c r="N499">
        <v>6.25</v>
      </c>
      <c r="O499" t="s">
        <v>35</v>
      </c>
    </row>
    <row r="500" spans="1:16" x14ac:dyDescent="0.25">
      <c r="A500">
        <v>46199</v>
      </c>
      <c r="B500" t="s">
        <v>6413</v>
      </c>
      <c r="C500" t="s">
        <v>34</v>
      </c>
      <c r="D500" t="s">
        <v>392</v>
      </c>
      <c r="E500">
        <v>58</v>
      </c>
      <c r="F500">
        <v>362.49799999999999</v>
      </c>
      <c r="G500">
        <v>2360.078</v>
      </c>
      <c r="H500" t="s">
        <v>367</v>
      </c>
      <c r="I500">
        <v>3772811</v>
      </c>
      <c r="J500" t="s">
        <v>6414</v>
      </c>
      <c r="K500">
        <v>50</v>
      </c>
      <c r="L500">
        <v>0</v>
      </c>
      <c r="M500">
        <v>6</v>
      </c>
      <c r="N500">
        <v>6.25</v>
      </c>
      <c r="O500" t="s">
        <v>35</v>
      </c>
    </row>
    <row r="501" spans="1:16" x14ac:dyDescent="0.25">
      <c r="A501">
        <v>46199</v>
      </c>
      <c r="B501" t="s">
        <v>6413</v>
      </c>
      <c r="C501" t="s">
        <v>34</v>
      </c>
      <c r="D501" t="s">
        <v>392</v>
      </c>
      <c r="E501">
        <v>51</v>
      </c>
      <c r="F501">
        <v>318.74799999999999</v>
      </c>
      <c r="G501">
        <v>2075.241</v>
      </c>
      <c r="H501" t="s">
        <v>367</v>
      </c>
      <c r="I501">
        <v>3772811</v>
      </c>
      <c r="J501" t="s">
        <v>6414</v>
      </c>
      <c r="K501">
        <v>50</v>
      </c>
      <c r="L501">
        <v>0</v>
      </c>
      <c r="M501">
        <v>6</v>
      </c>
      <c r="N501">
        <v>6.25</v>
      </c>
      <c r="O501" t="s">
        <v>35</v>
      </c>
    </row>
    <row r="502" spans="1:16" x14ac:dyDescent="0.25">
      <c r="A502">
        <v>46199</v>
      </c>
      <c r="B502" t="s">
        <v>6413</v>
      </c>
      <c r="C502" t="s">
        <v>34</v>
      </c>
      <c r="D502" t="s">
        <v>392</v>
      </c>
      <c r="E502">
        <v>19</v>
      </c>
      <c r="F502">
        <v>118.749</v>
      </c>
      <c r="G502">
        <v>773.12900000000002</v>
      </c>
      <c r="H502" t="s">
        <v>367</v>
      </c>
      <c r="I502">
        <v>3772811</v>
      </c>
      <c r="J502" t="s">
        <v>6414</v>
      </c>
      <c r="K502">
        <v>50</v>
      </c>
      <c r="L502">
        <v>0</v>
      </c>
      <c r="M502">
        <v>6</v>
      </c>
      <c r="N502">
        <v>6.25</v>
      </c>
      <c r="O502" t="s">
        <v>35</v>
      </c>
    </row>
    <row r="503" spans="1:16" x14ac:dyDescent="0.25">
      <c r="A503">
        <v>46199</v>
      </c>
      <c r="B503" t="s">
        <v>6413</v>
      </c>
      <c r="C503" t="s">
        <v>34</v>
      </c>
      <c r="D503" t="s">
        <v>392</v>
      </c>
      <c r="E503">
        <v>59</v>
      </c>
      <c r="F503">
        <v>368.74799999999999</v>
      </c>
      <c r="G503">
        <v>2400.7689999999998</v>
      </c>
      <c r="H503" t="s">
        <v>367</v>
      </c>
      <c r="I503">
        <v>3772811</v>
      </c>
      <c r="J503" t="s">
        <v>6414</v>
      </c>
      <c r="K503">
        <v>50</v>
      </c>
      <c r="L503">
        <v>0</v>
      </c>
      <c r="M503">
        <v>6</v>
      </c>
      <c r="N503">
        <v>6.25</v>
      </c>
      <c r="O503" t="s">
        <v>35</v>
      </c>
    </row>
    <row r="504" spans="1:16" x14ac:dyDescent="0.25">
      <c r="A504">
        <v>46199</v>
      </c>
      <c r="B504" t="s">
        <v>6413</v>
      </c>
      <c r="C504" t="s">
        <v>34</v>
      </c>
      <c r="D504" t="s">
        <v>392</v>
      </c>
      <c r="E504">
        <v>57</v>
      </c>
      <c r="F504">
        <v>356.24799999999999</v>
      </c>
      <c r="G504">
        <v>2319.3870000000002</v>
      </c>
      <c r="H504" t="s">
        <v>367</v>
      </c>
      <c r="I504">
        <v>3772811</v>
      </c>
      <c r="J504" t="s">
        <v>6414</v>
      </c>
      <c r="K504">
        <v>50</v>
      </c>
      <c r="L504">
        <v>0</v>
      </c>
      <c r="M504">
        <v>6</v>
      </c>
      <c r="N504">
        <v>6.25</v>
      </c>
      <c r="O504" t="s">
        <v>35</v>
      </c>
    </row>
    <row r="505" spans="1:16" x14ac:dyDescent="0.25">
      <c r="A505">
        <v>46195</v>
      </c>
      <c r="B505" t="s">
        <v>5968</v>
      </c>
      <c r="C505" t="s">
        <v>32</v>
      </c>
      <c r="D505" t="s">
        <v>392</v>
      </c>
      <c r="E505">
        <v>126</v>
      </c>
      <c r="F505">
        <v>790.01300000000003</v>
      </c>
      <c r="G505">
        <v>1772.316</v>
      </c>
      <c r="H505" t="s">
        <v>367</v>
      </c>
      <c r="I505">
        <v>3502301</v>
      </c>
      <c r="J505" t="s">
        <v>5970</v>
      </c>
      <c r="K505">
        <v>48.6</v>
      </c>
      <c r="L505">
        <v>0</v>
      </c>
      <c r="M505">
        <v>2</v>
      </c>
      <c r="N505">
        <v>6.27</v>
      </c>
      <c r="O505" t="s">
        <v>33</v>
      </c>
    </row>
    <row r="506" spans="1:16" x14ac:dyDescent="0.25">
      <c r="A506">
        <v>46198</v>
      </c>
      <c r="B506" t="s">
        <v>5968</v>
      </c>
      <c r="C506" t="s">
        <v>32</v>
      </c>
      <c r="D506" t="s">
        <v>392</v>
      </c>
      <c r="E506">
        <v>127</v>
      </c>
      <c r="F506">
        <v>796.28200000000004</v>
      </c>
      <c r="G506">
        <v>1786.38</v>
      </c>
      <c r="H506" t="s">
        <v>367</v>
      </c>
      <c r="I506">
        <v>3502301</v>
      </c>
      <c r="J506" t="s">
        <v>5970</v>
      </c>
      <c r="K506">
        <v>48.6</v>
      </c>
      <c r="L506">
        <v>0</v>
      </c>
      <c r="M506">
        <v>2</v>
      </c>
      <c r="N506">
        <v>6.27</v>
      </c>
      <c r="O506" t="s">
        <v>33</v>
      </c>
    </row>
    <row r="507" spans="1:16" x14ac:dyDescent="0.25">
      <c r="A507">
        <v>46195</v>
      </c>
      <c r="B507" t="s">
        <v>5968</v>
      </c>
      <c r="C507" t="s">
        <v>32</v>
      </c>
      <c r="D507" t="s">
        <v>392</v>
      </c>
      <c r="E507">
        <v>127</v>
      </c>
      <c r="F507">
        <v>796.28300000000002</v>
      </c>
      <c r="G507">
        <v>1786.3820000000001</v>
      </c>
      <c r="H507" t="s">
        <v>367</v>
      </c>
      <c r="I507">
        <v>3502301</v>
      </c>
      <c r="J507" t="s">
        <v>5970</v>
      </c>
      <c r="K507">
        <v>48.6</v>
      </c>
      <c r="L507">
        <v>0</v>
      </c>
      <c r="M507">
        <v>2</v>
      </c>
      <c r="N507">
        <v>6.27</v>
      </c>
      <c r="O507" t="s">
        <v>33</v>
      </c>
    </row>
    <row r="508" spans="1:16" x14ac:dyDescent="0.25">
      <c r="A508">
        <v>46195</v>
      </c>
      <c r="B508" t="s">
        <v>5968</v>
      </c>
      <c r="C508" t="s">
        <v>32</v>
      </c>
      <c r="D508" t="s">
        <v>392</v>
      </c>
      <c r="E508">
        <v>127</v>
      </c>
      <c r="F508">
        <v>796.28300000000002</v>
      </c>
      <c r="G508">
        <v>1786.3820000000001</v>
      </c>
      <c r="H508" t="s">
        <v>367</v>
      </c>
      <c r="I508">
        <v>3502301</v>
      </c>
      <c r="J508" t="s">
        <v>5970</v>
      </c>
      <c r="K508">
        <v>48.6</v>
      </c>
      <c r="L508">
        <v>0</v>
      </c>
      <c r="M508">
        <v>2</v>
      </c>
      <c r="N508">
        <v>6.27</v>
      </c>
      <c r="O508" t="s">
        <v>33</v>
      </c>
    </row>
    <row r="509" spans="1:16" x14ac:dyDescent="0.25">
      <c r="A509">
        <v>46199</v>
      </c>
      <c r="B509" t="s">
        <v>5968</v>
      </c>
      <c r="C509" t="s">
        <v>32</v>
      </c>
      <c r="D509" t="s">
        <v>392</v>
      </c>
      <c r="E509">
        <v>127</v>
      </c>
      <c r="F509">
        <v>796.28300000000002</v>
      </c>
      <c r="G509">
        <v>1786.3820000000001</v>
      </c>
      <c r="H509" t="s">
        <v>367</v>
      </c>
      <c r="I509">
        <v>3502301</v>
      </c>
      <c r="J509" t="s">
        <v>5970</v>
      </c>
      <c r="K509">
        <v>48.6</v>
      </c>
      <c r="L509">
        <v>0</v>
      </c>
      <c r="M509">
        <v>2</v>
      </c>
      <c r="N509">
        <v>6.27</v>
      </c>
      <c r="O509" t="s">
        <v>33</v>
      </c>
    </row>
    <row r="510" spans="1:16" x14ac:dyDescent="0.25">
      <c r="A510">
        <v>46199</v>
      </c>
      <c r="B510" t="s">
        <v>5968</v>
      </c>
      <c r="C510" t="s">
        <v>32</v>
      </c>
      <c r="D510" t="s">
        <v>392</v>
      </c>
      <c r="E510">
        <v>126</v>
      </c>
      <c r="F510">
        <v>790.01499999999999</v>
      </c>
      <c r="G510">
        <v>1988.7840000000001</v>
      </c>
      <c r="H510" t="s">
        <v>367</v>
      </c>
      <c r="I510">
        <v>3549720</v>
      </c>
      <c r="J510" t="s">
        <v>5971</v>
      </c>
      <c r="K510">
        <v>48.6</v>
      </c>
      <c r="L510">
        <v>0</v>
      </c>
      <c r="M510">
        <v>2.2999999999999998</v>
      </c>
      <c r="N510">
        <v>6.27</v>
      </c>
      <c r="O510" t="s">
        <v>33</v>
      </c>
      <c r="P510" t="s">
        <v>6406</v>
      </c>
    </row>
    <row r="511" spans="1:16" x14ac:dyDescent="0.25">
      <c r="A511">
        <v>46199</v>
      </c>
      <c r="B511" t="s">
        <v>5968</v>
      </c>
      <c r="C511" t="s">
        <v>32</v>
      </c>
      <c r="D511" t="s">
        <v>392</v>
      </c>
      <c r="E511">
        <v>127</v>
      </c>
      <c r="F511">
        <v>796.28499999999997</v>
      </c>
      <c r="G511">
        <v>2004.568</v>
      </c>
      <c r="H511" t="s">
        <v>367</v>
      </c>
      <c r="I511">
        <v>3549720</v>
      </c>
      <c r="J511" t="s">
        <v>5971</v>
      </c>
      <c r="K511">
        <v>48.6</v>
      </c>
      <c r="L511">
        <v>0</v>
      </c>
      <c r="M511">
        <v>2.2999999999999998</v>
      </c>
      <c r="N511">
        <v>6.27</v>
      </c>
      <c r="O511" t="s">
        <v>33</v>
      </c>
      <c r="P511" t="s">
        <v>6406</v>
      </c>
    </row>
    <row r="512" spans="1:16" x14ac:dyDescent="0.25">
      <c r="A512">
        <v>46199</v>
      </c>
      <c r="B512" t="s">
        <v>5968</v>
      </c>
      <c r="C512" t="s">
        <v>32</v>
      </c>
      <c r="D512" t="s">
        <v>392</v>
      </c>
      <c r="E512">
        <v>131</v>
      </c>
      <c r="F512">
        <v>821.36500000000001</v>
      </c>
      <c r="G512">
        <v>2067.7040000000002</v>
      </c>
      <c r="H512" t="s">
        <v>367</v>
      </c>
      <c r="I512">
        <v>3549720</v>
      </c>
      <c r="J512" t="s">
        <v>5971</v>
      </c>
      <c r="K512">
        <v>48.6</v>
      </c>
      <c r="L512">
        <v>0</v>
      </c>
      <c r="M512">
        <v>2.2999999999999998</v>
      </c>
      <c r="N512">
        <v>6.27</v>
      </c>
      <c r="O512" t="s">
        <v>33</v>
      </c>
      <c r="P512" t="s">
        <v>6406</v>
      </c>
    </row>
    <row r="513" spans="1:16" x14ac:dyDescent="0.25">
      <c r="A513">
        <v>46195</v>
      </c>
      <c r="B513" t="s">
        <v>5968</v>
      </c>
      <c r="C513" t="s">
        <v>32</v>
      </c>
      <c r="D513" t="s">
        <v>392</v>
      </c>
      <c r="E513">
        <v>127</v>
      </c>
      <c r="F513">
        <v>796.28499999999997</v>
      </c>
      <c r="G513">
        <v>2004.568</v>
      </c>
      <c r="H513" t="s">
        <v>367</v>
      </c>
      <c r="I513">
        <v>3549720</v>
      </c>
      <c r="J513" t="s">
        <v>5971</v>
      </c>
      <c r="K513">
        <v>48.6</v>
      </c>
      <c r="L513">
        <v>0</v>
      </c>
      <c r="M513">
        <v>2.2999999999999998</v>
      </c>
      <c r="N513">
        <v>6.27</v>
      </c>
      <c r="O513" t="s">
        <v>33</v>
      </c>
      <c r="P513" t="s">
        <v>6406</v>
      </c>
    </row>
    <row r="514" spans="1:16" x14ac:dyDescent="0.25">
      <c r="A514">
        <v>46189</v>
      </c>
      <c r="B514" t="s">
        <v>5968</v>
      </c>
      <c r="C514" t="s">
        <v>32</v>
      </c>
      <c r="D514" t="s">
        <v>392</v>
      </c>
      <c r="E514">
        <v>25</v>
      </c>
      <c r="F514">
        <v>162.09399999999999</v>
      </c>
      <c r="G514">
        <v>244</v>
      </c>
      <c r="H514" t="s">
        <v>345</v>
      </c>
      <c r="I514">
        <v>3514971</v>
      </c>
      <c r="J514" t="s">
        <v>6393</v>
      </c>
      <c r="K514">
        <v>45</v>
      </c>
      <c r="L514">
        <v>0</v>
      </c>
      <c r="M514">
        <v>1.4</v>
      </c>
      <c r="N514">
        <v>6.4</v>
      </c>
      <c r="O514" t="s">
        <v>33</v>
      </c>
      <c r="P514" t="s">
        <v>6276</v>
      </c>
    </row>
    <row r="515" spans="1:16" x14ac:dyDescent="0.25">
      <c r="A515">
        <v>46189</v>
      </c>
      <c r="B515" t="s">
        <v>5968</v>
      </c>
      <c r="C515" t="s">
        <v>32</v>
      </c>
      <c r="D515" t="s">
        <v>392</v>
      </c>
      <c r="E515">
        <v>136</v>
      </c>
      <c r="F515">
        <v>870.923</v>
      </c>
      <c r="G515">
        <v>1311</v>
      </c>
      <c r="H515" t="s">
        <v>345</v>
      </c>
      <c r="I515">
        <v>3514971</v>
      </c>
      <c r="J515" t="s">
        <v>6393</v>
      </c>
      <c r="K515">
        <v>45</v>
      </c>
      <c r="L515">
        <v>0</v>
      </c>
      <c r="M515">
        <v>1.4</v>
      </c>
      <c r="N515">
        <v>6.4</v>
      </c>
      <c r="O515" t="s">
        <v>33</v>
      </c>
      <c r="P515" t="s">
        <v>6276</v>
      </c>
    </row>
    <row r="516" spans="1:16" x14ac:dyDescent="0.25">
      <c r="A516">
        <v>46189</v>
      </c>
      <c r="B516" t="s">
        <v>5968</v>
      </c>
      <c r="C516" t="s">
        <v>32</v>
      </c>
      <c r="D516" t="s">
        <v>392</v>
      </c>
      <c r="E516">
        <v>133</v>
      </c>
      <c r="F516">
        <v>851.65700000000004</v>
      </c>
      <c r="G516">
        <v>1282</v>
      </c>
      <c r="H516" t="s">
        <v>345</v>
      </c>
      <c r="I516">
        <v>3514971</v>
      </c>
      <c r="J516" t="s">
        <v>6393</v>
      </c>
      <c r="K516">
        <v>45</v>
      </c>
      <c r="L516">
        <v>0</v>
      </c>
      <c r="M516">
        <v>1.4</v>
      </c>
      <c r="N516">
        <v>6.4</v>
      </c>
      <c r="O516" t="s">
        <v>33</v>
      </c>
      <c r="P516" t="s">
        <v>6276</v>
      </c>
    </row>
    <row r="517" spans="1:16" x14ac:dyDescent="0.25">
      <c r="A517">
        <v>46189</v>
      </c>
      <c r="B517" t="s">
        <v>5968</v>
      </c>
      <c r="C517" t="s">
        <v>32</v>
      </c>
      <c r="D517" t="s">
        <v>392</v>
      </c>
      <c r="E517">
        <v>113</v>
      </c>
      <c r="F517">
        <v>726.101</v>
      </c>
      <c r="G517">
        <v>1093</v>
      </c>
      <c r="H517" t="s">
        <v>345</v>
      </c>
      <c r="I517">
        <v>3514971</v>
      </c>
      <c r="J517" t="s">
        <v>6393</v>
      </c>
      <c r="K517">
        <v>45</v>
      </c>
      <c r="L517">
        <v>0</v>
      </c>
      <c r="M517">
        <v>1.4</v>
      </c>
      <c r="N517">
        <v>6.4</v>
      </c>
      <c r="O517" t="s">
        <v>33</v>
      </c>
      <c r="P517" t="s">
        <v>6276</v>
      </c>
    </row>
    <row r="518" spans="1:16" x14ac:dyDescent="0.25">
      <c r="A518">
        <v>46190</v>
      </c>
      <c r="B518" t="s">
        <v>6413</v>
      </c>
      <c r="C518" t="s">
        <v>34</v>
      </c>
      <c r="D518" t="s">
        <v>392</v>
      </c>
      <c r="E518">
        <v>73</v>
      </c>
      <c r="F518">
        <v>467.19600000000003</v>
      </c>
      <c r="G518">
        <v>1425.836</v>
      </c>
      <c r="H518" t="s">
        <v>367</v>
      </c>
      <c r="I518">
        <v>3694074</v>
      </c>
      <c r="J518" t="s">
        <v>1615</v>
      </c>
      <c r="K518">
        <v>32</v>
      </c>
      <c r="L518">
        <v>0</v>
      </c>
      <c r="M518">
        <v>4.5</v>
      </c>
      <c r="N518">
        <v>6.4</v>
      </c>
      <c r="O518" t="s">
        <v>35</v>
      </c>
      <c r="P518" t="s">
        <v>6373</v>
      </c>
    </row>
    <row r="519" spans="1:16" x14ac:dyDescent="0.25">
      <c r="A519">
        <v>46200</v>
      </c>
      <c r="B519" t="s">
        <v>6413</v>
      </c>
      <c r="C519" t="s">
        <v>34</v>
      </c>
      <c r="D519" t="s">
        <v>392</v>
      </c>
      <c r="E519">
        <v>129</v>
      </c>
      <c r="F519">
        <v>825.59299999999996</v>
      </c>
      <c r="G519">
        <v>2519.6280000000002</v>
      </c>
      <c r="H519" t="s">
        <v>367</v>
      </c>
      <c r="I519">
        <v>3694074</v>
      </c>
      <c r="J519" t="s">
        <v>1615</v>
      </c>
      <c r="K519">
        <v>32</v>
      </c>
      <c r="L519">
        <v>0</v>
      </c>
      <c r="M519">
        <v>4.5</v>
      </c>
      <c r="N519">
        <v>6.4</v>
      </c>
      <c r="O519" t="s">
        <v>35</v>
      </c>
      <c r="P519" t="s">
        <v>6373</v>
      </c>
    </row>
    <row r="520" spans="1:16" x14ac:dyDescent="0.25">
      <c r="A520">
        <v>46200</v>
      </c>
      <c r="B520" t="s">
        <v>6413</v>
      </c>
      <c r="C520" t="s">
        <v>34</v>
      </c>
      <c r="D520" t="s">
        <v>392</v>
      </c>
      <c r="E520">
        <v>129</v>
      </c>
      <c r="F520">
        <v>825.59299999999996</v>
      </c>
      <c r="G520">
        <v>2519.6280000000002</v>
      </c>
      <c r="H520" t="s">
        <v>367</v>
      </c>
      <c r="I520">
        <v>3694074</v>
      </c>
      <c r="J520" t="s">
        <v>1615</v>
      </c>
      <c r="K520">
        <v>32</v>
      </c>
      <c r="L520">
        <v>0</v>
      </c>
      <c r="M520">
        <v>4.5</v>
      </c>
      <c r="N520">
        <v>6.4</v>
      </c>
      <c r="O520" t="s">
        <v>35</v>
      </c>
      <c r="P520" t="s">
        <v>6373</v>
      </c>
    </row>
    <row r="521" spans="1:16" x14ac:dyDescent="0.25">
      <c r="A521">
        <v>46200</v>
      </c>
      <c r="B521" t="s">
        <v>6413</v>
      </c>
      <c r="C521" t="s">
        <v>34</v>
      </c>
      <c r="D521" t="s">
        <v>392</v>
      </c>
      <c r="E521">
        <v>128</v>
      </c>
      <c r="F521">
        <v>819.19299999999998</v>
      </c>
      <c r="G521">
        <v>2500.096</v>
      </c>
      <c r="H521" t="s">
        <v>367</v>
      </c>
      <c r="I521">
        <v>3694074</v>
      </c>
      <c r="J521" t="s">
        <v>1615</v>
      </c>
      <c r="K521">
        <v>32</v>
      </c>
      <c r="L521">
        <v>0</v>
      </c>
      <c r="M521">
        <v>4.5</v>
      </c>
      <c r="N521">
        <v>6.4</v>
      </c>
      <c r="O521" t="s">
        <v>35</v>
      </c>
      <c r="P521" t="s">
        <v>6373</v>
      </c>
    </row>
    <row r="522" spans="1:16" x14ac:dyDescent="0.25">
      <c r="A522">
        <v>46200</v>
      </c>
      <c r="B522" t="s">
        <v>6413</v>
      </c>
      <c r="C522" t="s">
        <v>34</v>
      </c>
      <c r="D522" t="s">
        <v>392</v>
      </c>
      <c r="E522">
        <v>126</v>
      </c>
      <c r="F522">
        <v>806.39300000000003</v>
      </c>
      <c r="G522">
        <v>2461.0320000000002</v>
      </c>
      <c r="H522" t="s">
        <v>367</v>
      </c>
      <c r="I522">
        <v>3694074</v>
      </c>
      <c r="J522" t="s">
        <v>1615</v>
      </c>
      <c r="K522">
        <v>32</v>
      </c>
      <c r="L522">
        <v>0</v>
      </c>
      <c r="M522">
        <v>4.5</v>
      </c>
      <c r="N522">
        <v>6.4</v>
      </c>
      <c r="O522" t="s">
        <v>35</v>
      </c>
      <c r="P522" t="s">
        <v>6373</v>
      </c>
    </row>
    <row r="523" spans="1:16" x14ac:dyDescent="0.25">
      <c r="A523">
        <v>46200</v>
      </c>
      <c r="B523" t="s">
        <v>6413</v>
      </c>
      <c r="C523" t="s">
        <v>34</v>
      </c>
      <c r="D523" t="s">
        <v>392</v>
      </c>
      <c r="E523">
        <v>126</v>
      </c>
      <c r="F523">
        <v>806.39300000000003</v>
      </c>
      <c r="G523">
        <v>2461.0320000000002</v>
      </c>
      <c r="H523" t="s">
        <v>367</v>
      </c>
      <c r="I523">
        <v>3694074</v>
      </c>
      <c r="J523" t="s">
        <v>1615</v>
      </c>
      <c r="K523">
        <v>32</v>
      </c>
      <c r="L523">
        <v>0</v>
      </c>
      <c r="M523">
        <v>4.5</v>
      </c>
      <c r="N523">
        <v>6.4</v>
      </c>
      <c r="O523" t="s">
        <v>35</v>
      </c>
      <c r="P523" t="s">
        <v>6373</v>
      </c>
    </row>
    <row r="524" spans="1:16" x14ac:dyDescent="0.25">
      <c r="A524">
        <v>46200</v>
      </c>
      <c r="B524" t="s">
        <v>6413</v>
      </c>
      <c r="C524" t="s">
        <v>34</v>
      </c>
      <c r="D524" t="s">
        <v>392</v>
      </c>
      <c r="E524">
        <v>14</v>
      </c>
      <c r="F524">
        <v>89.599000000000004</v>
      </c>
      <c r="G524">
        <v>273.44799999999998</v>
      </c>
      <c r="H524" t="s">
        <v>367</v>
      </c>
      <c r="I524">
        <v>3694074</v>
      </c>
      <c r="J524" t="s">
        <v>1615</v>
      </c>
      <c r="K524">
        <v>32</v>
      </c>
      <c r="L524">
        <v>0</v>
      </c>
      <c r="M524">
        <v>4.5</v>
      </c>
      <c r="N524">
        <v>6.4</v>
      </c>
      <c r="O524" t="s">
        <v>35</v>
      </c>
      <c r="P524" t="s">
        <v>6373</v>
      </c>
    </row>
    <row r="525" spans="1:16" x14ac:dyDescent="0.25">
      <c r="A525">
        <v>46190</v>
      </c>
      <c r="B525" t="s">
        <v>6413</v>
      </c>
      <c r="C525" t="s">
        <v>34</v>
      </c>
      <c r="D525" t="s">
        <v>392</v>
      </c>
      <c r="E525">
        <v>115</v>
      </c>
      <c r="F525">
        <v>735.99400000000003</v>
      </c>
      <c r="G525">
        <v>2246.1799999999998</v>
      </c>
      <c r="H525" t="s">
        <v>367</v>
      </c>
      <c r="I525">
        <v>3694074</v>
      </c>
      <c r="J525" t="s">
        <v>1615</v>
      </c>
      <c r="K525">
        <v>32</v>
      </c>
      <c r="L525">
        <v>0</v>
      </c>
      <c r="M525">
        <v>4.5</v>
      </c>
      <c r="N525">
        <v>6.4</v>
      </c>
      <c r="O525" t="s">
        <v>35</v>
      </c>
      <c r="P525" t="s">
        <v>6373</v>
      </c>
    </row>
    <row r="526" spans="1:16" x14ac:dyDescent="0.25">
      <c r="A526">
        <v>46200</v>
      </c>
      <c r="B526" t="s">
        <v>6413</v>
      </c>
      <c r="C526" t="s">
        <v>34</v>
      </c>
      <c r="D526" t="s">
        <v>392</v>
      </c>
      <c r="E526">
        <v>129</v>
      </c>
      <c r="F526">
        <v>825.59299999999996</v>
      </c>
      <c r="G526">
        <v>2519.6280000000002</v>
      </c>
      <c r="H526" t="s">
        <v>367</v>
      </c>
      <c r="I526">
        <v>3694074</v>
      </c>
      <c r="J526" t="s">
        <v>1615</v>
      </c>
      <c r="K526">
        <v>32</v>
      </c>
      <c r="L526">
        <v>0</v>
      </c>
      <c r="M526">
        <v>4.5</v>
      </c>
      <c r="N526">
        <v>6.4</v>
      </c>
      <c r="O526" t="s">
        <v>35</v>
      </c>
      <c r="P526" t="s">
        <v>6373</v>
      </c>
    </row>
    <row r="527" spans="1:16" x14ac:dyDescent="0.25">
      <c r="A527">
        <v>46200</v>
      </c>
      <c r="B527" t="s">
        <v>6413</v>
      </c>
      <c r="C527" t="s">
        <v>34</v>
      </c>
      <c r="D527" t="s">
        <v>392</v>
      </c>
      <c r="E527">
        <v>120</v>
      </c>
      <c r="F527">
        <v>767.99400000000003</v>
      </c>
      <c r="G527">
        <v>2343.84</v>
      </c>
      <c r="H527" t="s">
        <v>367</v>
      </c>
      <c r="I527">
        <v>3694074</v>
      </c>
      <c r="J527" t="s">
        <v>1615</v>
      </c>
      <c r="K527">
        <v>32</v>
      </c>
      <c r="L527">
        <v>0</v>
      </c>
      <c r="M527">
        <v>4.5</v>
      </c>
      <c r="N527">
        <v>6.4</v>
      </c>
      <c r="O527" t="s">
        <v>35</v>
      </c>
      <c r="P527" t="s">
        <v>6373</v>
      </c>
    </row>
    <row r="528" spans="1:16" x14ac:dyDescent="0.25">
      <c r="A528">
        <v>46199</v>
      </c>
      <c r="B528" t="s">
        <v>6413</v>
      </c>
      <c r="C528" t="s">
        <v>34</v>
      </c>
      <c r="D528" t="s">
        <v>392</v>
      </c>
      <c r="E528">
        <v>120</v>
      </c>
      <c r="F528">
        <v>767.99400000000003</v>
      </c>
      <c r="G528">
        <v>2343.84</v>
      </c>
      <c r="H528" t="s">
        <v>367</v>
      </c>
      <c r="I528">
        <v>3694074</v>
      </c>
      <c r="J528" t="s">
        <v>1615</v>
      </c>
      <c r="K528">
        <v>32</v>
      </c>
      <c r="L528">
        <v>0</v>
      </c>
      <c r="M528">
        <v>4.5</v>
      </c>
      <c r="N528">
        <v>6.4</v>
      </c>
      <c r="O528" t="s">
        <v>35</v>
      </c>
      <c r="P528" t="s">
        <v>6373</v>
      </c>
    </row>
    <row r="529" spans="1:16" x14ac:dyDescent="0.25">
      <c r="A529">
        <v>46200</v>
      </c>
      <c r="B529" t="s">
        <v>6413</v>
      </c>
      <c r="C529" t="s">
        <v>34</v>
      </c>
      <c r="D529" t="s">
        <v>392</v>
      </c>
      <c r="E529">
        <v>129</v>
      </c>
      <c r="F529">
        <v>825.59299999999996</v>
      </c>
      <c r="G529">
        <v>2519.6280000000002</v>
      </c>
      <c r="H529" t="s">
        <v>367</v>
      </c>
      <c r="I529">
        <v>3694074</v>
      </c>
      <c r="J529" t="s">
        <v>1615</v>
      </c>
      <c r="K529">
        <v>32</v>
      </c>
      <c r="L529">
        <v>0</v>
      </c>
      <c r="M529">
        <v>4.5</v>
      </c>
      <c r="N529">
        <v>6.4</v>
      </c>
      <c r="O529" t="s">
        <v>35</v>
      </c>
      <c r="P529" t="s">
        <v>6373</v>
      </c>
    </row>
    <row r="530" spans="1:16" x14ac:dyDescent="0.25">
      <c r="A530">
        <v>46199</v>
      </c>
      <c r="B530" t="s">
        <v>6413</v>
      </c>
      <c r="C530" t="s">
        <v>34</v>
      </c>
      <c r="D530" t="s">
        <v>392</v>
      </c>
      <c r="E530">
        <v>60</v>
      </c>
      <c r="F530">
        <v>384.21199999999999</v>
      </c>
      <c r="G530">
        <v>2501.453</v>
      </c>
      <c r="H530" t="s">
        <v>367</v>
      </c>
      <c r="I530">
        <v>4171386</v>
      </c>
      <c r="J530" t="s">
        <v>6415</v>
      </c>
      <c r="K530">
        <v>50</v>
      </c>
      <c r="L530">
        <v>0</v>
      </c>
      <c r="M530">
        <v>6</v>
      </c>
      <c r="N530">
        <v>6.45</v>
      </c>
      <c r="O530" t="s">
        <v>35</v>
      </c>
    </row>
    <row r="531" spans="1:16" x14ac:dyDescent="0.25">
      <c r="A531">
        <v>46199</v>
      </c>
      <c r="B531" t="s">
        <v>6413</v>
      </c>
      <c r="C531" t="s">
        <v>34</v>
      </c>
      <c r="D531" t="s">
        <v>392</v>
      </c>
      <c r="E531">
        <v>60</v>
      </c>
      <c r="F531">
        <v>384.21199999999999</v>
      </c>
      <c r="G531">
        <v>2501.453</v>
      </c>
      <c r="H531" t="s">
        <v>367</v>
      </c>
      <c r="I531">
        <v>4171386</v>
      </c>
      <c r="J531" t="s">
        <v>6415</v>
      </c>
      <c r="K531">
        <v>50</v>
      </c>
      <c r="L531">
        <v>0</v>
      </c>
      <c r="M531">
        <v>6</v>
      </c>
      <c r="N531">
        <v>6.45</v>
      </c>
      <c r="O531" t="s">
        <v>35</v>
      </c>
    </row>
    <row r="532" spans="1:16" x14ac:dyDescent="0.25">
      <c r="A532">
        <v>46199</v>
      </c>
      <c r="B532" t="s">
        <v>6413</v>
      </c>
      <c r="C532" t="s">
        <v>34</v>
      </c>
      <c r="D532" t="s">
        <v>392</v>
      </c>
      <c r="E532">
        <v>59</v>
      </c>
      <c r="F532">
        <v>377.81</v>
      </c>
      <c r="G532">
        <v>2459.7689999999998</v>
      </c>
      <c r="H532" t="s">
        <v>367</v>
      </c>
      <c r="I532">
        <v>4171386</v>
      </c>
      <c r="J532" t="s">
        <v>6415</v>
      </c>
      <c r="K532">
        <v>50</v>
      </c>
      <c r="L532">
        <v>0</v>
      </c>
      <c r="M532">
        <v>6</v>
      </c>
      <c r="N532">
        <v>6.45</v>
      </c>
      <c r="O532" t="s">
        <v>35</v>
      </c>
    </row>
    <row r="533" spans="1:16" x14ac:dyDescent="0.25">
      <c r="A533">
        <v>46199</v>
      </c>
      <c r="B533" t="s">
        <v>6413</v>
      </c>
      <c r="C533" t="s">
        <v>34</v>
      </c>
      <c r="D533" t="s">
        <v>392</v>
      </c>
      <c r="E533">
        <v>53</v>
      </c>
      <c r="F533">
        <v>339.38900000000001</v>
      </c>
      <c r="G533">
        <v>2209.623</v>
      </c>
      <c r="H533" t="s">
        <v>367</v>
      </c>
      <c r="I533">
        <v>4171386</v>
      </c>
      <c r="J533" t="s">
        <v>6415</v>
      </c>
      <c r="K533">
        <v>50</v>
      </c>
      <c r="L533">
        <v>0</v>
      </c>
      <c r="M533">
        <v>6</v>
      </c>
      <c r="N533">
        <v>6.45</v>
      </c>
      <c r="O533" t="s">
        <v>35</v>
      </c>
    </row>
    <row r="534" spans="1:16" x14ac:dyDescent="0.25">
      <c r="A534">
        <v>46199</v>
      </c>
      <c r="B534" t="s">
        <v>6413</v>
      </c>
      <c r="C534" t="s">
        <v>34</v>
      </c>
      <c r="D534" t="s">
        <v>392</v>
      </c>
      <c r="E534">
        <v>58</v>
      </c>
      <c r="F534">
        <v>371.40499999999997</v>
      </c>
      <c r="G534">
        <v>2418.0709999999999</v>
      </c>
      <c r="H534" t="s">
        <v>367</v>
      </c>
      <c r="I534">
        <v>4171386</v>
      </c>
      <c r="J534" t="s">
        <v>6415</v>
      </c>
      <c r="K534">
        <v>50</v>
      </c>
      <c r="L534">
        <v>0</v>
      </c>
      <c r="M534">
        <v>6</v>
      </c>
      <c r="N534">
        <v>6.45</v>
      </c>
      <c r="O534" t="s">
        <v>35</v>
      </c>
    </row>
    <row r="535" spans="1:16" x14ac:dyDescent="0.25">
      <c r="A535">
        <v>46199</v>
      </c>
      <c r="B535" t="s">
        <v>6413</v>
      </c>
      <c r="C535" t="s">
        <v>34</v>
      </c>
      <c r="D535" t="s">
        <v>392</v>
      </c>
      <c r="E535">
        <v>56</v>
      </c>
      <c r="F535">
        <v>358.59800000000001</v>
      </c>
      <c r="G535">
        <v>2334.6889999999999</v>
      </c>
      <c r="H535" t="s">
        <v>367</v>
      </c>
      <c r="I535">
        <v>4171386</v>
      </c>
      <c r="J535" t="s">
        <v>6415</v>
      </c>
      <c r="K535">
        <v>50</v>
      </c>
      <c r="L535">
        <v>0</v>
      </c>
      <c r="M535">
        <v>6</v>
      </c>
      <c r="N535">
        <v>6.45</v>
      </c>
      <c r="O535" t="s">
        <v>35</v>
      </c>
    </row>
    <row r="536" spans="1:16" x14ac:dyDescent="0.25">
      <c r="A536">
        <v>46199</v>
      </c>
      <c r="B536" t="s">
        <v>6413</v>
      </c>
      <c r="C536" t="s">
        <v>34</v>
      </c>
      <c r="D536" t="s">
        <v>392</v>
      </c>
      <c r="E536">
        <v>57</v>
      </c>
      <c r="F536">
        <v>365.00200000000001</v>
      </c>
      <c r="G536">
        <v>2376.38</v>
      </c>
      <c r="H536" t="s">
        <v>367</v>
      </c>
      <c r="I536">
        <v>4171386</v>
      </c>
      <c r="J536" t="s">
        <v>6415</v>
      </c>
      <c r="K536">
        <v>50</v>
      </c>
      <c r="L536">
        <v>0</v>
      </c>
      <c r="M536">
        <v>6</v>
      </c>
      <c r="N536">
        <v>6.45</v>
      </c>
      <c r="O536" t="s">
        <v>35</v>
      </c>
    </row>
    <row r="537" spans="1:16" x14ac:dyDescent="0.25">
      <c r="A537">
        <v>46199</v>
      </c>
      <c r="B537" t="s">
        <v>6413</v>
      </c>
      <c r="C537" t="s">
        <v>34</v>
      </c>
      <c r="D537" t="s">
        <v>392</v>
      </c>
      <c r="E537">
        <v>40</v>
      </c>
      <c r="F537">
        <v>258.00400000000002</v>
      </c>
      <c r="G537">
        <v>1679.76</v>
      </c>
      <c r="H537" t="s">
        <v>367</v>
      </c>
      <c r="I537">
        <v>4171386</v>
      </c>
      <c r="J537" t="s">
        <v>6415</v>
      </c>
      <c r="K537">
        <v>50</v>
      </c>
      <c r="L537">
        <v>0</v>
      </c>
      <c r="M537">
        <v>6</v>
      </c>
      <c r="N537">
        <v>6.45</v>
      </c>
      <c r="O537" t="s">
        <v>35</v>
      </c>
    </row>
    <row r="538" spans="1:16" x14ac:dyDescent="0.25">
      <c r="A538">
        <v>46199</v>
      </c>
      <c r="B538" t="s">
        <v>6413</v>
      </c>
      <c r="C538" t="s">
        <v>34</v>
      </c>
      <c r="D538" t="s">
        <v>392</v>
      </c>
      <c r="E538">
        <v>57</v>
      </c>
      <c r="F538">
        <v>365.00200000000001</v>
      </c>
      <c r="G538">
        <v>2376.38</v>
      </c>
      <c r="H538" t="s">
        <v>367</v>
      </c>
      <c r="I538">
        <v>4171386</v>
      </c>
      <c r="J538" t="s">
        <v>6415</v>
      </c>
      <c r="K538">
        <v>50</v>
      </c>
      <c r="L538">
        <v>0</v>
      </c>
      <c r="M538">
        <v>6</v>
      </c>
      <c r="N538">
        <v>6.45</v>
      </c>
      <c r="O538" t="s">
        <v>35</v>
      </c>
    </row>
    <row r="539" spans="1:16" x14ac:dyDescent="0.25">
      <c r="A539">
        <v>46199</v>
      </c>
      <c r="B539" t="s">
        <v>6413</v>
      </c>
      <c r="C539" t="s">
        <v>34</v>
      </c>
      <c r="D539" t="s">
        <v>392</v>
      </c>
      <c r="E539">
        <v>60</v>
      </c>
      <c r="F539">
        <v>384.21199999999999</v>
      </c>
      <c r="G539">
        <v>2501.453</v>
      </c>
      <c r="H539" t="s">
        <v>367</v>
      </c>
      <c r="I539">
        <v>4171386</v>
      </c>
      <c r="J539" t="s">
        <v>6415</v>
      </c>
      <c r="K539">
        <v>50</v>
      </c>
      <c r="L539">
        <v>0</v>
      </c>
      <c r="M539">
        <v>6</v>
      </c>
      <c r="N539">
        <v>6.45</v>
      </c>
      <c r="O539" t="s">
        <v>35</v>
      </c>
    </row>
    <row r="540" spans="1:16" x14ac:dyDescent="0.25">
      <c r="A540">
        <v>46199</v>
      </c>
      <c r="B540" t="s">
        <v>6413</v>
      </c>
      <c r="C540" t="s">
        <v>34</v>
      </c>
      <c r="D540" t="s">
        <v>392</v>
      </c>
      <c r="E540">
        <v>60</v>
      </c>
      <c r="F540">
        <v>384.21199999999999</v>
      </c>
      <c r="G540">
        <v>2501.453</v>
      </c>
      <c r="H540" t="s">
        <v>367</v>
      </c>
      <c r="I540">
        <v>4171386</v>
      </c>
      <c r="J540" t="s">
        <v>6415</v>
      </c>
      <c r="K540">
        <v>50</v>
      </c>
      <c r="L540">
        <v>0</v>
      </c>
      <c r="M540">
        <v>6</v>
      </c>
      <c r="N540">
        <v>6.45</v>
      </c>
      <c r="O540" t="s">
        <v>35</v>
      </c>
    </row>
    <row r="541" spans="1:16" x14ac:dyDescent="0.25">
      <c r="A541">
        <v>46199</v>
      </c>
      <c r="B541" t="s">
        <v>6413</v>
      </c>
      <c r="C541" t="s">
        <v>34</v>
      </c>
      <c r="D541" t="s">
        <v>392</v>
      </c>
      <c r="E541">
        <v>60</v>
      </c>
      <c r="F541">
        <v>384.21199999999999</v>
      </c>
      <c r="G541">
        <v>2501.453</v>
      </c>
      <c r="H541" t="s">
        <v>367</v>
      </c>
      <c r="I541">
        <v>4171386</v>
      </c>
      <c r="J541" t="s">
        <v>6415</v>
      </c>
      <c r="K541">
        <v>50</v>
      </c>
      <c r="L541">
        <v>0</v>
      </c>
      <c r="M541">
        <v>6</v>
      </c>
      <c r="N541">
        <v>6.45</v>
      </c>
      <c r="O541" t="s">
        <v>35</v>
      </c>
    </row>
    <row r="542" spans="1:16" x14ac:dyDescent="0.25">
      <c r="A542">
        <v>46199</v>
      </c>
      <c r="B542" t="s">
        <v>6413</v>
      </c>
      <c r="C542" t="s">
        <v>34</v>
      </c>
      <c r="D542" t="s">
        <v>392</v>
      </c>
      <c r="E542">
        <v>60</v>
      </c>
      <c r="F542">
        <v>384.21199999999999</v>
      </c>
      <c r="G542">
        <v>2501.453</v>
      </c>
      <c r="H542" t="s">
        <v>367</v>
      </c>
      <c r="I542">
        <v>4171386</v>
      </c>
      <c r="J542" t="s">
        <v>6415</v>
      </c>
      <c r="K542">
        <v>50</v>
      </c>
      <c r="L542">
        <v>0</v>
      </c>
      <c r="M542">
        <v>6</v>
      </c>
      <c r="N542">
        <v>6.45</v>
      </c>
      <c r="O542" t="s">
        <v>35</v>
      </c>
    </row>
    <row r="543" spans="1:16" x14ac:dyDescent="0.25">
      <c r="A543">
        <v>46199</v>
      </c>
      <c r="B543" t="s">
        <v>6413</v>
      </c>
      <c r="C543" t="s">
        <v>34</v>
      </c>
      <c r="D543" t="s">
        <v>392</v>
      </c>
      <c r="E543">
        <v>59</v>
      </c>
      <c r="F543">
        <v>377.80900000000003</v>
      </c>
      <c r="G543">
        <v>2459.7620000000002</v>
      </c>
      <c r="H543" t="s">
        <v>367</v>
      </c>
      <c r="I543">
        <v>4171386</v>
      </c>
      <c r="J543" t="s">
        <v>6415</v>
      </c>
      <c r="K543">
        <v>50</v>
      </c>
      <c r="L543">
        <v>0</v>
      </c>
      <c r="M543">
        <v>6</v>
      </c>
      <c r="N543">
        <v>6.45</v>
      </c>
      <c r="O543" t="s">
        <v>35</v>
      </c>
    </row>
    <row r="544" spans="1:16" x14ac:dyDescent="0.25">
      <c r="A544">
        <v>46199</v>
      </c>
      <c r="B544" t="s">
        <v>6413</v>
      </c>
      <c r="C544" t="s">
        <v>34</v>
      </c>
      <c r="D544" t="s">
        <v>392</v>
      </c>
      <c r="E544">
        <v>30</v>
      </c>
      <c r="F544">
        <v>193.50299999999999</v>
      </c>
      <c r="G544">
        <v>1259.82</v>
      </c>
      <c r="H544" t="s">
        <v>367</v>
      </c>
      <c r="I544">
        <v>4171386</v>
      </c>
      <c r="J544" t="s">
        <v>6415</v>
      </c>
      <c r="K544">
        <v>50</v>
      </c>
      <c r="L544">
        <v>0</v>
      </c>
      <c r="M544">
        <v>6</v>
      </c>
      <c r="N544">
        <v>6.45</v>
      </c>
      <c r="O544" t="s">
        <v>35</v>
      </c>
    </row>
    <row r="545" spans="1:16" x14ac:dyDescent="0.25">
      <c r="A545">
        <v>46199</v>
      </c>
      <c r="B545" t="s">
        <v>6413</v>
      </c>
      <c r="C545" t="s">
        <v>34</v>
      </c>
      <c r="D545" t="s">
        <v>392</v>
      </c>
      <c r="E545">
        <v>39</v>
      </c>
      <c r="F545">
        <v>251.554</v>
      </c>
      <c r="G545">
        <v>1637.7660000000001</v>
      </c>
      <c r="H545" t="s">
        <v>367</v>
      </c>
      <c r="I545">
        <v>4171386</v>
      </c>
      <c r="J545" t="s">
        <v>6415</v>
      </c>
      <c r="K545">
        <v>50</v>
      </c>
      <c r="L545">
        <v>0</v>
      </c>
      <c r="M545">
        <v>6</v>
      </c>
      <c r="N545">
        <v>6.45</v>
      </c>
      <c r="O545" t="s">
        <v>35</v>
      </c>
    </row>
    <row r="546" spans="1:16" x14ac:dyDescent="0.25">
      <c r="A546">
        <v>46199</v>
      </c>
      <c r="B546" t="s">
        <v>6413</v>
      </c>
      <c r="C546" t="s">
        <v>34</v>
      </c>
      <c r="D546" t="s">
        <v>392</v>
      </c>
      <c r="E546">
        <v>59</v>
      </c>
      <c r="F546">
        <v>377.80900000000003</v>
      </c>
      <c r="G546">
        <v>2459.7620000000002</v>
      </c>
      <c r="H546" t="s">
        <v>367</v>
      </c>
      <c r="I546">
        <v>4171386</v>
      </c>
      <c r="J546" t="s">
        <v>6415</v>
      </c>
      <c r="K546">
        <v>50</v>
      </c>
      <c r="L546">
        <v>0</v>
      </c>
      <c r="M546">
        <v>6</v>
      </c>
      <c r="N546">
        <v>6.45</v>
      </c>
      <c r="O546" t="s">
        <v>35</v>
      </c>
    </row>
    <row r="547" spans="1:16" x14ac:dyDescent="0.25">
      <c r="A547">
        <v>46199</v>
      </c>
      <c r="B547" t="s">
        <v>6413</v>
      </c>
      <c r="C547" t="s">
        <v>34</v>
      </c>
      <c r="D547" t="s">
        <v>392</v>
      </c>
      <c r="E547">
        <v>59</v>
      </c>
      <c r="F547">
        <v>377.80900000000003</v>
      </c>
      <c r="G547">
        <v>2459.7620000000002</v>
      </c>
      <c r="H547" t="s">
        <v>367</v>
      </c>
      <c r="I547">
        <v>4171386</v>
      </c>
      <c r="J547" t="s">
        <v>6415</v>
      </c>
      <c r="K547">
        <v>50</v>
      </c>
      <c r="L547">
        <v>0</v>
      </c>
      <c r="M547">
        <v>6</v>
      </c>
      <c r="N547">
        <v>6.45</v>
      </c>
      <c r="O547" t="s">
        <v>35</v>
      </c>
    </row>
    <row r="548" spans="1:16" x14ac:dyDescent="0.25">
      <c r="A548">
        <v>46199</v>
      </c>
      <c r="B548" t="s">
        <v>6413</v>
      </c>
      <c r="C548" t="s">
        <v>34</v>
      </c>
      <c r="D548" t="s">
        <v>392</v>
      </c>
      <c r="E548">
        <v>59</v>
      </c>
      <c r="F548">
        <v>377.80900000000003</v>
      </c>
      <c r="G548">
        <v>2459.7620000000002</v>
      </c>
      <c r="H548" t="s">
        <v>367</v>
      </c>
      <c r="I548">
        <v>4171386</v>
      </c>
      <c r="J548" t="s">
        <v>6415</v>
      </c>
      <c r="K548">
        <v>50</v>
      </c>
      <c r="L548">
        <v>0</v>
      </c>
      <c r="M548">
        <v>6</v>
      </c>
      <c r="N548">
        <v>6.45</v>
      </c>
      <c r="O548" t="s">
        <v>35</v>
      </c>
    </row>
    <row r="549" spans="1:16" x14ac:dyDescent="0.25">
      <c r="A549">
        <v>46199</v>
      </c>
      <c r="B549" t="s">
        <v>6413</v>
      </c>
      <c r="C549" t="s">
        <v>34</v>
      </c>
      <c r="D549" t="s">
        <v>392</v>
      </c>
      <c r="E549">
        <v>60</v>
      </c>
      <c r="F549">
        <v>384.21199999999999</v>
      </c>
      <c r="G549">
        <v>2501.453</v>
      </c>
      <c r="H549" t="s">
        <v>367</v>
      </c>
      <c r="I549">
        <v>4171386</v>
      </c>
      <c r="J549" t="s">
        <v>6415</v>
      </c>
      <c r="K549">
        <v>50</v>
      </c>
      <c r="L549">
        <v>0</v>
      </c>
      <c r="M549">
        <v>6</v>
      </c>
      <c r="N549">
        <v>6.45</v>
      </c>
      <c r="O549" t="s">
        <v>35</v>
      </c>
    </row>
    <row r="550" spans="1:16" x14ac:dyDescent="0.25">
      <c r="A550">
        <v>46199</v>
      </c>
      <c r="B550" t="s">
        <v>6413</v>
      </c>
      <c r="C550" t="s">
        <v>34</v>
      </c>
      <c r="D550" t="s">
        <v>392</v>
      </c>
      <c r="E550">
        <v>40</v>
      </c>
      <c r="F550">
        <v>264.00200000000001</v>
      </c>
      <c r="G550">
        <v>1283.895</v>
      </c>
      <c r="H550" t="s">
        <v>367</v>
      </c>
      <c r="I550">
        <v>3501038</v>
      </c>
      <c r="J550" t="s">
        <v>1659</v>
      </c>
      <c r="K550">
        <v>39.799999999999997</v>
      </c>
      <c r="L550">
        <v>0</v>
      </c>
      <c r="M550">
        <v>5.8</v>
      </c>
      <c r="N550">
        <v>6.6</v>
      </c>
      <c r="O550" t="s">
        <v>35</v>
      </c>
    </row>
    <row r="551" spans="1:16" x14ac:dyDescent="0.25">
      <c r="A551">
        <v>46199</v>
      </c>
      <c r="B551" t="s">
        <v>6413</v>
      </c>
      <c r="C551" t="s">
        <v>34</v>
      </c>
      <c r="D551" t="s">
        <v>392</v>
      </c>
      <c r="E551">
        <v>76</v>
      </c>
      <c r="F551">
        <v>501.59800000000001</v>
      </c>
      <c r="G551">
        <v>2439.3719999999998</v>
      </c>
      <c r="H551" t="s">
        <v>367</v>
      </c>
      <c r="I551">
        <v>3501038</v>
      </c>
      <c r="J551" t="s">
        <v>1659</v>
      </c>
      <c r="K551">
        <v>39.799999999999997</v>
      </c>
      <c r="L551">
        <v>0</v>
      </c>
      <c r="M551">
        <v>5.8</v>
      </c>
      <c r="N551">
        <v>6.6</v>
      </c>
      <c r="O551" t="s">
        <v>35</v>
      </c>
    </row>
    <row r="552" spans="1:16" x14ac:dyDescent="0.25">
      <c r="A552">
        <v>46200</v>
      </c>
      <c r="B552" t="s">
        <v>5966</v>
      </c>
      <c r="C552" t="s">
        <v>37</v>
      </c>
      <c r="D552" t="s">
        <v>392</v>
      </c>
      <c r="E552">
        <v>350</v>
      </c>
      <c r="F552">
        <v>2449.9920000000002</v>
      </c>
      <c r="G552">
        <v>2327.71</v>
      </c>
      <c r="H552" t="s">
        <v>1834</v>
      </c>
      <c r="I552">
        <v>3500582</v>
      </c>
      <c r="J552" t="s">
        <v>1423</v>
      </c>
      <c r="K552">
        <v>19.05</v>
      </c>
      <c r="L552">
        <v>0</v>
      </c>
      <c r="M552">
        <v>2.2999999999999998</v>
      </c>
      <c r="N552">
        <v>7</v>
      </c>
      <c r="O552" t="s">
        <v>33</v>
      </c>
      <c r="P552" t="s">
        <v>6164</v>
      </c>
    </row>
    <row r="553" spans="1:16" x14ac:dyDescent="0.25">
      <c r="A553">
        <v>46200</v>
      </c>
      <c r="B553" t="s">
        <v>5966</v>
      </c>
      <c r="C553" t="s">
        <v>37</v>
      </c>
      <c r="D553" t="s">
        <v>392</v>
      </c>
      <c r="E553">
        <v>158</v>
      </c>
      <c r="F553">
        <v>1105.9970000000001</v>
      </c>
      <c r="G553">
        <v>1050.7950000000001</v>
      </c>
      <c r="H553" t="s">
        <v>1834</v>
      </c>
      <c r="I553">
        <v>3500582</v>
      </c>
      <c r="J553" t="s">
        <v>1423</v>
      </c>
      <c r="K553">
        <v>19.05</v>
      </c>
      <c r="L553">
        <v>0</v>
      </c>
      <c r="M553">
        <v>2.2999999999999998</v>
      </c>
      <c r="N553">
        <v>7</v>
      </c>
      <c r="O553" t="s">
        <v>33</v>
      </c>
      <c r="P553" t="s">
        <v>6164</v>
      </c>
    </row>
    <row r="554" spans="1:16" x14ac:dyDescent="0.25">
      <c r="A554">
        <v>46200</v>
      </c>
      <c r="B554" t="s">
        <v>5966</v>
      </c>
      <c r="C554" t="s">
        <v>37</v>
      </c>
      <c r="D554" t="s">
        <v>392</v>
      </c>
      <c r="E554">
        <v>285</v>
      </c>
      <c r="F554">
        <v>1994.9929999999999</v>
      </c>
      <c r="G554">
        <v>1895.421</v>
      </c>
      <c r="H554" t="s">
        <v>1834</v>
      </c>
      <c r="I554">
        <v>3500582</v>
      </c>
      <c r="J554" t="s">
        <v>1423</v>
      </c>
      <c r="K554">
        <v>19.05</v>
      </c>
      <c r="L554">
        <v>0</v>
      </c>
      <c r="M554">
        <v>2.2999999999999998</v>
      </c>
      <c r="N554">
        <v>7</v>
      </c>
      <c r="O554" t="s">
        <v>33</v>
      </c>
      <c r="P554" t="s">
        <v>6164</v>
      </c>
    </row>
    <row r="555" spans="1:16" x14ac:dyDescent="0.25">
      <c r="A555">
        <v>46202</v>
      </c>
      <c r="B555" t="s">
        <v>5966</v>
      </c>
      <c r="C555" t="s">
        <v>37</v>
      </c>
      <c r="D555" t="s">
        <v>392</v>
      </c>
      <c r="E555">
        <v>394</v>
      </c>
      <c r="F555">
        <v>2756.5839999999998</v>
      </c>
      <c r="G555">
        <v>2619</v>
      </c>
      <c r="H555" t="s">
        <v>1834</v>
      </c>
      <c r="I555">
        <v>3500582</v>
      </c>
      <c r="J555" t="s">
        <v>1423</v>
      </c>
      <c r="K555">
        <v>19.05</v>
      </c>
      <c r="L555">
        <v>0</v>
      </c>
      <c r="M555">
        <v>2.2999999999999998</v>
      </c>
      <c r="N555">
        <v>7</v>
      </c>
      <c r="O555" t="s">
        <v>33</v>
      </c>
      <c r="P555" t="s">
        <v>6164</v>
      </c>
    </row>
    <row r="556" spans="1:16" x14ac:dyDescent="0.25">
      <c r="A556">
        <v>46200</v>
      </c>
      <c r="B556" t="s">
        <v>5966</v>
      </c>
      <c r="C556" t="s">
        <v>37</v>
      </c>
      <c r="D556" t="s">
        <v>392</v>
      </c>
      <c r="E556">
        <v>403</v>
      </c>
      <c r="F556">
        <v>2818.4479999999999</v>
      </c>
      <c r="G556">
        <v>2677.7759999999998</v>
      </c>
      <c r="H556" t="s">
        <v>1834</v>
      </c>
      <c r="I556">
        <v>3500582</v>
      </c>
      <c r="J556" t="s">
        <v>1423</v>
      </c>
      <c r="K556">
        <v>19.05</v>
      </c>
      <c r="L556">
        <v>0</v>
      </c>
      <c r="M556">
        <v>2.2999999999999998</v>
      </c>
      <c r="N556">
        <v>7</v>
      </c>
      <c r="O556" t="s">
        <v>33</v>
      </c>
      <c r="P556" t="s">
        <v>6164</v>
      </c>
    </row>
    <row r="557" spans="1:16" x14ac:dyDescent="0.25">
      <c r="A557">
        <v>46200</v>
      </c>
      <c r="B557" t="s">
        <v>5966</v>
      </c>
      <c r="C557" t="s">
        <v>37</v>
      </c>
      <c r="D557" t="s">
        <v>392</v>
      </c>
      <c r="E557">
        <v>200</v>
      </c>
      <c r="F557">
        <v>1399.9949999999999</v>
      </c>
      <c r="G557">
        <v>1330.12</v>
      </c>
      <c r="H557" t="s">
        <v>1834</v>
      </c>
      <c r="I557">
        <v>3500582</v>
      </c>
      <c r="J557" t="s">
        <v>1423</v>
      </c>
      <c r="K557">
        <v>19.05</v>
      </c>
      <c r="L557">
        <v>0</v>
      </c>
      <c r="M557">
        <v>2.2999999999999998</v>
      </c>
      <c r="N557">
        <v>7</v>
      </c>
      <c r="O557" t="s">
        <v>33</v>
      </c>
      <c r="P557" t="s">
        <v>6164</v>
      </c>
    </row>
    <row r="558" spans="1:16" x14ac:dyDescent="0.25">
      <c r="A558">
        <v>46200</v>
      </c>
      <c r="B558" t="s">
        <v>5966</v>
      </c>
      <c r="C558" t="s">
        <v>37</v>
      </c>
      <c r="D558" t="s">
        <v>392</v>
      </c>
      <c r="E558">
        <v>168</v>
      </c>
      <c r="F558">
        <v>1175.9960000000001</v>
      </c>
      <c r="G558">
        <v>1117.3009999999999</v>
      </c>
      <c r="H558" t="s">
        <v>1834</v>
      </c>
      <c r="I558">
        <v>3500582</v>
      </c>
      <c r="J558" t="s">
        <v>1423</v>
      </c>
      <c r="K558">
        <v>19.05</v>
      </c>
      <c r="L558">
        <v>0</v>
      </c>
      <c r="M558">
        <v>2.2999999999999998</v>
      </c>
      <c r="N558">
        <v>7</v>
      </c>
      <c r="O558" t="s">
        <v>33</v>
      </c>
      <c r="P558" t="s">
        <v>6164</v>
      </c>
    </row>
    <row r="559" spans="1:16" x14ac:dyDescent="0.25">
      <c r="A559">
        <v>46200</v>
      </c>
      <c r="B559" t="s">
        <v>5966</v>
      </c>
      <c r="C559" t="s">
        <v>37</v>
      </c>
      <c r="D559" t="s">
        <v>392</v>
      </c>
      <c r="E559">
        <v>450</v>
      </c>
      <c r="F559">
        <v>3149.989</v>
      </c>
      <c r="G559">
        <v>2992.77</v>
      </c>
      <c r="H559" t="s">
        <v>1834</v>
      </c>
      <c r="I559">
        <v>3500582</v>
      </c>
      <c r="J559" t="s">
        <v>1423</v>
      </c>
      <c r="K559">
        <v>19.05</v>
      </c>
      <c r="L559">
        <v>0</v>
      </c>
      <c r="M559">
        <v>2.2999999999999998</v>
      </c>
      <c r="N559">
        <v>7</v>
      </c>
      <c r="O559" t="s">
        <v>33</v>
      </c>
      <c r="P559" t="s">
        <v>6164</v>
      </c>
    </row>
    <row r="560" spans="1:16" x14ac:dyDescent="0.25">
      <c r="A560">
        <v>46200</v>
      </c>
      <c r="B560" t="s">
        <v>5966</v>
      </c>
      <c r="C560" t="s">
        <v>37</v>
      </c>
      <c r="D560" t="s">
        <v>392</v>
      </c>
      <c r="E560">
        <v>230</v>
      </c>
      <c r="F560">
        <v>1609.9949999999999</v>
      </c>
      <c r="G560">
        <v>1529.6379999999999</v>
      </c>
      <c r="H560" t="s">
        <v>1834</v>
      </c>
      <c r="I560">
        <v>3500582</v>
      </c>
      <c r="J560" t="s">
        <v>1423</v>
      </c>
      <c r="K560">
        <v>19.05</v>
      </c>
      <c r="L560">
        <v>0</v>
      </c>
      <c r="M560">
        <v>2.2999999999999998</v>
      </c>
      <c r="N560">
        <v>7</v>
      </c>
      <c r="O560" t="s">
        <v>33</v>
      </c>
      <c r="P560" t="s">
        <v>6164</v>
      </c>
    </row>
    <row r="561" spans="1:16" x14ac:dyDescent="0.25">
      <c r="A561">
        <v>46200</v>
      </c>
      <c r="B561" t="s">
        <v>5966</v>
      </c>
      <c r="C561" t="s">
        <v>37</v>
      </c>
      <c r="D561" t="s">
        <v>392</v>
      </c>
      <c r="E561">
        <v>448</v>
      </c>
      <c r="F561">
        <v>3135.99</v>
      </c>
      <c r="G561">
        <v>2979.4690000000001</v>
      </c>
      <c r="H561" t="s">
        <v>1834</v>
      </c>
      <c r="I561">
        <v>3500582</v>
      </c>
      <c r="J561" t="s">
        <v>1423</v>
      </c>
      <c r="K561">
        <v>19.05</v>
      </c>
      <c r="L561">
        <v>0</v>
      </c>
      <c r="M561">
        <v>2.2999999999999998</v>
      </c>
      <c r="N561">
        <v>7</v>
      </c>
      <c r="O561" t="s">
        <v>33</v>
      </c>
      <c r="P561" t="s">
        <v>6164</v>
      </c>
    </row>
  </sheetData>
  <phoneticPr fontId="13" type="noConversion"/>
  <conditionalFormatting sqref="V1:V1048576 AA1:AA1048576">
    <cfRule type="duplicateValues" dxfId="48" priority="1"/>
  </conditionalFormatting>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C7F1-39A0-467E-BFAF-89F2376BB120}">
  <sheetPr>
    <tabColor rgb="FF00B0F0"/>
  </sheetPr>
  <dimension ref="A1:AG189"/>
  <sheetViews>
    <sheetView topLeftCell="L1" workbookViewId="0">
      <pane ySplit="1" topLeftCell="A2" activePane="bottomLeft" state="frozen"/>
      <selection pane="bottomLeft" activeCell="AG2" sqref="AG2"/>
    </sheetView>
  </sheetViews>
  <sheetFormatPr defaultRowHeight="15" outlineLevelCol="1" x14ac:dyDescent="0.25"/>
  <cols>
    <col min="1" max="11" width="8.28515625" customWidth="1"/>
    <col min="12" max="12" width="24.5703125" customWidth="1" outlineLevel="1"/>
    <col min="13" max="13" width="6.140625" style="199" customWidth="1" outlineLevel="1"/>
    <col min="14" max="14" width="19.7109375" style="199" bestFit="1" customWidth="1" outlineLevel="1"/>
    <col min="15" max="18" width="6.140625" style="199" customWidth="1" outlineLevel="1"/>
    <col min="19" max="25" width="6.140625" customWidth="1" outlineLevel="1"/>
    <col min="26" max="27" width="6.140625" style="162" customWidth="1" outlineLevel="1"/>
    <col min="28" max="28" width="6.140625" style="174" customWidth="1" outlineLevel="1"/>
    <col min="29" max="29" width="9.140625" customWidth="1" outlineLevel="1"/>
    <col min="30" max="30" width="9.140625" customWidth="1"/>
  </cols>
  <sheetData>
    <row r="1" spans="1:33" ht="127.5" x14ac:dyDescent="0.25">
      <c r="A1" s="271" t="s">
        <v>2</v>
      </c>
      <c r="B1" s="138" t="s">
        <v>312</v>
      </c>
      <c r="C1" s="486" t="s">
        <v>258</v>
      </c>
      <c r="D1" s="487" t="s">
        <v>313</v>
      </c>
      <c r="E1" s="483" t="s">
        <v>314</v>
      </c>
      <c r="F1" s="488" t="s">
        <v>315</v>
      </c>
      <c r="G1" s="489" t="s">
        <v>316</v>
      </c>
      <c r="H1" s="489" t="s">
        <v>317</v>
      </c>
      <c r="I1" s="489" t="s">
        <v>318</v>
      </c>
      <c r="J1" s="488" t="s">
        <v>319</v>
      </c>
      <c r="K1" s="483" t="s">
        <v>320</v>
      </c>
      <c r="L1" s="488" t="s">
        <v>202</v>
      </c>
      <c r="M1" s="488" t="s">
        <v>322</v>
      </c>
      <c r="N1" s="490" t="s">
        <v>323</v>
      </c>
      <c r="O1" s="395" t="s">
        <v>261</v>
      </c>
      <c r="P1" s="395" t="s">
        <v>321</v>
      </c>
      <c r="Q1" s="395" t="s">
        <v>6261</v>
      </c>
      <c r="R1" s="395" t="s">
        <v>6416</v>
      </c>
      <c r="S1" s="412" t="s">
        <v>6417</v>
      </c>
      <c r="T1" s="482" t="s">
        <v>324</v>
      </c>
      <c r="U1" s="483" t="s">
        <v>325</v>
      </c>
      <c r="V1" s="484" t="s">
        <v>6326</v>
      </c>
      <c r="W1" s="483" t="s">
        <v>327</v>
      </c>
      <c r="X1" s="483" t="s">
        <v>6327</v>
      </c>
      <c r="Y1" s="483" t="s">
        <v>329</v>
      </c>
      <c r="Z1" s="483" t="s">
        <v>6418</v>
      </c>
      <c r="AA1" s="483" t="s">
        <v>6419</v>
      </c>
      <c r="AB1" s="483" t="s">
        <v>330</v>
      </c>
      <c r="AC1" s="485" t="s">
        <v>6328</v>
      </c>
      <c r="AD1" s="255" t="s">
        <v>6420</v>
      </c>
      <c r="AE1" s="271" t="s">
        <v>333</v>
      </c>
      <c r="AF1" s="271" t="s">
        <v>334</v>
      </c>
    </row>
    <row r="2" spans="1:33" x14ac:dyDescent="0.25">
      <c r="A2" s="147" t="s">
        <v>10</v>
      </c>
      <c r="B2" s="491">
        <v>943209</v>
      </c>
      <c r="C2" s="265" t="s">
        <v>116</v>
      </c>
      <c r="D2" s="147" t="s">
        <v>338</v>
      </c>
      <c r="E2" s="147" t="s">
        <v>339</v>
      </c>
      <c r="F2" s="147" t="s">
        <v>340</v>
      </c>
      <c r="G2" s="148">
        <v>12.7</v>
      </c>
      <c r="H2" s="148"/>
      <c r="I2" s="148">
        <v>1.2</v>
      </c>
      <c r="J2" s="147">
        <v>6000</v>
      </c>
      <c r="K2" s="147">
        <v>6</v>
      </c>
      <c r="L2" s="147" t="str">
        <f t="shared" ref="L2:L64" si="0">_xlfn.CONCAT(G2,I2,K2,F2,E2)</f>
        <v>12.71.26ERWNON FIN</v>
      </c>
      <c r="M2" s="151" t="s">
        <v>345</v>
      </c>
      <c r="N2" s="150">
        <v>1939985</v>
      </c>
      <c r="O2" s="150" t="s">
        <v>6154</v>
      </c>
      <c r="P2" s="150" t="s">
        <v>6154</v>
      </c>
      <c r="Q2" s="150" t="s">
        <v>6272</v>
      </c>
      <c r="R2" s="150" t="s">
        <v>345</v>
      </c>
      <c r="S2" s="150">
        <v>1939985</v>
      </c>
      <c r="T2" s="19">
        <v>10</v>
      </c>
      <c r="U2" s="147">
        <v>5</v>
      </c>
      <c r="V2" s="147">
        <v>7</v>
      </c>
      <c r="W2" s="147"/>
      <c r="X2" s="147">
        <f t="shared" ref="X2:X66" si="1">V2-U2</f>
        <v>2</v>
      </c>
      <c r="Y2" s="147">
        <v>24</v>
      </c>
      <c r="Z2" s="147">
        <f>SUMIFS(orderbook[Bal to Desp],orderbook[key],Table29[[#This Row],[Key]])</f>
        <v>0</v>
      </c>
      <c r="AA2" s="500">
        <f>Table29[[#This Row],[order logg ]]-Table29[[#This Row],[check from 17092025 orderbook sent by ashish]]</f>
        <v>24</v>
      </c>
      <c r="AB2" s="147">
        <f t="shared" ref="AB2:AB33" si="2">X2+Y2</f>
        <v>26</v>
      </c>
      <c r="AC2" s="19">
        <f t="shared" ref="AC2:AC33" si="3">T2-AB2</f>
        <v>-16</v>
      </c>
      <c r="AD2" s="387">
        <v>24</v>
      </c>
      <c r="AE2" s="147">
        <f>ROUND(SUMIFS(meghsteelsales_previousmonth[Quantity],meghsteelsales_previousmonth[Length Bucket],Table29[[#This Row],[Bucket CTL]])/1000,0)</f>
        <v>0</v>
      </c>
      <c r="AF2" s="147">
        <f>ROUND(SUMIFS(meghsteelsales_currentmonth[Quantity],meghsteelsales_currentmonth[Length Bucket],Table29[[#This Row],[Bucket CTL]])/1000,0)</f>
        <v>0</v>
      </c>
      <c r="AG2">
        <v>10</v>
      </c>
    </row>
    <row r="3" spans="1:33" x14ac:dyDescent="0.25">
      <c r="A3" s="147" t="s">
        <v>341</v>
      </c>
      <c r="B3" s="265">
        <v>943210</v>
      </c>
      <c r="C3" s="265" t="s">
        <v>342</v>
      </c>
      <c r="D3" s="147" t="s">
        <v>338</v>
      </c>
      <c r="E3" s="147" t="s">
        <v>339</v>
      </c>
      <c r="F3" s="147" t="s">
        <v>340</v>
      </c>
      <c r="G3" s="148">
        <v>12.7</v>
      </c>
      <c r="H3" s="148"/>
      <c r="I3" s="148">
        <v>1.4</v>
      </c>
      <c r="J3" s="147">
        <v>6000</v>
      </c>
      <c r="K3" s="147">
        <v>6</v>
      </c>
      <c r="L3" s="147" t="str">
        <f t="shared" si="0"/>
        <v>12.71.46ERWNON FIN</v>
      </c>
      <c r="M3" s="151" t="s">
        <v>345</v>
      </c>
      <c r="N3" s="150">
        <v>1931117</v>
      </c>
      <c r="O3" s="150" t="s">
        <v>6154</v>
      </c>
      <c r="P3" s="150" t="s">
        <v>6154</v>
      </c>
      <c r="Q3" s="150">
        <v>0</v>
      </c>
      <c r="R3" s="150" t="s">
        <v>345</v>
      </c>
      <c r="S3" s="150">
        <v>1931117</v>
      </c>
      <c r="T3" s="19">
        <v>5</v>
      </c>
      <c r="U3" s="147">
        <v>0</v>
      </c>
      <c r="V3" s="147">
        <v>7</v>
      </c>
      <c r="W3" s="147"/>
      <c r="X3" s="147">
        <f t="shared" si="1"/>
        <v>7</v>
      </c>
      <c r="Y3" s="147">
        <v>0</v>
      </c>
      <c r="Z3" s="147">
        <f>SUMIFS(orderbook[Bal to Desp],orderbook[key],Table29[[#This Row],[Key]])</f>
        <v>0</v>
      </c>
      <c r="AA3" s="147">
        <f>Table29[[#This Row],[order logg ]]-Table29[[#This Row],[check from 17092025 orderbook sent by ashish]]</f>
        <v>0</v>
      </c>
      <c r="AB3" s="147">
        <f t="shared" si="2"/>
        <v>7</v>
      </c>
      <c r="AC3" s="19">
        <f t="shared" si="3"/>
        <v>-2</v>
      </c>
      <c r="AD3" s="387">
        <f t="shared" ref="AD3:AD65" si="4">IF(AC3&gt;0,AC3,0)*150%</f>
        <v>0</v>
      </c>
      <c r="AE3" s="147">
        <f>ROUND(SUMIFS(meghsteelsales_previousmonth[Quantity],meghsteelsales_previousmonth[Length Bucket],Table29[[#This Row],[Bucket CTL]])/1000,0)</f>
        <v>0</v>
      </c>
      <c r="AF3" s="147">
        <f>ROUND(SUMIFS(meghsteelsales_currentmonth[Quantity],meghsteelsales_currentmonth[Length Bucket],Table29[[#This Row],[Bucket CTL]])/1000,0)</f>
        <v>0</v>
      </c>
      <c r="AG3">
        <v>0</v>
      </c>
    </row>
    <row r="4" spans="1:33" x14ac:dyDescent="0.25">
      <c r="A4" s="147" t="s">
        <v>341</v>
      </c>
      <c r="B4" s="265">
        <v>943210</v>
      </c>
      <c r="C4" s="265" t="s">
        <v>342</v>
      </c>
      <c r="D4" s="147" t="s">
        <v>338</v>
      </c>
      <c r="E4" s="147" t="s">
        <v>339</v>
      </c>
      <c r="F4" s="147" t="s">
        <v>340</v>
      </c>
      <c r="G4" s="148">
        <v>12.7</v>
      </c>
      <c r="H4" s="148"/>
      <c r="I4" s="148">
        <v>1.6</v>
      </c>
      <c r="J4" s="147">
        <v>6000</v>
      </c>
      <c r="K4" s="147">
        <v>6</v>
      </c>
      <c r="L4" s="147" t="str">
        <f t="shared" si="0"/>
        <v>12.71.66ERWNON FIN</v>
      </c>
      <c r="M4" s="151" t="s">
        <v>345</v>
      </c>
      <c r="N4" s="150">
        <v>1931154</v>
      </c>
      <c r="O4" s="150" t="s">
        <v>6154</v>
      </c>
      <c r="P4" s="150" t="s">
        <v>6154</v>
      </c>
      <c r="Q4" s="150">
        <v>0</v>
      </c>
      <c r="R4" s="150" t="s">
        <v>345</v>
      </c>
      <c r="S4" s="150">
        <v>1931154</v>
      </c>
      <c r="T4" s="19">
        <v>2</v>
      </c>
      <c r="U4" s="147">
        <v>1</v>
      </c>
      <c r="V4" s="147">
        <v>4</v>
      </c>
      <c r="W4" s="147"/>
      <c r="X4" s="147">
        <f t="shared" si="1"/>
        <v>3</v>
      </c>
      <c r="Y4" s="147">
        <v>0</v>
      </c>
      <c r="Z4" s="147">
        <f>SUMIFS(orderbook[Bal to Desp],orderbook[key],Table29[[#This Row],[Key]])</f>
        <v>0</v>
      </c>
      <c r="AA4" s="147">
        <f>Table29[[#This Row],[order logg ]]-Table29[[#This Row],[check from 17092025 orderbook sent by ashish]]</f>
        <v>0</v>
      </c>
      <c r="AB4" s="147">
        <f t="shared" si="2"/>
        <v>3</v>
      </c>
      <c r="AC4" s="19">
        <f t="shared" si="3"/>
        <v>-1</v>
      </c>
      <c r="AD4" s="387">
        <f t="shared" si="4"/>
        <v>0</v>
      </c>
      <c r="AE4" s="147">
        <f>ROUND(SUMIFS(meghsteelsales_previousmonth[Quantity],meghsteelsales_previousmonth[Length Bucket],Table29[[#This Row],[Bucket CTL]])/1000,0)</f>
        <v>0</v>
      </c>
      <c r="AF4" s="147">
        <f>ROUND(SUMIFS(meghsteelsales_currentmonth[Quantity],meghsteelsales_currentmonth[Length Bucket],Table29[[#This Row],[Bucket CTL]])/1000,0)</f>
        <v>0</v>
      </c>
      <c r="AG4">
        <v>0</v>
      </c>
    </row>
    <row r="5" spans="1:33" x14ac:dyDescent="0.25">
      <c r="A5" s="147" t="s">
        <v>10</v>
      </c>
      <c r="B5" s="491">
        <v>943209</v>
      </c>
      <c r="C5" s="265" t="s">
        <v>116</v>
      </c>
      <c r="D5" s="147" t="s">
        <v>338</v>
      </c>
      <c r="E5" s="147" t="s">
        <v>339</v>
      </c>
      <c r="F5" s="147" t="s">
        <v>340</v>
      </c>
      <c r="G5" s="148">
        <v>12.7</v>
      </c>
      <c r="H5" s="148"/>
      <c r="I5" s="148">
        <v>2</v>
      </c>
      <c r="J5" s="147">
        <v>6000</v>
      </c>
      <c r="K5" s="147">
        <v>6</v>
      </c>
      <c r="L5" s="147" t="str">
        <f t="shared" si="0"/>
        <v>12.726ERWNON FIN</v>
      </c>
      <c r="M5" s="151" t="s">
        <v>345</v>
      </c>
      <c r="N5" s="149">
        <v>236166</v>
      </c>
      <c r="O5" s="150">
        <v>0</v>
      </c>
      <c r="P5" s="150" t="e">
        <v>#N/A</v>
      </c>
      <c r="Q5" s="150">
        <v>0</v>
      </c>
      <c r="R5" s="150" t="s">
        <v>345</v>
      </c>
      <c r="S5" s="150">
        <v>236166</v>
      </c>
      <c r="T5" s="19">
        <v>3</v>
      </c>
      <c r="U5" s="147">
        <v>0</v>
      </c>
      <c r="V5" s="147">
        <v>0</v>
      </c>
      <c r="W5" s="147"/>
      <c r="X5" s="147">
        <f t="shared" si="1"/>
        <v>0</v>
      </c>
      <c r="Y5" s="147">
        <v>0</v>
      </c>
      <c r="Z5" s="147">
        <f>SUMIFS(orderbook[Bal to Desp],orderbook[key],Table29[[#This Row],[Key]])</f>
        <v>0</v>
      </c>
      <c r="AA5" s="147">
        <f>Table29[[#This Row],[order logg ]]-Table29[[#This Row],[check from 17092025 orderbook sent by ashish]]</f>
        <v>0</v>
      </c>
      <c r="AB5" s="147">
        <f t="shared" si="2"/>
        <v>0</v>
      </c>
      <c r="AC5" s="19">
        <f t="shared" si="3"/>
        <v>3</v>
      </c>
      <c r="AD5" s="387">
        <f t="shared" si="4"/>
        <v>4.5</v>
      </c>
      <c r="AE5" s="147">
        <f>ROUND(SUMIFS(meghsteelsales_previousmonth[Quantity],meghsteelsales_previousmonth[Length Bucket],Table29[[#This Row],[Bucket CTL]])/1000,0)</f>
        <v>0</v>
      </c>
      <c r="AF5" s="147">
        <f>ROUND(SUMIFS(meghsteelsales_currentmonth[Quantity],meghsteelsales_currentmonth[Length Bucket],Table29[[#This Row],[Bucket CTL]])/1000,0)</f>
        <v>0</v>
      </c>
      <c r="AG5">
        <v>0</v>
      </c>
    </row>
    <row r="6" spans="1:33" x14ac:dyDescent="0.25">
      <c r="A6" s="147" t="s">
        <v>341</v>
      </c>
      <c r="B6" s="265">
        <v>943210</v>
      </c>
      <c r="C6" s="265" t="s">
        <v>342</v>
      </c>
      <c r="D6" s="147" t="s">
        <v>338</v>
      </c>
      <c r="E6" s="147" t="s">
        <v>339</v>
      </c>
      <c r="F6" s="147" t="s">
        <v>340</v>
      </c>
      <c r="G6" s="148">
        <v>15.88</v>
      </c>
      <c r="H6" s="148"/>
      <c r="I6" s="148">
        <v>1</v>
      </c>
      <c r="J6" s="147">
        <v>6000</v>
      </c>
      <c r="K6" s="147">
        <v>6</v>
      </c>
      <c r="L6" s="147" t="str">
        <f t="shared" si="0"/>
        <v>15.8816ERWNON FIN</v>
      </c>
      <c r="M6" s="151" t="s">
        <v>345</v>
      </c>
      <c r="N6" s="150">
        <v>1940054</v>
      </c>
      <c r="O6" s="150" t="s">
        <v>423</v>
      </c>
      <c r="P6" s="150" t="s">
        <v>6156</v>
      </c>
      <c r="Q6" s="150">
        <v>0</v>
      </c>
      <c r="R6" s="150" t="s">
        <v>345</v>
      </c>
      <c r="S6" s="150">
        <v>1940054</v>
      </c>
      <c r="T6" s="19">
        <v>1</v>
      </c>
      <c r="U6" s="147">
        <v>0</v>
      </c>
      <c r="V6" s="147">
        <v>1.4</v>
      </c>
      <c r="W6" s="147"/>
      <c r="X6" s="147">
        <f t="shared" si="1"/>
        <v>1.4</v>
      </c>
      <c r="Y6" s="147">
        <v>0</v>
      </c>
      <c r="Z6" s="147">
        <f>SUMIFS(orderbook[Bal to Desp],orderbook[key],Table29[[#This Row],[Key]])</f>
        <v>0</v>
      </c>
      <c r="AA6" s="147">
        <f>Table29[[#This Row],[order logg ]]-Table29[[#This Row],[check from 17092025 orderbook sent by ashish]]</f>
        <v>0</v>
      </c>
      <c r="AB6" s="147">
        <f t="shared" si="2"/>
        <v>1.4</v>
      </c>
      <c r="AC6" s="19">
        <f t="shared" si="3"/>
        <v>-0.39999999999999991</v>
      </c>
      <c r="AD6" s="387">
        <f t="shared" si="4"/>
        <v>0</v>
      </c>
      <c r="AE6" s="147">
        <f>ROUND(SUMIFS(meghsteelsales_previousmonth[Quantity],meghsteelsales_previousmonth[Length Bucket],Table29[[#This Row],[Bucket CTL]])/1000,0)</f>
        <v>0</v>
      </c>
      <c r="AF6" s="147">
        <f>ROUND(SUMIFS(meghsteelsales_currentmonth[Quantity],meghsteelsales_currentmonth[Length Bucket],Table29[[#This Row],[Bucket CTL]])/1000,0)</f>
        <v>0</v>
      </c>
      <c r="AG6">
        <v>0</v>
      </c>
    </row>
    <row r="7" spans="1:33" x14ac:dyDescent="0.25">
      <c r="A7" s="147" t="s">
        <v>10</v>
      </c>
      <c r="B7" s="491">
        <v>943209</v>
      </c>
      <c r="C7" s="265" t="s">
        <v>116</v>
      </c>
      <c r="D7" s="147" t="s">
        <v>338</v>
      </c>
      <c r="E7" s="147" t="s">
        <v>339</v>
      </c>
      <c r="F7" s="147" t="s">
        <v>340</v>
      </c>
      <c r="G7" s="148">
        <v>15.88</v>
      </c>
      <c r="H7" s="148"/>
      <c r="I7" s="148">
        <v>1.2</v>
      </c>
      <c r="J7" s="147">
        <v>6000</v>
      </c>
      <c r="K7" s="147">
        <v>6</v>
      </c>
      <c r="L7" s="147" t="str">
        <f t="shared" si="0"/>
        <v>15.881.26ERWNON FIN</v>
      </c>
      <c r="M7" s="151" t="s">
        <v>345</v>
      </c>
      <c r="N7" s="150">
        <v>1940054</v>
      </c>
      <c r="O7" s="150" t="s">
        <v>423</v>
      </c>
      <c r="P7" s="150" t="s">
        <v>6156</v>
      </c>
      <c r="Q7" s="150">
        <v>0</v>
      </c>
      <c r="R7" s="150" t="s">
        <v>345</v>
      </c>
      <c r="S7" s="150">
        <v>1940054</v>
      </c>
      <c r="T7" s="19">
        <v>10</v>
      </c>
      <c r="U7" s="147">
        <v>0</v>
      </c>
      <c r="V7" s="147">
        <v>0</v>
      </c>
      <c r="W7" s="147"/>
      <c r="X7" s="147">
        <f t="shared" si="1"/>
        <v>0</v>
      </c>
      <c r="Y7" s="147">
        <v>7</v>
      </c>
      <c r="Z7" s="147">
        <f>SUMIFS(orderbook[Bal to Desp],orderbook[key],Table29[[#This Row],[Key]])</f>
        <v>0</v>
      </c>
      <c r="AA7" s="500">
        <f>Table29[[#This Row],[order logg ]]-Table29[[#This Row],[check from 17092025 orderbook sent by ashish]]</f>
        <v>7</v>
      </c>
      <c r="AB7" s="147">
        <f t="shared" si="2"/>
        <v>7</v>
      </c>
      <c r="AC7" s="19">
        <f t="shared" si="3"/>
        <v>3</v>
      </c>
      <c r="AD7" s="387">
        <f>IF(AC7&gt;0,AC7,0)*150%+7</f>
        <v>11.5</v>
      </c>
      <c r="AE7" s="147">
        <f>ROUND(SUMIFS(meghsteelsales_previousmonth[Quantity],meghsteelsales_previousmonth[Length Bucket],Table29[[#This Row],[Bucket CTL]])/1000,0)</f>
        <v>0</v>
      </c>
      <c r="AF7" s="147">
        <f>ROUND(SUMIFS(meghsteelsales_currentmonth[Quantity],meghsteelsales_currentmonth[Length Bucket],Table29[[#This Row],[Bucket CTL]])/1000,0)</f>
        <v>0</v>
      </c>
      <c r="AG7">
        <v>0</v>
      </c>
    </row>
    <row r="8" spans="1:33" x14ac:dyDescent="0.25">
      <c r="A8" s="147" t="s">
        <v>341</v>
      </c>
      <c r="B8" s="265">
        <v>943210</v>
      </c>
      <c r="C8" s="265" t="s">
        <v>342</v>
      </c>
      <c r="D8" s="147" t="s">
        <v>338</v>
      </c>
      <c r="E8" s="147" t="s">
        <v>339</v>
      </c>
      <c r="F8" s="147" t="s">
        <v>340</v>
      </c>
      <c r="G8" s="148">
        <v>15.88</v>
      </c>
      <c r="H8" s="148"/>
      <c r="I8" s="148">
        <v>1.6</v>
      </c>
      <c r="J8" s="147">
        <v>6000</v>
      </c>
      <c r="K8" s="147">
        <v>6</v>
      </c>
      <c r="L8" s="147" t="str">
        <f t="shared" si="0"/>
        <v>15.881.66ERWNON FIN</v>
      </c>
      <c r="M8" s="151" t="s">
        <v>345</v>
      </c>
      <c r="N8" s="150">
        <v>1900224</v>
      </c>
      <c r="O8" s="150" t="s">
        <v>506</v>
      </c>
      <c r="P8" s="150" t="s">
        <v>6158</v>
      </c>
      <c r="Q8" s="150">
        <v>0</v>
      </c>
      <c r="R8" s="150" t="s">
        <v>345</v>
      </c>
      <c r="S8" s="150">
        <v>1900224</v>
      </c>
      <c r="T8" s="19">
        <v>2</v>
      </c>
      <c r="U8" s="147">
        <v>0</v>
      </c>
      <c r="V8" s="147">
        <v>2.5</v>
      </c>
      <c r="W8" s="147"/>
      <c r="X8" s="147">
        <f t="shared" si="1"/>
        <v>2.5</v>
      </c>
      <c r="Y8" s="147">
        <v>0</v>
      </c>
      <c r="Z8" s="147">
        <f>SUMIFS(orderbook[Bal to Desp],orderbook[key],Table29[[#This Row],[Key]])</f>
        <v>0</v>
      </c>
      <c r="AA8" s="147">
        <f>Table29[[#This Row],[order logg ]]-Table29[[#This Row],[check from 17092025 orderbook sent by ashish]]</f>
        <v>0</v>
      </c>
      <c r="AB8" s="147">
        <f t="shared" si="2"/>
        <v>2.5</v>
      </c>
      <c r="AC8" s="19">
        <f t="shared" si="3"/>
        <v>-0.5</v>
      </c>
      <c r="AD8" s="387">
        <f t="shared" si="4"/>
        <v>0</v>
      </c>
      <c r="AE8" s="147">
        <f>ROUND(SUMIFS(meghsteelsales_previousmonth[Quantity],meghsteelsales_previousmonth[Length Bucket],Table29[[#This Row],[Bucket CTL]])/1000,0)</f>
        <v>0</v>
      </c>
      <c r="AF8" s="147">
        <f>ROUND(SUMIFS(meghsteelsales_currentmonth[Quantity],meghsteelsales_currentmonth[Length Bucket],Table29[[#This Row],[Bucket CTL]])/1000,0)</f>
        <v>0</v>
      </c>
      <c r="AG8">
        <v>2.6</v>
      </c>
    </row>
    <row r="9" spans="1:33" x14ac:dyDescent="0.25">
      <c r="A9" s="147" t="s">
        <v>341</v>
      </c>
      <c r="B9" s="265">
        <v>943210</v>
      </c>
      <c r="C9" s="265" t="s">
        <v>342</v>
      </c>
      <c r="D9" s="147" t="s">
        <v>338</v>
      </c>
      <c r="E9" s="147" t="s">
        <v>339</v>
      </c>
      <c r="F9" s="147" t="s">
        <v>340</v>
      </c>
      <c r="G9" s="148">
        <v>15.88</v>
      </c>
      <c r="H9" s="148"/>
      <c r="I9" s="148">
        <v>2</v>
      </c>
      <c r="J9" s="147">
        <v>6000</v>
      </c>
      <c r="K9" s="147">
        <v>6</v>
      </c>
      <c r="L9" s="147" t="str">
        <f t="shared" si="0"/>
        <v>15.8826ERWNON FIN</v>
      </c>
      <c r="M9" s="151" t="s">
        <v>345</v>
      </c>
      <c r="N9" s="150">
        <v>1940120</v>
      </c>
      <c r="O9" s="150" t="s">
        <v>537</v>
      </c>
      <c r="P9" s="150" t="s">
        <v>6159</v>
      </c>
      <c r="Q9" s="150">
        <v>0</v>
      </c>
      <c r="R9" s="150" t="s">
        <v>345</v>
      </c>
      <c r="S9" s="150">
        <v>1940120</v>
      </c>
      <c r="T9" s="19">
        <v>5</v>
      </c>
      <c r="U9" s="147">
        <v>2</v>
      </c>
      <c r="V9" s="147">
        <v>2</v>
      </c>
      <c r="W9" s="147"/>
      <c r="X9" s="147">
        <f t="shared" si="1"/>
        <v>0</v>
      </c>
      <c r="Y9" s="147">
        <v>4</v>
      </c>
      <c r="Z9" s="147">
        <f>SUMIFS(orderbook[Bal to Desp],orderbook[key],Table29[[#This Row],[Key]])</f>
        <v>0</v>
      </c>
      <c r="AA9" s="500">
        <f>Table29[[#This Row],[order logg ]]-Table29[[#This Row],[check from 17092025 orderbook sent by ashish]]</f>
        <v>4</v>
      </c>
      <c r="AB9" s="147">
        <f t="shared" si="2"/>
        <v>4</v>
      </c>
      <c r="AC9" s="19">
        <f t="shared" si="3"/>
        <v>1</v>
      </c>
      <c r="AD9" s="387">
        <f>IF(AC9&gt;0,AC9,0)*150%+4</f>
        <v>5.5</v>
      </c>
      <c r="AE9" s="147">
        <f>ROUND(SUMIFS(meghsteelsales_previousmonth[Quantity],meghsteelsales_previousmonth[Length Bucket],Table29[[#This Row],[Bucket CTL]])/1000,0)</f>
        <v>0</v>
      </c>
      <c r="AF9" s="147">
        <f>ROUND(SUMIFS(meghsteelsales_currentmonth[Quantity],meghsteelsales_currentmonth[Length Bucket],Table29[[#This Row],[Bucket CTL]])/1000,0)</f>
        <v>0</v>
      </c>
      <c r="AG9">
        <v>0</v>
      </c>
    </row>
    <row r="10" spans="1:33" x14ac:dyDescent="0.25">
      <c r="A10" s="147" t="s">
        <v>10</v>
      </c>
      <c r="B10" s="491">
        <v>943209</v>
      </c>
      <c r="C10" s="265" t="s">
        <v>343</v>
      </c>
      <c r="D10" s="147" t="s">
        <v>338</v>
      </c>
      <c r="E10" s="147" t="s">
        <v>339</v>
      </c>
      <c r="F10" s="147" t="s">
        <v>340</v>
      </c>
      <c r="G10" s="148">
        <v>18.2</v>
      </c>
      <c r="H10" s="148"/>
      <c r="I10" s="148">
        <v>1</v>
      </c>
      <c r="J10" s="147">
        <v>6000</v>
      </c>
      <c r="K10" s="147">
        <v>6</v>
      </c>
      <c r="L10" s="147" t="str">
        <f t="shared" si="0"/>
        <v>18.216ERWNON FIN</v>
      </c>
      <c r="M10" s="151" t="s">
        <v>345</v>
      </c>
      <c r="N10" s="150">
        <v>2288945</v>
      </c>
      <c r="O10" s="150">
        <v>0</v>
      </c>
      <c r="P10" s="150" t="e">
        <v>#N/A</v>
      </c>
      <c r="Q10" s="150">
        <v>0</v>
      </c>
      <c r="R10" s="150" t="s">
        <v>345</v>
      </c>
      <c r="S10" s="150">
        <v>2288945</v>
      </c>
      <c r="T10" s="19">
        <v>10</v>
      </c>
      <c r="U10" s="147">
        <v>2</v>
      </c>
      <c r="V10" s="147">
        <v>2</v>
      </c>
      <c r="W10" s="147"/>
      <c r="X10" s="147">
        <f t="shared" si="1"/>
        <v>0</v>
      </c>
      <c r="Y10" s="147">
        <v>21</v>
      </c>
      <c r="Z10" s="147">
        <f>SUMIFS(orderbook[Bal to Desp],orderbook[key],Table29[[#This Row],[Key]])</f>
        <v>0</v>
      </c>
      <c r="AA10" s="500">
        <f>Table29[[#This Row],[order logg ]]-Table29[[#This Row],[check from 17092025 orderbook sent by ashish]]</f>
        <v>21</v>
      </c>
      <c r="AB10" s="147">
        <f t="shared" si="2"/>
        <v>21</v>
      </c>
      <c r="AC10" s="19">
        <f t="shared" si="3"/>
        <v>-11</v>
      </c>
      <c r="AD10" s="387">
        <v>21</v>
      </c>
      <c r="AE10" s="147">
        <f>ROUND(SUMIFS(meghsteelsales_previousmonth[Quantity],meghsteelsales_previousmonth[Length Bucket],Table29[[#This Row],[Bucket CTL]])/1000,0)</f>
        <v>0</v>
      </c>
      <c r="AF10" s="147">
        <f>ROUND(SUMIFS(meghsteelsales_currentmonth[Quantity],meghsteelsales_currentmonth[Length Bucket],Table29[[#This Row],[Bucket CTL]])/1000,0)</f>
        <v>0</v>
      </c>
      <c r="AG10">
        <v>0</v>
      </c>
    </row>
    <row r="11" spans="1:33" x14ac:dyDescent="0.25">
      <c r="A11" s="147" t="s">
        <v>341</v>
      </c>
      <c r="B11" s="265">
        <v>943210</v>
      </c>
      <c r="C11" s="265" t="s">
        <v>342</v>
      </c>
      <c r="D11" s="153" t="s">
        <v>338</v>
      </c>
      <c r="E11" s="147" t="s">
        <v>339</v>
      </c>
      <c r="F11" s="147" t="s">
        <v>340</v>
      </c>
      <c r="G11" s="148">
        <v>19.05</v>
      </c>
      <c r="H11" s="148"/>
      <c r="I11" s="148">
        <v>1.6</v>
      </c>
      <c r="J11" s="147">
        <v>6000</v>
      </c>
      <c r="K11" s="147">
        <v>6</v>
      </c>
      <c r="L11" s="147" t="str">
        <f t="shared" si="0"/>
        <v>19.051.66ERWNON FIN</v>
      </c>
      <c r="M11" s="149">
        <v>56</v>
      </c>
      <c r="N11" s="150">
        <v>3498997</v>
      </c>
      <c r="O11" s="150" t="s">
        <v>983</v>
      </c>
      <c r="P11" s="150" t="s">
        <v>6161</v>
      </c>
      <c r="Q11" s="150">
        <v>0</v>
      </c>
      <c r="R11" s="150" t="s">
        <v>367</v>
      </c>
      <c r="S11" s="150">
        <v>3498997</v>
      </c>
      <c r="T11" s="19">
        <v>10</v>
      </c>
      <c r="U11" s="147">
        <v>6</v>
      </c>
      <c r="V11" s="147">
        <v>7</v>
      </c>
      <c r="W11" s="147"/>
      <c r="X11" s="147">
        <f t="shared" si="1"/>
        <v>1</v>
      </c>
      <c r="Y11" s="147">
        <v>15</v>
      </c>
      <c r="Z11" s="147">
        <f>SUMIFS(orderbook[Bal to Desp],orderbook[key],Table29[[#This Row],[Key]])</f>
        <v>15</v>
      </c>
      <c r="AA11" s="147">
        <f>Table29[[#This Row],[order logg ]]-Table29[[#This Row],[check from 17092025 orderbook sent by ashish]]</f>
        <v>0</v>
      </c>
      <c r="AB11" s="147">
        <f t="shared" si="2"/>
        <v>16</v>
      </c>
      <c r="AC11" s="19">
        <f t="shared" si="3"/>
        <v>-6</v>
      </c>
      <c r="AD11" s="387">
        <f t="shared" si="4"/>
        <v>0</v>
      </c>
      <c r="AE11" s="147">
        <f>ROUND(SUMIFS(meghsteelsales_previousmonth[Quantity],meghsteelsales_previousmonth[Length Bucket],Table29[[#This Row],[Bucket CTL]])/1000,0)</f>
        <v>11</v>
      </c>
      <c r="AF11" s="147">
        <f>ROUND(SUMIFS(meghsteelsales_currentmonth[Quantity],meghsteelsales_currentmonth[Length Bucket],Table29[[#This Row],[Bucket CTL]])/1000,0)</f>
        <v>12</v>
      </c>
      <c r="AG11">
        <v>0</v>
      </c>
    </row>
    <row r="12" spans="1:33" x14ac:dyDescent="0.25">
      <c r="A12" s="147" t="s">
        <v>341</v>
      </c>
      <c r="B12" s="265">
        <v>943210</v>
      </c>
      <c r="C12" s="265" t="s">
        <v>342</v>
      </c>
      <c r="D12" s="147" t="s">
        <v>344</v>
      </c>
      <c r="E12" s="147" t="s">
        <v>339</v>
      </c>
      <c r="F12" s="147" t="s">
        <v>344</v>
      </c>
      <c r="G12" s="148">
        <v>19.05</v>
      </c>
      <c r="H12" s="148"/>
      <c r="I12" s="148">
        <v>1.4</v>
      </c>
      <c r="J12" s="147">
        <v>6000</v>
      </c>
      <c r="K12" s="147">
        <v>6</v>
      </c>
      <c r="L12" s="147" t="str">
        <f t="shared" si="0"/>
        <v>19.051.46ERW2NON FIN</v>
      </c>
      <c r="M12" s="151" t="s">
        <v>367</v>
      </c>
      <c r="N12" s="149">
        <v>3891285</v>
      </c>
      <c r="O12" s="150" t="s">
        <v>6154</v>
      </c>
      <c r="P12" s="150" t="s">
        <v>6154</v>
      </c>
      <c r="Q12" s="150">
        <v>0</v>
      </c>
      <c r="R12" s="150" t="s">
        <v>367</v>
      </c>
      <c r="S12" s="150">
        <v>3891285</v>
      </c>
      <c r="T12" s="19">
        <v>5</v>
      </c>
      <c r="U12" s="147">
        <v>0</v>
      </c>
      <c r="V12" s="147">
        <v>0</v>
      </c>
      <c r="W12" s="147"/>
      <c r="X12" s="147">
        <f t="shared" si="1"/>
        <v>0</v>
      </c>
      <c r="Y12" s="147">
        <v>17</v>
      </c>
      <c r="Z12" s="147">
        <f>SUMIFS(orderbook[Bal to Desp],orderbook[key],Table29[[#This Row],[Key]])</f>
        <v>17.5</v>
      </c>
      <c r="AA12" s="500">
        <f>Table29[[#This Row],[order logg ]]-Table29[[#This Row],[check from 17092025 orderbook sent by ashish]]</f>
        <v>-0.5</v>
      </c>
      <c r="AB12" s="147">
        <f t="shared" si="2"/>
        <v>17</v>
      </c>
      <c r="AC12" s="19">
        <f t="shared" si="3"/>
        <v>-12</v>
      </c>
      <c r="AD12" s="387">
        <f t="shared" si="4"/>
        <v>0</v>
      </c>
      <c r="AE12" s="147">
        <f>ROUND(SUMIFS(meghsteelsales_previousmonth[Quantity],meghsteelsales_previousmonth[Length Bucket],Table29[[#This Row],[Bucket CTL]])/1000,0)</f>
        <v>0</v>
      </c>
      <c r="AF12" s="147">
        <f>ROUND(SUMIFS(meghsteelsales_currentmonth[Quantity],meghsteelsales_currentmonth[Length Bucket],Table29[[#This Row],[Bucket CTL]])/1000,0)</f>
        <v>0</v>
      </c>
      <c r="AG12">
        <v>0</v>
      </c>
    </row>
    <row r="13" spans="1:33" x14ac:dyDescent="0.25">
      <c r="A13" s="147" t="s">
        <v>10</v>
      </c>
      <c r="B13" s="491">
        <v>943209</v>
      </c>
      <c r="C13" s="265" t="s">
        <v>116</v>
      </c>
      <c r="D13" s="153" t="s">
        <v>338</v>
      </c>
      <c r="E13" s="147" t="s">
        <v>339</v>
      </c>
      <c r="F13" s="147" t="s">
        <v>340</v>
      </c>
      <c r="G13" s="154">
        <v>19.05</v>
      </c>
      <c r="H13" s="154"/>
      <c r="I13" s="154">
        <v>2</v>
      </c>
      <c r="J13" s="155">
        <v>5800</v>
      </c>
      <c r="K13" s="147">
        <v>5.8</v>
      </c>
      <c r="L13" s="147" t="str">
        <f t="shared" si="0"/>
        <v>19.0525.8ERWNON FIN</v>
      </c>
      <c r="M13" s="151"/>
      <c r="N13" s="150"/>
      <c r="O13" s="150" t="s">
        <v>604</v>
      </c>
      <c r="P13" s="150" t="s">
        <v>6421</v>
      </c>
      <c r="Q13" s="150" t="s">
        <v>6272</v>
      </c>
      <c r="R13" s="150" t="s">
        <v>367</v>
      </c>
      <c r="S13" s="150">
        <v>1940292</v>
      </c>
      <c r="T13" s="19">
        <v>35</v>
      </c>
      <c r="U13" s="147">
        <v>20</v>
      </c>
      <c r="V13" s="147">
        <v>50</v>
      </c>
      <c r="W13" s="147"/>
      <c r="X13" s="147">
        <f t="shared" si="1"/>
        <v>30</v>
      </c>
      <c r="Y13" s="147">
        <v>4</v>
      </c>
      <c r="Z13" s="147">
        <f>SUMIFS(orderbook[Bal to Desp],orderbook[key],Table29[[#This Row],[Key]])</f>
        <v>0</v>
      </c>
      <c r="AA13" s="500">
        <f>Table29[[#This Row],[order logg ]]-Table29[[#This Row],[check from 17092025 orderbook sent by ashish]]</f>
        <v>4</v>
      </c>
      <c r="AB13" s="147">
        <f t="shared" si="2"/>
        <v>34</v>
      </c>
      <c r="AC13" s="19">
        <f t="shared" si="3"/>
        <v>1</v>
      </c>
      <c r="AD13" s="387">
        <f>IF(AC13&gt;0,AC13,0)*150%+4</f>
        <v>5.5</v>
      </c>
      <c r="AE13" s="147">
        <f>ROUND(SUMIFS(meghsteelsales_previousmonth[Quantity],meghsteelsales_previousmonth[Length Bucket],Table29[[#This Row],[Bucket CTL]])/1000,0)</f>
        <v>0</v>
      </c>
      <c r="AF13" s="147">
        <f>ROUND(SUMIFS(meghsteelsales_currentmonth[Quantity],meghsteelsales_currentmonth[Length Bucket],Table29[[#This Row],[Bucket CTL]])/1000,0)</f>
        <v>0</v>
      </c>
      <c r="AG13">
        <v>0</v>
      </c>
    </row>
    <row r="14" spans="1:33" x14ac:dyDescent="0.25">
      <c r="A14" s="147" t="s">
        <v>10</v>
      </c>
      <c r="B14" s="491">
        <v>943209</v>
      </c>
      <c r="C14" s="265" t="s">
        <v>346</v>
      </c>
      <c r="D14" s="153" t="s">
        <v>338</v>
      </c>
      <c r="E14" s="147" t="s">
        <v>339</v>
      </c>
      <c r="F14" s="147" t="s">
        <v>340</v>
      </c>
      <c r="G14" s="148">
        <v>19.05</v>
      </c>
      <c r="H14" s="148"/>
      <c r="I14" s="148">
        <v>2.2999999999999998</v>
      </c>
      <c r="J14" s="147">
        <v>7000</v>
      </c>
      <c r="K14" s="147">
        <v>7</v>
      </c>
      <c r="L14" s="147" t="str">
        <f t="shared" si="0"/>
        <v>19.052.37ERWNON FIN</v>
      </c>
      <c r="M14" s="151" t="s">
        <v>367</v>
      </c>
      <c r="N14" s="150">
        <v>3500582</v>
      </c>
      <c r="O14" s="150" t="s">
        <v>407</v>
      </c>
      <c r="P14" s="150" t="s">
        <v>6164</v>
      </c>
      <c r="Q14" s="150">
        <v>0</v>
      </c>
      <c r="R14" s="150" t="s">
        <v>367</v>
      </c>
      <c r="S14" s="150">
        <v>3500582</v>
      </c>
      <c r="T14" s="19">
        <v>20</v>
      </c>
      <c r="U14" s="147">
        <v>7</v>
      </c>
      <c r="V14" s="147">
        <v>7</v>
      </c>
      <c r="W14" s="147"/>
      <c r="X14" s="147">
        <f t="shared" si="1"/>
        <v>0</v>
      </c>
      <c r="Y14" s="147">
        <v>1</v>
      </c>
      <c r="Z14" s="147">
        <f>SUMIFS(orderbook[Bal to Desp],orderbook[key],Table29[[#This Row],[Key]])</f>
        <v>48.332999999999998</v>
      </c>
      <c r="AA14" s="500">
        <f>Table29[[#This Row],[order logg ]]-Table29[[#This Row],[check from 17092025 orderbook sent by ashish]]</f>
        <v>-47.332999999999998</v>
      </c>
      <c r="AB14" s="147">
        <f t="shared" si="2"/>
        <v>1</v>
      </c>
      <c r="AC14" s="19">
        <f t="shared" si="3"/>
        <v>19</v>
      </c>
      <c r="AD14" s="387">
        <v>0</v>
      </c>
      <c r="AE14" s="147">
        <f>ROUND(SUMIFS(meghsteelsales_previousmonth[Quantity],meghsteelsales_previousmonth[Length Bucket],Table29[[#This Row],[Bucket CTL]])/1000,0)</f>
        <v>21</v>
      </c>
      <c r="AF14" s="147">
        <f>ROUND(SUMIFS(meghsteelsales_currentmonth[Quantity],meghsteelsales_currentmonth[Length Bucket],Table29[[#This Row],[Bucket CTL]])/1000,0)</f>
        <v>4</v>
      </c>
      <c r="AG14">
        <v>0</v>
      </c>
    </row>
    <row r="15" spans="1:33" x14ac:dyDescent="0.25">
      <c r="A15" s="147" t="s">
        <v>10</v>
      </c>
      <c r="B15" s="491">
        <v>943209</v>
      </c>
      <c r="C15" s="265" t="s">
        <v>116</v>
      </c>
      <c r="D15" s="147" t="s">
        <v>338</v>
      </c>
      <c r="E15" s="147" t="s">
        <v>339</v>
      </c>
      <c r="F15" s="147" t="s">
        <v>340</v>
      </c>
      <c r="G15" s="148">
        <v>21.4</v>
      </c>
      <c r="H15" s="148"/>
      <c r="I15" s="148">
        <v>1.6</v>
      </c>
      <c r="J15" s="147">
        <v>6000</v>
      </c>
      <c r="K15" s="147">
        <v>6</v>
      </c>
      <c r="L15" s="147" t="str">
        <f t="shared" si="0"/>
        <v>21.41.66ERWNON FIN</v>
      </c>
      <c r="M15" s="149"/>
      <c r="N15" s="150">
        <v>3219710</v>
      </c>
      <c r="O15" s="150" t="s">
        <v>6216</v>
      </c>
      <c r="P15" s="150" t="s">
        <v>6217</v>
      </c>
      <c r="Q15" s="150">
        <v>0</v>
      </c>
      <c r="R15" s="150" t="s">
        <v>345</v>
      </c>
      <c r="S15" s="150">
        <v>3219710</v>
      </c>
      <c r="T15" s="19">
        <v>10</v>
      </c>
      <c r="U15" s="147">
        <v>2</v>
      </c>
      <c r="V15" s="147">
        <v>5</v>
      </c>
      <c r="W15" s="147"/>
      <c r="X15" s="147">
        <f t="shared" si="1"/>
        <v>3</v>
      </c>
      <c r="Y15" s="147">
        <v>3</v>
      </c>
      <c r="Z15" s="147">
        <f>SUMIFS(orderbook[Bal to Desp],orderbook[key],Table29[[#This Row],[Key]])</f>
        <v>0</v>
      </c>
      <c r="AA15" s="500">
        <f>Table29[[#This Row],[order logg ]]-Table29[[#This Row],[check from 17092025 orderbook sent by ashish]]</f>
        <v>3</v>
      </c>
      <c r="AB15" s="147">
        <f t="shared" si="2"/>
        <v>6</v>
      </c>
      <c r="AC15" s="19">
        <f t="shared" si="3"/>
        <v>4</v>
      </c>
      <c r="AD15" s="387">
        <f t="shared" si="4"/>
        <v>6</v>
      </c>
      <c r="AE15" s="147">
        <f>ROUND(SUMIFS(meghsteelsales_previousmonth[Quantity],meghsteelsales_previousmonth[Length Bucket],Table29[[#This Row],[Bucket CTL]])/1000,0)</f>
        <v>0</v>
      </c>
      <c r="AF15" s="147">
        <f>ROUND(SUMIFS(meghsteelsales_currentmonth[Quantity],meghsteelsales_currentmonth[Length Bucket],Table29[[#This Row],[Bucket CTL]])/1000,0)</f>
        <v>0</v>
      </c>
      <c r="AG15">
        <v>0</v>
      </c>
    </row>
    <row r="16" spans="1:33" x14ac:dyDescent="0.25">
      <c r="A16" s="147" t="s">
        <v>10</v>
      </c>
      <c r="B16" s="491">
        <v>943209</v>
      </c>
      <c r="C16" s="265" t="s">
        <v>116</v>
      </c>
      <c r="D16" s="153" t="s">
        <v>338</v>
      </c>
      <c r="E16" s="147" t="s">
        <v>339</v>
      </c>
      <c r="F16" s="147" t="s">
        <v>340</v>
      </c>
      <c r="G16" s="148">
        <v>22.2</v>
      </c>
      <c r="H16" s="148"/>
      <c r="I16" s="148">
        <v>1.2</v>
      </c>
      <c r="J16" s="147">
        <v>5870</v>
      </c>
      <c r="K16" s="147">
        <v>5.87</v>
      </c>
      <c r="L16" s="147" t="str">
        <f t="shared" si="0"/>
        <v>22.21.25.87ERWNON FIN</v>
      </c>
      <c r="M16" s="151" t="s">
        <v>367</v>
      </c>
      <c r="N16" s="385">
        <v>3882110</v>
      </c>
      <c r="O16" s="150" t="s">
        <v>607</v>
      </c>
      <c r="P16" s="150" t="s">
        <v>6165</v>
      </c>
      <c r="Q16" s="150" t="s">
        <v>6272</v>
      </c>
      <c r="R16" s="150" t="s">
        <v>367</v>
      </c>
      <c r="S16" s="150">
        <v>3882110</v>
      </c>
      <c r="T16" s="19">
        <v>20</v>
      </c>
      <c r="U16" s="147">
        <v>10</v>
      </c>
      <c r="V16" s="147">
        <v>17</v>
      </c>
      <c r="W16" s="147">
        <v>15</v>
      </c>
      <c r="X16" s="147">
        <f t="shared" si="1"/>
        <v>7</v>
      </c>
      <c r="Y16" s="147">
        <v>16</v>
      </c>
      <c r="Z16" s="147">
        <f>SUMIFS(orderbook[Bal to Desp],orderbook[key],Table29[[#This Row],[Key]])</f>
        <v>10</v>
      </c>
      <c r="AA16" s="500">
        <f>Table29[[#This Row],[order logg ]]-Table29[[#This Row],[check from 17092025 orderbook sent by ashish]]</f>
        <v>6</v>
      </c>
      <c r="AB16" s="147">
        <f t="shared" si="2"/>
        <v>23</v>
      </c>
      <c r="AC16" s="19">
        <f t="shared" si="3"/>
        <v>-3</v>
      </c>
      <c r="AD16" s="387">
        <f>IF(AC16&gt;0,AC16,0)*150%+6</f>
        <v>6</v>
      </c>
      <c r="AE16" s="147">
        <f>ROUND(SUMIFS(meghsteelsales_previousmonth[Quantity],meghsteelsales_previousmonth[Length Bucket],Table29[[#This Row],[Bucket CTL]])/1000,0)</f>
        <v>7</v>
      </c>
      <c r="AF16" s="147">
        <f>ROUND(SUMIFS(meghsteelsales_currentmonth[Quantity],meghsteelsales_currentmonth[Length Bucket],Table29[[#This Row],[Bucket CTL]])/1000,0)</f>
        <v>13</v>
      </c>
      <c r="AG16">
        <v>0</v>
      </c>
    </row>
    <row r="17" spans="1:33" x14ac:dyDescent="0.25">
      <c r="A17" s="147" t="s">
        <v>341</v>
      </c>
      <c r="B17" s="265">
        <v>943210</v>
      </c>
      <c r="C17" s="265" t="s">
        <v>342</v>
      </c>
      <c r="D17" s="153" t="s">
        <v>344</v>
      </c>
      <c r="E17" s="147" t="s">
        <v>339</v>
      </c>
      <c r="F17" s="147" t="s">
        <v>347</v>
      </c>
      <c r="G17" s="148">
        <v>22.2</v>
      </c>
      <c r="H17" s="148"/>
      <c r="I17" s="148">
        <v>1.4</v>
      </c>
      <c r="J17" s="147">
        <v>6000</v>
      </c>
      <c r="K17" s="147">
        <v>6</v>
      </c>
      <c r="L17" s="147" t="str">
        <f t="shared" si="0"/>
        <v>22.21.46ERW-2NON FIN</v>
      </c>
      <c r="M17" s="151" t="s">
        <v>367</v>
      </c>
      <c r="N17" s="150">
        <v>3829175</v>
      </c>
      <c r="O17" s="150" t="s">
        <v>6154</v>
      </c>
      <c r="P17" s="150" t="s">
        <v>6154</v>
      </c>
      <c r="Q17" s="150">
        <v>0</v>
      </c>
      <c r="R17" s="150" t="s">
        <v>367</v>
      </c>
      <c r="S17" s="150">
        <v>3829175</v>
      </c>
      <c r="T17" s="19">
        <v>5</v>
      </c>
      <c r="U17" s="147">
        <v>0</v>
      </c>
      <c r="V17" s="147">
        <v>0</v>
      </c>
      <c r="W17" s="147"/>
      <c r="X17" s="147">
        <f t="shared" si="1"/>
        <v>0</v>
      </c>
      <c r="Y17" s="147">
        <v>5.5</v>
      </c>
      <c r="Z17" s="147">
        <f>SUMIFS(orderbook[Bal to Desp],orderbook[key],Table29[[#This Row],[Key]])</f>
        <v>5.5</v>
      </c>
      <c r="AA17" s="147">
        <f>Table29[[#This Row],[order logg ]]-Table29[[#This Row],[check from 17092025 orderbook sent by ashish]]</f>
        <v>0</v>
      </c>
      <c r="AB17" s="147">
        <f t="shared" si="2"/>
        <v>5.5</v>
      </c>
      <c r="AC17" s="19">
        <f t="shared" si="3"/>
        <v>-0.5</v>
      </c>
      <c r="AD17" s="387">
        <f t="shared" si="4"/>
        <v>0</v>
      </c>
      <c r="AE17" s="147">
        <f>ROUND(SUMIFS(meghsteelsales_previousmonth[Quantity],meghsteelsales_previousmonth[Length Bucket],Table29[[#This Row],[Bucket CTL]])/1000,0)</f>
        <v>0</v>
      </c>
      <c r="AF17" s="147">
        <f>ROUND(SUMIFS(meghsteelsales_currentmonth[Quantity],meghsteelsales_currentmonth[Length Bucket],Table29[[#This Row],[Bucket CTL]])/1000,0)</f>
        <v>0</v>
      </c>
      <c r="AG17">
        <v>0</v>
      </c>
    </row>
    <row r="18" spans="1:33" x14ac:dyDescent="0.25">
      <c r="A18" s="147" t="s">
        <v>10</v>
      </c>
      <c r="B18" s="491">
        <v>943209</v>
      </c>
      <c r="C18" s="265" t="s">
        <v>116</v>
      </c>
      <c r="D18" s="153" t="s">
        <v>338</v>
      </c>
      <c r="E18" s="147" t="s">
        <v>339</v>
      </c>
      <c r="F18" s="147" t="s">
        <v>340</v>
      </c>
      <c r="G18" s="148">
        <v>22.2</v>
      </c>
      <c r="H18" s="148"/>
      <c r="I18" s="148">
        <v>1.6</v>
      </c>
      <c r="J18" s="147">
        <v>5270</v>
      </c>
      <c r="K18" s="147">
        <v>5.27</v>
      </c>
      <c r="L18" s="147" t="str">
        <f t="shared" si="0"/>
        <v>22.21.65.27ERWNON FIN</v>
      </c>
      <c r="M18" s="151"/>
      <c r="N18" s="150"/>
      <c r="O18" s="150" t="s">
        <v>412</v>
      </c>
      <c r="P18" s="150" t="s">
        <v>6249</v>
      </c>
      <c r="Q18" s="150" t="s">
        <v>6272</v>
      </c>
      <c r="R18" s="150" t="s">
        <v>345</v>
      </c>
      <c r="S18" s="150">
        <v>3575894</v>
      </c>
      <c r="T18" s="19">
        <v>25</v>
      </c>
      <c r="U18" s="147">
        <v>0</v>
      </c>
      <c r="V18" s="147">
        <v>0</v>
      </c>
      <c r="W18" s="147"/>
      <c r="X18" s="147">
        <f t="shared" si="1"/>
        <v>0</v>
      </c>
      <c r="Y18" s="147">
        <v>40</v>
      </c>
      <c r="Z18" s="147">
        <f>SUMIFS(orderbook[Bal to Desp],orderbook[key],Table29[[#This Row],[Key]])</f>
        <v>0</v>
      </c>
      <c r="AA18" s="500">
        <f>Table29[[#This Row],[order logg ]]-Table29[[#This Row],[check from 17092025 orderbook sent by ashish]]</f>
        <v>40</v>
      </c>
      <c r="AB18" s="147">
        <f t="shared" si="2"/>
        <v>40</v>
      </c>
      <c r="AC18" s="19">
        <f t="shared" si="3"/>
        <v>-15</v>
      </c>
      <c r="AD18" s="387">
        <v>40</v>
      </c>
      <c r="AE18" s="147">
        <f>ROUND(SUMIFS(meghsteelsales_previousmonth[Quantity],meghsteelsales_previousmonth[Length Bucket],Table29[[#This Row],[Bucket CTL]])/1000,0)</f>
        <v>43</v>
      </c>
      <c r="AF18" s="147">
        <f>ROUND(SUMIFS(meghsteelsales_currentmonth[Quantity],meghsteelsales_currentmonth[Length Bucket],Table29[[#This Row],[Bucket CTL]])/1000,0)</f>
        <v>0</v>
      </c>
      <c r="AG18">
        <v>56.6</v>
      </c>
    </row>
    <row r="19" spans="1:33" x14ac:dyDescent="0.25">
      <c r="A19" s="147" t="s">
        <v>10</v>
      </c>
      <c r="B19" s="491">
        <v>943209</v>
      </c>
      <c r="C19" s="265" t="s">
        <v>116</v>
      </c>
      <c r="D19" s="153" t="s">
        <v>338</v>
      </c>
      <c r="E19" s="147" t="s">
        <v>339</v>
      </c>
      <c r="F19" s="147" t="s">
        <v>340</v>
      </c>
      <c r="G19" s="148">
        <v>22.2</v>
      </c>
      <c r="H19" s="148"/>
      <c r="I19" s="148">
        <v>1.6</v>
      </c>
      <c r="J19" s="147">
        <v>5670</v>
      </c>
      <c r="K19" s="147">
        <v>5.67</v>
      </c>
      <c r="L19" s="147" t="str">
        <f t="shared" si="0"/>
        <v>22.21.65.67ERWNON FIN</v>
      </c>
      <c r="M19" s="151"/>
      <c r="N19" s="150"/>
      <c r="O19" s="150" t="s">
        <v>412</v>
      </c>
      <c r="P19" s="150" t="s">
        <v>6167</v>
      </c>
      <c r="Q19" s="150" t="s">
        <v>6272</v>
      </c>
      <c r="R19" s="501" t="s">
        <v>345</v>
      </c>
      <c r="S19" s="150">
        <v>3570690</v>
      </c>
      <c r="T19" s="19">
        <v>40</v>
      </c>
      <c r="U19" s="147">
        <v>20</v>
      </c>
      <c r="V19" s="147">
        <v>30</v>
      </c>
      <c r="W19" s="147">
        <v>17</v>
      </c>
      <c r="X19" s="147">
        <f t="shared" si="1"/>
        <v>10</v>
      </c>
      <c r="Y19" s="147">
        <v>20</v>
      </c>
      <c r="Z19" s="147">
        <f>SUMIFS(orderbook[Bal to Desp],orderbook[key],Table29[[#This Row],[Key]])</f>
        <v>0</v>
      </c>
      <c r="AA19" s="500">
        <f>Table29[[#This Row],[order logg ]]-Table29[[#This Row],[check from 17092025 orderbook sent by ashish]]</f>
        <v>20</v>
      </c>
      <c r="AB19" s="147">
        <f t="shared" si="2"/>
        <v>30</v>
      </c>
      <c r="AC19" s="19">
        <f t="shared" si="3"/>
        <v>10</v>
      </c>
      <c r="AD19" s="387">
        <f>IF(AC19&gt;0,AC19,0)*150%+20</f>
        <v>35</v>
      </c>
      <c r="AE19" s="147">
        <f>ROUND(SUMIFS(meghsteelsales_previousmonth[Quantity],meghsteelsales_previousmonth[Length Bucket],Table29[[#This Row],[Bucket CTL]])/1000,0)</f>
        <v>27</v>
      </c>
      <c r="AF19" s="147">
        <f>ROUND(SUMIFS(meghsteelsales_currentmonth[Quantity],meghsteelsales_currentmonth[Length Bucket],Table29[[#This Row],[Bucket CTL]])/1000,0)</f>
        <v>2</v>
      </c>
      <c r="AG19">
        <v>0</v>
      </c>
    </row>
    <row r="20" spans="1:33" x14ac:dyDescent="0.25">
      <c r="A20" s="147" t="s">
        <v>10</v>
      </c>
      <c r="B20" s="491">
        <v>943209</v>
      </c>
      <c r="C20" s="265" t="s">
        <v>116</v>
      </c>
      <c r="D20" s="155" t="s">
        <v>338</v>
      </c>
      <c r="E20" s="147" t="s">
        <v>339</v>
      </c>
      <c r="F20" s="147" t="s">
        <v>340</v>
      </c>
      <c r="G20" s="154">
        <v>22.2</v>
      </c>
      <c r="H20" s="154"/>
      <c r="I20" s="154">
        <v>2</v>
      </c>
      <c r="J20" s="155">
        <v>5950</v>
      </c>
      <c r="K20" s="147">
        <v>5.95</v>
      </c>
      <c r="L20" s="147" t="str">
        <f t="shared" si="0"/>
        <v>22.225.95ERWNON FIN</v>
      </c>
      <c r="M20" s="151" t="s">
        <v>367</v>
      </c>
      <c r="N20" s="385">
        <v>3905466</v>
      </c>
      <c r="O20" s="150" t="s">
        <v>633</v>
      </c>
      <c r="P20" s="150" t="s">
        <v>6168</v>
      </c>
      <c r="Q20" s="150" t="s">
        <v>6272</v>
      </c>
      <c r="R20" s="150" t="s">
        <v>367</v>
      </c>
      <c r="S20" s="150">
        <v>3905466</v>
      </c>
      <c r="T20" s="19">
        <v>50</v>
      </c>
      <c r="U20" s="147">
        <v>7</v>
      </c>
      <c r="V20" s="147">
        <v>7</v>
      </c>
      <c r="W20" s="147">
        <v>19</v>
      </c>
      <c r="X20" s="147">
        <f t="shared" si="1"/>
        <v>0</v>
      </c>
      <c r="Y20" s="147">
        <v>87</v>
      </c>
      <c r="Z20" s="147">
        <f>SUMIFS(orderbook[Bal to Desp],orderbook[key],Table29[[#This Row],[Key]])</f>
        <v>88.481999999999999</v>
      </c>
      <c r="AA20" s="500">
        <f>Table29[[#This Row],[order logg ]]-Table29[[#This Row],[check from 17092025 orderbook sent by ashish]]</f>
        <v>-1.4819999999999993</v>
      </c>
      <c r="AB20" s="147">
        <f t="shared" si="2"/>
        <v>87</v>
      </c>
      <c r="AC20" s="19">
        <f t="shared" si="3"/>
        <v>-37</v>
      </c>
      <c r="AD20" s="387">
        <f t="shared" si="4"/>
        <v>0</v>
      </c>
      <c r="AE20" s="147">
        <f>ROUND(SUMIFS(meghsteelsales_previousmonth[Quantity],meghsteelsales_previousmonth[Length Bucket],Table29[[#This Row],[Bucket CTL]])/1000,0)</f>
        <v>86</v>
      </c>
      <c r="AF20" s="147">
        <f>ROUND(SUMIFS(meghsteelsales_currentmonth[Quantity],meghsteelsales_currentmonth[Length Bucket],Table29[[#This Row],[Bucket CTL]])/1000,0)</f>
        <v>52</v>
      </c>
      <c r="AG20">
        <v>0</v>
      </c>
    </row>
    <row r="21" spans="1:33" x14ac:dyDescent="0.25">
      <c r="A21" s="147" t="s">
        <v>10</v>
      </c>
      <c r="B21" s="491">
        <v>943209</v>
      </c>
      <c r="C21" s="265" t="s">
        <v>116</v>
      </c>
      <c r="D21" s="155" t="s">
        <v>338</v>
      </c>
      <c r="E21" s="147" t="s">
        <v>339</v>
      </c>
      <c r="F21" s="147" t="s">
        <v>340</v>
      </c>
      <c r="G21" s="154">
        <v>22.2</v>
      </c>
      <c r="H21" s="154"/>
      <c r="I21" s="154">
        <v>2</v>
      </c>
      <c r="J21" s="155">
        <v>5100</v>
      </c>
      <c r="K21" s="147">
        <v>5.0999999999999996</v>
      </c>
      <c r="L21" s="147" t="str">
        <f t="shared" si="0"/>
        <v>22.225.1ERWNON FIN</v>
      </c>
      <c r="M21" s="151" t="s">
        <v>367</v>
      </c>
      <c r="N21" s="150">
        <v>3500554</v>
      </c>
      <c r="O21" s="150" t="s">
        <v>633</v>
      </c>
      <c r="P21" s="150" t="s">
        <v>6169</v>
      </c>
      <c r="Q21" s="150">
        <v>0</v>
      </c>
      <c r="R21" s="150" t="s">
        <v>367</v>
      </c>
      <c r="S21" s="150">
        <v>3500554</v>
      </c>
      <c r="T21" s="19">
        <v>20</v>
      </c>
      <c r="U21" s="147">
        <v>0</v>
      </c>
      <c r="V21" s="147">
        <v>0</v>
      </c>
      <c r="W21" s="147">
        <v>12</v>
      </c>
      <c r="X21" s="147">
        <f t="shared" si="1"/>
        <v>0</v>
      </c>
      <c r="Y21" s="147">
        <v>37</v>
      </c>
      <c r="Z21" s="147">
        <f>SUMIFS(orderbook[Bal to Desp],orderbook[key],Table29[[#This Row],[Key]])</f>
        <v>30</v>
      </c>
      <c r="AA21" s="500">
        <f>Table29[[#This Row],[order logg ]]-Table29[[#This Row],[check from 17092025 orderbook sent by ashish]]</f>
        <v>7</v>
      </c>
      <c r="AB21" s="147">
        <f t="shared" si="2"/>
        <v>37</v>
      </c>
      <c r="AC21" s="19">
        <f t="shared" si="3"/>
        <v>-17</v>
      </c>
      <c r="AD21" s="387">
        <f>IF(AC21&gt;0,AC21,0)*150%+7</f>
        <v>7</v>
      </c>
      <c r="AE21" s="147">
        <f>ROUND(SUMIFS(meghsteelsales_previousmonth[Quantity],meghsteelsales_previousmonth[Length Bucket],Table29[[#This Row],[Bucket CTL]])/1000,0)</f>
        <v>0</v>
      </c>
      <c r="AF21" s="147">
        <f>ROUND(SUMIFS(meghsteelsales_currentmonth[Quantity],meghsteelsales_currentmonth[Length Bucket],Table29[[#This Row],[Bucket CTL]])/1000,0)</f>
        <v>0</v>
      </c>
      <c r="AG21">
        <v>0</v>
      </c>
    </row>
    <row r="22" spans="1:33" x14ac:dyDescent="0.25">
      <c r="A22" s="147" t="s">
        <v>10</v>
      </c>
      <c r="B22" s="491">
        <v>943209</v>
      </c>
      <c r="C22" s="265" t="s">
        <v>116</v>
      </c>
      <c r="D22" s="147" t="s">
        <v>344</v>
      </c>
      <c r="E22" s="147" t="s">
        <v>348</v>
      </c>
      <c r="F22" s="147" t="s">
        <v>349</v>
      </c>
      <c r="G22" s="148">
        <v>22.2</v>
      </c>
      <c r="H22" s="148"/>
      <c r="I22" s="148">
        <v>2</v>
      </c>
      <c r="J22" s="147">
        <v>6000</v>
      </c>
      <c r="K22" s="147">
        <v>6000</v>
      </c>
      <c r="L22" s="147" t="str">
        <f t="shared" si="0"/>
        <v>22.226000HSTFIN CUT</v>
      </c>
      <c r="M22" s="151" t="s">
        <v>367</v>
      </c>
      <c r="N22" s="150"/>
      <c r="O22" s="150" t="s">
        <v>679</v>
      </c>
      <c r="P22" s="150" t="s">
        <v>6170</v>
      </c>
      <c r="Q22" s="150" t="s">
        <v>6272</v>
      </c>
      <c r="R22" s="150" t="s">
        <v>367</v>
      </c>
      <c r="S22" s="150">
        <v>3502494</v>
      </c>
      <c r="T22" s="19">
        <v>50</v>
      </c>
      <c r="U22" s="147">
        <v>0</v>
      </c>
      <c r="V22" s="147">
        <v>48</v>
      </c>
      <c r="W22" s="147"/>
      <c r="X22" s="147">
        <f t="shared" si="1"/>
        <v>48</v>
      </c>
      <c r="Y22" s="147">
        <v>34</v>
      </c>
      <c r="Z22" s="147">
        <f>SUMIFS(orderbook[Bal to Desp],orderbook[key],Table29[[#This Row],[Key]])</f>
        <v>53.847999999999999</v>
      </c>
      <c r="AA22" s="500">
        <f>Table29[[#This Row],[order logg ]]-Table29[[#This Row],[check from 17092025 orderbook sent by ashish]]</f>
        <v>-19.847999999999999</v>
      </c>
      <c r="AB22" s="147">
        <f t="shared" si="2"/>
        <v>82</v>
      </c>
      <c r="AC22" s="19">
        <f t="shared" si="3"/>
        <v>-32</v>
      </c>
      <c r="AD22" s="387">
        <f t="shared" si="4"/>
        <v>0</v>
      </c>
      <c r="AE22" s="147">
        <f>ROUND(SUMIFS(meghsteelsales_previousmonth[Quantity],meghsteelsales_previousmonth[Length Bucket],Table29[[#This Row],[Bucket CTL]])/1000,0)</f>
        <v>0</v>
      </c>
      <c r="AF22" s="147">
        <f>ROUND(SUMIFS(meghsteelsales_currentmonth[Quantity],meghsteelsales_currentmonth[Length Bucket],Table29[[#This Row],[Bucket CTL]])/1000,0)</f>
        <v>0</v>
      </c>
      <c r="AG22">
        <v>0</v>
      </c>
    </row>
    <row r="23" spans="1:33" x14ac:dyDescent="0.25">
      <c r="A23" s="147" t="s">
        <v>341</v>
      </c>
      <c r="B23" s="265">
        <v>943210</v>
      </c>
      <c r="C23" s="265" t="s">
        <v>342</v>
      </c>
      <c r="D23" s="147" t="s">
        <v>350</v>
      </c>
      <c r="E23" s="147" t="s">
        <v>348</v>
      </c>
      <c r="F23" s="147" t="s">
        <v>351</v>
      </c>
      <c r="G23" s="148">
        <v>22.2</v>
      </c>
      <c r="H23" s="148"/>
      <c r="I23" s="148">
        <v>2</v>
      </c>
      <c r="J23" s="147">
        <v>5390</v>
      </c>
      <c r="K23" s="147">
        <v>5.39</v>
      </c>
      <c r="L23" s="147" t="str">
        <f t="shared" si="0"/>
        <v>22.225.39CR ERW FIN CUT</v>
      </c>
      <c r="M23" s="151" t="s">
        <v>367</v>
      </c>
      <c r="N23" s="149">
        <v>3568328</v>
      </c>
      <c r="O23" s="150" t="s">
        <v>562</v>
      </c>
      <c r="P23" s="150" t="s">
        <v>6171</v>
      </c>
      <c r="Q23" s="150">
        <v>0</v>
      </c>
      <c r="R23" s="150" t="s">
        <v>345</v>
      </c>
      <c r="S23" s="150">
        <v>2431251</v>
      </c>
      <c r="T23" s="19">
        <v>50</v>
      </c>
      <c r="U23" s="147">
        <v>12</v>
      </c>
      <c r="V23" s="147">
        <v>12</v>
      </c>
      <c r="W23" s="147"/>
      <c r="X23" s="147">
        <f t="shared" si="1"/>
        <v>0</v>
      </c>
      <c r="Y23" s="147">
        <v>67</v>
      </c>
      <c r="Z23" s="147">
        <f>SUMIFS(orderbook[Bal to Desp],orderbook[key],Table29[[#This Row],[Key]])</f>
        <v>0</v>
      </c>
      <c r="AA23" s="500">
        <f>Table29[[#This Row],[order logg ]]-Table29[[#This Row],[check from 17092025 orderbook sent by ashish]]</f>
        <v>67</v>
      </c>
      <c r="AB23" s="147">
        <f t="shared" si="2"/>
        <v>67</v>
      </c>
      <c r="AC23" s="19">
        <f t="shared" si="3"/>
        <v>-17</v>
      </c>
      <c r="AD23" s="387">
        <f>IF(AC23&gt;0,AC23,0)*150%+67</f>
        <v>67</v>
      </c>
      <c r="AE23" s="147">
        <f>ROUND(SUMIFS(meghsteelsales_previousmonth[Quantity],meghsteelsales_previousmonth[Length Bucket],Table29[[#This Row],[Bucket CTL]])/1000,0)</f>
        <v>5</v>
      </c>
      <c r="AF23" s="147">
        <f>ROUND(SUMIFS(meghsteelsales_currentmonth[Quantity],meghsteelsales_currentmonth[Length Bucket],Table29[[#This Row],[Bucket CTL]])/1000,0)</f>
        <v>23</v>
      </c>
      <c r="AG23">
        <v>23</v>
      </c>
    </row>
    <row r="24" spans="1:33" x14ac:dyDescent="0.25">
      <c r="A24" s="147" t="s">
        <v>341</v>
      </c>
      <c r="B24" s="265">
        <v>943210</v>
      </c>
      <c r="C24" s="265" t="s">
        <v>342</v>
      </c>
      <c r="D24" s="153" t="s">
        <v>344</v>
      </c>
      <c r="E24" s="147" t="s">
        <v>348</v>
      </c>
      <c r="F24" s="147" t="s">
        <v>349</v>
      </c>
      <c r="G24" s="148">
        <v>25.4</v>
      </c>
      <c r="H24" s="148"/>
      <c r="I24" s="148">
        <v>1.4</v>
      </c>
      <c r="J24" s="147">
        <v>5531</v>
      </c>
      <c r="K24" s="147">
        <v>5.5309999999999997</v>
      </c>
      <c r="L24" s="147" t="str">
        <f t="shared" si="0"/>
        <v>25.41.45.531HSTFIN CUT</v>
      </c>
      <c r="M24" s="151" t="s">
        <v>367</v>
      </c>
      <c r="N24" s="150">
        <v>3501900</v>
      </c>
      <c r="O24" s="150" t="s">
        <v>6245</v>
      </c>
      <c r="P24" s="150" t="s">
        <v>6246</v>
      </c>
      <c r="Q24" s="150">
        <v>0</v>
      </c>
      <c r="R24" s="150" t="s">
        <v>367</v>
      </c>
      <c r="S24" s="150">
        <v>3501900</v>
      </c>
      <c r="T24" s="19">
        <v>15</v>
      </c>
      <c r="U24" s="147">
        <v>0</v>
      </c>
      <c r="V24" s="147">
        <v>0</v>
      </c>
      <c r="W24" s="147"/>
      <c r="X24" s="147">
        <f t="shared" si="1"/>
        <v>0</v>
      </c>
      <c r="Y24" s="147">
        <v>13</v>
      </c>
      <c r="Z24" s="147">
        <f>SUMIFS(orderbook[Bal to Desp],orderbook[key],Table29[[#This Row],[Key]])</f>
        <v>0</v>
      </c>
      <c r="AA24" s="500">
        <f>Table29[[#This Row],[order logg ]]-Table29[[#This Row],[check from 17092025 orderbook sent by ashish]]</f>
        <v>13</v>
      </c>
      <c r="AB24" s="147">
        <f t="shared" si="2"/>
        <v>13</v>
      </c>
      <c r="AC24" s="19">
        <f t="shared" si="3"/>
        <v>2</v>
      </c>
      <c r="AD24" s="387">
        <f>IF(AC24&gt;0,AC24,0)*150%+13</f>
        <v>16</v>
      </c>
      <c r="AE24" s="147">
        <f>ROUND(SUMIFS(meghsteelsales_previousmonth[Quantity],meghsteelsales_previousmonth[Length Bucket],Table29[[#This Row],[Bucket CTL]])/1000,0)</f>
        <v>0</v>
      </c>
      <c r="AF24" s="147">
        <f>ROUND(SUMIFS(meghsteelsales_currentmonth[Quantity],meghsteelsales_currentmonth[Length Bucket],Table29[[#This Row],[Bucket CTL]])/1000,0)</f>
        <v>0</v>
      </c>
    </row>
    <row r="25" spans="1:33" x14ac:dyDescent="0.25">
      <c r="A25" s="147" t="s">
        <v>341</v>
      </c>
      <c r="B25" s="265">
        <v>943210</v>
      </c>
      <c r="C25" s="265" t="s">
        <v>342</v>
      </c>
      <c r="D25" s="153" t="s">
        <v>338</v>
      </c>
      <c r="E25" s="147" t="s">
        <v>348</v>
      </c>
      <c r="F25" s="147" t="s">
        <v>340</v>
      </c>
      <c r="G25" s="148">
        <v>25.4</v>
      </c>
      <c r="H25" s="148"/>
      <c r="I25" s="148">
        <v>1.4</v>
      </c>
      <c r="J25" s="147">
        <v>6060</v>
      </c>
      <c r="K25" s="147">
        <v>6.06</v>
      </c>
      <c r="L25" s="147" t="str">
        <f t="shared" si="0"/>
        <v>25.41.46.06ERWFIN CUT</v>
      </c>
      <c r="M25" s="151"/>
      <c r="N25" s="149">
        <v>3557792</v>
      </c>
      <c r="O25" s="150" t="s">
        <v>6247</v>
      </c>
      <c r="P25" s="150" t="s">
        <v>6248</v>
      </c>
      <c r="Q25" s="150">
        <v>0</v>
      </c>
      <c r="R25" s="150" t="s">
        <v>345</v>
      </c>
      <c r="S25" s="150">
        <v>3557792</v>
      </c>
      <c r="T25" s="19">
        <v>10</v>
      </c>
      <c r="U25" s="147">
        <v>0</v>
      </c>
      <c r="V25" s="147">
        <v>0</v>
      </c>
      <c r="W25" s="147"/>
      <c r="X25" s="147">
        <f t="shared" si="1"/>
        <v>0</v>
      </c>
      <c r="Y25" s="147">
        <v>61</v>
      </c>
      <c r="Z25" s="147">
        <f>SUMIFS(orderbook[Bal to Desp],orderbook[key],Table29[[#This Row],[Key]])</f>
        <v>0</v>
      </c>
      <c r="AA25" s="500">
        <f>Table29[[#This Row],[order logg ]]-Table29[[#This Row],[check from 17092025 orderbook sent by ashish]]</f>
        <v>61</v>
      </c>
      <c r="AB25" s="147">
        <f t="shared" si="2"/>
        <v>61</v>
      </c>
      <c r="AC25" s="19">
        <f t="shared" si="3"/>
        <v>-51</v>
      </c>
      <c r="AD25" s="387">
        <f t="shared" si="4"/>
        <v>0</v>
      </c>
      <c r="AE25" s="147">
        <f>ROUND(SUMIFS(meghsteelsales_previousmonth[Quantity],meghsteelsales_previousmonth[Length Bucket],Table29[[#This Row],[Bucket CTL]])/1000,0)</f>
        <v>0</v>
      </c>
      <c r="AF25" s="147">
        <f>ROUND(SUMIFS(meghsteelsales_currentmonth[Quantity],meghsteelsales_currentmonth[Length Bucket],Table29[[#This Row],[Bucket CTL]])/1000,0)</f>
        <v>0</v>
      </c>
    </row>
    <row r="26" spans="1:33" x14ac:dyDescent="0.25">
      <c r="A26" s="147" t="s">
        <v>10</v>
      </c>
      <c r="B26" s="491">
        <v>943209</v>
      </c>
      <c r="C26" s="265" t="s">
        <v>116</v>
      </c>
      <c r="D26" s="153" t="s">
        <v>338</v>
      </c>
      <c r="E26" s="147" t="s">
        <v>339</v>
      </c>
      <c r="F26" s="147" t="s">
        <v>340</v>
      </c>
      <c r="G26" s="148">
        <v>25.4</v>
      </c>
      <c r="H26" s="148"/>
      <c r="I26" s="148">
        <v>1.6</v>
      </c>
      <c r="J26" s="147">
        <v>6000</v>
      </c>
      <c r="K26" s="147">
        <v>6</v>
      </c>
      <c r="L26" s="147" t="str">
        <f t="shared" si="0"/>
        <v>25.41.66ERWNON FIN</v>
      </c>
      <c r="M26" s="151" t="s">
        <v>367</v>
      </c>
      <c r="N26" s="150">
        <v>3500097</v>
      </c>
      <c r="O26" s="150" t="s">
        <v>468</v>
      </c>
      <c r="P26" s="150" t="s">
        <v>6172</v>
      </c>
      <c r="Q26" s="150">
        <v>0</v>
      </c>
      <c r="R26" s="150" t="s">
        <v>367</v>
      </c>
      <c r="S26" s="150">
        <v>3500097</v>
      </c>
      <c r="T26" s="19">
        <v>35</v>
      </c>
      <c r="U26" s="147">
        <v>15</v>
      </c>
      <c r="V26" s="147">
        <v>20</v>
      </c>
      <c r="W26" s="147"/>
      <c r="X26" s="147">
        <f t="shared" si="1"/>
        <v>5</v>
      </c>
      <c r="Y26" s="147">
        <v>20</v>
      </c>
      <c r="Z26" s="147">
        <f>SUMIFS(orderbook[Bal to Desp],orderbook[key],Table29[[#This Row],[Key]])</f>
        <v>74.415999999999997</v>
      </c>
      <c r="AA26" s="500">
        <f>Table29[[#This Row],[order logg ]]-Table29[[#This Row],[check from 17092025 orderbook sent by ashish]]</f>
        <v>-54.415999999999997</v>
      </c>
      <c r="AB26" s="147">
        <f t="shared" si="2"/>
        <v>25</v>
      </c>
      <c r="AC26" s="19">
        <f t="shared" si="3"/>
        <v>10</v>
      </c>
      <c r="AD26" s="387">
        <v>0</v>
      </c>
      <c r="AE26" s="147">
        <f>ROUND(SUMIFS(meghsteelsales_previousmonth[Quantity],meghsteelsales_previousmonth[Length Bucket],Table29[[#This Row],[Bucket CTL]])/1000,0)</f>
        <v>63</v>
      </c>
      <c r="AF26" s="147">
        <f>ROUND(SUMIFS(meghsteelsales_currentmonth[Quantity],meghsteelsales_currentmonth[Length Bucket],Table29[[#This Row],[Bucket CTL]])/1000,0)</f>
        <v>0</v>
      </c>
    </row>
    <row r="27" spans="1:33" x14ac:dyDescent="0.25">
      <c r="A27" s="147" t="s">
        <v>10</v>
      </c>
      <c r="B27" s="491">
        <v>943209</v>
      </c>
      <c r="C27" s="265" t="s">
        <v>116</v>
      </c>
      <c r="D27" s="153" t="s">
        <v>338</v>
      </c>
      <c r="E27" s="147" t="s">
        <v>339</v>
      </c>
      <c r="F27" s="147" t="s">
        <v>340</v>
      </c>
      <c r="G27" s="148">
        <v>25.4</v>
      </c>
      <c r="H27" s="148"/>
      <c r="I27" s="148">
        <v>2</v>
      </c>
      <c r="J27" s="147">
        <v>5840</v>
      </c>
      <c r="K27" s="147">
        <v>5.82</v>
      </c>
      <c r="L27" s="147" t="str">
        <f t="shared" si="0"/>
        <v>25.425.82ERWNON FIN</v>
      </c>
      <c r="M27" s="151" t="s">
        <v>367</v>
      </c>
      <c r="N27" s="149">
        <v>3240023</v>
      </c>
      <c r="O27" s="150" t="s">
        <v>1008</v>
      </c>
      <c r="P27" s="150" t="s">
        <v>6174</v>
      </c>
      <c r="Q27" s="150">
        <v>0</v>
      </c>
      <c r="R27" s="150" t="s">
        <v>367</v>
      </c>
      <c r="S27" s="150">
        <v>3673890</v>
      </c>
      <c r="T27" s="19">
        <v>20</v>
      </c>
      <c r="U27" s="147">
        <v>0</v>
      </c>
      <c r="V27" s="147">
        <v>0</v>
      </c>
      <c r="W27" s="147"/>
      <c r="X27" s="147">
        <f t="shared" si="1"/>
        <v>0</v>
      </c>
      <c r="Y27" s="147">
        <v>17</v>
      </c>
      <c r="Z27" s="147">
        <f>SUMIFS(orderbook[Bal to Desp],orderbook[key],Table29[[#This Row],[Key]])</f>
        <v>11.571</v>
      </c>
      <c r="AA27" s="500">
        <f>Table29[[#This Row],[order logg ]]-Table29[[#This Row],[check from 17092025 orderbook sent by ashish]]</f>
        <v>5.4290000000000003</v>
      </c>
      <c r="AB27" s="147">
        <f t="shared" si="2"/>
        <v>17</v>
      </c>
      <c r="AC27" s="19">
        <f t="shared" si="3"/>
        <v>3</v>
      </c>
      <c r="AD27" s="387">
        <f>IF(AC27&gt;0,AC27,0)*150%+5</f>
        <v>9.5</v>
      </c>
      <c r="AE27" s="147">
        <f>ROUND(SUMIFS(meghsteelsales_previousmonth[Quantity],meghsteelsales_previousmonth[Length Bucket],Table29[[#This Row],[Bucket CTL]])/1000,0)</f>
        <v>47</v>
      </c>
      <c r="AF27" s="147">
        <f>ROUND(SUMIFS(meghsteelsales_currentmonth[Quantity],meghsteelsales_currentmonth[Length Bucket],Table29[[#This Row],[Bucket CTL]])/1000,0)</f>
        <v>0</v>
      </c>
    </row>
    <row r="28" spans="1:33" x14ac:dyDescent="0.25">
      <c r="A28" s="147" t="s">
        <v>10</v>
      </c>
      <c r="B28" s="491">
        <v>943209</v>
      </c>
      <c r="C28" s="265" t="s">
        <v>116</v>
      </c>
      <c r="D28" s="153" t="s">
        <v>338</v>
      </c>
      <c r="E28" s="147" t="s">
        <v>339</v>
      </c>
      <c r="F28" s="147" t="s">
        <v>340</v>
      </c>
      <c r="G28" s="148">
        <v>25.4</v>
      </c>
      <c r="H28" s="148"/>
      <c r="I28" s="148">
        <v>2</v>
      </c>
      <c r="J28" s="147">
        <v>6050</v>
      </c>
      <c r="K28" s="147">
        <v>6.05</v>
      </c>
      <c r="L28" s="147" t="str">
        <f t="shared" si="0"/>
        <v>25.426.05ERWNON FIN</v>
      </c>
      <c r="M28" s="151"/>
      <c r="N28" s="149"/>
      <c r="O28" s="150" t="s">
        <v>1008</v>
      </c>
      <c r="P28" s="150" t="s">
        <v>6250</v>
      </c>
      <c r="Q28" s="150">
        <v>0</v>
      </c>
      <c r="R28" s="150" t="s">
        <v>345</v>
      </c>
      <c r="S28" s="150">
        <v>4055021</v>
      </c>
      <c r="T28" s="19">
        <v>15</v>
      </c>
      <c r="U28" s="147">
        <v>0</v>
      </c>
      <c r="V28" s="147">
        <v>0</v>
      </c>
      <c r="W28" s="147"/>
      <c r="X28" s="147">
        <f t="shared" si="1"/>
        <v>0</v>
      </c>
      <c r="Y28" s="147">
        <v>23</v>
      </c>
      <c r="Z28" s="147">
        <f>SUMIFS(orderbook[Bal to Desp],orderbook[key],Table29[[#This Row],[Key]])</f>
        <v>0</v>
      </c>
      <c r="AA28" s="500">
        <f>Table29[[#This Row],[order logg ]]-Table29[[#This Row],[check from 17092025 orderbook sent by ashish]]</f>
        <v>23</v>
      </c>
      <c r="AB28" s="147">
        <f t="shared" si="2"/>
        <v>23</v>
      </c>
      <c r="AC28" s="19">
        <f t="shared" si="3"/>
        <v>-8</v>
      </c>
      <c r="AD28" s="387">
        <f>IF(AC28&gt;0,AC28,0)*150%+23</f>
        <v>23</v>
      </c>
      <c r="AE28" s="147">
        <f>ROUND(SUMIFS(meghsteelsales_previousmonth[Quantity],meghsteelsales_previousmonth[Length Bucket],Table29[[#This Row],[Bucket CTL]])/1000,0)</f>
        <v>0</v>
      </c>
      <c r="AF28" s="147">
        <f>ROUND(SUMIFS(meghsteelsales_currentmonth[Quantity],meghsteelsales_currentmonth[Length Bucket],Table29[[#This Row],[Bucket CTL]])/1000,0)</f>
        <v>0</v>
      </c>
    </row>
    <row r="29" spans="1:33" x14ac:dyDescent="0.25">
      <c r="A29" s="147" t="s">
        <v>10</v>
      </c>
      <c r="B29" s="491">
        <v>943209</v>
      </c>
      <c r="C29" s="265" t="s">
        <v>116</v>
      </c>
      <c r="D29" s="153" t="s">
        <v>338</v>
      </c>
      <c r="E29" s="147" t="s">
        <v>339</v>
      </c>
      <c r="F29" s="147" t="s">
        <v>340</v>
      </c>
      <c r="G29" s="148">
        <v>25.4</v>
      </c>
      <c r="H29" s="148"/>
      <c r="I29" s="148">
        <v>2.5</v>
      </c>
      <c r="J29" s="147">
        <v>5530</v>
      </c>
      <c r="K29" s="147">
        <v>5.53</v>
      </c>
      <c r="L29" s="147" t="str">
        <f t="shared" si="0"/>
        <v>25.42.55.53ERWNON FIN</v>
      </c>
      <c r="M29" s="151" t="s">
        <v>367</v>
      </c>
      <c r="N29" s="150">
        <v>3502256</v>
      </c>
      <c r="O29" s="150" t="s">
        <v>2222</v>
      </c>
      <c r="P29" s="150" t="s">
        <v>6175</v>
      </c>
      <c r="Q29" s="150">
        <v>0</v>
      </c>
      <c r="R29" s="150" t="s">
        <v>367</v>
      </c>
      <c r="S29" s="150">
        <v>3502256</v>
      </c>
      <c r="T29" s="19">
        <v>60</v>
      </c>
      <c r="U29" s="147">
        <v>8</v>
      </c>
      <c r="V29" s="147">
        <v>7</v>
      </c>
      <c r="W29" s="147"/>
      <c r="X29" s="147">
        <f t="shared" si="1"/>
        <v>-1</v>
      </c>
      <c r="Y29" s="147">
        <v>68</v>
      </c>
      <c r="Z29" s="147">
        <f>SUMIFS(orderbook[Bal to Desp],orderbook[key],Table29[[#This Row],[Key]])</f>
        <v>34.253999999999998</v>
      </c>
      <c r="AA29" s="500">
        <f>Table29[[#This Row],[order logg ]]-Table29[[#This Row],[check from 17092025 orderbook sent by ashish]]</f>
        <v>33.746000000000002</v>
      </c>
      <c r="AB29" s="147">
        <f t="shared" si="2"/>
        <v>67</v>
      </c>
      <c r="AC29" s="19">
        <f t="shared" si="3"/>
        <v>-7</v>
      </c>
      <c r="AD29" s="387">
        <f>IF(AC29&gt;0,AC29,0)*150%+33</f>
        <v>33</v>
      </c>
      <c r="AE29" s="147">
        <f>ROUND(SUMIFS(meghsteelsales_previousmonth[Quantity],meghsteelsales_previousmonth[Length Bucket],Table29[[#This Row],[Bucket CTL]])/1000,0)</f>
        <v>106</v>
      </c>
      <c r="AF29" s="147">
        <f>ROUND(SUMIFS(meghsteelsales_currentmonth[Quantity],meghsteelsales_currentmonth[Length Bucket],Table29[[#This Row],[Bucket CTL]])/1000,0)</f>
        <v>38</v>
      </c>
    </row>
    <row r="30" spans="1:33" x14ac:dyDescent="0.25">
      <c r="A30" s="147" t="s">
        <v>10</v>
      </c>
      <c r="B30" s="491">
        <v>943209</v>
      </c>
      <c r="C30" s="265" t="s">
        <v>346</v>
      </c>
      <c r="D30" s="153" t="s">
        <v>338</v>
      </c>
      <c r="E30" s="147" t="s">
        <v>348</v>
      </c>
      <c r="F30" s="147" t="s">
        <v>340</v>
      </c>
      <c r="G30" s="148">
        <v>28.6</v>
      </c>
      <c r="H30" s="148"/>
      <c r="I30" s="148">
        <v>1.2</v>
      </c>
      <c r="J30" s="147">
        <v>6000</v>
      </c>
      <c r="K30" s="147">
        <v>6</v>
      </c>
      <c r="L30" s="147" t="str">
        <f t="shared" si="0"/>
        <v>28.61.26ERWFIN CUT</v>
      </c>
      <c r="M30" s="149"/>
      <c r="N30" s="150">
        <v>3702101</v>
      </c>
      <c r="O30" s="150" t="e">
        <v>#N/A</v>
      </c>
      <c r="P30" s="150" t="e">
        <v>#N/A</v>
      </c>
      <c r="Q30" s="150">
        <v>0</v>
      </c>
      <c r="R30" s="150" t="s">
        <v>345</v>
      </c>
      <c r="S30" s="150">
        <v>3702101</v>
      </c>
      <c r="T30" s="19">
        <v>3</v>
      </c>
      <c r="U30" s="147">
        <v>1</v>
      </c>
      <c r="V30" s="147">
        <v>3</v>
      </c>
      <c r="W30" s="147"/>
      <c r="X30" s="147">
        <f t="shared" si="1"/>
        <v>2</v>
      </c>
      <c r="Y30" s="147">
        <v>0</v>
      </c>
      <c r="Z30" s="147">
        <f>SUMIFS(orderbook[Bal to Desp],orderbook[key],Table29[[#This Row],[Key]])</f>
        <v>0</v>
      </c>
      <c r="AA30" s="147">
        <f>Table29[[#This Row],[order logg ]]-Table29[[#This Row],[check from 17092025 orderbook sent by ashish]]</f>
        <v>0</v>
      </c>
      <c r="AB30" s="147">
        <f t="shared" si="2"/>
        <v>2</v>
      </c>
      <c r="AC30" s="19">
        <f t="shared" si="3"/>
        <v>1</v>
      </c>
      <c r="AD30" s="387">
        <f t="shared" si="4"/>
        <v>1.5</v>
      </c>
      <c r="AE30" s="147">
        <f>ROUND(SUMIFS(meghsteelsales_previousmonth[Quantity],meghsteelsales_previousmonth[Length Bucket],Table29[[#This Row],[Bucket CTL]])/1000,0)</f>
        <v>0</v>
      </c>
      <c r="AF30" s="147">
        <f>ROUND(SUMIFS(meghsteelsales_currentmonth[Quantity],meghsteelsales_currentmonth[Length Bucket],Table29[[#This Row],[Bucket CTL]])/1000,0)</f>
        <v>0</v>
      </c>
    </row>
    <row r="31" spans="1:33" x14ac:dyDescent="0.25">
      <c r="A31" s="147" t="s">
        <v>10</v>
      </c>
      <c r="B31" s="491">
        <v>943209</v>
      </c>
      <c r="C31" s="265" t="s">
        <v>116</v>
      </c>
      <c r="D31" s="159" t="s">
        <v>356</v>
      </c>
      <c r="E31" s="147" t="s">
        <v>348</v>
      </c>
      <c r="F31" s="147" t="s">
        <v>357</v>
      </c>
      <c r="G31" s="168">
        <v>28.6</v>
      </c>
      <c r="H31" s="168"/>
      <c r="I31" s="168">
        <v>2.65</v>
      </c>
      <c r="J31" s="169">
        <v>6000</v>
      </c>
      <c r="K31" s="147">
        <v>6</v>
      </c>
      <c r="L31" s="147" t="str">
        <f t="shared" si="0"/>
        <v>28.62.656CEWFIN CUT</v>
      </c>
      <c r="M31" s="151" t="s">
        <v>362</v>
      </c>
      <c r="N31" s="150">
        <v>2410388</v>
      </c>
      <c r="O31" s="150" t="s">
        <v>6154</v>
      </c>
      <c r="P31" s="150" t="s">
        <v>6154</v>
      </c>
      <c r="Q31" s="150">
        <v>0</v>
      </c>
      <c r="R31" s="150" t="s">
        <v>362</v>
      </c>
      <c r="S31" s="150">
        <v>2410388</v>
      </c>
      <c r="T31" s="19">
        <v>10</v>
      </c>
      <c r="U31" s="147">
        <v>5</v>
      </c>
      <c r="V31" s="147">
        <v>18</v>
      </c>
      <c r="W31" s="147"/>
      <c r="X31" s="147">
        <f t="shared" si="1"/>
        <v>13</v>
      </c>
      <c r="Y31" s="147">
        <v>0</v>
      </c>
      <c r="Z31" s="147">
        <f>SUMIFS(orderbook[Bal to Desp],orderbook[key],Table29[[#This Row],[Key]])</f>
        <v>0</v>
      </c>
      <c r="AA31" s="147">
        <f>Table29[[#This Row],[order logg ]]-Table29[[#This Row],[check from 17092025 orderbook sent by ashish]]</f>
        <v>0</v>
      </c>
      <c r="AB31" s="147">
        <f t="shared" si="2"/>
        <v>13</v>
      </c>
      <c r="AC31" s="19">
        <f t="shared" si="3"/>
        <v>-3</v>
      </c>
      <c r="AD31" s="387">
        <f t="shared" si="4"/>
        <v>0</v>
      </c>
      <c r="AE31" s="147">
        <f>ROUND(SUMIFS(meghsteelsales_previousmonth[Quantity],meghsteelsales_previousmonth[Length Bucket],Table29[[#This Row],[Bucket CTL]])/1000,0)</f>
        <v>0</v>
      </c>
      <c r="AF31" s="147">
        <f>ROUND(SUMIFS(meghsteelsales_currentmonth[Quantity],meghsteelsales_currentmonth[Length Bucket],Table29[[#This Row],[Bucket CTL]])/1000,0)</f>
        <v>0</v>
      </c>
    </row>
    <row r="32" spans="1:33" x14ac:dyDescent="0.25">
      <c r="A32" s="147" t="s">
        <v>10</v>
      </c>
      <c r="B32" s="491">
        <v>943209</v>
      </c>
      <c r="C32" s="265" t="s">
        <v>346</v>
      </c>
      <c r="D32" s="153" t="s">
        <v>338</v>
      </c>
      <c r="E32" s="147" t="s">
        <v>348</v>
      </c>
      <c r="F32" s="147" t="s">
        <v>340</v>
      </c>
      <c r="G32" s="148">
        <v>31.75</v>
      </c>
      <c r="H32" s="148"/>
      <c r="I32" s="148">
        <v>1.2</v>
      </c>
      <c r="J32" s="147">
        <v>6000</v>
      </c>
      <c r="K32" s="147">
        <v>6</v>
      </c>
      <c r="L32" s="147" t="str">
        <f t="shared" si="0"/>
        <v>31.751.26ERWFIN CUT</v>
      </c>
      <c r="M32" s="151" t="s">
        <v>367</v>
      </c>
      <c r="N32" s="150">
        <v>3884381</v>
      </c>
      <c r="O32" s="150" t="s">
        <v>836</v>
      </c>
      <c r="P32" s="150" t="s">
        <v>6273</v>
      </c>
      <c r="Q32" s="150">
        <v>0</v>
      </c>
      <c r="R32" s="150" t="s">
        <v>367</v>
      </c>
      <c r="S32" s="150">
        <v>3884381</v>
      </c>
      <c r="T32" s="19">
        <v>3</v>
      </c>
      <c r="U32" s="147">
        <v>0</v>
      </c>
      <c r="V32" s="147">
        <v>0</v>
      </c>
      <c r="W32" s="147"/>
      <c r="X32" s="147">
        <f t="shared" si="1"/>
        <v>0</v>
      </c>
      <c r="Y32" s="147">
        <v>10</v>
      </c>
      <c r="Z32" s="147">
        <f>SUMIFS(orderbook[Bal to Desp],orderbook[key],Table29[[#This Row],[Key]])</f>
        <v>20</v>
      </c>
      <c r="AA32" s="500">
        <f>Table29[[#This Row],[order logg ]]-Table29[[#This Row],[check from 17092025 orderbook sent by ashish]]</f>
        <v>-10</v>
      </c>
      <c r="AB32" s="147">
        <f t="shared" si="2"/>
        <v>10</v>
      </c>
      <c r="AC32" s="19">
        <f t="shared" si="3"/>
        <v>-7</v>
      </c>
      <c r="AD32" s="387">
        <f t="shared" si="4"/>
        <v>0</v>
      </c>
      <c r="AE32" s="147">
        <f>ROUND(SUMIFS(meghsteelsales_previousmonth[Quantity],meghsteelsales_previousmonth[Length Bucket],Table29[[#This Row],[Bucket CTL]])/1000,0)</f>
        <v>0</v>
      </c>
      <c r="AF32" s="147">
        <f>ROUND(SUMIFS(meghsteelsales_currentmonth[Quantity],meghsteelsales_currentmonth[Length Bucket],Table29[[#This Row],[Bucket CTL]])/1000,0)</f>
        <v>0</v>
      </c>
    </row>
    <row r="33" spans="1:32" x14ac:dyDescent="0.25">
      <c r="A33" s="147" t="s">
        <v>10</v>
      </c>
      <c r="B33" s="491">
        <v>943209</v>
      </c>
      <c r="C33" s="265" t="s">
        <v>346</v>
      </c>
      <c r="D33" s="153" t="s">
        <v>338</v>
      </c>
      <c r="E33" s="147" t="s">
        <v>348</v>
      </c>
      <c r="F33" s="147" t="s">
        <v>340</v>
      </c>
      <c r="G33" s="148">
        <v>31.75</v>
      </c>
      <c r="H33" s="148"/>
      <c r="I33" s="148">
        <v>2</v>
      </c>
      <c r="J33" s="147">
        <v>6000</v>
      </c>
      <c r="K33" s="147">
        <v>6</v>
      </c>
      <c r="L33" s="147" t="str">
        <f t="shared" si="0"/>
        <v>31.7526ERWFIN CUT</v>
      </c>
      <c r="M33" s="151"/>
      <c r="N33" s="150"/>
      <c r="O33" s="150" t="s">
        <v>6274</v>
      </c>
      <c r="P33" s="150" t="e">
        <v>#N/A</v>
      </c>
      <c r="Q33" s="150">
        <v>0</v>
      </c>
      <c r="R33" s="150" t="s">
        <v>345</v>
      </c>
      <c r="S33" s="150">
        <v>1931387</v>
      </c>
      <c r="T33" s="19">
        <v>15</v>
      </c>
      <c r="U33" s="147">
        <v>0</v>
      </c>
      <c r="V33" s="147">
        <v>0</v>
      </c>
      <c r="W33" s="147"/>
      <c r="X33" s="147">
        <f t="shared" si="1"/>
        <v>0</v>
      </c>
      <c r="Y33" s="147">
        <v>15</v>
      </c>
      <c r="Z33" s="147">
        <f>SUMIFS(orderbook[Bal to Desp],orderbook[key],Table29[[#This Row],[Key]])</f>
        <v>0</v>
      </c>
      <c r="AA33" s="500">
        <f>Table29[[#This Row],[order logg ]]-Table29[[#This Row],[check from 17092025 orderbook sent by ashish]]</f>
        <v>15</v>
      </c>
      <c r="AB33" s="147">
        <f t="shared" si="2"/>
        <v>15</v>
      </c>
      <c r="AC33" s="19">
        <f t="shared" si="3"/>
        <v>0</v>
      </c>
      <c r="AD33" s="387">
        <f>IF(AC33&gt;0,AC33,0)*150%+15</f>
        <v>15</v>
      </c>
      <c r="AE33" s="147">
        <f>ROUND(SUMIFS(meghsteelsales_previousmonth[Quantity],meghsteelsales_previousmonth[Length Bucket],Table29[[#This Row],[Bucket CTL]])/1000,0)</f>
        <v>0</v>
      </c>
      <c r="AF33" s="147">
        <f>ROUND(SUMIFS(meghsteelsales_currentmonth[Quantity],meghsteelsales_currentmonth[Length Bucket],Table29[[#This Row],[Bucket CTL]])/1000,0)</f>
        <v>0</v>
      </c>
    </row>
    <row r="34" spans="1:32" x14ac:dyDescent="0.25">
      <c r="A34" s="147" t="s">
        <v>5</v>
      </c>
      <c r="B34" s="265">
        <v>943211</v>
      </c>
      <c r="C34" s="265" t="s">
        <v>358</v>
      </c>
      <c r="D34" s="153" t="s">
        <v>338</v>
      </c>
      <c r="E34" s="147" t="s">
        <v>348</v>
      </c>
      <c r="F34" s="147" t="s">
        <v>340</v>
      </c>
      <c r="G34" s="148">
        <v>31.75</v>
      </c>
      <c r="H34" s="148"/>
      <c r="I34" s="148">
        <v>2.2999999999999998</v>
      </c>
      <c r="J34" s="147">
        <v>5920</v>
      </c>
      <c r="K34" s="147">
        <v>5.92</v>
      </c>
      <c r="L34" s="147" t="str">
        <f t="shared" si="0"/>
        <v>31.752.35.92ERWFIN CUT</v>
      </c>
      <c r="M34" s="149"/>
      <c r="N34" s="150"/>
      <c r="O34" s="150" t="e">
        <v>#N/A</v>
      </c>
      <c r="P34" s="150" t="e">
        <v>#N/A</v>
      </c>
      <c r="Q34" s="150">
        <v>0</v>
      </c>
      <c r="R34" s="150" t="s">
        <v>345</v>
      </c>
      <c r="S34" s="150" t="s">
        <v>379</v>
      </c>
      <c r="T34" s="19">
        <v>15</v>
      </c>
      <c r="U34" s="147">
        <v>10</v>
      </c>
      <c r="V34" s="147">
        <v>34</v>
      </c>
      <c r="W34" s="147"/>
      <c r="X34" s="147">
        <f t="shared" si="1"/>
        <v>24</v>
      </c>
      <c r="Y34" s="147">
        <v>0</v>
      </c>
      <c r="Z34" s="147">
        <f>SUMIFS(orderbook[Bal to Desp],orderbook[key],Table29[[#This Row],[Key]])</f>
        <v>0</v>
      </c>
      <c r="AA34" s="147">
        <f>Table29[[#This Row],[order logg ]]-Table29[[#This Row],[check from 17092025 orderbook sent by ashish]]</f>
        <v>0</v>
      </c>
      <c r="AB34" s="147">
        <f t="shared" ref="AB34:AB51" si="5">X34+Y34</f>
        <v>24</v>
      </c>
      <c r="AC34" s="19">
        <f t="shared" ref="AC34:AC51" si="6">T34-AB34</f>
        <v>-9</v>
      </c>
      <c r="AD34" s="387">
        <f t="shared" si="4"/>
        <v>0</v>
      </c>
      <c r="AE34" s="147">
        <f>ROUND(SUMIFS(meghsteelsales_previousmonth[Quantity],meghsteelsales_previousmonth[Length Bucket],Table29[[#This Row],[Bucket CTL]])/1000,0)</f>
        <v>0</v>
      </c>
      <c r="AF34" s="147">
        <f>ROUND(SUMIFS(meghsteelsales_currentmonth[Quantity],meghsteelsales_currentmonth[Length Bucket],Table29[[#This Row],[Bucket CTL]])/1000,0)</f>
        <v>0</v>
      </c>
    </row>
    <row r="35" spans="1:32" x14ac:dyDescent="0.25">
      <c r="A35" s="147" t="s">
        <v>10</v>
      </c>
      <c r="B35" s="265">
        <v>943209</v>
      </c>
      <c r="C35" s="265" t="s">
        <v>346</v>
      </c>
      <c r="D35" s="153" t="s">
        <v>338</v>
      </c>
      <c r="E35" s="147" t="s">
        <v>348</v>
      </c>
      <c r="F35" s="147" t="s">
        <v>340</v>
      </c>
      <c r="G35" s="148">
        <v>34.93</v>
      </c>
      <c r="H35" s="148"/>
      <c r="I35" s="148">
        <v>1.2</v>
      </c>
      <c r="J35" s="147">
        <v>6000</v>
      </c>
      <c r="K35" s="147">
        <v>6</v>
      </c>
      <c r="L35" s="147" t="str">
        <f t="shared" si="0"/>
        <v>34.931.26ERWFIN CUT</v>
      </c>
      <c r="M35" s="149"/>
      <c r="N35" s="150">
        <v>1940701</v>
      </c>
      <c r="O35" s="150" t="s">
        <v>6154</v>
      </c>
      <c r="P35" s="150" t="s">
        <v>6154</v>
      </c>
      <c r="Q35" s="150">
        <v>0</v>
      </c>
      <c r="R35" s="150" t="s">
        <v>345</v>
      </c>
      <c r="S35" s="150">
        <v>1940701</v>
      </c>
      <c r="T35" s="19">
        <v>3</v>
      </c>
      <c r="U35" s="147">
        <v>0</v>
      </c>
      <c r="V35" s="147">
        <v>0</v>
      </c>
      <c r="W35" s="147"/>
      <c r="X35" s="147">
        <f t="shared" si="1"/>
        <v>0</v>
      </c>
      <c r="Y35" s="147">
        <v>0</v>
      </c>
      <c r="Z35" s="147">
        <f>SUMIFS(orderbook[Bal to Desp],orderbook[key],Table29[[#This Row],[Key]])</f>
        <v>0</v>
      </c>
      <c r="AA35" s="147">
        <f>Table29[[#This Row],[order logg ]]-Table29[[#This Row],[check from 17092025 orderbook sent by ashish]]</f>
        <v>0</v>
      </c>
      <c r="AB35" s="147">
        <f t="shared" si="5"/>
        <v>0</v>
      </c>
      <c r="AC35" s="19">
        <f t="shared" si="6"/>
        <v>3</v>
      </c>
      <c r="AD35" s="387">
        <f t="shared" si="4"/>
        <v>4.5</v>
      </c>
      <c r="AE35" s="147">
        <f>ROUND(SUMIFS(meghsteelsales_previousmonth[Quantity],meghsteelsales_previousmonth[Length Bucket],Table29[[#This Row],[Bucket CTL]])/1000,0)</f>
        <v>0</v>
      </c>
      <c r="AF35" s="147">
        <f>ROUND(SUMIFS(meghsteelsales_currentmonth[Quantity],meghsteelsales_currentmonth[Length Bucket],Table29[[#This Row],[Bucket CTL]])/1000,0)</f>
        <v>0</v>
      </c>
    </row>
    <row r="36" spans="1:32" x14ac:dyDescent="0.25">
      <c r="A36" s="147" t="s">
        <v>5</v>
      </c>
      <c r="B36" s="265">
        <v>943211</v>
      </c>
      <c r="C36" s="265" t="s">
        <v>358</v>
      </c>
      <c r="D36" s="153" t="s">
        <v>338</v>
      </c>
      <c r="E36" s="147" t="s">
        <v>348</v>
      </c>
      <c r="F36" s="147" t="s">
        <v>340</v>
      </c>
      <c r="G36" s="148">
        <v>34.93</v>
      </c>
      <c r="H36" s="148"/>
      <c r="I36" s="148">
        <v>1.2</v>
      </c>
      <c r="J36" s="147">
        <v>620</v>
      </c>
      <c r="K36" s="147">
        <v>0.62</v>
      </c>
      <c r="L36" s="147" t="str">
        <f t="shared" si="0"/>
        <v>34.931.20.62ERWFIN CUT</v>
      </c>
      <c r="M36" s="151" t="s">
        <v>345</v>
      </c>
      <c r="N36" s="150">
        <v>2397073</v>
      </c>
      <c r="O36" s="150" t="s">
        <v>1034</v>
      </c>
      <c r="P36" s="150" t="s">
        <v>6185</v>
      </c>
      <c r="Q36" s="150">
        <v>0</v>
      </c>
      <c r="R36" s="501" t="s">
        <v>367</v>
      </c>
      <c r="S36" s="150">
        <v>3499589</v>
      </c>
      <c r="T36" s="19">
        <v>10</v>
      </c>
      <c r="U36" s="147">
        <v>0</v>
      </c>
      <c r="V36" s="147">
        <v>0</v>
      </c>
      <c r="W36" s="147"/>
      <c r="X36" s="147">
        <f t="shared" si="1"/>
        <v>0</v>
      </c>
      <c r="Y36" s="147">
        <v>34</v>
      </c>
      <c r="Z36" s="147">
        <f>SUMIFS(orderbook[Bal to Desp],orderbook[key],Table29[[#This Row],[Key]])</f>
        <v>0</v>
      </c>
      <c r="AA36" s="500">
        <f>Table29[[#This Row],[order logg ]]-Table29[[#This Row],[check from 17092025 orderbook sent by ashish]]</f>
        <v>34</v>
      </c>
      <c r="AB36" s="147">
        <f t="shared" si="5"/>
        <v>34</v>
      </c>
      <c r="AC36" s="19">
        <f t="shared" si="6"/>
        <v>-24</v>
      </c>
      <c r="AD36" s="387">
        <f>IF(AC36&gt;0,AC36,0)*150%+34</f>
        <v>34</v>
      </c>
      <c r="AE36" s="147">
        <f>ROUND(SUMIFS(meghsteelsales_previousmonth[Quantity],meghsteelsales_previousmonth[Length Bucket],Table29[[#This Row],[Bucket CTL]])/1000,0)</f>
        <v>0</v>
      </c>
      <c r="AF36" s="147">
        <f>ROUND(SUMIFS(meghsteelsales_currentmonth[Quantity],meghsteelsales_currentmonth[Length Bucket],Table29[[#This Row],[Bucket CTL]])/1000,0)</f>
        <v>3</v>
      </c>
    </row>
    <row r="37" spans="1:32" x14ac:dyDescent="0.25">
      <c r="A37" s="147" t="s">
        <v>5</v>
      </c>
      <c r="B37" s="265">
        <v>943211</v>
      </c>
      <c r="C37" s="265" t="s">
        <v>359</v>
      </c>
      <c r="D37" s="153" t="s">
        <v>338</v>
      </c>
      <c r="E37" s="147" t="s">
        <v>348</v>
      </c>
      <c r="F37" s="147" t="s">
        <v>340</v>
      </c>
      <c r="G37" s="148">
        <v>34.93</v>
      </c>
      <c r="H37" s="148"/>
      <c r="I37" s="148">
        <v>1.2</v>
      </c>
      <c r="J37" s="147">
        <v>650</v>
      </c>
      <c r="K37" s="147">
        <v>0.65</v>
      </c>
      <c r="L37" s="147" t="str">
        <f t="shared" si="0"/>
        <v>34.931.20.65ERWFIN CUT</v>
      </c>
      <c r="M37" s="151" t="s">
        <v>345</v>
      </c>
      <c r="N37" s="150">
        <v>3649699</v>
      </c>
      <c r="O37" s="150" t="e">
        <v>#N/A</v>
      </c>
      <c r="P37" s="150" t="e">
        <v>#N/A</v>
      </c>
      <c r="Q37" s="150" t="e">
        <v>#N/A</v>
      </c>
      <c r="R37" s="501" t="s">
        <v>367</v>
      </c>
      <c r="S37" s="150">
        <v>3499396</v>
      </c>
      <c r="T37" s="19">
        <v>10</v>
      </c>
      <c r="U37" s="147">
        <v>0</v>
      </c>
      <c r="V37" s="147">
        <v>0</v>
      </c>
      <c r="W37" s="147"/>
      <c r="X37" s="147">
        <f t="shared" si="1"/>
        <v>0</v>
      </c>
      <c r="Y37" s="147">
        <v>28</v>
      </c>
      <c r="Z37" s="147">
        <f>SUMIFS(orderbook[Bal to Desp],orderbook[key],Table29[[#This Row],[Key]])</f>
        <v>0</v>
      </c>
      <c r="AA37" s="500">
        <f>Table29[[#This Row],[order logg ]]-Table29[[#This Row],[check from 17092025 orderbook sent by ashish]]</f>
        <v>28</v>
      </c>
      <c r="AB37" s="147">
        <f t="shared" si="5"/>
        <v>28</v>
      </c>
      <c r="AC37" s="19">
        <f t="shared" si="6"/>
        <v>-18</v>
      </c>
      <c r="AD37" s="387">
        <f>IF(AC37&gt;0,AC37,0)*150%+Table29[[#This Row],[GAP of order log and 17092025 orderbook]]</f>
        <v>28</v>
      </c>
      <c r="AE37" s="147">
        <f>ROUND(SUMIFS(meghsteelsales_previousmonth[Quantity],meghsteelsales_previousmonth[Length Bucket],Table29[[#This Row],[Bucket CTL]])/1000,0)</f>
        <v>0</v>
      </c>
      <c r="AF37" s="147">
        <f>ROUND(SUMIFS(meghsteelsales_currentmonth[Quantity],meghsteelsales_currentmonth[Length Bucket],Table29[[#This Row],[Bucket CTL]])/1000,0)</f>
        <v>0</v>
      </c>
    </row>
    <row r="38" spans="1:32" x14ac:dyDescent="0.25">
      <c r="A38" s="147" t="s">
        <v>341</v>
      </c>
      <c r="B38" s="265">
        <v>943210</v>
      </c>
      <c r="C38" s="265" t="s">
        <v>342</v>
      </c>
      <c r="D38" s="155" t="s">
        <v>344</v>
      </c>
      <c r="E38" s="147" t="s">
        <v>348</v>
      </c>
      <c r="F38" s="147" t="s">
        <v>340</v>
      </c>
      <c r="G38" s="154">
        <v>34</v>
      </c>
      <c r="H38" s="154"/>
      <c r="I38" s="154">
        <v>1.4</v>
      </c>
      <c r="J38" s="155">
        <v>5660</v>
      </c>
      <c r="K38" s="147">
        <v>5.66</v>
      </c>
      <c r="L38" s="147" t="str">
        <f t="shared" si="0"/>
        <v>341.45.66ERWFIN CUT</v>
      </c>
      <c r="M38" s="151" t="s">
        <v>362</v>
      </c>
      <c r="N38" s="150">
        <v>3702855</v>
      </c>
      <c r="O38" s="150" t="s">
        <v>6154</v>
      </c>
      <c r="P38" s="150" t="s">
        <v>6154</v>
      </c>
      <c r="Q38" s="150">
        <v>0</v>
      </c>
      <c r="R38" s="150" t="s">
        <v>362</v>
      </c>
      <c r="S38" s="150">
        <v>3702855</v>
      </c>
      <c r="T38" s="19">
        <v>3</v>
      </c>
      <c r="U38" s="147">
        <v>0</v>
      </c>
      <c r="V38" s="147">
        <v>0</v>
      </c>
      <c r="W38" s="147"/>
      <c r="X38" s="147">
        <f t="shared" si="1"/>
        <v>0</v>
      </c>
      <c r="Y38" s="147">
        <v>0</v>
      </c>
      <c r="Z38" s="147">
        <f>SUMIFS(orderbook[Bal to Desp],orderbook[key],Table29[[#This Row],[Key]])</f>
        <v>0</v>
      </c>
      <c r="AA38" s="147">
        <f>Table29[[#This Row],[order logg ]]-Table29[[#This Row],[check from 17092025 orderbook sent by ashish]]</f>
        <v>0</v>
      </c>
      <c r="AB38" s="147">
        <f t="shared" si="5"/>
        <v>0</v>
      </c>
      <c r="AC38" s="19">
        <f t="shared" si="6"/>
        <v>3</v>
      </c>
      <c r="AD38" s="387">
        <f t="shared" si="4"/>
        <v>4.5</v>
      </c>
      <c r="AE38" s="147">
        <f>ROUND(SUMIFS(meghsteelsales_previousmonth[Quantity],meghsteelsales_previousmonth[Length Bucket],Table29[[#This Row],[Bucket CTL]])/1000,0)</f>
        <v>0</v>
      </c>
      <c r="AF38" s="147">
        <f>ROUND(SUMIFS(meghsteelsales_currentmonth[Quantity],meghsteelsales_currentmonth[Length Bucket],Table29[[#This Row],[Bucket CTL]])/1000,0)</f>
        <v>0</v>
      </c>
    </row>
    <row r="39" spans="1:32" x14ac:dyDescent="0.25">
      <c r="A39" s="147" t="s">
        <v>10</v>
      </c>
      <c r="B39" s="491">
        <v>943209</v>
      </c>
      <c r="C39" s="265" t="s">
        <v>346</v>
      </c>
      <c r="D39" s="153" t="s">
        <v>360</v>
      </c>
      <c r="E39" s="147" t="s">
        <v>348</v>
      </c>
      <c r="F39" s="147" t="s">
        <v>349</v>
      </c>
      <c r="G39" s="148">
        <v>38.1</v>
      </c>
      <c r="H39" s="148"/>
      <c r="I39" s="148">
        <v>1.6</v>
      </c>
      <c r="J39" s="147">
        <v>6190</v>
      </c>
      <c r="K39" s="147">
        <v>6.19</v>
      </c>
      <c r="L39" s="147" t="str">
        <f t="shared" si="0"/>
        <v>38.11.66.19HSTFIN CUT</v>
      </c>
      <c r="M39" s="151" t="s">
        <v>367</v>
      </c>
      <c r="N39" s="150">
        <v>3502254</v>
      </c>
      <c r="O39" s="150" t="s">
        <v>1043</v>
      </c>
      <c r="P39" s="150" t="s">
        <v>6186</v>
      </c>
      <c r="Q39" s="150">
        <v>0</v>
      </c>
      <c r="R39" s="150" t="s">
        <v>367</v>
      </c>
      <c r="S39" s="150">
        <v>3502254</v>
      </c>
      <c r="T39" s="19">
        <v>40</v>
      </c>
      <c r="U39" s="147">
        <v>20</v>
      </c>
      <c r="V39" s="147">
        <v>60</v>
      </c>
      <c r="W39" s="147"/>
      <c r="X39" s="147">
        <f t="shared" si="1"/>
        <v>40</v>
      </c>
      <c r="Y39" s="147">
        <v>20</v>
      </c>
      <c r="Z39" s="147">
        <f>SUMIFS(orderbook[Bal to Desp],orderbook[key],Table29[[#This Row],[Key]])</f>
        <v>80</v>
      </c>
      <c r="AA39" s="500">
        <f>Table29[[#This Row],[order logg ]]-Table29[[#This Row],[check from 17092025 orderbook sent by ashish]]</f>
        <v>-60</v>
      </c>
      <c r="AB39" s="147">
        <f t="shared" si="5"/>
        <v>60</v>
      </c>
      <c r="AC39" s="19">
        <f t="shared" si="6"/>
        <v>-20</v>
      </c>
      <c r="AD39" s="387">
        <f t="shared" si="4"/>
        <v>0</v>
      </c>
      <c r="AE39" s="147">
        <f>ROUND(SUMIFS(meghsteelsales_previousmonth[Quantity],meghsteelsales_previousmonth[Length Bucket],Table29[[#This Row],[Bucket CTL]])/1000,0)</f>
        <v>46</v>
      </c>
      <c r="AF39" s="147">
        <f>ROUND(SUMIFS(meghsteelsales_currentmonth[Quantity],meghsteelsales_currentmonth[Length Bucket],Table29[[#This Row],[Bucket CTL]])/1000,0)</f>
        <v>16</v>
      </c>
    </row>
    <row r="40" spans="1:32" x14ac:dyDescent="0.25">
      <c r="A40" s="147" t="s">
        <v>10</v>
      </c>
      <c r="B40" s="491">
        <v>943209</v>
      </c>
      <c r="C40" s="265" t="s">
        <v>346</v>
      </c>
      <c r="D40" s="153" t="s">
        <v>338</v>
      </c>
      <c r="E40" s="147" t="s">
        <v>348</v>
      </c>
      <c r="F40" s="147" t="s">
        <v>340</v>
      </c>
      <c r="G40" s="148">
        <v>38.1</v>
      </c>
      <c r="H40" s="148"/>
      <c r="I40" s="148">
        <v>2</v>
      </c>
      <c r="J40" s="147">
        <v>5650</v>
      </c>
      <c r="K40" s="147">
        <v>5.65</v>
      </c>
      <c r="L40" s="147" t="str">
        <f t="shared" si="0"/>
        <v>38.125.65ERWFIN CUT</v>
      </c>
      <c r="M40" s="151" t="s">
        <v>367</v>
      </c>
      <c r="N40" s="150">
        <v>3500959</v>
      </c>
      <c r="O40" s="150" t="s">
        <v>860</v>
      </c>
      <c r="P40" s="150" t="s">
        <v>6187</v>
      </c>
      <c r="Q40" s="150" t="s">
        <v>6272</v>
      </c>
      <c r="R40" s="150" t="s">
        <v>367</v>
      </c>
      <c r="S40" s="150">
        <v>3500959</v>
      </c>
      <c r="T40" s="19">
        <v>30</v>
      </c>
      <c r="U40" s="147">
        <v>20</v>
      </c>
      <c r="V40" s="147">
        <v>33</v>
      </c>
      <c r="W40" s="147"/>
      <c r="X40" s="147">
        <f t="shared" si="1"/>
        <v>13</v>
      </c>
      <c r="Y40" s="147">
        <v>49</v>
      </c>
      <c r="Z40" s="147">
        <f>SUMIFS(orderbook[Bal to Desp],orderbook[key],Table29[[#This Row],[Key]])</f>
        <v>32</v>
      </c>
      <c r="AA40" s="500">
        <f>Table29[[#This Row],[order logg ]]-Table29[[#This Row],[check from 17092025 orderbook sent by ashish]]</f>
        <v>17</v>
      </c>
      <c r="AB40" s="147">
        <f t="shared" si="5"/>
        <v>62</v>
      </c>
      <c r="AC40" s="19">
        <f t="shared" si="6"/>
        <v>-32</v>
      </c>
      <c r="AD40" s="387">
        <f>IF(AC40&gt;0,AC40,0)*150%+Table29[[#This Row],[GAP of order log and 17092025 orderbook]]</f>
        <v>17</v>
      </c>
      <c r="AE40" s="147">
        <f>ROUND(SUMIFS(meghsteelsales_previousmonth[Quantity],meghsteelsales_previousmonth[Length Bucket],Table29[[#This Row],[Bucket CTL]])/1000,0)</f>
        <v>4</v>
      </c>
      <c r="AF40" s="147">
        <f>ROUND(SUMIFS(meghsteelsales_currentmonth[Quantity],meghsteelsales_currentmonth[Length Bucket],Table29[[#This Row],[Bucket CTL]])/1000,0)</f>
        <v>0</v>
      </c>
    </row>
    <row r="41" spans="1:32" x14ac:dyDescent="0.25">
      <c r="A41" s="147" t="s">
        <v>10</v>
      </c>
      <c r="B41" s="491">
        <v>943209</v>
      </c>
      <c r="C41" s="265" t="s">
        <v>346</v>
      </c>
      <c r="D41" s="153" t="s">
        <v>344</v>
      </c>
      <c r="E41" s="147" t="s">
        <v>348</v>
      </c>
      <c r="F41" s="147" t="s">
        <v>349</v>
      </c>
      <c r="G41" s="148">
        <v>38.1</v>
      </c>
      <c r="H41" s="148"/>
      <c r="I41" s="148">
        <v>2.5</v>
      </c>
      <c r="J41" s="147">
        <v>6190</v>
      </c>
      <c r="K41" s="147">
        <v>6.19</v>
      </c>
      <c r="L41" s="147" t="str">
        <f t="shared" si="0"/>
        <v>38.12.56.19HSTFIN CUT</v>
      </c>
      <c r="M41" s="151" t="s">
        <v>367</v>
      </c>
      <c r="N41" s="150">
        <v>3502007</v>
      </c>
      <c r="O41" s="150" t="s">
        <v>1048</v>
      </c>
      <c r="P41" s="150" t="s">
        <v>6188</v>
      </c>
      <c r="Q41" s="150">
        <v>0</v>
      </c>
      <c r="R41" s="150" t="s">
        <v>367</v>
      </c>
      <c r="S41" s="150">
        <v>3502007</v>
      </c>
      <c r="T41" s="19">
        <v>60</v>
      </c>
      <c r="U41" s="147">
        <v>25</v>
      </c>
      <c r="V41" s="147">
        <v>20</v>
      </c>
      <c r="W41" s="147"/>
      <c r="X41" s="147">
        <f t="shared" si="1"/>
        <v>-5</v>
      </c>
      <c r="Y41" s="147">
        <v>10</v>
      </c>
      <c r="Z41" s="147">
        <f>SUMIFS(orderbook[Bal to Desp],orderbook[key],Table29[[#This Row],[Key]])</f>
        <v>38.326000000000001</v>
      </c>
      <c r="AA41" s="500">
        <f>Table29[[#This Row],[order logg ]]-Table29[[#This Row],[check from 17092025 orderbook sent by ashish]]</f>
        <v>-28.326000000000001</v>
      </c>
      <c r="AB41" s="147">
        <f t="shared" si="5"/>
        <v>5</v>
      </c>
      <c r="AC41" s="19">
        <f t="shared" si="6"/>
        <v>55</v>
      </c>
      <c r="AD41" s="387">
        <f t="shared" si="4"/>
        <v>82.5</v>
      </c>
      <c r="AE41" s="147">
        <f>ROUND(SUMIFS(meghsteelsales_previousmonth[Quantity],meghsteelsales_previousmonth[Length Bucket],Table29[[#This Row],[Bucket CTL]])/1000,0)</f>
        <v>6</v>
      </c>
      <c r="AF41" s="147">
        <f>ROUND(SUMIFS(meghsteelsales_currentmonth[Quantity],meghsteelsales_currentmonth[Length Bucket],Table29[[#This Row],[Bucket CTL]])/1000,0)</f>
        <v>112</v>
      </c>
    </row>
    <row r="42" spans="1:32" x14ac:dyDescent="0.25">
      <c r="A42" s="147" t="s">
        <v>5</v>
      </c>
      <c r="B42" s="265">
        <v>943211</v>
      </c>
      <c r="C42" s="265" t="s">
        <v>358</v>
      </c>
      <c r="D42" s="153" t="s">
        <v>366</v>
      </c>
      <c r="E42" s="147" t="s">
        <v>348</v>
      </c>
      <c r="F42" s="147" t="s">
        <v>340</v>
      </c>
      <c r="G42" s="148">
        <v>38.1</v>
      </c>
      <c r="H42" s="148"/>
      <c r="I42" s="148">
        <v>3.2</v>
      </c>
      <c r="J42" s="147">
        <v>6000</v>
      </c>
      <c r="K42" s="147">
        <v>6</v>
      </c>
      <c r="L42" s="147" t="str">
        <f t="shared" si="0"/>
        <v>38.13.26ERWFIN CUT</v>
      </c>
      <c r="M42" s="151"/>
      <c r="N42" s="150"/>
      <c r="O42" s="150" t="e">
        <v>#N/A</v>
      </c>
      <c r="P42" s="150" t="e">
        <v>#N/A</v>
      </c>
      <c r="Q42" s="150" t="e">
        <v>#N/A</v>
      </c>
      <c r="R42" s="501" t="s">
        <v>362</v>
      </c>
      <c r="S42" s="150">
        <v>3500699</v>
      </c>
      <c r="T42" s="19">
        <v>5</v>
      </c>
      <c r="U42" s="147">
        <v>0</v>
      </c>
      <c r="V42" s="147">
        <v>0</v>
      </c>
      <c r="W42" s="147"/>
      <c r="X42" s="147">
        <f t="shared" si="1"/>
        <v>0</v>
      </c>
      <c r="Y42" s="147">
        <v>0</v>
      </c>
      <c r="Z42" s="147">
        <f>SUMIFS(orderbook[Bal to Desp],orderbook[key],Table29[[#This Row],[Key]])</f>
        <v>0</v>
      </c>
      <c r="AA42" s="147">
        <f>Table29[[#This Row],[order logg ]]-Table29[[#This Row],[check from 17092025 orderbook sent by ashish]]</f>
        <v>0</v>
      </c>
      <c r="AB42" s="147">
        <f t="shared" si="5"/>
        <v>0</v>
      </c>
      <c r="AC42" s="19">
        <f t="shared" si="6"/>
        <v>5</v>
      </c>
      <c r="AD42" s="387">
        <f t="shared" si="4"/>
        <v>7.5</v>
      </c>
      <c r="AE42" s="147">
        <f>ROUND(SUMIFS(meghsteelsales_previousmonth[Quantity],meghsteelsales_previousmonth[Length Bucket],Table29[[#This Row],[Bucket CTL]])/1000,0)</f>
        <v>0</v>
      </c>
      <c r="AF42" s="147">
        <f>ROUND(SUMIFS(meghsteelsales_currentmonth[Quantity],meghsteelsales_currentmonth[Length Bucket],Table29[[#This Row],[Bucket CTL]])/1000,0)</f>
        <v>0</v>
      </c>
    </row>
    <row r="43" spans="1:32" s="386" customFormat="1" x14ac:dyDescent="0.25">
      <c r="A43" s="147" t="s">
        <v>10</v>
      </c>
      <c r="B43" s="491">
        <v>943209</v>
      </c>
      <c r="C43" s="265" t="s">
        <v>116</v>
      </c>
      <c r="D43" s="147" t="s">
        <v>338</v>
      </c>
      <c r="E43" s="147" t="s">
        <v>348</v>
      </c>
      <c r="F43" s="147" t="s">
        <v>340</v>
      </c>
      <c r="G43" s="148">
        <v>41.28</v>
      </c>
      <c r="H43" s="148"/>
      <c r="I43" s="148">
        <v>2.6</v>
      </c>
      <c r="J43" s="147">
        <v>6000</v>
      </c>
      <c r="K43" s="147">
        <v>6</v>
      </c>
      <c r="L43" s="147" t="str">
        <f t="shared" si="0"/>
        <v>41.282.66ERWFIN CUT</v>
      </c>
      <c r="M43" s="151" t="s">
        <v>345</v>
      </c>
      <c r="N43" s="150">
        <v>3994149</v>
      </c>
      <c r="O43" s="150" t="s">
        <v>886</v>
      </c>
      <c r="P43" s="150" t="s">
        <v>6189</v>
      </c>
      <c r="Q43" s="150">
        <v>0</v>
      </c>
      <c r="R43" s="150" t="s">
        <v>345</v>
      </c>
      <c r="S43" s="150">
        <v>3974563</v>
      </c>
      <c r="T43" s="19">
        <v>50</v>
      </c>
      <c r="U43" s="147">
        <v>14</v>
      </c>
      <c r="V43" s="147">
        <v>14</v>
      </c>
      <c r="W43" s="147"/>
      <c r="X43" s="147">
        <f t="shared" si="1"/>
        <v>0</v>
      </c>
      <c r="Y43" s="147">
        <v>84</v>
      </c>
      <c r="Z43" s="147">
        <f>SUMIFS(orderbook[Bal to Desp],orderbook[key],Table29[[#This Row],[Key]])</f>
        <v>42</v>
      </c>
      <c r="AA43" s="500">
        <f>Table29[[#This Row],[order logg ]]-Table29[[#This Row],[check from 17092025 orderbook sent by ashish]]</f>
        <v>42</v>
      </c>
      <c r="AB43" s="147">
        <f t="shared" si="5"/>
        <v>84</v>
      </c>
      <c r="AC43" s="19">
        <f t="shared" si="6"/>
        <v>-34</v>
      </c>
      <c r="AD43" s="387">
        <f>IF(AC43&gt;0,AC43,0)*150%+Table29[[#This Row],[GAP of order log and 17092025 orderbook]]</f>
        <v>42</v>
      </c>
      <c r="AE43" s="147">
        <f>ROUND(SUMIFS(meghsteelsales_previousmonth[Quantity],meghsteelsales_previousmonth[Length Bucket],Table29[[#This Row],[Bucket CTL]])/1000,0)</f>
        <v>9</v>
      </c>
      <c r="AF43" s="147">
        <f>ROUND(SUMIFS(meghsteelsales_currentmonth[Quantity],meghsteelsales_currentmonth[Length Bucket],Table29[[#This Row],[Bucket CTL]])/1000,0)</f>
        <v>61</v>
      </c>
    </row>
    <row r="44" spans="1:32" x14ac:dyDescent="0.25">
      <c r="A44" s="147" t="s">
        <v>10</v>
      </c>
      <c r="B44" s="491">
        <v>943209</v>
      </c>
      <c r="C44" s="265" t="s">
        <v>116</v>
      </c>
      <c r="D44" s="159" t="s">
        <v>338</v>
      </c>
      <c r="E44" s="147" t="s">
        <v>348</v>
      </c>
      <c r="F44" s="147" t="s">
        <v>340</v>
      </c>
      <c r="G44" s="168" t="s">
        <v>363</v>
      </c>
      <c r="H44" s="168"/>
      <c r="I44" s="168">
        <v>1.6</v>
      </c>
      <c r="J44" s="169">
        <v>6130</v>
      </c>
      <c r="K44" s="147">
        <v>6.13</v>
      </c>
      <c r="L44" s="147" t="str">
        <f t="shared" si="0"/>
        <v>40x251.66.13ERWFIN CUT</v>
      </c>
      <c r="M44" s="151" t="s">
        <v>345</v>
      </c>
      <c r="N44" s="150"/>
      <c r="O44" s="150" t="s">
        <v>428</v>
      </c>
      <c r="P44" s="150" t="s">
        <v>6191</v>
      </c>
      <c r="Q44" s="150">
        <v>0</v>
      </c>
      <c r="R44" s="150" t="s">
        <v>345</v>
      </c>
      <c r="S44" s="150">
        <v>3919144</v>
      </c>
      <c r="T44" s="19">
        <v>6</v>
      </c>
      <c r="U44" s="147">
        <v>0</v>
      </c>
      <c r="V44" s="147">
        <v>0</v>
      </c>
      <c r="W44" s="147"/>
      <c r="X44" s="147">
        <f t="shared" si="1"/>
        <v>0</v>
      </c>
      <c r="Y44" s="147">
        <v>7.5</v>
      </c>
      <c r="Z44" s="147">
        <f>SUMIFS(orderbook[Bal to Desp],orderbook[key],Table29[[#This Row],[Key]])</f>
        <v>0</v>
      </c>
      <c r="AA44" s="500">
        <f>Table29[[#This Row],[order logg ]]-Table29[[#This Row],[check from 17092025 orderbook sent by ashish]]</f>
        <v>7.5</v>
      </c>
      <c r="AB44" s="147">
        <f t="shared" si="5"/>
        <v>7.5</v>
      </c>
      <c r="AC44" s="19">
        <f t="shared" si="6"/>
        <v>-1.5</v>
      </c>
      <c r="AD44" s="387">
        <f>IF(AC44&gt;0,AC44,0)*150%+Table29[[#This Row],[GAP of order log and 17092025 orderbook]]</f>
        <v>7.5</v>
      </c>
      <c r="AE44" s="147">
        <f>ROUND(SUMIFS(meghsteelsales_previousmonth[Quantity],meghsteelsales_previousmonth[Length Bucket],Table29[[#This Row],[Bucket CTL]])/1000,0)</f>
        <v>0</v>
      </c>
      <c r="AF44" s="147">
        <f>ROUND(SUMIFS(meghsteelsales_currentmonth[Quantity],meghsteelsales_currentmonth[Length Bucket],Table29[[#This Row],[Bucket CTL]])/1000,0)</f>
        <v>0</v>
      </c>
    </row>
    <row r="45" spans="1:32" x14ac:dyDescent="0.25">
      <c r="A45" s="147" t="s">
        <v>341</v>
      </c>
      <c r="B45" s="265">
        <v>943210</v>
      </c>
      <c r="C45" s="265" t="s">
        <v>342</v>
      </c>
      <c r="D45" s="153" t="s">
        <v>338</v>
      </c>
      <c r="E45" s="147" t="s">
        <v>348</v>
      </c>
      <c r="F45" s="147" t="s">
        <v>340</v>
      </c>
      <c r="G45" s="148">
        <v>41.28</v>
      </c>
      <c r="H45" s="148"/>
      <c r="I45" s="148">
        <v>3.15</v>
      </c>
      <c r="J45" s="147">
        <v>5860</v>
      </c>
      <c r="K45" s="147">
        <v>5.86</v>
      </c>
      <c r="L45" s="147" t="str">
        <f t="shared" si="0"/>
        <v>41.283.155.86ERWFIN CUT</v>
      </c>
      <c r="M45" s="149"/>
      <c r="N45" s="150">
        <v>3673889</v>
      </c>
      <c r="O45" s="150" t="s">
        <v>6192</v>
      </c>
      <c r="P45" s="150" t="s">
        <v>6193</v>
      </c>
      <c r="Q45" s="150">
        <v>0</v>
      </c>
      <c r="R45" s="150" t="s">
        <v>367</v>
      </c>
      <c r="S45" s="150">
        <v>3673889</v>
      </c>
      <c r="T45" s="19">
        <v>45</v>
      </c>
      <c r="U45" s="147">
        <v>0</v>
      </c>
      <c r="V45" s="147">
        <v>0</v>
      </c>
      <c r="W45" s="147"/>
      <c r="X45" s="147">
        <f t="shared" si="1"/>
        <v>0</v>
      </c>
      <c r="Y45" s="147">
        <v>92</v>
      </c>
      <c r="Z45" s="147">
        <f>SUMIFS(orderbook[Bal to Desp],orderbook[key],Table29[[#This Row],[Key]])</f>
        <v>70.513999999999996</v>
      </c>
      <c r="AA45" s="500">
        <f>Table29[[#This Row],[order logg ]]-Table29[[#This Row],[check from 17092025 orderbook sent by ashish]]</f>
        <v>21.486000000000004</v>
      </c>
      <c r="AB45" s="147">
        <f t="shared" si="5"/>
        <v>92</v>
      </c>
      <c r="AC45" s="19">
        <f t="shared" si="6"/>
        <v>-47</v>
      </c>
      <c r="AD45" s="387">
        <f>IF(AC45&gt;0,AC45,0)*150%+Table29[[#This Row],[GAP of order log and 17092025 orderbook]]</f>
        <v>21.486000000000004</v>
      </c>
      <c r="AE45" s="147">
        <f>ROUND(SUMIFS(meghsteelsales_previousmonth[Quantity],meghsteelsales_previousmonth[Length Bucket],Table29[[#This Row],[Bucket CTL]])/1000,0)</f>
        <v>48</v>
      </c>
      <c r="AF45" s="147">
        <f>ROUND(SUMIFS(meghsteelsales_currentmonth[Quantity],meghsteelsales_currentmonth[Length Bucket],Table29[[#This Row],[Bucket CTL]])/1000,0)</f>
        <v>10</v>
      </c>
    </row>
    <row r="46" spans="1:32" x14ac:dyDescent="0.25">
      <c r="A46" s="147" t="s">
        <v>10</v>
      </c>
      <c r="B46" s="491">
        <v>943209</v>
      </c>
      <c r="C46" s="265" t="s">
        <v>346</v>
      </c>
      <c r="D46" s="153" t="s">
        <v>364</v>
      </c>
      <c r="E46" s="147" t="s">
        <v>348</v>
      </c>
      <c r="F46" s="147" t="s">
        <v>340</v>
      </c>
      <c r="G46" s="148">
        <v>42.7</v>
      </c>
      <c r="H46" s="148"/>
      <c r="I46" s="148">
        <v>3.5</v>
      </c>
      <c r="J46" s="147">
        <v>6000</v>
      </c>
      <c r="K46" s="147">
        <v>6</v>
      </c>
      <c r="L46" s="147" t="str">
        <f t="shared" si="0"/>
        <v>42.73.56ERWFIN CUT</v>
      </c>
      <c r="M46" s="151" t="s">
        <v>362</v>
      </c>
      <c r="N46" s="150">
        <v>2396465</v>
      </c>
      <c r="O46" s="150" t="s">
        <v>875</v>
      </c>
      <c r="P46" s="150" t="s">
        <v>6194</v>
      </c>
      <c r="Q46" s="150">
        <v>0</v>
      </c>
      <c r="R46" s="150" t="s">
        <v>362</v>
      </c>
      <c r="S46" s="150">
        <v>2396465</v>
      </c>
      <c r="T46" s="19">
        <v>5</v>
      </c>
      <c r="U46" s="147">
        <v>1</v>
      </c>
      <c r="V46" s="147">
        <v>25</v>
      </c>
      <c r="W46" s="147"/>
      <c r="X46" s="147">
        <f t="shared" si="1"/>
        <v>24</v>
      </c>
      <c r="Y46" s="147">
        <v>2</v>
      </c>
      <c r="Z46" s="147">
        <f>SUMIFS(orderbook[Bal to Desp],orderbook[key],Table29[[#This Row],[Key]])</f>
        <v>0</v>
      </c>
      <c r="AA46" s="500">
        <f>Table29[[#This Row],[order logg ]]-Table29[[#This Row],[check from 17092025 orderbook sent by ashish]]</f>
        <v>2</v>
      </c>
      <c r="AB46" s="147">
        <f t="shared" si="5"/>
        <v>26</v>
      </c>
      <c r="AC46" s="19">
        <f t="shared" si="6"/>
        <v>-21</v>
      </c>
      <c r="AD46" s="387">
        <f>IF(AC46&gt;0,AC46,0)*150%+Table29[[#This Row],[GAP of order log and 17092025 orderbook]]</f>
        <v>2</v>
      </c>
      <c r="AE46" s="147">
        <f>ROUND(SUMIFS(meghsteelsales_previousmonth[Quantity],meghsteelsales_previousmonth[Length Bucket],Table29[[#This Row],[Bucket CTL]])/1000,0)</f>
        <v>4</v>
      </c>
      <c r="AF46" s="147">
        <f>ROUND(SUMIFS(meghsteelsales_currentmonth[Quantity],meghsteelsales_currentmonth[Length Bucket],Table29[[#This Row],[Bucket CTL]])/1000,0)</f>
        <v>2</v>
      </c>
    </row>
    <row r="47" spans="1:32" x14ac:dyDescent="0.25">
      <c r="A47" s="147" t="s">
        <v>10</v>
      </c>
      <c r="B47" s="491">
        <v>943209</v>
      </c>
      <c r="C47" s="265" t="s">
        <v>346</v>
      </c>
      <c r="D47" s="153" t="s">
        <v>364</v>
      </c>
      <c r="E47" s="147" t="s">
        <v>348</v>
      </c>
      <c r="F47" s="147" t="s">
        <v>340</v>
      </c>
      <c r="G47" s="148">
        <v>42.7</v>
      </c>
      <c r="H47" s="148"/>
      <c r="I47" s="148">
        <v>4</v>
      </c>
      <c r="J47" s="147">
        <v>6000</v>
      </c>
      <c r="K47" s="147">
        <v>6</v>
      </c>
      <c r="L47" s="147" t="str">
        <f t="shared" si="0"/>
        <v>42.746ERWFIN CUT</v>
      </c>
      <c r="M47" s="149"/>
      <c r="N47" s="150">
        <v>3501985</v>
      </c>
      <c r="O47" s="150" t="s">
        <v>891</v>
      </c>
      <c r="P47" s="150" t="s">
        <v>6195</v>
      </c>
      <c r="Q47" s="150">
        <v>0</v>
      </c>
      <c r="R47" s="150" t="s">
        <v>362</v>
      </c>
      <c r="S47" s="150">
        <v>3501985</v>
      </c>
      <c r="T47" s="19">
        <v>30</v>
      </c>
      <c r="U47" s="147">
        <v>10</v>
      </c>
      <c r="V47" s="147">
        <v>15</v>
      </c>
      <c r="W47" s="147"/>
      <c r="X47" s="147">
        <f t="shared" si="1"/>
        <v>5</v>
      </c>
      <c r="Y47" s="147">
        <v>14</v>
      </c>
      <c r="Z47" s="147">
        <f>SUMIFS(orderbook[Bal to Desp],orderbook[key],Table29[[#This Row],[Key]])</f>
        <v>0</v>
      </c>
      <c r="AA47" s="500">
        <f>Table29[[#This Row],[order logg ]]-Table29[[#This Row],[check from 17092025 orderbook sent by ashish]]</f>
        <v>14</v>
      </c>
      <c r="AB47" s="147">
        <f t="shared" si="5"/>
        <v>19</v>
      </c>
      <c r="AC47" s="19">
        <f t="shared" si="6"/>
        <v>11</v>
      </c>
      <c r="AD47" s="387">
        <f>IF(AC47&gt;0,AC47,0)*150%+Table29[[#This Row],[GAP of order log and 17092025 orderbook]]</f>
        <v>30.5</v>
      </c>
      <c r="AE47" s="147">
        <f>ROUND(SUMIFS(meghsteelsales_previousmonth[Quantity],meghsteelsales_previousmonth[Length Bucket],Table29[[#This Row],[Bucket CTL]])/1000,0)</f>
        <v>38</v>
      </c>
      <c r="AF47" s="147">
        <f>ROUND(SUMIFS(meghsteelsales_currentmonth[Quantity],meghsteelsales_currentmonth[Length Bucket],Table29[[#This Row],[Bucket CTL]])/1000,0)</f>
        <v>35</v>
      </c>
    </row>
    <row r="48" spans="1:32" x14ac:dyDescent="0.25">
      <c r="A48" s="147" t="s">
        <v>10</v>
      </c>
      <c r="B48" s="491">
        <v>943209</v>
      </c>
      <c r="C48" s="265" t="s">
        <v>346</v>
      </c>
      <c r="D48" s="155" t="s">
        <v>338</v>
      </c>
      <c r="E48" s="147" t="s">
        <v>348</v>
      </c>
      <c r="F48" s="147" t="s">
        <v>340</v>
      </c>
      <c r="G48" s="154" t="s">
        <v>365</v>
      </c>
      <c r="H48" s="154"/>
      <c r="I48" s="154">
        <v>1.6</v>
      </c>
      <c r="J48" s="155">
        <v>5900</v>
      </c>
      <c r="K48" s="147">
        <v>5.9</v>
      </c>
      <c r="L48" s="147" t="str">
        <f t="shared" si="0"/>
        <v>40x301.65.9ERWFIN CUT</v>
      </c>
      <c r="M48" s="151" t="s">
        <v>362</v>
      </c>
      <c r="N48" s="150">
        <v>3836440</v>
      </c>
      <c r="O48" s="150" t="s">
        <v>586</v>
      </c>
      <c r="P48" s="150" t="s">
        <v>4936</v>
      </c>
      <c r="Q48" s="150">
        <v>0</v>
      </c>
      <c r="R48" s="150" t="s">
        <v>345</v>
      </c>
      <c r="S48" s="150">
        <v>3836440</v>
      </c>
      <c r="T48" s="19">
        <v>10</v>
      </c>
      <c r="U48" s="147">
        <v>2</v>
      </c>
      <c r="V48" s="147">
        <v>5</v>
      </c>
      <c r="W48" s="147"/>
      <c r="X48" s="147">
        <f t="shared" si="1"/>
        <v>3</v>
      </c>
      <c r="Y48" s="147">
        <v>12</v>
      </c>
      <c r="Z48" s="147">
        <f>SUMIFS(orderbook[Bal to Desp],orderbook[key],Table29[[#This Row],[Key]])</f>
        <v>0</v>
      </c>
      <c r="AA48" s="500">
        <f>Table29[[#This Row],[order logg ]]-Table29[[#This Row],[check from 17092025 orderbook sent by ashish]]</f>
        <v>12</v>
      </c>
      <c r="AB48" s="147">
        <f t="shared" si="5"/>
        <v>15</v>
      </c>
      <c r="AC48" s="19">
        <f t="shared" si="6"/>
        <v>-5</v>
      </c>
      <c r="AD48" s="387">
        <f>IF(AC48&gt;0,AC48,0)*150%+Table29[[#This Row],[GAP of order log and 17092025 orderbook]]</f>
        <v>12</v>
      </c>
      <c r="AE48" s="147">
        <f>ROUND(SUMIFS(meghsteelsales_previousmonth[Quantity],meghsteelsales_previousmonth[Length Bucket],Table29[[#This Row],[Bucket CTL]])/1000,0)</f>
        <v>0</v>
      </c>
      <c r="AF48" s="147">
        <f>ROUND(SUMIFS(meghsteelsales_currentmonth[Quantity],meghsteelsales_currentmonth[Length Bucket],Table29[[#This Row],[Bucket CTL]])/1000,0)</f>
        <v>0</v>
      </c>
    </row>
    <row r="49" spans="1:32" x14ac:dyDescent="0.25">
      <c r="A49" s="147" t="s">
        <v>341</v>
      </c>
      <c r="B49" s="265">
        <v>943210</v>
      </c>
      <c r="C49" s="265" t="s">
        <v>342</v>
      </c>
      <c r="D49" s="153" t="s">
        <v>344</v>
      </c>
      <c r="E49" s="147" t="s">
        <v>348</v>
      </c>
      <c r="F49" s="147" t="s">
        <v>349</v>
      </c>
      <c r="G49" s="148">
        <v>45</v>
      </c>
      <c r="H49" s="148"/>
      <c r="I49" s="148">
        <v>1.4</v>
      </c>
      <c r="J49" s="147">
        <v>6400</v>
      </c>
      <c r="K49" s="147">
        <v>6.42</v>
      </c>
      <c r="L49" s="147" t="str">
        <f t="shared" si="0"/>
        <v>451.46.42HSTFIN CUT</v>
      </c>
      <c r="M49" s="149"/>
      <c r="N49" s="150">
        <v>3502343</v>
      </c>
      <c r="O49" s="150" t="s">
        <v>6275</v>
      </c>
      <c r="P49" s="150" t="s">
        <v>6276</v>
      </c>
      <c r="Q49" s="150">
        <v>0</v>
      </c>
      <c r="R49" s="150" t="s">
        <v>345</v>
      </c>
      <c r="S49" s="150">
        <v>3502343</v>
      </c>
      <c r="T49" s="19">
        <v>10</v>
      </c>
      <c r="U49" s="147">
        <v>5</v>
      </c>
      <c r="V49" s="147">
        <v>54</v>
      </c>
      <c r="W49" s="147"/>
      <c r="X49" s="147">
        <f t="shared" si="1"/>
        <v>49</v>
      </c>
      <c r="Y49" s="147">
        <v>30</v>
      </c>
      <c r="Z49" s="147">
        <f>SUMIFS(orderbook[Bal to Desp],orderbook[key],Table29[[#This Row],[Key]])</f>
        <v>0</v>
      </c>
      <c r="AA49" s="500">
        <f>Table29[[#This Row],[order logg ]]-Table29[[#This Row],[check from 17092025 orderbook sent by ashish]]</f>
        <v>30</v>
      </c>
      <c r="AB49" s="147">
        <f t="shared" si="5"/>
        <v>79</v>
      </c>
      <c r="AC49" s="19">
        <f t="shared" si="6"/>
        <v>-69</v>
      </c>
      <c r="AD49" s="387">
        <f>IF(AC49&gt;0,AC49,0)*150%+Table29[[#This Row],[GAP of order log and 17092025 orderbook]]</f>
        <v>30</v>
      </c>
      <c r="AE49" s="147">
        <f>ROUND(SUMIFS(meghsteelsales_previousmonth[Quantity],meghsteelsales_previousmonth[Length Bucket],Table29[[#This Row],[Bucket CTL]])/1000,0)</f>
        <v>4</v>
      </c>
      <c r="AF49" s="147">
        <f>ROUND(SUMIFS(meghsteelsales_currentmonth[Quantity],meghsteelsales_currentmonth[Length Bucket],Table29[[#This Row],[Bucket CTL]])/1000,0)</f>
        <v>0</v>
      </c>
    </row>
    <row r="50" spans="1:32" x14ac:dyDescent="0.25">
      <c r="A50" s="147" t="s">
        <v>341</v>
      </c>
      <c r="B50" s="265">
        <v>943210</v>
      </c>
      <c r="C50" s="265" t="s">
        <v>342</v>
      </c>
      <c r="D50" s="153" t="s">
        <v>338</v>
      </c>
      <c r="E50" s="147" t="s">
        <v>348</v>
      </c>
      <c r="F50" s="147" t="s">
        <v>340</v>
      </c>
      <c r="G50" s="148">
        <v>45</v>
      </c>
      <c r="H50" s="148"/>
      <c r="I50" s="148">
        <v>1.4</v>
      </c>
      <c r="J50" s="147">
        <v>5700</v>
      </c>
      <c r="K50" s="147">
        <v>5.7</v>
      </c>
      <c r="L50" s="147" t="str">
        <f t="shared" si="0"/>
        <v>451.45.7ERWFIN CUT</v>
      </c>
      <c r="M50" s="151" t="s">
        <v>367</v>
      </c>
      <c r="N50" s="150">
        <v>3545558</v>
      </c>
      <c r="O50" s="150" t="s">
        <v>2379</v>
      </c>
      <c r="P50" s="150" t="s">
        <v>6197</v>
      </c>
      <c r="Q50" s="150">
        <v>0</v>
      </c>
      <c r="R50" s="150" t="s">
        <v>367</v>
      </c>
      <c r="S50" s="150">
        <v>3545558</v>
      </c>
      <c r="T50" s="19">
        <v>10</v>
      </c>
      <c r="U50" s="147">
        <v>0</v>
      </c>
      <c r="V50" s="147">
        <v>0</v>
      </c>
      <c r="W50" s="147"/>
      <c r="X50" s="147">
        <f t="shared" si="1"/>
        <v>0</v>
      </c>
      <c r="Y50" s="147">
        <v>0</v>
      </c>
      <c r="Z50" s="147">
        <f>SUMIFS(orderbook[Bal to Desp],orderbook[key],Table29[[#This Row],[Key]])</f>
        <v>7.5779999999999994</v>
      </c>
      <c r="AA50" s="500">
        <f>Table29[[#This Row],[order logg ]]-Table29[[#This Row],[check from 17092025 orderbook sent by ashish]]</f>
        <v>-7.5779999999999994</v>
      </c>
      <c r="AB50" s="147">
        <f t="shared" si="5"/>
        <v>0</v>
      </c>
      <c r="AC50" s="19">
        <f t="shared" si="6"/>
        <v>10</v>
      </c>
      <c r="AD50" s="387"/>
      <c r="AE50" s="147">
        <f>ROUND(SUMIFS(meghsteelsales_previousmonth[Quantity],meghsteelsales_previousmonth[Length Bucket],Table29[[#This Row],[Bucket CTL]])/1000,0)</f>
        <v>5</v>
      </c>
      <c r="AF50" s="147">
        <f>ROUND(SUMIFS(meghsteelsales_currentmonth[Quantity],meghsteelsales_currentmonth[Length Bucket],Table29[[#This Row],[Bucket CTL]])/1000,0)</f>
        <v>7</v>
      </c>
    </row>
    <row r="51" spans="1:32" x14ac:dyDescent="0.25">
      <c r="A51" s="147" t="s">
        <v>341</v>
      </c>
      <c r="B51" s="265">
        <v>943210</v>
      </c>
      <c r="C51" s="265" t="s">
        <v>342</v>
      </c>
      <c r="D51" s="153" t="s">
        <v>344</v>
      </c>
      <c r="E51" s="147" t="s">
        <v>348</v>
      </c>
      <c r="F51" s="147" t="s">
        <v>349</v>
      </c>
      <c r="G51" s="148">
        <v>45</v>
      </c>
      <c r="H51" s="148"/>
      <c r="I51" s="148">
        <v>1.6</v>
      </c>
      <c r="J51" s="147">
        <v>6400</v>
      </c>
      <c r="K51" s="147">
        <v>6.42</v>
      </c>
      <c r="L51" s="147" t="str">
        <f t="shared" si="0"/>
        <v>451.66.42HSTFIN CUT</v>
      </c>
      <c r="M51" s="149"/>
      <c r="N51" s="150">
        <v>3502388</v>
      </c>
      <c r="O51" s="150" t="s">
        <v>5071</v>
      </c>
      <c r="P51" s="150" t="s">
        <v>6277</v>
      </c>
      <c r="Q51" s="150">
        <v>0</v>
      </c>
      <c r="R51" s="150" t="s">
        <v>345</v>
      </c>
      <c r="S51" s="150">
        <v>3502388</v>
      </c>
      <c r="T51" s="19">
        <v>10</v>
      </c>
      <c r="U51" s="147">
        <v>5</v>
      </c>
      <c r="V51" s="147">
        <v>18</v>
      </c>
      <c r="W51" s="147"/>
      <c r="X51" s="147">
        <f t="shared" si="1"/>
        <v>13</v>
      </c>
      <c r="Y51" s="147">
        <v>30</v>
      </c>
      <c r="Z51" s="147">
        <f>SUMIFS(orderbook[Bal to Desp],orderbook[key],Table29[[#This Row],[Key]])</f>
        <v>0</v>
      </c>
      <c r="AA51" s="500">
        <f>Table29[[#This Row],[order logg ]]-Table29[[#This Row],[check from 17092025 orderbook sent by ashish]]</f>
        <v>30</v>
      </c>
      <c r="AB51" s="147">
        <f t="shared" si="5"/>
        <v>43</v>
      </c>
      <c r="AC51" s="19">
        <f t="shared" si="6"/>
        <v>-33</v>
      </c>
      <c r="AD51" s="387">
        <f>IF(AC51&gt;0,AC51,0)*150%+Table29[[#This Row],[GAP of order log and 17092025 orderbook]]</f>
        <v>30</v>
      </c>
      <c r="AE51" s="147">
        <f>ROUND(SUMIFS(meghsteelsales_previousmonth[Quantity],meghsteelsales_previousmonth[Length Bucket],Table29[[#This Row],[Bucket CTL]])/1000,0)</f>
        <v>0</v>
      </c>
      <c r="AF51" s="147">
        <f>ROUND(SUMIFS(meghsteelsales_currentmonth[Quantity],meghsteelsales_currentmonth[Length Bucket],Table29[[#This Row],[Bucket CTL]])/1000,0)</f>
        <v>0</v>
      </c>
    </row>
    <row r="52" spans="1:32" x14ac:dyDescent="0.25">
      <c r="A52" s="147" t="s">
        <v>341</v>
      </c>
      <c r="B52" s="265">
        <v>943210</v>
      </c>
      <c r="C52" s="265" t="s">
        <v>342</v>
      </c>
      <c r="D52" s="153" t="s">
        <v>366</v>
      </c>
      <c r="E52" s="147" t="s">
        <v>348</v>
      </c>
      <c r="F52" s="147" t="s">
        <v>366</v>
      </c>
      <c r="G52" s="148">
        <v>45</v>
      </c>
      <c r="H52" s="148"/>
      <c r="I52" s="148">
        <v>3.5</v>
      </c>
      <c r="J52" s="147">
        <v>6100</v>
      </c>
      <c r="K52" s="147">
        <v>6.1</v>
      </c>
      <c r="L52" s="147" t="str">
        <f t="shared" si="0"/>
        <v>453.56.1CEW-1FIN CUT</v>
      </c>
      <c r="M52" s="149"/>
      <c r="N52" s="15">
        <v>3500263</v>
      </c>
      <c r="O52" s="150" t="e">
        <v>#N/A</v>
      </c>
      <c r="P52" s="150" t="e">
        <v>#N/A</v>
      </c>
      <c r="Q52" s="150" t="e">
        <v>#N/A</v>
      </c>
      <c r="R52" s="150" t="e">
        <v>#N/A</v>
      </c>
      <c r="S52" s="150">
        <v>3500263</v>
      </c>
      <c r="T52" s="19">
        <v>10</v>
      </c>
      <c r="U52" s="147"/>
      <c r="V52" s="147">
        <v>0</v>
      </c>
      <c r="W52" s="147"/>
      <c r="X52" s="147"/>
      <c r="Y52" s="147">
        <v>10</v>
      </c>
      <c r="Z52" s="147">
        <f>SUMIFS(orderbook[Bal to Desp],orderbook[key],Table29[[#This Row],[Key]])</f>
        <v>10</v>
      </c>
      <c r="AA52" s="147">
        <f>Table29[[#This Row],[order logg ]]-Table29[[#This Row],[check from 17092025 orderbook sent by ashish]]</f>
        <v>0</v>
      </c>
      <c r="AB52" s="147"/>
      <c r="AC52" s="19"/>
      <c r="AD52" s="387">
        <f t="shared" si="4"/>
        <v>0</v>
      </c>
      <c r="AE52" s="147">
        <f>ROUND(SUMIFS(meghsteelsales_previousmonth[Quantity],meghsteelsales_previousmonth[Length Bucket],Table29[[#This Row],[Bucket CTL]])/1000,0)</f>
        <v>0</v>
      </c>
      <c r="AF52" s="147">
        <f>ROUND(SUMIFS(meghsteelsales_currentmonth[Quantity],meghsteelsales_currentmonth[Length Bucket],Table29[[#This Row],[Bucket CTL]])/1000,0)</f>
        <v>0</v>
      </c>
    </row>
    <row r="53" spans="1:32" x14ac:dyDescent="0.25">
      <c r="A53" s="147" t="s">
        <v>5</v>
      </c>
      <c r="B53" s="265">
        <v>943211</v>
      </c>
      <c r="C53" s="265" t="s">
        <v>358</v>
      </c>
      <c r="D53" s="153" t="s">
        <v>366</v>
      </c>
      <c r="E53" s="147" t="s">
        <v>348</v>
      </c>
      <c r="F53" s="147" t="s">
        <v>357</v>
      </c>
      <c r="G53" s="148">
        <v>47.63</v>
      </c>
      <c r="H53" s="148"/>
      <c r="I53" s="148">
        <v>4</v>
      </c>
      <c r="J53" s="147">
        <v>6040</v>
      </c>
      <c r="K53" s="147">
        <v>6.04</v>
      </c>
      <c r="L53" s="147" t="str">
        <f t="shared" si="0"/>
        <v>47.6346.04CEWFIN CUT</v>
      </c>
      <c r="M53" s="149"/>
      <c r="N53" s="150"/>
      <c r="O53" s="150" t="e">
        <v>#N/A</v>
      </c>
      <c r="P53" s="150" t="e">
        <v>#N/A</v>
      </c>
      <c r="Q53" s="150">
        <v>0</v>
      </c>
      <c r="R53" s="150" t="s">
        <v>362</v>
      </c>
      <c r="S53" s="150">
        <v>3500635</v>
      </c>
      <c r="T53" s="19">
        <v>10</v>
      </c>
      <c r="U53" s="147">
        <v>0</v>
      </c>
      <c r="V53" s="147">
        <v>0</v>
      </c>
      <c r="W53" s="147"/>
      <c r="X53" s="147">
        <f t="shared" si="1"/>
        <v>0</v>
      </c>
      <c r="Y53" s="147">
        <v>0</v>
      </c>
      <c r="Z53" s="147">
        <f>SUMIFS(orderbook[Bal to Desp],orderbook[key],Table29[[#This Row],[Key]])</f>
        <v>0</v>
      </c>
      <c r="AA53" s="147">
        <f>Table29[[#This Row],[order logg ]]-Table29[[#This Row],[check from 17092025 orderbook sent by ashish]]</f>
        <v>0</v>
      </c>
      <c r="AB53" s="147">
        <f t="shared" ref="AB53:AB61" si="7">X53+Y53</f>
        <v>0</v>
      </c>
      <c r="AC53" s="19">
        <f t="shared" ref="AC53:AC61" si="8">T53-AB53</f>
        <v>10</v>
      </c>
      <c r="AD53" s="387">
        <f t="shared" si="4"/>
        <v>15</v>
      </c>
      <c r="AE53" s="147">
        <f>ROUND(SUMIFS(meghsteelsales_previousmonth[Quantity],meghsteelsales_previousmonth[Length Bucket],Table29[[#This Row],[Bucket CTL]])/1000,0)</f>
        <v>0</v>
      </c>
      <c r="AF53" s="147">
        <f>ROUND(SUMIFS(meghsteelsales_currentmonth[Quantity],meghsteelsales_currentmonth[Length Bucket],Table29[[#This Row],[Bucket CTL]])/1000,0)</f>
        <v>0</v>
      </c>
    </row>
    <row r="54" spans="1:32" x14ac:dyDescent="0.25">
      <c r="A54" s="147" t="s">
        <v>5</v>
      </c>
      <c r="B54" s="265">
        <v>943211</v>
      </c>
      <c r="C54" s="265" t="s">
        <v>358</v>
      </c>
      <c r="D54" s="153" t="s">
        <v>338</v>
      </c>
      <c r="E54" s="147" t="s">
        <v>348</v>
      </c>
      <c r="F54" s="147" t="s">
        <v>340</v>
      </c>
      <c r="G54" s="148">
        <v>48</v>
      </c>
      <c r="H54" s="148"/>
      <c r="I54" s="148">
        <v>1.2</v>
      </c>
      <c r="J54" s="147">
        <v>620</v>
      </c>
      <c r="K54" s="147">
        <v>0.62</v>
      </c>
      <c r="L54" s="147" t="str">
        <f t="shared" si="0"/>
        <v>481.20.62ERWFIN CUT</v>
      </c>
      <c r="M54" s="151" t="s">
        <v>345</v>
      </c>
      <c r="N54" s="150">
        <v>2397072</v>
      </c>
      <c r="O54" s="150" t="s">
        <v>6198</v>
      </c>
      <c r="P54" s="150" t="s">
        <v>6199</v>
      </c>
      <c r="Q54" s="150">
        <v>0</v>
      </c>
      <c r="R54" s="150" t="s">
        <v>345</v>
      </c>
      <c r="S54" s="150">
        <v>2397072</v>
      </c>
      <c r="T54" s="19">
        <v>10</v>
      </c>
      <c r="U54" s="147">
        <v>0</v>
      </c>
      <c r="V54" s="147">
        <v>0</v>
      </c>
      <c r="W54" s="147"/>
      <c r="X54" s="147">
        <f t="shared" si="1"/>
        <v>0</v>
      </c>
      <c r="Y54" s="147">
        <v>40</v>
      </c>
      <c r="Z54" s="147">
        <f>SUMIFS(orderbook[Bal to Desp],orderbook[key],Table29[[#This Row],[Key]])</f>
        <v>0</v>
      </c>
      <c r="AA54" s="500">
        <f>Table29[[#This Row],[order logg ]]-Table29[[#This Row],[check from 17092025 orderbook sent by ashish]]</f>
        <v>40</v>
      </c>
      <c r="AB54" s="147">
        <f t="shared" si="7"/>
        <v>40</v>
      </c>
      <c r="AC54" s="19">
        <f t="shared" si="8"/>
        <v>-30</v>
      </c>
      <c r="AD54" s="387">
        <f>IF(AC54&gt;0,AC54,0)*150%+Table29[[#This Row],[GAP of order log and 17092025 orderbook]]</f>
        <v>40</v>
      </c>
      <c r="AE54" s="147">
        <f>ROUND(SUMIFS(meghsteelsales_previousmonth[Quantity],meghsteelsales_previousmonth[Length Bucket],Table29[[#This Row],[Bucket CTL]])/1000,0)</f>
        <v>0</v>
      </c>
      <c r="AF54" s="147">
        <f>ROUND(SUMIFS(meghsteelsales_currentmonth[Quantity],meghsteelsales_currentmonth[Length Bucket],Table29[[#This Row],[Bucket CTL]])/1000,0)</f>
        <v>0</v>
      </c>
    </row>
    <row r="55" spans="1:32" x14ac:dyDescent="0.25">
      <c r="A55" s="147" t="s">
        <v>5</v>
      </c>
      <c r="B55" s="265">
        <v>943211</v>
      </c>
      <c r="C55" s="265" t="s">
        <v>359</v>
      </c>
      <c r="D55" s="153" t="s">
        <v>338</v>
      </c>
      <c r="E55" s="147" t="s">
        <v>348</v>
      </c>
      <c r="F55" s="147" t="s">
        <v>340</v>
      </c>
      <c r="G55" s="148">
        <v>48</v>
      </c>
      <c r="H55" s="148"/>
      <c r="I55" s="148">
        <v>1.2</v>
      </c>
      <c r="J55" s="147">
        <v>650</v>
      </c>
      <c r="K55" s="147">
        <v>0.65</v>
      </c>
      <c r="L55" s="147" t="str">
        <f t="shared" si="0"/>
        <v>481.20.65ERWFIN CUT</v>
      </c>
      <c r="M55" s="151" t="s">
        <v>345</v>
      </c>
      <c r="N55" s="150">
        <v>3649700</v>
      </c>
      <c r="O55" s="150" t="s">
        <v>6198</v>
      </c>
      <c r="P55" s="150" t="s">
        <v>2277</v>
      </c>
      <c r="Q55" s="150">
        <v>0</v>
      </c>
      <c r="R55" s="150" t="s">
        <v>345</v>
      </c>
      <c r="S55" s="150">
        <v>2397060</v>
      </c>
      <c r="T55" s="19">
        <v>14</v>
      </c>
      <c r="U55" s="147">
        <v>0</v>
      </c>
      <c r="V55" s="147">
        <v>0</v>
      </c>
      <c r="W55" s="147"/>
      <c r="X55" s="147">
        <f t="shared" si="1"/>
        <v>0</v>
      </c>
      <c r="Y55" s="147">
        <v>36</v>
      </c>
      <c r="Z55" s="147">
        <f>SUMIFS(orderbook[Bal to Desp],orderbook[key],Table29[[#This Row],[Key]])</f>
        <v>0</v>
      </c>
      <c r="AA55" s="500">
        <f>Table29[[#This Row],[order logg ]]-Table29[[#This Row],[check from 17092025 orderbook sent by ashish]]</f>
        <v>36</v>
      </c>
      <c r="AB55" s="147">
        <f t="shared" si="7"/>
        <v>36</v>
      </c>
      <c r="AC55" s="19">
        <f t="shared" si="8"/>
        <v>-22</v>
      </c>
      <c r="AD55" s="387">
        <f>IF(AC55&gt;0,AC55,0)*150%+Table29[[#This Row],[GAP of order log and 17092025 orderbook]]</f>
        <v>36</v>
      </c>
      <c r="AE55" s="147">
        <f>ROUND(SUMIFS(meghsteelsales_previousmonth[Quantity],meghsteelsales_previousmonth[Length Bucket],Table29[[#This Row],[Bucket CTL]])/1000,0)</f>
        <v>0</v>
      </c>
      <c r="AF55" s="147">
        <f>ROUND(SUMIFS(meghsteelsales_currentmonth[Quantity],meghsteelsales_currentmonth[Length Bucket],Table29[[#This Row],[Bucket CTL]])/1000,0)</f>
        <v>0</v>
      </c>
    </row>
    <row r="56" spans="1:32" x14ac:dyDescent="0.25">
      <c r="A56" s="147" t="s">
        <v>341</v>
      </c>
      <c r="B56" s="265">
        <v>943210</v>
      </c>
      <c r="C56" s="265" t="s">
        <v>342</v>
      </c>
      <c r="D56" s="153" t="s">
        <v>344</v>
      </c>
      <c r="E56" s="147" t="s">
        <v>348</v>
      </c>
      <c r="F56" s="147" t="s">
        <v>349</v>
      </c>
      <c r="G56" s="148">
        <v>48.6</v>
      </c>
      <c r="H56" s="148"/>
      <c r="I56" s="148">
        <v>2</v>
      </c>
      <c r="J56" s="147">
        <v>6270</v>
      </c>
      <c r="K56" s="147">
        <v>6.27</v>
      </c>
      <c r="L56" s="147" t="str">
        <f t="shared" si="0"/>
        <v>48.626.27HSTFIN CUT</v>
      </c>
      <c r="M56" s="149"/>
      <c r="N56" s="150">
        <v>3502301</v>
      </c>
      <c r="O56" s="150" t="s">
        <v>6154</v>
      </c>
      <c r="P56" s="150" t="s">
        <v>6154</v>
      </c>
      <c r="Q56" s="150">
        <v>0</v>
      </c>
      <c r="R56" s="150" t="s">
        <v>367</v>
      </c>
      <c r="S56" s="150">
        <v>3502301</v>
      </c>
      <c r="T56" s="19">
        <v>10</v>
      </c>
      <c r="U56" s="147">
        <v>2</v>
      </c>
      <c r="V56" s="147">
        <v>40</v>
      </c>
      <c r="W56" s="147"/>
      <c r="X56" s="147">
        <f t="shared" si="1"/>
        <v>38</v>
      </c>
      <c r="Y56" s="147">
        <v>0</v>
      </c>
      <c r="Z56" s="147">
        <f>SUMIFS(orderbook[Bal to Desp],orderbook[key],Table29[[#This Row],[Key]])</f>
        <v>0</v>
      </c>
      <c r="AA56" s="147">
        <f>Table29[[#This Row],[order logg ]]-Table29[[#This Row],[check from 17092025 orderbook sent by ashish]]</f>
        <v>0</v>
      </c>
      <c r="AB56" s="147">
        <f t="shared" si="7"/>
        <v>38</v>
      </c>
      <c r="AC56" s="19">
        <f t="shared" si="8"/>
        <v>-28</v>
      </c>
      <c r="AD56" s="387">
        <f t="shared" si="4"/>
        <v>0</v>
      </c>
      <c r="AE56" s="147">
        <f>ROUND(SUMIFS(meghsteelsales_previousmonth[Quantity],meghsteelsales_previousmonth[Length Bucket],Table29[[#This Row],[Bucket CTL]])/1000,0)</f>
        <v>0</v>
      </c>
      <c r="AF56" s="147">
        <f>ROUND(SUMIFS(meghsteelsales_currentmonth[Quantity],meghsteelsales_currentmonth[Length Bucket],Table29[[#This Row],[Bucket CTL]])/1000,0)</f>
        <v>0</v>
      </c>
    </row>
    <row r="57" spans="1:32" x14ac:dyDescent="0.25">
      <c r="A57" s="147" t="s">
        <v>341</v>
      </c>
      <c r="B57" s="265">
        <v>943210</v>
      </c>
      <c r="C57" s="265" t="s">
        <v>342</v>
      </c>
      <c r="D57" s="153" t="s">
        <v>344</v>
      </c>
      <c r="E57" s="147" t="s">
        <v>348</v>
      </c>
      <c r="F57" s="147" t="s">
        <v>349</v>
      </c>
      <c r="G57" s="148">
        <v>48.6</v>
      </c>
      <c r="H57" s="148"/>
      <c r="I57" s="148">
        <v>2.2999999999999998</v>
      </c>
      <c r="J57" s="147">
        <v>6270</v>
      </c>
      <c r="K57" s="147">
        <v>6.27</v>
      </c>
      <c r="L57" s="147" t="str">
        <f t="shared" si="0"/>
        <v>48.62.36.27HSTFIN CUT</v>
      </c>
      <c r="M57" s="149"/>
      <c r="N57" s="150">
        <v>3549720</v>
      </c>
      <c r="O57" s="150" t="s">
        <v>6200</v>
      </c>
      <c r="P57" s="150" t="s">
        <v>6201</v>
      </c>
      <c r="Q57" s="150">
        <v>0</v>
      </c>
      <c r="R57" s="150" t="s">
        <v>367</v>
      </c>
      <c r="S57" s="150">
        <v>3549720</v>
      </c>
      <c r="T57" s="19">
        <v>10</v>
      </c>
      <c r="U57" s="147">
        <v>0</v>
      </c>
      <c r="V57" s="147">
        <v>0</v>
      </c>
      <c r="W57" s="147"/>
      <c r="X57" s="147">
        <f t="shared" si="1"/>
        <v>0</v>
      </c>
      <c r="Y57" s="147">
        <v>9</v>
      </c>
      <c r="Z57" s="147">
        <f>SUMIFS(orderbook[Bal to Desp],orderbook[key],Table29[[#This Row],[Key]])</f>
        <v>23.495000000000001</v>
      </c>
      <c r="AA57" s="500">
        <f>Table29[[#This Row],[order logg ]]-Table29[[#This Row],[check from 17092025 orderbook sent by ashish]]</f>
        <v>-14.495000000000001</v>
      </c>
      <c r="AB57" s="147">
        <f t="shared" si="7"/>
        <v>9</v>
      </c>
      <c r="AC57" s="19">
        <f t="shared" si="8"/>
        <v>1</v>
      </c>
      <c r="AD57" s="387">
        <v>0</v>
      </c>
      <c r="AE57" s="147">
        <f>ROUND(SUMIFS(meghsteelsales_previousmonth[Quantity],meghsteelsales_previousmonth[Length Bucket],Table29[[#This Row],[Bucket CTL]])/1000,0)</f>
        <v>0</v>
      </c>
      <c r="AF57" s="147">
        <f>ROUND(SUMIFS(meghsteelsales_currentmonth[Quantity],meghsteelsales_currentmonth[Length Bucket],Table29[[#This Row],[Bucket CTL]])/1000,0)</f>
        <v>0</v>
      </c>
    </row>
    <row r="58" spans="1:32" x14ac:dyDescent="0.25">
      <c r="A58" s="147" t="s">
        <v>341</v>
      </c>
      <c r="B58" s="265">
        <v>943210</v>
      </c>
      <c r="C58" s="265" t="s">
        <v>342</v>
      </c>
      <c r="D58" s="153" t="s">
        <v>338</v>
      </c>
      <c r="E58" s="147" t="s">
        <v>348</v>
      </c>
      <c r="F58" s="147" t="s">
        <v>340</v>
      </c>
      <c r="G58" s="148">
        <v>48.6</v>
      </c>
      <c r="H58" s="148"/>
      <c r="I58" s="148">
        <v>3.5</v>
      </c>
      <c r="J58" s="147">
        <v>6000</v>
      </c>
      <c r="K58" s="147">
        <v>6</v>
      </c>
      <c r="L58" s="147" t="str">
        <f t="shared" si="0"/>
        <v>48.63.56ERWFIN CUT</v>
      </c>
      <c r="M58" s="149"/>
      <c r="N58" s="150">
        <v>3502422</v>
      </c>
      <c r="O58" s="150" t="s">
        <v>712</v>
      </c>
      <c r="P58" s="150" t="s">
        <v>6202</v>
      </c>
      <c r="Q58" s="150">
        <v>0</v>
      </c>
      <c r="R58" s="150" t="s">
        <v>345</v>
      </c>
      <c r="S58" s="150">
        <v>3502422</v>
      </c>
      <c r="T58" s="19">
        <v>25</v>
      </c>
      <c r="U58" s="147">
        <v>5</v>
      </c>
      <c r="V58" s="147">
        <v>5</v>
      </c>
      <c r="W58" s="147"/>
      <c r="X58" s="147">
        <f t="shared" si="1"/>
        <v>0</v>
      </c>
      <c r="Y58" s="147">
        <v>28.5</v>
      </c>
      <c r="Z58" s="147">
        <f>SUMIFS(orderbook[Bal to Desp],orderbook[key],Table29[[#This Row],[Key]])</f>
        <v>0</v>
      </c>
      <c r="AA58" s="500">
        <f>Table29[[#This Row],[order logg ]]-Table29[[#This Row],[check from 17092025 orderbook sent by ashish]]</f>
        <v>28.5</v>
      </c>
      <c r="AB58" s="147">
        <f t="shared" si="7"/>
        <v>28.5</v>
      </c>
      <c r="AC58" s="19">
        <f t="shared" si="8"/>
        <v>-3.5</v>
      </c>
      <c r="AD58" s="387">
        <f>IF(AC58&gt;0,AC58,0)*150%+Table29[[#This Row],[GAP of order log and 17092025 orderbook]]</f>
        <v>28.5</v>
      </c>
      <c r="AE58" s="147">
        <f>ROUND(SUMIFS(meghsteelsales_previousmonth[Quantity],meghsteelsales_previousmonth[Length Bucket],Table29[[#This Row],[Bucket CTL]])/1000,0)</f>
        <v>3</v>
      </c>
      <c r="AF58" s="147">
        <f>ROUND(SUMIFS(meghsteelsales_currentmonth[Quantity],meghsteelsales_currentmonth[Length Bucket],Table29[[#This Row],[Bucket CTL]])/1000,0)</f>
        <v>14</v>
      </c>
    </row>
    <row r="59" spans="1:32" x14ac:dyDescent="0.25">
      <c r="A59" s="147" t="s">
        <v>10</v>
      </c>
      <c r="B59" s="491">
        <v>943209</v>
      </c>
      <c r="C59" s="265" t="s">
        <v>116</v>
      </c>
      <c r="D59" s="153" t="s">
        <v>338</v>
      </c>
      <c r="E59" s="147" t="s">
        <v>348</v>
      </c>
      <c r="F59" s="147" t="s">
        <v>340</v>
      </c>
      <c r="G59" s="168" t="s">
        <v>368</v>
      </c>
      <c r="H59" s="168"/>
      <c r="I59" s="168">
        <v>1.6</v>
      </c>
      <c r="J59" s="147">
        <v>6000</v>
      </c>
      <c r="K59" s="147">
        <v>6</v>
      </c>
      <c r="L59" s="147" t="str">
        <f t="shared" si="0"/>
        <v>59x301.66ERWFIN CUT</v>
      </c>
      <c r="M59" s="151" t="s">
        <v>345</v>
      </c>
      <c r="N59" s="150"/>
      <c r="O59" s="150" t="s">
        <v>568</v>
      </c>
      <c r="P59" s="150" t="s">
        <v>6203</v>
      </c>
      <c r="Q59" s="150">
        <v>0</v>
      </c>
      <c r="R59" s="150" t="s">
        <v>345</v>
      </c>
      <c r="S59" s="150">
        <v>1940925</v>
      </c>
      <c r="T59" s="19">
        <v>5</v>
      </c>
      <c r="U59" s="147">
        <v>0</v>
      </c>
      <c r="V59" s="147">
        <v>0</v>
      </c>
      <c r="W59" s="147"/>
      <c r="X59" s="147">
        <f t="shared" si="1"/>
        <v>0</v>
      </c>
      <c r="Y59" s="147">
        <v>10.5</v>
      </c>
      <c r="Z59" s="147">
        <f>SUMIFS(orderbook[Bal to Desp],orderbook[key],Table29[[#This Row],[Key]])</f>
        <v>0</v>
      </c>
      <c r="AA59" s="500">
        <f>Table29[[#This Row],[order logg ]]-Table29[[#This Row],[check from 17092025 orderbook sent by ashish]]</f>
        <v>10.5</v>
      </c>
      <c r="AB59" s="147">
        <f t="shared" si="7"/>
        <v>10.5</v>
      </c>
      <c r="AC59" s="19">
        <f t="shared" si="8"/>
        <v>-5.5</v>
      </c>
      <c r="AD59" s="387">
        <f>IF(AC59&gt;0,AC59,0)*150%+Table29[[#This Row],[GAP of order log and 17092025 orderbook]]</f>
        <v>10.5</v>
      </c>
      <c r="AE59" s="147">
        <f>ROUND(SUMIFS(meghsteelsales_previousmonth[Quantity],meghsteelsales_previousmonth[Length Bucket],Table29[[#This Row],[Bucket CTL]])/1000,0)</f>
        <v>5</v>
      </c>
      <c r="AF59" s="147">
        <f>ROUND(SUMIFS(meghsteelsales_currentmonth[Quantity],meghsteelsales_currentmonth[Length Bucket],Table29[[#This Row],[Bucket CTL]])/1000,0)</f>
        <v>0</v>
      </c>
    </row>
    <row r="60" spans="1:32" x14ac:dyDescent="0.25">
      <c r="A60" s="147" t="s">
        <v>5</v>
      </c>
      <c r="B60" s="265">
        <v>943211</v>
      </c>
      <c r="C60" s="265" t="s">
        <v>369</v>
      </c>
      <c r="D60" s="153" t="s">
        <v>338</v>
      </c>
      <c r="E60" s="147" t="s">
        <v>348</v>
      </c>
      <c r="F60" s="147" t="s">
        <v>340</v>
      </c>
      <c r="G60" s="168" t="s">
        <v>368</v>
      </c>
      <c r="H60" s="168"/>
      <c r="I60" s="168">
        <v>1.6</v>
      </c>
      <c r="J60" s="169">
        <v>572.5</v>
      </c>
      <c r="K60" s="147">
        <v>0.57250000000000001</v>
      </c>
      <c r="L60" s="147" t="str">
        <f t="shared" si="0"/>
        <v>59x301.60.5725ERWFIN CUT</v>
      </c>
      <c r="M60" s="151" t="s">
        <v>345</v>
      </c>
      <c r="N60" s="150">
        <v>2420716</v>
      </c>
      <c r="O60" s="150" t="s">
        <v>568</v>
      </c>
      <c r="P60" s="150" t="s">
        <v>6204</v>
      </c>
      <c r="Q60" s="150">
        <v>0</v>
      </c>
      <c r="R60" s="150" t="s">
        <v>345</v>
      </c>
      <c r="S60" s="150">
        <v>2420716</v>
      </c>
      <c r="T60" s="19">
        <v>40</v>
      </c>
      <c r="U60" s="147">
        <v>0</v>
      </c>
      <c r="V60" s="147">
        <v>0</v>
      </c>
      <c r="W60" s="147"/>
      <c r="X60" s="147">
        <f t="shared" si="1"/>
        <v>0</v>
      </c>
      <c r="Y60" s="147">
        <v>115</v>
      </c>
      <c r="Z60" s="147">
        <f>SUMIFS(orderbook[Bal to Desp],orderbook[key],Table29[[#This Row],[Key]])</f>
        <v>0</v>
      </c>
      <c r="AA60" s="500">
        <f>Table29[[#This Row],[order logg ]]-Table29[[#This Row],[check from 17092025 orderbook sent by ashish]]</f>
        <v>115</v>
      </c>
      <c r="AB60" s="147">
        <f t="shared" si="7"/>
        <v>115</v>
      </c>
      <c r="AC60" s="19">
        <f t="shared" si="8"/>
        <v>-75</v>
      </c>
      <c r="AD60" s="387">
        <v>50</v>
      </c>
      <c r="AE60" s="147">
        <f>ROUND(SUMIFS(meghsteelsales_previousmonth[Quantity],meghsteelsales_previousmonth[Length Bucket],Table29[[#This Row],[Bucket CTL]])/1000,0)</f>
        <v>9</v>
      </c>
      <c r="AF60" s="147">
        <f>ROUND(SUMIFS(meghsteelsales_currentmonth[Quantity],meghsteelsales_currentmonth[Length Bucket],Table29[[#This Row],[Bucket CTL]])/1000,0)</f>
        <v>0</v>
      </c>
    </row>
    <row r="61" spans="1:32" x14ac:dyDescent="0.25">
      <c r="A61" s="147" t="s">
        <v>5</v>
      </c>
      <c r="B61" s="265">
        <v>943211</v>
      </c>
      <c r="C61" s="265" t="s">
        <v>358</v>
      </c>
      <c r="D61" s="153" t="s">
        <v>338</v>
      </c>
      <c r="E61" s="147" t="s">
        <v>348</v>
      </c>
      <c r="F61" s="147" t="s">
        <v>340</v>
      </c>
      <c r="G61" s="168" t="s">
        <v>370</v>
      </c>
      <c r="H61" s="168"/>
      <c r="I61" s="168">
        <v>1.6</v>
      </c>
      <c r="J61" s="169">
        <v>6040</v>
      </c>
      <c r="K61" s="147">
        <v>6.04</v>
      </c>
      <c r="L61" s="147" t="str">
        <f t="shared" si="0"/>
        <v>50X501.66.04ERWFIN CUT</v>
      </c>
      <c r="M61" s="151"/>
      <c r="N61" s="150"/>
      <c r="O61" s="150" t="e">
        <v>#N/A</v>
      </c>
      <c r="P61" s="150" t="e">
        <v>#N/A</v>
      </c>
      <c r="Q61" s="150">
        <v>0</v>
      </c>
      <c r="R61" s="501" t="s">
        <v>362</v>
      </c>
      <c r="S61" s="150">
        <v>3500641</v>
      </c>
      <c r="T61" s="19">
        <v>10</v>
      </c>
      <c r="U61" s="147">
        <v>0</v>
      </c>
      <c r="V61" s="147">
        <v>0</v>
      </c>
      <c r="W61" s="147"/>
      <c r="X61" s="147">
        <f t="shared" si="1"/>
        <v>0</v>
      </c>
      <c r="Y61" s="147">
        <v>20</v>
      </c>
      <c r="Z61" s="147">
        <f>SUMIFS(orderbook[Bal to Desp],orderbook[key],Table29[[#This Row],[Key]])</f>
        <v>0</v>
      </c>
      <c r="AA61" s="500">
        <f>Table29[[#This Row],[order logg ]]-Table29[[#This Row],[check from 17092025 orderbook sent by ashish]]</f>
        <v>20</v>
      </c>
      <c r="AB61" s="147">
        <f t="shared" si="7"/>
        <v>20</v>
      </c>
      <c r="AC61" s="19">
        <f t="shared" si="8"/>
        <v>-10</v>
      </c>
      <c r="AD61" s="387">
        <f>IF(AC61&gt;0,AC61,0)*150%+Table29[[#This Row],[GAP of order log and 17092025 orderbook]]</f>
        <v>20</v>
      </c>
      <c r="AE61" s="147">
        <f>ROUND(SUMIFS(meghsteelsales_previousmonth[Quantity],meghsteelsales_previousmonth[Length Bucket],Table29[[#This Row],[Bucket CTL]])/1000,0)</f>
        <v>0</v>
      </c>
      <c r="AF61" s="147">
        <f>ROUND(SUMIFS(meghsteelsales_currentmonth[Quantity],meghsteelsales_currentmonth[Length Bucket],Table29[[#This Row],[Bucket CTL]])/1000,0)</f>
        <v>0</v>
      </c>
    </row>
    <row r="62" spans="1:32" x14ac:dyDescent="0.25">
      <c r="A62" s="147" t="s">
        <v>5</v>
      </c>
      <c r="B62" s="265">
        <v>943211</v>
      </c>
      <c r="C62" s="265" t="s">
        <v>358</v>
      </c>
      <c r="D62" s="153" t="s">
        <v>338</v>
      </c>
      <c r="E62" s="147" t="s">
        <v>348</v>
      </c>
      <c r="F62" s="147" t="s">
        <v>340</v>
      </c>
      <c r="G62" s="168">
        <v>50.8</v>
      </c>
      <c r="H62" s="168"/>
      <c r="I62" s="168">
        <v>2.6</v>
      </c>
      <c r="J62" s="169">
        <v>6000</v>
      </c>
      <c r="K62" s="147">
        <v>6</v>
      </c>
      <c r="L62" s="147" t="str">
        <f t="shared" si="0"/>
        <v>50.82.66ERWFIN CUT</v>
      </c>
      <c r="M62" s="151" t="s">
        <v>1123</v>
      </c>
      <c r="N62" s="150"/>
      <c r="O62" s="150" t="e">
        <v>#N/A</v>
      </c>
      <c r="P62" s="150" t="e">
        <v>#N/A</v>
      </c>
      <c r="Q62" s="150">
        <v>0</v>
      </c>
      <c r="R62" s="150" t="s">
        <v>367</v>
      </c>
      <c r="S62" s="150">
        <v>3518437</v>
      </c>
      <c r="T62" s="19">
        <v>5</v>
      </c>
      <c r="U62" s="147">
        <v>0</v>
      </c>
      <c r="V62" s="147">
        <v>0</v>
      </c>
      <c r="W62" s="147"/>
      <c r="X62" s="147">
        <f t="shared" si="1"/>
        <v>0</v>
      </c>
      <c r="Y62" s="147">
        <v>5</v>
      </c>
      <c r="Z62" s="147">
        <f>SUMIFS(orderbook[Bal to Desp],orderbook[key],Table29[[#This Row],[Key]])</f>
        <v>2.645</v>
      </c>
      <c r="AA62" s="500">
        <f>Table29[[#This Row],[order logg ]]-Table29[[#This Row],[check from 17092025 orderbook sent by ashish]]</f>
        <v>2.355</v>
      </c>
      <c r="AB62" s="147">
        <v>0</v>
      </c>
      <c r="AC62" s="19">
        <v>5</v>
      </c>
      <c r="AD62" s="387">
        <f>IF(AC62&gt;0,AC62,0)*150%+Table29[[#This Row],[GAP of order log and 17092025 orderbook]]</f>
        <v>9.8550000000000004</v>
      </c>
      <c r="AE62" s="147">
        <f>ROUND(SUMIFS(meghsteelsales_previousmonth[Quantity],meghsteelsales_previousmonth[Length Bucket],Table29[[#This Row],[Bucket CTL]])/1000,0)</f>
        <v>0</v>
      </c>
      <c r="AF62" s="147">
        <f>ROUND(SUMIFS(meghsteelsales_currentmonth[Quantity],meghsteelsales_currentmonth[Length Bucket],Table29[[#This Row],[Bucket CTL]])/1000,0)</f>
        <v>0</v>
      </c>
    </row>
    <row r="63" spans="1:32" x14ac:dyDescent="0.25">
      <c r="A63" s="147" t="s">
        <v>5</v>
      </c>
      <c r="B63" s="265">
        <v>943211</v>
      </c>
      <c r="C63" s="265" t="s">
        <v>358</v>
      </c>
      <c r="D63" s="153" t="s">
        <v>366</v>
      </c>
      <c r="E63" s="147" t="s">
        <v>348</v>
      </c>
      <c r="F63" s="147" t="s">
        <v>357</v>
      </c>
      <c r="G63" s="168">
        <v>50.8</v>
      </c>
      <c r="H63" s="168">
        <v>45.6</v>
      </c>
      <c r="I63" s="168">
        <v>2.6</v>
      </c>
      <c r="J63" s="169">
        <v>6000</v>
      </c>
      <c r="K63" s="147">
        <v>6</v>
      </c>
      <c r="L63" s="147" t="str">
        <f t="shared" si="0"/>
        <v>50.82.66CEWFIN CUT</v>
      </c>
      <c r="M63" s="151"/>
      <c r="N63" s="150"/>
      <c r="O63" s="150" t="e">
        <v>#N/A</v>
      </c>
      <c r="P63" s="150" t="e">
        <v>#N/A</v>
      </c>
      <c r="Q63" s="150">
        <v>0</v>
      </c>
      <c r="R63" s="150" t="s">
        <v>367</v>
      </c>
      <c r="S63" s="150">
        <v>3500695</v>
      </c>
      <c r="T63" s="19">
        <v>5</v>
      </c>
      <c r="U63" s="147">
        <v>0</v>
      </c>
      <c r="V63" s="147">
        <v>4</v>
      </c>
      <c r="W63" s="147"/>
      <c r="X63" s="147">
        <f t="shared" si="1"/>
        <v>4</v>
      </c>
      <c r="Y63" s="147">
        <v>5</v>
      </c>
      <c r="Z63" s="147">
        <f>SUMIFS(orderbook[Bal to Desp],orderbook[key],Table29[[#This Row],[Key]])</f>
        <v>9.5150000000000006</v>
      </c>
      <c r="AA63" s="500">
        <f>Table29[[#This Row],[order logg ]]-Table29[[#This Row],[check from 17092025 orderbook sent by ashish]]</f>
        <v>-4.5150000000000006</v>
      </c>
      <c r="AB63" s="147">
        <v>0</v>
      </c>
      <c r="AC63" s="19">
        <v>5</v>
      </c>
      <c r="AD63" s="387">
        <f t="shared" si="4"/>
        <v>7.5</v>
      </c>
      <c r="AE63" s="147">
        <f>ROUND(SUMIFS(meghsteelsales_previousmonth[Quantity],meghsteelsales_previousmonth[Length Bucket],Table29[[#This Row],[Bucket CTL]])/1000,0)</f>
        <v>0</v>
      </c>
      <c r="AF63" s="147">
        <f>ROUND(SUMIFS(meghsteelsales_currentmonth[Quantity],meghsteelsales_currentmonth[Length Bucket],Table29[[#This Row],[Bucket CTL]])/1000,0)</f>
        <v>0</v>
      </c>
    </row>
    <row r="64" spans="1:32" x14ac:dyDescent="0.25">
      <c r="A64" s="147" t="s">
        <v>10</v>
      </c>
      <c r="B64" s="491">
        <v>943209</v>
      </c>
      <c r="C64" s="265" t="s">
        <v>346</v>
      </c>
      <c r="D64" s="153" t="s">
        <v>338</v>
      </c>
      <c r="E64" s="147" t="s">
        <v>348</v>
      </c>
      <c r="F64" s="147" t="s">
        <v>340</v>
      </c>
      <c r="G64" s="148">
        <v>57.15</v>
      </c>
      <c r="H64" s="148"/>
      <c r="I64" s="148">
        <v>2.5</v>
      </c>
      <c r="J64" s="147">
        <v>5710</v>
      </c>
      <c r="K64" s="147">
        <v>5.71</v>
      </c>
      <c r="L64" s="147" t="str">
        <f t="shared" si="0"/>
        <v>57.152.55.71ERWFIN CUT</v>
      </c>
      <c r="M64" s="151" t="s">
        <v>367</v>
      </c>
      <c r="N64" s="150">
        <v>3907863</v>
      </c>
      <c r="O64" s="150" t="s">
        <v>926</v>
      </c>
      <c r="P64" s="150" t="s">
        <v>6205</v>
      </c>
      <c r="Q64" s="150" t="s">
        <v>6272</v>
      </c>
      <c r="R64" s="150" t="s">
        <v>367</v>
      </c>
      <c r="S64" s="150">
        <v>3907863</v>
      </c>
      <c r="T64" s="19">
        <v>80</v>
      </c>
      <c r="U64" s="147">
        <v>49</v>
      </c>
      <c r="V64" s="147">
        <v>49</v>
      </c>
      <c r="W64" s="147">
        <v>0</v>
      </c>
      <c r="X64" s="147">
        <f t="shared" si="1"/>
        <v>0</v>
      </c>
      <c r="Y64" s="147">
        <v>192</v>
      </c>
      <c r="Z64" s="147">
        <f>SUMIFS(orderbook[Bal to Desp],orderbook[key],Table29[[#This Row],[Key]])</f>
        <v>138.14400000000001</v>
      </c>
      <c r="AA64" s="500">
        <f>Table29[[#This Row],[order logg ]]-Table29[[#This Row],[check from 17092025 orderbook sent by ashish]]</f>
        <v>53.855999999999995</v>
      </c>
      <c r="AB64" s="147">
        <f>X64+Y64</f>
        <v>192</v>
      </c>
      <c r="AC64" s="19">
        <f>T64-AB64</f>
        <v>-112</v>
      </c>
      <c r="AD64" s="387">
        <f>IF(AC64&gt;0,AC64,0)*150%+Table29[[#This Row],[GAP of order log and 17092025 orderbook]]</f>
        <v>53.855999999999995</v>
      </c>
      <c r="AE64" s="147">
        <f>ROUND(SUMIFS(meghsteelsales_previousmonth[Quantity],meghsteelsales_previousmonth[Length Bucket],Table29[[#This Row],[Bucket CTL]])/1000,0)</f>
        <v>16</v>
      </c>
      <c r="AF64" s="147">
        <f>ROUND(SUMIFS(meghsteelsales_currentmonth[Quantity],meghsteelsales_currentmonth[Length Bucket],Table29[[#This Row],[Bucket CTL]])/1000,0)</f>
        <v>207</v>
      </c>
    </row>
    <row r="65" spans="1:32" x14ac:dyDescent="0.25">
      <c r="A65" s="147" t="s">
        <v>10</v>
      </c>
      <c r="B65" s="491">
        <v>943209</v>
      </c>
      <c r="C65" s="265" t="s">
        <v>346</v>
      </c>
      <c r="D65" s="153" t="s">
        <v>338</v>
      </c>
      <c r="E65" s="147" t="s">
        <v>348</v>
      </c>
      <c r="F65" s="147" t="s">
        <v>340</v>
      </c>
      <c r="G65" s="148">
        <v>57.15</v>
      </c>
      <c r="H65" s="148"/>
      <c r="I65" s="148">
        <v>2.5</v>
      </c>
      <c r="J65" s="147">
        <v>5750</v>
      </c>
      <c r="K65" s="147">
        <v>5.75</v>
      </c>
      <c r="L65" s="147" t="str">
        <f t="shared" ref="L65:L68" si="9">_xlfn.CONCAT(G65,I65,K65,F65,E65)</f>
        <v>57.152.55.75ERWFIN CUT</v>
      </c>
      <c r="M65" s="151" t="s">
        <v>367</v>
      </c>
      <c r="N65" s="150"/>
      <c r="O65" s="150" t="e">
        <v>#N/A</v>
      </c>
      <c r="P65" s="150" t="e">
        <v>#N/A</v>
      </c>
      <c r="Q65" s="150" t="e">
        <v>#N/A</v>
      </c>
      <c r="R65" s="150" t="e">
        <v>#N/A</v>
      </c>
      <c r="S65" s="150" t="e">
        <v>#N/A</v>
      </c>
      <c r="T65" s="19">
        <v>20</v>
      </c>
      <c r="U65" s="147">
        <v>18</v>
      </c>
      <c r="V65" s="147">
        <v>18</v>
      </c>
      <c r="W65" s="147">
        <v>0</v>
      </c>
      <c r="X65" s="147">
        <f t="shared" si="1"/>
        <v>0</v>
      </c>
      <c r="Y65" s="147">
        <v>35</v>
      </c>
      <c r="Z65" s="147">
        <f>SUMIFS(orderbook[Bal to Desp],orderbook[key],Table29[[#This Row],[Key]])</f>
        <v>62.820999999999998</v>
      </c>
      <c r="AA65" s="500">
        <f>Table29[[#This Row],[order logg ]]-Table29[[#This Row],[check from 17092025 orderbook sent by ashish]]</f>
        <v>-27.820999999999998</v>
      </c>
      <c r="AB65" s="147">
        <f>X65+Y65</f>
        <v>35</v>
      </c>
      <c r="AC65" s="19">
        <f>T65-AB65</f>
        <v>-15</v>
      </c>
      <c r="AD65" s="387">
        <f t="shared" si="4"/>
        <v>0</v>
      </c>
      <c r="AE65" s="147">
        <f>ROUND(SUMIFS(meghsteelsales_previousmonth[Quantity],meghsteelsales_previousmonth[Length Bucket],Table29[[#This Row],[Bucket CTL]])/1000,0)</f>
        <v>0</v>
      </c>
      <c r="AF65" s="147">
        <f>ROUND(SUMIFS(meghsteelsales_currentmonth[Quantity],meghsteelsales_currentmonth[Length Bucket],Table29[[#This Row],[Bucket CTL]])/1000,0)</f>
        <v>0</v>
      </c>
    </row>
    <row r="66" spans="1:32" x14ac:dyDescent="0.25">
      <c r="A66" s="147" t="s">
        <v>10</v>
      </c>
      <c r="B66" s="491">
        <v>943209</v>
      </c>
      <c r="C66" s="265" t="s">
        <v>346</v>
      </c>
      <c r="D66" s="153" t="s">
        <v>338</v>
      </c>
      <c r="E66" s="147" t="s">
        <v>348</v>
      </c>
      <c r="F66" s="147" t="s">
        <v>340</v>
      </c>
      <c r="G66" s="148">
        <v>57.15</v>
      </c>
      <c r="H66" s="148"/>
      <c r="I66" s="148">
        <v>2.5</v>
      </c>
      <c r="J66" s="147">
        <v>6100</v>
      </c>
      <c r="K66" s="147">
        <v>6.1</v>
      </c>
      <c r="L66" s="147" t="str">
        <f t="shared" si="9"/>
        <v>57.152.56.1ERWFIN CUT</v>
      </c>
      <c r="M66" s="151" t="s">
        <v>367</v>
      </c>
      <c r="N66" s="150">
        <v>3910001</v>
      </c>
      <c r="O66" s="150" t="s">
        <v>926</v>
      </c>
      <c r="P66" s="150" t="s">
        <v>6206</v>
      </c>
      <c r="Q66" s="150" t="s">
        <v>6272</v>
      </c>
      <c r="R66" s="150" t="s">
        <v>367</v>
      </c>
      <c r="S66" s="150">
        <v>3910001</v>
      </c>
      <c r="T66" s="19">
        <v>80</v>
      </c>
      <c r="U66" s="147">
        <v>20</v>
      </c>
      <c r="V66" s="147">
        <v>26</v>
      </c>
      <c r="W66" s="147">
        <v>0</v>
      </c>
      <c r="X66" s="147">
        <f t="shared" si="1"/>
        <v>6</v>
      </c>
      <c r="Y66" s="147">
        <v>171</v>
      </c>
      <c r="Z66" s="147">
        <f>SUMIFS(orderbook[Bal to Desp],orderbook[key],Table29[[#This Row],[Key]])</f>
        <v>175.63800000000001</v>
      </c>
      <c r="AA66" s="500">
        <f>Table29[[#This Row],[order logg ]]-Table29[[#This Row],[check from 17092025 orderbook sent by ashish]]</f>
        <v>-4.6380000000000052</v>
      </c>
      <c r="AB66" s="147">
        <f>X66+Y66</f>
        <v>177</v>
      </c>
      <c r="AC66" s="19">
        <f>T66-AB66</f>
        <v>-97</v>
      </c>
      <c r="AD66" s="387">
        <f t="shared" ref="AD66:AD67" si="10">IF(AC66&gt;0,AC66,0)*150%</f>
        <v>0</v>
      </c>
      <c r="AE66" s="147">
        <f>ROUND(SUMIFS(meghsteelsales_previousmonth[Quantity],meghsteelsales_previousmonth[Length Bucket],Table29[[#This Row],[Bucket CTL]])/1000,0)</f>
        <v>0</v>
      </c>
      <c r="AF66" s="147">
        <f>ROUND(SUMIFS(meghsteelsales_currentmonth[Quantity],meghsteelsales_currentmonth[Length Bucket],Table29[[#This Row],[Bucket CTL]])/1000,0)</f>
        <v>52</v>
      </c>
    </row>
    <row r="67" spans="1:32" x14ac:dyDescent="0.25">
      <c r="A67" s="147" t="s">
        <v>341</v>
      </c>
      <c r="B67" s="265">
        <v>943210</v>
      </c>
      <c r="C67" s="265" t="s">
        <v>342</v>
      </c>
      <c r="D67" s="153" t="s">
        <v>338</v>
      </c>
      <c r="E67" s="147" t="s">
        <v>348</v>
      </c>
      <c r="F67" s="147" t="s">
        <v>340</v>
      </c>
      <c r="G67" s="148">
        <v>57.15</v>
      </c>
      <c r="H67" s="148"/>
      <c r="I67" s="148">
        <v>3</v>
      </c>
      <c r="J67" s="147">
        <v>5650</v>
      </c>
      <c r="K67" s="147">
        <v>5.65</v>
      </c>
      <c r="L67" s="147" t="str">
        <f t="shared" si="9"/>
        <v>57.1535.65ERWFIN CUT</v>
      </c>
      <c r="M67" s="151" t="s">
        <v>367</v>
      </c>
      <c r="N67" s="150">
        <v>3501105</v>
      </c>
      <c r="O67" s="150" t="s">
        <v>6278</v>
      </c>
      <c r="P67" s="150" t="s">
        <v>6279</v>
      </c>
      <c r="Q67" s="150">
        <v>0</v>
      </c>
      <c r="R67" s="150" t="s">
        <v>367</v>
      </c>
      <c r="S67" s="150">
        <v>3501105</v>
      </c>
      <c r="T67" s="19">
        <v>10</v>
      </c>
      <c r="U67" s="147">
        <v>0</v>
      </c>
      <c r="V67" s="147">
        <v>0</v>
      </c>
      <c r="W67" s="147"/>
      <c r="X67" s="147">
        <f t="shared" ref="X67:X68" si="11">V67-U67</f>
        <v>0</v>
      </c>
      <c r="Y67" s="147">
        <v>15</v>
      </c>
      <c r="Z67" s="147">
        <f>SUMIFS(orderbook[Bal to Desp],orderbook[key],Table29[[#This Row],[Key]])</f>
        <v>15</v>
      </c>
      <c r="AA67" s="147">
        <f>Table29[[#This Row],[order logg ]]-Table29[[#This Row],[check from 17092025 orderbook sent by ashish]]</f>
        <v>0</v>
      </c>
      <c r="AB67" s="147">
        <f>X67+Y67</f>
        <v>15</v>
      </c>
      <c r="AC67" s="19">
        <f>T67-AB67</f>
        <v>-5</v>
      </c>
      <c r="AD67" s="387">
        <f t="shared" si="10"/>
        <v>0</v>
      </c>
      <c r="AE67" s="147">
        <f>ROUND(SUMIFS(meghsteelsales_previousmonth[Quantity],meghsteelsales_previousmonth[Length Bucket],Table29[[#This Row],[Bucket CTL]])/1000,0)</f>
        <v>0</v>
      </c>
      <c r="AF67" s="147">
        <f>ROUND(SUMIFS(meghsteelsales_currentmonth[Quantity],meghsteelsales_currentmonth[Length Bucket],Table29[[#This Row],[Bucket CTL]])/1000,0)</f>
        <v>0</v>
      </c>
    </row>
    <row r="68" spans="1:32" x14ac:dyDescent="0.25">
      <c r="A68" s="285" t="s">
        <v>10</v>
      </c>
      <c r="B68" s="491">
        <v>943209</v>
      </c>
      <c r="C68" s="389" t="s">
        <v>112</v>
      </c>
      <c r="D68" s="390" t="s">
        <v>338</v>
      </c>
      <c r="E68" s="285" t="s">
        <v>348</v>
      </c>
      <c r="F68" s="285" t="s">
        <v>340</v>
      </c>
      <c r="G68" s="391">
        <v>60.3</v>
      </c>
      <c r="H68" s="391"/>
      <c r="I68" s="391">
        <v>2</v>
      </c>
      <c r="J68" s="285">
        <v>5900</v>
      </c>
      <c r="K68" s="285">
        <v>5.9</v>
      </c>
      <c r="L68" s="285" t="str">
        <f t="shared" si="9"/>
        <v>60.325.9ERWFIN CUT</v>
      </c>
      <c r="M68" s="480" t="s">
        <v>362</v>
      </c>
      <c r="N68" s="481"/>
      <c r="O68" s="481" t="s">
        <v>1070</v>
      </c>
      <c r="P68" s="481" t="s">
        <v>6208</v>
      </c>
      <c r="Q68" s="481" t="s">
        <v>6272</v>
      </c>
      <c r="R68" s="481" t="s">
        <v>362</v>
      </c>
      <c r="S68" s="481">
        <v>3905049</v>
      </c>
      <c r="T68" s="392">
        <v>30</v>
      </c>
      <c r="U68" s="285">
        <v>4</v>
      </c>
      <c r="V68" s="285">
        <v>25</v>
      </c>
      <c r="W68" s="285"/>
      <c r="X68" s="285">
        <f t="shared" si="11"/>
        <v>21</v>
      </c>
      <c r="Y68" s="285">
        <v>10.9</v>
      </c>
      <c r="Z68" s="147">
        <f>SUMIFS(orderbook[Bal to Desp],orderbook[key],Table29[[#This Row],[Key]])</f>
        <v>0</v>
      </c>
      <c r="AA68" s="500">
        <f>Table29[[#This Row],[order logg ]]-Table29[[#This Row],[check from 17092025 orderbook sent by ashish]]</f>
        <v>10.9</v>
      </c>
      <c r="AB68" s="285">
        <f>X68+Y68</f>
        <v>31.9</v>
      </c>
      <c r="AC68" s="392">
        <f>T68-AB68</f>
        <v>-1.8999999999999986</v>
      </c>
      <c r="AD68" s="387">
        <f>IF(AC68&gt;0,AC68,0)*150%+Table29[[#This Row],[GAP of order log and 17092025 orderbook]]</f>
        <v>10.9</v>
      </c>
      <c r="AE68" s="147">
        <f>ROUND(SUMIFS(meghsteelsales_previousmonth[Quantity],meghsteelsales_previousmonth[Length Bucket],Table29[[#This Row],[Bucket CTL]])/1000,0)</f>
        <v>42</v>
      </c>
      <c r="AF68" s="147">
        <f>ROUND(SUMIFS(meghsteelsales_currentmonth[Quantity],meghsteelsales_currentmonth[Length Bucket],Table29[[#This Row],[Bucket CTL]])/1000,0)</f>
        <v>15</v>
      </c>
    </row>
    <row r="69" spans="1:32" x14ac:dyDescent="0.25">
      <c r="I69" s="152" t="s">
        <v>372</v>
      </c>
      <c r="J69" s="152"/>
      <c r="K69" s="152"/>
      <c r="L69" s="152"/>
      <c r="M69" s="197"/>
      <c r="N69" s="197"/>
      <c r="O69" s="197"/>
      <c r="P69" s="197"/>
      <c r="Q69" s="197"/>
      <c r="R69" s="197"/>
      <c r="S69" s="152">
        <f t="shared" ref="S69:X69" si="12">SUM(T2:T68)</f>
        <v>1300</v>
      </c>
      <c r="T69" s="152">
        <f t="shared" si="12"/>
        <v>333</v>
      </c>
      <c r="U69" s="152">
        <f t="shared" si="12"/>
        <v>701.9</v>
      </c>
      <c r="V69" s="152">
        <f t="shared" si="12"/>
        <v>63</v>
      </c>
      <c r="W69" s="152">
        <f t="shared" si="12"/>
        <v>368.9</v>
      </c>
      <c r="X69" s="152">
        <f t="shared" si="12"/>
        <v>1744.9</v>
      </c>
      <c r="Y69" s="152">
        <f>SUM(AB2:AB68)</f>
        <v>2089.8000000000002</v>
      </c>
      <c r="Z69" s="152">
        <f>SUM(AC2:AC68)</f>
        <v>-799.8</v>
      </c>
      <c r="AA69" s="152"/>
      <c r="AB69" s="172">
        <f>SUM(AD2:AD68)</f>
        <v>966.59699999999998</v>
      </c>
      <c r="AC69" s="15">
        <f>SUM(AE2:AE68)</f>
        <v>655</v>
      </c>
      <c r="AD69" s="15">
        <f>SUM(AF2:AF68)</f>
        <v>678</v>
      </c>
    </row>
    <row r="70" spans="1:32" x14ac:dyDescent="0.25">
      <c r="M70" s="198"/>
      <c r="N70" s="198"/>
      <c r="O70" s="198"/>
      <c r="P70" s="198"/>
      <c r="Q70" s="198"/>
      <c r="R70" s="198"/>
      <c r="Z70"/>
      <c r="AA70"/>
      <c r="AB70" s="173"/>
    </row>
    <row r="71" spans="1:32" x14ac:dyDescent="0.25">
      <c r="M71" s="198"/>
      <c r="N71" s="198"/>
      <c r="O71" s="198"/>
      <c r="P71" s="198"/>
      <c r="Q71" s="198"/>
      <c r="R71" s="198"/>
      <c r="Z71"/>
      <c r="AA71"/>
      <c r="AB71" s="173"/>
    </row>
    <row r="72" spans="1:32" x14ac:dyDescent="0.25">
      <c r="A72" t="s">
        <v>6422</v>
      </c>
      <c r="M72" s="198"/>
      <c r="N72" s="198"/>
      <c r="O72" s="198"/>
      <c r="P72" s="198"/>
      <c r="Q72" s="198"/>
      <c r="R72" s="198"/>
      <c r="Z72"/>
      <c r="AA72"/>
      <c r="AB72" s="173"/>
    </row>
    <row r="73" spans="1:32" x14ac:dyDescent="0.25">
      <c r="A73" t="str" cm="1">
        <f t="array" ref="A73:A74">_xlfn._xlws.FILTER(L2:L68,ISNA(_xlfn.XMATCH(L2:L68,Table5[Key])))</f>
        <v>18.216ERWNON FIN</v>
      </c>
      <c r="M73" s="198"/>
      <c r="N73" s="198"/>
      <c r="O73" s="198"/>
      <c r="P73" s="198"/>
      <c r="Q73" s="198"/>
      <c r="R73" s="198"/>
      <c r="Z73"/>
      <c r="AA73"/>
      <c r="AB73" s="173"/>
    </row>
    <row r="74" spans="1:32" x14ac:dyDescent="0.25">
      <c r="A74" t="str">
        <v>481.20.65ERWFIN CUT</v>
      </c>
      <c r="M74" s="198"/>
      <c r="N74" s="198"/>
      <c r="O74" s="198"/>
      <c r="P74" s="198"/>
      <c r="Q74" s="198"/>
      <c r="R74" s="198"/>
      <c r="Z74"/>
      <c r="AA74"/>
      <c r="AB74" s="173"/>
    </row>
    <row r="75" spans="1:32" x14ac:dyDescent="0.25">
      <c r="A75" s="476" t="s">
        <v>6423</v>
      </c>
      <c r="B75" s="426" t="s">
        <v>6424</v>
      </c>
      <c r="C75" s="426" t="s">
        <v>6425</v>
      </c>
      <c r="D75" s="426" t="s">
        <v>2502</v>
      </c>
      <c r="E75" s="426" t="s">
        <v>6426</v>
      </c>
      <c r="F75" s="426" t="s">
        <v>6427</v>
      </c>
      <c r="G75" s="426" t="s">
        <v>6428</v>
      </c>
      <c r="H75" s="426" t="s">
        <v>6429</v>
      </c>
      <c r="I75" s="426" t="s">
        <v>6430</v>
      </c>
      <c r="J75" s="426" t="s">
        <v>5918</v>
      </c>
      <c r="K75" s="426" t="s">
        <v>6431</v>
      </c>
      <c r="L75" s="426" t="s">
        <v>6432</v>
      </c>
      <c r="M75" s="493" t="s">
        <v>6433</v>
      </c>
      <c r="N75" s="426" t="s">
        <v>6434</v>
      </c>
      <c r="O75" s="426" t="s">
        <v>6319</v>
      </c>
      <c r="P75" s="426" t="s">
        <v>6435</v>
      </c>
      <c r="Q75" s="494" t="s">
        <v>316</v>
      </c>
      <c r="R75" s="494" t="s">
        <v>6436</v>
      </c>
      <c r="S75" s="494" t="s">
        <v>318</v>
      </c>
      <c r="T75" s="495" t="s">
        <v>319</v>
      </c>
      <c r="U75" s="426" t="s">
        <v>6437</v>
      </c>
      <c r="V75" s="426" t="s">
        <v>6438</v>
      </c>
      <c r="W75" s="426" t="s">
        <v>6439</v>
      </c>
      <c r="X75" s="426" t="s">
        <v>6440</v>
      </c>
      <c r="Y75" s="475" t="s">
        <v>6441</v>
      </c>
      <c r="Z75"/>
      <c r="AA75"/>
      <c r="AB75" s="162"/>
      <c r="AC75" s="174"/>
    </row>
    <row r="76" spans="1:32" x14ac:dyDescent="0.25">
      <c r="A76" s="91" t="s">
        <v>367</v>
      </c>
      <c r="B76" s="15" t="s">
        <v>5966</v>
      </c>
      <c r="C76" s="15" t="s">
        <v>6442</v>
      </c>
      <c r="D76" s="15" t="s">
        <v>37</v>
      </c>
      <c r="E76" s="15" t="s">
        <v>6443</v>
      </c>
      <c r="F76" s="15" t="s">
        <v>5966</v>
      </c>
      <c r="G76" s="15">
        <v>78</v>
      </c>
      <c r="H76" s="15" t="s">
        <v>6444</v>
      </c>
      <c r="I76" s="15" t="s">
        <v>6445</v>
      </c>
      <c r="J76" s="15" t="str">
        <f>_xlfn.XLOOKUP(orderbook[[#This Row],[MATL_NO]],Table29[TSL Material Code3],Table29[Key])</f>
        <v>19.052.37ERWNON FIN</v>
      </c>
      <c r="K76" s="15">
        <v>3500582</v>
      </c>
      <c r="L76" s="15" t="s">
        <v>1423</v>
      </c>
      <c r="M76" s="477" t="s">
        <v>340</v>
      </c>
      <c r="N76" s="15" t="s">
        <v>6446</v>
      </c>
      <c r="O76" s="15" t="s">
        <v>3742</v>
      </c>
      <c r="P76" s="15" t="s">
        <v>2520</v>
      </c>
      <c r="Q76" s="478">
        <v>19.05</v>
      </c>
      <c r="R76" s="478">
        <v>0</v>
      </c>
      <c r="S76" s="478">
        <v>2.2999999999999998</v>
      </c>
      <c r="T76" s="479">
        <v>7</v>
      </c>
      <c r="U76" s="15" t="s">
        <v>6447</v>
      </c>
      <c r="V76" s="15" t="s">
        <v>6447</v>
      </c>
      <c r="W76" s="15">
        <v>20000</v>
      </c>
      <c r="X76" s="15" t="s">
        <v>392</v>
      </c>
      <c r="Y76" s="492">
        <v>1.102999999999998</v>
      </c>
      <c r="Z76"/>
      <c r="AA76"/>
      <c r="AB76" s="162"/>
      <c r="AC76" s="174"/>
    </row>
    <row r="77" spans="1:32" x14ac:dyDescent="0.25">
      <c r="A77" s="91" t="s">
        <v>367</v>
      </c>
      <c r="B77" s="15" t="s">
        <v>5966</v>
      </c>
      <c r="C77" s="15" t="s">
        <v>6442</v>
      </c>
      <c r="D77" s="15" t="s">
        <v>37</v>
      </c>
      <c r="E77" s="15" t="s">
        <v>6443</v>
      </c>
      <c r="F77" s="15" t="s">
        <v>5966</v>
      </c>
      <c r="G77" s="15">
        <v>14</v>
      </c>
      <c r="H77" s="15" t="s">
        <v>6448</v>
      </c>
      <c r="I77" s="15" t="s">
        <v>6445</v>
      </c>
      <c r="J77" s="15" t="str">
        <f>_xlfn.XLOOKUP(orderbook[[#This Row],[MATL_NO]],Table29[TSL Material Code3],Table29[Key])</f>
        <v>19.052.37ERWNON FIN</v>
      </c>
      <c r="K77" s="15">
        <v>3500582</v>
      </c>
      <c r="L77" s="15" t="s">
        <v>1423</v>
      </c>
      <c r="M77" s="477" t="s">
        <v>340</v>
      </c>
      <c r="N77" s="15" t="s">
        <v>6446</v>
      </c>
      <c r="O77" s="15" t="s">
        <v>3742</v>
      </c>
      <c r="P77" s="15" t="s">
        <v>2520</v>
      </c>
      <c r="Q77" s="478">
        <v>19.05</v>
      </c>
      <c r="R77" s="478">
        <v>0</v>
      </c>
      <c r="S77" s="478">
        <v>2.2999999999999998</v>
      </c>
      <c r="T77" s="479">
        <v>7</v>
      </c>
      <c r="U77" s="15" t="s">
        <v>6447</v>
      </c>
      <c r="V77" s="15" t="s">
        <v>6447</v>
      </c>
      <c r="W77" s="15">
        <v>20000</v>
      </c>
      <c r="X77" s="15" t="s">
        <v>392</v>
      </c>
      <c r="Y77" s="492">
        <v>20</v>
      </c>
      <c r="Z77"/>
      <c r="AA77"/>
      <c r="AB77" s="162"/>
      <c r="AC77" s="174"/>
    </row>
    <row r="78" spans="1:32" x14ac:dyDescent="0.25">
      <c r="A78" s="91" t="s">
        <v>367</v>
      </c>
      <c r="B78" s="15" t="s">
        <v>5966</v>
      </c>
      <c r="C78" s="15" t="s">
        <v>6442</v>
      </c>
      <c r="D78" s="15" t="s">
        <v>37</v>
      </c>
      <c r="E78" s="15" t="s">
        <v>6443</v>
      </c>
      <c r="F78" s="15" t="s">
        <v>5966</v>
      </c>
      <c r="G78" s="15">
        <v>27</v>
      </c>
      <c r="H78" s="15" t="s">
        <v>6449</v>
      </c>
      <c r="I78" s="15" t="s">
        <v>6450</v>
      </c>
      <c r="J78" s="15" t="str">
        <f>_xlfn.XLOOKUP(orderbook[[#This Row],[MATL_NO]],Table29[TSL Material Code3],Table29[Key])</f>
        <v>19.052.37ERWNON FIN</v>
      </c>
      <c r="K78" s="15">
        <v>3500582</v>
      </c>
      <c r="L78" s="15" t="s">
        <v>1423</v>
      </c>
      <c r="M78" s="477" t="s">
        <v>340</v>
      </c>
      <c r="N78" s="15" t="s">
        <v>6446</v>
      </c>
      <c r="O78" s="15" t="s">
        <v>3742</v>
      </c>
      <c r="P78" s="15" t="s">
        <v>2520</v>
      </c>
      <c r="Q78" s="478">
        <v>19.05</v>
      </c>
      <c r="R78" s="478">
        <v>0</v>
      </c>
      <c r="S78" s="478">
        <v>2.2999999999999998</v>
      </c>
      <c r="T78" s="479">
        <v>7</v>
      </c>
      <c r="U78" s="15" t="s">
        <v>6447</v>
      </c>
      <c r="V78" s="15" t="s">
        <v>6447</v>
      </c>
      <c r="W78" s="15">
        <v>28500</v>
      </c>
      <c r="X78" s="15" t="s">
        <v>392</v>
      </c>
      <c r="Y78" s="492">
        <v>27.23</v>
      </c>
      <c r="Z78"/>
      <c r="AA78"/>
      <c r="AB78" s="162"/>
      <c r="AC78" s="174"/>
    </row>
    <row r="79" spans="1:32" x14ac:dyDescent="0.25">
      <c r="A79" s="91" t="s">
        <v>367</v>
      </c>
      <c r="B79" s="15" t="s">
        <v>5968</v>
      </c>
      <c r="C79" s="15" t="s">
        <v>6442</v>
      </c>
      <c r="D79" s="15" t="s">
        <v>32</v>
      </c>
      <c r="E79" s="15" t="s">
        <v>6443</v>
      </c>
      <c r="F79" s="15" t="s">
        <v>5968</v>
      </c>
      <c r="G79" s="15">
        <v>41</v>
      </c>
      <c r="H79" s="15" t="s">
        <v>6451</v>
      </c>
      <c r="I79" s="15" t="s">
        <v>6450</v>
      </c>
      <c r="J79" s="15" t="str">
        <f>_xlfn.XLOOKUP(orderbook[[#This Row],[MATL_NO]],Table29[TSL Material Code3],Table29[Key])</f>
        <v>19.051.66ERWNON FIN</v>
      </c>
      <c r="K79" s="15">
        <v>3498997</v>
      </c>
      <c r="L79" s="15" t="s">
        <v>1355</v>
      </c>
      <c r="M79" s="477" t="s">
        <v>340</v>
      </c>
      <c r="N79" s="15" t="s">
        <v>6446</v>
      </c>
      <c r="O79" s="15" t="s">
        <v>3742</v>
      </c>
      <c r="P79" s="15" t="s">
        <v>2520</v>
      </c>
      <c r="Q79" s="478">
        <v>19.05</v>
      </c>
      <c r="R79" s="478">
        <v>0</v>
      </c>
      <c r="S79" s="478">
        <v>1.6</v>
      </c>
      <c r="T79" s="479">
        <v>6</v>
      </c>
      <c r="U79" s="15" t="s">
        <v>6447</v>
      </c>
      <c r="V79" s="15" t="s">
        <v>6447</v>
      </c>
      <c r="W79" s="15">
        <v>10000</v>
      </c>
      <c r="X79" s="15" t="s">
        <v>392</v>
      </c>
      <c r="Y79" s="492">
        <v>10</v>
      </c>
      <c r="Z79"/>
      <c r="AA79"/>
      <c r="AB79" s="162"/>
      <c r="AC79" s="174"/>
    </row>
    <row r="80" spans="1:32" x14ac:dyDescent="0.25">
      <c r="A80" s="91" t="s">
        <v>367</v>
      </c>
      <c r="B80" s="15" t="s">
        <v>5968</v>
      </c>
      <c r="C80" s="15" t="s">
        <v>6442</v>
      </c>
      <c r="D80" s="15" t="s">
        <v>32</v>
      </c>
      <c r="E80" s="15" t="s">
        <v>6443</v>
      </c>
      <c r="F80" s="15" t="s">
        <v>5968</v>
      </c>
      <c r="G80" s="15">
        <v>54</v>
      </c>
      <c r="H80" s="15" t="s">
        <v>6452</v>
      </c>
      <c r="I80" s="15" t="s">
        <v>6445</v>
      </c>
      <c r="J80" s="15" t="str">
        <f>_xlfn.XLOOKUP(orderbook[[#This Row],[MATL_NO]],Table29[TSL Material Code3],Table29[Key])</f>
        <v>19.051.66ERWNON FIN</v>
      </c>
      <c r="K80" s="15">
        <v>3498997</v>
      </c>
      <c r="L80" s="15" t="s">
        <v>1355</v>
      </c>
      <c r="M80" s="477" t="s">
        <v>340</v>
      </c>
      <c r="N80" s="15" t="s">
        <v>6446</v>
      </c>
      <c r="O80" s="15" t="s">
        <v>3742</v>
      </c>
      <c r="P80" s="15" t="s">
        <v>2520</v>
      </c>
      <c r="Q80" s="478">
        <v>19.05</v>
      </c>
      <c r="R80" s="478">
        <v>0</v>
      </c>
      <c r="S80" s="478">
        <v>1.6</v>
      </c>
      <c r="T80" s="479">
        <v>6</v>
      </c>
      <c r="U80" s="15" t="s">
        <v>6447</v>
      </c>
      <c r="V80" s="15" t="s">
        <v>6447</v>
      </c>
      <c r="W80" s="15">
        <v>5000</v>
      </c>
      <c r="X80" s="15" t="s">
        <v>392</v>
      </c>
      <c r="Y80" s="492">
        <v>5</v>
      </c>
      <c r="Z80"/>
      <c r="AA80"/>
      <c r="AB80" s="162"/>
      <c r="AC80" s="174"/>
    </row>
    <row r="81" spans="1:29" x14ac:dyDescent="0.25">
      <c r="A81" s="91" t="s">
        <v>367</v>
      </c>
      <c r="B81" s="15" t="s">
        <v>5968</v>
      </c>
      <c r="C81" s="15" t="s">
        <v>6442</v>
      </c>
      <c r="D81" s="15" t="s">
        <v>32</v>
      </c>
      <c r="E81" s="15" t="s">
        <v>6443</v>
      </c>
      <c r="F81" s="15" t="s">
        <v>5968</v>
      </c>
      <c r="G81" s="15">
        <v>92</v>
      </c>
      <c r="H81" s="15" t="s">
        <v>6453</v>
      </c>
      <c r="I81" s="15" t="s">
        <v>6445</v>
      </c>
      <c r="J81" s="15" t="str">
        <f>_xlfn.XLOOKUP(orderbook[[#This Row],[MATL_NO]],Table29[TSL Material Code3],Table29[Key])</f>
        <v>19.051.46ERW2NON FIN</v>
      </c>
      <c r="K81" s="15">
        <v>3891285</v>
      </c>
      <c r="L81" s="15" t="s">
        <v>1329</v>
      </c>
      <c r="M81" s="477" t="s">
        <v>340</v>
      </c>
      <c r="N81" s="15" t="s">
        <v>6446</v>
      </c>
      <c r="O81" s="15" t="s">
        <v>6454</v>
      </c>
      <c r="P81" s="15" t="s">
        <v>2520</v>
      </c>
      <c r="Q81" s="478">
        <v>19.05</v>
      </c>
      <c r="R81" s="478">
        <v>0</v>
      </c>
      <c r="S81" s="478">
        <v>1.4</v>
      </c>
      <c r="T81" s="479">
        <v>6</v>
      </c>
      <c r="U81" s="15" t="s">
        <v>6447</v>
      </c>
      <c r="V81" s="15" t="s">
        <v>6447</v>
      </c>
      <c r="W81" s="15">
        <v>7500</v>
      </c>
      <c r="X81" s="15" t="s">
        <v>392</v>
      </c>
      <c r="Y81" s="492">
        <v>7.5</v>
      </c>
      <c r="Z81"/>
      <c r="AA81"/>
      <c r="AB81" s="162"/>
      <c r="AC81" s="174"/>
    </row>
    <row r="82" spans="1:29" x14ac:dyDescent="0.25">
      <c r="A82" s="91" t="s">
        <v>367</v>
      </c>
      <c r="B82" s="15" t="s">
        <v>5968</v>
      </c>
      <c r="C82" s="15" t="s">
        <v>6442</v>
      </c>
      <c r="D82" s="15" t="s">
        <v>32</v>
      </c>
      <c r="E82" s="15" t="s">
        <v>6443</v>
      </c>
      <c r="F82" s="15" t="s">
        <v>5968</v>
      </c>
      <c r="G82" s="15">
        <v>41</v>
      </c>
      <c r="H82" s="15" t="s">
        <v>6451</v>
      </c>
      <c r="I82" s="15" t="s">
        <v>6445</v>
      </c>
      <c r="J82" s="15" t="str">
        <f>_xlfn.XLOOKUP(orderbook[[#This Row],[MATL_NO]],Table29[TSL Material Code3],Table29[Key])</f>
        <v>19.051.46ERW2NON FIN</v>
      </c>
      <c r="K82" s="15">
        <v>3891285</v>
      </c>
      <c r="L82" s="15" t="s">
        <v>1329</v>
      </c>
      <c r="M82" s="477" t="s">
        <v>340</v>
      </c>
      <c r="N82" s="15" t="s">
        <v>6446</v>
      </c>
      <c r="O82" s="15" t="s">
        <v>6454</v>
      </c>
      <c r="P82" s="15" t="s">
        <v>2520</v>
      </c>
      <c r="Q82" s="478">
        <v>19.05</v>
      </c>
      <c r="R82" s="478">
        <v>0</v>
      </c>
      <c r="S82" s="478">
        <v>1.4</v>
      </c>
      <c r="T82" s="479">
        <v>6</v>
      </c>
      <c r="U82" s="15" t="s">
        <v>6447</v>
      </c>
      <c r="V82" s="15" t="s">
        <v>6447</v>
      </c>
      <c r="W82" s="15">
        <v>10000</v>
      </c>
      <c r="X82" s="15" t="s">
        <v>392</v>
      </c>
      <c r="Y82" s="492">
        <v>10</v>
      </c>
      <c r="Z82"/>
      <c r="AA82"/>
      <c r="AB82" s="162"/>
      <c r="AC82" s="174"/>
    </row>
    <row r="83" spans="1:29" x14ac:dyDescent="0.25">
      <c r="A83" s="91" t="s">
        <v>367</v>
      </c>
      <c r="B83" s="15" t="s">
        <v>5966</v>
      </c>
      <c r="C83" s="15" t="s">
        <v>6442</v>
      </c>
      <c r="D83" s="15" t="s">
        <v>37</v>
      </c>
      <c r="E83" s="15" t="s">
        <v>6443</v>
      </c>
      <c r="F83" s="15" t="s">
        <v>5966</v>
      </c>
      <c r="G83" s="15">
        <v>14</v>
      </c>
      <c r="H83" s="15" t="s">
        <v>6448</v>
      </c>
      <c r="I83" s="15" t="s">
        <v>6450</v>
      </c>
      <c r="J83" s="15" t="str">
        <f>_xlfn.XLOOKUP(orderbook[[#This Row],[MATL_NO]],Table29[TSL Material Code3],Table29[Key])</f>
        <v>22.225.1ERWNON FIN</v>
      </c>
      <c r="K83" s="15">
        <v>3500554</v>
      </c>
      <c r="L83" s="15" t="s">
        <v>1485</v>
      </c>
      <c r="M83" s="477" t="s">
        <v>340</v>
      </c>
      <c r="N83" s="15" t="s">
        <v>6446</v>
      </c>
      <c r="O83" s="15" t="s">
        <v>3742</v>
      </c>
      <c r="P83" s="15" t="s">
        <v>2520</v>
      </c>
      <c r="Q83" s="478">
        <v>22.2</v>
      </c>
      <c r="R83" s="478">
        <v>0</v>
      </c>
      <c r="S83" s="478">
        <v>2</v>
      </c>
      <c r="T83" s="479">
        <v>5.1000000000000005</v>
      </c>
      <c r="U83" s="15" t="s">
        <v>6447</v>
      </c>
      <c r="V83" s="15" t="s">
        <v>6447</v>
      </c>
      <c r="W83" s="15">
        <v>30000</v>
      </c>
      <c r="X83" s="15" t="s">
        <v>392</v>
      </c>
      <c r="Y83" s="492">
        <v>30</v>
      </c>
      <c r="Z83"/>
      <c r="AA83"/>
      <c r="AB83" s="162"/>
      <c r="AC83" s="174"/>
    </row>
    <row r="84" spans="1:29" x14ac:dyDescent="0.25">
      <c r="A84" s="91" t="s">
        <v>367</v>
      </c>
      <c r="B84" s="15" t="s">
        <v>5966</v>
      </c>
      <c r="C84" s="15" t="s">
        <v>6442</v>
      </c>
      <c r="D84" s="15" t="s">
        <v>37</v>
      </c>
      <c r="E84" s="15" t="s">
        <v>6443</v>
      </c>
      <c r="F84" s="15" t="s">
        <v>5966</v>
      </c>
      <c r="G84" s="15">
        <v>14</v>
      </c>
      <c r="H84" s="15" t="s">
        <v>6448</v>
      </c>
      <c r="I84" s="15" t="s">
        <v>6455</v>
      </c>
      <c r="J84" s="15" t="str">
        <f>_xlfn.XLOOKUP(orderbook[[#This Row],[MATL_NO]],Table29[TSL Material Code3],Table29[Key])</f>
        <v>22.226000HSTFIN CUT</v>
      </c>
      <c r="K84" s="15">
        <v>3502494</v>
      </c>
      <c r="L84" s="15" t="s">
        <v>6296</v>
      </c>
      <c r="M84" s="477" t="s">
        <v>340</v>
      </c>
      <c r="N84" s="15" t="s">
        <v>6446</v>
      </c>
      <c r="O84" s="15" t="s">
        <v>6454</v>
      </c>
      <c r="P84" s="15" t="s">
        <v>2520</v>
      </c>
      <c r="Q84" s="478">
        <v>22.2</v>
      </c>
      <c r="R84" s="478">
        <v>0</v>
      </c>
      <c r="S84" s="478">
        <v>2</v>
      </c>
      <c r="T84" s="479">
        <v>6.0010000000000003</v>
      </c>
      <c r="U84" s="15" t="s">
        <v>6447</v>
      </c>
      <c r="V84" s="15" t="s">
        <v>6447</v>
      </c>
      <c r="W84" s="15">
        <v>40000</v>
      </c>
      <c r="X84" s="15" t="s">
        <v>392</v>
      </c>
      <c r="Y84" s="492">
        <v>40</v>
      </c>
      <c r="Z84"/>
      <c r="AA84"/>
      <c r="AB84" s="162"/>
      <c r="AC84" s="174"/>
    </row>
    <row r="85" spans="1:29" x14ac:dyDescent="0.25">
      <c r="A85" s="91" t="s">
        <v>367</v>
      </c>
      <c r="B85" s="15" t="s">
        <v>5966</v>
      </c>
      <c r="C85" s="15" t="s">
        <v>6442</v>
      </c>
      <c r="D85" s="15" t="s">
        <v>37</v>
      </c>
      <c r="E85" s="15" t="s">
        <v>6443</v>
      </c>
      <c r="F85" s="15" t="s">
        <v>5966</v>
      </c>
      <c r="G85" s="15">
        <v>41</v>
      </c>
      <c r="H85" s="15" t="s">
        <v>6456</v>
      </c>
      <c r="I85" s="15" t="s">
        <v>6450</v>
      </c>
      <c r="J85" s="15" t="str">
        <f>_xlfn.XLOOKUP(orderbook[[#This Row],[MATL_NO]],Table29[TSL Material Code3],Table29[Key])</f>
        <v>22.225.95ERWNON FIN</v>
      </c>
      <c r="K85" s="15">
        <v>3905466</v>
      </c>
      <c r="L85" s="15" t="s">
        <v>1487</v>
      </c>
      <c r="M85" s="477" t="s">
        <v>340</v>
      </c>
      <c r="N85" s="15" t="s">
        <v>6446</v>
      </c>
      <c r="O85" s="15" t="s">
        <v>3742</v>
      </c>
      <c r="P85" s="15" t="s">
        <v>2520</v>
      </c>
      <c r="Q85" s="478">
        <v>22.2</v>
      </c>
      <c r="R85" s="478">
        <v>0</v>
      </c>
      <c r="S85" s="478">
        <v>2</v>
      </c>
      <c r="T85" s="479">
        <v>5.9510000000000005</v>
      </c>
      <c r="U85" s="15" t="s">
        <v>6447</v>
      </c>
      <c r="V85" s="15" t="s">
        <v>6447</v>
      </c>
      <c r="W85" s="15">
        <v>30000</v>
      </c>
      <c r="X85" s="15" t="s">
        <v>392</v>
      </c>
      <c r="Y85" s="492">
        <v>8.4819999999999993</v>
      </c>
      <c r="Z85"/>
      <c r="AA85"/>
      <c r="AB85" s="162"/>
      <c r="AC85" s="174"/>
    </row>
    <row r="86" spans="1:29" x14ac:dyDescent="0.25">
      <c r="A86" s="91" t="s">
        <v>367</v>
      </c>
      <c r="B86" s="15" t="s">
        <v>5966</v>
      </c>
      <c r="C86" s="15" t="s">
        <v>6442</v>
      </c>
      <c r="D86" s="15" t="s">
        <v>37</v>
      </c>
      <c r="E86" s="15" t="s">
        <v>6443</v>
      </c>
      <c r="F86" s="15" t="s">
        <v>5966</v>
      </c>
      <c r="G86" s="15">
        <v>54</v>
      </c>
      <c r="H86" s="15" t="s">
        <v>6457</v>
      </c>
      <c r="I86" s="15" t="s">
        <v>6455</v>
      </c>
      <c r="J86" s="15" t="str">
        <f>_xlfn.XLOOKUP(orderbook[[#This Row],[MATL_NO]],Table29[TSL Material Code3],Table29[Key])</f>
        <v>22.226000HSTFIN CUT</v>
      </c>
      <c r="K86" s="15">
        <v>3502494</v>
      </c>
      <c r="L86" s="15" t="s">
        <v>6296</v>
      </c>
      <c r="M86" s="477" t="s">
        <v>340</v>
      </c>
      <c r="N86" s="15" t="s">
        <v>6446</v>
      </c>
      <c r="O86" s="15" t="s">
        <v>6454</v>
      </c>
      <c r="P86" s="15" t="s">
        <v>2520</v>
      </c>
      <c r="Q86" s="478">
        <v>22.2</v>
      </c>
      <c r="R86" s="478">
        <v>0</v>
      </c>
      <c r="S86" s="478">
        <v>2</v>
      </c>
      <c r="T86" s="479">
        <v>6.0010000000000003</v>
      </c>
      <c r="U86" s="15" t="s">
        <v>6447</v>
      </c>
      <c r="V86" s="15" t="s">
        <v>6447</v>
      </c>
      <c r="W86" s="15">
        <v>1000</v>
      </c>
      <c r="X86" s="15" t="s">
        <v>392</v>
      </c>
      <c r="Y86" s="492">
        <v>1</v>
      </c>
      <c r="Z86"/>
      <c r="AA86"/>
      <c r="AB86" s="162"/>
      <c r="AC86" s="174"/>
    </row>
    <row r="87" spans="1:29" x14ac:dyDescent="0.25">
      <c r="A87" s="91" t="s">
        <v>367</v>
      </c>
      <c r="B87" s="15" t="s">
        <v>5966</v>
      </c>
      <c r="C87" s="15" t="s">
        <v>6442</v>
      </c>
      <c r="D87" s="15" t="s">
        <v>37</v>
      </c>
      <c r="E87" s="15" t="s">
        <v>6443</v>
      </c>
      <c r="F87" s="15" t="s">
        <v>5966</v>
      </c>
      <c r="G87" s="15">
        <v>54</v>
      </c>
      <c r="H87" s="15" t="s">
        <v>6457</v>
      </c>
      <c r="I87" s="15" t="s">
        <v>6458</v>
      </c>
      <c r="J87" s="15" t="str">
        <f>_xlfn.XLOOKUP(orderbook[[#This Row],[MATL_NO]],Table29[TSL Material Code3],Table29[Key])</f>
        <v>22.226000HSTFIN CUT</v>
      </c>
      <c r="K87" s="15">
        <v>3502494</v>
      </c>
      <c r="L87" s="15" t="s">
        <v>6296</v>
      </c>
      <c r="M87" s="477" t="s">
        <v>340</v>
      </c>
      <c r="N87" s="15" t="s">
        <v>6446</v>
      </c>
      <c r="O87" s="15" t="s">
        <v>6454</v>
      </c>
      <c r="P87" s="15" t="s">
        <v>2520</v>
      </c>
      <c r="Q87" s="478">
        <v>22.2</v>
      </c>
      <c r="R87" s="478">
        <v>0</v>
      </c>
      <c r="S87" s="478">
        <v>2</v>
      </c>
      <c r="T87" s="479">
        <v>6.0010000000000003</v>
      </c>
      <c r="U87" s="15" t="s">
        <v>6447</v>
      </c>
      <c r="V87" s="15" t="s">
        <v>6447</v>
      </c>
      <c r="W87" s="15">
        <v>30000</v>
      </c>
      <c r="X87" s="15" t="s">
        <v>392</v>
      </c>
      <c r="Y87" s="492">
        <v>12.847999999999999</v>
      </c>
      <c r="Z87"/>
      <c r="AA87"/>
      <c r="AB87" s="162"/>
      <c r="AC87" s="174"/>
    </row>
    <row r="88" spans="1:29" x14ac:dyDescent="0.25">
      <c r="A88" s="91" t="s">
        <v>367</v>
      </c>
      <c r="B88" s="15" t="s">
        <v>5966</v>
      </c>
      <c r="C88" s="15" t="s">
        <v>6442</v>
      </c>
      <c r="D88" s="15" t="s">
        <v>37</v>
      </c>
      <c r="E88" s="15" t="s">
        <v>6443</v>
      </c>
      <c r="F88" s="15" t="s">
        <v>5966</v>
      </c>
      <c r="G88" s="15">
        <v>14</v>
      </c>
      <c r="H88" s="15" t="s">
        <v>6448</v>
      </c>
      <c r="I88" s="15" t="s">
        <v>6458</v>
      </c>
      <c r="J88" s="15" t="str">
        <f>_xlfn.XLOOKUP(orderbook[[#This Row],[MATL_NO]],Table29[TSL Material Code3],Table29[Key])</f>
        <v>22.225.95ERWNON FIN</v>
      </c>
      <c r="K88" s="15">
        <v>3905466</v>
      </c>
      <c r="L88" s="15" t="s">
        <v>1487</v>
      </c>
      <c r="M88" s="477" t="s">
        <v>340</v>
      </c>
      <c r="N88" s="15" t="s">
        <v>6446</v>
      </c>
      <c r="O88" s="15" t="s">
        <v>3742</v>
      </c>
      <c r="P88" s="15" t="s">
        <v>2520</v>
      </c>
      <c r="Q88" s="478">
        <v>22.2</v>
      </c>
      <c r="R88" s="478">
        <v>0</v>
      </c>
      <c r="S88" s="478">
        <v>2</v>
      </c>
      <c r="T88" s="479">
        <v>5.9510000000000005</v>
      </c>
      <c r="U88" s="15" t="s">
        <v>6447</v>
      </c>
      <c r="V88" s="15" t="s">
        <v>6447</v>
      </c>
      <c r="W88" s="15">
        <v>60000</v>
      </c>
      <c r="X88" s="15" t="s">
        <v>392</v>
      </c>
      <c r="Y88" s="492">
        <v>60</v>
      </c>
      <c r="Z88"/>
      <c r="AA88"/>
      <c r="AB88" s="162"/>
      <c r="AC88" s="174"/>
    </row>
    <row r="89" spans="1:29" x14ac:dyDescent="0.25">
      <c r="A89" s="91" t="s">
        <v>367</v>
      </c>
      <c r="B89" s="15" t="s">
        <v>5966</v>
      </c>
      <c r="C89" s="15" t="s">
        <v>6442</v>
      </c>
      <c r="D89" s="15" t="s">
        <v>37</v>
      </c>
      <c r="E89" s="15" t="s">
        <v>6443</v>
      </c>
      <c r="F89" s="15" t="s">
        <v>5966</v>
      </c>
      <c r="G89" s="15">
        <v>19</v>
      </c>
      <c r="H89" s="15" t="s">
        <v>6459</v>
      </c>
      <c r="I89" s="15" t="s">
        <v>6450</v>
      </c>
      <c r="J89" s="15" t="str">
        <f>_xlfn.XLOOKUP(orderbook[[#This Row],[MATL_NO]],Table29[TSL Material Code3],Table29[Key])</f>
        <v>22.225.95ERWNON FIN</v>
      </c>
      <c r="K89" s="15">
        <v>3905466</v>
      </c>
      <c r="L89" s="15" t="s">
        <v>1487</v>
      </c>
      <c r="M89" s="477" t="s">
        <v>340</v>
      </c>
      <c r="N89" s="15" t="s">
        <v>6446</v>
      </c>
      <c r="O89" s="15" t="s">
        <v>3742</v>
      </c>
      <c r="P89" s="15" t="s">
        <v>2520</v>
      </c>
      <c r="Q89" s="478">
        <v>22.2</v>
      </c>
      <c r="R89" s="478">
        <v>0</v>
      </c>
      <c r="S89" s="478">
        <v>2</v>
      </c>
      <c r="T89" s="479">
        <v>5.9510000000000005</v>
      </c>
      <c r="U89" s="15" t="s">
        <v>6447</v>
      </c>
      <c r="V89" s="15" t="s">
        <v>6447</v>
      </c>
      <c r="W89" s="15">
        <v>20000</v>
      </c>
      <c r="X89" s="15" t="s">
        <v>392</v>
      </c>
      <c r="Y89" s="492">
        <v>20</v>
      </c>
      <c r="Z89"/>
      <c r="AA89"/>
      <c r="AB89" s="162"/>
      <c r="AC89" s="174"/>
    </row>
    <row r="90" spans="1:29" x14ac:dyDescent="0.25">
      <c r="A90" s="91" t="s">
        <v>367</v>
      </c>
      <c r="B90" s="15" t="s">
        <v>5968</v>
      </c>
      <c r="C90" s="15" t="s">
        <v>6442</v>
      </c>
      <c r="D90" s="15" t="s">
        <v>32</v>
      </c>
      <c r="E90" s="15" t="s">
        <v>6443</v>
      </c>
      <c r="F90" s="15" t="s">
        <v>5968</v>
      </c>
      <c r="G90" s="15">
        <v>92</v>
      </c>
      <c r="H90" s="15" t="s">
        <v>6453</v>
      </c>
      <c r="I90" s="15" t="s">
        <v>6450</v>
      </c>
      <c r="J90" s="15" t="str">
        <f>_xlfn.XLOOKUP(orderbook[[#This Row],[MATL_NO]],Table29[TSL Material Code3],Table29[Key])</f>
        <v>22.21.46ERW-2NON FIN</v>
      </c>
      <c r="K90" s="15">
        <v>3829175</v>
      </c>
      <c r="L90" s="15" t="s">
        <v>1456</v>
      </c>
      <c r="M90" s="477" t="s">
        <v>340</v>
      </c>
      <c r="N90" s="15" t="s">
        <v>6446</v>
      </c>
      <c r="O90" s="15" t="s">
        <v>6454</v>
      </c>
      <c r="P90" s="15" t="s">
        <v>2520</v>
      </c>
      <c r="Q90" s="478">
        <v>22.2</v>
      </c>
      <c r="R90" s="478">
        <v>0</v>
      </c>
      <c r="S90" s="478">
        <v>1.4</v>
      </c>
      <c r="T90" s="479">
        <v>6</v>
      </c>
      <c r="U90" s="15" t="s">
        <v>6447</v>
      </c>
      <c r="V90" s="15" t="s">
        <v>6447</v>
      </c>
      <c r="W90" s="15">
        <v>5500</v>
      </c>
      <c r="X90" s="15" t="s">
        <v>392</v>
      </c>
      <c r="Y90" s="492">
        <v>5.5</v>
      </c>
      <c r="Z90"/>
      <c r="AA90"/>
      <c r="AB90" s="162"/>
      <c r="AC90" s="174"/>
    </row>
    <row r="91" spans="1:29" x14ac:dyDescent="0.25">
      <c r="A91" s="91" t="s">
        <v>367</v>
      </c>
      <c r="B91" s="15" t="s">
        <v>5966</v>
      </c>
      <c r="C91" s="15" t="s">
        <v>6442</v>
      </c>
      <c r="D91" s="15" t="s">
        <v>37</v>
      </c>
      <c r="E91" s="15" t="s">
        <v>6443</v>
      </c>
      <c r="F91" s="15" t="s">
        <v>5966</v>
      </c>
      <c r="G91" s="15">
        <v>19</v>
      </c>
      <c r="H91" s="15" t="s">
        <v>6459</v>
      </c>
      <c r="I91" s="15" t="s">
        <v>6445</v>
      </c>
      <c r="J91" s="15" t="str">
        <f>_xlfn.XLOOKUP(orderbook[[#This Row],[MATL_NO]],Table29[TSL Material Code3],Table29[Key])</f>
        <v>22.21.25.87ERWNON FIN</v>
      </c>
      <c r="K91" s="15">
        <v>3882110</v>
      </c>
      <c r="L91" s="15" t="s">
        <v>1454</v>
      </c>
      <c r="M91" s="477" t="s">
        <v>340</v>
      </c>
      <c r="N91" s="15" t="s">
        <v>6446</v>
      </c>
      <c r="O91" s="15" t="s">
        <v>3742</v>
      </c>
      <c r="P91" s="15" t="s">
        <v>2520</v>
      </c>
      <c r="Q91" s="478">
        <v>22.2</v>
      </c>
      <c r="R91" s="478">
        <v>0</v>
      </c>
      <c r="S91" s="478">
        <v>1.2</v>
      </c>
      <c r="T91" s="479">
        <v>5.87</v>
      </c>
      <c r="U91" s="15" t="s">
        <v>6447</v>
      </c>
      <c r="V91" s="15" t="s">
        <v>6447</v>
      </c>
      <c r="W91" s="15">
        <v>10000</v>
      </c>
      <c r="X91" s="15" t="s">
        <v>392</v>
      </c>
      <c r="Y91" s="492">
        <v>10</v>
      </c>
      <c r="Z91"/>
      <c r="AA91"/>
      <c r="AB91" s="162"/>
      <c r="AC91" s="174"/>
    </row>
    <row r="92" spans="1:29" x14ac:dyDescent="0.25">
      <c r="A92" s="91" t="s">
        <v>367</v>
      </c>
      <c r="B92" s="15" t="s">
        <v>5966</v>
      </c>
      <c r="C92" s="15" t="s">
        <v>6442</v>
      </c>
      <c r="D92" s="15" t="s">
        <v>37</v>
      </c>
      <c r="E92" s="15" t="s">
        <v>6443</v>
      </c>
      <c r="F92" s="15" t="s">
        <v>5966</v>
      </c>
      <c r="G92" s="15">
        <v>14</v>
      </c>
      <c r="H92" s="15" t="s">
        <v>6448</v>
      </c>
      <c r="I92" s="15" t="s">
        <v>6460</v>
      </c>
      <c r="J92" s="15" t="str">
        <f>_xlfn.XLOOKUP(orderbook[[#This Row],[MATL_NO]],Table29[TSL Material Code3],Table29[Key])</f>
        <v>25.42.55.53ERWNON FIN</v>
      </c>
      <c r="K92" s="15">
        <v>3502256</v>
      </c>
      <c r="L92" s="15" t="s">
        <v>1580</v>
      </c>
      <c r="M92" s="477" t="s">
        <v>340</v>
      </c>
      <c r="N92" s="15" t="s">
        <v>6446</v>
      </c>
      <c r="O92" s="15" t="s">
        <v>3742</v>
      </c>
      <c r="P92" s="15" t="s">
        <v>2520</v>
      </c>
      <c r="Q92" s="478">
        <v>25.4</v>
      </c>
      <c r="R92" s="478">
        <v>0</v>
      </c>
      <c r="S92" s="478">
        <v>2.5</v>
      </c>
      <c r="T92" s="479">
        <v>5.53</v>
      </c>
      <c r="U92" s="15" t="s">
        <v>6447</v>
      </c>
      <c r="V92" s="15" t="s">
        <v>6447</v>
      </c>
      <c r="W92" s="15">
        <v>20000</v>
      </c>
      <c r="X92" s="15" t="s">
        <v>392</v>
      </c>
      <c r="Y92" s="492">
        <v>20</v>
      </c>
      <c r="Z92"/>
      <c r="AA92"/>
      <c r="AB92" s="162"/>
      <c r="AC92" s="174"/>
    </row>
    <row r="93" spans="1:29" x14ac:dyDescent="0.25">
      <c r="A93" s="91" t="s">
        <v>367</v>
      </c>
      <c r="B93" s="15" t="s">
        <v>5966</v>
      </c>
      <c r="C93" s="15" t="s">
        <v>6442</v>
      </c>
      <c r="D93" s="15" t="s">
        <v>37</v>
      </c>
      <c r="E93" s="15" t="s">
        <v>6443</v>
      </c>
      <c r="F93" s="15" t="s">
        <v>5966</v>
      </c>
      <c r="G93" s="15">
        <v>41</v>
      </c>
      <c r="H93" s="15" t="s">
        <v>6456</v>
      </c>
      <c r="I93" s="15" t="s">
        <v>6455</v>
      </c>
      <c r="J93" s="15" t="str">
        <f>_xlfn.XLOOKUP(orderbook[[#This Row],[MATL_NO]],Table29[TSL Material Code3],Table29[Key])</f>
        <v>25.42.55.53ERWNON FIN</v>
      </c>
      <c r="K93" s="15">
        <v>3502256</v>
      </c>
      <c r="L93" s="15" t="s">
        <v>1580</v>
      </c>
      <c r="M93" s="477" t="s">
        <v>340</v>
      </c>
      <c r="N93" s="15" t="s">
        <v>6446</v>
      </c>
      <c r="O93" s="15" t="s">
        <v>3742</v>
      </c>
      <c r="P93" s="15" t="s">
        <v>2520</v>
      </c>
      <c r="Q93" s="478">
        <v>25.4</v>
      </c>
      <c r="R93" s="478">
        <v>0</v>
      </c>
      <c r="S93" s="478">
        <v>2.5</v>
      </c>
      <c r="T93" s="479">
        <v>5.53</v>
      </c>
      <c r="U93" s="15" t="s">
        <v>6447</v>
      </c>
      <c r="V93" s="15" t="s">
        <v>6447</v>
      </c>
      <c r="W93" s="15">
        <v>40000</v>
      </c>
      <c r="X93" s="15" t="s">
        <v>392</v>
      </c>
      <c r="Y93" s="492">
        <v>14.253999999999998</v>
      </c>
      <c r="Z93"/>
      <c r="AA93"/>
      <c r="AB93" s="162"/>
      <c r="AC93" s="174"/>
    </row>
    <row r="94" spans="1:29" x14ac:dyDescent="0.25">
      <c r="A94" s="91" t="s">
        <v>367</v>
      </c>
      <c r="B94" s="15" t="s">
        <v>5966</v>
      </c>
      <c r="C94" s="15" t="s">
        <v>6442</v>
      </c>
      <c r="D94" s="15" t="s">
        <v>37</v>
      </c>
      <c r="E94" s="15" t="s">
        <v>6443</v>
      </c>
      <c r="F94" s="15" t="s">
        <v>5966</v>
      </c>
      <c r="G94" s="15">
        <v>14</v>
      </c>
      <c r="H94" s="15" t="s">
        <v>6461</v>
      </c>
      <c r="I94" s="15" t="s">
        <v>6445</v>
      </c>
      <c r="J94" s="15" t="s">
        <v>6462</v>
      </c>
      <c r="K94" s="15">
        <v>3673890</v>
      </c>
      <c r="L94" s="15" t="s">
        <v>2462</v>
      </c>
      <c r="M94" s="477" t="s">
        <v>340</v>
      </c>
      <c r="N94" s="15" t="s">
        <v>6446</v>
      </c>
      <c r="O94" s="15" t="s">
        <v>3742</v>
      </c>
      <c r="P94" s="15" t="s">
        <v>2520</v>
      </c>
      <c r="Q94" s="478">
        <v>25.4</v>
      </c>
      <c r="R94" s="478">
        <v>0</v>
      </c>
      <c r="S94" s="478">
        <v>2</v>
      </c>
      <c r="T94" s="479">
        <v>5.84</v>
      </c>
      <c r="U94" s="15" t="s">
        <v>6463</v>
      </c>
      <c r="V94" s="15" t="s">
        <v>6447</v>
      </c>
      <c r="W94" s="15">
        <v>13000</v>
      </c>
      <c r="X94" s="15" t="s">
        <v>392</v>
      </c>
      <c r="Y94" s="492">
        <v>11.571</v>
      </c>
      <c r="Z94"/>
      <c r="AA94"/>
      <c r="AB94" s="162"/>
      <c r="AC94" s="174"/>
    </row>
    <row r="95" spans="1:29" x14ac:dyDescent="0.25">
      <c r="A95" s="91" t="s">
        <v>367</v>
      </c>
      <c r="B95" s="15" t="s">
        <v>5966</v>
      </c>
      <c r="C95" s="15" t="s">
        <v>6442</v>
      </c>
      <c r="D95" s="15" t="s">
        <v>37</v>
      </c>
      <c r="E95" s="15" t="s">
        <v>6443</v>
      </c>
      <c r="F95" s="15" t="s">
        <v>5966</v>
      </c>
      <c r="G95" s="15">
        <v>14</v>
      </c>
      <c r="H95" s="15" t="s">
        <v>6448</v>
      </c>
      <c r="I95" s="15" t="s">
        <v>6464</v>
      </c>
      <c r="J95" s="15" t="str">
        <f>_xlfn.XLOOKUP(orderbook[[#This Row],[MATL_NO]],Table29[TSL Material Code3],Table29[Key])</f>
        <v>25.41.66ERWNON FIN</v>
      </c>
      <c r="K95" s="15">
        <v>3500097</v>
      </c>
      <c r="L95" s="15" t="s">
        <v>6290</v>
      </c>
      <c r="M95" s="477" t="s">
        <v>340</v>
      </c>
      <c r="N95" s="15" t="s">
        <v>6446</v>
      </c>
      <c r="O95" s="15" t="s">
        <v>3742</v>
      </c>
      <c r="P95" s="15" t="s">
        <v>2520</v>
      </c>
      <c r="Q95" s="478">
        <v>25.4</v>
      </c>
      <c r="R95" s="478">
        <v>0</v>
      </c>
      <c r="S95" s="478">
        <v>1.6</v>
      </c>
      <c r="T95" s="479">
        <v>6</v>
      </c>
      <c r="U95" s="15" t="s">
        <v>6463</v>
      </c>
      <c r="V95" s="15" t="s">
        <v>6447</v>
      </c>
      <c r="W95" s="15">
        <v>30000</v>
      </c>
      <c r="X95" s="15" t="s">
        <v>392</v>
      </c>
      <c r="Y95" s="492">
        <v>30</v>
      </c>
      <c r="Z95"/>
      <c r="AA95"/>
      <c r="AB95" s="162"/>
      <c r="AC95" s="174"/>
    </row>
    <row r="96" spans="1:29" x14ac:dyDescent="0.25">
      <c r="A96" s="91" t="s">
        <v>367</v>
      </c>
      <c r="B96" s="15" t="s">
        <v>5966</v>
      </c>
      <c r="C96" s="15" t="s">
        <v>6442</v>
      </c>
      <c r="D96" s="15" t="s">
        <v>37</v>
      </c>
      <c r="E96" s="15" t="s">
        <v>6443</v>
      </c>
      <c r="F96" s="15" t="s">
        <v>5966</v>
      </c>
      <c r="G96" s="15">
        <v>27</v>
      </c>
      <c r="H96" s="15" t="s">
        <v>6465</v>
      </c>
      <c r="I96" s="15" t="s">
        <v>6445</v>
      </c>
      <c r="J96" s="15" t="str">
        <f>_xlfn.XLOOKUP(orderbook[[#This Row],[MATL_NO]],Table29[TSL Material Code3],Table29[Key])</f>
        <v>25.41.66ERWNON FIN</v>
      </c>
      <c r="K96" s="15">
        <v>3500097</v>
      </c>
      <c r="L96" s="15" t="s">
        <v>6290</v>
      </c>
      <c r="M96" s="477" t="s">
        <v>340</v>
      </c>
      <c r="N96" s="15" t="s">
        <v>6446</v>
      </c>
      <c r="O96" s="15" t="s">
        <v>3742</v>
      </c>
      <c r="P96" s="15" t="s">
        <v>2520</v>
      </c>
      <c r="Q96" s="478">
        <v>25.4</v>
      </c>
      <c r="R96" s="478">
        <v>0</v>
      </c>
      <c r="S96" s="478">
        <v>1.6</v>
      </c>
      <c r="T96" s="479">
        <v>6</v>
      </c>
      <c r="U96" s="15" t="s">
        <v>6463</v>
      </c>
      <c r="V96" s="15" t="s">
        <v>6447</v>
      </c>
      <c r="W96" s="15">
        <v>15000</v>
      </c>
      <c r="X96" s="15" t="s">
        <v>392</v>
      </c>
      <c r="Y96" s="492">
        <v>15</v>
      </c>
      <c r="Z96"/>
      <c r="AA96"/>
      <c r="AB96" s="162"/>
      <c r="AC96" s="174"/>
    </row>
    <row r="97" spans="1:29" x14ac:dyDescent="0.25">
      <c r="A97" s="91" t="s">
        <v>367</v>
      </c>
      <c r="B97" s="15" t="s">
        <v>5966</v>
      </c>
      <c r="C97" s="15" t="s">
        <v>6442</v>
      </c>
      <c r="D97" s="15" t="s">
        <v>37</v>
      </c>
      <c r="E97" s="15" t="s">
        <v>6443</v>
      </c>
      <c r="F97" s="15" t="s">
        <v>5966</v>
      </c>
      <c r="G97" s="15">
        <v>27</v>
      </c>
      <c r="H97" s="15" t="s">
        <v>6449</v>
      </c>
      <c r="I97" s="15" t="s">
        <v>6458</v>
      </c>
      <c r="J97" s="15" t="str">
        <f>_xlfn.XLOOKUP(orderbook[[#This Row],[MATL_NO]],Table29[TSL Material Code3],Table29[Key])</f>
        <v>25.41.66ERWNON FIN</v>
      </c>
      <c r="K97" s="15">
        <v>3500097</v>
      </c>
      <c r="L97" s="15" t="s">
        <v>6290</v>
      </c>
      <c r="M97" s="477" t="s">
        <v>340</v>
      </c>
      <c r="N97" s="15" t="s">
        <v>6446</v>
      </c>
      <c r="O97" s="15" t="s">
        <v>3742</v>
      </c>
      <c r="P97" s="15" t="s">
        <v>2520</v>
      </c>
      <c r="Q97" s="478">
        <v>25.4</v>
      </c>
      <c r="R97" s="478">
        <v>0</v>
      </c>
      <c r="S97" s="478">
        <v>1.6</v>
      </c>
      <c r="T97" s="479">
        <v>6</v>
      </c>
      <c r="U97" s="15" t="s">
        <v>6463</v>
      </c>
      <c r="V97" s="15" t="s">
        <v>6447</v>
      </c>
      <c r="W97" s="15">
        <v>15000</v>
      </c>
      <c r="X97" s="15" t="s">
        <v>392</v>
      </c>
      <c r="Y97" s="492">
        <v>15</v>
      </c>
      <c r="Z97"/>
      <c r="AA97"/>
      <c r="AB97" s="162"/>
      <c r="AC97" s="174"/>
    </row>
    <row r="98" spans="1:29" x14ac:dyDescent="0.25">
      <c r="A98" s="91" t="s">
        <v>367</v>
      </c>
      <c r="B98" s="15" t="s">
        <v>5966</v>
      </c>
      <c r="C98" s="15" t="s">
        <v>6442</v>
      </c>
      <c r="D98" s="15" t="s">
        <v>37</v>
      </c>
      <c r="E98" s="15" t="s">
        <v>6443</v>
      </c>
      <c r="F98" s="15" t="s">
        <v>5966</v>
      </c>
      <c r="G98" s="15">
        <v>41</v>
      </c>
      <c r="H98" s="15" t="s">
        <v>6456</v>
      </c>
      <c r="I98" s="15" t="s">
        <v>6464</v>
      </c>
      <c r="J98" s="15" t="str">
        <f>_xlfn.XLOOKUP(orderbook[[#This Row],[MATL_NO]],Table29[TSL Material Code3],Table29[Key])</f>
        <v>25.41.66ERWNON FIN</v>
      </c>
      <c r="K98" s="15">
        <v>3500097</v>
      </c>
      <c r="L98" s="15" t="s">
        <v>6290</v>
      </c>
      <c r="M98" s="477" t="s">
        <v>340</v>
      </c>
      <c r="N98" s="15" t="s">
        <v>6446</v>
      </c>
      <c r="O98" s="15" t="s">
        <v>3742</v>
      </c>
      <c r="P98" s="15" t="s">
        <v>2520</v>
      </c>
      <c r="Q98" s="478">
        <v>25.4</v>
      </c>
      <c r="R98" s="478">
        <v>0</v>
      </c>
      <c r="S98" s="478">
        <v>1.6</v>
      </c>
      <c r="T98" s="479">
        <v>6</v>
      </c>
      <c r="U98" s="15" t="s">
        <v>6463</v>
      </c>
      <c r="V98" s="15" t="s">
        <v>6447</v>
      </c>
      <c r="W98" s="15">
        <v>15000</v>
      </c>
      <c r="X98" s="15" t="s">
        <v>392</v>
      </c>
      <c r="Y98" s="492">
        <v>10.683</v>
      </c>
      <c r="Z98"/>
      <c r="AA98"/>
      <c r="AB98" s="162"/>
      <c r="AC98" s="174"/>
    </row>
    <row r="99" spans="1:29" x14ac:dyDescent="0.25">
      <c r="A99" s="91" t="s">
        <v>367</v>
      </c>
      <c r="B99" s="15" t="s">
        <v>5966</v>
      </c>
      <c r="C99" s="15" t="s">
        <v>6442</v>
      </c>
      <c r="D99" s="15" t="s">
        <v>37</v>
      </c>
      <c r="E99" s="15" t="s">
        <v>6443</v>
      </c>
      <c r="F99" s="15" t="s">
        <v>5966</v>
      </c>
      <c r="G99" s="15">
        <v>92</v>
      </c>
      <c r="H99" s="15" t="s">
        <v>6466</v>
      </c>
      <c r="I99" s="15" t="s">
        <v>6467</v>
      </c>
      <c r="J99" s="15" t="str">
        <f>_xlfn.XLOOKUP(orderbook[[#This Row],[MATL_NO]],Table29[TSL Material Code3],Table29[Key])</f>
        <v>25.41.66ERWNON FIN</v>
      </c>
      <c r="K99" s="15">
        <v>3500097</v>
      </c>
      <c r="L99" s="15" t="s">
        <v>6290</v>
      </c>
      <c r="M99" s="477" t="s">
        <v>340</v>
      </c>
      <c r="N99" s="15" t="s">
        <v>6446</v>
      </c>
      <c r="O99" s="15" t="s">
        <v>3742</v>
      </c>
      <c r="P99" s="15" t="s">
        <v>2520</v>
      </c>
      <c r="Q99" s="478">
        <v>25.4</v>
      </c>
      <c r="R99" s="478">
        <v>0</v>
      </c>
      <c r="S99" s="478">
        <v>1.6</v>
      </c>
      <c r="T99" s="479">
        <v>6</v>
      </c>
      <c r="U99" s="15" t="s">
        <v>6463</v>
      </c>
      <c r="V99" s="15" t="s">
        <v>6447</v>
      </c>
      <c r="W99" s="15">
        <v>5500</v>
      </c>
      <c r="X99" s="15" t="s">
        <v>392</v>
      </c>
      <c r="Y99" s="492">
        <v>3.7329999999999997</v>
      </c>
      <c r="Z99"/>
      <c r="AA99"/>
      <c r="AB99" s="162"/>
      <c r="AC99" s="174"/>
    </row>
    <row r="100" spans="1:29" x14ac:dyDescent="0.25">
      <c r="A100" s="91" t="s">
        <v>367</v>
      </c>
      <c r="B100" s="15" t="s">
        <v>5966</v>
      </c>
      <c r="C100" s="15" t="s">
        <v>6442</v>
      </c>
      <c r="D100" s="15" t="s">
        <v>37</v>
      </c>
      <c r="E100" s="15" t="s">
        <v>6443</v>
      </c>
      <c r="F100" s="15" t="s">
        <v>5966</v>
      </c>
      <c r="G100" s="15">
        <v>19</v>
      </c>
      <c r="H100" s="15" t="s">
        <v>6459</v>
      </c>
      <c r="I100" s="15" t="s">
        <v>6458</v>
      </c>
      <c r="J100" s="15" t="str">
        <f>_xlfn.XLOOKUP(orderbook[[#This Row],[MATL_NO]],Table29[TSL Material Code3],Table29[Key])</f>
        <v>31.751.26ERWFIN CUT</v>
      </c>
      <c r="K100" s="15">
        <v>3884381</v>
      </c>
      <c r="L100" s="15" t="s">
        <v>1604</v>
      </c>
      <c r="M100" s="477" t="s">
        <v>340</v>
      </c>
      <c r="N100" s="15" t="s">
        <v>6446</v>
      </c>
      <c r="O100" s="15" t="s">
        <v>3742</v>
      </c>
      <c r="P100" s="15" t="s">
        <v>2520</v>
      </c>
      <c r="Q100" s="478">
        <v>31.75</v>
      </c>
      <c r="R100" s="478">
        <v>0</v>
      </c>
      <c r="S100" s="478">
        <v>1.2</v>
      </c>
      <c r="T100" s="479">
        <v>6.0010000000000003</v>
      </c>
      <c r="U100" s="15" t="s">
        <v>6447</v>
      </c>
      <c r="V100" s="15" t="s">
        <v>6447</v>
      </c>
      <c r="W100" s="15">
        <v>10000</v>
      </c>
      <c r="X100" s="15" t="s">
        <v>392</v>
      </c>
      <c r="Y100" s="492">
        <v>10</v>
      </c>
      <c r="Z100"/>
      <c r="AA100"/>
      <c r="AB100" s="162"/>
      <c r="AC100" s="174"/>
    </row>
    <row r="101" spans="1:29" x14ac:dyDescent="0.25">
      <c r="A101" s="91" t="s">
        <v>367</v>
      </c>
      <c r="B101" s="15" t="s">
        <v>5966</v>
      </c>
      <c r="C101" s="15" t="s">
        <v>6442</v>
      </c>
      <c r="D101" s="15" t="s">
        <v>37</v>
      </c>
      <c r="E101" s="15" t="s">
        <v>6443</v>
      </c>
      <c r="F101" s="15" t="s">
        <v>5966</v>
      </c>
      <c r="G101" s="15">
        <v>98</v>
      </c>
      <c r="H101" s="15" t="s">
        <v>6468</v>
      </c>
      <c r="I101" s="15" t="s">
        <v>6467</v>
      </c>
      <c r="J101" s="15" t="str">
        <f>_xlfn.XLOOKUP(orderbook[[#This Row],[MATL_NO]],Table29[TSL Material Code3],Table29[Key])</f>
        <v>31.751.26ERWFIN CUT</v>
      </c>
      <c r="K101" s="15">
        <v>3884381</v>
      </c>
      <c r="L101" s="15" t="s">
        <v>1604</v>
      </c>
      <c r="M101" s="477" t="s">
        <v>340</v>
      </c>
      <c r="N101" s="15" t="s">
        <v>6446</v>
      </c>
      <c r="O101" s="15" t="s">
        <v>3742</v>
      </c>
      <c r="P101" s="15" t="s">
        <v>2520</v>
      </c>
      <c r="Q101" s="478">
        <v>31.75</v>
      </c>
      <c r="R101" s="478">
        <v>0</v>
      </c>
      <c r="S101" s="478">
        <v>1.2</v>
      </c>
      <c r="T101" s="479">
        <v>6.0010000000000003</v>
      </c>
      <c r="U101" s="15" t="s">
        <v>6447</v>
      </c>
      <c r="V101" s="15" t="s">
        <v>6447</v>
      </c>
      <c r="W101" s="15">
        <v>5000</v>
      </c>
      <c r="X101" s="15" t="s">
        <v>392</v>
      </c>
      <c r="Y101" s="492">
        <v>5</v>
      </c>
      <c r="Z101"/>
      <c r="AA101"/>
      <c r="AB101" s="162"/>
      <c r="AC101" s="174"/>
    </row>
    <row r="102" spans="1:29" x14ac:dyDescent="0.25">
      <c r="A102" s="91" t="s">
        <v>367</v>
      </c>
      <c r="B102" s="15" t="s">
        <v>5966</v>
      </c>
      <c r="C102" s="15" t="s">
        <v>6442</v>
      </c>
      <c r="D102" s="15" t="s">
        <v>37</v>
      </c>
      <c r="E102" s="15" t="s">
        <v>6443</v>
      </c>
      <c r="F102" s="15" t="s">
        <v>5966</v>
      </c>
      <c r="G102" s="15">
        <v>41</v>
      </c>
      <c r="H102" s="15" t="s">
        <v>6456</v>
      </c>
      <c r="I102" s="15" t="s">
        <v>6460</v>
      </c>
      <c r="J102" s="15" t="str">
        <f>_xlfn.XLOOKUP(orderbook[[#This Row],[MATL_NO]],Table29[TSL Material Code3],Table29[Key])</f>
        <v>31.751.26ERWFIN CUT</v>
      </c>
      <c r="K102" s="15">
        <v>3884381</v>
      </c>
      <c r="L102" s="15" t="s">
        <v>1604</v>
      </c>
      <c r="M102" s="477" t="s">
        <v>340</v>
      </c>
      <c r="N102" s="15" t="s">
        <v>6446</v>
      </c>
      <c r="O102" s="15" t="s">
        <v>3742</v>
      </c>
      <c r="P102" s="15" t="s">
        <v>2520</v>
      </c>
      <c r="Q102" s="478">
        <v>31.75</v>
      </c>
      <c r="R102" s="478">
        <v>0</v>
      </c>
      <c r="S102" s="478">
        <v>1.2</v>
      </c>
      <c r="T102" s="479">
        <v>6.0010000000000003</v>
      </c>
      <c r="U102" s="15" t="s">
        <v>6447</v>
      </c>
      <c r="V102" s="15" t="s">
        <v>6447</v>
      </c>
      <c r="W102" s="15">
        <v>5000</v>
      </c>
      <c r="X102" s="15" t="s">
        <v>392</v>
      </c>
      <c r="Y102" s="492">
        <v>5</v>
      </c>
      <c r="Z102"/>
      <c r="AA102"/>
      <c r="AB102" s="162"/>
      <c r="AC102" s="174"/>
    </row>
    <row r="103" spans="1:29" x14ac:dyDescent="0.25">
      <c r="A103" s="91" t="s">
        <v>367</v>
      </c>
      <c r="B103" s="15" t="s">
        <v>6413</v>
      </c>
      <c r="C103" s="15" t="s">
        <v>6442</v>
      </c>
      <c r="D103" s="15" t="s">
        <v>34</v>
      </c>
      <c r="E103" s="15" t="s">
        <v>6443</v>
      </c>
      <c r="F103" s="15" t="s">
        <v>6413</v>
      </c>
      <c r="G103" s="15">
        <v>37</v>
      </c>
      <c r="H103" s="15" t="s">
        <v>6469</v>
      </c>
      <c r="I103" s="15" t="s">
        <v>6445</v>
      </c>
      <c r="J103" s="15" t="e">
        <f>_xlfn.XLOOKUP(orderbook[[#This Row],[MATL_NO]],Table29[TSL Material Code3],Table29[Key])</f>
        <v>#N/A</v>
      </c>
      <c r="K103" s="15">
        <v>3694074</v>
      </c>
      <c r="L103" s="15" t="s">
        <v>1615</v>
      </c>
      <c r="M103" s="15" t="s">
        <v>6470</v>
      </c>
      <c r="N103" s="15" t="s">
        <v>6470</v>
      </c>
      <c r="O103" s="15" t="s">
        <v>6471</v>
      </c>
      <c r="P103" s="15" t="s">
        <v>4582</v>
      </c>
      <c r="Q103" s="478">
        <v>32</v>
      </c>
      <c r="R103" s="478">
        <v>0</v>
      </c>
      <c r="S103" s="478">
        <v>4.5</v>
      </c>
      <c r="T103" s="479">
        <v>6.4</v>
      </c>
      <c r="U103" s="15" t="s">
        <v>6447</v>
      </c>
      <c r="V103" s="15" t="s">
        <v>6447</v>
      </c>
      <c r="W103" s="15">
        <v>15000</v>
      </c>
      <c r="X103" s="15" t="s">
        <v>392</v>
      </c>
      <c r="Y103" s="492">
        <v>15</v>
      </c>
      <c r="Z103"/>
      <c r="AA103"/>
      <c r="AB103" s="162"/>
      <c r="AC103" s="174"/>
    </row>
    <row r="104" spans="1:29" x14ac:dyDescent="0.25">
      <c r="A104" s="91" t="s">
        <v>367</v>
      </c>
      <c r="B104" s="15" t="s">
        <v>6413</v>
      </c>
      <c r="C104" s="15" t="s">
        <v>6442</v>
      </c>
      <c r="D104" s="15" t="s">
        <v>34</v>
      </c>
      <c r="E104" s="15" t="s">
        <v>6443</v>
      </c>
      <c r="F104" s="15" t="s">
        <v>6413</v>
      </c>
      <c r="G104" s="15">
        <v>79</v>
      </c>
      <c r="H104" s="15" t="s">
        <v>6472</v>
      </c>
      <c r="I104" s="15" t="s">
        <v>6445</v>
      </c>
      <c r="J104" s="15" t="e">
        <f>_xlfn.XLOOKUP(orderbook[[#This Row],[MATL_NO]],Table29[TSL Material Code3],Table29[Key])</f>
        <v>#N/A</v>
      </c>
      <c r="K104" s="15">
        <v>3694074</v>
      </c>
      <c r="L104" s="15" t="s">
        <v>1615</v>
      </c>
      <c r="M104" s="15" t="s">
        <v>6470</v>
      </c>
      <c r="N104" s="15" t="s">
        <v>6470</v>
      </c>
      <c r="O104" s="15" t="s">
        <v>6471</v>
      </c>
      <c r="P104" s="15" t="s">
        <v>4582</v>
      </c>
      <c r="Q104" s="478">
        <v>32</v>
      </c>
      <c r="R104" s="478">
        <v>0</v>
      </c>
      <c r="S104" s="478">
        <v>4.5</v>
      </c>
      <c r="T104" s="479">
        <v>6.4</v>
      </c>
      <c r="U104" s="15" t="s">
        <v>6447</v>
      </c>
      <c r="V104" s="15" t="s">
        <v>6447</v>
      </c>
      <c r="W104" s="15">
        <v>25000</v>
      </c>
      <c r="X104" s="15" t="s">
        <v>392</v>
      </c>
      <c r="Y104" s="492">
        <v>12.558</v>
      </c>
      <c r="Z104"/>
      <c r="AA104"/>
      <c r="AB104" s="162"/>
      <c r="AC104" s="174"/>
    </row>
    <row r="105" spans="1:29" x14ac:dyDescent="0.25">
      <c r="A105" s="91" t="s">
        <v>367</v>
      </c>
      <c r="B105" s="15" t="s">
        <v>6413</v>
      </c>
      <c r="C105" s="15" t="s">
        <v>6442</v>
      </c>
      <c r="D105" s="15" t="s">
        <v>34</v>
      </c>
      <c r="E105" s="15" t="s">
        <v>6443</v>
      </c>
      <c r="F105" s="15" t="s">
        <v>6413</v>
      </c>
      <c r="G105" s="15">
        <v>37</v>
      </c>
      <c r="H105" s="15" t="s">
        <v>6473</v>
      </c>
      <c r="I105" s="15" t="s">
        <v>6445</v>
      </c>
      <c r="J105" s="15" t="e">
        <f>_xlfn.XLOOKUP(orderbook[[#This Row],[MATL_NO]],Table29[TSL Material Code3],Table29[Key])</f>
        <v>#N/A</v>
      </c>
      <c r="K105" s="15">
        <v>3694074</v>
      </c>
      <c r="L105" s="15" t="s">
        <v>1615</v>
      </c>
      <c r="M105" s="15" t="s">
        <v>6470</v>
      </c>
      <c r="N105" s="15" t="s">
        <v>6470</v>
      </c>
      <c r="O105" s="15" t="s">
        <v>6471</v>
      </c>
      <c r="P105" s="15" t="s">
        <v>4582</v>
      </c>
      <c r="Q105" s="478">
        <v>32</v>
      </c>
      <c r="R105" s="478">
        <v>0</v>
      </c>
      <c r="S105" s="478">
        <v>4.5</v>
      </c>
      <c r="T105" s="479">
        <v>6.4</v>
      </c>
      <c r="U105" s="15" t="s">
        <v>6447</v>
      </c>
      <c r="V105" s="15" t="s">
        <v>6447</v>
      </c>
      <c r="W105" s="15">
        <v>10000</v>
      </c>
      <c r="X105" s="15" t="s">
        <v>392</v>
      </c>
      <c r="Y105" s="492">
        <v>10</v>
      </c>
      <c r="Z105"/>
      <c r="AA105"/>
      <c r="AB105" s="162"/>
      <c r="AC105" s="174"/>
    </row>
    <row r="106" spans="1:29" x14ac:dyDescent="0.25">
      <c r="A106" s="91" t="s">
        <v>367</v>
      </c>
      <c r="B106" s="15" t="s">
        <v>6413</v>
      </c>
      <c r="C106" s="15" t="s">
        <v>6442</v>
      </c>
      <c r="D106" s="15" t="s">
        <v>34</v>
      </c>
      <c r="E106" s="15" t="s">
        <v>6443</v>
      </c>
      <c r="F106" s="15" t="s">
        <v>6413</v>
      </c>
      <c r="G106" s="15">
        <v>16</v>
      </c>
      <c r="H106" s="15" t="s">
        <v>6474</v>
      </c>
      <c r="I106" s="15" t="s">
        <v>6445</v>
      </c>
      <c r="J106" s="15" t="e">
        <f>_xlfn.XLOOKUP(orderbook[[#This Row],[MATL_NO]],Table29[TSL Material Code3],Table29[Key])</f>
        <v>#N/A</v>
      </c>
      <c r="K106" s="15">
        <v>3694074</v>
      </c>
      <c r="L106" s="15" t="s">
        <v>1615</v>
      </c>
      <c r="M106" s="15" t="s">
        <v>6470</v>
      </c>
      <c r="N106" s="15" t="s">
        <v>6470</v>
      </c>
      <c r="O106" s="15" t="s">
        <v>6471</v>
      </c>
      <c r="P106" s="15" t="s">
        <v>4582</v>
      </c>
      <c r="Q106" s="478">
        <v>32</v>
      </c>
      <c r="R106" s="478">
        <v>0</v>
      </c>
      <c r="S106" s="478">
        <v>4.5</v>
      </c>
      <c r="T106" s="479">
        <v>6.4</v>
      </c>
      <c r="U106" s="15" t="s">
        <v>6447</v>
      </c>
      <c r="V106" s="15" t="s">
        <v>6447</v>
      </c>
      <c r="W106" s="15">
        <v>7000</v>
      </c>
      <c r="X106" s="15" t="s">
        <v>392</v>
      </c>
      <c r="Y106" s="492">
        <v>7</v>
      </c>
      <c r="Z106"/>
      <c r="AA106"/>
      <c r="AB106" s="162"/>
      <c r="AC106" s="174"/>
    </row>
    <row r="107" spans="1:29" x14ac:dyDescent="0.25">
      <c r="A107" s="91" t="s">
        <v>367</v>
      </c>
      <c r="B107" s="15" t="s">
        <v>5966</v>
      </c>
      <c r="C107" s="15" t="s">
        <v>6442</v>
      </c>
      <c r="D107" s="15" t="s">
        <v>37</v>
      </c>
      <c r="E107" s="15" t="s">
        <v>6443</v>
      </c>
      <c r="F107" s="15" t="s">
        <v>5966</v>
      </c>
      <c r="G107" s="15">
        <v>14</v>
      </c>
      <c r="H107" s="15" t="s">
        <v>6448</v>
      </c>
      <c r="I107" s="15" t="s">
        <v>6475</v>
      </c>
      <c r="J107" s="15" t="str">
        <f>_xlfn.XLOOKUP(orderbook[[#This Row],[MATL_NO]],Table29[TSL Material Code3],Table29[Key])</f>
        <v>38.12.56.19HSTFIN CUT</v>
      </c>
      <c r="K107" s="15">
        <v>3502007</v>
      </c>
      <c r="L107" s="15" t="s">
        <v>5993</v>
      </c>
      <c r="M107" s="477" t="s">
        <v>340</v>
      </c>
      <c r="N107" s="15" t="s">
        <v>6446</v>
      </c>
      <c r="O107" s="15" t="s">
        <v>6454</v>
      </c>
      <c r="P107" s="15" t="s">
        <v>4343</v>
      </c>
      <c r="Q107" s="478">
        <v>38.1</v>
      </c>
      <c r="R107" s="478">
        <v>0</v>
      </c>
      <c r="S107" s="478">
        <v>2.5</v>
      </c>
      <c r="T107" s="479">
        <v>6.19</v>
      </c>
      <c r="U107" s="15" t="s">
        <v>6447</v>
      </c>
      <c r="V107" s="15" t="s">
        <v>6447</v>
      </c>
      <c r="W107" s="15">
        <v>40000</v>
      </c>
      <c r="X107" s="15" t="s">
        <v>392</v>
      </c>
      <c r="Y107" s="492">
        <v>38.326000000000001</v>
      </c>
      <c r="Z107"/>
      <c r="AA107"/>
      <c r="AB107" s="162"/>
      <c r="AC107" s="174"/>
    </row>
    <row r="108" spans="1:29" x14ac:dyDescent="0.25">
      <c r="A108" s="91" t="s">
        <v>367</v>
      </c>
      <c r="B108" s="15" t="s">
        <v>5966</v>
      </c>
      <c r="C108" s="15" t="s">
        <v>6442</v>
      </c>
      <c r="D108" s="15" t="s">
        <v>37</v>
      </c>
      <c r="E108" s="15" t="s">
        <v>6443</v>
      </c>
      <c r="F108" s="15" t="s">
        <v>5966</v>
      </c>
      <c r="G108" s="15">
        <v>54</v>
      </c>
      <c r="H108" s="15" t="s">
        <v>6457</v>
      </c>
      <c r="I108" s="15" t="s">
        <v>6460</v>
      </c>
      <c r="J108" s="15" t="str">
        <f>_xlfn.XLOOKUP(orderbook[[#This Row],[MATL_NO]],Table29[TSL Material Code3],Table29[Key])</f>
        <v>38.125.65ERWFIN CUT</v>
      </c>
      <c r="K108" s="15">
        <v>3500959</v>
      </c>
      <c r="L108" s="15" t="s">
        <v>1651</v>
      </c>
      <c r="M108" s="477" t="s">
        <v>340</v>
      </c>
      <c r="N108" s="15" t="s">
        <v>6446</v>
      </c>
      <c r="O108" s="15" t="s">
        <v>3742</v>
      </c>
      <c r="P108" s="15" t="s">
        <v>2520</v>
      </c>
      <c r="Q108" s="478">
        <v>38.1</v>
      </c>
      <c r="R108" s="478">
        <v>0</v>
      </c>
      <c r="S108" s="478">
        <v>2</v>
      </c>
      <c r="T108" s="479">
        <v>5.65</v>
      </c>
      <c r="U108" s="15" t="s">
        <v>6447</v>
      </c>
      <c r="V108" s="15" t="s">
        <v>6447</v>
      </c>
      <c r="W108" s="15">
        <v>12000</v>
      </c>
      <c r="X108" s="15" t="s">
        <v>392</v>
      </c>
      <c r="Y108" s="492">
        <v>12</v>
      </c>
      <c r="Z108"/>
      <c r="AA108"/>
      <c r="AB108" s="162"/>
      <c r="AC108" s="174"/>
    </row>
    <row r="109" spans="1:29" x14ac:dyDescent="0.25">
      <c r="A109" s="91" t="s">
        <v>367</v>
      </c>
      <c r="B109" s="15" t="s">
        <v>5966</v>
      </c>
      <c r="C109" s="15" t="s">
        <v>6442</v>
      </c>
      <c r="D109" s="15" t="s">
        <v>37</v>
      </c>
      <c r="E109" s="15" t="s">
        <v>6443</v>
      </c>
      <c r="F109" s="15" t="s">
        <v>5966</v>
      </c>
      <c r="G109" s="15">
        <v>14</v>
      </c>
      <c r="H109" s="15" t="s">
        <v>6448</v>
      </c>
      <c r="I109" s="15" t="s">
        <v>6476</v>
      </c>
      <c r="J109" s="15" t="str">
        <f>_xlfn.XLOOKUP(orderbook[[#This Row],[MATL_NO]],Table29[TSL Material Code3],Table29[Key])</f>
        <v>38.125.65ERWFIN CUT</v>
      </c>
      <c r="K109" s="15">
        <v>3500959</v>
      </c>
      <c r="L109" s="15" t="s">
        <v>1651</v>
      </c>
      <c r="M109" s="477" t="s">
        <v>340</v>
      </c>
      <c r="N109" s="15" t="s">
        <v>6446</v>
      </c>
      <c r="O109" s="15" t="s">
        <v>3742</v>
      </c>
      <c r="P109" s="15" t="s">
        <v>2520</v>
      </c>
      <c r="Q109" s="478">
        <v>38.1</v>
      </c>
      <c r="R109" s="478">
        <v>0</v>
      </c>
      <c r="S109" s="478">
        <v>2</v>
      </c>
      <c r="T109" s="479">
        <v>5.65</v>
      </c>
      <c r="U109" s="15" t="s">
        <v>6447</v>
      </c>
      <c r="V109" s="15" t="s">
        <v>6447</v>
      </c>
      <c r="W109" s="15">
        <v>20000</v>
      </c>
      <c r="X109" s="15" t="s">
        <v>392</v>
      </c>
      <c r="Y109" s="492">
        <v>20</v>
      </c>
      <c r="Z109"/>
      <c r="AA109"/>
      <c r="AB109" s="162"/>
      <c r="AC109" s="174"/>
    </row>
    <row r="110" spans="1:29" x14ac:dyDescent="0.25">
      <c r="A110" s="91" t="s">
        <v>367</v>
      </c>
      <c r="B110" s="15" t="s">
        <v>5966</v>
      </c>
      <c r="C110" s="15" t="s">
        <v>6442</v>
      </c>
      <c r="D110" s="15" t="s">
        <v>37</v>
      </c>
      <c r="E110" s="15" t="s">
        <v>6443</v>
      </c>
      <c r="F110" s="15" t="s">
        <v>5966</v>
      </c>
      <c r="G110" s="15">
        <v>41</v>
      </c>
      <c r="H110" s="15" t="s">
        <v>6456</v>
      </c>
      <c r="I110" s="15" t="s">
        <v>6476</v>
      </c>
      <c r="J110" s="15" t="str">
        <f>_xlfn.XLOOKUP(orderbook[[#This Row],[MATL_NO]],Table29[TSL Material Code3],Table29[Key])</f>
        <v>38.11.66.19HSTFIN CUT</v>
      </c>
      <c r="K110" s="15">
        <v>3502254</v>
      </c>
      <c r="L110" s="15" t="s">
        <v>858</v>
      </c>
      <c r="M110" s="477" t="s">
        <v>340</v>
      </c>
      <c r="N110" s="15" t="s">
        <v>6446</v>
      </c>
      <c r="O110" s="15" t="s">
        <v>2806</v>
      </c>
      <c r="P110" s="15" t="s">
        <v>2520</v>
      </c>
      <c r="Q110" s="478">
        <v>38.1</v>
      </c>
      <c r="R110" s="478">
        <v>0</v>
      </c>
      <c r="S110" s="478">
        <v>1.6</v>
      </c>
      <c r="T110" s="479">
        <v>6.19</v>
      </c>
      <c r="U110" s="15" t="s">
        <v>6447</v>
      </c>
      <c r="V110" s="15" t="s">
        <v>6447</v>
      </c>
      <c r="W110" s="15">
        <v>10000</v>
      </c>
      <c r="X110" s="15" t="s">
        <v>392</v>
      </c>
      <c r="Y110" s="492">
        <v>10</v>
      </c>
      <c r="Z110"/>
      <c r="AA110"/>
      <c r="AB110" s="162"/>
      <c r="AC110" s="174"/>
    </row>
    <row r="111" spans="1:29" x14ac:dyDescent="0.25">
      <c r="A111" s="91" t="s">
        <v>367</v>
      </c>
      <c r="B111" s="15" t="s">
        <v>5966</v>
      </c>
      <c r="C111" s="15" t="s">
        <v>6442</v>
      </c>
      <c r="D111" s="15" t="s">
        <v>37</v>
      </c>
      <c r="E111" s="15" t="s">
        <v>6443</v>
      </c>
      <c r="F111" s="15" t="s">
        <v>5966</v>
      </c>
      <c r="G111" s="15">
        <v>19</v>
      </c>
      <c r="H111" s="15" t="s">
        <v>6459</v>
      </c>
      <c r="I111" s="15" t="s">
        <v>6455</v>
      </c>
      <c r="J111" s="15" t="str">
        <f>_xlfn.XLOOKUP(orderbook[[#This Row],[MATL_NO]],Table29[TSL Material Code3],Table29[Key])</f>
        <v>38.11.66.19HSTFIN CUT</v>
      </c>
      <c r="K111" s="15">
        <v>3502254</v>
      </c>
      <c r="L111" s="15" t="s">
        <v>858</v>
      </c>
      <c r="M111" s="477" t="s">
        <v>340</v>
      </c>
      <c r="N111" s="15" t="s">
        <v>6446</v>
      </c>
      <c r="O111" s="15" t="s">
        <v>2806</v>
      </c>
      <c r="P111" s="15" t="s">
        <v>2520</v>
      </c>
      <c r="Q111" s="478">
        <v>38.1</v>
      </c>
      <c r="R111" s="478">
        <v>0</v>
      </c>
      <c r="S111" s="478">
        <v>1.6</v>
      </c>
      <c r="T111" s="479">
        <v>6.19</v>
      </c>
      <c r="U111" s="15" t="s">
        <v>6447</v>
      </c>
      <c r="V111" s="15" t="s">
        <v>6447</v>
      </c>
      <c r="W111" s="15">
        <v>40000</v>
      </c>
      <c r="X111" s="15" t="s">
        <v>392</v>
      </c>
      <c r="Y111" s="492">
        <v>40</v>
      </c>
      <c r="Z111"/>
      <c r="AA111"/>
      <c r="AB111" s="162"/>
      <c r="AC111" s="174"/>
    </row>
    <row r="112" spans="1:29" x14ac:dyDescent="0.25">
      <c r="A112" s="91" t="s">
        <v>367</v>
      </c>
      <c r="B112" s="15" t="s">
        <v>5966</v>
      </c>
      <c r="C112" s="15" t="s">
        <v>6442</v>
      </c>
      <c r="D112" s="15" t="s">
        <v>37</v>
      </c>
      <c r="E112" s="15" t="s">
        <v>6443</v>
      </c>
      <c r="F112" s="15" t="s">
        <v>5966</v>
      </c>
      <c r="G112" s="15">
        <v>14</v>
      </c>
      <c r="H112" s="15" t="s">
        <v>6448</v>
      </c>
      <c r="I112" s="15" t="s">
        <v>6467</v>
      </c>
      <c r="J112" s="15" t="str">
        <f>_xlfn.XLOOKUP(orderbook[[#This Row],[MATL_NO]],Table29[TSL Material Code3],Table29[Key])</f>
        <v>38.11.66.19HSTFIN CUT</v>
      </c>
      <c r="K112" s="15">
        <v>3502254</v>
      </c>
      <c r="L112" s="15" t="s">
        <v>858</v>
      </c>
      <c r="M112" s="477" t="s">
        <v>340</v>
      </c>
      <c r="N112" s="15" t="s">
        <v>6446</v>
      </c>
      <c r="O112" s="15" t="s">
        <v>2806</v>
      </c>
      <c r="P112" s="15" t="s">
        <v>2520</v>
      </c>
      <c r="Q112" s="478">
        <v>38.1</v>
      </c>
      <c r="R112" s="478">
        <v>0</v>
      </c>
      <c r="S112" s="478">
        <v>1.6</v>
      </c>
      <c r="T112" s="479">
        <v>6.19</v>
      </c>
      <c r="U112" s="15" t="s">
        <v>6447</v>
      </c>
      <c r="V112" s="15" t="s">
        <v>6447</v>
      </c>
      <c r="W112" s="15">
        <v>30000</v>
      </c>
      <c r="X112" s="15" t="s">
        <v>392</v>
      </c>
      <c r="Y112" s="492">
        <v>30</v>
      </c>
      <c r="Z112"/>
      <c r="AA112"/>
      <c r="AB112" s="162"/>
      <c r="AC112" s="174"/>
    </row>
    <row r="113" spans="1:29" x14ac:dyDescent="0.25">
      <c r="A113" s="91" t="s">
        <v>367</v>
      </c>
      <c r="B113" s="15" t="s">
        <v>5968</v>
      </c>
      <c r="C113" s="15" t="s">
        <v>6442</v>
      </c>
      <c r="D113" s="15" t="s">
        <v>32</v>
      </c>
      <c r="E113" s="15" t="s">
        <v>6443</v>
      </c>
      <c r="F113" s="15" t="s">
        <v>5968</v>
      </c>
      <c r="G113" s="15">
        <v>92</v>
      </c>
      <c r="H113" s="15" t="s">
        <v>6453</v>
      </c>
      <c r="I113" s="15" t="s">
        <v>6455</v>
      </c>
      <c r="J113" s="15" t="str">
        <f>_xlfn.XLOOKUP(orderbook[[#This Row],[MATL_NO]],Table29[TSL Material Code3],Table29[Key])</f>
        <v>41.283.155.86ERWFIN CUT</v>
      </c>
      <c r="K113" s="15">
        <v>3673889</v>
      </c>
      <c r="L113" s="15" t="s">
        <v>5969</v>
      </c>
      <c r="M113" s="477" t="s">
        <v>340</v>
      </c>
      <c r="N113" s="15" t="s">
        <v>6446</v>
      </c>
      <c r="O113" s="15" t="s">
        <v>3742</v>
      </c>
      <c r="P113" s="15" t="s">
        <v>2520</v>
      </c>
      <c r="Q113" s="478">
        <v>41.28</v>
      </c>
      <c r="R113" s="478">
        <v>0</v>
      </c>
      <c r="S113" s="478">
        <v>3.15</v>
      </c>
      <c r="T113" s="479">
        <v>5.86</v>
      </c>
      <c r="U113" s="15" t="s">
        <v>6447</v>
      </c>
      <c r="V113" s="15" t="s">
        <v>6447</v>
      </c>
      <c r="W113" s="15">
        <v>48500</v>
      </c>
      <c r="X113" s="15" t="s">
        <v>392</v>
      </c>
      <c r="Y113" s="492">
        <v>16.513999999999999</v>
      </c>
      <c r="Z113"/>
      <c r="AA113"/>
      <c r="AB113" s="162"/>
      <c r="AC113" s="174"/>
    </row>
    <row r="114" spans="1:29" x14ac:dyDescent="0.25">
      <c r="A114" s="91" t="s">
        <v>367</v>
      </c>
      <c r="B114" s="15" t="s">
        <v>5968</v>
      </c>
      <c r="C114" s="15" t="s">
        <v>6442</v>
      </c>
      <c r="D114" s="15" t="s">
        <v>32</v>
      </c>
      <c r="E114" s="15" t="s">
        <v>6443</v>
      </c>
      <c r="F114" s="15" t="s">
        <v>5968</v>
      </c>
      <c r="G114" s="15">
        <v>41</v>
      </c>
      <c r="H114" s="15" t="s">
        <v>6451</v>
      </c>
      <c r="I114" s="15" t="s">
        <v>6458</v>
      </c>
      <c r="J114" s="15" t="str">
        <f>_xlfn.XLOOKUP(orderbook[[#This Row],[MATL_NO]],Table29[TSL Material Code3],Table29[Key])</f>
        <v>41.283.155.86ERWFIN CUT</v>
      </c>
      <c r="K114" s="15">
        <v>3673889</v>
      </c>
      <c r="L114" s="15" t="s">
        <v>5969</v>
      </c>
      <c r="M114" s="477" t="s">
        <v>340</v>
      </c>
      <c r="N114" s="15" t="s">
        <v>6446</v>
      </c>
      <c r="O114" s="15" t="s">
        <v>3742</v>
      </c>
      <c r="P114" s="15" t="s">
        <v>2520</v>
      </c>
      <c r="Q114" s="478">
        <v>41.28</v>
      </c>
      <c r="R114" s="478">
        <v>0</v>
      </c>
      <c r="S114" s="478">
        <v>3.15</v>
      </c>
      <c r="T114" s="479">
        <v>5.86</v>
      </c>
      <c r="U114" s="15" t="s">
        <v>6447</v>
      </c>
      <c r="V114" s="15" t="s">
        <v>6447</v>
      </c>
      <c r="W114" s="15">
        <v>30000</v>
      </c>
      <c r="X114" s="15" t="s">
        <v>392</v>
      </c>
      <c r="Y114" s="492">
        <v>30</v>
      </c>
      <c r="Z114"/>
      <c r="AA114"/>
      <c r="AB114" s="162"/>
      <c r="AC114" s="174"/>
    </row>
    <row r="115" spans="1:29" x14ac:dyDescent="0.25">
      <c r="A115" s="91" t="s">
        <v>367</v>
      </c>
      <c r="B115" s="15" t="s">
        <v>5968</v>
      </c>
      <c r="C115" s="15" t="s">
        <v>6442</v>
      </c>
      <c r="D115" s="15" t="s">
        <v>32</v>
      </c>
      <c r="E115" s="15" t="s">
        <v>6443</v>
      </c>
      <c r="F115" s="15" t="s">
        <v>5968</v>
      </c>
      <c r="G115" s="15">
        <v>14</v>
      </c>
      <c r="H115" s="15" t="s">
        <v>6477</v>
      </c>
      <c r="I115" s="15" t="s">
        <v>6445</v>
      </c>
      <c r="J115" s="15" t="str">
        <f>_xlfn.XLOOKUP(orderbook[[#This Row],[MATL_NO]],Table29[TSL Material Code3],Table29[Key])</f>
        <v>41.283.155.86ERWFIN CUT</v>
      </c>
      <c r="K115" s="15">
        <v>3673889</v>
      </c>
      <c r="L115" s="15" t="s">
        <v>5969</v>
      </c>
      <c r="M115" s="477" t="s">
        <v>340</v>
      </c>
      <c r="N115" s="15" t="s">
        <v>6446</v>
      </c>
      <c r="O115" s="15" t="s">
        <v>3742</v>
      </c>
      <c r="P115" s="15" t="s">
        <v>2520</v>
      </c>
      <c r="Q115" s="478">
        <v>41.28</v>
      </c>
      <c r="R115" s="478">
        <v>0</v>
      </c>
      <c r="S115" s="478">
        <v>3.15</v>
      </c>
      <c r="T115" s="479">
        <v>5.86</v>
      </c>
      <c r="U115" s="15" t="s">
        <v>6447</v>
      </c>
      <c r="V115" s="15" t="s">
        <v>6447</v>
      </c>
      <c r="W115" s="15">
        <v>20000</v>
      </c>
      <c r="X115" s="15" t="s">
        <v>392</v>
      </c>
      <c r="Y115" s="492">
        <v>20</v>
      </c>
      <c r="Z115"/>
      <c r="AA115"/>
      <c r="AB115" s="162"/>
      <c r="AC115" s="174"/>
    </row>
    <row r="116" spans="1:29" x14ac:dyDescent="0.25">
      <c r="A116" s="91" t="s">
        <v>367</v>
      </c>
      <c r="B116" s="15" t="s">
        <v>5968</v>
      </c>
      <c r="C116" s="15" t="s">
        <v>6442</v>
      </c>
      <c r="D116" s="15" t="s">
        <v>32</v>
      </c>
      <c r="E116" s="15" t="s">
        <v>6443</v>
      </c>
      <c r="F116" s="15" t="s">
        <v>5968</v>
      </c>
      <c r="G116" s="15">
        <v>111</v>
      </c>
      <c r="H116" s="15" t="s">
        <v>6478</v>
      </c>
      <c r="I116" s="15" t="s">
        <v>6445</v>
      </c>
      <c r="J116" s="15" t="str">
        <f>_xlfn.XLOOKUP(orderbook[[#This Row],[MATL_NO]],Table29[TSL Material Code3],Table29[Key])</f>
        <v>41.283.155.86ERWFIN CUT</v>
      </c>
      <c r="K116" s="15">
        <v>3673889</v>
      </c>
      <c r="L116" s="15" t="s">
        <v>5969</v>
      </c>
      <c r="M116" s="477" t="s">
        <v>340</v>
      </c>
      <c r="N116" s="15" t="s">
        <v>6446</v>
      </c>
      <c r="O116" s="15" t="s">
        <v>3742</v>
      </c>
      <c r="P116" s="15" t="s">
        <v>2520</v>
      </c>
      <c r="Q116" s="478">
        <v>41.28</v>
      </c>
      <c r="R116" s="478">
        <v>0</v>
      </c>
      <c r="S116" s="478">
        <v>3.15</v>
      </c>
      <c r="T116" s="479">
        <v>5.86</v>
      </c>
      <c r="U116" s="15" t="s">
        <v>6447</v>
      </c>
      <c r="V116" s="15" t="s">
        <v>6447</v>
      </c>
      <c r="W116" s="15">
        <v>4000</v>
      </c>
      <c r="X116" s="15" t="s">
        <v>392</v>
      </c>
      <c r="Y116" s="492">
        <v>4</v>
      </c>
      <c r="Z116"/>
      <c r="AA116"/>
      <c r="AB116" s="162"/>
      <c r="AC116" s="174"/>
    </row>
    <row r="117" spans="1:29" x14ac:dyDescent="0.25">
      <c r="A117" s="91" t="s">
        <v>367</v>
      </c>
      <c r="B117" s="15" t="s">
        <v>5966</v>
      </c>
      <c r="C117" s="15" t="s">
        <v>6442</v>
      </c>
      <c r="D117" s="15" t="s">
        <v>37</v>
      </c>
      <c r="E117" s="15" t="s">
        <v>6443</v>
      </c>
      <c r="F117" s="15" t="s">
        <v>5966</v>
      </c>
      <c r="G117" s="15">
        <v>27</v>
      </c>
      <c r="H117" s="15" t="s">
        <v>6449</v>
      </c>
      <c r="I117" s="15" t="s">
        <v>6460</v>
      </c>
      <c r="J117" s="15" t="s">
        <v>6479</v>
      </c>
      <c r="K117" s="15">
        <v>3501716</v>
      </c>
      <c r="L117" s="15" t="s">
        <v>6071</v>
      </c>
      <c r="M117" s="477" t="s">
        <v>340</v>
      </c>
      <c r="N117" s="15" t="s">
        <v>6446</v>
      </c>
      <c r="O117" s="15" t="s">
        <v>3742</v>
      </c>
      <c r="P117" s="15" t="s">
        <v>2520</v>
      </c>
      <c r="Q117" s="478">
        <v>41.28</v>
      </c>
      <c r="R117" s="478">
        <v>0</v>
      </c>
      <c r="S117" s="478">
        <v>2.6</v>
      </c>
      <c r="T117" s="479">
        <v>6</v>
      </c>
      <c r="U117" s="15" t="s">
        <v>6447</v>
      </c>
      <c r="V117" s="15" t="s">
        <v>6447</v>
      </c>
      <c r="W117" s="15">
        <v>42000</v>
      </c>
      <c r="X117" s="15" t="s">
        <v>392</v>
      </c>
      <c r="Y117" s="492">
        <v>42</v>
      </c>
      <c r="Z117"/>
      <c r="AA117"/>
      <c r="AB117" s="162"/>
      <c r="AC117" s="174"/>
    </row>
    <row r="118" spans="1:29" x14ac:dyDescent="0.25">
      <c r="A118" s="91" t="s">
        <v>367</v>
      </c>
      <c r="B118" s="15" t="s">
        <v>5968</v>
      </c>
      <c r="C118" s="15" t="s">
        <v>6442</v>
      </c>
      <c r="D118" s="15" t="s">
        <v>32</v>
      </c>
      <c r="E118" s="15" t="s">
        <v>6443</v>
      </c>
      <c r="F118" s="15" t="s">
        <v>5968</v>
      </c>
      <c r="G118" s="15">
        <v>41</v>
      </c>
      <c r="H118" s="15" t="s">
        <v>6451</v>
      </c>
      <c r="I118" s="15" t="s">
        <v>6464</v>
      </c>
      <c r="J118" s="15" t="str">
        <f>_xlfn.XLOOKUP(orderbook[[#This Row],[MATL_NO]],Table29[TSL Material Code3],Table29[Key])</f>
        <v>453.56.1CEW-1FIN CUT</v>
      </c>
      <c r="K118" s="15">
        <v>3500263</v>
      </c>
      <c r="L118" s="15" t="s">
        <v>6292</v>
      </c>
      <c r="M118" s="477" t="s">
        <v>6480</v>
      </c>
      <c r="N118" s="15" t="s">
        <v>6446</v>
      </c>
      <c r="O118" s="15" t="s">
        <v>367</v>
      </c>
      <c r="P118" s="15" t="s">
        <v>5019</v>
      </c>
      <c r="Q118" s="478">
        <v>45</v>
      </c>
      <c r="R118" s="478">
        <v>0</v>
      </c>
      <c r="S118" s="478">
        <v>3.5</v>
      </c>
      <c r="T118" s="479">
        <v>6.1000000000000005</v>
      </c>
      <c r="U118" s="15" t="s">
        <v>6447</v>
      </c>
      <c r="V118" s="15" t="s">
        <v>6447</v>
      </c>
      <c r="W118" s="15">
        <v>10000</v>
      </c>
      <c r="X118" s="15" t="s">
        <v>392</v>
      </c>
      <c r="Y118" s="492">
        <v>10</v>
      </c>
      <c r="Z118"/>
      <c r="AA118"/>
      <c r="AB118" s="162"/>
      <c r="AC118" s="174"/>
    </row>
    <row r="119" spans="1:29" x14ac:dyDescent="0.25">
      <c r="A119" s="91" t="s">
        <v>367</v>
      </c>
      <c r="B119" s="15" t="s">
        <v>5968</v>
      </c>
      <c r="C119" s="15" t="s">
        <v>6442</v>
      </c>
      <c r="D119" s="15" t="s">
        <v>32</v>
      </c>
      <c r="E119" s="15" t="s">
        <v>6443</v>
      </c>
      <c r="F119" s="15" t="s">
        <v>5968</v>
      </c>
      <c r="G119" s="15">
        <v>27</v>
      </c>
      <c r="H119" s="15" t="s">
        <v>6481</v>
      </c>
      <c r="I119" s="15" t="s">
        <v>6450</v>
      </c>
      <c r="J119" s="15" t="str">
        <f>_xlfn.XLOOKUP(orderbook[[#This Row],[MATL_NO]],Table29[TSL Material Code3],Table29[Key])</f>
        <v>451.45.7ERWFIN CUT</v>
      </c>
      <c r="K119" s="15">
        <v>3545558</v>
      </c>
      <c r="L119" s="15" t="s">
        <v>2378</v>
      </c>
      <c r="M119" s="477" t="s">
        <v>340</v>
      </c>
      <c r="N119" s="15" t="s">
        <v>6446</v>
      </c>
      <c r="O119" s="15" t="s">
        <v>3742</v>
      </c>
      <c r="P119" s="15" t="s">
        <v>2520</v>
      </c>
      <c r="Q119" s="478">
        <v>45</v>
      </c>
      <c r="R119" s="478">
        <v>0</v>
      </c>
      <c r="S119" s="478">
        <v>1.4</v>
      </c>
      <c r="T119" s="479">
        <v>5.7</v>
      </c>
      <c r="U119" s="15" t="s">
        <v>6447</v>
      </c>
      <c r="V119" s="15" t="s">
        <v>6447</v>
      </c>
      <c r="W119" s="15">
        <v>15000</v>
      </c>
      <c r="X119" s="15" t="s">
        <v>392</v>
      </c>
      <c r="Y119" s="492">
        <v>7.5779999999999994</v>
      </c>
      <c r="Z119"/>
      <c r="AA119"/>
      <c r="AB119" s="162"/>
      <c r="AC119" s="174"/>
    </row>
    <row r="120" spans="1:29" x14ac:dyDescent="0.25">
      <c r="A120" s="91" t="s">
        <v>367</v>
      </c>
      <c r="B120" s="15" t="s">
        <v>5968</v>
      </c>
      <c r="C120" s="15" t="s">
        <v>6442</v>
      </c>
      <c r="D120" s="15" t="s">
        <v>32</v>
      </c>
      <c r="E120" s="15" t="s">
        <v>6443</v>
      </c>
      <c r="F120" s="15" t="s">
        <v>5968</v>
      </c>
      <c r="G120" s="15">
        <v>27</v>
      </c>
      <c r="H120" s="15" t="s">
        <v>6481</v>
      </c>
      <c r="I120" s="15" t="s">
        <v>6458</v>
      </c>
      <c r="J120" s="15" t="str">
        <f>_xlfn.XLOOKUP(orderbook[[#This Row],[MATL_NO]],Table29[TSL Material Code3],Table29[Key])</f>
        <v>48.62.36.27HSTFIN CUT</v>
      </c>
      <c r="K120" s="15">
        <v>3549720</v>
      </c>
      <c r="L120" s="15" t="s">
        <v>5971</v>
      </c>
      <c r="M120" s="477" t="s">
        <v>340</v>
      </c>
      <c r="N120" s="15" t="s">
        <v>6446</v>
      </c>
      <c r="O120" s="15" t="s">
        <v>6454</v>
      </c>
      <c r="P120" s="15" t="s">
        <v>2520</v>
      </c>
      <c r="Q120" s="478">
        <v>48.6</v>
      </c>
      <c r="R120" s="478">
        <v>0</v>
      </c>
      <c r="S120" s="478">
        <v>2.2999999999999998</v>
      </c>
      <c r="T120" s="479">
        <v>6.2700000000000005</v>
      </c>
      <c r="U120" s="15" t="s">
        <v>6447</v>
      </c>
      <c r="V120" s="15" t="s">
        <v>6447</v>
      </c>
      <c r="W120" s="15">
        <v>1500</v>
      </c>
      <c r="X120" s="15" t="s">
        <v>392</v>
      </c>
      <c r="Y120" s="492">
        <v>1.5</v>
      </c>
      <c r="Z120"/>
      <c r="AA120"/>
      <c r="AB120" s="162"/>
      <c r="AC120" s="174"/>
    </row>
    <row r="121" spans="1:29" x14ac:dyDescent="0.25">
      <c r="A121" s="91" t="s">
        <v>367</v>
      </c>
      <c r="B121" s="15" t="s">
        <v>5968</v>
      </c>
      <c r="C121" s="15" t="s">
        <v>6442</v>
      </c>
      <c r="D121" s="15" t="s">
        <v>32</v>
      </c>
      <c r="E121" s="15" t="s">
        <v>6443</v>
      </c>
      <c r="F121" s="15" t="s">
        <v>5968</v>
      </c>
      <c r="G121" s="15">
        <v>14</v>
      </c>
      <c r="H121" s="15" t="s">
        <v>6477</v>
      </c>
      <c r="I121" s="15" t="s">
        <v>6450</v>
      </c>
      <c r="J121" s="15" t="str">
        <f>_xlfn.XLOOKUP(orderbook[[#This Row],[MATL_NO]],Table29[TSL Material Code3],Table29[Key])</f>
        <v>48.62.36.27HSTFIN CUT</v>
      </c>
      <c r="K121" s="15">
        <v>3549720</v>
      </c>
      <c r="L121" s="15" t="s">
        <v>5971</v>
      </c>
      <c r="M121" s="477" t="s">
        <v>340</v>
      </c>
      <c r="N121" s="15" t="s">
        <v>6446</v>
      </c>
      <c r="O121" s="15" t="s">
        <v>6454</v>
      </c>
      <c r="P121" s="15" t="s">
        <v>2520</v>
      </c>
      <c r="Q121" s="478">
        <v>48.6</v>
      </c>
      <c r="R121" s="478">
        <v>0</v>
      </c>
      <c r="S121" s="478">
        <v>2.2999999999999998</v>
      </c>
      <c r="T121" s="479">
        <v>6.2700000000000005</v>
      </c>
      <c r="U121" s="15" t="s">
        <v>6447</v>
      </c>
      <c r="V121" s="15" t="s">
        <v>6447</v>
      </c>
      <c r="W121" s="15">
        <v>15000</v>
      </c>
      <c r="X121" s="15" t="s">
        <v>392</v>
      </c>
      <c r="Y121" s="492">
        <v>15</v>
      </c>
      <c r="Z121"/>
      <c r="AA121"/>
      <c r="AB121" s="162"/>
      <c r="AC121" s="174"/>
    </row>
    <row r="122" spans="1:29" x14ac:dyDescent="0.25">
      <c r="A122" s="91" t="s">
        <v>367</v>
      </c>
      <c r="B122" s="15" t="s">
        <v>5968</v>
      </c>
      <c r="C122" s="15" t="s">
        <v>6442</v>
      </c>
      <c r="D122" s="15" t="s">
        <v>32</v>
      </c>
      <c r="E122" s="15" t="s">
        <v>6443</v>
      </c>
      <c r="F122" s="15" t="s">
        <v>5968</v>
      </c>
      <c r="G122" s="15">
        <v>54</v>
      </c>
      <c r="H122" s="15" t="s">
        <v>6452</v>
      </c>
      <c r="I122" s="15" t="s">
        <v>6458</v>
      </c>
      <c r="J122" s="15" t="str">
        <f>_xlfn.XLOOKUP(orderbook[[#This Row],[MATL_NO]],Table29[TSL Material Code3],Table29[Key])</f>
        <v>48.62.36.27HSTFIN CUT</v>
      </c>
      <c r="K122" s="15">
        <v>3549720</v>
      </c>
      <c r="L122" s="15" t="s">
        <v>5971</v>
      </c>
      <c r="M122" s="477" t="s">
        <v>340</v>
      </c>
      <c r="N122" s="15" t="s">
        <v>6446</v>
      </c>
      <c r="O122" s="15" t="s">
        <v>6454</v>
      </c>
      <c r="P122" s="15" t="s">
        <v>2520</v>
      </c>
      <c r="Q122" s="478">
        <v>48.6</v>
      </c>
      <c r="R122" s="478">
        <v>0</v>
      </c>
      <c r="S122" s="478">
        <v>2.2999999999999998</v>
      </c>
      <c r="T122" s="479">
        <v>6.2700000000000005</v>
      </c>
      <c r="U122" s="15" t="s">
        <v>6447</v>
      </c>
      <c r="V122" s="15" t="s">
        <v>6447</v>
      </c>
      <c r="W122" s="15">
        <v>9000</v>
      </c>
      <c r="X122" s="15" t="s">
        <v>392</v>
      </c>
      <c r="Y122" s="492">
        <v>6.9950000000000001</v>
      </c>
      <c r="Z122"/>
      <c r="AA122"/>
      <c r="AB122" s="162"/>
      <c r="AC122" s="174"/>
    </row>
    <row r="123" spans="1:29" x14ac:dyDescent="0.25">
      <c r="A123" s="91" t="s">
        <v>367</v>
      </c>
      <c r="B123" s="15" t="s">
        <v>6413</v>
      </c>
      <c r="C123" s="15" t="s">
        <v>6442</v>
      </c>
      <c r="D123" s="15" t="s">
        <v>34</v>
      </c>
      <c r="E123" s="15" t="s">
        <v>6443</v>
      </c>
      <c r="F123" s="15" t="s">
        <v>6413</v>
      </c>
      <c r="G123" s="15">
        <v>16</v>
      </c>
      <c r="H123" s="15" t="s">
        <v>6474</v>
      </c>
      <c r="I123" s="15" t="s">
        <v>6458</v>
      </c>
      <c r="J123" s="15" t="e">
        <f>_xlfn.XLOOKUP(orderbook[[#This Row],[MATL_NO]],Table29[TSL Material Code3],Table29[Key])</f>
        <v>#N/A</v>
      </c>
      <c r="K123" s="15">
        <v>3772811</v>
      </c>
      <c r="L123" s="15" t="s">
        <v>6414</v>
      </c>
      <c r="M123" s="15" t="s">
        <v>6470</v>
      </c>
      <c r="N123" s="15" t="s">
        <v>6470</v>
      </c>
      <c r="O123" s="15" t="s">
        <v>6471</v>
      </c>
      <c r="P123" s="15" t="s">
        <v>3979</v>
      </c>
      <c r="Q123" s="478">
        <v>50</v>
      </c>
      <c r="R123" s="478">
        <v>0</v>
      </c>
      <c r="S123" s="478">
        <v>6</v>
      </c>
      <c r="T123" s="479">
        <v>6.25</v>
      </c>
      <c r="U123" s="15" t="s">
        <v>6447</v>
      </c>
      <c r="V123" s="15" t="s">
        <v>6447</v>
      </c>
      <c r="W123" s="15">
        <v>100000</v>
      </c>
      <c r="X123" s="15" t="s">
        <v>392</v>
      </c>
      <c r="Y123" s="492">
        <v>100</v>
      </c>
      <c r="Z123"/>
      <c r="AA123"/>
      <c r="AB123" s="162"/>
      <c r="AC123" s="174"/>
    </row>
    <row r="124" spans="1:29" x14ac:dyDescent="0.25">
      <c r="A124" s="91" t="s">
        <v>367</v>
      </c>
      <c r="B124" s="15" t="s">
        <v>6413</v>
      </c>
      <c r="C124" s="15" t="s">
        <v>6442</v>
      </c>
      <c r="D124" s="15" t="s">
        <v>34</v>
      </c>
      <c r="E124" s="15" t="s">
        <v>6443</v>
      </c>
      <c r="F124" s="15" t="s">
        <v>6413</v>
      </c>
      <c r="G124" s="15">
        <v>67</v>
      </c>
      <c r="H124" s="15" t="s">
        <v>6482</v>
      </c>
      <c r="I124" s="15" t="s">
        <v>6445</v>
      </c>
      <c r="J124" s="15" t="e">
        <f>_xlfn.XLOOKUP(orderbook[[#This Row],[MATL_NO]],Table29[TSL Material Code3],Table29[Key])</f>
        <v>#N/A</v>
      </c>
      <c r="K124" s="15">
        <v>3772811</v>
      </c>
      <c r="L124" s="15" t="s">
        <v>6414</v>
      </c>
      <c r="M124" s="15" t="s">
        <v>6470</v>
      </c>
      <c r="N124" s="15" t="s">
        <v>6470</v>
      </c>
      <c r="O124" s="15" t="s">
        <v>6471</v>
      </c>
      <c r="P124" s="15" t="s">
        <v>3979</v>
      </c>
      <c r="Q124" s="478">
        <v>50</v>
      </c>
      <c r="R124" s="478">
        <v>0</v>
      </c>
      <c r="S124" s="478">
        <v>6</v>
      </c>
      <c r="T124" s="479">
        <v>6.25</v>
      </c>
      <c r="U124" s="15" t="s">
        <v>6447</v>
      </c>
      <c r="V124" s="15" t="s">
        <v>6447</v>
      </c>
      <c r="W124" s="15">
        <v>50000</v>
      </c>
      <c r="X124" s="15" t="s">
        <v>392</v>
      </c>
      <c r="Y124" s="492">
        <v>26.154999999999998</v>
      </c>
      <c r="Z124"/>
      <c r="AA124"/>
      <c r="AB124" s="162"/>
      <c r="AC124" s="174"/>
    </row>
    <row r="125" spans="1:29" x14ac:dyDescent="0.25">
      <c r="A125" s="91" t="s">
        <v>367</v>
      </c>
      <c r="B125" s="15" t="s">
        <v>6413</v>
      </c>
      <c r="C125" s="15" t="s">
        <v>6442</v>
      </c>
      <c r="D125" s="15" t="s">
        <v>34</v>
      </c>
      <c r="E125" s="15" t="s">
        <v>6443</v>
      </c>
      <c r="F125" s="15" t="s">
        <v>6413</v>
      </c>
      <c r="G125" s="15">
        <v>16</v>
      </c>
      <c r="H125" s="15" t="s">
        <v>6483</v>
      </c>
      <c r="I125" s="15" t="s">
        <v>6445</v>
      </c>
      <c r="J125" s="15" t="e">
        <f>_xlfn.XLOOKUP(orderbook[[#This Row],[MATL_NO]],Table29[TSL Material Code3],Table29[Key])</f>
        <v>#N/A</v>
      </c>
      <c r="K125" s="15">
        <v>3772811</v>
      </c>
      <c r="L125" s="15" t="s">
        <v>6414</v>
      </c>
      <c r="M125" s="15" t="s">
        <v>6470</v>
      </c>
      <c r="N125" s="15" t="s">
        <v>6470</v>
      </c>
      <c r="O125" s="15" t="s">
        <v>6471</v>
      </c>
      <c r="P125" s="15" t="s">
        <v>3979</v>
      </c>
      <c r="Q125" s="478">
        <v>50</v>
      </c>
      <c r="R125" s="478">
        <v>0</v>
      </c>
      <c r="S125" s="478">
        <v>6</v>
      </c>
      <c r="T125" s="479">
        <v>6.25</v>
      </c>
      <c r="U125" s="15" t="s">
        <v>6447</v>
      </c>
      <c r="V125" s="15" t="s">
        <v>6447</v>
      </c>
      <c r="W125" s="15">
        <v>14000</v>
      </c>
      <c r="X125" s="15" t="s">
        <v>392</v>
      </c>
      <c r="Y125" s="492">
        <v>14</v>
      </c>
      <c r="Z125"/>
      <c r="AA125"/>
      <c r="AB125" s="162"/>
      <c r="AC125" s="174"/>
    </row>
    <row r="126" spans="1:29" x14ac:dyDescent="0.25">
      <c r="A126" s="91" t="s">
        <v>367</v>
      </c>
      <c r="B126" s="15" t="s">
        <v>5999</v>
      </c>
      <c r="C126" s="15" t="s">
        <v>6442</v>
      </c>
      <c r="D126" s="15" t="s">
        <v>36</v>
      </c>
      <c r="E126" s="15" t="s">
        <v>6443</v>
      </c>
      <c r="F126" s="15" t="s">
        <v>5999</v>
      </c>
      <c r="G126" s="15">
        <v>54</v>
      </c>
      <c r="H126" s="15" t="s">
        <v>6484</v>
      </c>
      <c r="I126" s="15" t="s">
        <v>6458</v>
      </c>
      <c r="J126" s="15" t="e">
        <f>_xlfn.XLOOKUP(orderbook[[#This Row],[MATL_NO]],Table29[TSL Material Code3],Table29[Key])</f>
        <v>#N/A</v>
      </c>
      <c r="K126" s="15">
        <v>3751498</v>
      </c>
      <c r="L126" s="15" t="s">
        <v>6295</v>
      </c>
      <c r="M126" s="477" t="s">
        <v>340</v>
      </c>
      <c r="N126" s="15" t="s">
        <v>6485</v>
      </c>
      <c r="O126" s="15" t="s">
        <v>2881</v>
      </c>
      <c r="P126" s="15" t="s">
        <v>2520</v>
      </c>
      <c r="Q126" s="478">
        <v>50</v>
      </c>
      <c r="R126" s="478">
        <v>50</v>
      </c>
      <c r="S126" s="478">
        <v>1.6</v>
      </c>
      <c r="T126" s="479">
        <v>6.0600000000000005</v>
      </c>
      <c r="U126" s="15" t="s">
        <v>6447</v>
      </c>
      <c r="V126" s="15" t="s">
        <v>6486</v>
      </c>
      <c r="W126" s="15">
        <v>10000</v>
      </c>
      <c r="X126" s="15" t="s">
        <v>392</v>
      </c>
      <c r="Y126" s="492">
        <v>10</v>
      </c>
      <c r="Z126"/>
      <c r="AA126"/>
      <c r="AB126" s="162"/>
      <c r="AC126" s="174"/>
    </row>
    <row r="127" spans="1:29" x14ac:dyDescent="0.25">
      <c r="A127" s="91" t="s">
        <v>367</v>
      </c>
      <c r="B127" s="15" t="s">
        <v>5999</v>
      </c>
      <c r="C127" s="15" t="s">
        <v>6442</v>
      </c>
      <c r="D127" s="15" t="s">
        <v>36</v>
      </c>
      <c r="E127" s="15" t="s">
        <v>6443</v>
      </c>
      <c r="F127" s="15" t="s">
        <v>5999</v>
      </c>
      <c r="G127" s="15">
        <v>54</v>
      </c>
      <c r="H127" s="15" t="s">
        <v>6484</v>
      </c>
      <c r="I127" s="15" t="s">
        <v>6450</v>
      </c>
      <c r="J127" s="15" t="str">
        <f>_xlfn.XLOOKUP(orderbook[[#This Row],[MATL_NO]],Table29[TSL Material Code3],Table29[Key])</f>
        <v>50.82.66CEWFIN CUT</v>
      </c>
      <c r="K127" s="15">
        <v>3500695</v>
      </c>
      <c r="L127" s="15" t="s">
        <v>6294</v>
      </c>
      <c r="M127" s="477" t="s">
        <v>6480</v>
      </c>
      <c r="N127" s="15" t="s">
        <v>6446</v>
      </c>
      <c r="O127" s="15" t="s">
        <v>367</v>
      </c>
      <c r="P127" s="15" t="s">
        <v>2517</v>
      </c>
      <c r="Q127" s="478">
        <v>50.8</v>
      </c>
      <c r="R127" s="478">
        <v>0</v>
      </c>
      <c r="S127" s="478">
        <v>2.6</v>
      </c>
      <c r="T127" s="479">
        <v>6</v>
      </c>
      <c r="U127" s="15" t="s">
        <v>6447</v>
      </c>
      <c r="V127" s="15" t="s">
        <v>6447</v>
      </c>
      <c r="W127" s="15">
        <v>5000</v>
      </c>
      <c r="X127" s="15" t="s">
        <v>392</v>
      </c>
      <c r="Y127" s="492">
        <v>2.0149999999999997</v>
      </c>
      <c r="Z127"/>
      <c r="AA127"/>
      <c r="AB127" s="162"/>
      <c r="AC127" s="174"/>
    </row>
    <row r="128" spans="1:29" x14ac:dyDescent="0.25">
      <c r="A128" s="91" t="s">
        <v>367</v>
      </c>
      <c r="B128" s="15" t="s">
        <v>5999</v>
      </c>
      <c r="C128" s="15" t="s">
        <v>6442</v>
      </c>
      <c r="D128" s="15" t="s">
        <v>36</v>
      </c>
      <c r="E128" s="15" t="s">
        <v>6443</v>
      </c>
      <c r="F128" s="15" t="s">
        <v>5999</v>
      </c>
      <c r="G128" s="15">
        <v>54</v>
      </c>
      <c r="H128" s="15" t="s">
        <v>6484</v>
      </c>
      <c r="I128" s="15" t="s">
        <v>6445</v>
      </c>
      <c r="J128" s="15" t="str">
        <f>_xlfn.XLOOKUP(orderbook[[#This Row],[MATL_NO]],Table29[TSL Material Code3],Table29[Key])</f>
        <v>50.82.66ERWFIN CUT</v>
      </c>
      <c r="K128" s="15">
        <v>3518437</v>
      </c>
      <c r="L128" s="15" t="s">
        <v>6293</v>
      </c>
      <c r="M128" s="477" t="s">
        <v>340</v>
      </c>
      <c r="N128" s="15" t="s">
        <v>6446</v>
      </c>
      <c r="O128" s="15" t="s">
        <v>3742</v>
      </c>
      <c r="P128" s="15" t="s">
        <v>2520</v>
      </c>
      <c r="Q128" s="478">
        <v>50.8</v>
      </c>
      <c r="R128" s="478">
        <v>0</v>
      </c>
      <c r="S128" s="478">
        <v>2.6</v>
      </c>
      <c r="T128" s="479">
        <v>6</v>
      </c>
      <c r="U128" s="15" t="s">
        <v>6447</v>
      </c>
      <c r="V128" s="15" t="s">
        <v>6447</v>
      </c>
      <c r="W128" s="15">
        <v>5000</v>
      </c>
      <c r="X128" s="15" t="s">
        <v>392</v>
      </c>
      <c r="Y128" s="492">
        <v>2.645</v>
      </c>
      <c r="Z128"/>
      <c r="AA128"/>
      <c r="AB128" s="162"/>
      <c r="AC128" s="174"/>
    </row>
    <row r="129" spans="1:29" x14ac:dyDescent="0.25">
      <c r="A129" s="91" t="s">
        <v>367</v>
      </c>
      <c r="B129" s="15" t="s">
        <v>5999</v>
      </c>
      <c r="C129" s="15" t="s">
        <v>6442</v>
      </c>
      <c r="D129" s="15" t="s">
        <v>36</v>
      </c>
      <c r="E129" s="15" t="s">
        <v>6443</v>
      </c>
      <c r="F129" s="15" t="s">
        <v>5999</v>
      </c>
      <c r="G129" s="15">
        <v>27</v>
      </c>
      <c r="H129" s="15" t="s">
        <v>6487</v>
      </c>
      <c r="I129" s="15" t="s">
        <v>6450</v>
      </c>
      <c r="J129" s="15" t="str">
        <f>_xlfn.XLOOKUP(orderbook[[#This Row],[MATL_NO]],Table29[TSL Material Code3],Table29[Key])</f>
        <v>50.82.66CEWFIN CUT</v>
      </c>
      <c r="K129" s="15">
        <v>3500695</v>
      </c>
      <c r="L129" s="15" t="s">
        <v>6294</v>
      </c>
      <c r="M129" s="477" t="s">
        <v>6480</v>
      </c>
      <c r="N129" s="15" t="s">
        <v>6446</v>
      </c>
      <c r="O129" s="15" t="s">
        <v>367</v>
      </c>
      <c r="P129" s="15" t="s">
        <v>2517</v>
      </c>
      <c r="Q129" s="478">
        <v>50.8</v>
      </c>
      <c r="R129" s="478">
        <v>0</v>
      </c>
      <c r="S129" s="478">
        <v>2.6</v>
      </c>
      <c r="T129" s="479">
        <v>6</v>
      </c>
      <c r="U129" s="15" t="s">
        <v>6447</v>
      </c>
      <c r="V129" s="15" t="s">
        <v>6447</v>
      </c>
      <c r="W129" s="15">
        <v>7500</v>
      </c>
      <c r="X129" s="15" t="s">
        <v>392</v>
      </c>
      <c r="Y129" s="492">
        <v>7.5</v>
      </c>
      <c r="Z129"/>
      <c r="AA129"/>
      <c r="AB129" s="162"/>
      <c r="AC129" s="174"/>
    </row>
    <row r="130" spans="1:29" x14ac:dyDescent="0.25">
      <c r="A130" s="91" t="s">
        <v>367</v>
      </c>
      <c r="B130" s="15" t="s">
        <v>5966</v>
      </c>
      <c r="C130" s="15" t="s">
        <v>6442</v>
      </c>
      <c r="D130" s="15" t="s">
        <v>37</v>
      </c>
      <c r="E130" s="15" t="s">
        <v>6443</v>
      </c>
      <c r="F130" s="15" t="s">
        <v>5966</v>
      </c>
      <c r="G130" s="15">
        <v>16</v>
      </c>
      <c r="H130" s="15" t="s">
        <v>6488</v>
      </c>
      <c r="I130" s="15" t="s">
        <v>6445</v>
      </c>
      <c r="J130" s="15" t="e">
        <f>_xlfn.XLOOKUP(orderbook[[#This Row],[MATL_NO]],Table29[TSL Material Code3],Table29[Key])</f>
        <v>#N/A</v>
      </c>
      <c r="K130" s="15">
        <v>3500391</v>
      </c>
      <c r="L130" s="15" t="s">
        <v>2397</v>
      </c>
      <c r="M130" s="477" t="s">
        <v>340</v>
      </c>
      <c r="N130" s="15" t="s">
        <v>6446</v>
      </c>
      <c r="O130" s="15" t="s">
        <v>3742</v>
      </c>
      <c r="P130" s="15" t="s">
        <v>2520</v>
      </c>
      <c r="Q130" s="478">
        <v>54</v>
      </c>
      <c r="R130" s="478">
        <v>0</v>
      </c>
      <c r="S130" s="478">
        <v>3</v>
      </c>
      <c r="T130" s="479">
        <v>5.91</v>
      </c>
      <c r="U130" s="15" t="s">
        <v>6447</v>
      </c>
      <c r="V130" s="15" t="s">
        <v>6447</v>
      </c>
      <c r="W130" s="15">
        <v>10000</v>
      </c>
      <c r="X130" s="15" t="s">
        <v>392</v>
      </c>
      <c r="Y130" s="492">
        <v>10</v>
      </c>
      <c r="Z130"/>
      <c r="AA130"/>
      <c r="AB130" s="162"/>
      <c r="AC130" s="174"/>
    </row>
    <row r="131" spans="1:29" x14ac:dyDescent="0.25">
      <c r="A131" s="91" t="s">
        <v>367</v>
      </c>
      <c r="B131" s="15" t="s">
        <v>5968</v>
      </c>
      <c r="C131" s="15" t="s">
        <v>6442</v>
      </c>
      <c r="D131" s="15" t="s">
        <v>32</v>
      </c>
      <c r="E131" s="15" t="s">
        <v>6443</v>
      </c>
      <c r="F131" s="15" t="s">
        <v>5968</v>
      </c>
      <c r="G131" s="15">
        <v>41</v>
      </c>
      <c r="H131" s="15" t="s">
        <v>6451</v>
      </c>
      <c r="I131" s="15" t="s">
        <v>6455</v>
      </c>
      <c r="J131" s="15" t="str">
        <f>_xlfn.XLOOKUP(orderbook[[#This Row],[MATL_NO]],Table29[TSL Material Code3],Table29[Key])</f>
        <v>57.1535.65ERWFIN CUT</v>
      </c>
      <c r="K131" s="15">
        <v>3501105</v>
      </c>
      <c r="L131" s="15" t="s">
        <v>1754</v>
      </c>
      <c r="M131" s="477" t="s">
        <v>340</v>
      </c>
      <c r="N131" s="15" t="s">
        <v>6446</v>
      </c>
      <c r="O131" s="15" t="s">
        <v>3742</v>
      </c>
      <c r="P131" s="15" t="s">
        <v>2520</v>
      </c>
      <c r="Q131" s="478">
        <v>57.15</v>
      </c>
      <c r="R131" s="478">
        <v>0</v>
      </c>
      <c r="S131" s="478">
        <v>3</v>
      </c>
      <c r="T131" s="479">
        <v>5.65</v>
      </c>
      <c r="U131" s="15" t="s">
        <v>6447</v>
      </c>
      <c r="V131" s="15" t="s">
        <v>6447</v>
      </c>
      <c r="W131" s="15">
        <v>15000</v>
      </c>
      <c r="X131" s="15" t="s">
        <v>392</v>
      </c>
      <c r="Y131" s="492">
        <v>15</v>
      </c>
      <c r="Z131"/>
      <c r="AA131"/>
      <c r="AB131" s="162"/>
      <c r="AC131" s="174"/>
    </row>
    <row r="132" spans="1:29" x14ac:dyDescent="0.25">
      <c r="A132" s="91" t="s">
        <v>367</v>
      </c>
      <c r="B132" s="15" t="s">
        <v>5966</v>
      </c>
      <c r="C132" s="15" t="s">
        <v>6442</v>
      </c>
      <c r="D132" s="15" t="s">
        <v>37</v>
      </c>
      <c r="E132" s="15" t="s">
        <v>6443</v>
      </c>
      <c r="F132" s="15" t="s">
        <v>5966</v>
      </c>
      <c r="G132" s="15">
        <v>54</v>
      </c>
      <c r="H132" s="15" t="s">
        <v>6457</v>
      </c>
      <c r="I132" s="15" t="s">
        <v>6476</v>
      </c>
      <c r="J132" s="15" t="str">
        <f>_xlfn.XLOOKUP(orderbook[[#This Row],[MATL_NO]],Table29[TSL Material Code3],Table29[Key])</f>
        <v>57.152.56.1ERWFIN CUT</v>
      </c>
      <c r="K132" s="15">
        <v>3910001</v>
      </c>
      <c r="L132" s="15" t="s">
        <v>1752</v>
      </c>
      <c r="M132" s="477" t="s">
        <v>340</v>
      </c>
      <c r="N132" s="15" t="s">
        <v>6446</v>
      </c>
      <c r="O132" s="15" t="s">
        <v>3742</v>
      </c>
      <c r="P132" s="15" t="s">
        <v>2520</v>
      </c>
      <c r="Q132" s="478">
        <v>57.15</v>
      </c>
      <c r="R132" s="478">
        <v>0</v>
      </c>
      <c r="S132" s="478">
        <v>2.5</v>
      </c>
      <c r="T132" s="479">
        <v>6.1000000000000005</v>
      </c>
      <c r="U132" s="15" t="s">
        <v>6447</v>
      </c>
      <c r="V132" s="15" t="s">
        <v>6447</v>
      </c>
      <c r="W132" s="15">
        <v>73000</v>
      </c>
      <c r="X132" s="15" t="s">
        <v>392</v>
      </c>
      <c r="Y132" s="492">
        <v>42.637999999999998</v>
      </c>
      <c r="Z132"/>
      <c r="AA132"/>
      <c r="AB132" s="162"/>
      <c r="AC132" s="174"/>
    </row>
    <row r="133" spans="1:29" x14ac:dyDescent="0.25">
      <c r="A133" s="91" t="s">
        <v>367</v>
      </c>
      <c r="B133" s="15" t="s">
        <v>5966</v>
      </c>
      <c r="C133" s="15" t="s">
        <v>6442</v>
      </c>
      <c r="D133" s="15" t="s">
        <v>37</v>
      </c>
      <c r="E133" s="15" t="s">
        <v>6443</v>
      </c>
      <c r="F133" s="15" t="s">
        <v>5966</v>
      </c>
      <c r="G133" s="15">
        <v>54</v>
      </c>
      <c r="H133" s="15" t="s">
        <v>6457</v>
      </c>
      <c r="I133" s="15" t="s">
        <v>6467</v>
      </c>
      <c r="J133" s="15" t="str">
        <f>_xlfn.XLOOKUP(orderbook[[#This Row],[MATL_NO]],Table29[TSL Material Code3],Table29[Key])</f>
        <v>57.152.55.71ERWFIN CUT</v>
      </c>
      <c r="K133" s="15">
        <v>3907863</v>
      </c>
      <c r="L133" s="15" t="s">
        <v>1749</v>
      </c>
      <c r="M133" s="477" t="s">
        <v>340</v>
      </c>
      <c r="N133" s="15" t="s">
        <v>6446</v>
      </c>
      <c r="O133" s="15" t="s">
        <v>3742</v>
      </c>
      <c r="P133" s="15" t="s">
        <v>2520</v>
      </c>
      <c r="Q133" s="478">
        <v>57.15</v>
      </c>
      <c r="R133" s="478">
        <v>0</v>
      </c>
      <c r="S133" s="478">
        <v>2.5</v>
      </c>
      <c r="T133" s="479">
        <v>5.7110000000000003</v>
      </c>
      <c r="U133" s="15" t="s">
        <v>6447</v>
      </c>
      <c r="V133" s="15" t="s">
        <v>6447</v>
      </c>
      <c r="W133" s="15">
        <v>71000</v>
      </c>
      <c r="X133" s="15" t="s">
        <v>392</v>
      </c>
      <c r="Y133" s="492">
        <v>35.928999999999995</v>
      </c>
      <c r="Z133"/>
      <c r="AA133"/>
      <c r="AB133" s="162"/>
      <c r="AC133" s="174"/>
    </row>
    <row r="134" spans="1:29" x14ac:dyDescent="0.25">
      <c r="A134" s="91" t="s">
        <v>367</v>
      </c>
      <c r="B134" s="15" t="s">
        <v>5966</v>
      </c>
      <c r="C134" s="15" t="s">
        <v>6442</v>
      </c>
      <c r="D134" s="15" t="s">
        <v>37</v>
      </c>
      <c r="E134" s="15" t="s">
        <v>6443</v>
      </c>
      <c r="F134" s="15" t="s">
        <v>5966</v>
      </c>
      <c r="G134" s="15">
        <v>79</v>
      </c>
      <c r="H134" s="15" t="s">
        <v>6444</v>
      </c>
      <c r="I134" s="15" t="s">
        <v>6489</v>
      </c>
      <c r="J134" s="15" t="s">
        <v>6490</v>
      </c>
      <c r="K134" s="15">
        <v>4045220</v>
      </c>
      <c r="L134" s="15" t="s">
        <v>5967</v>
      </c>
      <c r="M134" s="477" t="s">
        <v>340</v>
      </c>
      <c r="N134" s="15" t="s">
        <v>6446</v>
      </c>
      <c r="O134" s="15" t="s">
        <v>3742</v>
      </c>
      <c r="P134" s="15" t="s">
        <v>2520</v>
      </c>
      <c r="Q134" s="478">
        <v>57.15</v>
      </c>
      <c r="R134" s="478">
        <v>0</v>
      </c>
      <c r="S134" s="478">
        <v>2.5</v>
      </c>
      <c r="T134" s="479">
        <v>5.95</v>
      </c>
      <c r="U134" s="15" t="s">
        <v>6447</v>
      </c>
      <c r="V134" s="15" t="s">
        <v>6447</v>
      </c>
      <c r="W134" s="15">
        <v>20000</v>
      </c>
      <c r="X134" s="15" t="s">
        <v>392</v>
      </c>
      <c r="Y134" s="492">
        <v>10.321</v>
      </c>
      <c r="Z134"/>
      <c r="AA134"/>
      <c r="AB134" s="162"/>
      <c r="AC134" s="174"/>
    </row>
    <row r="135" spans="1:29" x14ac:dyDescent="0.25">
      <c r="A135" s="91" t="s">
        <v>367</v>
      </c>
      <c r="B135" s="15" t="s">
        <v>5966</v>
      </c>
      <c r="C135" s="15" t="s">
        <v>6442</v>
      </c>
      <c r="D135" s="15" t="s">
        <v>37</v>
      </c>
      <c r="E135" s="15" t="s">
        <v>6443</v>
      </c>
      <c r="F135" s="15" t="s">
        <v>5966</v>
      </c>
      <c r="G135" s="15">
        <v>27</v>
      </c>
      <c r="H135" s="15" t="s">
        <v>6449</v>
      </c>
      <c r="I135" s="15" t="s">
        <v>6464</v>
      </c>
      <c r="J135" s="15" t="s">
        <v>6490</v>
      </c>
      <c r="K135" s="15">
        <v>3501047</v>
      </c>
      <c r="L135" s="15" t="s">
        <v>2371</v>
      </c>
      <c r="M135" s="477" t="s">
        <v>340</v>
      </c>
      <c r="N135" s="15" t="s">
        <v>6446</v>
      </c>
      <c r="O135" s="15" t="s">
        <v>3742</v>
      </c>
      <c r="P135" s="15" t="s">
        <v>2520</v>
      </c>
      <c r="Q135" s="478">
        <v>57.15</v>
      </c>
      <c r="R135" s="478">
        <v>0</v>
      </c>
      <c r="S135" s="478">
        <v>2.5</v>
      </c>
      <c r="T135" s="479">
        <v>5.75</v>
      </c>
      <c r="U135" s="15" t="s">
        <v>6447</v>
      </c>
      <c r="V135" s="15" t="s">
        <v>6447</v>
      </c>
      <c r="W135" s="15">
        <v>22500</v>
      </c>
      <c r="X135" s="15" t="s">
        <v>392</v>
      </c>
      <c r="Y135" s="492">
        <v>22.5</v>
      </c>
      <c r="Z135"/>
      <c r="AA135"/>
      <c r="AB135" s="162"/>
      <c r="AC135" s="174"/>
    </row>
    <row r="136" spans="1:29" x14ac:dyDescent="0.25">
      <c r="A136" s="91" t="s">
        <v>367</v>
      </c>
      <c r="B136" s="15" t="s">
        <v>5966</v>
      </c>
      <c r="C136" s="15" t="s">
        <v>6442</v>
      </c>
      <c r="D136" s="15" t="s">
        <v>37</v>
      </c>
      <c r="E136" s="15" t="s">
        <v>6443</v>
      </c>
      <c r="F136" s="15" t="s">
        <v>5966</v>
      </c>
      <c r="G136" s="15">
        <v>19</v>
      </c>
      <c r="H136" s="15" t="s">
        <v>6459</v>
      </c>
      <c r="I136" s="15" t="s">
        <v>6475</v>
      </c>
      <c r="J136" s="15" t="str">
        <f>_xlfn.XLOOKUP(orderbook[[#This Row],[MATL_NO]],Table29[TSL Material Code3],Table29[Key])</f>
        <v>57.152.56.1ERWFIN CUT</v>
      </c>
      <c r="K136" s="15">
        <v>3910001</v>
      </c>
      <c r="L136" s="15" t="s">
        <v>1752</v>
      </c>
      <c r="M136" s="477" t="s">
        <v>340</v>
      </c>
      <c r="N136" s="15" t="s">
        <v>6446</v>
      </c>
      <c r="O136" s="15" t="s">
        <v>3742</v>
      </c>
      <c r="P136" s="15" t="s">
        <v>2520</v>
      </c>
      <c r="Q136" s="478">
        <v>57.15</v>
      </c>
      <c r="R136" s="478">
        <v>0</v>
      </c>
      <c r="S136" s="478">
        <v>2.5</v>
      </c>
      <c r="T136" s="479">
        <v>6.1000000000000005</v>
      </c>
      <c r="U136" s="15" t="s">
        <v>6447</v>
      </c>
      <c r="V136" s="15" t="s">
        <v>6447</v>
      </c>
      <c r="W136" s="15">
        <v>30000</v>
      </c>
      <c r="X136" s="15" t="s">
        <v>392</v>
      </c>
      <c r="Y136" s="492">
        <v>30</v>
      </c>
      <c r="Z136"/>
      <c r="AA136"/>
      <c r="AB136" s="162"/>
      <c r="AC136" s="174"/>
    </row>
    <row r="137" spans="1:29" x14ac:dyDescent="0.25">
      <c r="A137" s="91" t="s">
        <v>367</v>
      </c>
      <c r="B137" s="15" t="s">
        <v>5966</v>
      </c>
      <c r="C137" s="15" t="s">
        <v>6442</v>
      </c>
      <c r="D137" s="15" t="s">
        <v>37</v>
      </c>
      <c r="E137" s="15" t="s">
        <v>6443</v>
      </c>
      <c r="F137" s="15" t="s">
        <v>5966</v>
      </c>
      <c r="G137" s="15">
        <v>19</v>
      </c>
      <c r="H137" s="15" t="s">
        <v>6459</v>
      </c>
      <c r="I137" s="15" t="s">
        <v>6467</v>
      </c>
      <c r="J137" s="15" t="s">
        <v>6490</v>
      </c>
      <c r="K137" s="15">
        <v>3501047</v>
      </c>
      <c r="L137" s="15" t="s">
        <v>2371</v>
      </c>
      <c r="M137" s="477" t="s">
        <v>340</v>
      </c>
      <c r="N137" s="15" t="s">
        <v>6446</v>
      </c>
      <c r="O137" s="15" t="s">
        <v>3742</v>
      </c>
      <c r="P137" s="15" t="s">
        <v>2520</v>
      </c>
      <c r="Q137" s="478">
        <v>57.15</v>
      </c>
      <c r="R137" s="478">
        <v>0</v>
      </c>
      <c r="S137" s="478">
        <v>2.5</v>
      </c>
      <c r="T137" s="479">
        <v>5.75</v>
      </c>
      <c r="U137" s="15" t="s">
        <v>6447</v>
      </c>
      <c r="V137" s="15" t="s">
        <v>6447</v>
      </c>
      <c r="W137" s="15">
        <v>30000</v>
      </c>
      <c r="X137" s="15" t="s">
        <v>392</v>
      </c>
      <c r="Y137" s="492">
        <v>30</v>
      </c>
      <c r="Z137"/>
      <c r="AA137"/>
      <c r="AB137" s="162"/>
      <c r="AC137" s="174"/>
    </row>
    <row r="138" spans="1:29" x14ac:dyDescent="0.25">
      <c r="A138" s="91" t="s">
        <v>367</v>
      </c>
      <c r="B138" s="15" t="s">
        <v>5966</v>
      </c>
      <c r="C138" s="15" t="s">
        <v>6442</v>
      </c>
      <c r="D138" s="15" t="s">
        <v>37</v>
      </c>
      <c r="E138" s="15" t="s">
        <v>6443</v>
      </c>
      <c r="F138" s="15" t="s">
        <v>5966</v>
      </c>
      <c r="G138" s="15">
        <v>41</v>
      </c>
      <c r="H138" s="15" t="s">
        <v>6456</v>
      </c>
      <c r="I138" s="15" t="s">
        <v>6491</v>
      </c>
      <c r="J138" s="15" t="str">
        <f>_xlfn.XLOOKUP(orderbook[[#This Row],[MATL_NO]],Table29[TSL Material Code3],Table29[Key])</f>
        <v>57.152.56.1ERWFIN CUT</v>
      </c>
      <c r="K138" s="15">
        <v>3910001</v>
      </c>
      <c r="L138" s="15" t="s">
        <v>1752</v>
      </c>
      <c r="M138" s="477" t="s">
        <v>340</v>
      </c>
      <c r="N138" s="15" t="s">
        <v>6446</v>
      </c>
      <c r="O138" s="15" t="s">
        <v>3742</v>
      </c>
      <c r="P138" s="15" t="s">
        <v>2520</v>
      </c>
      <c r="Q138" s="478">
        <v>57.15</v>
      </c>
      <c r="R138" s="478">
        <v>0</v>
      </c>
      <c r="S138" s="478">
        <v>2.5</v>
      </c>
      <c r="T138" s="479">
        <v>6.1000000000000005</v>
      </c>
      <c r="U138" s="15" t="s">
        <v>6447</v>
      </c>
      <c r="V138" s="15" t="s">
        <v>6447</v>
      </c>
      <c r="W138" s="15">
        <v>73000</v>
      </c>
      <c r="X138" s="15" t="s">
        <v>392</v>
      </c>
      <c r="Y138" s="492">
        <v>73</v>
      </c>
      <c r="Z138"/>
      <c r="AA138"/>
      <c r="AB138" s="162"/>
      <c r="AC138" s="174"/>
    </row>
    <row r="139" spans="1:29" x14ac:dyDescent="0.25">
      <c r="A139" s="91" t="s">
        <v>367</v>
      </c>
      <c r="B139" s="15" t="s">
        <v>5966</v>
      </c>
      <c r="C139" s="15" t="s">
        <v>6442</v>
      </c>
      <c r="D139" s="15" t="s">
        <v>37</v>
      </c>
      <c r="E139" s="15" t="s">
        <v>6443</v>
      </c>
      <c r="F139" s="15" t="s">
        <v>5966</v>
      </c>
      <c r="G139" s="15">
        <v>19</v>
      </c>
      <c r="H139" s="15" t="s">
        <v>6459</v>
      </c>
      <c r="I139" s="15" t="s">
        <v>6476</v>
      </c>
      <c r="J139" s="15" t="str">
        <f>_xlfn.XLOOKUP(orderbook[[#This Row],[MATL_NO]],Table29[TSL Material Code3],Table29[Key])</f>
        <v>57.152.56.1ERWFIN CUT</v>
      </c>
      <c r="K139" s="15">
        <v>3910001</v>
      </c>
      <c r="L139" s="15" t="s">
        <v>1752</v>
      </c>
      <c r="M139" s="477" t="s">
        <v>340</v>
      </c>
      <c r="N139" s="15" t="s">
        <v>6446</v>
      </c>
      <c r="O139" s="15" t="s">
        <v>3742</v>
      </c>
      <c r="P139" s="15" t="s">
        <v>2520</v>
      </c>
      <c r="Q139" s="478">
        <v>57.15</v>
      </c>
      <c r="R139" s="478">
        <v>0</v>
      </c>
      <c r="S139" s="478">
        <v>2.5</v>
      </c>
      <c r="T139" s="479">
        <v>6.1000000000000005</v>
      </c>
      <c r="U139" s="15" t="s">
        <v>6447</v>
      </c>
      <c r="V139" s="15" t="s">
        <v>6447</v>
      </c>
      <c r="W139" s="15">
        <v>30000</v>
      </c>
      <c r="X139" s="15" t="s">
        <v>392</v>
      </c>
      <c r="Y139" s="492">
        <v>30</v>
      </c>
      <c r="Z139"/>
      <c r="AA139"/>
      <c r="AB139" s="162"/>
      <c r="AC139" s="174"/>
    </row>
    <row r="140" spans="1:29" x14ac:dyDescent="0.25">
      <c r="A140" s="91" t="s">
        <v>367</v>
      </c>
      <c r="B140" s="15" t="s">
        <v>5966</v>
      </c>
      <c r="C140" s="15" t="s">
        <v>6442</v>
      </c>
      <c r="D140" s="15" t="s">
        <v>37</v>
      </c>
      <c r="E140" s="15" t="s">
        <v>6443</v>
      </c>
      <c r="F140" s="15" t="s">
        <v>5966</v>
      </c>
      <c r="G140" s="15">
        <v>19</v>
      </c>
      <c r="H140" s="15" t="s">
        <v>6459</v>
      </c>
      <c r="I140" s="15" t="s">
        <v>6460</v>
      </c>
      <c r="J140" s="15" t="str">
        <f>_xlfn.XLOOKUP(orderbook[[#This Row],[MATL_NO]],Table29[TSL Material Code3],Table29[Key])</f>
        <v>57.152.55.71ERWFIN CUT</v>
      </c>
      <c r="K140" s="15">
        <v>3907863</v>
      </c>
      <c r="L140" s="15" t="s">
        <v>1749</v>
      </c>
      <c r="M140" s="477" t="s">
        <v>340</v>
      </c>
      <c r="N140" s="15" t="s">
        <v>6446</v>
      </c>
      <c r="O140" s="15" t="s">
        <v>3742</v>
      </c>
      <c r="P140" s="15" t="s">
        <v>2520</v>
      </c>
      <c r="Q140" s="478">
        <v>57.15</v>
      </c>
      <c r="R140" s="478">
        <v>0</v>
      </c>
      <c r="S140" s="478">
        <v>2.5</v>
      </c>
      <c r="T140" s="479">
        <v>5.7110000000000003</v>
      </c>
      <c r="U140" s="15" t="s">
        <v>6447</v>
      </c>
      <c r="V140" s="15" t="s">
        <v>6447</v>
      </c>
      <c r="W140" s="15">
        <v>30000</v>
      </c>
      <c r="X140" s="15" t="s">
        <v>392</v>
      </c>
      <c r="Y140" s="492">
        <v>30</v>
      </c>
      <c r="Z140"/>
      <c r="AA140"/>
      <c r="AB140" s="162"/>
      <c r="AC140" s="174"/>
    </row>
    <row r="141" spans="1:29" x14ac:dyDescent="0.25">
      <c r="A141" s="91" t="s">
        <v>367</v>
      </c>
      <c r="B141" s="15" t="s">
        <v>5966</v>
      </c>
      <c r="C141" s="15" t="s">
        <v>6442</v>
      </c>
      <c r="D141" s="15" t="s">
        <v>37</v>
      </c>
      <c r="E141" s="15" t="s">
        <v>6443</v>
      </c>
      <c r="F141" s="15" t="s">
        <v>5966</v>
      </c>
      <c r="G141" s="15">
        <v>41</v>
      </c>
      <c r="H141" s="15" t="s">
        <v>6456</v>
      </c>
      <c r="I141" s="15" t="s">
        <v>6475</v>
      </c>
      <c r="J141" s="15" t="str">
        <f>_xlfn.XLOOKUP(orderbook[[#This Row],[MATL_NO]],Table29[TSL Material Code3],Table29[Key])</f>
        <v>57.152.55.71ERWFIN CUT</v>
      </c>
      <c r="K141" s="15">
        <v>3907863</v>
      </c>
      <c r="L141" s="15" t="s">
        <v>1749</v>
      </c>
      <c r="M141" s="477" t="s">
        <v>340</v>
      </c>
      <c r="N141" s="15" t="s">
        <v>6446</v>
      </c>
      <c r="O141" s="15" t="s">
        <v>3742</v>
      </c>
      <c r="P141" s="15" t="s">
        <v>2520</v>
      </c>
      <c r="Q141" s="478">
        <v>57.15</v>
      </c>
      <c r="R141" s="478">
        <v>0</v>
      </c>
      <c r="S141" s="478">
        <v>2.5</v>
      </c>
      <c r="T141" s="479">
        <v>5.7110000000000003</v>
      </c>
      <c r="U141" s="15" t="s">
        <v>6447</v>
      </c>
      <c r="V141" s="15" t="s">
        <v>6447</v>
      </c>
      <c r="W141" s="15">
        <v>71000</v>
      </c>
      <c r="X141" s="15" t="s">
        <v>392</v>
      </c>
      <c r="Y141" s="492">
        <v>71</v>
      </c>
      <c r="Z141"/>
      <c r="AA141"/>
      <c r="AB141" s="162"/>
      <c r="AC141" s="174"/>
    </row>
    <row r="142" spans="1:29" x14ac:dyDescent="0.25">
      <c r="A142" s="418" t="s">
        <v>367</v>
      </c>
      <c r="B142" s="423" t="s">
        <v>5966</v>
      </c>
      <c r="C142" s="423" t="s">
        <v>6442</v>
      </c>
      <c r="D142" s="423" t="s">
        <v>37</v>
      </c>
      <c r="E142" s="423" t="s">
        <v>6443</v>
      </c>
      <c r="F142" s="423" t="s">
        <v>5966</v>
      </c>
      <c r="G142" s="423">
        <v>79</v>
      </c>
      <c r="H142" s="423" t="s">
        <v>6444</v>
      </c>
      <c r="I142" s="423" t="s">
        <v>6491</v>
      </c>
      <c r="J142" s="15" t="str">
        <f>_xlfn.XLOOKUP(orderbook[[#This Row],[MATL_NO]],Table29[TSL Material Code3],Table29[Key])</f>
        <v>57.152.55.71ERWFIN CUT</v>
      </c>
      <c r="K142" s="423">
        <v>3907863</v>
      </c>
      <c r="L142" s="423" t="s">
        <v>1749</v>
      </c>
      <c r="M142" s="496" t="s">
        <v>340</v>
      </c>
      <c r="N142" s="423" t="s">
        <v>6446</v>
      </c>
      <c r="O142" s="423" t="s">
        <v>3742</v>
      </c>
      <c r="P142" s="423" t="s">
        <v>2520</v>
      </c>
      <c r="Q142" s="497">
        <v>57.15</v>
      </c>
      <c r="R142" s="497">
        <v>0</v>
      </c>
      <c r="S142" s="497">
        <v>2.5</v>
      </c>
      <c r="T142" s="498">
        <v>5.7110000000000003</v>
      </c>
      <c r="U142" s="423" t="s">
        <v>6447</v>
      </c>
      <c r="V142" s="423" t="s">
        <v>6447</v>
      </c>
      <c r="W142" s="423">
        <v>20000</v>
      </c>
      <c r="X142" s="423" t="s">
        <v>392</v>
      </c>
      <c r="Y142" s="499">
        <v>1.2149999999999999</v>
      </c>
      <c r="Z142"/>
      <c r="AA142"/>
      <c r="AB142" s="162"/>
      <c r="AC142" s="174"/>
    </row>
    <row r="144" spans="1:29" ht="51" x14ac:dyDescent="0.25">
      <c r="A144" s="502" t="s">
        <v>6416</v>
      </c>
      <c r="B144" s="502" t="s">
        <v>2</v>
      </c>
      <c r="C144" s="503" t="s">
        <v>312</v>
      </c>
      <c r="D144" s="502" t="s">
        <v>316</v>
      </c>
      <c r="E144" s="504" t="s">
        <v>317</v>
      </c>
      <c r="F144" s="502" t="s">
        <v>318</v>
      </c>
      <c r="G144" s="502" t="s">
        <v>319</v>
      </c>
      <c r="H144" s="502" t="s">
        <v>320</v>
      </c>
      <c r="I144" s="502" t="s">
        <v>6417</v>
      </c>
      <c r="J144" s="502" t="s">
        <v>6420</v>
      </c>
      <c r="K144" s="505" t="s">
        <v>313</v>
      </c>
      <c r="L144" s="506" t="s">
        <v>314</v>
      </c>
      <c r="M144" s="502" t="s">
        <v>374</v>
      </c>
      <c r="N144" s="502" t="s">
        <v>377</v>
      </c>
      <c r="O144" s="502" t="s">
        <v>378</v>
      </c>
    </row>
    <row r="145" spans="1:15" x14ac:dyDescent="0.25">
      <c r="A145" s="198" t="s">
        <v>345</v>
      </c>
      <c r="B145" t="s">
        <v>10</v>
      </c>
      <c r="C145">
        <v>943209</v>
      </c>
      <c r="D145">
        <v>19.05</v>
      </c>
      <c r="E145">
        <v>0</v>
      </c>
      <c r="F145">
        <v>2</v>
      </c>
      <c r="G145">
        <v>5800</v>
      </c>
      <c r="H145">
        <v>5.8</v>
      </c>
      <c r="I145">
        <v>3212868</v>
      </c>
      <c r="J145">
        <v>5.5</v>
      </c>
      <c r="K145" t="s">
        <v>338</v>
      </c>
      <c r="L145" t="s">
        <v>339</v>
      </c>
      <c r="M145" s="198" t="e">
        <f>VLOOKUP(Table31[[#This Row],[TSL Material Code3]],#REF!,2,0)</f>
        <v>#REF!</v>
      </c>
      <c r="N145" s="198">
        <v>9519138007</v>
      </c>
      <c r="O145" s="198"/>
    </row>
    <row r="146" spans="1:15" x14ac:dyDescent="0.25">
      <c r="A146" s="198" t="s">
        <v>367</v>
      </c>
      <c r="B146" t="s">
        <v>10</v>
      </c>
      <c r="C146">
        <v>943209</v>
      </c>
      <c r="D146">
        <v>22.2</v>
      </c>
      <c r="E146">
        <v>0</v>
      </c>
      <c r="F146">
        <v>1.2</v>
      </c>
      <c r="G146">
        <v>5870</v>
      </c>
      <c r="H146">
        <v>5.87</v>
      </c>
      <c r="I146">
        <v>3882110</v>
      </c>
      <c r="J146">
        <v>6</v>
      </c>
      <c r="K146" t="s">
        <v>338</v>
      </c>
      <c r="L146" t="s">
        <v>339</v>
      </c>
      <c r="M146" s="198" t="e">
        <f>VLOOKUP(Table31[[#This Row],[TSL Material Code3]],#REF!,2,0)</f>
        <v>#REF!</v>
      </c>
      <c r="N146" s="198">
        <v>9519133131</v>
      </c>
      <c r="O146" s="198"/>
    </row>
    <row r="147" spans="1:15" x14ac:dyDescent="0.25">
      <c r="A147" s="198" t="s">
        <v>345</v>
      </c>
      <c r="B147" t="s">
        <v>10</v>
      </c>
      <c r="C147">
        <v>943209</v>
      </c>
      <c r="D147">
        <v>22.2</v>
      </c>
      <c r="E147">
        <v>0</v>
      </c>
      <c r="F147">
        <v>1.6</v>
      </c>
      <c r="G147">
        <v>5670</v>
      </c>
      <c r="H147">
        <v>5.67</v>
      </c>
      <c r="I147">
        <v>4055022</v>
      </c>
      <c r="J147">
        <v>35</v>
      </c>
      <c r="K147" t="s">
        <v>338</v>
      </c>
      <c r="L147" t="s">
        <v>339</v>
      </c>
      <c r="M147" s="198" t="e">
        <f>VLOOKUP(Table31[[#This Row],[TSL Material Code3]],#REF!,2,0)</f>
        <v>#REF!</v>
      </c>
      <c r="N147" s="198">
        <v>9519138007</v>
      </c>
      <c r="O147" s="198"/>
    </row>
    <row r="148" spans="1:15" x14ac:dyDescent="0.25">
      <c r="A148" s="198" t="s">
        <v>367</v>
      </c>
      <c r="B148" t="s">
        <v>10</v>
      </c>
      <c r="C148">
        <v>943209</v>
      </c>
      <c r="D148">
        <v>22.2</v>
      </c>
      <c r="E148">
        <v>0</v>
      </c>
      <c r="F148">
        <v>2</v>
      </c>
      <c r="G148">
        <v>5100</v>
      </c>
      <c r="H148">
        <v>5.0999999999999996</v>
      </c>
      <c r="I148">
        <v>3500554</v>
      </c>
      <c r="J148">
        <v>7</v>
      </c>
      <c r="K148" t="s">
        <v>338</v>
      </c>
      <c r="L148" t="s">
        <v>339</v>
      </c>
      <c r="M148" s="198" t="e">
        <f>VLOOKUP(Table31[[#This Row],[TSL Material Code3]],#REF!,2,0)</f>
        <v>#REF!</v>
      </c>
      <c r="N148" s="198">
        <v>9519133131</v>
      </c>
      <c r="O148" s="198"/>
    </row>
    <row r="149" spans="1:15" x14ac:dyDescent="0.25">
      <c r="A149" s="198" t="s">
        <v>367</v>
      </c>
      <c r="B149" t="s">
        <v>341</v>
      </c>
      <c r="C149">
        <v>943210</v>
      </c>
      <c r="D149">
        <v>25.4</v>
      </c>
      <c r="E149">
        <v>0</v>
      </c>
      <c r="F149">
        <v>1.4</v>
      </c>
      <c r="G149">
        <v>5531</v>
      </c>
      <c r="H149">
        <v>5.5309999999999997</v>
      </c>
      <c r="I149">
        <v>3501900</v>
      </c>
      <c r="J149">
        <v>16</v>
      </c>
      <c r="K149" t="s">
        <v>344</v>
      </c>
      <c r="L149" t="s">
        <v>348</v>
      </c>
      <c r="M149" s="198" t="e">
        <f>VLOOKUP(Table31[[#This Row],[TSL Material Code3]],#REF!,2,0)</f>
        <v>#REF!</v>
      </c>
      <c r="N149" s="198">
        <v>9519133240</v>
      </c>
      <c r="O149" s="198"/>
    </row>
    <row r="150" spans="1:15" x14ac:dyDescent="0.25">
      <c r="A150" s="198" t="s">
        <v>367</v>
      </c>
      <c r="B150" t="s">
        <v>10</v>
      </c>
      <c r="C150">
        <v>943209</v>
      </c>
      <c r="D150">
        <v>25.4</v>
      </c>
      <c r="E150">
        <v>0</v>
      </c>
      <c r="F150">
        <v>2</v>
      </c>
      <c r="G150">
        <v>5840</v>
      </c>
      <c r="H150">
        <v>5.82</v>
      </c>
      <c r="I150">
        <v>3673890</v>
      </c>
      <c r="J150">
        <v>9.5</v>
      </c>
      <c r="K150" t="s">
        <v>338</v>
      </c>
      <c r="L150" t="s">
        <v>339</v>
      </c>
      <c r="M150" s="198" t="e">
        <f>VLOOKUP(Table31[[#This Row],[TSL Material Code3]],#REF!,2,0)</f>
        <v>#REF!</v>
      </c>
      <c r="N150" s="198">
        <v>9519137898</v>
      </c>
      <c r="O150" s="198"/>
    </row>
    <row r="151" spans="1:15" x14ac:dyDescent="0.25">
      <c r="A151" s="198" t="s">
        <v>367</v>
      </c>
      <c r="B151" t="s">
        <v>10</v>
      </c>
      <c r="C151">
        <v>943209</v>
      </c>
      <c r="D151">
        <v>25.4</v>
      </c>
      <c r="E151">
        <v>0</v>
      </c>
      <c r="F151">
        <v>2.5</v>
      </c>
      <c r="G151">
        <v>5530</v>
      </c>
      <c r="H151">
        <v>5.53</v>
      </c>
      <c r="I151">
        <v>3502256</v>
      </c>
      <c r="J151">
        <v>33</v>
      </c>
      <c r="K151" t="s">
        <v>338</v>
      </c>
      <c r="L151" t="s">
        <v>339</v>
      </c>
      <c r="M151" s="198" t="e">
        <f>VLOOKUP(Table31[[#This Row],[TSL Material Code3]],#REF!,2,0)</f>
        <v>#REF!</v>
      </c>
      <c r="N151" s="198">
        <v>9519133131</v>
      </c>
      <c r="O151" s="198"/>
    </row>
    <row r="152" spans="1:15" x14ac:dyDescent="0.25">
      <c r="A152" s="198" t="s">
        <v>367</v>
      </c>
      <c r="B152" t="s">
        <v>5</v>
      </c>
      <c r="C152">
        <v>943211</v>
      </c>
      <c r="D152">
        <v>34.93</v>
      </c>
      <c r="E152">
        <v>0</v>
      </c>
      <c r="F152">
        <v>1.2</v>
      </c>
      <c r="G152">
        <v>620</v>
      </c>
      <c r="H152">
        <v>0.62</v>
      </c>
      <c r="I152">
        <v>3499589</v>
      </c>
      <c r="J152">
        <v>34</v>
      </c>
      <c r="K152" t="s">
        <v>338</v>
      </c>
      <c r="L152" t="s">
        <v>348</v>
      </c>
      <c r="M152" s="198" t="e">
        <f>VLOOKUP(Table31[[#This Row],[TSL Material Code3]],#REF!,2,0)</f>
        <v>#REF!</v>
      </c>
      <c r="N152" s="198">
        <v>9519133650</v>
      </c>
      <c r="O152" s="198"/>
    </row>
    <row r="153" spans="1:15" x14ac:dyDescent="0.25">
      <c r="A153" s="198" t="s">
        <v>367</v>
      </c>
      <c r="B153" t="s">
        <v>5</v>
      </c>
      <c r="C153">
        <v>943211</v>
      </c>
      <c r="D153">
        <v>34.93</v>
      </c>
      <c r="E153">
        <v>0</v>
      </c>
      <c r="F153">
        <v>1.2</v>
      </c>
      <c r="G153">
        <v>650</v>
      </c>
      <c r="H153">
        <v>0.65</v>
      </c>
      <c r="I153">
        <v>3499396</v>
      </c>
      <c r="J153">
        <v>28</v>
      </c>
      <c r="K153" t="s">
        <v>338</v>
      </c>
      <c r="L153" t="s">
        <v>348</v>
      </c>
      <c r="M153" s="198" t="e">
        <f>VLOOKUP(Table31[[#This Row],[TSL Material Code3]],#REF!,2,0)</f>
        <v>#REF!</v>
      </c>
      <c r="N153" s="198">
        <v>9519133650</v>
      </c>
      <c r="O153" s="198"/>
    </row>
    <row r="154" spans="1:15" x14ac:dyDescent="0.25">
      <c r="A154" s="198" t="s">
        <v>367</v>
      </c>
      <c r="B154" t="s">
        <v>10</v>
      </c>
      <c r="C154">
        <v>943209</v>
      </c>
      <c r="D154">
        <v>38.1</v>
      </c>
      <c r="E154">
        <v>0</v>
      </c>
      <c r="F154">
        <v>2</v>
      </c>
      <c r="G154">
        <v>5650</v>
      </c>
      <c r="H154">
        <v>5.65</v>
      </c>
      <c r="I154">
        <v>3500959</v>
      </c>
      <c r="J154">
        <v>17</v>
      </c>
      <c r="K154" t="s">
        <v>338</v>
      </c>
      <c r="L154" t="s">
        <v>348</v>
      </c>
      <c r="M154" s="198" t="e">
        <f>VLOOKUP(Table31[[#This Row],[TSL Material Code3]],#REF!,2,0)</f>
        <v>#REF!</v>
      </c>
      <c r="N154" s="198">
        <v>9519133131</v>
      </c>
      <c r="O154" s="198"/>
    </row>
    <row r="155" spans="1:15" x14ac:dyDescent="0.25">
      <c r="A155" s="198" t="s">
        <v>367</v>
      </c>
      <c r="B155" t="s">
        <v>10</v>
      </c>
      <c r="C155">
        <v>943209</v>
      </c>
      <c r="D155">
        <v>38.1</v>
      </c>
      <c r="E155">
        <v>0</v>
      </c>
      <c r="F155">
        <v>2.5</v>
      </c>
      <c r="G155">
        <v>6190</v>
      </c>
      <c r="H155">
        <v>6.19</v>
      </c>
      <c r="I155">
        <v>3502007</v>
      </c>
      <c r="J155">
        <v>82.5</v>
      </c>
      <c r="K155" t="s">
        <v>344</v>
      </c>
      <c r="L155" t="s">
        <v>348</v>
      </c>
      <c r="M155" s="198" t="e">
        <f>VLOOKUP(Table31[[#This Row],[TSL Material Code3]],#REF!,2,0)</f>
        <v>#REF!</v>
      </c>
      <c r="N155" s="198">
        <v>9519133131</v>
      </c>
      <c r="O155" s="198"/>
    </row>
    <row r="156" spans="1:15" x14ac:dyDescent="0.25">
      <c r="A156" s="198" t="s">
        <v>367</v>
      </c>
      <c r="B156" t="s">
        <v>341</v>
      </c>
      <c r="C156">
        <v>943210</v>
      </c>
      <c r="D156">
        <v>41.28</v>
      </c>
      <c r="E156">
        <v>0</v>
      </c>
      <c r="F156">
        <v>3.15</v>
      </c>
      <c r="G156">
        <v>5860</v>
      </c>
      <c r="H156">
        <v>5.86</v>
      </c>
      <c r="I156">
        <v>3673889</v>
      </c>
      <c r="J156">
        <v>21.486000000000004</v>
      </c>
      <c r="K156" t="s">
        <v>338</v>
      </c>
      <c r="L156" t="s">
        <v>348</v>
      </c>
      <c r="M156" s="198" t="e">
        <f>VLOOKUP(Table31[[#This Row],[TSL Material Code3]],#REF!,2,0)</f>
        <v>#REF!</v>
      </c>
      <c r="N156" s="198">
        <v>9519138007</v>
      </c>
      <c r="O156" s="198"/>
    </row>
    <row r="157" spans="1:15" x14ac:dyDescent="0.25">
      <c r="A157" s="198" t="s">
        <v>367</v>
      </c>
      <c r="B157" t="s">
        <v>341</v>
      </c>
      <c r="C157">
        <v>943210</v>
      </c>
      <c r="D157">
        <v>48.6</v>
      </c>
      <c r="E157">
        <v>0</v>
      </c>
      <c r="F157">
        <v>2.2999999999999998</v>
      </c>
      <c r="G157">
        <v>6270</v>
      </c>
      <c r="H157">
        <v>6.27</v>
      </c>
      <c r="I157">
        <v>3549720</v>
      </c>
      <c r="J157">
        <v>1.5</v>
      </c>
      <c r="K157" t="s">
        <v>344</v>
      </c>
      <c r="L157" t="s">
        <v>348</v>
      </c>
      <c r="M157" s="198" t="e">
        <f>VLOOKUP(Table31[[#This Row],[TSL Material Code3]],#REF!,2,0)</f>
        <v>#REF!</v>
      </c>
      <c r="N157" s="198"/>
      <c r="O157" s="198"/>
    </row>
    <row r="158" spans="1:15" x14ac:dyDescent="0.25">
      <c r="A158" s="198" t="s">
        <v>367</v>
      </c>
      <c r="B158" t="s">
        <v>5</v>
      </c>
      <c r="C158">
        <v>943211</v>
      </c>
      <c r="D158" t="s">
        <v>370</v>
      </c>
      <c r="E158">
        <v>0</v>
      </c>
      <c r="F158">
        <v>1.6</v>
      </c>
      <c r="G158">
        <v>6040</v>
      </c>
      <c r="H158">
        <v>6.04</v>
      </c>
      <c r="I158">
        <v>3751498</v>
      </c>
      <c r="J158">
        <v>10</v>
      </c>
      <c r="K158" t="s">
        <v>338</v>
      </c>
      <c r="L158" t="s">
        <v>348</v>
      </c>
      <c r="M158" s="198" t="e">
        <f>VLOOKUP(Table31[[#This Row],[TSL Material Code3]],#REF!,2,0)</f>
        <v>#REF!</v>
      </c>
      <c r="N158" s="198">
        <v>9519133650</v>
      </c>
      <c r="O158" s="198"/>
    </row>
    <row r="159" spans="1:15" x14ac:dyDescent="0.25">
      <c r="A159" s="198" t="s">
        <v>367</v>
      </c>
      <c r="B159" t="s">
        <v>5</v>
      </c>
      <c r="C159">
        <v>943211</v>
      </c>
      <c r="D159">
        <v>50.8</v>
      </c>
      <c r="E159">
        <v>0</v>
      </c>
      <c r="F159">
        <v>2.6</v>
      </c>
      <c r="G159">
        <v>6000</v>
      </c>
      <c r="H159">
        <v>6</v>
      </c>
      <c r="I159">
        <v>3518437</v>
      </c>
      <c r="J159">
        <v>9.8550000000000004</v>
      </c>
      <c r="K159" t="s">
        <v>338</v>
      </c>
      <c r="L159" t="s">
        <v>348</v>
      </c>
      <c r="M159" s="198" t="e">
        <f>VLOOKUP(Table31[[#This Row],[TSL Material Code3]],#REF!,2,0)</f>
        <v>#REF!</v>
      </c>
      <c r="N159" s="198">
        <v>9519133650</v>
      </c>
      <c r="O159" s="198"/>
    </row>
    <row r="160" spans="1:15" x14ac:dyDescent="0.25">
      <c r="A160" s="198" t="s">
        <v>367</v>
      </c>
      <c r="B160" t="s">
        <v>5</v>
      </c>
      <c r="C160">
        <v>943211</v>
      </c>
      <c r="D160">
        <v>50.8</v>
      </c>
      <c r="E160">
        <v>45.6</v>
      </c>
      <c r="F160">
        <v>2.6</v>
      </c>
      <c r="G160">
        <v>6000</v>
      </c>
      <c r="H160">
        <v>6</v>
      </c>
      <c r="I160">
        <v>3500695</v>
      </c>
      <c r="J160">
        <v>7.5</v>
      </c>
      <c r="K160" t="s">
        <v>366</v>
      </c>
      <c r="L160" t="s">
        <v>348</v>
      </c>
      <c r="M160" s="198" t="e">
        <f>VLOOKUP(Table31[[#This Row],[TSL Material Code3]],#REF!,2,0)</f>
        <v>#REF!</v>
      </c>
      <c r="N160" s="198">
        <v>9519133650</v>
      </c>
      <c r="O160" s="198"/>
    </row>
    <row r="161" spans="1:15" x14ac:dyDescent="0.25">
      <c r="A161" s="198" t="s">
        <v>367</v>
      </c>
      <c r="B161" t="s">
        <v>10</v>
      </c>
      <c r="C161">
        <v>943209</v>
      </c>
      <c r="D161">
        <v>57.15</v>
      </c>
      <c r="E161">
        <v>0</v>
      </c>
      <c r="F161">
        <v>2.5</v>
      </c>
      <c r="G161">
        <v>5710</v>
      </c>
      <c r="H161">
        <v>5.71</v>
      </c>
      <c r="I161">
        <v>3907863</v>
      </c>
      <c r="J161">
        <v>53.855999999999995</v>
      </c>
      <c r="K161" t="s">
        <v>338</v>
      </c>
      <c r="L161" t="s">
        <v>348</v>
      </c>
      <c r="M161" s="198" t="e">
        <f>VLOOKUP(Table31[[#This Row],[TSL Material Code3]],#REF!,2,0)</f>
        <v>#REF!</v>
      </c>
      <c r="N161" s="198">
        <v>9519133131</v>
      </c>
      <c r="O161" s="198"/>
    </row>
    <row r="162" spans="1:15" x14ac:dyDescent="0.25">
      <c r="A162" s="198" t="s">
        <v>362</v>
      </c>
      <c r="B162" t="s">
        <v>341</v>
      </c>
      <c r="C162">
        <v>943210</v>
      </c>
      <c r="D162">
        <v>34</v>
      </c>
      <c r="E162">
        <v>0</v>
      </c>
      <c r="F162">
        <v>1.4</v>
      </c>
      <c r="G162">
        <v>5660</v>
      </c>
      <c r="H162">
        <v>5.66</v>
      </c>
      <c r="I162">
        <v>3702855</v>
      </c>
      <c r="J162">
        <v>4.5</v>
      </c>
      <c r="K162" t="s">
        <v>344</v>
      </c>
      <c r="L162" t="s">
        <v>348</v>
      </c>
      <c r="M162" s="198" t="e">
        <f>VLOOKUP(Table31[[#This Row],[TSL Material Code3]],#REF!,2,0)</f>
        <v>#REF!</v>
      </c>
      <c r="N162" s="198"/>
      <c r="O162" s="198"/>
    </row>
    <row r="163" spans="1:15" x14ac:dyDescent="0.25">
      <c r="A163" s="198" t="s">
        <v>362</v>
      </c>
      <c r="B163" t="s">
        <v>5</v>
      </c>
      <c r="C163">
        <v>943211</v>
      </c>
      <c r="D163">
        <v>38.1</v>
      </c>
      <c r="E163">
        <v>0</v>
      </c>
      <c r="F163">
        <v>3.2</v>
      </c>
      <c r="G163">
        <v>6000</v>
      </c>
      <c r="H163">
        <v>6</v>
      </c>
      <c r="I163">
        <v>3500699</v>
      </c>
      <c r="J163">
        <v>7.5</v>
      </c>
      <c r="K163" t="s">
        <v>366</v>
      </c>
      <c r="L163" t="s">
        <v>348</v>
      </c>
      <c r="M163" s="198" t="e">
        <f>VLOOKUP(Table31[[#This Row],[TSL Material Code3]],#REF!,2,0)</f>
        <v>#REF!</v>
      </c>
      <c r="N163" s="198">
        <v>9519133776</v>
      </c>
      <c r="O163" s="198"/>
    </row>
    <row r="164" spans="1:15" x14ac:dyDescent="0.25">
      <c r="A164" s="198" t="s">
        <v>362</v>
      </c>
      <c r="B164" t="s">
        <v>10</v>
      </c>
      <c r="C164">
        <v>943209</v>
      </c>
      <c r="D164">
        <v>42.7</v>
      </c>
      <c r="E164">
        <v>0</v>
      </c>
      <c r="F164">
        <v>3.5</v>
      </c>
      <c r="G164">
        <v>6000</v>
      </c>
      <c r="H164">
        <v>6</v>
      </c>
      <c r="I164">
        <v>2396465</v>
      </c>
      <c r="J164">
        <v>2</v>
      </c>
      <c r="K164" t="s">
        <v>364</v>
      </c>
      <c r="L164" t="s">
        <v>348</v>
      </c>
      <c r="M164" s="198" t="e">
        <f>VLOOKUP(Table31[[#This Row],[TSL Material Code3]],#REF!,2,0)</f>
        <v>#REF!</v>
      </c>
      <c r="N164" s="198"/>
      <c r="O164" s="198"/>
    </row>
    <row r="165" spans="1:15" x14ac:dyDescent="0.25">
      <c r="A165" s="198" t="s">
        <v>362</v>
      </c>
      <c r="B165" t="s">
        <v>10</v>
      </c>
      <c r="C165">
        <v>943209</v>
      </c>
      <c r="D165">
        <v>42.7</v>
      </c>
      <c r="E165">
        <v>0</v>
      </c>
      <c r="F165">
        <v>4</v>
      </c>
      <c r="G165">
        <v>6000</v>
      </c>
      <c r="H165">
        <v>6</v>
      </c>
      <c r="I165">
        <v>3501985</v>
      </c>
      <c r="J165">
        <v>30.5</v>
      </c>
      <c r="K165" t="s">
        <v>364</v>
      </c>
      <c r="L165" t="s">
        <v>348</v>
      </c>
      <c r="M165" s="198" t="e">
        <f>VLOOKUP(Table31[[#This Row],[TSL Material Code3]],#REF!,2,0)</f>
        <v>#REF!</v>
      </c>
      <c r="N165" s="198"/>
      <c r="O165" s="198"/>
    </row>
    <row r="166" spans="1:15" x14ac:dyDescent="0.25">
      <c r="A166" s="198" t="s">
        <v>362</v>
      </c>
      <c r="B166" t="s">
        <v>5</v>
      </c>
      <c r="C166">
        <v>943211</v>
      </c>
      <c r="D166">
        <v>47.63</v>
      </c>
      <c r="E166">
        <v>0</v>
      </c>
      <c r="F166">
        <v>4</v>
      </c>
      <c r="G166">
        <v>6040</v>
      </c>
      <c r="H166">
        <v>6.04</v>
      </c>
      <c r="I166">
        <v>3500635</v>
      </c>
      <c r="J166">
        <v>15</v>
      </c>
      <c r="K166" t="s">
        <v>366</v>
      </c>
      <c r="L166" t="s">
        <v>348</v>
      </c>
      <c r="M166" s="198" t="e">
        <f>VLOOKUP(Table31[[#This Row],[TSL Material Code3]],#REF!,2,0)</f>
        <v>#REF!</v>
      </c>
      <c r="N166" s="198">
        <v>9519133776</v>
      </c>
      <c r="O166" s="198"/>
    </row>
    <row r="167" spans="1:15" x14ac:dyDescent="0.25">
      <c r="A167" s="198" t="s">
        <v>362</v>
      </c>
      <c r="B167" t="s">
        <v>10</v>
      </c>
      <c r="C167">
        <v>943209</v>
      </c>
      <c r="D167">
        <v>60.3</v>
      </c>
      <c r="E167">
        <v>0</v>
      </c>
      <c r="F167">
        <v>2</v>
      </c>
      <c r="G167">
        <v>5900</v>
      </c>
      <c r="H167">
        <v>5.9</v>
      </c>
      <c r="I167">
        <v>3905049</v>
      </c>
      <c r="J167">
        <v>10.9</v>
      </c>
      <c r="K167" t="s">
        <v>338</v>
      </c>
      <c r="L167" t="s">
        <v>348</v>
      </c>
      <c r="M167" s="198" t="e">
        <f>VLOOKUP(Table31[[#This Row],[TSL Material Code3]],#REF!,2,0)</f>
        <v>#REF!</v>
      </c>
      <c r="N167" s="198"/>
      <c r="O167" s="198"/>
    </row>
    <row r="168" spans="1:15" x14ac:dyDescent="0.25">
      <c r="A168" s="198" t="s">
        <v>345</v>
      </c>
      <c r="B168" t="s">
        <v>10</v>
      </c>
      <c r="C168">
        <v>943209</v>
      </c>
      <c r="D168">
        <v>12.7</v>
      </c>
      <c r="E168">
        <v>0</v>
      </c>
      <c r="F168">
        <v>1.2</v>
      </c>
      <c r="G168">
        <v>6000</v>
      </c>
      <c r="H168">
        <v>6</v>
      </c>
      <c r="I168">
        <v>1939985</v>
      </c>
      <c r="J168">
        <v>24</v>
      </c>
      <c r="K168" t="s">
        <v>338</v>
      </c>
      <c r="L168" t="s">
        <v>339</v>
      </c>
      <c r="M168" s="198" t="e">
        <f>VLOOKUP(Table31[[#This Row],[TSL Material Code3]],#REF!,2,0)</f>
        <v>#REF!</v>
      </c>
      <c r="N168" s="198">
        <v>9519133854</v>
      </c>
      <c r="O168" s="198"/>
    </row>
    <row r="169" spans="1:15" x14ac:dyDescent="0.25">
      <c r="A169" s="198" t="s">
        <v>345</v>
      </c>
      <c r="B169" t="s">
        <v>10</v>
      </c>
      <c r="C169">
        <v>943209</v>
      </c>
      <c r="D169">
        <v>12.7</v>
      </c>
      <c r="E169">
        <v>0</v>
      </c>
      <c r="F169">
        <v>2</v>
      </c>
      <c r="G169">
        <v>6000</v>
      </c>
      <c r="H169">
        <v>6</v>
      </c>
      <c r="I169">
        <v>236166</v>
      </c>
      <c r="J169">
        <v>4.5</v>
      </c>
      <c r="K169" t="s">
        <v>338</v>
      </c>
      <c r="L169" t="s">
        <v>339</v>
      </c>
      <c r="M169" s="198" t="e">
        <f>VLOOKUP(Table31[[#This Row],[TSL Material Code3]],#REF!,2,0)</f>
        <v>#REF!</v>
      </c>
      <c r="N169" s="198"/>
      <c r="O169" s="198"/>
    </row>
    <row r="170" spans="1:15" x14ac:dyDescent="0.25">
      <c r="A170" s="198" t="s">
        <v>345</v>
      </c>
      <c r="B170" t="s">
        <v>10</v>
      </c>
      <c r="C170">
        <v>943209</v>
      </c>
      <c r="D170">
        <v>15.88</v>
      </c>
      <c r="E170">
        <v>0</v>
      </c>
      <c r="F170">
        <v>1.2</v>
      </c>
      <c r="G170">
        <v>6000</v>
      </c>
      <c r="H170">
        <v>6</v>
      </c>
      <c r="I170">
        <v>1940054</v>
      </c>
      <c r="J170">
        <v>11.5</v>
      </c>
      <c r="K170" t="s">
        <v>338</v>
      </c>
      <c r="L170" t="s">
        <v>339</v>
      </c>
      <c r="M170" s="198" t="e">
        <f>VLOOKUP(Table31[[#This Row],[TSL Material Code3]],#REF!,2,0)</f>
        <v>#REF!</v>
      </c>
      <c r="N170" s="198">
        <v>9519133854</v>
      </c>
      <c r="O170" s="198"/>
    </row>
    <row r="171" spans="1:15" x14ac:dyDescent="0.25">
      <c r="A171" s="198" t="s">
        <v>345</v>
      </c>
      <c r="B171" t="s">
        <v>341</v>
      </c>
      <c r="C171">
        <v>943210</v>
      </c>
      <c r="D171">
        <v>15.88</v>
      </c>
      <c r="E171">
        <v>0</v>
      </c>
      <c r="F171">
        <v>2</v>
      </c>
      <c r="G171">
        <v>6000</v>
      </c>
      <c r="H171">
        <v>6</v>
      </c>
      <c r="I171">
        <v>1940120</v>
      </c>
      <c r="J171">
        <v>5.5</v>
      </c>
      <c r="K171" t="s">
        <v>338</v>
      </c>
      <c r="L171" t="s">
        <v>339</v>
      </c>
      <c r="M171" s="198" t="e">
        <f>VLOOKUP(Table31[[#This Row],[TSL Material Code3]],#REF!,2,0)</f>
        <v>#REF!</v>
      </c>
      <c r="N171" s="198">
        <v>9519133982</v>
      </c>
      <c r="O171" s="198"/>
    </row>
    <row r="172" spans="1:15" x14ac:dyDescent="0.25">
      <c r="A172" s="198" t="s">
        <v>345</v>
      </c>
      <c r="B172" t="s">
        <v>10</v>
      </c>
      <c r="C172">
        <v>943209</v>
      </c>
      <c r="D172">
        <v>18.3</v>
      </c>
      <c r="E172">
        <v>0</v>
      </c>
      <c r="F172">
        <v>1</v>
      </c>
      <c r="G172">
        <v>6000</v>
      </c>
      <c r="H172">
        <v>6</v>
      </c>
      <c r="I172">
        <v>2288945</v>
      </c>
      <c r="J172">
        <v>21</v>
      </c>
      <c r="K172" t="s">
        <v>338</v>
      </c>
      <c r="L172" t="s">
        <v>339</v>
      </c>
      <c r="M172" s="198" t="e">
        <f>VLOOKUP(Table31[[#This Row],[TSL Material Code3]],#REF!,2,0)</f>
        <v>#REF!</v>
      </c>
      <c r="N172" s="198">
        <v>9519133854</v>
      </c>
      <c r="O172" s="198"/>
    </row>
    <row r="173" spans="1:15" x14ac:dyDescent="0.25">
      <c r="A173" s="198" t="s">
        <v>345</v>
      </c>
      <c r="B173" t="s">
        <v>10</v>
      </c>
      <c r="C173">
        <v>943209</v>
      </c>
      <c r="D173">
        <v>21.4</v>
      </c>
      <c r="E173">
        <v>0</v>
      </c>
      <c r="F173">
        <v>1.6</v>
      </c>
      <c r="G173">
        <v>6000</v>
      </c>
      <c r="H173">
        <v>6</v>
      </c>
      <c r="I173">
        <v>3219710</v>
      </c>
      <c r="J173">
        <v>6</v>
      </c>
      <c r="K173" t="s">
        <v>338</v>
      </c>
      <c r="L173" t="s">
        <v>339</v>
      </c>
      <c r="M173" s="198" t="e">
        <f>VLOOKUP(Table31[[#This Row],[TSL Material Code3]],#REF!,2,0)</f>
        <v>#REF!</v>
      </c>
      <c r="N173" s="198">
        <v>9519133854</v>
      </c>
      <c r="O173" s="198"/>
    </row>
    <row r="174" spans="1:15" x14ac:dyDescent="0.25">
      <c r="A174" s="198" t="s">
        <v>345</v>
      </c>
      <c r="B174" t="s">
        <v>10</v>
      </c>
      <c r="C174">
        <v>943209</v>
      </c>
      <c r="D174">
        <v>22.2</v>
      </c>
      <c r="E174">
        <v>0</v>
      </c>
      <c r="F174">
        <v>1.6</v>
      </c>
      <c r="G174">
        <v>5270</v>
      </c>
      <c r="H174">
        <v>5.27</v>
      </c>
      <c r="I174">
        <v>3575894</v>
      </c>
      <c r="J174">
        <v>40</v>
      </c>
      <c r="K174" t="s">
        <v>338</v>
      </c>
      <c r="L174" t="s">
        <v>339</v>
      </c>
      <c r="M174" s="198" t="e">
        <f>VLOOKUP(Table31[[#This Row],[TSL Material Code3]],#REF!,2,0)</f>
        <v>#REF!</v>
      </c>
      <c r="N174" s="198">
        <v>9519133854</v>
      </c>
      <c r="O174" s="198"/>
    </row>
    <row r="175" spans="1:15" x14ac:dyDescent="0.25">
      <c r="A175" s="198" t="s">
        <v>345</v>
      </c>
      <c r="B175" t="s">
        <v>341</v>
      </c>
      <c r="C175">
        <v>943210</v>
      </c>
      <c r="D175">
        <v>22.2</v>
      </c>
      <c r="E175">
        <v>0</v>
      </c>
      <c r="F175">
        <v>2</v>
      </c>
      <c r="G175">
        <v>5390</v>
      </c>
      <c r="H175">
        <v>5.39</v>
      </c>
      <c r="I175">
        <v>2431251</v>
      </c>
      <c r="J175">
        <v>67</v>
      </c>
      <c r="K175" t="s">
        <v>350</v>
      </c>
      <c r="L175" t="s">
        <v>348</v>
      </c>
      <c r="M175" s="198" t="e">
        <f>VLOOKUP(Table31[[#This Row],[TSL Material Code3]],#REF!,2,0)</f>
        <v>#REF!</v>
      </c>
      <c r="N175" s="198">
        <v>9519133982</v>
      </c>
      <c r="O175" s="198"/>
    </row>
    <row r="176" spans="1:15" x14ac:dyDescent="0.25">
      <c r="A176" s="198" t="s">
        <v>345</v>
      </c>
      <c r="B176" t="s">
        <v>10</v>
      </c>
      <c r="C176">
        <v>943209</v>
      </c>
      <c r="D176">
        <v>25.4</v>
      </c>
      <c r="E176">
        <v>0</v>
      </c>
      <c r="F176">
        <v>2</v>
      </c>
      <c r="G176">
        <v>6050</v>
      </c>
      <c r="H176">
        <v>6.05</v>
      </c>
      <c r="I176">
        <v>4055021</v>
      </c>
      <c r="J176">
        <v>23</v>
      </c>
      <c r="K176" t="s">
        <v>338</v>
      </c>
      <c r="L176" t="s">
        <v>339</v>
      </c>
      <c r="M176" s="198" t="e">
        <f>VLOOKUP(Table31[[#This Row],[TSL Material Code3]],#REF!,2,0)</f>
        <v>#REF!</v>
      </c>
      <c r="N176" s="198">
        <v>9519133854</v>
      </c>
      <c r="O176" s="198"/>
    </row>
    <row r="177" spans="1:15" x14ac:dyDescent="0.25">
      <c r="A177" s="198" t="s">
        <v>345</v>
      </c>
      <c r="B177" t="s">
        <v>10</v>
      </c>
      <c r="C177">
        <v>943209</v>
      </c>
      <c r="D177">
        <v>28.6</v>
      </c>
      <c r="E177">
        <v>0</v>
      </c>
      <c r="F177">
        <v>1.2</v>
      </c>
      <c r="G177">
        <v>6000</v>
      </c>
      <c r="H177">
        <v>6</v>
      </c>
      <c r="I177">
        <v>3702101</v>
      </c>
      <c r="J177">
        <v>1.5</v>
      </c>
      <c r="K177" t="s">
        <v>338</v>
      </c>
      <c r="L177" t="s">
        <v>348</v>
      </c>
      <c r="M177" s="198" t="e">
        <f>VLOOKUP(Table31[[#This Row],[TSL Material Code3]],#REF!,2,0)</f>
        <v>#REF!</v>
      </c>
      <c r="N177" s="198"/>
      <c r="O177" s="198"/>
    </row>
    <row r="178" spans="1:15" x14ac:dyDescent="0.25">
      <c r="A178" s="198" t="s">
        <v>345</v>
      </c>
      <c r="B178" t="s">
        <v>10</v>
      </c>
      <c r="C178">
        <v>943209</v>
      </c>
      <c r="D178">
        <v>31.75</v>
      </c>
      <c r="E178">
        <v>0</v>
      </c>
      <c r="F178">
        <v>2</v>
      </c>
      <c r="G178">
        <v>6000</v>
      </c>
      <c r="H178">
        <v>6</v>
      </c>
      <c r="I178">
        <v>1931387</v>
      </c>
      <c r="J178">
        <v>15</v>
      </c>
      <c r="K178" t="s">
        <v>338</v>
      </c>
      <c r="L178" t="s">
        <v>348</v>
      </c>
      <c r="M178" s="198" t="e">
        <f>VLOOKUP(Table31[[#This Row],[TSL Material Code3]],#REF!,2,0)</f>
        <v>#REF!</v>
      </c>
      <c r="N178" s="198">
        <v>9519133854</v>
      </c>
      <c r="O178" s="198"/>
    </row>
    <row r="179" spans="1:15" x14ac:dyDescent="0.25">
      <c r="A179" s="198" t="s">
        <v>345</v>
      </c>
      <c r="B179" t="s">
        <v>10</v>
      </c>
      <c r="C179">
        <v>943209</v>
      </c>
      <c r="D179">
        <v>34.93</v>
      </c>
      <c r="E179">
        <v>0</v>
      </c>
      <c r="F179">
        <v>1.2</v>
      </c>
      <c r="G179">
        <v>6000</v>
      </c>
      <c r="H179">
        <v>6</v>
      </c>
      <c r="I179">
        <v>1940701</v>
      </c>
      <c r="J179">
        <v>4.5</v>
      </c>
      <c r="K179" t="s">
        <v>338</v>
      </c>
      <c r="L179" t="s">
        <v>348</v>
      </c>
      <c r="M179" s="198" t="e">
        <f>VLOOKUP(Table31[[#This Row],[TSL Material Code3]],#REF!,2,0)</f>
        <v>#REF!</v>
      </c>
      <c r="N179" s="198"/>
      <c r="O179" s="198"/>
    </row>
    <row r="180" spans="1:15" x14ac:dyDescent="0.25">
      <c r="A180" s="198" t="s">
        <v>345</v>
      </c>
      <c r="B180" t="s">
        <v>10</v>
      </c>
      <c r="C180">
        <v>943209</v>
      </c>
      <c r="D180">
        <v>41.28</v>
      </c>
      <c r="E180">
        <v>0</v>
      </c>
      <c r="F180">
        <v>2.6</v>
      </c>
      <c r="G180">
        <v>6000</v>
      </c>
      <c r="H180">
        <v>6</v>
      </c>
      <c r="I180">
        <v>3974563</v>
      </c>
      <c r="J180">
        <v>42</v>
      </c>
      <c r="K180" t="s">
        <v>338</v>
      </c>
      <c r="L180" t="s">
        <v>348</v>
      </c>
      <c r="M180" s="198" t="e">
        <f>VLOOKUP(Table31[[#This Row],[TSL Material Code3]],#REF!,2,0)</f>
        <v>#REF!</v>
      </c>
      <c r="N180" s="198"/>
      <c r="O180" s="198"/>
    </row>
    <row r="181" spans="1:15" x14ac:dyDescent="0.25">
      <c r="A181" s="198" t="s">
        <v>345</v>
      </c>
      <c r="B181" t="s">
        <v>10</v>
      </c>
      <c r="C181">
        <v>943209</v>
      </c>
      <c r="D181" t="s">
        <v>363</v>
      </c>
      <c r="E181">
        <v>0</v>
      </c>
      <c r="F181">
        <v>1.6</v>
      </c>
      <c r="G181">
        <v>6130</v>
      </c>
      <c r="H181">
        <v>6.13</v>
      </c>
      <c r="I181">
        <v>3919144</v>
      </c>
      <c r="J181">
        <v>7.5</v>
      </c>
      <c r="K181" t="s">
        <v>338</v>
      </c>
      <c r="L181" t="s">
        <v>348</v>
      </c>
      <c r="M181" s="198" t="e">
        <f>VLOOKUP(Table31[[#This Row],[TSL Material Code3]],#REF!,2,0)</f>
        <v>#REF!</v>
      </c>
      <c r="N181" s="198">
        <v>9519133854</v>
      </c>
      <c r="O181" s="198"/>
    </row>
    <row r="182" spans="1:15" x14ac:dyDescent="0.25">
      <c r="A182" s="198" t="s">
        <v>345</v>
      </c>
      <c r="B182" t="s">
        <v>10</v>
      </c>
      <c r="C182">
        <v>943209</v>
      </c>
      <c r="D182" t="s">
        <v>365</v>
      </c>
      <c r="E182">
        <v>0</v>
      </c>
      <c r="F182">
        <v>1.6</v>
      </c>
      <c r="G182">
        <v>5900</v>
      </c>
      <c r="H182">
        <v>5.9</v>
      </c>
      <c r="I182">
        <v>3836440</v>
      </c>
      <c r="J182">
        <v>12</v>
      </c>
      <c r="K182" t="s">
        <v>338</v>
      </c>
      <c r="L182" t="s">
        <v>348</v>
      </c>
      <c r="M182" s="198" t="e">
        <f>VLOOKUP(Table31[[#This Row],[TSL Material Code3]],#REF!,2,0)</f>
        <v>#REF!</v>
      </c>
      <c r="N182" s="198">
        <v>9519134323</v>
      </c>
      <c r="O182" s="198"/>
    </row>
    <row r="183" spans="1:15" x14ac:dyDescent="0.25">
      <c r="A183" s="198" t="s">
        <v>345</v>
      </c>
      <c r="B183" t="s">
        <v>341</v>
      </c>
      <c r="C183">
        <v>943210</v>
      </c>
      <c r="D183">
        <v>45</v>
      </c>
      <c r="E183">
        <v>0</v>
      </c>
      <c r="F183">
        <v>1.4</v>
      </c>
      <c r="G183">
        <v>6400</v>
      </c>
      <c r="H183">
        <v>6.42</v>
      </c>
      <c r="I183">
        <v>3502343</v>
      </c>
      <c r="J183">
        <v>30</v>
      </c>
      <c r="K183" t="s">
        <v>344</v>
      </c>
      <c r="L183" t="s">
        <v>348</v>
      </c>
      <c r="M183" s="198" t="e">
        <f>VLOOKUP(Table31[[#This Row],[TSL Material Code3]],#REF!,2,0)</f>
        <v>#REF!</v>
      </c>
      <c r="N183" s="198">
        <v>9519134360</v>
      </c>
      <c r="O183" s="198"/>
    </row>
    <row r="184" spans="1:15" x14ac:dyDescent="0.25">
      <c r="A184" s="198" t="s">
        <v>345</v>
      </c>
      <c r="B184" t="s">
        <v>341</v>
      </c>
      <c r="C184">
        <v>943210</v>
      </c>
      <c r="D184">
        <v>45</v>
      </c>
      <c r="E184">
        <v>0</v>
      </c>
      <c r="F184">
        <v>1.6</v>
      </c>
      <c r="G184">
        <v>6400</v>
      </c>
      <c r="H184">
        <v>6.42</v>
      </c>
      <c r="I184">
        <v>3502388</v>
      </c>
      <c r="J184">
        <v>30</v>
      </c>
      <c r="K184" t="s">
        <v>344</v>
      </c>
      <c r="L184" t="s">
        <v>348</v>
      </c>
      <c r="M184" s="198" t="e">
        <f>VLOOKUP(Table31[[#This Row],[TSL Material Code3]],#REF!,2,0)</f>
        <v>#REF!</v>
      </c>
      <c r="N184" s="198">
        <v>9519134360</v>
      </c>
      <c r="O184" s="198"/>
    </row>
    <row r="185" spans="1:15" x14ac:dyDescent="0.25">
      <c r="A185" s="198" t="s">
        <v>345</v>
      </c>
      <c r="B185" t="s">
        <v>5</v>
      </c>
      <c r="C185">
        <v>943211</v>
      </c>
      <c r="D185">
        <v>48</v>
      </c>
      <c r="E185">
        <v>0</v>
      </c>
      <c r="F185">
        <v>1.2</v>
      </c>
      <c r="G185">
        <v>620</v>
      </c>
      <c r="H185">
        <v>0.62</v>
      </c>
      <c r="I185">
        <v>2397072</v>
      </c>
      <c r="J185">
        <v>40</v>
      </c>
      <c r="K185" t="s">
        <v>338</v>
      </c>
      <c r="L185" t="s">
        <v>348</v>
      </c>
      <c r="M185" s="198" t="e">
        <f>VLOOKUP(Table31[[#This Row],[TSL Material Code3]],#REF!,2,0)</f>
        <v>#REF!</v>
      </c>
      <c r="N185" s="198">
        <v>9519132397</v>
      </c>
      <c r="O185" s="198"/>
    </row>
    <row r="186" spans="1:15" x14ac:dyDescent="0.25">
      <c r="A186" s="198" t="s">
        <v>345</v>
      </c>
      <c r="B186" t="s">
        <v>5</v>
      </c>
      <c r="C186">
        <v>943211</v>
      </c>
      <c r="D186">
        <v>48</v>
      </c>
      <c r="E186">
        <v>0</v>
      </c>
      <c r="F186">
        <v>1.2</v>
      </c>
      <c r="G186">
        <v>650</v>
      </c>
      <c r="H186">
        <v>0.65</v>
      </c>
      <c r="I186">
        <v>2397060</v>
      </c>
      <c r="J186">
        <v>36</v>
      </c>
      <c r="K186" t="s">
        <v>338</v>
      </c>
      <c r="L186" t="s">
        <v>348</v>
      </c>
      <c r="M186" s="198" t="e">
        <f>VLOOKUP(Table31[[#This Row],[TSL Material Code3]],#REF!,2,0)</f>
        <v>#REF!</v>
      </c>
      <c r="N186" s="198">
        <v>9519132397</v>
      </c>
      <c r="O186" s="198"/>
    </row>
    <row r="187" spans="1:15" x14ac:dyDescent="0.25">
      <c r="A187" s="198" t="s">
        <v>345</v>
      </c>
      <c r="B187" t="s">
        <v>341</v>
      </c>
      <c r="C187">
        <v>943210</v>
      </c>
      <c r="D187">
        <v>48.6</v>
      </c>
      <c r="E187">
        <v>0</v>
      </c>
      <c r="F187">
        <v>3.5</v>
      </c>
      <c r="G187">
        <v>6000</v>
      </c>
      <c r="H187">
        <v>6</v>
      </c>
      <c r="I187">
        <v>3502422</v>
      </c>
      <c r="J187">
        <v>28.5</v>
      </c>
      <c r="K187" t="s">
        <v>338</v>
      </c>
      <c r="L187" t="s">
        <v>348</v>
      </c>
      <c r="M187" s="198" t="e">
        <f>VLOOKUP(Table31[[#This Row],[TSL Material Code3]],#REF!,2,0)</f>
        <v>#REF!</v>
      </c>
      <c r="N187" s="198">
        <v>9519133982</v>
      </c>
      <c r="O187" s="198"/>
    </row>
    <row r="188" spans="1:15" x14ac:dyDescent="0.25">
      <c r="A188" s="198" t="s">
        <v>345</v>
      </c>
      <c r="B188" t="s">
        <v>10</v>
      </c>
      <c r="C188">
        <v>943209</v>
      </c>
      <c r="D188" t="s">
        <v>368</v>
      </c>
      <c r="E188">
        <v>0</v>
      </c>
      <c r="F188">
        <v>1.6</v>
      </c>
      <c r="G188">
        <v>6000</v>
      </c>
      <c r="H188">
        <v>6</v>
      </c>
      <c r="I188">
        <v>1940925</v>
      </c>
      <c r="J188">
        <v>10.5</v>
      </c>
      <c r="K188" t="s">
        <v>338</v>
      </c>
      <c r="L188" t="s">
        <v>348</v>
      </c>
      <c r="M188" s="198" t="e">
        <f>VLOOKUP(Table31[[#This Row],[TSL Material Code3]],#REF!,2,0)</f>
        <v>#REF!</v>
      </c>
      <c r="N188" s="198">
        <v>9519133854</v>
      </c>
      <c r="O188" s="198"/>
    </row>
    <row r="189" spans="1:15" x14ac:dyDescent="0.25">
      <c r="A189" s="198" t="s">
        <v>345</v>
      </c>
      <c r="B189" t="s">
        <v>5</v>
      </c>
      <c r="C189">
        <v>943211</v>
      </c>
      <c r="D189" t="s">
        <v>368</v>
      </c>
      <c r="E189">
        <v>0</v>
      </c>
      <c r="F189">
        <v>1.6</v>
      </c>
      <c r="G189">
        <v>572.5</v>
      </c>
      <c r="H189">
        <v>0.57250000000000001</v>
      </c>
      <c r="I189">
        <v>2420716</v>
      </c>
      <c r="J189">
        <v>115</v>
      </c>
      <c r="K189" t="s">
        <v>338</v>
      </c>
      <c r="L189" t="s">
        <v>348</v>
      </c>
      <c r="M189" s="198" t="e">
        <f>VLOOKUP(Table31[[#This Row],[TSL Material Code3]],#REF!,2,0)</f>
        <v>#REF!</v>
      </c>
      <c r="N189" s="198">
        <v>9519132397</v>
      </c>
      <c r="O189" s="198"/>
    </row>
  </sheetData>
  <conditionalFormatting sqref="L2:L68">
    <cfRule type="duplicateValues" dxfId="47" priority="394"/>
  </conditionalFormatting>
  <pageMargins left="0.7" right="0.7" top="0.75" bottom="0.75" header="0.3" footer="0.3"/>
  <tableParts count="3">
    <tablePart r:id="rId1"/>
    <tablePart r:id="rId2"/>
    <tablePart r:id="rId3"/>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5F00-E9E9-4715-9F9C-598E8B1FFF77}">
  <dimension ref="A1"/>
  <sheetViews>
    <sheetView workbookViewId="0"/>
  </sheetViews>
  <sheetFormatPr defaultRowHeight="15"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EFA6-0361-41B4-BA68-4827CAD5BCF6}">
  <sheetPr>
    <tabColor rgb="FF7030A0"/>
  </sheetPr>
  <dimension ref="A1:W14"/>
  <sheetViews>
    <sheetView workbookViewId="0">
      <selection sqref="A1:W14"/>
    </sheetView>
  </sheetViews>
  <sheetFormatPr defaultRowHeight="15" outlineLevelCol="1" x14ac:dyDescent="0.25"/>
  <cols>
    <col min="13" max="15" width="0" hidden="1" customWidth="1" outlineLevel="1"/>
    <col min="16" max="16" width="9.140625" collapsed="1"/>
  </cols>
  <sheetData>
    <row r="1" spans="1:23" ht="51" x14ac:dyDescent="0.25">
      <c r="A1" s="410" t="s">
        <v>2</v>
      </c>
      <c r="B1" s="395" t="s">
        <v>258</v>
      </c>
      <c r="C1" s="394" t="s">
        <v>313</v>
      </c>
      <c r="D1" s="395" t="s">
        <v>314</v>
      </c>
      <c r="E1" s="395" t="s">
        <v>315</v>
      </c>
      <c r="F1" s="411" t="s">
        <v>316</v>
      </c>
      <c r="G1" s="411" t="s">
        <v>317</v>
      </c>
      <c r="H1" s="411" t="s">
        <v>318</v>
      </c>
      <c r="I1" s="395" t="s">
        <v>319</v>
      </c>
      <c r="J1" s="395" t="s">
        <v>320</v>
      </c>
      <c r="K1" s="395" t="s">
        <v>6260</v>
      </c>
      <c r="L1" s="395" t="s">
        <v>6228</v>
      </c>
      <c r="M1" s="395" t="s">
        <v>202</v>
      </c>
      <c r="N1" s="395" t="s">
        <v>261</v>
      </c>
      <c r="O1" s="395" t="s">
        <v>321</v>
      </c>
      <c r="P1" s="395" t="s">
        <v>6261</v>
      </c>
      <c r="Q1" s="395" t="s">
        <v>322</v>
      </c>
      <c r="R1" s="412" t="s">
        <v>323</v>
      </c>
      <c r="S1" s="413" t="s">
        <v>6492</v>
      </c>
      <c r="T1" s="395" t="s">
        <v>6493</v>
      </c>
      <c r="U1" s="395" t="s">
        <v>6494</v>
      </c>
      <c r="V1" s="395" t="s">
        <v>1831</v>
      </c>
      <c r="W1" s="395" t="s">
        <v>6271</v>
      </c>
    </row>
    <row r="2" spans="1:23" x14ac:dyDescent="0.25">
      <c r="A2" s="265" t="s">
        <v>10</v>
      </c>
      <c r="B2" s="147" t="s">
        <v>116</v>
      </c>
      <c r="C2" s="147" t="s">
        <v>338</v>
      </c>
      <c r="D2" s="147" t="s">
        <v>339</v>
      </c>
      <c r="E2" s="147" t="s">
        <v>340</v>
      </c>
      <c r="F2" s="148">
        <v>12.7</v>
      </c>
      <c r="G2" s="148"/>
      <c r="H2" s="148">
        <v>1.2</v>
      </c>
      <c r="I2" s="147">
        <v>6000</v>
      </c>
      <c r="J2" s="147">
        <v>6</v>
      </c>
      <c r="K2" s="147">
        <v>0</v>
      </c>
      <c r="L2" s="147"/>
      <c r="M2" s="147" t="s">
        <v>6495</v>
      </c>
      <c r="N2" s="147" t="s">
        <v>6154</v>
      </c>
      <c r="O2" s="147" t="s">
        <v>6154</v>
      </c>
      <c r="P2" s="147" t="s">
        <v>6272</v>
      </c>
      <c r="Q2" s="151" t="s">
        <v>345</v>
      </c>
      <c r="R2" s="150">
        <v>1939985</v>
      </c>
      <c r="S2" s="19">
        <v>20</v>
      </c>
      <c r="T2" s="147">
        <v>24</v>
      </c>
      <c r="U2" s="416"/>
      <c r="V2" s="416"/>
      <c r="W2" s="147">
        <v>4</v>
      </c>
    </row>
    <row r="3" spans="1:23" x14ac:dyDescent="0.25">
      <c r="A3" s="265" t="s">
        <v>10</v>
      </c>
      <c r="B3" s="147" t="s">
        <v>116</v>
      </c>
      <c r="C3" s="153" t="s">
        <v>338</v>
      </c>
      <c r="D3" s="147" t="s">
        <v>339</v>
      </c>
      <c r="E3" s="147" t="s">
        <v>340</v>
      </c>
      <c r="F3" s="154">
        <v>19.05</v>
      </c>
      <c r="G3" s="154"/>
      <c r="H3" s="154">
        <v>2</v>
      </c>
      <c r="I3" s="155">
        <v>5800</v>
      </c>
      <c r="J3" s="147">
        <v>5.8</v>
      </c>
      <c r="K3" s="147">
        <v>0</v>
      </c>
      <c r="L3" s="147"/>
      <c r="M3" s="147" t="s">
        <v>6496</v>
      </c>
      <c r="N3" s="147" t="s">
        <v>604</v>
      </c>
      <c r="O3" s="147" t="s">
        <v>6421</v>
      </c>
      <c r="P3" s="147" t="s">
        <v>6272</v>
      </c>
      <c r="Q3" s="151" t="s">
        <v>367</v>
      </c>
      <c r="R3" s="150">
        <v>4067800</v>
      </c>
      <c r="S3" s="19">
        <v>35</v>
      </c>
      <c r="T3" s="147">
        <v>10</v>
      </c>
      <c r="U3" s="416"/>
      <c r="V3" s="416"/>
      <c r="W3" s="147">
        <v>50</v>
      </c>
    </row>
    <row r="4" spans="1:23" x14ac:dyDescent="0.25">
      <c r="A4" s="265" t="s">
        <v>10</v>
      </c>
      <c r="B4" s="147" t="s">
        <v>116</v>
      </c>
      <c r="C4" s="153" t="s">
        <v>338</v>
      </c>
      <c r="D4" s="147" t="s">
        <v>339</v>
      </c>
      <c r="E4" s="147" t="s">
        <v>340</v>
      </c>
      <c r="F4" s="148">
        <v>22.2</v>
      </c>
      <c r="G4" s="148"/>
      <c r="H4" s="148">
        <v>1.2</v>
      </c>
      <c r="I4" s="147">
        <v>5870</v>
      </c>
      <c r="J4" s="147">
        <v>5.87</v>
      </c>
      <c r="K4" s="147">
        <v>0</v>
      </c>
      <c r="L4" s="147"/>
      <c r="M4" s="147" t="s">
        <v>6497</v>
      </c>
      <c r="N4" s="147" t="s">
        <v>607</v>
      </c>
      <c r="O4" s="147" t="s">
        <v>6165</v>
      </c>
      <c r="P4" s="147" t="s">
        <v>6272</v>
      </c>
      <c r="Q4" s="151" t="s">
        <v>367</v>
      </c>
      <c r="R4" s="385">
        <v>3882110</v>
      </c>
      <c r="S4" s="19">
        <v>20</v>
      </c>
      <c r="T4" s="147">
        <v>0</v>
      </c>
      <c r="U4" s="416"/>
      <c r="V4" s="416"/>
      <c r="W4" s="147">
        <v>35</v>
      </c>
    </row>
    <row r="5" spans="1:23" x14ac:dyDescent="0.25">
      <c r="A5" s="265" t="s">
        <v>10</v>
      </c>
      <c r="B5" s="147" t="s">
        <v>116</v>
      </c>
      <c r="C5" s="153" t="s">
        <v>338</v>
      </c>
      <c r="D5" s="147" t="s">
        <v>339</v>
      </c>
      <c r="E5" s="147" t="s">
        <v>340</v>
      </c>
      <c r="F5" s="148">
        <v>22.2</v>
      </c>
      <c r="G5" s="148"/>
      <c r="H5" s="148">
        <v>1.6</v>
      </c>
      <c r="I5" s="147">
        <v>5270</v>
      </c>
      <c r="J5" s="147">
        <v>5.27</v>
      </c>
      <c r="K5" s="147">
        <v>0</v>
      </c>
      <c r="L5" s="147"/>
      <c r="M5" s="147" t="s">
        <v>6498</v>
      </c>
      <c r="N5" s="147" t="s">
        <v>412</v>
      </c>
      <c r="O5" s="147" t="s">
        <v>6249</v>
      </c>
      <c r="P5" s="147" t="s">
        <v>6272</v>
      </c>
      <c r="Q5" s="151" t="s">
        <v>345</v>
      </c>
      <c r="R5" s="150">
        <v>3575894</v>
      </c>
      <c r="S5" s="19">
        <v>35</v>
      </c>
      <c r="T5" s="147">
        <v>40</v>
      </c>
      <c r="U5" s="416"/>
      <c r="V5" s="416"/>
      <c r="W5" s="147">
        <v>3</v>
      </c>
    </row>
    <row r="6" spans="1:23" x14ac:dyDescent="0.25">
      <c r="A6" s="265" t="s">
        <v>10</v>
      </c>
      <c r="B6" s="147" t="s">
        <v>116</v>
      </c>
      <c r="C6" s="153" t="s">
        <v>338</v>
      </c>
      <c r="D6" s="147" t="s">
        <v>339</v>
      </c>
      <c r="E6" s="147" t="s">
        <v>340</v>
      </c>
      <c r="F6" s="148">
        <v>22.2</v>
      </c>
      <c r="G6" s="148"/>
      <c r="H6" s="148">
        <v>1.6</v>
      </c>
      <c r="I6" s="147">
        <v>5670</v>
      </c>
      <c r="J6" s="147">
        <v>5.67</v>
      </c>
      <c r="K6" s="147">
        <v>0</v>
      </c>
      <c r="L6" s="147"/>
      <c r="M6" s="147" t="s">
        <v>6499</v>
      </c>
      <c r="N6" s="147" t="s">
        <v>412</v>
      </c>
      <c r="O6" s="147" t="s">
        <v>6167</v>
      </c>
      <c r="P6" s="147" t="s">
        <v>6272</v>
      </c>
      <c r="Q6" s="151" t="s">
        <v>367</v>
      </c>
      <c r="R6" s="150">
        <v>4055022</v>
      </c>
      <c r="S6" s="19">
        <v>40</v>
      </c>
      <c r="T6" s="147">
        <v>15</v>
      </c>
      <c r="U6" s="416"/>
      <c r="V6" s="416"/>
      <c r="W6" s="147">
        <v>38</v>
      </c>
    </row>
    <row r="7" spans="1:23" x14ac:dyDescent="0.25">
      <c r="A7" s="265" t="s">
        <v>10</v>
      </c>
      <c r="B7" s="147" t="s">
        <v>116</v>
      </c>
      <c r="C7" s="155" t="s">
        <v>338</v>
      </c>
      <c r="D7" s="147" t="s">
        <v>339</v>
      </c>
      <c r="E7" s="147" t="s">
        <v>340</v>
      </c>
      <c r="F7" s="154">
        <v>22.2</v>
      </c>
      <c r="G7" s="154"/>
      <c r="H7" s="154">
        <v>2</v>
      </c>
      <c r="I7" s="155">
        <v>5950</v>
      </c>
      <c r="J7" s="147">
        <v>5.95</v>
      </c>
      <c r="K7" s="147">
        <v>0</v>
      </c>
      <c r="L7" s="147"/>
      <c r="M7" s="147" t="s">
        <v>6500</v>
      </c>
      <c r="N7" s="147" t="s">
        <v>633</v>
      </c>
      <c r="O7" s="147" t="s">
        <v>6168</v>
      </c>
      <c r="P7" s="147" t="s">
        <v>6272</v>
      </c>
      <c r="Q7" s="151" t="s">
        <v>367</v>
      </c>
      <c r="R7" s="385">
        <v>3905466</v>
      </c>
      <c r="S7" s="19">
        <v>50</v>
      </c>
      <c r="T7" s="147">
        <v>87</v>
      </c>
      <c r="U7" s="416"/>
      <c r="V7" s="416"/>
      <c r="W7" s="147">
        <v>0</v>
      </c>
    </row>
    <row r="8" spans="1:23" x14ac:dyDescent="0.25">
      <c r="A8" s="265" t="s">
        <v>10</v>
      </c>
      <c r="B8" s="147" t="s">
        <v>116</v>
      </c>
      <c r="C8" s="147" t="s">
        <v>344</v>
      </c>
      <c r="D8" s="147" t="s">
        <v>348</v>
      </c>
      <c r="E8" s="147" t="s">
        <v>349</v>
      </c>
      <c r="F8" s="148">
        <v>22.2</v>
      </c>
      <c r="G8" s="148"/>
      <c r="H8" s="148">
        <v>2</v>
      </c>
      <c r="I8" s="147">
        <v>6000</v>
      </c>
      <c r="J8" s="147">
        <v>6000</v>
      </c>
      <c r="K8" s="147">
        <v>0</v>
      </c>
      <c r="L8" s="147"/>
      <c r="M8" s="147" t="s">
        <v>6501</v>
      </c>
      <c r="N8" s="147" t="s">
        <v>679</v>
      </c>
      <c r="O8" s="147" t="s">
        <v>6170</v>
      </c>
      <c r="P8" s="147" t="s">
        <v>6272</v>
      </c>
      <c r="Q8" s="151" t="s">
        <v>367</v>
      </c>
      <c r="R8" s="150">
        <v>3502494</v>
      </c>
      <c r="S8" s="19">
        <v>50</v>
      </c>
      <c r="T8" s="147">
        <v>34</v>
      </c>
      <c r="U8" s="416"/>
      <c r="V8" s="416"/>
      <c r="W8" s="147">
        <v>5</v>
      </c>
    </row>
    <row r="9" spans="1:23" x14ac:dyDescent="0.25">
      <c r="A9" s="265" t="s">
        <v>10</v>
      </c>
      <c r="B9" s="147" t="s">
        <v>346</v>
      </c>
      <c r="C9" s="153" t="s">
        <v>338</v>
      </c>
      <c r="D9" s="147" t="s">
        <v>348</v>
      </c>
      <c r="E9" s="147" t="s">
        <v>340</v>
      </c>
      <c r="F9" s="148">
        <v>38.1</v>
      </c>
      <c r="G9" s="148"/>
      <c r="H9" s="148">
        <v>2</v>
      </c>
      <c r="I9" s="147">
        <v>5650</v>
      </c>
      <c r="J9" s="147">
        <v>5.65</v>
      </c>
      <c r="K9" s="147">
        <v>0</v>
      </c>
      <c r="L9" s="147"/>
      <c r="M9" s="147" t="s">
        <v>6502</v>
      </c>
      <c r="N9" s="147" t="s">
        <v>860</v>
      </c>
      <c r="O9" s="147" t="s">
        <v>6187</v>
      </c>
      <c r="P9" s="147" t="s">
        <v>6272</v>
      </c>
      <c r="Q9" s="151" t="s">
        <v>367</v>
      </c>
      <c r="R9" s="150">
        <v>3500959</v>
      </c>
      <c r="S9" s="19">
        <v>30</v>
      </c>
      <c r="T9" s="147">
        <v>49</v>
      </c>
      <c r="U9" s="416"/>
      <c r="V9" s="416"/>
      <c r="W9" s="147">
        <v>28</v>
      </c>
    </row>
    <row r="10" spans="1:23" x14ac:dyDescent="0.25">
      <c r="A10" s="265" t="s">
        <v>10</v>
      </c>
      <c r="B10" s="147" t="s">
        <v>346</v>
      </c>
      <c r="C10" s="153" t="s">
        <v>338</v>
      </c>
      <c r="D10" s="147" t="s">
        <v>348</v>
      </c>
      <c r="E10" s="147" t="s">
        <v>340</v>
      </c>
      <c r="F10" s="148">
        <v>57.15</v>
      </c>
      <c r="G10" s="148"/>
      <c r="H10" s="148">
        <v>2.5</v>
      </c>
      <c r="I10" s="147">
        <v>5710</v>
      </c>
      <c r="J10" s="147">
        <v>5.71</v>
      </c>
      <c r="K10" s="147">
        <v>0</v>
      </c>
      <c r="L10" s="147"/>
      <c r="M10" s="147" t="s">
        <v>6503</v>
      </c>
      <c r="N10" s="147" t="s">
        <v>926</v>
      </c>
      <c r="O10" s="147" t="s">
        <v>6205</v>
      </c>
      <c r="P10" s="147" t="s">
        <v>6272</v>
      </c>
      <c r="Q10" s="151" t="s">
        <v>367</v>
      </c>
      <c r="R10" s="150">
        <v>3907863</v>
      </c>
      <c r="S10" s="19">
        <v>80</v>
      </c>
      <c r="T10" s="147">
        <f>128+27.5</f>
        <v>155.5</v>
      </c>
      <c r="U10" s="416"/>
      <c r="V10" s="416"/>
      <c r="W10" s="147">
        <v>80</v>
      </c>
    </row>
    <row r="11" spans="1:23" x14ac:dyDescent="0.25">
      <c r="A11" s="265" t="s">
        <v>10</v>
      </c>
      <c r="B11" s="147" t="s">
        <v>346</v>
      </c>
      <c r="C11" s="153" t="s">
        <v>338</v>
      </c>
      <c r="D11" s="147" t="s">
        <v>348</v>
      </c>
      <c r="E11" s="147" t="s">
        <v>340</v>
      </c>
      <c r="F11" s="148">
        <v>57.15</v>
      </c>
      <c r="G11" s="148"/>
      <c r="H11" s="148">
        <v>2.5</v>
      </c>
      <c r="I11" s="147">
        <v>5950</v>
      </c>
      <c r="J11" s="147">
        <v>5.95</v>
      </c>
      <c r="K11" s="147">
        <v>0</v>
      </c>
      <c r="L11" s="147"/>
      <c r="M11" s="147" t="s">
        <v>6504</v>
      </c>
      <c r="N11" s="147" t="s">
        <v>926</v>
      </c>
      <c r="O11" s="147" t="s">
        <v>6251</v>
      </c>
      <c r="P11" s="147" t="s">
        <v>6272</v>
      </c>
      <c r="Q11" s="151" t="s">
        <v>367</v>
      </c>
      <c r="R11" s="150">
        <v>4054700</v>
      </c>
      <c r="S11" s="19">
        <v>20</v>
      </c>
      <c r="T11" s="147">
        <v>0</v>
      </c>
      <c r="U11" s="416"/>
      <c r="V11" s="416"/>
      <c r="W11" s="147">
        <v>0</v>
      </c>
    </row>
    <row r="12" spans="1:23" x14ac:dyDescent="0.25">
      <c r="A12" s="265" t="s">
        <v>10</v>
      </c>
      <c r="B12" s="147" t="s">
        <v>346</v>
      </c>
      <c r="C12" s="153" t="s">
        <v>338</v>
      </c>
      <c r="D12" s="147" t="s">
        <v>348</v>
      </c>
      <c r="E12" s="147" t="s">
        <v>340</v>
      </c>
      <c r="F12" s="148">
        <v>57.15</v>
      </c>
      <c r="G12" s="148"/>
      <c r="H12" s="148">
        <v>2.5</v>
      </c>
      <c r="I12" s="147">
        <v>6100</v>
      </c>
      <c r="J12" s="147">
        <v>6.1</v>
      </c>
      <c r="K12" s="147">
        <v>0</v>
      </c>
      <c r="L12" s="147"/>
      <c r="M12" s="147" t="s">
        <v>6505</v>
      </c>
      <c r="N12" s="147" t="s">
        <v>926</v>
      </c>
      <c r="O12" s="147" t="s">
        <v>6206</v>
      </c>
      <c r="P12" s="147" t="s">
        <v>6272</v>
      </c>
      <c r="Q12" s="151" t="s">
        <v>367</v>
      </c>
      <c r="R12" s="150">
        <v>3910001</v>
      </c>
      <c r="S12" s="19">
        <v>80</v>
      </c>
      <c r="T12" s="147">
        <v>147</v>
      </c>
      <c r="U12" s="416"/>
      <c r="V12" s="416"/>
      <c r="W12" s="147">
        <v>4</v>
      </c>
    </row>
    <row r="13" spans="1:23" x14ac:dyDescent="0.25">
      <c r="A13" s="389" t="s">
        <v>10</v>
      </c>
      <c r="B13" s="285" t="s">
        <v>112</v>
      </c>
      <c r="C13" s="390" t="s">
        <v>338</v>
      </c>
      <c r="D13" s="285" t="s">
        <v>348</v>
      </c>
      <c r="E13" s="285" t="s">
        <v>340</v>
      </c>
      <c r="F13" s="391">
        <v>60.3</v>
      </c>
      <c r="G13" s="391"/>
      <c r="H13" s="391">
        <v>2</v>
      </c>
      <c r="I13" s="285">
        <v>5900</v>
      </c>
      <c r="J13" s="285">
        <v>5.9</v>
      </c>
      <c r="K13" s="285">
        <v>0</v>
      </c>
      <c r="L13" s="285"/>
      <c r="M13" s="285" t="s">
        <v>6506</v>
      </c>
      <c r="N13" s="147" t="s">
        <v>1070</v>
      </c>
      <c r="O13" s="147" t="s">
        <v>6208</v>
      </c>
      <c r="P13" s="147" t="s">
        <v>6272</v>
      </c>
      <c r="Q13" s="151" t="s">
        <v>362</v>
      </c>
      <c r="R13" s="147">
        <v>3905049</v>
      </c>
      <c r="S13" s="392">
        <v>30</v>
      </c>
      <c r="T13" s="147">
        <v>0</v>
      </c>
      <c r="U13" s="416"/>
      <c r="V13" s="416"/>
      <c r="W13" s="147">
        <v>30</v>
      </c>
    </row>
    <row r="14" spans="1:23" x14ac:dyDescent="0.25">
      <c r="I14" s="152" t="s">
        <v>372</v>
      </c>
      <c r="J14" s="152"/>
      <c r="K14" s="147"/>
      <c r="L14" s="147"/>
      <c r="M14" s="152"/>
      <c r="N14" s="152"/>
      <c r="O14" s="152"/>
      <c r="P14" s="152"/>
      <c r="Q14" s="152"/>
      <c r="R14" s="152"/>
      <c r="S14" s="152">
        <v>583.4</v>
      </c>
      <c r="T14" s="446">
        <v>523.5</v>
      </c>
      <c r="U14" s="446"/>
      <c r="V14" s="446"/>
    </row>
  </sheetData>
  <conditionalFormatting sqref="M2:P13">
    <cfRule type="duplicateValues" dxfId="46" priority="1"/>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3EEF-4740-4F8F-B2A0-7C20A82A3843}">
  <dimension ref="A1:O7"/>
  <sheetViews>
    <sheetView workbookViewId="0">
      <selection sqref="A1:A1048576"/>
    </sheetView>
  </sheetViews>
  <sheetFormatPr defaultRowHeight="15" x14ac:dyDescent="0.25"/>
  <cols>
    <col min="2" max="2" width="14.85546875" bestFit="1" customWidth="1"/>
    <col min="3" max="3" width="31.7109375" bestFit="1" customWidth="1"/>
    <col min="4" max="4" width="6" bestFit="1" customWidth="1"/>
    <col min="13" max="13" width="42.7109375" bestFit="1" customWidth="1"/>
    <col min="15" max="15" width="10" bestFit="1" customWidth="1"/>
  </cols>
  <sheetData>
    <row r="1" spans="1:15" ht="42.75" x14ac:dyDescent="0.25">
      <c r="A1" s="429" t="s">
        <v>6507</v>
      </c>
      <c r="B1" s="429" t="s">
        <v>6508</v>
      </c>
      <c r="C1" s="429" t="s">
        <v>6355</v>
      </c>
      <c r="D1" s="429" t="s">
        <v>6509</v>
      </c>
      <c r="E1" s="429" t="s">
        <v>6510</v>
      </c>
      <c r="F1" s="429" t="s">
        <v>316</v>
      </c>
      <c r="G1" s="429" t="s">
        <v>317</v>
      </c>
      <c r="H1" s="429" t="s">
        <v>2506</v>
      </c>
      <c r="I1" s="429" t="s">
        <v>2170</v>
      </c>
      <c r="J1" s="429" t="s">
        <v>199</v>
      </c>
      <c r="K1" s="429" t="s">
        <v>6511</v>
      </c>
      <c r="L1" s="429" t="s">
        <v>6321</v>
      </c>
      <c r="M1" s="429" t="s">
        <v>204</v>
      </c>
      <c r="N1" s="429" t="s">
        <v>1801</v>
      </c>
      <c r="O1" s="429" t="s">
        <v>392</v>
      </c>
    </row>
    <row r="2" spans="1:15" x14ac:dyDescent="0.25">
      <c r="A2" s="428">
        <v>2</v>
      </c>
      <c r="B2" s="428" t="s">
        <v>6512</v>
      </c>
      <c r="C2" s="430" t="s">
        <v>6513</v>
      </c>
      <c r="D2" s="431" t="s">
        <v>6514</v>
      </c>
      <c r="E2" s="432">
        <v>3000</v>
      </c>
      <c r="F2" s="15">
        <v>19.05</v>
      </c>
      <c r="G2" s="15">
        <v>0</v>
      </c>
      <c r="H2" s="15">
        <v>2</v>
      </c>
      <c r="I2" s="15">
        <v>1000</v>
      </c>
      <c r="J2" s="15" t="s">
        <v>962</v>
      </c>
      <c r="K2" s="15">
        <f>(I2)*6</f>
        <v>6000</v>
      </c>
      <c r="L2" s="15">
        <v>3499307</v>
      </c>
      <c r="M2" s="15" t="e">
        <f>VLOOKUP(L2,#REF!,2,0)</f>
        <v>#REF!</v>
      </c>
      <c r="N2" s="61" t="s">
        <v>367</v>
      </c>
      <c r="O2" s="109">
        <f>(3.14*(F2-H2)*H2*7.85*1000)/1000000*I2/1000*E2</f>
        <v>2521.5927000000006</v>
      </c>
    </row>
    <row r="3" spans="1:15" x14ac:dyDescent="0.25">
      <c r="A3" s="428">
        <v>5</v>
      </c>
      <c r="B3" s="428" t="s">
        <v>6515</v>
      </c>
      <c r="C3" s="430" t="s">
        <v>6516</v>
      </c>
      <c r="D3" s="431" t="s">
        <v>6096</v>
      </c>
      <c r="E3" s="432">
        <v>8000</v>
      </c>
      <c r="F3" s="15">
        <v>22.23</v>
      </c>
      <c r="G3" s="15">
        <v>0</v>
      </c>
      <c r="H3" s="15">
        <v>1.6</v>
      </c>
      <c r="I3" s="15">
        <v>1222</v>
      </c>
      <c r="J3" s="15" t="s">
        <v>962</v>
      </c>
      <c r="K3" s="15">
        <f>(I3+3)*4+60</f>
        <v>4960</v>
      </c>
      <c r="L3" s="15">
        <v>3501116</v>
      </c>
      <c r="M3" s="15" t="e">
        <f>VLOOKUP(L3,#REF!,2,0)</f>
        <v>#REF!</v>
      </c>
      <c r="N3" s="61" t="s">
        <v>367</v>
      </c>
      <c r="O3" s="109">
        <f>(3.14*(F3-H3)*H3*7.85*1000)/1000000*I3/1000*E3</f>
        <v>7953.8923409920008</v>
      </c>
    </row>
    <row r="4" spans="1:15" x14ac:dyDescent="0.25">
      <c r="A4" s="428">
        <v>6</v>
      </c>
      <c r="B4" s="428" t="s">
        <v>6517</v>
      </c>
      <c r="C4" s="430" t="s">
        <v>6518</v>
      </c>
      <c r="D4" s="431" t="s">
        <v>6096</v>
      </c>
      <c r="E4" s="432">
        <v>19000</v>
      </c>
      <c r="F4" s="15">
        <v>22.23</v>
      </c>
      <c r="G4" s="15">
        <v>0</v>
      </c>
      <c r="H4" s="15">
        <v>1.6</v>
      </c>
      <c r="I4" s="15">
        <v>1290</v>
      </c>
      <c r="J4" s="15" t="s">
        <v>962</v>
      </c>
      <c r="K4" s="15">
        <f>(I4+3)*4+60</f>
        <v>5232</v>
      </c>
      <c r="L4" s="15">
        <v>3501116</v>
      </c>
      <c r="M4" s="15" t="e">
        <f>VLOOKUP(L4,#REF!,2,0)</f>
        <v>#REF!</v>
      </c>
      <c r="N4" s="61" t="s">
        <v>367</v>
      </c>
      <c r="O4" s="109">
        <f>(3.14*(F4-H4)*H4*7.85*1000)/1000000*I4/1000*E4</f>
        <v>19941.683845920001</v>
      </c>
    </row>
    <row r="5" spans="1:15" x14ac:dyDescent="0.25">
      <c r="A5" s="428">
        <v>7</v>
      </c>
      <c r="B5" s="428" t="s">
        <v>6519</v>
      </c>
      <c r="C5" s="428" t="s">
        <v>6520</v>
      </c>
      <c r="D5" s="431" t="s">
        <v>6096</v>
      </c>
      <c r="E5" s="432">
        <v>17000</v>
      </c>
      <c r="F5" s="15">
        <v>34.93</v>
      </c>
      <c r="G5" s="15">
        <v>0</v>
      </c>
      <c r="H5" s="15">
        <v>1.2</v>
      </c>
      <c r="I5" s="15">
        <v>390</v>
      </c>
      <c r="J5" s="15" t="s">
        <v>962</v>
      </c>
      <c r="K5" s="15">
        <f>(I5+3)*13+60</f>
        <v>5169</v>
      </c>
      <c r="L5" s="15">
        <v>3499589</v>
      </c>
      <c r="M5" s="15" t="e">
        <f>VLOOKUP(L5,#REF!,2,0)</f>
        <v>#REF!</v>
      </c>
      <c r="N5" s="61" t="s">
        <v>367</v>
      </c>
      <c r="O5" s="109">
        <f>(3.14*(F5-H5)*H5*7.85*1000)/1000000*I5/1000*E5</f>
        <v>6614.7040861199994</v>
      </c>
    </row>
    <row r="6" spans="1:15" x14ac:dyDescent="0.25">
      <c r="A6" s="428">
        <v>9</v>
      </c>
      <c r="B6" s="428" t="s">
        <v>6521</v>
      </c>
      <c r="C6" s="428" t="s">
        <v>6522</v>
      </c>
      <c r="D6" s="431" t="s">
        <v>6096</v>
      </c>
      <c r="E6" s="432">
        <v>300</v>
      </c>
      <c r="F6" s="15">
        <v>22.23</v>
      </c>
      <c r="G6" s="15">
        <v>0</v>
      </c>
      <c r="H6" s="15">
        <v>2</v>
      </c>
      <c r="I6" s="15">
        <v>812</v>
      </c>
      <c r="J6" s="15" t="s">
        <v>993</v>
      </c>
      <c r="K6" s="15">
        <f>(I6+3)*7+60</f>
        <v>5765</v>
      </c>
      <c r="L6" s="15">
        <v>3502494</v>
      </c>
      <c r="M6" s="15" t="e">
        <f>VLOOKUP(L6,#REF!,2,0)</f>
        <v>#REF!</v>
      </c>
      <c r="N6" s="61" t="s">
        <v>367</v>
      </c>
      <c r="O6" s="109">
        <f>(3.14*(F6-H6)*H6*7.85*1000)/1000000*I6/1000*E6</f>
        <v>242.941924344</v>
      </c>
    </row>
    <row r="7" spans="1:15" x14ac:dyDescent="0.25">
      <c r="O7" s="108">
        <f>SUM(O2:O6)</f>
        <v>37274.814897376004</v>
      </c>
    </row>
  </sheetData>
  <phoneticPr fontId="13"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7ABA-58F9-46A2-BC51-CD0D783A9EB1}">
  <dimension ref="A1:E47"/>
  <sheetViews>
    <sheetView topLeftCell="A28" workbookViewId="0">
      <selection activeCell="A3" sqref="A3:A47"/>
    </sheetView>
  </sheetViews>
  <sheetFormatPr defaultRowHeight="15" x14ac:dyDescent="0.25"/>
  <cols>
    <col min="1" max="1" width="18.28515625" bestFit="1" customWidth="1"/>
  </cols>
  <sheetData>
    <row r="1" spans="1:5" x14ac:dyDescent="0.25">
      <c r="A1" t="s">
        <v>6523</v>
      </c>
      <c r="C1" t="s">
        <v>8</v>
      </c>
      <c r="E1" t="s">
        <v>5</v>
      </c>
    </row>
    <row r="3" spans="1:5" x14ac:dyDescent="0.25">
      <c r="A3">
        <v>1939985</v>
      </c>
      <c r="C3">
        <v>1940120</v>
      </c>
      <c r="E3">
        <v>2397073</v>
      </c>
    </row>
    <row r="4" spans="1:5" x14ac:dyDescent="0.25">
      <c r="A4">
        <v>1940054</v>
      </c>
      <c r="C4">
        <v>3891285</v>
      </c>
      <c r="E4">
        <v>3649699</v>
      </c>
    </row>
    <row r="5" spans="1:5" x14ac:dyDescent="0.25">
      <c r="A5">
        <v>2288945</v>
      </c>
      <c r="C5">
        <v>3498997</v>
      </c>
      <c r="E5">
        <v>2397072</v>
      </c>
    </row>
    <row r="6" spans="1:5" x14ac:dyDescent="0.25">
      <c r="A6">
        <v>3500582</v>
      </c>
      <c r="C6">
        <v>3829175</v>
      </c>
      <c r="E6">
        <v>3649700</v>
      </c>
    </row>
    <row r="7" spans="1:5" x14ac:dyDescent="0.25">
      <c r="A7">
        <v>3219710</v>
      </c>
      <c r="C7">
        <v>2431251</v>
      </c>
      <c r="E7">
        <v>3751498</v>
      </c>
    </row>
    <row r="8" spans="1:5" x14ac:dyDescent="0.25">
      <c r="A8">
        <v>3882110</v>
      </c>
      <c r="C8">
        <v>3501900</v>
      </c>
      <c r="E8">
        <v>3500641</v>
      </c>
    </row>
    <row r="9" spans="1:5" x14ac:dyDescent="0.25">
      <c r="A9">
        <v>3500554</v>
      </c>
      <c r="C9">
        <v>3557792</v>
      </c>
      <c r="E9">
        <v>3518437</v>
      </c>
    </row>
    <row r="10" spans="1:5" x14ac:dyDescent="0.25">
      <c r="A10">
        <v>3905466</v>
      </c>
      <c r="C10">
        <v>3673889</v>
      </c>
      <c r="E10">
        <v>3500695</v>
      </c>
    </row>
    <row r="11" spans="1:5" x14ac:dyDescent="0.25">
      <c r="A11">
        <v>3502494</v>
      </c>
      <c r="C11">
        <v>3502343</v>
      </c>
      <c r="E11">
        <v>3781647</v>
      </c>
    </row>
    <row r="12" spans="1:5" x14ac:dyDescent="0.25">
      <c r="A12">
        <v>3575893</v>
      </c>
      <c r="C12">
        <v>3502388</v>
      </c>
      <c r="E12">
        <v>2420716</v>
      </c>
    </row>
    <row r="13" spans="1:5" x14ac:dyDescent="0.25">
      <c r="A13">
        <v>3575894</v>
      </c>
      <c r="C13">
        <v>3500263</v>
      </c>
      <c r="E13">
        <v>4072797</v>
      </c>
    </row>
    <row r="14" spans="1:5" x14ac:dyDescent="0.25">
      <c r="A14">
        <v>3500097</v>
      </c>
      <c r="C14">
        <v>3549720</v>
      </c>
      <c r="E14">
        <v>3500699</v>
      </c>
    </row>
    <row r="15" spans="1:5" x14ac:dyDescent="0.25">
      <c r="A15">
        <v>3673890</v>
      </c>
      <c r="C15">
        <v>3502422</v>
      </c>
      <c r="E15">
        <v>3500635</v>
      </c>
    </row>
    <row r="16" spans="1:5" x14ac:dyDescent="0.25">
      <c r="A16">
        <v>4055021</v>
      </c>
      <c r="C16">
        <v>3501105</v>
      </c>
    </row>
    <row r="17" spans="1:3" x14ac:dyDescent="0.25">
      <c r="A17">
        <v>3502256</v>
      </c>
      <c r="C17">
        <v>3702855</v>
      </c>
    </row>
    <row r="18" spans="1:3" x14ac:dyDescent="0.25">
      <c r="A18">
        <v>3884381</v>
      </c>
      <c r="C18">
        <v>3545558</v>
      </c>
    </row>
    <row r="19" spans="1:3" x14ac:dyDescent="0.25">
      <c r="A19">
        <v>1931387</v>
      </c>
      <c r="C19">
        <v>3514380</v>
      </c>
    </row>
    <row r="20" spans="1:3" x14ac:dyDescent="0.25">
      <c r="A20">
        <v>3502254</v>
      </c>
      <c r="C20">
        <v>3502301</v>
      </c>
    </row>
    <row r="21" spans="1:3" x14ac:dyDescent="0.25">
      <c r="A21">
        <v>3500959</v>
      </c>
    </row>
    <row r="22" spans="1:3" x14ac:dyDescent="0.25">
      <c r="A22">
        <v>3533165</v>
      </c>
    </row>
    <row r="23" spans="1:3" x14ac:dyDescent="0.25">
      <c r="A23">
        <v>3502007</v>
      </c>
    </row>
    <row r="24" spans="1:3" x14ac:dyDescent="0.25">
      <c r="A24">
        <v>3919144</v>
      </c>
    </row>
    <row r="25" spans="1:3" x14ac:dyDescent="0.25">
      <c r="A25">
        <v>3925391</v>
      </c>
    </row>
    <row r="26" spans="1:3" x14ac:dyDescent="0.25">
      <c r="A26">
        <v>3974563</v>
      </c>
    </row>
    <row r="27" spans="1:3" x14ac:dyDescent="0.25">
      <c r="A27">
        <v>3994149</v>
      </c>
    </row>
    <row r="28" spans="1:3" x14ac:dyDescent="0.25">
      <c r="A28">
        <v>3597050</v>
      </c>
    </row>
    <row r="29" spans="1:3" x14ac:dyDescent="0.25">
      <c r="A29">
        <v>3500650</v>
      </c>
    </row>
    <row r="30" spans="1:3" x14ac:dyDescent="0.25">
      <c r="A30">
        <v>3500714</v>
      </c>
    </row>
    <row r="31" spans="1:3" x14ac:dyDescent="0.25">
      <c r="A31">
        <v>3907863</v>
      </c>
    </row>
    <row r="32" spans="1:3" x14ac:dyDescent="0.25">
      <c r="A32">
        <v>3501047</v>
      </c>
    </row>
    <row r="33" spans="1:1" x14ac:dyDescent="0.25">
      <c r="A33">
        <v>4045220</v>
      </c>
    </row>
    <row r="34" spans="1:1" x14ac:dyDescent="0.25">
      <c r="A34">
        <v>3910001</v>
      </c>
    </row>
    <row r="35" spans="1:1" x14ac:dyDescent="0.25">
      <c r="A35">
        <v>1940925</v>
      </c>
    </row>
    <row r="36" spans="1:1" x14ac:dyDescent="0.25">
      <c r="A36">
        <v>3905049</v>
      </c>
    </row>
    <row r="37" spans="1:1" x14ac:dyDescent="0.25">
      <c r="A37">
        <v>2442390</v>
      </c>
    </row>
    <row r="38" spans="1:1" x14ac:dyDescent="0.25">
      <c r="A38">
        <v>236166</v>
      </c>
    </row>
    <row r="39" spans="1:1" x14ac:dyDescent="0.25">
      <c r="A39">
        <v>3212868</v>
      </c>
    </row>
    <row r="40" spans="1:1" x14ac:dyDescent="0.25">
      <c r="A40">
        <v>4055022</v>
      </c>
    </row>
    <row r="41" spans="1:1" x14ac:dyDescent="0.25">
      <c r="A41">
        <v>3240023</v>
      </c>
    </row>
    <row r="42" spans="1:1" x14ac:dyDescent="0.25">
      <c r="A42">
        <v>3702101</v>
      </c>
    </row>
    <row r="43" spans="1:1" x14ac:dyDescent="0.25">
      <c r="A43">
        <v>2410388</v>
      </c>
    </row>
    <row r="44" spans="1:1" x14ac:dyDescent="0.25">
      <c r="A44">
        <v>1940701</v>
      </c>
    </row>
    <row r="45" spans="1:1" x14ac:dyDescent="0.25">
      <c r="A45">
        <v>2396465</v>
      </c>
    </row>
    <row r="46" spans="1:1" x14ac:dyDescent="0.25">
      <c r="A46">
        <v>3501985</v>
      </c>
    </row>
    <row r="47" spans="1:1" x14ac:dyDescent="0.25">
      <c r="A47">
        <v>3836440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BD53-FC8E-41E0-B3B5-316B83778D36}">
  <sheetPr codeName="Sheet38"/>
  <dimension ref="A1:G67"/>
  <sheetViews>
    <sheetView topLeftCell="B1" workbookViewId="0">
      <selection activeCell="D7" sqref="D7"/>
    </sheetView>
  </sheetViews>
  <sheetFormatPr defaultRowHeight="15" x14ac:dyDescent="0.25"/>
  <cols>
    <col min="1" max="1" width="14.42578125" bestFit="1" customWidth="1"/>
    <col min="2" max="2" width="35.7109375" bestFit="1" customWidth="1"/>
    <col min="3" max="3" width="18.7109375" bestFit="1" customWidth="1"/>
    <col min="4" max="4" width="42.7109375" bestFit="1" customWidth="1"/>
    <col min="6" max="6" width="24.7109375" bestFit="1" customWidth="1"/>
  </cols>
  <sheetData>
    <row r="1" spans="1:7" x14ac:dyDescent="0.25">
      <c r="A1" s="163" t="s">
        <v>380</v>
      </c>
      <c r="B1" s="164" t="s">
        <v>381</v>
      </c>
      <c r="C1" s="164" t="s">
        <v>385</v>
      </c>
      <c r="D1" s="164" t="s">
        <v>388</v>
      </c>
      <c r="E1" s="164" t="s">
        <v>1127</v>
      </c>
      <c r="F1" s="166" t="s">
        <v>261</v>
      </c>
      <c r="G1" s="166" t="s">
        <v>6361</v>
      </c>
    </row>
    <row r="2" spans="1:7" x14ac:dyDescent="0.25">
      <c r="A2" t="str" cm="1">
        <f t="array" ref="A2:E67">_xlfn.UNIQUE(_xlfn.CHOOSECOLS(meghsteelsales_currentmonth[],_xlfn.XMATCH(A1:E1,meghsteelsales_currentmonth[#Headers])))</f>
        <v>0000943209</v>
      </c>
      <c r="B2" t="str">
        <v>MEGH STEELS PRIVATE LIMITED - TVS A</v>
      </c>
      <c r="C2">
        <v>3907863</v>
      </c>
      <c r="D2" t="str">
        <v>TUB-O-N-AUT-AW-FC-57.15X2.500X5.7110</v>
      </c>
      <c r="E2">
        <v>5.7110000000000003</v>
      </c>
      <c r="F2" t="str">
        <f>VLOOKUP(C2,buckets[#All],9,0)</f>
        <v>57.15-0-2.5-ERW 1-FC</v>
      </c>
    </row>
    <row r="3" spans="1:7" x14ac:dyDescent="0.25">
      <c r="A3" t="str">
        <v>0000943209</v>
      </c>
      <c r="B3" t="str">
        <v>MEGH STEELS PRIVATE LIMITED - TVS A</v>
      </c>
      <c r="C3">
        <v>3500582</v>
      </c>
      <c r="D3" t="str">
        <v>TUB-O-N-AUT-AW-PE-19.05X2.300X7.00-ERW 1</v>
      </c>
      <c r="E3">
        <v>7</v>
      </c>
      <c r="F3" t="str">
        <f>VLOOKUP(C3,buckets[#All],9,0)</f>
        <v>19.05-0-2.3-ERW 1-PE</v>
      </c>
    </row>
    <row r="4" spans="1:7" x14ac:dyDescent="0.25">
      <c r="A4" t="str">
        <v>0000943209</v>
      </c>
      <c r="B4" t="str">
        <v>MEGH STEELS PRIVATE LIMITED - TVS A</v>
      </c>
      <c r="C4">
        <v>3905466</v>
      </c>
      <c r="D4" t="str">
        <v>TUB-O-N-AUT-AW-PE-22.20X2.000X5.9510</v>
      </c>
      <c r="E4">
        <v>5.9509999999999996</v>
      </c>
      <c r="F4" t="str">
        <f>VLOOKUP(C4,buckets[#All],9,0)</f>
        <v>22.23-0-2-ERW 1-PE</v>
      </c>
    </row>
    <row r="5" spans="1:7" x14ac:dyDescent="0.25">
      <c r="A5" t="str">
        <v>0000943209</v>
      </c>
      <c r="B5" t="str">
        <v>MEGH STEELS PRIVATE LIMITED - TVS A</v>
      </c>
      <c r="C5">
        <v>3910001</v>
      </c>
      <c r="D5" t="str">
        <v>TUB-O-N-AUT-AW-FC-57.15X2.500X6.1000</v>
      </c>
      <c r="E5">
        <v>6.1</v>
      </c>
      <c r="F5" t="str">
        <f>VLOOKUP(C5,buckets[#All],9,0)</f>
        <v>57.15-0-2.5-ERW 1-FC</v>
      </c>
    </row>
    <row r="6" spans="1:7" x14ac:dyDescent="0.25">
      <c r="A6" t="str">
        <v>0000943209</v>
      </c>
      <c r="B6" t="str">
        <v>MEGH STEELS PRIVATE LIMITED - TVS A</v>
      </c>
      <c r="C6">
        <v>3502422</v>
      </c>
      <c r="D6" t="str">
        <v>TUB-O-N-AUT-AW-FC-48.60X3.500X6.0500</v>
      </c>
      <c r="E6">
        <v>6.05</v>
      </c>
      <c r="F6" t="str">
        <f>VLOOKUP(C6,buckets[#All],9,0)</f>
        <v>48.6-0-3.5-ERW 1-FC</v>
      </c>
    </row>
    <row r="7" spans="1:7" x14ac:dyDescent="0.25">
      <c r="A7" t="str">
        <v>0000943209</v>
      </c>
      <c r="B7" t="str">
        <v>MEGH STEELS PRIVATE LIMITED - TVS A</v>
      </c>
      <c r="C7">
        <v>3502007</v>
      </c>
      <c r="D7" t="str">
        <v>TUB-O-N-AUT-AH-FC-38.10X2.500X6.1900 HST</v>
      </c>
      <c r="E7">
        <v>6.19</v>
      </c>
      <c r="F7" t="str">
        <f>VLOOKUP(C7,buckets[#All],9,0)</f>
        <v>38.1-0-2.5-ERW 2 MAHS-FC</v>
      </c>
    </row>
    <row r="8" spans="1:7" x14ac:dyDescent="0.25">
      <c r="A8" t="str">
        <v>0000943209</v>
      </c>
      <c r="B8" t="str">
        <v>MEGH STEELS PRIVATE LIMITED - TVS A</v>
      </c>
      <c r="C8">
        <v>4045220</v>
      </c>
      <c r="D8" t="str">
        <v>TUB-O-N-AUT-AW-FC-57.15X2.500X5.9500</v>
      </c>
      <c r="E8">
        <v>5.95</v>
      </c>
      <c r="F8" t="str">
        <f>VLOOKUP(C8,buckets[#All],9,0)</f>
        <v>57.15-0-2.5-ERW 1-FC</v>
      </c>
    </row>
    <row r="9" spans="1:7" x14ac:dyDescent="0.25">
      <c r="A9" t="str">
        <v>0000943210</v>
      </c>
      <c r="B9" t="str">
        <v>MEGH STEELS PRIVATE LIMITED - HMSIL</v>
      </c>
      <c r="C9">
        <v>3673889</v>
      </c>
      <c r="D9" t="str">
        <v>TUB-O-N-AUT-AW-FC-41.28X3.150X5.8600</v>
      </c>
      <c r="E9">
        <v>5.86</v>
      </c>
      <c r="F9" t="str">
        <f>VLOOKUP(C9,buckets[#All],9,0)</f>
        <v>41.28-0-3.2-ERW 1-FC</v>
      </c>
    </row>
    <row r="10" spans="1:7" x14ac:dyDescent="0.25">
      <c r="A10" t="str">
        <v>0000943209</v>
      </c>
      <c r="B10" t="str">
        <v>MEGH STEELS PRIVATE LIMITED - TVS A</v>
      </c>
      <c r="C10">
        <v>4173571</v>
      </c>
      <c r="D10" t="str">
        <v>TUB-O-N-AUT-AW-PE-22.20X1.600X5.6850</v>
      </c>
      <c r="E10">
        <v>5.6849999999999996</v>
      </c>
      <c r="F10" t="e">
        <f>VLOOKUP(C10,buckets[#All],9,0)</f>
        <v>#N/A</v>
      </c>
    </row>
    <row r="11" spans="1:7" x14ac:dyDescent="0.25">
      <c r="A11" t="str">
        <v>0000943209</v>
      </c>
      <c r="B11" t="str">
        <v>MEGH STEELS PRIVATE LIMITED - TVS A</v>
      </c>
      <c r="C11">
        <v>3882110</v>
      </c>
      <c r="D11" t="str">
        <v>TUB-O-N-AUT-AW-PE-22.20X1.200X5.8700</v>
      </c>
      <c r="E11">
        <v>5.87</v>
      </c>
      <c r="F11" t="str">
        <f>VLOOKUP(C11,buckets[#All],9,0)</f>
        <v>22.23-0-1.2-ERW 1-PE</v>
      </c>
    </row>
    <row r="12" spans="1:7" x14ac:dyDescent="0.25">
      <c r="A12" t="str">
        <v>0000943209</v>
      </c>
      <c r="B12" t="str">
        <v>MEGH STEELS PRIVATE LIMITED - TVS A</v>
      </c>
      <c r="C12">
        <v>3498997</v>
      </c>
      <c r="D12" t="str">
        <v>TUB-O-N-AUT-AW-PE-19.05X1.60X6.000-ERW 1</v>
      </c>
      <c r="E12">
        <v>6</v>
      </c>
      <c r="F12" t="s">
        <v>607</v>
      </c>
    </row>
    <row r="13" spans="1:7" x14ac:dyDescent="0.25">
      <c r="A13" t="str">
        <v>0000943209</v>
      </c>
      <c r="B13" t="str">
        <v>MEGH STEELS PRIVATE LIMITED - TVS A</v>
      </c>
      <c r="C13">
        <v>3954021</v>
      </c>
      <c r="D13" t="str">
        <v>TUB-O-N-AUT-AW-PE-22.20X1.600X5.6700</v>
      </c>
      <c r="E13">
        <v>5.67</v>
      </c>
      <c r="F13" t="e">
        <f>VLOOKUP(C13,buckets[#All],9,0)</f>
        <v>#N/A</v>
      </c>
    </row>
    <row r="14" spans="1:7" x14ac:dyDescent="0.25">
      <c r="A14" t="str">
        <v>0000943209</v>
      </c>
      <c r="B14" t="str">
        <v>MEGH STEELS PRIVATE LIMITED - TVS A</v>
      </c>
      <c r="C14">
        <v>3501116</v>
      </c>
      <c r="D14" t="str">
        <v>TUB-O-N-AUT-AW-PE-22.20X1.600X5.2640</v>
      </c>
      <c r="E14">
        <v>5.2640000000000002</v>
      </c>
      <c r="F14" t="e">
        <f>VLOOKUP(C14,buckets[#All],9,0)</f>
        <v>#N/A</v>
      </c>
    </row>
    <row r="15" spans="1:7" x14ac:dyDescent="0.25">
      <c r="A15" t="str">
        <v>0000943210</v>
      </c>
      <c r="B15" t="str">
        <v>MEGH STEELS PRIVATE LIMITED - HMSIL</v>
      </c>
      <c r="C15">
        <v>3501105</v>
      </c>
      <c r="D15" t="str">
        <v>TUB-O-N-AUT-AW-FC-57.15X3.000X5.65-ERW 1</v>
      </c>
      <c r="E15">
        <v>5.65</v>
      </c>
      <c r="F15" t="str">
        <f>VLOOKUP(C15,buckets[#All],9,0)</f>
        <v>57.15--3-ERW 1-FIN CUT</v>
      </c>
    </row>
    <row r="16" spans="1:7" x14ac:dyDescent="0.25">
      <c r="A16" t="str">
        <v>0000943210</v>
      </c>
      <c r="B16" t="str">
        <v>MEGH STEELS PRIVATE LIMITED - HMSIL</v>
      </c>
      <c r="C16">
        <v>3502301</v>
      </c>
      <c r="D16" t="str">
        <v>TUB-O-N-AUT-AW-FC-48.60X2.000X6.270 HST</v>
      </c>
      <c r="E16">
        <v>6.27</v>
      </c>
      <c r="F16" t="str">
        <f>VLOOKUP(C16,buckets[#All],9,0)</f>
        <v>48.6--2-HST-FIN CUT</v>
      </c>
    </row>
    <row r="17" spans="1:6" x14ac:dyDescent="0.25">
      <c r="A17" t="str">
        <v>0000943210</v>
      </c>
      <c r="B17" t="str">
        <v>MEGH STEELS PRIVATE LIMITED - HMSIL</v>
      </c>
      <c r="C17">
        <v>3549720</v>
      </c>
      <c r="D17" t="str">
        <v>TUB-O-N-AUT-AW-FC-48.60X2.300X6.270 HST</v>
      </c>
      <c r="E17">
        <v>6.27</v>
      </c>
      <c r="F17" t="str">
        <f>VLOOKUP(C17,buckets[#All],9,0)</f>
        <v>48.6--2.3-HST-FIN CUT</v>
      </c>
    </row>
    <row r="18" spans="1:6" x14ac:dyDescent="0.25">
      <c r="A18" t="str">
        <v>0000943210</v>
      </c>
      <c r="B18" t="str">
        <v>MEGH STEELS PRIVATE LIMITED - HMSIL</v>
      </c>
      <c r="C18">
        <v>3891285</v>
      </c>
      <c r="D18" t="str">
        <v>TUB-O-N-AUT-AW-PE-19.05X1.40X6.000 HST</v>
      </c>
      <c r="E18">
        <v>6</v>
      </c>
      <c r="F18" t="e">
        <f>VLOOKUP(C18,buckets[#All],9,0)</f>
        <v>#N/A</v>
      </c>
    </row>
    <row r="19" spans="1:6" x14ac:dyDescent="0.25">
      <c r="A19" t="str">
        <v>0000943211</v>
      </c>
      <c r="B19" t="str">
        <v>MEGH STEELS PRIVATE LIMITED - RE</v>
      </c>
      <c r="C19">
        <v>3499396</v>
      </c>
      <c r="D19" t="str">
        <v>TUB-O-N-AUT-AW-FC-34.93X1.200X5.900</v>
      </c>
      <c r="E19">
        <v>5.9</v>
      </c>
      <c r="F19" t="e">
        <f>VLOOKUP(C19,buckets[#All],9,0)</f>
        <v>#N/A</v>
      </c>
    </row>
    <row r="20" spans="1:6" x14ac:dyDescent="0.25">
      <c r="A20" t="str">
        <v>0000943209</v>
      </c>
      <c r="B20" t="str">
        <v>MEGH STEELS PRIVATE LIMITED - TVS A</v>
      </c>
      <c r="C20">
        <v>3502256</v>
      </c>
      <c r="D20" t="str">
        <v>TUB-O-N-AUT-AW-PE-25.40X2.500X5.5300</v>
      </c>
      <c r="E20">
        <v>5.53</v>
      </c>
      <c r="F20" t="str">
        <f>VLOOKUP(C20,buckets[#All],9,0)</f>
        <v>25.4-0-2.5-ERW 1-PE</v>
      </c>
    </row>
    <row r="21" spans="1:6" x14ac:dyDescent="0.25">
      <c r="A21" t="str">
        <v>0000943209</v>
      </c>
      <c r="B21" t="str">
        <v>MEGH STEELS PRIVATE LIMITED - TVS A</v>
      </c>
      <c r="C21">
        <v>3500650</v>
      </c>
      <c r="D21" t="str">
        <v>TUB-O-N-AUT-BH-FC-42.70X3.500X6.000</v>
      </c>
      <c r="E21">
        <v>6</v>
      </c>
      <c r="F21" t="str">
        <f>VLOOKUP(C21,buckets[#All],9,0)</f>
        <v>42.7-0-3.5-ERW 1-FC</v>
      </c>
    </row>
    <row r="22" spans="1:6" x14ac:dyDescent="0.25">
      <c r="A22" t="str">
        <v>0000943209</v>
      </c>
      <c r="B22" t="str">
        <v>MEGH STEELS PRIVATE LIMITED - TVS A</v>
      </c>
      <c r="C22">
        <v>3500391</v>
      </c>
      <c r="D22" t="str">
        <v>TUB-O-N-AUT-AW-FC-54.00X3.000X5.910</v>
      </c>
      <c r="E22">
        <v>5.91</v>
      </c>
      <c r="F22" t="str">
        <f>VLOOKUP(C22,buckets[#All],9,0)</f>
        <v>54-0-3-ERW 1-FC</v>
      </c>
    </row>
    <row r="23" spans="1:6" x14ac:dyDescent="0.25">
      <c r="A23" t="str">
        <v>0000943211</v>
      </c>
      <c r="B23" t="str">
        <v>MEGH STEELS PRIVATE LIMITED - RE</v>
      </c>
      <c r="C23">
        <v>3500641</v>
      </c>
      <c r="D23" t="str">
        <v>TUB-S-AW-SHS-50.0X50.0X1.6X6.121 FC HDP</v>
      </c>
      <c r="E23">
        <v>6.1</v>
      </c>
      <c r="F23" t="str">
        <f>VLOOKUP(C23,buckets[#All],9,0)</f>
        <v>check tdc for grade</v>
      </c>
    </row>
    <row r="24" spans="1:6" x14ac:dyDescent="0.25">
      <c r="A24" t="str">
        <v>0000943209</v>
      </c>
      <c r="B24" t="str">
        <v>MEGH STEELS PRIVATE LIMITED - TVS A</v>
      </c>
      <c r="C24">
        <v>3500714</v>
      </c>
      <c r="D24" t="str">
        <v>TUB-O-N-AUT-BH-FC-42.70X4.000X5.50-ERW 1</v>
      </c>
      <c r="E24">
        <v>5.5</v>
      </c>
      <c r="F24" t="str">
        <f>VLOOKUP(C24,buckets[#All],9,0)</f>
        <v>42.7-0-4-ERW 1-FC</v>
      </c>
    </row>
    <row r="25" spans="1:6" x14ac:dyDescent="0.25">
      <c r="A25" t="str">
        <v>0000943210</v>
      </c>
      <c r="B25" t="str">
        <v>MEGH STEELS PRIVATE LIMITED - HMSIL</v>
      </c>
      <c r="C25">
        <v>1931046</v>
      </c>
      <c r="D25" t="str">
        <v>TUB-O-N-AUT-AW-FC-28.58X3.250X6.0600</v>
      </c>
      <c r="E25">
        <v>6.06</v>
      </c>
      <c r="F25" t="e">
        <f>VLOOKUP(C25,buckets[#All],9,0)</f>
        <v>#N/A</v>
      </c>
    </row>
    <row r="26" spans="1:6" x14ac:dyDescent="0.25">
      <c r="A26" t="str">
        <v>0000943209</v>
      </c>
      <c r="B26" t="str">
        <v>MEGH STEELS PRIVATE LIMITED - TVS A</v>
      </c>
      <c r="C26">
        <v>4265906</v>
      </c>
      <c r="D26" t="str">
        <v>TUB-R-AW-AUT-50.00X30.00X2.500X6.1930</v>
      </c>
      <c r="E26">
        <v>6.1929999999999996</v>
      </c>
      <c r="F26" t="str">
        <f>VLOOKUP(C26,buckets[#All],9,0)</f>
        <v>50-30-2.5-ERW 1-FC</v>
      </c>
    </row>
    <row r="27" spans="1:6" x14ac:dyDescent="0.25">
      <c r="A27" t="str">
        <v>0000943209</v>
      </c>
      <c r="B27" t="str">
        <v>MEGH STEELS PRIVATE LIMITED - TVS A</v>
      </c>
      <c r="C27">
        <v>1940292</v>
      </c>
      <c r="D27" t="str">
        <v>TUB-O-O-AUT-AW-PE-19.05X2.000X5.8000</v>
      </c>
      <c r="E27">
        <v>5.8</v>
      </c>
      <c r="F27" t="str">
        <f>VLOOKUP(C27,buckets[#All],9,0)</f>
        <v>19.05-0-2-ERW 1-PE</v>
      </c>
    </row>
    <row r="28" spans="1:6" x14ac:dyDescent="0.25">
      <c r="A28" t="str">
        <v>0000943209</v>
      </c>
      <c r="B28" t="str">
        <v>MEGH STEELS PRIVATE LIMITED - TVS A</v>
      </c>
      <c r="C28">
        <v>3994149</v>
      </c>
      <c r="D28" t="str">
        <v>TUB-O-N-AUT-AW-FC-41.28X2.600X6.0010</v>
      </c>
      <c r="E28">
        <v>6.0010000000000003</v>
      </c>
      <c r="F28" t="str">
        <f>VLOOKUP(C28,buckets[#All],9,0)</f>
        <v>41.28-0-2.6-ERW 1-FC</v>
      </c>
    </row>
    <row r="29" spans="1:6" x14ac:dyDescent="0.25">
      <c r="A29" t="str">
        <v>0000943209</v>
      </c>
      <c r="B29" t="str">
        <v>MEGH STEELS PRIVATE LIMITED - TVS A</v>
      </c>
      <c r="C29">
        <v>2430128</v>
      </c>
      <c r="D29" t="str">
        <v>TUB-R-AW-AUT-50.00X30.00X1.600X1.1000</v>
      </c>
      <c r="E29">
        <v>1.1000000000000001</v>
      </c>
      <c r="F29" t="str">
        <f>VLOOKUP(C29,buckets[#All],9,0)</f>
        <v>50-30-1.6-ERW 1-FC</v>
      </c>
    </row>
    <row r="30" spans="1:6" x14ac:dyDescent="0.25">
      <c r="A30" t="str">
        <v>0000943209</v>
      </c>
      <c r="B30" t="str">
        <v>MEGH STEELS PRIVATE LIMITED - TVS A</v>
      </c>
      <c r="C30">
        <v>2409618</v>
      </c>
      <c r="D30" t="str">
        <v>TUB-O-N-AUT-AW-PE-25.40X1.600X2.5900</v>
      </c>
      <c r="E30">
        <v>2.59</v>
      </c>
      <c r="F30" t="str">
        <f>VLOOKUP(C30,buckets[#All],9,0)</f>
        <v>25.4-0-1.6-ERW 1-PE</v>
      </c>
    </row>
    <row r="31" spans="1:6" x14ac:dyDescent="0.25">
      <c r="A31" t="str">
        <v>0000943209</v>
      </c>
      <c r="B31" t="str">
        <v>MEGH STEELS PRIVATE LIMITED - TVS A</v>
      </c>
      <c r="C31">
        <v>1940045</v>
      </c>
      <c r="D31" t="str">
        <v>TUB-O-O-AUT-AW-PE-15.88X1.200X1.1300</v>
      </c>
      <c r="E31">
        <v>1.1299999999999999</v>
      </c>
      <c r="F31" t="str">
        <f>VLOOKUP(C31,buckets[#All],9,0)</f>
        <v>15.88-0-1.2-ERW 1-PE</v>
      </c>
    </row>
    <row r="32" spans="1:6" x14ac:dyDescent="0.25">
      <c r="A32" t="str">
        <v>0000943209</v>
      </c>
      <c r="B32" t="str">
        <v>MEGH STEELS PRIVATE LIMITED - TVS A</v>
      </c>
      <c r="C32">
        <v>3409366</v>
      </c>
      <c r="D32" t="str">
        <v>TUB-O-N-AUT-AW-PE-19.05X1.200X0.1090</v>
      </c>
      <c r="E32">
        <v>0.109</v>
      </c>
      <c r="F32" t="str">
        <f>VLOOKUP(C32,buckets[#All],9,0)</f>
        <v>19.05-0-1.2-ERW 1-PE</v>
      </c>
    </row>
    <row r="33" spans="1:6" x14ac:dyDescent="0.25">
      <c r="A33" t="str">
        <v>0000943209</v>
      </c>
      <c r="B33" t="str">
        <v>MEGH STEELS PRIVATE LIMITED - TVS A</v>
      </c>
      <c r="C33">
        <v>3229740</v>
      </c>
      <c r="D33" t="str">
        <v>TUB-O-N-AUT-AW-PE-19.05X1.200X1.0750</v>
      </c>
      <c r="E33">
        <v>1.075</v>
      </c>
      <c r="F33" t="str">
        <f>VLOOKUP(C33,buckets[#All],9,0)</f>
        <v>19.05-0-1.2-ERW 1-PE</v>
      </c>
    </row>
    <row r="34" spans="1:6" x14ac:dyDescent="0.25">
      <c r="A34" t="str">
        <v>0000943209</v>
      </c>
      <c r="B34" t="str">
        <v>MEGH STEELS PRIVATE LIMITED - TVS A</v>
      </c>
      <c r="C34">
        <v>2409616</v>
      </c>
      <c r="D34" t="str">
        <v>TUB-O-N-AUT-AW-PE-19.05X1.200X0.5130</v>
      </c>
      <c r="E34">
        <v>0.51300000000000001</v>
      </c>
      <c r="F34" t="str">
        <f>VLOOKUP(C34,buckets[#All],9,0)</f>
        <v>19.05-0-1.2-ERW 1-PE</v>
      </c>
    </row>
    <row r="35" spans="1:6" x14ac:dyDescent="0.25">
      <c r="A35" t="str">
        <v>0000943209</v>
      </c>
      <c r="B35" t="str">
        <v>MEGH STEELS PRIVATE LIMITED - TVS A</v>
      </c>
      <c r="C35">
        <v>3432081</v>
      </c>
      <c r="D35" t="str">
        <v>TUB-O-N-AUT-AW-PE-12.70X1.600X0.1890</v>
      </c>
      <c r="E35">
        <v>0.189</v>
      </c>
      <c r="F35" t="str">
        <f>VLOOKUP(C35,buckets[#All],9,0)</f>
        <v>12.7-0-1.6-ERW 1-PE</v>
      </c>
    </row>
    <row r="36" spans="1:6" x14ac:dyDescent="0.25">
      <c r="A36" t="str">
        <v>0000943209</v>
      </c>
      <c r="B36" t="str">
        <v>MEGH STEELS PRIVATE LIMITED - TVS A</v>
      </c>
      <c r="C36">
        <v>4110464</v>
      </c>
      <c r="D36" t="str">
        <v>TUB-O-N-AUT-AW-PE-19.05X1.200X1.1450</v>
      </c>
      <c r="E36">
        <v>1.145</v>
      </c>
      <c r="F36" t="str">
        <f>VLOOKUP(C36,buckets[#All],9,0)</f>
        <v>19.05-0-1.2-ERW 1-PE</v>
      </c>
    </row>
    <row r="37" spans="1:6" x14ac:dyDescent="0.25">
      <c r="A37" t="str">
        <v>0000943211</v>
      </c>
      <c r="B37" t="str">
        <v>MEGH STEELS PRIVATE LIMITED - RE</v>
      </c>
      <c r="C37">
        <v>4038150</v>
      </c>
      <c r="D37" t="str">
        <v>TUB-O-N-AUT-AW-FC-48.00X1.200X5.2850</v>
      </c>
      <c r="E37">
        <v>5.2850000000000001</v>
      </c>
      <c r="F37" t="e">
        <f>VLOOKUP(C37,buckets[#All],9,0)</f>
        <v>#N/A</v>
      </c>
    </row>
    <row r="38" spans="1:6" x14ac:dyDescent="0.25">
      <c r="A38" t="str">
        <v>0000943211</v>
      </c>
      <c r="B38" t="str">
        <v>MEGH STEELS PRIVATE LIMITED - RE</v>
      </c>
      <c r="C38">
        <v>1940684</v>
      </c>
      <c r="D38" t="str">
        <v>TUB-O-O-AUT-AW-FC-31.75X2.300X6.0000</v>
      </c>
      <c r="E38">
        <v>6</v>
      </c>
      <c r="F38" t="str">
        <f>VLOOKUP(C38,buckets[#All],9,0)</f>
        <v>31.75-0-2.3-ERW 1-FC</v>
      </c>
    </row>
    <row r="39" spans="1:6" x14ac:dyDescent="0.25">
      <c r="A39" t="str">
        <v>0000943209</v>
      </c>
      <c r="B39" t="str">
        <v>MEGH STEELS PRIVATE LIMITED - TVS A</v>
      </c>
      <c r="C39">
        <v>1939985</v>
      </c>
      <c r="D39" t="str">
        <v>TUB-O-O-AUT-AW-PE-12.70X1.200X6.0000</v>
      </c>
      <c r="E39">
        <v>6</v>
      </c>
      <c r="F39" t="str">
        <f>VLOOKUP(C39,buckets[#All],9,0)</f>
        <v>12.7-0-1.2-ERW 1-PE</v>
      </c>
    </row>
    <row r="40" spans="1:6" x14ac:dyDescent="0.25">
      <c r="A40" t="str">
        <v>0000943209</v>
      </c>
      <c r="B40" t="str">
        <v>MEGH STEELS PRIVATE LIMITED - TVS A</v>
      </c>
      <c r="C40">
        <v>3929640</v>
      </c>
      <c r="D40" t="str">
        <v>TUB-O-N-AUT-AW-PE-22.23X1.200X5.3000</v>
      </c>
      <c r="E40">
        <v>5.3</v>
      </c>
    </row>
    <row r="41" spans="1:6" x14ac:dyDescent="0.25">
      <c r="A41" t="str">
        <v>0000943209</v>
      </c>
      <c r="B41" t="str">
        <v>MEGH STEELS PRIVATE LIMITED - TVS A</v>
      </c>
      <c r="C41">
        <v>1940337</v>
      </c>
      <c r="D41" t="str">
        <v>TUB-O-O-AUT-AW-PE-19.05X2.300X6.3200</v>
      </c>
      <c r="E41">
        <v>6.32</v>
      </c>
    </row>
    <row r="42" spans="1:6" x14ac:dyDescent="0.25">
      <c r="A42" t="str">
        <v>0000943209</v>
      </c>
      <c r="B42" t="str">
        <v>MEGH STEELS PRIVATE LIMITED - TVS A</v>
      </c>
      <c r="C42">
        <v>3239890</v>
      </c>
      <c r="D42" t="str">
        <v>TUB-O-N-AUT-AW-PE-19.05X1.200X0.3300</v>
      </c>
      <c r="E42">
        <v>0.33</v>
      </c>
    </row>
    <row r="43" spans="1:6" x14ac:dyDescent="0.25">
      <c r="A43" t="str">
        <v>0000943209</v>
      </c>
      <c r="B43" t="str">
        <v>MEGH STEELS PRIVATE LIMITED - TVS A</v>
      </c>
      <c r="C43">
        <v>3635694</v>
      </c>
      <c r="D43" t="str">
        <v>TUB-O-N-AUT-AW-PE-19.05X1.000X1.2000</v>
      </c>
      <c r="E43">
        <v>1.2</v>
      </c>
    </row>
    <row r="44" spans="1:6" x14ac:dyDescent="0.25">
      <c r="A44" t="str">
        <v>0000943211</v>
      </c>
      <c r="B44" t="str">
        <v>MEGH STEELS PRIVATE LIMITED - RE</v>
      </c>
      <c r="C44">
        <v>2397073</v>
      </c>
      <c r="D44" t="str">
        <v>TUB-O-N-AUT-AW-FC-34.93X1.200X0.6200</v>
      </c>
      <c r="E44">
        <v>0.62</v>
      </c>
    </row>
    <row r="45" spans="1:6" x14ac:dyDescent="0.25">
      <c r="A45" t="str">
        <v>0000943210</v>
      </c>
      <c r="B45" t="str">
        <v>MEGH STEELS PRIVATE LIMITED - HMSIL</v>
      </c>
      <c r="C45">
        <v>3731691</v>
      </c>
      <c r="D45" t="str">
        <v>TUB-O-N-AUT-AW-FC-42.70X1.600X0.4160</v>
      </c>
      <c r="E45">
        <v>0.41599999999999998</v>
      </c>
    </row>
    <row r="46" spans="1:6" x14ac:dyDescent="0.25">
      <c r="A46" t="str">
        <v>0000943209</v>
      </c>
      <c r="B46" t="str">
        <v>MEGH STEELS PRIVATE LIMITED - TVS A</v>
      </c>
      <c r="C46">
        <v>3597050</v>
      </c>
      <c r="D46" t="str">
        <v>TUB-O-N-AUT-AW-FC-41.28X3.150X5.9400</v>
      </c>
      <c r="E46">
        <v>5.94</v>
      </c>
    </row>
    <row r="47" spans="1:6" x14ac:dyDescent="0.25">
      <c r="A47" t="str">
        <v>0000943209</v>
      </c>
      <c r="B47" t="str">
        <v>MEGH STEELS PRIVATE LIMITED - TVS A</v>
      </c>
      <c r="C47">
        <v>3410966</v>
      </c>
      <c r="D47" t="str">
        <v>TUB-O-N-AUT-AW-FC-22.23X2.000X6.0000</v>
      </c>
      <c r="E47">
        <v>6</v>
      </c>
    </row>
    <row r="48" spans="1:6" x14ac:dyDescent="0.25">
      <c r="A48" t="str">
        <v>0000943209</v>
      </c>
      <c r="B48" t="str">
        <v>MEGH STEELS PRIVATE LIMITED - TVS A</v>
      </c>
      <c r="C48">
        <v>4272693</v>
      </c>
      <c r="D48" t="str">
        <v>TUB-O-N-AUT-AW-FC-22.20X2.000X5.9500</v>
      </c>
      <c r="E48">
        <v>5.95</v>
      </c>
    </row>
    <row r="49" spans="1:5" x14ac:dyDescent="0.25">
      <c r="A49" t="str">
        <v>0000943209</v>
      </c>
      <c r="B49" t="str">
        <v>MEGH STEELS PRIVATE LIMITED - TVS A</v>
      </c>
      <c r="C49">
        <v>2431251</v>
      </c>
      <c r="D49" t="str">
        <v>TUB-O-N-AUT-AW-PE-22.23X2.000X5.4000</v>
      </c>
      <c r="E49">
        <v>5.4</v>
      </c>
    </row>
    <row r="50" spans="1:5" x14ac:dyDescent="0.25">
      <c r="A50" t="str">
        <v>0000943209</v>
      </c>
      <c r="B50" t="str">
        <v>MEGH STEELS PRIVATE LIMITED - TVS A</v>
      </c>
      <c r="C50">
        <v>1940046</v>
      </c>
      <c r="D50" t="str">
        <v>TUB-O-O-AUT-AW-PE-15.88X1.200X1.3100</v>
      </c>
      <c r="E50">
        <v>1.31</v>
      </c>
    </row>
    <row r="51" spans="1:5" x14ac:dyDescent="0.25">
      <c r="A51" t="str">
        <v>0000943209</v>
      </c>
      <c r="B51" t="str">
        <v>MEGH STEELS PRIVATE LIMITED - TVS A</v>
      </c>
      <c r="C51">
        <v>4241099</v>
      </c>
      <c r="D51" t="str">
        <v>CUT-O-N-AUT-AW-PE-15.88X1.200X0.7300</v>
      </c>
      <c r="E51">
        <v>0.73</v>
      </c>
    </row>
    <row r="52" spans="1:5" x14ac:dyDescent="0.25">
      <c r="A52" t="str">
        <v>0000943211</v>
      </c>
      <c r="B52" t="str">
        <v>MEGH STEELS PRIVATE LIMITED - RE</v>
      </c>
      <c r="C52">
        <v>3460088</v>
      </c>
      <c r="D52" t="str">
        <v>TUB-O-N-AUT-AW-FC-48.00X1.200X5.6700</v>
      </c>
      <c r="E52">
        <v>5.67</v>
      </c>
    </row>
    <row r="53" spans="1:5" x14ac:dyDescent="0.25">
      <c r="A53" t="str">
        <v>0000943209</v>
      </c>
      <c r="B53" t="str">
        <v>MEGH STEELS PRIVATE LIMITED - TVS A</v>
      </c>
      <c r="C53">
        <v>3457574</v>
      </c>
      <c r="D53" t="str">
        <v>TUB-O-N-AUT-AW-PE-41.28X2.600X6.0200</v>
      </c>
      <c r="E53">
        <v>6.02</v>
      </c>
    </row>
    <row r="54" spans="1:5" x14ac:dyDescent="0.25">
      <c r="A54" t="str">
        <v>0000943209</v>
      </c>
      <c r="B54" t="str">
        <v>MEGH STEELS PRIVATE LIMITED - TVS A</v>
      </c>
      <c r="C54">
        <v>3545558</v>
      </c>
      <c r="D54" t="str">
        <v>TUB-O-N-AUT-AW-FC-45.00X1.400X5.7000</v>
      </c>
      <c r="E54">
        <v>5.7</v>
      </c>
    </row>
    <row r="55" spans="1:5" x14ac:dyDescent="0.25">
      <c r="A55" t="str">
        <v>0000943209</v>
      </c>
      <c r="B55" t="str">
        <v>MEGH STEELS PRIVATE LIMITED - TVS A</v>
      </c>
      <c r="C55">
        <v>3501716</v>
      </c>
      <c r="D55" t="str">
        <v>TUB-O-N-AUT-AW-FC-41.28X2.600X6.0000</v>
      </c>
      <c r="E55">
        <v>6</v>
      </c>
    </row>
    <row r="56" spans="1:5" x14ac:dyDescent="0.25">
      <c r="A56" t="str">
        <v>0000943209</v>
      </c>
      <c r="B56" t="str">
        <v>MEGH STEELS PRIVATE LIMITED - TVS A</v>
      </c>
      <c r="C56">
        <v>3775569</v>
      </c>
      <c r="D56" t="str">
        <v>TUB-I-C-AUT-AD-FC-12.50X3.250X6.2000</v>
      </c>
      <c r="E56">
        <v>6.2</v>
      </c>
    </row>
    <row r="57" spans="1:5" x14ac:dyDescent="0.25">
      <c r="A57" t="str">
        <v>0000943209</v>
      </c>
      <c r="B57" t="str">
        <v>MEGH STEELS PRIVATE LIMITED - TVS A</v>
      </c>
      <c r="C57">
        <v>3702875</v>
      </c>
      <c r="D57" t="str">
        <v>TUB-O-N-AUT-AW-FC-60.30X2.000X6.0000</v>
      </c>
      <c r="E57">
        <v>6</v>
      </c>
    </row>
    <row r="58" spans="1:5" x14ac:dyDescent="0.25">
      <c r="A58" t="str">
        <v>0000943209</v>
      </c>
      <c r="B58" t="str">
        <v>MEGH STEELS PRIVATE LIMITED - TVS A</v>
      </c>
      <c r="C58">
        <v>3502254</v>
      </c>
      <c r="D58" t="str">
        <v>TUB-O-N-AUT-AW-FC-38.10X1.600X6.1900</v>
      </c>
      <c r="E58">
        <v>6.19</v>
      </c>
    </row>
    <row r="59" spans="1:5" x14ac:dyDescent="0.25">
      <c r="A59" t="str">
        <v>0000943209</v>
      </c>
      <c r="B59" t="str">
        <v>MEGH STEELS PRIVATE LIMITED - TVS A</v>
      </c>
      <c r="C59">
        <v>3501047</v>
      </c>
      <c r="D59" t="str">
        <v>TUB-O-N-AUT-AW-FC-57.15X2.50X5.750-ERW 1</v>
      </c>
      <c r="E59">
        <v>5.75</v>
      </c>
    </row>
    <row r="60" spans="1:5" x14ac:dyDescent="0.25">
      <c r="A60" t="str">
        <v>0000943210</v>
      </c>
      <c r="B60" t="str">
        <v>MEGH STEELS PRIVATE LIMITED - HMSIL</v>
      </c>
      <c r="C60">
        <v>3545558</v>
      </c>
      <c r="D60" t="str">
        <v>TUB-O-N-AUT-AW-FC-45.00X1.400X5.7000</v>
      </c>
      <c r="E60">
        <v>5.7</v>
      </c>
    </row>
    <row r="61" spans="1:5" x14ac:dyDescent="0.25">
      <c r="A61" t="str">
        <v>0000943210</v>
      </c>
      <c r="B61" t="str">
        <v>MEGH STEELS PRIVATE LIMITED - HMSIL</v>
      </c>
      <c r="C61">
        <v>3701546</v>
      </c>
      <c r="D61" t="str">
        <v>TUB-O-N-AUT-AW-FC-28.58X3.250X6.0600</v>
      </c>
      <c r="E61">
        <v>6.06</v>
      </c>
    </row>
    <row r="62" spans="1:5" x14ac:dyDescent="0.25">
      <c r="A62" t="str">
        <v>0000943211</v>
      </c>
      <c r="B62" t="str">
        <v>MEGH STEELS PRIVATE LIMITED - RE</v>
      </c>
      <c r="C62">
        <v>4072797</v>
      </c>
      <c r="D62" t="str">
        <v>TUB-O-N-AUT-AW-FC-31.75X2.300X5.9200</v>
      </c>
      <c r="E62">
        <v>5.92</v>
      </c>
    </row>
    <row r="63" spans="1:5" x14ac:dyDescent="0.25">
      <c r="A63" t="str">
        <v>0000943209</v>
      </c>
      <c r="B63" t="str">
        <v>MEGH STEELS PRIVATE LIMITED - TVS A</v>
      </c>
      <c r="C63">
        <v>3597718</v>
      </c>
      <c r="D63" t="str">
        <v>TUB-R-AW-RHS-40.00X25.00X1.600X5.9900</v>
      </c>
      <c r="E63">
        <v>5.99</v>
      </c>
    </row>
    <row r="64" spans="1:5" x14ac:dyDescent="0.25">
      <c r="A64" t="str">
        <v>0000943209</v>
      </c>
      <c r="B64" t="str">
        <v>MEGH STEELS PRIVATE LIMITED - TVS A</v>
      </c>
      <c r="C64">
        <v>3500240</v>
      </c>
      <c r="D64" t="str">
        <v>TUB-O-N-AUT-AH-FC-38.10X2.5X5.65 HSTERW2</v>
      </c>
      <c r="E64">
        <v>5.65</v>
      </c>
    </row>
    <row r="65" spans="1:5" x14ac:dyDescent="0.25">
      <c r="A65" t="str">
        <v>0000943209</v>
      </c>
      <c r="B65" t="str">
        <v>MEGH STEELS PRIVATE LIMITED - TVS A</v>
      </c>
      <c r="C65">
        <v>3948187</v>
      </c>
      <c r="D65" t="str">
        <v>CUT-O-C-AUT-AD-FC-29.40X4.500X0.3590</v>
      </c>
      <c r="E65">
        <v>0.35899999999999999</v>
      </c>
    </row>
    <row r="66" spans="1:5" x14ac:dyDescent="0.25">
      <c r="A66" t="str">
        <v>0000943209</v>
      </c>
      <c r="B66" t="str">
        <v>MEGH STEELS PRIVATE LIMITED - TVS A</v>
      </c>
      <c r="C66">
        <v>1940458</v>
      </c>
      <c r="D66" t="str">
        <v>TUB-O-O-AUT-AW-PE-22.23X2.000X0.7390</v>
      </c>
      <c r="E66">
        <v>0.73899999999999999</v>
      </c>
    </row>
    <row r="67" spans="1:5" x14ac:dyDescent="0.25">
      <c r="A67" t="str">
        <v>0000943209</v>
      </c>
      <c r="B67" t="str">
        <v>MEGH STEELS PRIVATE LIMITED - TVS A</v>
      </c>
      <c r="C67">
        <v>3186831</v>
      </c>
      <c r="D67" t="str">
        <v>TUB-O-N-AUT-AW-FC-41.28X2.600X0.8480</v>
      </c>
      <c r="E67">
        <v>0.84799999999999998</v>
      </c>
    </row>
  </sheetData>
  <autoFilter ref="A1:G39" xr:uid="{2D14BD53-FC8E-41E0-B3B5-316B83778D36}"/>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9"/>
  <dimension ref="A1:BC4704"/>
  <sheetViews>
    <sheetView topLeftCell="AC1" workbookViewId="0">
      <selection activeCell="AK18" sqref="AK18"/>
    </sheetView>
  </sheetViews>
  <sheetFormatPr defaultRowHeight="15" x14ac:dyDescent="0.25"/>
  <cols>
    <col min="8" max="8" width="37.5703125" bestFit="1" customWidth="1"/>
    <col min="36" max="36" width="37.42578125" bestFit="1" customWidth="1"/>
    <col min="37" max="37" width="38.5703125" bestFit="1" customWidth="1"/>
    <col min="38" max="38" width="34.7109375" bestFit="1" customWidth="1"/>
    <col min="44" max="45" width="19.85546875" bestFit="1" customWidth="1"/>
    <col min="48" max="48" width="19.85546875" bestFit="1" customWidth="1"/>
    <col min="54" max="54" width="32.42578125" bestFit="1" customWidth="1"/>
  </cols>
  <sheetData>
    <row r="1" spans="1:55" x14ac:dyDescent="0.25">
      <c r="A1">
        <v>1931253</v>
      </c>
      <c r="B1" cm="1">
        <f t="array" ref="B1:B385">_xlfn.UNIQUE(Bucketting!A39:A1752)</f>
        <v>1940038</v>
      </c>
      <c r="D1" t="s">
        <v>6524</v>
      </c>
      <c r="E1" t="s">
        <v>6525</v>
      </c>
      <c r="H1" t="s">
        <v>6526</v>
      </c>
      <c r="I1" t="s">
        <v>6527</v>
      </c>
      <c r="J1" t="s">
        <v>6528</v>
      </c>
      <c r="P1" t="s">
        <v>6529</v>
      </c>
      <c r="Q1" t="s">
        <v>6530</v>
      </c>
      <c r="W1" t="s">
        <v>6531</v>
      </c>
      <c r="X1">
        <v>876</v>
      </c>
      <c r="AC1" t="s">
        <v>6532</v>
      </c>
      <c r="AD1">
        <v>836</v>
      </c>
      <c r="AJ1" t="str" cm="1">
        <f t="array" ref="AJ1:AJ23">_xlfn.UNIQUE(salesTVS[CUSTOMER  NAME])</f>
        <v>Narasipur Auto Component(P)Ltd</v>
      </c>
      <c r="AK1" t="s">
        <v>17</v>
      </c>
      <c r="AL1" t="s">
        <v>6533</v>
      </c>
      <c r="AM1">
        <f>SUMIF(salesTVS[CUSTOMER  NAME],AK1,salesTVS[Quantity])</f>
        <v>30639.809999999998</v>
      </c>
      <c r="AQ1" t="s">
        <v>6534</v>
      </c>
      <c r="AV1" t="s">
        <v>6535</v>
      </c>
      <c r="BB1" t="s">
        <v>6536</v>
      </c>
      <c r="BC1" t="s">
        <v>261</v>
      </c>
    </row>
    <row r="2" spans="1:55" x14ac:dyDescent="0.25">
      <c r="A2">
        <v>2364548</v>
      </c>
      <c r="B2">
        <v>1940045</v>
      </c>
      <c r="D2">
        <v>2442390</v>
      </c>
      <c r="E2">
        <v>2442390</v>
      </c>
      <c r="H2" t="s">
        <v>17</v>
      </c>
      <c r="I2" t="str" cm="1">
        <f t="array" ref="I2:I65">_xlfn.UNIQUE(H2:H2503)</f>
        <v>ELKAYEM AUTO ANCILLARIES (PVT) LTD.</v>
      </c>
      <c r="J2" t="str" cm="1">
        <f t="array" ref="J2:J160">_xlfn.UNIQUE(OEM_Key[[Customer ]])</f>
        <v>A.R.Automotive And Engg Industries</v>
      </c>
      <c r="P2">
        <v>1</v>
      </c>
      <c r="Q2">
        <v>1</v>
      </c>
      <c r="W2" t="s">
        <v>407</v>
      </c>
      <c r="X2" t="str" cm="1">
        <f t="array" ref="X2:X79">_xlfn.UNIQUE(W2:W1009)</f>
        <v>19.05-0-2.3-ERW 1-PE</v>
      </c>
      <c r="Y2" t="s">
        <v>407</v>
      </c>
      <c r="AC2" t="s">
        <v>398</v>
      </c>
      <c r="AD2" t="str" cm="1">
        <f t="array" ref="AD2:AD112">_xlfn.UNIQUE(AC2:AC121)</f>
        <v>12.7-0-1.2-ERW 1-PE</v>
      </c>
      <c r="AE2" t="s">
        <v>398</v>
      </c>
      <c r="AJ2" t="str">
        <v>SRIKAM HITECH ENGINEERING PRIVATE L</v>
      </c>
      <c r="AK2" t="s">
        <v>61</v>
      </c>
      <c r="AL2" t="s">
        <v>2128</v>
      </c>
      <c r="AM2">
        <f>SUMIF(salesTVS[CUSTOMER  NAME],AK2,salesTVS[Quantity])</f>
        <v>139007.78700000001</v>
      </c>
      <c r="AQ2">
        <v>1938119</v>
      </c>
      <c r="AR2" t="str">
        <f>VLOOKUP(AQ2,buckets[],9,0)</f>
        <v>17.3-0-1.6-ERW 1-PE</v>
      </c>
      <c r="AS2" t="str" cm="1">
        <f t="array" ref="AS2:AS20">_xlfn.UNIQUE(AR2:AR33)</f>
        <v>17.3-0-1.6-ERW 1-PE</v>
      </c>
      <c r="AT2" t="s">
        <v>978</v>
      </c>
      <c r="AV2" t="s">
        <v>832</v>
      </c>
      <c r="AW2" t="str" cm="1">
        <f t="array" ref="AW2:AW20">_xlfn.UNIQUE(AV2:AV133)</f>
        <v>31.75-0-1.2-ERW 1-PE</v>
      </c>
      <c r="BA2" s="557" t="e" cm="1">
        <f t="array" ref="BA2">_xlfn._xlws.FILTER(#REF!,#REF!&gt;0)</f>
        <v>#REF!</v>
      </c>
      <c r="BB2" t="e" cm="1">
        <f t="array" ref="BB2:BB3">_xlfn.UNIQUE(BA2:BA370)</f>
        <v>#REF!</v>
      </c>
      <c r="BC2" t="s">
        <v>2518</v>
      </c>
    </row>
    <row r="3" spans="1:55" x14ac:dyDescent="0.25">
      <c r="A3">
        <v>3675724</v>
      </c>
      <c r="B3">
        <v>1940046</v>
      </c>
      <c r="D3">
        <v>2442390</v>
      </c>
      <c r="E3">
        <v>2426342</v>
      </c>
      <c r="H3" t="s">
        <v>17</v>
      </c>
      <c r="I3" t="str">
        <v>Surya Steels</v>
      </c>
      <c r="J3" t="str">
        <v>BALAJI INDUSTRIES</v>
      </c>
      <c r="P3">
        <v>2</v>
      </c>
      <c r="Q3">
        <v>2</v>
      </c>
      <c r="W3" t="s">
        <v>407</v>
      </c>
      <c r="X3" t="str">
        <v>40-25-1.6-ERW 1-FC</v>
      </c>
      <c r="Y3" t="s">
        <v>428</v>
      </c>
      <c r="AC3" t="s">
        <v>416</v>
      </c>
      <c r="AD3" t="str">
        <v>12.7-0-1.6-ERW 1-PE</v>
      </c>
      <c r="AE3" t="s">
        <v>416</v>
      </c>
      <c r="AJ3" t="str">
        <v>ELKAYEM AUTO ANCILLARIES (PVT) LTD.</v>
      </c>
      <c r="AK3" t="s">
        <v>18</v>
      </c>
      <c r="AL3" t="s">
        <v>6533</v>
      </c>
      <c r="AM3">
        <f>SUMIF(salesTVS[CUSTOMER  NAME],AK3,salesTVS[Quantity])</f>
        <v>165139.79399999999</v>
      </c>
      <c r="AQ3">
        <v>1937022</v>
      </c>
      <c r="AR3" t="str">
        <f>VLOOKUP(AQ3,buckets[],9,0)</f>
        <v>19.05-0-1.2-ERW 1-PE</v>
      </c>
      <c r="AS3" t="str">
        <v>19.05-0-1.2-ERW 1-PE</v>
      </c>
      <c r="AT3" t="s">
        <v>471</v>
      </c>
      <c r="AV3" t="s">
        <v>832</v>
      </c>
      <c r="AW3" t="str">
        <v>22.23-0-1.6-ERW 1-PE</v>
      </c>
      <c r="BA3" s="557"/>
      <c r="BB3">
        <v>0</v>
      </c>
      <c r="BC3" t="s">
        <v>2518</v>
      </c>
    </row>
    <row r="4" spans="1:55" x14ac:dyDescent="0.25">
      <c r="A4">
        <v>1941615</v>
      </c>
      <c r="B4">
        <v>1940054</v>
      </c>
      <c r="D4">
        <v>2426342</v>
      </c>
      <c r="E4">
        <v>1939303</v>
      </c>
      <c r="H4" t="s">
        <v>17</v>
      </c>
      <c r="I4" t="str">
        <v>A.R.Automotive And Engg Industries</v>
      </c>
      <c r="J4" t="str">
        <v>BALAJI PRESS PRODUCTS INDIA</v>
      </c>
      <c r="P4">
        <v>3</v>
      </c>
      <c r="Q4">
        <v>3</v>
      </c>
      <c r="W4" t="s">
        <v>407</v>
      </c>
      <c r="X4" t="str">
        <v>12.7-0-1.2-ERW 1-PE</v>
      </c>
      <c r="Y4" t="s">
        <v>398</v>
      </c>
      <c r="AC4" t="s">
        <v>965</v>
      </c>
      <c r="AD4" t="str">
        <v>14-0-1.6-CEW-CEW</v>
      </c>
      <c r="AE4" t="s">
        <v>965</v>
      </c>
      <c r="AJ4" t="str">
        <v>BALAJI PRESS PRODUCTS INDIA</v>
      </c>
      <c r="AK4" t="s">
        <v>19</v>
      </c>
      <c r="AL4" t="s">
        <v>6533</v>
      </c>
      <c r="AM4">
        <f>SUMIF(salesTVS[CUSTOMER  NAME],AK4,salesTVS[Quantity])</f>
        <v>71159.553000000014</v>
      </c>
      <c r="AQ4">
        <v>1940247</v>
      </c>
      <c r="AR4" t="str">
        <f>VLOOKUP(AQ4,buckets[],9,0)</f>
        <v>19.05-0-1.6-ERW 1-PE</v>
      </c>
      <c r="AS4" t="str">
        <v>19.05-0-1.6-ERW 1-PE</v>
      </c>
      <c r="AT4" t="s">
        <v>983</v>
      </c>
      <c r="AV4" t="s">
        <v>832</v>
      </c>
      <c r="AW4" t="str">
        <v>19.05-0-1.6-ERW 1-PE</v>
      </c>
      <c r="BA4" s="557"/>
      <c r="BC4" t="s">
        <v>2518</v>
      </c>
    </row>
    <row r="5" spans="1:55" x14ac:dyDescent="0.25">
      <c r="A5">
        <v>1940057</v>
      </c>
      <c r="B5">
        <v>1940078</v>
      </c>
      <c r="D5">
        <v>2426342</v>
      </c>
      <c r="E5">
        <v>1939963</v>
      </c>
      <c r="H5" t="s">
        <v>63</v>
      </c>
      <c r="I5" t="str">
        <v>SANDHAR ENGINEERING PVT LTD.(KA) -U</v>
      </c>
      <c r="J5" t="str">
        <v>BCC PIPES &amp; TUBES PRIVATE LIMITED</v>
      </c>
      <c r="P5">
        <v>6</v>
      </c>
      <c r="Q5">
        <v>6</v>
      </c>
      <c r="W5" t="s">
        <v>407</v>
      </c>
      <c r="X5" t="str">
        <v>22.23-0-2-ERW 1-PE</v>
      </c>
      <c r="Y5" t="s">
        <v>633</v>
      </c>
      <c r="AC5" t="s">
        <v>6537</v>
      </c>
      <c r="AD5" t="str">
        <v>14-0-1.95-CEW-CEW</v>
      </c>
      <c r="AE5" t="s">
        <v>6537</v>
      </c>
      <c r="AJ5" t="str">
        <v>Rajsriya Automotive Industries</v>
      </c>
      <c r="AK5" t="s">
        <v>151</v>
      </c>
      <c r="AL5" t="s">
        <v>954</v>
      </c>
      <c r="AM5">
        <f>SUMIF(salesTVS[CUSTOMER  NAME],AK5,salesTVS[Quantity])</f>
        <v>236213.38499999998</v>
      </c>
      <c r="AQ5">
        <v>2320564</v>
      </c>
      <c r="AR5" t="str">
        <f>VLOOKUP(AQ5,buckets[],9,0)</f>
        <v>19.05-0-2.3-ERW 1-PE</v>
      </c>
      <c r="AS5" t="str">
        <v>19.05-0-2.3-ERW 1-PE</v>
      </c>
      <c r="AT5" t="s">
        <v>407</v>
      </c>
      <c r="AV5" t="s">
        <v>832</v>
      </c>
      <c r="AW5" t="str">
        <v>22.23-0-2-ERW 1-PE</v>
      </c>
      <c r="BA5" s="557"/>
      <c r="BC5" t="s">
        <v>398</v>
      </c>
    </row>
    <row r="6" spans="1:55" x14ac:dyDescent="0.25">
      <c r="A6">
        <v>3614251</v>
      </c>
      <c r="B6">
        <v>1940090</v>
      </c>
      <c r="D6">
        <v>1939303</v>
      </c>
      <c r="E6">
        <v>1939966</v>
      </c>
      <c r="H6" t="s">
        <v>4</v>
      </c>
      <c r="I6" t="str">
        <v>Rajsriya Automotive Ind Pvt Ltd.</v>
      </c>
      <c r="J6" t="str">
        <v>BHARAT TUBES CORPORATION</v>
      </c>
      <c r="P6">
        <v>7</v>
      </c>
      <c r="Q6">
        <v>7</v>
      </c>
      <c r="W6" t="s">
        <v>407</v>
      </c>
      <c r="X6" t="str">
        <v>22.23-0-1.6-ERW 1-PE</v>
      </c>
      <c r="Y6" t="s">
        <v>412</v>
      </c>
      <c r="AC6" t="s">
        <v>6538</v>
      </c>
      <c r="AD6" t="str">
        <v>14-0-2.5-CEW-CEW</v>
      </c>
      <c r="AE6" t="s">
        <v>6538</v>
      </c>
      <c r="AJ6" t="str">
        <v>Marathwada Auto Compo Pvt. Ltd.</v>
      </c>
      <c r="AK6" t="s">
        <v>9</v>
      </c>
      <c r="AL6" t="s">
        <v>1866</v>
      </c>
      <c r="AM6">
        <f>SUMIF(salesTVS[CUSTOMER  NAME],AK6,salesTVS[Quantity])</f>
        <v>21950.359999999993</v>
      </c>
      <c r="AQ6">
        <v>319684</v>
      </c>
      <c r="AR6" t="str">
        <f>VLOOKUP(AQ6,buckets[],9,0)</f>
        <v>22.23-0-2-ERW 1-PE</v>
      </c>
      <c r="AS6" t="str">
        <v>22.23-0-2-ERW 1-PE</v>
      </c>
      <c r="AT6" t="s">
        <v>633</v>
      </c>
      <c r="AV6" t="s">
        <v>832</v>
      </c>
      <c r="AW6" t="str">
        <v>19.05-0-2.3-ERW 1-PE</v>
      </c>
      <c r="BA6" s="557"/>
      <c r="BC6" t="s">
        <v>398</v>
      </c>
    </row>
    <row r="7" spans="1:55" x14ac:dyDescent="0.25">
      <c r="A7">
        <v>1940255</v>
      </c>
      <c r="B7">
        <v>1940124</v>
      </c>
      <c r="D7">
        <v>1939303</v>
      </c>
      <c r="E7">
        <v>2386074</v>
      </c>
      <c r="H7" t="s">
        <v>52</v>
      </c>
      <c r="I7" t="str">
        <v>SRIKAM HITECH ENGINEERING PRIVATE L</v>
      </c>
      <c r="J7" t="str">
        <v>ELKAYEM AUTO ANCILLARIES (PVT) LTD.</v>
      </c>
      <c r="P7">
        <v>7</v>
      </c>
      <c r="Q7">
        <v>8</v>
      </c>
      <c r="W7" t="s">
        <v>407</v>
      </c>
      <c r="X7" t="str">
        <v>22.23-0-2.3-ERW 1-PE</v>
      </c>
      <c r="Y7" t="s">
        <v>748</v>
      </c>
      <c r="AC7" t="s">
        <v>423</v>
      </c>
      <c r="AD7" t="str">
        <v>15.88-0-1-ERW 1-PE</v>
      </c>
      <c r="AE7" t="s">
        <v>423</v>
      </c>
      <c r="AJ7" t="str">
        <v>ELKAYEM AUTO ANCILLARIES PRIVATE LI</v>
      </c>
      <c r="AK7" t="s">
        <v>45</v>
      </c>
      <c r="AL7" t="s">
        <v>6539</v>
      </c>
      <c r="AM7">
        <f>SUMIF(salesTVS[CUSTOMER  NAME],AK7,salesTVS[Quantity])</f>
        <v>7671.6660000000011</v>
      </c>
      <c r="AQ7">
        <v>1154248</v>
      </c>
      <c r="AR7" t="str">
        <f>VLOOKUP(AQ7,buckets[],9,0)</f>
        <v>22.23-0-2-ERW 1-PE</v>
      </c>
      <c r="AS7" t="str">
        <v>22.23-0-1.6-ERW 1-PE</v>
      </c>
      <c r="AT7" t="s">
        <v>412</v>
      </c>
      <c r="AV7" t="s">
        <v>832</v>
      </c>
      <c r="AW7" t="str">
        <v>38.1-0-2-ERW 1-FC</v>
      </c>
      <c r="BA7" s="557"/>
      <c r="BC7" t="s">
        <v>398</v>
      </c>
    </row>
    <row r="8" spans="1:55" x14ac:dyDescent="0.25">
      <c r="A8">
        <v>3402381</v>
      </c>
      <c r="B8">
        <v>1940146</v>
      </c>
      <c r="D8">
        <v>1939963</v>
      </c>
      <c r="E8">
        <v>1939974</v>
      </c>
      <c r="H8" t="s">
        <v>72</v>
      </c>
      <c r="I8" t="str">
        <v>MEGH STEELS PRIVATE LIMITED - HMSIL</v>
      </c>
      <c r="J8" t="str">
        <v>ELKAYEM AUTO ANCILLARIES PRIVATE LI</v>
      </c>
      <c r="P8">
        <v>8</v>
      </c>
      <c r="Q8">
        <v>9</v>
      </c>
      <c r="W8" t="s">
        <v>428</v>
      </c>
      <c r="X8" t="str">
        <v>48.6-0-4-ERW 2-FC-Ampere</v>
      </c>
      <c r="Y8" t="s">
        <v>917</v>
      </c>
      <c r="AC8" t="s">
        <v>463</v>
      </c>
      <c r="AD8" t="str">
        <v>15.88-0-1.2-ERW 1-PE</v>
      </c>
      <c r="AE8" t="s">
        <v>463</v>
      </c>
      <c r="AJ8" t="str">
        <v>Sri Balaji Gears</v>
      </c>
      <c r="AK8" t="s">
        <v>25</v>
      </c>
      <c r="AL8" t="s">
        <v>114</v>
      </c>
      <c r="AM8">
        <f>SUMIF(salesTVS[CUSTOMER  NAME],AK8,salesTVS[Quantity])</f>
        <v>15112.380999999999</v>
      </c>
      <c r="AQ8">
        <v>3553684</v>
      </c>
      <c r="AR8" t="str">
        <f>VLOOKUP(AQ8,buckets[],9,0)</f>
        <v>22.23-0-1.6-ERW 1-PE</v>
      </c>
      <c r="AS8" t="str">
        <v>22.23-0-2-ERW 2-FC</v>
      </c>
      <c r="AT8" t="s">
        <v>737</v>
      </c>
      <c r="AV8" t="s">
        <v>832</v>
      </c>
      <c r="AW8" t="str">
        <v>17.3-0-1.6-ERW 1-PE</v>
      </c>
      <c r="BA8" s="557"/>
      <c r="BC8" t="s">
        <v>398</v>
      </c>
    </row>
    <row r="9" spans="1:55" x14ac:dyDescent="0.25">
      <c r="A9">
        <v>3451560</v>
      </c>
      <c r="B9">
        <v>1940151</v>
      </c>
      <c r="D9">
        <v>1939963</v>
      </c>
      <c r="E9">
        <v>2403436</v>
      </c>
      <c r="H9" t="s">
        <v>72</v>
      </c>
      <c r="I9" t="str">
        <v>MEGH STEELS PRIVATE LIMITED - TVS A</v>
      </c>
      <c r="J9" t="str">
        <v>ELKAYEM AUTO ANCILLARIES PVT LTD -U</v>
      </c>
      <c r="P9">
        <v>8</v>
      </c>
      <c r="Q9">
        <v>13</v>
      </c>
      <c r="W9" t="s">
        <v>428</v>
      </c>
      <c r="X9" t="str">
        <v>37.6-31.2-3.2-CEW-CEW</v>
      </c>
      <c r="Y9" t="s">
        <v>1041</v>
      </c>
      <c r="AC9" t="s">
        <v>506</v>
      </c>
      <c r="AD9" t="str">
        <v>15.88-0-1.6-ERW 1-PE</v>
      </c>
      <c r="AE9" t="s">
        <v>506</v>
      </c>
      <c r="AJ9" t="str">
        <v>Neel Metal Products Limited</v>
      </c>
      <c r="AK9" t="s">
        <v>52</v>
      </c>
      <c r="AL9" t="s">
        <v>95</v>
      </c>
      <c r="AM9">
        <f>SUMIF(salesTVS[CUSTOMER  NAME],AK9,salesTVS[Quantity])</f>
        <v>78249.196000000025</v>
      </c>
      <c r="AQ9">
        <v>3714733</v>
      </c>
      <c r="AR9" t="str">
        <f>VLOOKUP(AQ9,buckets[],9,0)</f>
        <v>22.23-0-1.6-ERW 1-PE</v>
      </c>
      <c r="AS9" t="str">
        <v>25.4-0-2-ERW 1-FC</v>
      </c>
      <c r="AT9" t="s">
        <v>810</v>
      </c>
      <c r="AV9" t="s">
        <v>412</v>
      </c>
      <c r="AW9" t="str">
        <v>38.1-0-2-ERW 1-PE</v>
      </c>
      <c r="BA9" s="557"/>
      <c r="BC9" t="s">
        <v>398</v>
      </c>
    </row>
    <row r="10" spans="1:55" x14ac:dyDescent="0.25">
      <c r="A10">
        <v>3584139</v>
      </c>
      <c r="B10">
        <v>1940220</v>
      </c>
      <c r="D10">
        <v>1939963</v>
      </c>
      <c r="E10">
        <v>1939985</v>
      </c>
      <c r="H10" t="s">
        <v>61</v>
      </c>
      <c r="I10" t="str">
        <v>Indo Autotech Limited (Unit V)</v>
      </c>
      <c r="J10" t="str">
        <v>GANESH INDUSTRAIL SUPPLIES</v>
      </c>
      <c r="P10">
        <v>9</v>
      </c>
      <c r="Q10">
        <v>14</v>
      </c>
      <c r="W10" t="s">
        <v>428</v>
      </c>
      <c r="X10" t="str">
        <v>12.7-0-1.6-ERW 1-PE</v>
      </c>
      <c r="Y10" t="s">
        <v>416</v>
      </c>
      <c r="AC10" t="s">
        <v>537</v>
      </c>
      <c r="AD10" t="str">
        <v>15.88-0-2-ERW 1-PE</v>
      </c>
      <c r="AE10" t="s">
        <v>537</v>
      </c>
      <c r="AJ10" t="str">
        <v>ELKAYEM AUTO ANCILLARIES PVT LTD -U</v>
      </c>
      <c r="AK10" t="s">
        <v>44</v>
      </c>
      <c r="AL10" t="s">
        <v>6539</v>
      </c>
      <c r="AM10">
        <f>SUMIF(salesTVS[CUSTOMER  NAME],AK10,salesTVS[Quantity])</f>
        <v>932.14300000000003</v>
      </c>
      <c r="AQ10">
        <v>3910650</v>
      </c>
      <c r="AR10" t="str">
        <f>VLOOKUP(AQ10,buckets[],9,0)</f>
        <v>22.23-0-2-ERW 2-FC</v>
      </c>
      <c r="AS10" t="str">
        <v>25.4-0-2.5-ERW 1-FC</v>
      </c>
      <c r="AT10" t="s">
        <v>692</v>
      </c>
      <c r="AV10" t="s">
        <v>412</v>
      </c>
      <c r="AW10" t="str">
        <v>19.05-0-1.2-ERW 1-PE</v>
      </c>
      <c r="BA10" s="557"/>
      <c r="BC10" t="s">
        <v>398</v>
      </c>
    </row>
    <row r="11" spans="1:55" x14ac:dyDescent="0.25">
      <c r="A11">
        <v>3452432</v>
      </c>
      <c r="B11">
        <v>1940236</v>
      </c>
      <c r="D11">
        <v>1939963</v>
      </c>
      <c r="E11">
        <v>1900037</v>
      </c>
      <c r="H11" t="s">
        <v>32</v>
      </c>
      <c r="I11" t="str">
        <v>Neel Metal Products Limited</v>
      </c>
      <c r="J11" t="str">
        <v>Indo Autotech Limited (Unit V)</v>
      </c>
      <c r="P11">
        <v>13</v>
      </c>
      <c r="Q11">
        <v>15</v>
      </c>
      <c r="W11" t="s">
        <v>398</v>
      </c>
      <c r="X11" t="str">
        <v>57.15-0-2-ERW 1-FC</v>
      </c>
      <c r="Y11" t="s">
        <v>909</v>
      </c>
      <c r="AC11" t="s">
        <v>546</v>
      </c>
      <c r="AD11" t="str">
        <v>16.1-0-2.8-CEW-CEW</v>
      </c>
      <c r="AE11" t="s">
        <v>546</v>
      </c>
      <c r="AJ11" t="str">
        <v>SANDHAR ENGINEERING PVT LTD.(KA) -U</v>
      </c>
      <c r="AK11" t="s">
        <v>46</v>
      </c>
      <c r="AL11" t="s">
        <v>6539</v>
      </c>
      <c r="AM11">
        <f>SUMIF(salesTVS[CUSTOMER  NAME],AK11,salesTVS[Quantity])</f>
        <v>39898.701999999997</v>
      </c>
      <c r="AQ11">
        <v>3910649</v>
      </c>
      <c r="AR11" t="str">
        <f>VLOOKUP(AQ11,buckets[],9,0)</f>
        <v>22.23-0-2-ERW 2-FC</v>
      </c>
      <c r="AS11" t="str">
        <v>28.58-0-1.2-ERW 1-PE</v>
      </c>
      <c r="AT11" t="s">
        <v>832</v>
      </c>
      <c r="AV11" t="s">
        <v>983</v>
      </c>
      <c r="AW11" t="str">
        <v>42.7-0-3.5-ERW 1-FC</v>
      </c>
      <c r="BA11" s="557"/>
      <c r="BC11" t="s">
        <v>398</v>
      </c>
    </row>
    <row r="12" spans="1:55" x14ac:dyDescent="0.25">
      <c r="A12">
        <v>2432084</v>
      </c>
      <c r="B12">
        <v>1940241</v>
      </c>
      <c r="D12">
        <v>1939963</v>
      </c>
      <c r="E12">
        <v>1939986</v>
      </c>
      <c r="H12" t="s">
        <v>63</v>
      </c>
      <c r="I12" t="str">
        <v>FREE STOCK</v>
      </c>
      <c r="J12" t="str">
        <v>JBM AUTO LIMITED</v>
      </c>
      <c r="P12">
        <v>14</v>
      </c>
      <c r="Q12">
        <v>17</v>
      </c>
      <c r="W12" t="s">
        <v>398</v>
      </c>
      <c r="X12" t="str">
        <v>34.93-0-2.5-ERW 1-PE</v>
      </c>
      <c r="Y12" t="s">
        <v>6540</v>
      </c>
      <c r="AC12" t="s">
        <v>972</v>
      </c>
      <c r="AD12" t="str">
        <v>16.1-10.4-2.7-CEW-CEW</v>
      </c>
      <c r="AE12" t="s">
        <v>972</v>
      </c>
      <c r="AJ12" t="str">
        <v>Rajsriya Automotive Industries(P)</v>
      </c>
      <c r="AK12" t="s">
        <v>47</v>
      </c>
      <c r="AL12" t="s">
        <v>6539</v>
      </c>
      <c r="AM12">
        <f>SUMIF(salesTVS[CUSTOMER  NAME],AK12,salesTVS[Quantity])</f>
        <v>0</v>
      </c>
      <c r="AQ12">
        <v>2413708</v>
      </c>
      <c r="AR12" t="str">
        <f>VLOOKUP(AQ12,buckets[],9,0)</f>
        <v>22.23-0-2-ERW 1-PE</v>
      </c>
      <c r="AS12" t="str">
        <v>31.75-0-1.2-ERW 1-PE</v>
      </c>
      <c r="AT12" t="s">
        <v>836</v>
      </c>
      <c r="AV12" t="s">
        <v>983</v>
      </c>
      <c r="AW12" t="str">
        <v>42.7-0-4-ERW 1-FC</v>
      </c>
      <c r="BA12" s="557"/>
      <c r="BC12" t="s">
        <v>398</v>
      </c>
    </row>
    <row r="13" spans="1:55" x14ac:dyDescent="0.25">
      <c r="A13">
        <v>1940792</v>
      </c>
      <c r="B13">
        <v>1940247</v>
      </c>
      <c r="D13">
        <v>1939963</v>
      </c>
      <c r="E13">
        <v>3552188</v>
      </c>
      <c r="H13" t="s">
        <v>37</v>
      </c>
      <c r="I13" t="str">
        <v>RAJSRIYA AUTOMOTIVE IND. P LTD</v>
      </c>
      <c r="J13" t="str">
        <v>JK ENGINEERING WORKS</v>
      </c>
      <c r="P13">
        <v>15</v>
      </c>
      <c r="Q13">
        <v>18</v>
      </c>
      <c r="W13" t="s">
        <v>398</v>
      </c>
      <c r="X13" t="str">
        <v>34.93-0-1.6-ERW 1-PE</v>
      </c>
      <c r="Y13" t="s">
        <v>6541</v>
      </c>
      <c r="AC13" t="s">
        <v>973</v>
      </c>
      <c r="AD13" t="str">
        <v>16.1-10.7-2.95-CEW-CEW</v>
      </c>
      <c r="AE13" t="s">
        <v>973</v>
      </c>
      <c r="AJ13" t="str">
        <v>Rajsriya Automotive Ind.P.Ltd Unit-</v>
      </c>
      <c r="AK13" t="s">
        <v>39</v>
      </c>
      <c r="AL13" t="s">
        <v>290</v>
      </c>
      <c r="AM13">
        <f>SUMIF(salesTVS[CUSTOMER  NAME],AK13,salesTVS[Quantity])</f>
        <v>21934.249</v>
      </c>
      <c r="AQ13">
        <v>3926270</v>
      </c>
      <c r="AR13" t="str">
        <f>VLOOKUP(AQ13,buckets[],9,0)</f>
        <v>25.4-0-2-ERW 1-FC</v>
      </c>
      <c r="AS13" t="str">
        <v>31.75-0-1.2-ERW 1-FC</v>
      </c>
      <c r="AT13" t="s">
        <v>860</v>
      </c>
      <c r="AV13" t="s">
        <v>983</v>
      </c>
      <c r="AW13" t="str">
        <v>50-30-1.6-ERW 2-FC</v>
      </c>
      <c r="BA13" s="557"/>
      <c r="BC13" t="s">
        <v>2564</v>
      </c>
    </row>
    <row r="14" spans="1:55" x14ac:dyDescent="0.25">
      <c r="A14">
        <v>3484632</v>
      </c>
      <c r="B14">
        <v>1940262</v>
      </c>
      <c r="D14">
        <v>1939963</v>
      </c>
      <c r="E14">
        <v>1931117</v>
      </c>
      <c r="H14" t="s">
        <v>17</v>
      </c>
      <c r="I14" t="str">
        <v>Rajsriya Automotive Ind. Pvt Ltd</v>
      </c>
      <c r="J14" t="str">
        <v>Kay Jay Forgings Pvt Ltd Unit Vi</v>
      </c>
      <c r="P14">
        <v>17</v>
      </c>
      <c r="Q14">
        <v>19</v>
      </c>
      <c r="W14" t="s">
        <v>398</v>
      </c>
      <c r="X14" t="str">
        <v>59-30-1.6-ERW-FIN CUT</v>
      </c>
      <c r="Y14" t="s">
        <v>6542</v>
      </c>
      <c r="AC14" t="s">
        <v>557</v>
      </c>
      <c r="AD14" t="str">
        <v>17.3-0-1.2-ERW 1-PE</v>
      </c>
      <c r="AE14" t="s">
        <v>557</v>
      </c>
      <c r="AJ14" t="str">
        <v>Rajsriya Automotive Ind. Pvt Ltd</v>
      </c>
      <c r="AK14" t="s">
        <v>60</v>
      </c>
      <c r="AL14" t="s">
        <v>2104</v>
      </c>
      <c r="AM14">
        <f>SUMIF(salesTVS[CUSTOMER  NAME],AK14,salesTVS[Quantity])</f>
        <v>154907.86699999962</v>
      </c>
      <c r="AQ14">
        <v>3924502</v>
      </c>
      <c r="AR14" t="str">
        <f>VLOOKUP(AQ14,buckets[],9,0)</f>
        <v>25.4-0-2-ERW 1-FC</v>
      </c>
      <c r="AS14" t="str">
        <v>38.1-0-2-ERW 1-FC</v>
      </c>
      <c r="AT14" t="s">
        <v>4718</v>
      </c>
      <c r="AV14" t="s">
        <v>633</v>
      </c>
      <c r="AW14" t="str">
        <v>40-25-1.6-ERW 2-FC</v>
      </c>
      <c r="BA14" s="557"/>
      <c r="BC14" t="s">
        <v>2564</v>
      </c>
    </row>
    <row r="15" spans="1:55" x14ac:dyDescent="0.25">
      <c r="A15">
        <v>1940617</v>
      </c>
      <c r="B15">
        <v>1940273</v>
      </c>
      <c r="D15">
        <v>1939963</v>
      </c>
      <c r="E15">
        <v>2288968</v>
      </c>
      <c r="H15" t="s">
        <v>17</v>
      </c>
      <c r="I15" t="str">
        <v>BALAJI PRESS PRODUCTS INDIA</v>
      </c>
      <c r="J15" t="str">
        <v>KNITVEL NEEDLES P LTD</v>
      </c>
      <c r="P15">
        <v>18</v>
      </c>
      <c r="Q15">
        <v>20</v>
      </c>
      <c r="W15" t="s">
        <v>633</v>
      </c>
      <c r="X15" t="str">
        <v>14-0-1.6-CEW-CEW</v>
      </c>
      <c r="Y15" t="s">
        <v>965</v>
      </c>
      <c r="AC15" t="s">
        <v>978</v>
      </c>
      <c r="AD15" t="str">
        <v>17.3-0-1.6-ERW 1-PE</v>
      </c>
      <c r="AE15" t="s">
        <v>978</v>
      </c>
      <c r="AJ15" t="str">
        <v>SANDHAR ENGINEERING PVTLTD(KA)U-III</v>
      </c>
      <c r="AK15" t="s">
        <v>30</v>
      </c>
      <c r="AL15" t="s">
        <v>289</v>
      </c>
      <c r="AM15">
        <f>SUMIF(salesTVS[CUSTOMER  NAME],AK15,salesTVS[Quantity])</f>
        <v>208061.60100000014</v>
      </c>
      <c r="AQ15">
        <v>1940588</v>
      </c>
      <c r="AR15" t="str">
        <f>VLOOKUP(AQ15,buckets[],9,0)</f>
        <v>25.4-0-2-ERW 1-FC</v>
      </c>
      <c r="AS15" t="str">
        <v>40-25-1.6-ERW 1-FC</v>
      </c>
      <c r="AT15" t="s">
        <v>1823</v>
      </c>
      <c r="AV15" t="s">
        <v>633</v>
      </c>
      <c r="AW15" t="str">
        <v>25.4-0-2-ERW 1-FC</v>
      </c>
      <c r="BA15" s="557"/>
      <c r="BC15" t="s">
        <v>2573</v>
      </c>
    </row>
    <row r="16" spans="1:55" x14ac:dyDescent="0.25">
      <c r="A16">
        <v>2279516</v>
      </c>
      <c r="B16">
        <v>1940292</v>
      </c>
      <c r="D16">
        <v>1939963</v>
      </c>
      <c r="E16">
        <v>1939991</v>
      </c>
      <c r="H16" t="s">
        <v>17</v>
      </c>
      <c r="I16" t="str">
        <v>Rajsriya Automotive Industries(P)</v>
      </c>
      <c r="J16" t="str">
        <v>KNITVEL NEEDLES PRIVATE LIMITED</v>
      </c>
      <c r="P16">
        <v>19</v>
      </c>
      <c r="Q16">
        <v>21</v>
      </c>
      <c r="W16" t="s">
        <v>633</v>
      </c>
      <c r="X16" t="str">
        <v>check fc usage</v>
      </c>
      <c r="Y16" t="s">
        <v>6543</v>
      </c>
      <c r="AC16" t="s">
        <v>2878</v>
      </c>
      <c r="AD16" t="str">
        <v>18-10.8-3.6-CEW-CEW</v>
      </c>
      <c r="AE16" t="s">
        <v>2878</v>
      </c>
      <c r="AJ16" t="str">
        <v>Metalman Auto Private Limited</v>
      </c>
      <c r="AK16" t="s">
        <v>49</v>
      </c>
      <c r="AL16" t="s">
        <v>49</v>
      </c>
      <c r="AM16">
        <f>SUMIF(salesTVS[CUSTOMER  NAME],AK16,salesTVS[Quantity])</f>
        <v>0</v>
      </c>
      <c r="AQ16">
        <v>3775636</v>
      </c>
      <c r="AR16" t="str">
        <f>VLOOKUP(AQ16,buckets[],9,0)</f>
        <v>25.4-0-2.5-ERW 1-FC</v>
      </c>
      <c r="AS16" t="str">
        <v>41.28-0-2.6-ERW 1-FC</v>
      </c>
      <c r="AT16" t="s">
        <v>886</v>
      </c>
      <c r="AV16" t="s">
        <v>633</v>
      </c>
      <c r="AW16" t="str">
        <v>28.58-0-1.2-ERW 1-PE</v>
      </c>
      <c r="BA16" s="557"/>
      <c r="BC16" t="s">
        <v>416</v>
      </c>
    </row>
    <row r="17" spans="1:55" x14ac:dyDescent="0.25">
      <c r="A17">
        <v>3702439</v>
      </c>
      <c r="B17">
        <v>1940299</v>
      </c>
      <c r="D17">
        <v>1939963</v>
      </c>
      <c r="E17">
        <v>1939992</v>
      </c>
      <c r="H17" t="s">
        <v>21</v>
      </c>
      <c r="I17" t="str">
        <v>Sri Balaji Gears</v>
      </c>
      <c r="J17" t="str">
        <v>LAXMI METAL PRESSING WORKS PVT LTD</v>
      </c>
      <c r="P17">
        <v>20</v>
      </c>
      <c r="Q17">
        <v>22</v>
      </c>
      <c r="W17" t="s">
        <v>398</v>
      </c>
      <c r="X17" t="str">
        <v>15.88-0-1-ERW 1-PE</v>
      </c>
      <c r="Y17" t="s">
        <v>423</v>
      </c>
      <c r="AC17" t="s">
        <v>980</v>
      </c>
      <c r="AD17" t="str">
        <v>18.2-0-1-ERW 1-PE</v>
      </c>
      <c r="AE17" t="s">
        <v>980</v>
      </c>
      <c r="AJ17" t="str">
        <v>SANDHAR ENGINEERING PVTLTD (KA)UIII</v>
      </c>
      <c r="AK17" t="s">
        <v>53</v>
      </c>
      <c r="AL17" t="s">
        <v>95</v>
      </c>
      <c r="AM17">
        <f>SUMIF(salesTVS[CUSTOMER  NAME],AK17,salesTVS[Quantity])</f>
        <v>82331.014999999985</v>
      </c>
      <c r="AQ17">
        <v>1940614</v>
      </c>
      <c r="AR17" t="str">
        <f>VLOOKUP(AQ17,buckets[],9,0)</f>
        <v>28.58-0-1.2-ERW 1-PE</v>
      </c>
      <c r="AS17" t="str">
        <v>42.7-0-3.5-ERW 1-FC</v>
      </c>
      <c r="AT17" t="s">
        <v>875</v>
      </c>
      <c r="AV17" t="s">
        <v>407</v>
      </c>
      <c r="AW17" t="str">
        <v>48.6-0-1.2-ERW 1-FC</v>
      </c>
      <c r="BA17" s="557"/>
      <c r="BC17" t="s">
        <v>416</v>
      </c>
    </row>
    <row r="18" spans="1:55" x14ac:dyDescent="0.25">
      <c r="A18">
        <v>1940675</v>
      </c>
      <c r="B18">
        <v>1940306</v>
      </c>
      <c r="D18">
        <v>1939966</v>
      </c>
      <c r="E18">
        <v>3432081</v>
      </c>
      <c r="H18" t="s">
        <v>52</v>
      </c>
      <c r="I18" t="str">
        <v>Marathwada Auto Compo Pvt. Ltd.</v>
      </c>
      <c r="J18" t="str">
        <v>LOCHANA INDUSTRIES</v>
      </c>
      <c r="P18">
        <v>21</v>
      </c>
      <c r="Q18">
        <v>23</v>
      </c>
      <c r="W18" t="s">
        <v>412</v>
      </c>
      <c r="X18" t="str">
        <v>31.75-0-1.2-ERW 1-PE</v>
      </c>
      <c r="Y18" t="s">
        <v>832</v>
      </c>
      <c r="AC18" t="s">
        <v>981</v>
      </c>
      <c r="AD18" t="str">
        <v>18.2-12.3-2.95-CEW-CEW</v>
      </c>
      <c r="AE18" t="s">
        <v>981</v>
      </c>
      <c r="AJ18" t="str">
        <v>LAXMI METAL PRESSING WORKS PVT LTD</v>
      </c>
      <c r="AK18" t="s">
        <v>78</v>
      </c>
      <c r="AL18" t="s">
        <v>6539</v>
      </c>
      <c r="AM18">
        <f>SUMIF(salesTVS[CUSTOMER  NAME],AK18,salesTVS[Quantity])</f>
        <v>13800.435000000001</v>
      </c>
      <c r="AQ18">
        <v>3508456</v>
      </c>
      <c r="AR18" t="str">
        <f>VLOOKUP(AQ18,buckets[],9,0)</f>
        <v>31.75-0-1.2-ERW 1-PE</v>
      </c>
      <c r="AS18" t="str">
        <v>42.7-0-4-ERW 1-FC</v>
      </c>
      <c r="AT18" t="s">
        <v>891</v>
      </c>
      <c r="AV18" t="s">
        <v>407</v>
      </c>
      <c r="AW18" t="str">
        <v>25.4-0-2.5-ERW 1-FC</v>
      </c>
      <c r="BA18" s="557"/>
      <c r="BC18" t="s">
        <v>416</v>
      </c>
    </row>
    <row r="19" spans="1:55" x14ac:dyDescent="0.25">
      <c r="A19">
        <v>1932361</v>
      </c>
      <c r="B19">
        <v>1940309</v>
      </c>
      <c r="D19">
        <v>1939966</v>
      </c>
      <c r="E19">
        <v>1939993</v>
      </c>
      <c r="H19" t="s">
        <v>52</v>
      </c>
      <c r="I19" t="str">
        <v>Tushar Steel Traders</v>
      </c>
      <c r="J19" t="str">
        <v>Marathwada Auto Compo Pvt. Ltd.</v>
      </c>
      <c r="P19">
        <v>22</v>
      </c>
      <c r="Q19">
        <v>24</v>
      </c>
      <c r="W19" t="s">
        <v>412</v>
      </c>
      <c r="X19" t="str">
        <v>15.88-0-1.2-ERW 1-PE</v>
      </c>
      <c r="Y19" t="s">
        <v>463</v>
      </c>
      <c r="AC19" t="s">
        <v>590</v>
      </c>
      <c r="AD19" t="str">
        <v>19-12.5-3.25-CEW-CEW</v>
      </c>
      <c r="AE19" t="s">
        <v>590</v>
      </c>
      <c r="AJ19" t="str">
        <v>Sandhar EngineeringPvt.Ltd.(KA)-Uni</v>
      </c>
      <c r="AK19" t="s">
        <v>48</v>
      </c>
      <c r="AL19" t="s">
        <v>6539</v>
      </c>
      <c r="AM19">
        <f>SUMIF(salesTVS[CUSTOMER  NAME],AK19,salesTVS[Quantity])</f>
        <v>68360.734999999986</v>
      </c>
      <c r="AQ19">
        <v>3819143</v>
      </c>
      <c r="AR19" t="str">
        <f>VLOOKUP(AQ19,buckets[],9,0)</f>
        <v>31.75-0-1.2-ERW 1-PE</v>
      </c>
      <c r="AS19" t="str">
        <v>48.6-0-1.2-ERW 1-FC</v>
      </c>
      <c r="AT19" t="s">
        <v>794</v>
      </c>
      <c r="AV19" t="s">
        <v>407</v>
      </c>
      <c r="AW19" t="str">
        <v>31.75-0-1.2-ERW 1-FC</v>
      </c>
      <c r="BA19" s="557"/>
      <c r="BC19" t="s">
        <v>416</v>
      </c>
    </row>
    <row r="20" spans="1:55" x14ac:dyDescent="0.25">
      <c r="A20">
        <v>1940592</v>
      </c>
      <c r="B20">
        <v>1940312</v>
      </c>
      <c r="D20">
        <v>1939966</v>
      </c>
      <c r="E20">
        <v>3223304</v>
      </c>
      <c r="H20" t="s">
        <v>52</v>
      </c>
      <c r="I20" t="str">
        <v>Krishna Industries</v>
      </c>
      <c r="J20" t="str">
        <v>Maruthi Auto Components</v>
      </c>
      <c r="P20">
        <v>23</v>
      </c>
      <c r="Q20">
        <v>25</v>
      </c>
      <c r="W20" t="s">
        <v>748</v>
      </c>
      <c r="X20" t="str">
        <v>19.05-0-1.6-ERW 1-PE</v>
      </c>
      <c r="Y20" t="s">
        <v>983</v>
      </c>
      <c r="AC20" t="s">
        <v>648</v>
      </c>
      <c r="AD20" t="str">
        <v>19.05-0-1-ERW 1-PE</v>
      </c>
      <c r="AE20" t="s">
        <v>648</v>
      </c>
      <c r="AJ20" t="str">
        <v>KAY JAY FORGINGS LIMITED</v>
      </c>
      <c r="AK20" t="s">
        <v>71</v>
      </c>
      <c r="AL20" t="s">
        <v>71</v>
      </c>
      <c r="AM20">
        <f>SUMIF(salesTVS[CUSTOMER  NAME],AK20,salesTVS[Quantity])</f>
        <v>45669.999999999993</v>
      </c>
      <c r="AQ20">
        <v>2256593</v>
      </c>
      <c r="AR20" t="str">
        <f>VLOOKUP(AQ20,buckets[],9,0)</f>
        <v>31.75-0-1.2-ERW 1-FC</v>
      </c>
      <c r="AS20" t="str">
        <v>50-30-1.6-ERW 2-FC</v>
      </c>
      <c r="AT20" t="s">
        <v>1824</v>
      </c>
      <c r="AV20" t="s">
        <v>633</v>
      </c>
      <c r="AW20" t="str">
        <v>41.28-0-2.6-ERW 1-FC</v>
      </c>
      <c r="BA20" s="557"/>
      <c r="BC20" t="s">
        <v>416</v>
      </c>
    </row>
    <row r="21" spans="1:55" x14ac:dyDescent="0.25">
      <c r="A21">
        <v>2288959</v>
      </c>
      <c r="B21">
        <v>1940313</v>
      </c>
      <c r="D21">
        <v>1939966</v>
      </c>
      <c r="E21">
        <v>3676336</v>
      </c>
      <c r="H21" t="s">
        <v>52</v>
      </c>
      <c r="I21" t="str">
        <v>U M A Industries</v>
      </c>
      <c r="J21" t="str">
        <v>MEGH STEELS PRIVATE LIMITED - HMSIL</v>
      </c>
      <c r="P21">
        <v>24</v>
      </c>
      <c r="Q21">
        <v>26</v>
      </c>
      <c r="W21" t="s">
        <v>748</v>
      </c>
      <c r="X21" t="str">
        <v>15.88-0-1.6-ERW 1-PE</v>
      </c>
      <c r="Y21" t="s">
        <v>506</v>
      </c>
      <c r="AC21" t="s">
        <v>471</v>
      </c>
      <c r="AD21" t="str">
        <v>19.05-0-1.2-ERW 1-PE</v>
      </c>
      <c r="AE21" t="s">
        <v>471</v>
      </c>
      <c r="AJ21" t="str">
        <v>Rajsriya Automotive Ind Pvt Ltd.</v>
      </c>
      <c r="AK21" t="s">
        <v>24</v>
      </c>
      <c r="AL21" t="s">
        <v>288</v>
      </c>
      <c r="AM21">
        <f>SUMIF(salesTVS[CUSTOMER  NAME],AK21,salesTVS[Quantity])</f>
        <v>0</v>
      </c>
      <c r="AQ21">
        <v>1904406</v>
      </c>
      <c r="AR21" t="str">
        <f>VLOOKUP(AQ21,buckets[],9,0)</f>
        <v>31.75-0-1.2-ERW 1-PE</v>
      </c>
      <c r="AV21" t="s">
        <v>633</v>
      </c>
      <c r="BA21" s="557"/>
      <c r="BC21" t="s">
        <v>416</v>
      </c>
    </row>
    <row r="22" spans="1:55" x14ac:dyDescent="0.25">
      <c r="A22">
        <v>1940167</v>
      </c>
      <c r="B22">
        <v>1940318</v>
      </c>
      <c r="D22">
        <v>1939966</v>
      </c>
      <c r="E22">
        <v>1932848</v>
      </c>
      <c r="H22" t="s">
        <v>17</v>
      </c>
      <c r="I22" t="str">
        <v>Metalman Auto Private Limited</v>
      </c>
      <c r="J22" t="str">
        <v>MEGH STEELS PRIVATE LIMITED - RANE</v>
      </c>
      <c r="P22">
        <v>25</v>
      </c>
      <c r="Q22">
        <v>27</v>
      </c>
      <c r="W22" t="s">
        <v>748</v>
      </c>
      <c r="X22" t="str">
        <v>38.1-0-2-ERW 1-FC</v>
      </c>
      <c r="Y22" t="s">
        <v>860</v>
      </c>
      <c r="AC22" t="s">
        <v>983</v>
      </c>
      <c r="AD22" t="str">
        <v>19.05-0-1.6-ERW 1-PE</v>
      </c>
      <c r="AE22" t="s">
        <v>983</v>
      </c>
      <c r="AJ22" t="str">
        <v>KNITVEL NEEDLES P LTD</v>
      </c>
      <c r="AK22" t="s">
        <v>72</v>
      </c>
      <c r="AL22" t="s">
        <v>6539</v>
      </c>
      <c r="AM22">
        <f>SUMIF(salesTVS[CUSTOMER  NAME],AK22,salesTVS[Quantity])</f>
        <v>24521.162</v>
      </c>
      <c r="AQ22">
        <v>3508742</v>
      </c>
      <c r="AR22" t="str">
        <f>VLOOKUP(AQ22,buckets[],9,0)</f>
        <v>38.1-0-2-ERW 1-FC</v>
      </c>
      <c r="AV22" t="s">
        <v>633</v>
      </c>
      <c r="BA22" s="557"/>
      <c r="BC22" t="s">
        <v>416</v>
      </c>
    </row>
    <row r="23" spans="1:55" x14ac:dyDescent="0.25">
      <c r="A23">
        <v>1281652</v>
      </c>
      <c r="B23">
        <v>1940322</v>
      </c>
      <c r="D23">
        <v>1939966</v>
      </c>
      <c r="E23">
        <v>1939994</v>
      </c>
      <c r="H23" t="s">
        <v>151</v>
      </c>
      <c r="I23" t="str">
        <v>Sandhar Technologies (KA)–Unit-III</v>
      </c>
      <c r="J23" t="str">
        <v>MEGH STEELS PRIVATE LIMITED - RE</v>
      </c>
      <c r="P23">
        <v>26</v>
      </c>
      <c r="Q23">
        <v>28</v>
      </c>
      <c r="W23" t="s">
        <v>748</v>
      </c>
      <c r="X23" t="str">
        <v>15.88-0-2-ERW 1-PE</v>
      </c>
      <c r="Y23" t="s">
        <v>537</v>
      </c>
      <c r="AC23" t="s">
        <v>986</v>
      </c>
      <c r="AD23" t="str">
        <v>19.05-0-1.6-ERW 2 MAHS-PE</v>
      </c>
      <c r="AE23" t="s">
        <v>986</v>
      </c>
      <c r="AJ23" t="str">
        <v>RAJSRIYA AUTOMOTIVE IND. P LTD</v>
      </c>
      <c r="AK23" t="s">
        <v>54</v>
      </c>
      <c r="AL23" t="s">
        <v>956</v>
      </c>
      <c r="AM23">
        <f>SUMIF(salesTVS[CUSTOMER  NAME],AK23,salesTVS[Quantity])</f>
        <v>0</v>
      </c>
      <c r="AQ23">
        <v>1903849</v>
      </c>
      <c r="AR23" t="str">
        <f>VLOOKUP(AQ23,buckets[],9,0)</f>
        <v>38.1-0-2-ERW 1-FC</v>
      </c>
      <c r="AV23" t="s">
        <v>860</v>
      </c>
      <c r="BA23" s="557"/>
      <c r="BC23" t="s">
        <v>416</v>
      </c>
    </row>
    <row r="24" spans="1:55" x14ac:dyDescent="0.25">
      <c r="A24">
        <v>1940655</v>
      </c>
      <c r="B24">
        <v>1940325</v>
      </c>
      <c r="D24">
        <v>1939966</v>
      </c>
      <c r="E24">
        <v>2440974</v>
      </c>
      <c r="H24" t="s">
        <v>151</v>
      </c>
      <c r="I24" t="str">
        <v>Rajsriya Automotive Ind.P.Ltd Unit-</v>
      </c>
      <c r="J24" t="str">
        <v>MEGH STEELS PRIVATE LIMITED - TVS A</v>
      </c>
      <c r="P24">
        <v>27</v>
      </c>
      <c r="Q24">
        <v>29</v>
      </c>
      <c r="W24" t="s">
        <v>748</v>
      </c>
      <c r="X24" t="str">
        <v>31.75-0-2.5-ERW 1-FC</v>
      </c>
      <c r="Y24" t="s">
        <v>799</v>
      </c>
      <c r="AC24" t="s">
        <v>604</v>
      </c>
      <c r="AD24" t="str">
        <v>19.05-0-2-ERW 1-PE</v>
      </c>
      <c r="AE24" t="s">
        <v>604</v>
      </c>
      <c r="AK24" t="s">
        <v>150</v>
      </c>
      <c r="AL24" t="s">
        <v>2154</v>
      </c>
      <c r="AM24">
        <f>SUMIF(salesTVS[CUSTOMER  NAME],AK24,salesTVS[Quantity])</f>
        <v>0</v>
      </c>
      <c r="AQ24">
        <v>3516769</v>
      </c>
      <c r="AR24" t="str">
        <f>VLOOKUP(AQ24,buckets[],9,0)</f>
        <v>38.1-0-2-ERW 1-FC</v>
      </c>
      <c r="AV24" t="s">
        <v>860</v>
      </c>
      <c r="BA24" s="557"/>
      <c r="BC24" t="s">
        <v>416</v>
      </c>
    </row>
    <row r="25" spans="1:55" x14ac:dyDescent="0.25">
      <c r="A25">
        <v>3234374</v>
      </c>
      <c r="B25">
        <v>1940329</v>
      </c>
      <c r="D25">
        <v>1939966</v>
      </c>
      <c r="E25">
        <v>1939996</v>
      </c>
      <c r="H25" t="s">
        <v>151</v>
      </c>
      <c r="I25" t="str">
        <v>Rajsriya Automotive Industries</v>
      </c>
      <c r="J25" t="str">
        <v>METAL TECH ENGINEERS</v>
      </c>
      <c r="P25">
        <v>31</v>
      </c>
      <c r="Q25">
        <v>31</v>
      </c>
      <c r="W25" t="s">
        <v>748</v>
      </c>
      <c r="X25" t="str">
        <v>38.1-0-1.6-ERW 2 MAHS-FC</v>
      </c>
      <c r="Y25" t="s">
        <v>1045</v>
      </c>
      <c r="AC25" t="s">
        <v>407</v>
      </c>
      <c r="AD25" t="str">
        <v>19.05-0-2.3-ERW 1-PE</v>
      </c>
      <c r="AE25" t="s">
        <v>407</v>
      </c>
      <c r="AK25" t="s">
        <v>26</v>
      </c>
      <c r="AL25" t="s">
        <v>114</v>
      </c>
      <c r="AM25">
        <f>SUMIF(salesTVS[CUSTOMER  NAME],AK25,salesTVS[Quantity])</f>
        <v>0</v>
      </c>
      <c r="AQ25">
        <v>1940743</v>
      </c>
      <c r="AR25" t="str">
        <f>VLOOKUP(AQ25,buckets[],9,0)</f>
        <v>38.1-0-2-ERW 1-FC</v>
      </c>
      <c r="AV25" t="s">
        <v>860</v>
      </c>
      <c r="BA25" s="557"/>
      <c r="BC25" t="s">
        <v>416</v>
      </c>
    </row>
    <row r="26" spans="1:55" x14ac:dyDescent="0.25">
      <c r="A26">
        <v>2362827</v>
      </c>
      <c r="B26">
        <v>1940333</v>
      </c>
      <c r="D26">
        <v>1939966</v>
      </c>
      <c r="E26">
        <v>3676337</v>
      </c>
      <c r="H26" t="s">
        <v>151</v>
      </c>
      <c r="I26" t="str">
        <v>NALANDA INDUSTRIAL CORPOR</v>
      </c>
      <c r="J26" t="str">
        <v>NAHARS ENGINEERING INDIA PRIVATE LI</v>
      </c>
      <c r="P26">
        <v>32</v>
      </c>
      <c r="Q26">
        <v>32</v>
      </c>
      <c r="W26" t="s">
        <v>917</v>
      </c>
      <c r="X26" t="str">
        <v>38.1-0-2.5-ERW 2 MAHS-FC</v>
      </c>
      <c r="Y26" t="s">
        <v>1048</v>
      </c>
      <c r="AC26" t="s">
        <v>995</v>
      </c>
      <c r="AD26" t="str">
        <v>20-12.4-3.8-CEW-CEW</v>
      </c>
      <c r="AE26" t="s">
        <v>995</v>
      </c>
      <c r="AQ26">
        <v>257093</v>
      </c>
      <c r="AR26" t="str">
        <f>VLOOKUP(AQ26,buckets[],9,0)</f>
        <v>38.1-0-2-ERW 1-FC</v>
      </c>
      <c r="AV26" t="s">
        <v>860</v>
      </c>
      <c r="BA26" s="557"/>
      <c r="BC26" t="s">
        <v>416</v>
      </c>
    </row>
    <row r="27" spans="1:55" x14ac:dyDescent="0.25">
      <c r="A27">
        <v>1940620</v>
      </c>
      <c r="B27">
        <v>1940335</v>
      </c>
      <c r="D27">
        <v>1939966</v>
      </c>
      <c r="E27">
        <v>1940003</v>
      </c>
      <c r="H27" t="s">
        <v>151</v>
      </c>
      <c r="I27" t="str">
        <v>NAHARS ENGINEERING INDIA PRIVATE LI</v>
      </c>
      <c r="J27" t="str">
        <v>Navaladian Engineering Industries</v>
      </c>
      <c r="P27">
        <v>33</v>
      </c>
      <c r="Q27">
        <v>33</v>
      </c>
      <c r="W27" t="s">
        <v>917</v>
      </c>
      <c r="X27" t="str">
        <v>16.1-10.4-2.7-CEW-CEW</v>
      </c>
      <c r="Y27" t="s">
        <v>972</v>
      </c>
      <c r="AC27" t="s">
        <v>996</v>
      </c>
      <c r="AD27" t="str">
        <v>20-12.4-4.5-CEW-CEW</v>
      </c>
      <c r="AE27" t="s">
        <v>996</v>
      </c>
      <c r="AQ27">
        <v>3801265</v>
      </c>
      <c r="AR27" t="str">
        <f>VLOOKUP(AQ27,buckets[],9,0)</f>
        <v>40-25-1.6-ERW 1-FC</v>
      </c>
      <c r="AV27" t="s">
        <v>860</v>
      </c>
      <c r="BA27" s="557"/>
      <c r="BC27" t="s">
        <v>416</v>
      </c>
    </row>
    <row r="28" spans="1:55" x14ac:dyDescent="0.25">
      <c r="A28">
        <v>3634582</v>
      </c>
      <c r="B28">
        <v>1940363</v>
      </c>
      <c r="D28">
        <v>1939966</v>
      </c>
      <c r="E28">
        <v>3172238</v>
      </c>
      <c r="H28" t="s">
        <v>17</v>
      </c>
      <c r="I28" t="str">
        <v>ELKAYEM AUTO ANCILLARIES PVT LTD</v>
      </c>
      <c r="J28" t="str">
        <v>NEEL METAL PRODUCTS LIMITED</v>
      </c>
      <c r="P28">
        <v>34</v>
      </c>
      <c r="Q28">
        <v>34</v>
      </c>
      <c r="W28" t="s">
        <v>917</v>
      </c>
      <c r="X28" t="str">
        <v>17.3-0-1.2-ERW 1-PE</v>
      </c>
      <c r="Y28" t="s">
        <v>557</v>
      </c>
      <c r="AC28" t="s">
        <v>724</v>
      </c>
      <c r="AD28" t="str">
        <v>20-17.16-1.42-CEW-CEW</v>
      </c>
      <c r="AE28" t="s">
        <v>724</v>
      </c>
      <c r="AQ28">
        <v>3910648</v>
      </c>
      <c r="AR28" t="str">
        <f>VLOOKUP(AQ28,buckets[],9,0)</f>
        <v>41.28-0-2.6-ERW 1-FC</v>
      </c>
      <c r="AV28" t="s">
        <v>860</v>
      </c>
      <c r="BA28" s="557"/>
      <c r="BC28" t="s">
        <v>416</v>
      </c>
    </row>
    <row r="29" spans="1:55" x14ac:dyDescent="0.25">
      <c r="A29">
        <v>3411883</v>
      </c>
      <c r="B29">
        <v>1940364</v>
      </c>
      <c r="D29">
        <v>1939966</v>
      </c>
      <c r="E29">
        <v>3620427</v>
      </c>
      <c r="H29" t="s">
        <v>76</v>
      </c>
      <c r="I29" t="str">
        <v>ELKAYEM AUTO ANCILLARIES PVT LTD -U</v>
      </c>
      <c r="J29" t="str">
        <v>Ragul Industries</v>
      </c>
      <c r="P29">
        <v>35</v>
      </c>
      <c r="Q29">
        <v>35</v>
      </c>
      <c r="W29" t="s">
        <v>917</v>
      </c>
      <c r="X29" t="str">
        <v>17.3-0-1.6-ERW 1-PE</v>
      </c>
      <c r="Y29" t="s">
        <v>978</v>
      </c>
      <c r="AC29" t="s">
        <v>727</v>
      </c>
      <c r="AD29" t="str">
        <v>21.7-16.2-2.75-CEW-CEW</v>
      </c>
      <c r="AE29" t="s">
        <v>727</v>
      </c>
      <c r="AQ29">
        <v>3722021</v>
      </c>
      <c r="AR29" t="str">
        <f>VLOOKUP(AQ29,buckets[],9,0)</f>
        <v>42.7-0-3.5-ERW 1-FC</v>
      </c>
      <c r="AV29" t="s">
        <v>860</v>
      </c>
      <c r="BA29" s="557"/>
      <c r="BC29" t="s">
        <v>416</v>
      </c>
    </row>
    <row r="30" spans="1:55" x14ac:dyDescent="0.25">
      <c r="A30">
        <v>2397481</v>
      </c>
      <c r="B30">
        <v>1940369</v>
      </c>
      <c r="D30">
        <v>1939966</v>
      </c>
      <c r="E30">
        <v>1940014</v>
      </c>
      <c r="H30" t="s">
        <v>76</v>
      </c>
      <c r="I30" t="str">
        <v>TVS MOTOR COMPANY LIMITED</v>
      </c>
      <c r="J30" t="str">
        <v>RAJSRIYA AUTOMOTIVE IND. P LTD</v>
      </c>
      <c r="P30">
        <v>36</v>
      </c>
      <c r="Q30">
        <v>36</v>
      </c>
      <c r="W30" t="s">
        <v>917</v>
      </c>
      <c r="X30" t="str">
        <v>57.15-0-2.3-ERW 2-FC</v>
      </c>
      <c r="Y30" t="s">
        <v>904</v>
      </c>
      <c r="AC30" t="s">
        <v>997</v>
      </c>
      <c r="AD30" t="str">
        <v>21.75-0-3.5-CEW-CEW</v>
      </c>
      <c r="AE30" t="s">
        <v>997</v>
      </c>
      <c r="AQ30">
        <v>3901714</v>
      </c>
      <c r="AR30" t="str">
        <f>VLOOKUP(AQ30,buckets[],9,0)</f>
        <v>42.7-0-4-ERW 1-FC</v>
      </c>
      <c r="AV30" t="s">
        <v>860</v>
      </c>
      <c r="BA30" s="557"/>
      <c r="BC30" t="s">
        <v>416</v>
      </c>
    </row>
    <row r="31" spans="1:55" x14ac:dyDescent="0.25">
      <c r="A31">
        <v>235479</v>
      </c>
      <c r="B31">
        <v>1940390</v>
      </c>
      <c r="D31">
        <v>1939966</v>
      </c>
      <c r="E31">
        <v>1931154</v>
      </c>
      <c r="H31" t="s">
        <v>37</v>
      </c>
      <c r="I31" t="str">
        <v>Skb Industries</v>
      </c>
      <c r="J31" t="str">
        <v>Rajsriya Automotive Ind.P.Ltd Unit-</v>
      </c>
      <c r="P31">
        <v>37</v>
      </c>
      <c r="Q31">
        <v>37</v>
      </c>
      <c r="W31" t="s">
        <v>917</v>
      </c>
      <c r="X31" t="str">
        <v>18.2-0-1-ERW 1-PE</v>
      </c>
      <c r="Y31" t="s">
        <v>980</v>
      </c>
      <c r="AC31" t="s">
        <v>607</v>
      </c>
      <c r="AD31" t="str">
        <v>22.23-0-1.2-ERW 1-PE</v>
      </c>
      <c r="AE31" t="s">
        <v>607</v>
      </c>
      <c r="AQ31">
        <v>2325421</v>
      </c>
      <c r="AR31" t="str">
        <f>VLOOKUP(AQ31,buckets[],9,0)</f>
        <v>48.6-0-1.2-ERW 1-FC</v>
      </c>
      <c r="AV31" t="s">
        <v>860</v>
      </c>
      <c r="BA31" s="557"/>
      <c r="BC31" t="s">
        <v>416</v>
      </c>
    </row>
    <row r="32" spans="1:55" x14ac:dyDescent="0.25">
      <c r="A32">
        <v>2359776</v>
      </c>
      <c r="B32">
        <v>1940393</v>
      </c>
      <c r="D32">
        <v>1939966</v>
      </c>
      <c r="E32">
        <v>1931049</v>
      </c>
      <c r="H32" t="s">
        <v>61</v>
      </c>
      <c r="I32" t="str">
        <v>Garg Steel Centre</v>
      </c>
      <c r="J32" t="str">
        <v>Rajsriya Automotive Industries</v>
      </c>
      <c r="P32">
        <v>39</v>
      </c>
      <c r="Q32">
        <v>39</v>
      </c>
      <c r="W32" t="s">
        <v>398</v>
      </c>
      <c r="X32" t="str">
        <v>38.1-0-2-ERW 1-PE</v>
      </c>
      <c r="Y32" t="s">
        <v>4718</v>
      </c>
      <c r="AC32" t="s">
        <v>412</v>
      </c>
      <c r="AD32" t="str">
        <v>22.23-0-1.6-ERW 1-PE</v>
      </c>
      <c r="AE32" t="s">
        <v>412</v>
      </c>
      <c r="AQ32">
        <v>3780004</v>
      </c>
      <c r="AR32" t="str">
        <f>VLOOKUP(AQ32,buckets[],9,0)</f>
        <v>50-30-1.6-ERW 2-FC</v>
      </c>
      <c r="AV32" t="s">
        <v>978</v>
      </c>
      <c r="BA32" s="557"/>
      <c r="BC32" t="s">
        <v>416</v>
      </c>
    </row>
    <row r="33" spans="1:55" x14ac:dyDescent="0.25">
      <c r="A33">
        <v>3240023</v>
      </c>
      <c r="B33">
        <v>1940403</v>
      </c>
      <c r="D33">
        <v>1939966</v>
      </c>
      <c r="E33">
        <v>3188791</v>
      </c>
      <c r="H33" t="s">
        <v>61</v>
      </c>
      <c r="I33" t="str">
        <v>Thai Summit Autoparts India Pvt Ltd</v>
      </c>
      <c r="J33" t="str">
        <v>RAJSRIYA AUTOMOTIVE INDUSTRIES PVT</v>
      </c>
      <c r="P33">
        <v>40</v>
      </c>
      <c r="Q33">
        <v>40</v>
      </c>
      <c r="W33" t="s">
        <v>398</v>
      </c>
      <c r="X33" t="str">
        <v>38.1-0-1.6-ERW 1-FC</v>
      </c>
      <c r="Y33" t="s">
        <v>1043</v>
      </c>
      <c r="AC33" t="s">
        <v>695</v>
      </c>
      <c r="AD33" t="str">
        <v>22.23-0-1.6-ERW 2 MAHS-PE</v>
      </c>
      <c r="AE33" t="s">
        <v>695</v>
      </c>
      <c r="AQ33">
        <v>3780005</v>
      </c>
      <c r="AR33" t="str">
        <f>VLOOKUP(AQ33,buckets[],9,0)</f>
        <v>50-30-1.6-ERW 2-FC</v>
      </c>
      <c r="AV33" t="s">
        <v>978</v>
      </c>
      <c r="BA33" s="557"/>
      <c r="BC33" t="s">
        <v>2647</v>
      </c>
    </row>
    <row r="34" spans="1:55" x14ac:dyDescent="0.25">
      <c r="B34">
        <v>1940404</v>
      </c>
      <c r="D34">
        <v>1939966</v>
      </c>
      <c r="E34">
        <v>2410389</v>
      </c>
      <c r="H34" t="s">
        <v>151</v>
      </c>
      <c r="I34" t="str">
        <v>Allied Industries (India)</v>
      </c>
      <c r="J34" t="str">
        <v>Rajsriya Automotive Industries(P)</v>
      </c>
      <c r="P34">
        <v>41</v>
      </c>
      <c r="Q34">
        <v>41</v>
      </c>
      <c r="W34" t="s">
        <v>1041</v>
      </c>
      <c r="X34" t="str">
        <v>19-12.5-3.25-CEW-CEW</v>
      </c>
      <c r="Y34" t="s">
        <v>590</v>
      </c>
      <c r="AC34" t="s">
        <v>562</v>
      </c>
      <c r="AD34" t="str">
        <v>22.23-0-2-ERW 1-FC</v>
      </c>
      <c r="AE34" t="s">
        <v>562</v>
      </c>
      <c r="AV34" t="s">
        <v>978</v>
      </c>
      <c r="BA34" s="557"/>
      <c r="BC34" t="s">
        <v>965</v>
      </c>
    </row>
    <row r="35" spans="1:55" x14ac:dyDescent="0.25">
      <c r="B35">
        <v>1940407</v>
      </c>
      <c r="D35">
        <v>2386074</v>
      </c>
      <c r="E35">
        <v>3402383</v>
      </c>
      <c r="H35" t="s">
        <v>44</v>
      </c>
      <c r="I35" t="str">
        <v>JBM AUTO LIMITED</v>
      </c>
      <c r="J35" t="str">
        <v>Rucha Engineers Pvt Ltd.</v>
      </c>
      <c r="P35">
        <v>42</v>
      </c>
      <c r="Q35">
        <v>42</v>
      </c>
      <c r="W35" t="s">
        <v>1041</v>
      </c>
      <c r="X35" t="str">
        <v>70-0-3.2-ERW 2-FC</v>
      </c>
      <c r="Y35" t="s">
        <v>914</v>
      </c>
      <c r="AC35" t="s">
        <v>633</v>
      </c>
      <c r="AD35" t="str">
        <v>22.23-0-2-ERW 1-PE</v>
      </c>
      <c r="AE35" t="s">
        <v>633</v>
      </c>
      <c r="AV35" t="s">
        <v>4718</v>
      </c>
      <c r="BA35" s="557"/>
      <c r="BC35" t="s">
        <v>6538</v>
      </c>
    </row>
    <row r="36" spans="1:55" x14ac:dyDescent="0.25">
      <c r="B36">
        <v>1940408</v>
      </c>
      <c r="D36">
        <v>2386074</v>
      </c>
      <c r="E36">
        <v>2363145</v>
      </c>
      <c r="H36" t="s">
        <v>78</v>
      </c>
      <c r="I36" t="str">
        <v>NASH INDUSTRIES (I) PVT LTD</v>
      </c>
      <c r="J36" t="str">
        <v>Sadhan Tool Room (P) Ltd.</v>
      </c>
      <c r="P36">
        <v>43</v>
      </c>
      <c r="Q36">
        <v>43</v>
      </c>
      <c r="W36" t="s">
        <v>1041</v>
      </c>
      <c r="X36" t="str">
        <v>42.7-0-3.5-ERW 1-FC</v>
      </c>
      <c r="Y36" t="s">
        <v>875</v>
      </c>
      <c r="AC36" t="s">
        <v>642</v>
      </c>
      <c r="AD36" t="str">
        <v>22.23-0-2-ERW 2 MAHS-PE</v>
      </c>
      <c r="AE36" t="s">
        <v>642</v>
      </c>
      <c r="AV36" t="s">
        <v>4718</v>
      </c>
      <c r="BA36" s="557"/>
      <c r="BC36" t="s">
        <v>6538</v>
      </c>
    </row>
    <row r="37" spans="1:55" x14ac:dyDescent="0.25">
      <c r="B37">
        <v>1940416</v>
      </c>
      <c r="D37">
        <v>1939974</v>
      </c>
      <c r="E37">
        <v>2410963</v>
      </c>
      <c r="H37" t="s">
        <v>61</v>
      </c>
      <c r="I37" t="str">
        <v>SAKURA AUTOPARTS INDIA PRIVATE LIMI</v>
      </c>
      <c r="J37" t="str">
        <v>SAKURA AUTOPARTS INDIA PRIVATE LIMI</v>
      </c>
      <c r="P37">
        <v>44</v>
      </c>
      <c r="Q37">
        <v>44</v>
      </c>
      <c r="W37" t="s">
        <v>1041</v>
      </c>
      <c r="X37" t="str">
        <v>19-19-1-CRFH-PE</v>
      </c>
      <c r="Y37" t="s">
        <v>450</v>
      </c>
      <c r="AC37" t="s">
        <v>748</v>
      </c>
      <c r="AD37" t="str">
        <v>22.23-0-2.3-ERW 1-PE</v>
      </c>
      <c r="AE37" t="s">
        <v>748</v>
      </c>
      <c r="AV37" t="s">
        <v>412</v>
      </c>
      <c r="BA37" s="557"/>
      <c r="BC37" t="s">
        <v>970</v>
      </c>
    </row>
    <row r="38" spans="1:55" x14ac:dyDescent="0.25">
      <c r="B38">
        <v>1940418</v>
      </c>
      <c r="D38">
        <v>1939974</v>
      </c>
      <c r="E38">
        <v>3487710</v>
      </c>
      <c r="H38" t="s">
        <v>151</v>
      </c>
      <c r="I38" t="str">
        <v>MEGH STEELS PRIVATE LIMITED - RE</v>
      </c>
      <c r="J38" t="str">
        <v>SANDHAR ENGINEERING PVT LTD.(KA) -U</v>
      </c>
      <c r="P38">
        <v>45</v>
      </c>
      <c r="Q38">
        <v>45</v>
      </c>
      <c r="W38" t="s">
        <v>416</v>
      </c>
      <c r="X38" t="str">
        <v>50-50-1.6-ERW 2-PE</v>
      </c>
      <c r="Y38" t="s">
        <v>895</v>
      </c>
      <c r="AC38" t="s">
        <v>450</v>
      </c>
      <c r="AD38" t="str">
        <v>19-19-1-CRFH-PE</v>
      </c>
      <c r="AE38" t="s">
        <v>450</v>
      </c>
      <c r="AV38" t="s">
        <v>412</v>
      </c>
      <c r="BA38" s="557"/>
      <c r="BC38" t="s">
        <v>970</v>
      </c>
    </row>
    <row r="39" spans="1:55" x14ac:dyDescent="0.25">
      <c r="B39">
        <v>1940420</v>
      </c>
      <c r="D39">
        <v>1939974</v>
      </c>
      <c r="E39">
        <v>1940019</v>
      </c>
      <c r="H39" t="s">
        <v>37</v>
      </c>
      <c r="I39" t="str">
        <v>Thirupathi Industries</v>
      </c>
      <c r="J39" t="str">
        <v>Sandhar EngineeringPvt.Ltd.(KA)-Uni</v>
      </c>
      <c r="P39">
        <v>46</v>
      </c>
      <c r="Q39">
        <v>46</v>
      </c>
      <c r="W39" t="s">
        <v>909</v>
      </c>
      <c r="X39" t="str">
        <v>63.5-0-4-ERW 1-FC</v>
      </c>
      <c r="Y39" t="s">
        <v>872</v>
      </c>
      <c r="AC39" t="s">
        <v>626</v>
      </c>
      <c r="AD39" t="str">
        <v>19-19-1.2-CRFH-PE</v>
      </c>
      <c r="AE39" t="s">
        <v>626</v>
      </c>
      <c r="AV39" t="s">
        <v>412</v>
      </c>
      <c r="BA39" s="557"/>
      <c r="BC39" t="s">
        <v>2668</v>
      </c>
    </row>
    <row r="40" spans="1:55" x14ac:dyDescent="0.25">
      <c r="B40">
        <v>1940430</v>
      </c>
      <c r="D40">
        <v>1939974</v>
      </c>
      <c r="E40">
        <v>1941845</v>
      </c>
      <c r="H40" t="s">
        <v>9</v>
      </c>
      <c r="I40" t="str">
        <v>A.S.(E) Exports Pvt.Ltd.</v>
      </c>
      <c r="J40" t="str">
        <v>Sandhar Technologies (KA)–Unit-III</v>
      </c>
      <c r="P40">
        <v>48</v>
      </c>
      <c r="Q40">
        <v>48</v>
      </c>
      <c r="W40" t="s">
        <v>909</v>
      </c>
      <c r="X40" t="str">
        <v>25.4-0-2-ERW 1-FC</v>
      </c>
      <c r="Y40" t="s">
        <v>737</v>
      </c>
      <c r="AC40" t="s">
        <v>785</v>
      </c>
      <c r="AD40" t="str">
        <v>25.4-0-1.2-ERW 1-PE</v>
      </c>
      <c r="AE40" t="s">
        <v>785</v>
      </c>
      <c r="AV40" t="s">
        <v>412</v>
      </c>
      <c r="BA40" s="557"/>
      <c r="BC40" t="s">
        <v>423</v>
      </c>
    </row>
    <row r="41" spans="1:55" x14ac:dyDescent="0.25">
      <c r="B41">
        <v>1940433</v>
      </c>
      <c r="D41">
        <v>1939974</v>
      </c>
      <c r="E41">
        <v>1941846</v>
      </c>
      <c r="H41" t="s">
        <v>9</v>
      </c>
      <c r="I41" t="str">
        <v>LAXMI METAL PRESSING WORKS PVT LTD</v>
      </c>
      <c r="J41" t="str">
        <v>Shetdass Engineers (P) Ltd.</v>
      </c>
      <c r="P41">
        <v>49</v>
      </c>
      <c r="Q41">
        <v>49</v>
      </c>
      <c r="W41" t="s">
        <v>909</v>
      </c>
      <c r="X41" t="str">
        <v>19.05-0-2-ERW 1-PE</v>
      </c>
      <c r="Y41" t="s">
        <v>604</v>
      </c>
      <c r="AC41" t="s">
        <v>4282</v>
      </c>
      <c r="AD41" t="str">
        <v>25.4-0-1.4-ERW 2-PE</v>
      </c>
      <c r="AE41" t="s">
        <v>4282</v>
      </c>
      <c r="AV41" t="s">
        <v>412</v>
      </c>
      <c r="BA41" s="557"/>
      <c r="BC41" t="s">
        <v>423</v>
      </c>
    </row>
    <row r="42" spans="1:55" x14ac:dyDescent="0.25">
      <c r="B42">
        <v>1940437</v>
      </c>
      <c r="D42">
        <v>1939974</v>
      </c>
      <c r="E42">
        <v>1941847</v>
      </c>
      <c r="H42" t="s">
        <v>9</v>
      </c>
      <c r="I42" t="str">
        <v>YOSHIKA ENGINEERING PVT LTD</v>
      </c>
      <c r="J42" t="str">
        <v>SHREE SIVAM ENTERPRISES</v>
      </c>
      <c r="P42">
        <v>56</v>
      </c>
      <c r="Q42">
        <v>56</v>
      </c>
      <c r="W42" t="s">
        <v>909</v>
      </c>
      <c r="X42" t="str">
        <v>19-19-1.2-CRFH-PE</v>
      </c>
      <c r="Y42" t="s">
        <v>626</v>
      </c>
      <c r="AC42" t="s">
        <v>1007</v>
      </c>
      <c r="AD42" t="str">
        <v>25.4-0-1.6-ERW 1-FC</v>
      </c>
      <c r="AE42" t="s">
        <v>1007</v>
      </c>
      <c r="AV42" t="s">
        <v>412</v>
      </c>
      <c r="BA42" s="557"/>
      <c r="BC42" t="s">
        <v>423</v>
      </c>
    </row>
    <row r="43" spans="1:55" x14ac:dyDescent="0.25">
      <c r="B43">
        <v>1940445</v>
      </c>
      <c r="D43">
        <v>1939974</v>
      </c>
      <c r="E43">
        <v>3541434</v>
      </c>
      <c r="H43" t="s">
        <v>9</v>
      </c>
      <c r="I43" t="str">
        <v>SM EXHAUST TECHNOLOGY PVT LTD</v>
      </c>
      <c r="J43" t="str">
        <v>Skb Industries</v>
      </c>
      <c r="P43">
        <v>59</v>
      </c>
      <c r="Q43">
        <v>59</v>
      </c>
      <c r="W43" t="s">
        <v>909</v>
      </c>
      <c r="X43" t="str">
        <v>19.05-0-1-ERW 1-PE</v>
      </c>
      <c r="Y43" t="s">
        <v>648</v>
      </c>
      <c r="AC43" t="s">
        <v>468</v>
      </c>
      <c r="AD43" t="str">
        <v>25.4-0-1.6-ERW 1-PE</v>
      </c>
      <c r="AE43" t="s">
        <v>468</v>
      </c>
      <c r="AV43" t="s">
        <v>412</v>
      </c>
      <c r="BA43" s="557"/>
      <c r="BC43" t="s">
        <v>423</v>
      </c>
    </row>
    <row r="44" spans="1:55" x14ac:dyDescent="0.25">
      <c r="B44">
        <v>1940466</v>
      </c>
      <c r="D44">
        <v>1939974</v>
      </c>
      <c r="E44">
        <v>1931385</v>
      </c>
      <c r="H44" t="s">
        <v>9</v>
      </c>
      <c r="I44" t="str">
        <v>TECHNICO INDUSTRIES LIMITED</v>
      </c>
      <c r="J44" t="str">
        <v>SM EXHAUST TECHNOLOGY PVT LTD</v>
      </c>
      <c r="P44">
        <v>60</v>
      </c>
      <c r="Q44">
        <v>60</v>
      </c>
      <c r="W44" t="s">
        <v>416</v>
      </c>
      <c r="X44" t="str">
        <v>19.05-0-1.2-ERW 1-PE</v>
      </c>
      <c r="Y44" t="s">
        <v>471</v>
      </c>
      <c r="AC44" t="s">
        <v>737</v>
      </c>
      <c r="AD44" t="str">
        <v>25.4-0-2-ERW 1-FC</v>
      </c>
      <c r="AE44" t="s">
        <v>737</v>
      </c>
      <c r="AV44" t="s">
        <v>860</v>
      </c>
      <c r="BA44" s="557"/>
      <c r="BC44" t="s">
        <v>423</v>
      </c>
    </row>
    <row r="45" spans="1:55" x14ac:dyDescent="0.25">
      <c r="B45">
        <v>1940470</v>
      </c>
      <c r="D45">
        <v>1939974</v>
      </c>
      <c r="E45">
        <v>1940026</v>
      </c>
      <c r="H45" t="s">
        <v>9</v>
      </c>
      <c r="I45" t="str">
        <v>Sandhar EngineeringPvt.Ltd.(KA)-Uni</v>
      </c>
      <c r="J45" t="str">
        <v>SREE VENKATESWARA ENTERPRISES</v>
      </c>
      <c r="P45">
        <v>61</v>
      </c>
      <c r="Q45">
        <v>61</v>
      </c>
      <c r="W45" t="s">
        <v>416</v>
      </c>
      <c r="X45" t="str">
        <v>48.6-0-3.5-ERW 1-FC</v>
      </c>
      <c r="Y45" t="s">
        <v>712</v>
      </c>
      <c r="AC45" t="s">
        <v>1008</v>
      </c>
      <c r="AD45" t="str">
        <v>25.4-0-2-ERW 1-PE</v>
      </c>
      <c r="AE45" t="s">
        <v>1008</v>
      </c>
      <c r="AV45" t="s">
        <v>860</v>
      </c>
      <c r="BA45" s="557"/>
      <c r="BC45" t="s">
        <v>423</v>
      </c>
    </row>
    <row r="46" spans="1:55" x14ac:dyDescent="0.25">
      <c r="B46">
        <v>1940472</v>
      </c>
      <c r="D46">
        <v>1939974</v>
      </c>
      <c r="E46">
        <v>1940027</v>
      </c>
      <c r="H46" t="s">
        <v>9</v>
      </c>
      <c r="I46" t="str">
        <v>CHANDI CREATIVES</v>
      </c>
      <c r="J46" t="str">
        <v>Sri Balaji Gears</v>
      </c>
      <c r="P46">
        <v>62</v>
      </c>
      <c r="Q46">
        <v>62</v>
      </c>
      <c r="W46" t="s">
        <v>416</v>
      </c>
      <c r="X46" t="str">
        <v>34.93-0-2.3-ERW 2-FC-Ampere</v>
      </c>
      <c r="Y46" t="s">
        <v>849</v>
      </c>
      <c r="AC46" t="s">
        <v>806</v>
      </c>
      <c r="AD46" t="str">
        <v>25.4-0-2.5-CEW-CEW</v>
      </c>
      <c r="AE46" t="s">
        <v>806</v>
      </c>
      <c r="AV46" t="s">
        <v>860</v>
      </c>
      <c r="BA46" s="557"/>
      <c r="BC46" t="s">
        <v>423</v>
      </c>
    </row>
    <row r="47" spans="1:55" x14ac:dyDescent="0.25">
      <c r="B47">
        <v>1940481</v>
      </c>
      <c r="D47">
        <v>1939974</v>
      </c>
      <c r="E47">
        <v>1940034</v>
      </c>
      <c r="H47" t="s">
        <v>9</v>
      </c>
      <c r="I47" t="str">
        <v>ALF ENGINEERING PRIVATE LIMITED</v>
      </c>
      <c r="J47" t="str">
        <v>SRIKAM HITECH ENGINEERING PRIVATE L</v>
      </c>
      <c r="P47">
        <v>63</v>
      </c>
      <c r="Q47">
        <v>63</v>
      </c>
      <c r="W47" t="s">
        <v>633</v>
      </c>
      <c r="X47" t="str">
        <v>19.05-0-1.6-ERW 2 MAHS-PE</v>
      </c>
      <c r="Y47" t="s">
        <v>986</v>
      </c>
      <c r="AC47" t="s">
        <v>404</v>
      </c>
      <c r="AD47" t="str">
        <v>25.4-18.4-3.5-CEW-CEW</v>
      </c>
      <c r="AE47" t="s">
        <v>404</v>
      </c>
      <c r="AV47" t="s">
        <v>860</v>
      </c>
      <c r="BA47" s="557"/>
      <c r="BC47" t="s">
        <v>423</v>
      </c>
    </row>
    <row r="48" spans="1:55" x14ac:dyDescent="0.25">
      <c r="B48">
        <v>1940493</v>
      </c>
      <c r="D48">
        <v>1939974</v>
      </c>
      <c r="E48">
        <v>1940038</v>
      </c>
      <c r="H48" t="s">
        <v>37</v>
      </c>
      <c r="I48" t="str">
        <v>SHIVAM PRIME STEELS PRIVATE LIMITED</v>
      </c>
      <c r="J48" t="str">
        <v>Star Engineering Works</v>
      </c>
      <c r="P48">
        <v>64</v>
      </c>
      <c r="Q48">
        <v>64</v>
      </c>
      <c r="W48" t="s">
        <v>633</v>
      </c>
      <c r="X48" t="str">
        <v>40-30-2-ERW 1-FC</v>
      </c>
      <c r="Y48" t="s">
        <v>578</v>
      </c>
      <c r="AC48" t="s">
        <v>813</v>
      </c>
      <c r="AD48" t="str">
        <v>25.4-19-3.2-CEW-CEW</v>
      </c>
      <c r="AE48" t="s">
        <v>813</v>
      </c>
      <c r="AV48" t="s">
        <v>860</v>
      </c>
      <c r="BA48" s="557"/>
      <c r="BC48" t="s">
        <v>423</v>
      </c>
    </row>
    <row r="49" spans="2:55" x14ac:dyDescent="0.25">
      <c r="B49">
        <v>1940494</v>
      </c>
      <c r="D49">
        <v>1939974</v>
      </c>
      <c r="E49">
        <v>3715199</v>
      </c>
      <c r="H49" t="s">
        <v>61</v>
      </c>
      <c r="I49" t="str">
        <v>KNITVEL NEEDLES P LTD</v>
      </c>
      <c r="J49" t="str">
        <v>Surya Steels</v>
      </c>
      <c r="P49">
        <v>65</v>
      </c>
      <c r="Q49">
        <v>65</v>
      </c>
      <c r="W49" t="s">
        <v>633</v>
      </c>
      <c r="X49" t="str">
        <v>40-30-1.6-ERW 1-FC</v>
      </c>
      <c r="Y49" t="s">
        <v>586</v>
      </c>
      <c r="AC49" t="s">
        <v>810</v>
      </c>
      <c r="AD49" t="str">
        <v>25.4-0-2.5-ERW 1-FC</v>
      </c>
      <c r="AE49" t="s">
        <v>810</v>
      </c>
      <c r="AV49" t="s">
        <v>860</v>
      </c>
      <c r="BA49" s="557"/>
      <c r="BC49" t="s">
        <v>463</v>
      </c>
    </row>
    <row r="50" spans="2:55" x14ac:dyDescent="0.25">
      <c r="B50">
        <v>1940497</v>
      </c>
      <c r="D50">
        <v>1939974</v>
      </c>
      <c r="E50">
        <v>2409610</v>
      </c>
      <c r="H50" t="s">
        <v>48</v>
      </c>
      <c r="I50" t="str">
        <v>Rucha Engineers Pvt Ltd.</v>
      </c>
      <c r="J50" t="str">
        <v>TECHNICO INDUSTRIES LIMITED</v>
      </c>
      <c r="P50">
        <v>66</v>
      </c>
      <c r="Q50">
        <v>66</v>
      </c>
      <c r="W50" t="s">
        <v>633</v>
      </c>
      <c r="X50" t="str">
        <v>25.4-18.4-3.5-CEW-CEW</v>
      </c>
      <c r="Y50" t="s">
        <v>404</v>
      </c>
      <c r="AC50" t="s">
        <v>692</v>
      </c>
      <c r="AD50" t="str">
        <v>28.58-0-1.2-ERW 1-PE</v>
      </c>
      <c r="AE50" t="s">
        <v>692</v>
      </c>
      <c r="AV50" t="s">
        <v>860</v>
      </c>
      <c r="BA50" s="557"/>
      <c r="BC50" t="s">
        <v>463</v>
      </c>
    </row>
    <row r="51" spans="2:55" x14ac:dyDescent="0.25">
      <c r="B51">
        <v>1940498</v>
      </c>
      <c r="D51">
        <v>1939974</v>
      </c>
      <c r="E51">
        <v>1940043</v>
      </c>
      <c r="H51" t="s">
        <v>37</v>
      </c>
      <c r="I51" t="str">
        <v>ELKAYEM AUTO ANCILLARIES PRIVATE LI</v>
      </c>
      <c r="J51" t="str">
        <v>Thai Summit Autoparts India Pvt Ltd</v>
      </c>
      <c r="P51">
        <v>67</v>
      </c>
      <c r="Q51">
        <v>67</v>
      </c>
      <c r="W51" t="s">
        <v>633</v>
      </c>
      <c r="X51" t="str">
        <v>42.7-0-4-ERW 1-FC-Ampere</v>
      </c>
      <c r="Y51" t="s">
        <v>5052</v>
      </c>
      <c r="AC51" t="s">
        <v>664</v>
      </c>
      <c r="AD51" t="str">
        <v>28.58-0-1.6-ERW 1-FC</v>
      </c>
      <c r="AE51" t="s">
        <v>664</v>
      </c>
      <c r="AV51" t="s">
        <v>860</v>
      </c>
      <c r="BA51" s="557"/>
      <c r="BC51" t="s">
        <v>463</v>
      </c>
    </row>
    <row r="52" spans="2:55" x14ac:dyDescent="0.25">
      <c r="B52">
        <v>1940504</v>
      </c>
      <c r="D52">
        <v>1939974</v>
      </c>
      <c r="E52">
        <v>1940045</v>
      </c>
      <c r="H52" t="s">
        <v>37</v>
      </c>
      <c r="I52" t="str">
        <v>Kay Jay Forgings Pvt Ltd Unit Vi</v>
      </c>
      <c r="J52" t="str">
        <v>Thirupathi Industries</v>
      </c>
      <c r="P52">
        <v>72</v>
      </c>
      <c r="Q52">
        <v>72</v>
      </c>
      <c r="W52" t="s">
        <v>633</v>
      </c>
      <c r="X52" t="str">
        <v>42.7-0-4-ERW 1-FC</v>
      </c>
      <c r="Y52" t="s">
        <v>891</v>
      </c>
      <c r="AC52" t="s">
        <v>1019</v>
      </c>
      <c r="AD52" t="str">
        <v>28.58-0-1.6-ERW 1-PE</v>
      </c>
      <c r="AE52" t="s">
        <v>1019</v>
      </c>
      <c r="AV52" t="s">
        <v>860</v>
      </c>
      <c r="BA52" s="557"/>
      <c r="BC52" t="s">
        <v>463</v>
      </c>
    </row>
    <row r="53" spans="2:55" x14ac:dyDescent="0.25">
      <c r="B53">
        <v>1940510</v>
      </c>
      <c r="D53">
        <v>1939974</v>
      </c>
      <c r="E53">
        <v>1940046</v>
      </c>
      <c r="H53" t="s">
        <v>37</v>
      </c>
      <c r="I53" t="str">
        <v>SREE VENKATESWARA ENTERPRISES</v>
      </c>
      <c r="J53" t="str">
        <v>Ttp Technologies Private Ltd</v>
      </c>
      <c r="P53">
        <v>74</v>
      </c>
      <c r="Q53">
        <v>74</v>
      </c>
      <c r="W53" t="s">
        <v>633</v>
      </c>
      <c r="X53" t="str">
        <v>50-30-1.6-ERW 2-FC</v>
      </c>
      <c r="Y53" t="s">
        <v>1824</v>
      </c>
      <c r="AC53" t="s">
        <v>582</v>
      </c>
      <c r="AD53" t="str">
        <v>28.58-0-2-ERW 1-FC</v>
      </c>
      <c r="AE53" t="s">
        <v>582</v>
      </c>
      <c r="AV53" t="s">
        <v>471</v>
      </c>
      <c r="BA53" s="557"/>
      <c r="BC53" t="s">
        <v>463</v>
      </c>
    </row>
    <row r="54" spans="2:55" x14ac:dyDescent="0.25">
      <c r="B54">
        <v>1940538</v>
      </c>
      <c r="D54">
        <v>1939974</v>
      </c>
      <c r="E54">
        <v>2288948</v>
      </c>
      <c r="H54" t="s">
        <v>37</v>
      </c>
      <c r="I54" t="str">
        <v>C.S.K.Tube Corporation</v>
      </c>
      <c r="J54" t="str">
        <v>TUBE INVESTMENTS OF INDIA LIMITED</v>
      </c>
      <c r="P54">
        <v>75</v>
      </c>
      <c r="Q54">
        <v>75</v>
      </c>
      <c r="W54" t="s">
        <v>416</v>
      </c>
      <c r="X54" t="str">
        <v>28.6-0-2.65-CEW-CEW</v>
      </c>
      <c r="Y54" t="s">
        <v>816</v>
      </c>
      <c r="AC54" t="s">
        <v>4481</v>
      </c>
      <c r="AD54" t="str">
        <v>28.58-0-3.2-ERW 1-FC</v>
      </c>
      <c r="AE54" t="s">
        <v>4481</v>
      </c>
      <c r="AV54" t="s">
        <v>471</v>
      </c>
      <c r="BA54" s="557"/>
      <c r="BC54" t="s">
        <v>463</v>
      </c>
    </row>
    <row r="55" spans="2:55" x14ac:dyDescent="0.25">
      <c r="B55">
        <v>1940584</v>
      </c>
      <c r="D55">
        <v>2403436</v>
      </c>
      <c r="E55">
        <v>1940054</v>
      </c>
      <c r="H55" t="s">
        <v>4</v>
      </c>
      <c r="I55" t="str">
        <v>Ttp Technologies Private Ltd</v>
      </c>
      <c r="J55" t="str">
        <v>U M A Industries</v>
      </c>
      <c r="P55">
        <v>76</v>
      </c>
      <c r="Q55">
        <v>76</v>
      </c>
      <c r="W55" t="s">
        <v>416</v>
      </c>
      <c r="X55" t="str">
        <v>40-25-1.6-ERW 2-FC</v>
      </c>
      <c r="Y55" t="s">
        <v>1823</v>
      </c>
      <c r="AC55" t="s">
        <v>816</v>
      </c>
      <c r="AD55" t="str">
        <v>28.6-0-2.65-CEW-CEW</v>
      </c>
      <c r="AE55" t="s">
        <v>816</v>
      </c>
      <c r="AV55" t="s">
        <v>875</v>
      </c>
      <c r="BA55" s="557"/>
      <c r="BC55" t="s">
        <v>463</v>
      </c>
    </row>
    <row r="56" spans="2:55" x14ac:dyDescent="0.25">
      <c r="B56">
        <v>1940588</v>
      </c>
      <c r="D56">
        <v>1939985</v>
      </c>
      <c r="E56">
        <v>1931425</v>
      </c>
      <c r="H56" t="s">
        <v>4</v>
      </c>
      <c r="I56" t="str">
        <v>Narasipur Auto Component(P)Ltd</v>
      </c>
      <c r="J56" t="str">
        <v>YOSHIKA ENGINEERING PVT LTD</v>
      </c>
      <c r="P56">
        <v>77</v>
      </c>
      <c r="Q56">
        <v>77</v>
      </c>
      <c r="W56" t="s">
        <v>416</v>
      </c>
      <c r="X56" t="str">
        <v>37.95-32-2.95-CEW-CEW</v>
      </c>
      <c r="Y56" t="s">
        <v>1042</v>
      </c>
      <c r="AC56" t="s">
        <v>1073</v>
      </c>
      <c r="AD56" t="str">
        <v>29.28-0-3.4-CEW-CEW</v>
      </c>
      <c r="AE56" t="s">
        <v>1073</v>
      </c>
      <c r="AV56" t="s">
        <v>875</v>
      </c>
      <c r="BA56" s="557"/>
      <c r="BC56" t="s">
        <v>463</v>
      </c>
    </row>
    <row r="57" spans="2:55" x14ac:dyDescent="0.25">
      <c r="B57">
        <v>1940626</v>
      </c>
      <c r="D57">
        <v>1939985</v>
      </c>
      <c r="E57">
        <v>1940055</v>
      </c>
      <c r="H57" t="s">
        <v>61</v>
      </c>
      <c r="I57" t="str">
        <v>BALAJI INDUSTRIES</v>
      </c>
      <c r="J57" t="str">
        <v>Narasipur Auto Component(P)Ltd</v>
      </c>
      <c r="P57">
        <v>78</v>
      </c>
      <c r="Q57">
        <v>78</v>
      </c>
      <c r="W57" t="s">
        <v>416</v>
      </c>
      <c r="X57" t="str">
        <v>29.4-20.4-4.5-CEW STKM 13C-CEW</v>
      </c>
      <c r="Y57" t="s">
        <v>824</v>
      </c>
      <c r="AC57" t="s">
        <v>393</v>
      </c>
      <c r="AD57" t="str">
        <v>29.4-20.4-4.5-CEW-CEW</v>
      </c>
      <c r="AE57" t="s">
        <v>393</v>
      </c>
      <c r="AV57" t="s">
        <v>875</v>
      </c>
      <c r="BA57" s="557"/>
      <c r="BC57" t="s">
        <v>463</v>
      </c>
    </row>
    <row r="58" spans="2:55" x14ac:dyDescent="0.25">
      <c r="B58">
        <v>1940627</v>
      </c>
      <c r="D58">
        <v>1939985</v>
      </c>
      <c r="E58">
        <v>1931276</v>
      </c>
      <c r="H58" t="s">
        <v>32</v>
      </c>
      <c r="I58" t="str">
        <v>Elkayem Auto Ancillaries ( P ) LTD</v>
      </c>
      <c r="J58" t="str">
        <v>Rajsriya Automotive Ind Pvt Ltd.</v>
      </c>
      <c r="P58">
        <v>79</v>
      </c>
      <c r="Q58">
        <v>79</v>
      </c>
      <c r="W58" t="s">
        <v>416</v>
      </c>
      <c r="X58" t="str">
        <v>20-12.4-3.8-CEW-CEW</v>
      </c>
      <c r="Y58" t="s">
        <v>995</v>
      </c>
      <c r="AC58" t="s">
        <v>824</v>
      </c>
      <c r="AD58" t="str">
        <v>29.4-20.4-4.5-CEW STKM 13C-CEW</v>
      </c>
      <c r="AE58" t="s">
        <v>824</v>
      </c>
      <c r="AV58" t="s">
        <v>875</v>
      </c>
      <c r="BA58" s="557"/>
      <c r="BC58" t="s">
        <v>463</v>
      </c>
    </row>
    <row r="59" spans="2:55" x14ac:dyDescent="0.25">
      <c r="B59">
        <v>1940653</v>
      </c>
      <c r="D59">
        <v>1939985</v>
      </c>
      <c r="E59">
        <v>3620428</v>
      </c>
      <c r="H59" t="s">
        <v>32</v>
      </c>
      <c r="I59" t="str">
        <v>Star Engineering Works</v>
      </c>
      <c r="J59" t="str">
        <v>Allied Industries (India)</v>
      </c>
      <c r="P59">
        <v>80</v>
      </c>
      <c r="Q59">
        <v>80</v>
      </c>
      <c r="W59" t="s">
        <v>416</v>
      </c>
      <c r="X59" t="str">
        <v>54-0-3-ERW 2-FC</v>
      </c>
      <c r="Y59" t="s">
        <v>920</v>
      </c>
      <c r="AC59" t="s">
        <v>827</v>
      </c>
      <c r="AD59" t="str">
        <v>30-25.5-2.25-CEW-CEW</v>
      </c>
      <c r="AE59" t="s">
        <v>827</v>
      </c>
      <c r="AV59" t="s">
        <v>875</v>
      </c>
      <c r="BA59" s="557"/>
      <c r="BC59" t="s">
        <v>463</v>
      </c>
    </row>
    <row r="60" spans="2:55" x14ac:dyDescent="0.25">
      <c r="B60">
        <v>1940716</v>
      </c>
      <c r="D60">
        <v>1939985</v>
      </c>
      <c r="E60">
        <v>3217233</v>
      </c>
      <c r="H60" t="s">
        <v>61</v>
      </c>
      <c r="I60" t="str">
        <v>OWERE PRECISION</v>
      </c>
      <c r="J60" t="str">
        <v>FREE STOCK</v>
      </c>
      <c r="P60">
        <v>81</v>
      </c>
      <c r="Q60">
        <v>81</v>
      </c>
      <c r="W60" t="s">
        <v>416</v>
      </c>
      <c r="X60" t="str">
        <v>21.7-16.2-2.75-CEW-CEW</v>
      </c>
      <c r="Y60" t="s">
        <v>727</v>
      </c>
      <c r="AC60" t="s">
        <v>529</v>
      </c>
      <c r="AD60" t="str">
        <v>25-25-1.2-CRFH-PE</v>
      </c>
      <c r="AE60" t="s">
        <v>529</v>
      </c>
      <c r="AV60" t="s">
        <v>875</v>
      </c>
      <c r="BA60" s="557"/>
      <c r="BC60" t="s">
        <v>463</v>
      </c>
    </row>
    <row r="61" spans="2:55" x14ac:dyDescent="0.25">
      <c r="B61">
        <v>1940730</v>
      </c>
      <c r="D61">
        <v>1939985</v>
      </c>
      <c r="E61">
        <v>2387804</v>
      </c>
      <c r="H61" t="s">
        <v>60</v>
      </c>
      <c r="I61" t="str">
        <v>SHETDASS ENGG</v>
      </c>
      <c r="J61" t="str">
        <v>Rajsriya Automotive Ind. Pvt Ltd</v>
      </c>
      <c r="P61">
        <v>82</v>
      </c>
      <c r="Q61">
        <v>82</v>
      </c>
      <c r="W61" t="s">
        <v>416</v>
      </c>
      <c r="X61" t="str">
        <v>25.4-0-2.5-CEW-CEW</v>
      </c>
      <c r="Y61" t="s">
        <v>806</v>
      </c>
      <c r="AC61" t="s">
        <v>836</v>
      </c>
      <c r="AD61" t="str">
        <v>31.75-0-1.2-ERW 1-FC</v>
      </c>
      <c r="AE61" t="s">
        <v>836</v>
      </c>
      <c r="AV61" t="s">
        <v>875</v>
      </c>
      <c r="BA61" s="557"/>
      <c r="BC61" t="s">
        <v>506</v>
      </c>
    </row>
    <row r="62" spans="2:55" x14ac:dyDescent="0.25">
      <c r="B62">
        <v>1940732</v>
      </c>
      <c r="D62">
        <v>1939985</v>
      </c>
      <c r="E62">
        <v>3478135</v>
      </c>
      <c r="H62" t="s">
        <v>60</v>
      </c>
      <c r="I62" t="str">
        <v>Indo AutoTech</v>
      </c>
      <c r="J62" t="str">
        <v>Krishna Industries</v>
      </c>
      <c r="P62">
        <v>83</v>
      </c>
      <c r="Q62">
        <v>83</v>
      </c>
      <c r="W62" t="s">
        <v>416</v>
      </c>
      <c r="X62" t="str">
        <v>31.75-25-3.37-CEW-CEW</v>
      </c>
      <c r="Y62" t="s">
        <v>846</v>
      </c>
      <c r="AC62" t="s">
        <v>832</v>
      </c>
      <c r="AD62" t="str">
        <v>31.75-0-1.2-ERW 1-PE</v>
      </c>
      <c r="AE62" t="s">
        <v>832</v>
      </c>
      <c r="AV62" t="s">
        <v>875</v>
      </c>
      <c r="BA62" s="557"/>
      <c r="BC62" t="s">
        <v>506</v>
      </c>
    </row>
    <row r="63" spans="2:55" x14ac:dyDescent="0.25">
      <c r="B63">
        <v>1940739</v>
      </c>
      <c r="D63">
        <v>1939985</v>
      </c>
      <c r="E63">
        <v>1900224</v>
      </c>
      <c r="H63" t="s">
        <v>60</v>
      </c>
      <c r="I63" t="str">
        <v>RANAE</v>
      </c>
      <c r="J63" t="str">
        <v>NALANDA INDUSTRIAL CORPOR</v>
      </c>
      <c r="P63">
        <v>84</v>
      </c>
      <c r="Q63">
        <v>84</v>
      </c>
      <c r="W63" t="s">
        <v>416</v>
      </c>
      <c r="X63" t="str">
        <v>28.58-0-1.2-ERW 1-PE</v>
      </c>
      <c r="Y63" t="s">
        <v>692</v>
      </c>
      <c r="AC63" t="s">
        <v>1028</v>
      </c>
      <c r="AD63" t="str">
        <v>31.75-0-1.6-ERW 1-FC</v>
      </c>
      <c r="AE63" t="s">
        <v>1028</v>
      </c>
      <c r="AV63" t="s">
        <v>875</v>
      </c>
      <c r="BA63" s="557"/>
      <c r="BC63" t="s">
        <v>506</v>
      </c>
    </row>
    <row r="64" spans="2:55" x14ac:dyDescent="0.25">
      <c r="B64">
        <v>1940743</v>
      </c>
      <c r="D64">
        <v>1900037</v>
      </c>
      <c r="E64">
        <v>1940078</v>
      </c>
      <c r="H64" t="s">
        <v>60</v>
      </c>
      <c r="I64" t="str">
        <v>KNITVEL</v>
      </c>
      <c r="J64" t="str">
        <v>Hi-Esteem Auto Komponents Pvt Ltd</v>
      </c>
      <c r="P64">
        <v>85</v>
      </c>
      <c r="Q64">
        <v>85</v>
      </c>
      <c r="W64" t="s">
        <v>416</v>
      </c>
      <c r="X64" t="str">
        <v>40-40-1.2-CRFH-PE</v>
      </c>
      <c r="Y64" t="s">
        <v>445</v>
      </c>
      <c r="AC64" t="s">
        <v>799</v>
      </c>
      <c r="AD64" t="str">
        <v>31.75-0-2.5-ERW 1-FC</v>
      </c>
      <c r="AE64" t="s">
        <v>799</v>
      </c>
      <c r="AV64" t="s">
        <v>891</v>
      </c>
      <c r="BA64" s="557"/>
      <c r="BC64" t="s">
        <v>506</v>
      </c>
    </row>
    <row r="65" spans="2:55" x14ac:dyDescent="0.25">
      <c r="B65">
        <v>1940794</v>
      </c>
      <c r="D65">
        <v>1900037</v>
      </c>
      <c r="E65">
        <v>1940075</v>
      </c>
      <c r="H65" t="s">
        <v>60</v>
      </c>
      <c r="I65" t="str">
        <v>TRANSIT STOCK</v>
      </c>
      <c r="J65" t="str">
        <v>BALAJI GEARS</v>
      </c>
      <c r="P65">
        <v>86</v>
      </c>
      <c r="Q65">
        <v>86</v>
      </c>
      <c r="W65" t="s">
        <v>416</v>
      </c>
      <c r="X65" t="str">
        <v>40-20-1.2-CRFH-PE</v>
      </c>
      <c r="Y65" t="s">
        <v>456</v>
      </c>
      <c r="AC65" t="s">
        <v>846</v>
      </c>
      <c r="AD65" t="str">
        <v>31.75-25-3.37-CEW-CEW</v>
      </c>
      <c r="AE65" t="s">
        <v>846</v>
      </c>
      <c r="AV65" t="s">
        <v>891</v>
      </c>
      <c r="BA65" s="557"/>
      <c r="BC65" t="s">
        <v>506</v>
      </c>
    </row>
    <row r="66" spans="2:55" x14ac:dyDescent="0.25">
      <c r="B66">
        <v>1940795</v>
      </c>
      <c r="D66">
        <v>1939986</v>
      </c>
      <c r="E66">
        <v>2420205</v>
      </c>
      <c r="H66" t="s">
        <v>30</v>
      </c>
      <c r="J66" t="str">
        <v>ELKAYEM AUTO ANCILLARIES PVT LTD</v>
      </c>
      <c r="P66">
        <v>87</v>
      </c>
      <c r="Q66">
        <v>87</v>
      </c>
      <c r="W66" t="s">
        <v>416</v>
      </c>
      <c r="X66" t="str">
        <v>22.23-0-1.2-ERW 1-PE</v>
      </c>
      <c r="Y66" t="s">
        <v>607</v>
      </c>
      <c r="AC66" t="s">
        <v>4583</v>
      </c>
      <c r="AD66" t="str">
        <v>32-0-4.5-CEW-CEW</v>
      </c>
      <c r="AE66" t="s">
        <v>4583</v>
      </c>
      <c r="AV66" t="s">
        <v>891</v>
      </c>
      <c r="BA66" s="557"/>
      <c r="BC66" t="s">
        <v>506</v>
      </c>
    </row>
    <row r="67" spans="2:55" x14ac:dyDescent="0.25">
      <c r="B67">
        <v>1940796</v>
      </c>
      <c r="D67">
        <v>1939986</v>
      </c>
      <c r="E67">
        <v>3706751</v>
      </c>
      <c r="H67" t="s">
        <v>30</v>
      </c>
      <c r="J67" t="str">
        <v>ROYAL ENFIELD</v>
      </c>
      <c r="P67">
        <v>88</v>
      </c>
      <c r="Q67">
        <v>88</v>
      </c>
      <c r="W67" t="s">
        <v>416</v>
      </c>
      <c r="X67" t="str">
        <v>48.6-0-1.2-ERW 1-FC</v>
      </c>
      <c r="Y67" t="s">
        <v>794</v>
      </c>
      <c r="AC67" t="s">
        <v>1032</v>
      </c>
      <c r="AD67" t="str">
        <v>33.3-29.3-2-CEW-CEW</v>
      </c>
      <c r="AE67" t="s">
        <v>1032</v>
      </c>
      <c r="AV67" t="s">
        <v>891</v>
      </c>
      <c r="BA67" s="557"/>
      <c r="BC67" t="s">
        <v>506</v>
      </c>
    </row>
    <row r="68" spans="2:55" x14ac:dyDescent="0.25">
      <c r="B68">
        <v>1940801</v>
      </c>
      <c r="D68">
        <v>1939986</v>
      </c>
      <c r="E68">
        <v>468311</v>
      </c>
      <c r="H68" t="s">
        <v>60</v>
      </c>
      <c r="J68" t="str">
        <v>HI-TECH INDUSTRIES</v>
      </c>
      <c r="P68">
        <v>89</v>
      </c>
      <c r="Q68">
        <v>89</v>
      </c>
      <c r="W68" t="s">
        <v>416</v>
      </c>
      <c r="X68" t="str">
        <v>22.23-0-1.6-ERW 2 MAHS-PE</v>
      </c>
      <c r="Y68" t="s">
        <v>695</v>
      </c>
      <c r="AC68" t="s">
        <v>1034</v>
      </c>
      <c r="AD68" t="str">
        <v>34.93-0-1.2-ERW 1-FC</v>
      </c>
      <c r="AE68" t="s">
        <v>1034</v>
      </c>
      <c r="AV68" t="s">
        <v>891</v>
      </c>
      <c r="BA68" s="557"/>
      <c r="BC68" t="s">
        <v>537</v>
      </c>
    </row>
    <row r="69" spans="2:55" x14ac:dyDescent="0.25">
      <c r="B69">
        <v>1940807</v>
      </c>
      <c r="D69">
        <v>1939986</v>
      </c>
      <c r="E69">
        <v>1940090</v>
      </c>
      <c r="H69" t="s">
        <v>94</v>
      </c>
      <c r="J69" t="str">
        <v>K P ENGINEERING</v>
      </c>
      <c r="P69">
        <v>90</v>
      </c>
      <c r="Q69">
        <v>90</v>
      </c>
      <c r="W69" t="s">
        <v>416</v>
      </c>
      <c r="X69" t="str">
        <v>22.23-0-2-ERW 2 MAHS-PE</v>
      </c>
      <c r="Y69" t="s">
        <v>642</v>
      </c>
      <c r="AC69" t="s">
        <v>6541</v>
      </c>
      <c r="AD69" t="str">
        <v>34.93-0-1.6-ERW 1-PE</v>
      </c>
      <c r="AE69" t="s">
        <v>6541</v>
      </c>
      <c r="AV69" t="s">
        <v>891</v>
      </c>
      <c r="BA69" s="557"/>
      <c r="BC69" t="s">
        <v>537</v>
      </c>
    </row>
    <row r="70" spans="2:55" x14ac:dyDescent="0.25">
      <c r="B70">
        <v>1940816</v>
      </c>
      <c r="D70">
        <v>1939986</v>
      </c>
      <c r="E70">
        <v>3506797</v>
      </c>
      <c r="H70" t="s">
        <v>79</v>
      </c>
      <c r="J70" t="str">
        <v>HI-ESTEEM AUTO KOMPONENTS PRIVATE L</v>
      </c>
      <c r="P70">
        <v>91</v>
      </c>
      <c r="Q70">
        <v>91</v>
      </c>
      <c r="W70" t="s">
        <v>6540</v>
      </c>
      <c r="X70" t="str">
        <v>check tdc</v>
      </c>
      <c r="Y70" t="s">
        <v>4524</v>
      </c>
      <c r="AC70" t="s">
        <v>565</v>
      </c>
      <c r="AD70" t="str">
        <v>34.93-0-1.6-ERW 1-FC</v>
      </c>
      <c r="AE70" t="s">
        <v>565</v>
      </c>
      <c r="AV70" t="s">
        <v>891</v>
      </c>
      <c r="BA70" s="557"/>
      <c r="BC70" t="s">
        <v>537</v>
      </c>
    </row>
    <row r="71" spans="2:55" x14ac:dyDescent="0.25">
      <c r="B71">
        <v>1940820</v>
      </c>
      <c r="D71">
        <v>1939986</v>
      </c>
      <c r="E71">
        <v>2243845</v>
      </c>
      <c r="H71" t="s">
        <v>21</v>
      </c>
      <c r="J71" t="str">
        <v>M.S.K. Enterprises</v>
      </c>
      <c r="P71">
        <v>91</v>
      </c>
      <c r="Q71">
        <v>93</v>
      </c>
      <c r="W71" t="s">
        <v>6540</v>
      </c>
      <c r="X71" t="str">
        <v>25.4-0-2.5-ERW 1-FC</v>
      </c>
      <c r="Y71" t="s">
        <v>810</v>
      </c>
      <c r="AC71" t="s">
        <v>6540</v>
      </c>
      <c r="AD71" t="str">
        <v>34.93-0-2.5-ERW 1-PE</v>
      </c>
      <c r="AE71" t="s">
        <v>6540</v>
      </c>
      <c r="AV71" t="s">
        <v>891</v>
      </c>
      <c r="BA71" s="557"/>
      <c r="BC71" t="s">
        <v>537</v>
      </c>
    </row>
    <row r="72" spans="2:55" x14ac:dyDescent="0.25">
      <c r="B72">
        <v>1940821</v>
      </c>
      <c r="D72">
        <v>1939986</v>
      </c>
      <c r="E72">
        <v>2384087</v>
      </c>
      <c r="H72" t="s">
        <v>21</v>
      </c>
      <c r="J72" t="str">
        <v>NASH INDUSTRIES (I) PVT LTD</v>
      </c>
      <c r="P72">
        <v>93</v>
      </c>
      <c r="Q72">
        <v>94</v>
      </c>
      <c r="W72" t="s">
        <v>6541</v>
      </c>
      <c r="X72" t="str">
        <v>25-25-1.2-CRFH-PE</v>
      </c>
      <c r="Y72" t="s">
        <v>529</v>
      </c>
      <c r="AC72" t="s">
        <v>673</v>
      </c>
      <c r="AD72" t="str">
        <v>34.93-0-2.6-ERW 1-FC</v>
      </c>
      <c r="AE72" t="s">
        <v>673</v>
      </c>
      <c r="AV72" t="s">
        <v>891</v>
      </c>
      <c r="BA72" s="557"/>
      <c r="BC72" t="s">
        <v>537</v>
      </c>
    </row>
    <row r="73" spans="2:55" x14ac:dyDescent="0.25">
      <c r="B73">
        <v>1940822</v>
      </c>
      <c r="D73">
        <v>1939986</v>
      </c>
      <c r="E73">
        <v>1940120</v>
      </c>
      <c r="H73" t="s">
        <v>76</v>
      </c>
      <c r="J73" t="str">
        <v>Sandhar Automach</v>
      </c>
      <c r="P73">
        <v>94</v>
      </c>
      <c r="Q73">
        <v>101</v>
      </c>
      <c r="W73" t="s">
        <v>6541</v>
      </c>
      <c r="X73" t="str">
        <v>25.4-0-1.2-ERW 1-PE</v>
      </c>
      <c r="Y73" t="s">
        <v>785</v>
      </c>
      <c r="AC73" t="s">
        <v>1041</v>
      </c>
      <c r="AD73" t="str">
        <v>37.6-31.2-3.2-CEW-CEW</v>
      </c>
      <c r="AE73" t="s">
        <v>1041</v>
      </c>
      <c r="AV73" t="s">
        <v>891</v>
      </c>
      <c r="BA73" s="557"/>
      <c r="BC73" t="s">
        <v>537</v>
      </c>
    </row>
    <row r="74" spans="2:55" x14ac:dyDescent="0.25">
      <c r="B74">
        <v>1940823</v>
      </c>
      <c r="D74">
        <v>1939986</v>
      </c>
      <c r="E74">
        <v>3188792</v>
      </c>
      <c r="H74" t="s">
        <v>94</v>
      </c>
      <c r="J74" t="str">
        <v>INDO AUTO</v>
      </c>
      <c r="P74">
        <v>101</v>
      </c>
      <c r="Q74">
        <v>102</v>
      </c>
      <c r="W74" t="s">
        <v>416</v>
      </c>
      <c r="X74" t="str">
        <v>31.75-0-1.2-ERW 1-FC</v>
      </c>
      <c r="Y74" t="s">
        <v>836</v>
      </c>
      <c r="AC74" t="s">
        <v>1042</v>
      </c>
      <c r="AD74" t="str">
        <v>37.95-32-2.95-CEW-CEW</v>
      </c>
      <c r="AE74" t="s">
        <v>1042</v>
      </c>
      <c r="AV74" t="s">
        <v>891</v>
      </c>
      <c r="BA74" s="557"/>
      <c r="BC74" t="s">
        <v>537</v>
      </c>
    </row>
    <row r="75" spans="2:55" x14ac:dyDescent="0.25">
      <c r="B75">
        <v>1940825</v>
      </c>
      <c r="D75">
        <v>1939986</v>
      </c>
      <c r="E75">
        <v>2410995</v>
      </c>
      <c r="H75" t="s">
        <v>76</v>
      </c>
      <c r="J75" t="str">
        <v>MEGH STEELS PRIVATE LIMITED</v>
      </c>
      <c r="P75">
        <v>102</v>
      </c>
      <c r="Q75">
        <v>103</v>
      </c>
      <c r="W75" t="s">
        <v>416</v>
      </c>
      <c r="X75" t="str">
        <v>25.4-0-1.6-ERW 1-PE</v>
      </c>
      <c r="Y75" t="s">
        <v>468</v>
      </c>
      <c r="AC75" t="s">
        <v>549</v>
      </c>
      <c r="AD75" t="str">
        <v>30-30-1.2-CRFH-PE</v>
      </c>
      <c r="AE75" t="s">
        <v>549</v>
      </c>
      <c r="AV75" t="s">
        <v>891</v>
      </c>
      <c r="BA75" s="557"/>
      <c r="BC75" t="s">
        <v>537</v>
      </c>
    </row>
    <row r="76" spans="2:55" x14ac:dyDescent="0.25">
      <c r="B76">
        <v>1940829</v>
      </c>
      <c r="D76">
        <v>1939986</v>
      </c>
      <c r="E76">
        <v>2410996</v>
      </c>
      <c r="H76" t="s">
        <v>52</v>
      </c>
      <c r="J76" t="str">
        <v>Tushar Steel Traders</v>
      </c>
      <c r="P76">
        <v>103</v>
      </c>
      <c r="Q76">
        <v>104</v>
      </c>
      <c r="W76" t="s">
        <v>416</v>
      </c>
      <c r="X76" t="str">
        <v>41.28-0-2.6-ERW 1-FC</v>
      </c>
      <c r="Y76" t="s">
        <v>886</v>
      </c>
      <c r="AC76" t="s">
        <v>1043</v>
      </c>
      <c r="AD76" t="str">
        <v>38.1-0-1.6-ERW 1-FC</v>
      </c>
      <c r="AE76" t="s">
        <v>1043</v>
      </c>
      <c r="AV76" t="s">
        <v>891</v>
      </c>
      <c r="BA76" s="557"/>
      <c r="BC76" t="s">
        <v>537</v>
      </c>
    </row>
    <row r="77" spans="2:55" x14ac:dyDescent="0.25">
      <c r="B77">
        <v>1940830</v>
      </c>
      <c r="D77">
        <v>3552188</v>
      </c>
      <c r="E77">
        <v>1938195</v>
      </c>
      <c r="H77" t="s">
        <v>61</v>
      </c>
      <c r="J77" t="str">
        <v>SANDHAR ENGINEERING PVT LTD.</v>
      </c>
      <c r="P77">
        <v>104</v>
      </c>
      <c r="Q77">
        <v>105</v>
      </c>
      <c r="W77" t="s">
        <v>416</v>
      </c>
      <c r="X77" t="str">
        <v>50-30-1.6-ERW 1-FC</v>
      </c>
      <c r="Y77" t="s">
        <v>474</v>
      </c>
      <c r="AC77" t="s">
        <v>1045</v>
      </c>
      <c r="AD77" t="str">
        <v>38.1-0-1.6-ERW 2 MAHS-FC</v>
      </c>
      <c r="AE77" t="s">
        <v>1045</v>
      </c>
      <c r="AV77" t="s">
        <v>891</v>
      </c>
      <c r="BA77" s="557"/>
      <c r="BC77" t="s">
        <v>537</v>
      </c>
    </row>
    <row r="78" spans="2:55" x14ac:dyDescent="0.25">
      <c r="B78">
        <v>1940834</v>
      </c>
      <c r="D78">
        <v>3552188</v>
      </c>
      <c r="E78">
        <v>1225244</v>
      </c>
      <c r="H78" t="s">
        <v>76</v>
      </c>
      <c r="J78" t="str">
        <v>ALF ENGINEERING PRIVATE LIMITED</v>
      </c>
      <c r="P78">
        <v>105</v>
      </c>
      <c r="Q78">
        <v>106</v>
      </c>
      <c r="W78" t="s">
        <v>416</v>
      </c>
      <c r="X78" t="str">
        <v>28.58-0-1.6-ERW 1-FC</v>
      </c>
      <c r="Y78" t="s">
        <v>664</v>
      </c>
      <c r="AC78" t="s">
        <v>860</v>
      </c>
      <c r="AD78" t="str">
        <v>38.1-0-2-ERW 1-FC</v>
      </c>
      <c r="AE78" t="s">
        <v>860</v>
      </c>
      <c r="AV78" t="s">
        <v>891</v>
      </c>
      <c r="BA78" s="557"/>
      <c r="BC78" t="s">
        <v>546</v>
      </c>
    </row>
    <row r="79" spans="2:55" x14ac:dyDescent="0.25">
      <c r="B79">
        <v>1940848</v>
      </c>
      <c r="D79">
        <v>1931117</v>
      </c>
      <c r="E79">
        <v>1931824</v>
      </c>
      <c r="H79" t="s">
        <v>61</v>
      </c>
      <c r="J79" t="str">
        <v>C.S.K.Tube Corporation</v>
      </c>
      <c r="P79">
        <v>106</v>
      </c>
      <c r="Q79">
        <v>107</v>
      </c>
      <c r="W79" t="s">
        <v>6542</v>
      </c>
      <c r="X79" t="str">
        <v>30-25.5-2.25-CEW-CEW</v>
      </c>
      <c r="Y79" t="s">
        <v>827</v>
      </c>
      <c r="AC79" t="s">
        <v>4718</v>
      </c>
      <c r="AD79" t="str">
        <v>38.1-0-2-ERW 1-PE</v>
      </c>
      <c r="AE79" t="s">
        <v>4718</v>
      </c>
      <c r="AV79" t="s">
        <v>891</v>
      </c>
      <c r="BA79" s="557"/>
      <c r="BC79" t="s">
        <v>973</v>
      </c>
    </row>
    <row r="80" spans="2:55" x14ac:dyDescent="0.25">
      <c r="B80">
        <v>1940849</v>
      </c>
      <c r="D80">
        <v>2288968</v>
      </c>
      <c r="E80">
        <v>3702201</v>
      </c>
      <c r="H80" t="s">
        <v>61</v>
      </c>
      <c r="J80" t="str">
        <v>Shri Durga Steel Tubes</v>
      </c>
      <c r="P80">
        <v>107</v>
      </c>
      <c r="Q80">
        <v>108</v>
      </c>
      <c r="W80" t="s">
        <v>6542</v>
      </c>
      <c r="AC80" t="s">
        <v>1048</v>
      </c>
      <c r="AD80" t="str">
        <v>38.1-0-2.5-ERW 2 MAHS-FC</v>
      </c>
      <c r="AE80" t="s">
        <v>1048</v>
      </c>
      <c r="AV80" t="s">
        <v>891</v>
      </c>
      <c r="BA80" s="557"/>
      <c r="BC80" t="s">
        <v>972</v>
      </c>
    </row>
    <row r="81" spans="2:55" x14ac:dyDescent="0.25">
      <c r="B81">
        <v>1940850</v>
      </c>
      <c r="D81">
        <v>1939991</v>
      </c>
      <c r="E81">
        <v>1938118</v>
      </c>
      <c r="H81" t="s">
        <v>61</v>
      </c>
      <c r="J81" t="str">
        <v>Elkayem Auto Ancillaries ( P ) LTD</v>
      </c>
      <c r="P81">
        <v>108</v>
      </c>
      <c r="Q81">
        <v>109</v>
      </c>
      <c r="W81" t="s">
        <v>6542</v>
      </c>
      <c r="AC81" t="s">
        <v>1049</v>
      </c>
      <c r="AD81" t="str">
        <v>38.1-0-3.66-ERW 1-FC</v>
      </c>
      <c r="AE81" t="s">
        <v>1049</v>
      </c>
      <c r="AV81" t="s">
        <v>891</v>
      </c>
      <c r="BA81" s="557"/>
      <c r="BC81" t="s">
        <v>557</v>
      </c>
    </row>
    <row r="82" spans="2:55" x14ac:dyDescent="0.25">
      <c r="B82">
        <v>1940852</v>
      </c>
      <c r="D82">
        <v>1939991</v>
      </c>
      <c r="E82">
        <v>1938382</v>
      </c>
      <c r="H82" t="s">
        <v>61</v>
      </c>
      <c r="J82" t="str">
        <v>TELUGUNADU STEELS PVT LTD</v>
      </c>
      <c r="P82">
        <v>109</v>
      </c>
      <c r="Q82">
        <v>110</v>
      </c>
      <c r="W82" t="s">
        <v>6542</v>
      </c>
      <c r="AC82" t="s">
        <v>456</v>
      </c>
      <c r="AD82" t="str">
        <v>40-20-1.2-CRFH-PE</v>
      </c>
      <c r="AE82" t="s">
        <v>456</v>
      </c>
      <c r="AV82" t="s">
        <v>891</v>
      </c>
      <c r="BA82" s="557"/>
      <c r="BC82" t="s">
        <v>557</v>
      </c>
    </row>
    <row r="83" spans="2:55" x14ac:dyDescent="0.25">
      <c r="B83">
        <v>1940879</v>
      </c>
      <c r="D83">
        <v>1939991</v>
      </c>
      <c r="E83">
        <v>1938119</v>
      </c>
      <c r="H83" t="s">
        <v>61</v>
      </c>
      <c r="J83" t="str">
        <v>Tenneco Automotive India Pvt Ltd.</v>
      </c>
      <c r="P83">
        <v>110</v>
      </c>
      <c r="Q83">
        <v>111</v>
      </c>
      <c r="W83" t="s">
        <v>6542</v>
      </c>
      <c r="AC83" t="s">
        <v>661</v>
      </c>
      <c r="AD83" t="str">
        <v>40-20-1.6-ERW 1-FC</v>
      </c>
      <c r="AE83" t="s">
        <v>661</v>
      </c>
      <c r="AV83" t="s">
        <v>891</v>
      </c>
      <c r="BA83" s="557"/>
      <c r="BC83" t="s">
        <v>557</v>
      </c>
    </row>
    <row r="84" spans="2:55" x14ac:dyDescent="0.25">
      <c r="B84">
        <v>1940911</v>
      </c>
      <c r="D84">
        <v>1939991</v>
      </c>
      <c r="E84">
        <v>1938163</v>
      </c>
      <c r="H84" t="s">
        <v>61</v>
      </c>
      <c r="J84" t="str">
        <v>THAI SUMMIT</v>
      </c>
      <c r="P84">
        <v>111</v>
      </c>
      <c r="Q84">
        <v>112</v>
      </c>
      <c r="W84" t="s">
        <v>6542</v>
      </c>
      <c r="AC84" t="s">
        <v>869</v>
      </c>
      <c r="AD84" t="str">
        <v>39-34-2.5-CEW-CEW</v>
      </c>
      <c r="AE84" t="s">
        <v>869</v>
      </c>
      <c r="AV84" t="s">
        <v>1824</v>
      </c>
      <c r="BA84" s="557"/>
      <c r="BC84" t="s">
        <v>557</v>
      </c>
    </row>
    <row r="85" spans="2:55" x14ac:dyDescent="0.25">
      <c r="B85">
        <v>1941353</v>
      </c>
      <c r="D85">
        <v>1939991</v>
      </c>
      <c r="E85">
        <v>2410642</v>
      </c>
      <c r="H85" t="s">
        <v>61</v>
      </c>
      <c r="J85" t="str">
        <v>NARASIPUR AUTO</v>
      </c>
      <c r="P85">
        <v>112</v>
      </c>
      <c r="Q85">
        <v>113</v>
      </c>
      <c r="W85" t="s">
        <v>6542</v>
      </c>
      <c r="AC85" t="s">
        <v>6544</v>
      </c>
      <c r="AD85" t="str">
        <v>40-25-1.6-CRFH-FC</v>
      </c>
      <c r="AE85" t="s">
        <v>6544</v>
      </c>
      <c r="AV85" t="s">
        <v>1824</v>
      </c>
      <c r="BA85" s="557"/>
      <c r="BC85" t="s">
        <v>978</v>
      </c>
    </row>
    <row r="86" spans="2:55" x14ac:dyDescent="0.25">
      <c r="B86">
        <v>1941847</v>
      </c>
      <c r="D86">
        <v>1939991</v>
      </c>
      <c r="E86">
        <v>1938116</v>
      </c>
      <c r="H86" t="s">
        <v>61</v>
      </c>
      <c r="J86" t="str">
        <v>kaYJAY FORGING</v>
      </c>
      <c r="P86">
        <v>113</v>
      </c>
      <c r="Q86">
        <v>114</v>
      </c>
      <c r="W86" t="s">
        <v>6542</v>
      </c>
      <c r="AC86" t="s">
        <v>428</v>
      </c>
      <c r="AD86" t="str">
        <v>40-25-1.6-ERW 1-FC</v>
      </c>
      <c r="AE86" t="s">
        <v>428</v>
      </c>
      <c r="AV86" t="s">
        <v>1824</v>
      </c>
      <c r="BA86" s="557"/>
      <c r="BC86" t="s">
        <v>978</v>
      </c>
    </row>
    <row r="87" spans="2:55" x14ac:dyDescent="0.25">
      <c r="B87">
        <v>1941860</v>
      </c>
      <c r="D87">
        <v>1939992</v>
      </c>
      <c r="E87">
        <v>1938117</v>
      </c>
      <c r="H87" t="s">
        <v>151</v>
      </c>
      <c r="J87" t="str">
        <v>SHETDASS ENGG</v>
      </c>
      <c r="P87">
        <v>114</v>
      </c>
      <c r="Q87">
        <v>115</v>
      </c>
      <c r="W87" t="s">
        <v>965</v>
      </c>
      <c r="AC87" t="s">
        <v>1823</v>
      </c>
      <c r="AD87" t="str">
        <v>40-25-1.6-ERW 2-FC</v>
      </c>
      <c r="AE87" t="s">
        <v>1823</v>
      </c>
      <c r="AV87" t="s">
        <v>1824</v>
      </c>
      <c r="BA87" s="557"/>
      <c r="BC87" t="s">
        <v>978</v>
      </c>
    </row>
    <row r="88" spans="2:55" x14ac:dyDescent="0.25">
      <c r="B88">
        <v>2243845</v>
      </c>
      <c r="D88">
        <v>1939992</v>
      </c>
      <c r="E88">
        <v>2288945</v>
      </c>
      <c r="H88" t="s">
        <v>76</v>
      </c>
      <c r="J88" t="str">
        <v>Indo AutoTech</v>
      </c>
      <c r="P88">
        <v>115</v>
      </c>
      <c r="Q88">
        <v>116</v>
      </c>
      <c r="W88" t="s">
        <v>412</v>
      </c>
      <c r="AC88" t="s">
        <v>1052</v>
      </c>
      <c r="AD88" t="str">
        <v>40-25-2-ERW 1-FC</v>
      </c>
      <c r="AE88" t="s">
        <v>1052</v>
      </c>
      <c r="AV88" t="s">
        <v>1824</v>
      </c>
      <c r="BA88" s="557"/>
      <c r="BC88" t="s">
        <v>978</v>
      </c>
    </row>
    <row r="89" spans="2:55" x14ac:dyDescent="0.25">
      <c r="B89">
        <v>2244449</v>
      </c>
      <c r="D89">
        <v>1939992</v>
      </c>
      <c r="E89">
        <v>2410998</v>
      </c>
      <c r="H89" t="s">
        <v>61</v>
      </c>
      <c r="J89" t="str">
        <v>MEGH STEELS PVT LTD - TVS</v>
      </c>
      <c r="P89">
        <v>116</v>
      </c>
      <c r="Q89">
        <v>117</v>
      </c>
      <c r="W89" t="s">
        <v>412</v>
      </c>
      <c r="AC89" t="s">
        <v>886</v>
      </c>
      <c r="AD89" t="str">
        <v>41.28-0-2.6-ERW 1-FC</v>
      </c>
      <c r="AE89" t="s">
        <v>886</v>
      </c>
      <c r="AV89" t="s">
        <v>1823</v>
      </c>
      <c r="BA89" s="557"/>
      <c r="BC89" t="s">
        <v>978</v>
      </c>
    </row>
    <row r="90" spans="2:55" x14ac:dyDescent="0.25">
      <c r="B90">
        <v>2256593</v>
      </c>
      <c r="D90">
        <v>3432081</v>
      </c>
      <c r="E90">
        <v>3842023</v>
      </c>
      <c r="H90" t="s">
        <v>61</v>
      </c>
      <c r="J90" t="str">
        <v>KAYJAY FORGING/ NARASIPUR AUTO</v>
      </c>
      <c r="P90">
        <v>117</v>
      </c>
      <c r="Q90">
        <v>118</v>
      </c>
      <c r="W90" t="s">
        <v>412</v>
      </c>
      <c r="AC90" t="s">
        <v>654</v>
      </c>
      <c r="AD90" t="str">
        <v>41.28-0-3.2-ERW 1-FC</v>
      </c>
      <c r="AE90" t="s">
        <v>654</v>
      </c>
      <c r="AV90" t="s">
        <v>1823</v>
      </c>
      <c r="BA90" s="557"/>
      <c r="BC90" t="s">
        <v>978</v>
      </c>
    </row>
    <row r="91" spans="2:55" x14ac:dyDescent="0.25">
      <c r="B91">
        <v>2320560</v>
      </c>
      <c r="D91">
        <v>3432081</v>
      </c>
      <c r="E91">
        <v>3545493</v>
      </c>
      <c r="H91" t="s">
        <v>61</v>
      </c>
      <c r="J91" t="str">
        <v>HITECH/METALMAN</v>
      </c>
      <c r="P91">
        <v>118</v>
      </c>
      <c r="Q91">
        <v>119</v>
      </c>
      <c r="W91" t="s">
        <v>412</v>
      </c>
      <c r="AC91" t="s">
        <v>875</v>
      </c>
      <c r="AD91" t="str">
        <v>42.7-0-3.5-ERW 1-FC</v>
      </c>
      <c r="AE91" t="s">
        <v>875</v>
      </c>
      <c r="AV91" t="s">
        <v>1823</v>
      </c>
      <c r="BA91" s="557"/>
      <c r="BC91" t="s">
        <v>2878</v>
      </c>
    </row>
    <row r="92" spans="2:55" x14ac:dyDescent="0.25">
      <c r="B92">
        <v>2320566</v>
      </c>
      <c r="D92">
        <v>3432081</v>
      </c>
      <c r="E92">
        <v>3842024</v>
      </c>
      <c r="H92" t="s">
        <v>72</v>
      </c>
      <c r="J92" t="str">
        <v>METALMAN</v>
      </c>
      <c r="P92">
        <v>119</v>
      </c>
      <c r="Q92">
        <v>120</v>
      </c>
      <c r="W92" t="s">
        <v>412</v>
      </c>
      <c r="AC92" t="s">
        <v>891</v>
      </c>
      <c r="AD92" t="str">
        <v>42.7-0-4-ERW 1-FC</v>
      </c>
      <c r="AE92" t="s">
        <v>891</v>
      </c>
      <c r="AV92" t="s">
        <v>737</v>
      </c>
      <c r="BA92" s="557"/>
      <c r="BC92" t="s">
        <v>980</v>
      </c>
    </row>
    <row r="93" spans="2:55" x14ac:dyDescent="0.25">
      <c r="B93">
        <v>2325421</v>
      </c>
      <c r="D93">
        <v>3432081</v>
      </c>
      <c r="E93">
        <v>3545492</v>
      </c>
      <c r="H93" t="s">
        <v>37</v>
      </c>
      <c r="J93" t="str">
        <v>JBM AUTO</v>
      </c>
      <c r="P93">
        <v>120</v>
      </c>
      <c r="Q93">
        <v>121</v>
      </c>
      <c r="W93" t="s">
        <v>412</v>
      </c>
      <c r="AC93" t="s">
        <v>586</v>
      </c>
      <c r="AD93" t="str">
        <v>40-30-1.6-ERW 1-FC</v>
      </c>
      <c r="AE93" t="s">
        <v>586</v>
      </c>
      <c r="AV93" t="s">
        <v>737</v>
      </c>
      <c r="BA93" s="557"/>
      <c r="BC93" t="s">
        <v>980</v>
      </c>
    </row>
    <row r="94" spans="2:55" x14ac:dyDescent="0.25">
      <c r="B94">
        <v>2331952</v>
      </c>
      <c r="D94">
        <v>3432081</v>
      </c>
      <c r="E94">
        <v>1939459</v>
      </c>
      <c r="H94" t="s">
        <v>17</v>
      </c>
      <c r="J94" t="str">
        <v>KNITVEL</v>
      </c>
      <c r="P94">
        <v>121</v>
      </c>
      <c r="Q94">
        <v>122</v>
      </c>
      <c r="W94" t="s">
        <v>412</v>
      </c>
      <c r="AC94" t="s">
        <v>578</v>
      </c>
      <c r="AD94" t="str">
        <v>40-30-2-ERW 1-FC</v>
      </c>
      <c r="AE94" t="s">
        <v>578</v>
      </c>
      <c r="AV94" t="s">
        <v>737</v>
      </c>
      <c r="BA94" s="557"/>
      <c r="BC94" t="s">
        <v>980</v>
      </c>
    </row>
    <row r="95" spans="2:55" x14ac:dyDescent="0.25">
      <c r="B95">
        <v>2331953</v>
      </c>
      <c r="D95">
        <v>3432081</v>
      </c>
      <c r="E95">
        <v>3545491</v>
      </c>
      <c r="H95" t="s">
        <v>76</v>
      </c>
      <c r="J95" t="str">
        <v>ether</v>
      </c>
      <c r="P95">
        <v>122</v>
      </c>
      <c r="Q95">
        <v>123</v>
      </c>
      <c r="W95" t="s">
        <v>412</v>
      </c>
      <c r="AC95" t="s">
        <v>794</v>
      </c>
      <c r="AD95" t="str">
        <v>48.6-0-1.2-ERW 1-FC</v>
      </c>
      <c r="AE95" t="s">
        <v>794</v>
      </c>
      <c r="AV95" t="s">
        <v>737</v>
      </c>
      <c r="BA95" s="557"/>
      <c r="BC95" t="s">
        <v>981</v>
      </c>
    </row>
    <row r="96" spans="2:55" x14ac:dyDescent="0.25">
      <c r="B96">
        <v>2349249</v>
      </c>
      <c r="D96">
        <v>3432081</v>
      </c>
      <c r="E96">
        <v>1938191</v>
      </c>
      <c r="H96" t="s">
        <v>37</v>
      </c>
      <c r="J96" t="str">
        <v>RUCHA</v>
      </c>
      <c r="P96">
        <v>123</v>
      </c>
      <c r="Q96">
        <v>124</v>
      </c>
      <c r="W96" t="s">
        <v>412</v>
      </c>
      <c r="AC96" t="s">
        <v>712</v>
      </c>
      <c r="AD96" t="str">
        <v>48.6-0-3.5-ERW 1-FC</v>
      </c>
      <c r="AE96" t="s">
        <v>712</v>
      </c>
      <c r="AV96" t="s">
        <v>832</v>
      </c>
      <c r="BA96" s="557"/>
      <c r="BC96" t="s">
        <v>590</v>
      </c>
    </row>
    <row r="97" spans="2:55" x14ac:dyDescent="0.25">
      <c r="B97">
        <v>2356405</v>
      </c>
      <c r="D97">
        <v>3432081</v>
      </c>
      <c r="E97">
        <v>2419066</v>
      </c>
      <c r="H97" t="s">
        <v>69</v>
      </c>
      <c r="J97" t="str">
        <v>SHIVAM PRIME STEELS PRIVATE LIMITED</v>
      </c>
      <c r="P97">
        <v>124</v>
      </c>
      <c r="Q97">
        <v>125</v>
      </c>
      <c r="W97" t="s">
        <v>412</v>
      </c>
      <c r="AC97" t="s">
        <v>895</v>
      </c>
      <c r="AD97" t="str">
        <v>50-50-1.6-ERW 2-PE</v>
      </c>
      <c r="AE97" t="s">
        <v>895</v>
      </c>
      <c r="AV97" t="s">
        <v>832</v>
      </c>
      <c r="BA97" s="557"/>
      <c r="BC97" t="s">
        <v>590</v>
      </c>
    </row>
    <row r="98" spans="2:55" x14ac:dyDescent="0.25">
      <c r="B98">
        <v>2356445</v>
      </c>
      <c r="D98">
        <v>3432081</v>
      </c>
      <c r="E98">
        <v>3230486</v>
      </c>
      <c r="H98" t="s">
        <v>69</v>
      </c>
      <c r="J98" t="str">
        <v>SICAGEN INDIA LIMITED</v>
      </c>
      <c r="P98">
        <v>125</v>
      </c>
      <c r="Q98">
        <v>126</v>
      </c>
      <c r="W98" t="s">
        <v>412</v>
      </c>
      <c r="AC98" t="s">
        <v>445</v>
      </c>
      <c r="AD98" t="str">
        <v>40-40-1.2-CRFH-PE</v>
      </c>
      <c r="AE98" t="s">
        <v>445</v>
      </c>
      <c r="AV98" t="s">
        <v>832</v>
      </c>
      <c r="BA98" s="557"/>
      <c r="BC98" t="s">
        <v>590</v>
      </c>
    </row>
    <row r="99" spans="2:55" x14ac:dyDescent="0.25">
      <c r="B99">
        <v>2385290</v>
      </c>
      <c r="D99">
        <v>3432081</v>
      </c>
      <c r="E99">
        <v>3571862</v>
      </c>
      <c r="H99" t="s">
        <v>69</v>
      </c>
      <c r="J99" t="str">
        <v>P E ENGINEERS PVT LIMITED</v>
      </c>
      <c r="P99">
        <v>126</v>
      </c>
      <c r="Q99">
        <v>127</v>
      </c>
      <c r="W99" t="s">
        <v>412</v>
      </c>
      <c r="AC99" t="s">
        <v>474</v>
      </c>
      <c r="AD99" t="str">
        <v>50-30-1.6-ERW 1-FC</v>
      </c>
      <c r="AE99" t="s">
        <v>474</v>
      </c>
      <c r="AV99" t="s">
        <v>692</v>
      </c>
      <c r="BA99" s="557"/>
      <c r="BC99" t="s">
        <v>590</v>
      </c>
    </row>
    <row r="100" spans="2:55" x14ac:dyDescent="0.25">
      <c r="B100">
        <v>2386074</v>
      </c>
      <c r="D100">
        <v>3432081</v>
      </c>
      <c r="E100">
        <v>3584173</v>
      </c>
      <c r="H100" t="s">
        <v>69</v>
      </c>
      <c r="J100" t="str">
        <v>V.R.Steel Traders</v>
      </c>
      <c r="P100">
        <v>127</v>
      </c>
      <c r="Q100">
        <v>128</v>
      </c>
      <c r="W100" t="s">
        <v>412</v>
      </c>
      <c r="AC100" t="s">
        <v>1824</v>
      </c>
      <c r="AD100" t="str">
        <v>50-30-1.6-ERW 2-FC</v>
      </c>
      <c r="AE100" t="s">
        <v>1824</v>
      </c>
      <c r="AV100" t="s">
        <v>692</v>
      </c>
      <c r="BA100" s="557"/>
      <c r="BC100" t="s">
        <v>590</v>
      </c>
    </row>
    <row r="101" spans="2:55" x14ac:dyDescent="0.25">
      <c r="B101">
        <v>2402914</v>
      </c>
      <c r="D101">
        <v>3432081</v>
      </c>
      <c r="E101">
        <v>3571863</v>
      </c>
      <c r="H101" t="s">
        <v>69</v>
      </c>
      <c r="J101" t="str">
        <v>Vardhman Tube Industries</v>
      </c>
      <c r="P101">
        <v>128</v>
      </c>
      <c r="Q101">
        <v>129</v>
      </c>
      <c r="W101" t="s">
        <v>412</v>
      </c>
      <c r="AC101" t="s">
        <v>841</v>
      </c>
      <c r="AD101" t="str">
        <v>50-30-2-ERW 1-FC</v>
      </c>
      <c r="AE101" t="s">
        <v>841</v>
      </c>
      <c r="AV101" t="s">
        <v>692</v>
      </c>
      <c r="BA101" s="557"/>
      <c r="BC101" t="s">
        <v>590</v>
      </c>
    </row>
    <row r="102" spans="2:55" x14ac:dyDescent="0.25">
      <c r="B102">
        <v>2403383</v>
      </c>
      <c r="D102">
        <v>3432081</v>
      </c>
      <c r="E102">
        <v>3571864</v>
      </c>
      <c r="H102" t="s">
        <v>61</v>
      </c>
      <c r="J102" t="str">
        <v>JAICO TUBES CORPORATION- BAN</v>
      </c>
      <c r="P102">
        <v>129</v>
      </c>
      <c r="Q102">
        <v>130</v>
      </c>
      <c r="W102" t="s">
        <v>412</v>
      </c>
      <c r="AC102" t="s">
        <v>2305</v>
      </c>
      <c r="AD102" t="str">
        <v>50.8-0-1.4-ERW 2-FC</v>
      </c>
      <c r="AE102" t="s">
        <v>2305</v>
      </c>
      <c r="AV102" t="s">
        <v>692</v>
      </c>
      <c r="BA102" s="557"/>
      <c r="BC102" t="s">
        <v>590</v>
      </c>
    </row>
    <row r="103" spans="2:55" x14ac:dyDescent="0.25">
      <c r="B103">
        <v>2403386</v>
      </c>
      <c r="D103">
        <v>3432081</v>
      </c>
      <c r="E103">
        <v>3571866</v>
      </c>
      <c r="H103" t="s">
        <v>61</v>
      </c>
      <c r="J103" t="str">
        <v>PAMS ENGINEERING</v>
      </c>
      <c r="P103">
        <v>130</v>
      </c>
      <c r="Q103">
        <v>131</v>
      </c>
      <c r="W103" t="s">
        <v>412</v>
      </c>
      <c r="AC103" t="s">
        <v>1065</v>
      </c>
      <c r="AD103" t="str">
        <v>50.8-0-1.6-ERW 1-FC</v>
      </c>
      <c r="AE103" t="s">
        <v>1065</v>
      </c>
      <c r="AV103" t="s">
        <v>692</v>
      </c>
      <c r="BA103" s="557"/>
      <c r="BC103" t="s">
        <v>590</v>
      </c>
    </row>
    <row r="104" spans="2:55" x14ac:dyDescent="0.25">
      <c r="B104">
        <v>2409618</v>
      </c>
      <c r="D104">
        <v>3432081</v>
      </c>
      <c r="E104">
        <v>3838020</v>
      </c>
      <c r="H104" t="s">
        <v>61</v>
      </c>
      <c r="J104" t="str">
        <v>TRANSIT STOCK</v>
      </c>
      <c r="P104">
        <v>131</v>
      </c>
      <c r="Q104">
        <v>132</v>
      </c>
      <c r="W104" t="s">
        <v>412</v>
      </c>
      <c r="AC104" t="s">
        <v>920</v>
      </c>
      <c r="AD104" t="str">
        <v>54-0-3-ERW 2-FC</v>
      </c>
      <c r="AE104" t="s">
        <v>920</v>
      </c>
      <c r="AV104" t="s">
        <v>794</v>
      </c>
      <c r="BA104" s="557"/>
      <c r="BC104" t="s">
        <v>590</v>
      </c>
    </row>
    <row r="105" spans="2:55" x14ac:dyDescent="0.25">
      <c r="B105">
        <v>2413708</v>
      </c>
      <c r="D105">
        <v>3432081</v>
      </c>
      <c r="E105">
        <v>3230490</v>
      </c>
      <c r="H105" t="s">
        <v>61</v>
      </c>
      <c r="J105" t="str">
        <v>OWERE PRECISION</v>
      </c>
      <c r="P105">
        <v>132</v>
      </c>
      <c r="Q105">
        <v>133</v>
      </c>
      <c r="W105" t="s">
        <v>412</v>
      </c>
      <c r="AC105" t="s">
        <v>909</v>
      </c>
      <c r="AD105" t="str">
        <v>57.15-0-2-ERW 1-FC</v>
      </c>
      <c r="AE105" t="s">
        <v>909</v>
      </c>
      <c r="AV105" t="s">
        <v>794</v>
      </c>
      <c r="BA105" s="557"/>
      <c r="BC105" t="s">
        <v>450</v>
      </c>
    </row>
    <row r="106" spans="2:55" x14ac:dyDescent="0.25">
      <c r="B106">
        <v>2418687</v>
      </c>
      <c r="D106">
        <v>1939993</v>
      </c>
      <c r="E106">
        <v>3571867</v>
      </c>
      <c r="H106" t="s">
        <v>61</v>
      </c>
      <c r="J106" t="str">
        <v>SANDHAR TECHNOLOGIESPvt.Ltd.(KA)Uni</v>
      </c>
      <c r="P106">
        <v>133</v>
      </c>
      <c r="Q106">
        <v>136</v>
      </c>
      <c r="W106" t="s">
        <v>412</v>
      </c>
      <c r="AC106" t="s">
        <v>904</v>
      </c>
      <c r="AD106" t="str">
        <v>57.15-0-2.3-ERW 2-FC</v>
      </c>
      <c r="AE106" t="s">
        <v>904</v>
      </c>
      <c r="AV106" t="s">
        <v>794</v>
      </c>
      <c r="BA106" s="557"/>
      <c r="BC106" t="s">
        <v>450</v>
      </c>
    </row>
    <row r="107" spans="2:55" x14ac:dyDescent="0.25">
      <c r="B107">
        <v>2420106</v>
      </c>
      <c r="D107">
        <v>1939993</v>
      </c>
      <c r="E107">
        <v>3571868</v>
      </c>
      <c r="H107" t="s">
        <v>76</v>
      </c>
      <c r="J107" t="str">
        <v>GOLDEN INDUSTRIES</v>
      </c>
      <c r="P107">
        <v>133</v>
      </c>
      <c r="Q107">
        <v>137</v>
      </c>
      <c r="W107" t="s">
        <v>412</v>
      </c>
      <c r="AC107" t="s">
        <v>926</v>
      </c>
      <c r="AD107" t="str">
        <v>57.15-0-2.5-ERW 1-FC</v>
      </c>
      <c r="AE107" t="s">
        <v>926</v>
      </c>
      <c r="AV107" t="s">
        <v>794</v>
      </c>
      <c r="BA107" s="557"/>
      <c r="BC107" t="s">
        <v>450</v>
      </c>
    </row>
    <row r="108" spans="2:55" x14ac:dyDescent="0.25">
      <c r="B108">
        <v>2420107</v>
      </c>
      <c r="D108">
        <v>1939993</v>
      </c>
      <c r="E108">
        <v>3230487</v>
      </c>
      <c r="H108" t="s">
        <v>76</v>
      </c>
      <c r="J108" t="str">
        <v>SANDHAR ENGINEERING PRIVATE LIMITED</v>
      </c>
      <c r="P108">
        <v>136</v>
      </c>
      <c r="Q108">
        <v>138</v>
      </c>
      <c r="W108" t="s">
        <v>6543</v>
      </c>
      <c r="AC108" t="s">
        <v>1070</v>
      </c>
      <c r="AD108" t="str">
        <v>60.3-0-2-ERW 1-FC</v>
      </c>
      <c r="AE108" t="s">
        <v>1070</v>
      </c>
      <c r="AV108" t="s">
        <v>794</v>
      </c>
      <c r="BA108" s="557"/>
      <c r="BC108" t="s">
        <v>450</v>
      </c>
    </row>
    <row r="109" spans="2:55" x14ac:dyDescent="0.25">
      <c r="B109">
        <v>2423535</v>
      </c>
      <c r="D109">
        <v>1939993</v>
      </c>
      <c r="E109">
        <v>3234371</v>
      </c>
      <c r="H109" t="s">
        <v>151</v>
      </c>
      <c r="J109" t="str">
        <v>BENDTECH INDUSTRIES</v>
      </c>
      <c r="P109">
        <v>137</v>
      </c>
      <c r="Q109">
        <v>139</v>
      </c>
      <c r="W109" t="s">
        <v>6543</v>
      </c>
      <c r="AC109" t="s">
        <v>872</v>
      </c>
      <c r="AD109" t="str">
        <v>63.5-0-4-ERW 1-FC</v>
      </c>
      <c r="AE109" t="s">
        <v>872</v>
      </c>
      <c r="AV109" t="s">
        <v>860</v>
      </c>
      <c r="BA109" s="557"/>
      <c r="BC109" t="s">
        <v>450</v>
      </c>
    </row>
    <row r="110" spans="2:55" x14ac:dyDescent="0.25">
      <c r="B110">
        <v>2427158</v>
      </c>
      <c r="D110">
        <v>1939993</v>
      </c>
      <c r="E110">
        <v>3230488</v>
      </c>
      <c r="H110" t="s">
        <v>76</v>
      </c>
      <c r="J110" t="str">
        <v>DEVI DASS &amp; SONS</v>
      </c>
      <c r="P110">
        <v>138</v>
      </c>
      <c r="Q110">
        <v>140</v>
      </c>
      <c r="W110" t="s">
        <v>6543</v>
      </c>
      <c r="AC110" t="s">
        <v>914</v>
      </c>
      <c r="AD110" t="str">
        <v>70-0-3.2-ERW 2-FC</v>
      </c>
      <c r="AE110" t="s">
        <v>914</v>
      </c>
      <c r="AV110" t="s">
        <v>860</v>
      </c>
      <c r="BA110" s="557"/>
      <c r="BC110" t="s">
        <v>450</v>
      </c>
    </row>
    <row r="111" spans="2:55" x14ac:dyDescent="0.25">
      <c r="B111">
        <v>2427712</v>
      </c>
      <c r="D111">
        <v>1939993</v>
      </c>
      <c r="E111">
        <v>3571869</v>
      </c>
      <c r="H111" t="s">
        <v>39</v>
      </c>
      <c r="J111" t="str">
        <v>A.V.M. TUBE CO.</v>
      </c>
      <c r="P111">
        <v>139</v>
      </c>
      <c r="Q111">
        <v>141</v>
      </c>
      <c r="W111" t="s">
        <v>423</v>
      </c>
      <c r="AC111" t="s">
        <v>6542</v>
      </c>
      <c r="AD111" t="str">
        <v>59-30-1.6-ERW-FIN CUT</v>
      </c>
      <c r="AE111" t="s">
        <v>6542</v>
      </c>
      <c r="AV111" t="s">
        <v>860</v>
      </c>
      <c r="BA111" s="557"/>
      <c r="BC111" t="s">
        <v>450</v>
      </c>
    </row>
    <row r="112" spans="2:55" x14ac:dyDescent="0.25">
      <c r="B112">
        <v>2428449</v>
      </c>
      <c r="D112">
        <v>3223304</v>
      </c>
      <c r="E112">
        <v>3571870</v>
      </c>
      <c r="H112" t="s">
        <v>39</v>
      </c>
      <c r="J112" t="str">
        <v>SGR TRADING COMPANY</v>
      </c>
      <c r="P112">
        <v>140</v>
      </c>
      <c r="Q112">
        <v>142</v>
      </c>
      <c r="W112" t="s">
        <v>423</v>
      </c>
      <c r="AD112">
        <v>0</v>
      </c>
      <c r="AV112" t="s">
        <v>860</v>
      </c>
      <c r="BA112" s="557"/>
      <c r="BC112" t="s">
        <v>450</v>
      </c>
    </row>
    <row r="113" spans="2:55" x14ac:dyDescent="0.25">
      <c r="B113">
        <v>2430125</v>
      </c>
      <c r="D113">
        <v>3223304</v>
      </c>
      <c r="E113">
        <v>3230491</v>
      </c>
      <c r="H113" t="s">
        <v>151</v>
      </c>
      <c r="J113" t="str">
        <v>Golas Steel Tubes</v>
      </c>
      <c r="P113">
        <v>141</v>
      </c>
      <c r="Q113">
        <v>144</v>
      </c>
      <c r="W113" t="s">
        <v>423</v>
      </c>
      <c r="AV113" t="s">
        <v>860</v>
      </c>
      <c r="BA113" s="557"/>
      <c r="BC113" t="s">
        <v>450</v>
      </c>
    </row>
    <row r="114" spans="2:55" x14ac:dyDescent="0.25">
      <c r="B114">
        <v>2430128</v>
      </c>
      <c r="D114">
        <v>3223304</v>
      </c>
      <c r="E114">
        <v>3572031</v>
      </c>
      <c r="H114" t="s">
        <v>151</v>
      </c>
      <c r="J114" t="str">
        <v>Garg Steel Centre</v>
      </c>
      <c r="P114">
        <v>142</v>
      </c>
      <c r="Q114">
        <v>145</v>
      </c>
      <c r="W114" t="s">
        <v>832</v>
      </c>
      <c r="AV114" t="s">
        <v>860</v>
      </c>
      <c r="BA114" s="557"/>
      <c r="BC114" t="s">
        <v>450</v>
      </c>
    </row>
    <row r="115" spans="2:55" x14ac:dyDescent="0.25">
      <c r="B115">
        <v>2440970</v>
      </c>
      <c r="D115">
        <v>3223304</v>
      </c>
      <c r="E115">
        <v>3572032</v>
      </c>
      <c r="H115" t="s">
        <v>54</v>
      </c>
      <c r="J115" t="str">
        <v>SATHYA METAL PROCESS</v>
      </c>
      <c r="P115">
        <v>144</v>
      </c>
      <c r="Q115">
        <v>146</v>
      </c>
      <c r="W115" t="s">
        <v>832</v>
      </c>
      <c r="AV115" t="s">
        <v>860</v>
      </c>
      <c r="BA115" s="557"/>
      <c r="BC115" t="s">
        <v>450</v>
      </c>
    </row>
    <row r="116" spans="2:55" x14ac:dyDescent="0.25">
      <c r="B116">
        <v>2440971</v>
      </c>
      <c r="D116">
        <v>3223304</v>
      </c>
      <c r="E116">
        <v>3572033</v>
      </c>
      <c r="H116" t="s">
        <v>54</v>
      </c>
      <c r="J116" t="str">
        <v>GALAXY STEELS</v>
      </c>
      <c r="P116">
        <v>145</v>
      </c>
      <c r="Q116">
        <v>147</v>
      </c>
      <c r="W116" t="s">
        <v>832</v>
      </c>
      <c r="AV116" t="s">
        <v>860</v>
      </c>
      <c r="BA116" s="557"/>
      <c r="BC116" t="s">
        <v>450</v>
      </c>
    </row>
    <row r="117" spans="2:55" x14ac:dyDescent="0.25">
      <c r="B117">
        <v>2440972</v>
      </c>
      <c r="D117">
        <v>3223304</v>
      </c>
      <c r="E117">
        <v>3230485</v>
      </c>
      <c r="H117" t="s">
        <v>61</v>
      </c>
      <c r="J117" t="str">
        <v>NA  STEELS AND SCRAPS</v>
      </c>
      <c r="P117">
        <v>146</v>
      </c>
      <c r="Q117">
        <v>148</v>
      </c>
      <c r="W117" t="s">
        <v>832</v>
      </c>
      <c r="AV117" t="s">
        <v>633</v>
      </c>
      <c r="BA117" s="557"/>
      <c r="BC117" t="s">
        <v>450</v>
      </c>
    </row>
    <row r="118" spans="2:55" x14ac:dyDescent="0.25">
      <c r="B118">
        <v>3171772</v>
      </c>
      <c r="D118">
        <v>3223304</v>
      </c>
      <c r="E118">
        <v>3233560</v>
      </c>
      <c r="H118" t="s">
        <v>44</v>
      </c>
      <c r="J118" t="str">
        <v>FIRETECH BOILERS PRIVATE LIMITED</v>
      </c>
      <c r="P118">
        <v>147</v>
      </c>
      <c r="Q118">
        <v>150</v>
      </c>
      <c r="W118" t="s">
        <v>832</v>
      </c>
      <c r="AV118" t="s">
        <v>633</v>
      </c>
      <c r="BA118" s="557"/>
      <c r="BC118" t="s">
        <v>450</v>
      </c>
    </row>
    <row r="119" spans="2:55" x14ac:dyDescent="0.25">
      <c r="B119">
        <v>3191747</v>
      </c>
      <c r="D119">
        <v>3676336</v>
      </c>
      <c r="E119">
        <v>3230492</v>
      </c>
      <c r="H119" t="s">
        <v>45</v>
      </c>
      <c r="J119" t="str">
        <v>Garuda Pipes Private Limited</v>
      </c>
      <c r="P119">
        <v>148</v>
      </c>
      <c r="Q119">
        <v>151</v>
      </c>
      <c r="W119" t="s">
        <v>832</v>
      </c>
      <c r="AV119" t="s">
        <v>633</v>
      </c>
      <c r="BA119" s="557"/>
      <c r="BC119" t="s">
        <v>450</v>
      </c>
    </row>
    <row r="120" spans="2:55" x14ac:dyDescent="0.25">
      <c r="B120">
        <v>3216121</v>
      </c>
      <c r="D120">
        <v>3676336</v>
      </c>
      <c r="E120">
        <v>3572034</v>
      </c>
      <c r="H120" t="s">
        <v>44</v>
      </c>
      <c r="J120" t="str">
        <v>M/S.TVS MOTOR COMPANY LIMITED</v>
      </c>
      <c r="P120">
        <v>150</v>
      </c>
      <c r="Q120">
        <v>152</v>
      </c>
      <c r="W120" t="s">
        <v>832</v>
      </c>
      <c r="AV120" t="s">
        <v>810</v>
      </c>
      <c r="BA120" s="557"/>
      <c r="BC120" t="s">
        <v>450</v>
      </c>
    </row>
    <row r="121" spans="2:55" x14ac:dyDescent="0.25">
      <c r="B121">
        <v>3219710</v>
      </c>
      <c r="D121">
        <v>3676336</v>
      </c>
      <c r="E121">
        <v>3572035</v>
      </c>
      <c r="H121" t="s">
        <v>44</v>
      </c>
      <c r="J121" t="str">
        <v>Owari Preecision Products (India)</v>
      </c>
      <c r="P121">
        <v>151</v>
      </c>
      <c r="Q121">
        <v>155</v>
      </c>
      <c r="W121" t="s">
        <v>463</v>
      </c>
      <c r="AV121" t="s">
        <v>810</v>
      </c>
      <c r="BA121" s="557"/>
      <c r="BC121" t="s">
        <v>450</v>
      </c>
    </row>
    <row r="122" spans="2:55" x14ac:dyDescent="0.25">
      <c r="B122">
        <v>3230465</v>
      </c>
      <c r="D122">
        <v>3676336</v>
      </c>
      <c r="E122">
        <v>3572036</v>
      </c>
      <c r="H122" t="s">
        <v>44</v>
      </c>
      <c r="J122" t="str">
        <v>VISHAL ENTERPRISES</v>
      </c>
      <c r="P122">
        <v>152</v>
      </c>
      <c r="Q122">
        <v>156</v>
      </c>
      <c r="W122" t="s">
        <v>463</v>
      </c>
      <c r="AV122" t="s">
        <v>810</v>
      </c>
      <c r="BA122" s="557"/>
      <c r="BC122" t="s">
        <v>450</v>
      </c>
    </row>
    <row r="123" spans="2:55" x14ac:dyDescent="0.25">
      <c r="B123">
        <v>3230470</v>
      </c>
      <c r="D123">
        <v>3676336</v>
      </c>
      <c r="E123">
        <v>3572037</v>
      </c>
      <c r="H123" t="s">
        <v>61</v>
      </c>
      <c r="J123" t="str">
        <v>FIRETECH INDUSTRIES</v>
      </c>
      <c r="P123">
        <v>155</v>
      </c>
      <c r="Q123">
        <v>157</v>
      </c>
      <c r="W123" t="s">
        <v>463</v>
      </c>
      <c r="AV123" t="s">
        <v>810</v>
      </c>
      <c r="BA123" s="557"/>
      <c r="BC123" t="s">
        <v>450</v>
      </c>
    </row>
    <row r="124" spans="2:55" x14ac:dyDescent="0.25">
      <c r="B124">
        <v>3230483</v>
      </c>
      <c r="D124">
        <v>3676336</v>
      </c>
      <c r="E124">
        <v>3572038</v>
      </c>
      <c r="H124" t="s">
        <v>76</v>
      </c>
      <c r="J124" t="str">
        <v>MAXTHERM BOILERS PRIVATE LIMITED</v>
      </c>
      <c r="P124">
        <v>156</v>
      </c>
      <c r="Q124">
        <v>158</v>
      </c>
      <c r="W124" t="s">
        <v>463</v>
      </c>
      <c r="AV124" t="s">
        <v>836</v>
      </c>
      <c r="BA124" s="557"/>
      <c r="BC124" t="s">
        <v>450</v>
      </c>
    </row>
    <row r="125" spans="2:55" x14ac:dyDescent="0.25">
      <c r="B125">
        <v>3230485</v>
      </c>
      <c r="D125">
        <v>3676336</v>
      </c>
      <c r="E125">
        <v>3230494</v>
      </c>
      <c r="H125" t="s">
        <v>46</v>
      </c>
      <c r="J125" t="str">
        <v>M/S VARDHMAN TUBE INDUSTRIES</v>
      </c>
      <c r="P125">
        <v>157</v>
      </c>
      <c r="Q125">
        <v>162</v>
      </c>
      <c r="W125" t="s">
        <v>463</v>
      </c>
      <c r="AV125" t="s">
        <v>836</v>
      </c>
      <c r="BA125" s="557"/>
      <c r="BC125" t="s">
        <v>450</v>
      </c>
    </row>
    <row r="126" spans="2:55" x14ac:dyDescent="0.25">
      <c r="B126">
        <v>3230486</v>
      </c>
      <c r="D126">
        <v>3676336</v>
      </c>
      <c r="E126">
        <v>3572039</v>
      </c>
      <c r="H126" t="s">
        <v>151</v>
      </c>
      <c r="J126" t="str">
        <v>TVS MOTOR COMPANY LIMITED</v>
      </c>
      <c r="P126">
        <v>158</v>
      </c>
      <c r="Q126">
        <v>163</v>
      </c>
      <c r="W126" t="s">
        <v>463</v>
      </c>
      <c r="AV126" t="s">
        <v>836</v>
      </c>
      <c r="BA126" s="557"/>
      <c r="BC126" t="s">
        <v>450</v>
      </c>
    </row>
    <row r="127" spans="2:55" x14ac:dyDescent="0.25">
      <c r="B127">
        <v>3230487</v>
      </c>
      <c r="D127">
        <v>3676336</v>
      </c>
      <c r="E127">
        <v>3572040</v>
      </c>
      <c r="H127" t="s">
        <v>151</v>
      </c>
      <c r="J127" t="str">
        <v>INDO AUTOTECH LIMITED UNIT-V</v>
      </c>
      <c r="P127">
        <v>162</v>
      </c>
      <c r="Q127">
        <v>164</v>
      </c>
      <c r="W127" t="s">
        <v>463</v>
      </c>
      <c r="AV127" t="s">
        <v>737</v>
      </c>
      <c r="BA127" s="557"/>
      <c r="BC127" t="s">
        <v>450</v>
      </c>
    </row>
    <row r="128" spans="2:55" x14ac:dyDescent="0.25">
      <c r="B128">
        <v>3230488</v>
      </c>
      <c r="D128">
        <v>3676336</v>
      </c>
      <c r="E128">
        <v>3576132</v>
      </c>
      <c r="H128" t="s">
        <v>44</v>
      </c>
      <c r="J128" t="str">
        <v>HERO MOTORS LIMITED</v>
      </c>
      <c r="P128">
        <v>163</v>
      </c>
      <c r="Q128">
        <v>165</v>
      </c>
      <c r="W128" t="s">
        <v>463</v>
      </c>
      <c r="AV128" t="s">
        <v>886</v>
      </c>
      <c r="BA128" s="557"/>
      <c r="BC128" t="s">
        <v>450</v>
      </c>
    </row>
    <row r="129" spans="2:55" x14ac:dyDescent="0.25">
      <c r="B129">
        <v>3230490</v>
      </c>
      <c r="D129">
        <v>3676336</v>
      </c>
      <c r="E129">
        <v>1940146</v>
      </c>
      <c r="H129" t="s">
        <v>44</v>
      </c>
      <c r="J129" t="str">
        <v>Chanda Enterprises Pvt Ltd</v>
      </c>
      <c r="P129">
        <v>164</v>
      </c>
      <c r="Q129">
        <v>166</v>
      </c>
      <c r="W129" t="s">
        <v>463</v>
      </c>
      <c r="AV129" t="s">
        <v>737</v>
      </c>
      <c r="BA129" s="557"/>
      <c r="BC129" t="s">
        <v>450</v>
      </c>
    </row>
    <row r="130" spans="2:55" x14ac:dyDescent="0.25">
      <c r="B130">
        <v>3230491</v>
      </c>
      <c r="D130">
        <v>3676336</v>
      </c>
      <c r="E130">
        <v>3597679</v>
      </c>
      <c r="H130" t="s">
        <v>44</v>
      </c>
      <c r="J130" t="str">
        <v>CHANDI CREATIVES</v>
      </c>
      <c r="P130">
        <v>165</v>
      </c>
      <c r="Q130">
        <v>167</v>
      </c>
      <c r="W130" t="s">
        <v>463</v>
      </c>
      <c r="AV130" t="s">
        <v>737</v>
      </c>
      <c r="BA130" s="557"/>
      <c r="BC130" t="s">
        <v>450</v>
      </c>
    </row>
    <row r="131" spans="2:55" x14ac:dyDescent="0.25">
      <c r="B131">
        <v>3230492</v>
      </c>
      <c r="D131">
        <v>3676336</v>
      </c>
      <c r="E131">
        <v>3695242</v>
      </c>
      <c r="H131" t="s">
        <v>44</v>
      </c>
      <c r="J131" t="str">
        <v>RANAE</v>
      </c>
      <c r="P131">
        <v>166</v>
      </c>
      <c r="Q131">
        <v>168</v>
      </c>
      <c r="W131" t="s">
        <v>463</v>
      </c>
      <c r="AV131" t="s">
        <v>891</v>
      </c>
      <c r="BA131" s="557"/>
      <c r="BC131" t="s">
        <v>450</v>
      </c>
    </row>
    <row r="132" spans="2:55" x14ac:dyDescent="0.25">
      <c r="B132">
        <v>3230494</v>
      </c>
      <c r="D132">
        <v>1932848</v>
      </c>
      <c r="E132">
        <v>3576133</v>
      </c>
      <c r="H132" t="s">
        <v>44</v>
      </c>
      <c r="J132" t="str">
        <v>Hosur EPA</v>
      </c>
      <c r="P132">
        <v>167</v>
      </c>
      <c r="Q132">
        <v>169</v>
      </c>
      <c r="W132" t="s">
        <v>463</v>
      </c>
      <c r="AV132" t="s">
        <v>891</v>
      </c>
      <c r="BA132" s="557"/>
      <c r="BC132" t="s">
        <v>450</v>
      </c>
    </row>
    <row r="133" spans="2:55" x14ac:dyDescent="0.25">
      <c r="B133">
        <v>3230495</v>
      </c>
      <c r="D133">
        <v>1932848</v>
      </c>
      <c r="E133">
        <v>3695241</v>
      </c>
      <c r="H133" t="s">
        <v>44</v>
      </c>
      <c r="J133" t="str">
        <v>Thai Summit Autoparts India Pv</v>
      </c>
      <c r="P133">
        <v>168</v>
      </c>
      <c r="Q133">
        <v>170</v>
      </c>
      <c r="W133" t="s">
        <v>463</v>
      </c>
      <c r="AV133" t="s">
        <v>875</v>
      </c>
      <c r="BA133" s="557"/>
      <c r="BC133" t="s">
        <v>450</v>
      </c>
    </row>
    <row r="134" spans="2:55" x14ac:dyDescent="0.25">
      <c r="B134">
        <v>3233553</v>
      </c>
      <c r="D134">
        <v>1932848</v>
      </c>
      <c r="E134">
        <v>3605740</v>
      </c>
      <c r="H134" t="s">
        <v>72</v>
      </c>
      <c r="J134" t="str">
        <v>ELKAYEM AUTO ANCILLARIES PVT L</v>
      </c>
      <c r="P134">
        <v>169</v>
      </c>
      <c r="Q134">
        <v>171</v>
      </c>
      <c r="W134" t="s">
        <v>412</v>
      </c>
      <c r="BA134" s="557"/>
      <c r="BC134" t="s">
        <v>450</v>
      </c>
    </row>
    <row r="135" spans="2:55" x14ac:dyDescent="0.25">
      <c r="B135">
        <v>3233554</v>
      </c>
      <c r="D135">
        <v>1932848</v>
      </c>
      <c r="E135">
        <v>3605739</v>
      </c>
      <c r="H135" t="s">
        <v>81</v>
      </c>
      <c r="J135" t="str">
        <v>SANDHAR ENGINEERING PVT LTD.(K</v>
      </c>
      <c r="P135">
        <v>170</v>
      </c>
      <c r="Q135">
        <v>172</v>
      </c>
      <c r="W135" t="s">
        <v>412</v>
      </c>
      <c r="BA135" s="557"/>
      <c r="BC135" t="s">
        <v>450</v>
      </c>
    </row>
    <row r="136" spans="2:55" x14ac:dyDescent="0.25">
      <c r="B136">
        <v>3233555</v>
      </c>
      <c r="D136">
        <v>1932848</v>
      </c>
      <c r="E136">
        <v>3234372</v>
      </c>
      <c r="H136" t="s">
        <v>37</v>
      </c>
      <c r="J136" t="str">
        <v>NAHARS ENGINEERING INDIA PRIVA</v>
      </c>
      <c r="P136">
        <v>171</v>
      </c>
      <c r="Q136">
        <v>173</v>
      </c>
      <c r="W136" t="s">
        <v>463</v>
      </c>
      <c r="BA136" s="557"/>
      <c r="BC136" t="s">
        <v>450</v>
      </c>
    </row>
    <row r="137" spans="2:55" x14ac:dyDescent="0.25">
      <c r="B137">
        <v>3233556</v>
      </c>
      <c r="D137">
        <v>1932848</v>
      </c>
      <c r="E137">
        <v>1940151</v>
      </c>
      <c r="H137" t="s">
        <v>76</v>
      </c>
      <c r="J137" t="str">
        <v>MEGH STEELS PRIVATE LIMITED -</v>
      </c>
      <c r="P137">
        <v>172</v>
      </c>
      <c r="Q137">
        <v>174</v>
      </c>
      <c r="W137" t="s">
        <v>463</v>
      </c>
      <c r="BA137" s="557"/>
      <c r="BC137" t="s">
        <v>450</v>
      </c>
    </row>
    <row r="138" spans="2:55" x14ac:dyDescent="0.25">
      <c r="B138">
        <v>3233557</v>
      </c>
      <c r="D138">
        <v>1932848</v>
      </c>
      <c r="E138">
        <v>3676019</v>
      </c>
      <c r="H138" t="s">
        <v>76</v>
      </c>
      <c r="J138" t="str">
        <v>SAKURA AUTOPARTS INDIA PRIVATE</v>
      </c>
      <c r="P138">
        <v>173</v>
      </c>
      <c r="Q138">
        <v>175</v>
      </c>
      <c r="W138" t="s">
        <v>463</v>
      </c>
      <c r="BA138" s="557"/>
      <c r="BC138" t="s">
        <v>450</v>
      </c>
    </row>
    <row r="139" spans="2:55" x14ac:dyDescent="0.25">
      <c r="B139">
        <v>3233558</v>
      </c>
      <c r="D139">
        <v>1932848</v>
      </c>
      <c r="E139">
        <v>3676020</v>
      </c>
      <c r="H139" t="s">
        <v>76</v>
      </c>
      <c r="J139" t="str">
        <v>ELKAYEM AUTO ANCILLARIES (PVT)</v>
      </c>
      <c r="P139">
        <v>174</v>
      </c>
      <c r="Q139">
        <v>176</v>
      </c>
      <c r="W139" t="s">
        <v>463</v>
      </c>
      <c r="BA139" s="557"/>
      <c r="BC139" t="s">
        <v>450</v>
      </c>
    </row>
    <row r="140" spans="2:55" x14ac:dyDescent="0.25">
      <c r="B140">
        <v>3233559</v>
      </c>
      <c r="D140">
        <v>1932848</v>
      </c>
      <c r="E140">
        <v>3676021</v>
      </c>
      <c r="H140" t="s">
        <v>76</v>
      </c>
      <c r="J140" t="str">
        <v>A.R.Automotive And Engg Indust</v>
      </c>
      <c r="P140">
        <v>175</v>
      </c>
      <c r="Q140">
        <v>177</v>
      </c>
      <c r="W140" t="s">
        <v>463</v>
      </c>
      <c r="BA140" s="557"/>
      <c r="BC140" t="s">
        <v>450</v>
      </c>
    </row>
    <row r="141" spans="2:55" x14ac:dyDescent="0.25">
      <c r="B141">
        <v>3234371</v>
      </c>
      <c r="D141">
        <v>1932848</v>
      </c>
      <c r="E141">
        <v>3676022</v>
      </c>
      <c r="H141" t="s">
        <v>46</v>
      </c>
      <c r="J141" t="str">
        <v>SRIKAM HITECH ENGINEERING PRIV</v>
      </c>
      <c r="P141">
        <v>176</v>
      </c>
      <c r="Q141">
        <v>179</v>
      </c>
      <c r="W141" t="s">
        <v>463</v>
      </c>
      <c r="BA141" s="557"/>
      <c r="BC141" t="s">
        <v>450</v>
      </c>
    </row>
    <row r="142" spans="2:55" x14ac:dyDescent="0.25">
      <c r="B142">
        <v>3234372</v>
      </c>
      <c r="D142">
        <v>1932848</v>
      </c>
      <c r="E142">
        <v>3676023</v>
      </c>
      <c r="H142" t="s">
        <v>46</v>
      </c>
      <c r="J142" t="str">
        <v>Sandhar EngineeringPvt.Ltd.(KA</v>
      </c>
      <c r="P142">
        <v>177</v>
      </c>
      <c r="Q142">
        <v>180</v>
      </c>
      <c r="W142" t="s">
        <v>463</v>
      </c>
      <c r="BA142" s="557"/>
      <c r="BC142" t="s">
        <v>450</v>
      </c>
    </row>
    <row r="143" spans="2:55" x14ac:dyDescent="0.25">
      <c r="B143">
        <v>3409366</v>
      </c>
      <c r="D143">
        <v>1932848</v>
      </c>
      <c r="E143">
        <v>3676024</v>
      </c>
      <c r="H143" t="s">
        <v>151</v>
      </c>
      <c r="J143" t="str">
        <v>Tisco Tubes C/A -Hosur</v>
      </c>
      <c r="P143">
        <v>179</v>
      </c>
      <c r="Q143">
        <v>183</v>
      </c>
      <c r="W143" t="s">
        <v>463</v>
      </c>
      <c r="BA143" s="557"/>
      <c r="BC143" t="s">
        <v>626</v>
      </c>
    </row>
    <row r="144" spans="2:55" x14ac:dyDescent="0.25">
      <c r="B144">
        <v>3409367</v>
      </c>
      <c r="D144">
        <v>1932848</v>
      </c>
      <c r="E144">
        <v>3676025</v>
      </c>
      <c r="H144" t="s">
        <v>63</v>
      </c>
      <c r="J144" t="str">
        <v>Sandhar Technologies (KA)–Unit</v>
      </c>
      <c r="P144">
        <v>180</v>
      </c>
      <c r="Q144">
        <v>184</v>
      </c>
      <c r="W144" t="s">
        <v>463</v>
      </c>
      <c r="BA144" s="557"/>
      <c r="BC144" t="s">
        <v>626</v>
      </c>
    </row>
    <row r="145" spans="2:55" x14ac:dyDescent="0.25">
      <c r="B145">
        <v>3441727</v>
      </c>
      <c r="D145">
        <v>1932848</v>
      </c>
      <c r="E145">
        <v>3676026</v>
      </c>
      <c r="H145" t="s">
        <v>61</v>
      </c>
      <c r="J145" t="str">
        <v>ELKAYEM AUTO ANCILLARIES PRIVA</v>
      </c>
      <c r="P145">
        <v>183</v>
      </c>
      <c r="Q145">
        <v>185</v>
      </c>
      <c r="W145" t="s">
        <v>983</v>
      </c>
      <c r="BA145" s="557"/>
      <c r="BC145" t="s">
        <v>3101</v>
      </c>
    </row>
    <row r="146" spans="2:55" x14ac:dyDescent="0.25">
      <c r="B146">
        <v>3500352</v>
      </c>
      <c r="D146">
        <v>1932848</v>
      </c>
      <c r="E146">
        <v>3676027</v>
      </c>
      <c r="H146" t="s">
        <v>52</v>
      </c>
      <c r="J146" t="str">
        <v>Marathwada Auto Compo Pvt. Ltd</v>
      </c>
      <c r="P146">
        <v>184</v>
      </c>
      <c r="Q146">
        <v>186</v>
      </c>
      <c r="W146" t="s">
        <v>983</v>
      </c>
      <c r="BA146" s="557"/>
      <c r="BC146" t="s">
        <v>3101</v>
      </c>
    </row>
    <row r="147" spans="2:55" x14ac:dyDescent="0.25">
      <c r="B147">
        <v>3502422</v>
      </c>
      <c r="D147">
        <v>1939994</v>
      </c>
      <c r="E147">
        <v>3676028</v>
      </c>
      <c r="H147" t="s">
        <v>52</v>
      </c>
      <c r="J147" t="str">
        <v>LAXMI METAL PRESSING WORKS PVT</v>
      </c>
      <c r="P147">
        <v>185</v>
      </c>
      <c r="Q147">
        <v>187</v>
      </c>
      <c r="W147" t="s">
        <v>983</v>
      </c>
      <c r="BA147" s="557"/>
      <c r="BC147" t="s">
        <v>3101</v>
      </c>
    </row>
    <row r="148" spans="2:55" x14ac:dyDescent="0.25">
      <c r="B148">
        <v>3506173</v>
      </c>
      <c r="D148">
        <v>1939994</v>
      </c>
      <c r="E148">
        <v>3676029</v>
      </c>
      <c r="H148" t="s">
        <v>52</v>
      </c>
      <c r="J148" t="str">
        <v>Hosur Tube Plant</v>
      </c>
      <c r="P148">
        <v>186</v>
      </c>
      <c r="Q148">
        <v>188</v>
      </c>
      <c r="W148" t="s">
        <v>633</v>
      </c>
      <c r="BA148" s="557"/>
      <c r="BC148" t="s">
        <v>3101</v>
      </c>
    </row>
    <row r="149" spans="2:55" x14ac:dyDescent="0.25">
      <c r="B149">
        <v>3507336</v>
      </c>
      <c r="D149">
        <v>1939994</v>
      </c>
      <c r="E149">
        <v>3676030</v>
      </c>
      <c r="H149" t="s">
        <v>52</v>
      </c>
      <c r="J149" t="str">
        <v>Sri Sai Tubes And Pipes</v>
      </c>
      <c r="P149">
        <v>187</v>
      </c>
      <c r="Q149">
        <v>189</v>
      </c>
      <c r="W149" t="s">
        <v>633</v>
      </c>
      <c r="BA149" s="557"/>
      <c r="BC149" t="s">
        <v>3101</v>
      </c>
    </row>
    <row r="150" spans="2:55" x14ac:dyDescent="0.25">
      <c r="B150">
        <v>3508742</v>
      </c>
      <c r="D150">
        <v>1939994</v>
      </c>
      <c r="E150">
        <v>3676031</v>
      </c>
      <c r="H150" t="s">
        <v>21</v>
      </c>
      <c r="J150" t="str">
        <v>M/S TAJ TRADING CORPORATION</v>
      </c>
      <c r="P150">
        <v>188</v>
      </c>
      <c r="Q150">
        <v>190</v>
      </c>
      <c r="W150" t="s">
        <v>633</v>
      </c>
      <c r="BA150" s="557"/>
      <c r="BC150" t="s">
        <v>3101</v>
      </c>
    </row>
    <row r="151" spans="2:55" x14ac:dyDescent="0.25">
      <c r="B151">
        <v>3508992</v>
      </c>
      <c r="D151">
        <v>1939994</v>
      </c>
      <c r="E151">
        <v>3676032</v>
      </c>
      <c r="H151" t="s">
        <v>17</v>
      </c>
      <c r="J151" t="str">
        <v>KAY JAY FORGINGS LIMITED</v>
      </c>
      <c r="P151">
        <v>189</v>
      </c>
      <c r="Q151">
        <v>191</v>
      </c>
      <c r="W151" t="s">
        <v>407</v>
      </c>
      <c r="BA151" s="557"/>
      <c r="BC151" t="s">
        <v>3101</v>
      </c>
    </row>
    <row r="152" spans="2:55" x14ac:dyDescent="0.25">
      <c r="B152">
        <v>3509030</v>
      </c>
      <c r="D152">
        <v>1939994</v>
      </c>
      <c r="E152">
        <v>3676033</v>
      </c>
      <c r="H152" t="s">
        <v>39</v>
      </c>
      <c r="J152" t="str">
        <v>MYSORE PIPE SUPPLIERS</v>
      </c>
      <c r="P152">
        <v>190</v>
      </c>
      <c r="Q152">
        <v>192</v>
      </c>
      <c r="W152" t="s">
        <v>407</v>
      </c>
      <c r="BA152" s="557"/>
      <c r="BC152" t="s">
        <v>3101</v>
      </c>
    </row>
    <row r="153" spans="2:55" x14ac:dyDescent="0.25">
      <c r="B153">
        <v>3509633</v>
      </c>
      <c r="D153">
        <v>1939994</v>
      </c>
      <c r="E153">
        <v>3676034</v>
      </c>
      <c r="H153" t="s">
        <v>151</v>
      </c>
      <c r="J153" t="str">
        <v>ADISHWAR STEELS</v>
      </c>
      <c r="P153">
        <v>191</v>
      </c>
      <c r="Q153">
        <v>193</v>
      </c>
      <c r="W153" t="s">
        <v>407</v>
      </c>
      <c r="BA153" s="557"/>
      <c r="BC153" t="s">
        <v>3101</v>
      </c>
    </row>
    <row r="154" spans="2:55" x14ac:dyDescent="0.25">
      <c r="B154">
        <v>3509640</v>
      </c>
      <c r="D154">
        <v>1939994</v>
      </c>
      <c r="E154">
        <v>3676035</v>
      </c>
      <c r="H154" t="s">
        <v>69</v>
      </c>
      <c r="J154" t="str">
        <v>SANDHAR ENGINEERING PVTLTD(KA)U-III</v>
      </c>
      <c r="P154">
        <v>192</v>
      </c>
      <c r="Q154">
        <v>194</v>
      </c>
      <c r="W154" t="s">
        <v>633</v>
      </c>
      <c r="BA154" s="557"/>
      <c r="BC154" t="s">
        <v>3101</v>
      </c>
    </row>
    <row r="155" spans="2:55" x14ac:dyDescent="0.25">
      <c r="B155">
        <v>3514376</v>
      </c>
      <c r="D155">
        <v>1939994</v>
      </c>
      <c r="E155">
        <v>3676036</v>
      </c>
      <c r="H155" t="s">
        <v>37</v>
      </c>
      <c r="J155" t="str">
        <v>SANDHAR ENGINEERING PVTLTD (KA)UIII</v>
      </c>
      <c r="P155">
        <v>193</v>
      </c>
      <c r="Q155">
        <v>195</v>
      </c>
      <c r="W155" t="s">
        <v>633</v>
      </c>
      <c r="BA155" s="557"/>
      <c r="BC155" t="s">
        <v>3101</v>
      </c>
    </row>
    <row r="156" spans="2:55" x14ac:dyDescent="0.25">
      <c r="B156">
        <v>3515489</v>
      </c>
      <c r="D156">
        <v>1939994</v>
      </c>
      <c r="E156">
        <v>3576136</v>
      </c>
      <c r="H156" t="s">
        <v>151</v>
      </c>
      <c r="J156" t="str">
        <v>NY TECH BOILER TUBES CORPORATION</v>
      </c>
      <c r="P156">
        <v>194</v>
      </c>
      <c r="Q156">
        <v>196</v>
      </c>
      <c r="W156" t="s">
        <v>633</v>
      </c>
      <c r="BA156" s="557"/>
      <c r="BC156" t="s">
        <v>3101</v>
      </c>
    </row>
    <row r="157" spans="2:55" x14ac:dyDescent="0.25">
      <c r="B157">
        <v>3515521</v>
      </c>
      <c r="D157">
        <v>1939994</v>
      </c>
      <c r="E157">
        <v>2426140</v>
      </c>
      <c r="H157" t="s">
        <v>39</v>
      </c>
      <c r="J157" t="str">
        <v>Metalman Auto Private Limited</v>
      </c>
      <c r="P157">
        <v>195</v>
      </c>
      <c r="Q157">
        <v>197</v>
      </c>
      <c r="W157" t="s">
        <v>633</v>
      </c>
      <c r="BA157" s="557"/>
      <c r="BC157" t="s">
        <v>3101</v>
      </c>
    </row>
    <row r="158" spans="2:55" x14ac:dyDescent="0.25">
      <c r="B158">
        <v>3517682</v>
      </c>
      <c r="D158">
        <v>2440974</v>
      </c>
      <c r="E158">
        <v>3635694</v>
      </c>
      <c r="H158" t="s">
        <v>151</v>
      </c>
      <c r="J158" t="str">
        <v>A.S.(E) Exports Pvt.Ltd.</v>
      </c>
      <c r="P158">
        <v>196</v>
      </c>
      <c r="Q158">
        <v>198</v>
      </c>
      <c r="W158" t="s">
        <v>633</v>
      </c>
      <c r="BA158" s="557"/>
      <c r="BC158" t="s">
        <v>3101</v>
      </c>
    </row>
    <row r="159" spans="2:55" x14ac:dyDescent="0.25">
      <c r="B159">
        <v>3517684</v>
      </c>
      <c r="D159">
        <v>2440974</v>
      </c>
      <c r="E159">
        <v>3518158</v>
      </c>
      <c r="H159" t="s">
        <v>151</v>
      </c>
      <c r="J159" t="str">
        <v>TARANG ENGINEERING PVT.LTD</v>
      </c>
      <c r="P159">
        <v>197</v>
      </c>
      <c r="Q159">
        <v>199</v>
      </c>
      <c r="W159" t="s">
        <v>506</v>
      </c>
      <c r="BA159" s="557"/>
      <c r="BC159" t="s">
        <v>3101</v>
      </c>
    </row>
    <row r="160" spans="2:55" x14ac:dyDescent="0.25">
      <c r="B160">
        <v>3518158</v>
      </c>
      <c r="D160">
        <v>2440974</v>
      </c>
      <c r="E160">
        <v>3409366</v>
      </c>
      <c r="H160" t="s">
        <v>63</v>
      </c>
      <c r="J160" t="str">
        <v>SHIVAMPRIME STEELS PRIVATE LIMITED</v>
      </c>
      <c r="P160">
        <v>198</v>
      </c>
      <c r="Q160">
        <v>200</v>
      </c>
      <c r="W160" t="s">
        <v>506</v>
      </c>
      <c r="BA160" s="557"/>
      <c r="BC160" t="s">
        <v>3101</v>
      </c>
    </row>
    <row r="161" spans="2:55" x14ac:dyDescent="0.25">
      <c r="B161">
        <v>3531648</v>
      </c>
      <c r="D161">
        <v>1939996</v>
      </c>
      <c r="E161">
        <v>3239890</v>
      </c>
      <c r="H161" t="s">
        <v>63</v>
      </c>
      <c r="P161">
        <v>199</v>
      </c>
      <c r="Q161">
        <v>201</v>
      </c>
      <c r="W161" t="s">
        <v>860</v>
      </c>
      <c r="BA161" s="557"/>
      <c r="BC161" t="s">
        <v>3101</v>
      </c>
    </row>
    <row r="162" spans="2:55" x14ac:dyDescent="0.25">
      <c r="B162">
        <v>3531649</v>
      </c>
      <c r="D162">
        <v>1939996</v>
      </c>
      <c r="E162">
        <v>1936576</v>
      </c>
      <c r="H162" t="s">
        <v>63</v>
      </c>
      <c r="P162">
        <v>200</v>
      </c>
      <c r="Q162">
        <v>202</v>
      </c>
      <c r="W162" t="s">
        <v>860</v>
      </c>
      <c r="BA162" s="557"/>
      <c r="BC162" t="s">
        <v>3101</v>
      </c>
    </row>
    <row r="163" spans="2:55" x14ac:dyDescent="0.25">
      <c r="B163">
        <v>3533164</v>
      </c>
      <c r="D163">
        <v>1939996</v>
      </c>
      <c r="E163">
        <v>3675612</v>
      </c>
      <c r="H163" t="s">
        <v>60</v>
      </c>
      <c r="P163">
        <v>201</v>
      </c>
      <c r="Q163">
        <v>203</v>
      </c>
      <c r="W163" t="s">
        <v>860</v>
      </c>
      <c r="BA163" s="557"/>
      <c r="BC163" t="s">
        <v>626</v>
      </c>
    </row>
    <row r="164" spans="2:55" x14ac:dyDescent="0.25">
      <c r="B164">
        <v>3535743</v>
      </c>
      <c r="D164">
        <v>1939996</v>
      </c>
      <c r="E164">
        <v>2409616</v>
      </c>
      <c r="H164" t="s">
        <v>60</v>
      </c>
      <c r="P164">
        <v>202</v>
      </c>
      <c r="Q164">
        <v>204</v>
      </c>
      <c r="W164" t="s">
        <v>860</v>
      </c>
      <c r="BA164" s="557"/>
      <c r="BC164" t="s">
        <v>648</v>
      </c>
    </row>
    <row r="165" spans="2:55" x14ac:dyDescent="0.25">
      <c r="B165">
        <v>3541434</v>
      </c>
      <c r="D165">
        <v>1939996</v>
      </c>
      <c r="E165">
        <v>3506438</v>
      </c>
      <c r="H165" t="s">
        <v>60</v>
      </c>
      <c r="P165">
        <v>203</v>
      </c>
      <c r="Q165">
        <v>205</v>
      </c>
      <c r="W165" t="s">
        <v>860</v>
      </c>
      <c r="BA165" s="557"/>
      <c r="BC165" t="s">
        <v>648</v>
      </c>
    </row>
    <row r="166" spans="2:55" x14ac:dyDescent="0.25">
      <c r="B166">
        <v>3556680</v>
      </c>
      <c r="D166">
        <v>1939996</v>
      </c>
      <c r="E166">
        <v>1940188</v>
      </c>
      <c r="H166" t="s">
        <v>60</v>
      </c>
      <c r="P166">
        <v>204</v>
      </c>
      <c r="Q166">
        <v>206</v>
      </c>
      <c r="W166" t="s">
        <v>860</v>
      </c>
      <c r="BA166" s="557"/>
      <c r="BC166" t="s">
        <v>648</v>
      </c>
    </row>
    <row r="167" spans="2:55" x14ac:dyDescent="0.25">
      <c r="B167">
        <v>3557791</v>
      </c>
      <c r="D167">
        <v>3676337</v>
      </c>
      <c r="E167">
        <v>3675616</v>
      </c>
      <c r="H167" t="s">
        <v>60</v>
      </c>
      <c r="P167">
        <v>205</v>
      </c>
      <c r="Q167">
        <v>207</v>
      </c>
      <c r="W167" t="s">
        <v>860</v>
      </c>
      <c r="BA167" s="557"/>
      <c r="BC167" t="s">
        <v>471</v>
      </c>
    </row>
    <row r="168" spans="2:55" x14ac:dyDescent="0.25">
      <c r="B168">
        <v>3569429</v>
      </c>
      <c r="D168">
        <v>3676337</v>
      </c>
      <c r="E168">
        <v>1937022</v>
      </c>
      <c r="H168" t="s">
        <v>30</v>
      </c>
      <c r="P168">
        <v>206</v>
      </c>
      <c r="Q168">
        <v>208</v>
      </c>
      <c r="W168" t="s">
        <v>860</v>
      </c>
      <c r="BA168" s="557"/>
      <c r="BC168" t="s">
        <v>471</v>
      </c>
    </row>
    <row r="169" spans="2:55" x14ac:dyDescent="0.25">
      <c r="B169">
        <v>3571864</v>
      </c>
      <c r="D169">
        <v>3676337</v>
      </c>
      <c r="E169">
        <v>3781600</v>
      </c>
      <c r="H169" t="s">
        <v>30</v>
      </c>
      <c r="P169">
        <v>207</v>
      </c>
      <c r="Q169">
        <v>209</v>
      </c>
      <c r="W169" t="s">
        <v>860</v>
      </c>
      <c r="BA169" s="557"/>
      <c r="BC169" t="s">
        <v>471</v>
      </c>
    </row>
    <row r="170" spans="2:55" x14ac:dyDescent="0.25">
      <c r="B170">
        <v>3571866</v>
      </c>
      <c r="D170">
        <v>3676337</v>
      </c>
      <c r="E170">
        <v>1940189</v>
      </c>
      <c r="H170" t="s">
        <v>30</v>
      </c>
      <c r="P170">
        <v>207</v>
      </c>
      <c r="Q170">
        <v>210</v>
      </c>
      <c r="W170" t="s">
        <v>506</v>
      </c>
      <c r="BA170" s="557"/>
      <c r="BC170" t="s">
        <v>3101</v>
      </c>
    </row>
    <row r="171" spans="2:55" x14ac:dyDescent="0.25">
      <c r="B171">
        <v>3571867</v>
      </c>
      <c r="D171">
        <v>3676337</v>
      </c>
      <c r="E171">
        <v>296369</v>
      </c>
      <c r="H171" t="s">
        <v>30</v>
      </c>
      <c r="P171">
        <v>208</v>
      </c>
      <c r="Q171">
        <v>211</v>
      </c>
      <c r="W171" t="s">
        <v>506</v>
      </c>
      <c r="BA171" s="557"/>
      <c r="BC171" t="s">
        <v>471</v>
      </c>
    </row>
    <row r="172" spans="2:55" x14ac:dyDescent="0.25">
      <c r="B172">
        <v>3571868</v>
      </c>
      <c r="D172">
        <v>3676337</v>
      </c>
      <c r="E172">
        <v>3675617</v>
      </c>
      <c r="H172" t="s">
        <v>30</v>
      </c>
      <c r="P172">
        <v>208</v>
      </c>
      <c r="Q172">
        <v>212</v>
      </c>
      <c r="W172" t="s">
        <v>506</v>
      </c>
      <c r="BA172" s="557"/>
      <c r="BC172" t="s">
        <v>471</v>
      </c>
    </row>
    <row r="173" spans="2:55" x14ac:dyDescent="0.25">
      <c r="B173">
        <v>3571869</v>
      </c>
      <c r="D173">
        <v>3676337</v>
      </c>
      <c r="E173">
        <v>3675618</v>
      </c>
      <c r="H173" t="s">
        <v>30</v>
      </c>
      <c r="P173">
        <v>209</v>
      </c>
      <c r="Q173">
        <v>213</v>
      </c>
      <c r="W173" t="s">
        <v>506</v>
      </c>
      <c r="BA173" s="557"/>
      <c r="BC173" t="s">
        <v>471</v>
      </c>
    </row>
    <row r="174" spans="2:55" x14ac:dyDescent="0.25">
      <c r="B174">
        <v>3571870</v>
      </c>
      <c r="D174">
        <v>3676337</v>
      </c>
      <c r="E174">
        <v>3675619</v>
      </c>
      <c r="H174" t="s">
        <v>30</v>
      </c>
      <c r="P174">
        <v>209</v>
      </c>
      <c r="Q174">
        <v>214</v>
      </c>
      <c r="W174" t="s">
        <v>506</v>
      </c>
      <c r="BA174" s="557"/>
      <c r="BC174" t="s">
        <v>3101</v>
      </c>
    </row>
    <row r="175" spans="2:55" x14ac:dyDescent="0.25">
      <c r="B175">
        <v>3572031</v>
      </c>
      <c r="D175">
        <v>3676337</v>
      </c>
      <c r="E175">
        <v>3675620</v>
      </c>
      <c r="H175" t="s">
        <v>60</v>
      </c>
      <c r="P175">
        <v>210</v>
      </c>
      <c r="Q175">
        <v>215</v>
      </c>
      <c r="W175" t="s">
        <v>506</v>
      </c>
      <c r="BA175" s="557"/>
      <c r="BC175" t="s">
        <v>471</v>
      </c>
    </row>
    <row r="176" spans="2:55" x14ac:dyDescent="0.25">
      <c r="B176">
        <v>3572032</v>
      </c>
      <c r="D176">
        <v>3676337</v>
      </c>
      <c r="E176">
        <v>3675641</v>
      </c>
      <c r="H176" t="s">
        <v>60</v>
      </c>
      <c r="P176">
        <v>211</v>
      </c>
      <c r="Q176">
        <v>216</v>
      </c>
      <c r="W176" t="s">
        <v>407</v>
      </c>
      <c r="BA176" s="557"/>
      <c r="BC176" t="s">
        <v>471</v>
      </c>
    </row>
    <row r="177" spans="2:55" x14ac:dyDescent="0.25">
      <c r="B177">
        <v>3572033</v>
      </c>
      <c r="D177">
        <v>3676337</v>
      </c>
      <c r="E177">
        <v>3675642</v>
      </c>
      <c r="H177" t="s">
        <v>60</v>
      </c>
      <c r="P177">
        <v>212</v>
      </c>
      <c r="Q177">
        <v>221</v>
      </c>
      <c r="W177" t="s">
        <v>407</v>
      </c>
      <c r="BA177" s="557"/>
      <c r="BC177" t="s">
        <v>471</v>
      </c>
    </row>
    <row r="178" spans="2:55" x14ac:dyDescent="0.25">
      <c r="B178">
        <v>3572034</v>
      </c>
      <c r="D178">
        <v>3676337</v>
      </c>
      <c r="E178">
        <v>3675643</v>
      </c>
      <c r="H178" t="s">
        <v>30</v>
      </c>
      <c r="P178">
        <v>213</v>
      </c>
      <c r="Q178">
        <v>222</v>
      </c>
      <c r="W178" t="s">
        <v>412</v>
      </c>
      <c r="BA178" s="557"/>
      <c r="BC178" t="s">
        <v>471</v>
      </c>
    </row>
    <row r="179" spans="2:55" x14ac:dyDescent="0.25">
      <c r="B179">
        <v>3572035</v>
      </c>
      <c r="D179">
        <v>3676337</v>
      </c>
      <c r="E179">
        <v>3675644</v>
      </c>
      <c r="H179" t="s">
        <v>40</v>
      </c>
      <c r="P179">
        <v>214</v>
      </c>
      <c r="Q179">
        <v>223</v>
      </c>
      <c r="W179" t="s">
        <v>412</v>
      </c>
      <c r="BA179" s="557"/>
      <c r="BC179" t="s">
        <v>3101</v>
      </c>
    </row>
    <row r="180" spans="2:55" x14ac:dyDescent="0.25">
      <c r="B180">
        <v>3572036</v>
      </c>
      <c r="D180">
        <v>3676337</v>
      </c>
      <c r="E180">
        <v>3229740</v>
      </c>
      <c r="H180" t="s">
        <v>151</v>
      </c>
      <c r="P180">
        <v>215</v>
      </c>
      <c r="Q180">
        <v>224</v>
      </c>
      <c r="W180" t="s">
        <v>633</v>
      </c>
      <c r="BA180" s="557"/>
      <c r="BC180" t="s">
        <v>3101</v>
      </c>
    </row>
    <row r="181" spans="2:55" x14ac:dyDescent="0.25">
      <c r="B181">
        <v>3572037</v>
      </c>
      <c r="D181">
        <v>1940003</v>
      </c>
      <c r="E181">
        <v>3675645</v>
      </c>
      <c r="H181" t="s">
        <v>151</v>
      </c>
      <c r="P181">
        <v>216</v>
      </c>
      <c r="Q181">
        <v>225</v>
      </c>
      <c r="W181" t="s">
        <v>633</v>
      </c>
      <c r="BA181" s="557"/>
      <c r="BC181" t="s">
        <v>3101</v>
      </c>
    </row>
    <row r="182" spans="2:55" x14ac:dyDescent="0.25">
      <c r="B182">
        <v>3572038</v>
      </c>
      <c r="D182">
        <v>1940003</v>
      </c>
      <c r="E182">
        <v>3675646</v>
      </c>
      <c r="H182" t="s">
        <v>21</v>
      </c>
      <c r="P182">
        <v>228</v>
      </c>
      <c r="Q182">
        <v>226</v>
      </c>
      <c r="W182" t="s">
        <v>633</v>
      </c>
      <c r="BA182" s="557"/>
      <c r="BC182" t="s">
        <v>3101</v>
      </c>
    </row>
    <row r="183" spans="2:55" x14ac:dyDescent="0.25">
      <c r="B183">
        <v>3572039</v>
      </c>
      <c r="D183">
        <v>1940003</v>
      </c>
      <c r="E183">
        <v>3675647</v>
      </c>
      <c r="H183" t="s">
        <v>21</v>
      </c>
      <c r="P183">
        <v>229</v>
      </c>
      <c r="Q183">
        <v>227</v>
      </c>
      <c r="W183" t="s">
        <v>537</v>
      </c>
      <c r="BA183" s="557"/>
      <c r="BC183" t="s">
        <v>3101</v>
      </c>
    </row>
    <row r="184" spans="2:55" x14ac:dyDescent="0.25">
      <c r="B184">
        <v>3572040</v>
      </c>
      <c r="D184">
        <v>3172238</v>
      </c>
      <c r="E184">
        <v>3229739</v>
      </c>
      <c r="H184" t="s">
        <v>60</v>
      </c>
      <c r="P184">
        <v>231</v>
      </c>
      <c r="Q184">
        <v>228</v>
      </c>
      <c r="W184" t="s">
        <v>537</v>
      </c>
      <c r="BA184" s="557"/>
      <c r="BC184" t="s">
        <v>3101</v>
      </c>
    </row>
    <row r="185" spans="2:55" x14ac:dyDescent="0.25">
      <c r="B185">
        <v>3572043</v>
      </c>
      <c r="D185">
        <v>3172238</v>
      </c>
      <c r="E185">
        <v>3509884</v>
      </c>
      <c r="H185" t="s">
        <v>52</v>
      </c>
      <c r="P185">
        <v>236</v>
      </c>
      <c r="Q185">
        <v>229</v>
      </c>
      <c r="W185" t="s">
        <v>537</v>
      </c>
      <c r="BA185" s="557"/>
      <c r="BC185" t="s">
        <v>3101</v>
      </c>
    </row>
    <row r="186" spans="2:55" x14ac:dyDescent="0.25">
      <c r="B186">
        <v>3572044</v>
      </c>
      <c r="D186">
        <v>3172238</v>
      </c>
      <c r="E186">
        <v>2409617</v>
      </c>
      <c r="H186" t="s">
        <v>17</v>
      </c>
      <c r="P186">
        <v>237</v>
      </c>
      <c r="Q186">
        <v>230</v>
      </c>
      <c r="W186" t="s">
        <v>537</v>
      </c>
      <c r="BA186" s="557"/>
      <c r="BC186" t="s">
        <v>3101</v>
      </c>
    </row>
    <row r="187" spans="2:55" x14ac:dyDescent="0.25">
      <c r="B187">
        <v>3572046</v>
      </c>
      <c r="D187">
        <v>3172238</v>
      </c>
      <c r="E187">
        <v>3675648</v>
      </c>
      <c r="H187" t="s">
        <v>17</v>
      </c>
      <c r="P187">
        <v>254</v>
      </c>
      <c r="Q187">
        <v>231</v>
      </c>
      <c r="W187" t="s">
        <v>537</v>
      </c>
      <c r="BA187" s="557"/>
      <c r="BC187" t="s">
        <v>471</v>
      </c>
    </row>
    <row r="188" spans="2:55" x14ac:dyDescent="0.25">
      <c r="B188">
        <v>3572047</v>
      </c>
      <c r="D188">
        <v>3172238</v>
      </c>
      <c r="E188">
        <v>3409367</v>
      </c>
      <c r="H188" t="s">
        <v>17</v>
      </c>
      <c r="P188">
        <v>255</v>
      </c>
      <c r="Q188">
        <v>236</v>
      </c>
      <c r="W188" t="s">
        <v>537</v>
      </c>
      <c r="BA188" s="557"/>
      <c r="BC188" t="s">
        <v>3101</v>
      </c>
    </row>
    <row r="189" spans="2:55" x14ac:dyDescent="0.25">
      <c r="B189">
        <v>3572048</v>
      </c>
      <c r="D189">
        <v>3172238</v>
      </c>
      <c r="E189">
        <v>3675649</v>
      </c>
      <c r="H189" t="s">
        <v>17</v>
      </c>
      <c r="P189">
        <v>256</v>
      </c>
      <c r="Q189">
        <v>237</v>
      </c>
      <c r="W189" t="s">
        <v>537</v>
      </c>
      <c r="BA189" s="557"/>
      <c r="BC189" t="s">
        <v>3101</v>
      </c>
    </row>
    <row r="190" spans="2:55" x14ac:dyDescent="0.25">
      <c r="B190">
        <v>3572049</v>
      </c>
      <c r="D190">
        <v>3172238</v>
      </c>
      <c r="E190">
        <v>3675650</v>
      </c>
      <c r="H190" t="s">
        <v>17</v>
      </c>
      <c r="P190">
        <v>257</v>
      </c>
      <c r="Q190">
        <v>254</v>
      </c>
      <c r="W190" t="s">
        <v>633</v>
      </c>
      <c r="BA190" s="557"/>
      <c r="BC190" t="s">
        <v>3101</v>
      </c>
    </row>
    <row r="191" spans="2:55" x14ac:dyDescent="0.25">
      <c r="B191">
        <v>3572050</v>
      </c>
      <c r="D191">
        <v>3172238</v>
      </c>
      <c r="E191">
        <v>2405724</v>
      </c>
      <c r="H191" t="s">
        <v>17</v>
      </c>
      <c r="P191">
        <v>258</v>
      </c>
      <c r="Q191">
        <v>255</v>
      </c>
      <c r="W191" t="s">
        <v>633</v>
      </c>
      <c r="BA191" s="557"/>
      <c r="BC191" t="s">
        <v>471</v>
      </c>
    </row>
    <row r="192" spans="2:55" x14ac:dyDescent="0.25">
      <c r="B192">
        <v>3572051</v>
      </c>
      <c r="D192">
        <v>3172238</v>
      </c>
      <c r="E192">
        <v>2404748</v>
      </c>
      <c r="H192" t="s">
        <v>17</v>
      </c>
      <c r="P192">
        <v>259</v>
      </c>
      <c r="Q192">
        <v>256</v>
      </c>
      <c r="W192" t="s">
        <v>633</v>
      </c>
      <c r="BA192" s="557"/>
      <c r="BC192" t="s">
        <v>471</v>
      </c>
    </row>
    <row r="193" spans="2:55" x14ac:dyDescent="0.25">
      <c r="B193">
        <v>3572052</v>
      </c>
      <c r="D193">
        <v>3172238</v>
      </c>
      <c r="E193">
        <v>3498996</v>
      </c>
      <c r="H193" t="s">
        <v>17</v>
      </c>
      <c r="P193">
        <v>260</v>
      </c>
      <c r="Q193">
        <v>257</v>
      </c>
      <c r="W193" t="s">
        <v>537</v>
      </c>
      <c r="BA193" s="557"/>
      <c r="BC193" t="s">
        <v>471</v>
      </c>
    </row>
    <row r="194" spans="2:55" x14ac:dyDescent="0.25">
      <c r="B194">
        <v>3572053</v>
      </c>
      <c r="D194">
        <v>3172238</v>
      </c>
      <c r="E194">
        <v>1931848</v>
      </c>
      <c r="H194" t="s">
        <v>17</v>
      </c>
      <c r="P194">
        <v>261</v>
      </c>
      <c r="Q194">
        <v>258</v>
      </c>
      <c r="W194" t="s">
        <v>537</v>
      </c>
      <c r="BA194" s="557"/>
      <c r="BC194" t="s">
        <v>3101</v>
      </c>
    </row>
    <row r="195" spans="2:55" x14ac:dyDescent="0.25">
      <c r="B195">
        <v>3572054</v>
      </c>
      <c r="D195">
        <v>3172238</v>
      </c>
      <c r="E195">
        <v>2288879</v>
      </c>
      <c r="H195" t="s">
        <v>17</v>
      </c>
      <c r="P195">
        <v>262</v>
      </c>
      <c r="Q195">
        <v>259</v>
      </c>
      <c r="W195" t="s">
        <v>799</v>
      </c>
      <c r="BA195" s="557"/>
      <c r="BC195" t="s">
        <v>471</v>
      </c>
    </row>
    <row r="196" spans="2:55" x14ac:dyDescent="0.25">
      <c r="B196">
        <v>3572055</v>
      </c>
      <c r="D196">
        <v>3172238</v>
      </c>
      <c r="E196">
        <v>3209979</v>
      </c>
      <c r="H196" t="s">
        <v>17</v>
      </c>
      <c r="P196">
        <v>264</v>
      </c>
      <c r="Q196">
        <v>260</v>
      </c>
      <c r="W196" t="s">
        <v>799</v>
      </c>
      <c r="BA196" s="557"/>
      <c r="BC196" t="s">
        <v>3101</v>
      </c>
    </row>
    <row r="197" spans="2:55" x14ac:dyDescent="0.25">
      <c r="B197">
        <v>3573306</v>
      </c>
      <c r="D197">
        <v>3172238</v>
      </c>
      <c r="E197">
        <v>3510169</v>
      </c>
      <c r="H197" t="s">
        <v>17</v>
      </c>
      <c r="P197">
        <v>265</v>
      </c>
      <c r="Q197">
        <v>261</v>
      </c>
      <c r="W197" t="s">
        <v>799</v>
      </c>
      <c r="BA197" s="557"/>
      <c r="BC197" t="s">
        <v>3101</v>
      </c>
    </row>
    <row r="198" spans="2:55" x14ac:dyDescent="0.25">
      <c r="B198">
        <v>3575897</v>
      </c>
      <c r="D198">
        <v>3620427</v>
      </c>
      <c r="E198">
        <v>3838038</v>
      </c>
      <c r="H198" t="s">
        <v>17</v>
      </c>
      <c r="P198">
        <v>266</v>
      </c>
      <c r="Q198">
        <v>262</v>
      </c>
      <c r="W198" t="s">
        <v>799</v>
      </c>
      <c r="BA198" s="557"/>
      <c r="BC198" t="s">
        <v>3344</v>
      </c>
    </row>
    <row r="199" spans="2:55" x14ac:dyDescent="0.25">
      <c r="B199">
        <v>3576136</v>
      </c>
      <c r="D199">
        <v>3620427</v>
      </c>
      <c r="E199">
        <v>3850310</v>
      </c>
      <c r="H199" t="s">
        <v>17</v>
      </c>
      <c r="P199">
        <v>279</v>
      </c>
      <c r="Q199">
        <v>264</v>
      </c>
      <c r="W199" t="s">
        <v>799</v>
      </c>
      <c r="BA199" s="557"/>
      <c r="BC199" t="s">
        <v>3344</v>
      </c>
    </row>
    <row r="200" spans="2:55" x14ac:dyDescent="0.25">
      <c r="B200">
        <v>3577684</v>
      </c>
      <c r="D200">
        <v>3620427</v>
      </c>
      <c r="E200">
        <v>3484653</v>
      </c>
      <c r="H200" t="s">
        <v>17</v>
      </c>
      <c r="P200">
        <v>312</v>
      </c>
      <c r="Q200">
        <v>265</v>
      </c>
      <c r="W200" t="s">
        <v>799</v>
      </c>
      <c r="BA200" s="557"/>
      <c r="BC200" t="s">
        <v>3344</v>
      </c>
    </row>
    <row r="201" spans="2:55" x14ac:dyDescent="0.25">
      <c r="B201">
        <v>3584171</v>
      </c>
      <c r="D201">
        <v>3620427</v>
      </c>
      <c r="E201">
        <v>3217232</v>
      </c>
      <c r="H201" t="s">
        <v>17</v>
      </c>
      <c r="P201">
        <v>313</v>
      </c>
      <c r="Q201">
        <v>266</v>
      </c>
      <c r="W201" t="s">
        <v>1045</v>
      </c>
      <c r="BA201" s="557"/>
      <c r="BC201" t="s">
        <v>3344</v>
      </c>
    </row>
    <row r="202" spans="2:55" x14ac:dyDescent="0.25">
      <c r="B202">
        <v>3584172</v>
      </c>
      <c r="D202">
        <v>3620427</v>
      </c>
      <c r="E202">
        <v>1529261</v>
      </c>
      <c r="H202" t="s">
        <v>17</v>
      </c>
      <c r="P202">
        <v>314</v>
      </c>
      <c r="Q202">
        <v>279</v>
      </c>
      <c r="W202" t="s">
        <v>1045</v>
      </c>
      <c r="BA202" s="557"/>
      <c r="BC202" t="s">
        <v>3344</v>
      </c>
    </row>
    <row r="203" spans="2:55" x14ac:dyDescent="0.25">
      <c r="B203">
        <v>3584174</v>
      </c>
      <c r="D203">
        <v>3620427</v>
      </c>
      <c r="E203">
        <v>1529260</v>
      </c>
      <c r="H203" t="s">
        <v>17</v>
      </c>
      <c r="P203">
        <v>315</v>
      </c>
      <c r="Q203">
        <v>312</v>
      </c>
      <c r="W203" t="s">
        <v>1045</v>
      </c>
      <c r="BA203" s="557"/>
      <c r="BC203" t="s">
        <v>3361</v>
      </c>
    </row>
    <row r="204" spans="2:55" x14ac:dyDescent="0.25">
      <c r="B204">
        <v>3586640</v>
      </c>
      <c r="D204">
        <v>3620427</v>
      </c>
      <c r="E204">
        <v>1174861</v>
      </c>
      <c r="H204" t="s">
        <v>17</v>
      </c>
      <c r="P204">
        <v>316</v>
      </c>
      <c r="Q204">
        <v>313</v>
      </c>
      <c r="W204" t="s">
        <v>1048</v>
      </c>
      <c r="BA204" s="557"/>
      <c r="BC204" t="s">
        <v>983</v>
      </c>
    </row>
    <row r="205" spans="2:55" x14ac:dyDescent="0.25">
      <c r="B205">
        <v>3586641</v>
      </c>
      <c r="D205">
        <v>3620427</v>
      </c>
      <c r="E205">
        <v>464578</v>
      </c>
      <c r="H205" t="s">
        <v>17</v>
      </c>
      <c r="P205">
        <v>317</v>
      </c>
      <c r="Q205">
        <v>314</v>
      </c>
      <c r="W205" t="s">
        <v>1048</v>
      </c>
      <c r="BA205" s="557"/>
      <c r="BC205" t="s">
        <v>3367</v>
      </c>
    </row>
    <row r="206" spans="2:55" x14ac:dyDescent="0.25">
      <c r="B206">
        <v>3586644</v>
      </c>
      <c r="D206">
        <v>3620427</v>
      </c>
      <c r="E206">
        <v>3187716</v>
      </c>
      <c r="H206" t="s">
        <v>17</v>
      </c>
      <c r="P206">
        <v>318</v>
      </c>
      <c r="Q206">
        <v>315</v>
      </c>
      <c r="W206" t="s">
        <v>1048</v>
      </c>
      <c r="BA206" s="557"/>
      <c r="BC206" t="s">
        <v>983</v>
      </c>
    </row>
    <row r="207" spans="2:55" x14ac:dyDescent="0.25">
      <c r="B207">
        <v>3586645</v>
      </c>
      <c r="D207">
        <v>3620427</v>
      </c>
      <c r="E207">
        <v>3063589</v>
      </c>
      <c r="H207" t="s">
        <v>39</v>
      </c>
      <c r="P207">
        <v>319</v>
      </c>
      <c r="Q207">
        <v>316</v>
      </c>
      <c r="W207" t="s">
        <v>1048</v>
      </c>
      <c r="BA207" s="557"/>
      <c r="BC207" t="s">
        <v>983</v>
      </c>
    </row>
    <row r="208" spans="2:55" x14ac:dyDescent="0.25">
      <c r="B208">
        <v>3605739</v>
      </c>
      <c r="D208">
        <v>3620427</v>
      </c>
      <c r="E208">
        <v>3453631</v>
      </c>
      <c r="H208" t="s">
        <v>72</v>
      </c>
      <c r="P208">
        <v>321</v>
      </c>
      <c r="Q208">
        <v>317</v>
      </c>
      <c r="W208" t="s">
        <v>1048</v>
      </c>
      <c r="BA208" s="557"/>
      <c r="BC208" t="s">
        <v>983</v>
      </c>
    </row>
    <row r="209" spans="2:55" x14ac:dyDescent="0.25">
      <c r="B209">
        <v>3605740</v>
      </c>
      <c r="D209">
        <v>3620427</v>
      </c>
      <c r="E209">
        <v>2384088</v>
      </c>
      <c r="H209" t="s">
        <v>72</v>
      </c>
      <c r="P209">
        <v>322</v>
      </c>
      <c r="Q209">
        <v>318</v>
      </c>
      <c r="W209" t="s">
        <v>972</v>
      </c>
      <c r="BA209" s="557"/>
      <c r="BC209" t="s">
        <v>983</v>
      </c>
    </row>
    <row r="210" spans="2:55" x14ac:dyDescent="0.25">
      <c r="B210">
        <v>3616912</v>
      </c>
      <c r="D210">
        <v>3620427</v>
      </c>
      <c r="E210">
        <v>1531612</v>
      </c>
      <c r="H210" t="s">
        <v>72</v>
      </c>
      <c r="P210">
        <v>323</v>
      </c>
      <c r="Q210">
        <v>319</v>
      </c>
      <c r="W210" t="s">
        <v>972</v>
      </c>
      <c r="BA210" s="557"/>
      <c r="BC210" t="s">
        <v>983</v>
      </c>
    </row>
    <row r="211" spans="2:55" x14ac:dyDescent="0.25">
      <c r="B211">
        <v>3673011</v>
      </c>
      <c r="D211">
        <v>1940014</v>
      </c>
      <c r="E211">
        <v>3122347</v>
      </c>
      <c r="H211" t="s">
        <v>84</v>
      </c>
      <c r="P211">
        <v>324</v>
      </c>
      <c r="Q211">
        <v>321</v>
      </c>
      <c r="W211" t="s">
        <v>972</v>
      </c>
      <c r="BA211" s="557"/>
      <c r="BC211" t="s">
        <v>983</v>
      </c>
    </row>
    <row r="212" spans="2:55" x14ac:dyDescent="0.25">
      <c r="B212">
        <v>3677047</v>
      </c>
      <c r="D212">
        <v>1940014</v>
      </c>
      <c r="E212">
        <v>3210052</v>
      </c>
      <c r="H212" t="s">
        <v>17</v>
      </c>
      <c r="P212">
        <v>325</v>
      </c>
      <c r="Q212">
        <v>322</v>
      </c>
      <c r="W212" t="s">
        <v>972</v>
      </c>
      <c r="BA212" s="557"/>
      <c r="BC212" t="s">
        <v>983</v>
      </c>
    </row>
    <row r="213" spans="2:55" x14ac:dyDescent="0.25">
      <c r="B213">
        <v>3677064</v>
      </c>
      <c r="D213">
        <v>1940014</v>
      </c>
      <c r="E213">
        <v>3510171</v>
      </c>
      <c r="H213" t="s">
        <v>60</v>
      </c>
      <c r="P213">
        <v>326</v>
      </c>
      <c r="Q213">
        <v>323</v>
      </c>
      <c r="W213" t="s">
        <v>972</v>
      </c>
      <c r="BA213" s="557"/>
      <c r="BC213" t="s">
        <v>983</v>
      </c>
    </row>
    <row r="214" spans="2:55" x14ac:dyDescent="0.25">
      <c r="B214">
        <v>3706751</v>
      </c>
      <c r="D214">
        <v>1940014</v>
      </c>
      <c r="E214">
        <v>3213875</v>
      </c>
      <c r="H214" t="s">
        <v>60</v>
      </c>
      <c r="P214">
        <v>327</v>
      </c>
      <c r="Q214">
        <v>324</v>
      </c>
      <c r="W214" t="s">
        <v>972</v>
      </c>
      <c r="BA214" s="557"/>
      <c r="BC214" t="s">
        <v>983</v>
      </c>
    </row>
    <row r="215" spans="2:55" x14ac:dyDescent="0.25">
      <c r="B215">
        <v>3712521</v>
      </c>
      <c r="D215">
        <v>1940014</v>
      </c>
      <c r="E215">
        <v>1940247</v>
      </c>
      <c r="H215" t="s">
        <v>60</v>
      </c>
      <c r="P215">
        <v>328</v>
      </c>
      <c r="Q215">
        <v>325</v>
      </c>
      <c r="W215" t="s">
        <v>972</v>
      </c>
      <c r="BA215" s="557"/>
      <c r="BC215" t="s">
        <v>983</v>
      </c>
    </row>
    <row r="216" spans="2:55" x14ac:dyDescent="0.25">
      <c r="B216">
        <v>3715133</v>
      </c>
      <c r="D216">
        <v>1940014</v>
      </c>
      <c r="E216">
        <v>236341</v>
      </c>
      <c r="H216" t="s">
        <v>30</v>
      </c>
      <c r="P216">
        <v>345</v>
      </c>
      <c r="Q216">
        <v>326</v>
      </c>
      <c r="W216" t="s">
        <v>557</v>
      </c>
      <c r="BA216" s="557"/>
      <c r="BC216" t="s">
        <v>983</v>
      </c>
    </row>
    <row r="217" spans="2:55" x14ac:dyDescent="0.25">
      <c r="B217">
        <v>3731697</v>
      </c>
      <c r="D217">
        <v>1940014</v>
      </c>
      <c r="E217">
        <v>2331953</v>
      </c>
      <c r="H217" t="s">
        <v>30</v>
      </c>
      <c r="P217">
        <v>346</v>
      </c>
      <c r="Q217">
        <v>327</v>
      </c>
      <c r="W217" t="s">
        <v>557</v>
      </c>
      <c r="BA217" s="557"/>
      <c r="BC217" t="s">
        <v>3367</v>
      </c>
    </row>
    <row r="218" spans="2:55" x14ac:dyDescent="0.25">
      <c r="B218">
        <v>3732177</v>
      </c>
      <c r="D218">
        <v>1940014</v>
      </c>
      <c r="E218">
        <v>2425969</v>
      </c>
      <c r="H218" t="s">
        <v>21</v>
      </c>
      <c r="P218">
        <v>347</v>
      </c>
      <c r="Q218">
        <v>328</v>
      </c>
      <c r="W218" t="s">
        <v>978</v>
      </c>
      <c r="BA218" s="557"/>
      <c r="BC218" t="s">
        <v>983</v>
      </c>
    </row>
    <row r="219" spans="2:55" x14ac:dyDescent="0.25">
      <c r="B219">
        <v>3738265</v>
      </c>
      <c r="D219">
        <v>1940014</v>
      </c>
      <c r="E219">
        <v>1908799</v>
      </c>
      <c r="H219" t="s">
        <v>21</v>
      </c>
      <c r="P219">
        <v>348</v>
      </c>
      <c r="Q219">
        <v>345</v>
      </c>
      <c r="W219" t="s">
        <v>904</v>
      </c>
      <c r="BA219" s="557"/>
      <c r="BC219" t="s">
        <v>983</v>
      </c>
    </row>
    <row r="220" spans="2:55" x14ac:dyDescent="0.25">
      <c r="B220">
        <v>3747393</v>
      </c>
      <c r="D220">
        <v>1940014</v>
      </c>
      <c r="E220">
        <v>2418569</v>
      </c>
      <c r="H220" t="s">
        <v>21</v>
      </c>
      <c r="P220">
        <v>349</v>
      </c>
      <c r="Q220">
        <v>346</v>
      </c>
      <c r="W220" t="s">
        <v>904</v>
      </c>
      <c r="BA220" s="557"/>
      <c r="BC220" t="s">
        <v>983</v>
      </c>
    </row>
    <row r="221" spans="2:55" x14ac:dyDescent="0.25">
      <c r="B221">
        <v>3752128</v>
      </c>
      <c r="D221">
        <v>1940014</v>
      </c>
      <c r="E221">
        <v>235953</v>
      </c>
      <c r="H221" t="s">
        <v>21</v>
      </c>
      <c r="P221">
        <v>350</v>
      </c>
      <c r="Q221">
        <v>347</v>
      </c>
      <c r="W221" t="s">
        <v>904</v>
      </c>
      <c r="BA221" s="557"/>
      <c r="BC221" t="s">
        <v>986</v>
      </c>
    </row>
    <row r="222" spans="2:55" x14ac:dyDescent="0.25">
      <c r="B222">
        <v>3768905</v>
      </c>
      <c r="D222">
        <v>1940014</v>
      </c>
      <c r="E222">
        <v>3498997</v>
      </c>
      <c r="H222" t="s">
        <v>19</v>
      </c>
      <c r="P222">
        <v>351</v>
      </c>
      <c r="Q222">
        <v>348</v>
      </c>
      <c r="W222" t="s">
        <v>904</v>
      </c>
      <c r="BA222" s="557"/>
      <c r="BC222" t="s">
        <v>983</v>
      </c>
    </row>
    <row r="223" spans="2:55" x14ac:dyDescent="0.25">
      <c r="B223">
        <v>3768907</v>
      </c>
      <c r="D223">
        <v>1940014</v>
      </c>
      <c r="E223">
        <v>1940256</v>
      </c>
      <c r="H223" t="s">
        <v>19</v>
      </c>
      <c r="P223">
        <v>352</v>
      </c>
      <c r="Q223">
        <v>349</v>
      </c>
      <c r="W223" t="s">
        <v>904</v>
      </c>
      <c r="BA223" s="557"/>
      <c r="BC223" t="s">
        <v>3367</v>
      </c>
    </row>
    <row r="224" spans="2:55" x14ac:dyDescent="0.25">
      <c r="B224">
        <v>3770753</v>
      </c>
      <c r="D224">
        <v>1940014</v>
      </c>
      <c r="E224">
        <v>319456</v>
      </c>
      <c r="H224" t="s">
        <v>19</v>
      </c>
      <c r="P224">
        <v>353</v>
      </c>
      <c r="Q224">
        <v>350</v>
      </c>
      <c r="W224" t="s">
        <v>904</v>
      </c>
      <c r="BA224" s="557"/>
      <c r="BC224" t="s">
        <v>983</v>
      </c>
    </row>
    <row r="225" spans="2:55" x14ac:dyDescent="0.25">
      <c r="B225">
        <v>3780005</v>
      </c>
      <c r="D225">
        <v>1940014</v>
      </c>
      <c r="E225">
        <v>3781674</v>
      </c>
      <c r="H225" t="s">
        <v>19</v>
      </c>
      <c r="P225">
        <v>354</v>
      </c>
      <c r="Q225">
        <v>351</v>
      </c>
      <c r="W225" t="s">
        <v>904</v>
      </c>
      <c r="BA225" s="557"/>
      <c r="BC225" t="s">
        <v>986</v>
      </c>
    </row>
    <row r="226" spans="2:55" x14ac:dyDescent="0.25">
      <c r="B226">
        <v>3786201</v>
      </c>
      <c r="D226">
        <v>1931154</v>
      </c>
      <c r="E226">
        <v>1940262</v>
      </c>
      <c r="H226" t="s">
        <v>19</v>
      </c>
      <c r="P226">
        <v>355</v>
      </c>
      <c r="Q226">
        <v>352</v>
      </c>
      <c r="W226" t="s">
        <v>904</v>
      </c>
      <c r="BA226" s="557"/>
      <c r="BC226" t="s">
        <v>983</v>
      </c>
    </row>
    <row r="227" spans="2:55" x14ac:dyDescent="0.25">
      <c r="B227">
        <v>3786202</v>
      </c>
      <c r="D227">
        <v>1931154</v>
      </c>
      <c r="E227">
        <v>511882</v>
      </c>
      <c r="H227" t="s">
        <v>19</v>
      </c>
      <c r="P227">
        <v>368</v>
      </c>
      <c r="Q227">
        <v>353</v>
      </c>
      <c r="W227" t="s">
        <v>904</v>
      </c>
      <c r="BA227" s="557"/>
      <c r="BC227" t="s">
        <v>983</v>
      </c>
    </row>
    <row r="228" spans="2:55" x14ac:dyDescent="0.25">
      <c r="B228">
        <v>3819143</v>
      </c>
      <c r="D228">
        <v>1931049</v>
      </c>
      <c r="E228">
        <v>1940266</v>
      </c>
      <c r="H228" t="s">
        <v>19</v>
      </c>
      <c r="P228">
        <v>370</v>
      </c>
      <c r="Q228">
        <v>354</v>
      </c>
      <c r="W228" t="s">
        <v>904</v>
      </c>
      <c r="BA228" s="557"/>
      <c r="BC228" t="s">
        <v>983</v>
      </c>
    </row>
    <row r="229" spans="2:55" x14ac:dyDescent="0.25">
      <c r="B229">
        <v>3838020</v>
      </c>
      <c r="D229">
        <v>1931049</v>
      </c>
      <c r="E229">
        <v>521117</v>
      </c>
      <c r="H229" t="s">
        <v>44</v>
      </c>
      <c r="P229">
        <v>371</v>
      </c>
      <c r="Q229">
        <v>355</v>
      </c>
      <c r="W229" t="s">
        <v>904</v>
      </c>
      <c r="BA229" s="557"/>
      <c r="BC229" t="s">
        <v>3367</v>
      </c>
    </row>
    <row r="230" spans="2:55" x14ac:dyDescent="0.25">
      <c r="B230">
        <v>3838038</v>
      </c>
      <c r="D230">
        <v>3188791</v>
      </c>
      <c r="E230">
        <v>3122348</v>
      </c>
      <c r="H230" t="s">
        <v>76</v>
      </c>
      <c r="P230">
        <v>378</v>
      </c>
      <c r="Q230">
        <v>368</v>
      </c>
      <c r="W230" t="s">
        <v>904</v>
      </c>
      <c r="BA230" s="557"/>
      <c r="BC230" t="s">
        <v>983</v>
      </c>
    </row>
    <row r="231" spans="2:55" x14ac:dyDescent="0.25">
      <c r="B231">
        <v>3841884</v>
      </c>
      <c r="D231">
        <v>3188791</v>
      </c>
      <c r="E231">
        <v>1940269</v>
      </c>
      <c r="H231" t="s">
        <v>151</v>
      </c>
      <c r="P231">
        <v>390</v>
      </c>
      <c r="Q231">
        <v>370</v>
      </c>
      <c r="W231" t="s">
        <v>904</v>
      </c>
      <c r="BA231" s="557"/>
      <c r="BC231" t="s">
        <v>983</v>
      </c>
    </row>
    <row r="232" spans="2:55" x14ac:dyDescent="0.25">
      <c r="B232">
        <v>3850310</v>
      </c>
      <c r="D232">
        <v>3188791</v>
      </c>
      <c r="E232">
        <v>1180079</v>
      </c>
      <c r="H232" t="s">
        <v>150</v>
      </c>
      <c r="P232">
        <v>393</v>
      </c>
      <c r="Q232">
        <v>371</v>
      </c>
      <c r="W232" t="s">
        <v>904</v>
      </c>
      <c r="BA232" s="557"/>
      <c r="BC232" t="s">
        <v>983</v>
      </c>
    </row>
    <row r="233" spans="2:55" x14ac:dyDescent="0.25">
      <c r="B233">
        <v>3893101</v>
      </c>
      <c r="D233">
        <v>2410389</v>
      </c>
      <c r="E233">
        <v>3507270</v>
      </c>
      <c r="H233" t="s">
        <v>40</v>
      </c>
      <c r="P233">
        <v>394</v>
      </c>
      <c r="Q233">
        <v>378</v>
      </c>
      <c r="W233" t="s">
        <v>904</v>
      </c>
      <c r="BA233" s="557"/>
      <c r="BC233" t="s">
        <v>983</v>
      </c>
    </row>
    <row r="234" spans="2:55" x14ac:dyDescent="0.25">
      <c r="B234">
        <v>3909479</v>
      </c>
      <c r="D234">
        <v>2410389</v>
      </c>
      <c r="E234">
        <v>3507089</v>
      </c>
      <c r="H234" t="s">
        <v>40</v>
      </c>
      <c r="P234">
        <v>395</v>
      </c>
      <c r="Q234">
        <v>390</v>
      </c>
      <c r="W234" t="s">
        <v>904</v>
      </c>
      <c r="BA234" s="557"/>
      <c r="BC234" t="s">
        <v>983</v>
      </c>
    </row>
    <row r="235" spans="2:55" x14ac:dyDescent="0.25">
      <c r="B235">
        <v>3910648</v>
      </c>
      <c r="D235">
        <v>2410389</v>
      </c>
      <c r="E235">
        <v>521115</v>
      </c>
      <c r="H235" t="s">
        <v>40</v>
      </c>
      <c r="P235">
        <v>396</v>
      </c>
      <c r="Q235">
        <v>393</v>
      </c>
      <c r="W235" t="s">
        <v>978</v>
      </c>
      <c r="BA235" s="557"/>
      <c r="BC235" t="s">
        <v>3367</v>
      </c>
    </row>
    <row r="236" spans="2:55" x14ac:dyDescent="0.25">
      <c r="B236">
        <v>3911992</v>
      </c>
      <c r="D236">
        <v>2410389</v>
      </c>
      <c r="E236">
        <v>1940272</v>
      </c>
      <c r="H236" t="s">
        <v>40</v>
      </c>
      <c r="P236">
        <v>397</v>
      </c>
      <c r="Q236">
        <v>394</v>
      </c>
      <c r="W236" t="s">
        <v>978</v>
      </c>
      <c r="BA236" s="557"/>
      <c r="BC236" t="s">
        <v>983</v>
      </c>
    </row>
    <row r="237" spans="2:55" x14ac:dyDescent="0.25">
      <c r="B237">
        <v>3911993</v>
      </c>
      <c r="D237">
        <v>3402383</v>
      </c>
      <c r="E237">
        <v>2422190</v>
      </c>
      <c r="H237" t="s">
        <v>45</v>
      </c>
      <c r="P237">
        <v>398</v>
      </c>
      <c r="Q237">
        <v>395</v>
      </c>
      <c r="W237" t="s">
        <v>978</v>
      </c>
      <c r="BA237" s="557"/>
      <c r="BC237" t="s">
        <v>604</v>
      </c>
    </row>
    <row r="238" spans="2:55" x14ac:dyDescent="0.25">
      <c r="B238">
        <v>3924502</v>
      </c>
      <c r="D238">
        <v>3402383</v>
      </c>
      <c r="E238">
        <v>2403386</v>
      </c>
      <c r="H238" t="s">
        <v>45</v>
      </c>
      <c r="P238">
        <v>399</v>
      </c>
      <c r="Q238">
        <v>396</v>
      </c>
      <c r="W238" t="s">
        <v>978</v>
      </c>
      <c r="BA238" s="557"/>
      <c r="BC238" t="s">
        <v>604</v>
      </c>
    </row>
    <row r="239" spans="2:55" x14ac:dyDescent="0.25">
      <c r="B239">
        <v>1930110</v>
      </c>
      <c r="D239">
        <v>2363145</v>
      </c>
      <c r="E239">
        <v>1432171</v>
      </c>
      <c r="H239" t="s">
        <v>21</v>
      </c>
      <c r="P239">
        <v>400</v>
      </c>
      <c r="Q239">
        <v>397</v>
      </c>
      <c r="W239" t="s">
        <v>978</v>
      </c>
      <c r="BA239" s="557"/>
      <c r="BC239" t="s">
        <v>604</v>
      </c>
    </row>
    <row r="240" spans="2:55" x14ac:dyDescent="0.25">
      <c r="B240">
        <v>1942166</v>
      </c>
      <c r="D240">
        <v>2363145</v>
      </c>
      <c r="E240">
        <v>1432169</v>
      </c>
      <c r="H240" t="s">
        <v>21</v>
      </c>
      <c r="P240">
        <v>401</v>
      </c>
      <c r="Q240">
        <v>398</v>
      </c>
      <c r="W240" t="s">
        <v>978</v>
      </c>
      <c r="BA240" s="557"/>
      <c r="BC240" t="s">
        <v>604</v>
      </c>
    </row>
    <row r="241" spans="2:55" x14ac:dyDescent="0.25">
      <c r="B241">
        <v>2410388</v>
      </c>
      <c r="D241">
        <v>2363145</v>
      </c>
      <c r="E241">
        <v>3508947</v>
      </c>
      <c r="H241" t="s">
        <v>21</v>
      </c>
      <c r="P241">
        <v>402</v>
      </c>
      <c r="Q241">
        <v>399</v>
      </c>
      <c r="W241" t="s">
        <v>832</v>
      </c>
      <c r="BA241" s="557"/>
      <c r="BC241" t="s">
        <v>604</v>
      </c>
    </row>
    <row r="242" spans="2:55" x14ac:dyDescent="0.25">
      <c r="B242">
        <v>3500714</v>
      </c>
      <c r="D242">
        <v>2410963</v>
      </c>
      <c r="E242">
        <v>1432170</v>
      </c>
      <c r="H242" t="s">
        <v>21</v>
      </c>
      <c r="P242">
        <v>403</v>
      </c>
      <c r="Q242">
        <v>400</v>
      </c>
      <c r="W242" t="s">
        <v>832</v>
      </c>
      <c r="BA242" s="557"/>
      <c r="BC242" t="s">
        <v>604</v>
      </c>
    </row>
    <row r="243" spans="2:55" x14ac:dyDescent="0.25">
      <c r="B243">
        <v>3770393</v>
      </c>
      <c r="D243">
        <v>2410963</v>
      </c>
      <c r="E243">
        <v>2403384</v>
      </c>
      <c r="H243" t="s">
        <v>21</v>
      </c>
      <c r="P243">
        <v>404</v>
      </c>
      <c r="Q243">
        <v>401</v>
      </c>
      <c r="W243" t="s">
        <v>832</v>
      </c>
      <c r="BA243" s="557"/>
      <c r="BC243" t="s">
        <v>604</v>
      </c>
    </row>
    <row r="244" spans="2:55" x14ac:dyDescent="0.25">
      <c r="B244">
        <v>1931823</v>
      </c>
      <c r="D244">
        <v>2410963</v>
      </c>
      <c r="E244">
        <v>1637759</v>
      </c>
      <c r="H244" t="s">
        <v>21</v>
      </c>
      <c r="P244">
        <v>405</v>
      </c>
      <c r="Q244">
        <v>402</v>
      </c>
      <c r="W244" t="s">
        <v>832</v>
      </c>
      <c r="BA244" s="557"/>
      <c r="BC244" t="s">
        <v>604</v>
      </c>
    </row>
    <row r="245" spans="2:55" x14ac:dyDescent="0.25">
      <c r="B245">
        <v>2288945</v>
      </c>
      <c r="D245">
        <v>2410963</v>
      </c>
      <c r="E245">
        <v>2403383</v>
      </c>
      <c r="H245" t="s">
        <v>21</v>
      </c>
      <c r="P245">
        <v>406</v>
      </c>
      <c r="Q245">
        <v>403</v>
      </c>
      <c r="W245" t="s">
        <v>832</v>
      </c>
      <c r="BA245" s="557"/>
      <c r="BC245" t="s">
        <v>604</v>
      </c>
    </row>
    <row r="246" spans="2:55" x14ac:dyDescent="0.25">
      <c r="B246">
        <v>2410960</v>
      </c>
      <c r="D246">
        <v>2410963</v>
      </c>
      <c r="E246">
        <v>1432172</v>
      </c>
      <c r="H246" t="s">
        <v>21</v>
      </c>
      <c r="P246">
        <v>407</v>
      </c>
      <c r="Q246">
        <v>404</v>
      </c>
      <c r="W246" t="s">
        <v>980</v>
      </c>
      <c r="BA246" s="557"/>
      <c r="BC246" t="s">
        <v>604</v>
      </c>
    </row>
    <row r="247" spans="2:55" x14ac:dyDescent="0.25">
      <c r="B247">
        <v>2410994</v>
      </c>
      <c r="D247">
        <v>3487710</v>
      </c>
      <c r="E247">
        <v>3236719</v>
      </c>
      <c r="H247" t="s">
        <v>21</v>
      </c>
      <c r="P247">
        <v>408</v>
      </c>
      <c r="Q247">
        <v>405</v>
      </c>
      <c r="W247" t="s">
        <v>980</v>
      </c>
      <c r="BA247" s="557"/>
      <c r="BC247" t="s">
        <v>604</v>
      </c>
    </row>
    <row r="248" spans="2:55" x14ac:dyDescent="0.25">
      <c r="B248">
        <v>2410996</v>
      </c>
      <c r="D248">
        <v>1940019</v>
      </c>
      <c r="E248">
        <v>1249097</v>
      </c>
      <c r="H248" t="s">
        <v>21</v>
      </c>
      <c r="P248">
        <v>409</v>
      </c>
      <c r="Q248">
        <v>406</v>
      </c>
      <c r="W248" t="s">
        <v>860</v>
      </c>
      <c r="BA248" s="557"/>
      <c r="BC248" t="s">
        <v>604</v>
      </c>
    </row>
    <row r="249" spans="2:55" x14ac:dyDescent="0.25">
      <c r="B249">
        <v>2410998</v>
      </c>
      <c r="D249">
        <v>1940019</v>
      </c>
      <c r="E249">
        <v>1940284</v>
      </c>
      <c r="H249" t="s">
        <v>21</v>
      </c>
      <c r="P249">
        <v>410</v>
      </c>
      <c r="Q249">
        <v>407</v>
      </c>
      <c r="W249" t="s">
        <v>860</v>
      </c>
      <c r="BA249" s="557"/>
      <c r="BC249" t="s">
        <v>604</v>
      </c>
    </row>
    <row r="250" spans="2:55" x14ac:dyDescent="0.25">
      <c r="B250">
        <v>2410999</v>
      </c>
      <c r="D250">
        <v>1940019</v>
      </c>
      <c r="E250">
        <v>1188598</v>
      </c>
      <c r="H250" t="s">
        <v>21</v>
      </c>
      <c r="P250">
        <v>411</v>
      </c>
      <c r="Q250">
        <v>408</v>
      </c>
      <c r="W250" t="s">
        <v>860</v>
      </c>
      <c r="BA250" s="557"/>
      <c r="BC250" t="s">
        <v>604</v>
      </c>
    </row>
    <row r="251" spans="2:55" x14ac:dyDescent="0.25">
      <c r="B251">
        <v>2418610</v>
      </c>
      <c r="D251">
        <v>1941845</v>
      </c>
      <c r="E251">
        <v>3784368</v>
      </c>
      <c r="H251" t="s">
        <v>21</v>
      </c>
      <c r="P251">
        <v>415</v>
      </c>
      <c r="Q251">
        <v>409</v>
      </c>
      <c r="W251" t="s">
        <v>860</v>
      </c>
      <c r="BA251" s="557"/>
      <c r="BC251" t="s">
        <v>604</v>
      </c>
    </row>
    <row r="252" spans="2:55" x14ac:dyDescent="0.25">
      <c r="B252">
        <v>3188792</v>
      </c>
      <c r="D252">
        <v>1941845</v>
      </c>
      <c r="E252">
        <v>1284065</v>
      </c>
      <c r="H252" t="s">
        <v>21</v>
      </c>
      <c r="P252">
        <v>416</v>
      </c>
      <c r="Q252">
        <v>410</v>
      </c>
      <c r="W252" t="s">
        <v>980</v>
      </c>
      <c r="BA252" s="557"/>
      <c r="BC252" t="s">
        <v>604</v>
      </c>
    </row>
    <row r="253" spans="2:55" x14ac:dyDescent="0.25">
      <c r="B253">
        <v>3499608</v>
      </c>
      <c r="D253">
        <v>1941845</v>
      </c>
      <c r="E253">
        <v>1940287</v>
      </c>
      <c r="H253" t="s">
        <v>21</v>
      </c>
      <c r="P253">
        <v>417</v>
      </c>
      <c r="Q253">
        <v>411</v>
      </c>
      <c r="W253" t="s">
        <v>980</v>
      </c>
      <c r="BA253" s="557"/>
      <c r="BC253" t="s">
        <v>604</v>
      </c>
    </row>
    <row r="254" spans="2:55" x14ac:dyDescent="0.25">
      <c r="B254">
        <v>3500641</v>
      </c>
      <c r="D254">
        <v>1941845</v>
      </c>
      <c r="E254">
        <v>3509196</v>
      </c>
      <c r="H254" t="s">
        <v>21</v>
      </c>
      <c r="P254">
        <v>418</v>
      </c>
      <c r="Q254">
        <v>412</v>
      </c>
      <c r="W254" t="s">
        <v>4718</v>
      </c>
      <c r="BA254" s="557"/>
      <c r="BC254" t="s">
        <v>604</v>
      </c>
    </row>
    <row r="255" spans="2:55" x14ac:dyDescent="0.25">
      <c r="B255">
        <v>3500650</v>
      </c>
      <c r="D255">
        <v>1941845</v>
      </c>
      <c r="E255">
        <v>3732182</v>
      </c>
      <c r="H255" t="s">
        <v>76</v>
      </c>
      <c r="P255">
        <v>419</v>
      </c>
      <c r="Q255">
        <v>413</v>
      </c>
      <c r="W255" t="s">
        <v>4718</v>
      </c>
      <c r="BA255" s="557"/>
      <c r="BC255" t="s">
        <v>604</v>
      </c>
    </row>
    <row r="256" spans="2:55" x14ac:dyDescent="0.25">
      <c r="B256">
        <v>3500718</v>
      </c>
      <c r="D256">
        <v>1941845</v>
      </c>
      <c r="E256">
        <v>1479701</v>
      </c>
      <c r="H256" t="s">
        <v>52</v>
      </c>
      <c r="P256">
        <v>420</v>
      </c>
      <c r="Q256">
        <v>415</v>
      </c>
      <c r="W256" t="s">
        <v>4718</v>
      </c>
      <c r="BA256" s="557"/>
      <c r="BC256" t="s">
        <v>604</v>
      </c>
    </row>
    <row r="257" spans="2:55" x14ac:dyDescent="0.25">
      <c r="B257">
        <v>3500816</v>
      </c>
      <c r="D257">
        <v>1941845</v>
      </c>
      <c r="E257">
        <v>1399341</v>
      </c>
      <c r="H257" t="s">
        <v>52</v>
      </c>
      <c r="P257">
        <v>421</v>
      </c>
      <c r="Q257">
        <v>416</v>
      </c>
      <c r="W257" t="s">
        <v>4718</v>
      </c>
      <c r="BA257" s="557"/>
      <c r="BC257" t="s">
        <v>604</v>
      </c>
    </row>
    <row r="258" spans="2:55" x14ac:dyDescent="0.25">
      <c r="B258">
        <v>3594528</v>
      </c>
      <c r="D258">
        <v>1941846</v>
      </c>
      <c r="E258">
        <v>451367</v>
      </c>
      <c r="H258" t="s">
        <v>61</v>
      </c>
      <c r="P258">
        <v>422</v>
      </c>
      <c r="Q258">
        <v>417</v>
      </c>
      <c r="W258" t="s">
        <v>4718</v>
      </c>
      <c r="BA258" s="557"/>
      <c r="BC258" t="s">
        <v>604</v>
      </c>
    </row>
    <row r="259" spans="2:55" x14ac:dyDescent="0.25">
      <c r="B259">
        <v>3702200</v>
      </c>
      <c r="D259">
        <v>1941847</v>
      </c>
      <c r="E259">
        <v>440216</v>
      </c>
      <c r="H259" t="s">
        <v>61</v>
      </c>
      <c r="P259">
        <v>423</v>
      </c>
      <c r="Q259">
        <v>418</v>
      </c>
      <c r="W259" t="s">
        <v>4718</v>
      </c>
      <c r="BA259" s="557"/>
      <c r="BC259" t="s">
        <v>604</v>
      </c>
    </row>
    <row r="260" spans="2:55" x14ac:dyDescent="0.25">
      <c r="B260">
        <v>3702201</v>
      </c>
      <c r="D260">
        <v>3541434</v>
      </c>
      <c r="E260">
        <v>3682071</v>
      </c>
      <c r="H260" t="s">
        <v>61</v>
      </c>
      <c r="P260">
        <v>424</v>
      </c>
      <c r="Q260">
        <v>419</v>
      </c>
      <c r="W260" t="s">
        <v>1043</v>
      </c>
      <c r="BA260" s="557"/>
      <c r="BC260" t="s">
        <v>604</v>
      </c>
    </row>
    <row r="261" spans="2:55" x14ac:dyDescent="0.25">
      <c r="B261">
        <v>3769066</v>
      </c>
      <c r="D261">
        <v>3541434</v>
      </c>
      <c r="E261">
        <v>3673888</v>
      </c>
      <c r="H261" t="s">
        <v>52</v>
      </c>
      <c r="P261">
        <v>428</v>
      </c>
      <c r="Q261">
        <v>420</v>
      </c>
      <c r="W261" t="s">
        <v>1043</v>
      </c>
      <c r="BA261" s="557"/>
      <c r="BC261" t="s">
        <v>6545</v>
      </c>
    </row>
    <row r="262" spans="2:55" x14ac:dyDescent="0.25">
      <c r="B262">
        <v>3770391</v>
      </c>
      <c r="D262">
        <v>3541434</v>
      </c>
      <c r="E262">
        <v>1940293</v>
      </c>
      <c r="H262" t="s">
        <v>151</v>
      </c>
      <c r="P262">
        <v>432</v>
      </c>
      <c r="Q262">
        <v>421</v>
      </c>
      <c r="W262" t="s">
        <v>1043</v>
      </c>
      <c r="BA262" s="557"/>
      <c r="BC262" t="s">
        <v>604</v>
      </c>
    </row>
    <row r="263" spans="2:55" x14ac:dyDescent="0.25">
      <c r="B263">
        <v>3770392</v>
      </c>
      <c r="D263">
        <v>3541434</v>
      </c>
      <c r="E263">
        <v>235292</v>
      </c>
      <c r="H263" t="s">
        <v>151</v>
      </c>
      <c r="P263">
        <v>450</v>
      </c>
      <c r="Q263">
        <v>422</v>
      </c>
      <c r="W263" t="s">
        <v>590</v>
      </c>
      <c r="BA263" s="557"/>
      <c r="BC263" t="s">
        <v>604</v>
      </c>
    </row>
    <row r="264" spans="2:55" x14ac:dyDescent="0.25">
      <c r="B264">
        <v>3770394</v>
      </c>
      <c r="D264">
        <v>3541434</v>
      </c>
      <c r="E264">
        <v>3499307</v>
      </c>
      <c r="H264" t="s">
        <v>57</v>
      </c>
      <c r="P264">
        <v>451</v>
      </c>
      <c r="Q264">
        <v>423</v>
      </c>
      <c r="W264" t="s">
        <v>590</v>
      </c>
      <c r="BA264" s="557"/>
      <c r="BC264" t="s">
        <v>604</v>
      </c>
    </row>
    <row r="265" spans="2:55" x14ac:dyDescent="0.25">
      <c r="B265">
        <v>3770398</v>
      </c>
      <c r="D265">
        <v>1931385</v>
      </c>
      <c r="E265">
        <v>1937438</v>
      </c>
      <c r="H265" t="s">
        <v>61</v>
      </c>
      <c r="P265">
        <v>452</v>
      </c>
      <c r="Q265">
        <v>424</v>
      </c>
      <c r="W265" t="s">
        <v>590</v>
      </c>
      <c r="BA265" s="557"/>
      <c r="BC265" t="s">
        <v>604</v>
      </c>
    </row>
    <row r="266" spans="2:55" x14ac:dyDescent="0.25">
      <c r="B266">
        <v>3775569</v>
      </c>
      <c r="D266">
        <v>1940026</v>
      </c>
      <c r="E266">
        <v>1333189</v>
      </c>
      <c r="H266" t="s">
        <v>61</v>
      </c>
      <c r="P266">
        <v>453</v>
      </c>
      <c r="Q266">
        <v>428</v>
      </c>
      <c r="W266" t="s">
        <v>914</v>
      </c>
      <c r="BA266" s="557"/>
      <c r="BC266" t="s">
        <v>604</v>
      </c>
    </row>
    <row r="267" spans="2:55" x14ac:dyDescent="0.25">
      <c r="B267">
        <v>3777563</v>
      </c>
      <c r="D267">
        <v>1940026</v>
      </c>
      <c r="E267">
        <v>1940302</v>
      </c>
      <c r="H267" t="s">
        <v>61</v>
      </c>
      <c r="P267">
        <v>454</v>
      </c>
      <c r="Q267">
        <v>432</v>
      </c>
      <c r="W267" t="s">
        <v>875</v>
      </c>
      <c r="BA267" s="557"/>
      <c r="BC267" t="s">
        <v>604</v>
      </c>
    </row>
    <row r="268" spans="2:55" x14ac:dyDescent="0.25">
      <c r="B268">
        <v>1568170</v>
      </c>
      <c r="D268">
        <v>1940027</v>
      </c>
      <c r="E268">
        <v>1259405</v>
      </c>
      <c r="H268" t="s">
        <v>37</v>
      </c>
      <c r="P268">
        <v>455</v>
      </c>
      <c r="Q268">
        <v>450</v>
      </c>
      <c r="W268" t="s">
        <v>875</v>
      </c>
      <c r="BA268" s="557"/>
      <c r="BC268" t="s">
        <v>604</v>
      </c>
    </row>
    <row r="269" spans="2:55" x14ac:dyDescent="0.25">
      <c r="B269">
        <v>1931824</v>
      </c>
      <c r="D269">
        <v>1940027</v>
      </c>
      <c r="E269">
        <v>3781673</v>
      </c>
      <c r="H269" t="s">
        <v>37</v>
      </c>
      <c r="P269">
        <v>456</v>
      </c>
      <c r="Q269">
        <v>451</v>
      </c>
      <c r="W269" t="s">
        <v>875</v>
      </c>
      <c r="BA269" s="557"/>
      <c r="BC269" t="s">
        <v>604</v>
      </c>
    </row>
    <row r="270" spans="2:55" x14ac:dyDescent="0.25">
      <c r="B270">
        <v>1931843</v>
      </c>
      <c r="D270">
        <v>1940034</v>
      </c>
      <c r="E270">
        <v>1940306</v>
      </c>
      <c r="H270" t="s">
        <v>37</v>
      </c>
      <c r="P270">
        <v>457</v>
      </c>
      <c r="Q270">
        <v>452</v>
      </c>
      <c r="W270" t="s">
        <v>860</v>
      </c>
      <c r="BA270" s="557"/>
      <c r="BC270" t="s">
        <v>604</v>
      </c>
    </row>
    <row r="271" spans="2:55" x14ac:dyDescent="0.25">
      <c r="B271">
        <v>1932290</v>
      </c>
      <c r="D271">
        <v>1940034</v>
      </c>
      <c r="E271">
        <v>511879</v>
      </c>
      <c r="H271" t="s">
        <v>136</v>
      </c>
      <c r="P271">
        <v>458</v>
      </c>
      <c r="Q271">
        <v>453</v>
      </c>
      <c r="W271" t="s">
        <v>860</v>
      </c>
      <c r="BA271" s="557"/>
      <c r="BC271" t="s">
        <v>604</v>
      </c>
    </row>
    <row r="272" spans="2:55" x14ac:dyDescent="0.25">
      <c r="B272">
        <v>1938118</v>
      </c>
      <c r="D272">
        <v>1940034</v>
      </c>
      <c r="E272">
        <v>437147</v>
      </c>
      <c r="H272" t="s">
        <v>65</v>
      </c>
      <c r="P272">
        <v>459</v>
      </c>
      <c r="Q272">
        <v>454</v>
      </c>
      <c r="W272" t="s">
        <v>860</v>
      </c>
      <c r="BA272" s="557"/>
      <c r="BC272" t="s">
        <v>604</v>
      </c>
    </row>
    <row r="273" spans="2:55" x14ac:dyDescent="0.25">
      <c r="B273">
        <v>1938121</v>
      </c>
      <c r="D273">
        <v>1940034</v>
      </c>
      <c r="E273">
        <v>1940307</v>
      </c>
      <c r="H273" t="s">
        <v>65</v>
      </c>
      <c r="P273">
        <v>461</v>
      </c>
      <c r="Q273">
        <v>455</v>
      </c>
      <c r="W273" t="s">
        <v>450</v>
      </c>
      <c r="BA273" s="557"/>
      <c r="BC273" t="s">
        <v>604</v>
      </c>
    </row>
    <row r="274" spans="2:55" x14ac:dyDescent="0.25">
      <c r="B274">
        <v>1938125</v>
      </c>
      <c r="D274">
        <v>1940034</v>
      </c>
      <c r="E274">
        <v>2427712</v>
      </c>
      <c r="H274" t="s">
        <v>65</v>
      </c>
      <c r="P274">
        <v>462</v>
      </c>
      <c r="Q274">
        <v>456</v>
      </c>
      <c r="W274" t="s">
        <v>450</v>
      </c>
      <c r="BA274" s="557"/>
      <c r="BC274" t="s">
        <v>604</v>
      </c>
    </row>
    <row r="275" spans="2:55" x14ac:dyDescent="0.25">
      <c r="B275">
        <v>1938127</v>
      </c>
      <c r="D275">
        <v>1940034</v>
      </c>
      <c r="E275">
        <v>1442308</v>
      </c>
      <c r="H275" t="s">
        <v>65</v>
      </c>
      <c r="P275">
        <v>463</v>
      </c>
      <c r="Q275">
        <v>457</v>
      </c>
      <c r="W275" t="s">
        <v>450</v>
      </c>
      <c r="BA275" s="557"/>
      <c r="BC275" t="s">
        <v>604</v>
      </c>
    </row>
    <row r="276" spans="2:55" x14ac:dyDescent="0.25">
      <c r="B276">
        <v>1938191</v>
      </c>
      <c r="D276">
        <v>1940034</v>
      </c>
      <c r="E276">
        <v>3508993</v>
      </c>
      <c r="H276" t="s">
        <v>65</v>
      </c>
      <c r="P276">
        <v>464</v>
      </c>
      <c r="Q276">
        <v>458</v>
      </c>
      <c r="W276" t="s">
        <v>450</v>
      </c>
      <c r="BA276" s="557"/>
      <c r="BC276" t="s">
        <v>604</v>
      </c>
    </row>
    <row r="277" spans="2:55" x14ac:dyDescent="0.25">
      <c r="B277">
        <v>1938195</v>
      </c>
      <c r="D277">
        <v>1940034</v>
      </c>
      <c r="E277">
        <v>1300148</v>
      </c>
      <c r="H277" t="s">
        <v>73</v>
      </c>
      <c r="P277">
        <v>465</v>
      </c>
      <c r="Q277">
        <v>459</v>
      </c>
      <c r="W277" t="s">
        <v>450</v>
      </c>
      <c r="BA277" s="557"/>
      <c r="BC277" t="s">
        <v>604</v>
      </c>
    </row>
    <row r="278" spans="2:55" x14ac:dyDescent="0.25">
      <c r="B278">
        <v>1939479</v>
      </c>
      <c r="D278">
        <v>1940034</v>
      </c>
      <c r="E278">
        <v>1940309</v>
      </c>
      <c r="H278" t="s">
        <v>22</v>
      </c>
      <c r="P278">
        <v>466</v>
      </c>
      <c r="Q278">
        <v>461</v>
      </c>
      <c r="W278" t="s">
        <v>450</v>
      </c>
      <c r="BA278" s="557"/>
      <c r="BC278" t="s">
        <v>604</v>
      </c>
    </row>
    <row r="279" spans="2:55" x14ac:dyDescent="0.25">
      <c r="B279">
        <v>1940614</v>
      </c>
      <c r="D279">
        <v>1940034</v>
      </c>
      <c r="E279">
        <v>437156</v>
      </c>
      <c r="H279" t="s">
        <v>22</v>
      </c>
      <c r="P279">
        <v>467</v>
      </c>
      <c r="Q279">
        <v>462</v>
      </c>
      <c r="W279" t="s">
        <v>450</v>
      </c>
      <c r="BA279" s="557"/>
      <c r="BC279" t="s">
        <v>604</v>
      </c>
    </row>
    <row r="280" spans="2:55" x14ac:dyDescent="0.25">
      <c r="B280">
        <v>1941303</v>
      </c>
      <c r="D280">
        <v>1940038</v>
      </c>
      <c r="E280">
        <v>477004</v>
      </c>
      <c r="H280" t="s">
        <v>54</v>
      </c>
      <c r="P280">
        <v>468</v>
      </c>
      <c r="Q280">
        <v>463</v>
      </c>
      <c r="W280" t="s">
        <v>450</v>
      </c>
      <c r="BA280" s="557"/>
      <c r="BC280" t="s">
        <v>604</v>
      </c>
    </row>
    <row r="281" spans="2:55" x14ac:dyDescent="0.25">
      <c r="B281">
        <v>2359912</v>
      </c>
      <c r="D281">
        <v>1940038</v>
      </c>
      <c r="E281">
        <v>1940310</v>
      </c>
      <c r="H281" t="s">
        <v>90</v>
      </c>
      <c r="P281">
        <v>469</v>
      </c>
      <c r="Q281">
        <v>464</v>
      </c>
      <c r="W281" t="s">
        <v>450</v>
      </c>
      <c r="BA281" s="557"/>
      <c r="BC281" t="s">
        <v>604</v>
      </c>
    </row>
    <row r="282" spans="2:55" x14ac:dyDescent="0.25">
      <c r="B282">
        <v>2396465</v>
      </c>
      <c r="D282">
        <v>1940038</v>
      </c>
      <c r="E282">
        <v>2427711</v>
      </c>
      <c r="H282" t="s">
        <v>90</v>
      </c>
      <c r="P282">
        <v>470</v>
      </c>
      <c r="Q282">
        <v>465</v>
      </c>
      <c r="W282" t="s">
        <v>450</v>
      </c>
      <c r="BA282" s="557"/>
      <c r="BC282" t="s">
        <v>604</v>
      </c>
    </row>
    <row r="283" spans="2:55" x14ac:dyDescent="0.25">
      <c r="B283">
        <v>2410389</v>
      </c>
      <c r="D283">
        <v>1940038</v>
      </c>
      <c r="E283">
        <v>3781637</v>
      </c>
      <c r="H283" t="s">
        <v>90</v>
      </c>
      <c r="P283">
        <v>471</v>
      </c>
      <c r="Q283">
        <v>466</v>
      </c>
      <c r="W283" t="s">
        <v>450</v>
      </c>
      <c r="BA283" s="557"/>
      <c r="BC283" t="s">
        <v>407</v>
      </c>
    </row>
    <row r="284" spans="2:55" x14ac:dyDescent="0.25">
      <c r="B284">
        <v>2410995</v>
      </c>
      <c r="D284">
        <v>1940038</v>
      </c>
      <c r="E284">
        <v>1940312</v>
      </c>
      <c r="H284" t="s">
        <v>51</v>
      </c>
      <c r="P284">
        <v>495</v>
      </c>
      <c r="Q284">
        <v>467</v>
      </c>
      <c r="W284" t="s">
        <v>450</v>
      </c>
      <c r="BA284" s="557"/>
      <c r="BC284" t="s">
        <v>407</v>
      </c>
    </row>
    <row r="285" spans="2:55" x14ac:dyDescent="0.25">
      <c r="B285">
        <v>2410997</v>
      </c>
      <c r="D285">
        <v>1940038</v>
      </c>
      <c r="E285">
        <v>437154</v>
      </c>
      <c r="H285" t="s">
        <v>51</v>
      </c>
      <c r="P285">
        <v>496</v>
      </c>
      <c r="Q285">
        <v>468</v>
      </c>
      <c r="W285" t="s">
        <v>895</v>
      </c>
      <c r="BA285" s="557"/>
      <c r="BC285" t="s">
        <v>407</v>
      </c>
    </row>
    <row r="286" spans="2:55" x14ac:dyDescent="0.25">
      <c r="B286">
        <v>2417648</v>
      </c>
      <c r="D286">
        <v>1940038</v>
      </c>
      <c r="E286">
        <v>1940313</v>
      </c>
      <c r="H286" t="s">
        <v>51</v>
      </c>
      <c r="P286">
        <v>501</v>
      </c>
      <c r="Q286">
        <v>469</v>
      </c>
      <c r="W286" t="s">
        <v>895</v>
      </c>
      <c r="BA286" s="557"/>
      <c r="BC286" t="s">
        <v>407</v>
      </c>
    </row>
    <row r="287" spans="2:55" x14ac:dyDescent="0.25">
      <c r="B287">
        <v>2432009</v>
      </c>
      <c r="D287">
        <v>1940038</v>
      </c>
      <c r="E287">
        <v>508988</v>
      </c>
      <c r="H287" t="s">
        <v>51</v>
      </c>
      <c r="P287">
        <v>502</v>
      </c>
      <c r="Q287">
        <v>470</v>
      </c>
      <c r="W287" t="s">
        <v>450</v>
      </c>
      <c r="BA287" s="557"/>
      <c r="BC287" t="s">
        <v>407</v>
      </c>
    </row>
    <row r="288" spans="2:55" x14ac:dyDescent="0.25">
      <c r="B288">
        <v>2439535</v>
      </c>
      <c r="D288">
        <v>1940038</v>
      </c>
      <c r="E288">
        <v>1940318</v>
      </c>
      <c r="H288" t="s">
        <v>51</v>
      </c>
      <c r="P288">
        <v>503</v>
      </c>
      <c r="Q288">
        <v>471</v>
      </c>
      <c r="W288" t="s">
        <v>450</v>
      </c>
      <c r="BA288" s="557"/>
      <c r="BC288" t="s">
        <v>407</v>
      </c>
    </row>
    <row r="289" spans="2:55" x14ac:dyDescent="0.25">
      <c r="B289">
        <v>3190072</v>
      </c>
      <c r="D289">
        <v>3715199</v>
      </c>
      <c r="E289">
        <v>437148</v>
      </c>
      <c r="H289" t="s">
        <v>51</v>
      </c>
      <c r="P289">
        <v>507</v>
      </c>
      <c r="Q289">
        <v>495</v>
      </c>
      <c r="W289" t="s">
        <v>450</v>
      </c>
      <c r="BA289" s="557"/>
      <c r="BC289" t="s">
        <v>407</v>
      </c>
    </row>
    <row r="290" spans="2:55" x14ac:dyDescent="0.25">
      <c r="B290">
        <v>3191790</v>
      </c>
      <c r="D290">
        <v>3715199</v>
      </c>
      <c r="E290">
        <v>2320564</v>
      </c>
      <c r="H290" t="s">
        <v>36</v>
      </c>
      <c r="P290">
        <v>517</v>
      </c>
      <c r="Q290">
        <v>496</v>
      </c>
      <c r="W290" t="s">
        <v>832</v>
      </c>
      <c r="BA290" s="557"/>
      <c r="BC290" t="s">
        <v>407</v>
      </c>
    </row>
    <row r="291" spans="2:55" x14ac:dyDescent="0.25">
      <c r="B291">
        <v>3219709</v>
      </c>
      <c r="D291">
        <v>3715199</v>
      </c>
      <c r="E291">
        <v>508992</v>
      </c>
      <c r="H291" t="s">
        <v>51</v>
      </c>
      <c r="P291">
        <v>518</v>
      </c>
      <c r="Q291">
        <v>497</v>
      </c>
      <c r="W291" t="s">
        <v>450</v>
      </c>
      <c r="BA291" s="557"/>
      <c r="BC291" t="s">
        <v>407</v>
      </c>
    </row>
    <row r="292" spans="2:55" x14ac:dyDescent="0.25">
      <c r="B292">
        <v>3487459</v>
      </c>
      <c r="D292">
        <v>3715199</v>
      </c>
      <c r="E292">
        <v>513789</v>
      </c>
      <c r="H292" t="s">
        <v>51</v>
      </c>
      <c r="P292">
        <v>519</v>
      </c>
      <c r="Q292">
        <v>501</v>
      </c>
      <c r="W292" t="s">
        <v>450</v>
      </c>
      <c r="BA292" s="557"/>
      <c r="BC292" t="s">
        <v>407</v>
      </c>
    </row>
    <row r="293" spans="2:55" x14ac:dyDescent="0.25">
      <c r="B293">
        <v>3499828</v>
      </c>
      <c r="D293">
        <v>3715199</v>
      </c>
      <c r="E293">
        <v>1940324</v>
      </c>
      <c r="H293" t="s">
        <v>36</v>
      </c>
      <c r="P293">
        <v>520</v>
      </c>
      <c r="Q293">
        <v>502</v>
      </c>
      <c r="W293" t="s">
        <v>450</v>
      </c>
      <c r="BA293" s="557"/>
      <c r="BC293" t="s">
        <v>407</v>
      </c>
    </row>
    <row r="294" spans="2:55" x14ac:dyDescent="0.25">
      <c r="B294">
        <v>3531650</v>
      </c>
      <c r="D294">
        <v>3715199</v>
      </c>
      <c r="E294">
        <v>437150</v>
      </c>
      <c r="H294" t="s">
        <v>36</v>
      </c>
      <c r="P294">
        <v>521</v>
      </c>
      <c r="Q294">
        <v>503</v>
      </c>
      <c r="W294" t="s">
        <v>450</v>
      </c>
      <c r="BA294" s="557"/>
      <c r="BC294" t="s">
        <v>407</v>
      </c>
    </row>
    <row r="295" spans="2:55" x14ac:dyDescent="0.25">
      <c r="B295">
        <v>3702679</v>
      </c>
      <c r="D295">
        <v>3715199</v>
      </c>
      <c r="E295">
        <v>511878</v>
      </c>
      <c r="H295" t="s">
        <v>51</v>
      </c>
      <c r="P295">
        <v>522</v>
      </c>
      <c r="Q295">
        <v>507</v>
      </c>
      <c r="W295" t="s">
        <v>450</v>
      </c>
      <c r="BA295" s="557"/>
      <c r="BC295" t="s">
        <v>407</v>
      </c>
    </row>
    <row r="296" spans="2:55" x14ac:dyDescent="0.25">
      <c r="B296">
        <v>3702717</v>
      </c>
      <c r="D296">
        <v>2409610</v>
      </c>
      <c r="E296">
        <v>1940325</v>
      </c>
      <c r="H296" t="s">
        <v>66</v>
      </c>
      <c r="P296">
        <v>523</v>
      </c>
      <c r="Q296">
        <v>516</v>
      </c>
      <c r="W296" t="s">
        <v>450</v>
      </c>
      <c r="BA296" s="557"/>
      <c r="BC296" t="s">
        <v>407</v>
      </c>
    </row>
    <row r="297" spans="2:55" x14ac:dyDescent="0.25">
      <c r="B297">
        <v>3702820</v>
      </c>
      <c r="D297">
        <v>2409610</v>
      </c>
      <c r="E297">
        <v>3507077</v>
      </c>
      <c r="H297" t="s">
        <v>66</v>
      </c>
      <c r="P297">
        <v>524</v>
      </c>
      <c r="Q297">
        <v>517</v>
      </c>
      <c r="W297" t="s">
        <v>450</v>
      </c>
      <c r="BA297" s="557"/>
      <c r="BC297" t="s">
        <v>407</v>
      </c>
    </row>
    <row r="298" spans="2:55" x14ac:dyDescent="0.25">
      <c r="B298">
        <v>3746291</v>
      </c>
      <c r="D298">
        <v>2409610</v>
      </c>
      <c r="E298">
        <v>437144</v>
      </c>
      <c r="H298" t="s">
        <v>66</v>
      </c>
      <c r="P298">
        <v>525</v>
      </c>
      <c r="Q298">
        <v>518</v>
      </c>
      <c r="W298" t="s">
        <v>450</v>
      </c>
      <c r="BA298" s="557"/>
      <c r="BC298" t="s">
        <v>407</v>
      </c>
    </row>
    <row r="299" spans="2:55" x14ac:dyDescent="0.25">
      <c r="B299">
        <v>3775122</v>
      </c>
      <c r="D299">
        <v>2409610</v>
      </c>
      <c r="E299">
        <v>1940327</v>
      </c>
      <c r="H299" t="s">
        <v>66</v>
      </c>
      <c r="P299">
        <v>526</v>
      </c>
      <c r="Q299">
        <v>519</v>
      </c>
      <c r="W299" t="s">
        <v>450</v>
      </c>
      <c r="BA299" s="557"/>
      <c r="BC299" t="s">
        <v>407</v>
      </c>
    </row>
    <row r="300" spans="2:55" x14ac:dyDescent="0.25">
      <c r="B300">
        <v>3775631</v>
      </c>
      <c r="D300">
        <v>1940043</v>
      </c>
      <c r="E300">
        <v>3508521</v>
      </c>
      <c r="H300" t="s">
        <v>66</v>
      </c>
      <c r="P300">
        <v>527</v>
      </c>
      <c r="Q300">
        <v>520</v>
      </c>
      <c r="W300" t="s">
        <v>450</v>
      </c>
      <c r="BA300" s="557"/>
      <c r="BC300" t="s">
        <v>407</v>
      </c>
    </row>
    <row r="301" spans="2:55" x14ac:dyDescent="0.25">
      <c r="B301">
        <v>3855139</v>
      </c>
      <c r="D301">
        <v>1940043</v>
      </c>
      <c r="E301">
        <v>1940329</v>
      </c>
      <c r="H301" t="s">
        <v>66</v>
      </c>
      <c r="P301">
        <v>528</v>
      </c>
      <c r="Q301">
        <v>521</v>
      </c>
      <c r="W301" t="s">
        <v>412</v>
      </c>
      <c r="BA301" s="557"/>
      <c r="BC301" t="s">
        <v>407</v>
      </c>
    </row>
    <row r="302" spans="2:55" x14ac:dyDescent="0.25">
      <c r="B302">
        <v>3870803</v>
      </c>
      <c r="D302">
        <v>1940043</v>
      </c>
      <c r="E302">
        <v>1372704</v>
      </c>
      <c r="H302" t="s">
        <v>40</v>
      </c>
      <c r="P302">
        <v>529</v>
      </c>
      <c r="Q302">
        <v>522</v>
      </c>
      <c r="W302" t="s">
        <v>412</v>
      </c>
      <c r="BA302" s="557"/>
      <c r="BC302" t="s">
        <v>407</v>
      </c>
    </row>
    <row r="303" spans="2:55" x14ac:dyDescent="0.25">
      <c r="B303">
        <v>3915667</v>
      </c>
      <c r="D303">
        <v>1940043</v>
      </c>
      <c r="E303">
        <v>1940335</v>
      </c>
      <c r="H303" t="s">
        <v>40</v>
      </c>
      <c r="P303">
        <v>530</v>
      </c>
      <c r="Q303">
        <v>523</v>
      </c>
      <c r="W303" t="s">
        <v>412</v>
      </c>
      <c r="BA303" s="557"/>
      <c r="BC303" t="s">
        <v>407</v>
      </c>
    </row>
    <row r="304" spans="2:55" x14ac:dyDescent="0.25">
      <c r="B304">
        <v>257093</v>
      </c>
      <c r="D304">
        <v>1940043</v>
      </c>
      <c r="E304">
        <v>3500582</v>
      </c>
      <c r="H304" t="s">
        <v>40</v>
      </c>
      <c r="P304">
        <v>531</v>
      </c>
      <c r="Q304">
        <v>524</v>
      </c>
      <c r="W304" t="s">
        <v>412</v>
      </c>
      <c r="BA304" s="557"/>
      <c r="BC304" t="s">
        <v>407</v>
      </c>
    </row>
    <row r="305" spans="2:55" x14ac:dyDescent="0.25">
      <c r="B305">
        <v>302897</v>
      </c>
      <c r="D305">
        <v>1940043</v>
      </c>
      <c r="E305">
        <v>1268694</v>
      </c>
      <c r="H305" t="s">
        <v>40</v>
      </c>
      <c r="P305">
        <v>532</v>
      </c>
      <c r="Q305">
        <v>525</v>
      </c>
      <c r="W305" t="s">
        <v>412</v>
      </c>
      <c r="BA305" s="557"/>
      <c r="BC305" t="s">
        <v>407</v>
      </c>
    </row>
    <row r="306" spans="2:55" x14ac:dyDescent="0.25">
      <c r="B306">
        <v>437147</v>
      </c>
      <c r="D306">
        <v>1940043</v>
      </c>
      <c r="E306">
        <v>238726</v>
      </c>
      <c r="H306" t="s">
        <v>40</v>
      </c>
      <c r="P306">
        <v>533</v>
      </c>
      <c r="Q306">
        <v>526</v>
      </c>
      <c r="W306" t="s">
        <v>412</v>
      </c>
      <c r="BA306" s="557"/>
      <c r="BC306" t="s">
        <v>407</v>
      </c>
    </row>
    <row r="307" spans="2:55" x14ac:dyDescent="0.25">
      <c r="B307">
        <v>437159</v>
      </c>
      <c r="D307">
        <v>1940043</v>
      </c>
      <c r="E307">
        <v>3718926</v>
      </c>
      <c r="H307" t="s">
        <v>98</v>
      </c>
      <c r="P307">
        <v>534</v>
      </c>
      <c r="Q307">
        <v>527</v>
      </c>
      <c r="W307" t="s">
        <v>450</v>
      </c>
      <c r="BA307" s="557"/>
      <c r="BC307" t="s">
        <v>407</v>
      </c>
    </row>
    <row r="308" spans="2:55" x14ac:dyDescent="0.25">
      <c r="B308">
        <v>444029</v>
      </c>
      <c r="D308">
        <v>1940043</v>
      </c>
      <c r="E308">
        <v>238539</v>
      </c>
      <c r="H308" t="s">
        <v>98</v>
      </c>
      <c r="P308">
        <v>535</v>
      </c>
      <c r="Q308">
        <v>528</v>
      </c>
      <c r="W308" t="s">
        <v>450</v>
      </c>
      <c r="BA308" s="557"/>
      <c r="BC308" t="s">
        <v>407</v>
      </c>
    </row>
    <row r="309" spans="2:55" x14ac:dyDescent="0.25">
      <c r="B309">
        <v>468843</v>
      </c>
      <c r="D309">
        <v>1940043</v>
      </c>
      <c r="E309">
        <v>2410643</v>
      </c>
      <c r="H309" t="s">
        <v>27</v>
      </c>
      <c r="P309">
        <v>536</v>
      </c>
      <c r="Q309">
        <v>529</v>
      </c>
      <c r="W309" t="s">
        <v>450</v>
      </c>
      <c r="BA309" s="557"/>
      <c r="BC309" t="s">
        <v>407</v>
      </c>
    </row>
    <row r="310" spans="2:55" x14ac:dyDescent="0.25">
      <c r="B310">
        <v>1155165</v>
      </c>
      <c r="D310">
        <v>1940043</v>
      </c>
      <c r="E310">
        <v>3228788</v>
      </c>
      <c r="H310" t="s">
        <v>27</v>
      </c>
      <c r="P310">
        <v>537</v>
      </c>
      <c r="Q310">
        <v>530</v>
      </c>
      <c r="W310" t="s">
        <v>450</v>
      </c>
      <c r="BA310" s="557"/>
      <c r="BC310" t="s">
        <v>407</v>
      </c>
    </row>
    <row r="311" spans="2:55" x14ac:dyDescent="0.25">
      <c r="B311">
        <v>1931310</v>
      </c>
      <c r="D311">
        <v>1940043</v>
      </c>
      <c r="E311">
        <v>2439536</v>
      </c>
      <c r="H311" t="s">
        <v>27</v>
      </c>
      <c r="P311">
        <v>538</v>
      </c>
      <c r="Q311">
        <v>531</v>
      </c>
      <c r="W311" t="s">
        <v>450</v>
      </c>
      <c r="BA311" s="557"/>
      <c r="BC311" t="s">
        <v>407</v>
      </c>
    </row>
    <row r="312" spans="2:55" x14ac:dyDescent="0.25">
      <c r="B312">
        <v>1938116</v>
      </c>
      <c r="D312">
        <v>1940043</v>
      </c>
      <c r="E312">
        <v>2439535</v>
      </c>
      <c r="H312" t="s">
        <v>37</v>
      </c>
      <c r="P312">
        <v>539</v>
      </c>
      <c r="Q312">
        <v>532</v>
      </c>
      <c r="W312" t="s">
        <v>450</v>
      </c>
      <c r="BA312" s="557"/>
      <c r="BC312" t="s">
        <v>407</v>
      </c>
    </row>
    <row r="313" spans="2:55" x14ac:dyDescent="0.25">
      <c r="B313">
        <v>1938119</v>
      </c>
      <c r="D313">
        <v>1940045</v>
      </c>
      <c r="E313">
        <v>3219710</v>
      </c>
      <c r="H313" t="s">
        <v>45</v>
      </c>
      <c r="P313">
        <v>540</v>
      </c>
      <c r="Q313">
        <v>533</v>
      </c>
      <c r="W313" t="s">
        <v>450</v>
      </c>
      <c r="BA313" s="557"/>
      <c r="BC313" t="s">
        <v>407</v>
      </c>
    </row>
    <row r="314" spans="2:55" x14ac:dyDescent="0.25">
      <c r="B314">
        <v>1938163</v>
      </c>
      <c r="D314">
        <v>1940045</v>
      </c>
      <c r="E314">
        <v>1940348</v>
      </c>
      <c r="H314" t="s">
        <v>44</v>
      </c>
      <c r="P314">
        <v>541</v>
      </c>
      <c r="Q314">
        <v>534</v>
      </c>
      <c r="W314" t="s">
        <v>450</v>
      </c>
      <c r="BA314" s="557"/>
      <c r="BC314" t="s">
        <v>407</v>
      </c>
    </row>
    <row r="315" spans="2:55" x14ac:dyDescent="0.25">
      <c r="B315">
        <v>1938358</v>
      </c>
      <c r="D315">
        <v>1940045</v>
      </c>
      <c r="E315">
        <v>2410999</v>
      </c>
      <c r="H315" t="s">
        <v>46</v>
      </c>
      <c r="P315">
        <v>545</v>
      </c>
      <c r="Q315">
        <v>535</v>
      </c>
      <c r="W315" t="s">
        <v>450</v>
      </c>
      <c r="BA315" s="557"/>
      <c r="BC315" t="s">
        <v>407</v>
      </c>
    </row>
    <row r="316" spans="2:55" x14ac:dyDescent="0.25">
      <c r="B316">
        <v>1938382</v>
      </c>
      <c r="D316">
        <v>1940045</v>
      </c>
      <c r="E316">
        <v>2410994</v>
      </c>
      <c r="H316" t="s">
        <v>46</v>
      </c>
      <c r="P316">
        <v>546</v>
      </c>
      <c r="Q316">
        <v>536</v>
      </c>
      <c r="W316" t="s">
        <v>450</v>
      </c>
      <c r="BA316" s="557"/>
      <c r="BC316" t="s">
        <v>407</v>
      </c>
    </row>
    <row r="317" spans="2:55" x14ac:dyDescent="0.25">
      <c r="B317">
        <v>1939283</v>
      </c>
      <c r="D317">
        <v>1940045</v>
      </c>
      <c r="E317">
        <v>314118</v>
      </c>
      <c r="H317" t="s">
        <v>46</v>
      </c>
      <c r="P317">
        <v>547</v>
      </c>
      <c r="Q317">
        <v>537</v>
      </c>
      <c r="W317" t="s">
        <v>450</v>
      </c>
      <c r="BA317" s="557"/>
      <c r="BC317" t="s">
        <v>407</v>
      </c>
    </row>
    <row r="318" spans="2:55" x14ac:dyDescent="0.25">
      <c r="B318">
        <v>1940213</v>
      </c>
      <c r="D318">
        <v>1940045</v>
      </c>
      <c r="E318">
        <v>420489</v>
      </c>
      <c r="H318" t="s">
        <v>46</v>
      </c>
      <c r="P318">
        <v>548</v>
      </c>
      <c r="Q318">
        <v>538</v>
      </c>
      <c r="W318" t="s">
        <v>1048</v>
      </c>
      <c r="BA318" s="557"/>
      <c r="BC318" t="s">
        <v>407</v>
      </c>
    </row>
    <row r="319" spans="2:55" x14ac:dyDescent="0.25">
      <c r="B319">
        <v>2359755</v>
      </c>
      <c r="D319">
        <v>1940045</v>
      </c>
      <c r="E319">
        <v>3180928</v>
      </c>
      <c r="H319" t="s">
        <v>44</v>
      </c>
      <c r="P319">
        <v>549</v>
      </c>
      <c r="Q319">
        <v>539</v>
      </c>
      <c r="W319" t="s">
        <v>1048</v>
      </c>
      <c r="BA319" s="557"/>
      <c r="BC319" t="s">
        <v>407</v>
      </c>
    </row>
    <row r="320" spans="2:55" x14ac:dyDescent="0.25">
      <c r="B320">
        <v>2363145</v>
      </c>
      <c r="D320">
        <v>1940045</v>
      </c>
      <c r="E320">
        <v>3667938</v>
      </c>
      <c r="H320" t="s">
        <v>44</v>
      </c>
      <c r="P320">
        <v>550</v>
      </c>
      <c r="Q320">
        <v>540</v>
      </c>
      <c r="W320" t="s">
        <v>1048</v>
      </c>
      <c r="BA320" s="557"/>
      <c r="BC320" t="s">
        <v>407</v>
      </c>
    </row>
    <row r="321" spans="2:55" x14ac:dyDescent="0.25">
      <c r="B321">
        <v>2396464</v>
      </c>
      <c r="D321">
        <v>1940045</v>
      </c>
      <c r="E321">
        <v>3507568</v>
      </c>
      <c r="H321" t="s">
        <v>90</v>
      </c>
      <c r="P321">
        <v>551</v>
      </c>
      <c r="Q321">
        <v>541</v>
      </c>
      <c r="W321" t="s">
        <v>1048</v>
      </c>
      <c r="BA321" s="557"/>
      <c r="BC321" t="s">
        <v>407</v>
      </c>
    </row>
    <row r="322" spans="2:55" x14ac:dyDescent="0.25">
      <c r="B322">
        <v>2397139</v>
      </c>
      <c r="D322">
        <v>1940045</v>
      </c>
      <c r="E322">
        <v>1270328</v>
      </c>
      <c r="H322" t="s">
        <v>9</v>
      </c>
      <c r="P322">
        <v>552</v>
      </c>
      <c r="Q322">
        <v>545</v>
      </c>
      <c r="W322" t="s">
        <v>1048</v>
      </c>
      <c r="BA322" s="557"/>
      <c r="BC322" t="s">
        <v>407</v>
      </c>
    </row>
    <row r="323" spans="2:55" x14ac:dyDescent="0.25">
      <c r="B323">
        <v>2410988</v>
      </c>
      <c r="D323">
        <v>1940045</v>
      </c>
      <c r="E323">
        <v>521118</v>
      </c>
      <c r="H323" t="s">
        <v>151</v>
      </c>
      <c r="P323">
        <v>553</v>
      </c>
      <c r="Q323">
        <v>546</v>
      </c>
      <c r="W323" t="s">
        <v>450</v>
      </c>
      <c r="BA323" s="557"/>
      <c r="BC323" t="s">
        <v>407</v>
      </c>
    </row>
    <row r="324" spans="2:55" x14ac:dyDescent="0.25">
      <c r="B324">
        <v>2411624</v>
      </c>
      <c r="D324">
        <v>1940045</v>
      </c>
      <c r="E324">
        <v>3669081</v>
      </c>
      <c r="H324" t="s">
        <v>39</v>
      </c>
      <c r="P324">
        <v>554</v>
      </c>
      <c r="Q324">
        <v>547</v>
      </c>
      <c r="W324" t="s">
        <v>450</v>
      </c>
      <c r="BA324" s="557"/>
      <c r="BC324" t="s">
        <v>407</v>
      </c>
    </row>
    <row r="325" spans="2:55" x14ac:dyDescent="0.25">
      <c r="B325">
        <v>2426240</v>
      </c>
      <c r="D325">
        <v>1940046</v>
      </c>
      <c r="E325">
        <v>3498972</v>
      </c>
      <c r="H325" t="s">
        <v>39</v>
      </c>
      <c r="P325">
        <v>555</v>
      </c>
      <c r="Q325">
        <v>548</v>
      </c>
      <c r="W325" t="s">
        <v>450</v>
      </c>
      <c r="BA325" s="557"/>
      <c r="BC325" t="s">
        <v>407</v>
      </c>
    </row>
    <row r="326" spans="2:55" x14ac:dyDescent="0.25">
      <c r="B326">
        <v>2428441</v>
      </c>
      <c r="D326">
        <v>1940046</v>
      </c>
      <c r="E326">
        <v>3500906</v>
      </c>
      <c r="H326" t="s">
        <v>78</v>
      </c>
      <c r="P326">
        <v>556</v>
      </c>
      <c r="Q326">
        <v>549</v>
      </c>
      <c r="W326" t="s">
        <v>450</v>
      </c>
      <c r="BA326" s="557"/>
      <c r="BC326" t="s">
        <v>407</v>
      </c>
    </row>
    <row r="327" spans="2:55" x14ac:dyDescent="0.25">
      <c r="B327">
        <v>2436343</v>
      </c>
      <c r="D327">
        <v>1940046</v>
      </c>
      <c r="E327">
        <v>3499662</v>
      </c>
      <c r="H327" t="s">
        <v>44</v>
      </c>
      <c r="P327">
        <v>557</v>
      </c>
      <c r="Q327">
        <v>550</v>
      </c>
      <c r="W327" t="s">
        <v>450</v>
      </c>
      <c r="BA327" s="557"/>
      <c r="BC327" t="s">
        <v>407</v>
      </c>
    </row>
    <row r="328" spans="2:55" x14ac:dyDescent="0.25">
      <c r="B328">
        <v>3182342</v>
      </c>
      <c r="D328">
        <v>1940046</v>
      </c>
      <c r="E328">
        <v>3829175</v>
      </c>
      <c r="H328" t="s">
        <v>78</v>
      </c>
      <c r="P328">
        <v>558</v>
      </c>
      <c r="Q328">
        <v>551</v>
      </c>
      <c r="W328" t="s">
        <v>450</v>
      </c>
      <c r="BA328" s="557"/>
      <c r="BC328" t="s">
        <v>407</v>
      </c>
    </row>
    <row r="329" spans="2:55" x14ac:dyDescent="0.25">
      <c r="B329">
        <v>3228788</v>
      </c>
      <c r="D329">
        <v>1940046</v>
      </c>
      <c r="E329">
        <v>355991</v>
      </c>
      <c r="H329" t="s">
        <v>61</v>
      </c>
      <c r="P329">
        <v>559</v>
      </c>
      <c r="Q329">
        <v>552</v>
      </c>
      <c r="W329" t="s">
        <v>450</v>
      </c>
      <c r="BA329" s="557"/>
      <c r="BC329" t="s">
        <v>407</v>
      </c>
    </row>
    <row r="330" spans="2:55" x14ac:dyDescent="0.25">
      <c r="B330">
        <v>3433148</v>
      </c>
      <c r="D330">
        <v>1940046</v>
      </c>
      <c r="E330">
        <v>237644</v>
      </c>
      <c r="H330" t="s">
        <v>66</v>
      </c>
      <c r="P330">
        <v>560</v>
      </c>
      <c r="Q330">
        <v>553</v>
      </c>
      <c r="W330" t="s">
        <v>450</v>
      </c>
      <c r="BA330" s="557"/>
      <c r="BC330" t="s">
        <v>407</v>
      </c>
    </row>
    <row r="331" spans="2:55" x14ac:dyDescent="0.25">
      <c r="B331">
        <v>3498972</v>
      </c>
      <c r="D331">
        <v>1940046</v>
      </c>
      <c r="E331">
        <v>256860</v>
      </c>
      <c r="H331" t="s">
        <v>65</v>
      </c>
      <c r="P331">
        <v>563</v>
      </c>
      <c r="Q331">
        <v>554</v>
      </c>
      <c r="W331" t="s">
        <v>407</v>
      </c>
      <c r="BA331" s="557"/>
      <c r="BC331" t="s">
        <v>3783</v>
      </c>
    </row>
    <row r="332" spans="2:55" x14ac:dyDescent="0.25">
      <c r="B332">
        <v>3499121</v>
      </c>
      <c r="D332">
        <v>1940046</v>
      </c>
      <c r="E332">
        <v>3747395</v>
      </c>
      <c r="H332" t="s">
        <v>36</v>
      </c>
      <c r="P332">
        <v>564</v>
      </c>
      <c r="Q332">
        <v>555</v>
      </c>
      <c r="W332" t="s">
        <v>407</v>
      </c>
      <c r="BA332" s="557"/>
      <c r="BC332" t="s">
        <v>724</v>
      </c>
    </row>
    <row r="333" spans="2:55" x14ac:dyDescent="0.25">
      <c r="B333">
        <v>3499231</v>
      </c>
      <c r="D333">
        <v>1940046</v>
      </c>
      <c r="E333">
        <v>292334</v>
      </c>
      <c r="H333" t="s">
        <v>36</v>
      </c>
      <c r="P333">
        <v>565</v>
      </c>
      <c r="Q333">
        <v>556</v>
      </c>
      <c r="W333" t="s">
        <v>407</v>
      </c>
      <c r="BA333" s="557"/>
      <c r="BC333" t="s">
        <v>724</v>
      </c>
    </row>
    <row r="334" spans="2:55" x14ac:dyDescent="0.25">
      <c r="B334">
        <v>3499307</v>
      </c>
      <c r="D334">
        <v>1940046</v>
      </c>
      <c r="E334">
        <v>508985</v>
      </c>
      <c r="H334" t="s">
        <v>36</v>
      </c>
      <c r="P334">
        <v>567</v>
      </c>
      <c r="Q334">
        <v>557</v>
      </c>
      <c r="W334" t="s">
        <v>407</v>
      </c>
      <c r="BA334" s="557"/>
      <c r="BC334" t="s">
        <v>995</v>
      </c>
    </row>
    <row r="335" spans="2:55" x14ac:dyDescent="0.25">
      <c r="B335">
        <v>3499903</v>
      </c>
      <c r="D335">
        <v>1940046</v>
      </c>
      <c r="E335">
        <v>3214089</v>
      </c>
      <c r="H335" t="s">
        <v>40</v>
      </c>
      <c r="P335">
        <v>568</v>
      </c>
      <c r="Q335">
        <v>558</v>
      </c>
      <c r="W335" t="s">
        <v>407</v>
      </c>
      <c r="BA335" s="557"/>
      <c r="BC335" t="s">
        <v>996</v>
      </c>
    </row>
    <row r="336" spans="2:55" x14ac:dyDescent="0.25">
      <c r="B336">
        <v>3500083</v>
      </c>
      <c r="D336">
        <v>1940046</v>
      </c>
      <c r="E336">
        <v>3556680</v>
      </c>
      <c r="H336" t="s">
        <v>40</v>
      </c>
      <c r="P336">
        <v>569</v>
      </c>
      <c r="Q336">
        <v>559</v>
      </c>
      <c r="W336" t="s">
        <v>450</v>
      </c>
      <c r="BA336" s="557"/>
      <c r="BC336" t="s">
        <v>3361</v>
      </c>
    </row>
    <row r="337" spans="2:55" x14ac:dyDescent="0.25">
      <c r="B337">
        <v>3500223</v>
      </c>
      <c r="D337">
        <v>2288948</v>
      </c>
      <c r="E337">
        <v>1448372</v>
      </c>
      <c r="H337" t="s">
        <v>40</v>
      </c>
      <c r="P337">
        <v>570</v>
      </c>
      <c r="Q337">
        <v>560</v>
      </c>
      <c r="W337" t="s">
        <v>450</v>
      </c>
      <c r="BA337" s="557"/>
      <c r="BC337" t="s">
        <v>6546</v>
      </c>
    </row>
    <row r="338" spans="2:55" x14ac:dyDescent="0.25">
      <c r="B338">
        <v>3500233</v>
      </c>
      <c r="D338">
        <v>2288948</v>
      </c>
      <c r="E338">
        <v>1399344</v>
      </c>
      <c r="H338" t="s">
        <v>40</v>
      </c>
      <c r="P338">
        <v>571</v>
      </c>
      <c r="Q338">
        <v>562</v>
      </c>
      <c r="W338" t="s">
        <v>450</v>
      </c>
      <c r="BA338" s="557"/>
      <c r="BC338" t="s">
        <v>3361</v>
      </c>
    </row>
    <row r="339" spans="2:55" x14ac:dyDescent="0.25">
      <c r="B339">
        <v>3500240</v>
      </c>
      <c r="D339">
        <v>1940054</v>
      </c>
      <c r="E339">
        <v>292333</v>
      </c>
      <c r="H339" t="s">
        <v>40</v>
      </c>
      <c r="P339">
        <v>572</v>
      </c>
      <c r="Q339">
        <v>563</v>
      </c>
      <c r="W339" t="s">
        <v>450</v>
      </c>
      <c r="BA339" s="557"/>
      <c r="BC339" t="s">
        <v>727</v>
      </c>
    </row>
    <row r="340" spans="2:55" x14ac:dyDescent="0.25">
      <c r="B340">
        <v>3500268</v>
      </c>
      <c r="D340">
        <v>1940054</v>
      </c>
      <c r="E340">
        <v>1254735</v>
      </c>
      <c r="H340" t="s">
        <v>40</v>
      </c>
      <c r="P340">
        <v>573</v>
      </c>
      <c r="Q340">
        <v>564</v>
      </c>
      <c r="W340" t="s">
        <v>450</v>
      </c>
      <c r="BA340" s="557"/>
      <c r="BC340" t="s">
        <v>997</v>
      </c>
    </row>
    <row r="341" spans="2:55" x14ac:dyDescent="0.25">
      <c r="B341">
        <v>3500308</v>
      </c>
      <c r="D341">
        <v>1940054</v>
      </c>
      <c r="E341">
        <v>3507486</v>
      </c>
      <c r="H341" t="s">
        <v>40</v>
      </c>
      <c r="P341">
        <v>574</v>
      </c>
      <c r="Q341">
        <v>565</v>
      </c>
      <c r="W341" t="s">
        <v>450</v>
      </c>
      <c r="BA341" s="557"/>
      <c r="BC341" t="s">
        <v>633</v>
      </c>
    </row>
    <row r="342" spans="2:55" x14ac:dyDescent="0.25">
      <c r="B342">
        <v>3500554</v>
      </c>
      <c r="D342">
        <v>1940054</v>
      </c>
      <c r="E342">
        <v>420528</v>
      </c>
      <c r="H342" t="s">
        <v>40</v>
      </c>
      <c r="P342">
        <v>592</v>
      </c>
      <c r="Q342">
        <v>567</v>
      </c>
      <c r="W342" t="s">
        <v>1045</v>
      </c>
      <c r="BA342" s="557"/>
      <c r="BC342" t="s">
        <v>633</v>
      </c>
    </row>
    <row r="343" spans="2:55" x14ac:dyDescent="0.25">
      <c r="B343">
        <v>3501133</v>
      </c>
      <c r="D343">
        <v>1940054</v>
      </c>
      <c r="E343">
        <v>3509824</v>
      </c>
      <c r="H343" t="s">
        <v>40</v>
      </c>
      <c r="P343">
        <v>593</v>
      </c>
      <c r="Q343">
        <v>568</v>
      </c>
      <c r="W343" t="s">
        <v>1045</v>
      </c>
      <c r="BA343" s="557"/>
      <c r="BC343" t="s">
        <v>633</v>
      </c>
    </row>
    <row r="344" spans="2:55" x14ac:dyDescent="0.25">
      <c r="B344">
        <v>3501264</v>
      </c>
      <c r="D344">
        <v>1940054</v>
      </c>
      <c r="E344">
        <v>3533249</v>
      </c>
      <c r="H344" t="s">
        <v>57</v>
      </c>
      <c r="P344">
        <v>594</v>
      </c>
      <c r="Q344">
        <v>569</v>
      </c>
      <c r="W344" t="s">
        <v>1045</v>
      </c>
      <c r="BA344" s="557"/>
      <c r="BC344" t="s">
        <v>633</v>
      </c>
    </row>
    <row r="345" spans="2:55" x14ac:dyDescent="0.25">
      <c r="B345">
        <v>3501386</v>
      </c>
      <c r="D345">
        <v>1940054</v>
      </c>
      <c r="E345">
        <v>3533248</v>
      </c>
      <c r="H345" t="s">
        <v>57</v>
      </c>
      <c r="P345">
        <v>595</v>
      </c>
      <c r="Q345">
        <v>570</v>
      </c>
      <c r="W345" t="s">
        <v>450</v>
      </c>
      <c r="BA345" s="557"/>
      <c r="BC345" t="s">
        <v>633</v>
      </c>
    </row>
    <row r="346" spans="2:55" x14ac:dyDescent="0.25">
      <c r="B346">
        <v>3502252</v>
      </c>
      <c r="D346">
        <v>1931425</v>
      </c>
      <c r="E346">
        <v>267070</v>
      </c>
      <c r="H346" t="s">
        <v>54</v>
      </c>
      <c r="P346">
        <v>600</v>
      </c>
      <c r="Q346">
        <v>571</v>
      </c>
      <c r="W346" t="s">
        <v>450</v>
      </c>
      <c r="BA346" s="557"/>
      <c r="BC346" t="s">
        <v>633</v>
      </c>
    </row>
    <row r="347" spans="2:55" x14ac:dyDescent="0.25">
      <c r="B347">
        <v>3502496</v>
      </c>
      <c r="D347">
        <v>1940055</v>
      </c>
      <c r="E347">
        <v>1385283</v>
      </c>
      <c r="H347" t="s">
        <v>17</v>
      </c>
      <c r="P347">
        <v>601</v>
      </c>
      <c r="Q347">
        <v>572</v>
      </c>
      <c r="W347" t="s">
        <v>450</v>
      </c>
      <c r="BA347" s="557"/>
      <c r="BC347" t="s">
        <v>633</v>
      </c>
    </row>
    <row r="348" spans="2:55" x14ac:dyDescent="0.25">
      <c r="B348">
        <v>3515987</v>
      </c>
      <c r="D348">
        <v>1931276</v>
      </c>
      <c r="E348">
        <v>3682123</v>
      </c>
      <c r="H348" t="s">
        <v>17</v>
      </c>
      <c r="P348">
        <v>607</v>
      </c>
      <c r="Q348">
        <v>573</v>
      </c>
      <c r="W348" t="s">
        <v>450</v>
      </c>
      <c r="BA348" s="557"/>
      <c r="BC348" t="s">
        <v>633</v>
      </c>
    </row>
    <row r="349" spans="2:55" x14ac:dyDescent="0.25">
      <c r="B349">
        <v>3516769</v>
      </c>
      <c r="D349">
        <v>1931276</v>
      </c>
      <c r="E349">
        <v>3502468</v>
      </c>
      <c r="H349" t="s">
        <v>17</v>
      </c>
      <c r="P349">
        <v>608</v>
      </c>
      <c r="Q349">
        <v>574</v>
      </c>
      <c r="W349" t="s">
        <v>450</v>
      </c>
      <c r="BA349" s="557"/>
      <c r="BC349" t="s">
        <v>607</v>
      </c>
    </row>
    <row r="350" spans="2:55" x14ac:dyDescent="0.25">
      <c r="B350">
        <v>3545373</v>
      </c>
      <c r="D350">
        <v>1931276</v>
      </c>
      <c r="E350">
        <v>3499239</v>
      </c>
      <c r="H350" t="s">
        <v>17</v>
      </c>
      <c r="P350">
        <v>623</v>
      </c>
      <c r="Q350">
        <v>592</v>
      </c>
      <c r="W350" t="s">
        <v>450</v>
      </c>
      <c r="BA350" s="557"/>
      <c r="BC350" t="s">
        <v>3834</v>
      </c>
    </row>
    <row r="351" spans="2:55" x14ac:dyDescent="0.25">
      <c r="B351">
        <v>3548921</v>
      </c>
      <c r="D351">
        <v>1931276</v>
      </c>
      <c r="E351">
        <v>235001</v>
      </c>
      <c r="H351" t="s">
        <v>17</v>
      </c>
      <c r="P351">
        <v>624</v>
      </c>
      <c r="Q351">
        <v>593</v>
      </c>
      <c r="W351" t="s">
        <v>872</v>
      </c>
      <c r="BA351" s="557"/>
      <c r="BC351" t="s">
        <v>3838</v>
      </c>
    </row>
    <row r="352" spans="2:55" x14ac:dyDescent="0.25">
      <c r="B352">
        <v>3549718</v>
      </c>
      <c r="D352">
        <v>3620428</v>
      </c>
      <c r="E352">
        <v>3682124</v>
      </c>
      <c r="H352" t="s">
        <v>17</v>
      </c>
      <c r="P352">
        <v>625</v>
      </c>
      <c r="Q352">
        <v>594</v>
      </c>
      <c r="W352" t="s">
        <v>872</v>
      </c>
      <c r="BA352" s="557"/>
      <c r="BC352" t="s">
        <v>3834</v>
      </c>
    </row>
    <row r="353" spans="2:55" x14ac:dyDescent="0.25">
      <c r="B353">
        <v>3586648</v>
      </c>
      <c r="D353">
        <v>3620428</v>
      </c>
      <c r="E353">
        <v>3506193</v>
      </c>
      <c r="H353" t="s">
        <v>17</v>
      </c>
      <c r="P353">
        <v>626</v>
      </c>
      <c r="Q353">
        <v>595</v>
      </c>
      <c r="W353" t="s">
        <v>872</v>
      </c>
      <c r="BA353" s="557"/>
      <c r="BC353" t="s">
        <v>412</v>
      </c>
    </row>
    <row r="354" spans="2:55" x14ac:dyDescent="0.25">
      <c r="B354">
        <v>3617058</v>
      </c>
      <c r="D354">
        <v>3620428</v>
      </c>
      <c r="E354">
        <v>296754</v>
      </c>
      <c r="H354" t="s">
        <v>17</v>
      </c>
      <c r="P354">
        <v>632</v>
      </c>
      <c r="Q354">
        <v>600</v>
      </c>
      <c r="W354" t="s">
        <v>872</v>
      </c>
      <c r="BA354" s="557"/>
      <c r="BC354" t="s">
        <v>412</v>
      </c>
    </row>
    <row r="355" spans="2:55" x14ac:dyDescent="0.25">
      <c r="B355">
        <v>3682063</v>
      </c>
      <c r="D355">
        <v>3620428</v>
      </c>
      <c r="E355">
        <v>1159568</v>
      </c>
      <c r="H355" t="s">
        <v>17</v>
      </c>
      <c r="P355">
        <v>633</v>
      </c>
      <c r="Q355">
        <v>601</v>
      </c>
      <c r="W355" t="s">
        <v>872</v>
      </c>
      <c r="BA355" s="557"/>
      <c r="BC355" t="s">
        <v>412</v>
      </c>
    </row>
    <row r="356" spans="2:55" x14ac:dyDescent="0.25">
      <c r="B356">
        <v>3682118</v>
      </c>
      <c r="D356">
        <v>3217233</v>
      </c>
      <c r="E356">
        <v>471489</v>
      </c>
      <c r="H356" t="s">
        <v>17</v>
      </c>
      <c r="P356">
        <v>634</v>
      </c>
      <c r="Q356">
        <v>607</v>
      </c>
      <c r="W356" t="s">
        <v>872</v>
      </c>
      <c r="BA356" s="557"/>
      <c r="BC356" t="s">
        <v>412</v>
      </c>
    </row>
    <row r="357" spans="2:55" x14ac:dyDescent="0.25">
      <c r="B357">
        <v>3682122</v>
      </c>
      <c r="D357">
        <v>3217233</v>
      </c>
      <c r="E357">
        <v>508984</v>
      </c>
      <c r="H357" t="s">
        <v>70</v>
      </c>
      <c r="P357">
        <v>636</v>
      </c>
      <c r="Q357">
        <v>608</v>
      </c>
      <c r="W357" t="s">
        <v>450</v>
      </c>
      <c r="BA357" s="557"/>
      <c r="BC357" t="s">
        <v>412</v>
      </c>
    </row>
    <row r="358" spans="2:55" x14ac:dyDescent="0.25">
      <c r="B358">
        <v>3682123</v>
      </c>
      <c r="D358">
        <v>2387804</v>
      </c>
      <c r="E358">
        <v>3781669</v>
      </c>
      <c r="H358" t="s">
        <v>37</v>
      </c>
      <c r="P358">
        <v>639</v>
      </c>
      <c r="Q358">
        <v>616</v>
      </c>
      <c r="W358" t="s">
        <v>450</v>
      </c>
      <c r="BA358" s="557"/>
      <c r="BC358" t="s">
        <v>412</v>
      </c>
    </row>
    <row r="359" spans="2:55" x14ac:dyDescent="0.25">
      <c r="B359">
        <v>3682124</v>
      </c>
      <c r="D359">
        <v>2387804</v>
      </c>
      <c r="E359">
        <v>1154248</v>
      </c>
      <c r="H359" t="s">
        <v>37</v>
      </c>
      <c r="P359">
        <v>641</v>
      </c>
      <c r="Q359">
        <v>617</v>
      </c>
      <c r="W359" t="s">
        <v>450</v>
      </c>
      <c r="BA359" s="557"/>
      <c r="BC359" t="s">
        <v>412</v>
      </c>
    </row>
    <row r="360" spans="2:55" x14ac:dyDescent="0.25">
      <c r="B360">
        <v>3682960</v>
      </c>
      <c r="D360">
        <v>3478135</v>
      </c>
      <c r="E360">
        <v>1174856</v>
      </c>
      <c r="H360" t="s">
        <v>37</v>
      </c>
      <c r="P360">
        <v>646</v>
      </c>
      <c r="Q360">
        <v>623</v>
      </c>
      <c r="W360" t="s">
        <v>450</v>
      </c>
      <c r="BA360" s="557"/>
      <c r="BC360" t="s">
        <v>412</v>
      </c>
    </row>
    <row r="361" spans="2:55" x14ac:dyDescent="0.25">
      <c r="B361">
        <v>3702207</v>
      </c>
      <c r="D361">
        <v>1900224</v>
      </c>
      <c r="E361">
        <v>475364</v>
      </c>
      <c r="H361" t="s">
        <v>40</v>
      </c>
      <c r="P361">
        <v>647</v>
      </c>
      <c r="Q361">
        <v>624</v>
      </c>
      <c r="W361" t="s">
        <v>450</v>
      </c>
      <c r="BA361" s="557"/>
      <c r="BC361" t="s">
        <v>412</v>
      </c>
    </row>
    <row r="362" spans="2:55" x14ac:dyDescent="0.25">
      <c r="B362">
        <v>3702863</v>
      </c>
      <c r="D362">
        <v>1900224</v>
      </c>
      <c r="E362">
        <v>1405728</v>
      </c>
      <c r="H362" t="s">
        <v>32</v>
      </c>
      <c r="P362">
        <v>648</v>
      </c>
      <c r="Q362">
        <v>625</v>
      </c>
      <c r="W362" t="s">
        <v>450</v>
      </c>
      <c r="BA362" s="557"/>
      <c r="BC362" t="s">
        <v>412</v>
      </c>
    </row>
    <row r="363" spans="2:55" x14ac:dyDescent="0.25">
      <c r="B363">
        <v>3702875</v>
      </c>
      <c r="D363">
        <v>1900224</v>
      </c>
      <c r="E363">
        <v>1405729</v>
      </c>
      <c r="H363" t="s">
        <v>65</v>
      </c>
      <c r="P363">
        <v>649</v>
      </c>
      <c r="Q363">
        <v>626</v>
      </c>
      <c r="W363" t="s">
        <v>450</v>
      </c>
      <c r="BA363" s="557"/>
      <c r="BC363" t="s">
        <v>412</v>
      </c>
    </row>
    <row r="364" spans="2:55" x14ac:dyDescent="0.25">
      <c r="B364">
        <v>3711330</v>
      </c>
      <c r="D364">
        <v>1900224</v>
      </c>
      <c r="E364">
        <v>288719</v>
      </c>
      <c r="H364" t="s">
        <v>65</v>
      </c>
      <c r="P364">
        <v>650</v>
      </c>
      <c r="Q364">
        <v>632</v>
      </c>
      <c r="W364" t="s">
        <v>450</v>
      </c>
      <c r="BA364" s="557"/>
      <c r="BC364" t="s">
        <v>412</v>
      </c>
    </row>
    <row r="365" spans="2:55" x14ac:dyDescent="0.25">
      <c r="B365">
        <v>3722021</v>
      </c>
      <c r="D365">
        <v>1900224</v>
      </c>
      <c r="E365">
        <v>3506173</v>
      </c>
      <c r="H365" t="s">
        <v>65</v>
      </c>
      <c r="P365">
        <v>651</v>
      </c>
      <c r="Q365">
        <v>633</v>
      </c>
      <c r="W365" t="s">
        <v>450</v>
      </c>
      <c r="BA365" s="557"/>
      <c r="BC365" t="s">
        <v>412</v>
      </c>
    </row>
    <row r="366" spans="2:55" x14ac:dyDescent="0.25">
      <c r="B366">
        <v>3770405</v>
      </c>
      <c r="D366">
        <v>1900224</v>
      </c>
      <c r="E366">
        <v>3775108</v>
      </c>
      <c r="H366" t="s">
        <v>65</v>
      </c>
      <c r="P366">
        <v>652</v>
      </c>
      <c r="Q366">
        <v>634</v>
      </c>
      <c r="W366" t="s">
        <v>450</v>
      </c>
      <c r="BA366" s="557"/>
      <c r="BC366" t="s">
        <v>412</v>
      </c>
    </row>
    <row r="367" spans="2:55" x14ac:dyDescent="0.25">
      <c r="B367">
        <v>3775788</v>
      </c>
      <c r="D367">
        <v>1900224</v>
      </c>
      <c r="E367">
        <v>1936862</v>
      </c>
      <c r="H367" t="s">
        <v>65</v>
      </c>
      <c r="P367">
        <v>653</v>
      </c>
      <c r="Q367">
        <v>636</v>
      </c>
      <c r="W367" t="s">
        <v>450</v>
      </c>
      <c r="BA367" s="557"/>
      <c r="BC367" t="s">
        <v>412</v>
      </c>
    </row>
    <row r="368" spans="2:55" x14ac:dyDescent="0.25">
      <c r="B368">
        <v>3780004</v>
      </c>
      <c r="D368">
        <v>1900224</v>
      </c>
      <c r="E368">
        <v>437135</v>
      </c>
      <c r="H368" t="s">
        <v>58</v>
      </c>
      <c r="P368">
        <v>656</v>
      </c>
      <c r="Q368">
        <v>639</v>
      </c>
      <c r="W368" t="s">
        <v>450</v>
      </c>
      <c r="BA368" s="557"/>
      <c r="BC368" t="s">
        <v>412</v>
      </c>
    </row>
    <row r="369" spans="2:55" x14ac:dyDescent="0.25">
      <c r="B369">
        <v>3781637</v>
      </c>
      <c r="D369">
        <v>1900224</v>
      </c>
      <c r="E369">
        <v>319684</v>
      </c>
      <c r="H369" t="s">
        <v>76</v>
      </c>
      <c r="P369">
        <v>657</v>
      </c>
      <c r="Q369">
        <v>641</v>
      </c>
      <c r="W369" t="s">
        <v>450</v>
      </c>
      <c r="BA369" s="557"/>
      <c r="BC369" t="s">
        <v>412</v>
      </c>
    </row>
    <row r="370" spans="2:55" x14ac:dyDescent="0.25">
      <c r="B370">
        <v>3784469</v>
      </c>
      <c r="D370">
        <v>1900224</v>
      </c>
      <c r="E370">
        <v>1140411</v>
      </c>
      <c r="H370" t="s">
        <v>37</v>
      </c>
      <c r="P370">
        <v>658</v>
      </c>
      <c r="Q370">
        <v>646</v>
      </c>
      <c r="W370" t="s">
        <v>450</v>
      </c>
      <c r="BA370" s="557"/>
      <c r="BC370" t="s">
        <v>412</v>
      </c>
    </row>
    <row r="371" spans="2:55" x14ac:dyDescent="0.25">
      <c r="B371">
        <v>3788034</v>
      </c>
      <c r="D371">
        <v>1900224</v>
      </c>
      <c r="E371">
        <v>3673949</v>
      </c>
      <c r="H371" t="s">
        <v>39</v>
      </c>
      <c r="P371">
        <v>659</v>
      </c>
      <c r="Q371">
        <v>647</v>
      </c>
      <c r="W371" t="s">
        <v>450</v>
      </c>
      <c r="BA371" s="557"/>
      <c r="BC371" t="s">
        <v>412</v>
      </c>
    </row>
    <row r="372" spans="2:55" x14ac:dyDescent="0.25">
      <c r="B372">
        <v>3801265</v>
      </c>
      <c r="D372">
        <v>1940078</v>
      </c>
      <c r="E372">
        <v>3508391</v>
      </c>
      <c r="H372" t="s">
        <v>39</v>
      </c>
      <c r="P372">
        <v>672</v>
      </c>
      <c r="Q372">
        <v>648</v>
      </c>
      <c r="W372" t="s">
        <v>412</v>
      </c>
      <c r="BA372" s="557"/>
      <c r="BC372" t="s">
        <v>412</v>
      </c>
    </row>
    <row r="373" spans="2:55" x14ac:dyDescent="0.25">
      <c r="B373">
        <v>3806599</v>
      </c>
      <c r="D373">
        <v>1940078</v>
      </c>
      <c r="E373">
        <v>1361680</v>
      </c>
      <c r="H373" t="s">
        <v>21</v>
      </c>
      <c r="P373">
        <v>673</v>
      </c>
      <c r="Q373">
        <v>649</v>
      </c>
      <c r="W373" t="s">
        <v>412</v>
      </c>
      <c r="BA373" s="557"/>
      <c r="BC373" t="s">
        <v>412</v>
      </c>
    </row>
    <row r="374" spans="2:55" x14ac:dyDescent="0.25">
      <c r="B374">
        <v>3870804</v>
      </c>
      <c r="D374">
        <v>1940078</v>
      </c>
      <c r="E374">
        <v>1455510</v>
      </c>
      <c r="H374" t="s">
        <v>21</v>
      </c>
      <c r="P374">
        <v>683</v>
      </c>
      <c r="Q374">
        <v>650</v>
      </c>
      <c r="W374" t="s">
        <v>450</v>
      </c>
      <c r="BA374" s="557"/>
      <c r="BC374" t="s">
        <v>412</v>
      </c>
    </row>
    <row r="375" spans="2:55" x14ac:dyDescent="0.25">
      <c r="B375">
        <v>3901714</v>
      </c>
      <c r="D375">
        <v>1940078</v>
      </c>
      <c r="E375">
        <v>3697417</v>
      </c>
      <c r="H375" t="s">
        <v>21</v>
      </c>
      <c r="P375">
        <v>684</v>
      </c>
      <c r="Q375">
        <v>651</v>
      </c>
      <c r="W375" t="s">
        <v>450</v>
      </c>
      <c r="BA375" s="557"/>
      <c r="BC375" t="s">
        <v>412</v>
      </c>
    </row>
    <row r="376" spans="2:55" x14ac:dyDescent="0.25">
      <c r="B376">
        <v>3514379</v>
      </c>
      <c r="D376">
        <v>1940078</v>
      </c>
      <c r="E376">
        <v>3500554</v>
      </c>
      <c r="H376" t="s">
        <v>21</v>
      </c>
      <c r="P376">
        <v>759</v>
      </c>
      <c r="Q376">
        <v>652</v>
      </c>
      <c r="W376" t="s">
        <v>450</v>
      </c>
      <c r="BA376" s="557"/>
      <c r="BC376" t="s">
        <v>412</v>
      </c>
    </row>
    <row r="377" spans="2:55" x14ac:dyDescent="0.25">
      <c r="B377">
        <v>3502487</v>
      </c>
      <c r="D377">
        <v>1940078</v>
      </c>
      <c r="E377">
        <v>3568328</v>
      </c>
      <c r="H377" t="s">
        <v>21</v>
      </c>
      <c r="P377">
        <v>891</v>
      </c>
      <c r="Q377">
        <v>653</v>
      </c>
      <c r="W377" t="s">
        <v>450</v>
      </c>
      <c r="BA377" s="557"/>
      <c r="BC377" t="s">
        <v>412</v>
      </c>
    </row>
    <row r="378" spans="2:55" x14ac:dyDescent="0.25">
      <c r="B378">
        <v>3682070</v>
      </c>
      <c r="D378">
        <v>1940078</v>
      </c>
      <c r="E378">
        <v>3500471</v>
      </c>
      <c r="H378" t="s">
        <v>21</v>
      </c>
      <c r="P378">
        <v>892</v>
      </c>
      <c r="Q378">
        <v>656</v>
      </c>
      <c r="W378" t="s">
        <v>450</v>
      </c>
      <c r="BA378" s="557"/>
      <c r="BC378" t="s">
        <v>412</v>
      </c>
    </row>
    <row r="379" spans="2:55" x14ac:dyDescent="0.25">
      <c r="B379">
        <v>3502322</v>
      </c>
      <c r="D379">
        <v>1940078</v>
      </c>
      <c r="E379">
        <v>1196779</v>
      </c>
      <c r="H379" t="s">
        <v>78</v>
      </c>
      <c r="P379">
        <v>893</v>
      </c>
      <c r="Q379">
        <v>657</v>
      </c>
      <c r="W379" t="s">
        <v>450</v>
      </c>
      <c r="BA379" s="557"/>
      <c r="BC379" t="s">
        <v>633</v>
      </c>
    </row>
    <row r="380" spans="2:55" x14ac:dyDescent="0.25">
      <c r="B380">
        <v>3636656</v>
      </c>
      <c r="D380">
        <v>1940078</v>
      </c>
      <c r="E380">
        <v>3500134</v>
      </c>
      <c r="H380" t="s">
        <v>37</v>
      </c>
      <c r="P380">
        <v>894</v>
      </c>
      <c r="Q380">
        <v>658</v>
      </c>
      <c r="W380" t="s">
        <v>450</v>
      </c>
      <c r="BA380" s="557"/>
      <c r="BC380" t="s">
        <v>633</v>
      </c>
    </row>
    <row r="381" spans="2:55" x14ac:dyDescent="0.25">
      <c r="B381">
        <v>2439536</v>
      </c>
      <c r="D381">
        <v>1940078</v>
      </c>
      <c r="E381">
        <v>3499230</v>
      </c>
      <c r="H381" t="s">
        <v>22</v>
      </c>
      <c r="P381">
        <v>895</v>
      </c>
      <c r="Q381">
        <v>659</v>
      </c>
      <c r="W381" t="s">
        <v>450</v>
      </c>
      <c r="BA381" s="557"/>
      <c r="BC381" t="s">
        <v>633</v>
      </c>
    </row>
    <row r="382" spans="2:55" x14ac:dyDescent="0.25">
      <c r="B382">
        <v>3500635</v>
      </c>
      <c r="D382">
        <v>1940078</v>
      </c>
      <c r="E382">
        <v>3502303</v>
      </c>
      <c r="H382" t="s">
        <v>22</v>
      </c>
      <c r="P382">
        <v>896</v>
      </c>
      <c r="Q382">
        <v>672</v>
      </c>
      <c r="W382" t="s">
        <v>450</v>
      </c>
      <c r="BA382" s="557"/>
      <c r="BC382" t="s">
        <v>633</v>
      </c>
    </row>
    <row r="383" spans="2:55" x14ac:dyDescent="0.25">
      <c r="B383">
        <v>1930116</v>
      </c>
      <c r="D383">
        <v>1940078</v>
      </c>
      <c r="E383">
        <v>3245308</v>
      </c>
      <c r="H383" t="s">
        <v>22</v>
      </c>
      <c r="P383">
        <v>897</v>
      </c>
      <c r="Q383">
        <v>673</v>
      </c>
      <c r="W383" t="s">
        <v>450</v>
      </c>
      <c r="BA383" s="557"/>
      <c r="BC383" t="s">
        <v>633</v>
      </c>
    </row>
    <row r="384" spans="2:55" x14ac:dyDescent="0.25">
      <c r="B384">
        <v>3774983</v>
      </c>
      <c r="D384">
        <v>1940078</v>
      </c>
      <c r="E384">
        <v>3686335</v>
      </c>
      <c r="H384" t="s">
        <v>22</v>
      </c>
      <c r="P384">
        <v>898</v>
      </c>
      <c r="Q384">
        <v>674</v>
      </c>
      <c r="W384" t="s">
        <v>450</v>
      </c>
      <c r="BA384" s="557"/>
      <c r="BC384" t="s">
        <v>562</v>
      </c>
    </row>
    <row r="385" spans="2:55" x14ac:dyDescent="0.25">
      <c r="B385">
        <v>3502026</v>
      </c>
      <c r="D385">
        <v>1940078</v>
      </c>
      <c r="E385">
        <v>3682068</v>
      </c>
      <c r="H385" t="s">
        <v>22</v>
      </c>
      <c r="P385">
        <v>899</v>
      </c>
      <c r="Q385">
        <v>675</v>
      </c>
      <c r="W385" t="s">
        <v>737</v>
      </c>
      <c r="BA385" s="557"/>
      <c r="BC385" t="s">
        <v>633</v>
      </c>
    </row>
    <row r="386" spans="2:55" x14ac:dyDescent="0.25">
      <c r="D386">
        <v>1940078</v>
      </c>
      <c r="E386">
        <v>250198</v>
      </c>
      <c r="H386" t="s">
        <v>65</v>
      </c>
      <c r="P386">
        <v>900</v>
      </c>
      <c r="Q386">
        <v>676</v>
      </c>
      <c r="W386" t="s">
        <v>450</v>
      </c>
      <c r="BA386" s="557"/>
      <c r="BC386" t="s">
        <v>633</v>
      </c>
    </row>
    <row r="387" spans="2:55" x14ac:dyDescent="0.25">
      <c r="D387">
        <v>1940075</v>
      </c>
      <c r="E387">
        <v>3673948</v>
      </c>
      <c r="H387" t="s">
        <v>65</v>
      </c>
      <c r="P387">
        <v>901</v>
      </c>
      <c r="Q387">
        <v>677</v>
      </c>
      <c r="W387" t="s">
        <v>450</v>
      </c>
      <c r="BA387" s="557"/>
      <c r="BC387" t="s">
        <v>633</v>
      </c>
    </row>
    <row r="388" spans="2:55" x14ac:dyDescent="0.25">
      <c r="D388">
        <v>2420205</v>
      </c>
      <c r="E388">
        <v>3508156</v>
      </c>
      <c r="H388" t="s">
        <v>65</v>
      </c>
      <c r="P388">
        <v>902</v>
      </c>
      <c r="Q388">
        <v>678</v>
      </c>
      <c r="W388" t="s">
        <v>450</v>
      </c>
      <c r="BA388" s="557"/>
      <c r="BC388" t="s">
        <v>633</v>
      </c>
    </row>
    <row r="389" spans="2:55" x14ac:dyDescent="0.25">
      <c r="D389">
        <v>2420205</v>
      </c>
      <c r="E389">
        <v>1333188</v>
      </c>
      <c r="H389" t="s">
        <v>65</v>
      </c>
      <c r="P389">
        <v>903</v>
      </c>
      <c r="Q389">
        <v>679</v>
      </c>
      <c r="W389" t="s">
        <v>450</v>
      </c>
      <c r="BA389" s="557"/>
      <c r="BC389" t="s">
        <v>633</v>
      </c>
    </row>
    <row r="390" spans="2:55" x14ac:dyDescent="0.25">
      <c r="D390">
        <v>2420205</v>
      </c>
      <c r="E390">
        <v>1364720</v>
      </c>
      <c r="H390" t="s">
        <v>65</v>
      </c>
      <c r="P390">
        <v>904</v>
      </c>
      <c r="Q390">
        <v>683</v>
      </c>
      <c r="W390" t="s">
        <v>450</v>
      </c>
      <c r="BA390" s="557"/>
      <c r="BC390" t="s">
        <v>633</v>
      </c>
    </row>
    <row r="391" spans="2:55" x14ac:dyDescent="0.25">
      <c r="D391">
        <v>2420205</v>
      </c>
      <c r="E391">
        <v>1241174</v>
      </c>
      <c r="H391" t="s">
        <v>76</v>
      </c>
      <c r="P391">
        <v>905</v>
      </c>
      <c r="Q391">
        <v>684</v>
      </c>
      <c r="W391" t="s">
        <v>450</v>
      </c>
      <c r="BA391" s="557"/>
      <c r="BC391" t="s">
        <v>633</v>
      </c>
    </row>
    <row r="392" spans="2:55" x14ac:dyDescent="0.25">
      <c r="D392">
        <v>3706751</v>
      </c>
      <c r="E392">
        <v>3087645</v>
      </c>
      <c r="H392" t="s">
        <v>37</v>
      </c>
      <c r="P392">
        <v>906</v>
      </c>
      <c r="Q392">
        <v>759</v>
      </c>
      <c r="W392" t="s">
        <v>450</v>
      </c>
      <c r="BA392" s="557"/>
      <c r="BC392" t="s">
        <v>633</v>
      </c>
    </row>
    <row r="393" spans="2:55" x14ac:dyDescent="0.25">
      <c r="D393">
        <v>3706751</v>
      </c>
      <c r="E393">
        <v>3506579</v>
      </c>
      <c r="H393" t="s">
        <v>37</v>
      </c>
      <c r="P393">
        <v>907</v>
      </c>
      <c r="Q393">
        <v>891</v>
      </c>
      <c r="W393" t="s">
        <v>450</v>
      </c>
      <c r="BA393" s="557"/>
      <c r="BC393" t="s">
        <v>633</v>
      </c>
    </row>
    <row r="394" spans="2:55" x14ac:dyDescent="0.25">
      <c r="D394">
        <v>3706751</v>
      </c>
      <c r="E394">
        <v>3501890</v>
      </c>
      <c r="H394" t="s">
        <v>60</v>
      </c>
      <c r="P394">
        <v>908</v>
      </c>
      <c r="Q394">
        <v>892</v>
      </c>
      <c r="W394" t="s">
        <v>450</v>
      </c>
      <c r="BA394" s="557"/>
      <c r="BC394" t="s">
        <v>633</v>
      </c>
    </row>
    <row r="395" spans="2:55" x14ac:dyDescent="0.25">
      <c r="D395">
        <v>468311</v>
      </c>
      <c r="E395">
        <v>3502302</v>
      </c>
      <c r="H395" t="s">
        <v>60</v>
      </c>
      <c r="P395">
        <v>909</v>
      </c>
      <c r="Q395">
        <v>893</v>
      </c>
      <c r="W395" t="s">
        <v>412</v>
      </c>
      <c r="BA395" s="557"/>
      <c r="BC395" t="s">
        <v>633</v>
      </c>
    </row>
    <row r="396" spans="2:55" x14ac:dyDescent="0.25">
      <c r="D396">
        <v>468311</v>
      </c>
      <c r="E396">
        <v>235488</v>
      </c>
      <c r="H396" t="s">
        <v>60</v>
      </c>
      <c r="P396">
        <v>910</v>
      </c>
      <c r="Q396">
        <v>894</v>
      </c>
      <c r="W396" t="s">
        <v>412</v>
      </c>
      <c r="BA396" s="557"/>
      <c r="BC396" t="s">
        <v>633</v>
      </c>
    </row>
    <row r="397" spans="2:55" x14ac:dyDescent="0.25">
      <c r="D397">
        <v>468311</v>
      </c>
      <c r="E397">
        <v>1144880</v>
      </c>
      <c r="H397" t="s">
        <v>60</v>
      </c>
      <c r="P397">
        <v>911</v>
      </c>
      <c r="Q397">
        <v>895</v>
      </c>
      <c r="W397" t="s">
        <v>450</v>
      </c>
      <c r="BA397" s="557"/>
      <c r="BC397" t="s">
        <v>633</v>
      </c>
    </row>
    <row r="398" spans="2:55" x14ac:dyDescent="0.25">
      <c r="D398">
        <v>1940090</v>
      </c>
      <c r="E398">
        <v>1940357</v>
      </c>
      <c r="H398" t="s">
        <v>60</v>
      </c>
      <c r="P398">
        <v>912</v>
      </c>
      <c r="Q398">
        <v>896</v>
      </c>
      <c r="W398" t="s">
        <v>450</v>
      </c>
      <c r="BA398" s="557"/>
      <c r="BC398" t="s">
        <v>633</v>
      </c>
    </row>
    <row r="399" spans="2:55" x14ac:dyDescent="0.25">
      <c r="D399">
        <v>1940090</v>
      </c>
      <c r="E399">
        <v>1940360</v>
      </c>
      <c r="H399" t="s">
        <v>60</v>
      </c>
      <c r="P399">
        <v>913</v>
      </c>
      <c r="Q399">
        <v>897</v>
      </c>
      <c r="W399" t="s">
        <v>450</v>
      </c>
      <c r="BA399" s="557"/>
      <c r="BC399" t="s">
        <v>633</v>
      </c>
    </row>
    <row r="400" spans="2:55" x14ac:dyDescent="0.25">
      <c r="D400">
        <v>1940090</v>
      </c>
      <c r="E400">
        <v>1900466</v>
      </c>
      <c r="H400" t="s">
        <v>60</v>
      </c>
      <c r="P400">
        <v>914</v>
      </c>
      <c r="Q400">
        <v>898</v>
      </c>
      <c r="W400" t="s">
        <v>450</v>
      </c>
      <c r="BA400" s="557"/>
      <c r="BC400" t="s">
        <v>633</v>
      </c>
    </row>
    <row r="401" spans="4:55" x14ac:dyDescent="0.25">
      <c r="D401">
        <v>1940090</v>
      </c>
      <c r="E401">
        <v>1940363</v>
      </c>
      <c r="H401" t="s">
        <v>60</v>
      </c>
      <c r="P401">
        <v>915</v>
      </c>
      <c r="Q401">
        <v>899</v>
      </c>
      <c r="W401" t="s">
        <v>450</v>
      </c>
      <c r="BA401" s="557"/>
      <c r="BC401" t="s">
        <v>562</v>
      </c>
    </row>
    <row r="402" spans="4:55" x14ac:dyDescent="0.25">
      <c r="D402">
        <v>1940090</v>
      </c>
      <c r="E402">
        <v>3747393</v>
      </c>
      <c r="H402" t="s">
        <v>60</v>
      </c>
      <c r="P402">
        <v>916</v>
      </c>
      <c r="Q402">
        <v>900</v>
      </c>
      <c r="W402" t="s">
        <v>450</v>
      </c>
      <c r="BA402" s="557"/>
      <c r="BC402" t="s">
        <v>633</v>
      </c>
    </row>
    <row r="403" spans="4:55" x14ac:dyDescent="0.25">
      <c r="D403">
        <v>1940090</v>
      </c>
      <c r="E403">
        <v>2423535</v>
      </c>
      <c r="H403" t="s">
        <v>60</v>
      </c>
      <c r="P403">
        <v>917</v>
      </c>
      <c r="Q403">
        <v>901</v>
      </c>
      <c r="W403" t="s">
        <v>450</v>
      </c>
      <c r="BA403" s="557"/>
      <c r="BC403" t="s">
        <v>633</v>
      </c>
    </row>
    <row r="404" spans="4:55" x14ac:dyDescent="0.25">
      <c r="D404">
        <v>1940090</v>
      </c>
      <c r="E404">
        <v>3183145</v>
      </c>
      <c r="H404" t="s">
        <v>60</v>
      </c>
      <c r="P404">
        <v>918</v>
      </c>
      <c r="Q404">
        <v>902</v>
      </c>
      <c r="W404" t="s">
        <v>450</v>
      </c>
      <c r="BA404" s="557"/>
      <c r="BC404" t="s">
        <v>633</v>
      </c>
    </row>
    <row r="405" spans="4:55" x14ac:dyDescent="0.25">
      <c r="D405">
        <v>1940090</v>
      </c>
      <c r="E405">
        <v>1940369</v>
      </c>
      <c r="H405" t="s">
        <v>60</v>
      </c>
      <c r="P405">
        <v>919</v>
      </c>
      <c r="Q405">
        <v>903</v>
      </c>
      <c r="W405" t="s">
        <v>604</v>
      </c>
      <c r="BA405" s="557"/>
      <c r="BC405" t="s">
        <v>562</v>
      </c>
    </row>
    <row r="406" spans="4:55" x14ac:dyDescent="0.25">
      <c r="D406">
        <v>1940090</v>
      </c>
      <c r="E406">
        <v>2364549</v>
      </c>
      <c r="H406" t="s">
        <v>60</v>
      </c>
      <c r="P406">
        <v>920</v>
      </c>
      <c r="Q406">
        <v>904</v>
      </c>
      <c r="W406" t="s">
        <v>450</v>
      </c>
      <c r="BA406" s="557"/>
      <c r="BC406" t="s">
        <v>562</v>
      </c>
    </row>
    <row r="407" spans="4:55" x14ac:dyDescent="0.25">
      <c r="D407">
        <v>1940090</v>
      </c>
      <c r="E407">
        <v>2404870</v>
      </c>
      <c r="H407" t="s">
        <v>60</v>
      </c>
      <c r="P407">
        <v>921</v>
      </c>
      <c r="Q407">
        <v>905</v>
      </c>
      <c r="W407" t="s">
        <v>450</v>
      </c>
      <c r="BA407" s="557"/>
      <c r="BC407" t="s">
        <v>562</v>
      </c>
    </row>
    <row r="408" spans="4:55" x14ac:dyDescent="0.25">
      <c r="D408">
        <v>1940090</v>
      </c>
      <c r="E408">
        <v>3702143</v>
      </c>
      <c r="H408" t="s">
        <v>60</v>
      </c>
      <c r="P408">
        <v>922</v>
      </c>
      <c r="Q408">
        <v>906</v>
      </c>
      <c r="W408" t="s">
        <v>450</v>
      </c>
      <c r="BA408" s="557"/>
      <c r="BC408" t="s">
        <v>633</v>
      </c>
    </row>
    <row r="409" spans="4:55" x14ac:dyDescent="0.25">
      <c r="D409">
        <v>1940090</v>
      </c>
      <c r="E409">
        <v>3553684</v>
      </c>
      <c r="H409" t="s">
        <v>60</v>
      </c>
      <c r="P409">
        <v>923</v>
      </c>
      <c r="Q409">
        <v>907</v>
      </c>
      <c r="W409" t="s">
        <v>450</v>
      </c>
      <c r="BA409" s="557"/>
      <c r="BC409" t="s">
        <v>633</v>
      </c>
    </row>
    <row r="410" spans="4:55" x14ac:dyDescent="0.25">
      <c r="D410">
        <v>1940090</v>
      </c>
      <c r="E410">
        <v>1940390</v>
      </c>
      <c r="H410" t="s">
        <v>60</v>
      </c>
      <c r="P410">
        <v>924</v>
      </c>
      <c r="Q410">
        <v>908</v>
      </c>
      <c r="W410" t="s">
        <v>450</v>
      </c>
      <c r="BA410" s="557"/>
      <c r="BC410" t="s">
        <v>633</v>
      </c>
    </row>
    <row r="411" spans="4:55" x14ac:dyDescent="0.25">
      <c r="D411">
        <v>1940090</v>
      </c>
      <c r="E411">
        <v>1940392</v>
      </c>
      <c r="H411" t="s">
        <v>60</v>
      </c>
      <c r="P411">
        <v>925</v>
      </c>
      <c r="Q411">
        <v>909</v>
      </c>
      <c r="W411" t="s">
        <v>626</v>
      </c>
      <c r="BA411" s="557"/>
      <c r="BC411" t="s">
        <v>748</v>
      </c>
    </row>
    <row r="412" spans="4:55" x14ac:dyDescent="0.25">
      <c r="D412">
        <v>1940090</v>
      </c>
      <c r="E412">
        <v>1938251</v>
      </c>
      <c r="H412" t="s">
        <v>60</v>
      </c>
      <c r="P412">
        <v>926</v>
      </c>
      <c r="Q412">
        <v>910</v>
      </c>
      <c r="W412" t="s">
        <v>626</v>
      </c>
      <c r="BA412" s="557"/>
      <c r="BC412" t="s">
        <v>748</v>
      </c>
    </row>
    <row r="413" spans="4:55" x14ac:dyDescent="0.25">
      <c r="D413">
        <v>3506797</v>
      </c>
      <c r="E413">
        <v>1940398</v>
      </c>
      <c r="H413" t="s">
        <v>60</v>
      </c>
      <c r="P413">
        <v>927</v>
      </c>
      <c r="Q413">
        <v>911</v>
      </c>
      <c r="W413" t="s">
        <v>626</v>
      </c>
      <c r="BA413" s="557"/>
      <c r="BC413" t="s">
        <v>748</v>
      </c>
    </row>
    <row r="414" spans="4:55" x14ac:dyDescent="0.25">
      <c r="D414">
        <v>2243845</v>
      </c>
      <c r="E414">
        <v>1940399</v>
      </c>
      <c r="H414" t="s">
        <v>60</v>
      </c>
      <c r="P414">
        <v>928</v>
      </c>
      <c r="Q414">
        <v>912</v>
      </c>
      <c r="W414" t="s">
        <v>626</v>
      </c>
      <c r="BA414" s="557"/>
      <c r="BC414" t="s">
        <v>748</v>
      </c>
    </row>
    <row r="415" spans="4:55" x14ac:dyDescent="0.25">
      <c r="D415">
        <v>2243845</v>
      </c>
      <c r="E415">
        <v>1940400</v>
      </c>
      <c r="H415" t="s">
        <v>22</v>
      </c>
      <c r="P415">
        <v>929</v>
      </c>
      <c r="Q415">
        <v>913</v>
      </c>
      <c r="W415" t="s">
        <v>407</v>
      </c>
      <c r="BA415" s="557"/>
      <c r="BC415" t="s">
        <v>748</v>
      </c>
    </row>
    <row r="416" spans="4:55" x14ac:dyDescent="0.25">
      <c r="D416">
        <v>2243845</v>
      </c>
      <c r="E416">
        <v>1940403</v>
      </c>
      <c r="H416" t="s">
        <v>60</v>
      </c>
      <c r="P416">
        <v>930</v>
      </c>
      <c r="Q416">
        <v>914</v>
      </c>
      <c r="W416" t="s">
        <v>412</v>
      </c>
      <c r="BA416" s="557"/>
      <c r="BC416" t="s">
        <v>748</v>
      </c>
    </row>
    <row r="417" spans="4:55" x14ac:dyDescent="0.25">
      <c r="D417">
        <v>2243845</v>
      </c>
      <c r="E417">
        <v>2427960</v>
      </c>
      <c r="H417" t="s">
        <v>60</v>
      </c>
      <c r="P417">
        <v>931</v>
      </c>
      <c r="Q417">
        <v>915</v>
      </c>
      <c r="W417" t="s">
        <v>412</v>
      </c>
      <c r="BA417" s="557"/>
      <c r="BC417" t="s">
        <v>748</v>
      </c>
    </row>
    <row r="418" spans="4:55" x14ac:dyDescent="0.25">
      <c r="D418">
        <v>2243845</v>
      </c>
      <c r="E418">
        <v>2427939</v>
      </c>
      <c r="H418" t="s">
        <v>60</v>
      </c>
      <c r="P418">
        <v>932</v>
      </c>
      <c r="Q418">
        <v>916</v>
      </c>
      <c r="W418" t="s">
        <v>412</v>
      </c>
      <c r="BA418" s="557"/>
      <c r="BC418" t="s">
        <v>748</v>
      </c>
    </row>
    <row r="419" spans="4:55" x14ac:dyDescent="0.25">
      <c r="D419">
        <v>2243845</v>
      </c>
      <c r="E419">
        <v>3714733</v>
      </c>
      <c r="H419" t="s">
        <v>60</v>
      </c>
      <c r="P419">
        <v>933</v>
      </c>
      <c r="Q419">
        <v>917</v>
      </c>
      <c r="W419" t="s">
        <v>412</v>
      </c>
      <c r="BA419" s="557"/>
      <c r="BC419" t="s">
        <v>748</v>
      </c>
    </row>
    <row r="420" spans="4:55" x14ac:dyDescent="0.25">
      <c r="D420">
        <v>2243845</v>
      </c>
      <c r="E420">
        <v>2270133</v>
      </c>
      <c r="H420" t="s">
        <v>60</v>
      </c>
      <c r="P420">
        <v>934</v>
      </c>
      <c r="Q420">
        <v>918</v>
      </c>
      <c r="W420" t="s">
        <v>412</v>
      </c>
      <c r="BA420" s="557"/>
      <c r="BC420" t="s">
        <v>748</v>
      </c>
    </row>
    <row r="421" spans="4:55" x14ac:dyDescent="0.25">
      <c r="D421">
        <v>2384087</v>
      </c>
      <c r="E421">
        <v>1940407</v>
      </c>
      <c r="H421" t="s">
        <v>60</v>
      </c>
      <c r="P421">
        <v>935</v>
      </c>
      <c r="Q421">
        <v>919</v>
      </c>
      <c r="W421" t="s">
        <v>412</v>
      </c>
      <c r="BA421" s="557"/>
      <c r="BC421" t="s">
        <v>748</v>
      </c>
    </row>
    <row r="422" spans="4:55" x14ac:dyDescent="0.25">
      <c r="D422">
        <v>1940120</v>
      </c>
      <c r="E422">
        <v>1940408</v>
      </c>
      <c r="H422" t="s">
        <v>60</v>
      </c>
      <c r="P422">
        <v>936</v>
      </c>
      <c r="Q422">
        <v>920</v>
      </c>
      <c r="W422" t="s">
        <v>412</v>
      </c>
      <c r="BA422" s="557"/>
      <c r="BC422" t="s">
        <v>748</v>
      </c>
    </row>
    <row r="423" spans="4:55" x14ac:dyDescent="0.25">
      <c r="D423">
        <v>1940120</v>
      </c>
      <c r="E423">
        <v>3628242</v>
      </c>
      <c r="H423" t="s">
        <v>60</v>
      </c>
      <c r="P423">
        <v>937</v>
      </c>
      <c r="Q423">
        <v>921</v>
      </c>
      <c r="W423" t="s">
        <v>604</v>
      </c>
      <c r="BA423" s="557"/>
      <c r="BC423" t="s">
        <v>3838</v>
      </c>
    </row>
    <row r="424" spans="4:55" x14ac:dyDescent="0.25">
      <c r="D424">
        <v>1940120</v>
      </c>
      <c r="E424">
        <v>2418687</v>
      </c>
      <c r="H424" t="s">
        <v>60</v>
      </c>
      <c r="P424">
        <v>938</v>
      </c>
      <c r="Q424">
        <v>922</v>
      </c>
      <c r="W424" t="s">
        <v>604</v>
      </c>
      <c r="BA424" s="557"/>
      <c r="BC424" t="s">
        <v>607</v>
      </c>
    </row>
    <row r="425" spans="4:55" x14ac:dyDescent="0.25">
      <c r="D425">
        <v>1940120</v>
      </c>
      <c r="E425">
        <v>1940415</v>
      </c>
      <c r="H425" t="s">
        <v>60</v>
      </c>
      <c r="P425">
        <v>939</v>
      </c>
      <c r="Q425">
        <v>923</v>
      </c>
      <c r="W425" t="s">
        <v>407</v>
      </c>
      <c r="BA425" s="557"/>
      <c r="BC425" t="s">
        <v>607</v>
      </c>
    </row>
    <row r="426" spans="4:55" x14ac:dyDescent="0.25">
      <c r="D426">
        <v>1940120</v>
      </c>
      <c r="E426">
        <v>1940416</v>
      </c>
      <c r="H426" t="s">
        <v>64</v>
      </c>
      <c r="P426">
        <v>940</v>
      </c>
      <c r="Q426">
        <v>924</v>
      </c>
      <c r="W426" t="s">
        <v>407</v>
      </c>
      <c r="BA426" s="557"/>
      <c r="BC426" t="s">
        <v>607</v>
      </c>
    </row>
    <row r="427" spans="4:55" x14ac:dyDescent="0.25">
      <c r="D427">
        <v>1940120</v>
      </c>
      <c r="E427">
        <v>3599863</v>
      </c>
      <c r="H427" t="s">
        <v>64</v>
      </c>
      <c r="P427">
        <v>941</v>
      </c>
      <c r="Q427">
        <v>925</v>
      </c>
      <c r="W427" t="s">
        <v>407</v>
      </c>
      <c r="BA427" s="557"/>
      <c r="BC427" t="s">
        <v>607</v>
      </c>
    </row>
    <row r="428" spans="4:55" x14ac:dyDescent="0.25">
      <c r="D428">
        <v>1940120</v>
      </c>
      <c r="E428">
        <v>3599035</v>
      </c>
      <c r="H428" t="s">
        <v>94</v>
      </c>
      <c r="P428">
        <v>942</v>
      </c>
      <c r="Q428">
        <v>926</v>
      </c>
      <c r="W428" t="s">
        <v>648</v>
      </c>
      <c r="BA428" s="557"/>
      <c r="BC428" t="s">
        <v>607</v>
      </c>
    </row>
    <row r="429" spans="4:55" x14ac:dyDescent="0.25">
      <c r="D429">
        <v>1940120</v>
      </c>
      <c r="E429">
        <v>3672992</v>
      </c>
      <c r="H429" t="s">
        <v>9</v>
      </c>
      <c r="P429">
        <v>943</v>
      </c>
      <c r="Q429">
        <v>927</v>
      </c>
      <c r="W429" t="s">
        <v>648</v>
      </c>
      <c r="BA429" s="557"/>
      <c r="BC429" t="s">
        <v>607</v>
      </c>
    </row>
    <row r="430" spans="4:55" x14ac:dyDescent="0.25">
      <c r="D430">
        <v>1940120</v>
      </c>
      <c r="E430">
        <v>3673012</v>
      </c>
      <c r="H430" t="s">
        <v>4</v>
      </c>
      <c r="P430">
        <v>944</v>
      </c>
      <c r="Q430">
        <v>928</v>
      </c>
      <c r="W430" t="s">
        <v>648</v>
      </c>
      <c r="BA430" s="557"/>
      <c r="BC430" t="s">
        <v>607</v>
      </c>
    </row>
    <row r="431" spans="4:55" x14ac:dyDescent="0.25">
      <c r="D431">
        <v>1940120</v>
      </c>
      <c r="E431">
        <v>1940418</v>
      </c>
      <c r="H431" t="s">
        <v>4</v>
      </c>
      <c r="P431">
        <v>945</v>
      </c>
      <c r="Q431">
        <v>929</v>
      </c>
      <c r="W431" t="s">
        <v>648</v>
      </c>
      <c r="BA431" s="557"/>
      <c r="BC431" t="s">
        <v>607</v>
      </c>
    </row>
    <row r="432" spans="4:55" x14ac:dyDescent="0.25">
      <c r="D432">
        <v>1940120</v>
      </c>
      <c r="E432">
        <v>1940420</v>
      </c>
      <c r="H432" t="s">
        <v>4</v>
      </c>
      <c r="P432">
        <v>946</v>
      </c>
      <c r="Q432">
        <v>930</v>
      </c>
      <c r="W432" t="s">
        <v>860</v>
      </c>
      <c r="BA432" s="557"/>
      <c r="BC432" t="s">
        <v>607</v>
      </c>
    </row>
    <row r="433" spans="4:55" x14ac:dyDescent="0.25">
      <c r="D433">
        <v>1940120</v>
      </c>
      <c r="E433">
        <v>3673011</v>
      </c>
      <c r="H433" t="s">
        <v>17</v>
      </c>
      <c r="P433">
        <v>947</v>
      </c>
      <c r="Q433">
        <v>931</v>
      </c>
      <c r="W433" t="s">
        <v>860</v>
      </c>
      <c r="BA433" s="557"/>
      <c r="BC433" t="s">
        <v>607</v>
      </c>
    </row>
    <row r="434" spans="4:55" x14ac:dyDescent="0.25">
      <c r="D434">
        <v>3188792</v>
      </c>
      <c r="E434">
        <v>2349249</v>
      </c>
      <c r="H434" t="s">
        <v>37</v>
      </c>
      <c r="P434">
        <v>948</v>
      </c>
      <c r="Q434">
        <v>932</v>
      </c>
      <c r="W434" t="s">
        <v>860</v>
      </c>
      <c r="BA434" s="557"/>
      <c r="BC434" t="s">
        <v>4026</v>
      </c>
    </row>
    <row r="435" spans="4:55" x14ac:dyDescent="0.25">
      <c r="D435">
        <v>3188792</v>
      </c>
      <c r="E435">
        <v>1931050</v>
      </c>
      <c r="H435" t="s">
        <v>4</v>
      </c>
      <c r="P435">
        <v>949</v>
      </c>
      <c r="Q435">
        <v>933</v>
      </c>
      <c r="W435" t="s">
        <v>860</v>
      </c>
      <c r="BA435" s="557"/>
      <c r="BC435" t="s">
        <v>4026</v>
      </c>
    </row>
    <row r="436" spans="4:55" x14ac:dyDescent="0.25">
      <c r="D436">
        <v>3188792</v>
      </c>
      <c r="E436">
        <v>3575897</v>
      </c>
      <c r="H436" t="s">
        <v>4</v>
      </c>
      <c r="P436">
        <v>950</v>
      </c>
      <c r="Q436">
        <v>934</v>
      </c>
      <c r="W436" t="s">
        <v>860</v>
      </c>
      <c r="BA436" s="557"/>
      <c r="BC436" t="s">
        <v>412</v>
      </c>
    </row>
    <row r="437" spans="4:55" x14ac:dyDescent="0.25">
      <c r="D437">
        <v>3188792</v>
      </c>
      <c r="E437">
        <v>1940430</v>
      </c>
      <c r="H437" t="s">
        <v>4</v>
      </c>
      <c r="P437">
        <v>951</v>
      </c>
      <c r="Q437">
        <v>935</v>
      </c>
      <c r="W437" t="s">
        <v>860</v>
      </c>
      <c r="BA437" s="557"/>
      <c r="BC437" t="s">
        <v>412</v>
      </c>
    </row>
    <row r="438" spans="4:55" x14ac:dyDescent="0.25">
      <c r="D438">
        <v>2410995</v>
      </c>
      <c r="E438">
        <v>1905990</v>
      </c>
      <c r="H438" t="s">
        <v>4</v>
      </c>
      <c r="P438">
        <v>952</v>
      </c>
      <c r="Q438">
        <v>936</v>
      </c>
      <c r="W438" t="s">
        <v>860</v>
      </c>
      <c r="BA438" s="557"/>
      <c r="BC438" t="s">
        <v>412</v>
      </c>
    </row>
    <row r="439" spans="4:55" x14ac:dyDescent="0.25">
      <c r="D439">
        <v>2410995</v>
      </c>
      <c r="E439">
        <v>1940437</v>
      </c>
      <c r="H439" t="s">
        <v>64</v>
      </c>
      <c r="P439">
        <v>953</v>
      </c>
      <c r="Q439">
        <v>937</v>
      </c>
      <c r="W439" t="s">
        <v>860</v>
      </c>
      <c r="BA439" s="557"/>
      <c r="BC439" t="s">
        <v>412</v>
      </c>
    </row>
    <row r="440" spans="4:55" x14ac:dyDescent="0.25">
      <c r="D440">
        <v>2410996</v>
      </c>
      <c r="E440">
        <v>1940445</v>
      </c>
      <c r="H440" t="s">
        <v>64</v>
      </c>
      <c r="P440">
        <v>954</v>
      </c>
      <c r="Q440">
        <v>938</v>
      </c>
      <c r="W440" t="s">
        <v>860</v>
      </c>
      <c r="BA440" s="557"/>
      <c r="BC440" t="s">
        <v>412</v>
      </c>
    </row>
    <row r="441" spans="4:55" x14ac:dyDescent="0.25">
      <c r="D441">
        <v>2410996</v>
      </c>
      <c r="E441">
        <v>1940449</v>
      </c>
      <c r="H441" t="s">
        <v>64</v>
      </c>
      <c r="P441">
        <v>955</v>
      </c>
      <c r="Q441">
        <v>939</v>
      </c>
      <c r="W441" t="s">
        <v>860</v>
      </c>
      <c r="BA441" s="557"/>
      <c r="BC441" t="s">
        <v>412</v>
      </c>
    </row>
    <row r="442" spans="4:55" x14ac:dyDescent="0.25">
      <c r="D442">
        <v>2410996</v>
      </c>
      <c r="E442">
        <v>2422186</v>
      </c>
      <c r="H442" t="s">
        <v>64</v>
      </c>
      <c r="P442">
        <v>956</v>
      </c>
      <c r="Q442">
        <v>940</v>
      </c>
      <c r="W442" t="s">
        <v>860</v>
      </c>
      <c r="BA442" s="557"/>
      <c r="BC442" t="s">
        <v>412</v>
      </c>
    </row>
    <row r="443" spans="4:55" x14ac:dyDescent="0.25">
      <c r="D443">
        <v>1938195</v>
      </c>
      <c r="E443">
        <v>1940464</v>
      </c>
      <c r="H443" t="s">
        <v>58</v>
      </c>
      <c r="P443">
        <v>957</v>
      </c>
      <c r="Q443">
        <v>941</v>
      </c>
      <c r="W443" t="s">
        <v>860</v>
      </c>
      <c r="BA443" s="557"/>
      <c r="BC443" t="s">
        <v>412</v>
      </c>
    </row>
    <row r="444" spans="4:55" x14ac:dyDescent="0.25">
      <c r="D444">
        <v>1938195</v>
      </c>
      <c r="E444">
        <v>1940466</v>
      </c>
      <c r="H444" t="s">
        <v>58</v>
      </c>
      <c r="P444">
        <v>958</v>
      </c>
      <c r="Q444">
        <v>942</v>
      </c>
      <c r="W444" t="s">
        <v>860</v>
      </c>
      <c r="BA444" s="557"/>
      <c r="BC444" t="s">
        <v>412</v>
      </c>
    </row>
    <row r="445" spans="4:55" x14ac:dyDescent="0.25">
      <c r="D445">
        <v>1938195</v>
      </c>
      <c r="E445">
        <v>1940467</v>
      </c>
      <c r="H445" t="s">
        <v>58</v>
      </c>
      <c r="P445">
        <v>959</v>
      </c>
      <c r="Q445">
        <v>943</v>
      </c>
      <c r="W445" t="s">
        <v>860</v>
      </c>
      <c r="BA445" s="557"/>
      <c r="BC445" t="s">
        <v>695</v>
      </c>
    </row>
    <row r="446" spans="4:55" x14ac:dyDescent="0.25">
      <c r="D446">
        <v>1938195</v>
      </c>
      <c r="E446">
        <v>2413708</v>
      </c>
      <c r="H446" t="s">
        <v>58</v>
      </c>
      <c r="P446">
        <v>960</v>
      </c>
      <c r="Q446">
        <v>944</v>
      </c>
      <c r="W446" t="s">
        <v>860</v>
      </c>
      <c r="BA446" s="557"/>
      <c r="BC446" t="s">
        <v>695</v>
      </c>
    </row>
    <row r="447" spans="4:55" x14ac:dyDescent="0.25">
      <c r="D447">
        <v>1938195</v>
      </c>
      <c r="E447">
        <v>1940470</v>
      </c>
      <c r="H447" t="s">
        <v>58</v>
      </c>
      <c r="P447">
        <v>961</v>
      </c>
      <c r="Q447">
        <v>945</v>
      </c>
      <c r="W447" t="s">
        <v>860</v>
      </c>
      <c r="BA447" s="557"/>
      <c r="BC447" t="s">
        <v>412</v>
      </c>
    </row>
    <row r="448" spans="4:55" x14ac:dyDescent="0.25">
      <c r="D448">
        <v>1938195</v>
      </c>
      <c r="E448">
        <v>1940472</v>
      </c>
      <c r="H448" t="s">
        <v>58</v>
      </c>
      <c r="P448">
        <v>962</v>
      </c>
      <c r="Q448">
        <v>946</v>
      </c>
      <c r="W448" t="s">
        <v>860</v>
      </c>
      <c r="BA448" s="557"/>
      <c r="BC448" t="s">
        <v>412</v>
      </c>
    </row>
    <row r="449" spans="4:55" x14ac:dyDescent="0.25">
      <c r="D449">
        <v>1225244</v>
      </c>
      <c r="E449">
        <v>1940474</v>
      </c>
      <c r="H449" t="s">
        <v>70</v>
      </c>
      <c r="P449">
        <v>963</v>
      </c>
      <c r="Q449">
        <v>947</v>
      </c>
      <c r="W449" t="s">
        <v>860</v>
      </c>
      <c r="BA449" s="557"/>
      <c r="BC449" t="s">
        <v>412</v>
      </c>
    </row>
    <row r="450" spans="4:55" x14ac:dyDescent="0.25">
      <c r="D450">
        <v>1931824</v>
      </c>
      <c r="E450">
        <v>1940478</v>
      </c>
      <c r="H450" t="s">
        <v>81</v>
      </c>
      <c r="P450">
        <v>964</v>
      </c>
      <c r="Q450">
        <v>948</v>
      </c>
      <c r="W450" t="s">
        <v>860</v>
      </c>
      <c r="BA450" s="557"/>
      <c r="BC450" t="s">
        <v>412</v>
      </c>
    </row>
    <row r="451" spans="4:55" x14ac:dyDescent="0.25">
      <c r="D451">
        <v>1931824</v>
      </c>
      <c r="E451">
        <v>2420106</v>
      </c>
      <c r="H451" t="s">
        <v>45</v>
      </c>
      <c r="P451">
        <v>965</v>
      </c>
      <c r="Q451">
        <v>949</v>
      </c>
      <c r="W451" t="s">
        <v>648</v>
      </c>
      <c r="BA451" s="557"/>
      <c r="BC451" t="s">
        <v>412</v>
      </c>
    </row>
    <row r="452" spans="4:55" x14ac:dyDescent="0.25">
      <c r="D452">
        <v>1931824</v>
      </c>
      <c r="E452">
        <v>1940490</v>
      </c>
      <c r="H452" t="s">
        <v>45</v>
      </c>
      <c r="P452">
        <v>966</v>
      </c>
      <c r="Q452">
        <v>950</v>
      </c>
      <c r="W452" t="s">
        <v>648</v>
      </c>
      <c r="BA452" s="557"/>
      <c r="BC452" t="s">
        <v>412</v>
      </c>
    </row>
    <row r="453" spans="4:55" x14ac:dyDescent="0.25">
      <c r="D453">
        <v>1931824</v>
      </c>
      <c r="E453">
        <v>1940489</v>
      </c>
      <c r="H453" t="s">
        <v>39</v>
      </c>
      <c r="P453">
        <v>967</v>
      </c>
      <c r="Q453">
        <v>951</v>
      </c>
      <c r="W453" t="s">
        <v>471</v>
      </c>
      <c r="BA453" s="557"/>
      <c r="BC453" t="s">
        <v>695</v>
      </c>
    </row>
    <row r="454" spans="4:55" x14ac:dyDescent="0.25">
      <c r="D454">
        <v>1931824</v>
      </c>
      <c r="E454">
        <v>2349840</v>
      </c>
      <c r="H454" t="s">
        <v>39</v>
      </c>
      <c r="P454">
        <v>968</v>
      </c>
      <c r="Q454">
        <v>952</v>
      </c>
      <c r="W454" t="s">
        <v>471</v>
      </c>
      <c r="BA454" s="557"/>
      <c r="BC454" t="s">
        <v>412</v>
      </c>
    </row>
    <row r="455" spans="4:55" x14ac:dyDescent="0.25">
      <c r="D455">
        <v>1931824</v>
      </c>
      <c r="E455">
        <v>3557791</v>
      </c>
      <c r="H455" t="s">
        <v>39</v>
      </c>
      <c r="P455">
        <v>969</v>
      </c>
      <c r="Q455">
        <v>953</v>
      </c>
      <c r="W455" t="s">
        <v>471</v>
      </c>
      <c r="BA455" s="557"/>
      <c r="BC455" t="s">
        <v>695</v>
      </c>
    </row>
    <row r="456" spans="4:55" x14ac:dyDescent="0.25">
      <c r="D456">
        <v>3702201</v>
      </c>
      <c r="E456">
        <v>2431251</v>
      </c>
      <c r="H456" t="s">
        <v>39</v>
      </c>
      <c r="P456">
        <v>970</v>
      </c>
      <c r="Q456">
        <v>954</v>
      </c>
      <c r="W456" t="s">
        <v>471</v>
      </c>
      <c r="BA456" s="557"/>
      <c r="BC456" t="s">
        <v>695</v>
      </c>
    </row>
    <row r="457" spans="4:55" x14ac:dyDescent="0.25">
      <c r="D457">
        <v>1938118</v>
      </c>
      <c r="E457">
        <v>3575899</v>
      </c>
      <c r="H457" t="s">
        <v>39</v>
      </c>
      <c r="P457">
        <v>971</v>
      </c>
      <c r="Q457">
        <v>955</v>
      </c>
      <c r="W457" t="s">
        <v>471</v>
      </c>
      <c r="BA457" s="557"/>
      <c r="BC457" t="s">
        <v>412</v>
      </c>
    </row>
    <row r="458" spans="4:55" x14ac:dyDescent="0.25">
      <c r="D458">
        <v>1938118</v>
      </c>
      <c r="E458">
        <v>1940493</v>
      </c>
      <c r="H458" t="s">
        <v>151</v>
      </c>
      <c r="P458">
        <v>972</v>
      </c>
      <c r="Q458">
        <v>956</v>
      </c>
      <c r="W458" t="s">
        <v>471</v>
      </c>
      <c r="BA458" s="557"/>
      <c r="BC458" t="s">
        <v>412</v>
      </c>
    </row>
    <row r="459" spans="4:55" x14ac:dyDescent="0.25">
      <c r="D459">
        <v>1938118</v>
      </c>
      <c r="E459">
        <v>3230499</v>
      </c>
      <c r="H459" t="s">
        <v>19</v>
      </c>
      <c r="P459">
        <v>973</v>
      </c>
      <c r="Q459">
        <v>957</v>
      </c>
      <c r="W459" t="s">
        <v>471</v>
      </c>
      <c r="BA459" s="557"/>
      <c r="BC459" t="s">
        <v>412</v>
      </c>
    </row>
    <row r="460" spans="4:55" x14ac:dyDescent="0.25">
      <c r="D460">
        <v>1938118</v>
      </c>
      <c r="E460">
        <v>2402914</v>
      </c>
      <c r="H460" t="s">
        <v>151</v>
      </c>
      <c r="P460">
        <v>974</v>
      </c>
      <c r="Q460">
        <v>958</v>
      </c>
      <c r="W460" t="s">
        <v>471</v>
      </c>
      <c r="BA460" s="557"/>
      <c r="BC460" t="s">
        <v>412</v>
      </c>
    </row>
    <row r="461" spans="4:55" x14ac:dyDescent="0.25">
      <c r="D461">
        <v>1938118</v>
      </c>
      <c r="E461">
        <v>3442057</v>
      </c>
      <c r="H461" t="s">
        <v>40</v>
      </c>
      <c r="P461">
        <v>975</v>
      </c>
      <c r="Q461">
        <v>959</v>
      </c>
      <c r="W461" t="s">
        <v>471</v>
      </c>
      <c r="BA461" s="557"/>
      <c r="BC461" t="s">
        <v>412</v>
      </c>
    </row>
    <row r="462" spans="4:55" x14ac:dyDescent="0.25">
      <c r="D462">
        <v>1938118</v>
      </c>
      <c r="E462">
        <v>1940498</v>
      </c>
      <c r="H462" t="s">
        <v>53</v>
      </c>
      <c r="P462">
        <v>976</v>
      </c>
      <c r="Q462">
        <v>960</v>
      </c>
      <c r="W462" t="s">
        <v>471</v>
      </c>
      <c r="BA462" s="557"/>
      <c r="BC462" t="s">
        <v>412</v>
      </c>
    </row>
    <row r="463" spans="4:55" x14ac:dyDescent="0.25">
      <c r="D463">
        <v>1938118</v>
      </c>
      <c r="E463">
        <v>1940504</v>
      </c>
      <c r="H463" t="s">
        <v>53</v>
      </c>
      <c r="P463">
        <v>977</v>
      </c>
      <c r="Q463">
        <v>961</v>
      </c>
      <c r="W463" t="s">
        <v>412</v>
      </c>
      <c r="BA463" s="557"/>
      <c r="BC463" t="s">
        <v>412</v>
      </c>
    </row>
    <row r="464" spans="4:55" x14ac:dyDescent="0.25">
      <c r="D464">
        <v>1938118</v>
      </c>
      <c r="E464">
        <v>1940510</v>
      </c>
      <c r="H464" t="s">
        <v>53</v>
      </c>
      <c r="P464">
        <v>978</v>
      </c>
      <c r="Q464">
        <v>962</v>
      </c>
      <c r="W464" t="s">
        <v>712</v>
      </c>
      <c r="BA464" s="557"/>
      <c r="BC464" t="s">
        <v>412</v>
      </c>
    </row>
    <row r="465" spans="4:55" x14ac:dyDescent="0.25">
      <c r="D465">
        <v>1938118</v>
      </c>
      <c r="E465">
        <v>3557584</v>
      </c>
      <c r="H465" t="s">
        <v>61</v>
      </c>
      <c r="P465">
        <v>979</v>
      </c>
      <c r="Q465">
        <v>963</v>
      </c>
      <c r="W465" t="s">
        <v>471</v>
      </c>
      <c r="BA465" s="557"/>
      <c r="BC465" t="s">
        <v>412</v>
      </c>
    </row>
    <row r="466" spans="4:55" x14ac:dyDescent="0.25">
      <c r="D466">
        <v>1938118</v>
      </c>
      <c r="E466">
        <v>3230483</v>
      </c>
      <c r="H466" t="s">
        <v>61</v>
      </c>
      <c r="P466">
        <v>980</v>
      </c>
      <c r="Q466">
        <v>964</v>
      </c>
      <c r="W466" t="s">
        <v>471</v>
      </c>
      <c r="BA466" s="557"/>
      <c r="BC466" t="s">
        <v>412</v>
      </c>
    </row>
    <row r="467" spans="4:55" x14ac:dyDescent="0.25">
      <c r="D467">
        <v>1938118</v>
      </c>
      <c r="E467">
        <v>3572043</v>
      </c>
      <c r="H467" t="s">
        <v>151</v>
      </c>
      <c r="P467">
        <v>981</v>
      </c>
      <c r="Q467">
        <v>965</v>
      </c>
      <c r="W467" t="s">
        <v>471</v>
      </c>
      <c r="BA467" s="557"/>
      <c r="BC467" t="s">
        <v>412</v>
      </c>
    </row>
    <row r="468" spans="4:55" x14ac:dyDescent="0.25">
      <c r="D468">
        <v>1938382</v>
      </c>
      <c r="E468">
        <v>3230482</v>
      </c>
      <c r="H468" t="s">
        <v>76</v>
      </c>
      <c r="P468">
        <v>990</v>
      </c>
      <c r="Q468">
        <v>966</v>
      </c>
      <c r="W468" t="s">
        <v>471</v>
      </c>
      <c r="BA468" s="557"/>
      <c r="BC468" t="s">
        <v>412</v>
      </c>
    </row>
    <row r="469" spans="4:55" x14ac:dyDescent="0.25">
      <c r="D469">
        <v>1938382</v>
      </c>
      <c r="E469">
        <v>3230484</v>
      </c>
      <c r="H469" t="s">
        <v>44</v>
      </c>
      <c r="P469">
        <v>991</v>
      </c>
      <c r="Q469">
        <v>967</v>
      </c>
      <c r="W469" t="s">
        <v>471</v>
      </c>
      <c r="BA469" s="557"/>
      <c r="BC469" t="s">
        <v>633</v>
      </c>
    </row>
    <row r="470" spans="4:55" x14ac:dyDescent="0.25">
      <c r="D470">
        <v>1938382</v>
      </c>
      <c r="E470">
        <v>3572044</v>
      </c>
      <c r="H470" t="s">
        <v>44</v>
      </c>
      <c r="P470">
        <v>992</v>
      </c>
      <c r="Q470">
        <v>968</v>
      </c>
      <c r="W470" t="s">
        <v>471</v>
      </c>
      <c r="BA470" s="557"/>
      <c r="BC470" t="s">
        <v>633</v>
      </c>
    </row>
    <row r="471" spans="4:55" x14ac:dyDescent="0.25">
      <c r="D471">
        <v>1938119</v>
      </c>
      <c r="E471">
        <v>3752128</v>
      </c>
      <c r="H471" t="s">
        <v>44</v>
      </c>
      <c r="P471">
        <v>993</v>
      </c>
      <c r="Q471">
        <v>969</v>
      </c>
      <c r="W471" t="s">
        <v>604</v>
      </c>
      <c r="BA471" s="557"/>
      <c r="BC471" t="s">
        <v>633</v>
      </c>
    </row>
    <row r="472" spans="4:55" x14ac:dyDescent="0.25">
      <c r="D472">
        <v>1938119</v>
      </c>
      <c r="E472">
        <v>1940538</v>
      </c>
      <c r="H472" t="s">
        <v>44</v>
      </c>
      <c r="P472">
        <v>994</v>
      </c>
      <c r="Q472">
        <v>970</v>
      </c>
      <c r="W472" t="s">
        <v>604</v>
      </c>
      <c r="BA472" s="557"/>
      <c r="BC472" t="s">
        <v>633</v>
      </c>
    </row>
    <row r="473" spans="4:55" x14ac:dyDescent="0.25">
      <c r="D473">
        <v>1938119</v>
      </c>
      <c r="E473">
        <v>435963</v>
      </c>
      <c r="H473" t="s">
        <v>37</v>
      </c>
      <c r="P473">
        <v>995</v>
      </c>
      <c r="Q473">
        <v>971</v>
      </c>
      <c r="W473" t="s">
        <v>604</v>
      </c>
      <c r="BA473" s="557"/>
      <c r="BC473" t="s">
        <v>633</v>
      </c>
    </row>
    <row r="474" spans="4:55" x14ac:dyDescent="0.25">
      <c r="D474">
        <v>1938119</v>
      </c>
      <c r="E474">
        <v>3675671</v>
      </c>
      <c r="H474" t="s">
        <v>37</v>
      </c>
      <c r="P474">
        <v>996</v>
      </c>
      <c r="Q474">
        <v>972</v>
      </c>
      <c r="W474" t="s">
        <v>604</v>
      </c>
      <c r="BA474" s="557"/>
      <c r="BC474" t="s">
        <v>633</v>
      </c>
    </row>
    <row r="475" spans="4:55" x14ac:dyDescent="0.25">
      <c r="D475">
        <v>1938119</v>
      </c>
      <c r="E475">
        <v>3675672</v>
      </c>
      <c r="H475" t="s">
        <v>37</v>
      </c>
      <c r="P475">
        <v>997</v>
      </c>
      <c r="Q475">
        <v>973</v>
      </c>
      <c r="W475" t="s">
        <v>604</v>
      </c>
      <c r="BA475" s="557"/>
      <c r="BC475" t="s">
        <v>633</v>
      </c>
    </row>
    <row r="476" spans="4:55" x14ac:dyDescent="0.25">
      <c r="D476">
        <v>1938119</v>
      </c>
      <c r="E476">
        <v>3605862</v>
      </c>
      <c r="H476" t="s">
        <v>37</v>
      </c>
      <c r="P476">
        <v>998</v>
      </c>
      <c r="Q476">
        <v>974</v>
      </c>
      <c r="W476" t="s">
        <v>604</v>
      </c>
      <c r="BA476" s="557"/>
      <c r="BC476" t="s">
        <v>633</v>
      </c>
    </row>
    <row r="477" spans="4:55" x14ac:dyDescent="0.25">
      <c r="D477">
        <v>1938119</v>
      </c>
      <c r="E477">
        <v>1940545</v>
      </c>
      <c r="H477" t="s">
        <v>37</v>
      </c>
      <c r="P477">
        <v>999</v>
      </c>
      <c r="Q477">
        <v>975</v>
      </c>
      <c r="W477" t="s">
        <v>604</v>
      </c>
      <c r="BA477" s="557"/>
      <c r="BC477" t="s">
        <v>642</v>
      </c>
    </row>
    <row r="478" spans="4:55" x14ac:dyDescent="0.25">
      <c r="D478">
        <v>1938163</v>
      </c>
      <c r="E478">
        <v>2371410</v>
      </c>
      <c r="H478" t="s">
        <v>37</v>
      </c>
      <c r="P478">
        <v>1000</v>
      </c>
      <c r="Q478">
        <v>976</v>
      </c>
      <c r="W478" t="s">
        <v>849</v>
      </c>
      <c r="BA478" s="557"/>
      <c r="BC478" t="s">
        <v>633</v>
      </c>
    </row>
    <row r="479" spans="4:55" x14ac:dyDescent="0.25">
      <c r="D479">
        <v>1938163</v>
      </c>
      <c r="E479">
        <v>3501900</v>
      </c>
      <c r="H479" t="s">
        <v>37</v>
      </c>
      <c r="P479">
        <v>1001</v>
      </c>
      <c r="Q479">
        <v>977</v>
      </c>
      <c r="W479" t="s">
        <v>849</v>
      </c>
      <c r="BA479" s="557"/>
      <c r="BC479" t="s">
        <v>642</v>
      </c>
    </row>
    <row r="480" spans="4:55" x14ac:dyDescent="0.25">
      <c r="D480">
        <v>1938163</v>
      </c>
      <c r="E480">
        <v>3556885</v>
      </c>
      <c r="H480" t="s">
        <v>37</v>
      </c>
      <c r="P480">
        <v>1002</v>
      </c>
      <c r="Q480">
        <v>978</v>
      </c>
      <c r="W480" t="s">
        <v>849</v>
      </c>
      <c r="BA480" s="557"/>
      <c r="BC480" t="s">
        <v>633</v>
      </c>
    </row>
    <row r="481" spans="4:55" x14ac:dyDescent="0.25">
      <c r="D481">
        <v>1938163</v>
      </c>
      <c r="E481">
        <v>3557792</v>
      </c>
      <c r="H481" t="s">
        <v>37</v>
      </c>
      <c r="P481">
        <v>1003</v>
      </c>
      <c r="Q481">
        <v>979</v>
      </c>
      <c r="W481" t="s">
        <v>849</v>
      </c>
      <c r="BA481" s="557"/>
      <c r="BC481" t="s">
        <v>642</v>
      </c>
    </row>
    <row r="482" spans="4:55" x14ac:dyDescent="0.25">
      <c r="D482">
        <v>2410642</v>
      </c>
      <c r="E482">
        <v>438186</v>
      </c>
      <c r="H482" t="s">
        <v>37</v>
      </c>
      <c r="P482">
        <v>1004</v>
      </c>
      <c r="Q482">
        <v>980</v>
      </c>
      <c r="W482" t="s">
        <v>849</v>
      </c>
      <c r="BA482" s="557"/>
      <c r="BC482" t="s">
        <v>633</v>
      </c>
    </row>
    <row r="483" spans="4:55" x14ac:dyDescent="0.25">
      <c r="D483">
        <v>2410642</v>
      </c>
      <c r="E483">
        <v>1903091</v>
      </c>
      <c r="H483" t="s">
        <v>37</v>
      </c>
      <c r="P483">
        <v>1005</v>
      </c>
      <c r="Q483">
        <v>981</v>
      </c>
      <c r="W483" t="s">
        <v>471</v>
      </c>
      <c r="BA483" s="557"/>
      <c r="BC483" t="s">
        <v>633</v>
      </c>
    </row>
    <row r="484" spans="4:55" x14ac:dyDescent="0.25">
      <c r="D484">
        <v>1938116</v>
      </c>
      <c r="E484">
        <v>3732180</v>
      </c>
      <c r="H484" t="s">
        <v>37</v>
      </c>
      <c r="P484">
        <v>1006</v>
      </c>
      <c r="Q484">
        <v>986</v>
      </c>
      <c r="W484" t="s">
        <v>471</v>
      </c>
      <c r="BA484" s="557"/>
      <c r="BC484" t="s">
        <v>642</v>
      </c>
    </row>
    <row r="485" spans="4:55" x14ac:dyDescent="0.25">
      <c r="D485">
        <v>1938116</v>
      </c>
      <c r="E485">
        <v>1119129</v>
      </c>
      <c r="H485" t="s">
        <v>37</v>
      </c>
      <c r="P485">
        <v>1007</v>
      </c>
      <c r="Q485">
        <v>987</v>
      </c>
      <c r="W485" t="s">
        <v>471</v>
      </c>
      <c r="BA485" s="557"/>
      <c r="BC485" t="s">
        <v>642</v>
      </c>
    </row>
    <row r="486" spans="4:55" x14ac:dyDescent="0.25">
      <c r="D486">
        <v>1938116</v>
      </c>
      <c r="E486">
        <v>1940562</v>
      </c>
      <c r="H486" t="s">
        <v>37</v>
      </c>
      <c r="P486">
        <v>1008</v>
      </c>
      <c r="Q486">
        <v>988</v>
      </c>
      <c r="W486" t="s">
        <v>471</v>
      </c>
      <c r="BA486" s="557"/>
      <c r="BC486" t="s">
        <v>633</v>
      </c>
    </row>
    <row r="487" spans="4:55" x14ac:dyDescent="0.25">
      <c r="D487">
        <v>1938116</v>
      </c>
      <c r="E487">
        <v>249132</v>
      </c>
      <c r="H487" t="s">
        <v>37</v>
      </c>
      <c r="P487">
        <v>1009</v>
      </c>
      <c r="Q487">
        <v>989</v>
      </c>
      <c r="W487" t="s">
        <v>471</v>
      </c>
      <c r="BA487" s="557"/>
      <c r="BC487" t="s">
        <v>633</v>
      </c>
    </row>
    <row r="488" spans="4:55" x14ac:dyDescent="0.25">
      <c r="D488">
        <v>1938116</v>
      </c>
      <c r="E488">
        <v>3677047</v>
      </c>
      <c r="H488" t="s">
        <v>37</v>
      </c>
      <c r="P488">
        <v>1010</v>
      </c>
      <c r="Q488">
        <v>990</v>
      </c>
      <c r="W488" t="s">
        <v>471</v>
      </c>
      <c r="BA488" s="557"/>
      <c r="BC488" t="s">
        <v>633</v>
      </c>
    </row>
    <row r="489" spans="4:55" x14ac:dyDescent="0.25">
      <c r="D489">
        <v>1938116</v>
      </c>
      <c r="E489">
        <v>1448370</v>
      </c>
      <c r="H489" t="s">
        <v>37</v>
      </c>
      <c r="P489">
        <v>1011</v>
      </c>
      <c r="Q489">
        <v>991</v>
      </c>
      <c r="W489" t="s">
        <v>860</v>
      </c>
      <c r="BA489" s="557"/>
      <c r="BC489" t="s">
        <v>642</v>
      </c>
    </row>
    <row r="490" spans="4:55" x14ac:dyDescent="0.25">
      <c r="D490">
        <v>1938116</v>
      </c>
      <c r="E490">
        <v>3551623</v>
      </c>
      <c r="H490" t="s">
        <v>37</v>
      </c>
      <c r="P490">
        <v>1012</v>
      </c>
      <c r="Q490">
        <v>992</v>
      </c>
      <c r="W490" t="s">
        <v>860</v>
      </c>
      <c r="BA490" s="557"/>
      <c r="BC490" t="s">
        <v>3361</v>
      </c>
    </row>
    <row r="491" spans="4:55" x14ac:dyDescent="0.25">
      <c r="D491">
        <v>1938116</v>
      </c>
      <c r="E491">
        <v>2400891</v>
      </c>
      <c r="H491" t="s">
        <v>27</v>
      </c>
      <c r="P491">
        <v>1013</v>
      </c>
      <c r="Q491">
        <v>993</v>
      </c>
      <c r="W491" t="s">
        <v>471</v>
      </c>
      <c r="BA491" s="557"/>
      <c r="BC491" t="s">
        <v>562</v>
      </c>
    </row>
    <row r="492" spans="4:55" x14ac:dyDescent="0.25">
      <c r="D492">
        <v>1938117</v>
      </c>
      <c r="E492">
        <v>3727130</v>
      </c>
      <c r="H492" t="s">
        <v>27</v>
      </c>
      <c r="P492">
        <v>1014</v>
      </c>
      <c r="Q492">
        <v>994</v>
      </c>
      <c r="W492" t="s">
        <v>471</v>
      </c>
      <c r="BA492" s="557"/>
      <c r="BC492" t="s">
        <v>633</v>
      </c>
    </row>
    <row r="493" spans="4:55" x14ac:dyDescent="0.25">
      <c r="D493">
        <v>1938117</v>
      </c>
      <c r="E493">
        <v>2409618</v>
      </c>
      <c r="H493" t="s">
        <v>27</v>
      </c>
      <c r="P493">
        <v>1015</v>
      </c>
      <c r="Q493">
        <v>995</v>
      </c>
      <c r="W493" t="s">
        <v>471</v>
      </c>
      <c r="BA493" s="557"/>
      <c r="BC493" t="s">
        <v>633</v>
      </c>
    </row>
    <row r="494" spans="4:55" x14ac:dyDescent="0.25">
      <c r="D494">
        <v>1938117</v>
      </c>
      <c r="E494">
        <v>1940571</v>
      </c>
      <c r="H494" t="s">
        <v>65</v>
      </c>
      <c r="P494">
        <v>1016</v>
      </c>
      <c r="Q494">
        <v>996</v>
      </c>
      <c r="W494" t="s">
        <v>604</v>
      </c>
      <c r="BA494" s="557"/>
      <c r="BC494" t="s">
        <v>642</v>
      </c>
    </row>
    <row r="495" spans="4:55" x14ac:dyDescent="0.25">
      <c r="D495">
        <v>1938117</v>
      </c>
      <c r="E495">
        <v>3500097</v>
      </c>
      <c r="H495" t="s">
        <v>65</v>
      </c>
      <c r="P495">
        <v>1017</v>
      </c>
      <c r="Q495">
        <v>997</v>
      </c>
      <c r="W495" t="s">
        <v>604</v>
      </c>
      <c r="BA495" s="557"/>
      <c r="BC495" t="s">
        <v>633</v>
      </c>
    </row>
    <row r="496" spans="4:55" x14ac:dyDescent="0.25">
      <c r="D496">
        <v>1938117</v>
      </c>
      <c r="E496">
        <v>1940574</v>
      </c>
      <c r="H496" t="s">
        <v>39</v>
      </c>
      <c r="P496">
        <v>1018</v>
      </c>
      <c r="Q496">
        <v>998</v>
      </c>
      <c r="W496" t="s">
        <v>412</v>
      </c>
      <c r="BA496" s="557"/>
      <c r="BC496" t="s">
        <v>633</v>
      </c>
    </row>
    <row r="497" spans="4:55" x14ac:dyDescent="0.25">
      <c r="D497">
        <v>2288945</v>
      </c>
      <c r="E497">
        <v>1940584</v>
      </c>
      <c r="H497" t="s">
        <v>39</v>
      </c>
      <c r="P497">
        <v>1019</v>
      </c>
      <c r="Q497">
        <v>999</v>
      </c>
      <c r="W497" t="s">
        <v>412</v>
      </c>
      <c r="BA497" s="557"/>
      <c r="BC497" t="s">
        <v>633</v>
      </c>
    </row>
    <row r="498" spans="4:55" x14ac:dyDescent="0.25">
      <c r="D498">
        <v>2288945</v>
      </c>
      <c r="E498">
        <v>299981</v>
      </c>
      <c r="H498" t="s">
        <v>39</v>
      </c>
      <c r="P498">
        <v>1020</v>
      </c>
      <c r="Q498">
        <v>1000</v>
      </c>
      <c r="W498" t="s">
        <v>412</v>
      </c>
      <c r="BA498" s="557"/>
      <c r="BC498" t="s">
        <v>770</v>
      </c>
    </row>
    <row r="499" spans="4:55" x14ac:dyDescent="0.25">
      <c r="D499">
        <v>2410998</v>
      </c>
      <c r="E499">
        <v>3506206</v>
      </c>
      <c r="H499" t="s">
        <v>73</v>
      </c>
      <c r="P499">
        <v>1021</v>
      </c>
      <c r="Q499">
        <v>1001</v>
      </c>
      <c r="W499" t="s">
        <v>471</v>
      </c>
      <c r="BA499" s="557"/>
      <c r="BC499" t="s">
        <v>562</v>
      </c>
    </row>
    <row r="500" spans="4:55" x14ac:dyDescent="0.25">
      <c r="D500">
        <v>2410998</v>
      </c>
      <c r="E500">
        <v>1413976</v>
      </c>
      <c r="H500" t="s">
        <v>37</v>
      </c>
      <c r="P500">
        <v>1022</v>
      </c>
      <c r="Q500">
        <v>1002</v>
      </c>
      <c r="W500" t="s">
        <v>471</v>
      </c>
      <c r="BA500" s="557"/>
      <c r="BC500" t="s">
        <v>633</v>
      </c>
    </row>
    <row r="501" spans="4:55" x14ac:dyDescent="0.25">
      <c r="D501">
        <v>2410998</v>
      </c>
      <c r="E501">
        <v>3508859</v>
      </c>
      <c r="H501" t="s">
        <v>37</v>
      </c>
      <c r="P501">
        <v>1023</v>
      </c>
      <c r="Q501">
        <v>1003</v>
      </c>
      <c r="W501" t="s">
        <v>471</v>
      </c>
      <c r="BA501" s="557"/>
      <c r="BC501" t="s">
        <v>562</v>
      </c>
    </row>
    <row r="502" spans="4:55" x14ac:dyDescent="0.25">
      <c r="D502">
        <v>2410998</v>
      </c>
      <c r="E502">
        <v>3209978</v>
      </c>
      <c r="H502" t="s">
        <v>78</v>
      </c>
      <c r="P502">
        <v>1024</v>
      </c>
      <c r="Q502">
        <v>1004</v>
      </c>
      <c r="W502" t="s">
        <v>471</v>
      </c>
      <c r="BA502" s="557"/>
      <c r="BC502" t="s">
        <v>633</v>
      </c>
    </row>
    <row r="503" spans="4:55" x14ac:dyDescent="0.25">
      <c r="D503">
        <v>2410998</v>
      </c>
      <c r="E503">
        <v>1940588</v>
      </c>
      <c r="H503" t="s">
        <v>44</v>
      </c>
      <c r="P503">
        <v>1025</v>
      </c>
      <c r="Q503">
        <v>1005</v>
      </c>
      <c r="W503" t="s">
        <v>471</v>
      </c>
      <c r="BA503" s="557"/>
      <c r="BC503" t="s">
        <v>642</v>
      </c>
    </row>
    <row r="504" spans="4:55" x14ac:dyDescent="0.25">
      <c r="D504">
        <v>2410998</v>
      </c>
      <c r="E504">
        <v>3122350</v>
      </c>
      <c r="H504" t="s">
        <v>44</v>
      </c>
      <c r="P504">
        <v>1026</v>
      </c>
      <c r="Q504">
        <v>1006</v>
      </c>
      <c r="W504" t="s">
        <v>604</v>
      </c>
      <c r="BA504" s="557"/>
      <c r="BC504" t="s">
        <v>748</v>
      </c>
    </row>
    <row r="505" spans="4:55" x14ac:dyDescent="0.25">
      <c r="D505">
        <v>3842023</v>
      </c>
      <c r="E505">
        <v>3863819</v>
      </c>
      <c r="H505" t="s">
        <v>40</v>
      </c>
      <c r="P505">
        <v>1027</v>
      </c>
      <c r="Q505">
        <v>1007</v>
      </c>
      <c r="W505" t="s">
        <v>604</v>
      </c>
      <c r="BA505" s="557"/>
      <c r="BC505" t="s">
        <v>748</v>
      </c>
    </row>
    <row r="506" spans="4:55" x14ac:dyDescent="0.25">
      <c r="D506">
        <v>3545493</v>
      </c>
      <c r="E506">
        <v>3863800</v>
      </c>
      <c r="H506" t="s">
        <v>40</v>
      </c>
      <c r="P506">
        <v>1028</v>
      </c>
      <c r="Q506">
        <v>1008</v>
      </c>
      <c r="W506" t="s">
        <v>407</v>
      </c>
      <c r="BA506" s="557"/>
      <c r="BC506" t="s">
        <v>748</v>
      </c>
    </row>
    <row r="507" spans="4:55" x14ac:dyDescent="0.25">
      <c r="D507">
        <v>3842024</v>
      </c>
      <c r="E507">
        <v>2382577</v>
      </c>
      <c r="H507" t="s">
        <v>81</v>
      </c>
      <c r="P507">
        <v>1029</v>
      </c>
      <c r="Q507">
        <v>1009</v>
      </c>
      <c r="W507" t="s">
        <v>407</v>
      </c>
      <c r="BA507" s="557"/>
      <c r="BC507" t="s">
        <v>748</v>
      </c>
    </row>
    <row r="508" spans="4:55" x14ac:dyDescent="0.25">
      <c r="D508">
        <v>3545492</v>
      </c>
      <c r="E508">
        <v>1386656</v>
      </c>
      <c r="H508" t="s">
        <v>44</v>
      </c>
      <c r="P508">
        <v>1030</v>
      </c>
      <c r="Q508">
        <v>1010</v>
      </c>
      <c r="W508" t="s">
        <v>983</v>
      </c>
      <c r="BA508" s="557"/>
      <c r="BC508" t="s">
        <v>4235</v>
      </c>
    </row>
    <row r="509" spans="4:55" x14ac:dyDescent="0.25">
      <c r="D509">
        <v>3545492</v>
      </c>
      <c r="E509">
        <v>3509211</v>
      </c>
      <c r="H509" t="s">
        <v>37</v>
      </c>
      <c r="P509">
        <v>1036</v>
      </c>
      <c r="Q509">
        <v>1011</v>
      </c>
      <c r="W509" t="s">
        <v>983</v>
      </c>
      <c r="BA509" s="557"/>
      <c r="BC509" t="s">
        <v>642</v>
      </c>
    </row>
    <row r="510" spans="4:55" x14ac:dyDescent="0.25">
      <c r="D510">
        <v>1939459</v>
      </c>
      <c r="E510">
        <v>1482265</v>
      </c>
      <c r="H510" t="s">
        <v>32</v>
      </c>
      <c r="P510">
        <v>1037</v>
      </c>
      <c r="Q510">
        <v>1012</v>
      </c>
      <c r="W510" t="s">
        <v>983</v>
      </c>
      <c r="BA510" s="557"/>
      <c r="BC510" t="s">
        <v>529</v>
      </c>
    </row>
    <row r="511" spans="4:55" x14ac:dyDescent="0.25">
      <c r="D511">
        <v>1939459</v>
      </c>
      <c r="E511">
        <v>3218520</v>
      </c>
      <c r="H511" t="s">
        <v>32</v>
      </c>
      <c r="P511">
        <v>1038</v>
      </c>
      <c r="Q511">
        <v>1013</v>
      </c>
      <c r="W511" t="s">
        <v>986</v>
      </c>
      <c r="BA511" s="557"/>
      <c r="BC511" t="s">
        <v>529</v>
      </c>
    </row>
    <row r="512" spans="4:55" x14ac:dyDescent="0.25">
      <c r="D512">
        <v>3545491</v>
      </c>
      <c r="E512">
        <v>1531609</v>
      </c>
      <c r="H512" t="s">
        <v>32</v>
      </c>
      <c r="P512">
        <v>1039</v>
      </c>
      <c r="Q512">
        <v>1014</v>
      </c>
      <c r="W512" t="s">
        <v>986</v>
      </c>
      <c r="BA512" s="557"/>
      <c r="BC512" t="s">
        <v>529</v>
      </c>
    </row>
    <row r="513" spans="4:55" x14ac:dyDescent="0.25">
      <c r="D513">
        <v>3545491</v>
      </c>
      <c r="E513">
        <v>1190412</v>
      </c>
      <c r="H513" t="s">
        <v>32</v>
      </c>
      <c r="P513">
        <v>1040</v>
      </c>
      <c r="Q513">
        <v>1015</v>
      </c>
      <c r="W513" t="s">
        <v>986</v>
      </c>
      <c r="BA513" s="557"/>
      <c r="BC513" t="s">
        <v>529</v>
      </c>
    </row>
    <row r="514" spans="4:55" x14ac:dyDescent="0.25">
      <c r="D514">
        <v>1938191</v>
      </c>
      <c r="E514">
        <v>2420715</v>
      </c>
      <c r="H514" t="s">
        <v>32</v>
      </c>
      <c r="P514">
        <v>1041</v>
      </c>
      <c r="Q514">
        <v>1016</v>
      </c>
      <c r="W514" t="s">
        <v>986</v>
      </c>
      <c r="BA514" s="557"/>
      <c r="BC514" t="s">
        <v>529</v>
      </c>
    </row>
    <row r="515" spans="4:55" x14ac:dyDescent="0.25">
      <c r="D515">
        <v>1938191</v>
      </c>
      <c r="E515">
        <v>3667329</v>
      </c>
      <c r="H515" t="s">
        <v>32</v>
      </c>
      <c r="P515">
        <v>1042</v>
      </c>
      <c r="Q515">
        <v>1017</v>
      </c>
      <c r="W515" t="s">
        <v>986</v>
      </c>
      <c r="BA515" s="557"/>
      <c r="BC515" t="s">
        <v>529</v>
      </c>
    </row>
    <row r="516" spans="4:55" x14ac:dyDescent="0.25">
      <c r="D516">
        <v>1938191</v>
      </c>
      <c r="E516">
        <v>3673890</v>
      </c>
      <c r="H516" t="s">
        <v>32</v>
      </c>
      <c r="P516">
        <v>1043</v>
      </c>
      <c r="Q516">
        <v>1018</v>
      </c>
      <c r="W516" t="s">
        <v>986</v>
      </c>
      <c r="BA516" s="557"/>
      <c r="BC516" t="s">
        <v>785</v>
      </c>
    </row>
    <row r="517" spans="4:55" x14ac:dyDescent="0.25">
      <c r="D517">
        <v>1938191</v>
      </c>
      <c r="E517">
        <v>3230760</v>
      </c>
      <c r="H517" t="s">
        <v>151</v>
      </c>
      <c r="P517">
        <v>1044</v>
      </c>
      <c r="Q517">
        <v>1019</v>
      </c>
      <c r="W517" t="s">
        <v>986</v>
      </c>
      <c r="BA517" s="557"/>
      <c r="BC517" t="s">
        <v>785</v>
      </c>
    </row>
    <row r="518" spans="4:55" x14ac:dyDescent="0.25">
      <c r="D518">
        <v>1938191</v>
      </c>
      <c r="E518">
        <v>3500096</v>
      </c>
      <c r="H518" t="s">
        <v>17</v>
      </c>
      <c r="P518">
        <v>1045</v>
      </c>
      <c r="Q518">
        <v>1020</v>
      </c>
      <c r="W518" t="s">
        <v>578</v>
      </c>
      <c r="BA518" s="557"/>
      <c r="BC518" t="s">
        <v>785</v>
      </c>
    </row>
    <row r="519" spans="4:55" x14ac:dyDescent="0.25">
      <c r="D519">
        <v>1938191</v>
      </c>
      <c r="E519">
        <v>3230755</v>
      </c>
      <c r="H519" t="s">
        <v>60</v>
      </c>
      <c r="P519">
        <v>1046</v>
      </c>
      <c r="Q519">
        <v>1021</v>
      </c>
      <c r="W519" t="s">
        <v>578</v>
      </c>
      <c r="BA519" s="557"/>
      <c r="BC519" t="s">
        <v>785</v>
      </c>
    </row>
    <row r="520" spans="4:55" x14ac:dyDescent="0.25">
      <c r="D520">
        <v>1938191</v>
      </c>
      <c r="E520">
        <v>1909397</v>
      </c>
      <c r="H520" t="s">
        <v>60</v>
      </c>
      <c r="P520">
        <v>1047</v>
      </c>
      <c r="Q520">
        <v>1022</v>
      </c>
      <c r="W520" t="s">
        <v>578</v>
      </c>
      <c r="BA520" s="557"/>
      <c r="BC520" t="s">
        <v>785</v>
      </c>
    </row>
    <row r="521" spans="4:55" x14ac:dyDescent="0.25">
      <c r="D521">
        <v>1938191</v>
      </c>
      <c r="E521">
        <v>3520755</v>
      </c>
      <c r="H521" t="s">
        <v>60</v>
      </c>
      <c r="P521">
        <v>1048</v>
      </c>
      <c r="Q521">
        <v>1023</v>
      </c>
      <c r="W521" t="s">
        <v>578</v>
      </c>
      <c r="BA521" s="557"/>
      <c r="BC521" t="s">
        <v>785</v>
      </c>
    </row>
    <row r="522" spans="4:55" x14ac:dyDescent="0.25">
      <c r="D522">
        <v>1938191</v>
      </c>
      <c r="E522">
        <v>3410967</v>
      </c>
      <c r="H522" t="s">
        <v>60</v>
      </c>
      <c r="P522">
        <v>1049</v>
      </c>
      <c r="Q522">
        <v>1024</v>
      </c>
      <c r="W522" t="s">
        <v>578</v>
      </c>
      <c r="BA522" s="557"/>
      <c r="BC522" t="s">
        <v>3838</v>
      </c>
    </row>
    <row r="523" spans="4:55" x14ac:dyDescent="0.25">
      <c r="D523">
        <v>1938191</v>
      </c>
      <c r="E523">
        <v>1939544</v>
      </c>
      <c r="H523" t="s">
        <v>60</v>
      </c>
      <c r="P523">
        <v>1050</v>
      </c>
      <c r="Q523">
        <v>1025</v>
      </c>
      <c r="W523" t="s">
        <v>578</v>
      </c>
      <c r="BA523" s="557"/>
      <c r="BC523" t="s">
        <v>4282</v>
      </c>
    </row>
    <row r="524" spans="4:55" x14ac:dyDescent="0.25">
      <c r="D524">
        <v>2419066</v>
      </c>
      <c r="E524">
        <v>1941293</v>
      </c>
      <c r="H524" t="s">
        <v>60</v>
      </c>
      <c r="P524">
        <v>1051</v>
      </c>
      <c r="Q524">
        <v>1026</v>
      </c>
      <c r="W524" t="s">
        <v>578</v>
      </c>
      <c r="BA524" s="557"/>
      <c r="BC524" t="s">
        <v>4282</v>
      </c>
    </row>
    <row r="525" spans="4:55" x14ac:dyDescent="0.25">
      <c r="D525">
        <v>3230486</v>
      </c>
      <c r="E525">
        <v>1940595</v>
      </c>
      <c r="H525" t="s">
        <v>60</v>
      </c>
      <c r="P525">
        <v>1052</v>
      </c>
      <c r="Q525">
        <v>1027</v>
      </c>
      <c r="W525" t="s">
        <v>586</v>
      </c>
      <c r="BA525" s="557"/>
      <c r="BC525" t="s">
        <v>3838</v>
      </c>
    </row>
    <row r="526" spans="4:55" x14ac:dyDescent="0.25">
      <c r="D526">
        <v>3230486</v>
      </c>
      <c r="E526">
        <v>3542856</v>
      </c>
      <c r="H526" t="s">
        <v>60</v>
      </c>
      <c r="P526">
        <v>1053</v>
      </c>
      <c r="Q526">
        <v>1028</v>
      </c>
      <c r="W526" t="s">
        <v>586</v>
      </c>
      <c r="BA526" s="557"/>
      <c r="BC526" t="s">
        <v>4289</v>
      </c>
    </row>
    <row r="527" spans="4:55" x14ac:dyDescent="0.25">
      <c r="D527">
        <v>3230486</v>
      </c>
      <c r="E527">
        <v>3775636</v>
      </c>
      <c r="H527" t="s">
        <v>60</v>
      </c>
      <c r="P527">
        <v>1054</v>
      </c>
      <c r="Q527">
        <v>1029</v>
      </c>
      <c r="W527" t="s">
        <v>586</v>
      </c>
      <c r="BA527" s="557"/>
      <c r="BC527" t="s">
        <v>3838</v>
      </c>
    </row>
    <row r="528" spans="4:55" x14ac:dyDescent="0.25">
      <c r="D528">
        <v>3230486</v>
      </c>
      <c r="E528">
        <v>2280506</v>
      </c>
      <c r="H528" t="s">
        <v>60</v>
      </c>
      <c r="P528">
        <v>1055</v>
      </c>
      <c r="Q528">
        <v>1030</v>
      </c>
      <c r="W528" t="s">
        <v>586</v>
      </c>
      <c r="BA528" s="557"/>
      <c r="BC528" t="s">
        <v>468</v>
      </c>
    </row>
    <row r="529" spans="4:55" x14ac:dyDescent="0.25">
      <c r="D529">
        <v>3230486</v>
      </c>
      <c r="E529">
        <v>3502256</v>
      </c>
      <c r="H529" t="s">
        <v>60</v>
      </c>
      <c r="P529">
        <v>1056</v>
      </c>
      <c r="Q529">
        <v>1036</v>
      </c>
      <c r="W529" t="s">
        <v>586</v>
      </c>
      <c r="BA529" s="557"/>
      <c r="BC529" t="s">
        <v>468</v>
      </c>
    </row>
    <row r="530" spans="4:55" x14ac:dyDescent="0.25">
      <c r="D530">
        <v>3230486</v>
      </c>
      <c r="E530">
        <v>3586645</v>
      </c>
      <c r="H530" t="s">
        <v>60</v>
      </c>
      <c r="P530">
        <v>1057</v>
      </c>
      <c r="Q530">
        <v>1037</v>
      </c>
      <c r="W530" t="s">
        <v>586</v>
      </c>
      <c r="BA530" s="557"/>
      <c r="BC530" t="s">
        <v>468</v>
      </c>
    </row>
    <row r="531" spans="4:55" x14ac:dyDescent="0.25">
      <c r="D531">
        <v>3230486</v>
      </c>
      <c r="E531">
        <v>3677043</v>
      </c>
      <c r="H531" t="s">
        <v>60</v>
      </c>
      <c r="P531">
        <v>1058</v>
      </c>
      <c r="Q531">
        <v>1038</v>
      </c>
      <c r="W531" t="s">
        <v>586</v>
      </c>
      <c r="BA531" s="557"/>
      <c r="BC531" t="s">
        <v>1007</v>
      </c>
    </row>
    <row r="532" spans="4:55" x14ac:dyDescent="0.25">
      <c r="D532">
        <v>3230486</v>
      </c>
      <c r="E532">
        <v>1931813</v>
      </c>
      <c r="H532" t="s">
        <v>60</v>
      </c>
      <c r="P532">
        <v>1059</v>
      </c>
      <c r="Q532">
        <v>1039</v>
      </c>
      <c r="W532" t="s">
        <v>983</v>
      </c>
      <c r="BA532" s="557"/>
      <c r="BC532" t="s">
        <v>468</v>
      </c>
    </row>
    <row r="533" spans="4:55" x14ac:dyDescent="0.25">
      <c r="D533">
        <v>3230486</v>
      </c>
      <c r="E533">
        <v>3441355</v>
      </c>
      <c r="H533" t="s">
        <v>60</v>
      </c>
      <c r="P533">
        <v>1060</v>
      </c>
      <c r="Q533">
        <v>1040</v>
      </c>
      <c r="W533" t="s">
        <v>407</v>
      </c>
      <c r="BA533" s="557"/>
      <c r="BC533" t="s">
        <v>1007</v>
      </c>
    </row>
    <row r="534" spans="4:55" x14ac:dyDescent="0.25">
      <c r="D534">
        <v>3230486</v>
      </c>
      <c r="E534">
        <v>1140302</v>
      </c>
      <c r="H534" t="s">
        <v>60</v>
      </c>
      <c r="P534">
        <v>1061</v>
      </c>
      <c r="Q534">
        <v>1041</v>
      </c>
      <c r="W534" t="s">
        <v>604</v>
      </c>
      <c r="BA534" s="557"/>
      <c r="BC534" t="s">
        <v>468</v>
      </c>
    </row>
    <row r="535" spans="4:55" x14ac:dyDescent="0.25">
      <c r="D535">
        <v>3230486</v>
      </c>
      <c r="E535">
        <v>1940603</v>
      </c>
      <c r="H535" t="s">
        <v>60</v>
      </c>
      <c r="P535">
        <v>1062</v>
      </c>
      <c r="Q535">
        <v>1042</v>
      </c>
      <c r="W535" t="s">
        <v>604</v>
      </c>
      <c r="BA535" s="557"/>
      <c r="BC535" t="s">
        <v>468</v>
      </c>
    </row>
    <row r="536" spans="4:55" x14ac:dyDescent="0.25">
      <c r="D536">
        <v>3230486</v>
      </c>
      <c r="E536">
        <v>1931264</v>
      </c>
      <c r="H536" t="s">
        <v>60</v>
      </c>
      <c r="P536">
        <v>1063</v>
      </c>
      <c r="Q536">
        <v>1043</v>
      </c>
      <c r="W536" t="s">
        <v>604</v>
      </c>
      <c r="BA536" s="557"/>
      <c r="BC536" t="s">
        <v>468</v>
      </c>
    </row>
    <row r="537" spans="4:55" x14ac:dyDescent="0.25">
      <c r="D537">
        <v>3230486</v>
      </c>
      <c r="E537">
        <v>2410997</v>
      </c>
      <c r="H537" t="s">
        <v>60</v>
      </c>
      <c r="P537">
        <v>1064</v>
      </c>
      <c r="Q537">
        <v>1044</v>
      </c>
      <c r="W537" t="s">
        <v>604</v>
      </c>
      <c r="BA537" s="557"/>
      <c r="BC537" t="s">
        <v>1007</v>
      </c>
    </row>
    <row r="538" spans="4:55" x14ac:dyDescent="0.25">
      <c r="D538">
        <v>3230486</v>
      </c>
      <c r="E538">
        <v>1939284</v>
      </c>
      <c r="H538" t="s">
        <v>60</v>
      </c>
      <c r="P538">
        <v>1065</v>
      </c>
      <c r="Q538">
        <v>1045</v>
      </c>
      <c r="W538" t="s">
        <v>604</v>
      </c>
      <c r="BA538" s="557"/>
      <c r="BC538" t="s">
        <v>468</v>
      </c>
    </row>
    <row r="539" spans="4:55" x14ac:dyDescent="0.25">
      <c r="D539">
        <v>3230486</v>
      </c>
      <c r="E539">
        <v>1939283</v>
      </c>
      <c r="H539" t="s">
        <v>60</v>
      </c>
      <c r="P539">
        <v>1066</v>
      </c>
      <c r="Q539">
        <v>1046</v>
      </c>
      <c r="W539" t="s">
        <v>983</v>
      </c>
      <c r="BA539" s="557"/>
      <c r="BC539" t="s">
        <v>468</v>
      </c>
    </row>
    <row r="540" spans="4:55" x14ac:dyDescent="0.25">
      <c r="D540">
        <v>3230486</v>
      </c>
      <c r="E540">
        <v>2410992</v>
      </c>
      <c r="H540" t="s">
        <v>60</v>
      </c>
      <c r="P540">
        <v>1067</v>
      </c>
      <c r="Q540">
        <v>1047</v>
      </c>
      <c r="W540" t="s">
        <v>633</v>
      </c>
      <c r="BA540" s="557"/>
      <c r="BC540" t="s">
        <v>468</v>
      </c>
    </row>
    <row r="541" spans="4:55" x14ac:dyDescent="0.25">
      <c r="D541">
        <v>3230486</v>
      </c>
      <c r="E541">
        <v>2432009</v>
      </c>
      <c r="H541" t="s">
        <v>60</v>
      </c>
      <c r="P541">
        <v>1068</v>
      </c>
      <c r="Q541">
        <v>1048</v>
      </c>
      <c r="W541" t="s">
        <v>604</v>
      </c>
      <c r="BA541" s="557"/>
      <c r="BC541" t="s">
        <v>468</v>
      </c>
    </row>
    <row r="542" spans="4:55" x14ac:dyDescent="0.25">
      <c r="D542">
        <v>3230486</v>
      </c>
      <c r="E542">
        <v>2426241</v>
      </c>
      <c r="H542" t="s">
        <v>60</v>
      </c>
      <c r="P542">
        <v>1069</v>
      </c>
      <c r="Q542">
        <v>1049</v>
      </c>
      <c r="W542" t="s">
        <v>875</v>
      </c>
      <c r="BA542" s="557"/>
      <c r="BC542" t="s">
        <v>468</v>
      </c>
    </row>
    <row r="543" spans="4:55" x14ac:dyDescent="0.25">
      <c r="D543">
        <v>3230486</v>
      </c>
      <c r="E543">
        <v>1938483</v>
      </c>
      <c r="H543" t="s">
        <v>155</v>
      </c>
      <c r="P543">
        <v>1070</v>
      </c>
      <c r="Q543">
        <v>1050</v>
      </c>
      <c r="W543" t="s">
        <v>875</v>
      </c>
      <c r="BA543" s="557"/>
      <c r="BC543" t="s">
        <v>468</v>
      </c>
    </row>
    <row r="544" spans="4:55" x14ac:dyDescent="0.25">
      <c r="D544">
        <v>3230486</v>
      </c>
      <c r="E544">
        <v>1940614</v>
      </c>
      <c r="H544" t="s">
        <v>155</v>
      </c>
      <c r="P544">
        <v>1071</v>
      </c>
      <c r="Q544">
        <v>1051</v>
      </c>
      <c r="W544" t="s">
        <v>875</v>
      </c>
      <c r="BA544" s="557"/>
      <c r="BC544" t="s">
        <v>737</v>
      </c>
    </row>
    <row r="545" spans="4:55" x14ac:dyDescent="0.25">
      <c r="D545">
        <v>3230486</v>
      </c>
      <c r="E545">
        <v>237726</v>
      </c>
      <c r="H545" t="s">
        <v>155</v>
      </c>
      <c r="P545">
        <v>1072</v>
      </c>
      <c r="Q545">
        <v>1052</v>
      </c>
      <c r="W545" t="s">
        <v>875</v>
      </c>
      <c r="BA545" s="557"/>
      <c r="BC545" t="s">
        <v>737</v>
      </c>
    </row>
    <row r="546" spans="4:55" x14ac:dyDescent="0.25">
      <c r="D546">
        <v>3230486</v>
      </c>
      <c r="E546">
        <v>2331952</v>
      </c>
      <c r="H546" t="s">
        <v>60</v>
      </c>
      <c r="P546">
        <v>1073</v>
      </c>
      <c r="Q546">
        <v>1053</v>
      </c>
      <c r="W546" t="s">
        <v>875</v>
      </c>
      <c r="BA546" s="557"/>
      <c r="BC546" t="s">
        <v>1008</v>
      </c>
    </row>
    <row r="547" spans="4:55" x14ac:dyDescent="0.25">
      <c r="D547">
        <v>3230486</v>
      </c>
      <c r="E547">
        <v>3702101</v>
      </c>
      <c r="H547" t="s">
        <v>60</v>
      </c>
      <c r="P547">
        <v>1074</v>
      </c>
      <c r="Q547">
        <v>1054</v>
      </c>
      <c r="W547" t="s">
        <v>875</v>
      </c>
      <c r="BA547" s="557"/>
      <c r="BC547" t="s">
        <v>1008</v>
      </c>
    </row>
    <row r="548" spans="4:55" x14ac:dyDescent="0.25">
      <c r="D548">
        <v>3230486</v>
      </c>
      <c r="E548">
        <v>3727212</v>
      </c>
      <c r="H548" t="s">
        <v>60</v>
      </c>
      <c r="P548">
        <v>1075</v>
      </c>
      <c r="Q548">
        <v>1055</v>
      </c>
      <c r="W548" t="s">
        <v>875</v>
      </c>
      <c r="BA548" s="557"/>
      <c r="BC548" t="s">
        <v>1008</v>
      </c>
    </row>
    <row r="549" spans="4:55" x14ac:dyDescent="0.25">
      <c r="D549">
        <v>3230486</v>
      </c>
      <c r="E549">
        <v>3598957</v>
      </c>
      <c r="H549" t="s">
        <v>60</v>
      </c>
      <c r="P549">
        <v>1076</v>
      </c>
      <c r="Q549">
        <v>1056</v>
      </c>
      <c r="W549" t="s">
        <v>875</v>
      </c>
      <c r="BA549" s="557"/>
      <c r="BC549" t="s">
        <v>1008</v>
      </c>
    </row>
    <row r="550" spans="4:55" x14ac:dyDescent="0.25">
      <c r="D550">
        <v>3230486</v>
      </c>
      <c r="E550">
        <v>3598958</v>
      </c>
      <c r="H550" t="s">
        <v>60</v>
      </c>
      <c r="P550">
        <v>1077</v>
      </c>
      <c r="Q550">
        <v>1057</v>
      </c>
      <c r="W550" t="s">
        <v>875</v>
      </c>
      <c r="BA550" s="557"/>
      <c r="BC550" t="s">
        <v>737</v>
      </c>
    </row>
    <row r="551" spans="4:55" x14ac:dyDescent="0.25">
      <c r="D551">
        <v>3571862</v>
      </c>
      <c r="E551">
        <v>1940621</v>
      </c>
      <c r="H551" t="s">
        <v>60</v>
      </c>
      <c r="P551">
        <v>1078</v>
      </c>
      <c r="Q551">
        <v>1058</v>
      </c>
      <c r="W551" t="s">
        <v>404</v>
      </c>
      <c r="BA551" s="557"/>
      <c r="BC551" t="s">
        <v>737</v>
      </c>
    </row>
    <row r="552" spans="4:55" x14ac:dyDescent="0.25">
      <c r="D552">
        <v>3571862</v>
      </c>
      <c r="E552">
        <v>2397074</v>
      </c>
      <c r="H552" t="s">
        <v>60</v>
      </c>
      <c r="P552">
        <v>1079</v>
      </c>
      <c r="Q552">
        <v>1059</v>
      </c>
      <c r="W552" t="s">
        <v>404</v>
      </c>
      <c r="BA552" s="557"/>
      <c r="BC552" t="s">
        <v>737</v>
      </c>
    </row>
    <row r="553" spans="4:55" x14ac:dyDescent="0.25">
      <c r="D553">
        <v>3571862</v>
      </c>
      <c r="E553">
        <v>1940626</v>
      </c>
      <c r="H553" t="s">
        <v>60</v>
      </c>
      <c r="P553">
        <v>1080</v>
      </c>
      <c r="Q553">
        <v>1060</v>
      </c>
      <c r="W553" t="s">
        <v>404</v>
      </c>
      <c r="BA553" s="557"/>
      <c r="BC553" t="s">
        <v>737</v>
      </c>
    </row>
    <row r="554" spans="4:55" x14ac:dyDescent="0.25">
      <c r="D554">
        <v>3571862</v>
      </c>
      <c r="E554">
        <v>1940627</v>
      </c>
      <c r="H554" t="s">
        <v>60</v>
      </c>
      <c r="P554">
        <v>1081</v>
      </c>
      <c r="Q554">
        <v>1061</v>
      </c>
      <c r="W554" t="s">
        <v>404</v>
      </c>
      <c r="BA554" s="557"/>
      <c r="BC554" t="s">
        <v>1008</v>
      </c>
    </row>
    <row r="555" spans="4:55" x14ac:dyDescent="0.25">
      <c r="D555">
        <v>3571862</v>
      </c>
      <c r="E555">
        <v>3617058</v>
      </c>
      <c r="H555" t="s">
        <v>60</v>
      </c>
      <c r="P555">
        <v>1082</v>
      </c>
      <c r="Q555">
        <v>1062</v>
      </c>
      <c r="W555" t="s">
        <v>404</v>
      </c>
      <c r="BA555" s="557"/>
      <c r="BC555" t="s">
        <v>737</v>
      </c>
    </row>
    <row r="556" spans="4:55" x14ac:dyDescent="0.25">
      <c r="D556">
        <v>3571862</v>
      </c>
      <c r="E556">
        <v>2410388</v>
      </c>
      <c r="H556" t="s">
        <v>60</v>
      </c>
      <c r="P556">
        <v>1083</v>
      </c>
      <c r="Q556">
        <v>1063</v>
      </c>
      <c r="W556" t="s">
        <v>404</v>
      </c>
      <c r="BA556" s="557"/>
      <c r="BC556" t="s">
        <v>737</v>
      </c>
    </row>
    <row r="557" spans="4:55" x14ac:dyDescent="0.25">
      <c r="D557">
        <v>3571862</v>
      </c>
      <c r="E557">
        <v>3472102</v>
      </c>
      <c r="H557" t="s">
        <v>60</v>
      </c>
      <c r="P557">
        <v>1084</v>
      </c>
      <c r="Q557">
        <v>1064</v>
      </c>
      <c r="W557" t="s">
        <v>404</v>
      </c>
      <c r="BA557" s="557"/>
      <c r="BC557" t="s">
        <v>737</v>
      </c>
    </row>
    <row r="558" spans="4:55" x14ac:dyDescent="0.25">
      <c r="D558">
        <v>3571862</v>
      </c>
      <c r="E558">
        <v>3770393</v>
      </c>
      <c r="H558" t="s">
        <v>60</v>
      </c>
      <c r="P558">
        <v>1085</v>
      </c>
      <c r="Q558">
        <v>1065</v>
      </c>
      <c r="W558" t="s">
        <v>404</v>
      </c>
      <c r="BA558" s="557"/>
      <c r="BC558" t="s">
        <v>1008</v>
      </c>
    </row>
    <row r="559" spans="4:55" x14ac:dyDescent="0.25">
      <c r="D559">
        <v>3571862</v>
      </c>
      <c r="E559">
        <v>3190072</v>
      </c>
      <c r="H559" t="s">
        <v>60</v>
      </c>
      <c r="P559">
        <v>1086</v>
      </c>
      <c r="Q559">
        <v>1066</v>
      </c>
      <c r="W559" t="s">
        <v>5052</v>
      </c>
      <c r="BA559" s="557"/>
      <c r="BC559" t="s">
        <v>1008</v>
      </c>
    </row>
    <row r="560" spans="4:55" x14ac:dyDescent="0.25">
      <c r="D560">
        <v>3571862</v>
      </c>
      <c r="E560">
        <v>3909903</v>
      </c>
      <c r="H560" t="s">
        <v>60</v>
      </c>
      <c r="P560">
        <v>1087</v>
      </c>
      <c r="Q560">
        <v>1067</v>
      </c>
      <c r="W560" t="s">
        <v>5052</v>
      </c>
      <c r="BA560" s="557"/>
      <c r="BC560" t="s">
        <v>1008</v>
      </c>
    </row>
    <row r="561" spans="4:55" x14ac:dyDescent="0.25">
      <c r="D561">
        <v>3571862</v>
      </c>
      <c r="E561">
        <v>1939285</v>
      </c>
      <c r="H561" t="s">
        <v>61</v>
      </c>
      <c r="P561">
        <v>1088</v>
      </c>
      <c r="Q561">
        <v>1068</v>
      </c>
      <c r="W561" t="s">
        <v>5052</v>
      </c>
      <c r="BA561" s="557"/>
      <c r="BC561" t="s">
        <v>737</v>
      </c>
    </row>
    <row r="562" spans="4:55" x14ac:dyDescent="0.25">
      <c r="D562">
        <v>3571862</v>
      </c>
      <c r="E562">
        <v>1941303</v>
      </c>
      <c r="H562" t="s">
        <v>37</v>
      </c>
      <c r="P562">
        <v>1089</v>
      </c>
      <c r="Q562">
        <v>1069</v>
      </c>
      <c r="W562" t="s">
        <v>5052</v>
      </c>
      <c r="BA562" s="557"/>
      <c r="BC562" t="s">
        <v>1008</v>
      </c>
    </row>
    <row r="563" spans="4:55" x14ac:dyDescent="0.25">
      <c r="D563">
        <v>3571862</v>
      </c>
      <c r="E563">
        <v>2359912</v>
      </c>
      <c r="H563" t="s">
        <v>72</v>
      </c>
      <c r="P563">
        <v>1090</v>
      </c>
      <c r="Q563">
        <v>1070</v>
      </c>
      <c r="W563" t="s">
        <v>5052</v>
      </c>
      <c r="BA563" s="557"/>
      <c r="BC563" t="s">
        <v>737</v>
      </c>
    </row>
    <row r="564" spans="4:55" x14ac:dyDescent="0.25">
      <c r="D564">
        <v>3571862</v>
      </c>
      <c r="E564">
        <v>3190073</v>
      </c>
      <c r="H564" t="s">
        <v>60</v>
      </c>
      <c r="P564">
        <v>1091</v>
      </c>
      <c r="Q564">
        <v>1071</v>
      </c>
      <c r="W564" t="s">
        <v>5052</v>
      </c>
      <c r="BA564" s="557"/>
      <c r="BC564" t="s">
        <v>1008</v>
      </c>
    </row>
    <row r="565" spans="4:55" x14ac:dyDescent="0.25">
      <c r="D565">
        <v>3584173</v>
      </c>
      <c r="E565">
        <v>1939282</v>
      </c>
      <c r="H565" t="s">
        <v>60</v>
      </c>
      <c r="P565">
        <v>1092</v>
      </c>
      <c r="Q565">
        <v>1072</v>
      </c>
      <c r="W565" t="s">
        <v>5052</v>
      </c>
      <c r="BA565" s="557"/>
      <c r="BC565" t="s">
        <v>1008</v>
      </c>
    </row>
    <row r="566" spans="4:55" x14ac:dyDescent="0.25">
      <c r="D566">
        <v>3584173</v>
      </c>
      <c r="E566">
        <v>2359755</v>
      </c>
      <c r="H566" t="s">
        <v>60</v>
      </c>
      <c r="P566">
        <v>1093</v>
      </c>
      <c r="Q566">
        <v>1073</v>
      </c>
      <c r="W566" t="s">
        <v>5052</v>
      </c>
      <c r="BA566" s="557"/>
      <c r="BC566" t="s">
        <v>737</v>
      </c>
    </row>
    <row r="567" spans="4:55" x14ac:dyDescent="0.25">
      <c r="D567">
        <v>3584173</v>
      </c>
      <c r="E567">
        <v>2410991</v>
      </c>
      <c r="H567" t="s">
        <v>96</v>
      </c>
      <c r="P567">
        <v>1094</v>
      </c>
      <c r="Q567">
        <v>1074</v>
      </c>
      <c r="W567" t="s">
        <v>5052</v>
      </c>
      <c r="BA567" s="557"/>
      <c r="BC567" t="s">
        <v>1008</v>
      </c>
    </row>
    <row r="568" spans="4:55" x14ac:dyDescent="0.25">
      <c r="D568">
        <v>3584173</v>
      </c>
      <c r="E568">
        <v>1938121</v>
      </c>
      <c r="H568" t="s">
        <v>60</v>
      </c>
      <c r="P568">
        <v>1095</v>
      </c>
      <c r="Q568">
        <v>1075</v>
      </c>
      <c r="W568" t="s">
        <v>5052</v>
      </c>
      <c r="BA568" s="557"/>
      <c r="BC568" t="s">
        <v>737</v>
      </c>
    </row>
    <row r="569" spans="4:55" x14ac:dyDescent="0.25">
      <c r="D569">
        <v>3584173</v>
      </c>
      <c r="E569">
        <v>3572045</v>
      </c>
      <c r="H569" t="s">
        <v>60</v>
      </c>
      <c r="P569">
        <v>1096</v>
      </c>
      <c r="Q569">
        <v>1076</v>
      </c>
      <c r="W569" t="s">
        <v>5052</v>
      </c>
      <c r="BA569" s="557"/>
      <c r="BC569" t="s">
        <v>737</v>
      </c>
    </row>
    <row r="570" spans="4:55" x14ac:dyDescent="0.25">
      <c r="D570">
        <v>3584173</v>
      </c>
      <c r="E570">
        <v>3230495</v>
      </c>
      <c r="H570" t="s">
        <v>60</v>
      </c>
      <c r="P570">
        <v>1097</v>
      </c>
      <c r="Q570">
        <v>1077</v>
      </c>
      <c r="W570" t="s">
        <v>5052</v>
      </c>
      <c r="BA570" s="557"/>
      <c r="BC570" t="s">
        <v>1008</v>
      </c>
    </row>
    <row r="571" spans="4:55" x14ac:dyDescent="0.25">
      <c r="D571">
        <v>3584173</v>
      </c>
      <c r="E571">
        <v>403040</v>
      </c>
      <c r="H571" t="s">
        <v>60</v>
      </c>
      <c r="P571">
        <v>1098</v>
      </c>
      <c r="Q571">
        <v>1078</v>
      </c>
      <c r="W571" t="s">
        <v>5052</v>
      </c>
      <c r="BA571" s="557"/>
      <c r="BC571" t="s">
        <v>3361</v>
      </c>
    </row>
    <row r="572" spans="4:55" x14ac:dyDescent="0.25">
      <c r="D572">
        <v>3584173</v>
      </c>
      <c r="E572">
        <v>503108</v>
      </c>
      <c r="H572" t="s">
        <v>60</v>
      </c>
      <c r="P572">
        <v>1099</v>
      </c>
      <c r="Q572">
        <v>1079</v>
      </c>
      <c r="W572" t="s">
        <v>5052</v>
      </c>
      <c r="BA572" s="557"/>
      <c r="BC572" t="s">
        <v>3361</v>
      </c>
    </row>
    <row r="573" spans="4:55" x14ac:dyDescent="0.25">
      <c r="D573">
        <v>3584173</v>
      </c>
      <c r="E573">
        <v>3774983</v>
      </c>
      <c r="H573" t="s">
        <v>151</v>
      </c>
      <c r="P573">
        <v>1100</v>
      </c>
      <c r="Q573">
        <v>1080</v>
      </c>
      <c r="W573" t="s">
        <v>5052</v>
      </c>
      <c r="BA573" s="557"/>
      <c r="BC573" t="s">
        <v>806</v>
      </c>
    </row>
    <row r="574" spans="4:55" x14ac:dyDescent="0.25">
      <c r="D574">
        <v>3584173</v>
      </c>
      <c r="E574">
        <v>2256593</v>
      </c>
      <c r="H574" t="s">
        <v>76</v>
      </c>
      <c r="P574">
        <v>1101</v>
      </c>
      <c r="Q574">
        <v>1081</v>
      </c>
      <c r="W574" t="s">
        <v>633</v>
      </c>
      <c r="BA574" s="557"/>
      <c r="BC574" t="s">
        <v>806</v>
      </c>
    </row>
    <row r="575" spans="4:55" x14ac:dyDescent="0.25">
      <c r="D575">
        <v>3584173</v>
      </c>
      <c r="E575">
        <v>3508456</v>
      </c>
      <c r="H575" t="s">
        <v>76</v>
      </c>
      <c r="P575">
        <v>1102</v>
      </c>
      <c r="Q575">
        <v>1082</v>
      </c>
      <c r="W575" t="s">
        <v>633</v>
      </c>
      <c r="BA575" s="557"/>
      <c r="BC575" t="s">
        <v>810</v>
      </c>
    </row>
    <row r="576" spans="4:55" x14ac:dyDescent="0.25">
      <c r="D576">
        <v>3584173</v>
      </c>
      <c r="E576">
        <v>444028</v>
      </c>
      <c r="H576" t="s">
        <v>37</v>
      </c>
      <c r="P576">
        <v>1103</v>
      </c>
      <c r="Q576">
        <v>1083</v>
      </c>
      <c r="W576" t="s">
        <v>891</v>
      </c>
      <c r="BA576" s="557"/>
      <c r="BC576" t="s">
        <v>810</v>
      </c>
    </row>
    <row r="577" spans="4:55" x14ac:dyDescent="0.25">
      <c r="D577">
        <v>3584173</v>
      </c>
      <c r="E577">
        <v>3507795</v>
      </c>
      <c r="H577" t="s">
        <v>37</v>
      </c>
      <c r="P577">
        <v>1104</v>
      </c>
      <c r="Q577">
        <v>1084</v>
      </c>
      <c r="W577" t="s">
        <v>891</v>
      </c>
      <c r="BA577" s="557"/>
      <c r="BC577" t="s">
        <v>810</v>
      </c>
    </row>
    <row r="578" spans="4:55" x14ac:dyDescent="0.25">
      <c r="D578">
        <v>3584173</v>
      </c>
      <c r="E578">
        <v>373013</v>
      </c>
      <c r="H578" t="s">
        <v>37</v>
      </c>
      <c r="P578">
        <v>1105</v>
      </c>
      <c r="Q578">
        <v>1085</v>
      </c>
      <c r="W578" t="s">
        <v>891</v>
      </c>
      <c r="BA578" s="557"/>
      <c r="BC578" t="s">
        <v>810</v>
      </c>
    </row>
    <row r="579" spans="4:55" x14ac:dyDescent="0.25">
      <c r="D579">
        <v>3571863</v>
      </c>
      <c r="E579">
        <v>1940653</v>
      </c>
      <c r="H579" t="s">
        <v>37</v>
      </c>
      <c r="P579">
        <v>1106</v>
      </c>
      <c r="Q579">
        <v>1086</v>
      </c>
      <c r="W579" t="s">
        <v>891</v>
      </c>
      <c r="BA579" s="557"/>
      <c r="BC579" t="s">
        <v>4603</v>
      </c>
    </row>
    <row r="580" spans="4:55" x14ac:dyDescent="0.25">
      <c r="D580">
        <v>3571863</v>
      </c>
      <c r="E580">
        <v>3506437</v>
      </c>
      <c r="H580" t="s">
        <v>37</v>
      </c>
      <c r="P580">
        <v>1107</v>
      </c>
      <c r="Q580">
        <v>1087</v>
      </c>
      <c r="W580" t="s">
        <v>891</v>
      </c>
      <c r="BA580" s="557"/>
      <c r="BC580" t="s">
        <v>4603</v>
      </c>
    </row>
    <row r="581" spans="4:55" x14ac:dyDescent="0.25">
      <c r="D581">
        <v>3571863</v>
      </c>
      <c r="E581">
        <v>3819143</v>
      </c>
      <c r="H581" t="s">
        <v>37</v>
      </c>
      <c r="P581">
        <v>1108</v>
      </c>
      <c r="Q581">
        <v>1088</v>
      </c>
      <c r="W581" t="s">
        <v>891</v>
      </c>
      <c r="BA581" s="557"/>
      <c r="BC581" t="s">
        <v>4603</v>
      </c>
    </row>
    <row r="582" spans="4:55" x14ac:dyDescent="0.25">
      <c r="D582">
        <v>3571863</v>
      </c>
      <c r="E582">
        <v>1904406</v>
      </c>
      <c r="H582" t="s">
        <v>21</v>
      </c>
      <c r="P582">
        <v>1109</v>
      </c>
      <c r="Q582">
        <v>1089</v>
      </c>
      <c r="W582" t="s">
        <v>891</v>
      </c>
      <c r="BA582" s="2"/>
      <c r="BC582" t="s">
        <v>4603</v>
      </c>
    </row>
    <row r="583" spans="4:55" x14ac:dyDescent="0.25">
      <c r="D583">
        <v>3571863</v>
      </c>
      <c r="E583">
        <v>3586648</v>
      </c>
      <c r="H583" t="s">
        <v>21</v>
      </c>
      <c r="P583">
        <v>1110</v>
      </c>
      <c r="Q583">
        <v>1090</v>
      </c>
      <c r="W583" t="s">
        <v>891</v>
      </c>
      <c r="BC583" t="s">
        <v>806</v>
      </c>
    </row>
    <row r="584" spans="4:55" x14ac:dyDescent="0.25">
      <c r="D584">
        <v>3571863</v>
      </c>
      <c r="E584">
        <v>331629</v>
      </c>
      <c r="H584" t="s">
        <v>21</v>
      </c>
      <c r="P584">
        <v>1111</v>
      </c>
      <c r="Q584">
        <v>1091</v>
      </c>
      <c r="W584" t="s">
        <v>891</v>
      </c>
      <c r="BC584" t="s">
        <v>806</v>
      </c>
    </row>
    <row r="585" spans="4:55" x14ac:dyDescent="0.25">
      <c r="D585">
        <v>3571863</v>
      </c>
      <c r="E585">
        <v>3171772</v>
      </c>
      <c r="H585" t="s">
        <v>21</v>
      </c>
      <c r="P585">
        <v>1112</v>
      </c>
      <c r="Q585">
        <v>1092</v>
      </c>
      <c r="W585" t="s">
        <v>891</v>
      </c>
      <c r="BC585" t="s">
        <v>4428</v>
      </c>
    </row>
    <row r="586" spans="4:55" x14ac:dyDescent="0.25">
      <c r="D586">
        <v>3571863</v>
      </c>
      <c r="E586">
        <v>3500689</v>
      </c>
      <c r="H586" t="s">
        <v>21</v>
      </c>
      <c r="P586">
        <v>1147</v>
      </c>
      <c r="Q586">
        <v>1093</v>
      </c>
      <c r="W586" t="s">
        <v>891</v>
      </c>
      <c r="BC586" t="s">
        <v>810</v>
      </c>
    </row>
    <row r="587" spans="4:55" x14ac:dyDescent="0.25">
      <c r="D587">
        <v>3571863</v>
      </c>
      <c r="E587">
        <v>3682122</v>
      </c>
      <c r="H587" t="s">
        <v>21</v>
      </c>
      <c r="P587">
        <v>1148</v>
      </c>
      <c r="Q587">
        <v>1094</v>
      </c>
      <c r="W587" t="s">
        <v>891</v>
      </c>
      <c r="BC587" t="s">
        <v>4428</v>
      </c>
    </row>
    <row r="588" spans="4:55" x14ac:dyDescent="0.25">
      <c r="D588">
        <v>3571863</v>
      </c>
      <c r="E588">
        <v>3715133</v>
      </c>
      <c r="H588" t="s">
        <v>21</v>
      </c>
      <c r="P588">
        <v>1149</v>
      </c>
      <c r="Q588">
        <v>1095</v>
      </c>
      <c r="W588" t="s">
        <v>891</v>
      </c>
      <c r="BC588" t="s">
        <v>813</v>
      </c>
    </row>
    <row r="589" spans="4:55" x14ac:dyDescent="0.25">
      <c r="D589">
        <v>3571863</v>
      </c>
      <c r="E589">
        <v>3447257</v>
      </c>
      <c r="H589" t="s">
        <v>21</v>
      </c>
      <c r="P589">
        <v>1150</v>
      </c>
      <c r="Q589">
        <v>1096</v>
      </c>
      <c r="W589" t="s">
        <v>891</v>
      </c>
      <c r="BC589" t="s">
        <v>404</v>
      </c>
    </row>
    <row r="590" spans="4:55" x14ac:dyDescent="0.25">
      <c r="D590">
        <v>3571863</v>
      </c>
      <c r="E590">
        <v>3502255</v>
      </c>
      <c r="H590" t="s">
        <v>21</v>
      </c>
      <c r="P590">
        <v>1151</v>
      </c>
      <c r="Q590">
        <v>1097</v>
      </c>
      <c r="W590" t="s">
        <v>891</v>
      </c>
      <c r="BC590" t="s">
        <v>404</v>
      </c>
    </row>
    <row r="591" spans="4:55" x14ac:dyDescent="0.25">
      <c r="D591">
        <v>3571863</v>
      </c>
      <c r="E591">
        <v>3502018</v>
      </c>
      <c r="H591" t="s">
        <v>21</v>
      </c>
      <c r="P591">
        <v>1152</v>
      </c>
      <c r="Q591">
        <v>1098</v>
      </c>
      <c r="W591" t="s">
        <v>891</v>
      </c>
      <c r="BC591" t="s">
        <v>404</v>
      </c>
    </row>
    <row r="592" spans="4:55" x14ac:dyDescent="0.25">
      <c r="D592">
        <v>3571863</v>
      </c>
      <c r="E592">
        <v>3500081</v>
      </c>
      <c r="H592" t="s">
        <v>21</v>
      </c>
      <c r="P592">
        <v>1153</v>
      </c>
      <c r="Q592">
        <v>1099</v>
      </c>
      <c r="W592" t="s">
        <v>891</v>
      </c>
      <c r="BC592" t="s">
        <v>404</v>
      </c>
    </row>
    <row r="593" spans="4:55" x14ac:dyDescent="0.25">
      <c r="D593">
        <v>3571864</v>
      </c>
      <c r="E593">
        <v>3500352</v>
      </c>
      <c r="H593" t="s">
        <v>30</v>
      </c>
      <c r="P593">
        <v>1154</v>
      </c>
      <c r="Q593">
        <v>1100</v>
      </c>
      <c r="W593" t="s">
        <v>891</v>
      </c>
      <c r="BC593" t="s">
        <v>4446</v>
      </c>
    </row>
    <row r="594" spans="4:55" x14ac:dyDescent="0.25">
      <c r="D594">
        <v>3571864</v>
      </c>
      <c r="E594">
        <v>1940686</v>
      </c>
      <c r="H594" t="s">
        <v>30</v>
      </c>
      <c r="P594">
        <v>1155</v>
      </c>
      <c r="Q594">
        <v>1101</v>
      </c>
      <c r="W594" t="s">
        <v>891</v>
      </c>
      <c r="BC594" t="s">
        <v>4449</v>
      </c>
    </row>
    <row r="595" spans="4:55" x14ac:dyDescent="0.25">
      <c r="D595">
        <v>3571864</v>
      </c>
      <c r="E595">
        <v>1138892</v>
      </c>
      <c r="H595" t="s">
        <v>30</v>
      </c>
      <c r="P595">
        <v>1156</v>
      </c>
      <c r="Q595">
        <v>1102</v>
      </c>
      <c r="W595" t="s">
        <v>891</v>
      </c>
      <c r="BC595" t="s">
        <v>3361</v>
      </c>
    </row>
    <row r="596" spans="4:55" x14ac:dyDescent="0.25">
      <c r="D596">
        <v>3571864</v>
      </c>
      <c r="E596">
        <v>1941840</v>
      </c>
      <c r="H596" t="s">
        <v>30</v>
      </c>
      <c r="P596">
        <v>1157</v>
      </c>
      <c r="Q596">
        <v>1103</v>
      </c>
      <c r="W596" t="s">
        <v>604</v>
      </c>
      <c r="BC596" t="s">
        <v>3361</v>
      </c>
    </row>
    <row r="597" spans="4:55" x14ac:dyDescent="0.25">
      <c r="D597">
        <v>3571864</v>
      </c>
      <c r="E597">
        <v>1940685</v>
      </c>
      <c r="H597" t="s">
        <v>22</v>
      </c>
      <c r="P597">
        <v>1158</v>
      </c>
      <c r="Q597">
        <v>1104</v>
      </c>
      <c r="W597" t="s">
        <v>1824</v>
      </c>
      <c r="BC597" t="s">
        <v>692</v>
      </c>
    </row>
    <row r="598" spans="4:55" x14ac:dyDescent="0.25">
      <c r="D598">
        <v>3571864</v>
      </c>
      <c r="E598">
        <v>2410960</v>
      </c>
      <c r="H598" t="s">
        <v>22</v>
      </c>
      <c r="P598">
        <v>1159</v>
      </c>
      <c r="Q598">
        <v>1105</v>
      </c>
      <c r="W598" t="s">
        <v>1824</v>
      </c>
      <c r="BC598" t="s">
        <v>4457</v>
      </c>
    </row>
    <row r="599" spans="4:55" x14ac:dyDescent="0.25">
      <c r="D599">
        <v>3571864</v>
      </c>
      <c r="E599">
        <v>3673945</v>
      </c>
      <c r="H599" t="s">
        <v>22</v>
      </c>
      <c r="P599">
        <v>1160</v>
      </c>
      <c r="Q599">
        <v>1106</v>
      </c>
      <c r="W599" t="s">
        <v>1824</v>
      </c>
      <c r="BC599" t="s">
        <v>692</v>
      </c>
    </row>
    <row r="600" spans="4:55" x14ac:dyDescent="0.25">
      <c r="D600">
        <v>3571864</v>
      </c>
      <c r="E600">
        <v>3673942</v>
      </c>
      <c r="H600" t="s">
        <v>22</v>
      </c>
      <c r="P600">
        <v>1161</v>
      </c>
      <c r="Q600">
        <v>1107</v>
      </c>
      <c r="W600" t="s">
        <v>1824</v>
      </c>
      <c r="BC600" t="s">
        <v>692</v>
      </c>
    </row>
    <row r="601" spans="4:55" x14ac:dyDescent="0.25">
      <c r="D601">
        <v>3571864</v>
      </c>
      <c r="E601">
        <v>3673944</v>
      </c>
      <c r="H601" t="s">
        <v>48</v>
      </c>
      <c r="P601">
        <v>1162</v>
      </c>
      <c r="Q601">
        <v>1108</v>
      </c>
      <c r="W601" t="s">
        <v>816</v>
      </c>
      <c r="BC601" t="s">
        <v>664</v>
      </c>
    </row>
    <row r="602" spans="4:55" x14ac:dyDescent="0.25">
      <c r="D602">
        <v>3571864</v>
      </c>
      <c r="E602">
        <v>1939872</v>
      </c>
      <c r="H602" t="s">
        <v>61</v>
      </c>
      <c r="P602">
        <v>1163</v>
      </c>
      <c r="Q602">
        <v>1109</v>
      </c>
      <c r="W602" t="s">
        <v>816</v>
      </c>
      <c r="BC602" t="s">
        <v>664</v>
      </c>
    </row>
    <row r="603" spans="4:55" x14ac:dyDescent="0.25">
      <c r="D603">
        <v>3571864</v>
      </c>
      <c r="E603">
        <v>3694074</v>
      </c>
      <c r="H603" t="s">
        <v>36</v>
      </c>
      <c r="P603">
        <v>1164</v>
      </c>
      <c r="Q603">
        <v>1110</v>
      </c>
      <c r="W603" t="s">
        <v>816</v>
      </c>
      <c r="BC603" t="s">
        <v>664</v>
      </c>
    </row>
    <row r="604" spans="4:55" x14ac:dyDescent="0.25">
      <c r="D604">
        <v>3571864</v>
      </c>
      <c r="E604">
        <v>2410993</v>
      </c>
      <c r="H604" t="s">
        <v>36</v>
      </c>
      <c r="P604">
        <v>1165</v>
      </c>
      <c r="Q604">
        <v>1111</v>
      </c>
      <c r="W604" t="s">
        <v>816</v>
      </c>
      <c r="BC604" t="s">
        <v>1019</v>
      </c>
    </row>
    <row r="605" spans="4:55" x14ac:dyDescent="0.25">
      <c r="D605">
        <v>3571864</v>
      </c>
      <c r="E605">
        <v>2412748</v>
      </c>
      <c r="H605" t="s">
        <v>36</v>
      </c>
      <c r="P605">
        <v>1166</v>
      </c>
      <c r="Q605">
        <v>1112</v>
      </c>
      <c r="W605" t="s">
        <v>816</v>
      </c>
      <c r="BC605" t="s">
        <v>582</v>
      </c>
    </row>
    <row r="606" spans="4:55" x14ac:dyDescent="0.25">
      <c r="D606">
        <v>3571864</v>
      </c>
      <c r="E606">
        <v>3552194</v>
      </c>
      <c r="H606" t="s">
        <v>63</v>
      </c>
      <c r="P606">
        <v>1167</v>
      </c>
      <c r="Q606">
        <v>1147</v>
      </c>
      <c r="W606" t="s">
        <v>816</v>
      </c>
      <c r="BC606" t="s">
        <v>582</v>
      </c>
    </row>
    <row r="607" spans="4:55" x14ac:dyDescent="0.25">
      <c r="D607">
        <v>3571866</v>
      </c>
      <c r="E607">
        <v>3702855</v>
      </c>
      <c r="H607" t="s">
        <v>117</v>
      </c>
      <c r="P607">
        <v>1168</v>
      </c>
      <c r="Q607">
        <v>1148</v>
      </c>
      <c r="W607" t="s">
        <v>816</v>
      </c>
      <c r="BC607" t="s">
        <v>4481</v>
      </c>
    </row>
    <row r="608" spans="4:55" x14ac:dyDescent="0.25">
      <c r="D608">
        <v>3571866</v>
      </c>
      <c r="E608">
        <v>3138219</v>
      </c>
      <c r="H608" t="s">
        <v>61</v>
      </c>
      <c r="P608">
        <v>1169</v>
      </c>
      <c r="Q608">
        <v>1149</v>
      </c>
      <c r="W608" t="s">
        <v>816</v>
      </c>
      <c r="BC608" t="s">
        <v>816</v>
      </c>
    </row>
    <row r="609" spans="4:55" x14ac:dyDescent="0.25">
      <c r="D609">
        <v>3571866</v>
      </c>
      <c r="E609">
        <v>3210433</v>
      </c>
      <c r="H609" t="s">
        <v>61</v>
      </c>
      <c r="P609">
        <v>1170</v>
      </c>
      <c r="Q609">
        <v>1150</v>
      </c>
      <c r="W609" t="s">
        <v>816</v>
      </c>
      <c r="BC609" t="s">
        <v>816</v>
      </c>
    </row>
    <row r="610" spans="4:55" x14ac:dyDescent="0.25">
      <c r="D610">
        <v>3571866</v>
      </c>
      <c r="E610">
        <v>1438913</v>
      </c>
      <c r="H610" t="s">
        <v>21</v>
      </c>
      <c r="P610">
        <v>1171</v>
      </c>
      <c r="Q610">
        <v>1151</v>
      </c>
      <c r="W610" t="s">
        <v>816</v>
      </c>
      <c r="BC610" t="s">
        <v>816</v>
      </c>
    </row>
    <row r="611" spans="4:55" x14ac:dyDescent="0.25">
      <c r="D611">
        <v>3571866</v>
      </c>
      <c r="E611">
        <v>2397073</v>
      </c>
      <c r="H611" t="s">
        <v>21</v>
      </c>
      <c r="P611">
        <v>1172</v>
      </c>
      <c r="Q611">
        <v>1152</v>
      </c>
      <c r="W611" t="s">
        <v>816</v>
      </c>
      <c r="BC611" t="s">
        <v>816</v>
      </c>
    </row>
    <row r="612" spans="4:55" x14ac:dyDescent="0.25">
      <c r="D612">
        <v>3571866</v>
      </c>
      <c r="E612">
        <v>3649699</v>
      </c>
      <c r="H612" t="s">
        <v>21</v>
      </c>
      <c r="P612">
        <v>1173</v>
      </c>
      <c r="Q612">
        <v>1153</v>
      </c>
      <c r="W612" t="s">
        <v>816</v>
      </c>
      <c r="BC612" t="s">
        <v>3361</v>
      </c>
    </row>
    <row r="613" spans="4:55" x14ac:dyDescent="0.25">
      <c r="D613">
        <v>3571866</v>
      </c>
      <c r="E613">
        <v>3447254</v>
      </c>
      <c r="H613" t="s">
        <v>21</v>
      </c>
      <c r="P613">
        <v>1174</v>
      </c>
      <c r="Q613">
        <v>1154</v>
      </c>
      <c r="W613" t="s">
        <v>816</v>
      </c>
      <c r="BC613" t="s">
        <v>824</v>
      </c>
    </row>
    <row r="614" spans="4:55" x14ac:dyDescent="0.25">
      <c r="D614">
        <v>3571866</v>
      </c>
      <c r="E614">
        <v>3499611</v>
      </c>
      <c r="H614" t="s">
        <v>63</v>
      </c>
      <c r="P614">
        <v>1175</v>
      </c>
      <c r="Q614">
        <v>1155</v>
      </c>
      <c r="W614" t="s">
        <v>816</v>
      </c>
      <c r="BC614" t="s">
        <v>393</v>
      </c>
    </row>
    <row r="615" spans="4:55" x14ac:dyDescent="0.25">
      <c r="D615">
        <v>3571866</v>
      </c>
      <c r="E615">
        <v>1940701</v>
      </c>
      <c r="H615" t="s">
        <v>94</v>
      </c>
      <c r="P615">
        <v>1176</v>
      </c>
      <c r="Q615">
        <v>1156</v>
      </c>
      <c r="W615" t="s">
        <v>604</v>
      </c>
      <c r="BC615" t="s">
        <v>824</v>
      </c>
    </row>
    <row r="616" spans="4:55" x14ac:dyDescent="0.25">
      <c r="D616">
        <v>3571866</v>
      </c>
      <c r="E616">
        <v>3584140</v>
      </c>
      <c r="H616" t="s">
        <v>65</v>
      </c>
      <c r="P616">
        <v>1177</v>
      </c>
      <c r="Q616">
        <v>1157</v>
      </c>
      <c r="W616" t="s">
        <v>604</v>
      </c>
      <c r="BC616" t="s">
        <v>824</v>
      </c>
    </row>
    <row r="617" spans="4:55" x14ac:dyDescent="0.25">
      <c r="D617">
        <v>3571866</v>
      </c>
      <c r="E617">
        <v>1155165</v>
      </c>
      <c r="H617" t="s">
        <v>25</v>
      </c>
      <c r="P617">
        <v>1178</v>
      </c>
      <c r="Q617">
        <v>1158</v>
      </c>
      <c r="W617" t="s">
        <v>604</v>
      </c>
      <c r="BC617" t="s">
        <v>824</v>
      </c>
    </row>
    <row r="618" spans="4:55" x14ac:dyDescent="0.25">
      <c r="D618">
        <v>3571866</v>
      </c>
      <c r="E618">
        <v>1940711</v>
      </c>
      <c r="H618" t="s">
        <v>25</v>
      </c>
      <c r="P618">
        <v>1179</v>
      </c>
      <c r="Q618">
        <v>1159</v>
      </c>
      <c r="W618" t="s">
        <v>604</v>
      </c>
      <c r="BC618" t="s">
        <v>824</v>
      </c>
    </row>
    <row r="619" spans="4:55" x14ac:dyDescent="0.25">
      <c r="D619">
        <v>3571866</v>
      </c>
      <c r="E619">
        <v>3210055</v>
      </c>
      <c r="H619" t="s">
        <v>4</v>
      </c>
      <c r="P619">
        <v>1180</v>
      </c>
      <c r="Q619">
        <v>1160</v>
      </c>
      <c r="W619" t="s">
        <v>604</v>
      </c>
      <c r="BC619" t="s">
        <v>824</v>
      </c>
    </row>
    <row r="620" spans="4:55" x14ac:dyDescent="0.25">
      <c r="D620">
        <v>3571866</v>
      </c>
      <c r="E620">
        <v>1551280</v>
      </c>
      <c r="H620" t="s">
        <v>4</v>
      </c>
      <c r="P620">
        <v>1181</v>
      </c>
      <c r="Q620">
        <v>1161</v>
      </c>
      <c r="W620" t="s">
        <v>604</v>
      </c>
      <c r="BC620" t="s">
        <v>393</v>
      </c>
    </row>
    <row r="621" spans="4:55" x14ac:dyDescent="0.25">
      <c r="D621">
        <v>3838020</v>
      </c>
      <c r="E621">
        <v>3210054</v>
      </c>
      <c r="H621" t="s">
        <v>4</v>
      </c>
      <c r="P621">
        <v>1182</v>
      </c>
      <c r="Q621">
        <v>1162</v>
      </c>
      <c r="W621" t="s">
        <v>604</v>
      </c>
      <c r="BC621" t="s">
        <v>824</v>
      </c>
    </row>
    <row r="622" spans="4:55" x14ac:dyDescent="0.25">
      <c r="D622">
        <v>3838020</v>
      </c>
      <c r="E622">
        <v>1236370</v>
      </c>
      <c r="H622" t="s">
        <v>4</v>
      </c>
      <c r="P622">
        <v>1183</v>
      </c>
      <c r="Q622">
        <v>1163</v>
      </c>
      <c r="W622" t="s">
        <v>604</v>
      </c>
      <c r="BC622" t="s">
        <v>824</v>
      </c>
    </row>
    <row r="623" spans="4:55" x14ac:dyDescent="0.25">
      <c r="D623">
        <v>3838020</v>
      </c>
      <c r="E623">
        <v>3210056</v>
      </c>
      <c r="H623" t="s">
        <v>4</v>
      </c>
      <c r="P623">
        <v>1184</v>
      </c>
      <c r="Q623">
        <v>1164</v>
      </c>
      <c r="W623" t="s">
        <v>1824</v>
      </c>
      <c r="BC623" t="s">
        <v>827</v>
      </c>
    </row>
    <row r="624" spans="4:55" x14ac:dyDescent="0.25">
      <c r="D624">
        <v>3838020</v>
      </c>
      <c r="E624">
        <v>3484654</v>
      </c>
      <c r="H624" t="s">
        <v>61</v>
      </c>
      <c r="P624">
        <v>1185</v>
      </c>
      <c r="Q624">
        <v>1165</v>
      </c>
      <c r="W624" t="s">
        <v>1823</v>
      </c>
      <c r="BC624" t="s">
        <v>4524</v>
      </c>
    </row>
    <row r="625" spans="4:55" x14ac:dyDescent="0.25">
      <c r="D625">
        <v>3230490</v>
      </c>
      <c r="E625">
        <v>3677064</v>
      </c>
      <c r="H625" t="s">
        <v>39</v>
      </c>
      <c r="P625">
        <v>1186</v>
      </c>
      <c r="Q625">
        <v>1166</v>
      </c>
      <c r="W625" t="s">
        <v>1823</v>
      </c>
      <c r="BC625" t="s">
        <v>827</v>
      </c>
    </row>
    <row r="626" spans="4:55" x14ac:dyDescent="0.25">
      <c r="D626">
        <v>3230490</v>
      </c>
      <c r="E626">
        <v>3910451</v>
      </c>
      <c r="H626" t="s">
        <v>39</v>
      </c>
      <c r="P626">
        <v>1187</v>
      </c>
      <c r="Q626">
        <v>1167</v>
      </c>
      <c r="W626" t="s">
        <v>1823</v>
      </c>
      <c r="BC626" t="s">
        <v>827</v>
      </c>
    </row>
    <row r="627" spans="4:55" x14ac:dyDescent="0.25">
      <c r="D627">
        <v>3230490</v>
      </c>
      <c r="E627">
        <v>3453789</v>
      </c>
      <c r="H627" t="s">
        <v>39</v>
      </c>
      <c r="P627">
        <v>1190</v>
      </c>
      <c r="Q627">
        <v>1168</v>
      </c>
      <c r="W627" t="s">
        <v>407</v>
      </c>
      <c r="BC627" t="s">
        <v>827</v>
      </c>
    </row>
    <row r="628" spans="4:55" x14ac:dyDescent="0.25">
      <c r="D628">
        <v>3230490</v>
      </c>
      <c r="E628">
        <v>3911992</v>
      </c>
      <c r="H628" t="s">
        <v>4</v>
      </c>
      <c r="P628">
        <v>1191</v>
      </c>
      <c r="Q628">
        <v>1169</v>
      </c>
      <c r="W628" t="s">
        <v>407</v>
      </c>
      <c r="BC628" t="s">
        <v>549</v>
      </c>
    </row>
    <row r="629" spans="4:55" x14ac:dyDescent="0.25">
      <c r="D629">
        <v>3230490</v>
      </c>
      <c r="E629">
        <v>3454801</v>
      </c>
      <c r="H629" t="s">
        <v>4</v>
      </c>
      <c r="P629">
        <v>1192</v>
      </c>
      <c r="Q629">
        <v>1170</v>
      </c>
      <c r="W629" t="s">
        <v>816</v>
      </c>
      <c r="BC629" t="s">
        <v>549</v>
      </c>
    </row>
    <row r="630" spans="4:55" x14ac:dyDescent="0.25">
      <c r="D630">
        <v>3230490</v>
      </c>
      <c r="E630">
        <v>3911993</v>
      </c>
      <c r="H630" t="s">
        <v>4</v>
      </c>
      <c r="P630">
        <v>1192</v>
      </c>
      <c r="Q630">
        <v>1171</v>
      </c>
      <c r="W630" t="s">
        <v>816</v>
      </c>
      <c r="BC630" t="s">
        <v>827</v>
      </c>
    </row>
    <row r="631" spans="4:55" x14ac:dyDescent="0.25">
      <c r="D631">
        <v>3230490</v>
      </c>
      <c r="E631">
        <v>1155164</v>
      </c>
      <c r="H631" t="s">
        <v>4</v>
      </c>
      <c r="P631">
        <v>1193</v>
      </c>
      <c r="Q631">
        <v>1172</v>
      </c>
      <c r="W631" t="s">
        <v>816</v>
      </c>
      <c r="BC631" t="s">
        <v>827</v>
      </c>
    </row>
    <row r="632" spans="4:55" x14ac:dyDescent="0.25">
      <c r="D632">
        <v>3230490</v>
      </c>
      <c r="E632">
        <v>1940718</v>
      </c>
      <c r="H632" t="s">
        <v>21</v>
      </c>
      <c r="P632">
        <v>1194</v>
      </c>
      <c r="Q632">
        <v>1173</v>
      </c>
      <c r="W632" t="s">
        <v>816</v>
      </c>
      <c r="BC632" t="s">
        <v>4541</v>
      </c>
    </row>
    <row r="633" spans="4:55" x14ac:dyDescent="0.25">
      <c r="D633">
        <v>3230490</v>
      </c>
      <c r="E633">
        <v>3547256</v>
      </c>
      <c r="H633" t="s">
        <v>49</v>
      </c>
      <c r="P633">
        <v>1197</v>
      </c>
      <c r="Q633">
        <v>1174</v>
      </c>
      <c r="W633" t="s">
        <v>816</v>
      </c>
      <c r="BC633" t="s">
        <v>836</v>
      </c>
    </row>
    <row r="634" spans="4:55" x14ac:dyDescent="0.25">
      <c r="D634">
        <v>3230490</v>
      </c>
      <c r="E634">
        <v>3578410</v>
      </c>
      <c r="H634" t="s">
        <v>49</v>
      </c>
      <c r="P634">
        <v>1198</v>
      </c>
      <c r="Q634">
        <v>1175</v>
      </c>
      <c r="W634" t="s">
        <v>816</v>
      </c>
      <c r="BC634" t="s">
        <v>832</v>
      </c>
    </row>
    <row r="635" spans="4:55" x14ac:dyDescent="0.25">
      <c r="D635">
        <v>3230490</v>
      </c>
      <c r="E635">
        <v>3501132</v>
      </c>
      <c r="H635" t="s">
        <v>49</v>
      </c>
      <c r="P635">
        <v>1208</v>
      </c>
      <c r="Q635">
        <v>1176</v>
      </c>
      <c r="W635" t="s">
        <v>407</v>
      </c>
      <c r="BC635" t="s">
        <v>832</v>
      </c>
    </row>
    <row r="636" spans="4:55" x14ac:dyDescent="0.25">
      <c r="D636">
        <v>3230490</v>
      </c>
      <c r="E636">
        <v>1374708</v>
      </c>
      <c r="H636" t="s">
        <v>37</v>
      </c>
      <c r="P636">
        <v>1209</v>
      </c>
      <c r="Q636">
        <v>1177</v>
      </c>
      <c r="W636" t="s">
        <v>407</v>
      </c>
      <c r="BC636" t="s">
        <v>832</v>
      </c>
    </row>
    <row r="637" spans="4:55" x14ac:dyDescent="0.25">
      <c r="D637">
        <v>3230490</v>
      </c>
      <c r="E637">
        <v>403039</v>
      </c>
      <c r="H637" t="s">
        <v>60</v>
      </c>
      <c r="P637">
        <v>1210</v>
      </c>
      <c r="Q637">
        <v>1178</v>
      </c>
      <c r="W637" t="s">
        <v>407</v>
      </c>
      <c r="BC637" t="s">
        <v>832</v>
      </c>
    </row>
    <row r="638" spans="4:55" x14ac:dyDescent="0.25">
      <c r="D638">
        <v>3230490</v>
      </c>
      <c r="E638">
        <v>3731917</v>
      </c>
      <c r="H638" t="s">
        <v>57</v>
      </c>
      <c r="P638">
        <v>1211</v>
      </c>
      <c r="Q638">
        <v>1179</v>
      </c>
      <c r="W638" t="s">
        <v>407</v>
      </c>
      <c r="BC638" t="s">
        <v>832</v>
      </c>
    </row>
    <row r="639" spans="4:55" x14ac:dyDescent="0.25">
      <c r="D639">
        <v>3230490</v>
      </c>
      <c r="E639">
        <v>238413</v>
      </c>
      <c r="H639" t="s">
        <v>57</v>
      </c>
      <c r="P639">
        <v>1212</v>
      </c>
      <c r="Q639">
        <v>1180</v>
      </c>
      <c r="W639" t="s">
        <v>407</v>
      </c>
      <c r="BC639" t="s">
        <v>832</v>
      </c>
    </row>
    <row r="640" spans="4:55" x14ac:dyDescent="0.25">
      <c r="D640">
        <v>3230490</v>
      </c>
      <c r="E640">
        <v>293855</v>
      </c>
      <c r="H640" t="s">
        <v>39</v>
      </c>
      <c r="P640">
        <v>1213</v>
      </c>
      <c r="Q640">
        <v>1181</v>
      </c>
      <c r="W640" t="s">
        <v>1042</v>
      </c>
      <c r="BC640" t="s">
        <v>832</v>
      </c>
    </row>
    <row r="641" spans="4:55" x14ac:dyDescent="0.25">
      <c r="D641">
        <v>3230490</v>
      </c>
      <c r="E641">
        <v>1940730</v>
      </c>
      <c r="H641" t="s">
        <v>64</v>
      </c>
      <c r="P641">
        <v>1214</v>
      </c>
      <c r="Q641">
        <v>1182</v>
      </c>
      <c r="W641" t="s">
        <v>1042</v>
      </c>
      <c r="BC641" t="s">
        <v>832</v>
      </c>
    </row>
    <row r="642" spans="4:55" x14ac:dyDescent="0.25">
      <c r="D642">
        <v>3230490</v>
      </c>
      <c r="E642">
        <v>302897</v>
      </c>
      <c r="H642" t="s">
        <v>53</v>
      </c>
      <c r="P642">
        <v>1215</v>
      </c>
      <c r="Q642">
        <v>1183</v>
      </c>
      <c r="W642" t="s">
        <v>824</v>
      </c>
      <c r="BC642" t="s">
        <v>832</v>
      </c>
    </row>
    <row r="643" spans="4:55" x14ac:dyDescent="0.25">
      <c r="D643">
        <v>3230490</v>
      </c>
      <c r="E643">
        <v>1940731</v>
      </c>
      <c r="H643" t="s">
        <v>36</v>
      </c>
      <c r="P643">
        <v>1216</v>
      </c>
      <c r="Q643">
        <v>1184</v>
      </c>
      <c r="W643" t="s">
        <v>824</v>
      </c>
      <c r="BC643" t="s">
        <v>836</v>
      </c>
    </row>
    <row r="644" spans="4:55" x14ac:dyDescent="0.25">
      <c r="D644">
        <v>3230490</v>
      </c>
      <c r="E644">
        <v>3507790</v>
      </c>
      <c r="H644" t="s">
        <v>65</v>
      </c>
      <c r="P644">
        <v>1217</v>
      </c>
      <c r="Q644">
        <v>1185</v>
      </c>
      <c r="W644" t="s">
        <v>824</v>
      </c>
      <c r="BC644" t="s">
        <v>832</v>
      </c>
    </row>
    <row r="645" spans="4:55" x14ac:dyDescent="0.25">
      <c r="D645">
        <v>3230490</v>
      </c>
      <c r="E645">
        <v>1940732</v>
      </c>
      <c r="H645" t="s">
        <v>65</v>
      </c>
      <c r="P645">
        <v>1218</v>
      </c>
      <c r="Q645">
        <v>1186</v>
      </c>
      <c r="W645" t="s">
        <v>824</v>
      </c>
      <c r="BC645" t="s">
        <v>836</v>
      </c>
    </row>
    <row r="646" spans="4:55" x14ac:dyDescent="0.25">
      <c r="D646">
        <v>3230490</v>
      </c>
      <c r="E646">
        <v>2436343</v>
      </c>
      <c r="H646" t="s">
        <v>65</v>
      </c>
      <c r="P646">
        <v>1231</v>
      </c>
      <c r="Q646">
        <v>1187</v>
      </c>
      <c r="W646" t="s">
        <v>824</v>
      </c>
      <c r="BC646" t="s">
        <v>836</v>
      </c>
    </row>
    <row r="647" spans="4:55" x14ac:dyDescent="0.25">
      <c r="D647">
        <v>3230490</v>
      </c>
      <c r="E647">
        <v>3841884</v>
      </c>
      <c r="H647" t="s">
        <v>30</v>
      </c>
      <c r="P647">
        <v>1232</v>
      </c>
      <c r="Q647">
        <v>1189</v>
      </c>
      <c r="W647" t="s">
        <v>824</v>
      </c>
      <c r="BC647" t="s">
        <v>1028</v>
      </c>
    </row>
    <row r="648" spans="4:55" x14ac:dyDescent="0.25">
      <c r="D648">
        <v>3230490</v>
      </c>
      <c r="E648">
        <v>1523477</v>
      </c>
      <c r="H648" t="s">
        <v>30</v>
      </c>
      <c r="P648">
        <v>1235</v>
      </c>
      <c r="Q648">
        <v>1190</v>
      </c>
      <c r="W648" t="s">
        <v>824</v>
      </c>
      <c r="BC648" t="s">
        <v>1028</v>
      </c>
    </row>
    <row r="649" spans="4:55" x14ac:dyDescent="0.25">
      <c r="D649">
        <v>3230490</v>
      </c>
      <c r="E649">
        <v>3768904</v>
      </c>
      <c r="H649" t="s">
        <v>52</v>
      </c>
      <c r="P649">
        <v>1236</v>
      </c>
      <c r="Q649">
        <v>1191</v>
      </c>
      <c r="W649" t="s">
        <v>824</v>
      </c>
      <c r="BC649" t="s">
        <v>6547</v>
      </c>
    </row>
    <row r="650" spans="4:55" x14ac:dyDescent="0.25">
      <c r="D650">
        <v>3230490</v>
      </c>
      <c r="E650">
        <v>3191747</v>
      </c>
      <c r="H650" t="s">
        <v>60</v>
      </c>
      <c r="P650">
        <v>1237</v>
      </c>
      <c r="Q650">
        <v>1192</v>
      </c>
      <c r="W650" t="s">
        <v>824</v>
      </c>
      <c r="BC650" t="s">
        <v>6180</v>
      </c>
    </row>
    <row r="651" spans="4:55" x14ac:dyDescent="0.25">
      <c r="D651">
        <v>3230490</v>
      </c>
      <c r="E651">
        <v>1194658</v>
      </c>
      <c r="H651" t="s">
        <v>61</v>
      </c>
      <c r="P651">
        <v>1238</v>
      </c>
      <c r="Q651">
        <v>1193</v>
      </c>
      <c r="W651" t="s">
        <v>404</v>
      </c>
      <c r="BC651" t="s">
        <v>6180</v>
      </c>
    </row>
    <row r="652" spans="4:55" x14ac:dyDescent="0.25">
      <c r="D652">
        <v>3230490</v>
      </c>
      <c r="E652">
        <v>3505953</v>
      </c>
      <c r="H652" t="s">
        <v>61</v>
      </c>
      <c r="P652">
        <v>1239</v>
      </c>
      <c r="Q652">
        <v>1194</v>
      </c>
      <c r="W652" t="s">
        <v>404</v>
      </c>
      <c r="BC652" t="s">
        <v>799</v>
      </c>
    </row>
    <row r="653" spans="4:55" x14ac:dyDescent="0.25">
      <c r="D653">
        <v>3230490</v>
      </c>
      <c r="E653">
        <v>3442533</v>
      </c>
      <c r="H653" t="s">
        <v>61</v>
      </c>
      <c r="P653">
        <v>1240</v>
      </c>
      <c r="Q653">
        <v>1195</v>
      </c>
      <c r="W653" t="s">
        <v>404</v>
      </c>
      <c r="BC653" t="s">
        <v>799</v>
      </c>
    </row>
    <row r="654" spans="4:55" x14ac:dyDescent="0.25">
      <c r="D654">
        <v>3571867</v>
      </c>
      <c r="E654">
        <v>3500470</v>
      </c>
      <c r="H654" t="s">
        <v>61</v>
      </c>
      <c r="P654">
        <v>1241</v>
      </c>
      <c r="Q654">
        <v>1196</v>
      </c>
      <c r="W654" t="s">
        <v>404</v>
      </c>
      <c r="BC654" t="s">
        <v>799</v>
      </c>
    </row>
    <row r="655" spans="4:55" x14ac:dyDescent="0.25">
      <c r="D655">
        <v>3571867</v>
      </c>
      <c r="E655">
        <v>3502254</v>
      </c>
      <c r="H655" t="s">
        <v>37</v>
      </c>
      <c r="P655">
        <v>1242</v>
      </c>
      <c r="Q655">
        <v>1197</v>
      </c>
      <c r="W655" t="s">
        <v>875</v>
      </c>
      <c r="BC655" t="s">
        <v>799</v>
      </c>
    </row>
    <row r="656" spans="4:55" x14ac:dyDescent="0.25">
      <c r="D656">
        <v>3571867</v>
      </c>
      <c r="E656">
        <v>3768902</v>
      </c>
      <c r="H656" t="s">
        <v>37</v>
      </c>
      <c r="P656">
        <v>1243</v>
      </c>
      <c r="Q656">
        <v>1198</v>
      </c>
      <c r="W656" t="s">
        <v>875</v>
      </c>
      <c r="BC656" t="s">
        <v>799</v>
      </c>
    </row>
    <row r="657" spans="4:55" x14ac:dyDescent="0.25">
      <c r="D657">
        <v>3571867</v>
      </c>
      <c r="E657">
        <v>1448371</v>
      </c>
      <c r="H657" t="s">
        <v>61</v>
      </c>
      <c r="P657">
        <v>1244</v>
      </c>
      <c r="Q657">
        <v>1204</v>
      </c>
      <c r="W657" t="s">
        <v>875</v>
      </c>
      <c r="BC657" t="s">
        <v>846</v>
      </c>
    </row>
    <row r="658" spans="4:55" x14ac:dyDescent="0.25">
      <c r="D658">
        <v>3571867</v>
      </c>
      <c r="E658">
        <v>3509030</v>
      </c>
      <c r="H658" t="s">
        <v>61</v>
      </c>
      <c r="P658">
        <v>1245</v>
      </c>
      <c r="Q658">
        <v>1205</v>
      </c>
      <c r="W658" t="s">
        <v>875</v>
      </c>
      <c r="BC658" t="s">
        <v>4583</v>
      </c>
    </row>
    <row r="659" spans="4:55" x14ac:dyDescent="0.25">
      <c r="D659">
        <v>3571867</v>
      </c>
      <c r="E659">
        <v>2422183</v>
      </c>
      <c r="H659" t="s">
        <v>61</v>
      </c>
      <c r="P659">
        <v>1246</v>
      </c>
      <c r="Q659">
        <v>1206</v>
      </c>
      <c r="W659" t="s">
        <v>875</v>
      </c>
      <c r="BC659" t="s">
        <v>4583</v>
      </c>
    </row>
    <row r="660" spans="4:55" x14ac:dyDescent="0.25">
      <c r="D660">
        <v>3571867</v>
      </c>
      <c r="E660">
        <v>3508742</v>
      </c>
      <c r="H660" t="s">
        <v>61</v>
      </c>
      <c r="P660">
        <v>1247</v>
      </c>
      <c r="Q660">
        <v>1207</v>
      </c>
      <c r="W660" t="s">
        <v>407</v>
      </c>
      <c r="BC660" t="s">
        <v>4583</v>
      </c>
    </row>
    <row r="661" spans="4:55" x14ac:dyDescent="0.25">
      <c r="D661">
        <v>3571867</v>
      </c>
      <c r="E661">
        <v>1940738</v>
      </c>
      <c r="H661" t="s">
        <v>4</v>
      </c>
      <c r="P661">
        <v>1248</v>
      </c>
      <c r="Q661">
        <v>1208</v>
      </c>
      <c r="W661" t="s">
        <v>407</v>
      </c>
      <c r="BC661" t="s">
        <v>4583</v>
      </c>
    </row>
    <row r="662" spans="4:55" x14ac:dyDescent="0.25">
      <c r="D662">
        <v>3571867</v>
      </c>
      <c r="E662">
        <v>444029</v>
      </c>
      <c r="H662" t="s">
        <v>4</v>
      </c>
      <c r="P662">
        <v>1249</v>
      </c>
      <c r="Q662">
        <v>1209</v>
      </c>
      <c r="W662" t="s">
        <v>407</v>
      </c>
      <c r="BC662" t="s">
        <v>4583</v>
      </c>
    </row>
    <row r="663" spans="4:55" x14ac:dyDescent="0.25">
      <c r="D663">
        <v>3571867</v>
      </c>
      <c r="E663">
        <v>1903849</v>
      </c>
      <c r="H663" t="s">
        <v>4</v>
      </c>
      <c r="P663">
        <v>1257</v>
      </c>
      <c r="Q663">
        <v>1210</v>
      </c>
      <c r="W663" t="s">
        <v>995</v>
      </c>
      <c r="BC663" t="s">
        <v>4524</v>
      </c>
    </row>
    <row r="664" spans="4:55" x14ac:dyDescent="0.25">
      <c r="D664">
        <v>3571867</v>
      </c>
      <c r="E664">
        <v>1438332</v>
      </c>
      <c r="H664" t="s">
        <v>51</v>
      </c>
      <c r="P664">
        <v>1258</v>
      </c>
      <c r="Q664">
        <v>1211</v>
      </c>
      <c r="W664" t="s">
        <v>995</v>
      </c>
      <c r="BC664" t="s">
        <v>1032</v>
      </c>
    </row>
    <row r="665" spans="4:55" x14ac:dyDescent="0.25">
      <c r="D665">
        <v>3571867</v>
      </c>
      <c r="E665">
        <v>3508985</v>
      </c>
      <c r="H665" t="s">
        <v>51</v>
      </c>
      <c r="P665">
        <v>1259</v>
      </c>
      <c r="Q665">
        <v>1212</v>
      </c>
      <c r="W665" t="s">
        <v>995</v>
      </c>
      <c r="BC665" t="s">
        <v>1032</v>
      </c>
    </row>
    <row r="666" spans="4:55" x14ac:dyDescent="0.25">
      <c r="D666">
        <v>3571867</v>
      </c>
      <c r="E666">
        <v>1940739</v>
      </c>
      <c r="H666" t="s">
        <v>51</v>
      </c>
      <c r="P666">
        <v>1260</v>
      </c>
      <c r="Q666">
        <v>1213</v>
      </c>
      <c r="W666" t="s">
        <v>920</v>
      </c>
      <c r="BC666" t="s">
        <v>4524</v>
      </c>
    </row>
    <row r="667" spans="4:55" x14ac:dyDescent="0.25">
      <c r="D667">
        <v>3571867</v>
      </c>
      <c r="E667">
        <v>437159</v>
      </c>
      <c r="H667" t="s">
        <v>51</v>
      </c>
      <c r="P667">
        <v>1261</v>
      </c>
      <c r="Q667">
        <v>1214</v>
      </c>
      <c r="W667" t="s">
        <v>920</v>
      </c>
      <c r="BC667" t="s">
        <v>4524</v>
      </c>
    </row>
    <row r="668" spans="4:55" x14ac:dyDescent="0.25">
      <c r="D668">
        <v>3571868</v>
      </c>
      <c r="E668">
        <v>3774058</v>
      </c>
      <c r="H668" t="s">
        <v>51</v>
      </c>
      <c r="P668">
        <v>1262</v>
      </c>
      <c r="Q668">
        <v>1215</v>
      </c>
      <c r="W668" t="s">
        <v>920</v>
      </c>
      <c r="BC668" t="s">
        <v>1034</v>
      </c>
    </row>
    <row r="669" spans="4:55" x14ac:dyDescent="0.25">
      <c r="D669">
        <v>3571868</v>
      </c>
      <c r="E669">
        <v>3516769</v>
      </c>
      <c r="H669" t="s">
        <v>51</v>
      </c>
      <c r="P669">
        <v>1264</v>
      </c>
      <c r="Q669">
        <v>1216</v>
      </c>
      <c r="W669" t="s">
        <v>920</v>
      </c>
      <c r="BC669" t="s">
        <v>4603</v>
      </c>
    </row>
    <row r="670" spans="4:55" x14ac:dyDescent="0.25">
      <c r="D670">
        <v>3571868</v>
      </c>
      <c r="E670">
        <v>1940743</v>
      </c>
      <c r="H670" t="s">
        <v>21</v>
      </c>
      <c r="P670">
        <v>1265</v>
      </c>
      <c r="Q670">
        <v>1217</v>
      </c>
      <c r="W670" t="s">
        <v>586</v>
      </c>
      <c r="BC670" t="s">
        <v>4603</v>
      </c>
    </row>
    <row r="671" spans="4:55" x14ac:dyDescent="0.25">
      <c r="D671">
        <v>3571868</v>
      </c>
      <c r="E671">
        <v>1940744</v>
      </c>
      <c r="H671" t="s">
        <v>37</v>
      </c>
      <c r="P671">
        <v>1271</v>
      </c>
      <c r="Q671">
        <v>1218</v>
      </c>
      <c r="W671" t="s">
        <v>586</v>
      </c>
      <c r="BC671" t="s">
        <v>1034</v>
      </c>
    </row>
    <row r="672" spans="4:55" x14ac:dyDescent="0.25">
      <c r="D672">
        <v>3571868</v>
      </c>
      <c r="E672">
        <v>1308858</v>
      </c>
      <c r="H672" t="s">
        <v>37</v>
      </c>
      <c r="P672">
        <v>1278</v>
      </c>
      <c r="Q672">
        <v>1231</v>
      </c>
      <c r="W672" t="s">
        <v>586</v>
      </c>
      <c r="BC672" t="s">
        <v>1034</v>
      </c>
    </row>
    <row r="673" spans="4:55" x14ac:dyDescent="0.25">
      <c r="D673">
        <v>3571868</v>
      </c>
      <c r="E673">
        <v>1940745</v>
      </c>
      <c r="H673" t="s">
        <v>39</v>
      </c>
      <c r="P673">
        <v>1279</v>
      </c>
      <c r="Q673">
        <v>1232</v>
      </c>
      <c r="W673" t="s">
        <v>586</v>
      </c>
      <c r="BC673" t="s">
        <v>1034</v>
      </c>
    </row>
    <row r="674" spans="4:55" x14ac:dyDescent="0.25">
      <c r="D674">
        <v>3571868</v>
      </c>
      <c r="E674">
        <v>3191748</v>
      </c>
      <c r="H674" t="s">
        <v>39</v>
      </c>
      <c r="P674">
        <v>1280</v>
      </c>
      <c r="Q674">
        <v>1235</v>
      </c>
      <c r="W674" t="s">
        <v>586</v>
      </c>
      <c r="BC674" t="s">
        <v>1034</v>
      </c>
    </row>
    <row r="675" spans="4:55" x14ac:dyDescent="0.25">
      <c r="D675">
        <v>3571868</v>
      </c>
      <c r="E675">
        <v>3515521</v>
      </c>
      <c r="H675" t="s">
        <v>19</v>
      </c>
      <c r="P675">
        <v>1288</v>
      </c>
      <c r="Q675">
        <v>1236</v>
      </c>
      <c r="W675" t="s">
        <v>586</v>
      </c>
      <c r="BC675" t="s">
        <v>1034</v>
      </c>
    </row>
    <row r="676" spans="4:55" x14ac:dyDescent="0.25">
      <c r="D676">
        <v>3571868</v>
      </c>
      <c r="E676">
        <v>3500959</v>
      </c>
      <c r="H676" t="s">
        <v>19</v>
      </c>
      <c r="P676">
        <v>1289</v>
      </c>
      <c r="Q676">
        <v>1237</v>
      </c>
      <c r="W676" t="s">
        <v>586</v>
      </c>
      <c r="BC676" t="s">
        <v>1034</v>
      </c>
    </row>
    <row r="677" spans="4:55" x14ac:dyDescent="0.25">
      <c r="D677">
        <v>3571868</v>
      </c>
      <c r="E677">
        <v>3502253</v>
      </c>
      <c r="H677" t="s">
        <v>19</v>
      </c>
      <c r="P677">
        <v>1290</v>
      </c>
      <c r="Q677">
        <v>1238</v>
      </c>
      <c r="W677" t="s">
        <v>586</v>
      </c>
      <c r="BC677" t="s">
        <v>565</v>
      </c>
    </row>
    <row r="678" spans="4:55" x14ac:dyDescent="0.25">
      <c r="D678">
        <v>3571868</v>
      </c>
      <c r="E678">
        <v>3442534</v>
      </c>
      <c r="H678" t="s">
        <v>18</v>
      </c>
      <c r="P678">
        <v>1294</v>
      </c>
      <c r="Q678">
        <v>1239</v>
      </c>
      <c r="W678" t="s">
        <v>586</v>
      </c>
      <c r="BC678" t="s">
        <v>565</v>
      </c>
    </row>
    <row r="679" spans="4:55" x14ac:dyDescent="0.25">
      <c r="D679">
        <v>3571868</v>
      </c>
      <c r="E679">
        <v>3682063</v>
      </c>
      <c r="H679" t="s">
        <v>18</v>
      </c>
      <c r="P679">
        <v>1294</v>
      </c>
      <c r="Q679">
        <v>1240</v>
      </c>
      <c r="W679" t="s">
        <v>586</v>
      </c>
      <c r="BC679" t="s">
        <v>565</v>
      </c>
    </row>
    <row r="680" spans="4:55" x14ac:dyDescent="0.25">
      <c r="D680">
        <v>3571868</v>
      </c>
      <c r="E680">
        <v>3533164</v>
      </c>
      <c r="H680" t="s">
        <v>18</v>
      </c>
      <c r="P680">
        <v>1295</v>
      </c>
      <c r="Q680">
        <v>1241</v>
      </c>
      <c r="W680" t="s">
        <v>586</v>
      </c>
      <c r="BC680" t="s">
        <v>4603</v>
      </c>
    </row>
    <row r="681" spans="4:55" x14ac:dyDescent="0.25">
      <c r="D681">
        <v>3571868</v>
      </c>
      <c r="E681">
        <v>257093</v>
      </c>
      <c r="H681" t="s">
        <v>57</v>
      </c>
      <c r="P681">
        <v>1295</v>
      </c>
      <c r="Q681">
        <v>1242</v>
      </c>
      <c r="W681" t="s">
        <v>586</v>
      </c>
      <c r="BC681" t="s">
        <v>4603</v>
      </c>
    </row>
    <row r="682" spans="4:55" x14ac:dyDescent="0.25">
      <c r="D682">
        <v>3230487</v>
      </c>
      <c r="E682">
        <v>3509424</v>
      </c>
      <c r="H682" t="s">
        <v>57</v>
      </c>
      <c r="P682">
        <v>1296</v>
      </c>
      <c r="Q682">
        <v>1243</v>
      </c>
      <c r="W682" t="s">
        <v>586</v>
      </c>
      <c r="BC682" t="s">
        <v>4603</v>
      </c>
    </row>
    <row r="683" spans="4:55" x14ac:dyDescent="0.25">
      <c r="D683">
        <v>3230487</v>
      </c>
      <c r="E683">
        <v>1529742</v>
      </c>
      <c r="H683" t="s">
        <v>57</v>
      </c>
      <c r="P683">
        <v>1296</v>
      </c>
      <c r="Q683">
        <v>1244</v>
      </c>
      <c r="W683" t="s">
        <v>586</v>
      </c>
      <c r="BC683" t="s">
        <v>4628</v>
      </c>
    </row>
    <row r="684" spans="4:55" x14ac:dyDescent="0.25">
      <c r="D684">
        <v>3230487</v>
      </c>
      <c r="E684">
        <v>3788034</v>
      </c>
      <c r="H684" t="s">
        <v>53</v>
      </c>
      <c r="P684">
        <v>1297</v>
      </c>
      <c r="Q684">
        <v>1245</v>
      </c>
      <c r="W684" t="s">
        <v>586</v>
      </c>
      <c r="BC684" t="s">
        <v>4603</v>
      </c>
    </row>
    <row r="685" spans="4:55" x14ac:dyDescent="0.25">
      <c r="D685">
        <v>3230487</v>
      </c>
      <c r="E685">
        <v>3500240</v>
      </c>
      <c r="H685" t="s">
        <v>24</v>
      </c>
      <c r="P685">
        <v>1297</v>
      </c>
      <c r="Q685">
        <v>1246</v>
      </c>
      <c r="W685" t="s">
        <v>586</v>
      </c>
      <c r="BC685" t="s">
        <v>4603</v>
      </c>
    </row>
    <row r="686" spans="4:55" x14ac:dyDescent="0.25">
      <c r="D686">
        <v>3230487</v>
      </c>
      <c r="E686">
        <v>3502007</v>
      </c>
      <c r="H686" t="s">
        <v>98</v>
      </c>
      <c r="P686">
        <v>1298</v>
      </c>
      <c r="Q686">
        <v>1247</v>
      </c>
      <c r="W686" t="s">
        <v>586</v>
      </c>
      <c r="BC686" t="s">
        <v>4603</v>
      </c>
    </row>
    <row r="687" spans="4:55" x14ac:dyDescent="0.25">
      <c r="D687">
        <v>3230487</v>
      </c>
      <c r="E687">
        <v>3747392</v>
      </c>
      <c r="H687" t="s">
        <v>174</v>
      </c>
      <c r="P687">
        <v>1298</v>
      </c>
      <c r="Q687">
        <v>1248</v>
      </c>
      <c r="W687" t="s">
        <v>586</v>
      </c>
      <c r="BC687" t="s">
        <v>4603</v>
      </c>
    </row>
    <row r="688" spans="4:55" x14ac:dyDescent="0.25">
      <c r="D688">
        <v>3230487</v>
      </c>
      <c r="E688">
        <v>1940779</v>
      </c>
      <c r="H688" t="s">
        <v>59</v>
      </c>
      <c r="P688">
        <v>1299</v>
      </c>
      <c r="Q688">
        <v>1249</v>
      </c>
      <c r="W688" t="s">
        <v>586</v>
      </c>
      <c r="BC688" t="s">
        <v>4628</v>
      </c>
    </row>
    <row r="689" spans="4:55" x14ac:dyDescent="0.25">
      <c r="D689">
        <v>3230487</v>
      </c>
      <c r="E689">
        <v>3784540</v>
      </c>
      <c r="H689" t="s">
        <v>59</v>
      </c>
      <c r="P689">
        <v>1299</v>
      </c>
      <c r="Q689">
        <v>1257</v>
      </c>
      <c r="W689" t="s">
        <v>586</v>
      </c>
      <c r="BC689" t="s">
        <v>849</v>
      </c>
    </row>
    <row r="690" spans="4:55" x14ac:dyDescent="0.25">
      <c r="D690">
        <v>3230487</v>
      </c>
      <c r="E690">
        <v>1938125</v>
      </c>
      <c r="H690" t="s">
        <v>21</v>
      </c>
      <c r="P690">
        <v>1300</v>
      </c>
      <c r="Q690">
        <v>1258</v>
      </c>
      <c r="W690" t="s">
        <v>586</v>
      </c>
      <c r="BC690" t="s">
        <v>849</v>
      </c>
    </row>
    <row r="691" spans="4:55" x14ac:dyDescent="0.25">
      <c r="D691">
        <v>3230487</v>
      </c>
      <c r="E691">
        <v>1130592</v>
      </c>
      <c r="H691" t="s">
        <v>63</v>
      </c>
      <c r="P691">
        <v>1300</v>
      </c>
      <c r="Q691">
        <v>1259</v>
      </c>
      <c r="W691" t="s">
        <v>586</v>
      </c>
      <c r="BC691" t="s">
        <v>849</v>
      </c>
    </row>
    <row r="692" spans="4:55" x14ac:dyDescent="0.25">
      <c r="D692">
        <v>3230487</v>
      </c>
      <c r="E692">
        <v>329678</v>
      </c>
      <c r="H692" t="s">
        <v>63</v>
      </c>
      <c r="P692">
        <v>1301</v>
      </c>
      <c r="Q692">
        <v>1260</v>
      </c>
      <c r="W692" t="s">
        <v>586</v>
      </c>
      <c r="BC692" t="s">
        <v>849</v>
      </c>
    </row>
    <row r="693" spans="4:55" x14ac:dyDescent="0.25">
      <c r="D693">
        <v>3230487</v>
      </c>
      <c r="E693">
        <v>1116276</v>
      </c>
      <c r="H693" t="s">
        <v>63</v>
      </c>
      <c r="P693">
        <v>1302</v>
      </c>
      <c r="Q693">
        <v>1261</v>
      </c>
      <c r="W693" t="s">
        <v>586</v>
      </c>
      <c r="BC693" t="s">
        <v>849</v>
      </c>
    </row>
    <row r="694" spans="4:55" x14ac:dyDescent="0.25">
      <c r="D694">
        <v>3230487</v>
      </c>
      <c r="E694">
        <v>1116782</v>
      </c>
      <c r="H694" t="s">
        <v>63</v>
      </c>
      <c r="P694">
        <v>1303</v>
      </c>
      <c r="Q694">
        <v>1262</v>
      </c>
      <c r="W694" t="s">
        <v>586</v>
      </c>
      <c r="BC694" t="s">
        <v>849</v>
      </c>
    </row>
    <row r="695" spans="4:55" x14ac:dyDescent="0.25">
      <c r="D695">
        <v>3230487</v>
      </c>
      <c r="E695">
        <v>1116686</v>
      </c>
      <c r="H695" t="s">
        <v>63</v>
      </c>
      <c r="P695">
        <v>1304</v>
      </c>
      <c r="Q695">
        <v>1264</v>
      </c>
      <c r="W695" t="s">
        <v>586</v>
      </c>
      <c r="BC695" t="s">
        <v>673</v>
      </c>
    </row>
    <row r="696" spans="4:55" x14ac:dyDescent="0.25">
      <c r="D696">
        <v>3230487</v>
      </c>
      <c r="E696">
        <v>431498</v>
      </c>
      <c r="H696" t="s">
        <v>63</v>
      </c>
      <c r="P696">
        <v>1305</v>
      </c>
      <c r="Q696">
        <v>1265</v>
      </c>
      <c r="W696" t="s">
        <v>727</v>
      </c>
      <c r="BC696" t="s">
        <v>673</v>
      </c>
    </row>
    <row r="697" spans="4:55" x14ac:dyDescent="0.25">
      <c r="D697">
        <v>3230487</v>
      </c>
      <c r="E697">
        <v>3842022</v>
      </c>
      <c r="H697" t="s">
        <v>63</v>
      </c>
      <c r="P697">
        <v>1308</v>
      </c>
      <c r="Q697">
        <v>1266</v>
      </c>
      <c r="W697" t="s">
        <v>748</v>
      </c>
      <c r="BC697" t="s">
        <v>673</v>
      </c>
    </row>
    <row r="698" spans="4:55" x14ac:dyDescent="0.25">
      <c r="D698">
        <v>3230487</v>
      </c>
      <c r="E698">
        <v>349227</v>
      </c>
      <c r="H698" t="s">
        <v>63</v>
      </c>
      <c r="P698">
        <v>1309</v>
      </c>
      <c r="Q698">
        <v>1267</v>
      </c>
      <c r="W698" t="s">
        <v>748</v>
      </c>
      <c r="BC698" t="s">
        <v>673</v>
      </c>
    </row>
    <row r="699" spans="4:55" x14ac:dyDescent="0.25">
      <c r="D699">
        <v>3230487</v>
      </c>
      <c r="E699">
        <v>3501038</v>
      </c>
      <c r="H699" t="s">
        <v>63</v>
      </c>
      <c r="P699">
        <v>1316</v>
      </c>
      <c r="Q699">
        <v>1268</v>
      </c>
      <c r="W699" t="s">
        <v>748</v>
      </c>
      <c r="BC699" t="s">
        <v>4524</v>
      </c>
    </row>
    <row r="700" spans="4:55" x14ac:dyDescent="0.25">
      <c r="D700">
        <v>3230487</v>
      </c>
      <c r="E700">
        <v>3572046</v>
      </c>
      <c r="H700" t="s">
        <v>63</v>
      </c>
      <c r="P700">
        <v>1317</v>
      </c>
      <c r="Q700">
        <v>1269</v>
      </c>
      <c r="W700" t="s">
        <v>748</v>
      </c>
      <c r="BC700" t="s">
        <v>4524</v>
      </c>
    </row>
    <row r="701" spans="4:55" x14ac:dyDescent="0.25">
      <c r="D701">
        <v>3230487</v>
      </c>
      <c r="E701">
        <v>3572047</v>
      </c>
      <c r="H701" t="s">
        <v>63</v>
      </c>
      <c r="P701">
        <v>1327</v>
      </c>
      <c r="Q701">
        <v>1270</v>
      </c>
      <c r="W701" t="s">
        <v>748</v>
      </c>
      <c r="BC701" t="s">
        <v>4524</v>
      </c>
    </row>
    <row r="702" spans="4:55" x14ac:dyDescent="0.25">
      <c r="D702">
        <v>3230487</v>
      </c>
      <c r="E702">
        <v>3584174</v>
      </c>
      <c r="H702" t="s">
        <v>63</v>
      </c>
      <c r="P702">
        <v>1331</v>
      </c>
      <c r="Q702">
        <v>1271</v>
      </c>
      <c r="W702" t="s">
        <v>748</v>
      </c>
      <c r="BC702" t="s">
        <v>4524</v>
      </c>
    </row>
    <row r="703" spans="4:55" x14ac:dyDescent="0.25">
      <c r="D703">
        <v>3230487</v>
      </c>
      <c r="E703">
        <v>3230467</v>
      </c>
      <c r="H703" t="s">
        <v>63</v>
      </c>
      <c r="P703">
        <v>1332</v>
      </c>
      <c r="Q703">
        <v>1278</v>
      </c>
      <c r="W703" t="s">
        <v>748</v>
      </c>
      <c r="BC703" t="s">
        <v>4524</v>
      </c>
    </row>
    <row r="704" spans="4:55" x14ac:dyDescent="0.25">
      <c r="D704">
        <v>3230487</v>
      </c>
      <c r="E704">
        <v>3584171</v>
      </c>
      <c r="H704" t="s">
        <v>63</v>
      </c>
      <c r="P704">
        <v>1333</v>
      </c>
      <c r="Q704">
        <v>1279</v>
      </c>
      <c r="W704" t="s">
        <v>806</v>
      </c>
      <c r="BC704" t="s">
        <v>3838</v>
      </c>
    </row>
    <row r="705" spans="4:55" x14ac:dyDescent="0.25">
      <c r="D705">
        <v>3230487</v>
      </c>
      <c r="E705">
        <v>3572048</v>
      </c>
      <c r="H705" t="s">
        <v>63</v>
      </c>
      <c r="P705">
        <v>1334</v>
      </c>
      <c r="Q705">
        <v>1280</v>
      </c>
      <c r="W705" t="s">
        <v>806</v>
      </c>
      <c r="BC705" t="s">
        <v>1041</v>
      </c>
    </row>
    <row r="706" spans="4:55" x14ac:dyDescent="0.25">
      <c r="D706">
        <v>3230487</v>
      </c>
      <c r="E706">
        <v>3675690</v>
      </c>
      <c r="H706" t="s">
        <v>63</v>
      </c>
      <c r="P706">
        <v>1335</v>
      </c>
      <c r="Q706">
        <v>1287</v>
      </c>
      <c r="W706" t="s">
        <v>806</v>
      </c>
      <c r="BC706" t="s">
        <v>1041</v>
      </c>
    </row>
    <row r="707" spans="4:55" x14ac:dyDescent="0.25">
      <c r="D707">
        <v>3230487</v>
      </c>
      <c r="E707">
        <v>3676011</v>
      </c>
      <c r="H707" t="s">
        <v>63</v>
      </c>
      <c r="P707">
        <v>1336</v>
      </c>
      <c r="Q707">
        <v>1288</v>
      </c>
      <c r="W707" t="s">
        <v>806</v>
      </c>
      <c r="BC707" t="s">
        <v>1042</v>
      </c>
    </row>
    <row r="708" spans="4:55" x14ac:dyDescent="0.25">
      <c r="D708">
        <v>3230487</v>
      </c>
      <c r="E708">
        <v>3676012</v>
      </c>
      <c r="H708" t="s">
        <v>63</v>
      </c>
      <c r="P708">
        <v>1337</v>
      </c>
      <c r="Q708">
        <v>1289</v>
      </c>
      <c r="W708" t="s">
        <v>875</v>
      </c>
      <c r="BC708" t="s">
        <v>1042</v>
      </c>
    </row>
    <row r="709" spans="4:55" x14ac:dyDescent="0.25">
      <c r="D709">
        <v>3230487</v>
      </c>
      <c r="E709">
        <v>3572049</v>
      </c>
      <c r="H709" t="s">
        <v>63</v>
      </c>
      <c r="P709">
        <v>1338</v>
      </c>
      <c r="Q709">
        <v>1290</v>
      </c>
      <c r="W709" t="s">
        <v>875</v>
      </c>
      <c r="BC709" t="s">
        <v>1042</v>
      </c>
    </row>
    <row r="710" spans="4:55" x14ac:dyDescent="0.25">
      <c r="D710">
        <v>3230487</v>
      </c>
      <c r="E710">
        <v>3572050</v>
      </c>
      <c r="H710" t="s">
        <v>63</v>
      </c>
      <c r="P710">
        <v>1339</v>
      </c>
      <c r="Q710">
        <v>1294</v>
      </c>
      <c r="W710" t="s">
        <v>875</v>
      </c>
      <c r="BC710" t="s">
        <v>4603</v>
      </c>
    </row>
    <row r="711" spans="4:55" x14ac:dyDescent="0.25">
      <c r="D711">
        <v>3234371</v>
      </c>
      <c r="E711">
        <v>3676013</v>
      </c>
      <c r="H711" t="s">
        <v>63</v>
      </c>
      <c r="P711">
        <v>1340</v>
      </c>
      <c r="Q711">
        <v>1295</v>
      </c>
      <c r="W711" t="s">
        <v>875</v>
      </c>
      <c r="BC711" t="s">
        <v>1043</v>
      </c>
    </row>
    <row r="712" spans="4:55" x14ac:dyDescent="0.25">
      <c r="D712">
        <v>3234371</v>
      </c>
      <c r="E712">
        <v>3572051</v>
      </c>
      <c r="H712" t="s">
        <v>63</v>
      </c>
      <c r="P712">
        <v>1343</v>
      </c>
      <c r="Q712">
        <v>1296</v>
      </c>
      <c r="W712" t="s">
        <v>875</v>
      </c>
      <c r="BC712" t="s">
        <v>1043</v>
      </c>
    </row>
    <row r="713" spans="4:55" x14ac:dyDescent="0.25">
      <c r="D713">
        <v>3234371</v>
      </c>
      <c r="E713">
        <v>3676014</v>
      </c>
      <c r="H713" t="s">
        <v>63</v>
      </c>
      <c r="P713">
        <v>1344</v>
      </c>
      <c r="Q713">
        <v>1297</v>
      </c>
      <c r="W713" t="s">
        <v>875</v>
      </c>
      <c r="BC713" t="s">
        <v>1043</v>
      </c>
    </row>
    <row r="714" spans="4:55" x14ac:dyDescent="0.25">
      <c r="D714">
        <v>3234371</v>
      </c>
      <c r="E714">
        <v>3676015</v>
      </c>
      <c r="H714" t="s">
        <v>63</v>
      </c>
      <c r="P714">
        <v>1345</v>
      </c>
      <c r="Q714">
        <v>1298</v>
      </c>
      <c r="W714" t="s">
        <v>846</v>
      </c>
      <c r="BC714" t="s">
        <v>1043</v>
      </c>
    </row>
    <row r="715" spans="4:55" x14ac:dyDescent="0.25">
      <c r="D715">
        <v>3234371</v>
      </c>
      <c r="E715">
        <v>3572052</v>
      </c>
      <c r="H715" t="s">
        <v>63</v>
      </c>
      <c r="P715">
        <v>1346</v>
      </c>
      <c r="Q715">
        <v>1299</v>
      </c>
      <c r="W715" t="s">
        <v>846</v>
      </c>
      <c r="BC715" t="s">
        <v>1043</v>
      </c>
    </row>
    <row r="716" spans="4:55" x14ac:dyDescent="0.25">
      <c r="D716">
        <v>3234371</v>
      </c>
      <c r="E716">
        <v>3676016</v>
      </c>
      <c r="H716" t="s">
        <v>63</v>
      </c>
      <c r="P716">
        <v>1349</v>
      </c>
      <c r="Q716">
        <v>1300</v>
      </c>
      <c r="W716" t="s">
        <v>846</v>
      </c>
      <c r="BC716" t="s">
        <v>1045</v>
      </c>
    </row>
    <row r="717" spans="4:55" x14ac:dyDescent="0.25">
      <c r="D717">
        <v>3234371</v>
      </c>
      <c r="E717">
        <v>3676017</v>
      </c>
      <c r="H717" t="s">
        <v>63</v>
      </c>
      <c r="P717">
        <v>1350</v>
      </c>
      <c r="Q717">
        <v>1301</v>
      </c>
      <c r="W717" t="s">
        <v>737</v>
      </c>
      <c r="BC717" t="s">
        <v>1045</v>
      </c>
    </row>
    <row r="718" spans="4:55" x14ac:dyDescent="0.25">
      <c r="D718">
        <v>3234371</v>
      </c>
      <c r="E718">
        <v>3572053</v>
      </c>
      <c r="H718" t="s">
        <v>63</v>
      </c>
      <c r="P718">
        <v>1351</v>
      </c>
      <c r="Q718">
        <v>1302</v>
      </c>
      <c r="W718" t="s">
        <v>737</v>
      </c>
      <c r="BC718" t="s">
        <v>1043</v>
      </c>
    </row>
    <row r="719" spans="4:55" x14ac:dyDescent="0.25">
      <c r="D719">
        <v>3234371</v>
      </c>
      <c r="E719">
        <v>3572054</v>
      </c>
      <c r="H719" t="s">
        <v>63</v>
      </c>
      <c r="P719">
        <v>1352</v>
      </c>
      <c r="Q719">
        <v>1303</v>
      </c>
      <c r="W719" t="s">
        <v>737</v>
      </c>
      <c r="BC719" t="s">
        <v>1045</v>
      </c>
    </row>
    <row r="720" spans="4:55" x14ac:dyDescent="0.25">
      <c r="D720">
        <v>3234371</v>
      </c>
      <c r="E720">
        <v>3230465</v>
      </c>
      <c r="H720" t="s">
        <v>63</v>
      </c>
      <c r="P720">
        <v>1353</v>
      </c>
      <c r="Q720">
        <v>1304</v>
      </c>
      <c r="W720" t="s">
        <v>737</v>
      </c>
      <c r="BC720" t="s">
        <v>1045</v>
      </c>
    </row>
    <row r="721" spans="4:55" x14ac:dyDescent="0.25">
      <c r="D721">
        <v>3234371</v>
      </c>
      <c r="E721">
        <v>3230470</v>
      </c>
      <c r="H721" t="s">
        <v>63</v>
      </c>
      <c r="P721">
        <v>1354</v>
      </c>
      <c r="Q721">
        <v>1305</v>
      </c>
      <c r="W721" t="s">
        <v>737</v>
      </c>
      <c r="BC721" t="s">
        <v>1043</v>
      </c>
    </row>
    <row r="722" spans="4:55" x14ac:dyDescent="0.25">
      <c r="D722">
        <v>3234371</v>
      </c>
      <c r="E722">
        <v>3676018</v>
      </c>
      <c r="H722" t="s">
        <v>63</v>
      </c>
      <c r="P722">
        <v>1355</v>
      </c>
      <c r="Q722">
        <v>1308</v>
      </c>
      <c r="W722" t="s">
        <v>737</v>
      </c>
      <c r="BC722" t="s">
        <v>1043</v>
      </c>
    </row>
    <row r="723" spans="4:55" x14ac:dyDescent="0.25">
      <c r="D723">
        <v>3234371</v>
      </c>
      <c r="E723">
        <v>3597713</v>
      </c>
      <c r="H723" t="s">
        <v>63</v>
      </c>
      <c r="P723">
        <v>1356</v>
      </c>
      <c r="Q723">
        <v>1309</v>
      </c>
      <c r="W723" t="s">
        <v>737</v>
      </c>
      <c r="BC723" t="s">
        <v>1043</v>
      </c>
    </row>
    <row r="724" spans="4:55" x14ac:dyDescent="0.25">
      <c r="D724">
        <v>3234371</v>
      </c>
      <c r="E724">
        <v>3597714</v>
      </c>
      <c r="H724" t="s">
        <v>63</v>
      </c>
      <c r="P724">
        <v>1357</v>
      </c>
      <c r="Q724">
        <v>1316</v>
      </c>
      <c r="W724" t="s">
        <v>832</v>
      </c>
      <c r="BC724" t="s">
        <v>1045</v>
      </c>
    </row>
    <row r="725" spans="4:55" x14ac:dyDescent="0.25">
      <c r="D725">
        <v>3234371</v>
      </c>
      <c r="E725">
        <v>3233559</v>
      </c>
      <c r="H725" t="s">
        <v>63</v>
      </c>
      <c r="P725">
        <v>1358</v>
      </c>
      <c r="Q725">
        <v>1317</v>
      </c>
      <c r="W725" t="s">
        <v>832</v>
      </c>
      <c r="BC725" t="s">
        <v>1043</v>
      </c>
    </row>
    <row r="726" spans="4:55" x14ac:dyDescent="0.25">
      <c r="D726">
        <v>3234371</v>
      </c>
      <c r="E726">
        <v>3233557</v>
      </c>
      <c r="H726" t="s">
        <v>63</v>
      </c>
      <c r="P726">
        <v>1359</v>
      </c>
      <c r="Q726">
        <v>1323</v>
      </c>
      <c r="W726" t="s">
        <v>832</v>
      </c>
      <c r="BC726" t="s">
        <v>1045</v>
      </c>
    </row>
    <row r="727" spans="4:55" x14ac:dyDescent="0.25">
      <c r="D727">
        <v>3234371</v>
      </c>
      <c r="E727">
        <v>3233556</v>
      </c>
      <c r="H727" t="s">
        <v>63</v>
      </c>
      <c r="P727">
        <v>1360</v>
      </c>
      <c r="Q727">
        <v>1324</v>
      </c>
      <c r="W727" t="s">
        <v>692</v>
      </c>
      <c r="BC727" t="s">
        <v>1043</v>
      </c>
    </row>
    <row r="728" spans="4:55" x14ac:dyDescent="0.25">
      <c r="D728">
        <v>3234371</v>
      </c>
      <c r="E728">
        <v>3233555</v>
      </c>
      <c r="H728" t="s">
        <v>63</v>
      </c>
      <c r="P728">
        <v>1361</v>
      </c>
      <c r="Q728">
        <v>1325</v>
      </c>
      <c r="W728" t="s">
        <v>692</v>
      </c>
      <c r="BC728" t="s">
        <v>1043</v>
      </c>
    </row>
    <row r="729" spans="4:55" x14ac:dyDescent="0.25">
      <c r="D729">
        <v>3234371</v>
      </c>
      <c r="E729">
        <v>3233554</v>
      </c>
      <c r="H729" t="s">
        <v>63</v>
      </c>
      <c r="P729">
        <v>1362</v>
      </c>
      <c r="Q729">
        <v>1326</v>
      </c>
      <c r="W729" t="s">
        <v>692</v>
      </c>
      <c r="BC729" t="s">
        <v>860</v>
      </c>
    </row>
    <row r="730" spans="4:55" x14ac:dyDescent="0.25">
      <c r="D730">
        <v>3234371</v>
      </c>
      <c r="E730">
        <v>3233553</v>
      </c>
      <c r="H730" t="s">
        <v>63</v>
      </c>
      <c r="P730">
        <v>1363</v>
      </c>
      <c r="Q730">
        <v>1327</v>
      </c>
      <c r="W730" t="s">
        <v>692</v>
      </c>
      <c r="BC730" t="s">
        <v>4718</v>
      </c>
    </row>
    <row r="731" spans="4:55" x14ac:dyDescent="0.25">
      <c r="D731">
        <v>3234371</v>
      </c>
      <c r="E731">
        <v>1940801</v>
      </c>
      <c r="H731" t="s">
        <v>63</v>
      </c>
      <c r="P731">
        <v>1363</v>
      </c>
      <c r="Q731">
        <v>1331</v>
      </c>
      <c r="W731" t="s">
        <v>692</v>
      </c>
      <c r="BC731" t="s">
        <v>4718</v>
      </c>
    </row>
    <row r="732" spans="4:55" x14ac:dyDescent="0.25">
      <c r="D732">
        <v>3234371</v>
      </c>
      <c r="E732">
        <v>1940807</v>
      </c>
      <c r="H732" t="s">
        <v>63</v>
      </c>
      <c r="P732">
        <v>1364</v>
      </c>
      <c r="Q732">
        <v>1332</v>
      </c>
      <c r="W732" t="s">
        <v>445</v>
      </c>
      <c r="BC732" t="s">
        <v>860</v>
      </c>
    </row>
    <row r="733" spans="4:55" x14ac:dyDescent="0.25">
      <c r="D733">
        <v>3234371</v>
      </c>
      <c r="E733">
        <v>1940815</v>
      </c>
      <c r="H733" t="s">
        <v>174</v>
      </c>
      <c r="P733">
        <v>1364</v>
      </c>
      <c r="Q733">
        <v>1333</v>
      </c>
      <c r="W733" t="s">
        <v>445</v>
      </c>
      <c r="BC733" t="s">
        <v>860</v>
      </c>
    </row>
    <row r="734" spans="4:55" x14ac:dyDescent="0.25">
      <c r="D734">
        <v>3234371</v>
      </c>
      <c r="E734">
        <v>2440971</v>
      </c>
      <c r="H734" t="s">
        <v>174</v>
      </c>
      <c r="P734">
        <v>1365</v>
      </c>
      <c r="Q734">
        <v>1334</v>
      </c>
      <c r="W734" t="s">
        <v>445</v>
      </c>
      <c r="BC734" t="s">
        <v>860</v>
      </c>
    </row>
    <row r="735" spans="4:55" x14ac:dyDescent="0.25">
      <c r="D735">
        <v>3234371</v>
      </c>
      <c r="E735">
        <v>3768905</v>
      </c>
      <c r="H735" t="s">
        <v>63</v>
      </c>
      <c r="P735">
        <v>1365</v>
      </c>
      <c r="Q735">
        <v>1335</v>
      </c>
      <c r="W735" t="s">
        <v>445</v>
      </c>
      <c r="BC735" t="s">
        <v>860</v>
      </c>
    </row>
    <row r="736" spans="4:55" x14ac:dyDescent="0.25">
      <c r="D736">
        <v>3234371</v>
      </c>
      <c r="E736">
        <v>1940821</v>
      </c>
      <c r="H736" t="s">
        <v>63</v>
      </c>
      <c r="P736">
        <v>1366</v>
      </c>
      <c r="Q736">
        <v>1336</v>
      </c>
      <c r="W736" t="s">
        <v>445</v>
      </c>
      <c r="BC736" t="s">
        <v>860</v>
      </c>
    </row>
    <row r="737" spans="4:55" x14ac:dyDescent="0.25">
      <c r="D737">
        <v>3234371</v>
      </c>
      <c r="E737">
        <v>3438761</v>
      </c>
      <c r="H737" t="s">
        <v>63</v>
      </c>
      <c r="P737">
        <v>1366</v>
      </c>
      <c r="Q737">
        <v>1337</v>
      </c>
      <c r="W737" t="s">
        <v>445</v>
      </c>
      <c r="BC737" t="s">
        <v>860</v>
      </c>
    </row>
    <row r="738" spans="4:55" x14ac:dyDescent="0.25">
      <c r="D738">
        <v>3234371</v>
      </c>
      <c r="E738">
        <v>1940822</v>
      </c>
      <c r="H738" t="s">
        <v>63</v>
      </c>
      <c r="P738">
        <v>1367</v>
      </c>
      <c r="Q738">
        <v>1338</v>
      </c>
      <c r="W738" t="s">
        <v>445</v>
      </c>
      <c r="BC738" t="s">
        <v>860</v>
      </c>
    </row>
    <row r="739" spans="4:55" x14ac:dyDescent="0.25">
      <c r="D739">
        <v>3234371</v>
      </c>
      <c r="E739">
        <v>3786201</v>
      </c>
      <c r="H739" t="s">
        <v>63</v>
      </c>
      <c r="P739">
        <v>1367</v>
      </c>
      <c r="Q739">
        <v>1339</v>
      </c>
      <c r="W739" t="s">
        <v>445</v>
      </c>
      <c r="BC739" t="s">
        <v>860</v>
      </c>
    </row>
    <row r="740" spans="4:55" x14ac:dyDescent="0.25">
      <c r="D740">
        <v>3230488</v>
      </c>
      <c r="E740">
        <v>1940823</v>
      </c>
      <c r="H740" t="s">
        <v>63</v>
      </c>
      <c r="P740">
        <v>1368</v>
      </c>
      <c r="Q740">
        <v>1340</v>
      </c>
      <c r="W740" t="s">
        <v>456</v>
      </c>
      <c r="BC740" t="s">
        <v>860</v>
      </c>
    </row>
    <row r="741" spans="4:55" x14ac:dyDescent="0.25">
      <c r="D741">
        <v>3230488</v>
      </c>
      <c r="E741">
        <v>3801265</v>
      </c>
      <c r="H741" t="s">
        <v>63</v>
      </c>
      <c r="P741">
        <v>1369</v>
      </c>
      <c r="Q741">
        <v>1341</v>
      </c>
      <c r="W741" t="s">
        <v>456</v>
      </c>
      <c r="BC741" t="s">
        <v>860</v>
      </c>
    </row>
    <row r="742" spans="4:55" x14ac:dyDescent="0.25">
      <c r="D742">
        <v>3230488</v>
      </c>
      <c r="E742">
        <v>1940825</v>
      </c>
      <c r="H742" t="s">
        <v>63</v>
      </c>
      <c r="P742">
        <v>1370</v>
      </c>
      <c r="Q742">
        <v>1342</v>
      </c>
      <c r="W742" t="s">
        <v>456</v>
      </c>
      <c r="BC742" t="s">
        <v>860</v>
      </c>
    </row>
    <row r="743" spans="4:55" x14ac:dyDescent="0.25">
      <c r="D743">
        <v>3230488</v>
      </c>
      <c r="E743">
        <v>3786202</v>
      </c>
      <c r="H743" t="s">
        <v>63</v>
      </c>
      <c r="P743">
        <v>1371</v>
      </c>
      <c r="Q743">
        <v>1343</v>
      </c>
      <c r="W743" t="s">
        <v>578</v>
      </c>
      <c r="BC743" t="s">
        <v>860</v>
      </c>
    </row>
    <row r="744" spans="4:55" x14ac:dyDescent="0.25">
      <c r="D744">
        <v>3230488</v>
      </c>
      <c r="E744">
        <v>2430125</v>
      </c>
      <c r="H744" t="s">
        <v>63</v>
      </c>
      <c r="P744">
        <v>1372</v>
      </c>
      <c r="Q744">
        <v>1344</v>
      </c>
      <c r="W744" t="s">
        <v>607</v>
      </c>
      <c r="BC744" t="s">
        <v>860</v>
      </c>
    </row>
    <row r="745" spans="4:55" x14ac:dyDescent="0.25">
      <c r="D745">
        <v>3230488</v>
      </c>
      <c r="E745">
        <v>1940826</v>
      </c>
      <c r="H745" t="s">
        <v>174</v>
      </c>
      <c r="P745">
        <v>1373</v>
      </c>
      <c r="Q745">
        <v>1345</v>
      </c>
      <c r="W745" t="s">
        <v>607</v>
      </c>
      <c r="BC745" t="s">
        <v>860</v>
      </c>
    </row>
    <row r="746" spans="4:55" x14ac:dyDescent="0.25">
      <c r="D746">
        <v>3230488</v>
      </c>
      <c r="E746">
        <v>1932559</v>
      </c>
      <c r="H746" t="s">
        <v>174</v>
      </c>
      <c r="P746">
        <v>1374</v>
      </c>
      <c r="Q746">
        <v>1346</v>
      </c>
      <c r="W746" t="s">
        <v>607</v>
      </c>
      <c r="BC746" t="s">
        <v>860</v>
      </c>
    </row>
    <row r="747" spans="4:55" x14ac:dyDescent="0.25">
      <c r="D747">
        <v>3230488</v>
      </c>
      <c r="E747">
        <v>1940829</v>
      </c>
      <c r="H747" t="s">
        <v>174</v>
      </c>
      <c r="P747">
        <v>1375</v>
      </c>
      <c r="Q747">
        <v>1349</v>
      </c>
      <c r="W747" t="s">
        <v>607</v>
      </c>
      <c r="BC747" t="s">
        <v>4742</v>
      </c>
    </row>
    <row r="748" spans="4:55" x14ac:dyDescent="0.25">
      <c r="D748">
        <v>3230488</v>
      </c>
      <c r="E748">
        <v>1941860</v>
      </c>
      <c r="H748" t="s">
        <v>174</v>
      </c>
      <c r="P748">
        <v>1376</v>
      </c>
      <c r="Q748">
        <v>1350</v>
      </c>
      <c r="W748" t="s">
        <v>412</v>
      </c>
      <c r="BC748" t="s">
        <v>4742</v>
      </c>
    </row>
    <row r="749" spans="4:55" x14ac:dyDescent="0.25">
      <c r="D749">
        <v>3230488</v>
      </c>
      <c r="E749">
        <v>3712521</v>
      </c>
      <c r="H749" t="s">
        <v>174</v>
      </c>
      <c r="P749">
        <v>1377</v>
      </c>
      <c r="Q749">
        <v>1351</v>
      </c>
      <c r="W749" t="s">
        <v>412</v>
      </c>
      <c r="BC749" t="s">
        <v>860</v>
      </c>
    </row>
    <row r="750" spans="4:55" x14ac:dyDescent="0.25">
      <c r="D750">
        <v>3230488</v>
      </c>
      <c r="E750">
        <v>3616912</v>
      </c>
      <c r="H750" t="s">
        <v>174</v>
      </c>
      <c r="P750">
        <v>1378</v>
      </c>
      <c r="Q750">
        <v>1352</v>
      </c>
      <c r="W750" t="s">
        <v>412</v>
      </c>
      <c r="BC750" t="s">
        <v>860</v>
      </c>
    </row>
    <row r="751" spans="4:55" x14ac:dyDescent="0.25">
      <c r="D751">
        <v>3230488</v>
      </c>
      <c r="E751">
        <v>1940830</v>
      </c>
      <c r="H751" t="s">
        <v>174</v>
      </c>
      <c r="P751">
        <v>1379</v>
      </c>
      <c r="Q751">
        <v>1353</v>
      </c>
      <c r="W751" t="s">
        <v>794</v>
      </c>
      <c r="BC751" t="s">
        <v>4742</v>
      </c>
    </row>
    <row r="752" spans="4:55" x14ac:dyDescent="0.25">
      <c r="D752">
        <v>3230488</v>
      </c>
      <c r="E752">
        <v>1940831</v>
      </c>
      <c r="H752" t="s">
        <v>174</v>
      </c>
      <c r="P752">
        <v>1380</v>
      </c>
      <c r="Q752">
        <v>1354</v>
      </c>
      <c r="W752" t="s">
        <v>794</v>
      </c>
      <c r="BC752" t="s">
        <v>860</v>
      </c>
    </row>
    <row r="753" spans="4:55" x14ac:dyDescent="0.25">
      <c r="D753">
        <v>3230488</v>
      </c>
      <c r="E753">
        <v>3441727</v>
      </c>
      <c r="H753" t="s">
        <v>174</v>
      </c>
      <c r="P753">
        <v>1381</v>
      </c>
      <c r="Q753">
        <v>1355</v>
      </c>
      <c r="W753" t="s">
        <v>794</v>
      </c>
      <c r="BC753" t="s">
        <v>860</v>
      </c>
    </row>
    <row r="754" spans="4:55" x14ac:dyDescent="0.25">
      <c r="D754">
        <v>3230488</v>
      </c>
      <c r="E754">
        <v>1940832</v>
      </c>
      <c r="H754" t="s">
        <v>63</v>
      </c>
      <c r="P754">
        <v>1382</v>
      </c>
      <c r="Q754">
        <v>1356</v>
      </c>
      <c r="W754" t="s">
        <v>794</v>
      </c>
      <c r="BC754" t="s">
        <v>4718</v>
      </c>
    </row>
    <row r="755" spans="4:55" x14ac:dyDescent="0.25">
      <c r="D755">
        <v>3230488</v>
      </c>
      <c r="E755">
        <v>1940833</v>
      </c>
      <c r="H755" t="s">
        <v>63</v>
      </c>
      <c r="P755">
        <v>1383</v>
      </c>
      <c r="Q755">
        <v>1357</v>
      </c>
      <c r="W755" t="s">
        <v>794</v>
      </c>
      <c r="BC755" t="s">
        <v>1048</v>
      </c>
    </row>
    <row r="756" spans="4:55" x14ac:dyDescent="0.25">
      <c r="D756">
        <v>3230488</v>
      </c>
      <c r="E756">
        <v>3569651</v>
      </c>
      <c r="H756" t="s">
        <v>174</v>
      </c>
      <c r="P756">
        <v>1384</v>
      </c>
      <c r="Q756">
        <v>1358</v>
      </c>
      <c r="W756" t="s">
        <v>794</v>
      </c>
      <c r="BC756" t="s">
        <v>1048</v>
      </c>
    </row>
    <row r="757" spans="4:55" x14ac:dyDescent="0.25">
      <c r="D757">
        <v>3230488</v>
      </c>
      <c r="E757">
        <v>1940837</v>
      </c>
      <c r="H757" t="s">
        <v>32</v>
      </c>
      <c r="P757">
        <v>1385</v>
      </c>
      <c r="Q757">
        <v>1359</v>
      </c>
      <c r="W757" t="s">
        <v>860</v>
      </c>
      <c r="BC757" t="s">
        <v>1048</v>
      </c>
    </row>
    <row r="758" spans="4:55" x14ac:dyDescent="0.25">
      <c r="D758">
        <v>3230488</v>
      </c>
      <c r="E758">
        <v>1940838</v>
      </c>
      <c r="H758" t="s">
        <v>32</v>
      </c>
      <c r="P758">
        <v>1386</v>
      </c>
      <c r="Q758">
        <v>1360</v>
      </c>
      <c r="W758" t="s">
        <v>860</v>
      </c>
      <c r="BC758" t="s">
        <v>1048</v>
      </c>
    </row>
    <row r="759" spans="4:55" x14ac:dyDescent="0.25">
      <c r="D759">
        <v>3230488</v>
      </c>
      <c r="E759">
        <v>1940840</v>
      </c>
      <c r="H759" t="s">
        <v>98</v>
      </c>
      <c r="P759">
        <v>1387</v>
      </c>
      <c r="Q759">
        <v>1361</v>
      </c>
      <c r="W759" t="s">
        <v>412</v>
      </c>
      <c r="BC759" t="s">
        <v>1048</v>
      </c>
    </row>
    <row r="760" spans="4:55" x14ac:dyDescent="0.25">
      <c r="D760">
        <v>3230488</v>
      </c>
      <c r="E760">
        <v>3474555</v>
      </c>
      <c r="H760" t="s">
        <v>48</v>
      </c>
      <c r="P760">
        <v>1388</v>
      </c>
      <c r="Q760">
        <v>1362</v>
      </c>
      <c r="W760" t="s">
        <v>412</v>
      </c>
      <c r="BC760" t="s">
        <v>1048</v>
      </c>
    </row>
    <row r="761" spans="4:55" x14ac:dyDescent="0.25">
      <c r="D761">
        <v>3230488</v>
      </c>
      <c r="E761">
        <v>3569652</v>
      </c>
      <c r="H761" t="s">
        <v>174</v>
      </c>
      <c r="P761">
        <v>1389</v>
      </c>
      <c r="Q761">
        <v>1363</v>
      </c>
      <c r="W761" t="s">
        <v>412</v>
      </c>
      <c r="BC761" t="s">
        <v>1048</v>
      </c>
    </row>
    <row r="762" spans="4:55" x14ac:dyDescent="0.25">
      <c r="D762">
        <v>3230488</v>
      </c>
      <c r="E762">
        <v>1940849</v>
      </c>
      <c r="H762" t="s">
        <v>174</v>
      </c>
      <c r="P762">
        <v>1392</v>
      </c>
      <c r="Q762">
        <v>1364</v>
      </c>
      <c r="W762" t="s">
        <v>412</v>
      </c>
      <c r="BC762" t="s">
        <v>4026</v>
      </c>
    </row>
    <row r="763" spans="4:55" x14ac:dyDescent="0.25">
      <c r="D763">
        <v>3230488</v>
      </c>
      <c r="E763">
        <v>1940850</v>
      </c>
      <c r="H763" t="s">
        <v>63</v>
      </c>
      <c r="P763">
        <v>1393</v>
      </c>
      <c r="Q763">
        <v>1365</v>
      </c>
      <c r="W763" t="s">
        <v>412</v>
      </c>
      <c r="BC763" t="s">
        <v>1049</v>
      </c>
    </row>
    <row r="764" spans="4:55" x14ac:dyDescent="0.25">
      <c r="D764">
        <v>3230488</v>
      </c>
      <c r="E764">
        <v>3584172</v>
      </c>
      <c r="H764" t="s">
        <v>63</v>
      </c>
      <c r="P764">
        <v>1394</v>
      </c>
      <c r="Q764">
        <v>1366</v>
      </c>
      <c r="W764" t="s">
        <v>737</v>
      </c>
      <c r="BC764" t="s">
        <v>1049</v>
      </c>
    </row>
    <row r="765" spans="4:55" x14ac:dyDescent="0.25">
      <c r="D765">
        <v>3230488</v>
      </c>
      <c r="E765">
        <v>3572055</v>
      </c>
      <c r="H765" t="s">
        <v>63</v>
      </c>
      <c r="P765">
        <v>1395</v>
      </c>
      <c r="Q765">
        <v>1367</v>
      </c>
      <c r="W765" t="s">
        <v>737</v>
      </c>
      <c r="BC765" t="s">
        <v>869</v>
      </c>
    </row>
    <row r="766" spans="4:55" x14ac:dyDescent="0.25">
      <c r="D766">
        <v>3230488</v>
      </c>
      <c r="E766">
        <v>3828833</v>
      </c>
      <c r="H766" t="s">
        <v>63</v>
      </c>
      <c r="P766">
        <v>1396</v>
      </c>
      <c r="Q766">
        <v>1368</v>
      </c>
      <c r="W766" t="s">
        <v>737</v>
      </c>
      <c r="BC766" t="s">
        <v>869</v>
      </c>
    </row>
    <row r="767" spans="4:55" x14ac:dyDescent="0.25">
      <c r="D767">
        <v>3230488</v>
      </c>
      <c r="E767">
        <v>1940852</v>
      </c>
      <c r="H767" t="s">
        <v>63</v>
      </c>
      <c r="P767">
        <v>1396</v>
      </c>
      <c r="Q767">
        <v>1369</v>
      </c>
      <c r="W767" t="s">
        <v>737</v>
      </c>
      <c r="BC767" t="s">
        <v>869</v>
      </c>
    </row>
    <row r="768" spans="4:55" x14ac:dyDescent="0.25">
      <c r="D768">
        <v>3230488</v>
      </c>
      <c r="E768">
        <v>3466052</v>
      </c>
      <c r="H768" t="s">
        <v>63</v>
      </c>
      <c r="P768">
        <v>1397</v>
      </c>
      <c r="Q768">
        <v>1370</v>
      </c>
      <c r="W768" t="s">
        <v>737</v>
      </c>
      <c r="BC768" t="s">
        <v>869</v>
      </c>
    </row>
    <row r="769" spans="4:55" x14ac:dyDescent="0.25">
      <c r="D769">
        <v>3571869</v>
      </c>
      <c r="E769">
        <v>3500639</v>
      </c>
      <c r="H769" t="s">
        <v>59</v>
      </c>
      <c r="P769">
        <v>1398</v>
      </c>
      <c r="Q769">
        <v>1371</v>
      </c>
      <c r="W769" t="s">
        <v>737</v>
      </c>
      <c r="BC769" t="s">
        <v>4787</v>
      </c>
    </row>
    <row r="770" spans="4:55" x14ac:dyDescent="0.25">
      <c r="D770">
        <v>3571869</v>
      </c>
      <c r="E770">
        <v>3087646</v>
      </c>
      <c r="H770" t="s">
        <v>59</v>
      </c>
      <c r="P770">
        <v>1399</v>
      </c>
      <c r="Q770">
        <v>1372</v>
      </c>
      <c r="W770" t="s">
        <v>737</v>
      </c>
      <c r="BC770" t="s">
        <v>4787</v>
      </c>
    </row>
    <row r="771" spans="4:55" x14ac:dyDescent="0.25">
      <c r="D771">
        <v>3571869</v>
      </c>
      <c r="E771">
        <v>3186831</v>
      </c>
      <c r="H771" t="s">
        <v>59</v>
      </c>
      <c r="P771">
        <v>1400</v>
      </c>
      <c r="Q771">
        <v>1373</v>
      </c>
      <c r="W771" t="s">
        <v>737</v>
      </c>
      <c r="BC771" t="s">
        <v>4787</v>
      </c>
    </row>
    <row r="772" spans="4:55" x14ac:dyDescent="0.25">
      <c r="D772">
        <v>3571869</v>
      </c>
      <c r="E772">
        <v>3509829</v>
      </c>
      <c r="H772" t="s">
        <v>98</v>
      </c>
      <c r="P772">
        <v>1401</v>
      </c>
      <c r="Q772">
        <v>1374</v>
      </c>
      <c r="W772" t="s">
        <v>737</v>
      </c>
      <c r="BC772" t="s">
        <v>4787</v>
      </c>
    </row>
    <row r="773" spans="4:55" x14ac:dyDescent="0.25">
      <c r="D773">
        <v>3571869</v>
      </c>
      <c r="E773">
        <v>3214495</v>
      </c>
      <c r="H773" t="s">
        <v>98</v>
      </c>
      <c r="P773">
        <v>1402</v>
      </c>
      <c r="Q773">
        <v>1375</v>
      </c>
      <c r="W773" t="s">
        <v>737</v>
      </c>
      <c r="BC773" t="s">
        <v>4787</v>
      </c>
    </row>
    <row r="774" spans="4:55" x14ac:dyDescent="0.25">
      <c r="D774">
        <v>3571869</v>
      </c>
      <c r="E774">
        <v>3502252</v>
      </c>
      <c r="H774" t="s">
        <v>37</v>
      </c>
      <c r="P774">
        <v>1403</v>
      </c>
      <c r="Q774">
        <v>1376</v>
      </c>
      <c r="W774" t="s">
        <v>412</v>
      </c>
      <c r="BC774" t="s">
        <v>4787</v>
      </c>
    </row>
    <row r="775" spans="4:55" x14ac:dyDescent="0.25">
      <c r="D775">
        <v>3571869</v>
      </c>
      <c r="E775">
        <v>3239889</v>
      </c>
      <c r="H775" t="s">
        <v>37</v>
      </c>
      <c r="P775">
        <v>1404</v>
      </c>
      <c r="Q775">
        <v>1377</v>
      </c>
      <c r="W775" t="s">
        <v>412</v>
      </c>
      <c r="BC775" t="s">
        <v>4787</v>
      </c>
    </row>
    <row r="776" spans="4:55" x14ac:dyDescent="0.25">
      <c r="D776">
        <v>3571869</v>
      </c>
      <c r="E776">
        <v>3539418</v>
      </c>
      <c r="H776" t="s">
        <v>37</v>
      </c>
      <c r="P776">
        <v>1405</v>
      </c>
      <c r="Q776">
        <v>1378</v>
      </c>
      <c r="W776" t="s">
        <v>412</v>
      </c>
      <c r="BC776" t="s">
        <v>4787</v>
      </c>
    </row>
    <row r="777" spans="4:55" x14ac:dyDescent="0.25">
      <c r="D777">
        <v>3571869</v>
      </c>
      <c r="E777">
        <v>2403433</v>
      </c>
      <c r="H777" t="s">
        <v>37</v>
      </c>
      <c r="P777">
        <v>1406</v>
      </c>
      <c r="Q777">
        <v>1379</v>
      </c>
      <c r="W777" t="s">
        <v>412</v>
      </c>
      <c r="BC777" t="s">
        <v>4787</v>
      </c>
    </row>
    <row r="778" spans="4:55" x14ac:dyDescent="0.25">
      <c r="D778">
        <v>3571869</v>
      </c>
      <c r="E778">
        <v>280076</v>
      </c>
      <c r="H778" t="s">
        <v>37</v>
      </c>
      <c r="P778">
        <v>1407</v>
      </c>
      <c r="Q778">
        <v>1380</v>
      </c>
      <c r="W778" t="s">
        <v>412</v>
      </c>
      <c r="BC778" t="s">
        <v>456</v>
      </c>
    </row>
    <row r="779" spans="4:55" x14ac:dyDescent="0.25">
      <c r="D779">
        <v>3571869</v>
      </c>
      <c r="E779">
        <v>3499828</v>
      </c>
      <c r="H779" t="s">
        <v>37</v>
      </c>
      <c r="P779">
        <v>1408</v>
      </c>
      <c r="Q779">
        <v>1381</v>
      </c>
      <c r="W779" t="s">
        <v>412</v>
      </c>
      <c r="BC779" t="s">
        <v>456</v>
      </c>
    </row>
    <row r="780" spans="4:55" x14ac:dyDescent="0.25">
      <c r="D780">
        <v>3571869</v>
      </c>
      <c r="E780">
        <v>3673889</v>
      </c>
      <c r="H780" t="s">
        <v>37</v>
      </c>
      <c r="P780">
        <v>1409</v>
      </c>
      <c r="Q780">
        <v>1382</v>
      </c>
      <c r="W780" t="s">
        <v>412</v>
      </c>
      <c r="BC780" t="s">
        <v>456</v>
      </c>
    </row>
    <row r="781" spans="4:55" x14ac:dyDescent="0.25">
      <c r="D781">
        <v>3571869</v>
      </c>
      <c r="E781">
        <v>3502334</v>
      </c>
      <c r="H781" t="s">
        <v>37</v>
      </c>
      <c r="P781">
        <v>1410</v>
      </c>
      <c r="Q781">
        <v>1383</v>
      </c>
      <c r="W781" t="s">
        <v>412</v>
      </c>
      <c r="BC781" t="s">
        <v>456</v>
      </c>
    </row>
    <row r="782" spans="4:55" x14ac:dyDescent="0.25">
      <c r="D782">
        <v>3571869</v>
      </c>
      <c r="E782">
        <v>2415020</v>
      </c>
      <c r="H782" t="s">
        <v>37</v>
      </c>
      <c r="P782">
        <v>1411</v>
      </c>
      <c r="Q782">
        <v>1384</v>
      </c>
      <c r="W782" t="s">
        <v>412</v>
      </c>
      <c r="BC782" t="s">
        <v>456</v>
      </c>
    </row>
    <row r="783" spans="4:55" x14ac:dyDescent="0.25">
      <c r="D783">
        <v>3571870</v>
      </c>
      <c r="E783">
        <v>3514972</v>
      </c>
      <c r="H783" t="s">
        <v>37</v>
      </c>
      <c r="P783">
        <v>1416</v>
      </c>
      <c r="Q783">
        <v>1385</v>
      </c>
      <c r="W783" t="s">
        <v>412</v>
      </c>
      <c r="BC783" t="s">
        <v>456</v>
      </c>
    </row>
    <row r="784" spans="4:55" x14ac:dyDescent="0.25">
      <c r="D784">
        <v>3571870</v>
      </c>
      <c r="E784">
        <v>3605867</v>
      </c>
      <c r="H784" t="s">
        <v>37</v>
      </c>
      <c r="P784">
        <v>1417</v>
      </c>
      <c r="Q784">
        <v>1386</v>
      </c>
      <c r="W784" t="s">
        <v>412</v>
      </c>
      <c r="BC784" t="s">
        <v>456</v>
      </c>
    </row>
    <row r="785" spans="4:55" x14ac:dyDescent="0.25">
      <c r="D785">
        <v>3571870</v>
      </c>
      <c r="E785">
        <v>3768907</v>
      </c>
      <c r="H785" t="s">
        <v>37</v>
      </c>
      <c r="P785">
        <v>1418</v>
      </c>
      <c r="Q785">
        <v>1387</v>
      </c>
      <c r="W785" t="s">
        <v>412</v>
      </c>
      <c r="BC785" t="s">
        <v>456</v>
      </c>
    </row>
    <row r="786" spans="4:55" x14ac:dyDescent="0.25">
      <c r="D786">
        <v>3571870</v>
      </c>
      <c r="E786">
        <v>3531649</v>
      </c>
      <c r="H786" t="s">
        <v>37</v>
      </c>
      <c r="P786">
        <v>1419</v>
      </c>
      <c r="Q786">
        <v>1388</v>
      </c>
      <c r="W786" t="s">
        <v>412</v>
      </c>
      <c r="BC786" t="s">
        <v>456</v>
      </c>
    </row>
    <row r="787" spans="4:55" x14ac:dyDescent="0.25">
      <c r="D787">
        <v>3571870</v>
      </c>
      <c r="E787">
        <v>1496408</v>
      </c>
      <c r="H787" t="s">
        <v>37</v>
      </c>
      <c r="P787">
        <v>1420</v>
      </c>
      <c r="Q787">
        <v>1389</v>
      </c>
      <c r="W787" t="s">
        <v>412</v>
      </c>
      <c r="BC787" t="s">
        <v>456</v>
      </c>
    </row>
    <row r="788" spans="4:55" x14ac:dyDescent="0.25">
      <c r="D788">
        <v>3571870</v>
      </c>
      <c r="E788">
        <v>3722021</v>
      </c>
      <c r="H788" t="s">
        <v>37</v>
      </c>
      <c r="P788">
        <v>1421</v>
      </c>
      <c r="Q788">
        <v>1390</v>
      </c>
      <c r="W788" t="s">
        <v>412</v>
      </c>
      <c r="BC788" t="s">
        <v>456</v>
      </c>
    </row>
    <row r="789" spans="4:55" x14ac:dyDescent="0.25">
      <c r="D789">
        <v>3571870</v>
      </c>
      <c r="E789">
        <v>2417648</v>
      </c>
      <c r="H789" t="s">
        <v>37</v>
      </c>
      <c r="P789">
        <v>1422</v>
      </c>
      <c r="Q789">
        <v>1391</v>
      </c>
      <c r="W789" t="s">
        <v>412</v>
      </c>
      <c r="BC789" t="s">
        <v>456</v>
      </c>
    </row>
    <row r="790" spans="4:55" x14ac:dyDescent="0.25">
      <c r="D790">
        <v>3571870</v>
      </c>
      <c r="E790">
        <v>1310731</v>
      </c>
      <c r="H790" t="s">
        <v>37</v>
      </c>
      <c r="P790">
        <v>1423</v>
      </c>
      <c r="Q790">
        <v>1392</v>
      </c>
      <c r="W790" t="s">
        <v>412</v>
      </c>
      <c r="BC790" t="s">
        <v>456</v>
      </c>
    </row>
    <row r="791" spans="4:55" x14ac:dyDescent="0.25">
      <c r="D791">
        <v>3571870</v>
      </c>
      <c r="E791">
        <v>2417649</v>
      </c>
      <c r="H791" t="s">
        <v>37</v>
      </c>
      <c r="P791">
        <v>1424</v>
      </c>
      <c r="Q791">
        <v>1393</v>
      </c>
      <c r="W791" t="s">
        <v>412</v>
      </c>
      <c r="BC791" t="s">
        <v>456</v>
      </c>
    </row>
    <row r="792" spans="4:55" x14ac:dyDescent="0.25">
      <c r="D792">
        <v>3571870</v>
      </c>
      <c r="E792">
        <v>3433148</v>
      </c>
      <c r="H792" t="s">
        <v>37</v>
      </c>
      <c r="P792">
        <v>1425</v>
      </c>
      <c r="Q792">
        <v>1394</v>
      </c>
      <c r="W792" t="s">
        <v>412</v>
      </c>
      <c r="BC792" t="s">
        <v>456</v>
      </c>
    </row>
    <row r="793" spans="4:55" x14ac:dyDescent="0.25">
      <c r="D793">
        <v>3571870</v>
      </c>
      <c r="E793">
        <v>3502013</v>
      </c>
      <c r="H793" t="s">
        <v>37</v>
      </c>
      <c r="P793">
        <v>1426</v>
      </c>
      <c r="Q793">
        <v>1395</v>
      </c>
      <c r="W793" t="s">
        <v>412</v>
      </c>
      <c r="BC793" t="s">
        <v>456</v>
      </c>
    </row>
    <row r="794" spans="4:55" x14ac:dyDescent="0.25">
      <c r="D794">
        <v>3571870</v>
      </c>
      <c r="E794">
        <v>3500650</v>
      </c>
      <c r="H794" t="s">
        <v>37</v>
      </c>
      <c r="P794">
        <v>1427</v>
      </c>
      <c r="Q794">
        <v>1396</v>
      </c>
      <c r="W794" t="s">
        <v>412</v>
      </c>
      <c r="BC794" t="s">
        <v>456</v>
      </c>
    </row>
    <row r="795" spans="4:55" x14ac:dyDescent="0.25">
      <c r="D795">
        <v>3571870</v>
      </c>
      <c r="E795">
        <v>2396465</v>
      </c>
      <c r="H795" t="s">
        <v>37</v>
      </c>
      <c r="P795">
        <v>1428</v>
      </c>
      <c r="Q795">
        <v>1397</v>
      </c>
      <c r="W795" t="s">
        <v>412</v>
      </c>
      <c r="BC795" t="s">
        <v>456</v>
      </c>
    </row>
    <row r="796" spans="4:55" x14ac:dyDescent="0.25">
      <c r="D796">
        <v>3571870</v>
      </c>
      <c r="E796">
        <v>1511515</v>
      </c>
      <c r="H796" t="s">
        <v>37</v>
      </c>
      <c r="P796">
        <v>1429</v>
      </c>
      <c r="Q796">
        <v>1398</v>
      </c>
      <c r="W796" t="s">
        <v>412</v>
      </c>
      <c r="BC796" t="s">
        <v>456</v>
      </c>
    </row>
    <row r="797" spans="4:55" x14ac:dyDescent="0.25">
      <c r="D797">
        <v>3230491</v>
      </c>
      <c r="E797">
        <v>2422135</v>
      </c>
      <c r="H797" t="s">
        <v>37</v>
      </c>
      <c r="P797">
        <v>1430</v>
      </c>
      <c r="Q797">
        <v>1399</v>
      </c>
      <c r="W797" t="s">
        <v>412</v>
      </c>
      <c r="BC797" t="s">
        <v>456</v>
      </c>
    </row>
    <row r="798" spans="4:55" x14ac:dyDescent="0.25">
      <c r="D798">
        <v>3230491</v>
      </c>
      <c r="E798">
        <v>3784469</v>
      </c>
      <c r="H798" t="s">
        <v>37</v>
      </c>
      <c r="P798">
        <v>1445</v>
      </c>
      <c r="Q798">
        <v>1400</v>
      </c>
      <c r="W798" t="s">
        <v>748</v>
      </c>
      <c r="BC798" t="s">
        <v>456</v>
      </c>
    </row>
    <row r="799" spans="4:55" x14ac:dyDescent="0.25">
      <c r="D799">
        <v>3230491</v>
      </c>
      <c r="E799">
        <v>3901714</v>
      </c>
      <c r="H799" t="s">
        <v>37</v>
      </c>
      <c r="P799">
        <v>1446</v>
      </c>
      <c r="Q799">
        <v>1401</v>
      </c>
      <c r="W799" t="s">
        <v>748</v>
      </c>
      <c r="BC799" t="s">
        <v>456</v>
      </c>
    </row>
    <row r="800" spans="4:55" x14ac:dyDescent="0.25">
      <c r="D800">
        <v>3230491</v>
      </c>
      <c r="E800">
        <v>3187964</v>
      </c>
      <c r="H800" t="s">
        <v>21</v>
      </c>
      <c r="P800">
        <v>1447</v>
      </c>
      <c r="Q800">
        <v>1402</v>
      </c>
      <c r="W800" t="s">
        <v>748</v>
      </c>
      <c r="BC800" t="s">
        <v>456</v>
      </c>
    </row>
    <row r="801" spans="4:55" x14ac:dyDescent="0.25">
      <c r="D801">
        <v>3230491</v>
      </c>
      <c r="E801">
        <v>1310732</v>
      </c>
      <c r="H801" t="s">
        <v>59</v>
      </c>
      <c r="P801">
        <v>1448</v>
      </c>
      <c r="Q801">
        <v>1403</v>
      </c>
      <c r="W801" t="s">
        <v>748</v>
      </c>
      <c r="BC801" t="s">
        <v>456</v>
      </c>
    </row>
    <row r="802" spans="4:55" x14ac:dyDescent="0.25">
      <c r="D802">
        <v>3230491</v>
      </c>
      <c r="E802">
        <v>2428441</v>
      </c>
      <c r="H802" t="s">
        <v>117</v>
      </c>
      <c r="P802">
        <v>1449</v>
      </c>
      <c r="Q802">
        <v>1404</v>
      </c>
      <c r="W802" t="s">
        <v>849</v>
      </c>
      <c r="BC802" t="s">
        <v>456</v>
      </c>
    </row>
    <row r="803" spans="4:55" x14ac:dyDescent="0.25">
      <c r="D803">
        <v>3230491</v>
      </c>
      <c r="E803">
        <v>1399335</v>
      </c>
      <c r="H803" t="s">
        <v>63</v>
      </c>
      <c r="P803">
        <v>1450</v>
      </c>
      <c r="Q803">
        <v>1405</v>
      </c>
      <c r="W803" t="s">
        <v>849</v>
      </c>
      <c r="BC803" t="s">
        <v>456</v>
      </c>
    </row>
    <row r="804" spans="4:55" x14ac:dyDescent="0.25">
      <c r="D804">
        <v>3230491</v>
      </c>
      <c r="E804">
        <v>1938358</v>
      </c>
      <c r="H804" t="s">
        <v>63</v>
      </c>
      <c r="P804">
        <v>1451</v>
      </c>
      <c r="Q804">
        <v>1406</v>
      </c>
      <c r="W804" t="s">
        <v>412</v>
      </c>
      <c r="BC804" t="s">
        <v>456</v>
      </c>
    </row>
    <row r="805" spans="4:55" x14ac:dyDescent="0.25">
      <c r="D805">
        <v>3230491</v>
      </c>
      <c r="E805">
        <v>1311453</v>
      </c>
      <c r="H805" t="s">
        <v>63</v>
      </c>
      <c r="P805">
        <v>1459</v>
      </c>
      <c r="Q805">
        <v>1407</v>
      </c>
      <c r="W805" t="s">
        <v>412</v>
      </c>
      <c r="BC805" t="s">
        <v>456</v>
      </c>
    </row>
    <row r="806" spans="4:55" x14ac:dyDescent="0.25">
      <c r="D806">
        <v>3230491</v>
      </c>
      <c r="E806">
        <v>3439767</v>
      </c>
      <c r="H806" t="s">
        <v>63</v>
      </c>
      <c r="P806">
        <v>1460</v>
      </c>
      <c r="Q806">
        <v>1408</v>
      </c>
      <c r="W806" t="s">
        <v>849</v>
      </c>
      <c r="BC806" t="s">
        <v>456</v>
      </c>
    </row>
    <row r="807" spans="4:55" x14ac:dyDescent="0.25">
      <c r="D807">
        <v>3230491</v>
      </c>
      <c r="E807">
        <v>3499121</v>
      </c>
      <c r="H807" t="s">
        <v>63</v>
      </c>
      <c r="P807">
        <v>1461</v>
      </c>
      <c r="Q807">
        <v>1409</v>
      </c>
      <c r="W807" t="s">
        <v>849</v>
      </c>
      <c r="BC807" t="s">
        <v>456</v>
      </c>
    </row>
    <row r="808" spans="4:55" x14ac:dyDescent="0.25">
      <c r="D808">
        <v>3230491</v>
      </c>
      <c r="E808">
        <v>3500714</v>
      </c>
      <c r="H808" t="s">
        <v>63</v>
      </c>
      <c r="P808">
        <v>1462</v>
      </c>
      <c r="Q808">
        <v>1410</v>
      </c>
      <c r="W808" t="s">
        <v>412</v>
      </c>
      <c r="BC808" t="s">
        <v>456</v>
      </c>
    </row>
    <row r="809" spans="4:55" x14ac:dyDescent="0.25">
      <c r="D809">
        <v>3230491</v>
      </c>
      <c r="E809">
        <v>2426233</v>
      </c>
      <c r="H809" t="s">
        <v>63</v>
      </c>
      <c r="P809">
        <v>1463</v>
      </c>
      <c r="Q809">
        <v>1411</v>
      </c>
      <c r="W809" t="s">
        <v>412</v>
      </c>
      <c r="BC809" t="s">
        <v>456</v>
      </c>
    </row>
    <row r="810" spans="4:55" x14ac:dyDescent="0.25">
      <c r="D810">
        <v>3230491</v>
      </c>
      <c r="E810">
        <v>3501985</v>
      </c>
      <c r="H810" t="s">
        <v>57</v>
      </c>
      <c r="P810">
        <v>1464</v>
      </c>
      <c r="Q810">
        <v>1416</v>
      </c>
      <c r="W810" t="s">
        <v>412</v>
      </c>
      <c r="BC810" t="s">
        <v>456</v>
      </c>
    </row>
    <row r="811" spans="4:55" x14ac:dyDescent="0.25">
      <c r="D811">
        <v>3230491</v>
      </c>
      <c r="E811">
        <v>1490699</v>
      </c>
      <c r="H811" t="s">
        <v>36</v>
      </c>
      <c r="P811">
        <v>1465</v>
      </c>
      <c r="Q811">
        <v>1417</v>
      </c>
      <c r="W811" t="s">
        <v>695</v>
      </c>
      <c r="BC811" t="s">
        <v>456</v>
      </c>
    </row>
    <row r="812" spans="4:55" x14ac:dyDescent="0.25">
      <c r="D812">
        <v>3572031</v>
      </c>
      <c r="E812">
        <v>2420077</v>
      </c>
      <c r="H812" t="s">
        <v>37</v>
      </c>
      <c r="P812">
        <v>1466</v>
      </c>
      <c r="Q812">
        <v>1418</v>
      </c>
      <c r="W812" t="s">
        <v>695</v>
      </c>
      <c r="BC812" t="s">
        <v>456</v>
      </c>
    </row>
    <row r="813" spans="4:55" x14ac:dyDescent="0.25">
      <c r="D813">
        <v>3572031</v>
      </c>
      <c r="E813">
        <v>3545558</v>
      </c>
      <c r="H813" t="s">
        <v>59</v>
      </c>
      <c r="P813">
        <v>1467</v>
      </c>
      <c r="Q813">
        <v>1419</v>
      </c>
      <c r="W813" t="s">
        <v>695</v>
      </c>
      <c r="BC813" t="s">
        <v>456</v>
      </c>
    </row>
    <row r="814" spans="4:55" x14ac:dyDescent="0.25">
      <c r="D814">
        <v>3572031</v>
      </c>
      <c r="E814">
        <v>3514971</v>
      </c>
      <c r="H814" t="s">
        <v>63</v>
      </c>
      <c r="P814">
        <v>1468</v>
      </c>
      <c r="Q814">
        <v>1420</v>
      </c>
      <c r="W814" t="s">
        <v>695</v>
      </c>
      <c r="BC814" t="s">
        <v>456</v>
      </c>
    </row>
    <row r="815" spans="4:55" x14ac:dyDescent="0.25">
      <c r="D815">
        <v>3572031</v>
      </c>
      <c r="E815">
        <v>3502343</v>
      </c>
      <c r="H815" t="s">
        <v>63</v>
      </c>
      <c r="P815">
        <v>1469</v>
      </c>
      <c r="Q815">
        <v>1421</v>
      </c>
      <c r="W815" t="s">
        <v>695</v>
      </c>
      <c r="BC815" t="s">
        <v>456</v>
      </c>
    </row>
    <row r="816" spans="4:55" x14ac:dyDescent="0.25">
      <c r="D816">
        <v>3572031</v>
      </c>
      <c r="E816">
        <v>3501095</v>
      </c>
      <c r="H816" t="s">
        <v>63</v>
      </c>
      <c r="P816">
        <v>1470</v>
      </c>
      <c r="Q816">
        <v>1422</v>
      </c>
      <c r="W816" t="s">
        <v>695</v>
      </c>
      <c r="BC816" t="s">
        <v>661</v>
      </c>
    </row>
    <row r="817" spans="4:55" x14ac:dyDescent="0.25">
      <c r="D817">
        <v>3572031</v>
      </c>
      <c r="E817">
        <v>1490698</v>
      </c>
      <c r="H817" t="s">
        <v>99</v>
      </c>
      <c r="P817">
        <v>1471</v>
      </c>
      <c r="Q817">
        <v>1423</v>
      </c>
      <c r="W817" t="s">
        <v>695</v>
      </c>
      <c r="BC817" t="s">
        <v>661</v>
      </c>
    </row>
    <row r="818" spans="4:55" x14ac:dyDescent="0.25">
      <c r="D818">
        <v>3572031</v>
      </c>
      <c r="E818">
        <v>3514380</v>
      </c>
      <c r="H818" t="s">
        <v>63</v>
      </c>
      <c r="P818">
        <v>1472</v>
      </c>
      <c r="Q818">
        <v>1424</v>
      </c>
      <c r="W818" t="s">
        <v>412</v>
      </c>
      <c r="BC818" t="s">
        <v>661</v>
      </c>
    </row>
    <row r="819" spans="4:55" x14ac:dyDescent="0.25">
      <c r="D819">
        <v>3572031</v>
      </c>
      <c r="E819">
        <v>3502388</v>
      </c>
      <c r="H819" t="s">
        <v>63</v>
      </c>
      <c r="P819">
        <v>1473</v>
      </c>
      <c r="Q819">
        <v>1425</v>
      </c>
      <c r="W819" t="s">
        <v>412</v>
      </c>
      <c r="BC819" t="s">
        <v>428</v>
      </c>
    </row>
    <row r="820" spans="4:55" x14ac:dyDescent="0.25">
      <c r="D820">
        <v>3572031</v>
      </c>
      <c r="E820">
        <v>2397072</v>
      </c>
      <c r="H820" t="s">
        <v>63</v>
      </c>
      <c r="P820">
        <v>1474</v>
      </c>
      <c r="Q820">
        <v>1426</v>
      </c>
      <c r="W820" t="s">
        <v>860</v>
      </c>
      <c r="BC820" t="s">
        <v>428</v>
      </c>
    </row>
    <row r="821" spans="4:55" x14ac:dyDescent="0.25">
      <c r="D821">
        <v>3572031</v>
      </c>
      <c r="E821">
        <v>3649700</v>
      </c>
      <c r="H821" t="s">
        <v>67</v>
      </c>
      <c r="P821">
        <v>1475</v>
      </c>
      <c r="Q821">
        <v>1427</v>
      </c>
      <c r="W821" t="s">
        <v>860</v>
      </c>
      <c r="BC821" t="s">
        <v>428</v>
      </c>
    </row>
    <row r="822" spans="4:55" x14ac:dyDescent="0.25">
      <c r="D822">
        <v>3572031</v>
      </c>
      <c r="E822">
        <v>2397327</v>
      </c>
      <c r="H822" t="s">
        <v>67</v>
      </c>
      <c r="P822">
        <v>1476</v>
      </c>
      <c r="Q822">
        <v>1428</v>
      </c>
      <c r="W822" t="s">
        <v>860</v>
      </c>
      <c r="BC822" t="s">
        <v>428</v>
      </c>
    </row>
    <row r="823" spans="4:55" x14ac:dyDescent="0.25">
      <c r="D823">
        <v>3572031</v>
      </c>
      <c r="E823">
        <v>3460088</v>
      </c>
      <c r="H823" t="s">
        <v>67</v>
      </c>
      <c r="P823">
        <v>1477</v>
      </c>
      <c r="Q823">
        <v>1429</v>
      </c>
      <c r="W823" t="s">
        <v>860</v>
      </c>
      <c r="BC823" t="s">
        <v>428</v>
      </c>
    </row>
    <row r="824" spans="4:55" x14ac:dyDescent="0.25">
      <c r="D824">
        <v>3572031</v>
      </c>
      <c r="E824">
        <v>2325421</v>
      </c>
      <c r="H824" t="s">
        <v>67</v>
      </c>
      <c r="P824">
        <v>1478</v>
      </c>
      <c r="Q824">
        <v>1430</v>
      </c>
      <c r="W824" t="s">
        <v>860</v>
      </c>
      <c r="BC824" t="s">
        <v>428</v>
      </c>
    </row>
    <row r="825" spans="4:55" x14ac:dyDescent="0.25">
      <c r="D825">
        <v>3572031</v>
      </c>
      <c r="E825">
        <v>3453634</v>
      </c>
      <c r="H825" t="s">
        <v>67</v>
      </c>
      <c r="P825">
        <v>1481</v>
      </c>
      <c r="Q825">
        <v>1445</v>
      </c>
      <c r="W825" t="s">
        <v>860</v>
      </c>
      <c r="BC825" t="s">
        <v>428</v>
      </c>
    </row>
    <row r="826" spans="4:55" x14ac:dyDescent="0.25">
      <c r="D826">
        <v>3572032</v>
      </c>
      <c r="E826">
        <v>3545559</v>
      </c>
      <c r="H826" t="s">
        <v>67</v>
      </c>
      <c r="P826">
        <v>1482</v>
      </c>
      <c r="Q826">
        <v>1446</v>
      </c>
      <c r="W826" t="s">
        <v>633</v>
      </c>
      <c r="BC826" t="s">
        <v>1823</v>
      </c>
    </row>
    <row r="827" spans="4:55" x14ac:dyDescent="0.25">
      <c r="D827">
        <v>3572032</v>
      </c>
      <c r="E827">
        <v>3502301</v>
      </c>
      <c r="H827" t="s">
        <v>67</v>
      </c>
      <c r="P827">
        <v>1483</v>
      </c>
      <c r="Q827">
        <v>1447</v>
      </c>
      <c r="W827" t="s">
        <v>633</v>
      </c>
      <c r="BC827" t="s">
        <v>428</v>
      </c>
    </row>
    <row r="828" spans="4:55" x14ac:dyDescent="0.25">
      <c r="D828">
        <v>3572032</v>
      </c>
      <c r="E828">
        <v>3597587</v>
      </c>
      <c r="H828" t="s">
        <v>67</v>
      </c>
      <c r="P828">
        <v>1484</v>
      </c>
      <c r="Q828">
        <v>1448</v>
      </c>
      <c r="W828" t="s">
        <v>633</v>
      </c>
      <c r="BC828" t="s">
        <v>428</v>
      </c>
    </row>
    <row r="829" spans="4:55" x14ac:dyDescent="0.25">
      <c r="D829">
        <v>3572032</v>
      </c>
      <c r="E829">
        <v>1325388</v>
      </c>
      <c r="H829" t="s">
        <v>67</v>
      </c>
      <c r="P829">
        <v>1485</v>
      </c>
      <c r="Q829">
        <v>1449</v>
      </c>
      <c r="W829" t="s">
        <v>633</v>
      </c>
      <c r="BC829" t="s">
        <v>1823</v>
      </c>
    </row>
    <row r="830" spans="4:55" x14ac:dyDescent="0.25">
      <c r="D830">
        <v>3572032</v>
      </c>
      <c r="E830">
        <v>3508060</v>
      </c>
      <c r="H830" t="s">
        <v>67</v>
      </c>
      <c r="P830">
        <v>1486</v>
      </c>
      <c r="Q830">
        <v>1450</v>
      </c>
      <c r="W830" t="s">
        <v>633</v>
      </c>
      <c r="BC830" t="s">
        <v>428</v>
      </c>
    </row>
    <row r="831" spans="4:55" x14ac:dyDescent="0.25">
      <c r="D831">
        <v>3572032</v>
      </c>
      <c r="E831">
        <v>3501092</v>
      </c>
      <c r="H831" t="s">
        <v>67</v>
      </c>
      <c r="P831">
        <v>1487</v>
      </c>
      <c r="Q831">
        <v>1451</v>
      </c>
      <c r="W831" t="s">
        <v>633</v>
      </c>
      <c r="BC831" t="s">
        <v>428</v>
      </c>
    </row>
    <row r="832" spans="4:55" x14ac:dyDescent="0.25">
      <c r="D832">
        <v>3572032</v>
      </c>
      <c r="E832">
        <v>3230505</v>
      </c>
      <c r="H832" t="s">
        <v>67</v>
      </c>
      <c r="P832">
        <v>1488</v>
      </c>
      <c r="Q832">
        <v>1452</v>
      </c>
      <c r="W832" t="s">
        <v>633</v>
      </c>
      <c r="BC832" t="s">
        <v>1052</v>
      </c>
    </row>
    <row r="833" spans="4:55" x14ac:dyDescent="0.25">
      <c r="D833">
        <v>3572032</v>
      </c>
      <c r="E833">
        <v>2404864</v>
      </c>
      <c r="H833" t="s">
        <v>67</v>
      </c>
      <c r="P833">
        <v>1489</v>
      </c>
      <c r="Q833">
        <v>1453</v>
      </c>
      <c r="W833" t="s">
        <v>633</v>
      </c>
      <c r="BC833" t="s">
        <v>586</v>
      </c>
    </row>
    <row r="834" spans="4:55" x14ac:dyDescent="0.25">
      <c r="D834">
        <v>3572032</v>
      </c>
      <c r="E834">
        <v>3549720</v>
      </c>
      <c r="H834" t="s">
        <v>67</v>
      </c>
      <c r="P834">
        <v>1490</v>
      </c>
      <c r="Q834">
        <v>1454</v>
      </c>
      <c r="W834" t="s">
        <v>633</v>
      </c>
      <c r="BC834" t="s">
        <v>586</v>
      </c>
    </row>
    <row r="835" spans="4:55" x14ac:dyDescent="0.25">
      <c r="D835">
        <v>3572032</v>
      </c>
      <c r="E835">
        <v>3238860</v>
      </c>
      <c r="H835" t="s">
        <v>67</v>
      </c>
      <c r="P835">
        <v>1491</v>
      </c>
      <c r="Q835">
        <v>1455</v>
      </c>
      <c r="W835" t="s">
        <v>633</v>
      </c>
      <c r="BC835" t="s">
        <v>586</v>
      </c>
    </row>
    <row r="836" spans="4:55" x14ac:dyDescent="0.25">
      <c r="D836">
        <v>3572032</v>
      </c>
      <c r="E836">
        <v>3742593</v>
      </c>
      <c r="H836" t="s">
        <v>67</v>
      </c>
      <c r="P836">
        <v>1492</v>
      </c>
      <c r="Q836">
        <v>1456</v>
      </c>
      <c r="W836" t="s">
        <v>633</v>
      </c>
      <c r="BC836" t="s">
        <v>586</v>
      </c>
    </row>
    <row r="837" spans="4:55" x14ac:dyDescent="0.25">
      <c r="D837">
        <v>3572032</v>
      </c>
      <c r="E837">
        <v>2356445</v>
      </c>
      <c r="H837" t="s">
        <v>67</v>
      </c>
      <c r="P837">
        <v>1495</v>
      </c>
      <c r="Q837">
        <v>1457</v>
      </c>
      <c r="W837" t="s">
        <v>642</v>
      </c>
      <c r="BC837" t="s">
        <v>586</v>
      </c>
    </row>
    <row r="838" spans="4:55" x14ac:dyDescent="0.25">
      <c r="D838">
        <v>3572032</v>
      </c>
      <c r="E838">
        <v>3239049</v>
      </c>
      <c r="H838" t="s">
        <v>67</v>
      </c>
      <c r="P838">
        <v>1496</v>
      </c>
      <c r="Q838">
        <v>1458</v>
      </c>
      <c r="W838" t="s">
        <v>642</v>
      </c>
      <c r="BC838" t="s">
        <v>586</v>
      </c>
    </row>
    <row r="839" spans="4:55" x14ac:dyDescent="0.25">
      <c r="D839">
        <v>3572032</v>
      </c>
      <c r="E839">
        <v>282519</v>
      </c>
      <c r="H839" t="s">
        <v>67</v>
      </c>
      <c r="P839">
        <v>1497</v>
      </c>
      <c r="Q839">
        <v>1459</v>
      </c>
      <c r="W839" t="s">
        <v>642</v>
      </c>
      <c r="BC839" t="s">
        <v>586</v>
      </c>
    </row>
    <row r="840" spans="4:55" x14ac:dyDescent="0.25">
      <c r="D840">
        <v>3572033</v>
      </c>
      <c r="E840">
        <v>3531650</v>
      </c>
      <c r="H840" t="s">
        <v>67</v>
      </c>
      <c r="P840">
        <v>1500</v>
      </c>
      <c r="Q840">
        <v>1460</v>
      </c>
      <c r="W840" t="s">
        <v>642</v>
      </c>
      <c r="BC840" t="s">
        <v>586</v>
      </c>
    </row>
    <row r="841" spans="4:55" x14ac:dyDescent="0.25">
      <c r="D841">
        <v>3572033</v>
      </c>
      <c r="E841">
        <v>1568170</v>
      </c>
      <c r="H841" t="s">
        <v>67</v>
      </c>
      <c r="P841">
        <v>1501</v>
      </c>
      <c r="Q841">
        <v>1461</v>
      </c>
      <c r="W841" t="s">
        <v>642</v>
      </c>
      <c r="BC841" t="s">
        <v>586</v>
      </c>
    </row>
    <row r="842" spans="4:55" x14ac:dyDescent="0.25">
      <c r="D842">
        <v>3572033</v>
      </c>
      <c r="E842">
        <v>281785</v>
      </c>
      <c r="H842" t="s">
        <v>67</v>
      </c>
      <c r="P842">
        <v>1502</v>
      </c>
      <c r="Q842">
        <v>1462</v>
      </c>
      <c r="W842" t="s">
        <v>642</v>
      </c>
      <c r="BC842" t="s">
        <v>586</v>
      </c>
    </row>
    <row r="843" spans="4:55" x14ac:dyDescent="0.25">
      <c r="D843">
        <v>3572033</v>
      </c>
      <c r="E843">
        <v>3718726</v>
      </c>
      <c r="H843" t="s">
        <v>67</v>
      </c>
      <c r="P843">
        <v>1503</v>
      </c>
      <c r="Q843">
        <v>1463</v>
      </c>
      <c r="W843" t="s">
        <v>642</v>
      </c>
      <c r="BC843" t="s">
        <v>578</v>
      </c>
    </row>
    <row r="844" spans="4:55" x14ac:dyDescent="0.25">
      <c r="D844">
        <v>3572033</v>
      </c>
      <c r="E844">
        <v>3548921</v>
      </c>
      <c r="H844" t="s">
        <v>67</v>
      </c>
      <c r="P844">
        <v>1504</v>
      </c>
      <c r="Q844">
        <v>1464</v>
      </c>
      <c r="W844" t="s">
        <v>642</v>
      </c>
      <c r="BC844" t="s">
        <v>578</v>
      </c>
    </row>
    <row r="845" spans="4:55" x14ac:dyDescent="0.25">
      <c r="D845">
        <v>3572033</v>
      </c>
      <c r="E845">
        <v>3500540</v>
      </c>
      <c r="H845" t="s">
        <v>67</v>
      </c>
      <c r="P845">
        <v>1505</v>
      </c>
      <c r="Q845">
        <v>1465</v>
      </c>
      <c r="W845" t="s">
        <v>642</v>
      </c>
      <c r="BC845" t="s">
        <v>578</v>
      </c>
    </row>
    <row r="846" spans="4:55" x14ac:dyDescent="0.25">
      <c r="D846">
        <v>3572033</v>
      </c>
      <c r="E846">
        <v>3501438</v>
      </c>
      <c r="H846" t="s">
        <v>67</v>
      </c>
      <c r="P846">
        <v>1506</v>
      </c>
      <c r="Q846">
        <v>1466</v>
      </c>
      <c r="W846" t="s">
        <v>4524</v>
      </c>
      <c r="BC846" t="s">
        <v>578</v>
      </c>
    </row>
    <row r="847" spans="4:55" x14ac:dyDescent="0.25">
      <c r="D847">
        <v>3572033</v>
      </c>
      <c r="E847">
        <v>3502422</v>
      </c>
      <c r="H847" t="s">
        <v>67</v>
      </c>
      <c r="P847">
        <v>1507</v>
      </c>
      <c r="Q847">
        <v>1467</v>
      </c>
      <c r="W847" t="s">
        <v>4524</v>
      </c>
      <c r="BC847" t="s">
        <v>578</v>
      </c>
    </row>
    <row r="848" spans="4:55" x14ac:dyDescent="0.25">
      <c r="D848">
        <v>3572033</v>
      </c>
      <c r="E848">
        <v>3545983</v>
      </c>
      <c r="H848" t="s">
        <v>67</v>
      </c>
      <c r="P848">
        <v>1508</v>
      </c>
      <c r="Q848">
        <v>1468</v>
      </c>
      <c r="W848" t="s">
        <v>4524</v>
      </c>
      <c r="BC848" t="s">
        <v>578</v>
      </c>
    </row>
    <row r="849" spans="4:55" x14ac:dyDescent="0.25">
      <c r="D849">
        <v>3572033</v>
      </c>
      <c r="E849">
        <v>3502725</v>
      </c>
      <c r="H849" t="s">
        <v>67</v>
      </c>
      <c r="P849">
        <v>1509</v>
      </c>
      <c r="Q849">
        <v>1469</v>
      </c>
      <c r="W849" t="s">
        <v>4524</v>
      </c>
      <c r="BC849" t="s">
        <v>445</v>
      </c>
    </row>
    <row r="850" spans="4:55" x14ac:dyDescent="0.25">
      <c r="D850">
        <v>3572033</v>
      </c>
      <c r="E850">
        <v>3499123</v>
      </c>
      <c r="H850" t="s">
        <v>67</v>
      </c>
      <c r="P850">
        <v>1510</v>
      </c>
      <c r="Q850">
        <v>1470</v>
      </c>
      <c r="W850" t="s">
        <v>4524</v>
      </c>
      <c r="BC850" t="s">
        <v>445</v>
      </c>
    </row>
    <row r="851" spans="4:55" x14ac:dyDescent="0.25">
      <c r="D851">
        <v>3572033</v>
      </c>
      <c r="E851">
        <v>3772811</v>
      </c>
      <c r="H851" t="s">
        <v>67</v>
      </c>
      <c r="P851">
        <v>1511</v>
      </c>
      <c r="Q851">
        <v>1471</v>
      </c>
      <c r="W851" t="s">
        <v>4524</v>
      </c>
      <c r="BC851" t="s">
        <v>445</v>
      </c>
    </row>
    <row r="852" spans="4:55" x14ac:dyDescent="0.25">
      <c r="D852">
        <v>3572033</v>
      </c>
      <c r="E852">
        <v>2427158</v>
      </c>
      <c r="H852" t="s">
        <v>67</v>
      </c>
      <c r="P852">
        <v>1512</v>
      </c>
      <c r="Q852">
        <v>1472</v>
      </c>
      <c r="W852" t="s">
        <v>4524</v>
      </c>
      <c r="BC852" t="s">
        <v>445</v>
      </c>
    </row>
    <row r="853" spans="4:55" x14ac:dyDescent="0.25">
      <c r="D853">
        <v>3572033</v>
      </c>
      <c r="E853">
        <v>3780004</v>
      </c>
      <c r="H853" t="s">
        <v>67</v>
      </c>
      <c r="P853">
        <v>1513</v>
      </c>
      <c r="Q853">
        <v>1473</v>
      </c>
      <c r="W853" t="s">
        <v>4524</v>
      </c>
      <c r="BC853" t="s">
        <v>445</v>
      </c>
    </row>
    <row r="854" spans="4:55" x14ac:dyDescent="0.25">
      <c r="D854">
        <v>3230485</v>
      </c>
      <c r="E854">
        <v>3775637</v>
      </c>
      <c r="H854" t="s">
        <v>67</v>
      </c>
      <c r="P854">
        <v>1514</v>
      </c>
      <c r="Q854">
        <v>1474</v>
      </c>
      <c r="W854" t="s">
        <v>810</v>
      </c>
      <c r="BC854" t="s">
        <v>445</v>
      </c>
    </row>
    <row r="855" spans="4:55" x14ac:dyDescent="0.25">
      <c r="D855">
        <v>3230485</v>
      </c>
      <c r="E855">
        <v>1940879</v>
      </c>
      <c r="H855" t="s">
        <v>67</v>
      </c>
      <c r="P855">
        <v>1515</v>
      </c>
      <c r="Q855">
        <v>1475</v>
      </c>
      <c r="W855" t="s">
        <v>810</v>
      </c>
      <c r="BC855" t="s">
        <v>445</v>
      </c>
    </row>
    <row r="856" spans="4:55" x14ac:dyDescent="0.25">
      <c r="D856">
        <v>3230485</v>
      </c>
      <c r="E856">
        <v>3780005</v>
      </c>
      <c r="H856" t="s">
        <v>67</v>
      </c>
      <c r="P856">
        <v>1516</v>
      </c>
      <c r="Q856">
        <v>1476</v>
      </c>
      <c r="W856" t="s">
        <v>810</v>
      </c>
      <c r="BC856" t="s">
        <v>4583</v>
      </c>
    </row>
    <row r="857" spans="4:55" x14ac:dyDescent="0.25">
      <c r="D857">
        <v>3230485</v>
      </c>
      <c r="E857">
        <v>3775638</v>
      </c>
      <c r="H857" t="s">
        <v>67</v>
      </c>
      <c r="P857">
        <v>1517</v>
      </c>
      <c r="Q857">
        <v>1477</v>
      </c>
      <c r="W857" t="s">
        <v>810</v>
      </c>
      <c r="BC857" t="s">
        <v>4583</v>
      </c>
    </row>
    <row r="858" spans="4:55" x14ac:dyDescent="0.25">
      <c r="D858">
        <v>3230485</v>
      </c>
      <c r="E858">
        <v>2430128</v>
      </c>
      <c r="H858" t="s">
        <v>67</v>
      </c>
      <c r="P858">
        <v>1518</v>
      </c>
      <c r="Q858">
        <v>1478</v>
      </c>
      <c r="W858" t="s">
        <v>529</v>
      </c>
      <c r="BC858" t="s">
        <v>886</v>
      </c>
    </row>
    <row r="859" spans="4:55" x14ac:dyDescent="0.25">
      <c r="D859">
        <v>3230485</v>
      </c>
      <c r="E859">
        <v>2325414</v>
      </c>
      <c r="H859" t="s">
        <v>67</v>
      </c>
      <c r="P859">
        <v>1519</v>
      </c>
      <c r="Q859">
        <v>1481</v>
      </c>
      <c r="W859" t="s">
        <v>1043</v>
      </c>
      <c r="BC859" t="s">
        <v>886</v>
      </c>
    </row>
    <row r="860" spans="4:55" x14ac:dyDescent="0.25">
      <c r="D860">
        <v>3230485</v>
      </c>
      <c r="E860">
        <v>3219709</v>
      </c>
      <c r="H860" t="s">
        <v>67</v>
      </c>
      <c r="P860">
        <v>1520</v>
      </c>
      <c r="Q860">
        <v>1482</v>
      </c>
      <c r="W860" t="s">
        <v>529</v>
      </c>
      <c r="BC860" t="s">
        <v>886</v>
      </c>
    </row>
    <row r="861" spans="4:55" x14ac:dyDescent="0.25">
      <c r="D861">
        <v>3230485</v>
      </c>
      <c r="E861">
        <v>1940881</v>
      </c>
      <c r="H861" t="s">
        <v>67</v>
      </c>
      <c r="P861">
        <v>1521</v>
      </c>
      <c r="Q861">
        <v>1483</v>
      </c>
      <c r="W861" t="s">
        <v>529</v>
      </c>
      <c r="BC861" t="s">
        <v>886</v>
      </c>
    </row>
    <row r="862" spans="4:55" x14ac:dyDescent="0.25">
      <c r="D862">
        <v>3230485</v>
      </c>
      <c r="E862">
        <v>1938127</v>
      </c>
      <c r="H862" t="s">
        <v>67</v>
      </c>
      <c r="P862">
        <v>1522</v>
      </c>
      <c r="Q862">
        <v>1484</v>
      </c>
      <c r="W862" t="s">
        <v>529</v>
      </c>
      <c r="BC862" t="s">
        <v>886</v>
      </c>
    </row>
    <row r="863" spans="4:55" x14ac:dyDescent="0.25">
      <c r="D863">
        <v>3230485</v>
      </c>
      <c r="E863">
        <v>468843</v>
      </c>
      <c r="H863" t="s">
        <v>59</v>
      </c>
      <c r="P863">
        <v>1523</v>
      </c>
      <c r="Q863">
        <v>1485</v>
      </c>
      <c r="W863" t="s">
        <v>529</v>
      </c>
      <c r="BC863" t="s">
        <v>886</v>
      </c>
    </row>
    <row r="864" spans="4:55" x14ac:dyDescent="0.25">
      <c r="D864">
        <v>3230485</v>
      </c>
      <c r="E864">
        <v>1931849</v>
      </c>
      <c r="H864" t="s">
        <v>59</v>
      </c>
      <c r="P864">
        <v>1524</v>
      </c>
      <c r="Q864">
        <v>1486</v>
      </c>
      <c r="W864" t="s">
        <v>529</v>
      </c>
      <c r="BC864" t="s">
        <v>886</v>
      </c>
    </row>
    <row r="865" spans="4:55" x14ac:dyDescent="0.25">
      <c r="D865">
        <v>3230485</v>
      </c>
      <c r="E865">
        <v>3500641</v>
      </c>
      <c r="H865" t="s">
        <v>59</v>
      </c>
      <c r="P865">
        <v>1525</v>
      </c>
      <c r="Q865">
        <v>1487</v>
      </c>
      <c r="W865" t="s">
        <v>529</v>
      </c>
      <c r="BC865" t="s">
        <v>4991</v>
      </c>
    </row>
    <row r="866" spans="4:55" x14ac:dyDescent="0.25">
      <c r="D866">
        <v>3230485</v>
      </c>
      <c r="E866">
        <v>3531648</v>
      </c>
      <c r="H866" t="s">
        <v>59</v>
      </c>
      <c r="P866">
        <v>1526</v>
      </c>
      <c r="Q866">
        <v>1488</v>
      </c>
      <c r="W866" t="s">
        <v>529</v>
      </c>
      <c r="BC866" t="s">
        <v>654</v>
      </c>
    </row>
    <row r="867" spans="4:55" x14ac:dyDescent="0.25">
      <c r="D867">
        <v>3230485</v>
      </c>
      <c r="E867">
        <v>1932730</v>
      </c>
      <c r="H867" t="s">
        <v>59</v>
      </c>
      <c r="P867">
        <v>1527</v>
      </c>
      <c r="Q867">
        <v>1489</v>
      </c>
      <c r="W867" t="s">
        <v>529</v>
      </c>
      <c r="BC867" t="s">
        <v>654</v>
      </c>
    </row>
    <row r="868" spans="4:55" x14ac:dyDescent="0.25">
      <c r="D868">
        <v>3230485</v>
      </c>
      <c r="E868">
        <v>3508740</v>
      </c>
      <c r="H868" t="s">
        <v>59</v>
      </c>
      <c r="P868">
        <v>1528</v>
      </c>
      <c r="Q868">
        <v>1490</v>
      </c>
      <c r="W868" t="s">
        <v>529</v>
      </c>
      <c r="BC868" t="s">
        <v>654</v>
      </c>
    </row>
    <row r="869" spans="4:55" x14ac:dyDescent="0.25">
      <c r="D869">
        <v>3230485</v>
      </c>
      <c r="E869">
        <v>2353927</v>
      </c>
      <c r="H869" t="s">
        <v>59</v>
      </c>
      <c r="P869">
        <v>1529</v>
      </c>
      <c r="Q869">
        <v>1491</v>
      </c>
      <c r="W869" t="s">
        <v>529</v>
      </c>
      <c r="BC869" t="s">
        <v>654</v>
      </c>
    </row>
    <row r="870" spans="4:55" x14ac:dyDescent="0.25">
      <c r="D870">
        <v>3230485</v>
      </c>
      <c r="E870">
        <v>1399336</v>
      </c>
      <c r="H870" t="s">
        <v>59</v>
      </c>
      <c r="P870">
        <v>1536</v>
      </c>
      <c r="Q870">
        <v>1492</v>
      </c>
      <c r="W870" t="s">
        <v>529</v>
      </c>
      <c r="BC870" t="s">
        <v>654</v>
      </c>
    </row>
    <row r="871" spans="4:55" x14ac:dyDescent="0.25">
      <c r="D871">
        <v>3230485</v>
      </c>
      <c r="E871">
        <v>2396464</v>
      </c>
      <c r="H871" t="s">
        <v>59</v>
      </c>
      <c r="P871">
        <v>1537</v>
      </c>
      <c r="Q871">
        <v>1493</v>
      </c>
      <c r="W871" t="s">
        <v>529</v>
      </c>
      <c r="BC871" t="s">
        <v>654</v>
      </c>
    </row>
    <row r="872" spans="4:55" x14ac:dyDescent="0.25">
      <c r="D872">
        <v>3230485</v>
      </c>
      <c r="E872">
        <v>3711330</v>
      </c>
      <c r="H872" t="s">
        <v>59</v>
      </c>
      <c r="P872">
        <v>1538</v>
      </c>
      <c r="Q872">
        <v>1495</v>
      </c>
      <c r="W872" t="s">
        <v>529</v>
      </c>
      <c r="BC872" t="s">
        <v>654</v>
      </c>
    </row>
    <row r="873" spans="4:55" x14ac:dyDescent="0.25">
      <c r="D873">
        <v>3230485</v>
      </c>
      <c r="E873">
        <v>1474091</v>
      </c>
      <c r="H873" t="s">
        <v>59</v>
      </c>
      <c r="P873">
        <v>1539</v>
      </c>
      <c r="Q873">
        <v>1496</v>
      </c>
      <c r="W873" t="s">
        <v>529</v>
      </c>
      <c r="BC873" t="s">
        <v>654</v>
      </c>
    </row>
    <row r="874" spans="4:55" x14ac:dyDescent="0.25">
      <c r="D874">
        <v>3230485</v>
      </c>
      <c r="E874">
        <v>277172</v>
      </c>
      <c r="H874" t="s">
        <v>59</v>
      </c>
      <c r="P874">
        <v>1540</v>
      </c>
      <c r="Q874">
        <v>1497</v>
      </c>
      <c r="W874" t="s">
        <v>529</v>
      </c>
      <c r="BC874" t="s">
        <v>654</v>
      </c>
    </row>
    <row r="875" spans="4:55" x14ac:dyDescent="0.25">
      <c r="D875">
        <v>3230485</v>
      </c>
      <c r="E875">
        <v>2427938</v>
      </c>
      <c r="H875" t="s">
        <v>59</v>
      </c>
      <c r="P875">
        <v>1541</v>
      </c>
      <c r="Q875">
        <v>1500</v>
      </c>
      <c r="W875" t="s">
        <v>529</v>
      </c>
      <c r="BC875" t="s">
        <v>2309</v>
      </c>
    </row>
    <row r="876" spans="4:55" x14ac:dyDescent="0.25">
      <c r="D876">
        <v>3230485</v>
      </c>
      <c r="E876">
        <v>3727461</v>
      </c>
      <c r="H876" t="s">
        <v>59</v>
      </c>
      <c r="P876">
        <v>1542</v>
      </c>
      <c r="Q876">
        <v>1501</v>
      </c>
      <c r="W876" t="s">
        <v>529</v>
      </c>
      <c r="BC876" t="s">
        <v>875</v>
      </c>
    </row>
    <row r="877" spans="4:55" x14ac:dyDescent="0.25">
      <c r="D877">
        <v>3230485</v>
      </c>
      <c r="E877">
        <v>3616160</v>
      </c>
      <c r="H877" t="s">
        <v>59</v>
      </c>
      <c r="P877">
        <v>1543</v>
      </c>
      <c r="Q877">
        <v>1502</v>
      </c>
      <c r="W877" t="s">
        <v>529</v>
      </c>
      <c r="BC877" t="s">
        <v>875</v>
      </c>
    </row>
    <row r="878" spans="4:55" x14ac:dyDescent="0.25">
      <c r="D878">
        <v>3230485</v>
      </c>
      <c r="E878">
        <v>460176</v>
      </c>
      <c r="H878" t="s">
        <v>63</v>
      </c>
      <c r="P878">
        <v>1544</v>
      </c>
      <c r="Q878">
        <v>1503</v>
      </c>
      <c r="W878" t="s">
        <v>428</v>
      </c>
      <c r="BC878" t="s">
        <v>875</v>
      </c>
    </row>
    <row r="879" spans="4:55" x14ac:dyDescent="0.25">
      <c r="D879">
        <v>3230485</v>
      </c>
      <c r="E879">
        <v>3182342</v>
      </c>
      <c r="H879" t="s">
        <v>63</v>
      </c>
      <c r="P879">
        <v>1545</v>
      </c>
      <c r="Q879">
        <v>1504</v>
      </c>
      <c r="W879" t="s">
        <v>428</v>
      </c>
      <c r="BC879" t="s">
        <v>875</v>
      </c>
    </row>
    <row r="880" spans="4:55" x14ac:dyDescent="0.25">
      <c r="D880">
        <v>3230485</v>
      </c>
      <c r="E880">
        <v>3157631</v>
      </c>
      <c r="H880" t="s">
        <v>63</v>
      </c>
      <c r="P880">
        <v>1546</v>
      </c>
      <c r="Q880">
        <v>1505</v>
      </c>
      <c r="W880" t="s">
        <v>428</v>
      </c>
      <c r="BC880" t="s">
        <v>875</v>
      </c>
    </row>
    <row r="881" spans="4:55" x14ac:dyDescent="0.25">
      <c r="D881">
        <v>3230485</v>
      </c>
      <c r="E881">
        <v>3732177</v>
      </c>
      <c r="H881" t="s">
        <v>63</v>
      </c>
      <c r="P881">
        <v>1547</v>
      </c>
      <c r="Q881">
        <v>1506</v>
      </c>
      <c r="W881" t="s">
        <v>428</v>
      </c>
      <c r="BC881" t="s">
        <v>875</v>
      </c>
    </row>
    <row r="882" spans="4:55" x14ac:dyDescent="0.25">
      <c r="D882">
        <v>3230485</v>
      </c>
      <c r="E882">
        <v>3768906</v>
      </c>
      <c r="H882" t="s">
        <v>63</v>
      </c>
      <c r="P882">
        <v>1548</v>
      </c>
      <c r="Q882">
        <v>1507</v>
      </c>
      <c r="W882" t="s">
        <v>428</v>
      </c>
      <c r="BC882" t="s">
        <v>875</v>
      </c>
    </row>
    <row r="883" spans="4:55" x14ac:dyDescent="0.25">
      <c r="D883">
        <v>3233560</v>
      </c>
      <c r="E883">
        <v>2440972</v>
      </c>
      <c r="H883" t="s">
        <v>63</v>
      </c>
      <c r="P883">
        <v>1549</v>
      </c>
      <c r="Q883">
        <v>1508</v>
      </c>
      <c r="W883" t="s">
        <v>428</v>
      </c>
      <c r="BC883" t="s">
        <v>875</v>
      </c>
    </row>
    <row r="884" spans="4:55" x14ac:dyDescent="0.25">
      <c r="D884">
        <v>3233560</v>
      </c>
      <c r="E884">
        <v>3731697</v>
      </c>
      <c r="H884" t="s">
        <v>63</v>
      </c>
      <c r="P884">
        <v>1550</v>
      </c>
      <c r="Q884">
        <v>1509</v>
      </c>
      <c r="W884" t="s">
        <v>428</v>
      </c>
      <c r="BC884" t="s">
        <v>875</v>
      </c>
    </row>
    <row r="885" spans="4:55" x14ac:dyDescent="0.25">
      <c r="D885">
        <v>3233560</v>
      </c>
      <c r="E885">
        <v>1174860</v>
      </c>
      <c r="H885" t="s">
        <v>63</v>
      </c>
      <c r="P885">
        <v>1551</v>
      </c>
      <c r="Q885">
        <v>1510</v>
      </c>
      <c r="W885" t="s">
        <v>785</v>
      </c>
      <c r="BC885" t="s">
        <v>875</v>
      </c>
    </row>
    <row r="886" spans="4:55" x14ac:dyDescent="0.25">
      <c r="D886">
        <v>3233560</v>
      </c>
      <c r="E886">
        <v>1940911</v>
      </c>
      <c r="H886" t="s">
        <v>63</v>
      </c>
      <c r="P886">
        <v>1552</v>
      </c>
      <c r="Q886">
        <v>1511</v>
      </c>
      <c r="W886" t="s">
        <v>785</v>
      </c>
      <c r="BC886" t="s">
        <v>891</v>
      </c>
    </row>
    <row r="887" spans="4:55" x14ac:dyDescent="0.25">
      <c r="D887">
        <v>3233560</v>
      </c>
      <c r="E887">
        <v>3542858</v>
      </c>
      <c r="H887" t="s">
        <v>63</v>
      </c>
      <c r="P887">
        <v>1553</v>
      </c>
      <c r="Q887">
        <v>1512</v>
      </c>
      <c r="W887" t="s">
        <v>785</v>
      </c>
      <c r="BC887" t="s">
        <v>891</v>
      </c>
    </row>
    <row r="888" spans="4:55" x14ac:dyDescent="0.25">
      <c r="D888">
        <v>3233560</v>
      </c>
      <c r="E888">
        <v>1342334</v>
      </c>
      <c r="H888" t="s">
        <v>63</v>
      </c>
      <c r="P888">
        <v>1554</v>
      </c>
      <c r="Q888">
        <v>1513</v>
      </c>
      <c r="W888" t="s">
        <v>785</v>
      </c>
      <c r="BC888" t="s">
        <v>891</v>
      </c>
    </row>
    <row r="889" spans="4:55" x14ac:dyDescent="0.25">
      <c r="D889">
        <v>3233560</v>
      </c>
      <c r="E889">
        <v>1248570</v>
      </c>
      <c r="H889" t="s">
        <v>99</v>
      </c>
      <c r="P889">
        <v>1555</v>
      </c>
      <c r="Q889">
        <v>1514</v>
      </c>
      <c r="W889" t="s">
        <v>785</v>
      </c>
      <c r="BC889" t="s">
        <v>891</v>
      </c>
    </row>
    <row r="890" spans="4:55" x14ac:dyDescent="0.25">
      <c r="D890">
        <v>3233560</v>
      </c>
      <c r="E890">
        <v>3542857</v>
      </c>
      <c r="H890" t="s">
        <v>37</v>
      </c>
      <c r="P890">
        <v>1556</v>
      </c>
      <c r="Q890">
        <v>1515</v>
      </c>
      <c r="W890" t="s">
        <v>785</v>
      </c>
      <c r="BC890" t="s">
        <v>891</v>
      </c>
    </row>
    <row r="891" spans="4:55" x14ac:dyDescent="0.25">
      <c r="D891">
        <v>3233560</v>
      </c>
      <c r="E891">
        <v>1940913</v>
      </c>
      <c r="H891" t="s">
        <v>37</v>
      </c>
      <c r="P891">
        <v>1557</v>
      </c>
      <c r="Q891">
        <v>1516</v>
      </c>
      <c r="W891" t="s">
        <v>586</v>
      </c>
      <c r="BC891" t="s">
        <v>891</v>
      </c>
    </row>
    <row r="892" spans="4:55" x14ac:dyDescent="0.25">
      <c r="D892">
        <v>3233560</v>
      </c>
      <c r="E892">
        <v>3500277</v>
      </c>
      <c r="H892" t="s">
        <v>24</v>
      </c>
      <c r="P892">
        <v>1558</v>
      </c>
      <c r="Q892">
        <v>1517</v>
      </c>
      <c r="W892" t="s">
        <v>586</v>
      </c>
      <c r="BC892" t="s">
        <v>891</v>
      </c>
    </row>
    <row r="893" spans="4:55" x14ac:dyDescent="0.25">
      <c r="D893">
        <v>3233560</v>
      </c>
      <c r="E893">
        <v>3500955</v>
      </c>
      <c r="H893" t="s">
        <v>24</v>
      </c>
      <c r="P893">
        <v>1559</v>
      </c>
      <c r="Q893">
        <v>1518</v>
      </c>
      <c r="W893" t="s">
        <v>586</v>
      </c>
      <c r="BC893" t="s">
        <v>891</v>
      </c>
    </row>
    <row r="894" spans="4:55" x14ac:dyDescent="0.25">
      <c r="D894">
        <v>3233560</v>
      </c>
      <c r="E894">
        <v>3497967</v>
      </c>
      <c r="H894" t="s">
        <v>24</v>
      </c>
      <c r="P894">
        <v>1560</v>
      </c>
      <c r="Q894">
        <v>1519</v>
      </c>
      <c r="W894" t="s">
        <v>836</v>
      </c>
      <c r="BC894" t="s">
        <v>891</v>
      </c>
    </row>
    <row r="895" spans="4:55" x14ac:dyDescent="0.25">
      <c r="D895">
        <v>3233560</v>
      </c>
      <c r="E895">
        <v>3501047</v>
      </c>
      <c r="H895" t="s">
        <v>17</v>
      </c>
      <c r="P895">
        <v>1561</v>
      </c>
      <c r="Q895">
        <v>1520</v>
      </c>
      <c r="W895" t="s">
        <v>836</v>
      </c>
      <c r="BC895" t="s">
        <v>891</v>
      </c>
    </row>
    <row r="896" spans="4:55" x14ac:dyDescent="0.25">
      <c r="D896">
        <v>3233560</v>
      </c>
      <c r="E896">
        <v>2356405</v>
      </c>
      <c r="H896" t="s">
        <v>151</v>
      </c>
      <c r="P896">
        <v>1562</v>
      </c>
      <c r="Q896">
        <v>1521</v>
      </c>
      <c r="W896" t="s">
        <v>836</v>
      </c>
      <c r="BC896" t="s">
        <v>891</v>
      </c>
    </row>
    <row r="897" spans="4:55" x14ac:dyDescent="0.25">
      <c r="D897">
        <v>3233560</v>
      </c>
      <c r="E897">
        <v>3500626</v>
      </c>
      <c r="H897" t="s">
        <v>151</v>
      </c>
      <c r="P897">
        <v>1563</v>
      </c>
      <c r="Q897">
        <v>1522</v>
      </c>
      <c r="W897" t="s">
        <v>468</v>
      </c>
      <c r="BC897" t="s">
        <v>5052</v>
      </c>
    </row>
    <row r="898" spans="4:55" x14ac:dyDescent="0.25">
      <c r="D898">
        <v>3230492</v>
      </c>
      <c r="E898">
        <v>3520581</v>
      </c>
      <c r="H898" t="s">
        <v>151</v>
      </c>
      <c r="P898">
        <v>1564</v>
      </c>
      <c r="Q898">
        <v>1523</v>
      </c>
      <c r="W898" t="s">
        <v>468</v>
      </c>
      <c r="BC898" t="s">
        <v>891</v>
      </c>
    </row>
    <row r="899" spans="4:55" x14ac:dyDescent="0.25">
      <c r="D899">
        <v>3230492</v>
      </c>
      <c r="E899">
        <v>3515489</v>
      </c>
      <c r="H899" t="s">
        <v>151</v>
      </c>
      <c r="P899">
        <v>1565</v>
      </c>
      <c r="Q899">
        <v>1524</v>
      </c>
      <c r="W899" t="s">
        <v>468</v>
      </c>
      <c r="BC899" t="s">
        <v>891</v>
      </c>
    </row>
    <row r="900" spans="4:55" x14ac:dyDescent="0.25">
      <c r="D900">
        <v>3230492</v>
      </c>
      <c r="E900">
        <v>3520439</v>
      </c>
      <c r="H900" t="s">
        <v>151</v>
      </c>
      <c r="P900">
        <v>1566</v>
      </c>
      <c r="Q900">
        <v>1525</v>
      </c>
      <c r="W900" t="s">
        <v>468</v>
      </c>
      <c r="BC900" t="s">
        <v>891</v>
      </c>
    </row>
    <row r="901" spans="4:55" x14ac:dyDescent="0.25">
      <c r="D901">
        <v>3230492</v>
      </c>
      <c r="E901">
        <v>3893101</v>
      </c>
      <c r="H901" t="s">
        <v>151</v>
      </c>
      <c r="P901">
        <v>1567</v>
      </c>
      <c r="Q901">
        <v>1526</v>
      </c>
      <c r="W901" t="s">
        <v>468</v>
      </c>
      <c r="BC901" t="s">
        <v>5061</v>
      </c>
    </row>
    <row r="902" spans="4:55" x14ac:dyDescent="0.25">
      <c r="D902">
        <v>3230492</v>
      </c>
      <c r="E902">
        <v>3136139</v>
      </c>
      <c r="H902" t="s">
        <v>151</v>
      </c>
      <c r="P902">
        <v>1584</v>
      </c>
      <c r="Q902">
        <v>1527</v>
      </c>
      <c r="W902" t="s">
        <v>468</v>
      </c>
      <c r="BC902" t="s">
        <v>5061</v>
      </c>
    </row>
    <row r="903" spans="4:55" x14ac:dyDescent="0.25">
      <c r="D903">
        <v>3230492</v>
      </c>
      <c r="E903">
        <v>3597590</v>
      </c>
      <c r="H903" t="s">
        <v>151</v>
      </c>
      <c r="P903">
        <v>1585</v>
      </c>
      <c r="Q903">
        <v>1528</v>
      </c>
      <c r="W903" t="s">
        <v>737</v>
      </c>
      <c r="BC903" t="s">
        <v>2379</v>
      </c>
    </row>
    <row r="904" spans="4:55" x14ac:dyDescent="0.25">
      <c r="D904">
        <v>3230492</v>
      </c>
      <c r="E904">
        <v>3702886</v>
      </c>
      <c r="H904" t="s">
        <v>151</v>
      </c>
      <c r="P904">
        <v>1586</v>
      </c>
      <c r="Q904">
        <v>1529</v>
      </c>
      <c r="W904" t="s">
        <v>832</v>
      </c>
      <c r="BC904" t="s">
        <v>5061</v>
      </c>
    </row>
    <row r="905" spans="4:55" x14ac:dyDescent="0.25">
      <c r="D905">
        <v>3230492</v>
      </c>
      <c r="E905">
        <v>3501105</v>
      </c>
      <c r="H905" t="s">
        <v>151</v>
      </c>
      <c r="P905">
        <v>1587</v>
      </c>
      <c r="Q905">
        <v>1536</v>
      </c>
      <c r="W905" t="s">
        <v>832</v>
      </c>
      <c r="BC905" t="s">
        <v>5061</v>
      </c>
    </row>
    <row r="906" spans="4:55" x14ac:dyDescent="0.25">
      <c r="D906">
        <v>3230492</v>
      </c>
      <c r="E906">
        <v>2412743</v>
      </c>
      <c r="H906" t="s">
        <v>151</v>
      </c>
      <c r="P906">
        <v>1588</v>
      </c>
      <c r="Q906">
        <v>1537</v>
      </c>
      <c r="W906" t="s">
        <v>1043</v>
      </c>
      <c r="BC906" t="s">
        <v>5061</v>
      </c>
    </row>
    <row r="907" spans="4:55" x14ac:dyDescent="0.25">
      <c r="D907">
        <v>3230492</v>
      </c>
      <c r="E907">
        <v>3502342</v>
      </c>
      <c r="H907" t="s">
        <v>17</v>
      </c>
      <c r="P907">
        <v>1589</v>
      </c>
      <c r="Q907">
        <v>1538</v>
      </c>
      <c r="W907" t="s">
        <v>886</v>
      </c>
      <c r="BC907" t="s">
        <v>6548</v>
      </c>
    </row>
    <row r="908" spans="4:55" x14ac:dyDescent="0.25">
      <c r="D908">
        <v>3230492</v>
      </c>
      <c r="E908">
        <v>3781647</v>
      </c>
      <c r="H908" t="s">
        <v>151</v>
      </c>
      <c r="P908">
        <v>1590</v>
      </c>
      <c r="Q908">
        <v>1539</v>
      </c>
      <c r="W908" t="s">
        <v>474</v>
      </c>
      <c r="BC908" t="s">
        <v>6548</v>
      </c>
    </row>
    <row r="909" spans="4:55" x14ac:dyDescent="0.25">
      <c r="D909">
        <v>3230492</v>
      </c>
      <c r="E909">
        <v>2420716</v>
      </c>
      <c r="H909" t="s">
        <v>151</v>
      </c>
      <c r="P909">
        <v>1591</v>
      </c>
      <c r="Q909">
        <v>1540</v>
      </c>
      <c r="W909" t="s">
        <v>474</v>
      </c>
      <c r="BC909" t="s">
        <v>6548</v>
      </c>
    </row>
    <row r="910" spans="4:55" x14ac:dyDescent="0.25">
      <c r="D910">
        <v>3230492</v>
      </c>
      <c r="E910">
        <v>3164112</v>
      </c>
      <c r="H910" t="s">
        <v>151</v>
      </c>
      <c r="P910">
        <v>1592</v>
      </c>
      <c r="Q910">
        <v>1541</v>
      </c>
      <c r="W910" t="s">
        <v>474</v>
      </c>
      <c r="BC910" t="s">
        <v>3361</v>
      </c>
    </row>
    <row r="911" spans="4:55" x14ac:dyDescent="0.25">
      <c r="D911">
        <v>3230492</v>
      </c>
      <c r="E911">
        <v>3781649</v>
      </c>
      <c r="H911" t="s">
        <v>151</v>
      </c>
      <c r="P911">
        <v>1593</v>
      </c>
      <c r="Q911">
        <v>1542</v>
      </c>
      <c r="W911" t="s">
        <v>474</v>
      </c>
      <c r="BC911" t="s">
        <v>6198</v>
      </c>
    </row>
    <row r="912" spans="4:55" x14ac:dyDescent="0.25">
      <c r="D912">
        <v>3230492</v>
      </c>
      <c r="E912">
        <v>2424885</v>
      </c>
      <c r="H912" t="s">
        <v>48</v>
      </c>
      <c r="P912">
        <v>1594</v>
      </c>
      <c r="Q912">
        <v>1543</v>
      </c>
      <c r="W912" t="s">
        <v>474</v>
      </c>
      <c r="BC912" t="s">
        <v>6198</v>
      </c>
    </row>
    <row r="913" spans="4:55" x14ac:dyDescent="0.25">
      <c r="D913">
        <v>3230492</v>
      </c>
      <c r="E913">
        <v>3444065</v>
      </c>
      <c r="H913" t="s">
        <v>48</v>
      </c>
      <c r="P913">
        <v>1595</v>
      </c>
      <c r="Q913">
        <v>1544</v>
      </c>
      <c r="W913" t="s">
        <v>474</v>
      </c>
      <c r="BC913" t="s">
        <v>6198</v>
      </c>
    </row>
    <row r="914" spans="4:55" x14ac:dyDescent="0.25">
      <c r="D914">
        <v>3230492</v>
      </c>
      <c r="E914">
        <v>1940925</v>
      </c>
      <c r="H914" t="s">
        <v>48</v>
      </c>
      <c r="P914">
        <v>1596</v>
      </c>
      <c r="Q914">
        <v>1545</v>
      </c>
      <c r="W914" t="s">
        <v>474</v>
      </c>
      <c r="BC914" t="s">
        <v>6198</v>
      </c>
    </row>
    <row r="915" spans="4:55" x14ac:dyDescent="0.25">
      <c r="D915">
        <v>3230492</v>
      </c>
      <c r="E915">
        <v>1931843</v>
      </c>
      <c r="H915" t="s">
        <v>48</v>
      </c>
      <c r="P915">
        <v>1597</v>
      </c>
      <c r="Q915">
        <v>1546</v>
      </c>
      <c r="W915" t="s">
        <v>474</v>
      </c>
      <c r="BC915" t="s">
        <v>794</v>
      </c>
    </row>
    <row r="916" spans="4:55" x14ac:dyDescent="0.25">
      <c r="D916">
        <v>3230492</v>
      </c>
      <c r="E916">
        <v>3662752</v>
      </c>
      <c r="H916" t="s">
        <v>48</v>
      </c>
      <c r="P916">
        <v>1598</v>
      </c>
      <c r="Q916">
        <v>1547</v>
      </c>
      <c r="W916" t="s">
        <v>474</v>
      </c>
      <c r="BC916" t="s">
        <v>2401</v>
      </c>
    </row>
    <row r="917" spans="4:55" x14ac:dyDescent="0.25">
      <c r="D917">
        <v>3230492</v>
      </c>
      <c r="E917">
        <v>3768903</v>
      </c>
      <c r="H917" t="s">
        <v>48</v>
      </c>
      <c r="P917">
        <v>1599</v>
      </c>
      <c r="Q917">
        <v>1548</v>
      </c>
      <c r="W917" t="s">
        <v>474</v>
      </c>
      <c r="BC917" t="s">
        <v>2401</v>
      </c>
    </row>
    <row r="918" spans="4:55" x14ac:dyDescent="0.25">
      <c r="D918">
        <v>3230492</v>
      </c>
      <c r="E918">
        <v>3702875</v>
      </c>
      <c r="H918" t="s">
        <v>48</v>
      </c>
      <c r="P918">
        <v>1600</v>
      </c>
      <c r="Q918">
        <v>1549</v>
      </c>
      <c r="W918" t="s">
        <v>474</v>
      </c>
      <c r="BC918" t="s">
        <v>2401</v>
      </c>
    </row>
    <row r="919" spans="4:55" x14ac:dyDescent="0.25">
      <c r="D919">
        <v>3230492</v>
      </c>
      <c r="E919">
        <v>3594528</v>
      </c>
      <c r="H919" t="s">
        <v>48</v>
      </c>
      <c r="P919">
        <v>1601</v>
      </c>
      <c r="Q919">
        <v>1550</v>
      </c>
      <c r="W919" t="s">
        <v>474</v>
      </c>
      <c r="BC919" t="s">
        <v>2401</v>
      </c>
    </row>
    <row r="920" spans="4:55" x14ac:dyDescent="0.25">
      <c r="D920">
        <v>3230492</v>
      </c>
      <c r="E920">
        <v>1470103</v>
      </c>
      <c r="H920" t="s">
        <v>48</v>
      </c>
      <c r="P920">
        <v>1602</v>
      </c>
      <c r="Q920">
        <v>1551</v>
      </c>
      <c r="W920" t="s">
        <v>474</v>
      </c>
      <c r="BC920" t="s">
        <v>2401</v>
      </c>
    </row>
    <row r="921" spans="4:55" x14ac:dyDescent="0.25">
      <c r="D921">
        <v>3230492</v>
      </c>
      <c r="E921">
        <v>2429059</v>
      </c>
      <c r="H921" t="s">
        <v>48</v>
      </c>
      <c r="P921">
        <v>1603</v>
      </c>
      <c r="Q921">
        <v>1552</v>
      </c>
      <c r="W921" t="s">
        <v>474</v>
      </c>
      <c r="BC921" t="s">
        <v>2243</v>
      </c>
    </row>
    <row r="922" spans="4:55" x14ac:dyDescent="0.25">
      <c r="D922">
        <v>3230492</v>
      </c>
      <c r="E922">
        <v>424601</v>
      </c>
      <c r="H922" t="s">
        <v>48</v>
      </c>
      <c r="P922">
        <v>1604</v>
      </c>
      <c r="Q922">
        <v>1553</v>
      </c>
      <c r="W922" t="s">
        <v>474</v>
      </c>
      <c r="BC922" t="s">
        <v>2243</v>
      </c>
    </row>
    <row r="923" spans="4:55" x14ac:dyDescent="0.25">
      <c r="D923">
        <v>3230492</v>
      </c>
      <c r="E923">
        <v>1931860</v>
      </c>
      <c r="H923" t="s">
        <v>48</v>
      </c>
      <c r="P923">
        <v>1605</v>
      </c>
      <c r="Q923">
        <v>1554</v>
      </c>
      <c r="W923" t="s">
        <v>474</v>
      </c>
      <c r="BC923" t="s">
        <v>2243</v>
      </c>
    </row>
    <row r="924" spans="4:55" x14ac:dyDescent="0.25">
      <c r="D924">
        <v>3230492</v>
      </c>
      <c r="E924">
        <v>3595229</v>
      </c>
      <c r="H924" t="s">
        <v>48</v>
      </c>
      <c r="P924">
        <v>1606</v>
      </c>
      <c r="Q924">
        <v>1555</v>
      </c>
      <c r="W924" t="s">
        <v>474</v>
      </c>
      <c r="BC924" t="s">
        <v>2243</v>
      </c>
    </row>
    <row r="925" spans="4:55" x14ac:dyDescent="0.25">
      <c r="D925">
        <v>3230492</v>
      </c>
      <c r="H925" t="s">
        <v>48</v>
      </c>
      <c r="P925">
        <v>1607</v>
      </c>
      <c r="Q925">
        <v>1556</v>
      </c>
      <c r="W925" t="s">
        <v>474</v>
      </c>
      <c r="BC925" t="s">
        <v>2243</v>
      </c>
    </row>
    <row r="926" spans="4:55" x14ac:dyDescent="0.25">
      <c r="D926">
        <v>3230492</v>
      </c>
      <c r="H926" t="s">
        <v>48</v>
      </c>
      <c r="P926">
        <v>1608</v>
      </c>
      <c r="Q926">
        <v>1557</v>
      </c>
      <c r="W926" t="s">
        <v>474</v>
      </c>
      <c r="BC926" t="s">
        <v>2243</v>
      </c>
    </row>
    <row r="927" spans="4:55" x14ac:dyDescent="0.25">
      <c r="D927">
        <v>3572034</v>
      </c>
      <c r="H927" t="s">
        <v>48</v>
      </c>
      <c r="P927">
        <v>1609</v>
      </c>
      <c r="Q927">
        <v>1558</v>
      </c>
      <c r="W927" t="s">
        <v>474</v>
      </c>
      <c r="BC927" t="s">
        <v>712</v>
      </c>
    </row>
    <row r="928" spans="4:55" x14ac:dyDescent="0.25">
      <c r="D928">
        <v>3572034</v>
      </c>
      <c r="H928" t="s">
        <v>48</v>
      </c>
      <c r="P928">
        <v>1610</v>
      </c>
      <c r="Q928">
        <v>1559</v>
      </c>
      <c r="W928" t="s">
        <v>474</v>
      </c>
      <c r="BC928" t="s">
        <v>712</v>
      </c>
    </row>
    <row r="929" spans="4:55" x14ac:dyDescent="0.25">
      <c r="D929">
        <v>3572034</v>
      </c>
      <c r="H929" t="s">
        <v>48</v>
      </c>
      <c r="P929">
        <v>1611</v>
      </c>
      <c r="Q929">
        <v>1560</v>
      </c>
      <c r="W929" t="s">
        <v>474</v>
      </c>
      <c r="BC929" t="s">
        <v>712</v>
      </c>
    </row>
    <row r="930" spans="4:55" x14ac:dyDescent="0.25">
      <c r="D930">
        <v>3572034</v>
      </c>
      <c r="H930" t="s">
        <v>48</v>
      </c>
      <c r="P930">
        <v>1612</v>
      </c>
      <c r="Q930">
        <v>1561</v>
      </c>
      <c r="W930" t="s">
        <v>474</v>
      </c>
      <c r="BC930" t="s">
        <v>712</v>
      </c>
    </row>
    <row r="931" spans="4:55" x14ac:dyDescent="0.25">
      <c r="D931">
        <v>3572034</v>
      </c>
      <c r="H931" t="s">
        <v>48</v>
      </c>
      <c r="P931">
        <v>1613</v>
      </c>
      <c r="Q931">
        <v>1562</v>
      </c>
      <c r="W931" t="s">
        <v>474</v>
      </c>
      <c r="BC931" t="s">
        <v>712</v>
      </c>
    </row>
    <row r="932" spans="4:55" x14ac:dyDescent="0.25">
      <c r="D932">
        <v>3572034</v>
      </c>
      <c r="H932" t="s">
        <v>48</v>
      </c>
      <c r="P932">
        <v>1614</v>
      </c>
      <c r="Q932">
        <v>1563</v>
      </c>
      <c r="W932" t="s">
        <v>474</v>
      </c>
      <c r="BC932" t="s">
        <v>712</v>
      </c>
    </row>
    <row r="933" spans="4:55" x14ac:dyDescent="0.25">
      <c r="D933">
        <v>3572034</v>
      </c>
      <c r="H933" t="s">
        <v>48</v>
      </c>
      <c r="P933">
        <v>1615</v>
      </c>
      <c r="Q933">
        <v>1564</v>
      </c>
      <c r="W933" t="s">
        <v>664</v>
      </c>
      <c r="BC933" t="s">
        <v>712</v>
      </c>
    </row>
    <row r="934" spans="4:55" x14ac:dyDescent="0.25">
      <c r="D934">
        <v>3572034</v>
      </c>
      <c r="H934" t="s">
        <v>48</v>
      </c>
      <c r="P934">
        <v>1616</v>
      </c>
      <c r="Q934">
        <v>1565</v>
      </c>
      <c r="W934" t="s">
        <v>664</v>
      </c>
      <c r="BC934" t="s">
        <v>712</v>
      </c>
    </row>
    <row r="935" spans="4:55" x14ac:dyDescent="0.25">
      <c r="D935">
        <v>3572034</v>
      </c>
      <c r="H935" t="s">
        <v>48</v>
      </c>
      <c r="P935">
        <v>1617</v>
      </c>
      <c r="Q935">
        <v>1566</v>
      </c>
      <c r="W935" t="s">
        <v>664</v>
      </c>
      <c r="BC935" t="s">
        <v>712</v>
      </c>
    </row>
    <row r="936" spans="4:55" x14ac:dyDescent="0.25">
      <c r="D936">
        <v>3572034</v>
      </c>
      <c r="H936" t="s">
        <v>48</v>
      </c>
      <c r="P936">
        <v>1618</v>
      </c>
      <c r="Q936">
        <v>1567</v>
      </c>
      <c r="W936" t="s">
        <v>456</v>
      </c>
      <c r="BC936" t="s">
        <v>712</v>
      </c>
    </row>
    <row r="937" spans="4:55" x14ac:dyDescent="0.25">
      <c r="D937">
        <v>3572034</v>
      </c>
      <c r="H937" t="s">
        <v>24</v>
      </c>
      <c r="P937">
        <v>1619</v>
      </c>
      <c r="Q937">
        <v>1584</v>
      </c>
      <c r="W937" t="s">
        <v>456</v>
      </c>
      <c r="BC937" t="s">
        <v>712</v>
      </c>
    </row>
    <row r="938" spans="4:55" x14ac:dyDescent="0.25">
      <c r="D938">
        <v>3572034</v>
      </c>
      <c r="H938" t="s">
        <v>48</v>
      </c>
      <c r="P938">
        <v>1620</v>
      </c>
      <c r="Q938">
        <v>1585</v>
      </c>
      <c r="W938" t="s">
        <v>456</v>
      </c>
      <c r="BC938" t="s">
        <v>712</v>
      </c>
    </row>
    <row r="939" spans="4:55" x14ac:dyDescent="0.25">
      <c r="D939">
        <v>3572034</v>
      </c>
      <c r="H939" t="s">
        <v>48</v>
      </c>
      <c r="P939">
        <v>1621</v>
      </c>
      <c r="Q939">
        <v>1586</v>
      </c>
      <c r="W939" t="s">
        <v>456</v>
      </c>
      <c r="BC939" t="s">
        <v>712</v>
      </c>
    </row>
    <row r="940" spans="4:55" x14ac:dyDescent="0.25">
      <c r="D940">
        <v>3572034</v>
      </c>
      <c r="H940" t="s">
        <v>48</v>
      </c>
      <c r="P940">
        <v>1622</v>
      </c>
      <c r="Q940">
        <v>1587</v>
      </c>
      <c r="W940" t="s">
        <v>456</v>
      </c>
      <c r="BC940" t="s">
        <v>712</v>
      </c>
    </row>
    <row r="941" spans="4:55" x14ac:dyDescent="0.25">
      <c r="D941">
        <v>3572035</v>
      </c>
      <c r="H941" t="s">
        <v>48</v>
      </c>
      <c r="P941">
        <v>1623</v>
      </c>
      <c r="Q941">
        <v>1588</v>
      </c>
      <c r="W941" t="s">
        <v>456</v>
      </c>
      <c r="BC941" t="s">
        <v>712</v>
      </c>
    </row>
    <row r="942" spans="4:55" x14ac:dyDescent="0.25">
      <c r="D942">
        <v>3572035</v>
      </c>
      <c r="H942" t="s">
        <v>48</v>
      </c>
      <c r="P942">
        <v>1624</v>
      </c>
      <c r="Q942">
        <v>1589</v>
      </c>
      <c r="W942" t="s">
        <v>456</v>
      </c>
      <c r="BC942" t="s">
        <v>712</v>
      </c>
    </row>
    <row r="943" spans="4:55" x14ac:dyDescent="0.25">
      <c r="D943">
        <v>3572035</v>
      </c>
      <c r="H943" t="s">
        <v>48</v>
      </c>
      <c r="P943">
        <v>1625</v>
      </c>
      <c r="Q943">
        <v>1590</v>
      </c>
      <c r="W943" t="s">
        <v>456</v>
      </c>
      <c r="BC943" t="s">
        <v>917</v>
      </c>
    </row>
    <row r="944" spans="4:55" x14ac:dyDescent="0.25">
      <c r="D944">
        <v>3572035</v>
      </c>
      <c r="H944" t="s">
        <v>48</v>
      </c>
      <c r="P944">
        <v>1626</v>
      </c>
      <c r="Q944">
        <v>1591</v>
      </c>
      <c r="W944" t="s">
        <v>456</v>
      </c>
      <c r="BC944" t="s">
        <v>917</v>
      </c>
    </row>
    <row r="945" spans="4:55" x14ac:dyDescent="0.25">
      <c r="D945">
        <v>3572035</v>
      </c>
      <c r="H945" t="s">
        <v>48</v>
      </c>
      <c r="P945">
        <v>1627</v>
      </c>
      <c r="Q945">
        <v>1592</v>
      </c>
      <c r="W945" t="s">
        <v>456</v>
      </c>
      <c r="BC945" t="s">
        <v>5137</v>
      </c>
    </row>
    <row r="946" spans="4:55" x14ac:dyDescent="0.25">
      <c r="D946">
        <v>3572035</v>
      </c>
      <c r="H946" t="s">
        <v>48</v>
      </c>
      <c r="P946">
        <v>1628</v>
      </c>
      <c r="Q946">
        <v>1593</v>
      </c>
      <c r="W946" t="s">
        <v>456</v>
      </c>
      <c r="BC946" t="s">
        <v>5137</v>
      </c>
    </row>
    <row r="947" spans="4:55" x14ac:dyDescent="0.25">
      <c r="D947">
        <v>3572035</v>
      </c>
      <c r="H947" t="s">
        <v>48</v>
      </c>
      <c r="P947">
        <v>1629</v>
      </c>
      <c r="Q947">
        <v>1594</v>
      </c>
      <c r="W947" t="s">
        <v>456</v>
      </c>
      <c r="BC947" t="s">
        <v>5137</v>
      </c>
    </row>
    <row r="948" spans="4:55" x14ac:dyDescent="0.25">
      <c r="D948">
        <v>3572035</v>
      </c>
      <c r="H948" t="s">
        <v>48</v>
      </c>
      <c r="P948">
        <v>1630</v>
      </c>
      <c r="Q948">
        <v>1595</v>
      </c>
      <c r="W948" t="s">
        <v>456</v>
      </c>
      <c r="BC948" t="s">
        <v>474</v>
      </c>
    </row>
    <row r="949" spans="4:55" x14ac:dyDescent="0.25">
      <c r="D949">
        <v>3572035</v>
      </c>
      <c r="H949" t="s">
        <v>48</v>
      </c>
      <c r="P949">
        <v>1631</v>
      </c>
      <c r="Q949">
        <v>1596</v>
      </c>
      <c r="W949" t="s">
        <v>456</v>
      </c>
      <c r="BC949" t="s">
        <v>1824</v>
      </c>
    </row>
    <row r="950" spans="4:55" x14ac:dyDescent="0.25">
      <c r="D950">
        <v>3572035</v>
      </c>
      <c r="H950" t="s">
        <v>71</v>
      </c>
      <c r="P950">
        <v>1632</v>
      </c>
      <c r="Q950">
        <v>1597</v>
      </c>
      <c r="W950" t="s">
        <v>456</v>
      </c>
      <c r="BC950" t="s">
        <v>474</v>
      </c>
    </row>
    <row r="951" spans="4:55" x14ac:dyDescent="0.25">
      <c r="D951">
        <v>3572035</v>
      </c>
      <c r="H951" t="s">
        <v>71</v>
      </c>
      <c r="P951">
        <v>1633</v>
      </c>
      <c r="Q951">
        <v>1598</v>
      </c>
      <c r="W951" t="s">
        <v>456</v>
      </c>
      <c r="BC951" t="s">
        <v>474</v>
      </c>
    </row>
    <row r="952" spans="4:55" x14ac:dyDescent="0.25">
      <c r="D952">
        <v>3572035</v>
      </c>
      <c r="H952" t="s">
        <v>71</v>
      </c>
      <c r="P952">
        <v>1634</v>
      </c>
      <c r="Q952">
        <v>1599</v>
      </c>
      <c r="W952" t="s">
        <v>456</v>
      </c>
      <c r="BC952" t="s">
        <v>1824</v>
      </c>
    </row>
    <row r="953" spans="4:55" x14ac:dyDescent="0.25">
      <c r="D953">
        <v>3572035</v>
      </c>
      <c r="H953" t="s">
        <v>71</v>
      </c>
      <c r="P953">
        <v>1635</v>
      </c>
      <c r="Q953">
        <v>1600</v>
      </c>
      <c r="W953" t="s">
        <v>456</v>
      </c>
      <c r="BC953" t="s">
        <v>1824</v>
      </c>
    </row>
    <row r="954" spans="4:55" x14ac:dyDescent="0.25">
      <c r="D954">
        <v>3572035</v>
      </c>
      <c r="H954" t="s">
        <v>71</v>
      </c>
      <c r="P954">
        <v>1636</v>
      </c>
      <c r="Q954">
        <v>1601</v>
      </c>
      <c r="W954" t="s">
        <v>456</v>
      </c>
      <c r="BC954" t="s">
        <v>474</v>
      </c>
    </row>
    <row r="955" spans="4:55" x14ac:dyDescent="0.25">
      <c r="D955">
        <v>3572036</v>
      </c>
      <c r="H955" t="s">
        <v>71</v>
      </c>
      <c r="P955">
        <v>1637</v>
      </c>
      <c r="Q955">
        <v>1602</v>
      </c>
      <c r="W955" t="s">
        <v>456</v>
      </c>
      <c r="BC955" t="s">
        <v>474</v>
      </c>
    </row>
    <row r="956" spans="4:55" x14ac:dyDescent="0.25">
      <c r="D956">
        <v>3572036</v>
      </c>
      <c r="H956" t="s">
        <v>71</v>
      </c>
      <c r="P956">
        <v>1638</v>
      </c>
      <c r="Q956">
        <v>1603</v>
      </c>
      <c r="W956" t="s">
        <v>456</v>
      </c>
      <c r="BC956" t="s">
        <v>1824</v>
      </c>
    </row>
    <row r="957" spans="4:55" x14ac:dyDescent="0.25">
      <c r="D957">
        <v>3572036</v>
      </c>
      <c r="H957" t="s">
        <v>151</v>
      </c>
      <c r="P957">
        <v>1639</v>
      </c>
      <c r="Q957">
        <v>1604</v>
      </c>
      <c r="W957" t="s">
        <v>456</v>
      </c>
      <c r="BC957" t="s">
        <v>841</v>
      </c>
    </row>
    <row r="958" spans="4:55" x14ac:dyDescent="0.25">
      <c r="D958">
        <v>3572036</v>
      </c>
      <c r="H958" t="s">
        <v>151</v>
      </c>
      <c r="P958">
        <v>1640</v>
      </c>
      <c r="Q958">
        <v>1605</v>
      </c>
      <c r="W958" t="s">
        <v>456</v>
      </c>
      <c r="BC958" t="s">
        <v>841</v>
      </c>
    </row>
    <row r="959" spans="4:55" x14ac:dyDescent="0.25">
      <c r="D959">
        <v>3572036</v>
      </c>
      <c r="H959" t="s">
        <v>151</v>
      </c>
      <c r="P959">
        <v>1641</v>
      </c>
      <c r="Q959">
        <v>1606</v>
      </c>
      <c r="W959" t="s">
        <v>456</v>
      </c>
      <c r="BC959" t="s">
        <v>841</v>
      </c>
    </row>
    <row r="960" spans="4:55" x14ac:dyDescent="0.25">
      <c r="D960">
        <v>3572036</v>
      </c>
      <c r="H960" t="s">
        <v>151</v>
      </c>
      <c r="P960">
        <v>1642</v>
      </c>
      <c r="Q960">
        <v>1607</v>
      </c>
      <c r="W960" t="s">
        <v>456</v>
      </c>
      <c r="BC960" t="s">
        <v>5176</v>
      </c>
    </row>
    <row r="961" spans="4:55" x14ac:dyDescent="0.25">
      <c r="D961">
        <v>3572036</v>
      </c>
      <c r="H961" t="s">
        <v>151</v>
      </c>
      <c r="P961">
        <v>1643</v>
      </c>
      <c r="Q961">
        <v>1608</v>
      </c>
      <c r="W961" t="s">
        <v>456</v>
      </c>
      <c r="BC961" t="s">
        <v>5176</v>
      </c>
    </row>
    <row r="962" spans="4:55" x14ac:dyDescent="0.25">
      <c r="D962">
        <v>3572036</v>
      </c>
      <c r="H962" t="s">
        <v>151</v>
      </c>
      <c r="P962">
        <v>1644</v>
      </c>
      <c r="Q962">
        <v>1609</v>
      </c>
      <c r="W962" t="s">
        <v>456</v>
      </c>
      <c r="BC962" t="s">
        <v>895</v>
      </c>
    </row>
    <row r="963" spans="4:55" x14ac:dyDescent="0.25">
      <c r="D963">
        <v>3572036</v>
      </c>
      <c r="H963" t="s">
        <v>151</v>
      </c>
      <c r="P963">
        <v>1645</v>
      </c>
      <c r="Q963">
        <v>1610</v>
      </c>
      <c r="W963" t="s">
        <v>456</v>
      </c>
      <c r="BC963" t="s">
        <v>5176</v>
      </c>
    </row>
    <row r="964" spans="4:55" x14ac:dyDescent="0.25">
      <c r="D964">
        <v>3572036</v>
      </c>
      <c r="H964" t="s">
        <v>151</v>
      </c>
      <c r="P964">
        <v>1646</v>
      </c>
      <c r="Q964">
        <v>1611</v>
      </c>
      <c r="W964" t="s">
        <v>456</v>
      </c>
      <c r="BC964" t="s">
        <v>895</v>
      </c>
    </row>
    <row r="965" spans="4:55" x14ac:dyDescent="0.25">
      <c r="D965">
        <v>3572036</v>
      </c>
      <c r="H965" t="s">
        <v>151</v>
      </c>
      <c r="P965">
        <v>1647</v>
      </c>
      <c r="Q965">
        <v>1612</v>
      </c>
      <c r="W965" t="s">
        <v>456</v>
      </c>
      <c r="BC965" t="s">
        <v>5176</v>
      </c>
    </row>
    <row r="966" spans="4:55" x14ac:dyDescent="0.25">
      <c r="D966">
        <v>3572036</v>
      </c>
      <c r="H966" t="s">
        <v>48</v>
      </c>
      <c r="P966">
        <v>1648</v>
      </c>
      <c r="Q966">
        <v>1613</v>
      </c>
      <c r="W966" t="s">
        <v>456</v>
      </c>
      <c r="BC966" t="s">
        <v>895</v>
      </c>
    </row>
    <row r="967" spans="4:55" x14ac:dyDescent="0.25">
      <c r="D967">
        <v>3572036</v>
      </c>
      <c r="H967" t="s">
        <v>48</v>
      </c>
      <c r="P967">
        <v>1649</v>
      </c>
      <c r="Q967">
        <v>1614</v>
      </c>
      <c r="W967" t="s">
        <v>456</v>
      </c>
      <c r="BC967" t="s">
        <v>2305</v>
      </c>
    </row>
    <row r="968" spans="4:55" x14ac:dyDescent="0.25">
      <c r="D968">
        <v>3572036</v>
      </c>
      <c r="H968" t="s">
        <v>48</v>
      </c>
      <c r="P968">
        <v>1650</v>
      </c>
      <c r="Q968">
        <v>1615</v>
      </c>
      <c r="W968" t="s">
        <v>456</v>
      </c>
      <c r="BC968" t="s">
        <v>2305</v>
      </c>
    </row>
    <row r="969" spans="4:55" x14ac:dyDescent="0.25">
      <c r="D969">
        <v>3572037</v>
      </c>
      <c r="H969" t="s">
        <v>48</v>
      </c>
      <c r="P969">
        <v>1651</v>
      </c>
      <c r="Q969">
        <v>1616</v>
      </c>
      <c r="W969" t="s">
        <v>456</v>
      </c>
      <c r="BC969" t="s">
        <v>2305</v>
      </c>
    </row>
    <row r="970" spans="4:55" x14ac:dyDescent="0.25">
      <c r="D970">
        <v>3572037</v>
      </c>
      <c r="H970" t="s">
        <v>48</v>
      </c>
      <c r="P970">
        <v>1652</v>
      </c>
      <c r="Q970">
        <v>1617</v>
      </c>
      <c r="W970" t="s">
        <v>456</v>
      </c>
      <c r="BC970" t="s">
        <v>2305</v>
      </c>
    </row>
    <row r="971" spans="4:55" x14ac:dyDescent="0.25">
      <c r="D971">
        <v>3572037</v>
      </c>
      <c r="H971" t="s">
        <v>48</v>
      </c>
      <c r="P971">
        <v>1653</v>
      </c>
      <c r="Q971">
        <v>1618</v>
      </c>
      <c r="W971" t="s">
        <v>456</v>
      </c>
      <c r="BC971" t="s">
        <v>1065</v>
      </c>
    </row>
    <row r="972" spans="4:55" x14ac:dyDescent="0.25">
      <c r="D972">
        <v>3572037</v>
      </c>
      <c r="H972" t="s">
        <v>151</v>
      </c>
      <c r="P972">
        <v>1654</v>
      </c>
      <c r="Q972">
        <v>1619</v>
      </c>
      <c r="W972" t="s">
        <v>456</v>
      </c>
      <c r="BC972" t="s">
        <v>1065</v>
      </c>
    </row>
    <row r="973" spans="4:55" x14ac:dyDescent="0.25">
      <c r="D973">
        <v>3572037</v>
      </c>
      <c r="H973" t="s">
        <v>151</v>
      </c>
      <c r="P973">
        <v>1655</v>
      </c>
      <c r="Q973">
        <v>1620</v>
      </c>
      <c r="W973" t="s">
        <v>456</v>
      </c>
      <c r="BC973" t="s">
        <v>1065</v>
      </c>
    </row>
    <row r="974" spans="4:55" x14ac:dyDescent="0.25">
      <c r="D974">
        <v>3572037</v>
      </c>
      <c r="H974" t="s">
        <v>151</v>
      </c>
      <c r="P974">
        <v>1656</v>
      </c>
      <c r="Q974">
        <v>1621</v>
      </c>
      <c r="W974" t="s">
        <v>456</v>
      </c>
      <c r="BC974" t="s">
        <v>920</v>
      </c>
    </row>
    <row r="975" spans="4:55" x14ac:dyDescent="0.25">
      <c r="D975">
        <v>3572037</v>
      </c>
      <c r="H975" t="s">
        <v>151</v>
      </c>
      <c r="P975">
        <v>1657</v>
      </c>
      <c r="Q975">
        <v>1622</v>
      </c>
      <c r="W975" t="s">
        <v>456</v>
      </c>
      <c r="BC975" t="s">
        <v>920</v>
      </c>
    </row>
    <row r="976" spans="4:55" x14ac:dyDescent="0.25">
      <c r="D976">
        <v>3572037</v>
      </c>
      <c r="H976" t="s">
        <v>151</v>
      </c>
      <c r="P976">
        <v>1658</v>
      </c>
      <c r="Q976">
        <v>1623</v>
      </c>
      <c r="W976" t="s">
        <v>456</v>
      </c>
      <c r="BC976" t="s">
        <v>920</v>
      </c>
    </row>
    <row r="977" spans="4:55" x14ac:dyDescent="0.25">
      <c r="D977">
        <v>3572037</v>
      </c>
      <c r="H977" t="s">
        <v>151</v>
      </c>
      <c r="P977">
        <v>1659</v>
      </c>
      <c r="Q977">
        <v>1624</v>
      </c>
      <c r="W977" t="s">
        <v>456</v>
      </c>
      <c r="BC977" t="s">
        <v>920</v>
      </c>
    </row>
    <row r="978" spans="4:55" x14ac:dyDescent="0.25">
      <c r="D978">
        <v>3572037</v>
      </c>
      <c r="H978" t="s">
        <v>151</v>
      </c>
      <c r="P978">
        <v>1660</v>
      </c>
      <c r="Q978">
        <v>1625</v>
      </c>
      <c r="W978" t="s">
        <v>456</v>
      </c>
      <c r="BC978" t="s">
        <v>920</v>
      </c>
    </row>
    <row r="979" spans="4:55" x14ac:dyDescent="0.25">
      <c r="D979">
        <v>3572037</v>
      </c>
      <c r="H979" t="s">
        <v>151</v>
      </c>
      <c r="P979">
        <v>1661</v>
      </c>
      <c r="Q979">
        <v>1626</v>
      </c>
      <c r="W979" t="s">
        <v>456</v>
      </c>
      <c r="BC979" t="s">
        <v>920</v>
      </c>
    </row>
    <row r="980" spans="4:55" x14ac:dyDescent="0.25">
      <c r="D980">
        <v>3572037</v>
      </c>
      <c r="H980" t="s">
        <v>151</v>
      </c>
      <c r="P980">
        <v>1662</v>
      </c>
      <c r="Q980">
        <v>1627</v>
      </c>
      <c r="W980" t="s">
        <v>456</v>
      </c>
      <c r="BC980" t="s">
        <v>909</v>
      </c>
    </row>
    <row r="981" spans="4:55" x14ac:dyDescent="0.25">
      <c r="D981">
        <v>3572037</v>
      </c>
      <c r="H981" t="s">
        <v>151</v>
      </c>
      <c r="P981">
        <v>1663</v>
      </c>
      <c r="Q981">
        <v>1628</v>
      </c>
      <c r="W981" t="s">
        <v>456</v>
      </c>
      <c r="BC981" t="s">
        <v>909</v>
      </c>
    </row>
    <row r="982" spans="4:55" x14ac:dyDescent="0.25">
      <c r="D982">
        <v>3572037</v>
      </c>
      <c r="H982" t="s">
        <v>151</v>
      </c>
      <c r="P982">
        <v>1664</v>
      </c>
      <c r="Q982">
        <v>1629</v>
      </c>
      <c r="W982" t="s">
        <v>456</v>
      </c>
      <c r="BC982" t="s">
        <v>909</v>
      </c>
    </row>
    <row r="983" spans="4:55" x14ac:dyDescent="0.25">
      <c r="D983">
        <v>3572038</v>
      </c>
      <c r="H983" t="s">
        <v>65</v>
      </c>
      <c r="P983">
        <v>1665</v>
      </c>
      <c r="Q983">
        <v>1630</v>
      </c>
      <c r="W983" t="s">
        <v>456</v>
      </c>
      <c r="BC983" t="s">
        <v>909</v>
      </c>
    </row>
    <row r="984" spans="4:55" x14ac:dyDescent="0.25">
      <c r="D984">
        <v>3572038</v>
      </c>
      <c r="H984" t="s">
        <v>65</v>
      </c>
      <c r="P984">
        <v>1666</v>
      </c>
      <c r="Q984">
        <v>1631</v>
      </c>
      <c r="W984" t="s">
        <v>456</v>
      </c>
      <c r="BC984" t="s">
        <v>909</v>
      </c>
    </row>
    <row r="985" spans="4:55" x14ac:dyDescent="0.25">
      <c r="D985">
        <v>3572038</v>
      </c>
      <c r="H985" t="s">
        <v>65</v>
      </c>
      <c r="P985">
        <v>1667</v>
      </c>
      <c r="Q985">
        <v>1632</v>
      </c>
      <c r="W985" t="s">
        <v>456</v>
      </c>
      <c r="BC985" t="s">
        <v>909</v>
      </c>
    </row>
    <row r="986" spans="4:55" x14ac:dyDescent="0.25">
      <c r="D986">
        <v>3572038</v>
      </c>
      <c r="H986" t="s">
        <v>65</v>
      </c>
      <c r="P986">
        <v>1668</v>
      </c>
      <c r="Q986">
        <v>1633</v>
      </c>
      <c r="W986" t="s">
        <v>456</v>
      </c>
      <c r="BC986" t="s">
        <v>904</v>
      </c>
    </row>
    <row r="987" spans="4:55" x14ac:dyDescent="0.25">
      <c r="D987">
        <v>3572038</v>
      </c>
      <c r="H987" t="s">
        <v>151</v>
      </c>
      <c r="P987">
        <v>1669</v>
      </c>
      <c r="Q987">
        <v>1634</v>
      </c>
      <c r="W987" t="s">
        <v>456</v>
      </c>
      <c r="BC987" t="s">
        <v>904</v>
      </c>
    </row>
    <row r="988" spans="4:55" x14ac:dyDescent="0.25">
      <c r="D988">
        <v>3572038</v>
      </c>
      <c r="H988" t="s">
        <v>151</v>
      </c>
      <c r="P988">
        <v>1670</v>
      </c>
      <c r="Q988">
        <v>1635</v>
      </c>
      <c r="W988" t="s">
        <v>456</v>
      </c>
      <c r="BC988" t="s">
        <v>904</v>
      </c>
    </row>
    <row r="989" spans="4:55" x14ac:dyDescent="0.25">
      <c r="D989">
        <v>3572038</v>
      </c>
      <c r="H989" t="s">
        <v>151</v>
      </c>
      <c r="P989">
        <v>1671</v>
      </c>
      <c r="Q989">
        <v>1636</v>
      </c>
      <c r="W989" t="s">
        <v>456</v>
      </c>
      <c r="BC989" t="s">
        <v>926</v>
      </c>
    </row>
    <row r="990" spans="4:55" x14ac:dyDescent="0.25">
      <c r="D990">
        <v>3572038</v>
      </c>
      <c r="H990" t="s">
        <v>151</v>
      </c>
      <c r="P990">
        <v>1672</v>
      </c>
      <c r="Q990">
        <v>1637</v>
      </c>
      <c r="W990" t="s">
        <v>456</v>
      </c>
      <c r="BC990" t="s">
        <v>926</v>
      </c>
    </row>
    <row r="991" spans="4:55" x14ac:dyDescent="0.25">
      <c r="D991">
        <v>3572038</v>
      </c>
      <c r="H991" t="s">
        <v>151</v>
      </c>
      <c r="P991">
        <v>1673</v>
      </c>
      <c r="Q991">
        <v>1638</v>
      </c>
      <c r="W991" t="s">
        <v>456</v>
      </c>
      <c r="BC991" t="s">
        <v>926</v>
      </c>
    </row>
    <row r="992" spans="4:55" x14ac:dyDescent="0.25">
      <c r="D992">
        <v>3572038</v>
      </c>
      <c r="H992" t="s">
        <v>151</v>
      </c>
      <c r="P992">
        <v>1674</v>
      </c>
      <c r="Q992">
        <v>1639</v>
      </c>
      <c r="W992" t="s">
        <v>456</v>
      </c>
      <c r="BC992" t="s">
        <v>926</v>
      </c>
    </row>
    <row r="993" spans="4:55" x14ac:dyDescent="0.25">
      <c r="D993">
        <v>3572038</v>
      </c>
      <c r="H993" t="s">
        <v>151</v>
      </c>
      <c r="P993">
        <v>1675</v>
      </c>
      <c r="Q993">
        <v>1640</v>
      </c>
      <c r="W993" t="s">
        <v>456</v>
      </c>
      <c r="BC993" t="s">
        <v>926</v>
      </c>
    </row>
    <row r="994" spans="4:55" x14ac:dyDescent="0.25">
      <c r="D994">
        <v>3572038</v>
      </c>
      <c r="H994" t="s">
        <v>151</v>
      </c>
      <c r="P994">
        <v>1676</v>
      </c>
      <c r="Q994">
        <v>1641</v>
      </c>
      <c r="W994" t="s">
        <v>456</v>
      </c>
      <c r="BC994" t="s">
        <v>926</v>
      </c>
    </row>
    <row r="995" spans="4:55" x14ac:dyDescent="0.25">
      <c r="D995">
        <v>3572038</v>
      </c>
      <c r="H995" t="s">
        <v>151</v>
      </c>
      <c r="P995">
        <v>1677</v>
      </c>
      <c r="Q995">
        <v>1642</v>
      </c>
      <c r="W995" t="s">
        <v>456</v>
      </c>
      <c r="BC995" t="s">
        <v>5238</v>
      </c>
    </row>
    <row r="996" spans="4:55" x14ac:dyDescent="0.25">
      <c r="D996">
        <v>3572038</v>
      </c>
      <c r="H996" t="s">
        <v>151</v>
      </c>
      <c r="P996">
        <v>1678</v>
      </c>
      <c r="Q996">
        <v>1643</v>
      </c>
      <c r="W996" t="s">
        <v>456</v>
      </c>
      <c r="BC996" t="s">
        <v>926</v>
      </c>
    </row>
    <row r="997" spans="4:55" x14ac:dyDescent="0.25">
      <c r="D997">
        <v>3230494</v>
      </c>
      <c r="H997" t="s">
        <v>151</v>
      </c>
      <c r="P997">
        <v>1679</v>
      </c>
      <c r="Q997">
        <v>1644</v>
      </c>
      <c r="W997" t="s">
        <v>456</v>
      </c>
      <c r="BC997" t="s">
        <v>926</v>
      </c>
    </row>
    <row r="998" spans="4:55" x14ac:dyDescent="0.25">
      <c r="D998">
        <v>3230494</v>
      </c>
      <c r="H998" t="s">
        <v>151</v>
      </c>
      <c r="P998">
        <v>1680</v>
      </c>
      <c r="Q998">
        <v>1645</v>
      </c>
      <c r="W998" t="s">
        <v>456</v>
      </c>
      <c r="BC998" t="s">
        <v>5238</v>
      </c>
    </row>
    <row r="999" spans="4:55" x14ac:dyDescent="0.25">
      <c r="D999">
        <v>3230494</v>
      </c>
      <c r="H999" t="s">
        <v>151</v>
      </c>
      <c r="P999">
        <v>1699</v>
      </c>
      <c r="Q999">
        <v>1646</v>
      </c>
      <c r="W999" t="s">
        <v>456</v>
      </c>
      <c r="BC999" t="s">
        <v>5238</v>
      </c>
    </row>
    <row r="1000" spans="4:55" x14ac:dyDescent="0.25">
      <c r="D1000">
        <v>3230494</v>
      </c>
      <c r="H1000" t="s">
        <v>151</v>
      </c>
      <c r="P1000">
        <v>1700</v>
      </c>
      <c r="Q1000">
        <v>1647</v>
      </c>
      <c r="W1000" t="s">
        <v>827</v>
      </c>
      <c r="BC1000" t="s">
        <v>926</v>
      </c>
    </row>
    <row r="1001" spans="4:55" x14ac:dyDescent="0.25">
      <c r="D1001">
        <v>3230494</v>
      </c>
      <c r="H1001" t="s">
        <v>151</v>
      </c>
      <c r="P1001">
        <v>1701</v>
      </c>
      <c r="Q1001">
        <v>1648</v>
      </c>
      <c r="W1001" t="s">
        <v>4524</v>
      </c>
      <c r="BC1001" t="s">
        <v>926</v>
      </c>
    </row>
    <row r="1002" spans="4:55" x14ac:dyDescent="0.25">
      <c r="D1002">
        <v>3230494</v>
      </c>
      <c r="H1002" t="s">
        <v>151</v>
      </c>
      <c r="P1002">
        <v>1702</v>
      </c>
      <c r="Q1002">
        <v>1649</v>
      </c>
      <c r="W1002" t="s">
        <v>456</v>
      </c>
      <c r="BC1002" t="s">
        <v>5238</v>
      </c>
    </row>
    <row r="1003" spans="4:55" x14ac:dyDescent="0.25">
      <c r="D1003">
        <v>3230494</v>
      </c>
      <c r="H1003" t="s">
        <v>151</v>
      </c>
      <c r="P1003">
        <v>1703</v>
      </c>
      <c r="Q1003">
        <v>1650</v>
      </c>
      <c r="W1003" t="s">
        <v>456</v>
      </c>
      <c r="BC1003" t="s">
        <v>926</v>
      </c>
    </row>
    <row r="1004" spans="4:55" x14ac:dyDescent="0.25">
      <c r="D1004">
        <v>3230494</v>
      </c>
      <c r="H1004" t="s">
        <v>151</v>
      </c>
      <c r="P1004">
        <v>1704</v>
      </c>
      <c r="Q1004">
        <v>1651</v>
      </c>
      <c r="W1004" t="s">
        <v>456</v>
      </c>
      <c r="BC1004" t="s">
        <v>926</v>
      </c>
    </row>
    <row r="1005" spans="4:55" x14ac:dyDescent="0.25">
      <c r="D1005">
        <v>3230494</v>
      </c>
      <c r="H1005" t="s">
        <v>151</v>
      </c>
      <c r="P1005">
        <v>1705</v>
      </c>
      <c r="Q1005">
        <v>1652</v>
      </c>
      <c r="W1005" t="s">
        <v>456</v>
      </c>
      <c r="BC1005" t="s">
        <v>926</v>
      </c>
    </row>
    <row r="1006" spans="4:55" x14ac:dyDescent="0.25">
      <c r="D1006">
        <v>3230494</v>
      </c>
      <c r="H1006" t="s">
        <v>151</v>
      </c>
      <c r="P1006">
        <v>1706</v>
      </c>
      <c r="Q1006">
        <v>1653</v>
      </c>
      <c r="W1006" t="s">
        <v>456</v>
      </c>
      <c r="BC1006" t="s">
        <v>5238</v>
      </c>
    </row>
    <row r="1007" spans="4:55" x14ac:dyDescent="0.25">
      <c r="D1007">
        <v>3230494</v>
      </c>
      <c r="H1007" t="s">
        <v>151</v>
      </c>
      <c r="P1007">
        <v>1707</v>
      </c>
      <c r="Q1007">
        <v>1654</v>
      </c>
      <c r="W1007" t="s">
        <v>456</v>
      </c>
      <c r="BC1007" t="s">
        <v>5238</v>
      </c>
    </row>
    <row r="1008" spans="4:55" x14ac:dyDescent="0.25">
      <c r="D1008">
        <v>3230494</v>
      </c>
      <c r="H1008" t="s">
        <v>151</v>
      </c>
      <c r="P1008">
        <v>1708</v>
      </c>
      <c r="Q1008">
        <v>1655</v>
      </c>
      <c r="W1008" t="s">
        <v>456</v>
      </c>
      <c r="BC1008" t="s">
        <v>926</v>
      </c>
    </row>
    <row r="1009" spans="4:55" x14ac:dyDescent="0.25">
      <c r="D1009">
        <v>3230494</v>
      </c>
      <c r="H1009" t="s">
        <v>151</v>
      </c>
      <c r="P1009">
        <v>1721</v>
      </c>
      <c r="Q1009">
        <v>1656</v>
      </c>
      <c r="W1009" t="s">
        <v>456</v>
      </c>
      <c r="BC1009" t="s">
        <v>926</v>
      </c>
    </row>
    <row r="1010" spans="4:55" x14ac:dyDescent="0.25">
      <c r="D1010">
        <v>3230494</v>
      </c>
      <c r="H1010" t="s">
        <v>151</v>
      </c>
      <c r="P1010">
        <v>1722</v>
      </c>
      <c r="Q1010">
        <v>1657</v>
      </c>
      <c r="W1010" t="s">
        <v>456</v>
      </c>
      <c r="BC1010" t="s">
        <v>926</v>
      </c>
    </row>
    <row r="1011" spans="4:55" x14ac:dyDescent="0.25">
      <c r="D1011">
        <v>3230494</v>
      </c>
      <c r="H1011" t="s">
        <v>151</v>
      </c>
      <c r="P1011">
        <v>1723</v>
      </c>
      <c r="Q1011">
        <v>1658</v>
      </c>
      <c r="W1011" t="s">
        <v>456</v>
      </c>
      <c r="BC1011" t="s">
        <v>926</v>
      </c>
    </row>
    <row r="1012" spans="4:55" x14ac:dyDescent="0.25">
      <c r="D1012">
        <v>3230494</v>
      </c>
      <c r="H1012" t="s">
        <v>151</v>
      </c>
      <c r="P1012">
        <v>1724</v>
      </c>
      <c r="Q1012">
        <v>1659</v>
      </c>
      <c r="W1012" t="s">
        <v>456</v>
      </c>
      <c r="BC1012" t="s">
        <v>2403</v>
      </c>
    </row>
    <row r="1013" spans="4:55" x14ac:dyDescent="0.25">
      <c r="D1013">
        <v>3230494</v>
      </c>
      <c r="H1013" t="s">
        <v>151</v>
      </c>
      <c r="P1013">
        <v>1725</v>
      </c>
      <c r="Q1013">
        <v>1660</v>
      </c>
      <c r="W1013" t="s">
        <v>456</v>
      </c>
      <c r="BC1013" t="s">
        <v>2403</v>
      </c>
    </row>
    <row r="1014" spans="4:55" x14ac:dyDescent="0.25">
      <c r="D1014">
        <v>3230494</v>
      </c>
      <c r="H1014" t="s">
        <v>151</v>
      </c>
      <c r="P1014">
        <v>1726</v>
      </c>
      <c r="Q1014">
        <v>1661</v>
      </c>
      <c r="W1014" t="s">
        <v>445</v>
      </c>
      <c r="BC1014" t="s">
        <v>2403</v>
      </c>
    </row>
    <row r="1015" spans="4:55" x14ac:dyDescent="0.25">
      <c r="D1015">
        <v>3230494</v>
      </c>
      <c r="H1015" t="s">
        <v>151</v>
      </c>
      <c r="P1015">
        <v>1727</v>
      </c>
      <c r="Q1015">
        <v>1662</v>
      </c>
      <c r="W1015" t="s">
        <v>445</v>
      </c>
      <c r="BC1015" t="s">
        <v>2403</v>
      </c>
    </row>
    <row r="1016" spans="4:55" x14ac:dyDescent="0.25">
      <c r="D1016">
        <v>3230494</v>
      </c>
      <c r="H1016" t="s">
        <v>151</v>
      </c>
      <c r="P1016">
        <v>1728</v>
      </c>
      <c r="Q1016">
        <v>1663</v>
      </c>
      <c r="W1016" t="s">
        <v>445</v>
      </c>
      <c r="BC1016" t="s">
        <v>2403</v>
      </c>
    </row>
    <row r="1017" spans="4:55" x14ac:dyDescent="0.25">
      <c r="D1017">
        <v>3230494</v>
      </c>
      <c r="H1017" t="s">
        <v>151</v>
      </c>
      <c r="P1017">
        <v>1729</v>
      </c>
      <c r="Q1017">
        <v>1664</v>
      </c>
      <c r="W1017" t="s">
        <v>445</v>
      </c>
      <c r="BC1017" t="s">
        <v>2403</v>
      </c>
    </row>
    <row r="1018" spans="4:55" x14ac:dyDescent="0.25">
      <c r="D1018">
        <v>3230494</v>
      </c>
      <c r="H1018" t="s">
        <v>151</v>
      </c>
      <c r="P1018">
        <v>1730</v>
      </c>
      <c r="Q1018">
        <v>1665</v>
      </c>
      <c r="W1018" t="s">
        <v>445</v>
      </c>
      <c r="BC1018" t="s">
        <v>568</v>
      </c>
    </row>
    <row r="1019" spans="4:55" x14ac:dyDescent="0.25">
      <c r="D1019">
        <v>3230494</v>
      </c>
      <c r="H1019" t="s">
        <v>151</v>
      </c>
      <c r="P1019">
        <v>1731</v>
      </c>
      <c r="Q1019">
        <v>1666</v>
      </c>
      <c r="W1019" t="s">
        <v>445</v>
      </c>
      <c r="BC1019" t="s">
        <v>568</v>
      </c>
    </row>
    <row r="1020" spans="4:55" x14ac:dyDescent="0.25">
      <c r="D1020">
        <v>3230494</v>
      </c>
      <c r="H1020" t="s">
        <v>151</v>
      </c>
      <c r="P1020">
        <v>1732</v>
      </c>
      <c r="Q1020">
        <v>1667</v>
      </c>
      <c r="W1020" t="s">
        <v>445</v>
      </c>
      <c r="BC1020" t="s">
        <v>568</v>
      </c>
    </row>
    <row r="1021" spans="4:55" x14ac:dyDescent="0.25">
      <c r="D1021">
        <v>3230494</v>
      </c>
      <c r="H1021" t="s">
        <v>151</v>
      </c>
      <c r="P1021">
        <v>1733</v>
      </c>
      <c r="Q1021">
        <v>1668</v>
      </c>
      <c r="W1021" t="s">
        <v>578</v>
      </c>
      <c r="BC1021" t="s">
        <v>568</v>
      </c>
    </row>
    <row r="1022" spans="4:55" x14ac:dyDescent="0.25">
      <c r="D1022">
        <v>3230494</v>
      </c>
      <c r="H1022" t="s">
        <v>151</v>
      </c>
      <c r="P1022">
        <v>1734</v>
      </c>
      <c r="Q1022">
        <v>1669</v>
      </c>
      <c r="W1022" t="s">
        <v>578</v>
      </c>
      <c r="BC1022" t="s">
        <v>568</v>
      </c>
    </row>
    <row r="1023" spans="4:55" x14ac:dyDescent="0.25">
      <c r="D1023">
        <v>3230494</v>
      </c>
      <c r="H1023" t="s">
        <v>151</v>
      </c>
      <c r="P1023">
        <v>1735</v>
      </c>
      <c r="Q1023">
        <v>1670</v>
      </c>
      <c r="W1023" t="s">
        <v>578</v>
      </c>
      <c r="BC1023" t="s">
        <v>568</v>
      </c>
    </row>
    <row r="1024" spans="4:55" x14ac:dyDescent="0.25">
      <c r="D1024">
        <v>3230494</v>
      </c>
      <c r="H1024" t="s">
        <v>151</v>
      </c>
      <c r="P1024">
        <v>1736</v>
      </c>
      <c r="Q1024">
        <v>1671</v>
      </c>
      <c r="W1024" t="s">
        <v>578</v>
      </c>
      <c r="BC1024" t="s">
        <v>568</v>
      </c>
    </row>
    <row r="1025" spans="4:55" x14ac:dyDescent="0.25">
      <c r="D1025">
        <v>3230494</v>
      </c>
      <c r="H1025" t="s">
        <v>151</v>
      </c>
      <c r="P1025">
        <v>1737</v>
      </c>
      <c r="Q1025">
        <v>1672</v>
      </c>
      <c r="W1025" t="s">
        <v>2305</v>
      </c>
      <c r="BC1025" t="s">
        <v>4742</v>
      </c>
    </row>
    <row r="1026" spans="4:55" x14ac:dyDescent="0.25">
      <c r="D1026">
        <v>3572039</v>
      </c>
      <c r="H1026" t="s">
        <v>151</v>
      </c>
      <c r="P1026">
        <v>1738</v>
      </c>
      <c r="Q1026">
        <v>1673</v>
      </c>
      <c r="W1026" t="s">
        <v>2305</v>
      </c>
      <c r="BC1026" t="s">
        <v>4742</v>
      </c>
    </row>
    <row r="1027" spans="4:55" x14ac:dyDescent="0.25">
      <c r="D1027">
        <v>3572039</v>
      </c>
      <c r="H1027" t="s">
        <v>151</v>
      </c>
      <c r="P1027">
        <v>1739</v>
      </c>
      <c r="Q1027">
        <v>1674</v>
      </c>
      <c r="W1027" t="s">
        <v>2305</v>
      </c>
      <c r="BC1027" t="s">
        <v>1070</v>
      </c>
    </row>
    <row r="1028" spans="4:55" x14ac:dyDescent="0.25">
      <c r="D1028">
        <v>3572039</v>
      </c>
      <c r="H1028" t="s">
        <v>151</v>
      </c>
      <c r="P1028">
        <v>1740</v>
      </c>
      <c r="Q1028">
        <v>1675</v>
      </c>
      <c r="W1028" t="s">
        <v>2309</v>
      </c>
      <c r="BC1028" t="s">
        <v>1070</v>
      </c>
    </row>
    <row r="1029" spans="4:55" x14ac:dyDescent="0.25">
      <c r="D1029">
        <v>3572039</v>
      </c>
      <c r="H1029" t="s">
        <v>151</v>
      </c>
      <c r="P1029">
        <v>1741</v>
      </c>
      <c r="Q1029">
        <v>1676</v>
      </c>
      <c r="W1029" t="s">
        <v>2309</v>
      </c>
      <c r="BC1029" t="s">
        <v>1070</v>
      </c>
    </row>
    <row r="1030" spans="4:55" x14ac:dyDescent="0.25">
      <c r="D1030">
        <v>3572039</v>
      </c>
      <c r="H1030" t="s">
        <v>151</v>
      </c>
      <c r="P1030">
        <v>1742</v>
      </c>
      <c r="Q1030">
        <v>1677</v>
      </c>
      <c r="W1030" t="s">
        <v>926</v>
      </c>
      <c r="BC1030" t="s">
        <v>1070</v>
      </c>
    </row>
    <row r="1031" spans="4:55" x14ac:dyDescent="0.25">
      <c r="D1031">
        <v>3572039</v>
      </c>
      <c r="H1031" t="s">
        <v>151</v>
      </c>
      <c r="P1031">
        <v>1744</v>
      </c>
      <c r="Q1031">
        <v>1678</v>
      </c>
      <c r="W1031" t="s">
        <v>926</v>
      </c>
      <c r="BC1031" t="s">
        <v>872</v>
      </c>
    </row>
    <row r="1032" spans="4:55" x14ac:dyDescent="0.25">
      <c r="D1032">
        <v>3572039</v>
      </c>
      <c r="H1032" t="s">
        <v>65</v>
      </c>
      <c r="P1032">
        <v>1744</v>
      </c>
      <c r="Q1032">
        <v>1679</v>
      </c>
      <c r="W1032" t="s">
        <v>926</v>
      </c>
      <c r="BC1032" t="s">
        <v>872</v>
      </c>
    </row>
    <row r="1033" spans="4:55" x14ac:dyDescent="0.25">
      <c r="D1033">
        <v>3572039</v>
      </c>
      <c r="H1033" t="s">
        <v>65</v>
      </c>
      <c r="P1033">
        <v>1745</v>
      </c>
      <c r="Q1033">
        <v>1680</v>
      </c>
      <c r="W1033" t="s">
        <v>673</v>
      </c>
      <c r="BC1033" t="s">
        <v>872</v>
      </c>
    </row>
    <row r="1034" spans="4:55" x14ac:dyDescent="0.25">
      <c r="D1034">
        <v>3572039</v>
      </c>
      <c r="H1034" t="s">
        <v>65</v>
      </c>
      <c r="P1034">
        <v>1745</v>
      </c>
      <c r="Q1034">
        <v>1681</v>
      </c>
      <c r="W1034" t="s">
        <v>673</v>
      </c>
      <c r="BC1034" t="s">
        <v>872</v>
      </c>
    </row>
    <row r="1035" spans="4:55" x14ac:dyDescent="0.25">
      <c r="D1035">
        <v>3572039</v>
      </c>
      <c r="H1035" t="s">
        <v>65</v>
      </c>
      <c r="P1035">
        <v>1746</v>
      </c>
      <c r="Q1035">
        <v>1682</v>
      </c>
      <c r="W1035" t="s">
        <v>1045</v>
      </c>
      <c r="BC1035" t="s">
        <v>872</v>
      </c>
    </row>
    <row r="1036" spans="4:55" x14ac:dyDescent="0.25">
      <c r="D1036">
        <v>3572039</v>
      </c>
      <c r="H1036" t="s">
        <v>65</v>
      </c>
      <c r="P1036">
        <v>1746</v>
      </c>
      <c r="Q1036">
        <v>1683</v>
      </c>
      <c r="W1036" t="s">
        <v>1045</v>
      </c>
      <c r="BC1036" t="s">
        <v>4742</v>
      </c>
    </row>
    <row r="1037" spans="4:55" x14ac:dyDescent="0.25">
      <c r="D1037">
        <v>3572039</v>
      </c>
      <c r="H1037" t="s">
        <v>48</v>
      </c>
      <c r="P1037">
        <v>1747</v>
      </c>
      <c r="Q1037">
        <v>1684</v>
      </c>
      <c r="W1037" t="s">
        <v>1045</v>
      </c>
      <c r="BC1037" t="s">
        <v>914</v>
      </c>
    </row>
    <row r="1038" spans="4:55" x14ac:dyDescent="0.25">
      <c r="D1038">
        <v>3572039</v>
      </c>
      <c r="H1038" t="s">
        <v>48</v>
      </c>
      <c r="P1038">
        <v>1747</v>
      </c>
      <c r="Q1038">
        <v>1685</v>
      </c>
      <c r="W1038" t="s">
        <v>456</v>
      </c>
      <c r="BC1038" t="s">
        <v>914</v>
      </c>
    </row>
    <row r="1039" spans="4:55" x14ac:dyDescent="0.25">
      <c r="D1039">
        <v>3572039</v>
      </c>
      <c r="H1039" t="s">
        <v>48</v>
      </c>
      <c r="P1039">
        <v>1748</v>
      </c>
      <c r="Q1039">
        <v>1686</v>
      </c>
      <c r="W1039" t="s">
        <v>456</v>
      </c>
      <c r="BC1039" t="s">
        <v>914</v>
      </c>
    </row>
    <row r="1040" spans="4:55" x14ac:dyDescent="0.25">
      <c r="D1040">
        <v>3572040</v>
      </c>
      <c r="H1040" t="s">
        <v>48</v>
      </c>
      <c r="P1040">
        <v>1748</v>
      </c>
      <c r="Q1040">
        <v>1687</v>
      </c>
      <c r="W1040" t="s">
        <v>456</v>
      </c>
      <c r="BC1040" t="s">
        <v>914</v>
      </c>
    </row>
    <row r="1041" spans="4:55" x14ac:dyDescent="0.25">
      <c r="D1041">
        <v>3572040</v>
      </c>
      <c r="H1041" t="s">
        <v>48</v>
      </c>
      <c r="P1041">
        <v>1749</v>
      </c>
      <c r="Q1041">
        <v>1688</v>
      </c>
      <c r="W1041" t="s">
        <v>456</v>
      </c>
      <c r="BC1041" t="s">
        <v>4742</v>
      </c>
    </row>
    <row r="1042" spans="4:55" x14ac:dyDescent="0.25">
      <c r="D1042">
        <v>3572040</v>
      </c>
      <c r="H1042" t="s">
        <v>48</v>
      </c>
      <c r="P1042">
        <v>1749</v>
      </c>
      <c r="Q1042">
        <v>1689</v>
      </c>
      <c r="W1042" t="s">
        <v>456</v>
      </c>
      <c r="BC1042" t="s">
        <v>748</v>
      </c>
    </row>
    <row r="1043" spans="4:55" x14ac:dyDescent="0.25">
      <c r="D1043">
        <v>3572040</v>
      </c>
      <c r="H1043" t="s">
        <v>48</v>
      </c>
      <c r="P1043">
        <v>1750</v>
      </c>
      <c r="Q1043">
        <v>1699</v>
      </c>
      <c r="W1043" t="s">
        <v>456</v>
      </c>
      <c r="BC1043" t="s">
        <v>917</v>
      </c>
    </row>
    <row r="1044" spans="4:55" x14ac:dyDescent="0.25">
      <c r="D1044">
        <v>3572040</v>
      </c>
      <c r="H1044" t="s">
        <v>48</v>
      </c>
      <c r="P1044">
        <v>1750</v>
      </c>
      <c r="Q1044">
        <v>1700</v>
      </c>
      <c r="W1044" t="s">
        <v>456</v>
      </c>
      <c r="BC1044" t="s">
        <v>562</v>
      </c>
    </row>
    <row r="1045" spans="4:55" x14ac:dyDescent="0.25">
      <c r="D1045">
        <v>3572040</v>
      </c>
      <c r="H1045" t="s">
        <v>48</v>
      </c>
      <c r="P1045">
        <v>1751</v>
      </c>
      <c r="Q1045">
        <v>1701</v>
      </c>
      <c r="W1045" t="s">
        <v>456</v>
      </c>
      <c r="BC1045" t="s">
        <v>909</v>
      </c>
    </row>
    <row r="1046" spans="4:55" x14ac:dyDescent="0.25">
      <c r="D1046">
        <v>3572040</v>
      </c>
      <c r="H1046" t="s">
        <v>48</v>
      </c>
      <c r="P1046">
        <v>1753</v>
      </c>
      <c r="Q1046">
        <v>1702</v>
      </c>
      <c r="W1046" t="s">
        <v>456</v>
      </c>
      <c r="BC1046" t="s">
        <v>607</v>
      </c>
    </row>
    <row r="1047" spans="4:55" x14ac:dyDescent="0.25">
      <c r="D1047">
        <v>3572040</v>
      </c>
      <c r="H1047" t="s">
        <v>48</v>
      </c>
      <c r="P1047">
        <v>1754</v>
      </c>
      <c r="Q1047">
        <v>1703</v>
      </c>
      <c r="W1047" t="s">
        <v>456</v>
      </c>
      <c r="BC1047" t="s">
        <v>841</v>
      </c>
    </row>
    <row r="1048" spans="4:55" x14ac:dyDescent="0.25">
      <c r="D1048">
        <v>3572040</v>
      </c>
      <c r="H1048" t="s">
        <v>48</v>
      </c>
      <c r="P1048">
        <v>1760</v>
      </c>
      <c r="Q1048">
        <v>1704</v>
      </c>
      <c r="W1048" t="s">
        <v>456</v>
      </c>
      <c r="BC1048" t="s">
        <v>471</v>
      </c>
    </row>
    <row r="1049" spans="4:55" x14ac:dyDescent="0.25">
      <c r="D1049">
        <v>3572040</v>
      </c>
      <c r="H1049" t="s">
        <v>48</v>
      </c>
      <c r="P1049">
        <v>1761</v>
      </c>
      <c r="Q1049">
        <v>1705</v>
      </c>
      <c r="W1049" t="s">
        <v>456</v>
      </c>
      <c r="BC1049" t="s">
        <v>648</v>
      </c>
    </row>
    <row r="1050" spans="4:55" x14ac:dyDescent="0.25">
      <c r="D1050">
        <v>3572040</v>
      </c>
      <c r="H1050" t="s">
        <v>76</v>
      </c>
      <c r="P1050">
        <v>1762</v>
      </c>
      <c r="Q1050">
        <v>1706</v>
      </c>
      <c r="W1050" t="s">
        <v>456</v>
      </c>
      <c r="BC1050" t="s">
        <v>1007</v>
      </c>
    </row>
    <row r="1051" spans="4:55" x14ac:dyDescent="0.25">
      <c r="D1051">
        <v>3572040</v>
      </c>
      <c r="H1051" t="s">
        <v>76</v>
      </c>
      <c r="P1051">
        <v>1763</v>
      </c>
      <c r="Q1051">
        <v>1707</v>
      </c>
      <c r="W1051" t="s">
        <v>860</v>
      </c>
      <c r="BC1051" t="s">
        <v>565</v>
      </c>
    </row>
    <row r="1052" spans="4:55" x14ac:dyDescent="0.25">
      <c r="D1052">
        <v>3572040</v>
      </c>
      <c r="H1052" t="s">
        <v>151</v>
      </c>
      <c r="P1052">
        <v>1764</v>
      </c>
      <c r="Q1052">
        <v>1708</v>
      </c>
      <c r="W1052" t="s">
        <v>445</v>
      </c>
      <c r="BC1052" t="s">
        <v>737</v>
      </c>
    </row>
    <row r="1053" spans="4:55" x14ac:dyDescent="0.25">
      <c r="D1053">
        <v>3572040</v>
      </c>
      <c r="H1053" t="s">
        <v>151</v>
      </c>
      <c r="P1053">
        <v>1765</v>
      </c>
      <c r="Q1053">
        <v>1714</v>
      </c>
      <c r="W1053" t="s">
        <v>737</v>
      </c>
      <c r="BC1053" t="s">
        <v>506</v>
      </c>
    </row>
    <row r="1054" spans="4:55" x14ac:dyDescent="0.25">
      <c r="D1054">
        <v>3576132</v>
      </c>
      <c r="H1054" t="s">
        <v>151</v>
      </c>
      <c r="P1054">
        <v>1766</v>
      </c>
      <c r="Q1054">
        <v>1715</v>
      </c>
      <c r="W1054" t="s">
        <v>737</v>
      </c>
      <c r="BC1054" t="s">
        <v>412</v>
      </c>
    </row>
    <row r="1055" spans="4:55" x14ac:dyDescent="0.25">
      <c r="D1055">
        <v>1940146</v>
      </c>
      <c r="H1055" t="s">
        <v>151</v>
      </c>
      <c r="P1055">
        <v>1767</v>
      </c>
      <c r="Q1055">
        <v>1716</v>
      </c>
      <c r="W1055" t="s">
        <v>474</v>
      </c>
      <c r="BC1055" t="s">
        <v>642</v>
      </c>
    </row>
    <row r="1056" spans="4:55" x14ac:dyDescent="0.25">
      <c r="D1056">
        <v>1940146</v>
      </c>
      <c r="H1056" t="s">
        <v>151</v>
      </c>
      <c r="P1056">
        <v>1768</v>
      </c>
      <c r="Q1056">
        <v>1717</v>
      </c>
      <c r="W1056" t="s">
        <v>474</v>
      </c>
      <c r="BC1056" t="s">
        <v>412</v>
      </c>
    </row>
    <row r="1057" spans="4:55" x14ac:dyDescent="0.25">
      <c r="D1057">
        <v>1940146</v>
      </c>
      <c r="H1057" t="s">
        <v>151</v>
      </c>
      <c r="P1057">
        <v>1769</v>
      </c>
      <c r="Q1057">
        <v>1718</v>
      </c>
      <c r="W1057" t="s">
        <v>869</v>
      </c>
      <c r="BC1057" t="s">
        <v>1065</v>
      </c>
    </row>
    <row r="1058" spans="4:55" x14ac:dyDescent="0.25">
      <c r="D1058">
        <v>1940146</v>
      </c>
      <c r="H1058" t="s">
        <v>151</v>
      </c>
      <c r="P1058">
        <v>1770</v>
      </c>
      <c r="Q1058">
        <v>1719</v>
      </c>
      <c r="W1058" t="s">
        <v>428</v>
      </c>
      <c r="BC1058" t="s">
        <v>412</v>
      </c>
    </row>
    <row r="1059" spans="4:55" x14ac:dyDescent="0.25">
      <c r="D1059">
        <v>1940146</v>
      </c>
      <c r="H1059" t="s">
        <v>151</v>
      </c>
      <c r="P1059">
        <v>1771</v>
      </c>
      <c r="Q1059">
        <v>1720</v>
      </c>
      <c r="W1059" t="s">
        <v>428</v>
      </c>
      <c r="BC1059" t="s">
        <v>471</v>
      </c>
    </row>
    <row r="1060" spans="4:55" x14ac:dyDescent="0.25">
      <c r="D1060">
        <v>1940146</v>
      </c>
      <c r="H1060" t="s">
        <v>151</v>
      </c>
      <c r="P1060">
        <v>1772</v>
      </c>
      <c r="Q1060">
        <v>1721</v>
      </c>
      <c r="W1060" t="s">
        <v>428</v>
      </c>
      <c r="BC1060" t="s">
        <v>1065</v>
      </c>
    </row>
    <row r="1061" spans="4:55" x14ac:dyDescent="0.25">
      <c r="D1061">
        <v>1940146</v>
      </c>
      <c r="H1061" t="s">
        <v>151</v>
      </c>
      <c r="P1061">
        <v>1773</v>
      </c>
      <c r="Q1061">
        <v>1722</v>
      </c>
      <c r="W1061" t="s">
        <v>428</v>
      </c>
      <c r="BC1061" t="s">
        <v>648</v>
      </c>
    </row>
    <row r="1062" spans="4:55" x14ac:dyDescent="0.25">
      <c r="D1062">
        <v>1940146</v>
      </c>
      <c r="H1062" t="s">
        <v>151</v>
      </c>
      <c r="P1062">
        <v>1774</v>
      </c>
      <c r="Q1062">
        <v>1723</v>
      </c>
      <c r="W1062" t="s">
        <v>428</v>
      </c>
      <c r="BC1062" t="s">
        <v>633</v>
      </c>
    </row>
    <row r="1063" spans="4:55" x14ac:dyDescent="0.25">
      <c r="D1063">
        <v>1940146</v>
      </c>
      <c r="H1063" t="s">
        <v>151</v>
      </c>
      <c r="P1063">
        <v>1775</v>
      </c>
      <c r="Q1063">
        <v>1724</v>
      </c>
      <c r="W1063" t="s">
        <v>474</v>
      </c>
      <c r="BC1063" t="s">
        <v>633</v>
      </c>
    </row>
    <row r="1064" spans="4:55" x14ac:dyDescent="0.25">
      <c r="D1064">
        <v>1940146</v>
      </c>
      <c r="H1064" t="s">
        <v>151</v>
      </c>
      <c r="P1064">
        <v>1776</v>
      </c>
      <c r="Q1064">
        <v>1725</v>
      </c>
      <c r="W1064" t="s">
        <v>474</v>
      </c>
      <c r="BC1064" t="s">
        <v>860</v>
      </c>
    </row>
    <row r="1065" spans="4:55" x14ac:dyDescent="0.25">
      <c r="D1065">
        <v>1940146</v>
      </c>
      <c r="H1065" t="s">
        <v>151</v>
      </c>
      <c r="P1065">
        <v>1777</v>
      </c>
      <c r="Q1065">
        <v>1726</v>
      </c>
      <c r="W1065" t="s">
        <v>474</v>
      </c>
      <c r="BC1065" t="s">
        <v>604</v>
      </c>
    </row>
    <row r="1066" spans="4:55" x14ac:dyDescent="0.25">
      <c r="D1066">
        <v>1940146</v>
      </c>
      <c r="H1066" t="s">
        <v>151</v>
      </c>
      <c r="P1066">
        <v>1778</v>
      </c>
      <c r="Q1066">
        <v>1727</v>
      </c>
      <c r="W1066" t="s">
        <v>474</v>
      </c>
      <c r="BC1066" t="s">
        <v>986</v>
      </c>
    </row>
    <row r="1067" spans="4:55" x14ac:dyDescent="0.25">
      <c r="D1067">
        <v>1940146</v>
      </c>
      <c r="H1067" t="s">
        <v>151</v>
      </c>
      <c r="P1067">
        <v>1779</v>
      </c>
      <c r="Q1067">
        <v>1728</v>
      </c>
      <c r="W1067" t="s">
        <v>474</v>
      </c>
      <c r="BC1067" t="s">
        <v>986</v>
      </c>
    </row>
    <row r="1068" spans="4:55" x14ac:dyDescent="0.25">
      <c r="D1068">
        <v>1940146</v>
      </c>
      <c r="H1068" t="s">
        <v>151</v>
      </c>
      <c r="P1068">
        <v>1780</v>
      </c>
      <c r="Q1068">
        <v>1729</v>
      </c>
      <c r="W1068" t="s">
        <v>474</v>
      </c>
      <c r="BC1068" t="s">
        <v>986</v>
      </c>
    </row>
    <row r="1069" spans="4:55" x14ac:dyDescent="0.25">
      <c r="D1069">
        <v>1940146</v>
      </c>
      <c r="H1069" t="s">
        <v>151</v>
      </c>
      <c r="P1069">
        <v>1783</v>
      </c>
      <c r="Q1069">
        <v>1730</v>
      </c>
      <c r="W1069" t="s">
        <v>474</v>
      </c>
      <c r="BC1069" t="s">
        <v>604</v>
      </c>
    </row>
    <row r="1070" spans="4:55" x14ac:dyDescent="0.25">
      <c r="D1070">
        <v>1940146</v>
      </c>
      <c r="H1070" t="s">
        <v>151</v>
      </c>
      <c r="P1070">
        <v>1783</v>
      </c>
      <c r="Q1070">
        <v>1731</v>
      </c>
      <c r="W1070" t="s">
        <v>474</v>
      </c>
      <c r="BC1070" t="s">
        <v>604</v>
      </c>
    </row>
    <row r="1071" spans="4:55" x14ac:dyDescent="0.25">
      <c r="D1071">
        <v>1940146</v>
      </c>
      <c r="H1071" t="s">
        <v>151</v>
      </c>
      <c r="P1071">
        <v>1784</v>
      </c>
      <c r="Q1071">
        <v>1732</v>
      </c>
      <c r="W1071" t="s">
        <v>474</v>
      </c>
      <c r="BC1071" t="s">
        <v>604</v>
      </c>
    </row>
    <row r="1072" spans="4:55" x14ac:dyDescent="0.25">
      <c r="D1072">
        <v>1940146</v>
      </c>
      <c r="H1072" t="s">
        <v>151</v>
      </c>
      <c r="P1072">
        <v>1784</v>
      </c>
      <c r="Q1072">
        <v>1733</v>
      </c>
      <c r="W1072" t="s">
        <v>562</v>
      </c>
      <c r="BC1072" t="s">
        <v>604</v>
      </c>
    </row>
    <row r="1073" spans="4:55" x14ac:dyDescent="0.25">
      <c r="D1073">
        <v>1940146</v>
      </c>
      <c r="H1073" t="s">
        <v>17</v>
      </c>
      <c r="P1073">
        <v>1785</v>
      </c>
      <c r="Q1073">
        <v>1734</v>
      </c>
      <c r="W1073" t="s">
        <v>562</v>
      </c>
      <c r="BC1073" t="s">
        <v>607</v>
      </c>
    </row>
    <row r="1074" spans="4:55" x14ac:dyDescent="0.25">
      <c r="D1074">
        <v>1940146</v>
      </c>
      <c r="H1074" t="s">
        <v>17</v>
      </c>
      <c r="P1074">
        <v>1785</v>
      </c>
      <c r="Q1074">
        <v>1735</v>
      </c>
      <c r="W1074" t="s">
        <v>654</v>
      </c>
      <c r="BC1074" t="s">
        <v>607</v>
      </c>
    </row>
    <row r="1075" spans="4:55" x14ac:dyDescent="0.25">
      <c r="D1075">
        <v>1940146</v>
      </c>
      <c r="H1075" t="s">
        <v>17</v>
      </c>
      <c r="P1075">
        <v>1786</v>
      </c>
      <c r="Q1075">
        <v>1736</v>
      </c>
      <c r="W1075" t="s">
        <v>565</v>
      </c>
      <c r="BC1075" t="s">
        <v>607</v>
      </c>
    </row>
    <row r="1076" spans="4:55" x14ac:dyDescent="0.25">
      <c r="D1076">
        <v>1940146</v>
      </c>
      <c r="H1076" t="s">
        <v>17</v>
      </c>
      <c r="P1076">
        <v>1786</v>
      </c>
      <c r="Q1076">
        <v>1737</v>
      </c>
      <c r="W1076" t="s">
        <v>565</v>
      </c>
      <c r="BC1076" t="s">
        <v>607</v>
      </c>
    </row>
    <row r="1077" spans="4:55" x14ac:dyDescent="0.25">
      <c r="D1077">
        <v>3597679</v>
      </c>
      <c r="H1077" t="s">
        <v>17</v>
      </c>
      <c r="P1077">
        <v>1787</v>
      </c>
      <c r="Q1077">
        <v>1738</v>
      </c>
      <c r="W1077" t="s">
        <v>626</v>
      </c>
      <c r="BC1077" t="s">
        <v>607</v>
      </c>
    </row>
    <row r="1078" spans="4:55" x14ac:dyDescent="0.25">
      <c r="D1078">
        <v>3597679</v>
      </c>
      <c r="H1078" t="s">
        <v>17</v>
      </c>
      <c r="P1078">
        <v>1787</v>
      </c>
      <c r="Q1078">
        <v>1739</v>
      </c>
      <c r="W1078" t="s">
        <v>909</v>
      </c>
      <c r="BC1078" t="s">
        <v>785</v>
      </c>
    </row>
    <row r="1079" spans="4:55" x14ac:dyDescent="0.25">
      <c r="D1079">
        <v>3597679</v>
      </c>
      <c r="H1079" t="s">
        <v>17</v>
      </c>
      <c r="P1079">
        <v>1788</v>
      </c>
      <c r="Q1079">
        <v>1740</v>
      </c>
      <c r="W1079" t="s">
        <v>673</v>
      </c>
      <c r="BC1079" t="s">
        <v>785</v>
      </c>
    </row>
    <row r="1080" spans="4:55" x14ac:dyDescent="0.25">
      <c r="D1080">
        <v>3695242</v>
      </c>
      <c r="H1080" t="s">
        <v>17</v>
      </c>
      <c r="P1080">
        <v>1788</v>
      </c>
      <c r="Q1080">
        <v>1741</v>
      </c>
      <c r="W1080" t="s">
        <v>827</v>
      </c>
      <c r="BC1080" t="s">
        <v>860</v>
      </c>
    </row>
    <row r="1081" spans="4:55" x14ac:dyDescent="0.25">
      <c r="D1081">
        <v>3576133</v>
      </c>
      <c r="H1081" t="s">
        <v>17</v>
      </c>
      <c r="P1081">
        <v>1789</v>
      </c>
      <c r="Q1081">
        <v>1742</v>
      </c>
      <c r="W1081" t="s">
        <v>827</v>
      </c>
      <c r="BC1081" t="s">
        <v>1043</v>
      </c>
    </row>
    <row r="1082" spans="4:55" x14ac:dyDescent="0.25">
      <c r="D1082">
        <v>3695241</v>
      </c>
      <c r="H1082" t="s">
        <v>17</v>
      </c>
      <c r="P1082">
        <v>1789</v>
      </c>
      <c r="Q1082">
        <v>1744</v>
      </c>
      <c r="W1082" t="s">
        <v>980</v>
      </c>
      <c r="BC1082" t="s">
        <v>578</v>
      </c>
    </row>
    <row r="1083" spans="4:55" x14ac:dyDescent="0.25">
      <c r="D1083">
        <v>3695241</v>
      </c>
      <c r="H1083" t="s">
        <v>17</v>
      </c>
      <c r="P1083">
        <v>1790</v>
      </c>
      <c r="Q1083">
        <v>1745</v>
      </c>
      <c r="W1083" t="s">
        <v>712</v>
      </c>
      <c r="BC1083" t="s">
        <v>926</v>
      </c>
    </row>
    <row r="1084" spans="4:55" x14ac:dyDescent="0.25">
      <c r="D1084">
        <v>3605740</v>
      </c>
      <c r="H1084" t="s">
        <v>17</v>
      </c>
      <c r="P1084">
        <v>1790</v>
      </c>
      <c r="Q1084">
        <v>1746</v>
      </c>
      <c r="W1084" t="s">
        <v>712</v>
      </c>
      <c r="BC1084" t="s">
        <v>673</v>
      </c>
    </row>
    <row r="1085" spans="4:55" x14ac:dyDescent="0.25">
      <c r="D1085">
        <v>3605740</v>
      </c>
      <c r="H1085" t="s">
        <v>151</v>
      </c>
      <c r="P1085">
        <v>1791</v>
      </c>
      <c r="Q1085">
        <v>1747</v>
      </c>
      <c r="W1085" t="s">
        <v>712</v>
      </c>
      <c r="BC1085" t="s">
        <v>626</v>
      </c>
    </row>
    <row r="1086" spans="4:55" x14ac:dyDescent="0.25">
      <c r="D1086">
        <v>3605740</v>
      </c>
      <c r="H1086" t="s">
        <v>30</v>
      </c>
      <c r="P1086">
        <v>1791</v>
      </c>
      <c r="Q1086">
        <v>1748</v>
      </c>
      <c r="W1086" t="s">
        <v>869</v>
      </c>
      <c r="BC1086" t="s">
        <v>770</v>
      </c>
    </row>
    <row r="1087" spans="4:55" x14ac:dyDescent="0.25">
      <c r="D1087">
        <v>3605740</v>
      </c>
      <c r="H1087" t="s">
        <v>30</v>
      </c>
      <c r="P1087">
        <v>1792</v>
      </c>
      <c r="Q1087">
        <v>1749</v>
      </c>
      <c r="W1087" t="s">
        <v>869</v>
      </c>
      <c r="BC1087" t="s">
        <v>770</v>
      </c>
    </row>
    <row r="1088" spans="4:55" x14ac:dyDescent="0.25">
      <c r="D1088">
        <v>3605740</v>
      </c>
      <c r="H1088" t="s">
        <v>30</v>
      </c>
      <c r="P1088">
        <v>1792</v>
      </c>
      <c r="Q1088">
        <v>1750</v>
      </c>
      <c r="W1088" t="s">
        <v>827</v>
      </c>
      <c r="BC1088" t="s">
        <v>626</v>
      </c>
    </row>
    <row r="1089" spans="4:55" x14ac:dyDescent="0.25">
      <c r="D1089">
        <v>3605740</v>
      </c>
      <c r="H1089" t="s">
        <v>30</v>
      </c>
      <c r="P1089">
        <v>1793</v>
      </c>
      <c r="Q1089">
        <v>1751</v>
      </c>
      <c r="W1089" t="s">
        <v>827</v>
      </c>
      <c r="BC1089" t="s">
        <v>860</v>
      </c>
    </row>
    <row r="1090" spans="4:55" x14ac:dyDescent="0.25">
      <c r="D1090">
        <v>3605740</v>
      </c>
      <c r="H1090" t="s">
        <v>71</v>
      </c>
      <c r="P1090">
        <v>1793</v>
      </c>
      <c r="Q1090">
        <v>1753</v>
      </c>
      <c r="W1090" t="s">
        <v>712</v>
      </c>
      <c r="BC1090" t="s">
        <v>986</v>
      </c>
    </row>
    <row r="1091" spans="4:55" x14ac:dyDescent="0.25">
      <c r="D1091">
        <v>3605740</v>
      </c>
      <c r="H1091" t="s">
        <v>24</v>
      </c>
      <c r="P1091">
        <v>1794</v>
      </c>
      <c r="Q1091">
        <v>1754</v>
      </c>
      <c r="W1091" t="s">
        <v>891</v>
      </c>
      <c r="BC1091" t="s">
        <v>1045</v>
      </c>
    </row>
    <row r="1092" spans="4:55" x14ac:dyDescent="0.25">
      <c r="D1092">
        <v>3605740</v>
      </c>
      <c r="H1092" t="s">
        <v>30</v>
      </c>
      <c r="P1092">
        <v>1795</v>
      </c>
      <c r="Q1092">
        <v>1755</v>
      </c>
      <c r="W1092" t="s">
        <v>891</v>
      </c>
      <c r="BC1092" t="s">
        <v>1045</v>
      </c>
    </row>
    <row r="1093" spans="4:55" x14ac:dyDescent="0.25">
      <c r="D1093">
        <v>3605740</v>
      </c>
      <c r="H1093" t="s">
        <v>30</v>
      </c>
      <c r="P1093">
        <v>1796</v>
      </c>
      <c r="Q1093">
        <v>1760</v>
      </c>
      <c r="W1093" t="s">
        <v>891</v>
      </c>
      <c r="BC1093" t="s">
        <v>642</v>
      </c>
    </row>
    <row r="1094" spans="4:55" x14ac:dyDescent="0.25">
      <c r="D1094">
        <v>3605740</v>
      </c>
      <c r="H1094" t="s">
        <v>30</v>
      </c>
      <c r="P1094">
        <v>1797</v>
      </c>
      <c r="Q1094">
        <v>1761</v>
      </c>
      <c r="W1094" t="s">
        <v>712</v>
      </c>
      <c r="BC1094" t="s">
        <v>679</v>
      </c>
    </row>
    <row r="1095" spans="4:55" x14ac:dyDescent="0.25">
      <c r="D1095">
        <v>3605740</v>
      </c>
      <c r="H1095" t="s">
        <v>30</v>
      </c>
      <c r="P1095">
        <v>1798</v>
      </c>
      <c r="Q1095">
        <v>1762</v>
      </c>
      <c r="W1095" t="s">
        <v>712</v>
      </c>
      <c r="BC1095" t="s">
        <v>679</v>
      </c>
    </row>
    <row r="1096" spans="4:55" x14ac:dyDescent="0.25">
      <c r="D1096">
        <v>3605740</v>
      </c>
      <c r="H1096" t="s">
        <v>30</v>
      </c>
      <c r="P1096">
        <v>1799</v>
      </c>
      <c r="Q1096">
        <v>1763</v>
      </c>
      <c r="W1096" t="s">
        <v>875</v>
      </c>
      <c r="BC1096" t="s">
        <v>450</v>
      </c>
    </row>
    <row r="1097" spans="4:55" x14ac:dyDescent="0.25">
      <c r="D1097">
        <v>3605740</v>
      </c>
      <c r="H1097" t="s">
        <v>30</v>
      </c>
      <c r="P1097">
        <v>1800</v>
      </c>
      <c r="Q1097">
        <v>1764</v>
      </c>
      <c r="W1097" t="s">
        <v>827</v>
      </c>
      <c r="BC1097" t="s">
        <v>654</v>
      </c>
    </row>
    <row r="1098" spans="4:55" x14ac:dyDescent="0.25">
      <c r="D1098">
        <v>3605740</v>
      </c>
      <c r="H1098" t="s">
        <v>30</v>
      </c>
      <c r="P1098">
        <v>1801</v>
      </c>
      <c r="Q1098">
        <v>1765</v>
      </c>
      <c r="W1098" t="s">
        <v>827</v>
      </c>
      <c r="BC1098" t="s">
        <v>770</v>
      </c>
    </row>
    <row r="1099" spans="4:55" x14ac:dyDescent="0.25">
      <c r="D1099">
        <v>3605739</v>
      </c>
      <c r="H1099" t="s">
        <v>30</v>
      </c>
      <c r="P1099">
        <v>1802</v>
      </c>
      <c r="Q1099">
        <v>1766</v>
      </c>
      <c r="W1099" t="s">
        <v>5052</v>
      </c>
      <c r="BC1099" t="s">
        <v>770</v>
      </c>
    </row>
    <row r="1100" spans="4:55" x14ac:dyDescent="0.25">
      <c r="D1100">
        <v>3605739</v>
      </c>
      <c r="H1100" t="s">
        <v>30</v>
      </c>
      <c r="P1100">
        <v>1803</v>
      </c>
      <c r="Q1100">
        <v>1767</v>
      </c>
      <c r="W1100" t="s">
        <v>875</v>
      </c>
      <c r="BC1100" t="s">
        <v>456</v>
      </c>
    </row>
    <row r="1101" spans="4:55" x14ac:dyDescent="0.25">
      <c r="D1101">
        <v>3605739</v>
      </c>
      <c r="H1101" t="s">
        <v>30</v>
      </c>
      <c r="P1101">
        <v>1804</v>
      </c>
      <c r="Q1101">
        <v>1768</v>
      </c>
      <c r="W1101" t="s">
        <v>869</v>
      </c>
      <c r="BC1101" t="s">
        <v>450</v>
      </c>
    </row>
    <row r="1102" spans="4:55" x14ac:dyDescent="0.25">
      <c r="D1102">
        <v>3605739</v>
      </c>
      <c r="H1102" t="s">
        <v>30</v>
      </c>
      <c r="P1102">
        <v>1805</v>
      </c>
      <c r="Q1102">
        <v>1769</v>
      </c>
      <c r="W1102" t="s">
        <v>869</v>
      </c>
      <c r="BC1102" t="s">
        <v>450</v>
      </c>
    </row>
    <row r="1103" spans="4:55" x14ac:dyDescent="0.25">
      <c r="D1103">
        <v>3605739</v>
      </c>
      <c r="H1103" t="s">
        <v>30</v>
      </c>
      <c r="P1103">
        <v>1806</v>
      </c>
      <c r="Q1103">
        <v>1770</v>
      </c>
      <c r="W1103" t="s">
        <v>827</v>
      </c>
      <c r="BC1103" t="s">
        <v>445</v>
      </c>
    </row>
    <row r="1104" spans="4:55" x14ac:dyDescent="0.25">
      <c r="D1104">
        <v>3605739</v>
      </c>
      <c r="H1104" t="s">
        <v>30</v>
      </c>
      <c r="P1104">
        <v>1807</v>
      </c>
      <c r="Q1104">
        <v>1771</v>
      </c>
      <c r="W1104" t="s">
        <v>827</v>
      </c>
      <c r="BC1104" t="s">
        <v>450</v>
      </c>
    </row>
    <row r="1105" spans="4:55" x14ac:dyDescent="0.25">
      <c r="D1105">
        <v>3605739</v>
      </c>
      <c r="H1105" t="s">
        <v>30</v>
      </c>
      <c r="P1105">
        <v>1808</v>
      </c>
      <c r="Q1105">
        <v>1772</v>
      </c>
      <c r="W1105" t="s">
        <v>827</v>
      </c>
      <c r="BC1105" t="s">
        <v>450</v>
      </c>
    </row>
    <row r="1106" spans="4:55" x14ac:dyDescent="0.25">
      <c r="D1106">
        <v>3605739</v>
      </c>
      <c r="H1106" t="s">
        <v>30</v>
      </c>
      <c r="P1106">
        <v>1809</v>
      </c>
      <c r="Q1106">
        <v>1773</v>
      </c>
      <c r="W1106" t="s">
        <v>827</v>
      </c>
      <c r="BC1106" t="s">
        <v>450</v>
      </c>
    </row>
    <row r="1107" spans="4:55" x14ac:dyDescent="0.25">
      <c r="D1107">
        <v>3605739</v>
      </c>
      <c r="H1107" t="s">
        <v>30</v>
      </c>
      <c r="P1107">
        <v>1810</v>
      </c>
      <c r="Q1107">
        <v>1774</v>
      </c>
      <c r="W1107" t="s">
        <v>712</v>
      </c>
      <c r="BC1107" t="s">
        <v>450</v>
      </c>
    </row>
    <row r="1108" spans="4:55" x14ac:dyDescent="0.25">
      <c r="D1108">
        <v>3605739</v>
      </c>
      <c r="H1108" t="s">
        <v>30</v>
      </c>
      <c r="P1108">
        <v>1811</v>
      </c>
      <c r="Q1108">
        <v>1775</v>
      </c>
      <c r="W1108" t="s">
        <v>642</v>
      </c>
      <c r="BC1108" t="s">
        <v>450</v>
      </c>
    </row>
    <row r="1109" spans="4:55" x14ac:dyDescent="0.25">
      <c r="D1109">
        <v>3605739</v>
      </c>
      <c r="H1109" t="s">
        <v>30</v>
      </c>
      <c r="P1109">
        <v>1812</v>
      </c>
      <c r="Q1109">
        <v>1776</v>
      </c>
      <c r="W1109" t="s">
        <v>827</v>
      </c>
      <c r="BC1109" t="s">
        <v>450</v>
      </c>
    </row>
    <row r="1110" spans="4:55" x14ac:dyDescent="0.25">
      <c r="D1110">
        <v>3605739</v>
      </c>
      <c r="H1110" t="s">
        <v>30</v>
      </c>
      <c r="P1110">
        <v>1813</v>
      </c>
      <c r="Q1110">
        <v>1777</v>
      </c>
      <c r="W1110" t="s">
        <v>827</v>
      </c>
      <c r="BC1110" t="s">
        <v>450</v>
      </c>
    </row>
    <row r="1111" spans="4:55" x14ac:dyDescent="0.25">
      <c r="D1111">
        <v>3605739</v>
      </c>
      <c r="H1111" t="s">
        <v>30</v>
      </c>
      <c r="P1111">
        <v>1814</v>
      </c>
      <c r="Q1111">
        <v>1778</v>
      </c>
      <c r="W1111" t="s">
        <v>827</v>
      </c>
      <c r="BC1111" t="s">
        <v>450</v>
      </c>
    </row>
    <row r="1112" spans="4:55" x14ac:dyDescent="0.25">
      <c r="D1112">
        <v>3605739</v>
      </c>
      <c r="H1112" t="s">
        <v>30</v>
      </c>
      <c r="P1112">
        <v>1815</v>
      </c>
      <c r="Q1112">
        <v>1779</v>
      </c>
      <c r="BC1112" t="s">
        <v>423</v>
      </c>
    </row>
    <row r="1113" spans="4:55" x14ac:dyDescent="0.25">
      <c r="D1113">
        <v>3605739</v>
      </c>
      <c r="H1113" t="s">
        <v>30</v>
      </c>
      <c r="P1113">
        <v>1816</v>
      </c>
      <c r="Q1113">
        <v>1780</v>
      </c>
      <c r="BC1113" t="s">
        <v>412</v>
      </c>
    </row>
    <row r="1114" spans="4:55" x14ac:dyDescent="0.25">
      <c r="D1114">
        <v>3234372</v>
      </c>
      <c r="H1114" t="s">
        <v>66</v>
      </c>
      <c r="P1114">
        <v>1817</v>
      </c>
      <c r="Q1114">
        <v>1783</v>
      </c>
      <c r="BC1114" t="s">
        <v>532</v>
      </c>
    </row>
    <row r="1115" spans="4:55" x14ac:dyDescent="0.25">
      <c r="D1115">
        <v>3234372</v>
      </c>
      <c r="H1115" t="s">
        <v>66</v>
      </c>
      <c r="P1115">
        <v>1853</v>
      </c>
      <c r="Q1115">
        <v>1784</v>
      </c>
    </row>
    <row r="1116" spans="4:55" x14ac:dyDescent="0.25">
      <c r="D1116">
        <v>3234372</v>
      </c>
      <c r="H1116" t="s">
        <v>66</v>
      </c>
      <c r="P1116">
        <v>1854</v>
      </c>
      <c r="Q1116">
        <v>1785</v>
      </c>
    </row>
    <row r="1117" spans="4:55" x14ac:dyDescent="0.25">
      <c r="D1117">
        <v>3234372</v>
      </c>
      <c r="H1117" t="s">
        <v>66</v>
      </c>
      <c r="P1117">
        <v>1855</v>
      </c>
      <c r="Q1117">
        <v>1786</v>
      </c>
    </row>
    <row r="1118" spans="4:55" x14ac:dyDescent="0.25">
      <c r="D1118">
        <v>3234372</v>
      </c>
      <c r="H1118" t="s">
        <v>66</v>
      </c>
      <c r="P1118">
        <v>1856</v>
      </c>
      <c r="Q1118">
        <v>1787</v>
      </c>
    </row>
    <row r="1119" spans="4:55" x14ac:dyDescent="0.25">
      <c r="D1119">
        <v>3234372</v>
      </c>
      <c r="H1119" t="s">
        <v>66</v>
      </c>
      <c r="P1119">
        <v>1857</v>
      </c>
      <c r="Q1119">
        <v>1788</v>
      </c>
    </row>
    <row r="1120" spans="4:55" x14ac:dyDescent="0.25">
      <c r="D1120">
        <v>3234372</v>
      </c>
      <c r="H1120" t="s">
        <v>66</v>
      </c>
      <c r="P1120">
        <v>1858</v>
      </c>
      <c r="Q1120">
        <v>1789</v>
      </c>
    </row>
    <row r="1121" spans="4:17" x14ac:dyDescent="0.25">
      <c r="D1121">
        <v>3234372</v>
      </c>
      <c r="H1121" t="s">
        <v>66</v>
      </c>
      <c r="P1121">
        <v>1859</v>
      </c>
      <c r="Q1121">
        <v>1790</v>
      </c>
    </row>
    <row r="1122" spans="4:17" x14ac:dyDescent="0.25">
      <c r="D1122">
        <v>3234372</v>
      </c>
      <c r="H1122" t="s">
        <v>66</v>
      </c>
      <c r="P1122">
        <v>1860</v>
      </c>
      <c r="Q1122">
        <v>1791</v>
      </c>
    </row>
    <row r="1123" spans="4:17" x14ac:dyDescent="0.25">
      <c r="D1123">
        <v>3234372</v>
      </c>
      <c r="H1123" t="s">
        <v>66</v>
      </c>
      <c r="P1123">
        <v>1861</v>
      </c>
      <c r="Q1123">
        <v>1792</v>
      </c>
    </row>
    <row r="1124" spans="4:17" x14ac:dyDescent="0.25">
      <c r="D1124">
        <v>3234372</v>
      </c>
      <c r="H1124" t="s">
        <v>66</v>
      </c>
      <c r="P1124">
        <v>1862</v>
      </c>
      <c r="Q1124">
        <v>1793</v>
      </c>
    </row>
    <row r="1125" spans="4:17" x14ac:dyDescent="0.25">
      <c r="D1125">
        <v>3234372</v>
      </c>
      <c r="H1125" t="s">
        <v>66</v>
      </c>
      <c r="P1125">
        <v>1863</v>
      </c>
      <c r="Q1125">
        <v>1794</v>
      </c>
    </row>
    <row r="1126" spans="4:17" x14ac:dyDescent="0.25">
      <c r="D1126">
        <v>3234372</v>
      </c>
      <c r="H1126" t="s">
        <v>66</v>
      </c>
      <c r="P1126">
        <v>1864</v>
      </c>
      <c r="Q1126">
        <v>1795</v>
      </c>
    </row>
    <row r="1127" spans="4:17" x14ac:dyDescent="0.25">
      <c r="D1127">
        <v>3234372</v>
      </c>
      <c r="H1127" t="s">
        <v>66</v>
      </c>
      <c r="P1127">
        <v>1865</v>
      </c>
      <c r="Q1127">
        <v>1796</v>
      </c>
    </row>
    <row r="1128" spans="4:17" x14ac:dyDescent="0.25">
      <c r="D1128">
        <v>3234372</v>
      </c>
      <c r="H1128" t="s">
        <v>66</v>
      </c>
      <c r="P1128">
        <v>1866</v>
      </c>
      <c r="Q1128">
        <v>1797</v>
      </c>
    </row>
    <row r="1129" spans="4:17" x14ac:dyDescent="0.25">
      <c r="D1129">
        <v>3234372</v>
      </c>
      <c r="H1129" t="s">
        <v>66</v>
      </c>
      <c r="P1129">
        <v>1867</v>
      </c>
      <c r="Q1129">
        <v>1798</v>
      </c>
    </row>
    <row r="1130" spans="4:17" x14ac:dyDescent="0.25">
      <c r="D1130">
        <v>3234372</v>
      </c>
      <c r="H1130" t="s">
        <v>66</v>
      </c>
      <c r="P1130">
        <v>1868</v>
      </c>
      <c r="Q1130">
        <v>1799</v>
      </c>
    </row>
    <row r="1131" spans="4:17" x14ac:dyDescent="0.25">
      <c r="D1131">
        <v>3234372</v>
      </c>
      <c r="H1131" t="s">
        <v>66</v>
      </c>
      <c r="P1131">
        <v>1869</v>
      </c>
      <c r="Q1131">
        <v>1800</v>
      </c>
    </row>
    <row r="1132" spans="4:17" x14ac:dyDescent="0.25">
      <c r="D1132">
        <v>3234372</v>
      </c>
      <c r="H1132" t="s">
        <v>66</v>
      </c>
      <c r="P1132">
        <v>1870</v>
      </c>
      <c r="Q1132">
        <v>1801</v>
      </c>
    </row>
    <row r="1133" spans="4:17" x14ac:dyDescent="0.25">
      <c r="D1133">
        <v>3234372</v>
      </c>
      <c r="H1133" t="s">
        <v>66</v>
      </c>
      <c r="P1133">
        <v>1871</v>
      </c>
      <c r="Q1133">
        <v>1802</v>
      </c>
    </row>
    <row r="1134" spans="4:17" x14ac:dyDescent="0.25">
      <c r="D1134">
        <v>3234372</v>
      </c>
      <c r="H1134" t="s">
        <v>66</v>
      </c>
      <c r="P1134">
        <v>1872</v>
      </c>
      <c r="Q1134">
        <v>1803</v>
      </c>
    </row>
    <row r="1135" spans="4:17" x14ac:dyDescent="0.25">
      <c r="D1135">
        <v>3234372</v>
      </c>
      <c r="H1135" t="s">
        <v>66</v>
      </c>
      <c r="P1135">
        <v>1873</v>
      </c>
      <c r="Q1135">
        <v>1804</v>
      </c>
    </row>
    <row r="1136" spans="4:17" x14ac:dyDescent="0.25">
      <c r="D1136">
        <v>3234372</v>
      </c>
      <c r="H1136" t="s">
        <v>66</v>
      </c>
      <c r="P1136">
        <v>1874</v>
      </c>
      <c r="Q1136">
        <v>1805</v>
      </c>
    </row>
    <row r="1137" spans="4:17" x14ac:dyDescent="0.25">
      <c r="D1137">
        <v>3234372</v>
      </c>
      <c r="H1137" t="s">
        <v>66</v>
      </c>
      <c r="P1137">
        <v>1875</v>
      </c>
      <c r="Q1137">
        <v>1806</v>
      </c>
    </row>
    <row r="1138" spans="4:17" x14ac:dyDescent="0.25">
      <c r="D1138">
        <v>3234372</v>
      </c>
      <c r="H1138" t="s">
        <v>66</v>
      </c>
      <c r="P1138">
        <v>1876</v>
      </c>
      <c r="Q1138">
        <v>1807</v>
      </c>
    </row>
    <row r="1139" spans="4:17" x14ac:dyDescent="0.25">
      <c r="D1139">
        <v>3234372</v>
      </c>
      <c r="H1139" t="s">
        <v>66</v>
      </c>
      <c r="P1139">
        <v>1877</v>
      </c>
      <c r="Q1139">
        <v>1808</v>
      </c>
    </row>
    <row r="1140" spans="4:17" x14ac:dyDescent="0.25">
      <c r="D1140">
        <v>3234372</v>
      </c>
      <c r="H1140" t="s">
        <v>66</v>
      </c>
      <c r="P1140">
        <v>1878</v>
      </c>
      <c r="Q1140">
        <v>1809</v>
      </c>
    </row>
    <row r="1141" spans="4:17" x14ac:dyDescent="0.25">
      <c r="D1141">
        <v>3234372</v>
      </c>
      <c r="H1141" t="s">
        <v>66</v>
      </c>
      <c r="P1141">
        <v>1879</v>
      </c>
      <c r="Q1141">
        <v>1810</v>
      </c>
    </row>
    <row r="1142" spans="4:17" x14ac:dyDescent="0.25">
      <c r="D1142">
        <v>1940151</v>
      </c>
      <c r="H1142" t="s">
        <v>66</v>
      </c>
      <c r="P1142">
        <v>1880</v>
      </c>
      <c r="Q1142">
        <v>1811</v>
      </c>
    </row>
    <row r="1143" spans="4:17" x14ac:dyDescent="0.25">
      <c r="D1143">
        <v>1940151</v>
      </c>
      <c r="H1143" t="s">
        <v>66</v>
      </c>
      <c r="P1143">
        <v>1881</v>
      </c>
      <c r="Q1143">
        <v>1812</v>
      </c>
    </row>
    <row r="1144" spans="4:17" x14ac:dyDescent="0.25">
      <c r="D1144">
        <v>3676019</v>
      </c>
      <c r="H1144" t="s">
        <v>66</v>
      </c>
      <c r="P1144">
        <v>1882</v>
      </c>
      <c r="Q1144">
        <v>1813</v>
      </c>
    </row>
    <row r="1145" spans="4:17" x14ac:dyDescent="0.25">
      <c r="D1145">
        <v>3676020</v>
      </c>
      <c r="H1145" t="s">
        <v>66</v>
      </c>
      <c r="P1145">
        <v>1883</v>
      </c>
      <c r="Q1145">
        <v>1814</v>
      </c>
    </row>
    <row r="1146" spans="4:17" x14ac:dyDescent="0.25">
      <c r="D1146">
        <v>3676021</v>
      </c>
      <c r="H1146" t="s">
        <v>66</v>
      </c>
      <c r="P1146">
        <v>1884</v>
      </c>
      <c r="Q1146">
        <v>1815</v>
      </c>
    </row>
    <row r="1147" spans="4:17" x14ac:dyDescent="0.25">
      <c r="D1147">
        <v>3676022</v>
      </c>
      <c r="H1147" t="s">
        <v>66</v>
      </c>
      <c r="P1147">
        <v>1885</v>
      </c>
      <c r="Q1147">
        <v>1816</v>
      </c>
    </row>
    <row r="1148" spans="4:17" x14ac:dyDescent="0.25">
      <c r="D1148">
        <v>3676023</v>
      </c>
      <c r="H1148" t="s">
        <v>48</v>
      </c>
      <c r="P1148">
        <v>1886</v>
      </c>
      <c r="Q1148">
        <v>1817</v>
      </c>
    </row>
    <row r="1149" spans="4:17" x14ac:dyDescent="0.25">
      <c r="D1149">
        <v>3676024</v>
      </c>
      <c r="H1149" t="s">
        <v>48</v>
      </c>
      <c r="P1149">
        <v>1887</v>
      </c>
      <c r="Q1149">
        <v>1818</v>
      </c>
    </row>
    <row r="1150" spans="4:17" x14ac:dyDescent="0.25">
      <c r="D1150">
        <v>3676025</v>
      </c>
      <c r="H1150" t="s">
        <v>48</v>
      </c>
      <c r="P1150">
        <v>1888</v>
      </c>
      <c r="Q1150">
        <v>1819</v>
      </c>
    </row>
    <row r="1151" spans="4:17" x14ac:dyDescent="0.25">
      <c r="D1151">
        <v>3676026</v>
      </c>
      <c r="H1151" t="s">
        <v>48</v>
      </c>
      <c r="P1151">
        <v>1889</v>
      </c>
      <c r="Q1151">
        <v>1820</v>
      </c>
    </row>
    <row r="1152" spans="4:17" x14ac:dyDescent="0.25">
      <c r="D1152">
        <v>3676027</v>
      </c>
      <c r="H1152" t="s">
        <v>48</v>
      </c>
      <c r="P1152">
        <v>1890</v>
      </c>
      <c r="Q1152">
        <v>1821</v>
      </c>
    </row>
    <row r="1153" spans="4:17" x14ac:dyDescent="0.25">
      <c r="D1153">
        <v>3676028</v>
      </c>
      <c r="H1153" t="s">
        <v>48</v>
      </c>
      <c r="P1153">
        <v>1891</v>
      </c>
      <c r="Q1153">
        <v>1822</v>
      </c>
    </row>
    <row r="1154" spans="4:17" x14ac:dyDescent="0.25">
      <c r="D1154">
        <v>3676029</v>
      </c>
      <c r="H1154" t="s">
        <v>48</v>
      </c>
      <c r="P1154">
        <v>1892</v>
      </c>
      <c r="Q1154">
        <v>1823</v>
      </c>
    </row>
    <row r="1155" spans="4:17" x14ac:dyDescent="0.25">
      <c r="D1155">
        <v>3676030</v>
      </c>
      <c r="H1155" t="s">
        <v>48</v>
      </c>
      <c r="P1155">
        <v>1893</v>
      </c>
      <c r="Q1155">
        <v>1824</v>
      </c>
    </row>
    <row r="1156" spans="4:17" x14ac:dyDescent="0.25">
      <c r="D1156">
        <v>3676031</v>
      </c>
      <c r="H1156" t="s">
        <v>48</v>
      </c>
      <c r="P1156">
        <v>1894</v>
      </c>
      <c r="Q1156">
        <v>1825</v>
      </c>
    </row>
    <row r="1157" spans="4:17" x14ac:dyDescent="0.25">
      <c r="D1157">
        <v>3676032</v>
      </c>
      <c r="H1157" t="s">
        <v>48</v>
      </c>
      <c r="P1157">
        <v>1895</v>
      </c>
      <c r="Q1157">
        <v>1826</v>
      </c>
    </row>
    <row r="1158" spans="4:17" x14ac:dyDescent="0.25">
      <c r="D1158">
        <v>3676033</v>
      </c>
      <c r="H1158" t="s">
        <v>30</v>
      </c>
      <c r="P1158">
        <v>1896</v>
      </c>
      <c r="Q1158">
        <v>1827</v>
      </c>
    </row>
    <row r="1159" spans="4:17" x14ac:dyDescent="0.25">
      <c r="D1159">
        <v>3676034</v>
      </c>
      <c r="H1159" t="s">
        <v>30</v>
      </c>
      <c r="P1159">
        <v>1909</v>
      </c>
      <c r="Q1159">
        <v>1828</v>
      </c>
    </row>
    <row r="1160" spans="4:17" x14ac:dyDescent="0.25">
      <c r="D1160">
        <v>3676035</v>
      </c>
      <c r="H1160" t="s">
        <v>30</v>
      </c>
      <c r="P1160">
        <v>1910</v>
      </c>
      <c r="Q1160">
        <v>1829</v>
      </c>
    </row>
    <row r="1161" spans="4:17" x14ac:dyDescent="0.25">
      <c r="D1161">
        <v>3676036</v>
      </c>
      <c r="H1161" t="s">
        <v>30</v>
      </c>
      <c r="P1161">
        <v>1911</v>
      </c>
      <c r="Q1161">
        <v>1830</v>
      </c>
    </row>
    <row r="1162" spans="4:17" x14ac:dyDescent="0.25">
      <c r="D1162">
        <v>3576136</v>
      </c>
      <c r="H1162" t="s">
        <v>30</v>
      </c>
      <c r="P1162">
        <v>1912</v>
      </c>
      <c r="Q1162">
        <v>1831</v>
      </c>
    </row>
    <row r="1163" spans="4:17" x14ac:dyDescent="0.25">
      <c r="D1163">
        <v>2426140</v>
      </c>
      <c r="H1163" t="s">
        <v>151</v>
      </c>
      <c r="P1163">
        <v>1913</v>
      </c>
      <c r="Q1163">
        <v>1832</v>
      </c>
    </row>
    <row r="1164" spans="4:17" x14ac:dyDescent="0.25">
      <c r="D1164">
        <v>3635694</v>
      </c>
      <c r="H1164" t="s">
        <v>151</v>
      </c>
      <c r="P1164">
        <v>1914</v>
      </c>
      <c r="Q1164">
        <v>1833</v>
      </c>
    </row>
    <row r="1165" spans="4:17" x14ac:dyDescent="0.25">
      <c r="D1165">
        <v>3635694</v>
      </c>
      <c r="H1165" t="s">
        <v>151</v>
      </c>
      <c r="P1165">
        <v>1915</v>
      </c>
      <c r="Q1165">
        <v>1834</v>
      </c>
    </row>
    <row r="1166" spans="4:17" x14ac:dyDescent="0.25">
      <c r="D1166">
        <v>3635694</v>
      </c>
      <c r="H1166" t="s">
        <v>151</v>
      </c>
      <c r="P1166">
        <v>1916</v>
      </c>
      <c r="Q1166">
        <v>1835</v>
      </c>
    </row>
    <row r="1167" spans="4:17" x14ac:dyDescent="0.25">
      <c r="D1167">
        <v>3635694</v>
      </c>
      <c r="H1167" t="s">
        <v>151</v>
      </c>
      <c r="P1167">
        <v>1940</v>
      </c>
      <c r="Q1167">
        <v>1836</v>
      </c>
    </row>
    <row r="1168" spans="4:17" x14ac:dyDescent="0.25">
      <c r="D1168">
        <v>3635694</v>
      </c>
      <c r="H1168" t="s">
        <v>151</v>
      </c>
      <c r="P1168">
        <v>1941</v>
      </c>
      <c r="Q1168">
        <v>1837</v>
      </c>
    </row>
    <row r="1169" spans="4:17" x14ac:dyDescent="0.25">
      <c r="D1169">
        <v>3635694</v>
      </c>
      <c r="H1169" t="s">
        <v>151</v>
      </c>
      <c r="P1169">
        <v>1942</v>
      </c>
      <c r="Q1169">
        <v>1838</v>
      </c>
    </row>
    <row r="1170" spans="4:17" x14ac:dyDescent="0.25">
      <c r="D1170">
        <v>3635694</v>
      </c>
      <c r="H1170" t="s">
        <v>151</v>
      </c>
      <c r="P1170">
        <v>1943</v>
      </c>
      <c r="Q1170">
        <v>1839</v>
      </c>
    </row>
    <row r="1171" spans="4:17" x14ac:dyDescent="0.25">
      <c r="D1171">
        <v>3635694</v>
      </c>
      <c r="H1171" t="s">
        <v>151</v>
      </c>
      <c r="P1171">
        <v>1944</v>
      </c>
      <c r="Q1171">
        <v>1840</v>
      </c>
    </row>
    <row r="1172" spans="4:17" x14ac:dyDescent="0.25">
      <c r="D1172">
        <v>3635694</v>
      </c>
      <c r="H1172" t="s">
        <v>151</v>
      </c>
      <c r="P1172">
        <v>1945</v>
      </c>
      <c r="Q1172">
        <v>1841</v>
      </c>
    </row>
    <row r="1173" spans="4:17" x14ac:dyDescent="0.25">
      <c r="D1173">
        <v>3635694</v>
      </c>
      <c r="H1173" t="s">
        <v>151</v>
      </c>
      <c r="P1173">
        <v>1946</v>
      </c>
      <c r="Q1173">
        <v>1842</v>
      </c>
    </row>
    <row r="1174" spans="4:17" x14ac:dyDescent="0.25">
      <c r="D1174">
        <v>3635694</v>
      </c>
      <c r="H1174" t="s">
        <v>151</v>
      </c>
      <c r="P1174">
        <v>1947</v>
      </c>
      <c r="Q1174">
        <v>1843</v>
      </c>
    </row>
    <row r="1175" spans="4:17" x14ac:dyDescent="0.25">
      <c r="D1175">
        <v>3635694</v>
      </c>
      <c r="H1175" t="s">
        <v>151</v>
      </c>
      <c r="P1175">
        <v>1948</v>
      </c>
      <c r="Q1175">
        <v>1844</v>
      </c>
    </row>
    <row r="1176" spans="4:17" x14ac:dyDescent="0.25">
      <c r="D1176">
        <v>3518158</v>
      </c>
      <c r="H1176" t="s">
        <v>151</v>
      </c>
      <c r="P1176">
        <v>1949</v>
      </c>
      <c r="Q1176">
        <v>1845</v>
      </c>
    </row>
    <row r="1177" spans="4:17" x14ac:dyDescent="0.25">
      <c r="D1177">
        <v>3518158</v>
      </c>
      <c r="H1177" t="s">
        <v>151</v>
      </c>
      <c r="P1177">
        <v>1950</v>
      </c>
      <c r="Q1177">
        <v>1846</v>
      </c>
    </row>
    <row r="1178" spans="4:17" x14ac:dyDescent="0.25">
      <c r="D1178">
        <v>3518158</v>
      </c>
      <c r="H1178" t="s">
        <v>151</v>
      </c>
      <c r="P1178">
        <v>1951</v>
      </c>
      <c r="Q1178">
        <v>1847</v>
      </c>
    </row>
    <row r="1179" spans="4:17" x14ac:dyDescent="0.25">
      <c r="D1179">
        <v>3518158</v>
      </c>
      <c r="H1179" t="s">
        <v>151</v>
      </c>
      <c r="P1179">
        <v>1952</v>
      </c>
      <c r="Q1179">
        <v>1848</v>
      </c>
    </row>
    <row r="1180" spans="4:17" x14ac:dyDescent="0.25">
      <c r="D1180">
        <v>3518158</v>
      </c>
      <c r="H1180" t="s">
        <v>151</v>
      </c>
      <c r="P1180">
        <v>1953</v>
      </c>
      <c r="Q1180">
        <v>1849</v>
      </c>
    </row>
    <row r="1181" spans="4:17" x14ac:dyDescent="0.25">
      <c r="D1181">
        <v>3518158</v>
      </c>
      <c r="H1181" t="s">
        <v>151</v>
      </c>
      <c r="P1181">
        <v>1958</v>
      </c>
      <c r="Q1181">
        <v>1850</v>
      </c>
    </row>
    <row r="1182" spans="4:17" x14ac:dyDescent="0.25">
      <c r="D1182">
        <v>3518158</v>
      </c>
      <c r="H1182" t="s">
        <v>151</v>
      </c>
      <c r="P1182">
        <v>1959</v>
      </c>
      <c r="Q1182">
        <v>1851</v>
      </c>
    </row>
    <row r="1183" spans="4:17" x14ac:dyDescent="0.25">
      <c r="D1183">
        <v>3409366</v>
      </c>
      <c r="H1183" t="s">
        <v>151</v>
      </c>
      <c r="P1183">
        <v>1959</v>
      </c>
      <c r="Q1183">
        <v>1852</v>
      </c>
    </row>
    <row r="1184" spans="4:17" x14ac:dyDescent="0.25">
      <c r="D1184">
        <v>3409366</v>
      </c>
      <c r="H1184" t="s">
        <v>151</v>
      </c>
      <c r="P1184">
        <v>1990</v>
      </c>
      <c r="Q1184">
        <v>1853</v>
      </c>
    </row>
    <row r="1185" spans="4:17" x14ac:dyDescent="0.25">
      <c r="D1185">
        <v>3409366</v>
      </c>
      <c r="H1185" t="s">
        <v>151</v>
      </c>
      <c r="P1185">
        <v>1990</v>
      </c>
      <c r="Q1185">
        <v>1854</v>
      </c>
    </row>
    <row r="1186" spans="4:17" x14ac:dyDescent="0.25">
      <c r="D1186">
        <v>3409366</v>
      </c>
      <c r="H1186" t="s">
        <v>151</v>
      </c>
      <c r="P1186">
        <v>1991</v>
      </c>
      <c r="Q1186">
        <v>1855</v>
      </c>
    </row>
    <row r="1187" spans="4:17" x14ac:dyDescent="0.25">
      <c r="D1187">
        <v>3239890</v>
      </c>
      <c r="H1187" t="s">
        <v>48</v>
      </c>
      <c r="P1187">
        <v>1992</v>
      </c>
      <c r="Q1187">
        <v>1856</v>
      </c>
    </row>
    <row r="1188" spans="4:17" x14ac:dyDescent="0.25">
      <c r="D1188">
        <v>3239890</v>
      </c>
      <c r="H1188" t="s">
        <v>48</v>
      </c>
      <c r="P1188">
        <v>1993</v>
      </c>
      <c r="Q1188">
        <v>1857</v>
      </c>
    </row>
    <row r="1189" spans="4:17" x14ac:dyDescent="0.25">
      <c r="D1189">
        <v>3239890</v>
      </c>
      <c r="H1189" t="s">
        <v>7</v>
      </c>
      <c r="P1189">
        <v>1994</v>
      </c>
      <c r="Q1189">
        <v>1858</v>
      </c>
    </row>
    <row r="1190" spans="4:17" x14ac:dyDescent="0.25">
      <c r="D1190">
        <v>3239890</v>
      </c>
      <c r="H1190" t="s">
        <v>76</v>
      </c>
      <c r="P1190">
        <v>1995</v>
      </c>
      <c r="Q1190">
        <v>1859</v>
      </c>
    </row>
    <row r="1191" spans="4:17" x14ac:dyDescent="0.25">
      <c r="D1191">
        <v>3239890</v>
      </c>
      <c r="H1191" t="s">
        <v>101</v>
      </c>
      <c r="P1191">
        <v>1996</v>
      </c>
      <c r="Q1191">
        <v>1860</v>
      </c>
    </row>
    <row r="1192" spans="4:17" x14ac:dyDescent="0.25">
      <c r="D1192">
        <v>3239890</v>
      </c>
      <c r="H1192" t="s">
        <v>101</v>
      </c>
      <c r="P1192">
        <v>1997</v>
      </c>
      <c r="Q1192">
        <v>1861</v>
      </c>
    </row>
    <row r="1193" spans="4:17" x14ac:dyDescent="0.25">
      <c r="D1193">
        <v>3239890</v>
      </c>
      <c r="H1193" t="s">
        <v>72</v>
      </c>
      <c r="P1193">
        <v>1998</v>
      </c>
      <c r="Q1193">
        <v>1862</v>
      </c>
    </row>
    <row r="1194" spans="4:17" x14ac:dyDescent="0.25">
      <c r="D1194">
        <v>3239890</v>
      </c>
      <c r="H1194" t="s">
        <v>30</v>
      </c>
      <c r="P1194">
        <v>1999</v>
      </c>
      <c r="Q1194">
        <v>1863</v>
      </c>
    </row>
    <row r="1195" spans="4:17" x14ac:dyDescent="0.25">
      <c r="D1195">
        <v>3239890</v>
      </c>
      <c r="H1195" t="s">
        <v>30</v>
      </c>
      <c r="P1195">
        <v>2000</v>
      </c>
      <c r="Q1195">
        <v>1864</v>
      </c>
    </row>
    <row r="1196" spans="4:17" x14ac:dyDescent="0.25">
      <c r="D1196">
        <v>1936576</v>
      </c>
      <c r="H1196" t="s">
        <v>151</v>
      </c>
      <c r="P1196">
        <v>2001</v>
      </c>
      <c r="Q1196">
        <v>1865</v>
      </c>
    </row>
    <row r="1197" spans="4:17" x14ac:dyDescent="0.25">
      <c r="D1197">
        <v>1936576</v>
      </c>
      <c r="H1197" t="s">
        <v>151</v>
      </c>
      <c r="P1197">
        <v>2002</v>
      </c>
      <c r="Q1197">
        <v>1866</v>
      </c>
    </row>
    <row r="1198" spans="4:17" x14ac:dyDescent="0.25">
      <c r="D1198">
        <v>3675612</v>
      </c>
      <c r="H1198" t="s">
        <v>61</v>
      </c>
      <c r="P1198">
        <v>2003</v>
      </c>
      <c r="Q1198">
        <v>1867</v>
      </c>
    </row>
    <row r="1199" spans="4:17" x14ac:dyDescent="0.25">
      <c r="D1199">
        <v>2409616</v>
      </c>
      <c r="H1199" t="s">
        <v>151</v>
      </c>
      <c r="P1199">
        <v>2019</v>
      </c>
      <c r="Q1199">
        <v>1868</v>
      </c>
    </row>
    <row r="1200" spans="4:17" x14ac:dyDescent="0.25">
      <c r="D1200">
        <v>2409616</v>
      </c>
      <c r="H1200" t="s">
        <v>22</v>
      </c>
      <c r="P1200">
        <v>2035</v>
      </c>
      <c r="Q1200">
        <v>1869</v>
      </c>
    </row>
    <row r="1201" spans="4:17" x14ac:dyDescent="0.25">
      <c r="D1201">
        <v>2409616</v>
      </c>
      <c r="H1201" t="s">
        <v>21</v>
      </c>
      <c r="P1201">
        <v>2037</v>
      </c>
      <c r="Q1201">
        <v>1870</v>
      </c>
    </row>
    <row r="1202" spans="4:17" x14ac:dyDescent="0.25">
      <c r="D1202">
        <v>2409616</v>
      </c>
      <c r="H1202" t="s">
        <v>21</v>
      </c>
      <c r="P1202">
        <v>2038</v>
      </c>
      <c r="Q1202">
        <v>1871</v>
      </c>
    </row>
    <row r="1203" spans="4:17" x14ac:dyDescent="0.25">
      <c r="D1203">
        <v>2409616</v>
      </c>
      <c r="H1203" t="s">
        <v>21</v>
      </c>
      <c r="P1203">
        <v>2039</v>
      </c>
      <c r="Q1203">
        <v>1872</v>
      </c>
    </row>
    <row r="1204" spans="4:17" x14ac:dyDescent="0.25">
      <c r="D1204">
        <v>2409616</v>
      </c>
      <c r="H1204" t="s">
        <v>21</v>
      </c>
      <c r="P1204">
        <v>2040</v>
      </c>
      <c r="Q1204">
        <v>1873</v>
      </c>
    </row>
    <row r="1205" spans="4:17" x14ac:dyDescent="0.25">
      <c r="D1205">
        <v>2409616</v>
      </c>
      <c r="H1205" t="s">
        <v>76</v>
      </c>
      <c r="P1205">
        <v>2041</v>
      </c>
      <c r="Q1205">
        <v>1874</v>
      </c>
    </row>
    <row r="1206" spans="4:17" x14ac:dyDescent="0.25">
      <c r="D1206">
        <v>2409616</v>
      </c>
      <c r="H1206" t="s">
        <v>76</v>
      </c>
      <c r="P1206">
        <v>2042</v>
      </c>
      <c r="Q1206">
        <v>1875</v>
      </c>
    </row>
    <row r="1207" spans="4:17" x14ac:dyDescent="0.25">
      <c r="D1207">
        <v>2409616</v>
      </c>
      <c r="H1207" t="s">
        <v>76</v>
      </c>
      <c r="P1207">
        <v>2043</v>
      </c>
      <c r="Q1207">
        <v>1876</v>
      </c>
    </row>
    <row r="1208" spans="4:17" x14ac:dyDescent="0.25">
      <c r="D1208">
        <v>2409616</v>
      </c>
      <c r="H1208" t="s">
        <v>151</v>
      </c>
      <c r="P1208">
        <v>2044</v>
      </c>
      <c r="Q1208">
        <v>1877</v>
      </c>
    </row>
    <row r="1209" spans="4:17" x14ac:dyDescent="0.25">
      <c r="D1209">
        <v>2409616</v>
      </c>
      <c r="H1209" t="s">
        <v>101</v>
      </c>
      <c r="P1209">
        <v>2045</v>
      </c>
      <c r="Q1209">
        <v>1878</v>
      </c>
    </row>
    <row r="1210" spans="4:17" x14ac:dyDescent="0.25">
      <c r="D1210">
        <v>2409616</v>
      </c>
      <c r="H1210" t="s">
        <v>24</v>
      </c>
      <c r="P1210">
        <v>2046</v>
      </c>
      <c r="Q1210">
        <v>1879</v>
      </c>
    </row>
    <row r="1211" spans="4:17" x14ac:dyDescent="0.25">
      <c r="D1211">
        <v>2409616</v>
      </c>
      <c r="H1211" t="s">
        <v>24</v>
      </c>
      <c r="P1211">
        <v>2047</v>
      </c>
      <c r="Q1211">
        <v>1880</v>
      </c>
    </row>
    <row r="1212" spans="4:17" x14ac:dyDescent="0.25">
      <c r="D1212">
        <v>2409616</v>
      </c>
      <c r="H1212" t="s">
        <v>24</v>
      </c>
      <c r="P1212">
        <v>2048</v>
      </c>
      <c r="Q1212">
        <v>1881</v>
      </c>
    </row>
    <row r="1213" spans="4:17" x14ac:dyDescent="0.25">
      <c r="D1213">
        <v>3506438</v>
      </c>
      <c r="H1213" t="s">
        <v>151</v>
      </c>
      <c r="P1213">
        <v>2049</v>
      </c>
      <c r="Q1213">
        <v>1882</v>
      </c>
    </row>
    <row r="1214" spans="4:17" x14ac:dyDescent="0.25">
      <c r="D1214">
        <v>3506438</v>
      </c>
      <c r="H1214" t="s">
        <v>151</v>
      </c>
      <c r="P1214">
        <v>2050</v>
      </c>
      <c r="Q1214">
        <v>1883</v>
      </c>
    </row>
    <row r="1215" spans="4:17" x14ac:dyDescent="0.25">
      <c r="D1215">
        <v>3506438</v>
      </c>
      <c r="H1215" t="s">
        <v>151</v>
      </c>
      <c r="P1215">
        <v>2051</v>
      </c>
      <c r="Q1215">
        <v>1884</v>
      </c>
    </row>
    <row r="1216" spans="4:17" x14ac:dyDescent="0.25">
      <c r="D1216">
        <v>1940188</v>
      </c>
      <c r="H1216" t="s">
        <v>151</v>
      </c>
      <c r="P1216">
        <v>2052</v>
      </c>
      <c r="Q1216">
        <v>1885</v>
      </c>
    </row>
    <row r="1217" spans="4:17" x14ac:dyDescent="0.25">
      <c r="D1217">
        <v>1940188</v>
      </c>
      <c r="H1217" t="s">
        <v>30</v>
      </c>
      <c r="P1217">
        <v>2053</v>
      </c>
      <c r="Q1217">
        <v>1886</v>
      </c>
    </row>
    <row r="1218" spans="4:17" x14ac:dyDescent="0.25">
      <c r="D1218">
        <v>1940188</v>
      </c>
      <c r="H1218" t="s">
        <v>30</v>
      </c>
      <c r="P1218">
        <v>2054</v>
      </c>
      <c r="Q1218">
        <v>1887</v>
      </c>
    </row>
    <row r="1219" spans="4:17" x14ac:dyDescent="0.25">
      <c r="D1219">
        <v>1940188</v>
      </c>
      <c r="H1219" t="s">
        <v>24</v>
      </c>
      <c r="P1219">
        <v>2055</v>
      </c>
      <c r="Q1219">
        <v>1888</v>
      </c>
    </row>
    <row r="1220" spans="4:17" x14ac:dyDescent="0.25">
      <c r="D1220">
        <v>1940188</v>
      </c>
      <c r="H1220" t="s">
        <v>22</v>
      </c>
      <c r="P1220">
        <v>2060</v>
      </c>
      <c r="Q1220">
        <v>1889</v>
      </c>
    </row>
    <row r="1221" spans="4:17" x14ac:dyDescent="0.25">
      <c r="D1221">
        <v>1940188</v>
      </c>
      <c r="H1221" t="s">
        <v>22</v>
      </c>
      <c r="P1221">
        <v>2061</v>
      </c>
      <c r="Q1221">
        <v>1890</v>
      </c>
    </row>
    <row r="1222" spans="4:17" x14ac:dyDescent="0.25">
      <c r="D1222">
        <v>1940188</v>
      </c>
      <c r="H1222" t="s">
        <v>98</v>
      </c>
      <c r="P1222">
        <v>2073</v>
      </c>
      <c r="Q1222">
        <v>1891</v>
      </c>
    </row>
    <row r="1223" spans="4:17" x14ac:dyDescent="0.25">
      <c r="D1223">
        <v>1940188</v>
      </c>
      <c r="H1223" t="s">
        <v>98</v>
      </c>
      <c r="P1223">
        <v>2073</v>
      </c>
      <c r="Q1223">
        <v>1892</v>
      </c>
    </row>
    <row r="1224" spans="4:17" x14ac:dyDescent="0.25">
      <c r="D1224">
        <v>3675616</v>
      </c>
      <c r="H1224" t="s">
        <v>98</v>
      </c>
      <c r="P1224">
        <v>2074</v>
      </c>
      <c r="Q1224">
        <v>1893</v>
      </c>
    </row>
    <row r="1225" spans="4:17" x14ac:dyDescent="0.25">
      <c r="D1225">
        <v>1937022</v>
      </c>
      <c r="H1225" t="s">
        <v>98</v>
      </c>
      <c r="P1225">
        <v>2074</v>
      </c>
      <c r="Q1225">
        <v>1894</v>
      </c>
    </row>
    <row r="1226" spans="4:17" x14ac:dyDescent="0.25">
      <c r="D1226">
        <v>1937022</v>
      </c>
      <c r="H1226" t="s">
        <v>98</v>
      </c>
      <c r="P1226">
        <v>2075</v>
      </c>
      <c r="Q1226">
        <v>1895</v>
      </c>
    </row>
    <row r="1227" spans="4:17" x14ac:dyDescent="0.25">
      <c r="D1227">
        <v>1937022</v>
      </c>
      <c r="H1227" t="s">
        <v>37</v>
      </c>
      <c r="P1227">
        <v>2075</v>
      </c>
      <c r="Q1227">
        <v>1896</v>
      </c>
    </row>
    <row r="1228" spans="4:17" x14ac:dyDescent="0.25">
      <c r="D1228">
        <v>1937022</v>
      </c>
      <c r="H1228" t="s">
        <v>70</v>
      </c>
      <c r="P1228">
        <v>2076</v>
      </c>
      <c r="Q1228">
        <v>1902</v>
      </c>
    </row>
    <row r="1229" spans="4:17" x14ac:dyDescent="0.25">
      <c r="D1229">
        <v>1937022</v>
      </c>
      <c r="H1229" t="s">
        <v>70</v>
      </c>
      <c r="P1229">
        <v>2076</v>
      </c>
      <c r="Q1229">
        <v>1903</v>
      </c>
    </row>
    <row r="1230" spans="4:17" x14ac:dyDescent="0.25">
      <c r="D1230">
        <v>1937022</v>
      </c>
      <c r="H1230" t="s">
        <v>70</v>
      </c>
      <c r="P1230">
        <v>2077</v>
      </c>
      <c r="Q1230">
        <v>1904</v>
      </c>
    </row>
    <row r="1231" spans="4:17" x14ac:dyDescent="0.25">
      <c r="D1231">
        <v>3781600</v>
      </c>
      <c r="H1231" t="s">
        <v>70</v>
      </c>
      <c r="P1231">
        <v>2077</v>
      </c>
      <c r="Q1231">
        <v>1905</v>
      </c>
    </row>
    <row r="1232" spans="4:17" x14ac:dyDescent="0.25">
      <c r="D1232">
        <v>1940189</v>
      </c>
      <c r="H1232" t="s">
        <v>17</v>
      </c>
      <c r="P1232">
        <v>2092</v>
      </c>
      <c r="Q1232">
        <v>1906</v>
      </c>
    </row>
    <row r="1233" spans="4:17" x14ac:dyDescent="0.25">
      <c r="D1233">
        <v>1940189</v>
      </c>
      <c r="H1233" t="s">
        <v>17</v>
      </c>
      <c r="P1233">
        <v>2101</v>
      </c>
      <c r="Q1233">
        <v>1907</v>
      </c>
    </row>
    <row r="1234" spans="4:17" x14ac:dyDescent="0.25">
      <c r="D1234">
        <v>1940189</v>
      </c>
      <c r="H1234" t="s">
        <v>62</v>
      </c>
      <c r="P1234">
        <v>2102</v>
      </c>
      <c r="Q1234">
        <v>1908</v>
      </c>
    </row>
    <row r="1235" spans="4:17" x14ac:dyDescent="0.25">
      <c r="D1235">
        <v>296369</v>
      </c>
      <c r="H1235" t="s">
        <v>21</v>
      </c>
      <c r="P1235">
        <v>2103</v>
      </c>
      <c r="Q1235">
        <v>1909</v>
      </c>
    </row>
    <row r="1236" spans="4:17" x14ac:dyDescent="0.25">
      <c r="D1236">
        <v>3675617</v>
      </c>
      <c r="H1236" t="s">
        <v>76</v>
      </c>
      <c r="P1236">
        <v>2104</v>
      </c>
      <c r="Q1236">
        <v>1910</v>
      </c>
    </row>
    <row r="1237" spans="4:17" x14ac:dyDescent="0.25">
      <c r="D1237">
        <v>3675618</v>
      </c>
      <c r="H1237" t="s">
        <v>151</v>
      </c>
      <c r="P1237">
        <v>2105</v>
      </c>
      <c r="Q1237">
        <v>1911</v>
      </c>
    </row>
    <row r="1238" spans="4:17" x14ac:dyDescent="0.25">
      <c r="D1238">
        <v>3675619</v>
      </c>
      <c r="H1238" t="s">
        <v>151</v>
      </c>
      <c r="P1238">
        <v>2106</v>
      </c>
      <c r="Q1238">
        <v>1912</v>
      </c>
    </row>
    <row r="1239" spans="4:17" x14ac:dyDescent="0.25">
      <c r="D1239">
        <v>3675620</v>
      </c>
      <c r="H1239" t="s">
        <v>151</v>
      </c>
      <c r="P1239">
        <v>2107</v>
      </c>
      <c r="Q1239">
        <v>1913</v>
      </c>
    </row>
    <row r="1240" spans="4:17" x14ac:dyDescent="0.25">
      <c r="D1240">
        <v>3675641</v>
      </c>
      <c r="H1240" t="s">
        <v>151</v>
      </c>
      <c r="P1240">
        <v>2108</v>
      </c>
      <c r="Q1240">
        <v>1914</v>
      </c>
    </row>
    <row r="1241" spans="4:17" x14ac:dyDescent="0.25">
      <c r="D1241">
        <v>3675642</v>
      </c>
      <c r="H1241" t="s">
        <v>151</v>
      </c>
      <c r="P1241">
        <v>2109</v>
      </c>
      <c r="Q1241">
        <v>1915</v>
      </c>
    </row>
    <row r="1242" spans="4:17" x14ac:dyDescent="0.25">
      <c r="D1242">
        <v>3675643</v>
      </c>
      <c r="H1242" t="s">
        <v>151</v>
      </c>
      <c r="P1242">
        <v>2110</v>
      </c>
      <c r="Q1242">
        <v>1916</v>
      </c>
    </row>
    <row r="1243" spans="4:17" x14ac:dyDescent="0.25">
      <c r="D1243">
        <v>3675644</v>
      </c>
      <c r="H1243" t="s">
        <v>151</v>
      </c>
      <c r="P1243">
        <v>2111</v>
      </c>
      <c r="Q1243">
        <v>1940</v>
      </c>
    </row>
    <row r="1244" spans="4:17" x14ac:dyDescent="0.25">
      <c r="D1244">
        <v>3229740</v>
      </c>
      <c r="H1244" t="s">
        <v>151</v>
      </c>
      <c r="P1244">
        <v>2112</v>
      </c>
      <c r="Q1244">
        <v>1941</v>
      </c>
    </row>
    <row r="1245" spans="4:17" x14ac:dyDescent="0.25">
      <c r="D1245">
        <v>3229740</v>
      </c>
      <c r="H1245" t="s">
        <v>61</v>
      </c>
      <c r="P1245">
        <v>2113</v>
      </c>
      <c r="Q1245">
        <v>1942</v>
      </c>
    </row>
    <row r="1246" spans="4:17" x14ac:dyDescent="0.25">
      <c r="D1246">
        <v>3229740</v>
      </c>
      <c r="H1246" t="s">
        <v>61</v>
      </c>
      <c r="P1246">
        <v>2114</v>
      </c>
      <c r="Q1246">
        <v>1943</v>
      </c>
    </row>
    <row r="1247" spans="4:17" x14ac:dyDescent="0.25">
      <c r="D1247">
        <v>3229740</v>
      </c>
      <c r="H1247" t="s">
        <v>61</v>
      </c>
      <c r="P1247">
        <v>2115</v>
      </c>
      <c r="Q1247">
        <v>1944</v>
      </c>
    </row>
    <row r="1248" spans="4:17" x14ac:dyDescent="0.25">
      <c r="D1248">
        <v>3229740</v>
      </c>
      <c r="H1248" t="s">
        <v>61</v>
      </c>
      <c r="P1248">
        <v>2116</v>
      </c>
      <c r="Q1248">
        <v>1945</v>
      </c>
    </row>
    <row r="1249" spans="4:17" x14ac:dyDescent="0.25">
      <c r="D1249">
        <v>3229740</v>
      </c>
      <c r="H1249" t="s">
        <v>151</v>
      </c>
      <c r="P1249">
        <v>2117</v>
      </c>
      <c r="Q1249">
        <v>1946</v>
      </c>
    </row>
    <row r="1250" spans="4:17" x14ac:dyDescent="0.25">
      <c r="D1250">
        <v>3229740</v>
      </c>
      <c r="H1250" t="s">
        <v>151</v>
      </c>
      <c r="P1250">
        <v>2118</v>
      </c>
      <c r="Q1250">
        <v>1947</v>
      </c>
    </row>
    <row r="1251" spans="4:17" x14ac:dyDescent="0.25">
      <c r="D1251">
        <v>3229740</v>
      </c>
      <c r="H1251" t="s">
        <v>70</v>
      </c>
      <c r="P1251">
        <v>2119</v>
      </c>
      <c r="Q1251">
        <v>1948</v>
      </c>
    </row>
    <row r="1252" spans="4:17" x14ac:dyDescent="0.25">
      <c r="D1252">
        <v>3229740</v>
      </c>
      <c r="H1252" t="s">
        <v>70</v>
      </c>
      <c r="P1252">
        <v>2120</v>
      </c>
      <c r="Q1252">
        <v>1949</v>
      </c>
    </row>
    <row r="1253" spans="4:17" x14ac:dyDescent="0.25">
      <c r="D1253">
        <v>3229740</v>
      </c>
      <c r="H1253" t="s">
        <v>70</v>
      </c>
      <c r="P1253">
        <v>2121</v>
      </c>
      <c r="Q1253">
        <v>1950</v>
      </c>
    </row>
    <row r="1254" spans="4:17" x14ac:dyDescent="0.25">
      <c r="D1254">
        <v>3229740</v>
      </c>
      <c r="H1254" t="s">
        <v>70</v>
      </c>
      <c r="P1254">
        <v>2122</v>
      </c>
      <c r="Q1254">
        <v>1951</v>
      </c>
    </row>
    <row r="1255" spans="4:17" x14ac:dyDescent="0.25">
      <c r="D1255">
        <v>3229740</v>
      </c>
      <c r="H1255" t="s">
        <v>70</v>
      </c>
      <c r="P1255">
        <v>2123</v>
      </c>
      <c r="Q1255">
        <v>1952</v>
      </c>
    </row>
    <row r="1256" spans="4:17" x14ac:dyDescent="0.25">
      <c r="D1256">
        <v>3229740</v>
      </c>
      <c r="H1256" t="s">
        <v>70</v>
      </c>
      <c r="P1256">
        <v>2124</v>
      </c>
      <c r="Q1256">
        <v>1953</v>
      </c>
    </row>
    <row r="1257" spans="4:17" x14ac:dyDescent="0.25">
      <c r="D1257">
        <v>3675645</v>
      </c>
      <c r="H1257" t="s">
        <v>70</v>
      </c>
      <c r="P1257">
        <v>2125</v>
      </c>
      <c r="Q1257">
        <v>1958</v>
      </c>
    </row>
    <row r="1258" spans="4:17" x14ac:dyDescent="0.25">
      <c r="D1258">
        <v>3675646</v>
      </c>
      <c r="H1258" t="s">
        <v>39</v>
      </c>
      <c r="P1258">
        <v>2126</v>
      </c>
      <c r="Q1258">
        <v>1959</v>
      </c>
    </row>
    <row r="1259" spans="4:17" x14ac:dyDescent="0.25">
      <c r="D1259">
        <v>3675647</v>
      </c>
      <c r="H1259" t="s">
        <v>76</v>
      </c>
      <c r="P1259">
        <v>2127</v>
      </c>
      <c r="Q1259">
        <v>1990</v>
      </c>
    </row>
    <row r="1260" spans="4:17" x14ac:dyDescent="0.25">
      <c r="D1260">
        <v>3229739</v>
      </c>
      <c r="H1260" t="s">
        <v>76</v>
      </c>
      <c r="P1260">
        <v>2128</v>
      </c>
      <c r="Q1260">
        <v>1991</v>
      </c>
    </row>
    <row r="1261" spans="4:17" x14ac:dyDescent="0.25">
      <c r="D1261">
        <v>3229739</v>
      </c>
      <c r="H1261" t="s">
        <v>151</v>
      </c>
      <c r="P1261">
        <v>2129</v>
      </c>
      <c r="Q1261">
        <v>1992</v>
      </c>
    </row>
    <row r="1262" spans="4:17" x14ac:dyDescent="0.25">
      <c r="D1262">
        <v>3229739</v>
      </c>
      <c r="H1262" t="s">
        <v>151</v>
      </c>
      <c r="P1262">
        <v>2129</v>
      </c>
      <c r="Q1262">
        <v>1993</v>
      </c>
    </row>
    <row r="1263" spans="4:17" x14ac:dyDescent="0.25">
      <c r="D1263">
        <v>3229739</v>
      </c>
      <c r="H1263" t="s">
        <v>151</v>
      </c>
      <c r="P1263">
        <v>2130</v>
      </c>
      <c r="Q1263">
        <v>1994</v>
      </c>
    </row>
    <row r="1264" spans="4:17" x14ac:dyDescent="0.25">
      <c r="D1264">
        <v>3229739</v>
      </c>
      <c r="H1264" t="s">
        <v>22</v>
      </c>
      <c r="P1264">
        <v>2130</v>
      </c>
      <c r="Q1264">
        <v>1995</v>
      </c>
    </row>
    <row r="1265" spans="4:17" x14ac:dyDescent="0.25">
      <c r="D1265">
        <v>3229739</v>
      </c>
      <c r="H1265" t="s">
        <v>24</v>
      </c>
      <c r="P1265">
        <v>2131</v>
      </c>
      <c r="Q1265">
        <v>1996</v>
      </c>
    </row>
    <row r="1266" spans="4:17" x14ac:dyDescent="0.25">
      <c r="D1266">
        <v>3229739</v>
      </c>
      <c r="H1266" t="s">
        <v>24</v>
      </c>
      <c r="P1266">
        <v>2131</v>
      </c>
      <c r="Q1266">
        <v>1997</v>
      </c>
    </row>
    <row r="1267" spans="4:17" x14ac:dyDescent="0.25">
      <c r="D1267">
        <v>3229739</v>
      </c>
      <c r="H1267" t="s">
        <v>151</v>
      </c>
      <c r="P1267">
        <v>2132</v>
      </c>
      <c r="Q1267">
        <v>1998</v>
      </c>
    </row>
    <row r="1268" spans="4:17" x14ac:dyDescent="0.25">
      <c r="D1268">
        <v>3229739</v>
      </c>
      <c r="H1268" t="s">
        <v>151</v>
      </c>
      <c r="P1268">
        <v>2132</v>
      </c>
      <c r="Q1268">
        <v>1999</v>
      </c>
    </row>
    <row r="1269" spans="4:17" x14ac:dyDescent="0.25">
      <c r="D1269">
        <v>3229739</v>
      </c>
      <c r="H1269" t="s">
        <v>151</v>
      </c>
      <c r="P1269">
        <v>2133</v>
      </c>
      <c r="Q1269">
        <v>2000</v>
      </c>
    </row>
    <row r="1270" spans="4:17" x14ac:dyDescent="0.25">
      <c r="D1270">
        <v>3509884</v>
      </c>
      <c r="H1270" t="s">
        <v>151</v>
      </c>
      <c r="P1270">
        <v>2133</v>
      </c>
      <c r="Q1270">
        <v>2001</v>
      </c>
    </row>
    <row r="1271" spans="4:17" x14ac:dyDescent="0.25">
      <c r="D1271">
        <v>2409617</v>
      </c>
      <c r="H1271" t="s">
        <v>151</v>
      </c>
      <c r="P1271">
        <v>2134</v>
      </c>
      <c r="Q1271">
        <v>2002</v>
      </c>
    </row>
    <row r="1272" spans="4:17" x14ac:dyDescent="0.25">
      <c r="D1272">
        <v>3675648</v>
      </c>
      <c r="H1272" t="s">
        <v>39</v>
      </c>
      <c r="P1272">
        <v>2134</v>
      </c>
      <c r="Q1272">
        <v>2003</v>
      </c>
    </row>
    <row r="1273" spans="4:17" x14ac:dyDescent="0.25">
      <c r="D1273">
        <v>3409367</v>
      </c>
      <c r="H1273" t="s">
        <v>36</v>
      </c>
      <c r="P1273">
        <v>2135</v>
      </c>
      <c r="Q1273">
        <v>2013</v>
      </c>
    </row>
    <row r="1274" spans="4:17" x14ac:dyDescent="0.25">
      <c r="D1274">
        <v>3409367</v>
      </c>
      <c r="H1274" t="s">
        <v>36</v>
      </c>
      <c r="P1274">
        <v>2135</v>
      </c>
      <c r="Q1274">
        <v>2014</v>
      </c>
    </row>
    <row r="1275" spans="4:17" x14ac:dyDescent="0.25">
      <c r="D1275">
        <v>3409367</v>
      </c>
      <c r="H1275" t="s">
        <v>36</v>
      </c>
      <c r="P1275">
        <v>2136</v>
      </c>
      <c r="Q1275">
        <v>2015</v>
      </c>
    </row>
    <row r="1276" spans="4:17" x14ac:dyDescent="0.25">
      <c r="D1276">
        <v>3409367</v>
      </c>
      <c r="H1276" t="s">
        <v>70</v>
      </c>
      <c r="P1276">
        <v>2136</v>
      </c>
      <c r="Q1276">
        <v>2016</v>
      </c>
    </row>
    <row r="1277" spans="4:17" x14ac:dyDescent="0.25">
      <c r="D1277">
        <v>3409367</v>
      </c>
      <c r="H1277" t="s">
        <v>126</v>
      </c>
      <c r="P1277">
        <v>2137</v>
      </c>
      <c r="Q1277">
        <v>2017</v>
      </c>
    </row>
    <row r="1278" spans="4:17" x14ac:dyDescent="0.25">
      <c r="D1278">
        <v>3409367</v>
      </c>
      <c r="H1278" t="s">
        <v>126</v>
      </c>
      <c r="P1278">
        <v>2137</v>
      </c>
      <c r="Q1278">
        <v>2018</v>
      </c>
    </row>
    <row r="1279" spans="4:17" x14ac:dyDescent="0.25">
      <c r="D1279">
        <v>3409367</v>
      </c>
      <c r="H1279" t="s">
        <v>76</v>
      </c>
      <c r="P1279">
        <v>2138</v>
      </c>
      <c r="Q1279">
        <v>2019</v>
      </c>
    </row>
    <row r="1280" spans="4:17" x14ac:dyDescent="0.25">
      <c r="D1280">
        <v>3409367</v>
      </c>
      <c r="H1280" t="s">
        <v>76</v>
      </c>
      <c r="P1280">
        <v>2138</v>
      </c>
      <c r="Q1280">
        <v>2035</v>
      </c>
    </row>
    <row r="1281" spans="4:17" x14ac:dyDescent="0.25">
      <c r="D1281">
        <v>3409367</v>
      </c>
      <c r="H1281" t="s">
        <v>76</v>
      </c>
      <c r="P1281">
        <v>2139</v>
      </c>
      <c r="Q1281">
        <v>2037</v>
      </c>
    </row>
    <row r="1282" spans="4:17" x14ac:dyDescent="0.25">
      <c r="D1282">
        <v>3409367</v>
      </c>
      <c r="H1282" t="s">
        <v>70</v>
      </c>
      <c r="P1282">
        <v>2139</v>
      </c>
      <c r="Q1282">
        <v>2038</v>
      </c>
    </row>
    <row r="1283" spans="4:17" x14ac:dyDescent="0.25">
      <c r="D1283">
        <v>3409367</v>
      </c>
      <c r="H1283" t="s">
        <v>70</v>
      </c>
      <c r="P1283">
        <v>2140</v>
      </c>
      <c r="Q1283">
        <v>2039</v>
      </c>
    </row>
    <row r="1284" spans="4:17" x14ac:dyDescent="0.25">
      <c r="D1284">
        <v>3409367</v>
      </c>
      <c r="H1284" t="s">
        <v>70</v>
      </c>
      <c r="P1284">
        <v>2140</v>
      </c>
      <c r="Q1284">
        <v>2040</v>
      </c>
    </row>
    <row r="1285" spans="4:17" x14ac:dyDescent="0.25">
      <c r="D1285">
        <v>3675649</v>
      </c>
      <c r="H1285" t="s">
        <v>70</v>
      </c>
      <c r="P1285">
        <v>2141</v>
      </c>
      <c r="Q1285">
        <v>2041</v>
      </c>
    </row>
    <row r="1286" spans="4:17" x14ac:dyDescent="0.25">
      <c r="D1286">
        <v>3675650</v>
      </c>
      <c r="H1286" t="s">
        <v>65</v>
      </c>
      <c r="P1286">
        <v>2141</v>
      </c>
      <c r="Q1286">
        <v>2042</v>
      </c>
    </row>
    <row r="1287" spans="4:17" x14ac:dyDescent="0.25">
      <c r="D1287">
        <v>2405724</v>
      </c>
      <c r="H1287" t="s">
        <v>65</v>
      </c>
      <c r="P1287">
        <v>2142</v>
      </c>
      <c r="Q1287">
        <v>2043</v>
      </c>
    </row>
    <row r="1288" spans="4:17" x14ac:dyDescent="0.25">
      <c r="D1288">
        <v>2404748</v>
      </c>
      <c r="H1288" t="s">
        <v>151</v>
      </c>
      <c r="P1288">
        <v>2142</v>
      </c>
      <c r="Q1288">
        <v>2044</v>
      </c>
    </row>
    <row r="1289" spans="4:17" x14ac:dyDescent="0.25">
      <c r="D1289">
        <v>3498996</v>
      </c>
      <c r="H1289" t="s">
        <v>151</v>
      </c>
      <c r="P1289">
        <v>2143</v>
      </c>
      <c r="Q1289">
        <v>2045</v>
      </c>
    </row>
    <row r="1290" spans="4:17" x14ac:dyDescent="0.25">
      <c r="D1290">
        <v>3498996</v>
      </c>
      <c r="H1290" t="s">
        <v>151</v>
      </c>
      <c r="P1290">
        <v>2143</v>
      </c>
      <c r="Q1290">
        <v>2046</v>
      </c>
    </row>
    <row r="1291" spans="4:17" x14ac:dyDescent="0.25">
      <c r="D1291">
        <v>3498996</v>
      </c>
      <c r="H1291" t="s">
        <v>151</v>
      </c>
      <c r="P1291">
        <v>2144</v>
      </c>
      <c r="Q1291">
        <v>2047</v>
      </c>
    </row>
    <row r="1292" spans="4:17" x14ac:dyDescent="0.25">
      <c r="D1292">
        <v>3498996</v>
      </c>
      <c r="H1292" t="s">
        <v>22</v>
      </c>
      <c r="P1292">
        <v>2144</v>
      </c>
      <c r="Q1292">
        <v>2048</v>
      </c>
    </row>
    <row r="1293" spans="4:17" x14ac:dyDescent="0.25">
      <c r="D1293">
        <v>3498996</v>
      </c>
      <c r="H1293" t="s">
        <v>22</v>
      </c>
      <c r="P1293">
        <v>2145</v>
      </c>
      <c r="Q1293">
        <v>2049</v>
      </c>
    </row>
    <row r="1294" spans="4:17" x14ac:dyDescent="0.25">
      <c r="D1294">
        <v>1931848</v>
      </c>
      <c r="H1294" t="s">
        <v>22</v>
      </c>
      <c r="P1294">
        <v>2145</v>
      </c>
      <c r="Q1294">
        <v>2050</v>
      </c>
    </row>
    <row r="1295" spans="4:17" x14ac:dyDescent="0.25">
      <c r="D1295">
        <v>1931848</v>
      </c>
      <c r="H1295" t="s">
        <v>72</v>
      </c>
      <c r="P1295">
        <v>2146</v>
      </c>
      <c r="Q1295">
        <v>2051</v>
      </c>
    </row>
    <row r="1296" spans="4:17" x14ac:dyDescent="0.25">
      <c r="D1296">
        <v>1931848</v>
      </c>
      <c r="H1296" t="s">
        <v>72</v>
      </c>
      <c r="P1296">
        <v>2146</v>
      </c>
      <c r="Q1296">
        <v>2052</v>
      </c>
    </row>
    <row r="1297" spans="4:17" x14ac:dyDescent="0.25">
      <c r="D1297">
        <v>2288879</v>
      </c>
      <c r="H1297" t="s">
        <v>72</v>
      </c>
      <c r="P1297">
        <v>2147</v>
      </c>
      <c r="Q1297">
        <v>2053</v>
      </c>
    </row>
    <row r="1298" spans="4:17" x14ac:dyDescent="0.25">
      <c r="D1298">
        <v>2288879</v>
      </c>
      <c r="H1298" t="s">
        <v>72</v>
      </c>
      <c r="P1298">
        <v>2147</v>
      </c>
      <c r="Q1298">
        <v>2054</v>
      </c>
    </row>
    <row r="1299" spans="4:17" x14ac:dyDescent="0.25">
      <c r="D1299">
        <v>2288879</v>
      </c>
      <c r="H1299" t="s">
        <v>72</v>
      </c>
      <c r="P1299">
        <v>2148</v>
      </c>
      <c r="Q1299">
        <v>2055</v>
      </c>
    </row>
    <row r="1300" spans="4:17" x14ac:dyDescent="0.25">
      <c r="D1300">
        <v>3209979</v>
      </c>
      <c r="H1300" t="s">
        <v>72</v>
      </c>
      <c r="P1300">
        <v>2148</v>
      </c>
      <c r="Q1300">
        <v>2060</v>
      </c>
    </row>
    <row r="1301" spans="4:17" x14ac:dyDescent="0.25">
      <c r="D1301">
        <v>3510169</v>
      </c>
      <c r="H1301" t="s">
        <v>72</v>
      </c>
      <c r="P1301">
        <v>2149</v>
      </c>
      <c r="Q1301">
        <v>2061</v>
      </c>
    </row>
    <row r="1302" spans="4:17" x14ac:dyDescent="0.25">
      <c r="D1302">
        <v>3838038</v>
      </c>
      <c r="H1302" t="s">
        <v>76</v>
      </c>
      <c r="P1302">
        <v>2149</v>
      </c>
      <c r="Q1302">
        <v>2073</v>
      </c>
    </row>
    <row r="1303" spans="4:17" x14ac:dyDescent="0.25">
      <c r="D1303">
        <v>3838038</v>
      </c>
      <c r="H1303" t="s">
        <v>76</v>
      </c>
      <c r="P1303">
        <v>2150</v>
      </c>
      <c r="Q1303">
        <v>2074</v>
      </c>
    </row>
    <row r="1304" spans="4:17" x14ac:dyDescent="0.25">
      <c r="D1304">
        <v>3838038</v>
      </c>
      <c r="H1304" t="s">
        <v>151</v>
      </c>
      <c r="P1304">
        <v>2150</v>
      </c>
      <c r="Q1304">
        <v>2075</v>
      </c>
    </row>
    <row r="1305" spans="4:17" x14ac:dyDescent="0.25">
      <c r="D1305">
        <v>3850310</v>
      </c>
      <c r="H1305" t="s">
        <v>151</v>
      </c>
      <c r="P1305">
        <v>2151</v>
      </c>
      <c r="Q1305">
        <v>2076</v>
      </c>
    </row>
    <row r="1306" spans="4:17" x14ac:dyDescent="0.25">
      <c r="D1306">
        <v>3850310</v>
      </c>
      <c r="H1306" t="s">
        <v>151</v>
      </c>
      <c r="P1306">
        <v>2152</v>
      </c>
      <c r="Q1306">
        <v>2077</v>
      </c>
    </row>
    <row r="1307" spans="4:17" x14ac:dyDescent="0.25">
      <c r="D1307">
        <v>3484653</v>
      </c>
      <c r="H1307" t="s">
        <v>32</v>
      </c>
      <c r="P1307">
        <v>2153</v>
      </c>
      <c r="Q1307">
        <v>2092</v>
      </c>
    </row>
    <row r="1308" spans="4:17" x14ac:dyDescent="0.25">
      <c r="D1308">
        <v>3484653</v>
      </c>
      <c r="H1308" t="s">
        <v>32</v>
      </c>
      <c r="P1308">
        <v>2154</v>
      </c>
      <c r="Q1308">
        <v>2101</v>
      </c>
    </row>
    <row r="1309" spans="4:17" x14ac:dyDescent="0.25">
      <c r="D1309">
        <v>3217232</v>
      </c>
      <c r="H1309" t="s">
        <v>39</v>
      </c>
      <c r="P1309">
        <v>2155</v>
      </c>
      <c r="Q1309">
        <v>2102</v>
      </c>
    </row>
    <row r="1310" spans="4:17" x14ac:dyDescent="0.25">
      <c r="D1310">
        <v>3217232</v>
      </c>
      <c r="H1310" t="s">
        <v>39</v>
      </c>
      <c r="P1310">
        <v>2156</v>
      </c>
      <c r="Q1310">
        <v>2103</v>
      </c>
    </row>
    <row r="1311" spans="4:17" x14ac:dyDescent="0.25">
      <c r="D1311">
        <v>3217232</v>
      </c>
      <c r="H1311" t="s">
        <v>21</v>
      </c>
      <c r="P1311">
        <v>2157</v>
      </c>
      <c r="Q1311">
        <v>2104</v>
      </c>
    </row>
    <row r="1312" spans="4:17" x14ac:dyDescent="0.25">
      <c r="D1312">
        <v>3217232</v>
      </c>
      <c r="H1312" t="s">
        <v>21</v>
      </c>
      <c r="P1312">
        <v>2158</v>
      </c>
      <c r="Q1312">
        <v>2105</v>
      </c>
    </row>
    <row r="1313" spans="4:17" x14ac:dyDescent="0.25">
      <c r="D1313">
        <v>3217232</v>
      </c>
      <c r="H1313" t="s">
        <v>21</v>
      </c>
      <c r="P1313">
        <v>2159</v>
      </c>
      <c r="Q1313">
        <v>2106</v>
      </c>
    </row>
    <row r="1314" spans="4:17" x14ac:dyDescent="0.25">
      <c r="D1314">
        <v>1529261</v>
      </c>
      <c r="H1314" t="s">
        <v>21</v>
      </c>
      <c r="P1314">
        <v>2160</v>
      </c>
      <c r="Q1314">
        <v>2107</v>
      </c>
    </row>
    <row r="1315" spans="4:17" x14ac:dyDescent="0.25">
      <c r="D1315">
        <v>1529260</v>
      </c>
      <c r="H1315" t="s">
        <v>21</v>
      </c>
      <c r="P1315">
        <v>2161</v>
      </c>
      <c r="Q1315">
        <v>2108</v>
      </c>
    </row>
    <row r="1316" spans="4:17" x14ac:dyDescent="0.25">
      <c r="D1316">
        <v>1174861</v>
      </c>
      <c r="H1316" t="s">
        <v>21</v>
      </c>
      <c r="P1316">
        <v>2162</v>
      </c>
      <c r="Q1316">
        <v>2109</v>
      </c>
    </row>
    <row r="1317" spans="4:17" x14ac:dyDescent="0.25">
      <c r="D1317">
        <v>464578</v>
      </c>
      <c r="H1317" t="s">
        <v>39</v>
      </c>
      <c r="P1317">
        <v>2163</v>
      </c>
      <c r="Q1317">
        <v>2110</v>
      </c>
    </row>
    <row r="1318" spans="4:17" x14ac:dyDescent="0.25">
      <c r="D1318">
        <v>3187716</v>
      </c>
      <c r="H1318" t="s">
        <v>39</v>
      </c>
      <c r="P1318">
        <v>2164</v>
      </c>
      <c r="Q1318">
        <v>2111</v>
      </c>
    </row>
    <row r="1319" spans="4:17" x14ac:dyDescent="0.25">
      <c r="D1319">
        <v>3187716</v>
      </c>
      <c r="H1319" t="s">
        <v>21</v>
      </c>
      <c r="P1319">
        <v>2165</v>
      </c>
      <c r="Q1319">
        <v>2112</v>
      </c>
    </row>
    <row r="1320" spans="4:17" x14ac:dyDescent="0.25">
      <c r="D1320">
        <v>3063589</v>
      </c>
      <c r="H1320" t="s">
        <v>21</v>
      </c>
      <c r="P1320">
        <v>2166</v>
      </c>
      <c r="Q1320">
        <v>2113</v>
      </c>
    </row>
    <row r="1321" spans="4:17" x14ac:dyDescent="0.25">
      <c r="D1321">
        <v>3453631</v>
      </c>
      <c r="H1321" t="s">
        <v>94</v>
      </c>
      <c r="P1321">
        <v>2167</v>
      </c>
      <c r="Q1321">
        <v>2114</v>
      </c>
    </row>
    <row r="1322" spans="4:17" x14ac:dyDescent="0.25">
      <c r="D1322">
        <v>2384088</v>
      </c>
      <c r="H1322" t="s">
        <v>94</v>
      </c>
      <c r="P1322">
        <v>2168</v>
      </c>
      <c r="Q1322">
        <v>2115</v>
      </c>
    </row>
    <row r="1323" spans="4:17" x14ac:dyDescent="0.25">
      <c r="D1323">
        <v>2384088</v>
      </c>
      <c r="H1323" t="s">
        <v>94</v>
      </c>
      <c r="P1323">
        <v>2169</v>
      </c>
      <c r="Q1323">
        <v>2116</v>
      </c>
    </row>
    <row r="1324" spans="4:17" x14ac:dyDescent="0.25">
      <c r="D1324">
        <v>1531612</v>
      </c>
      <c r="H1324" t="s">
        <v>151</v>
      </c>
      <c r="P1324">
        <v>2170</v>
      </c>
      <c r="Q1324">
        <v>2117</v>
      </c>
    </row>
    <row r="1325" spans="4:17" x14ac:dyDescent="0.25">
      <c r="D1325">
        <v>1531612</v>
      </c>
      <c r="H1325" t="s">
        <v>151</v>
      </c>
      <c r="P1325">
        <v>2171</v>
      </c>
      <c r="Q1325">
        <v>2118</v>
      </c>
    </row>
    <row r="1326" spans="4:17" x14ac:dyDescent="0.25">
      <c r="D1326">
        <v>3122347</v>
      </c>
      <c r="H1326" t="s">
        <v>151</v>
      </c>
      <c r="P1326">
        <v>2172</v>
      </c>
      <c r="Q1326">
        <v>2119</v>
      </c>
    </row>
    <row r="1327" spans="4:17" x14ac:dyDescent="0.25">
      <c r="D1327">
        <v>3122347</v>
      </c>
      <c r="H1327" t="s">
        <v>151</v>
      </c>
      <c r="P1327">
        <v>2173</v>
      </c>
      <c r="Q1327">
        <v>2120</v>
      </c>
    </row>
    <row r="1328" spans="4:17" x14ac:dyDescent="0.25">
      <c r="D1328">
        <v>3122347</v>
      </c>
      <c r="H1328" t="s">
        <v>151</v>
      </c>
      <c r="P1328">
        <v>2174</v>
      </c>
      <c r="Q1328">
        <v>2121</v>
      </c>
    </row>
    <row r="1329" spans="4:17" x14ac:dyDescent="0.25">
      <c r="D1329">
        <v>3122347</v>
      </c>
      <c r="H1329" t="s">
        <v>22</v>
      </c>
      <c r="P1329">
        <v>2175</v>
      </c>
      <c r="Q1329">
        <v>2122</v>
      </c>
    </row>
    <row r="1330" spans="4:17" x14ac:dyDescent="0.25">
      <c r="D1330">
        <v>3122347</v>
      </c>
      <c r="H1330" t="s">
        <v>22</v>
      </c>
      <c r="P1330">
        <v>2176</v>
      </c>
      <c r="Q1330">
        <v>2123</v>
      </c>
    </row>
    <row r="1331" spans="4:17" x14ac:dyDescent="0.25">
      <c r="D1331">
        <v>3122347</v>
      </c>
      <c r="H1331" t="s">
        <v>22</v>
      </c>
      <c r="P1331">
        <v>2177</v>
      </c>
      <c r="Q1331">
        <v>2124</v>
      </c>
    </row>
    <row r="1332" spans="4:17" x14ac:dyDescent="0.25">
      <c r="D1332">
        <v>3122347</v>
      </c>
      <c r="H1332" t="s">
        <v>101</v>
      </c>
      <c r="P1332">
        <v>2178</v>
      </c>
      <c r="Q1332">
        <v>2125</v>
      </c>
    </row>
    <row r="1333" spans="4:17" x14ac:dyDescent="0.25">
      <c r="D1333">
        <v>3122347</v>
      </c>
      <c r="H1333" t="s">
        <v>101</v>
      </c>
      <c r="P1333">
        <v>2179</v>
      </c>
      <c r="Q1333">
        <v>2126</v>
      </c>
    </row>
    <row r="1334" spans="4:17" x14ac:dyDescent="0.25">
      <c r="D1334">
        <v>3122347</v>
      </c>
      <c r="H1334" t="s">
        <v>101</v>
      </c>
      <c r="P1334">
        <v>2180</v>
      </c>
      <c r="Q1334">
        <v>2127</v>
      </c>
    </row>
    <row r="1335" spans="4:17" x14ac:dyDescent="0.25">
      <c r="D1335">
        <v>3122347</v>
      </c>
      <c r="H1335" t="s">
        <v>101</v>
      </c>
      <c r="P1335">
        <v>2181</v>
      </c>
      <c r="Q1335">
        <v>2128</v>
      </c>
    </row>
    <row r="1336" spans="4:17" x14ac:dyDescent="0.25">
      <c r="D1336">
        <v>3122347</v>
      </c>
      <c r="H1336" t="s">
        <v>101</v>
      </c>
      <c r="P1336">
        <v>2182</v>
      </c>
      <c r="Q1336">
        <v>2129</v>
      </c>
    </row>
    <row r="1337" spans="4:17" x14ac:dyDescent="0.25">
      <c r="D1337">
        <v>3210052</v>
      </c>
      <c r="H1337" t="s">
        <v>101</v>
      </c>
      <c r="P1337">
        <v>2183</v>
      </c>
      <c r="Q1337">
        <v>2130</v>
      </c>
    </row>
    <row r="1338" spans="4:17" x14ac:dyDescent="0.25">
      <c r="D1338">
        <v>3510171</v>
      </c>
      <c r="H1338" t="s">
        <v>101</v>
      </c>
      <c r="P1338">
        <v>2184</v>
      </c>
      <c r="Q1338">
        <v>2131</v>
      </c>
    </row>
    <row r="1339" spans="4:17" x14ac:dyDescent="0.25">
      <c r="D1339">
        <v>3213875</v>
      </c>
      <c r="H1339" t="s">
        <v>101</v>
      </c>
      <c r="P1339">
        <v>2185</v>
      </c>
      <c r="Q1339">
        <v>2132</v>
      </c>
    </row>
    <row r="1340" spans="4:17" x14ac:dyDescent="0.25">
      <c r="D1340">
        <v>3213875</v>
      </c>
      <c r="H1340" t="s">
        <v>151</v>
      </c>
      <c r="P1340">
        <v>2186</v>
      </c>
      <c r="Q1340">
        <v>2133</v>
      </c>
    </row>
    <row r="1341" spans="4:17" x14ac:dyDescent="0.25">
      <c r="D1341">
        <v>1940247</v>
      </c>
      <c r="H1341" t="s">
        <v>151</v>
      </c>
      <c r="P1341">
        <v>2187</v>
      </c>
      <c r="Q1341">
        <v>2134</v>
      </c>
    </row>
    <row r="1342" spans="4:17" x14ac:dyDescent="0.25">
      <c r="D1342">
        <v>1940247</v>
      </c>
      <c r="H1342" t="s">
        <v>76</v>
      </c>
      <c r="P1342">
        <v>2188</v>
      </c>
      <c r="Q1342">
        <v>2135</v>
      </c>
    </row>
    <row r="1343" spans="4:17" x14ac:dyDescent="0.25">
      <c r="D1343">
        <v>1940247</v>
      </c>
      <c r="H1343" t="s">
        <v>76</v>
      </c>
      <c r="P1343">
        <v>2189</v>
      </c>
      <c r="Q1343">
        <v>2136</v>
      </c>
    </row>
    <row r="1344" spans="4:17" x14ac:dyDescent="0.25">
      <c r="D1344">
        <v>1940247</v>
      </c>
      <c r="H1344" t="s">
        <v>52</v>
      </c>
      <c r="P1344">
        <v>2190</v>
      </c>
      <c r="Q1344">
        <v>2137</v>
      </c>
    </row>
    <row r="1345" spans="4:17" x14ac:dyDescent="0.25">
      <c r="D1345">
        <v>1940247</v>
      </c>
      <c r="H1345" t="s">
        <v>52</v>
      </c>
      <c r="P1345">
        <v>2191</v>
      </c>
      <c r="Q1345">
        <v>2138</v>
      </c>
    </row>
    <row r="1346" spans="4:17" x14ac:dyDescent="0.25">
      <c r="D1346">
        <v>1940247</v>
      </c>
      <c r="H1346" t="s">
        <v>52</v>
      </c>
      <c r="P1346">
        <v>2192</v>
      </c>
      <c r="Q1346">
        <v>2139</v>
      </c>
    </row>
    <row r="1347" spans="4:17" x14ac:dyDescent="0.25">
      <c r="D1347">
        <v>1940247</v>
      </c>
      <c r="H1347" t="s">
        <v>151</v>
      </c>
      <c r="P1347">
        <v>2193</v>
      </c>
      <c r="Q1347">
        <v>2140</v>
      </c>
    </row>
    <row r="1348" spans="4:17" x14ac:dyDescent="0.25">
      <c r="D1348">
        <v>1940247</v>
      </c>
      <c r="H1348" t="s">
        <v>70</v>
      </c>
      <c r="P1348">
        <v>2194</v>
      </c>
      <c r="Q1348">
        <v>2141</v>
      </c>
    </row>
    <row r="1349" spans="4:17" x14ac:dyDescent="0.25">
      <c r="D1349">
        <v>1940247</v>
      </c>
      <c r="H1349" t="s">
        <v>70</v>
      </c>
      <c r="P1349">
        <v>2195</v>
      </c>
      <c r="Q1349">
        <v>2142</v>
      </c>
    </row>
    <row r="1350" spans="4:17" x14ac:dyDescent="0.25">
      <c r="D1350">
        <v>236341</v>
      </c>
      <c r="H1350" t="s">
        <v>39</v>
      </c>
      <c r="P1350">
        <v>2196</v>
      </c>
      <c r="Q1350">
        <v>2143</v>
      </c>
    </row>
    <row r="1351" spans="4:17" x14ac:dyDescent="0.25">
      <c r="D1351">
        <v>2331953</v>
      </c>
      <c r="H1351" t="s">
        <v>71</v>
      </c>
      <c r="P1351">
        <v>2196</v>
      </c>
      <c r="Q1351">
        <v>2144</v>
      </c>
    </row>
    <row r="1352" spans="4:17" x14ac:dyDescent="0.25">
      <c r="D1352">
        <v>2425969</v>
      </c>
      <c r="H1352" t="s">
        <v>71</v>
      </c>
      <c r="P1352">
        <v>2197</v>
      </c>
      <c r="Q1352">
        <v>2145</v>
      </c>
    </row>
    <row r="1353" spans="4:17" x14ac:dyDescent="0.25">
      <c r="D1353">
        <v>2425969</v>
      </c>
      <c r="H1353" t="s">
        <v>71</v>
      </c>
      <c r="P1353">
        <v>2197</v>
      </c>
      <c r="Q1353">
        <v>2146</v>
      </c>
    </row>
    <row r="1354" spans="4:17" x14ac:dyDescent="0.25">
      <c r="D1354">
        <v>1908799</v>
      </c>
      <c r="H1354" t="s">
        <v>71</v>
      </c>
      <c r="P1354">
        <v>2198</v>
      </c>
      <c r="Q1354">
        <v>2147</v>
      </c>
    </row>
    <row r="1355" spans="4:17" x14ac:dyDescent="0.25">
      <c r="D1355">
        <v>1908799</v>
      </c>
      <c r="H1355" t="s">
        <v>71</v>
      </c>
      <c r="P1355">
        <v>2198</v>
      </c>
      <c r="Q1355">
        <v>2148</v>
      </c>
    </row>
    <row r="1356" spans="4:17" x14ac:dyDescent="0.25">
      <c r="D1356">
        <v>1908799</v>
      </c>
      <c r="H1356" t="s">
        <v>30</v>
      </c>
      <c r="P1356">
        <v>2199</v>
      </c>
      <c r="Q1356">
        <v>2149</v>
      </c>
    </row>
    <row r="1357" spans="4:17" x14ac:dyDescent="0.25">
      <c r="D1357">
        <v>2418569</v>
      </c>
      <c r="H1357" t="s">
        <v>30</v>
      </c>
      <c r="P1357">
        <v>2199</v>
      </c>
      <c r="Q1357">
        <v>2150</v>
      </c>
    </row>
    <row r="1358" spans="4:17" x14ac:dyDescent="0.25">
      <c r="D1358">
        <v>2418569</v>
      </c>
      <c r="H1358" t="s">
        <v>30</v>
      </c>
      <c r="P1358">
        <v>2200</v>
      </c>
      <c r="Q1358">
        <v>2151</v>
      </c>
    </row>
    <row r="1359" spans="4:17" x14ac:dyDescent="0.25">
      <c r="D1359">
        <v>2418569</v>
      </c>
      <c r="H1359" t="s">
        <v>30</v>
      </c>
      <c r="P1359">
        <v>2200</v>
      </c>
      <c r="Q1359">
        <v>2152</v>
      </c>
    </row>
    <row r="1360" spans="4:17" x14ac:dyDescent="0.25">
      <c r="D1360">
        <v>2418569</v>
      </c>
      <c r="H1360" t="s">
        <v>30</v>
      </c>
      <c r="P1360">
        <v>2201</v>
      </c>
      <c r="Q1360">
        <v>2153</v>
      </c>
    </row>
    <row r="1361" spans="4:17" x14ac:dyDescent="0.25">
      <c r="D1361">
        <v>2418569</v>
      </c>
      <c r="H1361" t="s">
        <v>30</v>
      </c>
      <c r="P1361">
        <v>2201</v>
      </c>
      <c r="Q1361">
        <v>2154</v>
      </c>
    </row>
    <row r="1362" spans="4:17" x14ac:dyDescent="0.25">
      <c r="D1362">
        <v>2418569</v>
      </c>
      <c r="H1362" t="s">
        <v>30</v>
      </c>
      <c r="P1362">
        <v>2202</v>
      </c>
      <c r="Q1362">
        <v>2155</v>
      </c>
    </row>
    <row r="1363" spans="4:17" x14ac:dyDescent="0.25">
      <c r="D1363">
        <v>2418569</v>
      </c>
      <c r="H1363" t="s">
        <v>151</v>
      </c>
      <c r="P1363">
        <v>2202</v>
      </c>
      <c r="Q1363">
        <v>2156</v>
      </c>
    </row>
    <row r="1364" spans="4:17" x14ac:dyDescent="0.25">
      <c r="D1364">
        <v>2418569</v>
      </c>
      <c r="H1364" t="s">
        <v>72</v>
      </c>
      <c r="P1364">
        <v>2203</v>
      </c>
      <c r="Q1364">
        <v>2157</v>
      </c>
    </row>
    <row r="1365" spans="4:17" x14ac:dyDescent="0.25">
      <c r="D1365">
        <v>2418569</v>
      </c>
      <c r="H1365" t="s">
        <v>72</v>
      </c>
      <c r="P1365">
        <v>2203</v>
      </c>
      <c r="Q1365">
        <v>2158</v>
      </c>
    </row>
    <row r="1366" spans="4:17" x14ac:dyDescent="0.25">
      <c r="D1366">
        <v>2418569</v>
      </c>
      <c r="H1366" t="s">
        <v>72</v>
      </c>
      <c r="P1366">
        <v>2204</v>
      </c>
      <c r="Q1366">
        <v>2159</v>
      </c>
    </row>
    <row r="1367" spans="4:17" x14ac:dyDescent="0.25">
      <c r="D1367">
        <v>2418569</v>
      </c>
      <c r="H1367" t="s">
        <v>72</v>
      </c>
      <c r="P1367">
        <v>2204</v>
      </c>
      <c r="Q1367">
        <v>2160</v>
      </c>
    </row>
    <row r="1368" spans="4:17" x14ac:dyDescent="0.25">
      <c r="D1368">
        <v>2418569</v>
      </c>
      <c r="H1368" t="s">
        <v>72</v>
      </c>
      <c r="P1368">
        <v>2205</v>
      </c>
      <c r="Q1368">
        <v>2161</v>
      </c>
    </row>
    <row r="1369" spans="4:17" x14ac:dyDescent="0.25">
      <c r="D1369">
        <v>235953</v>
      </c>
      <c r="H1369" t="s">
        <v>24</v>
      </c>
      <c r="P1369">
        <v>2205</v>
      </c>
      <c r="Q1369">
        <v>2162</v>
      </c>
    </row>
    <row r="1370" spans="4:17" x14ac:dyDescent="0.25">
      <c r="D1370">
        <v>235953</v>
      </c>
      <c r="H1370" t="s">
        <v>24</v>
      </c>
      <c r="P1370">
        <v>2206</v>
      </c>
      <c r="Q1370">
        <v>2163</v>
      </c>
    </row>
    <row r="1371" spans="4:17" x14ac:dyDescent="0.25">
      <c r="D1371">
        <v>3498997</v>
      </c>
      <c r="H1371" t="s">
        <v>24</v>
      </c>
      <c r="P1371">
        <v>2206</v>
      </c>
      <c r="Q1371">
        <v>2164</v>
      </c>
    </row>
    <row r="1372" spans="4:17" x14ac:dyDescent="0.25">
      <c r="D1372">
        <v>3498997</v>
      </c>
      <c r="H1372" t="s">
        <v>24</v>
      </c>
      <c r="P1372">
        <v>2207</v>
      </c>
      <c r="Q1372">
        <v>2165</v>
      </c>
    </row>
    <row r="1373" spans="4:17" x14ac:dyDescent="0.25">
      <c r="D1373">
        <v>3498997</v>
      </c>
      <c r="H1373" t="s">
        <v>24</v>
      </c>
      <c r="P1373">
        <v>2207</v>
      </c>
      <c r="Q1373">
        <v>2166</v>
      </c>
    </row>
    <row r="1374" spans="4:17" x14ac:dyDescent="0.25">
      <c r="D1374">
        <v>3498997</v>
      </c>
      <c r="H1374" t="s">
        <v>24</v>
      </c>
      <c r="P1374">
        <v>2208</v>
      </c>
      <c r="Q1374">
        <v>2167</v>
      </c>
    </row>
    <row r="1375" spans="4:17" x14ac:dyDescent="0.25">
      <c r="D1375">
        <v>3498997</v>
      </c>
      <c r="H1375" t="s">
        <v>24</v>
      </c>
      <c r="P1375">
        <v>2208</v>
      </c>
      <c r="Q1375">
        <v>2168</v>
      </c>
    </row>
    <row r="1376" spans="4:17" x14ac:dyDescent="0.25">
      <c r="D1376">
        <v>3498997</v>
      </c>
      <c r="H1376" t="s">
        <v>151</v>
      </c>
      <c r="P1376">
        <v>2209</v>
      </c>
      <c r="Q1376">
        <v>2169</v>
      </c>
    </row>
    <row r="1377" spans="4:17" x14ac:dyDescent="0.25">
      <c r="D1377">
        <v>3498997</v>
      </c>
      <c r="H1377" t="s">
        <v>52</v>
      </c>
      <c r="P1377">
        <v>2209</v>
      </c>
      <c r="Q1377">
        <v>2170</v>
      </c>
    </row>
    <row r="1378" spans="4:17" x14ac:dyDescent="0.25">
      <c r="D1378">
        <v>3498997</v>
      </c>
      <c r="H1378" t="s">
        <v>52</v>
      </c>
      <c r="P1378">
        <v>2210</v>
      </c>
      <c r="Q1378">
        <v>2171</v>
      </c>
    </row>
    <row r="1379" spans="4:17" x14ac:dyDescent="0.25">
      <c r="D1379">
        <v>3498997</v>
      </c>
      <c r="H1379" t="s">
        <v>39</v>
      </c>
      <c r="P1379">
        <v>2210</v>
      </c>
      <c r="Q1379">
        <v>2172</v>
      </c>
    </row>
    <row r="1380" spans="4:17" x14ac:dyDescent="0.25">
      <c r="D1380">
        <v>3498997</v>
      </c>
      <c r="H1380" t="s">
        <v>39</v>
      </c>
      <c r="P1380">
        <v>2211</v>
      </c>
      <c r="Q1380">
        <v>2173</v>
      </c>
    </row>
    <row r="1381" spans="4:17" x14ac:dyDescent="0.25">
      <c r="D1381">
        <v>3498997</v>
      </c>
      <c r="H1381" t="s">
        <v>39</v>
      </c>
      <c r="P1381">
        <v>2211</v>
      </c>
      <c r="Q1381">
        <v>2174</v>
      </c>
    </row>
    <row r="1382" spans="4:17" x14ac:dyDescent="0.25">
      <c r="D1382">
        <v>1940256</v>
      </c>
      <c r="H1382" t="s">
        <v>39</v>
      </c>
      <c r="P1382">
        <v>2212</v>
      </c>
      <c r="Q1382">
        <v>2175</v>
      </c>
    </row>
    <row r="1383" spans="4:17" x14ac:dyDescent="0.25">
      <c r="D1383">
        <v>319456</v>
      </c>
      <c r="H1383" t="s">
        <v>76</v>
      </c>
      <c r="P1383">
        <v>2212</v>
      </c>
      <c r="Q1383">
        <v>2176</v>
      </c>
    </row>
    <row r="1384" spans="4:17" x14ac:dyDescent="0.25">
      <c r="D1384">
        <v>3781674</v>
      </c>
      <c r="H1384" t="s">
        <v>151</v>
      </c>
      <c r="P1384">
        <v>2213</v>
      </c>
      <c r="Q1384">
        <v>2177</v>
      </c>
    </row>
    <row r="1385" spans="4:17" x14ac:dyDescent="0.25">
      <c r="D1385">
        <v>1940262</v>
      </c>
      <c r="H1385" t="s">
        <v>151</v>
      </c>
      <c r="P1385">
        <v>2213</v>
      </c>
      <c r="Q1385">
        <v>2178</v>
      </c>
    </row>
    <row r="1386" spans="4:17" x14ac:dyDescent="0.25">
      <c r="D1386">
        <v>1940262</v>
      </c>
      <c r="H1386" t="s">
        <v>151</v>
      </c>
      <c r="P1386">
        <v>2214</v>
      </c>
      <c r="Q1386">
        <v>2179</v>
      </c>
    </row>
    <row r="1387" spans="4:17" x14ac:dyDescent="0.25">
      <c r="D1387">
        <v>1940262</v>
      </c>
      <c r="H1387" t="s">
        <v>61</v>
      </c>
      <c r="P1387">
        <v>2214</v>
      </c>
      <c r="Q1387">
        <v>2180</v>
      </c>
    </row>
    <row r="1388" spans="4:17" x14ac:dyDescent="0.25">
      <c r="D1388">
        <v>1940262</v>
      </c>
      <c r="H1388" t="s">
        <v>151</v>
      </c>
      <c r="P1388">
        <v>2215</v>
      </c>
      <c r="Q1388">
        <v>2181</v>
      </c>
    </row>
    <row r="1389" spans="4:17" x14ac:dyDescent="0.25">
      <c r="D1389">
        <v>1940262</v>
      </c>
      <c r="H1389" t="s">
        <v>151</v>
      </c>
      <c r="P1389">
        <v>2215</v>
      </c>
      <c r="Q1389">
        <v>2182</v>
      </c>
    </row>
    <row r="1390" spans="4:17" x14ac:dyDescent="0.25">
      <c r="D1390">
        <v>1940262</v>
      </c>
      <c r="H1390" t="s">
        <v>151</v>
      </c>
      <c r="P1390">
        <v>2216</v>
      </c>
      <c r="Q1390">
        <v>2183</v>
      </c>
    </row>
    <row r="1391" spans="4:17" x14ac:dyDescent="0.25">
      <c r="D1391">
        <v>1940262</v>
      </c>
      <c r="H1391" t="s">
        <v>25</v>
      </c>
      <c r="P1391">
        <v>2216</v>
      </c>
      <c r="Q1391">
        <v>2184</v>
      </c>
    </row>
    <row r="1392" spans="4:17" x14ac:dyDescent="0.25">
      <c r="D1392">
        <v>1940262</v>
      </c>
      <c r="H1392" t="s">
        <v>151</v>
      </c>
      <c r="P1392">
        <v>2217</v>
      </c>
      <c r="Q1392">
        <v>2185</v>
      </c>
    </row>
    <row r="1393" spans="4:17" x14ac:dyDescent="0.25">
      <c r="D1393">
        <v>1940262</v>
      </c>
      <c r="H1393" t="s">
        <v>151</v>
      </c>
      <c r="P1393">
        <v>2217</v>
      </c>
      <c r="Q1393">
        <v>2186</v>
      </c>
    </row>
    <row r="1394" spans="4:17" x14ac:dyDescent="0.25">
      <c r="D1394">
        <v>1940262</v>
      </c>
      <c r="H1394" t="s">
        <v>151</v>
      </c>
      <c r="P1394">
        <v>2218</v>
      </c>
      <c r="Q1394">
        <v>2187</v>
      </c>
    </row>
    <row r="1395" spans="4:17" x14ac:dyDescent="0.25">
      <c r="D1395">
        <v>1940262</v>
      </c>
      <c r="H1395" t="s">
        <v>151</v>
      </c>
      <c r="P1395">
        <v>2218</v>
      </c>
      <c r="Q1395">
        <v>2188</v>
      </c>
    </row>
    <row r="1396" spans="4:17" x14ac:dyDescent="0.25">
      <c r="D1396">
        <v>1940262</v>
      </c>
      <c r="H1396" t="s">
        <v>151</v>
      </c>
      <c r="P1396">
        <v>2219</v>
      </c>
      <c r="Q1396">
        <v>2189</v>
      </c>
    </row>
    <row r="1397" spans="4:17" x14ac:dyDescent="0.25">
      <c r="D1397">
        <v>511882</v>
      </c>
      <c r="H1397" t="s">
        <v>72</v>
      </c>
      <c r="P1397">
        <v>2219</v>
      </c>
      <c r="Q1397">
        <v>2190</v>
      </c>
    </row>
    <row r="1398" spans="4:17" x14ac:dyDescent="0.25">
      <c r="D1398">
        <v>1940266</v>
      </c>
      <c r="H1398" t="s">
        <v>76</v>
      </c>
      <c r="P1398">
        <v>2220</v>
      </c>
      <c r="Q1398">
        <v>2191</v>
      </c>
    </row>
    <row r="1399" spans="4:17" x14ac:dyDescent="0.25">
      <c r="D1399">
        <v>1940266</v>
      </c>
      <c r="H1399" t="s">
        <v>76</v>
      </c>
      <c r="P1399">
        <v>2220</v>
      </c>
      <c r="Q1399">
        <v>2192</v>
      </c>
    </row>
    <row r="1400" spans="4:17" x14ac:dyDescent="0.25">
      <c r="D1400">
        <v>1940266</v>
      </c>
      <c r="H1400" t="s">
        <v>76</v>
      </c>
      <c r="P1400">
        <v>2221</v>
      </c>
      <c r="Q1400">
        <v>2193</v>
      </c>
    </row>
    <row r="1401" spans="4:17" x14ac:dyDescent="0.25">
      <c r="D1401">
        <v>1940266</v>
      </c>
      <c r="H1401" t="s">
        <v>76</v>
      </c>
      <c r="P1401">
        <v>2222</v>
      </c>
      <c r="Q1401">
        <v>2194</v>
      </c>
    </row>
    <row r="1402" spans="4:17" x14ac:dyDescent="0.25">
      <c r="D1402">
        <v>1940266</v>
      </c>
      <c r="H1402" t="s">
        <v>17</v>
      </c>
      <c r="P1402">
        <v>2223</v>
      </c>
      <c r="Q1402">
        <v>2195</v>
      </c>
    </row>
    <row r="1403" spans="4:17" x14ac:dyDescent="0.25">
      <c r="D1403">
        <v>1940266</v>
      </c>
      <c r="H1403" t="s">
        <v>48</v>
      </c>
      <c r="P1403">
        <v>2224</v>
      </c>
      <c r="Q1403">
        <v>2196</v>
      </c>
    </row>
    <row r="1404" spans="4:17" x14ac:dyDescent="0.25">
      <c r="D1404">
        <v>521117</v>
      </c>
      <c r="H1404" t="s">
        <v>48</v>
      </c>
      <c r="P1404">
        <v>2225</v>
      </c>
      <c r="Q1404">
        <v>2197</v>
      </c>
    </row>
    <row r="1405" spans="4:17" x14ac:dyDescent="0.25">
      <c r="D1405">
        <v>3122348</v>
      </c>
      <c r="H1405" t="s">
        <v>48</v>
      </c>
      <c r="P1405">
        <v>2226</v>
      </c>
      <c r="Q1405">
        <v>2198</v>
      </c>
    </row>
    <row r="1406" spans="4:17" x14ac:dyDescent="0.25">
      <c r="D1406">
        <v>3122348</v>
      </c>
      <c r="H1406" t="s">
        <v>48</v>
      </c>
      <c r="P1406">
        <v>2227</v>
      </c>
      <c r="Q1406">
        <v>2199</v>
      </c>
    </row>
    <row r="1407" spans="4:17" x14ac:dyDescent="0.25">
      <c r="D1407">
        <v>3122348</v>
      </c>
      <c r="H1407" t="s">
        <v>48</v>
      </c>
      <c r="P1407">
        <v>2228</v>
      </c>
      <c r="Q1407">
        <v>2200</v>
      </c>
    </row>
    <row r="1408" spans="4:17" x14ac:dyDescent="0.25">
      <c r="D1408">
        <v>3122348</v>
      </c>
      <c r="H1408" t="s">
        <v>48</v>
      </c>
      <c r="P1408">
        <v>2229</v>
      </c>
      <c r="Q1408">
        <v>2201</v>
      </c>
    </row>
    <row r="1409" spans="4:17" x14ac:dyDescent="0.25">
      <c r="D1409">
        <v>3122348</v>
      </c>
      <c r="H1409" t="s">
        <v>48</v>
      </c>
      <c r="P1409">
        <v>2230</v>
      </c>
      <c r="Q1409">
        <v>2202</v>
      </c>
    </row>
    <row r="1410" spans="4:17" x14ac:dyDescent="0.25">
      <c r="D1410">
        <v>1940269</v>
      </c>
      <c r="H1410" t="s">
        <v>48</v>
      </c>
      <c r="P1410">
        <v>2231</v>
      </c>
      <c r="Q1410">
        <v>2203</v>
      </c>
    </row>
    <row r="1411" spans="4:17" x14ac:dyDescent="0.25">
      <c r="D1411">
        <v>1940269</v>
      </c>
      <c r="H1411" t="s">
        <v>48</v>
      </c>
      <c r="P1411">
        <v>2232</v>
      </c>
      <c r="Q1411">
        <v>2204</v>
      </c>
    </row>
    <row r="1412" spans="4:17" x14ac:dyDescent="0.25">
      <c r="D1412">
        <v>1940269</v>
      </c>
      <c r="H1412" t="s">
        <v>48</v>
      </c>
      <c r="P1412">
        <v>2233</v>
      </c>
      <c r="Q1412">
        <v>2205</v>
      </c>
    </row>
    <row r="1413" spans="4:17" x14ac:dyDescent="0.25">
      <c r="D1413">
        <v>1940269</v>
      </c>
      <c r="H1413" t="s">
        <v>21</v>
      </c>
      <c r="P1413">
        <v>2234</v>
      </c>
      <c r="Q1413">
        <v>2206</v>
      </c>
    </row>
    <row r="1414" spans="4:17" x14ac:dyDescent="0.25">
      <c r="D1414">
        <v>1940269</v>
      </c>
      <c r="H1414" t="s">
        <v>21</v>
      </c>
      <c r="P1414">
        <v>2235</v>
      </c>
      <c r="Q1414">
        <v>2207</v>
      </c>
    </row>
    <row r="1415" spans="4:17" x14ac:dyDescent="0.25">
      <c r="D1415">
        <v>1180079</v>
      </c>
      <c r="H1415" t="s">
        <v>21</v>
      </c>
      <c r="P1415">
        <v>2236</v>
      </c>
      <c r="Q1415">
        <v>2208</v>
      </c>
    </row>
    <row r="1416" spans="4:17" x14ac:dyDescent="0.25">
      <c r="D1416">
        <v>3507270</v>
      </c>
      <c r="H1416" t="s">
        <v>21</v>
      </c>
      <c r="P1416">
        <v>2237</v>
      </c>
      <c r="Q1416">
        <v>2209</v>
      </c>
    </row>
    <row r="1417" spans="4:17" x14ac:dyDescent="0.25">
      <c r="D1417">
        <v>3507089</v>
      </c>
      <c r="H1417" t="s">
        <v>151</v>
      </c>
      <c r="P1417">
        <v>2238</v>
      </c>
      <c r="Q1417">
        <v>2210</v>
      </c>
    </row>
    <row r="1418" spans="4:17" x14ac:dyDescent="0.25">
      <c r="D1418">
        <v>3507089</v>
      </c>
      <c r="H1418" t="s">
        <v>151</v>
      </c>
      <c r="P1418">
        <v>2239</v>
      </c>
      <c r="Q1418">
        <v>2211</v>
      </c>
    </row>
    <row r="1419" spans="4:17" x14ac:dyDescent="0.25">
      <c r="D1419">
        <v>521115</v>
      </c>
      <c r="H1419" t="s">
        <v>101</v>
      </c>
      <c r="P1419">
        <v>2246</v>
      </c>
      <c r="Q1419">
        <v>2212</v>
      </c>
    </row>
    <row r="1420" spans="4:17" x14ac:dyDescent="0.25">
      <c r="D1420">
        <v>1940272</v>
      </c>
      <c r="H1420" t="s">
        <v>101</v>
      </c>
      <c r="P1420">
        <v>2247</v>
      </c>
      <c r="Q1420">
        <v>2213</v>
      </c>
    </row>
    <row r="1421" spans="4:17" x14ac:dyDescent="0.25">
      <c r="D1421">
        <v>1940272</v>
      </c>
      <c r="H1421" t="s">
        <v>101</v>
      </c>
      <c r="P1421">
        <v>2248</v>
      </c>
      <c r="Q1421">
        <v>2214</v>
      </c>
    </row>
    <row r="1422" spans="4:17" x14ac:dyDescent="0.25">
      <c r="D1422">
        <v>1940272</v>
      </c>
      <c r="H1422" t="s">
        <v>101</v>
      </c>
      <c r="P1422">
        <v>2249</v>
      </c>
      <c r="Q1422">
        <v>2215</v>
      </c>
    </row>
    <row r="1423" spans="4:17" x14ac:dyDescent="0.25">
      <c r="D1423">
        <v>1940272</v>
      </c>
      <c r="H1423" t="s">
        <v>101</v>
      </c>
      <c r="P1423">
        <v>2250</v>
      </c>
      <c r="Q1423">
        <v>2216</v>
      </c>
    </row>
    <row r="1424" spans="4:17" x14ac:dyDescent="0.25">
      <c r="D1424">
        <v>2422190</v>
      </c>
      <c r="H1424" t="s">
        <v>101</v>
      </c>
      <c r="P1424">
        <v>2251</v>
      </c>
      <c r="Q1424">
        <v>2217</v>
      </c>
    </row>
    <row r="1425" spans="4:17" x14ac:dyDescent="0.25">
      <c r="D1425">
        <v>2403386</v>
      </c>
      <c r="H1425" t="s">
        <v>101</v>
      </c>
      <c r="P1425">
        <v>2252</v>
      </c>
      <c r="Q1425">
        <v>2218</v>
      </c>
    </row>
    <row r="1426" spans="4:17" x14ac:dyDescent="0.25">
      <c r="D1426">
        <v>2403386</v>
      </c>
      <c r="H1426" t="s">
        <v>101</v>
      </c>
      <c r="P1426">
        <v>2253</v>
      </c>
      <c r="Q1426">
        <v>2219</v>
      </c>
    </row>
    <row r="1427" spans="4:17" x14ac:dyDescent="0.25">
      <c r="D1427">
        <v>2403386</v>
      </c>
      <c r="H1427" t="s">
        <v>30</v>
      </c>
      <c r="P1427">
        <v>2254</v>
      </c>
      <c r="Q1427">
        <v>2220</v>
      </c>
    </row>
    <row r="1428" spans="4:17" x14ac:dyDescent="0.25">
      <c r="D1428">
        <v>2403386</v>
      </c>
      <c r="H1428" t="s">
        <v>61</v>
      </c>
      <c r="P1428">
        <v>2255</v>
      </c>
      <c r="Q1428">
        <v>2221</v>
      </c>
    </row>
    <row r="1429" spans="4:17" x14ac:dyDescent="0.25">
      <c r="D1429">
        <v>2403386</v>
      </c>
      <c r="H1429" t="s">
        <v>61</v>
      </c>
      <c r="P1429">
        <v>2256</v>
      </c>
      <c r="Q1429">
        <v>2222</v>
      </c>
    </row>
    <row r="1430" spans="4:17" x14ac:dyDescent="0.25">
      <c r="D1430">
        <v>2403386</v>
      </c>
      <c r="H1430" t="s">
        <v>61</v>
      </c>
      <c r="P1430">
        <v>2259</v>
      </c>
      <c r="Q1430">
        <v>2223</v>
      </c>
    </row>
    <row r="1431" spans="4:17" x14ac:dyDescent="0.25">
      <c r="D1431">
        <v>2403386</v>
      </c>
      <c r="H1431" t="s">
        <v>61</v>
      </c>
      <c r="P1431">
        <v>2260</v>
      </c>
      <c r="Q1431">
        <v>2224</v>
      </c>
    </row>
    <row r="1432" spans="4:17" x14ac:dyDescent="0.25">
      <c r="D1432">
        <v>2403386</v>
      </c>
      <c r="H1432" t="s">
        <v>22</v>
      </c>
      <c r="P1432">
        <v>2261</v>
      </c>
      <c r="Q1432">
        <v>2225</v>
      </c>
    </row>
    <row r="1433" spans="4:17" x14ac:dyDescent="0.25">
      <c r="D1433">
        <v>2403386</v>
      </c>
      <c r="H1433" t="s">
        <v>22</v>
      </c>
      <c r="P1433">
        <v>2267</v>
      </c>
      <c r="Q1433">
        <v>2226</v>
      </c>
    </row>
    <row r="1434" spans="4:17" x14ac:dyDescent="0.25">
      <c r="D1434">
        <v>2403386</v>
      </c>
      <c r="H1434" t="s">
        <v>22</v>
      </c>
      <c r="P1434">
        <v>2268</v>
      </c>
      <c r="Q1434">
        <v>2227</v>
      </c>
    </row>
    <row r="1435" spans="4:17" x14ac:dyDescent="0.25">
      <c r="D1435">
        <v>1432171</v>
      </c>
      <c r="H1435" t="s">
        <v>22</v>
      </c>
      <c r="P1435">
        <v>2269</v>
      </c>
      <c r="Q1435">
        <v>2228</v>
      </c>
    </row>
    <row r="1436" spans="4:17" x14ac:dyDescent="0.25">
      <c r="D1436">
        <v>1432171</v>
      </c>
      <c r="H1436" t="s">
        <v>22</v>
      </c>
      <c r="P1436">
        <v>2270</v>
      </c>
      <c r="Q1436">
        <v>2229</v>
      </c>
    </row>
    <row r="1437" spans="4:17" x14ac:dyDescent="0.25">
      <c r="D1437">
        <v>1432171</v>
      </c>
      <c r="H1437" t="s">
        <v>22</v>
      </c>
      <c r="P1437">
        <v>2271</v>
      </c>
      <c r="Q1437">
        <v>2230</v>
      </c>
    </row>
    <row r="1438" spans="4:17" x14ac:dyDescent="0.25">
      <c r="D1438">
        <v>1432171</v>
      </c>
      <c r="H1438" t="s">
        <v>22</v>
      </c>
      <c r="P1438">
        <v>2272</v>
      </c>
      <c r="Q1438">
        <v>2231</v>
      </c>
    </row>
    <row r="1439" spans="4:17" x14ac:dyDescent="0.25">
      <c r="D1439">
        <v>1432171</v>
      </c>
      <c r="H1439" t="s">
        <v>22</v>
      </c>
      <c r="P1439">
        <v>2273</v>
      </c>
      <c r="Q1439">
        <v>2232</v>
      </c>
    </row>
    <row r="1440" spans="4:17" x14ac:dyDescent="0.25">
      <c r="D1440">
        <v>1432169</v>
      </c>
      <c r="H1440" t="s">
        <v>22</v>
      </c>
      <c r="P1440">
        <v>2274</v>
      </c>
      <c r="Q1440">
        <v>2233</v>
      </c>
    </row>
    <row r="1441" spans="4:17" x14ac:dyDescent="0.25">
      <c r="D1441">
        <v>1432169</v>
      </c>
      <c r="H1441" t="s">
        <v>22</v>
      </c>
      <c r="P1441">
        <v>2275</v>
      </c>
      <c r="Q1441">
        <v>2234</v>
      </c>
    </row>
    <row r="1442" spans="4:17" x14ac:dyDescent="0.25">
      <c r="D1442">
        <v>3508947</v>
      </c>
      <c r="H1442" t="s">
        <v>22</v>
      </c>
      <c r="P1442">
        <v>2276</v>
      </c>
      <c r="Q1442">
        <v>2235</v>
      </c>
    </row>
    <row r="1443" spans="4:17" x14ac:dyDescent="0.25">
      <c r="D1443">
        <v>3508947</v>
      </c>
      <c r="H1443" t="s">
        <v>22</v>
      </c>
      <c r="P1443">
        <v>2277</v>
      </c>
      <c r="Q1443">
        <v>2236</v>
      </c>
    </row>
    <row r="1444" spans="4:17" x14ac:dyDescent="0.25">
      <c r="D1444">
        <v>1432170</v>
      </c>
      <c r="H1444" t="s">
        <v>22</v>
      </c>
      <c r="P1444">
        <v>2278</v>
      </c>
      <c r="Q1444">
        <v>2237</v>
      </c>
    </row>
    <row r="1445" spans="4:17" x14ac:dyDescent="0.25">
      <c r="D1445">
        <v>2403384</v>
      </c>
      <c r="H1445" t="s">
        <v>22</v>
      </c>
      <c r="P1445">
        <v>2279</v>
      </c>
      <c r="Q1445">
        <v>2238</v>
      </c>
    </row>
    <row r="1446" spans="4:17" x14ac:dyDescent="0.25">
      <c r="D1446">
        <v>2403384</v>
      </c>
      <c r="H1446" t="s">
        <v>101</v>
      </c>
      <c r="P1446">
        <v>2280</v>
      </c>
      <c r="Q1446">
        <v>2239</v>
      </c>
    </row>
    <row r="1447" spans="4:17" x14ac:dyDescent="0.25">
      <c r="D1447">
        <v>2403384</v>
      </c>
      <c r="H1447" t="s">
        <v>101</v>
      </c>
      <c r="P1447">
        <v>2281</v>
      </c>
      <c r="Q1447">
        <v>2240</v>
      </c>
    </row>
    <row r="1448" spans="4:17" x14ac:dyDescent="0.25">
      <c r="D1448">
        <v>2403384</v>
      </c>
      <c r="H1448" t="s">
        <v>71</v>
      </c>
      <c r="P1448">
        <v>2282</v>
      </c>
      <c r="Q1448">
        <v>2241</v>
      </c>
    </row>
    <row r="1449" spans="4:17" x14ac:dyDescent="0.25">
      <c r="D1449">
        <v>2403384</v>
      </c>
      <c r="H1449" t="s">
        <v>71</v>
      </c>
      <c r="P1449">
        <v>2283</v>
      </c>
      <c r="Q1449">
        <v>2242</v>
      </c>
    </row>
    <row r="1450" spans="4:17" x14ac:dyDescent="0.25">
      <c r="D1450">
        <v>1637759</v>
      </c>
      <c r="H1450" t="s">
        <v>71</v>
      </c>
      <c r="P1450">
        <v>2284</v>
      </c>
      <c r="Q1450">
        <v>2243</v>
      </c>
    </row>
    <row r="1451" spans="4:17" x14ac:dyDescent="0.25">
      <c r="D1451">
        <v>2403383</v>
      </c>
      <c r="H1451" t="s">
        <v>71</v>
      </c>
      <c r="P1451">
        <v>2285</v>
      </c>
      <c r="Q1451">
        <v>2244</v>
      </c>
    </row>
    <row r="1452" spans="4:17" x14ac:dyDescent="0.25">
      <c r="D1452">
        <v>2403383</v>
      </c>
      <c r="H1452" t="s">
        <v>71</v>
      </c>
      <c r="P1452">
        <v>2286</v>
      </c>
      <c r="Q1452">
        <v>2245</v>
      </c>
    </row>
    <row r="1453" spans="4:17" x14ac:dyDescent="0.25">
      <c r="D1453">
        <v>2403383</v>
      </c>
      <c r="H1453" t="s">
        <v>76</v>
      </c>
      <c r="P1453">
        <v>2287</v>
      </c>
      <c r="Q1453">
        <v>2246</v>
      </c>
    </row>
    <row r="1454" spans="4:17" x14ac:dyDescent="0.25">
      <c r="D1454">
        <v>2403383</v>
      </c>
      <c r="H1454" t="s">
        <v>76</v>
      </c>
      <c r="P1454">
        <v>2288</v>
      </c>
      <c r="Q1454">
        <v>2247</v>
      </c>
    </row>
    <row r="1455" spans="4:17" x14ac:dyDescent="0.25">
      <c r="D1455">
        <v>2403383</v>
      </c>
      <c r="H1455" t="s">
        <v>76</v>
      </c>
      <c r="P1455">
        <v>2289</v>
      </c>
      <c r="Q1455">
        <v>2248</v>
      </c>
    </row>
    <row r="1456" spans="4:17" x14ac:dyDescent="0.25">
      <c r="D1456">
        <v>2403383</v>
      </c>
      <c r="H1456" t="s">
        <v>76</v>
      </c>
      <c r="P1456">
        <v>2290</v>
      </c>
      <c r="Q1456">
        <v>2249</v>
      </c>
    </row>
    <row r="1457" spans="4:17" x14ac:dyDescent="0.25">
      <c r="D1457">
        <v>2403383</v>
      </c>
      <c r="H1457" t="s">
        <v>76</v>
      </c>
      <c r="P1457">
        <v>2291</v>
      </c>
      <c r="Q1457">
        <v>2250</v>
      </c>
    </row>
    <row r="1458" spans="4:17" x14ac:dyDescent="0.25">
      <c r="D1458">
        <v>1432172</v>
      </c>
      <c r="H1458" t="s">
        <v>76</v>
      </c>
      <c r="P1458">
        <v>2292</v>
      </c>
      <c r="Q1458">
        <v>2251</v>
      </c>
    </row>
    <row r="1459" spans="4:17" x14ac:dyDescent="0.25">
      <c r="D1459">
        <v>1432172</v>
      </c>
      <c r="H1459" t="s">
        <v>76</v>
      </c>
      <c r="P1459">
        <v>2293</v>
      </c>
      <c r="Q1459">
        <v>2252</v>
      </c>
    </row>
    <row r="1460" spans="4:17" x14ac:dyDescent="0.25">
      <c r="D1460">
        <v>1432172</v>
      </c>
      <c r="H1460" t="s">
        <v>61</v>
      </c>
      <c r="P1460">
        <v>2294</v>
      </c>
      <c r="Q1460">
        <v>2253</v>
      </c>
    </row>
    <row r="1461" spans="4:17" x14ac:dyDescent="0.25">
      <c r="D1461">
        <v>1432172</v>
      </c>
      <c r="H1461" t="s">
        <v>61</v>
      </c>
      <c r="P1461">
        <v>2295</v>
      </c>
      <c r="Q1461">
        <v>2254</v>
      </c>
    </row>
    <row r="1462" spans="4:17" x14ac:dyDescent="0.25">
      <c r="D1462">
        <v>1432172</v>
      </c>
      <c r="H1462" t="s">
        <v>61</v>
      </c>
      <c r="P1462">
        <v>2296</v>
      </c>
      <c r="Q1462">
        <v>2255</v>
      </c>
    </row>
    <row r="1463" spans="4:17" x14ac:dyDescent="0.25">
      <c r="D1463">
        <v>3236719</v>
      </c>
      <c r="H1463" t="s">
        <v>61</v>
      </c>
      <c r="P1463">
        <v>2297</v>
      </c>
      <c r="Q1463">
        <v>2256</v>
      </c>
    </row>
    <row r="1464" spans="4:17" x14ac:dyDescent="0.25">
      <c r="D1464">
        <v>3236719</v>
      </c>
      <c r="H1464" t="s">
        <v>151</v>
      </c>
      <c r="P1464">
        <v>2298</v>
      </c>
      <c r="Q1464">
        <v>2259</v>
      </c>
    </row>
    <row r="1465" spans="4:17" x14ac:dyDescent="0.25">
      <c r="D1465">
        <v>1249097</v>
      </c>
      <c r="H1465" t="s">
        <v>46</v>
      </c>
      <c r="P1465">
        <v>2299</v>
      </c>
      <c r="Q1465">
        <v>2260</v>
      </c>
    </row>
    <row r="1466" spans="4:17" x14ac:dyDescent="0.25">
      <c r="D1466">
        <v>1940284</v>
      </c>
      <c r="H1466" t="s">
        <v>46</v>
      </c>
      <c r="P1466">
        <v>2300</v>
      </c>
      <c r="Q1466">
        <v>2261</v>
      </c>
    </row>
    <row r="1467" spans="4:17" x14ac:dyDescent="0.25">
      <c r="D1467">
        <v>1940284</v>
      </c>
      <c r="H1467" t="s">
        <v>46</v>
      </c>
      <c r="P1467">
        <v>2301</v>
      </c>
      <c r="Q1467">
        <v>2267</v>
      </c>
    </row>
    <row r="1468" spans="4:17" x14ac:dyDescent="0.25">
      <c r="D1468">
        <v>1940284</v>
      </c>
      <c r="H1468" t="s">
        <v>46</v>
      </c>
      <c r="P1468">
        <v>2302</v>
      </c>
      <c r="Q1468">
        <v>2268</v>
      </c>
    </row>
    <row r="1469" spans="4:17" x14ac:dyDescent="0.25">
      <c r="D1469">
        <v>1940284</v>
      </c>
      <c r="H1469" t="s">
        <v>46</v>
      </c>
      <c r="P1469">
        <v>2303</v>
      </c>
      <c r="Q1469">
        <v>2269</v>
      </c>
    </row>
    <row r="1470" spans="4:17" x14ac:dyDescent="0.25">
      <c r="D1470">
        <v>1940284</v>
      </c>
      <c r="H1470" t="s">
        <v>46</v>
      </c>
      <c r="P1470">
        <v>2304</v>
      </c>
      <c r="Q1470">
        <v>2270</v>
      </c>
    </row>
    <row r="1471" spans="4:17" x14ac:dyDescent="0.25">
      <c r="D1471">
        <v>1940284</v>
      </c>
      <c r="H1471" t="s">
        <v>46</v>
      </c>
      <c r="P1471">
        <v>2305</v>
      </c>
      <c r="Q1471">
        <v>2271</v>
      </c>
    </row>
    <row r="1472" spans="4:17" x14ac:dyDescent="0.25">
      <c r="D1472">
        <v>1940284</v>
      </c>
      <c r="H1472" t="s">
        <v>46</v>
      </c>
      <c r="P1472">
        <v>2306</v>
      </c>
      <c r="Q1472">
        <v>2272</v>
      </c>
    </row>
    <row r="1473" spans="4:17" x14ac:dyDescent="0.25">
      <c r="D1473">
        <v>1940284</v>
      </c>
      <c r="H1473" t="s">
        <v>46</v>
      </c>
      <c r="P1473">
        <v>2307</v>
      </c>
      <c r="Q1473">
        <v>2273</v>
      </c>
    </row>
    <row r="1474" spans="4:17" x14ac:dyDescent="0.25">
      <c r="D1474">
        <v>1940284</v>
      </c>
      <c r="H1474" t="s">
        <v>46</v>
      </c>
      <c r="P1474">
        <v>2308</v>
      </c>
      <c r="Q1474">
        <v>2274</v>
      </c>
    </row>
    <row r="1475" spans="4:17" x14ac:dyDescent="0.25">
      <c r="D1475">
        <v>1940284</v>
      </c>
      <c r="H1475" t="s">
        <v>151</v>
      </c>
      <c r="P1475">
        <v>2309</v>
      </c>
      <c r="Q1475">
        <v>2275</v>
      </c>
    </row>
    <row r="1476" spans="4:17" x14ac:dyDescent="0.25">
      <c r="D1476">
        <v>1188598</v>
      </c>
      <c r="H1476" t="s">
        <v>24</v>
      </c>
      <c r="P1476">
        <v>2310</v>
      </c>
      <c r="Q1476">
        <v>2276</v>
      </c>
    </row>
    <row r="1477" spans="4:17" x14ac:dyDescent="0.25">
      <c r="D1477">
        <v>1188598</v>
      </c>
      <c r="H1477" t="s">
        <v>24</v>
      </c>
      <c r="P1477">
        <v>2311</v>
      </c>
      <c r="Q1477">
        <v>2277</v>
      </c>
    </row>
    <row r="1478" spans="4:17" x14ac:dyDescent="0.25">
      <c r="D1478">
        <v>1188598</v>
      </c>
      <c r="H1478" t="s">
        <v>24</v>
      </c>
      <c r="P1478">
        <v>2312</v>
      </c>
      <c r="Q1478">
        <v>2278</v>
      </c>
    </row>
    <row r="1479" spans="4:17" x14ac:dyDescent="0.25">
      <c r="D1479">
        <v>3784368</v>
      </c>
      <c r="H1479" t="s">
        <v>24</v>
      </c>
      <c r="P1479">
        <v>2313</v>
      </c>
      <c r="Q1479">
        <v>2279</v>
      </c>
    </row>
    <row r="1480" spans="4:17" x14ac:dyDescent="0.25">
      <c r="D1480">
        <v>1284065</v>
      </c>
      <c r="H1480" t="s">
        <v>21</v>
      </c>
      <c r="P1480">
        <v>2314</v>
      </c>
      <c r="Q1480">
        <v>2280</v>
      </c>
    </row>
    <row r="1481" spans="4:17" x14ac:dyDescent="0.25">
      <c r="D1481">
        <v>1284065</v>
      </c>
      <c r="H1481" t="s">
        <v>21</v>
      </c>
      <c r="P1481">
        <v>2315</v>
      </c>
      <c r="Q1481">
        <v>2281</v>
      </c>
    </row>
    <row r="1482" spans="4:17" x14ac:dyDescent="0.25">
      <c r="D1482">
        <v>1284065</v>
      </c>
      <c r="H1482" t="s">
        <v>151</v>
      </c>
      <c r="P1482">
        <v>2316</v>
      </c>
      <c r="Q1482">
        <v>2282</v>
      </c>
    </row>
    <row r="1483" spans="4:17" x14ac:dyDescent="0.25">
      <c r="D1483">
        <v>1940287</v>
      </c>
      <c r="H1483" t="s">
        <v>151</v>
      </c>
      <c r="P1483">
        <v>2317</v>
      </c>
      <c r="Q1483">
        <v>2283</v>
      </c>
    </row>
    <row r="1484" spans="4:17" x14ac:dyDescent="0.25">
      <c r="D1484">
        <v>1940287</v>
      </c>
      <c r="H1484" t="s">
        <v>151</v>
      </c>
      <c r="P1484">
        <v>2333</v>
      </c>
      <c r="Q1484">
        <v>2284</v>
      </c>
    </row>
    <row r="1485" spans="4:17" x14ac:dyDescent="0.25">
      <c r="D1485">
        <v>1940287</v>
      </c>
      <c r="H1485" t="s">
        <v>151</v>
      </c>
      <c r="P1485">
        <v>2333</v>
      </c>
      <c r="Q1485">
        <v>2285</v>
      </c>
    </row>
    <row r="1486" spans="4:17" x14ac:dyDescent="0.25">
      <c r="D1486">
        <v>1940287</v>
      </c>
      <c r="H1486" t="s">
        <v>151</v>
      </c>
      <c r="P1486">
        <v>2334</v>
      </c>
      <c r="Q1486">
        <v>2286</v>
      </c>
    </row>
    <row r="1487" spans="4:17" x14ac:dyDescent="0.25">
      <c r="D1487">
        <v>1940287</v>
      </c>
      <c r="H1487" t="s">
        <v>151</v>
      </c>
      <c r="P1487">
        <v>2335</v>
      </c>
      <c r="Q1487">
        <v>2287</v>
      </c>
    </row>
    <row r="1488" spans="4:17" x14ac:dyDescent="0.25">
      <c r="D1488">
        <v>1940287</v>
      </c>
      <c r="H1488" t="s">
        <v>151</v>
      </c>
      <c r="P1488">
        <v>2336</v>
      </c>
      <c r="Q1488">
        <v>2288</v>
      </c>
    </row>
    <row r="1489" spans="4:17" x14ac:dyDescent="0.25">
      <c r="D1489">
        <v>1940287</v>
      </c>
      <c r="H1489" t="s">
        <v>151</v>
      </c>
      <c r="P1489">
        <v>2337</v>
      </c>
      <c r="Q1489">
        <v>2289</v>
      </c>
    </row>
    <row r="1490" spans="4:17" x14ac:dyDescent="0.25">
      <c r="D1490">
        <v>1940287</v>
      </c>
      <c r="H1490" t="s">
        <v>151</v>
      </c>
      <c r="P1490">
        <v>2338</v>
      </c>
      <c r="Q1490">
        <v>2290</v>
      </c>
    </row>
    <row r="1491" spans="4:17" x14ac:dyDescent="0.25">
      <c r="D1491">
        <v>1940287</v>
      </c>
      <c r="H1491" t="s">
        <v>151</v>
      </c>
      <c r="P1491">
        <v>2339</v>
      </c>
      <c r="Q1491">
        <v>2291</v>
      </c>
    </row>
    <row r="1492" spans="4:17" x14ac:dyDescent="0.25">
      <c r="D1492">
        <v>3509196</v>
      </c>
      <c r="H1492" t="s">
        <v>151</v>
      </c>
      <c r="P1492">
        <v>2340</v>
      </c>
      <c r="Q1492">
        <v>2292</v>
      </c>
    </row>
    <row r="1493" spans="4:17" x14ac:dyDescent="0.25">
      <c r="D1493">
        <v>3509196</v>
      </c>
      <c r="H1493" t="s">
        <v>151</v>
      </c>
      <c r="P1493">
        <v>2341</v>
      </c>
      <c r="Q1493">
        <v>2293</v>
      </c>
    </row>
    <row r="1494" spans="4:17" x14ac:dyDescent="0.25">
      <c r="D1494">
        <v>3509196</v>
      </c>
      <c r="H1494" t="s">
        <v>61</v>
      </c>
      <c r="P1494">
        <v>2346</v>
      </c>
      <c r="Q1494">
        <v>2294</v>
      </c>
    </row>
    <row r="1495" spans="4:17" x14ac:dyDescent="0.25">
      <c r="D1495">
        <v>3732182</v>
      </c>
      <c r="H1495" t="s">
        <v>37</v>
      </c>
      <c r="P1495">
        <v>2347</v>
      </c>
      <c r="Q1495">
        <v>2295</v>
      </c>
    </row>
    <row r="1496" spans="4:17" x14ac:dyDescent="0.25">
      <c r="D1496">
        <v>1479701</v>
      </c>
      <c r="H1496" t="s">
        <v>30</v>
      </c>
      <c r="P1496">
        <v>2348</v>
      </c>
      <c r="Q1496">
        <v>2296</v>
      </c>
    </row>
    <row r="1497" spans="4:17" x14ac:dyDescent="0.25">
      <c r="D1497">
        <v>1399341</v>
      </c>
      <c r="H1497" t="s">
        <v>30</v>
      </c>
      <c r="P1497">
        <v>2349</v>
      </c>
      <c r="Q1497">
        <v>2297</v>
      </c>
    </row>
    <row r="1498" spans="4:17" x14ac:dyDescent="0.25">
      <c r="D1498">
        <v>1399341</v>
      </c>
      <c r="H1498" t="s">
        <v>151</v>
      </c>
      <c r="P1498">
        <v>2350</v>
      </c>
      <c r="Q1498">
        <v>2298</v>
      </c>
    </row>
    <row r="1499" spans="4:17" x14ac:dyDescent="0.25">
      <c r="D1499">
        <v>1399341</v>
      </c>
      <c r="H1499" t="s">
        <v>40</v>
      </c>
      <c r="P1499">
        <v>2351</v>
      </c>
      <c r="Q1499">
        <v>2299</v>
      </c>
    </row>
    <row r="1500" spans="4:17" x14ac:dyDescent="0.25">
      <c r="D1500">
        <v>451367</v>
      </c>
      <c r="H1500" t="s">
        <v>40</v>
      </c>
      <c r="P1500">
        <v>2352</v>
      </c>
      <c r="Q1500">
        <v>2300</v>
      </c>
    </row>
    <row r="1501" spans="4:17" x14ac:dyDescent="0.25">
      <c r="D1501">
        <v>451367</v>
      </c>
      <c r="H1501" t="s">
        <v>151</v>
      </c>
      <c r="P1501">
        <v>2353</v>
      </c>
      <c r="Q1501">
        <v>2301</v>
      </c>
    </row>
    <row r="1502" spans="4:17" x14ac:dyDescent="0.25">
      <c r="D1502">
        <v>440216</v>
      </c>
      <c r="H1502" t="s">
        <v>151</v>
      </c>
      <c r="P1502">
        <v>2354</v>
      </c>
      <c r="Q1502">
        <v>2302</v>
      </c>
    </row>
    <row r="1503" spans="4:17" x14ac:dyDescent="0.25">
      <c r="D1503">
        <v>3682071</v>
      </c>
      <c r="H1503" t="s">
        <v>151</v>
      </c>
      <c r="P1503">
        <v>2355</v>
      </c>
      <c r="Q1503">
        <v>2303</v>
      </c>
    </row>
    <row r="1504" spans="4:17" x14ac:dyDescent="0.25">
      <c r="D1504">
        <v>3673888</v>
      </c>
      <c r="H1504" t="s">
        <v>17</v>
      </c>
      <c r="P1504">
        <v>2356</v>
      </c>
      <c r="Q1504">
        <v>2304</v>
      </c>
    </row>
    <row r="1505" spans="4:17" x14ac:dyDescent="0.25">
      <c r="D1505">
        <v>3673888</v>
      </c>
      <c r="H1505" t="s">
        <v>17</v>
      </c>
      <c r="P1505">
        <v>2357</v>
      </c>
      <c r="Q1505">
        <v>2305</v>
      </c>
    </row>
    <row r="1506" spans="4:17" x14ac:dyDescent="0.25">
      <c r="D1506">
        <v>3673888</v>
      </c>
      <c r="H1506" t="s">
        <v>17</v>
      </c>
      <c r="P1506">
        <v>2358</v>
      </c>
      <c r="Q1506">
        <v>2306</v>
      </c>
    </row>
    <row r="1507" spans="4:17" x14ac:dyDescent="0.25">
      <c r="D1507">
        <v>3673888</v>
      </c>
      <c r="H1507" t="s">
        <v>17</v>
      </c>
      <c r="P1507">
        <v>2359</v>
      </c>
      <c r="Q1507">
        <v>2307</v>
      </c>
    </row>
    <row r="1508" spans="4:17" x14ac:dyDescent="0.25">
      <c r="D1508">
        <v>3673888</v>
      </c>
      <c r="H1508" t="s">
        <v>17</v>
      </c>
      <c r="P1508">
        <v>2360</v>
      </c>
      <c r="Q1508">
        <v>2308</v>
      </c>
    </row>
    <row r="1509" spans="4:17" x14ac:dyDescent="0.25">
      <c r="D1509">
        <v>3673888</v>
      </c>
      <c r="H1509" t="s">
        <v>17</v>
      </c>
      <c r="P1509">
        <v>2361</v>
      </c>
      <c r="Q1509">
        <v>2309</v>
      </c>
    </row>
    <row r="1510" spans="4:17" x14ac:dyDescent="0.25">
      <c r="D1510">
        <v>3673888</v>
      </c>
      <c r="H1510" t="s">
        <v>17</v>
      </c>
      <c r="P1510">
        <v>2362</v>
      </c>
      <c r="Q1510">
        <v>2310</v>
      </c>
    </row>
    <row r="1511" spans="4:17" x14ac:dyDescent="0.25">
      <c r="D1511">
        <v>1940293</v>
      </c>
      <c r="H1511" t="s">
        <v>17</v>
      </c>
      <c r="P1511">
        <v>2363</v>
      </c>
      <c r="Q1511">
        <v>2311</v>
      </c>
    </row>
    <row r="1512" spans="4:17" x14ac:dyDescent="0.25">
      <c r="D1512">
        <v>1940293</v>
      </c>
      <c r="H1512" t="s">
        <v>17</v>
      </c>
      <c r="P1512">
        <v>2364</v>
      </c>
      <c r="Q1512">
        <v>2312</v>
      </c>
    </row>
    <row r="1513" spans="4:17" x14ac:dyDescent="0.25">
      <c r="D1513">
        <v>235292</v>
      </c>
      <c r="H1513" t="s">
        <v>17</v>
      </c>
      <c r="P1513">
        <v>2365</v>
      </c>
      <c r="Q1513">
        <v>2313</v>
      </c>
    </row>
    <row r="1514" spans="4:17" x14ac:dyDescent="0.25">
      <c r="D1514">
        <v>235292</v>
      </c>
      <c r="H1514" t="s">
        <v>17</v>
      </c>
      <c r="P1514">
        <v>2366</v>
      </c>
      <c r="Q1514">
        <v>2314</v>
      </c>
    </row>
    <row r="1515" spans="4:17" x14ac:dyDescent="0.25">
      <c r="D1515">
        <v>235292</v>
      </c>
      <c r="H1515" t="s">
        <v>17</v>
      </c>
      <c r="P1515">
        <v>2367</v>
      </c>
      <c r="Q1515">
        <v>2315</v>
      </c>
    </row>
    <row r="1516" spans="4:17" x14ac:dyDescent="0.25">
      <c r="D1516">
        <v>3499307</v>
      </c>
      <c r="H1516" t="s">
        <v>17</v>
      </c>
      <c r="P1516">
        <v>2367</v>
      </c>
      <c r="Q1516">
        <v>2316</v>
      </c>
    </row>
    <row r="1517" spans="4:17" x14ac:dyDescent="0.25">
      <c r="D1517">
        <v>3499307</v>
      </c>
      <c r="H1517" t="s">
        <v>17</v>
      </c>
      <c r="P1517">
        <v>2369</v>
      </c>
      <c r="Q1517">
        <v>2317</v>
      </c>
    </row>
    <row r="1518" spans="4:17" x14ac:dyDescent="0.25">
      <c r="D1518">
        <v>3499307</v>
      </c>
      <c r="H1518" t="s">
        <v>17</v>
      </c>
      <c r="P1518">
        <v>2371</v>
      </c>
      <c r="Q1518">
        <v>2318</v>
      </c>
    </row>
    <row r="1519" spans="4:17" x14ac:dyDescent="0.25">
      <c r="D1519">
        <v>3499307</v>
      </c>
      <c r="H1519" t="s">
        <v>17</v>
      </c>
      <c r="P1519">
        <v>2372</v>
      </c>
      <c r="Q1519">
        <v>2319</v>
      </c>
    </row>
    <row r="1520" spans="4:17" x14ac:dyDescent="0.25">
      <c r="D1520">
        <v>3499307</v>
      </c>
      <c r="H1520" t="s">
        <v>17</v>
      </c>
      <c r="P1520">
        <v>2373</v>
      </c>
      <c r="Q1520">
        <v>2320</v>
      </c>
    </row>
    <row r="1521" spans="4:17" x14ac:dyDescent="0.25">
      <c r="D1521">
        <v>3499307</v>
      </c>
      <c r="H1521" t="s">
        <v>17</v>
      </c>
      <c r="P1521">
        <v>2374</v>
      </c>
      <c r="Q1521">
        <v>2321</v>
      </c>
    </row>
    <row r="1522" spans="4:17" x14ac:dyDescent="0.25">
      <c r="D1522">
        <v>1937438</v>
      </c>
      <c r="H1522" t="s">
        <v>17</v>
      </c>
      <c r="P1522">
        <v>2375</v>
      </c>
      <c r="Q1522">
        <v>2322</v>
      </c>
    </row>
    <row r="1523" spans="4:17" x14ac:dyDescent="0.25">
      <c r="D1523">
        <v>1937438</v>
      </c>
      <c r="H1523" t="s">
        <v>17</v>
      </c>
      <c r="P1523">
        <v>2376</v>
      </c>
      <c r="Q1523">
        <v>2323</v>
      </c>
    </row>
    <row r="1524" spans="4:17" x14ac:dyDescent="0.25">
      <c r="D1524">
        <v>1937438</v>
      </c>
      <c r="H1524" t="s">
        <v>17</v>
      </c>
      <c r="P1524">
        <v>2377</v>
      </c>
      <c r="Q1524">
        <v>2324</v>
      </c>
    </row>
    <row r="1525" spans="4:17" x14ac:dyDescent="0.25">
      <c r="D1525">
        <v>1937438</v>
      </c>
      <c r="H1525" t="s">
        <v>17</v>
      </c>
      <c r="P1525">
        <v>2378</v>
      </c>
      <c r="Q1525">
        <v>2325</v>
      </c>
    </row>
    <row r="1526" spans="4:17" x14ac:dyDescent="0.25">
      <c r="D1526">
        <v>1937438</v>
      </c>
      <c r="H1526" t="s">
        <v>17</v>
      </c>
      <c r="P1526">
        <v>2379</v>
      </c>
      <c r="Q1526">
        <v>2326</v>
      </c>
    </row>
    <row r="1527" spans="4:17" x14ac:dyDescent="0.25">
      <c r="D1527">
        <v>1937438</v>
      </c>
      <c r="H1527" t="s">
        <v>17</v>
      </c>
      <c r="P1527">
        <v>2380</v>
      </c>
      <c r="Q1527">
        <v>2327</v>
      </c>
    </row>
    <row r="1528" spans="4:17" x14ac:dyDescent="0.25">
      <c r="D1528">
        <v>1937438</v>
      </c>
      <c r="H1528" t="s">
        <v>17</v>
      </c>
      <c r="P1528">
        <v>2398</v>
      </c>
      <c r="Q1528">
        <v>2328</v>
      </c>
    </row>
    <row r="1529" spans="4:17" x14ac:dyDescent="0.25">
      <c r="D1529">
        <v>1937438</v>
      </c>
      <c r="H1529" t="s">
        <v>17</v>
      </c>
      <c r="P1529">
        <v>2399</v>
      </c>
      <c r="Q1529">
        <v>2329</v>
      </c>
    </row>
    <row r="1530" spans="4:17" x14ac:dyDescent="0.25">
      <c r="D1530">
        <v>1937438</v>
      </c>
      <c r="H1530" t="s">
        <v>17</v>
      </c>
      <c r="P1530">
        <v>2400</v>
      </c>
      <c r="Q1530">
        <v>2330</v>
      </c>
    </row>
    <row r="1531" spans="4:17" x14ac:dyDescent="0.25">
      <c r="D1531">
        <v>1937438</v>
      </c>
      <c r="H1531" t="s">
        <v>62</v>
      </c>
      <c r="P1531">
        <v>2401</v>
      </c>
      <c r="Q1531">
        <v>2331</v>
      </c>
    </row>
    <row r="1532" spans="4:17" x14ac:dyDescent="0.25">
      <c r="D1532">
        <v>1333189</v>
      </c>
      <c r="H1532" t="s">
        <v>62</v>
      </c>
      <c r="P1532">
        <v>2402</v>
      </c>
      <c r="Q1532">
        <v>2333</v>
      </c>
    </row>
    <row r="1533" spans="4:17" x14ac:dyDescent="0.25">
      <c r="D1533">
        <v>1333189</v>
      </c>
      <c r="H1533" t="s">
        <v>21</v>
      </c>
      <c r="P1533">
        <v>2403</v>
      </c>
      <c r="Q1533">
        <v>2334</v>
      </c>
    </row>
    <row r="1534" spans="4:17" x14ac:dyDescent="0.25">
      <c r="D1534">
        <v>1940302</v>
      </c>
      <c r="H1534" t="s">
        <v>21</v>
      </c>
      <c r="P1534">
        <v>2404</v>
      </c>
      <c r="Q1534">
        <v>2335</v>
      </c>
    </row>
    <row r="1535" spans="4:17" x14ac:dyDescent="0.25">
      <c r="D1535">
        <v>1940302</v>
      </c>
      <c r="H1535" t="s">
        <v>21</v>
      </c>
      <c r="P1535">
        <v>2405</v>
      </c>
      <c r="Q1535">
        <v>2336</v>
      </c>
    </row>
    <row r="1536" spans="4:17" x14ac:dyDescent="0.25">
      <c r="D1536">
        <v>1940302</v>
      </c>
      <c r="H1536" t="s">
        <v>21</v>
      </c>
      <c r="P1536">
        <v>2406</v>
      </c>
      <c r="Q1536">
        <v>2337</v>
      </c>
    </row>
    <row r="1537" spans="4:17" x14ac:dyDescent="0.25">
      <c r="D1537">
        <v>1940302</v>
      </c>
      <c r="H1537" t="s">
        <v>17</v>
      </c>
      <c r="P1537">
        <v>2407</v>
      </c>
      <c r="Q1537">
        <v>2338</v>
      </c>
    </row>
    <row r="1538" spans="4:17" x14ac:dyDescent="0.25">
      <c r="D1538">
        <v>1940302</v>
      </c>
      <c r="H1538" t="s">
        <v>17</v>
      </c>
      <c r="P1538">
        <v>2408</v>
      </c>
      <c r="Q1538">
        <v>2339</v>
      </c>
    </row>
    <row r="1539" spans="4:17" x14ac:dyDescent="0.25">
      <c r="D1539">
        <v>1259405</v>
      </c>
      <c r="H1539" t="s">
        <v>17</v>
      </c>
      <c r="P1539">
        <v>2409</v>
      </c>
      <c r="Q1539">
        <v>2340</v>
      </c>
    </row>
    <row r="1540" spans="4:17" x14ac:dyDescent="0.25">
      <c r="D1540">
        <v>3781673</v>
      </c>
      <c r="H1540" t="s">
        <v>17</v>
      </c>
      <c r="P1540">
        <v>2410</v>
      </c>
      <c r="Q1540">
        <v>2341</v>
      </c>
    </row>
    <row r="1541" spans="4:17" x14ac:dyDescent="0.25">
      <c r="D1541">
        <v>1940306</v>
      </c>
      <c r="H1541" t="s">
        <v>17</v>
      </c>
      <c r="P1541">
        <v>2411</v>
      </c>
      <c r="Q1541">
        <v>2342</v>
      </c>
    </row>
    <row r="1542" spans="4:17" x14ac:dyDescent="0.25">
      <c r="D1542">
        <v>1940306</v>
      </c>
      <c r="H1542" t="s">
        <v>17</v>
      </c>
      <c r="P1542">
        <v>2412</v>
      </c>
      <c r="Q1542">
        <v>2343</v>
      </c>
    </row>
    <row r="1543" spans="4:17" x14ac:dyDescent="0.25">
      <c r="D1543">
        <v>1940306</v>
      </c>
      <c r="H1543" t="s">
        <v>17</v>
      </c>
      <c r="P1543">
        <v>2413</v>
      </c>
      <c r="Q1543">
        <v>2344</v>
      </c>
    </row>
    <row r="1544" spans="4:17" x14ac:dyDescent="0.25">
      <c r="D1544">
        <v>1940306</v>
      </c>
      <c r="H1544" t="s">
        <v>17</v>
      </c>
      <c r="P1544">
        <v>2414</v>
      </c>
      <c r="Q1544">
        <v>2345</v>
      </c>
    </row>
    <row r="1545" spans="4:17" x14ac:dyDescent="0.25">
      <c r="D1545">
        <v>1940306</v>
      </c>
      <c r="H1545" t="s">
        <v>17</v>
      </c>
      <c r="P1545">
        <v>2415</v>
      </c>
      <c r="Q1545">
        <v>2346</v>
      </c>
    </row>
    <row r="1546" spans="4:17" x14ac:dyDescent="0.25">
      <c r="D1546">
        <v>1940306</v>
      </c>
      <c r="H1546" t="s">
        <v>17</v>
      </c>
      <c r="P1546">
        <v>2416</v>
      </c>
      <c r="Q1546">
        <v>2347</v>
      </c>
    </row>
    <row r="1547" spans="4:17" x14ac:dyDescent="0.25">
      <c r="D1547">
        <v>1940306</v>
      </c>
      <c r="H1547" t="s">
        <v>17</v>
      </c>
      <c r="P1547">
        <v>2417</v>
      </c>
      <c r="Q1547">
        <v>2348</v>
      </c>
    </row>
    <row r="1548" spans="4:17" x14ac:dyDescent="0.25">
      <c r="D1548">
        <v>1940306</v>
      </c>
      <c r="H1548" t="s">
        <v>17</v>
      </c>
      <c r="P1548">
        <v>2425</v>
      </c>
      <c r="Q1548">
        <v>2349</v>
      </c>
    </row>
    <row r="1549" spans="4:17" x14ac:dyDescent="0.25">
      <c r="D1549">
        <v>1940306</v>
      </c>
      <c r="H1549" t="s">
        <v>17</v>
      </c>
      <c r="P1549">
        <v>2426</v>
      </c>
      <c r="Q1549">
        <v>2350</v>
      </c>
    </row>
    <row r="1550" spans="4:17" x14ac:dyDescent="0.25">
      <c r="D1550">
        <v>1940306</v>
      </c>
      <c r="H1550" t="s">
        <v>17</v>
      </c>
      <c r="P1550">
        <v>2427</v>
      </c>
      <c r="Q1550">
        <v>2351</v>
      </c>
    </row>
    <row r="1551" spans="4:17" x14ac:dyDescent="0.25">
      <c r="D1551">
        <v>1940306</v>
      </c>
      <c r="H1551" t="s">
        <v>17</v>
      </c>
      <c r="P1551">
        <v>2428</v>
      </c>
      <c r="Q1551">
        <v>2352</v>
      </c>
    </row>
    <row r="1552" spans="4:17" x14ac:dyDescent="0.25">
      <c r="D1552">
        <v>1940306</v>
      </c>
      <c r="H1552" t="s">
        <v>17</v>
      </c>
      <c r="P1552">
        <v>2429</v>
      </c>
      <c r="Q1552">
        <v>2353</v>
      </c>
    </row>
    <row r="1553" spans="4:17" x14ac:dyDescent="0.25">
      <c r="D1553">
        <v>1940306</v>
      </c>
      <c r="H1553" t="s">
        <v>17</v>
      </c>
      <c r="P1553">
        <v>2430</v>
      </c>
      <c r="Q1553">
        <v>2354</v>
      </c>
    </row>
    <row r="1554" spans="4:17" x14ac:dyDescent="0.25">
      <c r="D1554">
        <v>511879</v>
      </c>
      <c r="H1554" t="s">
        <v>17</v>
      </c>
      <c r="P1554">
        <v>2431</v>
      </c>
      <c r="Q1554">
        <v>2355</v>
      </c>
    </row>
    <row r="1555" spans="4:17" x14ac:dyDescent="0.25">
      <c r="D1555">
        <v>437147</v>
      </c>
      <c r="H1555" t="s">
        <v>17</v>
      </c>
      <c r="P1555">
        <v>2432</v>
      </c>
      <c r="Q1555">
        <v>2356</v>
      </c>
    </row>
    <row r="1556" spans="4:17" x14ac:dyDescent="0.25">
      <c r="D1556">
        <v>437147</v>
      </c>
      <c r="H1556" t="s">
        <v>17</v>
      </c>
      <c r="P1556">
        <v>2433</v>
      </c>
      <c r="Q1556">
        <v>2357</v>
      </c>
    </row>
    <row r="1557" spans="4:17" x14ac:dyDescent="0.25">
      <c r="D1557">
        <v>437147</v>
      </c>
      <c r="H1557" t="s">
        <v>17</v>
      </c>
      <c r="P1557">
        <v>2434</v>
      </c>
      <c r="Q1557">
        <v>2358</v>
      </c>
    </row>
    <row r="1558" spans="4:17" x14ac:dyDescent="0.25">
      <c r="D1558">
        <v>1940307</v>
      </c>
      <c r="H1558" t="s">
        <v>17</v>
      </c>
      <c r="P1558">
        <v>2435</v>
      </c>
      <c r="Q1558">
        <v>2359</v>
      </c>
    </row>
    <row r="1559" spans="4:17" x14ac:dyDescent="0.25">
      <c r="D1559">
        <v>1940307</v>
      </c>
      <c r="H1559" t="s">
        <v>17</v>
      </c>
      <c r="P1559">
        <v>2436</v>
      </c>
      <c r="Q1559">
        <v>2360</v>
      </c>
    </row>
    <row r="1560" spans="4:17" x14ac:dyDescent="0.25">
      <c r="D1560">
        <v>1940307</v>
      </c>
      <c r="H1560" t="s">
        <v>17</v>
      </c>
      <c r="P1560">
        <v>2437</v>
      </c>
      <c r="Q1560">
        <v>2361</v>
      </c>
    </row>
    <row r="1561" spans="4:17" x14ac:dyDescent="0.25">
      <c r="D1561">
        <v>1940307</v>
      </c>
      <c r="H1561" t="s">
        <v>17</v>
      </c>
      <c r="P1561">
        <v>2438</v>
      </c>
      <c r="Q1561">
        <v>2362</v>
      </c>
    </row>
    <row r="1562" spans="4:17" x14ac:dyDescent="0.25">
      <c r="D1562">
        <v>1940307</v>
      </c>
      <c r="H1562" t="s">
        <v>17</v>
      </c>
      <c r="P1562">
        <v>2439</v>
      </c>
      <c r="Q1562">
        <v>2363</v>
      </c>
    </row>
    <row r="1563" spans="4:17" x14ac:dyDescent="0.25">
      <c r="D1563">
        <v>1940307</v>
      </c>
      <c r="H1563" t="s">
        <v>17</v>
      </c>
      <c r="P1563">
        <v>2440</v>
      </c>
      <c r="Q1563">
        <v>2364</v>
      </c>
    </row>
    <row r="1564" spans="4:17" x14ac:dyDescent="0.25">
      <c r="D1564">
        <v>1940307</v>
      </c>
      <c r="H1564" t="s">
        <v>17</v>
      </c>
      <c r="P1564">
        <v>2441</v>
      </c>
      <c r="Q1564">
        <v>2365</v>
      </c>
    </row>
    <row r="1565" spans="4:17" x14ac:dyDescent="0.25">
      <c r="D1565">
        <v>1940307</v>
      </c>
      <c r="H1565" t="s">
        <v>76</v>
      </c>
      <c r="P1565">
        <v>2442</v>
      </c>
      <c r="Q1565">
        <v>2366</v>
      </c>
    </row>
    <row r="1566" spans="4:17" x14ac:dyDescent="0.25">
      <c r="D1566">
        <v>1940307</v>
      </c>
      <c r="H1566" t="s">
        <v>76</v>
      </c>
      <c r="P1566">
        <v>2443</v>
      </c>
      <c r="Q1566">
        <v>2367</v>
      </c>
    </row>
    <row r="1567" spans="4:17" x14ac:dyDescent="0.25">
      <c r="D1567">
        <v>1940307</v>
      </c>
      <c r="H1567" t="s">
        <v>76</v>
      </c>
      <c r="P1567">
        <v>2444</v>
      </c>
      <c r="Q1567">
        <v>2369</v>
      </c>
    </row>
    <row r="1568" spans="4:17" x14ac:dyDescent="0.25">
      <c r="D1568">
        <v>1940307</v>
      </c>
      <c r="H1568" t="s">
        <v>76</v>
      </c>
      <c r="P1568">
        <v>2445</v>
      </c>
      <c r="Q1568">
        <v>2370</v>
      </c>
    </row>
    <row r="1569" spans="4:17" x14ac:dyDescent="0.25">
      <c r="D1569">
        <v>2427712</v>
      </c>
      <c r="H1569" t="s">
        <v>21</v>
      </c>
      <c r="P1569">
        <v>2446</v>
      </c>
      <c r="Q1569">
        <v>2371</v>
      </c>
    </row>
    <row r="1570" spans="4:17" x14ac:dyDescent="0.25">
      <c r="D1570">
        <v>2427712</v>
      </c>
      <c r="H1570" t="s">
        <v>21</v>
      </c>
      <c r="P1570">
        <v>2447</v>
      </c>
      <c r="Q1570">
        <v>2372</v>
      </c>
    </row>
    <row r="1571" spans="4:17" x14ac:dyDescent="0.25">
      <c r="D1571">
        <v>2427712</v>
      </c>
      <c r="H1571" t="s">
        <v>21</v>
      </c>
      <c r="P1571">
        <v>2448</v>
      </c>
      <c r="Q1571">
        <v>2373</v>
      </c>
    </row>
    <row r="1572" spans="4:17" x14ac:dyDescent="0.25">
      <c r="D1572">
        <v>2427712</v>
      </c>
      <c r="H1572" t="s">
        <v>21</v>
      </c>
      <c r="P1572">
        <v>2449</v>
      </c>
      <c r="Q1572">
        <v>2374</v>
      </c>
    </row>
    <row r="1573" spans="4:17" x14ac:dyDescent="0.25">
      <c r="D1573">
        <v>2427712</v>
      </c>
      <c r="H1573" t="s">
        <v>21</v>
      </c>
      <c r="P1573">
        <v>2450</v>
      </c>
      <c r="Q1573">
        <v>2375</v>
      </c>
    </row>
    <row r="1574" spans="4:17" x14ac:dyDescent="0.25">
      <c r="D1574">
        <v>2427712</v>
      </c>
      <c r="H1574" t="s">
        <v>21</v>
      </c>
      <c r="P1574">
        <v>2451</v>
      </c>
      <c r="Q1574">
        <v>2376</v>
      </c>
    </row>
    <row r="1575" spans="4:17" x14ac:dyDescent="0.25">
      <c r="D1575">
        <v>2427712</v>
      </c>
      <c r="H1575" t="s">
        <v>21</v>
      </c>
      <c r="P1575">
        <v>2452</v>
      </c>
      <c r="Q1575">
        <v>2377</v>
      </c>
    </row>
    <row r="1576" spans="4:17" x14ac:dyDescent="0.25">
      <c r="D1576">
        <v>2427712</v>
      </c>
      <c r="H1576" t="s">
        <v>21</v>
      </c>
      <c r="P1576">
        <v>2453</v>
      </c>
      <c r="Q1576">
        <v>2378</v>
      </c>
    </row>
    <row r="1577" spans="4:17" x14ac:dyDescent="0.25">
      <c r="D1577">
        <v>2427712</v>
      </c>
      <c r="H1577" t="s">
        <v>21</v>
      </c>
      <c r="P1577">
        <v>2454</v>
      </c>
      <c r="Q1577">
        <v>2379</v>
      </c>
    </row>
    <row r="1578" spans="4:17" x14ac:dyDescent="0.25">
      <c r="D1578">
        <v>1442308</v>
      </c>
      <c r="H1578" t="s">
        <v>21</v>
      </c>
      <c r="P1578">
        <v>2455</v>
      </c>
      <c r="Q1578">
        <v>2380</v>
      </c>
    </row>
    <row r="1579" spans="4:17" x14ac:dyDescent="0.25">
      <c r="D1579">
        <v>3508993</v>
      </c>
      <c r="H1579" t="s">
        <v>21</v>
      </c>
      <c r="P1579">
        <v>2456</v>
      </c>
      <c r="Q1579">
        <v>2398</v>
      </c>
    </row>
    <row r="1580" spans="4:17" x14ac:dyDescent="0.25">
      <c r="D1580">
        <v>1300148</v>
      </c>
      <c r="H1580" t="s">
        <v>21</v>
      </c>
      <c r="P1580">
        <v>2457</v>
      </c>
      <c r="Q1580">
        <v>2399</v>
      </c>
    </row>
    <row r="1581" spans="4:17" x14ac:dyDescent="0.25">
      <c r="D1581">
        <v>1300148</v>
      </c>
      <c r="H1581" t="s">
        <v>21</v>
      </c>
      <c r="P1581">
        <v>2458</v>
      </c>
      <c r="Q1581">
        <v>2400</v>
      </c>
    </row>
    <row r="1582" spans="4:17" x14ac:dyDescent="0.25">
      <c r="D1582">
        <v>1940309</v>
      </c>
      <c r="H1582" t="s">
        <v>21</v>
      </c>
      <c r="P1582">
        <v>2459</v>
      </c>
      <c r="Q1582">
        <v>2401</v>
      </c>
    </row>
    <row r="1583" spans="4:17" x14ac:dyDescent="0.25">
      <c r="D1583">
        <v>1940309</v>
      </c>
      <c r="H1583" t="s">
        <v>21</v>
      </c>
      <c r="P1583">
        <v>2460</v>
      </c>
      <c r="Q1583">
        <v>2402</v>
      </c>
    </row>
    <row r="1584" spans="4:17" x14ac:dyDescent="0.25">
      <c r="D1584">
        <v>1940309</v>
      </c>
      <c r="H1584" t="s">
        <v>21</v>
      </c>
      <c r="P1584">
        <v>2461</v>
      </c>
      <c r="Q1584">
        <v>2403</v>
      </c>
    </row>
    <row r="1585" spans="4:17" x14ac:dyDescent="0.25">
      <c r="D1585">
        <v>1940309</v>
      </c>
      <c r="H1585" t="s">
        <v>151</v>
      </c>
      <c r="P1585">
        <v>2462</v>
      </c>
      <c r="Q1585">
        <v>2404</v>
      </c>
    </row>
    <row r="1586" spans="4:17" x14ac:dyDescent="0.25">
      <c r="D1586">
        <v>1940309</v>
      </c>
      <c r="H1586" t="s">
        <v>76</v>
      </c>
      <c r="P1586">
        <v>2463</v>
      </c>
      <c r="Q1586">
        <v>2405</v>
      </c>
    </row>
    <row r="1587" spans="4:17" x14ac:dyDescent="0.25">
      <c r="D1587">
        <v>1940309</v>
      </c>
      <c r="H1587" t="s">
        <v>76</v>
      </c>
      <c r="P1587">
        <v>2464</v>
      </c>
      <c r="Q1587">
        <v>2406</v>
      </c>
    </row>
    <row r="1588" spans="4:17" x14ac:dyDescent="0.25">
      <c r="D1588">
        <v>1940309</v>
      </c>
      <c r="H1588" t="s">
        <v>76</v>
      </c>
      <c r="P1588">
        <v>2465</v>
      </c>
      <c r="Q1588">
        <v>2407</v>
      </c>
    </row>
    <row r="1589" spans="4:17" x14ac:dyDescent="0.25">
      <c r="D1589">
        <v>1940309</v>
      </c>
      <c r="H1589" t="s">
        <v>76</v>
      </c>
      <c r="P1589">
        <v>2466</v>
      </c>
      <c r="Q1589">
        <v>2408</v>
      </c>
    </row>
    <row r="1590" spans="4:17" x14ac:dyDescent="0.25">
      <c r="D1590">
        <v>1940309</v>
      </c>
      <c r="H1590" t="s">
        <v>76</v>
      </c>
      <c r="P1590">
        <v>2467</v>
      </c>
      <c r="Q1590">
        <v>2409</v>
      </c>
    </row>
    <row r="1591" spans="4:17" x14ac:dyDescent="0.25">
      <c r="D1591">
        <v>1940309</v>
      </c>
      <c r="H1591" t="s">
        <v>17</v>
      </c>
      <c r="P1591">
        <v>2468</v>
      </c>
      <c r="Q1591">
        <v>2410</v>
      </c>
    </row>
    <row r="1592" spans="4:17" x14ac:dyDescent="0.25">
      <c r="D1592">
        <v>437156</v>
      </c>
      <c r="H1592" t="s">
        <v>17</v>
      </c>
      <c r="P1592">
        <v>2469</v>
      </c>
      <c r="Q1592">
        <v>2411</v>
      </c>
    </row>
    <row r="1593" spans="4:17" x14ac:dyDescent="0.25">
      <c r="D1593">
        <v>477004</v>
      </c>
      <c r="H1593" t="s">
        <v>17</v>
      </c>
      <c r="P1593">
        <v>2470</v>
      </c>
      <c r="Q1593">
        <v>2412</v>
      </c>
    </row>
    <row r="1594" spans="4:17" x14ac:dyDescent="0.25">
      <c r="D1594">
        <v>1940310</v>
      </c>
      <c r="H1594" t="s">
        <v>17</v>
      </c>
      <c r="P1594">
        <v>2471</v>
      </c>
      <c r="Q1594">
        <v>2413</v>
      </c>
    </row>
    <row r="1595" spans="4:17" x14ac:dyDescent="0.25">
      <c r="D1595">
        <v>1940310</v>
      </c>
      <c r="H1595" t="s">
        <v>17</v>
      </c>
      <c r="P1595">
        <v>2472</v>
      </c>
      <c r="Q1595">
        <v>2414</v>
      </c>
    </row>
    <row r="1596" spans="4:17" x14ac:dyDescent="0.25">
      <c r="D1596">
        <v>1940310</v>
      </c>
      <c r="H1596" t="s">
        <v>17</v>
      </c>
      <c r="P1596">
        <v>2473</v>
      </c>
      <c r="Q1596">
        <v>2415</v>
      </c>
    </row>
    <row r="1597" spans="4:17" x14ac:dyDescent="0.25">
      <c r="D1597">
        <v>1940310</v>
      </c>
      <c r="H1597" t="s">
        <v>17</v>
      </c>
      <c r="P1597">
        <v>2474</v>
      </c>
      <c r="Q1597">
        <v>2416</v>
      </c>
    </row>
    <row r="1598" spans="4:17" x14ac:dyDescent="0.25">
      <c r="D1598">
        <v>1940310</v>
      </c>
      <c r="H1598" t="s">
        <v>17</v>
      </c>
      <c r="P1598">
        <v>2475</v>
      </c>
      <c r="Q1598">
        <v>2417</v>
      </c>
    </row>
    <row r="1599" spans="4:17" x14ac:dyDescent="0.25">
      <c r="D1599">
        <v>1940310</v>
      </c>
      <c r="H1599" t="s">
        <v>17</v>
      </c>
      <c r="P1599">
        <v>2476</v>
      </c>
      <c r="Q1599">
        <v>2418</v>
      </c>
    </row>
    <row r="1600" spans="4:17" x14ac:dyDescent="0.25">
      <c r="D1600">
        <v>2427711</v>
      </c>
      <c r="H1600" t="s">
        <v>17</v>
      </c>
      <c r="P1600">
        <v>2478</v>
      </c>
      <c r="Q1600">
        <v>2419</v>
      </c>
    </row>
    <row r="1601" spans="4:17" x14ac:dyDescent="0.25">
      <c r="D1601">
        <v>2427711</v>
      </c>
      <c r="H1601" t="s">
        <v>17</v>
      </c>
      <c r="P1601">
        <v>2479</v>
      </c>
      <c r="Q1601">
        <v>2420</v>
      </c>
    </row>
    <row r="1602" spans="4:17" x14ac:dyDescent="0.25">
      <c r="D1602">
        <v>2427711</v>
      </c>
      <c r="H1602" t="s">
        <v>17</v>
      </c>
      <c r="P1602">
        <v>2480</v>
      </c>
      <c r="Q1602">
        <v>2421</v>
      </c>
    </row>
    <row r="1603" spans="4:17" x14ac:dyDescent="0.25">
      <c r="D1603">
        <v>2427711</v>
      </c>
      <c r="H1603" t="s">
        <v>17</v>
      </c>
      <c r="P1603">
        <v>2481</v>
      </c>
      <c r="Q1603">
        <v>2422</v>
      </c>
    </row>
    <row r="1604" spans="4:17" x14ac:dyDescent="0.25">
      <c r="D1604">
        <v>2427711</v>
      </c>
      <c r="H1604" t="s">
        <v>17</v>
      </c>
      <c r="P1604">
        <v>2482</v>
      </c>
      <c r="Q1604">
        <v>2423</v>
      </c>
    </row>
    <row r="1605" spans="4:17" x14ac:dyDescent="0.25">
      <c r="D1605">
        <v>2427711</v>
      </c>
      <c r="H1605" t="s">
        <v>17</v>
      </c>
      <c r="P1605">
        <v>2483</v>
      </c>
      <c r="Q1605">
        <v>2424</v>
      </c>
    </row>
    <row r="1606" spans="4:17" x14ac:dyDescent="0.25">
      <c r="D1606">
        <v>2427711</v>
      </c>
      <c r="H1606" t="s">
        <v>17</v>
      </c>
      <c r="P1606">
        <v>2484</v>
      </c>
      <c r="Q1606">
        <v>2425</v>
      </c>
    </row>
    <row r="1607" spans="4:17" x14ac:dyDescent="0.25">
      <c r="D1607">
        <v>2427711</v>
      </c>
      <c r="H1607" t="s">
        <v>17</v>
      </c>
      <c r="P1607">
        <v>2485</v>
      </c>
      <c r="Q1607">
        <v>2426</v>
      </c>
    </row>
    <row r="1608" spans="4:17" x14ac:dyDescent="0.25">
      <c r="D1608">
        <v>2427711</v>
      </c>
      <c r="H1608" t="s">
        <v>17</v>
      </c>
      <c r="P1608">
        <v>2486</v>
      </c>
      <c r="Q1608">
        <v>2427</v>
      </c>
    </row>
    <row r="1609" spans="4:17" x14ac:dyDescent="0.25">
      <c r="D1609">
        <v>2427711</v>
      </c>
      <c r="H1609" t="s">
        <v>17</v>
      </c>
      <c r="P1609">
        <v>2487</v>
      </c>
      <c r="Q1609">
        <v>2428</v>
      </c>
    </row>
    <row r="1610" spans="4:17" x14ac:dyDescent="0.25">
      <c r="D1610">
        <v>2427711</v>
      </c>
      <c r="H1610" t="s">
        <v>17</v>
      </c>
      <c r="P1610">
        <v>2488</v>
      </c>
      <c r="Q1610">
        <v>2429</v>
      </c>
    </row>
    <row r="1611" spans="4:17" x14ac:dyDescent="0.25">
      <c r="D1611">
        <v>2427711</v>
      </c>
      <c r="H1611" t="s">
        <v>17</v>
      </c>
      <c r="P1611">
        <v>2489</v>
      </c>
      <c r="Q1611">
        <v>2430</v>
      </c>
    </row>
    <row r="1612" spans="4:17" x14ac:dyDescent="0.25">
      <c r="D1612">
        <v>3781637</v>
      </c>
      <c r="H1612" t="s">
        <v>17</v>
      </c>
      <c r="P1612">
        <v>2490</v>
      </c>
      <c r="Q1612">
        <v>2431</v>
      </c>
    </row>
    <row r="1613" spans="4:17" x14ac:dyDescent="0.25">
      <c r="D1613">
        <v>1940312</v>
      </c>
      <c r="H1613" t="s">
        <v>17</v>
      </c>
      <c r="P1613">
        <v>2491</v>
      </c>
      <c r="Q1613">
        <v>2432</v>
      </c>
    </row>
    <row r="1614" spans="4:17" x14ac:dyDescent="0.25">
      <c r="D1614">
        <v>1940312</v>
      </c>
      <c r="H1614" t="s">
        <v>17</v>
      </c>
      <c r="P1614">
        <v>2492</v>
      </c>
      <c r="Q1614">
        <v>2433</v>
      </c>
    </row>
    <row r="1615" spans="4:17" x14ac:dyDescent="0.25">
      <c r="D1615">
        <v>1940312</v>
      </c>
      <c r="H1615" t="s">
        <v>17</v>
      </c>
      <c r="Q1615">
        <v>2434</v>
      </c>
    </row>
    <row r="1616" spans="4:17" x14ac:dyDescent="0.25">
      <c r="D1616">
        <v>1940312</v>
      </c>
      <c r="H1616" t="s">
        <v>151</v>
      </c>
      <c r="Q1616">
        <v>2435</v>
      </c>
    </row>
    <row r="1617" spans="4:17" x14ac:dyDescent="0.25">
      <c r="D1617">
        <v>1940312</v>
      </c>
      <c r="H1617" t="s">
        <v>151</v>
      </c>
      <c r="Q1617">
        <v>2436</v>
      </c>
    </row>
    <row r="1618" spans="4:17" x14ac:dyDescent="0.25">
      <c r="D1618">
        <v>1940312</v>
      </c>
      <c r="H1618" t="s">
        <v>151</v>
      </c>
      <c r="Q1618">
        <v>2437</v>
      </c>
    </row>
    <row r="1619" spans="4:17" x14ac:dyDescent="0.25">
      <c r="D1619">
        <v>1940312</v>
      </c>
      <c r="H1619" t="s">
        <v>151</v>
      </c>
      <c r="Q1619">
        <v>2438</v>
      </c>
    </row>
    <row r="1620" spans="4:17" x14ac:dyDescent="0.25">
      <c r="D1620">
        <v>1940312</v>
      </c>
      <c r="H1620" t="s">
        <v>151</v>
      </c>
      <c r="Q1620">
        <v>2439</v>
      </c>
    </row>
    <row r="1621" spans="4:17" x14ac:dyDescent="0.25">
      <c r="D1621">
        <v>1940312</v>
      </c>
      <c r="H1621" t="s">
        <v>151</v>
      </c>
      <c r="Q1621">
        <v>2440</v>
      </c>
    </row>
    <row r="1622" spans="4:17" x14ac:dyDescent="0.25">
      <c r="D1622">
        <v>1940312</v>
      </c>
      <c r="H1622" t="s">
        <v>151</v>
      </c>
      <c r="Q1622">
        <v>2441</v>
      </c>
    </row>
    <row r="1623" spans="4:17" x14ac:dyDescent="0.25">
      <c r="D1623">
        <v>1940312</v>
      </c>
      <c r="H1623" t="s">
        <v>151</v>
      </c>
      <c r="Q1623">
        <v>2442</v>
      </c>
    </row>
    <row r="1624" spans="4:17" x14ac:dyDescent="0.25">
      <c r="D1624">
        <v>1940312</v>
      </c>
      <c r="H1624" t="s">
        <v>151</v>
      </c>
      <c r="Q1624">
        <v>2443</v>
      </c>
    </row>
    <row r="1625" spans="4:17" x14ac:dyDescent="0.25">
      <c r="D1625">
        <v>1940312</v>
      </c>
      <c r="H1625" t="s">
        <v>151</v>
      </c>
      <c r="Q1625">
        <v>2444</v>
      </c>
    </row>
    <row r="1626" spans="4:17" x14ac:dyDescent="0.25">
      <c r="D1626">
        <v>1940312</v>
      </c>
      <c r="H1626" t="s">
        <v>151</v>
      </c>
      <c r="Q1626">
        <v>2445</v>
      </c>
    </row>
    <row r="1627" spans="4:17" x14ac:dyDescent="0.25">
      <c r="D1627">
        <v>1940312</v>
      </c>
      <c r="H1627" t="s">
        <v>151</v>
      </c>
      <c r="Q1627">
        <v>2446</v>
      </c>
    </row>
    <row r="1628" spans="4:17" x14ac:dyDescent="0.25">
      <c r="D1628">
        <v>1940312</v>
      </c>
      <c r="H1628" t="s">
        <v>44</v>
      </c>
      <c r="Q1628">
        <v>2447</v>
      </c>
    </row>
    <row r="1629" spans="4:17" x14ac:dyDescent="0.25">
      <c r="D1629">
        <v>1940312</v>
      </c>
      <c r="H1629" t="s">
        <v>44</v>
      </c>
      <c r="Q1629">
        <v>2448</v>
      </c>
    </row>
    <row r="1630" spans="4:17" x14ac:dyDescent="0.25">
      <c r="D1630">
        <v>1940312</v>
      </c>
      <c r="H1630" t="s">
        <v>44</v>
      </c>
      <c r="Q1630">
        <v>2449</v>
      </c>
    </row>
    <row r="1631" spans="4:17" x14ac:dyDescent="0.25">
      <c r="D1631">
        <v>437154</v>
      </c>
      <c r="H1631" t="s">
        <v>44</v>
      </c>
      <c r="Q1631">
        <v>2450</v>
      </c>
    </row>
    <row r="1632" spans="4:17" x14ac:dyDescent="0.25">
      <c r="D1632">
        <v>1940313</v>
      </c>
      <c r="H1632" t="s">
        <v>44</v>
      </c>
      <c r="Q1632">
        <v>2451</v>
      </c>
    </row>
    <row r="1633" spans="4:17" x14ac:dyDescent="0.25">
      <c r="D1633">
        <v>1940313</v>
      </c>
      <c r="H1633" t="s">
        <v>44</v>
      </c>
      <c r="Q1633">
        <v>2452</v>
      </c>
    </row>
    <row r="1634" spans="4:17" x14ac:dyDescent="0.25">
      <c r="D1634">
        <v>1940313</v>
      </c>
      <c r="H1634" t="s">
        <v>44</v>
      </c>
      <c r="Q1634">
        <v>2453</v>
      </c>
    </row>
    <row r="1635" spans="4:17" x14ac:dyDescent="0.25">
      <c r="D1635">
        <v>1940313</v>
      </c>
      <c r="H1635" t="s">
        <v>44</v>
      </c>
      <c r="Q1635">
        <v>2454</v>
      </c>
    </row>
    <row r="1636" spans="4:17" x14ac:dyDescent="0.25">
      <c r="D1636">
        <v>1940313</v>
      </c>
      <c r="H1636" t="s">
        <v>44</v>
      </c>
      <c r="Q1636">
        <v>2455</v>
      </c>
    </row>
    <row r="1637" spans="4:17" x14ac:dyDescent="0.25">
      <c r="D1637">
        <v>1940313</v>
      </c>
      <c r="H1637" t="s">
        <v>44</v>
      </c>
      <c r="Q1637">
        <v>2456</v>
      </c>
    </row>
    <row r="1638" spans="4:17" x14ac:dyDescent="0.25">
      <c r="D1638">
        <v>1940313</v>
      </c>
      <c r="H1638" t="s">
        <v>44</v>
      </c>
      <c r="Q1638">
        <v>2457</v>
      </c>
    </row>
    <row r="1639" spans="4:17" x14ac:dyDescent="0.25">
      <c r="D1639">
        <v>1940313</v>
      </c>
      <c r="H1639" t="s">
        <v>44</v>
      </c>
      <c r="Q1639">
        <v>2458</v>
      </c>
    </row>
    <row r="1640" spans="4:17" x14ac:dyDescent="0.25">
      <c r="D1640">
        <v>1940313</v>
      </c>
      <c r="H1640" t="s">
        <v>44</v>
      </c>
      <c r="Q1640">
        <v>2459</v>
      </c>
    </row>
    <row r="1641" spans="4:17" x14ac:dyDescent="0.25">
      <c r="D1641">
        <v>1940313</v>
      </c>
      <c r="H1641" t="s">
        <v>44</v>
      </c>
      <c r="Q1641">
        <v>2460</v>
      </c>
    </row>
    <row r="1642" spans="4:17" x14ac:dyDescent="0.25">
      <c r="D1642">
        <v>1940313</v>
      </c>
      <c r="H1642" t="s">
        <v>44</v>
      </c>
      <c r="Q1642">
        <v>2461</v>
      </c>
    </row>
    <row r="1643" spans="4:17" x14ac:dyDescent="0.25">
      <c r="D1643">
        <v>1940313</v>
      </c>
      <c r="H1643" t="s">
        <v>44</v>
      </c>
      <c r="Q1643">
        <v>2462</v>
      </c>
    </row>
    <row r="1644" spans="4:17" x14ac:dyDescent="0.25">
      <c r="D1644">
        <v>508988</v>
      </c>
      <c r="H1644" t="s">
        <v>61</v>
      </c>
      <c r="Q1644">
        <v>2463</v>
      </c>
    </row>
    <row r="1645" spans="4:17" x14ac:dyDescent="0.25">
      <c r="D1645">
        <v>508988</v>
      </c>
      <c r="H1645" t="s">
        <v>61</v>
      </c>
      <c r="Q1645">
        <v>2464</v>
      </c>
    </row>
    <row r="1646" spans="4:17" x14ac:dyDescent="0.25">
      <c r="D1646">
        <v>508988</v>
      </c>
      <c r="H1646" t="s">
        <v>61</v>
      </c>
      <c r="Q1646">
        <v>2465</v>
      </c>
    </row>
    <row r="1647" spans="4:17" x14ac:dyDescent="0.25">
      <c r="D1647">
        <v>508988</v>
      </c>
      <c r="H1647" t="s">
        <v>61</v>
      </c>
      <c r="Q1647">
        <v>2466</v>
      </c>
    </row>
    <row r="1648" spans="4:17" x14ac:dyDescent="0.25">
      <c r="D1648">
        <v>1940318</v>
      </c>
      <c r="H1648" t="s">
        <v>61</v>
      </c>
      <c r="Q1648">
        <v>2467</v>
      </c>
    </row>
    <row r="1649" spans="4:17" x14ac:dyDescent="0.25">
      <c r="D1649">
        <v>1940318</v>
      </c>
      <c r="H1649" t="s">
        <v>61</v>
      </c>
      <c r="Q1649">
        <v>2468</v>
      </c>
    </row>
    <row r="1650" spans="4:17" x14ac:dyDescent="0.25">
      <c r="D1650">
        <v>1940318</v>
      </c>
      <c r="H1650" t="s">
        <v>61</v>
      </c>
      <c r="Q1650">
        <v>2469</v>
      </c>
    </row>
    <row r="1651" spans="4:17" x14ac:dyDescent="0.25">
      <c r="D1651">
        <v>1940318</v>
      </c>
      <c r="H1651" t="s">
        <v>61</v>
      </c>
      <c r="Q1651">
        <v>2470</v>
      </c>
    </row>
    <row r="1652" spans="4:17" x14ac:dyDescent="0.25">
      <c r="D1652">
        <v>437148</v>
      </c>
      <c r="H1652" t="s">
        <v>61</v>
      </c>
      <c r="Q1652">
        <v>2471</v>
      </c>
    </row>
    <row r="1653" spans="4:17" x14ac:dyDescent="0.25">
      <c r="D1653">
        <v>2320564</v>
      </c>
      <c r="H1653" t="s">
        <v>61</v>
      </c>
      <c r="Q1653">
        <v>2472</v>
      </c>
    </row>
    <row r="1654" spans="4:17" x14ac:dyDescent="0.25">
      <c r="D1654">
        <v>508992</v>
      </c>
      <c r="H1654" t="s">
        <v>61</v>
      </c>
      <c r="Q1654">
        <v>2473</v>
      </c>
    </row>
    <row r="1655" spans="4:17" x14ac:dyDescent="0.25">
      <c r="D1655">
        <v>513789</v>
      </c>
      <c r="H1655" t="s">
        <v>61</v>
      </c>
      <c r="Q1655">
        <v>2474</v>
      </c>
    </row>
    <row r="1656" spans="4:17" x14ac:dyDescent="0.25">
      <c r="D1656">
        <v>1940324</v>
      </c>
      <c r="H1656" t="s">
        <v>61</v>
      </c>
      <c r="Q1656">
        <v>2475</v>
      </c>
    </row>
    <row r="1657" spans="4:17" x14ac:dyDescent="0.25">
      <c r="D1657">
        <v>1940324</v>
      </c>
      <c r="H1657" t="s">
        <v>61</v>
      </c>
      <c r="Q1657">
        <v>2476</v>
      </c>
    </row>
    <row r="1658" spans="4:17" x14ac:dyDescent="0.25">
      <c r="D1658">
        <v>1940324</v>
      </c>
      <c r="H1658" t="s">
        <v>61</v>
      </c>
      <c r="Q1658">
        <v>2477</v>
      </c>
    </row>
    <row r="1659" spans="4:17" x14ac:dyDescent="0.25">
      <c r="D1659">
        <v>1940324</v>
      </c>
      <c r="H1659" t="s">
        <v>61</v>
      </c>
      <c r="Q1659">
        <v>2478</v>
      </c>
    </row>
    <row r="1660" spans="4:17" x14ac:dyDescent="0.25">
      <c r="D1660">
        <v>1940324</v>
      </c>
      <c r="H1660" t="s">
        <v>61</v>
      </c>
      <c r="Q1660">
        <v>2479</v>
      </c>
    </row>
    <row r="1661" spans="4:17" x14ac:dyDescent="0.25">
      <c r="D1661">
        <v>1940324</v>
      </c>
      <c r="H1661" t="s">
        <v>61</v>
      </c>
      <c r="Q1661">
        <v>2480</v>
      </c>
    </row>
    <row r="1662" spans="4:17" x14ac:dyDescent="0.25">
      <c r="D1662">
        <v>437150</v>
      </c>
      <c r="H1662" t="s">
        <v>61</v>
      </c>
      <c r="Q1662">
        <v>2481</v>
      </c>
    </row>
    <row r="1663" spans="4:17" x14ac:dyDescent="0.25">
      <c r="D1663">
        <v>511878</v>
      </c>
      <c r="H1663" t="s">
        <v>61</v>
      </c>
      <c r="Q1663">
        <v>2482</v>
      </c>
    </row>
    <row r="1664" spans="4:17" x14ac:dyDescent="0.25">
      <c r="D1664">
        <v>511878</v>
      </c>
      <c r="H1664" t="s">
        <v>61</v>
      </c>
      <c r="Q1664">
        <v>2483</v>
      </c>
    </row>
    <row r="1665" spans="4:17" x14ac:dyDescent="0.25">
      <c r="D1665">
        <v>511878</v>
      </c>
      <c r="H1665" t="s">
        <v>61</v>
      </c>
      <c r="Q1665">
        <v>2484</v>
      </c>
    </row>
    <row r="1666" spans="4:17" x14ac:dyDescent="0.25">
      <c r="D1666">
        <v>1940325</v>
      </c>
      <c r="H1666" t="s">
        <v>61</v>
      </c>
      <c r="Q1666">
        <v>2485</v>
      </c>
    </row>
    <row r="1667" spans="4:17" x14ac:dyDescent="0.25">
      <c r="D1667">
        <v>1940325</v>
      </c>
      <c r="H1667" t="s">
        <v>61</v>
      </c>
      <c r="Q1667">
        <v>2486</v>
      </c>
    </row>
    <row r="1668" spans="4:17" x14ac:dyDescent="0.25">
      <c r="D1668">
        <v>1940325</v>
      </c>
      <c r="H1668" t="s">
        <v>61</v>
      </c>
      <c r="Q1668">
        <v>2487</v>
      </c>
    </row>
    <row r="1669" spans="4:17" x14ac:dyDescent="0.25">
      <c r="D1669">
        <v>1940325</v>
      </c>
      <c r="H1669" t="s">
        <v>61</v>
      </c>
      <c r="Q1669">
        <v>2488</v>
      </c>
    </row>
    <row r="1670" spans="4:17" x14ac:dyDescent="0.25">
      <c r="D1670">
        <v>1940325</v>
      </c>
      <c r="H1670" t="s">
        <v>61</v>
      </c>
      <c r="Q1670">
        <v>2489</v>
      </c>
    </row>
    <row r="1671" spans="4:17" x14ac:dyDescent="0.25">
      <c r="D1671">
        <v>1940325</v>
      </c>
      <c r="H1671" t="s">
        <v>61</v>
      </c>
      <c r="Q1671">
        <v>2490</v>
      </c>
    </row>
    <row r="1672" spans="4:17" x14ac:dyDescent="0.25">
      <c r="D1672">
        <v>1940325</v>
      </c>
      <c r="H1672" t="s">
        <v>61</v>
      </c>
      <c r="Q1672">
        <v>2491</v>
      </c>
    </row>
    <row r="1673" spans="4:17" x14ac:dyDescent="0.25">
      <c r="D1673">
        <v>1940325</v>
      </c>
      <c r="H1673" t="s">
        <v>61</v>
      </c>
      <c r="Q1673">
        <v>2492</v>
      </c>
    </row>
    <row r="1674" spans="4:17" x14ac:dyDescent="0.25">
      <c r="D1674">
        <v>1940325</v>
      </c>
      <c r="H1674" t="s">
        <v>61</v>
      </c>
      <c r="Q1674">
        <v>2493</v>
      </c>
    </row>
    <row r="1675" spans="4:17" x14ac:dyDescent="0.25">
      <c r="D1675">
        <v>1940325</v>
      </c>
      <c r="H1675" t="s">
        <v>61</v>
      </c>
      <c r="Q1675">
        <v>2494</v>
      </c>
    </row>
    <row r="1676" spans="4:17" x14ac:dyDescent="0.25">
      <c r="D1676">
        <v>3507077</v>
      </c>
      <c r="H1676" t="s">
        <v>61</v>
      </c>
      <c r="Q1676">
        <v>2495</v>
      </c>
    </row>
    <row r="1677" spans="4:17" x14ac:dyDescent="0.25">
      <c r="D1677">
        <v>3507077</v>
      </c>
      <c r="H1677" t="s">
        <v>61</v>
      </c>
      <c r="Q1677">
        <v>2496</v>
      </c>
    </row>
    <row r="1678" spans="4:17" x14ac:dyDescent="0.25">
      <c r="D1678">
        <v>3507077</v>
      </c>
      <c r="H1678" t="s">
        <v>61</v>
      </c>
      <c r="Q1678">
        <v>2497</v>
      </c>
    </row>
    <row r="1679" spans="4:17" x14ac:dyDescent="0.25">
      <c r="D1679">
        <v>437144</v>
      </c>
      <c r="H1679" t="s">
        <v>61</v>
      </c>
      <c r="Q1679">
        <v>2498</v>
      </c>
    </row>
    <row r="1680" spans="4:17" x14ac:dyDescent="0.25">
      <c r="D1680">
        <v>437144</v>
      </c>
      <c r="H1680" t="s">
        <v>61</v>
      </c>
      <c r="Q1680">
        <v>2499</v>
      </c>
    </row>
    <row r="1681" spans="4:17" x14ac:dyDescent="0.25">
      <c r="D1681">
        <v>437144</v>
      </c>
      <c r="H1681" t="s">
        <v>61</v>
      </c>
      <c r="Q1681">
        <v>2500</v>
      </c>
    </row>
    <row r="1682" spans="4:17" x14ac:dyDescent="0.25">
      <c r="D1682">
        <v>1940327</v>
      </c>
      <c r="H1682" t="s">
        <v>61</v>
      </c>
      <c r="Q1682">
        <v>2501</v>
      </c>
    </row>
    <row r="1683" spans="4:17" x14ac:dyDescent="0.25">
      <c r="D1683">
        <v>1940327</v>
      </c>
      <c r="H1683" t="s">
        <v>61</v>
      </c>
      <c r="Q1683">
        <v>2502</v>
      </c>
    </row>
    <row r="1684" spans="4:17" x14ac:dyDescent="0.25">
      <c r="D1684">
        <v>1940327</v>
      </c>
      <c r="H1684" t="s">
        <v>61</v>
      </c>
    </row>
    <row r="1685" spans="4:17" x14ac:dyDescent="0.25">
      <c r="D1685">
        <v>3508521</v>
      </c>
      <c r="H1685" t="s">
        <v>61</v>
      </c>
    </row>
    <row r="1686" spans="4:17" x14ac:dyDescent="0.25">
      <c r="D1686">
        <v>3508521</v>
      </c>
      <c r="H1686" t="s">
        <v>61</v>
      </c>
    </row>
    <row r="1687" spans="4:17" x14ac:dyDescent="0.25">
      <c r="D1687">
        <v>3508521</v>
      </c>
      <c r="H1687" t="s">
        <v>61</v>
      </c>
    </row>
    <row r="1688" spans="4:17" x14ac:dyDescent="0.25">
      <c r="D1688">
        <v>1940329</v>
      </c>
      <c r="H1688" t="s">
        <v>61</v>
      </c>
    </row>
    <row r="1689" spans="4:17" x14ac:dyDescent="0.25">
      <c r="D1689">
        <v>1940329</v>
      </c>
      <c r="H1689" t="s">
        <v>61</v>
      </c>
    </row>
    <row r="1690" spans="4:17" x14ac:dyDescent="0.25">
      <c r="D1690">
        <v>1940329</v>
      </c>
      <c r="H1690" t="s">
        <v>61</v>
      </c>
    </row>
    <row r="1691" spans="4:17" x14ac:dyDescent="0.25">
      <c r="D1691">
        <v>1940329</v>
      </c>
      <c r="H1691" t="s">
        <v>21</v>
      </c>
    </row>
    <row r="1692" spans="4:17" x14ac:dyDescent="0.25">
      <c r="D1692">
        <v>1940329</v>
      </c>
      <c r="H1692" t="s">
        <v>21</v>
      </c>
    </row>
    <row r="1693" spans="4:17" x14ac:dyDescent="0.25">
      <c r="D1693">
        <v>1940329</v>
      </c>
      <c r="H1693" t="s">
        <v>21</v>
      </c>
    </row>
    <row r="1694" spans="4:17" x14ac:dyDescent="0.25">
      <c r="D1694">
        <v>1940329</v>
      </c>
      <c r="H1694" t="s">
        <v>21</v>
      </c>
    </row>
    <row r="1695" spans="4:17" x14ac:dyDescent="0.25">
      <c r="D1695">
        <v>1940329</v>
      </c>
      <c r="H1695" t="s">
        <v>21</v>
      </c>
    </row>
    <row r="1696" spans="4:17" x14ac:dyDescent="0.25">
      <c r="D1696">
        <v>1940329</v>
      </c>
      <c r="H1696" t="s">
        <v>21</v>
      </c>
    </row>
    <row r="1697" spans="4:8" x14ac:dyDescent="0.25">
      <c r="D1697">
        <v>1372704</v>
      </c>
      <c r="H1697" t="s">
        <v>21</v>
      </c>
    </row>
    <row r="1698" spans="4:8" x14ac:dyDescent="0.25">
      <c r="D1698">
        <v>1940335</v>
      </c>
      <c r="H1698" t="s">
        <v>21</v>
      </c>
    </row>
    <row r="1699" spans="4:8" x14ac:dyDescent="0.25">
      <c r="D1699">
        <v>1940335</v>
      </c>
      <c r="H1699" t="s">
        <v>21</v>
      </c>
    </row>
    <row r="1700" spans="4:8" x14ac:dyDescent="0.25">
      <c r="D1700">
        <v>1940335</v>
      </c>
      <c r="H1700" t="s">
        <v>71</v>
      </c>
    </row>
    <row r="1701" spans="4:8" x14ac:dyDescent="0.25">
      <c r="D1701">
        <v>1940335</v>
      </c>
      <c r="H1701" t="s">
        <v>71</v>
      </c>
    </row>
    <row r="1702" spans="4:8" x14ac:dyDescent="0.25">
      <c r="D1702">
        <v>3500582</v>
      </c>
      <c r="H1702" t="s">
        <v>71</v>
      </c>
    </row>
    <row r="1703" spans="4:8" x14ac:dyDescent="0.25">
      <c r="D1703">
        <v>3500582</v>
      </c>
      <c r="H1703" t="s">
        <v>71</v>
      </c>
    </row>
    <row r="1704" spans="4:8" x14ac:dyDescent="0.25">
      <c r="D1704">
        <v>3500582</v>
      </c>
      <c r="H1704" t="s">
        <v>71</v>
      </c>
    </row>
    <row r="1705" spans="4:8" x14ac:dyDescent="0.25">
      <c r="D1705">
        <v>3500582</v>
      </c>
      <c r="H1705" t="s">
        <v>71</v>
      </c>
    </row>
    <row r="1706" spans="4:8" x14ac:dyDescent="0.25">
      <c r="D1706">
        <v>3500582</v>
      </c>
      <c r="H1706" t="s">
        <v>71</v>
      </c>
    </row>
    <row r="1707" spans="4:8" x14ac:dyDescent="0.25">
      <c r="D1707">
        <v>3500582</v>
      </c>
      <c r="H1707" t="s">
        <v>71</v>
      </c>
    </row>
    <row r="1708" spans="4:8" x14ac:dyDescent="0.25">
      <c r="D1708">
        <v>3500582</v>
      </c>
      <c r="H1708" t="s">
        <v>71</v>
      </c>
    </row>
    <row r="1709" spans="4:8" x14ac:dyDescent="0.25">
      <c r="D1709">
        <v>3500582</v>
      </c>
      <c r="H1709" t="s">
        <v>71</v>
      </c>
    </row>
    <row r="1710" spans="4:8" x14ac:dyDescent="0.25">
      <c r="D1710">
        <v>3500582</v>
      </c>
      <c r="H1710" t="s">
        <v>40</v>
      </c>
    </row>
    <row r="1711" spans="4:8" x14ac:dyDescent="0.25">
      <c r="D1711">
        <v>3500582</v>
      </c>
      <c r="H1711" t="s">
        <v>40</v>
      </c>
    </row>
    <row r="1712" spans="4:8" x14ac:dyDescent="0.25">
      <c r="D1712">
        <v>3500582</v>
      </c>
      <c r="H1712" t="s">
        <v>40</v>
      </c>
    </row>
    <row r="1713" spans="4:8" x14ac:dyDescent="0.25">
      <c r="D1713">
        <v>3500582</v>
      </c>
      <c r="H1713" t="s">
        <v>40</v>
      </c>
    </row>
    <row r="1714" spans="4:8" x14ac:dyDescent="0.25">
      <c r="D1714">
        <v>3500582</v>
      </c>
      <c r="H1714" t="s">
        <v>40</v>
      </c>
    </row>
    <row r="1715" spans="4:8" x14ac:dyDescent="0.25">
      <c r="D1715">
        <v>3500582</v>
      </c>
      <c r="H1715" t="s">
        <v>71</v>
      </c>
    </row>
    <row r="1716" spans="4:8" x14ac:dyDescent="0.25">
      <c r="D1716">
        <v>3500582</v>
      </c>
      <c r="H1716" t="s">
        <v>71</v>
      </c>
    </row>
    <row r="1717" spans="4:8" x14ac:dyDescent="0.25">
      <c r="D1717">
        <v>3500582</v>
      </c>
      <c r="H1717" t="s">
        <v>71</v>
      </c>
    </row>
    <row r="1718" spans="4:8" x14ac:dyDescent="0.25">
      <c r="D1718">
        <v>1268694</v>
      </c>
      <c r="H1718" t="s">
        <v>71</v>
      </c>
    </row>
    <row r="1719" spans="4:8" x14ac:dyDescent="0.25">
      <c r="D1719">
        <v>238726</v>
      </c>
      <c r="H1719" t="s">
        <v>71</v>
      </c>
    </row>
    <row r="1720" spans="4:8" x14ac:dyDescent="0.25">
      <c r="D1720">
        <v>3718926</v>
      </c>
      <c r="H1720" t="s">
        <v>71</v>
      </c>
    </row>
    <row r="1721" spans="4:8" x14ac:dyDescent="0.25">
      <c r="D1721">
        <v>238539</v>
      </c>
      <c r="H1721" t="s">
        <v>71</v>
      </c>
    </row>
    <row r="1722" spans="4:8" x14ac:dyDescent="0.25">
      <c r="D1722">
        <v>238539</v>
      </c>
      <c r="H1722" t="s">
        <v>39</v>
      </c>
    </row>
    <row r="1723" spans="4:8" x14ac:dyDescent="0.25">
      <c r="D1723">
        <v>2410643</v>
      </c>
      <c r="H1723" t="s">
        <v>49</v>
      </c>
    </row>
    <row r="1724" spans="4:8" x14ac:dyDescent="0.25">
      <c r="D1724">
        <v>2410643</v>
      </c>
      <c r="H1724" t="s">
        <v>151</v>
      </c>
    </row>
    <row r="1725" spans="4:8" x14ac:dyDescent="0.25">
      <c r="D1725">
        <v>2410643</v>
      </c>
      <c r="H1725" t="s">
        <v>151</v>
      </c>
    </row>
    <row r="1726" spans="4:8" x14ac:dyDescent="0.25">
      <c r="D1726">
        <v>2410643</v>
      </c>
      <c r="H1726" t="s">
        <v>151</v>
      </c>
    </row>
    <row r="1727" spans="4:8" x14ac:dyDescent="0.25">
      <c r="D1727">
        <v>3228788</v>
      </c>
      <c r="H1727" t="s">
        <v>151</v>
      </c>
    </row>
    <row r="1728" spans="4:8" x14ac:dyDescent="0.25">
      <c r="D1728">
        <v>3228788</v>
      </c>
      <c r="H1728" t="s">
        <v>151</v>
      </c>
    </row>
    <row r="1729" spans="4:8" x14ac:dyDescent="0.25">
      <c r="D1729">
        <v>3228788</v>
      </c>
      <c r="H1729" t="s">
        <v>151</v>
      </c>
    </row>
    <row r="1730" spans="4:8" x14ac:dyDescent="0.25">
      <c r="D1730">
        <v>3228788</v>
      </c>
      <c r="H1730" t="s">
        <v>151</v>
      </c>
    </row>
    <row r="1731" spans="4:8" x14ac:dyDescent="0.25">
      <c r="D1731">
        <v>3228788</v>
      </c>
      <c r="H1731" t="s">
        <v>151</v>
      </c>
    </row>
    <row r="1732" spans="4:8" x14ac:dyDescent="0.25">
      <c r="D1732">
        <v>3228788</v>
      </c>
      <c r="H1732" t="s">
        <v>151</v>
      </c>
    </row>
    <row r="1733" spans="4:8" x14ac:dyDescent="0.25">
      <c r="D1733">
        <v>2439536</v>
      </c>
      <c r="H1733" t="s">
        <v>151</v>
      </c>
    </row>
    <row r="1734" spans="4:8" x14ac:dyDescent="0.25">
      <c r="D1734">
        <v>2439536</v>
      </c>
      <c r="H1734" t="s">
        <v>151</v>
      </c>
    </row>
    <row r="1735" spans="4:8" x14ac:dyDescent="0.25">
      <c r="D1735">
        <v>2439536</v>
      </c>
      <c r="H1735" t="s">
        <v>151</v>
      </c>
    </row>
    <row r="1736" spans="4:8" x14ac:dyDescent="0.25">
      <c r="D1736">
        <v>2439536</v>
      </c>
      <c r="H1736" t="s">
        <v>151</v>
      </c>
    </row>
    <row r="1737" spans="4:8" x14ac:dyDescent="0.25">
      <c r="D1737">
        <v>2439536</v>
      </c>
      <c r="H1737" t="s">
        <v>151</v>
      </c>
    </row>
    <row r="1738" spans="4:8" x14ac:dyDescent="0.25">
      <c r="D1738">
        <v>2439536</v>
      </c>
      <c r="H1738" t="s">
        <v>151</v>
      </c>
    </row>
    <row r="1739" spans="4:8" x14ac:dyDescent="0.25">
      <c r="D1739">
        <v>2439535</v>
      </c>
      <c r="H1739" t="s">
        <v>151</v>
      </c>
    </row>
    <row r="1740" spans="4:8" x14ac:dyDescent="0.25">
      <c r="D1740">
        <v>2439535</v>
      </c>
      <c r="H1740" t="s">
        <v>151</v>
      </c>
    </row>
    <row r="1741" spans="4:8" x14ac:dyDescent="0.25">
      <c r="D1741">
        <v>3219710</v>
      </c>
      <c r="H1741" t="s">
        <v>151</v>
      </c>
    </row>
    <row r="1742" spans="4:8" x14ac:dyDescent="0.25">
      <c r="D1742">
        <v>1940348</v>
      </c>
      <c r="H1742" t="s">
        <v>151</v>
      </c>
    </row>
    <row r="1743" spans="4:8" x14ac:dyDescent="0.25">
      <c r="D1743">
        <v>2410999</v>
      </c>
      <c r="H1743" t="s">
        <v>151</v>
      </c>
    </row>
    <row r="1744" spans="4:8" x14ac:dyDescent="0.25">
      <c r="D1744">
        <v>2410999</v>
      </c>
      <c r="H1744" t="s">
        <v>22</v>
      </c>
    </row>
    <row r="1745" spans="4:8" x14ac:dyDescent="0.25">
      <c r="D1745">
        <v>2410999</v>
      </c>
      <c r="H1745" t="s">
        <v>72</v>
      </c>
    </row>
    <row r="1746" spans="4:8" x14ac:dyDescent="0.25">
      <c r="D1746">
        <v>2410999</v>
      </c>
      <c r="H1746" t="s">
        <v>72</v>
      </c>
    </row>
    <row r="1747" spans="4:8" x14ac:dyDescent="0.25">
      <c r="D1747">
        <v>2410999</v>
      </c>
      <c r="H1747" t="s">
        <v>72</v>
      </c>
    </row>
    <row r="1748" spans="4:8" x14ac:dyDescent="0.25">
      <c r="D1748">
        <v>2410999</v>
      </c>
      <c r="H1748" t="s">
        <v>72</v>
      </c>
    </row>
    <row r="1749" spans="4:8" x14ac:dyDescent="0.25">
      <c r="D1749">
        <v>2410999</v>
      </c>
      <c r="H1749" t="s">
        <v>72</v>
      </c>
    </row>
    <row r="1750" spans="4:8" x14ac:dyDescent="0.25">
      <c r="D1750">
        <v>2410999</v>
      </c>
      <c r="H1750" t="s">
        <v>72</v>
      </c>
    </row>
    <row r="1751" spans="4:8" x14ac:dyDescent="0.25">
      <c r="D1751">
        <v>2410999</v>
      </c>
      <c r="H1751" t="s">
        <v>72</v>
      </c>
    </row>
    <row r="1752" spans="4:8" x14ac:dyDescent="0.25">
      <c r="D1752">
        <v>2410994</v>
      </c>
      <c r="H1752" t="s">
        <v>24</v>
      </c>
    </row>
    <row r="1753" spans="4:8" x14ac:dyDescent="0.25">
      <c r="D1753">
        <v>2410994</v>
      </c>
      <c r="H1753" t="s">
        <v>107</v>
      </c>
    </row>
    <row r="1754" spans="4:8" x14ac:dyDescent="0.25">
      <c r="D1754">
        <v>2410994</v>
      </c>
      <c r="H1754" t="s">
        <v>151</v>
      </c>
    </row>
    <row r="1755" spans="4:8" x14ac:dyDescent="0.25">
      <c r="D1755">
        <v>2410994</v>
      </c>
      <c r="H1755" t="s">
        <v>151</v>
      </c>
    </row>
    <row r="1756" spans="4:8" x14ac:dyDescent="0.25">
      <c r="D1756">
        <v>2410994</v>
      </c>
      <c r="H1756" t="s">
        <v>101</v>
      </c>
    </row>
    <row r="1757" spans="4:8" x14ac:dyDescent="0.25">
      <c r="D1757">
        <v>2410994</v>
      </c>
      <c r="H1757" t="s">
        <v>126</v>
      </c>
    </row>
    <row r="1758" spans="4:8" x14ac:dyDescent="0.25">
      <c r="D1758">
        <v>2410994</v>
      </c>
      <c r="H1758" t="s">
        <v>126</v>
      </c>
    </row>
    <row r="1759" spans="4:8" x14ac:dyDescent="0.25">
      <c r="D1759">
        <v>314118</v>
      </c>
      <c r="H1759" t="s">
        <v>126</v>
      </c>
    </row>
    <row r="1760" spans="4:8" x14ac:dyDescent="0.25">
      <c r="D1760">
        <v>314118</v>
      </c>
      <c r="H1760" t="s">
        <v>126</v>
      </c>
    </row>
    <row r="1761" spans="4:8" x14ac:dyDescent="0.25">
      <c r="D1761">
        <v>420489</v>
      </c>
      <c r="H1761" t="s">
        <v>101</v>
      </c>
    </row>
    <row r="1762" spans="4:8" x14ac:dyDescent="0.25">
      <c r="D1762">
        <v>420489</v>
      </c>
      <c r="H1762" t="s">
        <v>101</v>
      </c>
    </row>
    <row r="1763" spans="4:8" x14ac:dyDescent="0.25">
      <c r="D1763">
        <v>3180928</v>
      </c>
      <c r="H1763" t="s">
        <v>101</v>
      </c>
    </row>
    <row r="1764" spans="4:8" x14ac:dyDescent="0.25">
      <c r="D1764">
        <v>3667938</v>
      </c>
      <c r="H1764" t="s">
        <v>101</v>
      </c>
    </row>
    <row r="1765" spans="4:8" x14ac:dyDescent="0.25">
      <c r="D1765">
        <v>3667938</v>
      </c>
      <c r="H1765" t="s">
        <v>101</v>
      </c>
    </row>
    <row r="1766" spans="4:8" x14ac:dyDescent="0.25">
      <c r="D1766">
        <v>3667938</v>
      </c>
      <c r="H1766" t="s">
        <v>101</v>
      </c>
    </row>
    <row r="1767" spans="4:8" x14ac:dyDescent="0.25">
      <c r="D1767">
        <v>3667938</v>
      </c>
      <c r="H1767" t="s">
        <v>101</v>
      </c>
    </row>
    <row r="1768" spans="4:8" x14ac:dyDescent="0.25">
      <c r="D1768">
        <v>3667938</v>
      </c>
      <c r="H1768" t="s">
        <v>101</v>
      </c>
    </row>
    <row r="1769" spans="4:8" x14ac:dyDescent="0.25">
      <c r="D1769">
        <v>3667938</v>
      </c>
      <c r="H1769" t="s">
        <v>101</v>
      </c>
    </row>
    <row r="1770" spans="4:8" x14ac:dyDescent="0.25">
      <c r="D1770">
        <v>3667938</v>
      </c>
      <c r="H1770" t="s">
        <v>101</v>
      </c>
    </row>
    <row r="1771" spans="4:8" x14ac:dyDescent="0.25">
      <c r="D1771">
        <v>3507568</v>
      </c>
      <c r="H1771" t="s">
        <v>101</v>
      </c>
    </row>
    <row r="1772" spans="4:8" x14ac:dyDescent="0.25">
      <c r="D1772">
        <v>1270328</v>
      </c>
      <c r="H1772" t="s">
        <v>101</v>
      </c>
    </row>
    <row r="1773" spans="4:8" x14ac:dyDescent="0.25">
      <c r="D1773">
        <v>1270328</v>
      </c>
      <c r="H1773" t="s">
        <v>101</v>
      </c>
    </row>
    <row r="1774" spans="4:8" x14ac:dyDescent="0.25">
      <c r="D1774">
        <v>521118</v>
      </c>
      <c r="H1774" t="s">
        <v>101</v>
      </c>
    </row>
    <row r="1775" spans="4:8" x14ac:dyDescent="0.25">
      <c r="D1775">
        <v>521118</v>
      </c>
      <c r="H1775" t="s">
        <v>101</v>
      </c>
    </row>
    <row r="1776" spans="4:8" x14ac:dyDescent="0.25">
      <c r="D1776">
        <v>3669081</v>
      </c>
      <c r="H1776" t="s">
        <v>101</v>
      </c>
    </row>
    <row r="1777" spans="4:8" x14ac:dyDescent="0.25">
      <c r="D1777">
        <v>3498972</v>
      </c>
      <c r="H1777" t="s">
        <v>101</v>
      </c>
    </row>
    <row r="1778" spans="4:8" x14ac:dyDescent="0.25">
      <c r="D1778">
        <v>3498972</v>
      </c>
      <c r="H1778" t="s">
        <v>101</v>
      </c>
    </row>
    <row r="1779" spans="4:8" x14ac:dyDescent="0.25">
      <c r="D1779">
        <v>3498972</v>
      </c>
      <c r="H1779" t="s">
        <v>101</v>
      </c>
    </row>
    <row r="1780" spans="4:8" x14ac:dyDescent="0.25">
      <c r="D1780">
        <v>3498972</v>
      </c>
      <c r="H1780" t="s">
        <v>101</v>
      </c>
    </row>
    <row r="1781" spans="4:8" x14ac:dyDescent="0.25">
      <c r="D1781">
        <v>3500906</v>
      </c>
      <c r="H1781" t="s">
        <v>101</v>
      </c>
    </row>
    <row r="1782" spans="4:8" x14ac:dyDescent="0.25">
      <c r="D1782">
        <v>3500906</v>
      </c>
      <c r="H1782" t="s">
        <v>37</v>
      </c>
    </row>
    <row r="1783" spans="4:8" x14ac:dyDescent="0.25">
      <c r="D1783">
        <v>3499662</v>
      </c>
      <c r="H1783" t="s">
        <v>37</v>
      </c>
    </row>
    <row r="1784" spans="4:8" x14ac:dyDescent="0.25">
      <c r="D1784">
        <v>3829175</v>
      </c>
      <c r="H1784" t="s">
        <v>72</v>
      </c>
    </row>
    <row r="1785" spans="4:8" x14ac:dyDescent="0.25">
      <c r="D1785">
        <v>3829175</v>
      </c>
      <c r="H1785" t="s">
        <v>72</v>
      </c>
    </row>
    <row r="1786" spans="4:8" x14ac:dyDescent="0.25">
      <c r="D1786">
        <v>355991</v>
      </c>
      <c r="H1786" t="s">
        <v>72</v>
      </c>
    </row>
    <row r="1787" spans="4:8" x14ac:dyDescent="0.25">
      <c r="D1787">
        <v>355991</v>
      </c>
      <c r="H1787" t="s">
        <v>72</v>
      </c>
    </row>
    <row r="1788" spans="4:8" x14ac:dyDescent="0.25">
      <c r="D1788">
        <v>355991</v>
      </c>
      <c r="H1788" t="s">
        <v>72</v>
      </c>
    </row>
    <row r="1789" spans="4:8" x14ac:dyDescent="0.25">
      <c r="D1789">
        <v>237644</v>
      </c>
      <c r="H1789" t="s">
        <v>72</v>
      </c>
    </row>
    <row r="1790" spans="4:8" x14ac:dyDescent="0.25">
      <c r="D1790">
        <v>237644</v>
      </c>
      <c r="H1790" t="s">
        <v>72</v>
      </c>
    </row>
    <row r="1791" spans="4:8" x14ac:dyDescent="0.25">
      <c r="D1791">
        <v>237644</v>
      </c>
      <c r="H1791" t="s">
        <v>72</v>
      </c>
    </row>
    <row r="1792" spans="4:8" x14ac:dyDescent="0.25">
      <c r="D1792">
        <v>256860</v>
      </c>
      <c r="H1792" t="s">
        <v>72</v>
      </c>
    </row>
    <row r="1793" spans="4:8" x14ac:dyDescent="0.25">
      <c r="D1793">
        <v>256860</v>
      </c>
      <c r="H1793" t="s">
        <v>72</v>
      </c>
    </row>
    <row r="1794" spans="4:8" x14ac:dyDescent="0.25">
      <c r="D1794">
        <v>3747395</v>
      </c>
      <c r="H1794" t="s">
        <v>72</v>
      </c>
    </row>
    <row r="1795" spans="4:8" x14ac:dyDescent="0.25">
      <c r="D1795">
        <v>292334</v>
      </c>
      <c r="H1795" t="s">
        <v>151</v>
      </c>
    </row>
    <row r="1796" spans="4:8" x14ac:dyDescent="0.25">
      <c r="D1796">
        <v>292334</v>
      </c>
      <c r="H1796" t="s">
        <v>151</v>
      </c>
    </row>
    <row r="1797" spans="4:8" x14ac:dyDescent="0.25">
      <c r="D1797">
        <v>292334</v>
      </c>
      <c r="H1797" t="s">
        <v>151</v>
      </c>
    </row>
    <row r="1798" spans="4:8" x14ac:dyDescent="0.25">
      <c r="D1798">
        <v>508985</v>
      </c>
      <c r="H1798" t="s">
        <v>151</v>
      </c>
    </row>
    <row r="1799" spans="4:8" x14ac:dyDescent="0.25">
      <c r="D1799">
        <v>508985</v>
      </c>
      <c r="H1799" t="s">
        <v>151</v>
      </c>
    </row>
    <row r="1800" spans="4:8" x14ac:dyDescent="0.25">
      <c r="D1800">
        <v>3214089</v>
      </c>
      <c r="H1800" t="s">
        <v>151</v>
      </c>
    </row>
    <row r="1801" spans="4:8" x14ac:dyDescent="0.25">
      <c r="D1801">
        <v>3556680</v>
      </c>
      <c r="H1801" t="s">
        <v>151</v>
      </c>
    </row>
    <row r="1802" spans="4:8" x14ac:dyDescent="0.25">
      <c r="D1802">
        <v>3556680</v>
      </c>
      <c r="H1802" t="s">
        <v>151</v>
      </c>
    </row>
    <row r="1803" spans="4:8" x14ac:dyDescent="0.25">
      <c r="D1803">
        <v>3556680</v>
      </c>
      <c r="H1803" t="s">
        <v>151</v>
      </c>
    </row>
    <row r="1804" spans="4:8" x14ac:dyDescent="0.25">
      <c r="D1804">
        <v>3556680</v>
      </c>
      <c r="H1804" t="s">
        <v>151</v>
      </c>
    </row>
    <row r="1805" spans="4:8" x14ac:dyDescent="0.25">
      <c r="D1805">
        <v>3556680</v>
      </c>
      <c r="H1805" t="s">
        <v>151</v>
      </c>
    </row>
    <row r="1806" spans="4:8" x14ac:dyDescent="0.25">
      <c r="D1806">
        <v>1448372</v>
      </c>
      <c r="H1806" t="s">
        <v>76</v>
      </c>
    </row>
    <row r="1807" spans="4:8" x14ac:dyDescent="0.25">
      <c r="D1807">
        <v>1448372</v>
      </c>
      <c r="H1807" t="s">
        <v>76</v>
      </c>
    </row>
    <row r="1808" spans="4:8" x14ac:dyDescent="0.25">
      <c r="D1808">
        <v>1448372</v>
      </c>
      <c r="H1808" t="s">
        <v>76</v>
      </c>
    </row>
    <row r="1809" spans="4:8" x14ac:dyDescent="0.25">
      <c r="D1809">
        <v>1448372</v>
      </c>
      <c r="H1809" t="s">
        <v>76</v>
      </c>
    </row>
    <row r="1810" spans="4:8" x14ac:dyDescent="0.25">
      <c r="D1810">
        <v>1399344</v>
      </c>
      <c r="H1810" t="s">
        <v>76</v>
      </c>
    </row>
    <row r="1811" spans="4:8" x14ac:dyDescent="0.25">
      <c r="D1811">
        <v>1399344</v>
      </c>
      <c r="H1811" t="s">
        <v>76</v>
      </c>
    </row>
    <row r="1812" spans="4:8" x14ac:dyDescent="0.25">
      <c r="D1812">
        <v>1399344</v>
      </c>
      <c r="H1812" t="s">
        <v>76</v>
      </c>
    </row>
    <row r="1813" spans="4:8" x14ac:dyDescent="0.25">
      <c r="D1813">
        <v>1399344</v>
      </c>
      <c r="H1813" t="s">
        <v>76</v>
      </c>
    </row>
    <row r="1814" spans="4:8" x14ac:dyDescent="0.25">
      <c r="D1814">
        <v>1399344</v>
      </c>
      <c r="H1814" t="s">
        <v>76</v>
      </c>
    </row>
    <row r="1815" spans="4:8" x14ac:dyDescent="0.25">
      <c r="D1815">
        <v>292333</v>
      </c>
      <c r="H1815" t="s">
        <v>76</v>
      </c>
    </row>
    <row r="1816" spans="4:8" x14ac:dyDescent="0.25">
      <c r="D1816">
        <v>292333</v>
      </c>
      <c r="H1816" t="s">
        <v>76</v>
      </c>
    </row>
    <row r="1817" spans="4:8" x14ac:dyDescent="0.25">
      <c r="D1817">
        <v>292333</v>
      </c>
      <c r="H1817" t="s">
        <v>76</v>
      </c>
    </row>
    <row r="1818" spans="4:8" x14ac:dyDescent="0.25">
      <c r="D1818">
        <v>292333</v>
      </c>
      <c r="H1818" t="s">
        <v>76</v>
      </c>
    </row>
    <row r="1819" spans="4:8" x14ac:dyDescent="0.25">
      <c r="D1819">
        <v>292333</v>
      </c>
      <c r="H1819" t="s">
        <v>101</v>
      </c>
    </row>
    <row r="1820" spans="4:8" x14ac:dyDescent="0.25">
      <c r="D1820">
        <v>1254735</v>
      </c>
      <c r="H1820" t="s">
        <v>101</v>
      </c>
    </row>
    <row r="1821" spans="4:8" x14ac:dyDescent="0.25">
      <c r="D1821">
        <v>1254735</v>
      </c>
      <c r="H1821" t="s">
        <v>101</v>
      </c>
    </row>
    <row r="1822" spans="4:8" x14ac:dyDescent="0.25">
      <c r="D1822">
        <v>3507486</v>
      </c>
      <c r="H1822" t="s">
        <v>101</v>
      </c>
    </row>
    <row r="1823" spans="4:8" x14ac:dyDescent="0.25">
      <c r="D1823">
        <v>420528</v>
      </c>
      <c r="H1823" t="s">
        <v>101</v>
      </c>
    </row>
    <row r="1824" spans="4:8" x14ac:dyDescent="0.25">
      <c r="D1824">
        <v>420528</v>
      </c>
      <c r="H1824" t="s">
        <v>101</v>
      </c>
    </row>
    <row r="1825" spans="4:8" x14ac:dyDescent="0.25">
      <c r="D1825">
        <v>3509824</v>
      </c>
      <c r="H1825" t="s">
        <v>101</v>
      </c>
    </row>
    <row r="1826" spans="4:8" x14ac:dyDescent="0.25">
      <c r="D1826">
        <v>3533249</v>
      </c>
      <c r="H1826" t="s">
        <v>101</v>
      </c>
    </row>
    <row r="1827" spans="4:8" x14ac:dyDescent="0.25">
      <c r="D1827">
        <v>3533249</v>
      </c>
      <c r="H1827" t="s">
        <v>101</v>
      </c>
    </row>
    <row r="1828" spans="4:8" x14ac:dyDescent="0.25">
      <c r="D1828">
        <v>3533248</v>
      </c>
      <c r="H1828" t="s">
        <v>101</v>
      </c>
    </row>
    <row r="1829" spans="4:8" x14ac:dyDescent="0.25">
      <c r="D1829">
        <v>3533248</v>
      </c>
      <c r="H1829" t="s">
        <v>101</v>
      </c>
    </row>
    <row r="1830" spans="4:8" x14ac:dyDescent="0.25">
      <c r="D1830">
        <v>267070</v>
      </c>
      <c r="H1830" t="s">
        <v>101</v>
      </c>
    </row>
    <row r="1831" spans="4:8" x14ac:dyDescent="0.25">
      <c r="D1831">
        <v>267070</v>
      </c>
      <c r="H1831" t="s">
        <v>101</v>
      </c>
    </row>
    <row r="1832" spans="4:8" x14ac:dyDescent="0.25">
      <c r="D1832">
        <v>267070</v>
      </c>
      <c r="H1832" t="s">
        <v>101</v>
      </c>
    </row>
    <row r="1833" spans="4:8" x14ac:dyDescent="0.25">
      <c r="D1833">
        <v>267070</v>
      </c>
      <c r="H1833" t="s">
        <v>101</v>
      </c>
    </row>
    <row r="1834" spans="4:8" x14ac:dyDescent="0.25">
      <c r="D1834">
        <v>1385283</v>
      </c>
      <c r="H1834" t="s">
        <v>101</v>
      </c>
    </row>
    <row r="1835" spans="4:8" x14ac:dyDescent="0.25">
      <c r="D1835">
        <v>1385283</v>
      </c>
      <c r="H1835" t="s">
        <v>101</v>
      </c>
    </row>
    <row r="1836" spans="4:8" x14ac:dyDescent="0.25">
      <c r="D1836">
        <v>1385283</v>
      </c>
      <c r="H1836" t="s">
        <v>101</v>
      </c>
    </row>
    <row r="1837" spans="4:8" x14ac:dyDescent="0.25">
      <c r="D1837">
        <v>3682123</v>
      </c>
      <c r="H1837" t="s">
        <v>101</v>
      </c>
    </row>
    <row r="1838" spans="4:8" x14ac:dyDescent="0.25">
      <c r="D1838">
        <v>3682123</v>
      </c>
      <c r="H1838" t="s">
        <v>101</v>
      </c>
    </row>
    <row r="1839" spans="4:8" x14ac:dyDescent="0.25">
      <c r="D1839">
        <v>3502468</v>
      </c>
      <c r="H1839" t="s">
        <v>101</v>
      </c>
    </row>
    <row r="1840" spans="4:8" x14ac:dyDescent="0.25">
      <c r="D1840">
        <v>3499239</v>
      </c>
      <c r="H1840" t="s">
        <v>101</v>
      </c>
    </row>
    <row r="1841" spans="4:8" x14ac:dyDescent="0.25">
      <c r="D1841">
        <v>3499239</v>
      </c>
      <c r="H1841" t="s">
        <v>101</v>
      </c>
    </row>
    <row r="1842" spans="4:8" x14ac:dyDescent="0.25">
      <c r="D1842">
        <v>3499239</v>
      </c>
      <c r="H1842" t="s">
        <v>101</v>
      </c>
    </row>
    <row r="1843" spans="4:8" x14ac:dyDescent="0.25">
      <c r="D1843">
        <v>3499239</v>
      </c>
      <c r="H1843" t="s">
        <v>101</v>
      </c>
    </row>
    <row r="1844" spans="4:8" x14ac:dyDescent="0.25">
      <c r="D1844">
        <v>3499239</v>
      </c>
      <c r="H1844" t="s">
        <v>101</v>
      </c>
    </row>
    <row r="1845" spans="4:8" x14ac:dyDescent="0.25">
      <c r="D1845">
        <v>3499239</v>
      </c>
      <c r="H1845" t="s">
        <v>101</v>
      </c>
    </row>
    <row r="1846" spans="4:8" x14ac:dyDescent="0.25">
      <c r="D1846">
        <v>3499239</v>
      </c>
      <c r="H1846" t="s">
        <v>101</v>
      </c>
    </row>
    <row r="1847" spans="4:8" x14ac:dyDescent="0.25">
      <c r="D1847">
        <v>3499239</v>
      </c>
      <c r="H1847" t="s">
        <v>101</v>
      </c>
    </row>
    <row r="1848" spans="4:8" x14ac:dyDescent="0.25">
      <c r="D1848">
        <v>3499239</v>
      </c>
      <c r="H1848" t="s">
        <v>101</v>
      </c>
    </row>
    <row r="1849" spans="4:8" x14ac:dyDescent="0.25">
      <c r="D1849">
        <v>3499239</v>
      </c>
      <c r="H1849" t="s">
        <v>101</v>
      </c>
    </row>
    <row r="1850" spans="4:8" x14ac:dyDescent="0.25">
      <c r="D1850">
        <v>3499239</v>
      </c>
      <c r="H1850" t="s">
        <v>101</v>
      </c>
    </row>
    <row r="1851" spans="4:8" x14ac:dyDescent="0.25">
      <c r="D1851">
        <v>3499239</v>
      </c>
      <c r="H1851" t="s">
        <v>101</v>
      </c>
    </row>
    <row r="1852" spans="4:8" x14ac:dyDescent="0.25">
      <c r="D1852">
        <v>3499239</v>
      </c>
      <c r="H1852" t="s">
        <v>101</v>
      </c>
    </row>
    <row r="1853" spans="4:8" x14ac:dyDescent="0.25">
      <c r="D1853">
        <v>3499239</v>
      </c>
      <c r="H1853" t="s">
        <v>101</v>
      </c>
    </row>
    <row r="1854" spans="4:8" x14ac:dyDescent="0.25">
      <c r="D1854">
        <v>3499239</v>
      </c>
      <c r="H1854" t="s">
        <v>151</v>
      </c>
    </row>
    <row r="1855" spans="4:8" x14ac:dyDescent="0.25">
      <c r="D1855">
        <v>235001</v>
      </c>
      <c r="H1855" t="s">
        <v>151</v>
      </c>
    </row>
    <row r="1856" spans="4:8" x14ac:dyDescent="0.25">
      <c r="D1856">
        <v>3682124</v>
      </c>
      <c r="H1856" t="s">
        <v>151</v>
      </c>
    </row>
    <row r="1857" spans="4:8" x14ac:dyDescent="0.25">
      <c r="D1857">
        <v>3506193</v>
      </c>
      <c r="H1857" t="s">
        <v>151</v>
      </c>
    </row>
    <row r="1858" spans="4:8" x14ac:dyDescent="0.25">
      <c r="D1858">
        <v>3506193</v>
      </c>
      <c r="H1858" t="s">
        <v>151</v>
      </c>
    </row>
    <row r="1859" spans="4:8" x14ac:dyDescent="0.25">
      <c r="D1859">
        <v>3506193</v>
      </c>
      <c r="H1859" t="s">
        <v>151</v>
      </c>
    </row>
    <row r="1860" spans="4:8" x14ac:dyDescent="0.25">
      <c r="D1860">
        <v>296754</v>
      </c>
      <c r="H1860" t="s">
        <v>151</v>
      </c>
    </row>
    <row r="1861" spans="4:8" x14ac:dyDescent="0.25">
      <c r="D1861">
        <v>296754</v>
      </c>
      <c r="H1861" t="s">
        <v>151</v>
      </c>
    </row>
    <row r="1862" spans="4:8" x14ac:dyDescent="0.25">
      <c r="D1862">
        <v>1159568</v>
      </c>
      <c r="H1862" t="s">
        <v>151</v>
      </c>
    </row>
    <row r="1863" spans="4:8" x14ac:dyDescent="0.25">
      <c r="D1863">
        <v>471489</v>
      </c>
      <c r="H1863" t="s">
        <v>151</v>
      </c>
    </row>
    <row r="1864" spans="4:8" x14ac:dyDescent="0.25">
      <c r="D1864">
        <v>471489</v>
      </c>
      <c r="H1864" t="s">
        <v>151</v>
      </c>
    </row>
    <row r="1865" spans="4:8" x14ac:dyDescent="0.25">
      <c r="D1865">
        <v>508984</v>
      </c>
      <c r="H1865" t="s">
        <v>49</v>
      </c>
    </row>
    <row r="1866" spans="4:8" x14ac:dyDescent="0.25">
      <c r="D1866">
        <v>3781669</v>
      </c>
      <c r="H1866" t="s">
        <v>49</v>
      </c>
    </row>
    <row r="1867" spans="4:8" x14ac:dyDescent="0.25">
      <c r="D1867">
        <v>3781669</v>
      </c>
      <c r="H1867" t="s">
        <v>49</v>
      </c>
    </row>
    <row r="1868" spans="4:8" x14ac:dyDescent="0.25">
      <c r="D1868">
        <v>1154248</v>
      </c>
      <c r="H1868" t="s">
        <v>49</v>
      </c>
    </row>
    <row r="1869" spans="4:8" x14ac:dyDescent="0.25">
      <c r="D1869">
        <v>1154248</v>
      </c>
      <c r="H1869" t="s">
        <v>49</v>
      </c>
    </row>
    <row r="1870" spans="4:8" x14ac:dyDescent="0.25">
      <c r="D1870">
        <v>1154248</v>
      </c>
      <c r="H1870" t="s">
        <v>49</v>
      </c>
    </row>
    <row r="1871" spans="4:8" x14ac:dyDescent="0.25">
      <c r="D1871">
        <v>1154248</v>
      </c>
      <c r="H1871" t="s">
        <v>49</v>
      </c>
    </row>
    <row r="1872" spans="4:8" x14ac:dyDescent="0.25">
      <c r="D1872">
        <v>1154248</v>
      </c>
      <c r="H1872" t="s">
        <v>49</v>
      </c>
    </row>
    <row r="1873" spans="4:8" x14ac:dyDescent="0.25">
      <c r="D1873">
        <v>1174856</v>
      </c>
      <c r="H1873" t="s">
        <v>151</v>
      </c>
    </row>
    <row r="1874" spans="4:8" x14ac:dyDescent="0.25">
      <c r="D1874">
        <v>1174856</v>
      </c>
      <c r="H1874" t="s">
        <v>151</v>
      </c>
    </row>
    <row r="1875" spans="4:8" x14ac:dyDescent="0.25">
      <c r="D1875">
        <v>475364</v>
      </c>
      <c r="H1875" t="s">
        <v>151</v>
      </c>
    </row>
    <row r="1876" spans="4:8" x14ac:dyDescent="0.25">
      <c r="D1876">
        <v>1405728</v>
      </c>
      <c r="H1876" t="s">
        <v>151</v>
      </c>
    </row>
    <row r="1877" spans="4:8" x14ac:dyDescent="0.25">
      <c r="D1877">
        <v>1405729</v>
      </c>
      <c r="H1877" t="s">
        <v>101</v>
      </c>
    </row>
    <row r="1878" spans="4:8" x14ac:dyDescent="0.25">
      <c r="D1878">
        <v>288719</v>
      </c>
      <c r="H1878" t="s">
        <v>101</v>
      </c>
    </row>
    <row r="1879" spans="4:8" x14ac:dyDescent="0.25">
      <c r="D1879">
        <v>288719</v>
      </c>
      <c r="H1879" t="s">
        <v>101</v>
      </c>
    </row>
    <row r="1880" spans="4:8" x14ac:dyDescent="0.25">
      <c r="D1880">
        <v>288719</v>
      </c>
      <c r="H1880" t="s">
        <v>101</v>
      </c>
    </row>
    <row r="1881" spans="4:8" x14ac:dyDescent="0.25">
      <c r="D1881">
        <v>288719</v>
      </c>
      <c r="H1881" t="s">
        <v>45</v>
      </c>
    </row>
    <row r="1882" spans="4:8" x14ac:dyDescent="0.25">
      <c r="D1882">
        <v>3506173</v>
      </c>
      <c r="H1882" t="s">
        <v>45</v>
      </c>
    </row>
    <row r="1883" spans="4:8" x14ac:dyDescent="0.25">
      <c r="D1883">
        <v>3506173</v>
      </c>
      <c r="H1883" t="s">
        <v>45</v>
      </c>
    </row>
    <row r="1884" spans="4:8" x14ac:dyDescent="0.25">
      <c r="D1884">
        <v>3775108</v>
      </c>
      <c r="H1884" t="s">
        <v>45</v>
      </c>
    </row>
    <row r="1885" spans="4:8" x14ac:dyDescent="0.25">
      <c r="D1885">
        <v>1936862</v>
      </c>
      <c r="H1885" t="s">
        <v>61</v>
      </c>
    </row>
    <row r="1886" spans="4:8" x14ac:dyDescent="0.25">
      <c r="D1886">
        <v>437135</v>
      </c>
      <c r="H1886" t="s">
        <v>61</v>
      </c>
    </row>
    <row r="1887" spans="4:8" x14ac:dyDescent="0.25">
      <c r="D1887">
        <v>437135</v>
      </c>
      <c r="H1887" t="s">
        <v>61</v>
      </c>
    </row>
    <row r="1888" spans="4:8" x14ac:dyDescent="0.25">
      <c r="D1888">
        <v>437135</v>
      </c>
      <c r="H1888" t="s">
        <v>61</v>
      </c>
    </row>
    <row r="1889" spans="4:8" x14ac:dyDescent="0.25">
      <c r="D1889">
        <v>437135</v>
      </c>
      <c r="H1889" t="s">
        <v>61</v>
      </c>
    </row>
    <row r="1890" spans="4:8" x14ac:dyDescent="0.25">
      <c r="D1890">
        <v>437135</v>
      </c>
      <c r="H1890" t="s">
        <v>61</v>
      </c>
    </row>
    <row r="1891" spans="4:8" x14ac:dyDescent="0.25">
      <c r="D1891">
        <v>437135</v>
      </c>
      <c r="H1891" t="s">
        <v>61</v>
      </c>
    </row>
    <row r="1892" spans="4:8" x14ac:dyDescent="0.25">
      <c r="D1892">
        <v>319684</v>
      </c>
      <c r="H1892" t="s">
        <v>61</v>
      </c>
    </row>
    <row r="1893" spans="4:8" x14ac:dyDescent="0.25">
      <c r="D1893">
        <v>319684</v>
      </c>
      <c r="H1893" t="s">
        <v>61</v>
      </c>
    </row>
    <row r="1894" spans="4:8" x14ac:dyDescent="0.25">
      <c r="D1894">
        <v>319684</v>
      </c>
      <c r="H1894" t="s">
        <v>61</v>
      </c>
    </row>
    <row r="1895" spans="4:8" x14ac:dyDescent="0.25">
      <c r="D1895">
        <v>319684</v>
      </c>
      <c r="H1895" t="s">
        <v>61</v>
      </c>
    </row>
    <row r="1896" spans="4:8" x14ac:dyDescent="0.25">
      <c r="D1896">
        <v>319684</v>
      </c>
      <c r="H1896" t="s">
        <v>61</v>
      </c>
    </row>
    <row r="1897" spans="4:8" x14ac:dyDescent="0.25">
      <c r="D1897">
        <v>319684</v>
      </c>
      <c r="H1897" t="s">
        <v>61</v>
      </c>
    </row>
    <row r="1898" spans="4:8" x14ac:dyDescent="0.25">
      <c r="D1898">
        <v>1140411</v>
      </c>
      <c r="H1898" t="s">
        <v>65</v>
      </c>
    </row>
    <row r="1899" spans="4:8" x14ac:dyDescent="0.25">
      <c r="D1899">
        <v>1140411</v>
      </c>
      <c r="H1899" t="s">
        <v>65</v>
      </c>
    </row>
    <row r="1900" spans="4:8" x14ac:dyDescent="0.25">
      <c r="D1900">
        <v>3673949</v>
      </c>
      <c r="H1900" t="s">
        <v>65</v>
      </c>
    </row>
    <row r="1901" spans="4:8" x14ac:dyDescent="0.25">
      <c r="D1901">
        <v>3508391</v>
      </c>
      <c r="H1901" t="s">
        <v>65</v>
      </c>
    </row>
    <row r="1902" spans="4:8" x14ac:dyDescent="0.25">
      <c r="D1902">
        <v>3508391</v>
      </c>
      <c r="H1902" t="s">
        <v>65</v>
      </c>
    </row>
    <row r="1903" spans="4:8" x14ac:dyDescent="0.25">
      <c r="D1903">
        <v>1361680</v>
      </c>
      <c r="H1903" t="s">
        <v>151</v>
      </c>
    </row>
    <row r="1904" spans="4:8" x14ac:dyDescent="0.25">
      <c r="D1904">
        <v>1455510</v>
      </c>
      <c r="H1904" t="s">
        <v>151</v>
      </c>
    </row>
    <row r="1905" spans="4:8" x14ac:dyDescent="0.25">
      <c r="D1905">
        <v>3697417</v>
      </c>
      <c r="H1905" t="s">
        <v>151</v>
      </c>
    </row>
    <row r="1906" spans="4:8" x14ac:dyDescent="0.25">
      <c r="D1906">
        <v>3697417</v>
      </c>
      <c r="H1906" t="s">
        <v>151</v>
      </c>
    </row>
    <row r="1907" spans="4:8" x14ac:dyDescent="0.25">
      <c r="D1907">
        <v>3697417</v>
      </c>
      <c r="H1907" t="s">
        <v>151</v>
      </c>
    </row>
    <row r="1908" spans="4:8" x14ac:dyDescent="0.25">
      <c r="D1908">
        <v>3500554</v>
      </c>
      <c r="H1908" t="s">
        <v>151</v>
      </c>
    </row>
    <row r="1909" spans="4:8" x14ac:dyDescent="0.25">
      <c r="D1909">
        <v>3500554</v>
      </c>
      <c r="H1909" t="s">
        <v>151</v>
      </c>
    </row>
    <row r="1910" spans="4:8" x14ac:dyDescent="0.25">
      <c r="D1910">
        <v>3500554</v>
      </c>
      <c r="H1910" t="s">
        <v>151</v>
      </c>
    </row>
    <row r="1911" spans="4:8" x14ac:dyDescent="0.25">
      <c r="D1911">
        <v>3500554</v>
      </c>
      <c r="H1911" t="s">
        <v>151</v>
      </c>
    </row>
    <row r="1912" spans="4:8" x14ac:dyDescent="0.25">
      <c r="D1912">
        <v>3500554</v>
      </c>
      <c r="H1912" t="s">
        <v>151</v>
      </c>
    </row>
    <row r="1913" spans="4:8" x14ac:dyDescent="0.25">
      <c r="D1913">
        <v>3500554</v>
      </c>
      <c r="H1913" t="s">
        <v>151</v>
      </c>
    </row>
    <row r="1914" spans="4:8" x14ac:dyDescent="0.25">
      <c r="D1914">
        <v>3500554</v>
      </c>
      <c r="H1914" t="s">
        <v>151</v>
      </c>
    </row>
    <row r="1915" spans="4:8" x14ac:dyDescent="0.25">
      <c r="D1915">
        <v>3500554</v>
      </c>
      <c r="H1915" t="s">
        <v>151</v>
      </c>
    </row>
    <row r="1916" spans="4:8" x14ac:dyDescent="0.25">
      <c r="D1916">
        <v>3500554</v>
      </c>
      <c r="H1916" t="s">
        <v>151</v>
      </c>
    </row>
    <row r="1917" spans="4:8" x14ac:dyDescent="0.25">
      <c r="D1917">
        <v>3500554</v>
      </c>
      <c r="H1917" t="s">
        <v>151</v>
      </c>
    </row>
    <row r="1918" spans="4:8" x14ac:dyDescent="0.25">
      <c r="D1918">
        <v>3500554</v>
      </c>
      <c r="H1918" t="s">
        <v>22</v>
      </c>
    </row>
    <row r="1919" spans="4:8" x14ac:dyDescent="0.25">
      <c r="D1919">
        <v>3500554</v>
      </c>
      <c r="H1919" t="s">
        <v>22</v>
      </c>
    </row>
    <row r="1920" spans="4:8" x14ac:dyDescent="0.25">
      <c r="D1920">
        <v>3500554</v>
      </c>
      <c r="H1920" t="s">
        <v>22</v>
      </c>
    </row>
    <row r="1921" spans="4:8" x14ac:dyDescent="0.25">
      <c r="D1921">
        <v>3500554</v>
      </c>
      <c r="H1921" t="s">
        <v>22</v>
      </c>
    </row>
    <row r="1922" spans="4:8" x14ac:dyDescent="0.25">
      <c r="D1922">
        <v>3568328</v>
      </c>
      <c r="H1922" t="s">
        <v>22</v>
      </c>
    </row>
    <row r="1923" spans="4:8" x14ac:dyDescent="0.25">
      <c r="D1923">
        <v>3568328</v>
      </c>
      <c r="H1923" t="s">
        <v>22</v>
      </c>
    </row>
    <row r="1924" spans="4:8" x14ac:dyDescent="0.25">
      <c r="D1924">
        <v>3568328</v>
      </c>
      <c r="H1924" t="s">
        <v>22</v>
      </c>
    </row>
    <row r="1925" spans="4:8" x14ac:dyDescent="0.25">
      <c r="D1925">
        <v>3568328</v>
      </c>
      <c r="H1925" t="s">
        <v>22</v>
      </c>
    </row>
    <row r="1926" spans="4:8" x14ac:dyDescent="0.25">
      <c r="D1926">
        <v>3568328</v>
      </c>
      <c r="H1926" t="s">
        <v>22</v>
      </c>
    </row>
    <row r="1927" spans="4:8" x14ac:dyDescent="0.25">
      <c r="D1927">
        <v>3568328</v>
      </c>
      <c r="H1927" t="s">
        <v>22</v>
      </c>
    </row>
    <row r="1928" spans="4:8" x14ac:dyDescent="0.25">
      <c r="D1928">
        <v>3568328</v>
      </c>
      <c r="H1928" t="s">
        <v>22</v>
      </c>
    </row>
    <row r="1929" spans="4:8" x14ac:dyDescent="0.25">
      <c r="D1929">
        <v>3568328</v>
      </c>
      <c r="H1929" t="s">
        <v>22</v>
      </c>
    </row>
    <row r="1930" spans="4:8" x14ac:dyDescent="0.25">
      <c r="D1930">
        <v>3568328</v>
      </c>
      <c r="H1930" t="s">
        <v>22</v>
      </c>
    </row>
    <row r="1931" spans="4:8" x14ac:dyDescent="0.25">
      <c r="D1931">
        <v>3568328</v>
      </c>
      <c r="H1931" t="s">
        <v>22</v>
      </c>
    </row>
    <row r="1932" spans="4:8" x14ac:dyDescent="0.25">
      <c r="D1932">
        <v>3568328</v>
      </c>
      <c r="H1932" t="s">
        <v>22</v>
      </c>
    </row>
    <row r="1933" spans="4:8" x14ac:dyDescent="0.25">
      <c r="D1933">
        <v>3568328</v>
      </c>
      <c r="H1933" t="s">
        <v>22</v>
      </c>
    </row>
    <row r="1934" spans="4:8" x14ac:dyDescent="0.25">
      <c r="D1934">
        <v>3500471</v>
      </c>
      <c r="H1934" t="s">
        <v>22</v>
      </c>
    </row>
    <row r="1935" spans="4:8" x14ac:dyDescent="0.25">
      <c r="D1935">
        <v>3500471</v>
      </c>
      <c r="H1935" t="s">
        <v>22</v>
      </c>
    </row>
    <row r="1936" spans="4:8" x14ac:dyDescent="0.25">
      <c r="D1936">
        <v>3500471</v>
      </c>
      <c r="H1936" t="s">
        <v>22</v>
      </c>
    </row>
    <row r="1937" spans="4:8" x14ac:dyDescent="0.25">
      <c r="D1937">
        <v>1196779</v>
      </c>
      <c r="H1937" t="s">
        <v>22</v>
      </c>
    </row>
    <row r="1938" spans="4:8" x14ac:dyDescent="0.25">
      <c r="D1938">
        <v>3500134</v>
      </c>
      <c r="H1938" t="s">
        <v>22</v>
      </c>
    </row>
    <row r="1939" spans="4:8" x14ac:dyDescent="0.25">
      <c r="D1939">
        <v>3500134</v>
      </c>
      <c r="H1939" t="s">
        <v>22</v>
      </c>
    </row>
    <row r="1940" spans="4:8" x14ac:dyDescent="0.25">
      <c r="D1940">
        <v>3500134</v>
      </c>
      <c r="H1940" t="s">
        <v>22</v>
      </c>
    </row>
    <row r="1941" spans="4:8" x14ac:dyDescent="0.25">
      <c r="D1941">
        <v>3500134</v>
      </c>
      <c r="H1941" t="s">
        <v>76</v>
      </c>
    </row>
    <row r="1942" spans="4:8" x14ac:dyDescent="0.25">
      <c r="D1942">
        <v>3500134</v>
      </c>
      <c r="H1942" t="s">
        <v>76</v>
      </c>
    </row>
    <row r="1943" spans="4:8" x14ac:dyDescent="0.25">
      <c r="D1943">
        <v>3500134</v>
      </c>
      <c r="H1943" t="s">
        <v>151</v>
      </c>
    </row>
    <row r="1944" spans="4:8" x14ac:dyDescent="0.25">
      <c r="D1944">
        <v>3500134</v>
      </c>
      <c r="H1944" t="s">
        <v>151</v>
      </c>
    </row>
    <row r="1945" spans="4:8" x14ac:dyDescent="0.25">
      <c r="D1945">
        <v>3500134</v>
      </c>
      <c r="H1945" t="s">
        <v>151</v>
      </c>
    </row>
    <row r="1946" spans="4:8" x14ac:dyDescent="0.25">
      <c r="D1946">
        <v>3500134</v>
      </c>
      <c r="H1946" t="s">
        <v>151</v>
      </c>
    </row>
    <row r="1947" spans="4:8" x14ac:dyDescent="0.25">
      <c r="D1947">
        <v>3500134</v>
      </c>
      <c r="H1947" t="s">
        <v>151</v>
      </c>
    </row>
    <row r="1948" spans="4:8" x14ac:dyDescent="0.25">
      <c r="D1948">
        <v>3500134</v>
      </c>
      <c r="H1948" t="s">
        <v>151</v>
      </c>
    </row>
    <row r="1949" spans="4:8" x14ac:dyDescent="0.25">
      <c r="D1949">
        <v>3500134</v>
      </c>
      <c r="H1949" t="s">
        <v>151</v>
      </c>
    </row>
    <row r="1950" spans="4:8" x14ac:dyDescent="0.25">
      <c r="D1950">
        <v>3499230</v>
      </c>
      <c r="H1950" t="s">
        <v>151</v>
      </c>
    </row>
    <row r="1951" spans="4:8" x14ac:dyDescent="0.25">
      <c r="D1951">
        <v>3502303</v>
      </c>
      <c r="H1951" t="s">
        <v>151</v>
      </c>
    </row>
    <row r="1952" spans="4:8" x14ac:dyDescent="0.25">
      <c r="D1952">
        <v>3502303</v>
      </c>
      <c r="H1952" t="s">
        <v>151</v>
      </c>
    </row>
    <row r="1953" spans="4:8" x14ac:dyDescent="0.25">
      <c r="D1953">
        <v>3502303</v>
      </c>
      <c r="H1953" t="s">
        <v>151</v>
      </c>
    </row>
    <row r="1954" spans="4:8" x14ac:dyDescent="0.25">
      <c r="D1954">
        <v>3502303</v>
      </c>
      <c r="H1954" t="s">
        <v>151</v>
      </c>
    </row>
    <row r="1955" spans="4:8" x14ac:dyDescent="0.25">
      <c r="D1955">
        <v>3502303</v>
      </c>
      <c r="H1955" t="s">
        <v>21</v>
      </c>
    </row>
    <row r="1956" spans="4:8" x14ac:dyDescent="0.25">
      <c r="D1956">
        <v>3502303</v>
      </c>
      <c r="H1956" t="s">
        <v>21</v>
      </c>
    </row>
    <row r="1957" spans="4:8" x14ac:dyDescent="0.25">
      <c r="D1957">
        <v>3502303</v>
      </c>
      <c r="H1957" t="s">
        <v>21</v>
      </c>
    </row>
    <row r="1958" spans="4:8" x14ac:dyDescent="0.25">
      <c r="D1958">
        <v>3502303</v>
      </c>
      <c r="H1958" t="s">
        <v>108</v>
      </c>
    </row>
    <row r="1959" spans="4:8" x14ac:dyDescent="0.25">
      <c r="D1959">
        <v>3502303</v>
      </c>
      <c r="H1959" t="s">
        <v>151</v>
      </c>
    </row>
    <row r="1960" spans="4:8" x14ac:dyDescent="0.25">
      <c r="D1960">
        <v>3502303</v>
      </c>
      <c r="H1960" t="s">
        <v>72</v>
      </c>
    </row>
    <row r="1961" spans="4:8" x14ac:dyDescent="0.25">
      <c r="D1961">
        <v>3502303</v>
      </c>
      <c r="H1961" t="s">
        <v>156</v>
      </c>
    </row>
    <row r="1962" spans="4:8" x14ac:dyDescent="0.25">
      <c r="D1962">
        <v>3245308</v>
      </c>
      <c r="H1962" t="s">
        <v>40</v>
      </c>
    </row>
    <row r="1963" spans="4:8" x14ac:dyDescent="0.25">
      <c r="D1963">
        <v>3686335</v>
      </c>
      <c r="H1963" t="s">
        <v>40</v>
      </c>
    </row>
    <row r="1964" spans="4:8" x14ac:dyDescent="0.25">
      <c r="D1964">
        <v>3682068</v>
      </c>
      <c r="H1964" t="s">
        <v>40</v>
      </c>
    </row>
    <row r="1965" spans="4:8" x14ac:dyDescent="0.25">
      <c r="D1965">
        <v>250198</v>
      </c>
      <c r="H1965" t="s">
        <v>40</v>
      </c>
    </row>
    <row r="1966" spans="4:8" x14ac:dyDescent="0.25">
      <c r="D1966">
        <v>250198</v>
      </c>
      <c r="H1966" t="s">
        <v>40</v>
      </c>
    </row>
    <row r="1967" spans="4:8" x14ac:dyDescent="0.25">
      <c r="D1967">
        <v>3673948</v>
      </c>
      <c r="H1967" t="s">
        <v>40</v>
      </c>
    </row>
    <row r="1968" spans="4:8" x14ac:dyDescent="0.25">
      <c r="D1968">
        <v>3508156</v>
      </c>
      <c r="H1968" t="s">
        <v>40</v>
      </c>
    </row>
    <row r="1969" spans="4:8" x14ac:dyDescent="0.25">
      <c r="D1969">
        <v>1333188</v>
      </c>
      <c r="H1969" t="s">
        <v>40</v>
      </c>
    </row>
    <row r="1970" spans="4:8" x14ac:dyDescent="0.25">
      <c r="D1970">
        <v>1333188</v>
      </c>
      <c r="H1970" t="s">
        <v>40</v>
      </c>
    </row>
    <row r="1971" spans="4:8" x14ac:dyDescent="0.25">
      <c r="D1971">
        <v>1364720</v>
      </c>
      <c r="H1971" t="s">
        <v>40</v>
      </c>
    </row>
    <row r="1972" spans="4:8" x14ac:dyDescent="0.25">
      <c r="D1972">
        <v>1241174</v>
      </c>
      <c r="H1972" t="s">
        <v>40</v>
      </c>
    </row>
    <row r="1973" spans="4:8" x14ac:dyDescent="0.25">
      <c r="D1973">
        <v>3087645</v>
      </c>
      <c r="H1973" t="s">
        <v>40</v>
      </c>
    </row>
    <row r="1974" spans="4:8" x14ac:dyDescent="0.25">
      <c r="D1974">
        <v>3087645</v>
      </c>
      <c r="H1974" t="s">
        <v>40</v>
      </c>
    </row>
    <row r="1975" spans="4:8" x14ac:dyDescent="0.25">
      <c r="D1975">
        <v>3087645</v>
      </c>
      <c r="H1975" t="s">
        <v>40</v>
      </c>
    </row>
    <row r="1976" spans="4:8" x14ac:dyDescent="0.25">
      <c r="D1976">
        <v>3506579</v>
      </c>
      <c r="H1976" t="s">
        <v>40</v>
      </c>
    </row>
    <row r="1977" spans="4:8" x14ac:dyDescent="0.25">
      <c r="D1977">
        <v>3501890</v>
      </c>
      <c r="H1977" t="s">
        <v>40</v>
      </c>
    </row>
    <row r="1978" spans="4:8" x14ac:dyDescent="0.25">
      <c r="D1978">
        <v>3502302</v>
      </c>
      <c r="H1978" t="s">
        <v>40</v>
      </c>
    </row>
    <row r="1979" spans="4:8" x14ac:dyDescent="0.25">
      <c r="D1979">
        <v>3502302</v>
      </c>
      <c r="H1979" t="s">
        <v>64</v>
      </c>
    </row>
    <row r="1980" spans="4:8" x14ac:dyDescent="0.25">
      <c r="D1980">
        <v>235488</v>
      </c>
      <c r="H1980" t="s">
        <v>64</v>
      </c>
    </row>
    <row r="1981" spans="4:8" x14ac:dyDescent="0.25">
      <c r="D1981">
        <v>235488</v>
      </c>
      <c r="H1981" t="s">
        <v>65</v>
      </c>
    </row>
    <row r="1982" spans="4:8" x14ac:dyDescent="0.25">
      <c r="D1982">
        <v>235488</v>
      </c>
      <c r="H1982" t="s">
        <v>65</v>
      </c>
    </row>
    <row r="1983" spans="4:8" x14ac:dyDescent="0.25">
      <c r="D1983">
        <v>235488</v>
      </c>
      <c r="H1983" t="s">
        <v>65</v>
      </c>
    </row>
    <row r="1984" spans="4:8" x14ac:dyDescent="0.25">
      <c r="D1984">
        <v>235488</v>
      </c>
      <c r="H1984" t="s">
        <v>32</v>
      </c>
    </row>
    <row r="1985" spans="4:8" x14ac:dyDescent="0.25">
      <c r="D1985">
        <v>235488</v>
      </c>
      <c r="H1985" t="s">
        <v>32</v>
      </c>
    </row>
    <row r="1986" spans="4:8" x14ac:dyDescent="0.25">
      <c r="D1986">
        <v>1144880</v>
      </c>
      <c r="H1986" t="s">
        <v>32</v>
      </c>
    </row>
    <row r="1987" spans="4:8" x14ac:dyDescent="0.25">
      <c r="D1987">
        <v>1940357</v>
      </c>
      <c r="H1987" t="s">
        <v>32</v>
      </c>
    </row>
    <row r="1988" spans="4:8" x14ac:dyDescent="0.25">
      <c r="D1988">
        <v>1940357</v>
      </c>
      <c r="H1988" t="s">
        <v>32</v>
      </c>
    </row>
    <row r="1989" spans="4:8" x14ac:dyDescent="0.25">
      <c r="D1989">
        <v>1940357</v>
      </c>
      <c r="H1989" t="s">
        <v>32</v>
      </c>
    </row>
    <row r="1990" spans="4:8" x14ac:dyDescent="0.25">
      <c r="D1990">
        <v>1940360</v>
      </c>
      <c r="H1990" t="s">
        <v>32</v>
      </c>
    </row>
    <row r="1991" spans="4:8" x14ac:dyDescent="0.25">
      <c r="D1991">
        <v>1900466</v>
      </c>
      <c r="H1991" t="s">
        <v>72</v>
      </c>
    </row>
    <row r="1992" spans="4:8" x14ac:dyDescent="0.25">
      <c r="D1992">
        <v>1900466</v>
      </c>
      <c r="H1992" t="s">
        <v>151</v>
      </c>
    </row>
    <row r="1993" spans="4:8" x14ac:dyDescent="0.25">
      <c r="D1993">
        <v>1940363</v>
      </c>
      <c r="H1993" t="s">
        <v>151</v>
      </c>
    </row>
    <row r="1994" spans="4:8" x14ac:dyDescent="0.25">
      <c r="D1994">
        <v>1940363</v>
      </c>
      <c r="H1994" t="s">
        <v>151</v>
      </c>
    </row>
    <row r="1995" spans="4:8" x14ac:dyDescent="0.25">
      <c r="D1995">
        <v>1940363</v>
      </c>
      <c r="H1995" t="s">
        <v>151</v>
      </c>
    </row>
    <row r="1996" spans="4:8" x14ac:dyDescent="0.25">
      <c r="D1996">
        <v>1940363</v>
      </c>
      <c r="H1996" t="s">
        <v>151</v>
      </c>
    </row>
    <row r="1997" spans="4:8" x14ac:dyDescent="0.25">
      <c r="D1997">
        <v>1940363</v>
      </c>
      <c r="H1997" t="s">
        <v>151</v>
      </c>
    </row>
    <row r="1998" spans="4:8" x14ac:dyDescent="0.25">
      <c r="D1998">
        <v>1940363</v>
      </c>
      <c r="H1998" t="s">
        <v>151</v>
      </c>
    </row>
    <row r="1999" spans="4:8" x14ac:dyDescent="0.25">
      <c r="D1999">
        <v>1940363</v>
      </c>
      <c r="H1999" t="s">
        <v>151</v>
      </c>
    </row>
    <row r="2000" spans="4:8" x14ac:dyDescent="0.25">
      <c r="D2000">
        <v>1940363</v>
      </c>
      <c r="H2000" t="s">
        <v>151</v>
      </c>
    </row>
    <row r="2001" spans="4:8" x14ac:dyDescent="0.25">
      <c r="D2001">
        <v>1940363</v>
      </c>
      <c r="H2001" t="s">
        <v>151</v>
      </c>
    </row>
    <row r="2002" spans="4:8" x14ac:dyDescent="0.25">
      <c r="D2002">
        <v>1940363</v>
      </c>
      <c r="H2002" t="s">
        <v>151</v>
      </c>
    </row>
    <row r="2003" spans="4:8" x14ac:dyDescent="0.25">
      <c r="D2003">
        <v>1940363</v>
      </c>
      <c r="H2003" t="s">
        <v>39</v>
      </c>
    </row>
    <row r="2004" spans="4:8" x14ac:dyDescent="0.25">
      <c r="D2004">
        <v>1940363</v>
      </c>
      <c r="H2004" t="s">
        <v>39</v>
      </c>
    </row>
    <row r="2005" spans="4:8" x14ac:dyDescent="0.25">
      <c r="D2005">
        <v>3747393</v>
      </c>
      <c r="H2005" t="s">
        <v>21</v>
      </c>
    </row>
    <row r="2006" spans="4:8" x14ac:dyDescent="0.25">
      <c r="D2006">
        <v>3747393</v>
      </c>
      <c r="H2006" t="s">
        <v>21</v>
      </c>
    </row>
    <row r="2007" spans="4:8" x14ac:dyDescent="0.25">
      <c r="D2007">
        <v>3747393</v>
      </c>
      <c r="H2007" t="s">
        <v>21</v>
      </c>
    </row>
    <row r="2008" spans="4:8" x14ac:dyDescent="0.25">
      <c r="D2008">
        <v>3747393</v>
      </c>
      <c r="H2008" t="s">
        <v>21</v>
      </c>
    </row>
    <row r="2009" spans="4:8" x14ac:dyDescent="0.25">
      <c r="D2009">
        <v>3747393</v>
      </c>
      <c r="H2009" t="s">
        <v>21</v>
      </c>
    </row>
    <row r="2010" spans="4:8" x14ac:dyDescent="0.25">
      <c r="D2010">
        <v>3747393</v>
      </c>
      <c r="H2010" t="s">
        <v>21</v>
      </c>
    </row>
    <row r="2011" spans="4:8" x14ac:dyDescent="0.25">
      <c r="D2011">
        <v>2423535</v>
      </c>
      <c r="H2011" t="s">
        <v>21</v>
      </c>
    </row>
    <row r="2012" spans="4:8" x14ac:dyDescent="0.25">
      <c r="D2012">
        <v>2423535</v>
      </c>
      <c r="H2012" t="s">
        <v>21</v>
      </c>
    </row>
    <row r="2013" spans="4:8" x14ac:dyDescent="0.25">
      <c r="D2013">
        <v>2423535</v>
      </c>
      <c r="H2013" t="s">
        <v>21</v>
      </c>
    </row>
    <row r="2014" spans="4:8" x14ac:dyDescent="0.25">
      <c r="D2014">
        <v>2423535</v>
      </c>
      <c r="H2014" t="s">
        <v>61</v>
      </c>
    </row>
    <row r="2015" spans="4:8" x14ac:dyDescent="0.25">
      <c r="D2015">
        <v>2423535</v>
      </c>
      <c r="H2015" t="s">
        <v>61</v>
      </c>
    </row>
    <row r="2016" spans="4:8" x14ac:dyDescent="0.25">
      <c r="D2016">
        <v>2423535</v>
      </c>
      <c r="H2016" t="s">
        <v>61</v>
      </c>
    </row>
    <row r="2017" spans="4:8" x14ac:dyDescent="0.25">
      <c r="D2017">
        <v>2423535</v>
      </c>
      <c r="H2017" t="s">
        <v>61</v>
      </c>
    </row>
    <row r="2018" spans="4:8" x14ac:dyDescent="0.25">
      <c r="D2018">
        <v>2423535</v>
      </c>
      <c r="H2018" t="s">
        <v>61</v>
      </c>
    </row>
    <row r="2019" spans="4:8" x14ac:dyDescent="0.25">
      <c r="D2019">
        <v>2423535</v>
      </c>
      <c r="H2019" t="s">
        <v>61</v>
      </c>
    </row>
    <row r="2020" spans="4:8" x14ac:dyDescent="0.25">
      <c r="D2020">
        <v>2423535</v>
      </c>
      <c r="H2020" t="s">
        <v>151</v>
      </c>
    </row>
    <row r="2021" spans="4:8" x14ac:dyDescent="0.25">
      <c r="D2021">
        <v>2423535</v>
      </c>
      <c r="H2021" t="s">
        <v>40</v>
      </c>
    </row>
    <row r="2022" spans="4:8" x14ac:dyDescent="0.25">
      <c r="D2022">
        <v>3183145</v>
      </c>
      <c r="H2022" t="s">
        <v>21</v>
      </c>
    </row>
    <row r="2023" spans="4:8" x14ac:dyDescent="0.25">
      <c r="D2023">
        <v>3183145</v>
      </c>
      <c r="H2023" t="s">
        <v>21</v>
      </c>
    </row>
    <row r="2024" spans="4:8" x14ac:dyDescent="0.25">
      <c r="D2024">
        <v>1940369</v>
      </c>
      <c r="H2024" t="s">
        <v>21</v>
      </c>
    </row>
    <row r="2025" spans="4:8" x14ac:dyDescent="0.25">
      <c r="D2025">
        <v>2364549</v>
      </c>
      <c r="H2025" t="s">
        <v>21</v>
      </c>
    </row>
    <row r="2026" spans="4:8" x14ac:dyDescent="0.25">
      <c r="D2026">
        <v>2404870</v>
      </c>
      <c r="H2026" t="s">
        <v>21</v>
      </c>
    </row>
    <row r="2027" spans="4:8" x14ac:dyDescent="0.25">
      <c r="D2027">
        <v>3702143</v>
      </c>
      <c r="H2027" t="s">
        <v>21</v>
      </c>
    </row>
    <row r="2028" spans="4:8" x14ac:dyDescent="0.25">
      <c r="D2028">
        <v>3553684</v>
      </c>
      <c r="H2028" t="s">
        <v>21</v>
      </c>
    </row>
    <row r="2029" spans="4:8" x14ac:dyDescent="0.25">
      <c r="D2029">
        <v>3553684</v>
      </c>
      <c r="H2029" t="s">
        <v>21</v>
      </c>
    </row>
    <row r="2030" spans="4:8" x14ac:dyDescent="0.25">
      <c r="D2030">
        <v>3553684</v>
      </c>
      <c r="H2030" t="s">
        <v>21</v>
      </c>
    </row>
    <row r="2031" spans="4:8" x14ac:dyDescent="0.25">
      <c r="D2031">
        <v>3553684</v>
      </c>
      <c r="H2031" t="s">
        <v>21</v>
      </c>
    </row>
    <row r="2032" spans="4:8" x14ac:dyDescent="0.25">
      <c r="D2032">
        <v>3553684</v>
      </c>
      <c r="H2032" t="s">
        <v>21</v>
      </c>
    </row>
    <row r="2033" spans="4:8" x14ac:dyDescent="0.25">
      <c r="D2033">
        <v>3553684</v>
      </c>
      <c r="H2033" t="s">
        <v>21</v>
      </c>
    </row>
    <row r="2034" spans="4:8" x14ac:dyDescent="0.25">
      <c r="D2034">
        <v>3553684</v>
      </c>
      <c r="H2034" t="s">
        <v>21</v>
      </c>
    </row>
    <row r="2035" spans="4:8" x14ac:dyDescent="0.25">
      <c r="D2035">
        <v>3553684</v>
      </c>
      <c r="H2035" t="s">
        <v>21</v>
      </c>
    </row>
    <row r="2036" spans="4:8" x14ac:dyDescent="0.25">
      <c r="D2036">
        <v>3553684</v>
      </c>
      <c r="H2036" t="s">
        <v>76</v>
      </c>
    </row>
    <row r="2037" spans="4:8" x14ac:dyDescent="0.25">
      <c r="D2037">
        <v>3553684</v>
      </c>
      <c r="H2037" t="s">
        <v>57</v>
      </c>
    </row>
    <row r="2038" spans="4:8" x14ac:dyDescent="0.25">
      <c r="D2038">
        <v>3553684</v>
      </c>
      <c r="H2038" t="s">
        <v>52</v>
      </c>
    </row>
    <row r="2039" spans="4:8" x14ac:dyDescent="0.25">
      <c r="D2039">
        <v>3553684</v>
      </c>
      <c r="H2039" t="s">
        <v>39</v>
      </c>
    </row>
    <row r="2040" spans="4:8" x14ac:dyDescent="0.25">
      <c r="D2040">
        <v>3553684</v>
      </c>
      <c r="H2040" t="s">
        <v>151</v>
      </c>
    </row>
    <row r="2041" spans="4:8" x14ac:dyDescent="0.25">
      <c r="D2041">
        <v>3553684</v>
      </c>
      <c r="H2041" t="s">
        <v>151</v>
      </c>
    </row>
    <row r="2042" spans="4:8" x14ac:dyDescent="0.25">
      <c r="D2042">
        <v>3553684</v>
      </c>
      <c r="H2042" t="s">
        <v>151</v>
      </c>
    </row>
    <row r="2043" spans="4:8" x14ac:dyDescent="0.25">
      <c r="D2043">
        <v>1940390</v>
      </c>
      <c r="H2043" t="s">
        <v>151</v>
      </c>
    </row>
    <row r="2044" spans="4:8" x14ac:dyDescent="0.25">
      <c r="D2044">
        <v>1940390</v>
      </c>
      <c r="H2044" t="s">
        <v>151</v>
      </c>
    </row>
    <row r="2045" spans="4:8" x14ac:dyDescent="0.25">
      <c r="D2045">
        <v>1940390</v>
      </c>
      <c r="H2045" t="s">
        <v>151</v>
      </c>
    </row>
    <row r="2046" spans="4:8" x14ac:dyDescent="0.25">
      <c r="D2046">
        <v>1940390</v>
      </c>
      <c r="H2046" t="s">
        <v>151</v>
      </c>
    </row>
    <row r="2047" spans="4:8" x14ac:dyDescent="0.25">
      <c r="D2047">
        <v>1940390</v>
      </c>
      <c r="H2047" t="s">
        <v>151</v>
      </c>
    </row>
    <row r="2048" spans="4:8" x14ac:dyDescent="0.25">
      <c r="D2048">
        <v>1940390</v>
      </c>
      <c r="H2048" t="s">
        <v>151</v>
      </c>
    </row>
    <row r="2049" spans="4:8" x14ac:dyDescent="0.25">
      <c r="D2049">
        <v>1940392</v>
      </c>
      <c r="H2049" t="s">
        <v>151</v>
      </c>
    </row>
    <row r="2050" spans="4:8" x14ac:dyDescent="0.25">
      <c r="D2050">
        <v>1940392</v>
      </c>
      <c r="H2050" t="s">
        <v>151</v>
      </c>
    </row>
    <row r="2051" spans="4:8" x14ac:dyDescent="0.25">
      <c r="D2051">
        <v>1940392</v>
      </c>
      <c r="H2051" t="s">
        <v>151</v>
      </c>
    </row>
    <row r="2052" spans="4:8" x14ac:dyDescent="0.25">
      <c r="D2052">
        <v>1938251</v>
      </c>
      <c r="H2052" t="s">
        <v>151</v>
      </c>
    </row>
    <row r="2053" spans="4:8" x14ac:dyDescent="0.25">
      <c r="D2053">
        <v>1938251</v>
      </c>
      <c r="H2053" t="s">
        <v>151</v>
      </c>
    </row>
    <row r="2054" spans="4:8" x14ac:dyDescent="0.25">
      <c r="D2054">
        <v>1938251</v>
      </c>
      <c r="H2054" t="s">
        <v>151</v>
      </c>
    </row>
    <row r="2055" spans="4:8" x14ac:dyDescent="0.25">
      <c r="D2055">
        <v>1938251</v>
      </c>
      <c r="H2055" t="s">
        <v>151</v>
      </c>
    </row>
    <row r="2056" spans="4:8" x14ac:dyDescent="0.25">
      <c r="D2056">
        <v>1938251</v>
      </c>
      <c r="H2056" t="s">
        <v>151</v>
      </c>
    </row>
    <row r="2057" spans="4:8" x14ac:dyDescent="0.25">
      <c r="D2057">
        <v>1938251</v>
      </c>
      <c r="H2057" t="s">
        <v>108</v>
      </c>
    </row>
    <row r="2058" spans="4:8" x14ac:dyDescent="0.25">
      <c r="D2058">
        <v>1938251</v>
      </c>
      <c r="H2058" t="s">
        <v>108</v>
      </c>
    </row>
    <row r="2059" spans="4:8" x14ac:dyDescent="0.25">
      <c r="D2059">
        <v>1938251</v>
      </c>
      <c r="H2059" t="s">
        <v>108</v>
      </c>
    </row>
    <row r="2060" spans="4:8" x14ac:dyDescent="0.25">
      <c r="D2060">
        <v>1938251</v>
      </c>
      <c r="H2060" t="s">
        <v>108</v>
      </c>
    </row>
    <row r="2061" spans="4:8" x14ac:dyDescent="0.25">
      <c r="D2061">
        <v>1938251</v>
      </c>
      <c r="H2061" t="s">
        <v>114</v>
      </c>
    </row>
    <row r="2062" spans="4:8" x14ac:dyDescent="0.25">
      <c r="D2062">
        <v>1940398</v>
      </c>
      <c r="H2062" t="s">
        <v>52</v>
      </c>
    </row>
    <row r="2063" spans="4:8" x14ac:dyDescent="0.25">
      <c r="D2063">
        <v>1940398</v>
      </c>
      <c r="H2063" t="s">
        <v>21</v>
      </c>
    </row>
    <row r="2064" spans="4:8" x14ac:dyDescent="0.25">
      <c r="D2064">
        <v>1940399</v>
      </c>
      <c r="H2064" t="s">
        <v>21</v>
      </c>
    </row>
    <row r="2065" spans="4:8" x14ac:dyDescent="0.25">
      <c r="D2065">
        <v>1940399</v>
      </c>
      <c r="H2065" t="s">
        <v>21</v>
      </c>
    </row>
    <row r="2066" spans="4:8" x14ac:dyDescent="0.25">
      <c r="D2066">
        <v>1940399</v>
      </c>
      <c r="H2066" t="s">
        <v>21</v>
      </c>
    </row>
    <row r="2067" spans="4:8" x14ac:dyDescent="0.25">
      <c r="D2067">
        <v>1940399</v>
      </c>
      <c r="H2067" t="s">
        <v>21</v>
      </c>
    </row>
    <row r="2068" spans="4:8" x14ac:dyDescent="0.25">
      <c r="D2068">
        <v>1940399</v>
      </c>
      <c r="H2068" t="s">
        <v>21</v>
      </c>
    </row>
    <row r="2069" spans="4:8" x14ac:dyDescent="0.25">
      <c r="D2069">
        <v>1940399</v>
      </c>
      <c r="H2069" t="s">
        <v>21</v>
      </c>
    </row>
    <row r="2070" spans="4:8" x14ac:dyDescent="0.25">
      <c r="D2070">
        <v>1940400</v>
      </c>
      <c r="H2070" t="s">
        <v>21</v>
      </c>
    </row>
    <row r="2071" spans="4:8" x14ac:dyDescent="0.25">
      <c r="D2071">
        <v>1940403</v>
      </c>
      <c r="H2071" t="s">
        <v>21</v>
      </c>
    </row>
    <row r="2072" spans="4:8" x14ac:dyDescent="0.25">
      <c r="D2072">
        <v>1940403</v>
      </c>
      <c r="H2072" t="s">
        <v>21</v>
      </c>
    </row>
    <row r="2073" spans="4:8" x14ac:dyDescent="0.25">
      <c r="D2073">
        <v>2427960</v>
      </c>
      <c r="H2073" t="s">
        <v>21</v>
      </c>
    </row>
    <row r="2074" spans="4:8" x14ac:dyDescent="0.25">
      <c r="D2074">
        <v>2427960</v>
      </c>
      <c r="H2074" t="s">
        <v>72</v>
      </c>
    </row>
    <row r="2075" spans="4:8" x14ac:dyDescent="0.25">
      <c r="D2075">
        <v>2427960</v>
      </c>
      <c r="H2075" t="s">
        <v>72</v>
      </c>
    </row>
    <row r="2076" spans="4:8" x14ac:dyDescent="0.25">
      <c r="D2076">
        <v>2427960</v>
      </c>
      <c r="H2076" t="s">
        <v>72</v>
      </c>
    </row>
    <row r="2077" spans="4:8" x14ac:dyDescent="0.25">
      <c r="D2077">
        <v>2427960</v>
      </c>
      <c r="H2077" t="s">
        <v>72</v>
      </c>
    </row>
    <row r="2078" spans="4:8" x14ac:dyDescent="0.25">
      <c r="D2078">
        <v>2427939</v>
      </c>
      <c r="H2078" t="s">
        <v>72</v>
      </c>
    </row>
    <row r="2079" spans="4:8" x14ac:dyDescent="0.25">
      <c r="D2079">
        <v>2427939</v>
      </c>
      <c r="H2079" t="s">
        <v>21</v>
      </c>
    </row>
    <row r="2080" spans="4:8" x14ac:dyDescent="0.25">
      <c r="D2080">
        <v>2427939</v>
      </c>
      <c r="H2080" t="s">
        <v>21</v>
      </c>
    </row>
    <row r="2081" spans="4:8" x14ac:dyDescent="0.25">
      <c r="D2081">
        <v>2427939</v>
      </c>
      <c r="H2081" t="s">
        <v>21</v>
      </c>
    </row>
    <row r="2082" spans="4:8" x14ac:dyDescent="0.25">
      <c r="D2082">
        <v>2427939</v>
      </c>
      <c r="H2082" t="s">
        <v>21</v>
      </c>
    </row>
    <row r="2083" spans="4:8" x14ac:dyDescent="0.25">
      <c r="D2083">
        <v>2427939</v>
      </c>
      <c r="H2083" t="s">
        <v>21</v>
      </c>
    </row>
    <row r="2084" spans="4:8" x14ac:dyDescent="0.25">
      <c r="D2084">
        <v>3714733</v>
      </c>
      <c r="H2084" t="s">
        <v>21</v>
      </c>
    </row>
    <row r="2085" spans="4:8" x14ac:dyDescent="0.25">
      <c r="D2085">
        <v>3714733</v>
      </c>
      <c r="H2085" t="s">
        <v>21</v>
      </c>
    </row>
    <row r="2086" spans="4:8" x14ac:dyDescent="0.25">
      <c r="D2086">
        <v>3714733</v>
      </c>
      <c r="H2086" t="s">
        <v>21</v>
      </c>
    </row>
    <row r="2087" spans="4:8" x14ac:dyDescent="0.25">
      <c r="D2087">
        <v>3714733</v>
      </c>
      <c r="H2087" t="s">
        <v>21</v>
      </c>
    </row>
    <row r="2088" spans="4:8" x14ac:dyDescent="0.25">
      <c r="D2088">
        <v>3714733</v>
      </c>
      <c r="H2088" t="s">
        <v>22</v>
      </c>
    </row>
    <row r="2089" spans="4:8" x14ac:dyDescent="0.25">
      <c r="D2089">
        <v>2270133</v>
      </c>
      <c r="H2089" t="s">
        <v>22</v>
      </c>
    </row>
    <row r="2090" spans="4:8" x14ac:dyDescent="0.25">
      <c r="D2090">
        <v>2270133</v>
      </c>
      <c r="H2090" t="s">
        <v>22</v>
      </c>
    </row>
    <row r="2091" spans="4:8" x14ac:dyDescent="0.25">
      <c r="D2091">
        <v>2270133</v>
      </c>
      <c r="H2091" t="s">
        <v>22</v>
      </c>
    </row>
    <row r="2092" spans="4:8" x14ac:dyDescent="0.25">
      <c r="D2092">
        <v>2270133</v>
      </c>
      <c r="H2092" t="s">
        <v>22</v>
      </c>
    </row>
    <row r="2093" spans="4:8" x14ac:dyDescent="0.25">
      <c r="D2093">
        <v>2270133</v>
      </c>
      <c r="H2093" t="s">
        <v>101</v>
      </c>
    </row>
    <row r="2094" spans="4:8" x14ac:dyDescent="0.25">
      <c r="D2094">
        <v>2270133</v>
      </c>
      <c r="H2094" t="s">
        <v>21</v>
      </c>
    </row>
    <row r="2095" spans="4:8" x14ac:dyDescent="0.25">
      <c r="D2095">
        <v>2270133</v>
      </c>
      <c r="H2095" t="s">
        <v>21</v>
      </c>
    </row>
    <row r="2096" spans="4:8" x14ac:dyDescent="0.25">
      <c r="D2096">
        <v>2270133</v>
      </c>
      <c r="H2096" t="s">
        <v>21</v>
      </c>
    </row>
    <row r="2097" spans="4:8" x14ac:dyDescent="0.25">
      <c r="D2097">
        <v>2270133</v>
      </c>
      <c r="H2097" t="s">
        <v>21</v>
      </c>
    </row>
    <row r="2098" spans="4:8" x14ac:dyDescent="0.25">
      <c r="D2098">
        <v>2270133</v>
      </c>
      <c r="H2098" t="s">
        <v>21</v>
      </c>
    </row>
    <row r="2099" spans="4:8" x14ac:dyDescent="0.25">
      <c r="D2099">
        <v>2270133</v>
      </c>
      <c r="H2099" t="s">
        <v>21</v>
      </c>
    </row>
    <row r="2100" spans="4:8" x14ac:dyDescent="0.25">
      <c r="D2100">
        <v>2270133</v>
      </c>
      <c r="H2100" t="s">
        <v>21</v>
      </c>
    </row>
    <row r="2101" spans="4:8" x14ac:dyDescent="0.25">
      <c r="D2101">
        <v>1940407</v>
      </c>
      <c r="H2101" t="s">
        <v>21</v>
      </c>
    </row>
    <row r="2102" spans="4:8" x14ac:dyDescent="0.25">
      <c r="D2102">
        <v>1940407</v>
      </c>
      <c r="H2102" t="s">
        <v>151</v>
      </c>
    </row>
    <row r="2103" spans="4:8" x14ac:dyDescent="0.25">
      <c r="D2103">
        <v>1940407</v>
      </c>
      <c r="H2103" t="s">
        <v>151</v>
      </c>
    </row>
    <row r="2104" spans="4:8" x14ac:dyDescent="0.25">
      <c r="D2104">
        <v>1940407</v>
      </c>
      <c r="H2104" t="s">
        <v>151</v>
      </c>
    </row>
    <row r="2105" spans="4:8" x14ac:dyDescent="0.25">
      <c r="D2105">
        <v>1940407</v>
      </c>
      <c r="H2105" t="s">
        <v>61</v>
      </c>
    </row>
    <row r="2106" spans="4:8" x14ac:dyDescent="0.25">
      <c r="D2106">
        <v>1940407</v>
      </c>
      <c r="H2106" t="s">
        <v>61</v>
      </c>
    </row>
    <row r="2107" spans="4:8" x14ac:dyDescent="0.25">
      <c r="D2107">
        <v>1940407</v>
      </c>
      <c r="H2107" t="s">
        <v>61</v>
      </c>
    </row>
    <row r="2108" spans="4:8" x14ac:dyDescent="0.25">
      <c r="D2108">
        <v>1940407</v>
      </c>
      <c r="H2108" t="s">
        <v>61</v>
      </c>
    </row>
    <row r="2109" spans="4:8" x14ac:dyDescent="0.25">
      <c r="D2109">
        <v>1940408</v>
      </c>
      <c r="H2109" t="s">
        <v>61</v>
      </c>
    </row>
    <row r="2110" spans="4:8" x14ac:dyDescent="0.25">
      <c r="D2110">
        <v>1940408</v>
      </c>
      <c r="H2110" t="s">
        <v>61</v>
      </c>
    </row>
    <row r="2111" spans="4:8" x14ac:dyDescent="0.25">
      <c r="D2111">
        <v>1940408</v>
      </c>
      <c r="H2111" t="s">
        <v>61</v>
      </c>
    </row>
    <row r="2112" spans="4:8" x14ac:dyDescent="0.25">
      <c r="D2112">
        <v>1940408</v>
      </c>
      <c r="H2112" t="s">
        <v>61</v>
      </c>
    </row>
    <row r="2113" spans="4:8" x14ac:dyDescent="0.25">
      <c r="D2113">
        <v>1940408</v>
      </c>
      <c r="H2113" t="s">
        <v>61</v>
      </c>
    </row>
    <row r="2114" spans="4:8" x14ac:dyDescent="0.25">
      <c r="D2114">
        <v>1940408</v>
      </c>
      <c r="H2114" t="s">
        <v>61</v>
      </c>
    </row>
    <row r="2115" spans="4:8" x14ac:dyDescent="0.25">
      <c r="D2115">
        <v>1940408</v>
      </c>
      <c r="H2115" t="s">
        <v>61</v>
      </c>
    </row>
    <row r="2116" spans="4:8" x14ac:dyDescent="0.25">
      <c r="D2116">
        <v>1940408</v>
      </c>
      <c r="H2116" t="s">
        <v>61</v>
      </c>
    </row>
    <row r="2117" spans="4:8" x14ac:dyDescent="0.25">
      <c r="D2117">
        <v>1940408</v>
      </c>
      <c r="H2117" t="s">
        <v>61</v>
      </c>
    </row>
    <row r="2118" spans="4:8" x14ac:dyDescent="0.25">
      <c r="D2118">
        <v>1940408</v>
      </c>
      <c r="H2118" t="s">
        <v>61</v>
      </c>
    </row>
    <row r="2119" spans="4:8" x14ac:dyDescent="0.25">
      <c r="D2119">
        <v>1940408</v>
      </c>
      <c r="H2119" t="s">
        <v>61</v>
      </c>
    </row>
    <row r="2120" spans="4:8" x14ac:dyDescent="0.25">
      <c r="D2120">
        <v>1940408</v>
      </c>
      <c r="H2120" t="s">
        <v>61</v>
      </c>
    </row>
    <row r="2121" spans="4:8" x14ac:dyDescent="0.25">
      <c r="D2121">
        <v>1940408</v>
      </c>
      <c r="H2121" t="s">
        <v>61</v>
      </c>
    </row>
    <row r="2122" spans="4:8" x14ac:dyDescent="0.25">
      <c r="D2122">
        <v>3628242</v>
      </c>
      <c r="H2122" t="s">
        <v>61</v>
      </c>
    </row>
    <row r="2123" spans="4:8" x14ac:dyDescent="0.25">
      <c r="D2123">
        <v>2418687</v>
      </c>
      <c r="H2123" t="s">
        <v>61</v>
      </c>
    </row>
    <row r="2124" spans="4:8" x14ac:dyDescent="0.25">
      <c r="D2124">
        <v>2418687</v>
      </c>
      <c r="H2124" t="s">
        <v>61</v>
      </c>
    </row>
    <row r="2125" spans="4:8" x14ac:dyDescent="0.25">
      <c r="D2125">
        <v>2418687</v>
      </c>
      <c r="H2125" t="s">
        <v>61</v>
      </c>
    </row>
    <row r="2126" spans="4:8" x14ac:dyDescent="0.25">
      <c r="D2126">
        <v>2418687</v>
      </c>
      <c r="H2126" t="s">
        <v>61</v>
      </c>
    </row>
    <row r="2127" spans="4:8" x14ac:dyDescent="0.25">
      <c r="D2127">
        <v>2418687</v>
      </c>
      <c r="H2127" t="s">
        <v>61</v>
      </c>
    </row>
    <row r="2128" spans="4:8" x14ac:dyDescent="0.25">
      <c r="D2128">
        <v>2418687</v>
      </c>
      <c r="H2128" t="s">
        <v>61</v>
      </c>
    </row>
    <row r="2129" spans="4:8" x14ac:dyDescent="0.25">
      <c r="D2129">
        <v>2418687</v>
      </c>
      <c r="H2129" t="s">
        <v>61</v>
      </c>
    </row>
    <row r="2130" spans="4:8" x14ac:dyDescent="0.25">
      <c r="D2130">
        <v>2418687</v>
      </c>
      <c r="H2130" t="s">
        <v>72</v>
      </c>
    </row>
    <row r="2131" spans="4:8" x14ac:dyDescent="0.25">
      <c r="D2131">
        <v>2418687</v>
      </c>
      <c r="H2131" t="s">
        <v>72</v>
      </c>
    </row>
    <row r="2132" spans="4:8" x14ac:dyDescent="0.25">
      <c r="D2132">
        <v>2418687</v>
      </c>
      <c r="H2132" t="s">
        <v>72</v>
      </c>
    </row>
    <row r="2133" spans="4:8" x14ac:dyDescent="0.25">
      <c r="D2133">
        <v>1940415</v>
      </c>
      <c r="H2133" t="s">
        <v>72</v>
      </c>
    </row>
    <row r="2134" spans="4:8" x14ac:dyDescent="0.25">
      <c r="D2134">
        <v>1940415</v>
      </c>
      <c r="H2134" t="s">
        <v>72</v>
      </c>
    </row>
    <row r="2135" spans="4:8" x14ac:dyDescent="0.25">
      <c r="D2135">
        <v>1940416</v>
      </c>
      <c r="H2135" t="s">
        <v>72</v>
      </c>
    </row>
    <row r="2136" spans="4:8" x14ac:dyDescent="0.25">
      <c r="D2136">
        <v>1940416</v>
      </c>
      <c r="H2136" t="s">
        <v>72</v>
      </c>
    </row>
    <row r="2137" spans="4:8" x14ac:dyDescent="0.25">
      <c r="D2137">
        <v>1940416</v>
      </c>
      <c r="H2137" t="s">
        <v>72</v>
      </c>
    </row>
    <row r="2138" spans="4:8" x14ac:dyDescent="0.25">
      <c r="D2138">
        <v>1940416</v>
      </c>
      <c r="H2138" t="s">
        <v>72</v>
      </c>
    </row>
    <row r="2139" spans="4:8" x14ac:dyDescent="0.25">
      <c r="D2139">
        <v>1940416</v>
      </c>
      <c r="H2139" t="s">
        <v>72</v>
      </c>
    </row>
    <row r="2140" spans="4:8" x14ac:dyDescent="0.25">
      <c r="D2140">
        <v>1940416</v>
      </c>
      <c r="H2140" t="s">
        <v>72</v>
      </c>
    </row>
    <row r="2141" spans="4:8" x14ac:dyDescent="0.25">
      <c r="D2141">
        <v>1940416</v>
      </c>
      <c r="H2141" t="s">
        <v>72</v>
      </c>
    </row>
    <row r="2142" spans="4:8" x14ac:dyDescent="0.25">
      <c r="D2142">
        <v>1940416</v>
      </c>
      <c r="H2142" t="s">
        <v>72</v>
      </c>
    </row>
    <row r="2143" spans="4:8" x14ac:dyDescent="0.25">
      <c r="D2143">
        <v>1940416</v>
      </c>
      <c r="H2143" t="s">
        <v>72</v>
      </c>
    </row>
    <row r="2144" spans="4:8" x14ac:dyDescent="0.25">
      <c r="D2144">
        <v>1940416</v>
      </c>
      <c r="H2144" t="s">
        <v>72</v>
      </c>
    </row>
    <row r="2145" spans="4:8" x14ac:dyDescent="0.25">
      <c r="D2145">
        <v>1940416</v>
      </c>
      <c r="H2145" t="s">
        <v>72</v>
      </c>
    </row>
    <row r="2146" spans="4:8" x14ac:dyDescent="0.25">
      <c r="D2146">
        <v>1940416</v>
      </c>
      <c r="H2146" t="s">
        <v>72</v>
      </c>
    </row>
    <row r="2147" spans="4:8" x14ac:dyDescent="0.25">
      <c r="D2147">
        <v>1940416</v>
      </c>
      <c r="H2147" t="s">
        <v>72</v>
      </c>
    </row>
    <row r="2148" spans="4:8" x14ac:dyDescent="0.25">
      <c r="D2148">
        <v>1940416</v>
      </c>
      <c r="H2148" t="s">
        <v>72</v>
      </c>
    </row>
    <row r="2149" spans="4:8" x14ac:dyDescent="0.25">
      <c r="D2149">
        <v>1940416</v>
      </c>
      <c r="H2149" t="s">
        <v>72</v>
      </c>
    </row>
    <row r="2150" spans="4:8" x14ac:dyDescent="0.25">
      <c r="D2150">
        <v>1940416</v>
      </c>
      <c r="H2150" t="s">
        <v>72</v>
      </c>
    </row>
    <row r="2151" spans="4:8" x14ac:dyDescent="0.25">
      <c r="D2151">
        <v>1940416</v>
      </c>
      <c r="H2151" t="s">
        <v>72</v>
      </c>
    </row>
    <row r="2152" spans="4:8" x14ac:dyDescent="0.25">
      <c r="D2152">
        <v>1940416</v>
      </c>
      <c r="H2152" t="s">
        <v>52</v>
      </c>
    </row>
    <row r="2153" spans="4:8" x14ac:dyDescent="0.25">
      <c r="D2153">
        <v>1940416</v>
      </c>
      <c r="H2153" t="s">
        <v>52</v>
      </c>
    </row>
    <row r="2154" spans="4:8" x14ac:dyDescent="0.25">
      <c r="D2154">
        <v>3599863</v>
      </c>
      <c r="H2154" t="s">
        <v>52</v>
      </c>
    </row>
    <row r="2155" spans="4:8" x14ac:dyDescent="0.25">
      <c r="D2155">
        <v>3599863</v>
      </c>
      <c r="H2155" t="s">
        <v>52</v>
      </c>
    </row>
    <row r="2156" spans="4:8" x14ac:dyDescent="0.25">
      <c r="D2156">
        <v>3599863</v>
      </c>
      <c r="H2156" t="s">
        <v>52</v>
      </c>
    </row>
    <row r="2157" spans="4:8" x14ac:dyDescent="0.25">
      <c r="D2157">
        <v>3599863</v>
      </c>
      <c r="H2157" t="s">
        <v>52</v>
      </c>
    </row>
    <row r="2158" spans="4:8" x14ac:dyDescent="0.25">
      <c r="D2158">
        <v>3599863</v>
      </c>
      <c r="H2158" t="s">
        <v>52</v>
      </c>
    </row>
    <row r="2159" spans="4:8" x14ac:dyDescent="0.25">
      <c r="D2159">
        <v>3599035</v>
      </c>
      <c r="H2159" t="s">
        <v>52</v>
      </c>
    </row>
    <row r="2160" spans="4:8" x14ac:dyDescent="0.25">
      <c r="D2160">
        <v>3672992</v>
      </c>
      <c r="H2160" t="s">
        <v>52</v>
      </c>
    </row>
    <row r="2161" spans="4:8" x14ac:dyDescent="0.25">
      <c r="D2161">
        <v>3672992</v>
      </c>
      <c r="H2161" t="s">
        <v>52</v>
      </c>
    </row>
    <row r="2162" spans="4:8" x14ac:dyDescent="0.25">
      <c r="D2162">
        <v>3672992</v>
      </c>
      <c r="H2162" t="s">
        <v>52</v>
      </c>
    </row>
    <row r="2163" spans="4:8" x14ac:dyDescent="0.25">
      <c r="D2163">
        <v>3673012</v>
      </c>
      <c r="H2163" t="s">
        <v>52</v>
      </c>
    </row>
    <row r="2164" spans="4:8" x14ac:dyDescent="0.25">
      <c r="D2164">
        <v>3673012</v>
      </c>
      <c r="H2164" t="s">
        <v>52</v>
      </c>
    </row>
    <row r="2165" spans="4:8" x14ac:dyDescent="0.25">
      <c r="D2165">
        <v>3673012</v>
      </c>
      <c r="H2165" t="s">
        <v>52</v>
      </c>
    </row>
    <row r="2166" spans="4:8" x14ac:dyDescent="0.25">
      <c r="D2166">
        <v>3673012</v>
      </c>
      <c r="H2166" t="s">
        <v>52</v>
      </c>
    </row>
    <row r="2167" spans="4:8" x14ac:dyDescent="0.25">
      <c r="D2167">
        <v>3673012</v>
      </c>
      <c r="H2167" t="s">
        <v>52</v>
      </c>
    </row>
    <row r="2168" spans="4:8" x14ac:dyDescent="0.25">
      <c r="D2168">
        <v>3673012</v>
      </c>
      <c r="H2168" t="s">
        <v>52</v>
      </c>
    </row>
    <row r="2169" spans="4:8" x14ac:dyDescent="0.25">
      <c r="D2169">
        <v>3673012</v>
      </c>
      <c r="H2169" t="s">
        <v>52</v>
      </c>
    </row>
    <row r="2170" spans="4:8" x14ac:dyDescent="0.25">
      <c r="D2170">
        <v>3673012</v>
      </c>
      <c r="H2170" t="s">
        <v>52</v>
      </c>
    </row>
    <row r="2171" spans="4:8" x14ac:dyDescent="0.25">
      <c r="D2171">
        <v>3673012</v>
      </c>
      <c r="H2171" t="s">
        <v>52</v>
      </c>
    </row>
    <row r="2172" spans="4:8" x14ac:dyDescent="0.25">
      <c r="D2172">
        <v>3673012</v>
      </c>
      <c r="H2172" t="s">
        <v>52</v>
      </c>
    </row>
    <row r="2173" spans="4:8" x14ac:dyDescent="0.25">
      <c r="D2173">
        <v>3673012</v>
      </c>
      <c r="H2173" t="s">
        <v>52</v>
      </c>
    </row>
    <row r="2174" spans="4:8" x14ac:dyDescent="0.25">
      <c r="D2174">
        <v>1940418</v>
      </c>
      <c r="H2174" t="s">
        <v>52</v>
      </c>
    </row>
    <row r="2175" spans="4:8" x14ac:dyDescent="0.25">
      <c r="D2175">
        <v>1940418</v>
      </c>
      <c r="H2175" t="s">
        <v>52</v>
      </c>
    </row>
    <row r="2176" spans="4:8" x14ac:dyDescent="0.25">
      <c r="D2176">
        <v>1940418</v>
      </c>
      <c r="H2176" t="s">
        <v>52</v>
      </c>
    </row>
    <row r="2177" spans="4:8" x14ac:dyDescent="0.25">
      <c r="D2177">
        <v>1940418</v>
      </c>
      <c r="H2177" t="s">
        <v>52</v>
      </c>
    </row>
    <row r="2178" spans="4:8" x14ac:dyDescent="0.25">
      <c r="D2178">
        <v>1940420</v>
      </c>
      <c r="H2178" t="s">
        <v>52</v>
      </c>
    </row>
    <row r="2179" spans="4:8" x14ac:dyDescent="0.25">
      <c r="D2179">
        <v>1940420</v>
      </c>
      <c r="H2179" t="s">
        <v>52</v>
      </c>
    </row>
    <row r="2180" spans="4:8" x14ac:dyDescent="0.25">
      <c r="D2180">
        <v>1940420</v>
      </c>
      <c r="H2180" t="s">
        <v>151</v>
      </c>
    </row>
    <row r="2181" spans="4:8" x14ac:dyDescent="0.25">
      <c r="D2181">
        <v>1940420</v>
      </c>
      <c r="H2181" t="s">
        <v>151</v>
      </c>
    </row>
    <row r="2182" spans="4:8" x14ac:dyDescent="0.25">
      <c r="D2182">
        <v>1940420</v>
      </c>
      <c r="H2182" t="s">
        <v>151</v>
      </c>
    </row>
    <row r="2183" spans="4:8" x14ac:dyDescent="0.25">
      <c r="D2183">
        <v>3673011</v>
      </c>
      <c r="H2183" t="s">
        <v>151</v>
      </c>
    </row>
    <row r="2184" spans="4:8" x14ac:dyDescent="0.25">
      <c r="D2184">
        <v>3673011</v>
      </c>
      <c r="H2184" t="s">
        <v>151</v>
      </c>
    </row>
    <row r="2185" spans="4:8" x14ac:dyDescent="0.25">
      <c r="D2185">
        <v>3673011</v>
      </c>
      <c r="H2185" t="s">
        <v>151</v>
      </c>
    </row>
    <row r="2186" spans="4:8" x14ac:dyDescent="0.25">
      <c r="D2186">
        <v>3673011</v>
      </c>
      <c r="H2186" t="s">
        <v>151</v>
      </c>
    </row>
    <row r="2187" spans="4:8" x14ac:dyDescent="0.25">
      <c r="D2187">
        <v>3673011</v>
      </c>
      <c r="H2187" t="s">
        <v>151</v>
      </c>
    </row>
    <row r="2188" spans="4:8" x14ac:dyDescent="0.25">
      <c r="D2188">
        <v>2349249</v>
      </c>
      <c r="H2188" t="s">
        <v>151</v>
      </c>
    </row>
    <row r="2189" spans="4:8" x14ac:dyDescent="0.25">
      <c r="D2189">
        <v>2349249</v>
      </c>
      <c r="H2189" t="s">
        <v>151</v>
      </c>
    </row>
    <row r="2190" spans="4:8" x14ac:dyDescent="0.25">
      <c r="D2190">
        <v>2349249</v>
      </c>
      <c r="H2190" t="s">
        <v>151</v>
      </c>
    </row>
    <row r="2191" spans="4:8" x14ac:dyDescent="0.25">
      <c r="D2191">
        <v>2349249</v>
      </c>
      <c r="H2191" t="s">
        <v>151</v>
      </c>
    </row>
    <row r="2192" spans="4:8" x14ac:dyDescent="0.25">
      <c r="D2192">
        <v>1931050</v>
      </c>
      <c r="H2192" t="s">
        <v>151</v>
      </c>
    </row>
    <row r="2193" spans="4:8" x14ac:dyDescent="0.25">
      <c r="D2193">
        <v>3575897</v>
      </c>
      <c r="H2193" t="s">
        <v>151</v>
      </c>
    </row>
    <row r="2194" spans="4:8" x14ac:dyDescent="0.25">
      <c r="D2194">
        <v>3714733</v>
      </c>
      <c r="H2194" t="s">
        <v>151</v>
      </c>
    </row>
    <row r="2195" spans="4:8" x14ac:dyDescent="0.25">
      <c r="D2195">
        <v>1940430</v>
      </c>
      <c r="H2195" t="s">
        <v>151</v>
      </c>
    </row>
    <row r="2196" spans="4:8" x14ac:dyDescent="0.25">
      <c r="D2196">
        <v>1940430</v>
      </c>
      <c r="H2196" t="s">
        <v>151</v>
      </c>
    </row>
    <row r="2197" spans="4:8" x14ac:dyDescent="0.25">
      <c r="D2197">
        <v>1940430</v>
      </c>
      <c r="H2197" t="s">
        <v>72</v>
      </c>
    </row>
    <row r="2198" spans="4:8" x14ac:dyDescent="0.25">
      <c r="D2198">
        <v>1940430</v>
      </c>
      <c r="H2198" t="s">
        <v>72</v>
      </c>
    </row>
    <row r="2199" spans="4:8" x14ac:dyDescent="0.25">
      <c r="D2199">
        <v>1940430</v>
      </c>
      <c r="H2199" t="s">
        <v>72</v>
      </c>
    </row>
    <row r="2200" spans="4:8" x14ac:dyDescent="0.25">
      <c r="D2200">
        <v>1940430</v>
      </c>
      <c r="H2200" t="s">
        <v>72</v>
      </c>
    </row>
    <row r="2201" spans="4:8" x14ac:dyDescent="0.25">
      <c r="D2201">
        <v>1940430</v>
      </c>
      <c r="H2201" t="s">
        <v>72</v>
      </c>
    </row>
    <row r="2202" spans="4:8" x14ac:dyDescent="0.25">
      <c r="D2202">
        <v>1940430</v>
      </c>
      <c r="H2202" t="s">
        <v>72</v>
      </c>
    </row>
    <row r="2203" spans="4:8" x14ac:dyDescent="0.25">
      <c r="D2203">
        <v>1940430</v>
      </c>
      <c r="H2203" t="s">
        <v>72</v>
      </c>
    </row>
    <row r="2204" spans="4:8" x14ac:dyDescent="0.25">
      <c r="D2204">
        <v>1940430</v>
      </c>
      <c r="H2204" t="s">
        <v>72</v>
      </c>
    </row>
    <row r="2205" spans="4:8" x14ac:dyDescent="0.25">
      <c r="D2205">
        <v>1905990</v>
      </c>
      <c r="H2205" t="s">
        <v>72</v>
      </c>
    </row>
    <row r="2206" spans="4:8" x14ac:dyDescent="0.25">
      <c r="D2206">
        <v>1905990</v>
      </c>
      <c r="H2206" t="s">
        <v>72</v>
      </c>
    </row>
    <row r="2207" spans="4:8" x14ac:dyDescent="0.25">
      <c r="D2207">
        <v>1905990</v>
      </c>
      <c r="H2207" t="s">
        <v>72</v>
      </c>
    </row>
    <row r="2208" spans="4:8" x14ac:dyDescent="0.25">
      <c r="D2208">
        <v>1905990</v>
      </c>
      <c r="H2208" t="s">
        <v>72</v>
      </c>
    </row>
    <row r="2209" spans="4:8" x14ac:dyDescent="0.25">
      <c r="D2209">
        <v>1940437</v>
      </c>
      <c r="H2209" t="s">
        <v>72</v>
      </c>
    </row>
    <row r="2210" spans="4:8" x14ac:dyDescent="0.25">
      <c r="D2210">
        <v>1940437</v>
      </c>
      <c r="H2210" t="s">
        <v>72</v>
      </c>
    </row>
    <row r="2211" spans="4:8" x14ac:dyDescent="0.25">
      <c r="D2211">
        <v>1940437</v>
      </c>
      <c r="H2211" t="s">
        <v>72</v>
      </c>
    </row>
    <row r="2212" spans="4:8" x14ac:dyDescent="0.25">
      <c r="D2212">
        <v>1940437</v>
      </c>
      <c r="H2212" t="s">
        <v>72</v>
      </c>
    </row>
    <row r="2213" spans="4:8" x14ac:dyDescent="0.25">
      <c r="D2213">
        <v>1940437</v>
      </c>
      <c r="H2213" t="s">
        <v>72</v>
      </c>
    </row>
    <row r="2214" spans="4:8" x14ac:dyDescent="0.25">
      <c r="D2214">
        <v>1940437</v>
      </c>
      <c r="H2214" t="s">
        <v>72</v>
      </c>
    </row>
    <row r="2215" spans="4:8" x14ac:dyDescent="0.25">
      <c r="D2215">
        <v>1940437</v>
      </c>
      <c r="H2215" t="s">
        <v>72</v>
      </c>
    </row>
    <row r="2216" spans="4:8" x14ac:dyDescent="0.25">
      <c r="D2216">
        <v>1940437</v>
      </c>
      <c r="H2216" t="s">
        <v>72</v>
      </c>
    </row>
    <row r="2217" spans="4:8" x14ac:dyDescent="0.25">
      <c r="D2217">
        <v>1940437</v>
      </c>
      <c r="H2217" t="s">
        <v>72</v>
      </c>
    </row>
    <row r="2218" spans="4:8" x14ac:dyDescent="0.25">
      <c r="D2218">
        <v>1940437</v>
      </c>
      <c r="H2218" t="s">
        <v>72</v>
      </c>
    </row>
    <row r="2219" spans="4:8" x14ac:dyDescent="0.25">
      <c r="D2219">
        <v>1940437</v>
      </c>
      <c r="H2219" t="s">
        <v>72</v>
      </c>
    </row>
    <row r="2220" spans="4:8" x14ac:dyDescent="0.25">
      <c r="D2220">
        <v>1940437</v>
      </c>
      <c r="H2220" t="s">
        <v>72</v>
      </c>
    </row>
    <row r="2221" spans="4:8" x14ac:dyDescent="0.25">
      <c r="D2221">
        <v>1940437</v>
      </c>
      <c r="H2221" t="s">
        <v>72</v>
      </c>
    </row>
    <row r="2222" spans="4:8" x14ac:dyDescent="0.25">
      <c r="D2222">
        <v>1940437</v>
      </c>
      <c r="H2222" t="s">
        <v>101</v>
      </c>
    </row>
    <row r="2223" spans="4:8" x14ac:dyDescent="0.25">
      <c r="D2223">
        <v>1940437</v>
      </c>
      <c r="H2223" t="s">
        <v>101</v>
      </c>
    </row>
    <row r="2224" spans="4:8" x14ac:dyDescent="0.25">
      <c r="D2224">
        <v>1940437</v>
      </c>
      <c r="H2224" t="s">
        <v>101</v>
      </c>
    </row>
    <row r="2225" spans="4:8" x14ac:dyDescent="0.25">
      <c r="D2225">
        <v>1940437</v>
      </c>
      <c r="H2225" t="s">
        <v>101</v>
      </c>
    </row>
    <row r="2226" spans="4:8" x14ac:dyDescent="0.25">
      <c r="D2226">
        <v>1940437</v>
      </c>
      <c r="H2226" t="s">
        <v>101</v>
      </c>
    </row>
    <row r="2227" spans="4:8" x14ac:dyDescent="0.25">
      <c r="D2227">
        <v>1940437</v>
      </c>
      <c r="H2227" t="s">
        <v>101</v>
      </c>
    </row>
    <row r="2228" spans="4:8" x14ac:dyDescent="0.25">
      <c r="D2228">
        <v>1940437</v>
      </c>
      <c r="H2228" t="s">
        <v>101</v>
      </c>
    </row>
    <row r="2229" spans="4:8" x14ac:dyDescent="0.25">
      <c r="D2229">
        <v>1940437</v>
      </c>
      <c r="H2229" t="s">
        <v>101</v>
      </c>
    </row>
    <row r="2230" spans="4:8" x14ac:dyDescent="0.25">
      <c r="D2230">
        <v>1940445</v>
      </c>
      <c r="H2230" t="s">
        <v>101</v>
      </c>
    </row>
    <row r="2231" spans="4:8" x14ac:dyDescent="0.25">
      <c r="D2231">
        <v>1940445</v>
      </c>
      <c r="H2231" t="s">
        <v>101</v>
      </c>
    </row>
    <row r="2232" spans="4:8" x14ac:dyDescent="0.25">
      <c r="D2232">
        <v>1940445</v>
      </c>
      <c r="H2232" t="s">
        <v>101</v>
      </c>
    </row>
    <row r="2233" spans="4:8" x14ac:dyDescent="0.25">
      <c r="D2233">
        <v>1940445</v>
      </c>
      <c r="H2233" t="s">
        <v>101</v>
      </c>
    </row>
    <row r="2234" spans="4:8" x14ac:dyDescent="0.25">
      <c r="D2234">
        <v>1940445</v>
      </c>
      <c r="H2234" t="s">
        <v>101</v>
      </c>
    </row>
    <row r="2235" spans="4:8" x14ac:dyDescent="0.25">
      <c r="D2235">
        <v>1940449</v>
      </c>
      <c r="H2235" t="s">
        <v>101</v>
      </c>
    </row>
    <row r="2236" spans="4:8" x14ac:dyDescent="0.25">
      <c r="D2236">
        <v>1940449</v>
      </c>
      <c r="H2236" t="s">
        <v>101</v>
      </c>
    </row>
    <row r="2237" spans="4:8" x14ac:dyDescent="0.25">
      <c r="D2237">
        <v>1940449</v>
      </c>
      <c r="H2237" t="s">
        <v>101</v>
      </c>
    </row>
    <row r="2238" spans="4:8" x14ac:dyDescent="0.25">
      <c r="D2238">
        <v>2422186</v>
      </c>
      <c r="H2238" t="s">
        <v>101</v>
      </c>
    </row>
    <row r="2239" spans="4:8" x14ac:dyDescent="0.25">
      <c r="D2239">
        <v>2422186</v>
      </c>
      <c r="H2239" t="s">
        <v>101</v>
      </c>
    </row>
    <row r="2240" spans="4:8" x14ac:dyDescent="0.25">
      <c r="D2240">
        <v>2422186</v>
      </c>
      <c r="H2240" t="s">
        <v>101</v>
      </c>
    </row>
    <row r="2241" spans="4:8" x14ac:dyDescent="0.25">
      <c r="D2241">
        <v>2422186</v>
      </c>
      <c r="H2241" t="s">
        <v>76</v>
      </c>
    </row>
    <row r="2242" spans="4:8" x14ac:dyDescent="0.25">
      <c r="D2242">
        <v>2422186</v>
      </c>
      <c r="H2242" t="s">
        <v>76</v>
      </c>
    </row>
    <row r="2243" spans="4:8" x14ac:dyDescent="0.25">
      <c r="D2243">
        <v>2422186</v>
      </c>
      <c r="H2243" t="s">
        <v>76</v>
      </c>
    </row>
    <row r="2244" spans="4:8" x14ac:dyDescent="0.25">
      <c r="D2244">
        <v>2422186</v>
      </c>
      <c r="H2244" t="s">
        <v>76</v>
      </c>
    </row>
    <row r="2245" spans="4:8" x14ac:dyDescent="0.25">
      <c r="D2245">
        <v>2422186</v>
      </c>
      <c r="H2245" t="s">
        <v>76</v>
      </c>
    </row>
    <row r="2246" spans="4:8" x14ac:dyDescent="0.25">
      <c r="D2246">
        <v>2422186</v>
      </c>
      <c r="H2246" t="s">
        <v>76</v>
      </c>
    </row>
    <row r="2247" spans="4:8" x14ac:dyDescent="0.25">
      <c r="D2247">
        <v>2422186</v>
      </c>
      <c r="H2247" t="s">
        <v>151</v>
      </c>
    </row>
    <row r="2248" spans="4:8" x14ac:dyDescent="0.25">
      <c r="D2248">
        <v>1940464</v>
      </c>
      <c r="H2248" t="s">
        <v>151</v>
      </c>
    </row>
    <row r="2249" spans="4:8" x14ac:dyDescent="0.25">
      <c r="D2249">
        <v>1940466</v>
      </c>
      <c r="H2249" t="s">
        <v>151</v>
      </c>
    </row>
    <row r="2250" spans="4:8" x14ac:dyDescent="0.25">
      <c r="D2250">
        <v>1940466</v>
      </c>
      <c r="H2250" t="s">
        <v>151</v>
      </c>
    </row>
    <row r="2251" spans="4:8" x14ac:dyDescent="0.25">
      <c r="D2251">
        <v>1940466</v>
      </c>
      <c r="H2251" t="s">
        <v>151</v>
      </c>
    </row>
    <row r="2252" spans="4:8" x14ac:dyDescent="0.25">
      <c r="D2252">
        <v>1940466</v>
      </c>
      <c r="H2252" t="s">
        <v>151</v>
      </c>
    </row>
    <row r="2253" spans="4:8" x14ac:dyDescent="0.25">
      <c r="D2253">
        <v>1940466</v>
      </c>
      <c r="H2253" t="s">
        <v>151</v>
      </c>
    </row>
    <row r="2254" spans="4:8" x14ac:dyDescent="0.25">
      <c r="D2254">
        <v>1940466</v>
      </c>
      <c r="H2254" t="s">
        <v>151</v>
      </c>
    </row>
    <row r="2255" spans="4:8" x14ac:dyDescent="0.25">
      <c r="D2255">
        <v>1940466</v>
      </c>
      <c r="H2255" t="s">
        <v>151</v>
      </c>
    </row>
    <row r="2256" spans="4:8" x14ac:dyDescent="0.25">
      <c r="D2256">
        <v>1940466</v>
      </c>
      <c r="H2256" t="s">
        <v>151</v>
      </c>
    </row>
    <row r="2257" spans="4:8" x14ac:dyDescent="0.25">
      <c r="D2257">
        <v>1940466</v>
      </c>
      <c r="H2257" t="s">
        <v>39</v>
      </c>
    </row>
    <row r="2258" spans="4:8" x14ac:dyDescent="0.25">
      <c r="D2258">
        <v>1940466</v>
      </c>
      <c r="H2258" t="s">
        <v>21</v>
      </c>
    </row>
    <row r="2259" spans="4:8" x14ac:dyDescent="0.25">
      <c r="D2259">
        <v>1940466</v>
      </c>
      <c r="H2259" t="s">
        <v>21</v>
      </c>
    </row>
    <row r="2260" spans="4:8" x14ac:dyDescent="0.25">
      <c r="D2260">
        <v>1940466</v>
      </c>
      <c r="H2260" t="s">
        <v>151</v>
      </c>
    </row>
    <row r="2261" spans="4:8" x14ac:dyDescent="0.25">
      <c r="D2261">
        <v>1940466</v>
      </c>
      <c r="H2261" t="s">
        <v>52</v>
      </c>
    </row>
    <row r="2262" spans="4:8" x14ac:dyDescent="0.25">
      <c r="D2262">
        <v>1940466</v>
      </c>
      <c r="H2262" t="s">
        <v>52</v>
      </c>
    </row>
    <row r="2263" spans="4:8" x14ac:dyDescent="0.25">
      <c r="D2263">
        <v>1940466</v>
      </c>
      <c r="H2263" t="s">
        <v>40</v>
      </c>
    </row>
    <row r="2264" spans="4:8" x14ac:dyDescent="0.25">
      <c r="D2264">
        <v>1940466</v>
      </c>
      <c r="H2264" t="s">
        <v>40</v>
      </c>
    </row>
    <row r="2265" spans="4:8" x14ac:dyDescent="0.25">
      <c r="D2265">
        <v>1940467</v>
      </c>
      <c r="H2265" t="s">
        <v>40</v>
      </c>
    </row>
    <row r="2266" spans="4:8" x14ac:dyDescent="0.25">
      <c r="D2266">
        <v>2413708</v>
      </c>
      <c r="H2266" t="s">
        <v>21</v>
      </c>
    </row>
    <row r="2267" spans="4:8" x14ac:dyDescent="0.25">
      <c r="D2267">
        <v>2413708</v>
      </c>
      <c r="H2267" t="s">
        <v>21</v>
      </c>
    </row>
    <row r="2268" spans="4:8" x14ac:dyDescent="0.25">
      <c r="D2268">
        <v>2413708</v>
      </c>
      <c r="H2268" t="s">
        <v>151</v>
      </c>
    </row>
    <row r="2269" spans="4:8" x14ac:dyDescent="0.25">
      <c r="D2269">
        <v>2413708</v>
      </c>
      <c r="H2269" t="s">
        <v>151</v>
      </c>
    </row>
    <row r="2270" spans="4:8" x14ac:dyDescent="0.25">
      <c r="D2270">
        <v>2413708</v>
      </c>
      <c r="H2270" t="s">
        <v>151</v>
      </c>
    </row>
    <row r="2271" spans="4:8" x14ac:dyDescent="0.25">
      <c r="D2271">
        <v>2413708</v>
      </c>
      <c r="H2271" t="s">
        <v>151</v>
      </c>
    </row>
    <row r="2272" spans="4:8" x14ac:dyDescent="0.25">
      <c r="D2272">
        <v>2413708</v>
      </c>
      <c r="H2272" t="s">
        <v>151</v>
      </c>
    </row>
    <row r="2273" spans="4:8" x14ac:dyDescent="0.25">
      <c r="D2273">
        <v>2413708</v>
      </c>
      <c r="H2273" t="s">
        <v>30</v>
      </c>
    </row>
    <row r="2274" spans="4:8" x14ac:dyDescent="0.25">
      <c r="D2274">
        <v>2413708</v>
      </c>
      <c r="H2274" t="s">
        <v>30</v>
      </c>
    </row>
    <row r="2275" spans="4:8" x14ac:dyDescent="0.25">
      <c r="D2275">
        <v>2413708</v>
      </c>
      <c r="H2275" t="s">
        <v>30</v>
      </c>
    </row>
    <row r="2276" spans="4:8" x14ac:dyDescent="0.25">
      <c r="D2276">
        <v>2413708</v>
      </c>
      <c r="H2276" t="s">
        <v>30</v>
      </c>
    </row>
    <row r="2277" spans="4:8" x14ac:dyDescent="0.25">
      <c r="D2277">
        <v>2413708</v>
      </c>
      <c r="H2277" t="s">
        <v>30</v>
      </c>
    </row>
    <row r="2278" spans="4:8" x14ac:dyDescent="0.25">
      <c r="D2278">
        <v>2413708</v>
      </c>
      <c r="H2278" t="s">
        <v>30</v>
      </c>
    </row>
    <row r="2279" spans="4:8" x14ac:dyDescent="0.25">
      <c r="D2279">
        <v>2413708</v>
      </c>
      <c r="H2279" t="s">
        <v>30</v>
      </c>
    </row>
    <row r="2280" spans="4:8" x14ac:dyDescent="0.25">
      <c r="D2280">
        <v>2413708</v>
      </c>
      <c r="H2280" t="s">
        <v>30</v>
      </c>
    </row>
    <row r="2281" spans="4:8" x14ac:dyDescent="0.25">
      <c r="D2281">
        <v>1940470</v>
      </c>
      <c r="H2281" t="s">
        <v>30</v>
      </c>
    </row>
    <row r="2282" spans="4:8" x14ac:dyDescent="0.25">
      <c r="D2282">
        <v>1940470</v>
      </c>
      <c r="H2282" t="s">
        <v>30</v>
      </c>
    </row>
    <row r="2283" spans="4:8" x14ac:dyDescent="0.25">
      <c r="D2283">
        <v>1940470</v>
      </c>
      <c r="H2283" t="s">
        <v>30</v>
      </c>
    </row>
    <row r="2284" spans="4:8" x14ac:dyDescent="0.25">
      <c r="D2284">
        <v>1940470</v>
      </c>
      <c r="H2284" t="s">
        <v>30</v>
      </c>
    </row>
    <row r="2285" spans="4:8" x14ac:dyDescent="0.25">
      <c r="D2285">
        <v>1940470</v>
      </c>
      <c r="H2285" t="s">
        <v>30</v>
      </c>
    </row>
    <row r="2286" spans="4:8" x14ac:dyDescent="0.25">
      <c r="D2286">
        <v>1940472</v>
      </c>
      <c r="H2286" t="s">
        <v>30</v>
      </c>
    </row>
    <row r="2287" spans="4:8" x14ac:dyDescent="0.25">
      <c r="D2287">
        <v>1940472</v>
      </c>
      <c r="H2287" t="s">
        <v>30</v>
      </c>
    </row>
    <row r="2288" spans="4:8" x14ac:dyDescent="0.25">
      <c r="D2288">
        <v>1940472</v>
      </c>
      <c r="H2288" t="s">
        <v>30</v>
      </c>
    </row>
    <row r="2289" spans="4:8" x14ac:dyDescent="0.25">
      <c r="D2289">
        <v>1940472</v>
      </c>
      <c r="H2289" t="s">
        <v>30</v>
      </c>
    </row>
    <row r="2290" spans="4:8" x14ac:dyDescent="0.25">
      <c r="D2290">
        <v>1940472</v>
      </c>
      <c r="H2290" t="s">
        <v>30</v>
      </c>
    </row>
    <row r="2291" spans="4:8" x14ac:dyDescent="0.25">
      <c r="D2291">
        <v>1940474</v>
      </c>
      <c r="H2291" t="s">
        <v>30</v>
      </c>
    </row>
    <row r="2292" spans="4:8" x14ac:dyDescent="0.25">
      <c r="D2292">
        <v>1940474</v>
      </c>
      <c r="H2292" t="s">
        <v>30</v>
      </c>
    </row>
    <row r="2293" spans="4:8" x14ac:dyDescent="0.25">
      <c r="D2293">
        <v>1940474</v>
      </c>
      <c r="H2293" t="s">
        <v>30</v>
      </c>
    </row>
    <row r="2294" spans="4:8" x14ac:dyDescent="0.25">
      <c r="D2294">
        <v>1940474</v>
      </c>
      <c r="H2294" t="s">
        <v>30</v>
      </c>
    </row>
    <row r="2295" spans="4:8" x14ac:dyDescent="0.25">
      <c r="D2295">
        <v>1940474</v>
      </c>
      <c r="H2295" t="s">
        <v>30</v>
      </c>
    </row>
    <row r="2296" spans="4:8" x14ac:dyDescent="0.25">
      <c r="D2296">
        <v>1940478</v>
      </c>
      <c r="H2296" t="s">
        <v>30</v>
      </c>
    </row>
    <row r="2297" spans="4:8" x14ac:dyDescent="0.25">
      <c r="D2297">
        <v>1940478</v>
      </c>
      <c r="H2297" t="s">
        <v>30</v>
      </c>
    </row>
    <row r="2298" spans="4:8" x14ac:dyDescent="0.25">
      <c r="D2298">
        <v>1940478</v>
      </c>
      <c r="H2298" t="s">
        <v>71</v>
      </c>
    </row>
    <row r="2299" spans="4:8" x14ac:dyDescent="0.25">
      <c r="D2299">
        <v>1940478</v>
      </c>
      <c r="H2299" t="s">
        <v>71</v>
      </c>
    </row>
    <row r="2300" spans="4:8" x14ac:dyDescent="0.25">
      <c r="D2300">
        <v>1940478</v>
      </c>
      <c r="H2300" t="s">
        <v>71</v>
      </c>
    </row>
    <row r="2301" spans="4:8" x14ac:dyDescent="0.25">
      <c r="D2301">
        <v>1940478</v>
      </c>
      <c r="H2301" t="s">
        <v>71</v>
      </c>
    </row>
    <row r="2302" spans="4:8" x14ac:dyDescent="0.25">
      <c r="D2302">
        <v>1940478</v>
      </c>
      <c r="H2302" t="s">
        <v>71</v>
      </c>
    </row>
    <row r="2303" spans="4:8" x14ac:dyDescent="0.25">
      <c r="D2303">
        <v>1940478</v>
      </c>
      <c r="H2303" t="s">
        <v>71</v>
      </c>
    </row>
    <row r="2304" spans="4:8" x14ac:dyDescent="0.25">
      <c r="D2304">
        <v>1940478</v>
      </c>
      <c r="H2304" t="s">
        <v>71</v>
      </c>
    </row>
    <row r="2305" spans="4:8" x14ac:dyDescent="0.25">
      <c r="D2305">
        <v>1940478</v>
      </c>
      <c r="H2305" t="s">
        <v>71</v>
      </c>
    </row>
    <row r="2306" spans="4:8" x14ac:dyDescent="0.25">
      <c r="D2306">
        <v>1940478</v>
      </c>
      <c r="H2306" t="s">
        <v>71</v>
      </c>
    </row>
    <row r="2307" spans="4:8" x14ac:dyDescent="0.25">
      <c r="D2307">
        <v>1940478</v>
      </c>
      <c r="H2307" t="s">
        <v>71</v>
      </c>
    </row>
    <row r="2308" spans="4:8" x14ac:dyDescent="0.25">
      <c r="D2308">
        <v>1940478</v>
      </c>
      <c r="H2308" t="s">
        <v>71</v>
      </c>
    </row>
    <row r="2309" spans="4:8" x14ac:dyDescent="0.25">
      <c r="D2309">
        <v>1940478</v>
      </c>
      <c r="H2309" t="s">
        <v>71</v>
      </c>
    </row>
    <row r="2310" spans="4:8" x14ac:dyDescent="0.25">
      <c r="D2310">
        <v>1940478</v>
      </c>
      <c r="H2310" t="s">
        <v>71</v>
      </c>
    </row>
    <row r="2311" spans="4:8" x14ac:dyDescent="0.25">
      <c r="D2311">
        <v>1940478</v>
      </c>
      <c r="H2311" t="s">
        <v>71</v>
      </c>
    </row>
    <row r="2312" spans="4:8" x14ac:dyDescent="0.25">
      <c r="D2312">
        <v>1940478</v>
      </c>
      <c r="H2312" t="s">
        <v>30</v>
      </c>
    </row>
    <row r="2313" spans="4:8" x14ac:dyDescent="0.25">
      <c r="D2313">
        <v>1940478</v>
      </c>
      <c r="H2313" t="s">
        <v>30</v>
      </c>
    </row>
    <row r="2314" spans="4:8" x14ac:dyDescent="0.25">
      <c r="D2314">
        <v>2420106</v>
      </c>
      <c r="H2314" t="s">
        <v>30</v>
      </c>
    </row>
    <row r="2315" spans="4:8" x14ac:dyDescent="0.25">
      <c r="D2315">
        <v>2420106</v>
      </c>
      <c r="H2315" t="s">
        <v>30</v>
      </c>
    </row>
    <row r="2316" spans="4:8" x14ac:dyDescent="0.25">
      <c r="D2316">
        <v>1940490</v>
      </c>
      <c r="H2316" t="s">
        <v>30</v>
      </c>
    </row>
    <row r="2317" spans="4:8" x14ac:dyDescent="0.25">
      <c r="D2317">
        <v>1940490</v>
      </c>
      <c r="H2317" t="s">
        <v>30</v>
      </c>
    </row>
    <row r="2318" spans="4:8" x14ac:dyDescent="0.25">
      <c r="D2318">
        <v>1940490</v>
      </c>
      <c r="H2318" t="s">
        <v>30</v>
      </c>
    </row>
    <row r="2319" spans="4:8" x14ac:dyDescent="0.25">
      <c r="D2319">
        <v>1940490</v>
      </c>
      <c r="H2319" t="s">
        <v>76</v>
      </c>
    </row>
    <row r="2320" spans="4:8" x14ac:dyDescent="0.25">
      <c r="D2320">
        <v>1940490</v>
      </c>
      <c r="H2320" t="s">
        <v>76</v>
      </c>
    </row>
    <row r="2321" spans="4:8" x14ac:dyDescent="0.25">
      <c r="D2321">
        <v>1940489</v>
      </c>
      <c r="H2321" t="s">
        <v>76</v>
      </c>
    </row>
    <row r="2322" spans="4:8" x14ac:dyDescent="0.25">
      <c r="D2322">
        <v>2349840</v>
      </c>
      <c r="H2322" t="s">
        <v>76</v>
      </c>
    </row>
    <row r="2323" spans="4:8" x14ac:dyDescent="0.25">
      <c r="D2323">
        <v>2349840</v>
      </c>
      <c r="H2323" t="s">
        <v>76</v>
      </c>
    </row>
    <row r="2324" spans="4:8" x14ac:dyDescent="0.25">
      <c r="D2324">
        <v>3557791</v>
      </c>
      <c r="H2324" t="s">
        <v>76</v>
      </c>
    </row>
    <row r="2325" spans="4:8" x14ac:dyDescent="0.25">
      <c r="D2325">
        <v>3557791</v>
      </c>
      <c r="H2325" t="s">
        <v>76</v>
      </c>
    </row>
    <row r="2326" spans="4:8" x14ac:dyDescent="0.25">
      <c r="D2326">
        <v>3557791</v>
      </c>
      <c r="H2326" t="s">
        <v>76</v>
      </c>
    </row>
    <row r="2327" spans="4:8" x14ac:dyDescent="0.25">
      <c r="D2327">
        <v>2431251</v>
      </c>
      <c r="H2327" t="s">
        <v>76</v>
      </c>
    </row>
    <row r="2328" spans="4:8" x14ac:dyDescent="0.25">
      <c r="D2328">
        <v>3575899</v>
      </c>
      <c r="H2328" t="s">
        <v>76</v>
      </c>
    </row>
    <row r="2329" spans="4:8" x14ac:dyDescent="0.25">
      <c r="D2329">
        <v>1940493</v>
      </c>
      <c r="H2329" t="s">
        <v>76</v>
      </c>
    </row>
    <row r="2330" spans="4:8" x14ac:dyDescent="0.25">
      <c r="D2330">
        <v>3230499</v>
      </c>
      <c r="H2330" t="s">
        <v>76</v>
      </c>
    </row>
    <row r="2331" spans="4:8" x14ac:dyDescent="0.25">
      <c r="D2331">
        <v>2402914</v>
      </c>
      <c r="H2331" t="s">
        <v>76</v>
      </c>
    </row>
    <row r="2332" spans="4:8" x14ac:dyDescent="0.25">
      <c r="D2332">
        <v>2402914</v>
      </c>
      <c r="H2332" t="s">
        <v>76</v>
      </c>
    </row>
    <row r="2333" spans="4:8" x14ac:dyDescent="0.25">
      <c r="D2333">
        <v>3442057</v>
      </c>
      <c r="H2333" t="s">
        <v>32</v>
      </c>
    </row>
    <row r="2334" spans="4:8" x14ac:dyDescent="0.25">
      <c r="D2334">
        <v>1940498</v>
      </c>
      <c r="H2334" t="s">
        <v>72</v>
      </c>
    </row>
    <row r="2335" spans="4:8" x14ac:dyDescent="0.25">
      <c r="D2335">
        <v>1940498</v>
      </c>
      <c r="H2335" t="s">
        <v>24</v>
      </c>
    </row>
    <row r="2336" spans="4:8" x14ac:dyDescent="0.25">
      <c r="D2336">
        <v>1940498</v>
      </c>
      <c r="H2336" t="s">
        <v>24</v>
      </c>
    </row>
    <row r="2337" spans="4:8" x14ac:dyDescent="0.25">
      <c r="D2337">
        <v>1940498</v>
      </c>
      <c r="H2337" t="s">
        <v>24</v>
      </c>
    </row>
    <row r="2338" spans="4:8" x14ac:dyDescent="0.25">
      <c r="D2338">
        <v>1940498</v>
      </c>
      <c r="H2338" t="s">
        <v>24</v>
      </c>
    </row>
    <row r="2339" spans="4:8" x14ac:dyDescent="0.25">
      <c r="D2339">
        <v>1940498</v>
      </c>
      <c r="H2339" t="s">
        <v>24</v>
      </c>
    </row>
    <row r="2340" spans="4:8" x14ac:dyDescent="0.25">
      <c r="D2340">
        <v>1940498</v>
      </c>
      <c r="H2340" t="s">
        <v>24</v>
      </c>
    </row>
    <row r="2341" spans="4:8" x14ac:dyDescent="0.25">
      <c r="D2341">
        <v>1940498</v>
      </c>
      <c r="H2341" t="s">
        <v>24</v>
      </c>
    </row>
    <row r="2342" spans="4:8" x14ac:dyDescent="0.25">
      <c r="D2342">
        <v>1940498</v>
      </c>
      <c r="H2342" t="s">
        <v>24</v>
      </c>
    </row>
    <row r="2343" spans="4:8" x14ac:dyDescent="0.25">
      <c r="D2343">
        <v>1940498</v>
      </c>
      <c r="H2343" t="s">
        <v>76</v>
      </c>
    </row>
    <row r="2344" spans="4:8" x14ac:dyDescent="0.25">
      <c r="D2344">
        <v>1940498</v>
      </c>
      <c r="H2344" t="s">
        <v>76</v>
      </c>
    </row>
    <row r="2345" spans="4:8" x14ac:dyDescent="0.25">
      <c r="D2345">
        <v>1940498</v>
      </c>
      <c r="H2345" t="s">
        <v>76</v>
      </c>
    </row>
    <row r="2346" spans="4:8" x14ac:dyDescent="0.25">
      <c r="D2346">
        <v>1940498</v>
      </c>
      <c r="H2346" t="s">
        <v>76</v>
      </c>
    </row>
    <row r="2347" spans="4:8" x14ac:dyDescent="0.25">
      <c r="D2347">
        <v>1940504</v>
      </c>
      <c r="H2347" t="s">
        <v>151</v>
      </c>
    </row>
    <row r="2348" spans="4:8" x14ac:dyDescent="0.25">
      <c r="D2348">
        <v>1940510</v>
      </c>
      <c r="H2348" t="s">
        <v>151</v>
      </c>
    </row>
    <row r="2349" spans="4:8" x14ac:dyDescent="0.25">
      <c r="D2349">
        <v>1940510</v>
      </c>
      <c r="H2349" t="s">
        <v>151</v>
      </c>
    </row>
    <row r="2350" spans="4:8" x14ac:dyDescent="0.25">
      <c r="D2350">
        <v>1940510</v>
      </c>
      <c r="H2350" t="s">
        <v>151</v>
      </c>
    </row>
    <row r="2351" spans="4:8" x14ac:dyDescent="0.25">
      <c r="D2351">
        <v>1940510</v>
      </c>
      <c r="H2351" t="s">
        <v>151</v>
      </c>
    </row>
    <row r="2352" spans="4:8" x14ac:dyDescent="0.25">
      <c r="D2352">
        <v>1940510</v>
      </c>
      <c r="H2352" t="s">
        <v>151</v>
      </c>
    </row>
    <row r="2353" spans="4:8" x14ac:dyDescent="0.25">
      <c r="D2353">
        <v>1940510</v>
      </c>
      <c r="H2353" t="s">
        <v>151</v>
      </c>
    </row>
    <row r="2354" spans="4:8" x14ac:dyDescent="0.25">
      <c r="D2354">
        <v>3557584</v>
      </c>
      <c r="H2354" t="s">
        <v>151</v>
      </c>
    </row>
    <row r="2355" spans="4:8" x14ac:dyDescent="0.25">
      <c r="D2355">
        <v>3230483</v>
      </c>
      <c r="H2355" t="s">
        <v>151</v>
      </c>
    </row>
    <row r="2356" spans="4:8" x14ac:dyDescent="0.25">
      <c r="D2356">
        <v>3230483</v>
      </c>
      <c r="H2356" t="s">
        <v>151</v>
      </c>
    </row>
    <row r="2357" spans="4:8" x14ac:dyDescent="0.25">
      <c r="D2357">
        <v>3230483</v>
      </c>
      <c r="H2357" t="s">
        <v>151</v>
      </c>
    </row>
    <row r="2358" spans="4:8" x14ac:dyDescent="0.25">
      <c r="D2358">
        <v>3230483</v>
      </c>
      <c r="H2358" t="s">
        <v>151</v>
      </c>
    </row>
    <row r="2359" spans="4:8" x14ac:dyDescent="0.25">
      <c r="D2359">
        <v>3230483</v>
      </c>
      <c r="H2359" t="s">
        <v>151</v>
      </c>
    </row>
    <row r="2360" spans="4:8" x14ac:dyDescent="0.25">
      <c r="D2360">
        <v>3230483</v>
      </c>
      <c r="H2360" t="s">
        <v>151</v>
      </c>
    </row>
    <row r="2361" spans="4:8" x14ac:dyDescent="0.25">
      <c r="D2361">
        <v>3230483</v>
      </c>
      <c r="H2361" t="s">
        <v>52</v>
      </c>
    </row>
    <row r="2362" spans="4:8" x14ac:dyDescent="0.25">
      <c r="D2362">
        <v>3230483</v>
      </c>
      <c r="H2362" t="s">
        <v>52</v>
      </c>
    </row>
    <row r="2363" spans="4:8" x14ac:dyDescent="0.25">
      <c r="D2363">
        <v>3230483</v>
      </c>
      <c r="H2363" t="s">
        <v>61</v>
      </c>
    </row>
    <row r="2364" spans="4:8" x14ac:dyDescent="0.25">
      <c r="D2364">
        <v>3230483</v>
      </c>
      <c r="H2364" t="s">
        <v>61</v>
      </c>
    </row>
    <row r="2365" spans="4:8" x14ac:dyDescent="0.25">
      <c r="D2365">
        <v>3230483</v>
      </c>
      <c r="H2365" t="s">
        <v>61</v>
      </c>
    </row>
    <row r="2366" spans="4:8" x14ac:dyDescent="0.25">
      <c r="D2366">
        <v>3230483</v>
      </c>
      <c r="H2366" t="s">
        <v>61</v>
      </c>
    </row>
    <row r="2367" spans="4:8" x14ac:dyDescent="0.25">
      <c r="D2367">
        <v>3230483</v>
      </c>
      <c r="H2367" t="s">
        <v>61</v>
      </c>
    </row>
    <row r="2368" spans="4:8" x14ac:dyDescent="0.25">
      <c r="D2368">
        <v>3230483</v>
      </c>
      <c r="H2368" t="s">
        <v>72</v>
      </c>
    </row>
    <row r="2369" spans="4:8" x14ac:dyDescent="0.25">
      <c r="D2369">
        <v>3230483</v>
      </c>
      <c r="H2369" t="s">
        <v>22</v>
      </c>
    </row>
    <row r="2370" spans="4:8" x14ac:dyDescent="0.25">
      <c r="D2370">
        <v>3230483</v>
      </c>
      <c r="H2370" t="s">
        <v>39</v>
      </c>
    </row>
    <row r="2371" spans="4:8" x14ac:dyDescent="0.25">
      <c r="D2371">
        <v>3230483</v>
      </c>
      <c r="H2371" t="s">
        <v>76</v>
      </c>
    </row>
    <row r="2372" spans="4:8" x14ac:dyDescent="0.25">
      <c r="D2372">
        <v>3230483</v>
      </c>
      <c r="H2372" t="s">
        <v>24</v>
      </c>
    </row>
    <row r="2373" spans="4:8" x14ac:dyDescent="0.25">
      <c r="D2373">
        <v>3230483</v>
      </c>
      <c r="H2373" t="s">
        <v>24</v>
      </c>
    </row>
    <row r="2374" spans="4:8" x14ac:dyDescent="0.25">
      <c r="D2374">
        <v>3230483</v>
      </c>
      <c r="H2374" t="s">
        <v>24</v>
      </c>
    </row>
    <row r="2375" spans="4:8" x14ac:dyDescent="0.25">
      <c r="D2375">
        <v>3230483</v>
      </c>
      <c r="H2375" t="s">
        <v>24</v>
      </c>
    </row>
    <row r="2376" spans="4:8" x14ac:dyDescent="0.25">
      <c r="D2376">
        <v>3230483</v>
      </c>
      <c r="H2376" t="s">
        <v>24</v>
      </c>
    </row>
    <row r="2377" spans="4:8" x14ac:dyDescent="0.25">
      <c r="D2377">
        <v>3230483</v>
      </c>
      <c r="H2377" t="s">
        <v>24</v>
      </c>
    </row>
    <row r="2378" spans="4:8" x14ac:dyDescent="0.25">
      <c r="D2378">
        <v>3230483</v>
      </c>
      <c r="H2378" t="s">
        <v>24</v>
      </c>
    </row>
    <row r="2379" spans="4:8" x14ac:dyDescent="0.25">
      <c r="D2379">
        <v>3572043</v>
      </c>
      <c r="H2379" t="s">
        <v>24</v>
      </c>
    </row>
    <row r="2380" spans="4:8" x14ac:dyDescent="0.25">
      <c r="D2380">
        <v>3572043</v>
      </c>
      <c r="H2380" t="s">
        <v>24</v>
      </c>
    </row>
    <row r="2381" spans="4:8" x14ac:dyDescent="0.25">
      <c r="D2381">
        <v>3572043</v>
      </c>
      <c r="H2381" t="s">
        <v>24</v>
      </c>
    </row>
    <row r="2382" spans="4:8" x14ac:dyDescent="0.25">
      <c r="D2382">
        <v>3572043</v>
      </c>
      <c r="H2382" t="s">
        <v>21</v>
      </c>
    </row>
    <row r="2383" spans="4:8" x14ac:dyDescent="0.25">
      <c r="D2383">
        <v>3572043</v>
      </c>
      <c r="H2383" t="s">
        <v>21</v>
      </c>
    </row>
    <row r="2384" spans="4:8" x14ac:dyDescent="0.25">
      <c r="D2384">
        <v>3572043</v>
      </c>
      <c r="H2384" t="s">
        <v>21</v>
      </c>
    </row>
    <row r="2385" spans="4:8" x14ac:dyDescent="0.25">
      <c r="D2385">
        <v>3572043</v>
      </c>
      <c r="H2385" t="s">
        <v>21</v>
      </c>
    </row>
    <row r="2386" spans="4:8" x14ac:dyDescent="0.25">
      <c r="D2386">
        <v>3572043</v>
      </c>
      <c r="H2386" t="s">
        <v>21</v>
      </c>
    </row>
    <row r="2387" spans="4:8" x14ac:dyDescent="0.25">
      <c r="D2387">
        <v>3572043</v>
      </c>
      <c r="H2387" t="s">
        <v>21</v>
      </c>
    </row>
    <row r="2388" spans="4:8" x14ac:dyDescent="0.25">
      <c r="D2388">
        <v>3572043</v>
      </c>
      <c r="H2388" t="s">
        <v>21</v>
      </c>
    </row>
    <row r="2389" spans="4:8" x14ac:dyDescent="0.25">
      <c r="D2389">
        <v>3572043</v>
      </c>
      <c r="H2389" t="s">
        <v>21</v>
      </c>
    </row>
    <row r="2390" spans="4:8" x14ac:dyDescent="0.25">
      <c r="D2390">
        <v>3572043</v>
      </c>
      <c r="H2390" t="s">
        <v>21</v>
      </c>
    </row>
    <row r="2391" spans="4:8" x14ac:dyDescent="0.25">
      <c r="D2391">
        <v>3572043</v>
      </c>
      <c r="H2391" t="s">
        <v>21</v>
      </c>
    </row>
    <row r="2392" spans="4:8" x14ac:dyDescent="0.25">
      <c r="D2392">
        <v>3572043</v>
      </c>
      <c r="H2392" t="s">
        <v>21</v>
      </c>
    </row>
    <row r="2393" spans="4:8" x14ac:dyDescent="0.25">
      <c r="D2393">
        <v>3230482</v>
      </c>
      <c r="H2393" t="s">
        <v>21</v>
      </c>
    </row>
    <row r="2394" spans="4:8" x14ac:dyDescent="0.25">
      <c r="D2394">
        <v>3230482</v>
      </c>
      <c r="H2394" t="s">
        <v>21</v>
      </c>
    </row>
    <row r="2395" spans="4:8" x14ac:dyDescent="0.25">
      <c r="D2395">
        <v>3230482</v>
      </c>
      <c r="H2395" t="s">
        <v>21</v>
      </c>
    </row>
    <row r="2396" spans="4:8" x14ac:dyDescent="0.25">
      <c r="D2396">
        <v>3230482</v>
      </c>
      <c r="H2396" t="s">
        <v>21</v>
      </c>
    </row>
    <row r="2397" spans="4:8" x14ac:dyDescent="0.25">
      <c r="D2397">
        <v>3230482</v>
      </c>
      <c r="H2397" t="s">
        <v>21</v>
      </c>
    </row>
    <row r="2398" spans="4:8" x14ac:dyDescent="0.25">
      <c r="D2398">
        <v>3230482</v>
      </c>
      <c r="H2398" t="s">
        <v>21</v>
      </c>
    </row>
    <row r="2399" spans="4:8" x14ac:dyDescent="0.25">
      <c r="D2399">
        <v>3230482</v>
      </c>
      <c r="H2399" t="s">
        <v>151</v>
      </c>
    </row>
    <row r="2400" spans="4:8" x14ac:dyDescent="0.25">
      <c r="D2400">
        <v>3230482</v>
      </c>
      <c r="H2400" t="s">
        <v>151</v>
      </c>
    </row>
    <row r="2401" spans="4:8" x14ac:dyDescent="0.25">
      <c r="D2401">
        <v>3230482</v>
      </c>
      <c r="H2401" t="s">
        <v>101</v>
      </c>
    </row>
    <row r="2402" spans="4:8" x14ac:dyDescent="0.25">
      <c r="D2402">
        <v>3230482</v>
      </c>
      <c r="H2402" t="s">
        <v>101</v>
      </c>
    </row>
    <row r="2403" spans="4:8" x14ac:dyDescent="0.25">
      <c r="D2403">
        <v>3230482</v>
      </c>
      <c r="H2403" t="s">
        <v>101</v>
      </c>
    </row>
    <row r="2404" spans="4:8" x14ac:dyDescent="0.25">
      <c r="D2404">
        <v>3230482</v>
      </c>
      <c r="H2404" t="s">
        <v>101</v>
      </c>
    </row>
    <row r="2405" spans="4:8" x14ac:dyDescent="0.25">
      <c r="D2405">
        <v>3230482</v>
      </c>
      <c r="H2405" t="s">
        <v>101</v>
      </c>
    </row>
    <row r="2406" spans="4:8" x14ac:dyDescent="0.25">
      <c r="D2406">
        <v>3230482</v>
      </c>
      <c r="H2406" t="s">
        <v>101</v>
      </c>
    </row>
    <row r="2407" spans="4:8" x14ac:dyDescent="0.25">
      <c r="D2407">
        <v>3230482</v>
      </c>
      <c r="H2407" t="s">
        <v>101</v>
      </c>
    </row>
    <row r="2408" spans="4:8" x14ac:dyDescent="0.25">
      <c r="D2408">
        <v>3230482</v>
      </c>
      <c r="H2408" t="s">
        <v>124</v>
      </c>
    </row>
    <row r="2409" spans="4:8" x14ac:dyDescent="0.25">
      <c r="D2409">
        <v>3230482</v>
      </c>
      <c r="H2409" t="s">
        <v>124</v>
      </c>
    </row>
    <row r="2410" spans="4:8" x14ac:dyDescent="0.25">
      <c r="D2410">
        <v>3230482</v>
      </c>
      <c r="H2410" t="s">
        <v>124</v>
      </c>
    </row>
    <row r="2411" spans="4:8" x14ac:dyDescent="0.25">
      <c r="D2411">
        <v>3230482</v>
      </c>
      <c r="H2411" t="s">
        <v>124</v>
      </c>
    </row>
    <row r="2412" spans="4:8" x14ac:dyDescent="0.25">
      <c r="D2412">
        <v>3230482</v>
      </c>
      <c r="H2412" t="s">
        <v>124</v>
      </c>
    </row>
    <row r="2413" spans="4:8" x14ac:dyDescent="0.25">
      <c r="D2413">
        <v>3230482</v>
      </c>
      <c r="H2413" t="s">
        <v>124</v>
      </c>
    </row>
    <row r="2414" spans="4:8" x14ac:dyDescent="0.25">
      <c r="D2414">
        <v>3230482</v>
      </c>
      <c r="H2414" t="s">
        <v>124</v>
      </c>
    </row>
    <row r="2415" spans="4:8" x14ac:dyDescent="0.25">
      <c r="D2415">
        <v>3230482</v>
      </c>
      <c r="H2415" t="s">
        <v>124</v>
      </c>
    </row>
    <row r="2416" spans="4:8" x14ac:dyDescent="0.25">
      <c r="D2416">
        <v>3230482</v>
      </c>
      <c r="H2416" t="s">
        <v>124</v>
      </c>
    </row>
    <row r="2417" spans="4:8" x14ac:dyDescent="0.25">
      <c r="D2417">
        <v>3230482</v>
      </c>
      <c r="H2417" t="s">
        <v>124</v>
      </c>
    </row>
    <row r="2418" spans="4:8" x14ac:dyDescent="0.25">
      <c r="D2418">
        <v>3230482</v>
      </c>
      <c r="H2418" t="s">
        <v>124</v>
      </c>
    </row>
    <row r="2419" spans="4:8" x14ac:dyDescent="0.25">
      <c r="D2419">
        <v>3230482</v>
      </c>
      <c r="H2419" t="s">
        <v>124</v>
      </c>
    </row>
    <row r="2420" spans="4:8" x14ac:dyDescent="0.25">
      <c r="D2420">
        <v>3230482</v>
      </c>
      <c r="H2420" t="s">
        <v>124</v>
      </c>
    </row>
    <row r="2421" spans="4:8" x14ac:dyDescent="0.25">
      <c r="D2421">
        <v>3230484</v>
      </c>
      <c r="H2421" t="s">
        <v>124</v>
      </c>
    </row>
    <row r="2422" spans="4:8" x14ac:dyDescent="0.25">
      <c r="D2422">
        <v>3230484</v>
      </c>
      <c r="H2422" t="s">
        <v>124</v>
      </c>
    </row>
    <row r="2423" spans="4:8" x14ac:dyDescent="0.25">
      <c r="D2423">
        <v>3230484</v>
      </c>
      <c r="H2423" t="s">
        <v>124</v>
      </c>
    </row>
    <row r="2424" spans="4:8" x14ac:dyDescent="0.25">
      <c r="D2424">
        <v>3230484</v>
      </c>
      <c r="H2424" t="s">
        <v>124</v>
      </c>
    </row>
    <row r="2425" spans="4:8" x14ac:dyDescent="0.25">
      <c r="D2425">
        <v>3230484</v>
      </c>
      <c r="H2425" t="s">
        <v>124</v>
      </c>
    </row>
    <row r="2426" spans="4:8" x14ac:dyDescent="0.25">
      <c r="D2426">
        <v>3230484</v>
      </c>
      <c r="H2426" t="s">
        <v>124</v>
      </c>
    </row>
    <row r="2427" spans="4:8" x14ac:dyDescent="0.25">
      <c r="D2427">
        <v>3230484</v>
      </c>
      <c r="H2427" t="s">
        <v>124</v>
      </c>
    </row>
    <row r="2428" spans="4:8" x14ac:dyDescent="0.25">
      <c r="D2428">
        <v>3230484</v>
      </c>
      <c r="H2428" t="s">
        <v>124</v>
      </c>
    </row>
    <row r="2429" spans="4:8" x14ac:dyDescent="0.25">
      <c r="D2429">
        <v>3230484</v>
      </c>
      <c r="H2429" t="s">
        <v>124</v>
      </c>
    </row>
    <row r="2430" spans="4:8" x14ac:dyDescent="0.25">
      <c r="D2430">
        <v>3230484</v>
      </c>
      <c r="H2430" t="s">
        <v>124</v>
      </c>
    </row>
    <row r="2431" spans="4:8" x14ac:dyDescent="0.25">
      <c r="D2431">
        <v>3230484</v>
      </c>
      <c r="H2431" t="s">
        <v>124</v>
      </c>
    </row>
    <row r="2432" spans="4:8" x14ac:dyDescent="0.25">
      <c r="D2432">
        <v>3230484</v>
      </c>
      <c r="H2432" t="s">
        <v>124</v>
      </c>
    </row>
    <row r="2433" spans="4:8" x14ac:dyDescent="0.25">
      <c r="D2433">
        <v>3230484</v>
      </c>
      <c r="H2433" t="s">
        <v>124</v>
      </c>
    </row>
    <row r="2434" spans="4:8" x14ac:dyDescent="0.25">
      <c r="D2434">
        <v>3230484</v>
      </c>
      <c r="H2434" t="s">
        <v>124</v>
      </c>
    </row>
    <row r="2435" spans="4:8" x14ac:dyDescent="0.25">
      <c r="D2435">
        <v>3230484</v>
      </c>
      <c r="H2435" t="s">
        <v>124</v>
      </c>
    </row>
    <row r="2436" spans="4:8" x14ac:dyDescent="0.25">
      <c r="D2436">
        <v>3230484</v>
      </c>
      <c r="H2436" t="s">
        <v>124</v>
      </c>
    </row>
    <row r="2437" spans="4:8" x14ac:dyDescent="0.25">
      <c r="D2437">
        <v>3230484</v>
      </c>
      <c r="H2437" t="s">
        <v>124</v>
      </c>
    </row>
    <row r="2438" spans="4:8" x14ac:dyDescent="0.25">
      <c r="D2438">
        <v>3230484</v>
      </c>
      <c r="H2438" t="s">
        <v>124</v>
      </c>
    </row>
    <row r="2439" spans="4:8" x14ac:dyDescent="0.25">
      <c r="D2439">
        <v>3230484</v>
      </c>
      <c r="H2439" t="s">
        <v>124</v>
      </c>
    </row>
    <row r="2440" spans="4:8" x14ac:dyDescent="0.25">
      <c r="D2440">
        <v>3230484</v>
      </c>
      <c r="H2440" t="s">
        <v>124</v>
      </c>
    </row>
    <row r="2441" spans="4:8" x14ac:dyDescent="0.25">
      <c r="D2441">
        <v>3230484</v>
      </c>
      <c r="H2441" t="s">
        <v>124</v>
      </c>
    </row>
    <row r="2442" spans="4:8" x14ac:dyDescent="0.25">
      <c r="D2442">
        <v>3230484</v>
      </c>
      <c r="H2442" t="s">
        <v>124</v>
      </c>
    </row>
    <row r="2443" spans="4:8" x14ac:dyDescent="0.25">
      <c r="D2443">
        <v>3230484</v>
      </c>
      <c r="H2443" t="s">
        <v>124</v>
      </c>
    </row>
    <row r="2444" spans="4:8" x14ac:dyDescent="0.25">
      <c r="D2444">
        <v>3230484</v>
      </c>
      <c r="H2444" t="s">
        <v>124</v>
      </c>
    </row>
    <row r="2445" spans="4:8" x14ac:dyDescent="0.25">
      <c r="D2445">
        <v>3230484</v>
      </c>
      <c r="H2445" t="s">
        <v>124</v>
      </c>
    </row>
    <row r="2446" spans="4:8" x14ac:dyDescent="0.25">
      <c r="D2446">
        <v>3230484</v>
      </c>
      <c r="H2446" t="s">
        <v>124</v>
      </c>
    </row>
    <row r="2447" spans="4:8" x14ac:dyDescent="0.25">
      <c r="D2447">
        <v>3230484</v>
      </c>
      <c r="H2447" t="s">
        <v>124</v>
      </c>
    </row>
    <row r="2448" spans="4:8" x14ac:dyDescent="0.25">
      <c r="D2448">
        <v>3230484</v>
      </c>
      <c r="H2448" t="s">
        <v>124</v>
      </c>
    </row>
    <row r="2449" spans="4:8" x14ac:dyDescent="0.25">
      <c r="D2449">
        <v>3572044</v>
      </c>
      <c r="H2449" t="s">
        <v>124</v>
      </c>
    </row>
    <row r="2450" spans="4:8" x14ac:dyDescent="0.25">
      <c r="D2450">
        <v>3752128</v>
      </c>
      <c r="H2450" t="s">
        <v>124</v>
      </c>
    </row>
    <row r="2451" spans="4:8" x14ac:dyDescent="0.25">
      <c r="D2451">
        <v>1940538</v>
      </c>
      <c r="H2451" t="s">
        <v>124</v>
      </c>
    </row>
    <row r="2452" spans="4:8" x14ac:dyDescent="0.25">
      <c r="D2452">
        <v>1940538</v>
      </c>
      <c r="H2452" t="s">
        <v>124</v>
      </c>
    </row>
    <row r="2453" spans="4:8" x14ac:dyDescent="0.25">
      <c r="D2453">
        <v>1940538</v>
      </c>
      <c r="H2453" t="s">
        <v>124</v>
      </c>
    </row>
    <row r="2454" spans="4:8" x14ac:dyDescent="0.25">
      <c r="D2454">
        <v>1940538</v>
      </c>
      <c r="H2454" t="s">
        <v>124</v>
      </c>
    </row>
    <row r="2455" spans="4:8" x14ac:dyDescent="0.25">
      <c r="D2455">
        <v>1940538</v>
      </c>
      <c r="H2455" t="s">
        <v>124</v>
      </c>
    </row>
    <row r="2456" spans="4:8" x14ac:dyDescent="0.25">
      <c r="D2456">
        <v>435963</v>
      </c>
      <c r="H2456" t="s">
        <v>124</v>
      </c>
    </row>
    <row r="2457" spans="4:8" x14ac:dyDescent="0.25">
      <c r="D2457">
        <v>435963</v>
      </c>
      <c r="H2457" t="s">
        <v>124</v>
      </c>
    </row>
    <row r="2458" spans="4:8" x14ac:dyDescent="0.25">
      <c r="D2458">
        <v>435963</v>
      </c>
      <c r="H2458" t="s">
        <v>124</v>
      </c>
    </row>
    <row r="2459" spans="4:8" x14ac:dyDescent="0.25">
      <c r="D2459">
        <v>3675671</v>
      </c>
      <c r="H2459" t="s">
        <v>124</v>
      </c>
    </row>
    <row r="2460" spans="4:8" x14ac:dyDescent="0.25">
      <c r="D2460">
        <v>3675672</v>
      </c>
      <c r="H2460" t="s">
        <v>124</v>
      </c>
    </row>
    <row r="2461" spans="4:8" x14ac:dyDescent="0.25">
      <c r="D2461">
        <v>3605862</v>
      </c>
      <c r="H2461" t="s">
        <v>124</v>
      </c>
    </row>
    <row r="2462" spans="4:8" x14ac:dyDescent="0.25">
      <c r="D2462">
        <v>1940545</v>
      </c>
      <c r="H2462" t="s">
        <v>124</v>
      </c>
    </row>
    <row r="2463" spans="4:8" x14ac:dyDescent="0.25">
      <c r="D2463">
        <v>1940545</v>
      </c>
      <c r="H2463" t="s">
        <v>124</v>
      </c>
    </row>
    <row r="2464" spans="4:8" x14ac:dyDescent="0.25">
      <c r="D2464">
        <v>2371410</v>
      </c>
      <c r="H2464" t="s">
        <v>124</v>
      </c>
    </row>
    <row r="2465" spans="4:8" x14ac:dyDescent="0.25">
      <c r="D2465">
        <v>2371410</v>
      </c>
      <c r="H2465" t="s">
        <v>124</v>
      </c>
    </row>
    <row r="2466" spans="4:8" x14ac:dyDescent="0.25">
      <c r="D2466">
        <v>3501900</v>
      </c>
      <c r="H2466" t="s">
        <v>124</v>
      </c>
    </row>
    <row r="2467" spans="4:8" x14ac:dyDescent="0.25">
      <c r="D2467">
        <v>3501900</v>
      </c>
      <c r="H2467" t="s">
        <v>124</v>
      </c>
    </row>
    <row r="2468" spans="4:8" x14ac:dyDescent="0.25">
      <c r="D2468">
        <v>3501900</v>
      </c>
      <c r="H2468" t="s">
        <v>124</v>
      </c>
    </row>
    <row r="2469" spans="4:8" x14ac:dyDescent="0.25">
      <c r="D2469">
        <v>3501900</v>
      </c>
      <c r="H2469" t="s">
        <v>124</v>
      </c>
    </row>
    <row r="2470" spans="4:8" x14ac:dyDescent="0.25">
      <c r="D2470">
        <v>3501900</v>
      </c>
      <c r="H2470" t="s">
        <v>124</v>
      </c>
    </row>
    <row r="2471" spans="4:8" x14ac:dyDescent="0.25">
      <c r="D2471">
        <v>3501900</v>
      </c>
      <c r="H2471" t="s">
        <v>124</v>
      </c>
    </row>
    <row r="2472" spans="4:8" x14ac:dyDescent="0.25">
      <c r="D2472">
        <v>3556885</v>
      </c>
      <c r="H2472" t="s">
        <v>124</v>
      </c>
    </row>
    <row r="2473" spans="4:8" x14ac:dyDescent="0.25">
      <c r="D2473">
        <v>3556885</v>
      </c>
      <c r="H2473" t="s">
        <v>124</v>
      </c>
    </row>
    <row r="2474" spans="4:8" x14ac:dyDescent="0.25">
      <c r="D2474">
        <v>3556885</v>
      </c>
      <c r="H2474" t="s">
        <v>124</v>
      </c>
    </row>
    <row r="2475" spans="4:8" x14ac:dyDescent="0.25">
      <c r="D2475">
        <v>3556885</v>
      </c>
      <c r="H2475" t="s">
        <v>124</v>
      </c>
    </row>
    <row r="2476" spans="4:8" x14ac:dyDescent="0.25">
      <c r="D2476">
        <v>3556885</v>
      </c>
      <c r="H2476" t="s">
        <v>124</v>
      </c>
    </row>
    <row r="2477" spans="4:8" x14ac:dyDescent="0.25">
      <c r="D2477">
        <v>3556885</v>
      </c>
      <c r="H2477" t="s">
        <v>124</v>
      </c>
    </row>
    <row r="2478" spans="4:8" x14ac:dyDescent="0.25">
      <c r="D2478">
        <v>3556885</v>
      </c>
      <c r="H2478" t="s">
        <v>124</v>
      </c>
    </row>
    <row r="2479" spans="4:8" x14ac:dyDescent="0.25">
      <c r="D2479">
        <v>3556885</v>
      </c>
      <c r="H2479" t="s">
        <v>124</v>
      </c>
    </row>
    <row r="2480" spans="4:8" x14ac:dyDescent="0.25">
      <c r="D2480">
        <v>3556885</v>
      </c>
      <c r="H2480" t="s">
        <v>124</v>
      </c>
    </row>
    <row r="2481" spans="4:8" x14ac:dyDescent="0.25">
      <c r="D2481">
        <v>3556885</v>
      </c>
      <c r="H2481" t="s">
        <v>124</v>
      </c>
    </row>
    <row r="2482" spans="4:8" x14ac:dyDescent="0.25">
      <c r="D2482">
        <v>3557792</v>
      </c>
      <c r="H2482" t="s">
        <v>124</v>
      </c>
    </row>
    <row r="2483" spans="4:8" x14ac:dyDescent="0.25">
      <c r="D2483">
        <v>3557792</v>
      </c>
      <c r="H2483" t="s">
        <v>124</v>
      </c>
    </row>
    <row r="2484" spans="4:8" x14ac:dyDescent="0.25">
      <c r="D2484">
        <v>3557792</v>
      </c>
      <c r="H2484" t="s">
        <v>124</v>
      </c>
    </row>
    <row r="2485" spans="4:8" x14ac:dyDescent="0.25">
      <c r="D2485">
        <v>3557792</v>
      </c>
      <c r="H2485" t="s">
        <v>124</v>
      </c>
    </row>
    <row r="2486" spans="4:8" x14ac:dyDescent="0.25">
      <c r="D2486">
        <v>3557792</v>
      </c>
      <c r="H2486" t="s">
        <v>124</v>
      </c>
    </row>
    <row r="2487" spans="4:8" x14ac:dyDescent="0.25">
      <c r="D2487">
        <v>3557792</v>
      </c>
      <c r="H2487" t="s">
        <v>124</v>
      </c>
    </row>
    <row r="2488" spans="4:8" x14ac:dyDescent="0.25">
      <c r="D2488">
        <v>3557792</v>
      </c>
      <c r="H2488" t="s">
        <v>124</v>
      </c>
    </row>
    <row r="2489" spans="4:8" x14ac:dyDescent="0.25">
      <c r="D2489">
        <v>438186</v>
      </c>
      <c r="H2489" t="s">
        <v>124</v>
      </c>
    </row>
    <row r="2490" spans="4:8" x14ac:dyDescent="0.25">
      <c r="D2490">
        <v>1903091</v>
      </c>
      <c r="H2490" t="s">
        <v>124</v>
      </c>
    </row>
    <row r="2491" spans="4:8" x14ac:dyDescent="0.25">
      <c r="D2491">
        <v>1903091</v>
      </c>
      <c r="H2491" t="s">
        <v>124</v>
      </c>
    </row>
    <row r="2492" spans="4:8" x14ac:dyDescent="0.25">
      <c r="D2492">
        <v>3732180</v>
      </c>
      <c r="H2492" t="s">
        <v>124</v>
      </c>
    </row>
    <row r="2493" spans="4:8" x14ac:dyDescent="0.25">
      <c r="D2493">
        <v>3732180</v>
      </c>
      <c r="H2493" t="s">
        <v>124</v>
      </c>
    </row>
    <row r="2494" spans="4:8" x14ac:dyDescent="0.25">
      <c r="D2494">
        <v>3732180</v>
      </c>
      <c r="H2494" t="s">
        <v>124</v>
      </c>
    </row>
    <row r="2495" spans="4:8" x14ac:dyDescent="0.25">
      <c r="D2495">
        <v>3732180</v>
      </c>
      <c r="H2495" t="s">
        <v>124</v>
      </c>
    </row>
    <row r="2496" spans="4:8" x14ac:dyDescent="0.25">
      <c r="D2496">
        <v>3732180</v>
      </c>
      <c r="H2496" t="s">
        <v>124</v>
      </c>
    </row>
    <row r="2497" spans="4:8" x14ac:dyDescent="0.25">
      <c r="D2497">
        <v>3732180</v>
      </c>
      <c r="H2497" t="s">
        <v>124</v>
      </c>
    </row>
    <row r="2498" spans="4:8" x14ac:dyDescent="0.25">
      <c r="D2498">
        <v>3732180</v>
      </c>
      <c r="H2498" t="s">
        <v>124</v>
      </c>
    </row>
    <row r="2499" spans="4:8" x14ac:dyDescent="0.25">
      <c r="D2499">
        <v>3732180</v>
      </c>
      <c r="H2499" t="s">
        <v>124</v>
      </c>
    </row>
    <row r="2500" spans="4:8" x14ac:dyDescent="0.25">
      <c r="D2500">
        <v>3732180</v>
      </c>
      <c r="H2500" t="s">
        <v>124</v>
      </c>
    </row>
    <row r="2501" spans="4:8" x14ac:dyDescent="0.25">
      <c r="D2501">
        <v>3732180</v>
      </c>
      <c r="H2501" t="s">
        <v>124</v>
      </c>
    </row>
    <row r="2502" spans="4:8" x14ac:dyDescent="0.25">
      <c r="D2502">
        <v>3732180</v>
      </c>
      <c r="H2502" t="s">
        <v>124</v>
      </c>
    </row>
    <row r="2503" spans="4:8" x14ac:dyDescent="0.25">
      <c r="D2503">
        <v>3732180</v>
      </c>
      <c r="H2503" t="s">
        <v>124</v>
      </c>
    </row>
    <row r="2504" spans="4:8" x14ac:dyDescent="0.25">
      <c r="D2504">
        <v>1119129</v>
      </c>
    </row>
    <row r="2505" spans="4:8" x14ac:dyDescent="0.25">
      <c r="D2505">
        <v>1119129</v>
      </c>
    </row>
    <row r="2506" spans="4:8" x14ac:dyDescent="0.25">
      <c r="D2506">
        <v>1119129</v>
      </c>
    </row>
    <row r="2507" spans="4:8" x14ac:dyDescent="0.25">
      <c r="D2507">
        <v>1940562</v>
      </c>
    </row>
    <row r="2508" spans="4:8" x14ac:dyDescent="0.25">
      <c r="D2508">
        <v>1940562</v>
      </c>
    </row>
    <row r="2509" spans="4:8" x14ac:dyDescent="0.25">
      <c r="D2509">
        <v>1940562</v>
      </c>
    </row>
    <row r="2510" spans="4:8" x14ac:dyDescent="0.25">
      <c r="D2510">
        <v>1940562</v>
      </c>
    </row>
    <row r="2511" spans="4:8" x14ac:dyDescent="0.25">
      <c r="D2511">
        <v>1940562</v>
      </c>
    </row>
    <row r="2512" spans="4:8" x14ac:dyDescent="0.25">
      <c r="D2512">
        <v>1940562</v>
      </c>
    </row>
    <row r="2513" spans="4:4" x14ac:dyDescent="0.25">
      <c r="D2513">
        <v>249132</v>
      </c>
    </row>
    <row r="2514" spans="4:4" x14ac:dyDescent="0.25">
      <c r="D2514">
        <v>249132</v>
      </c>
    </row>
    <row r="2515" spans="4:4" x14ac:dyDescent="0.25">
      <c r="D2515">
        <v>249132</v>
      </c>
    </row>
    <row r="2516" spans="4:4" x14ac:dyDescent="0.25">
      <c r="D2516">
        <v>249132</v>
      </c>
    </row>
    <row r="2517" spans="4:4" x14ac:dyDescent="0.25">
      <c r="D2517">
        <v>249132</v>
      </c>
    </row>
    <row r="2518" spans="4:4" x14ac:dyDescent="0.25">
      <c r="D2518">
        <v>249132</v>
      </c>
    </row>
    <row r="2519" spans="4:4" x14ac:dyDescent="0.25">
      <c r="D2519">
        <v>3677047</v>
      </c>
    </row>
    <row r="2520" spans="4:4" x14ac:dyDescent="0.25">
      <c r="D2520">
        <v>3677047</v>
      </c>
    </row>
    <row r="2521" spans="4:4" x14ac:dyDescent="0.25">
      <c r="D2521">
        <v>3677047</v>
      </c>
    </row>
    <row r="2522" spans="4:4" x14ac:dyDescent="0.25">
      <c r="D2522">
        <v>1448370</v>
      </c>
    </row>
    <row r="2523" spans="4:4" x14ac:dyDescent="0.25">
      <c r="D2523">
        <v>3551623</v>
      </c>
    </row>
    <row r="2524" spans="4:4" x14ac:dyDescent="0.25">
      <c r="D2524">
        <v>2400891</v>
      </c>
    </row>
    <row r="2525" spans="4:4" x14ac:dyDescent="0.25">
      <c r="D2525">
        <v>2400891</v>
      </c>
    </row>
    <row r="2526" spans="4:4" x14ac:dyDescent="0.25">
      <c r="D2526">
        <v>2400891</v>
      </c>
    </row>
    <row r="2527" spans="4:4" x14ac:dyDescent="0.25">
      <c r="D2527">
        <v>2400891</v>
      </c>
    </row>
    <row r="2528" spans="4:4" x14ac:dyDescent="0.25">
      <c r="D2528">
        <v>2400891</v>
      </c>
    </row>
    <row r="2529" spans="4:4" x14ac:dyDescent="0.25">
      <c r="D2529">
        <v>2400891</v>
      </c>
    </row>
    <row r="2530" spans="4:4" x14ac:dyDescent="0.25">
      <c r="D2530">
        <v>3727130</v>
      </c>
    </row>
    <row r="2531" spans="4:4" x14ac:dyDescent="0.25">
      <c r="D2531">
        <v>2409618</v>
      </c>
    </row>
    <row r="2532" spans="4:4" x14ac:dyDescent="0.25">
      <c r="D2532">
        <v>2409618</v>
      </c>
    </row>
    <row r="2533" spans="4:4" x14ac:dyDescent="0.25">
      <c r="D2533">
        <v>2409618</v>
      </c>
    </row>
    <row r="2534" spans="4:4" x14ac:dyDescent="0.25">
      <c r="D2534">
        <v>2409618</v>
      </c>
    </row>
    <row r="2535" spans="4:4" x14ac:dyDescent="0.25">
      <c r="D2535">
        <v>2409618</v>
      </c>
    </row>
    <row r="2536" spans="4:4" x14ac:dyDescent="0.25">
      <c r="D2536">
        <v>2409618</v>
      </c>
    </row>
    <row r="2537" spans="4:4" x14ac:dyDescent="0.25">
      <c r="D2537">
        <v>2409618</v>
      </c>
    </row>
    <row r="2538" spans="4:4" x14ac:dyDescent="0.25">
      <c r="D2538">
        <v>2409618</v>
      </c>
    </row>
    <row r="2539" spans="4:4" x14ac:dyDescent="0.25">
      <c r="D2539">
        <v>2409618</v>
      </c>
    </row>
    <row r="2540" spans="4:4" x14ac:dyDescent="0.25">
      <c r="D2540">
        <v>2409618</v>
      </c>
    </row>
    <row r="2541" spans="4:4" x14ac:dyDescent="0.25">
      <c r="D2541">
        <v>2409618</v>
      </c>
    </row>
    <row r="2542" spans="4:4" x14ac:dyDescent="0.25">
      <c r="D2542">
        <v>2409618</v>
      </c>
    </row>
    <row r="2543" spans="4:4" x14ac:dyDescent="0.25">
      <c r="D2543">
        <v>2409618</v>
      </c>
    </row>
    <row r="2544" spans="4:4" x14ac:dyDescent="0.25">
      <c r="D2544">
        <v>1940571</v>
      </c>
    </row>
    <row r="2545" spans="4:4" x14ac:dyDescent="0.25">
      <c r="D2545">
        <v>3500097</v>
      </c>
    </row>
    <row r="2546" spans="4:4" x14ac:dyDescent="0.25">
      <c r="D2546">
        <v>3500097</v>
      </c>
    </row>
    <row r="2547" spans="4:4" x14ac:dyDescent="0.25">
      <c r="D2547">
        <v>3500097</v>
      </c>
    </row>
    <row r="2548" spans="4:4" x14ac:dyDescent="0.25">
      <c r="D2548">
        <v>3500097</v>
      </c>
    </row>
    <row r="2549" spans="4:4" x14ac:dyDescent="0.25">
      <c r="D2549">
        <v>3500097</v>
      </c>
    </row>
    <row r="2550" spans="4:4" x14ac:dyDescent="0.25">
      <c r="D2550">
        <v>3500097</v>
      </c>
    </row>
    <row r="2551" spans="4:4" x14ac:dyDescent="0.25">
      <c r="D2551">
        <v>3500097</v>
      </c>
    </row>
    <row r="2552" spans="4:4" x14ac:dyDescent="0.25">
      <c r="D2552">
        <v>3500097</v>
      </c>
    </row>
    <row r="2553" spans="4:4" x14ac:dyDescent="0.25">
      <c r="D2553">
        <v>3500097</v>
      </c>
    </row>
    <row r="2554" spans="4:4" x14ac:dyDescent="0.25">
      <c r="D2554">
        <v>3500097</v>
      </c>
    </row>
    <row r="2555" spans="4:4" x14ac:dyDescent="0.25">
      <c r="D2555">
        <v>3500097</v>
      </c>
    </row>
    <row r="2556" spans="4:4" x14ac:dyDescent="0.25">
      <c r="D2556">
        <v>3500097</v>
      </c>
    </row>
    <row r="2557" spans="4:4" x14ac:dyDescent="0.25">
      <c r="D2557">
        <v>3500097</v>
      </c>
    </row>
    <row r="2558" spans="4:4" x14ac:dyDescent="0.25">
      <c r="D2558">
        <v>3500097</v>
      </c>
    </row>
    <row r="2559" spans="4:4" x14ac:dyDescent="0.25">
      <c r="D2559">
        <v>1940574</v>
      </c>
    </row>
    <row r="2560" spans="4:4" x14ac:dyDescent="0.25">
      <c r="D2560">
        <v>1940584</v>
      </c>
    </row>
    <row r="2561" spans="4:4" x14ac:dyDescent="0.25">
      <c r="D2561">
        <v>1940584</v>
      </c>
    </row>
    <row r="2562" spans="4:4" x14ac:dyDescent="0.25">
      <c r="D2562">
        <v>1940584</v>
      </c>
    </row>
    <row r="2563" spans="4:4" x14ac:dyDescent="0.25">
      <c r="D2563">
        <v>1940584</v>
      </c>
    </row>
    <row r="2564" spans="4:4" x14ac:dyDescent="0.25">
      <c r="D2564">
        <v>1940584</v>
      </c>
    </row>
    <row r="2565" spans="4:4" x14ac:dyDescent="0.25">
      <c r="D2565">
        <v>1940584</v>
      </c>
    </row>
    <row r="2566" spans="4:4" x14ac:dyDescent="0.25">
      <c r="D2566">
        <v>1940584</v>
      </c>
    </row>
    <row r="2567" spans="4:4" x14ac:dyDescent="0.25">
      <c r="D2567">
        <v>1940584</v>
      </c>
    </row>
    <row r="2568" spans="4:4" x14ac:dyDescent="0.25">
      <c r="D2568">
        <v>1940584</v>
      </c>
    </row>
    <row r="2569" spans="4:4" x14ac:dyDescent="0.25">
      <c r="D2569">
        <v>299981</v>
      </c>
    </row>
    <row r="2570" spans="4:4" x14ac:dyDescent="0.25">
      <c r="D2570">
        <v>3506206</v>
      </c>
    </row>
    <row r="2571" spans="4:4" x14ac:dyDescent="0.25">
      <c r="D2571">
        <v>1413976</v>
      </c>
    </row>
    <row r="2572" spans="4:4" x14ac:dyDescent="0.25">
      <c r="D2572">
        <v>3508859</v>
      </c>
    </row>
    <row r="2573" spans="4:4" x14ac:dyDescent="0.25">
      <c r="D2573">
        <v>3209978</v>
      </c>
    </row>
    <row r="2574" spans="4:4" x14ac:dyDescent="0.25">
      <c r="D2574">
        <v>1940588</v>
      </c>
    </row>
    <row r="2575" spans="4:4" x14ac:dyDescent="0.25">
      <c r="D2575">
        <v>1940588</v>
      </c>
    </row>
    <row r="2576" spans="4:4" x14ac:dyDescent="0.25">
      <c r="D2576">
        <v>1940588</v>
      </c>
    </row>
    <row r="2577" spans="4:4" x14ac:dyDescent="0.25">
      <c r="D2577">
        <v>1940588</v>
      </c>
    </row>
    <row r="2578" spans="4:4" x14ac:dyDescent="0.25">
      <c r="D2578">
        <v>1940588</v>
      </c>
    </row>
    <row r="2579" spans="4:4" x14ac:dyDescent="0.25">
      <c r="D2579">
        <v>1940588</v>
      </c>
    </row>
    <row r="2580" spans="4:4" x14ac:dyDescent="0.25">
      <c r="D2580">
        <v>1940588</v>
      </c>
    </row>
    <row r="2581" spans="4:4" x14ac:dyDescent="0.25">
      <c r="D2581">
        <v>1940588</v>
      </c>
    </row>
    <row r="2582" spans="4:4" x14ac:dyDescent="0.25">
      <c r="D2582">
        <v>1940588</v>
      </c>
    </row>
    <row r="2583" spans="4:4" x14ac:dyDescent="0.25">
      <c r="D2583">
        <v>1940588</v>
      </c>
    </row>
    <row r="2584" spans="4:4" x14ac:dyDescent="0.25">
      <c r="D2584">
        <v>1940588</v>
      </c>
    </row>
    <row r="2585" spans="4:4" x14ac:dyDescent="0.25">
      <c r="D2585">
        <v>1940588</v>
      </c>
    </row>
    <row r="2586" spans="4:4" x14ac:dyDescent="0.25">
      <c r="D2586">
        <v>1940588</v>
      </c>
    </row>
    <row r="2587" spans="4:4" x14ac:dyDescent="0.25">
      <c r="D2587">
        <v>1940588</v>
      </c>
    </row>
    <row r="2588" spans="4:4" x14ac:dyDescent="0.25">
      <c r="D2588">
        <v>1940588</v>
      </c>
    </row>
    <row r="2589" spans="4:4" x14ac:dyDescent="0.25">
      <c r="D2589">
        <v>1940588</v>
      </c>
    </row>
    <row r="2590" spans="4:4" x14ac:dyDescent="0.25">
      <c r="D2590">
        <v>1940588</v>
      </c>
    </row>
    <row r="2591" spans="4:4" x14ac:dyDescent="0.25">
      <c r="D2591">
        <v>1940588</v>
      </c>
    </row>
    <row r="2592" spans="4:4" x14ac:dyDescent="0.25">
      <c r="D2592">
        <v>1940588</v>
      </c>
    </row>
    <row r="2593" spans="4:4" x14ac:dyDescent="0.25">
      <c r="D2593">
        <v>1940588</v>
      </c>
    </row>
    <row r="2594" spans="4:4" x14ac:dyDescent="0.25">
      <c r="D2594">
        <v>1940588</v>
      </c>
    </row>
    <row r="2595" spans="4:4" x14ac:dyDescent="0.25">
      <c r="D2595">
        <v>1940588</v>
      </c>
    </row>
    <row r="2596" spans="4:4" x14ac:dyDescent="0.25">
      <c r="D2596">
        <v>1940588</v>
      </c>
    </row>
    <row r="2597" spans="4:4" x14ac:dyDescent="0.25">
      <c r="D2597">
        <v>1940588</v>
      </c>
    </row>
    <row r="2598" spans="4:4" x14ac:dyDescent="0.25">
      <c r="D2598">
        <v>1940588</v>
      </c>
    </row>
    <row r="2599" spans="4:4" x14ac:dyDescent="0.25">
      <c r="D2599">
        <v>1940588</v>
      </c>
    </row>
    <row r="2600" spans="4:4" x14ac:dyDescent="0.25">
      <c r="D2600">
        <v>1940588</v>
      </c>
    </row>
    <row r="2601" spans="4:4" x14ac:dyDescent="0.25">
      <c r="D2601">
        <v>1940588</v>
      </c>
    </row>
    <row r="2602" spans="4:4" x14ac:dyDescent="0.25">
      <c r="D2602">
        <v>1940588</v>
      </c>
    </row>
    <row r="2603" spans="4:4" x14ac:dyDescent="0.25">
      <c r="D2603">
        <v>1940588</v>
      </c>
    </row>
    <row r="2604" spans="4:4" x14ac:dyDescent="0.25">
      <c r="D2604">
        <v>1940588</v>
      </c>
    </row>
    <row r="2605" spans="4:4" x14ac:dyDescent="0.25">
      <c r="D2605">
        <v>1940588</v>
      </c>
    </row>
    <row r="2606" spans="4:4" x14ac:dyDescent="0.25">
      <c r="D2606">
        <v>1940588</v>
      </c>
    </row>
    <row r="2607" spans="4:4" x14ac:dyDescent="0.25">
      <c r="D2607">
        <v>1940588</v>
      </c>
    </row>
    <row r="2608" spans="4:4" x14ac:dyDescent="0.25">
      <c r="D2608">
        <v>3122350</v>
      </c>
    </row>
    <row r="2609" spans="4:4" x14ac:dyDescent="0.25">
      <c r="D2609">
        <v>3863819</v>
      </c>
    </row>
    <row r="2610" spans="4:4" x14ac:dyDescent="0.25">
      <c r="D2610">
        <v>3863800</v>
      </c>
    </row>
    <row r="2611" spans="4:4" x14ac:dyDescent="0.25">
      <c r="D2611">
        <v>2382577</v>
      </c>
    </row>
    <row r="2612" spans="4:4" x14ac:dyDescent="0.25">
      <c r="D2612">
        <v>1386656</v>
      </c>
    </row>
    <row r="2613" spans="4:4" x14ac:dyDescent="0.25">
      <c r="D2613">
        <v>3509211</v>
      </c>
    </row>
    <row r="2614" spans="4:4" x14ac:dyDescent="0.25">
      <c r="D2614">
        <v>1482265</v>
      </c>
    </row>
    <row r="2615" spans="4:4" x14ac:dyDescent="0.25">
      <c r="D2615">
        <v>3218520</v>
      </c>
    </row>
    <row r="2616" spans="4:4" x14ac:dyDescent="0.25">
      <c r="D2616">
        <v>1531609</v>
      </c>
    </row>
    <row r="2617" spans="4:4" x14ac:dyDescent="0.25">
      <c r="D2617">
        <v>1531609</v>
      </c>
    </row>
    <row r="2618" spans="4:4" x14ac:dyDescent="0.25">
      <c r="D2618">
        <v>1190412</v>
      </c>
    </row>
    <row r="2619" spans="4:4" x14ac:dyDescent="0.25">
      <c r="D2619">
        <v>2420715</v>
      </c>
    </row>
    <row r="2620" spans="4:4" x14ac:dyDescent="0.25">
      <c r="D2620">
        <v>3667329</v>
      </c>
    </row>
    <row r="2621" spans="4:4" x14ac:dyDescent="0.25">
      <c r="D2621">
        <v>3667329</v>
      </c>
    </row>
    <row r="2622" spans="4:4" x14ac:dyDescent="0.25">
      <c r="D2622">
        <v>3667329</v>
      </c>
    </row>
    <row r="2623" spans="4:4" x14ac:dyDescent="0.25">
      <c r="D2623">
        <v>3673890</v>
      </c>
    </row>
    <row r="2624" spans="4:4" x14ac:dyDescent="0.25">
      <c r="D2624">
        <v>3230760</v>
      </c>
    </row>
    <row r="2625" spans="4:4" x14ac:dyDescent="0.25">
      <c r="D2625">
        <v>3500096</v>
      </c>
    </row>
    <row r="2626" spans="4:4" x14ac:dyDescent="0.25">
      <c r="D2626">
        <v>3500096</v>
      </c>
    </row>
    <row r="2627" spans="4:4" x14ac:dyDescent="0.25">
      <c r="D2627">
        <v>3500096</v>
      </c>
    </row>
    <row r="2628" spans="4:4" x14ac:dyDescent="0.25">
      <c r="D2628">
        <v>3500096</v>
      </c>
    </row>
    <row r="2629" spans="4:4" x14ac:dyDescent="0.25">
      <c r="D2629">
        <v>3500096</v>
      </c>
    </row>
    <row r="2630" spans="4:4" x14ac:dyDescent="0.25">
      <c r="D2630">
        <v>3500096</v>
      </c>
    </row>
    <row r="2631" spans="4:4" x14ac:dyDescent="0.25">
      <c r="D2631">
        <v>3500096</v>
      </c>
    </row>
    <row r="2632" spans="4:4" x14ac:dyDescent="0.25">
      <c r="D2632">
        <v>3500096</v>
      </c>
    </row>
    <row r="2633" spans="4:4" x14ac:dyDescent="0.25">
      <c r="D2633">
        <v>3500096</v>
      </c>
    </row>
    <row r="2634" spans="4:4" x14ac:dyDescent="0.25">
      <c r="D2634">
        <v>3500096</v>
      </c>
    </row>
    <row r="2635" spans="4:4" x14ac:dyDescent="0.25">
      <c r="D2635">
        <v>3500096</v>
      </c>
    </row>
    <row r="2636" spans="4:4" x14ac:dyDescent="0.25">
      <c r="D2636">
        <v>3500096</v>
      </c>
    </row>
    <row r="2637" spans="4:4" x14ac:dyDescent="0.25">
      <c r="D2637">
        <v>3500096</v>
      </c>
    </row>
    <row r="2638" spans="4:4" x14ac:dyDescent="0.25">
      <c r="D2638">
        <v>3500096</v>
      </c>
    </row>
    <row r="2639" spans="4:4" x14ac:dyDescent="0.25">
      <c r="D2639">
        <v>3230755</v>
      </c>
    </row>
    <row r="2640" spans="4:4" x14ac:dyDescent="0.25">
      <c r="D2640">
        <v>1909397</v>
      </c>
    </row>
    <row r="2641" spans="4:4" x14ac:dyDescent="0.25">
      <c r="D2641">
        <v>3520755</v>
      </c>
    </row>
    <row r="2642" spans="4:4" x14ac:dyDescent="0.25">
      <c r="D2642">
        <v>3410967</v>
      </c>
    </row>
    <row r="2643" spans="4:4" x14ac:dyDescent="0.25">
      <c r="D2643">
        <v>1939544</v>
      </c>
    </row>
    <row r="2644" spans="4:4" x14ac:dyDescent="0.25">
      <c r="D2644">
        <v>1939544</v>
      </c>
    </row>
    <row r="2645" spans="4:4" x14ac:dyDescent="0.25">
      <c r="D2645">
        <v>1939544</v>
      </c>
    </row>
    <row r="2646" spans="4:4" x14ac:dyDescent="0.25">
      <c r="D2646">
        <v>1939544</v>
      </c>
    </row>
    <row r="2647" spans="4:4" x14ac:dyDescent="0.25">
      <c r="D2647">
        <v>1939544</v>
      </c>
    </row>
    <row r="2648" spans="4:4" x14ac:dyDescent="0.25">
      <c r="D2648">
        <v>1939544</v>
      </c>
    </row>
    <row r="2649" spans="4:4" x14ac:dyDescent="0.25">
      <c r="D2649">
        <v>1941293</v>
      </c>
    </row>
    <row r="2650" spans="4:4" x14ac:dyDescent="0.25">
      <c r="D2650">
        <v>1940595</v>
      </c>
    </row>
    <row r="2651" spans="4:4" x14ac:dyDescent="0.25">
      <c r="D2651">
        <v>1940595</v>
      </c>
    </row>
    <row r="2652" spans="4:4" x14ac:dyDescent="0.25">
      <c r="D2652">
        <v>1940595</v>
      </c>
    </row>
    <row r="2653" spans="4:4" x14ac:dyDescent="0.25">
      <c r="D2653">
        <v>1940595</v>
      </c>
    </row>
    <row r="2654" spans="4:4" x14ac:dyDescent="0.25">
      <c r="D2654">
        <v>1940595</v>
      </c>
    </row>
    <row r="2655" spans="4:4" x14ac:dyDescent="0.25">
      <c r="D2655">
        <v>1940595</v>
      </c>
    </row>
    <row r="2656" spans="4:4" x14ac:dyDescent="0.25">
      <c r="D2656">
        <v>1940595</v>
      </c>
    </row>
    <row r="2657" spans="4:4" x14ac:dyDescent="0.25">
      <c r="D2657">
        <v>3542856</v>
      </c>
    </row>
    <row r="2658" spans="4:4" x14ac:dyDescent="0.25">
      <c r="D2658">
        <v>3775636</v>
      </c>
    </row>
    <row r="2659" spans="4:4" x14ac:dyDescent="0.25">
      <c r="D2659">
        <v>2280506</v>
      </c>
    </row>
    <row r="2660" spans="4:4" x14ac:dyDescent="0.25">
      <c r="D2660">
        <v>3502256</v>
      </c>
    </row>
    <row r="2661" spans="4:4" x14ac:dyDescent="0.25">
      <c r="D2661">
        <v>3502256</v>
      </c>
    </row>
    <row r="2662" spans="4:4" x14ac:dyDescent="0.25">
      <c r="D2662">
        <v>3502256</v>
      </c>
    </row>
    <row r="2663" spans="4:4" x14ac:dyDescent="0.25">
      <c r="D2663">
        <v>3502256</v>
      </c>
    </row>
    <row r="2664" spans="4:4" x14ac:dyDescent="0.25">
      <c r="D2664">
        <v>3502256</v>
      </c>
    </row>
    <row r="2665" spans="4:4" x14ac:dyDescent="0.25">
      <c r="D2665">
        <v>3502256</v>
      </c>
    </row>
    <row r="2666" spans="4:4" x14ac:dyDescent="0.25">
      <c r="D2666">
        <v>3502256</v>
      </c>
    </row>
    <row r="2667" spans="4:4" x14ac:dyDescent="0.25">
      <c r="D2667">
        <v>3502256</v>
      </c>
    </row>
    <row r="2668" spans="4:4" x14ac:dyDescent="0.25">
      <c r="D2668">
        <v>3502256</v>
      </c>
    </row>
    <row r="2669" spans="4:4" x14ac:dyDescent="0.25">
      <c r="D2669">
        <v>3502256</v>
      </c>
    </row>
    <row r="2670" spans="4:4" x14ac:dyDescent="0.25">
      <c r="D2670">
        <v>3502256</v>
      </c>
    </row>
    <row r="2671" spans="4:4" x14ac:dyDescent="0.25">
      <c r="D2671">
        <v>3502256</v>
      </c>
    </row>
    <row r="2672" spans="4:4" x14ac:dyDescent="0.25">
      <c r="D2672">
        <v>3586645</v>
      </c>
    </row>
    <row r="2673" spans="4:4" x14ac:dyDescent="0.25">
      <c r="D2673">
        <v>3586645</v>
      </c>
    </row>
    <row r="2674" spans="4:4" x14ac:dyDescent="0.25">
      <c r="D2674">
        <v>3677043</v>
      </c>
    </row>
    <row r="2675" spans="4:4" x14ac:dyDescent="0.25">
      <c r="D2675">
        <v>1931813</v>
      </c>
    </row>
    <row r="2676" spans="4:4" x14ac:dyDescent="0.25">
      <c r="D2676">
        <v>3441355</v>
      </c>
    </row>
    <row r="2677" spans="4:4" x14ac:dyDescent="0.25">
      <c r="D2677">
        <v>3441355</v>
      </c>
    </row>
    <row r="2678" spans="4:4" x14ac:dyDescent="0.25">
      <c r="D2678">
        <v>3441355</v>
      </c>
    </row>
    <row r="2679" spans="4:4" x14ac:dyDescent="0.25">
      <c r="D2679">
        <v>1140302</v>
      </c>
    </row>
    <row r="2680" spans="4:4" x14ac:dyDescent="0.25">
      <c r="D2680">
        <v>1140302</v>
      </c>
    </row>
    <row r="2681" spans="4:4" x14ac:dyDescent="0.25">
      <c r="D2681">
        <v>1140302</v>
      </c>
    </row>
    <row r="2682" spans="4:4" x14ac:dyDescent="0.25">
      <c r="D2682">
        <v>1940603</v>
      </c>
    </row>
    <row r="2683" spans="4:4" x14ac:dyDescent="0.25">
      <c r="D2683">
        <v>1940603</v>
      </c>
    </row>
    <row r="2684" spans="4:4" x14ac:dyDescent="0.25">
      <c r="D2684">
        <v>1940603</v>
      </c>
    </row>
    <row r="2685" spans="4:4" x14ac:dyDescent="0.25">
      <c r="D2685">
        <v>1940603</v>
      </c>
    </row>
    <row r="2686" spans="4:4" x14ac:dyDescent="0.25">
      <c r="D2686">
        <v>1931264</v>
      </c>
    </row>
    <row r="2687" spans="4:4" x14ac:dyDescent="0.25">
      <c r="D2687">
        <v>2410997</v>
      </c>
    </row>
    <row r="2688" spans="4:4" x14ac:dyDescent="0.25">
      <c r="D2688">
        <v>2410997</v>
      </c>
    </row>
    <row r="2689" spans="4:4" x14ac:dyDescent="0.25">
      <c r="D2689">
        <v>2410997</v>
      </c>
    </row>
    <row r="2690" spans="4:4" x14ac:dyDescent="0.25">
      <c r="D2690">
        <v>2410997</v>
      </c>
    </row>
    <row r="2691" spans="4:4" x14ac:dyDescent="0.25">
      <c r="D2691">
        <v>2410997</v>
      </c>
    </row>
    <row r="2692" spans="4:4" x14ac:dyDescent="0.25">
      <c r="D2692">
        <v>2410997</v>
      </c>
    </row>
    <row r="2693" spans="4:4" x14ac:dyDescent="0.25">
      <c r="D2693">
        <v>1939284</v>
      </c>
    </row>
    <row r="2694" spans="4:4" x14ac:dyDescent="0.25">
      <c r="D2694">
        <v>1939284</v>
      </c>
    </row>
    <row r="2695" spans="4:4" x14ac:dyDescent="0.25">
      <c r="D2695">
        <v>1939284</v>
      </c>
    </row>
    <row r="2696" spans="4:4" x14ac:dyDescent="0.25">
      <c r="D2696">
        <v>1939284</v>
      </c>
    </row>
    <row r="2697" spans="4:4" x14ac:dyDescent="0.25">
      <c r="D2697">
        <v>1939284</v>
      </c>
    </row>
    <row r="2698" spans="4:4" x14ac:dyDescent="0.25">
      <c r="D2698">
        <v>1939284</v>
      </c>
    </row>
    <row r="2699" spans="4:4" x14ac:dyDescent="0.25">
      <c r="D2699">
        <v>1939284</v>
      </c>
    </row>
    <row r="2700" spans="4:4" x14ac:dyDescent="0.25">
      <c r="D2700">
        <v>1939283</v>
      </c>
    </row>
    <row r="2701" spans="4:4" x14ac:dyDescent="0.25">
      <c r="D2701">
        <v>1939283</v>
      </c>
    </row>
    <row r="2702" spans="4:4" x14ac:dyDescent="0.25">
      <c r="D2702">
        <v>1939283</v>
      </c>
    </row>
    <row r="2703" spans="4:4" x14ac:dyDescent="0.25">
      <c r="D2703">
        <v>1939283</v>
      </c>
    </row>
    <row r="2704" spans="4:4" x14ac:dyDescent="0.25">
      <c r="D2704">
        <v>1939283</v>
      </c>
    </row>
    <row r="2705" spans="4:4" x14ac:dyDescent="0.25">
      <c r="D2705">
        <v>1939283</v>
      </c>
    </row>
    <row r="2706" spans="4:4" x14ac:dyDescent="0.25">
      <c r="D2706">
        <v>2410992</v>
      </c>
    </row>
    <row r="2707" spans="4:4" x14ac:dyDescent="0.25">
      <c r="D2707">
        <v>2432009</v>
      </c>
    </row>
    <row r="2708" spans="4:4" x14ac:dyDescent="0.25">
      <c r="D2708">
        <v>2432009</v>
      </c>
    </row>
    <row r="2709" spans="4:4" x14ac:dyDescent="0.25">
      <c r="D2709">
        <v>2426241</v>
      </c>
    </row>
    <row r="2710" spans="4:4" x14ac:dyDescent="0.25">
      <c r="D2710">
        <v>1938483</v>
      </c>
    </row>
    <row r="2711" spans="4:4" x14ac:dyDescent="0.25">
      <c r="D2711">
        <v>1940614</v>
      </c>
    </row>
    <row r="2712" spans="4:4" x14ac:dyDescent="0.25">
      <c r="D2712">
        <v>1940614</v>
      </c>
    </row>
    <row r="2713" spans="4:4" x14ac:dyDescent="0.25">
      <c r="D2713">
        <v>1940614</v>
      </c>
    </row>
    <row r="2714" spans="4:4" x14ac:dyDescent="0.25">
      <c r="D2714">
        <v>1940614</v>
      </c>
    </row>
    <row r="2715" spans="4:4" x14ac:dyDescent="0.25">
      <c r="D2715">
        <v>1940614</v>
      </c>
    </row>
    <row r="2716" spans="4:4" x14ac:dyDescent="0.25">
      <c r="D2716">
        <v>1940614</v>
      </c>
    </row>
    <row r="2717" spans="4:4" x14ac:dyDescent="0.25">
      <c r="D2717">
        <v>1940614</v>
      </c>
    </row>
    <row r="2718" spans="4:4" x14ac:dyDescent="0.25">
      <c r="D2718">
        <v>1940614</v>
      </c>
    </row>
    <row r="2719" spans="4:4" x14ac:dyDescent="0.25">
      <c r="D2719">
        <v>237726</v>
      </c>
    </row>
    <row r="2720" spans="4:4" x14ac:dyDescent="0.25">
      <c r="D2720">
        <v>237726</v>
      </c>
    </row>
    <row r="2721" spans="4:4" x14ac:dyDescent="0.25">
      <c r="D2721">
        <v>237726</v>
      </c>
    </row>
    <row r="2722" spans="4:4" x14ac:dyDescent="0.25">
      <c r="D2722">
        <v>2331952</v>
      </c>
    </row>
    <row r="2723" spans="4:4" x14ac:dyDescent="0.25">
      <c r="D2723">
        <v>3702101</v>
      </c>
    </row>
    <row r="2724" spans="4:4" x14ac:dyDescent="0.25">
      <c r="D2724">
        <v>3727212</v>
      </c>
    </row>
    <row r="2725" spans="4:4" x14ac:dyDescent="0.25">
      <c r="D2725">
        <v>3727212</v>
      </c>
    </row>
    <row r="2726" spans="4:4" x14ac:dyDescent="0.25">
      <c r="D2726">
        <v>3727212</v>
      </c>
    </row>
    <row r="2727" spans="4:4" x14ac:dyDescent="0.25">
      <c r="D2727">
        <v>3727212</v>
      </c>
    </row>
    <row r="2728" spans="4:4" x14ac:dyDescent="0.25">
      <c r="D2728">
        <v>3727212</v>
      </c>
    </row>
    <row r="2729" spans="4:4" x14ac:dyDescent="0.25">
      <c r="D2729">
        <v>3727212</v>
      </c>
    </row>
    <row r="2730" spans="4:4" x14ac:dyDescent="0.25">
      <c r="D2730">
        <v>3598957</v>
      </c>
    </row>
    <row r="2731" spans="4:4" x14ac:dyDescent="0.25">
      <c r="D2731">
        <v>3598957</v>
      </c>
    </row>
    <row r="2732" spans="4:4" x14ac:dyDescent="0.25">
      <c r="D2732">
        <v>3598957</v>
      </c>
    </row>
    <row r="2733" spans="4:4" x14ac:dyDescent="0.25">
      <c r="D2733">
        <v>3598957</v>
      </c>
    </row>
    <row r="2734" spans="4:4" x14ac:dyDescent="0.25">
      <c r="D2734">
        <v>3598957</v>
      </c>
    </row>
    <row r="2735" spans="4:4" x14ac:dyDescent="0.25">
      <c r="D2735">
        <v>3598957</v>
      </c>
    </row>
    <row r="2736" spans="4:4" x14ac:dyDescent="0.25">
      <c r="D2736">
        <v>3598957</v>
      </c>
    </row>
    <row r="2737" spans="4:4" x14ac:dyDescent="0.25">
      <c r="D2737">
        <v>3598957</v>
      </c>
    </row>
    <row r="2738" spans="4:4" x14ac:dyDescent="0.25">
      <c r="D2738">
        <v>3598957</v>
      </c>
    </row>
    <row r="2739" spans="4:4" x14ac:dyDescent="0.25">
      <c r="D2739">
        <v>3598957</v>
      </c>
    </row>
    <row r="2740" spans="4:4" x14ac:dyDescent="0.25">
      <c r="D2740">
        <v>3598957</v>
      </c>
    </row>
    <row r="2741" spans="4:4" x14ac:dyDescent="0.25">
      <c r="D2741">
        <v>3598957</v>
      </c>
    </row>
    <row r="2742" spans="4:4" x14ac:dyDescent="0.25">
      <c r="D2742">
        <v>3598957</v>
      </c>
    </row>
    <row r="2743" spans="4:4" x14ac:dyDescent="0.25">
      <c r="D2743">
        <v>3598957</v>
      </c>
    </row>
    <row r="2744" spans="4:4" x14ac:dyDescent="0.25">
      <c r="D2744">
        <v>3598958</v>
      </c>
    </row>
    <row r="2745" spans="4:4" x14ac:dyDescent="0.25">
      <c r="D2745">
        <v>1940621</v>
      </c>
    </row>
    <row r="2746" spans="4:4" x14ac:dyDescent="0.25">
      <c r="D2746">
        <v>2397074</v>
      </c>
    </row>
    <row r="2747" spans="4:4" x14ac:dyDescent="0.25">
      <c r="D2747">
        <v>2397074</v>
      </c>
    </row>
    <row r="2748" spans="4:4" x14ac:dyDescent="0.25">
      <c r="D2748">
        <v>2397074</v>
      </c>
    </row>
    <row r="2749" spans="4:4" x14ac:dyDescent="0.25">
      <c r="D2749">
        <v>2397074</v>
      </c>
    </row>
    <row r="2750" spans="4:4" x14ac:dyDescent="0.25">
      <c r="D2750">
        <v>2397074</v>
      </c>
    </row>
    <row r="2751" spans="4:4" x14ac:dyDescent="0.25">
      <c r="D2751">
        <v>2397074</v>
      </c>
    </row>
    <row r="2752" spans="4:4" x14ac:dyDescent="0.25">
      <c r="D2752">
        <v>2397074</v>
      </c>
    </row>
    <row r="2753" spans="4:4" x14ac:dyDescent="0.25">
      <c r="D2753">
        <v>2397074</v>
      </c>
    </row>
    <row r="2754" spans="4:4" x14ac:dyDescent="0.25">
      <c r="D2754">
        <v>2397074</v>
      </c>
    </row>
    <row r="2755" spans="4:4" x14ac:dyDescent="0.25">
      <c r="D2755">
        <v>2397074</v>
      </c>
    </row>
    <row r="2756" spans="4:4" x14ac:dyDescent="0.25">
      <c r="D2756">
        <v>2397074</v>
      </c>
    </row>
    <row r="2757" spans="4:4" x14ac:dyDescent="0.25">
      <c r="D2757">
        <v>1940626</v>
      </c>
    </row>
    <row r="2758" spans="4:4" x14ac:dyDescent="0.25">
      <c r="D2758">
        <v>1940626</v>
      </c>
    </row>
    <row r="2759" spans="4:4" x14ac:dyDescent="0.25">
      <c r="D2759">
        <v>1940627</v>
      </c>
    </row>
    <row r="2760" spans="4:4" x14ac:dyDescent="0.25">
      <c r="D2760">
        <v>1940627</v>
      </c>
    </row>
    <row r="2761" spans="4:4" x14ac:dyDescent="0.25">
      <c r="D2761">
        <v>1940627</v>
      </c>
    </row>
    <row r="2762" spans="4:4" x14ac:dyDescent="0.25">
      <c r="D2762">
        <v>1940627</v>
      </c>
    </row>
    <row r="2763" spans="4:4" x14ac:dyDescent="0.25">
      <c r="D2763">
        <v>1940627</v>
      </c>
    </row>
    <row r="2764" spans="4:4" x14ac:dyDescent="0.25">
      <c r="D2764">
        <v>1940627</v>
      </c>
    </row>
    <row r="2765" spans="4:4" x14ac:dyDescent="0.25">
      <c r="D2765">
        <v>1940627</v>
      </c>
    </row>
    <row r="2766" spans="4:4" x14ac:dyDescent="0.25">
      <c r="D2766">
        <v>3617058</v>
      </c>
    </row>
    <row r="2767" spans="4:4" x14ac:dyDescent="0.25">
      <c r="D2767">
        <v>3617058</v>
      </c>
    </row>
    <row r="2768" spans="4:4" x14ac:dyDescent="0.25">
      <c r="D2768">
        <v>3617058</v>
      </c>
    </row>
    <row r="2769" spans="4:4" x14ac:dyDescent="0.25">
      <c r="D2769">
        <v>3617058</v>
      </c>
    </row>
    <row r="2770" spans="4:4" x14ac:dyDescent="0.25">
      <c r="D2770">
        <v>3617058</v>
      </c>
    </row>
    <row r="2771" spans="4:4" x14ac:dyDescent="0.25">
      <c r="D2771">
        <v>3617058</v>
      </c>
    </row>
    <row r="2772" spans="4:4" x14ac:dyDescent="0.25">
      <c r="D2772">
        <v>2410388</v>
      </c>
    </row>
    <row r="2773" spans="4:4" x14ac:dyDescent="0.25">
      <c r="D2773">
        <v>2410388</v>
      </c>
    </row>
    <row r="2774" spans="4:4" x14ac:dyDescent="0.25">
      <c r="D2774">
        <v>2410388</v>
      </c>
    </row>
    <row r="2775" spans="4:4" x14ac:dyDescent="0.25">
      <c r="D2775">
        <v>2410388</v>
      </c>
    </row>
    <row r="2776" spans="4:4" x14ac:dyDescent="0.25">
      <c r="D2776">
        <v>2410388</v>
      </c>
    </row>
    <row r="2777" spans="4:4" x14ac:dyDescent="0.25">
      <c r="D2777">
        <v>2410388</v>
      </c>
    </row>
    <row r="2778" spans="4:4" x14ac:dyDescent="0.25">
      <c r="D2778">
        <v>2410388</v>
      </c>
    </row>
    <row r="2779" spans="4:4" x14ac:dyDescent="0.25">
      <c r="D2779">
        <v>2410388</v>
      </c>
    </row>
    <row r="2780" spans="4:4" x14ac:dyDescent="0.25">
      <c r="D2780">
        <v>2410388</v>
      </c>
    </row>
    <row r="2781" spans="4:4" x14ac:dyDescent="0.25">
      <c r="D2781">
        <v>2410388</v>
      </c>
    </row>
    <row r="2782" spans="4:4" x14ac:dyDescent="0.25">
      <c r="D2782">
        <v>2410388</v>
      </c>
    </row>
    <row r="2783" spans="4:4" x14ac:dyDescent="0.25">
      <c r="D2783">
        <v>2410388</v>
      </c>
    </row>
    <row r="2784" spans="4:4" x14ac:dyDescent="0.25">
      <c r="D2784">
        <v>3472102</v>
      </c>
    </row>
    <row r="2785" spans="4:4" x14ac:dyDescent="0.25">
      <c r="D2785">
        <v>3770393</v>
      </c>
    </row>
    <row r="2786" spans="4:4" x14ac:dyDescent="0.25">
      <c r="D2786">
        <v>3190072</v>
      </c>
    </row>
    <row r="2787" spans="4:4" x14ac:dyDescent="0.25">
      <c r="D2787">
        <v>3190072</v>
      </c>
    </row>
    <row r="2788" spans="4:4" x14ac:dyDescent="0.25">
      <c r="D2788">
        <v>3190072</v>
      </c>
    </row>
    <row r="2789" spans="4:4" x14ac:dyDescent="0.25">
      <c r="D2789">
        <v>3190072</v>
      </c>
    </row>
    <row r="2790" spans="4:4" x14ac:dyDescent="0.25">
      <c r="D2790">
        <v>3190072</v>
      </c>
    </row>
    <row r="2791" spans="4:4" x14ac:dyDescent="0.25">
      <c r="D2791">
        <v>3190072</v>
      </c>
    </row>
    <row r="2792" spans="4:4" x14ac:dyDescent="0.25">
      <c r="D2792">
        <v>3190072</v>
      </c>
    </row>
    <row r="2793" spans="4:4" x14ac:dyDescent="0.25">
      <c r="D2793">
        <v>3909903</v>
      </c>
    </row>
    <row r="2794" spans="4:4" x14ac:dyDescent="0.25">
      <c r="D2794">
        <v>1939285</v>
      </c>
    </row>
    <row r="2795" spans="4:4" x14ac:dyDescent="0.25">
      <c r="D2795">
        <v>1939285</v>
      </c>
    </row>
    <row r="2796" spans="4:4" x14ac:dyDescent="0.25">
      <c r="D2796">
        <v>1939285</v>
      </c>
    </row>
    <row r="2797" spans="4:4" x14ac:dyDescent="0.25">
      <c r="D2797">
        <v>1939285</v>
      </c>
    </row>
    <row r="2798" spans="4:4" x14ac:dyDescent="0.25">
      <c r="D2798">
        <v>1939285</v>
      </c>
    </row>
    <row r="2799" spans="4:4" x14ac:dyDescent="0.25">
      <c r="D2799">
        <v>1941303</v>
      </c>
    </row>
    <row r="2800" spans="4:4" x14ac:dyDescent="0.25">
      <c r="D2800">
        <v>1941303</v>
      </c>
    </row>
    <row r="2801" spans="4:4" x14ac:dyDescent="0.25">
      <c r="D2801">
        <v>1941303</v>
      </c>
    </row>
    <row r="2802" spans="4:4" x14ac:dyDescent="0.25">
      <c r="D2802">
        <v>1941303</v>
      </c>
    </row>
    <row r="2803" spans="4:4" x14ac:dyDescent="0.25">
      <c r="D2803">
        <v>2359912</v>
      </c>
    </row>
    <row r="2804" spans="4:4" x14ac:dyDescent="0.25">
      <c r="D2804">
        <v>2359912</v>
      </c>
    </row>
    <row r="2805" spans="4:4" x14ac:dyDescent="0.25">
      <c r="D2805">
        <v>2359912</v>
      </c>
    </row>
    <row r="2806" spans="4:4" x14ac:dyDescent="0.25">
      <c r="D2806">
        <v>2359912</v>
      </c>
    </row>
    <row r="2807" spans="4:4" x14ac:dyDescent="0.25">
      <c r="D2807">
        <v>3190073</v>
      </c>
    </row>
    <row r="2808" spans="4:4" x14ac:dyDescent="0.25">
      <c r="D2808">
        <v>3190073</v>
      </c>
    </row>
    <row r="2809" spans="4:4" x14ac:dyDescent="0.25">
      <c r="D2809">
        <v>1939282</v>
      </c>
    </row>
    <row r="2810" spans="4:4" x14ac:dyDescent="0.25">
      <c r="D2810">
        <v>1939282</v>
      </c>
    </row>
    <row r="2811" spans="4:4" x14ac:dyDescent="0.25">
      <c r="D2811">
        <v>1939282</v>
      </c>
    </row>
    <row r="2812" spans="4:4" x14ac:dyDescent="0.25">
      <c r="D2812">
        <v>1939282</v>
      </c>
    </row>
    <row r="2813" spans="4:4" x14ac:dyDescent="0.25">
      <c r="D2813">
        <v>2359755</v>
      </c>
    </row>
    <row r="2814" spans="4:4" x14ac:dyDescent="0.25">
      <c r="D2814">
        <v>2359755</v>
      </c>
    </row>
    <row r="2815" spans="4:4" x14ac:dyDescent="0.25">
      <c r="D2815">
        <v>2359755</v>
      </c>
    </row>
    <row r="2816" spans="4:4" x14ac:dyDescent="0.25">
      <c r="D2816">
        <v>2359755</v>
      </c>
    </row>
    <row r="2817" spans="4:4" x14ac:dyDescent="0.25">
      <c r="D2817">
        <v>2359755</v>
      </c>
    </row>
    <row r="2818" spans="4:4" x14ac:dyDescent="0.25">
      <c r="D2818">
        <v>2359755</v>
      </c>
    </row>
    <row r="2819" spans="4:4" x14ac:dyDescent="0.25">
      <c r="D2819">
        <v>2359755</v>
      </c>
    </row>
    <row r="2820" spans="4:4" x14ac:dyDescent="0.25">
      <c r="D2820">
        <v>2359755</v>
      </c>
    </row>
    <row r="2821" spans="4:4" x14ac:dyDescent="0.25">
      <c r="D2821">
        <v>2410991</v>
      </c>
    </row>
    <row r="2822" spans="4:4" x14ac:dyDescent="0.25">
      <c r="D2822">
        <v>1938121</v>
      </c>
    </row>
    <row r="2823" spans="4:4" x14ac:dyDescent="0.25">
      <c r="D2823">
        <v>1938121</v>
      </c>
    </row>
    <row r="2824" spans="4:4" x14ac:dyDescent="0.25">
      <c r="D2824">
        <v>3572045</v>
      </c>
    </row>
    <row r="2825" spans="4:4" x14ac:dyDescent="0.25">
      <c r="D2825">
        <v>3572045</v>
      </c>
    </row>
    <row r="2826" spans="4:4" x14ac:dyDescent="0.25">
      <c r="D2826">
        <v>3572045</v>
      </c>
    </row>
    <row r="2827" spans="4:4" x14ac:dyDescent="0.25">
      <c r="D2827">
        <v>3572045</v>
      </c>
    </row>
    <row r="2828" spans="4:4" x14ac:dyDescent="0.25">
      <c r="D2828">
        <v>3572045</v>
      </c>
    </row>
    <row r="2829" spans="4:4" x14ac:dyDescent="0.25">
      <c r="D2829">
        <v>3572045</v>
      </c>
    </row>
    <row r="2830" spans="4:4" x14ac:dyDescent="0.25">
      <c r="D2830">
        <v>3572045</v>
      </c>
    </row>
    <row r="2831" spans="4:4" x14ac:dyDescent="0.25">
      <c r="D2831">
        <v>3572045</v>
      </c>
    </row>
    <row r="2832" spans="4:4" x14ac:dyDescent="0.25">
      <c r="D2832">
        <v>3572045</v>
      </c>
    </row>
    <row r="2833" spans="4:4" x14ac:dyDescent="0.25">
      <c r="D2833">
        <v>3572045</v>
      </c>
    </row>
    <row r="2834" spans="4:4" x14ac:dyDescent="0.25">
      <c r="D2834">
        <v>3572045</v>
      </c>
    </row>
    <row r="2835" spans="4:4" x14ac:dyDescent="0.25">
      <c r="D2835">
        <v>3572045</v>
      </c>
    </row>
    <row r="2836" spans="4:4" x14ac:dyDescent="0.25">
      <c r="D2836">
        <v>3572045</v>
      </c>
    </row>
    <row r="2837" spans="4:4" x14ac:dyDescent="0.25">
      <c r="D2837">
        <v>3572045</v>
      </c>
    </row>
    <row r="2838" spans="4:4" x14ac:dyDescent="0.25">
      <c r="D2838">
        <v>3230495</v>
      </c>
    </row>
    <row r="2839" spans="4:4" x14ac:dyDescent="0.25">
      <c r="D2839">
        <v>3230495</v>
      </c>
    </row>
    <row r="2840" spans="4:4" x14ac:dyDescent="0.25">
      <c r="D2840">
        <v>3230495</v>
      </c>
    </row>
    <row r="2841" spans="4:4" x14ac:dyDescent="0.25">
      <c r="D2841">
        <v>3230495</v>
      </c>
    </row>
    <row r="2842" spans="4:4" x14ac:dyDescent="0.25">
      <c r="D2842">
        <v>3230495</v>
      </c>
    </row>
    <row r="2843" spans="4:4" x14ac:dyDescent="0.25">
      <c r="D2843">
        <v>3230495</v>
      </c>
    </row>
    <row r="2844" spans="4:4" x14ac:dyDescent="0.25">
      <c r="D2844">
        <v>3230495</v>
      </c>
    </row>
    <row r="2845" spans="4:4" x14ac:dyDescent="0.25">
      <c r="D2845">
        <v>3230495</v>
      </c>
    </row>
    <row r="2846" spans="4:4" x14ac:dyDescent="0.25">
      <c r="D2846">
        <v>3230495</v>
      </c>
    </row>
    <row r="2847" spans="4:4" x14ac:dyDescent="0.25">
      <c r="D2847">
        <v>3230495</v>
      </c>
    </row>
    <row r="2848" spans="4:4" x14ac:dyDescent="0.25">
      <c r="D2848">
        <v>3230495</v>
      </c>
    </row>
    <row r="2849" spans="4:4" x14ac:dyDescent="0.25">
      <c r="D2849">
        <v>3230495</v>
      </c>
    </row>
    <row r="2850" spans="4:4" x14ac:dyDescent="0.25">
      <c r="D2850">
        <v>3230495</v>
      </c>
    </row>
    <row r="2851" spans="4:4" x14ac:dyDescent="0.25">
      <c r="D2851">
        <v>3230495</v>
      </c>
    </row>
    <row r="2852" spans="4:4" x14ac:dyDescent="0.25">
      <c r="D2852">
        <v>3230495</v>
      </c>
    </row>
    <row r="2853" spans="4:4" x14ac:dyDescent="0.25">
      <c r="D2853">
        <v>3230495</v>
      </c>
    </row>
    <row r="2854" spans="4:4" x14ac:dyDescent="0.25">
      <c r="D2854">
        <v>3230495</v>
      </c>
    </row>
    <row r="2855" spans="4:4" x14ac:dyDescent="0.25">
      <c r="D2855">
        <v>3230495</v>
      </c>
    </row>
    <row r="2856" spans="4:4" x14ac:dyDescent="0.25">
      <c r="D2856">
        <v>3230495</v>
      </c>
    </row>
    <row r="2857" spans="4:4" x14ac:dyDescent="0.25">
      <c r="D2857">
        <v>3230495</v>
      </c>
    </row>
    <row r="2858" spans="4:4" x14ac:dyDescent="0.25">
      <c r="D2858">
        <v>3230495</v>
      </c>
    </row>
    <row r="2859" spans="4:4" x14ac:dyDescent="0.25">
      <c r="D2859">
        <v>3230495</v>
      </c>
    </row>
    <row r="2860" spans="4:4" x14ac:dyDescent="0.25">
      <c r="D2860">
        <v>3230495</v>
      </c>
    </row>
    <row r="2861" spans="4:4" x14ac:dyDescent="0.25">
      <c r="D2861">
        <v>3230495</v>
      </c>
    </row>
    <row r="2862" spans="4:4" x14ac:dyDescent="0.25">
      <c r="D2862">
        <v>3230495</v>
      </c>
    </row>
    <row r="2863" spans="4:4" x14ac:dyDescent="0.25">
      <c r="D2863">
        <v>3230495</v>
      </c>
    </row>
    <row r="2864" spans="4:4" x14ac:dyDescent="0.25">
      <c r="D2864">
        <v>3230495</v>
      </c>
    </row>
    <row r="2865" spans="4:4" x14ac:dyDescent="0.25">
      <c r="D2865">
        <v>3230495</v>
      </c>
    </row>
    <row r="2866" spans="4:4" x14ac:dyDescent="0.25">
      <c r="D2866">
        <v>3230495</v>
      </c>
    </row>
    <row r="2867" spans="4:4" x14ac:dyDescent="0.25">
      <c r="D2867">
        <v>403040</v>
      </c>
    </row>
    <row r="2868" spans="4:4" x14ac:dyDescent="0.25">
      <c r="D2868">
        <v>403040</v>
      </c>
    </row>
    <row r="2869" spans="4:4" x14ac:dyDescent="0.25">
      <c r="D2869">
        <v>403040</v>
      </c>
    </row>
    <row r="2870" spans="4:4" x14ac:dyDescent="0.25">
      <c r="D2870">
        <v>403040</v>
      </c>
    </row>
    <row r="2871" spans="4:4" x14ac:dyDescent="0.25">
      <c r="D2871">
        <v>403040</v>
      </c>
    </row>
    <row r="2872" spans="4:4" x14ac:dyDescent="0.25">
      <c r="D2872">
        <v>503108</v>
      </c>
    </row>
    <row r="2873" spans="4:4" x14ac:dyDescent="0.25">
      <c r="D2873">
        <v>503108</v>
      </c>
    </row>
    <row r="2874" spans="4:4" x14ac:dyDescent="0.25">
      <c r="D2874">
        <v>503108</v>
      </c>
    </row>
    <row r="2875" spans="4:4" x14ac:dyDescent="0.25">
      <c r="D2875">
        <v>3774983</v>
      </c>
    </row>
    <row r="2876" spans="4:4" x14ac:dyDescent="0.25">
      <c r="D2876">
        <v>2256593</v>
      </c>
    </row>
    <row r="2877" spans="4:4" x14ac:dyDescent="0.25">
      <c r="D2877">
        <v>2256593</v>
      </c>
    </row>
    <row r="2878" spans="4:4" x14ac:dyDescent="0.25">
      <c r="D2878">
        <v>2256593</v>
      </c>
    </row>
    <row r="2879" spans="4:4" x14ac:dyDescent="0.25">
      <c r="D2879">
        <v>2256593</v>
      </c>
    </row>
    <row r="2880" spans="4:4" x14ac:dyDescent="0.25">
      <c r="D2880">
        <v>2256593</v>
      </c>
    </row>
    <row r="2881" spans="4:4" x14ac:dyDescent="0.25">
      <c r="D2881">
        <v>2256593</v>
      </c>
    </row>
    <row r="2882" spans="4:4" x14ac:dyDescent="0.25">
      <c r="D2882">
        <v>2256593</v>
      </c>
    </row>
    <row r="2883" spans="4:4" x14ac:dyDescent="0.25">
      <c r="D2883">
        <v>2256593</v>
      </c>
    </row>
    <row r="2884" spans="4:4" x14ac:dyDescent="0.25">
      <c r="D2884">
        <v>2256593</v>
      </c>
    </row>
    <row r="2885" spans="4:4" x14ac:dyDescent="0.25">
      <c r="D2885">
        <v>2256593</v>
      </c>
    </row>
    <row r="2886" spans="4:4" x14ac:dyDescent="0.25">
      <c r="D2886">
        <v>3508456</v>
      </c>
    </row>
    <row r="2887" spans="4:4" x14ac:dyDescent="0.25">
      <c r="D2887">
        <v>3508456</v>
      </c>
    </row>
    <row r="2888" spans="4:4" x14ac:dyDescent="0.25">
      <c r="D2888">
        <v>444028</v>
      </c>
    </row>
    <row r="2889" spans="4:4" x14ac:dyDescent="0.25">
      <c r="D2889">
        <v>3507795</v>
      </c>
    </row>
    <row r="2890" spans="4:4" x14ac:dyDescent="0.25">
      <c r="D2890">
        <v>373013</v>
      </c>
    </row>
    <row r="2891" spans="4:4" x14ac:dyDescent="0.25">
      <c r="D2891">
        <v>373013</v>
      </c>
    </row>
    <row r="2892" spans="4:4" x14ac:dyDescent="0.25">
      <c r="D2892">
        <v>1940653</v>
      </c>
    </row>
    <row r="2893" spans="4:4" x14ac:dyDescent="0.25">
      <c r="D2893">
        <v>1940653</v>
      </c>
    </row>
    <row r="2894" spans="4:4" x14ac:dyDescent="0.25">
      <c r="D2894">
        <v>1940653</v>
      </c>
    </row>
    <row r="2895" spans="4:4" x14ac:dyDescent="0.25">
      <c r="D2895">
        <v>1940653</v>
      </c>
    </row>
    <row r="2896" spans="4:4" x14ac:dyDescent="0.25">
      <c r="D2896">
        <v>1940653</v>
      </c>
    </row>
    <row r="2897" spans="4:4" x14ac:dyDescent="0.25">
      <c r="D2897">
        <v>1940653</v>
      </c>
    </row>
    <row r="2898" spans="4:4" x14ac:dyDescent="0.25">
      <c r="D2898">
        <v>1940653</v>
      </c>
    </row>
    <row r="2899" spans="4:4" x14ac:dyDescent="0.25">
      <c r="D2899">
        <v>3506437</v>
      </c>
    </row>
    <row r="2900" spans="4:4" x14ac:dyDescent="0.25">
      <c r="D2900">
        <v>3819143</v>
      </c>
    </row>
    <row r="2901" spans="4:4" x14ac:dyDescent="0.25">
      <c r="D2901">
        <v>3819143</v>
      </c>
    </row>
    <row r="2902" spans="4:4" x14ac:dyDescent="0.25">
      <c r="D2902">
        <v>1904406</v>
      </c>
    </row>
    <row r="2903" spans="4:4" x14ac:dyDescent="0.25">
      <c r="D2903">
        <v>1904406</v>
      </c>
    </row>
    <row r="2904" spans="4:4" x14ac:dyDescent="0.25">
      <c r="D2904">
        <v>3586648</v>
      </c>
    </row>
    <row r="2905" spans="4:4" x14ac:dyDescent="0.25">
      <c r="D2905">
        <v>3586648</v>
      </c>
    </row>
    <row r="2906" spans="4:4" x14ac:dyDescent="0.25">
      <c r="D2906">
        <v>3586648</v>
      </c>
    </row>
    <row r="2907" spans="4:4" x14ac:dyDescent="0.25">
      <c r="D2907">
        <v>331629</v>
      </c>
    </row>
    <row r="2908" spans="4:4" x14ac:dyDescent="0.25">
      <c r="D2908">
        <v>3171772</v>
      </c>
    </row>
    <row r="2909" spans="4:4" x14ac:dyDescent="0.25">
      <c r="D2909">
        <v>3171772</v>
      </c>
    </row>
    <row r="2910" spans="4:4" x14ac:dyDescent="0.25">
      <c r="D2910">
        <v>3500689</v>
      </c>
    </row>
    <row r="2911" spans="4:4" x14ac:dyDescent="0.25">
      <c r="D2911">
        <v>3682122</v>
      </c>
    </row>
    <row r="2912" spans="4:4" x14ac:dyDescent="0.25">
      <c r="D2912">
        <v>3715133</v>
      </c>
    </row>
    <row r="2913" spans="4:4" x14ac:dyDescent="0.25">
      <c r="D2913">
        <v>3715133</v>
      </c>
    </row>
    <row r="2914" spans="4:4" x14ac:dyDescent="0.25">
      <c r="D2914">
        <v>3715133</v>
      </c>
    </row>
    <row r="2915" spans="4:4" x14ac:dyDescent="0.25">
      <c r="D2915">
        <v>3715133</v>
      </c>
    </row>
    <row r="2916" spans="4:4" x14ac:dyDescent="0.25">
      <c r="D2916">
        <v>3447257</v>
      </c>
    </row>
    <row r="2917" spans="4:4" x14ac:dyDescent="0.25">
      <c r="D2917">
        <v>3502255</v>
      </c>
    </row>
    <row r="2918" spans="4:4" x14ac:dyDescent="0.25">
      <c r="D2918">
        <v>3502018</v>
      </c>
    </row>
    <row r="2919" spans="4:4" x14ac:dyDescent="0.25">
      <c r="D2919">
        <v>3500081</v>
      </c>
    </row>
    <row r="2920" spans="4:4" x14ac:dyDescent="0.25">
      <c r="D2920">
        <v>3500081</v>
      </c>
    </row>
    <row r="2921" spans="4:4" x14ac:dyDescent="0.25">
      <c r="D2921">
        <v>3500081</v>
      </c>
    </row>
    <row r="2922" spans="4:4" x14ac:dyDescent="0.25">
      <c r="D2922">
        <v>3500081</v>
      </c>
    </row>
    <row r="2923" spans="4:4" x14ac:dyDescent="0.25">
      <c r="D2923">
        <v>3500352</v>
      </c>
    </row>
    <row r="2924" spans="4:4" x14ac:dyDescent="0.25">
      <c r="D2924">
        <v>3500352</v>
      </c>
    </row>
    <row r="2925" spans="4:4" x14ac:dyDescent="0.25">
      <c r="D2925">
        <v>3500352</v>
      </c>
    </row>
    <row r="2926" spans="4:4" x14ac:dyDescent="0.25">
      <c r="D2926">
        <v>3500352</v>
      </c>
    </row>
    <row r="2927" spans="4:4" x14ac:dyDescent="0.25">
      <c r="D2927">
        <v>3500352</v>
      </c>
    </row>
    <row r="2928" spans="4:4" x14ac:dyDescent="0.25">
      <c r="D2928">
        <v>3500352</v>
      </c>
    </row>
    <row r="2929" spans="4:4" x14ac:dyDescent="0.25">
      <c r="D2929">
        <v>3500352</v>
      </c>
    </row>
    <row r="2930" spans="4:4" x14ac:dyDescent="0.25">
      <c r="D2930">
        <v>3500352</v>
      </c>
    </row>
    <row r="2931" spans="4:4" x14ac:dyDescent="0.25">
      <c r="D2931">
        <v>3500352</v>
      </c>
    </row>
    <row r="2932" spans="4:4" x14ac:dyDescent="0.25">
      <c r="D2932">
        <v>3500352</v>
      </c>
    </row>
    <row r="2933" spans="4:4" x14ac:dyDescent="0.25">
      <c r="D2933">
        <v>3500352</v>
      </c>
    </row>
    <row r="2934" spans="4:4" x14ac:dyDescent="0.25">
      <c r="D2934">
        <v>3500352</v>
      </c>
    </row>
    <row r="2935" spans="4:4" x14ac:dyDescent="0.25">
      <c r="D2935">
        <v>3500352</v>
      </c>
    </row>
    <row r="2936" spans="4:4" x14ac:dyDescent="0.25">
      <c r="D2936">
        <v>3500352</v>
      </c>
    </row>
    <row r="2937" spans="4:4" x14ac:dyDescent="0.25">
      <c r="D2937">
        <v>1940686</v>
      </c>
    </row>
    <row r="2938" spans="4:4" x14ac:dyDescent="0.25">
      <c r="D2938">
        <v>1940686</v>
      </c>
    </row>
    <row r="2939" spans="4:4" x14ac:dyDescent="0.25">
      <c r="D2939">
        <v>1138892</v>
      </c>
    </row>
    <row r="2940" spans="4:4" x14ac:dyDescent="0.25">
      <c r="D2940">
        <v>1138892</v>
      </c>
    </row>
    <row r="2941" spans="4:4" x14ac:dyDescent="0.25">
      <c r="D2941">
        <v>1138892</v>
      </c>
    </row>
    <row r="2942" spans="4:4" x14ac:dyDescent="0.25">
      <c r="D2942">
        <v>1941840</v>
      </c>
    </row>
    <row r="2943" spans="4:4" x14ac:dyDescent="0.25">
      <c r="D2943">
        <v>1941840</v>
      </c>
    </row>
    <row r="2944" spans="4:4" x14ac:dyDescent="0.25">
      <c r="D2944">
        <v>1940685</v>
      </c>
    </row>
    <row r="2945" spans="4:4" x14ac:dyDescent="0.25">
      <c r="D2945">
        <v>2410960</v>
      </c>
    </row>
    <row r="2946" spans="4:4" x14ac:dyDescent="0.25">
      <c r="D2946">
        <v>2410960</v>
      </c>
    </row>
    <row r="2947" spans="4:4" x14ac:dyDescent="0.25">
      <c r="D2947">
        <v>2410960</v>
      </c>
    </row>
    <row r="2948" spans="4:4" x14ac:dyDescent="0.25">
      <c r="D2948">
        <v>2410960</v>
      </c>
    </row>
    <row r="2949" spans="4:4" x14ac:dyDescent="0.25">
      <c r="D2949">
        <v>3673945</v>
      </c>
    </row>
    <row r="2950" spans="4:4" x14ac:dyDescent="0.25">
      <c r="D2950">
        <v>3673942</v>
      </c>
    </row>
    <row r="2951" spans="4:4" x14ac:dyDescent="0.25">
      <c r="D2951">
        <v>3673944</v>
      </c>
    </row>
    <row r="2952" spans="4:4" x14ac:dyDescent="0.25">
      <c r="D2952">
        <v>1939872</v>
      </c>
    </row>
    <row r="2953" spans="4:4" x14ac:dyDescent="0.25">
      <c r="D2953">
        <v>3694074</v>
      </c>
    </row>
    <row r="2954" spans="4:4" x14ac:dyDescent="0.25">
      <c r="D2954">
        <v>3694074</v>
      </c>
    </row>
    <row r="2955" spans="4:4" x14ac:dyDescent="0.25">
      <c r="D2955">
        <v>3694074</v>
      </c>
    </row>
    <row r="2956" spans="4:4" x14ac:dyDescent="0.25">
      <c r="D2956">
        <v>3694074</v>
      </c>
    </row>
    <row r="2957" spans="4:4" x14ac:dyDescent="0.25">
      <c r="D2957">
        <v>3694074</v>
      </c>
    </row>
    <row r="2958" spans="4:4" x14ac:dyDescent="0.25">
      <c r="D2958">
        <v>2410993</v>
      </c>
    </row>
    <row r="2959" spans="4:4" x14ac:dyDescent="0.25">
      <c r="D2959">
        <v>2410993</v>
      </c>
    </row>
    <row r="2960" spans="4:4" x14ac:dyDescent="0.25">
      <c r="D2960">
        <v>2410993</v>
      </c>
    </row>
    <row r="2961" spans="4:4" x14ac:dyDescent="0.25">
      <c r="D2961">
        <v>2412748</v>
      </c>
    </row>
    <row r="2962" spans="4:4" x14ac:dyDescent="0.25">
      <c r="D2962">
        <v>2412748</v>
      </c>
    </row>
    <row r="2963" spans="4:4" x14ac:dyDescent="0.25">
      <c r="D2963">
        <v>2412748</v>
      </c>
    </row>
    <row r="2964" spans="4:4" x14ac:dyDescent="0.25">
      <c r="D2964">
        <v>2412748</v>
      </c>
    </row>
    <row r="2965" spans="4:4" x14ac:dyDescent="0.25">
      <c r="D2965">
        <v>2412748</v>
      </c>
    </row>
    <row r="2966" spans="4:4" x14ac:dyDescent="0.25">
      <c r="D2966">
        <v>3552194</v>
      </c>
    </row>
    <row r="2967" spans="4:4" x14ac:dyDescent="0.25">
      <c r="D2967">
        <v>3552194</v>
      </c>
    </row>
    <row r="2968" spans="4:4" x14ac:dyDescent="0.25">
      <c r="D2968">
        <v>3552194</v>
      </c>
    </row>
    <row r="2969" spans="4:4" x14ac:dyDescent="0.25">
      <c r="D2969">
        <v>3702855</v>
      </c>
    </row>
    <row r="2970" spans="4:4" x14ac:dyDescent="0.25">
      <c r="D2970">
        <v>3138219</v>
      </c>
    </row>
    <row r="2971" spans="4:4" x14ac:dyDescent="0.25">
      <c r="D2971">
        <v>3210433</v>
      </c>
    </row>
    <row r="2972" spans="4:4" x14ac:dyDescent="0.25">
      <c r="D2972">
        <v>1438913</v>
      </c>
    </row>
    <row r="2973" spans="4:4" x14ac:dyDescent="0.25">
      <c r="D2973">
        <v>2397073</v>
      </c>
    </row>
    <row r="2974" spans="4:4" x14ac:dyDescent="0.25">
      <c r="D2974">
        <v>2397073</v>
      </c>
    </row>
    <row r="2975" spans="4:4" x14ac:dyDescent="0.25">
      <c r="D2975">
        <v>2397073</v>
      </c>
    </row>
    <row r="2976" spans="4:4" x14ac:dyDescent="0.25">
      <c r="D2976">
        <v>2397073</v>
      </c>
    </row>
    <row r="2977" spans="4:4" x14ac:dyDescent="0.25">
      <c r="D2977">
        <v>2397073</v>
      </c>
    </row>
    <row r="2978" spans="4:4" x14ac:dyDescent="0.25">
      <c r="D2978">
        <v>3649699</v>
      </c>
    </row>
    <row r="2979" spans="4:4" x14ac:dyDescent="0.25">
      <c r="D2979">
        <v>3649699</v>
      </c>
    </row>
    <row r="2980" spans="4:4" x14ac:dyDescent="0.25">
      <c r="D2980">
        <v>3649699</v>
      </c>
    </row>
    <row r="2981" spans="4:4" x14ac:dyDescent="0.25">
      <c r="D2981">
        <v>3649699</v>
      </c>
    </row>
    <row r="2982" spans="4:4" x14ac:dyDescent="0.25">
      <c r="D2982">
        <v>3649699</v>
      </c>
    </row>
    <row r="2983" spans="4:4" x14ac:dyDescent="0.25">
      <c r="D2983">
        <v>3649699</v>
      </c>
    </row>
    <row r="2984" spans="4:4" x14ac:dyDescent="0.25">
      <c r="D2984">
        <v>3649699</v>
      </c>
    </row>
    <row r="2985" spans="4:4" x14ac:dyDescent="0.25">
      <c r="D2985">
        <v>3447254</v>
      </c>
    </row>
    <row r="2986" spans="4:4" x14ac:dyDescent="0.25">
      <c r="D2986">
        <v>3447254</v>
      </c>
    </row>
    <row r="2987" spans="4:4" x14ac:dyDescent="0.25">
      <c r="D2987">
        <v>3447254</v>
      </c>
    </row>
    <row r="2988" spans="4:4" x14ac:dyDescent="0.25">
      <c r="D2988">
        <v>3447254</v>
      </c>
    </row>
    <row r="2989" spans="4:4" x14ac:dyDescent="0.25">
      <c r="D2989">
        <v>3499611</v>
      </c>
    </row>
    <row r="2990" spans="4:4" x14ac:dyDescent="0.25">
      <c r="D2990">
        <v>3499611</v>
      </c>
    </row>
    <row r="2991" spans="4:4" x14ac:dyDescent="0.25">
      <c r="D2991">
        <v>3499611</v>
      </c>
    </row>
    <row r="2992" spans="4:4" x14ac:dyDescent="0.25">
      <c r="D2992">
        <v>1940701</v>
      </c>
    </row>
    <row r="2993" spans="4:4" x14ac:dyDescent="0.25">
      <c r="D2993">
        <v>1940701</v>
      </c>
    </row>
    <row r="2994" spans="4:4" x14ac:dyDescent="0.25">
      <c r="D2994">
        <v>1940701</v>
      </c>
    </row>
    <row r="2995" spans="4:4" x14ac:dyDescent="0.25">
      <c r="D2995">
        <v>3584140</v>
      </c>
    </row>
    <row r="2996" spans="4:4" x14ac:dyDescent="0.25">
      <c r="D2996">
        <v>1155165</v>
      </c>
    </row>
    <row r="2997" spans="4:4" x14ac:dyDescent="0.25">
      <c r="D2997">
        <v>1155165</v>
      </c>
    </row>
    <row r="2998" spans="4:4" x14ac:dyDescent="0.25">
      <c r="D2998">
        <v>1155165</v>
      </c>
    </row>
    <row r="2999" spans="4:4" x14ac:dyDescent="0.25">
      <c r="D2999">
        <v>1940711</v>
      </c>
    </row>
    <row r="3000" spans="4:4" x14ac:dyDescent="0.25">
      <c r="D3000">
        <v>1940711</v>
      </c>
    </row>
    <row r="3001" spans="4:4" x14ac:dyDescent="0.25">
      <c r="D3001">
        <v>3210055</v>
      </c>
    </row>
    <row r="3002" spans="4:4" x14ac:dyDescent="0.25">
      <c r="D3002">
        <v>1551280</v>
      </c>
    </row>
    <row r="3003" spans="4:4" x14ac:dyDescent="0.25">
      <c r="D3003">
        <v>1551280</v>
      </c>
    </row>
    <row r="3004" spans="4:4" x14ac:dyDescent="0.25">
      <c r="D3004">
        <v>3210054</v>
      </c>
    </row>
    <row r="3005" spans="4:4" x14ac:dyDescent="0.25">
      <c r="D3005">
        <v>1236370</v>
      </c>
    </row>
    <row r="3006" spans="4:4" x14ac:dyDescent="0.25">
      <c r="D3006">
        <v>1236370</v>
      </c>
    </row>
    <row r="3007" spans="4:4" x14ac:dyDescent="0.25">
      <c r="D3007">
        <v>3210056</v>
      </c>
    </row>
    <row r="3008" spans="4:4" x14ac:dyDescent="0.25">
      <c r="D3008">
        <v>3484654</v>
      </c>
    </row>
    <row r="3009" spans="4:4" x14ac:dyDescent="0.25">
      <c r="D3009">
        <v>3484654</v>
      </c>
    </row>
    <row r="3010" spans="4:4" x14ac:dyDescent="0.25">
      <c r="D3010">
        <v>3484654</v>
      </c>
    </row>
    <row r="3011" spans="4:4" x14ac:dyDescent="0.25">
      <c r="D3011">
        <v>3677064</v>
      </c>
    </row>
    <row r="3012" spans="4:4" x14ac:dyDescent="0.25">
      <c r="D3012">
        <v>3677064</v>
      </c>
    </row>
    <row r="3013" spans="4:4" x14ac:dyDescent="0.25">
      <c r="D3013">
        <v>3910451</v>
      </c>
    </row>
    <row r="3014" spans="4:4" x14ac:dyDescent="0.25">
      <c r="D3014">
        <v>3910451</v>
      </c>
    </row>
    <row r="3015" spans="4:4" x14ac:dyDescent="0.25">
      <c r="D3015">
        <v>3453789</v>
      </c>
    </row>
    <row r="3016" spans="4:4" x14ac:dyDescent="0.25">
      <c r="D3016">
        <v>3911992</v>
      </c>
    </row>
    <row r="3017" spans="4:4" x14ac:dyDescent="0.25">
      <c r="D3017">
        <v>3454801</v>
      </c>
    </row>
    <row r="3018" spans="4:4" x14ac:dyDescent="0.25">
      <c r="D3018">
        <v>3911993</v>
      </c>
    </row>
    <row r="3019" spans="4:4" x14ac:dyDescent="0.25">
      <c r="D3019">
        <v>1155164</v>
      </c>
    </row>
    <row r="3020" spans="4:4" x14ac:dyDescent="0.25">
      <c r="D3020">
        <v>1155164</v>
      </c>
    </row>
    <row r="3021" spans="4:4" x14ac:dyDescent="0.25">
      <c r="D3021">
        <v>1155164</v>
      </c>
    </row>
    <row r="3022" spans="4:4" x14ac:dyDescent="0.25">
      <c r="D3022">
        <v>1940718</v>
      </c>
    </row>
    <row r="3023" spans="4:4" x14ac:dyDescent="0.25">
      <c r="D3023">
        <v>3547256</v>
      </c>
    </row>
    <row r="3024" spans="4:4" x14ac:dyDescent="0.25">
      <c r="D3024">
        <v>3578410</v>
      </c>
    </row>
    <row r="3025" spans="4:4" x14ac:dyDescent="0.25">
      <c r="D3025">
        <v>3501132</v>
      </c>
    </row>
    <row r="3026" spans="4:4" x14ac:dyDescent="0.25">
      <c r="D3026">
        <v>3501132</v>
      </c>
    </row>
    <row r="3027" spans="4:4" x14ac:dyDescent="0.25">
      <c r="D3027">
        <v>1374708</v>
      </c>
    </row>
    <row r="3028" spans="4:4" x14ac:dyDescent="0.25">
      <c r="D3028">
        <v>403039</v>
      </c>
    </row>
    <row r="3029" spans="4:4" x14ac:dyDescent="0.25">
      <c r="D3029">
        <v>403039</v>
      </c>
    </row>
    <row r="3030" spans="4:4" x14ac:dyDescent="0.25">
      <c r="D3030">
        <v>403039</v>
      </c>
    </row>
    <row r="3031" spans="4:4" x14ac:dyDescent="0.25">
      <c r="D3031">
        <v>3731917</v>
      </c>
    </row>
    <row r="3032" spans="4:4" x14ac:dyDescent="0.25">
      <c r="D3032">
        <v>3731917</v>
      </c>
    </row>
    <row r="3033" spans="4:4" x14ac:dyDescent="0.25">
      <c r="D3033">
        <v>3731917</v>
      </c>
    </row>
    <row r="3034" spans="4:4" x14ac:dyDescent="0.25">
      <c r="D3034">
        <v>3731917</v>
      </c>
    </row>
    <row r="3035" spans="4:4" x14ac:dyDescent="0.25">
      <c r="D3035">
        <v>238413</v>
      </c>
    </row>
    <row r="3036" spans="4:4" x14ac:dyDescent="0.25">
      <c r="D3036">
        <v>238413</v>
      </c>
    </row>
    <row r="3037" spans="4:4" x14ac:dyDescent="0.25">
      <c r="D3037">
        <v>238413</v>
      </c>
    </row>
    <row r="3038" spans="4:4" x14ac:dyDescent="0.25">
      <c r="D3038">
        <v>293855</v>
      </c>
    </row>
    <row r="3039" spans="4:4" x14ac:dyDescent="0.25">
      <c r="D3039">
        <v>293855</v>
      </c>
    </row>
    <row r="3040" spans="4:4" x14ac:dyDescent="0.25">
      <c r="D3040">
        <v>1940730</v>
      </c>
    </row>
    <row r="3041" spans="4:4" x14ac:dyDescent="0.25">
      <c r="D3041">
        <v>302897</v>
      </c>
    </row>
    <row r="3042" spans="4:4" x14ac:dyDescent="0.25">
      <c r="D3042">
        <v>302897</v>
      </c>
    </row>
    <row r="3043" spans="4:4" x14ac:dyDescent="0.25">
      <c r="D3043">
        <v>302897</v>
      </c>
    </row>
    <row r="3044" spans="4:4" x14ac:dyDescent="0.25">
      <c r="D3044">
        <v>302897</v>
      </c>
    </row>
    <row r="3045" spans="4:4" x14ac:dyDescent="0.25">
      <c r="D3045">
        <v>302897</v>
      </c>
    </row>
    <row r="3046" spans="4:4" x14ac:dyDescent="0.25">
      <c r="D3046">
        <v>302897</v>
      </c>
    </row>
    <row r="3047" spans="4:4" x14ac:dyDescent="0.25">
      <c r="D3047">
        <v>1940731</v>
      </c>
    </row>
    <row r="3048" spans="4:4" x14ac:dyDescent="0.25">
      <c r="D3048">
        <v>1940731</v>
      </c>
    </row>
    <row r="3049" spans="4:4" x14ac:dyDescent="0.25">
      <c r="D3049">
        <v>1940731</v>
      </c>
    </row>
    <row r="3050" spans="4:4" x14ac:dyDescent="0.25">
      <c r="D3050">
        <v>1940731</v>
      </c>
    </row>
    <row r="3051" spans="4:4" x14ac:dyDescent="0.25">
      <c r="D3051">
        <v>1940731</v>
      </c>
    </row>
    <row r="3052" spans="4:4" x14ac:dyDescent="0.25">
      <c r="D3052">
        <v>1940731</v>
      </c>
    </row>
    <row r="3053" spans="4:4" x14ac:dyDescent="0.25">
      <c r="D3053">
        <v>1940731</v>
      </c>
    </row>
    <row r="3054" spans="4:4" x14ac:dyDescent="0.25">
      <c r="D3054">
        <v>1940731</v>
      </c>
    </row>
    <row r="3055" spans="4:4" x14ac:dyDescent="0.25">
      <c r="D3055">
        <v>1940731</v>
      </c>
    </row>
    <row r="3056" spans="4:4" x14ac:dyDescent="0.25">
      <c r="D3056">
        <v>1940731</v>
      </c>
    </row>
    <row r="3057" spans="4:4" x14ac:dyDescent="0.25">
      <c r="D3057">
        <v>1940731</v>
      </c>
    </row>
    <row r="3058" spans="4:4" x14ac:dyDescent="0.25">
      <c r="D3058">
        <v>1940731</v>
      </c>
    </row>
    <row r="3059" spans="4:4" x14ac:dyDescent="0.25">
      <c r="D3059">
        <v>3507790</v>
      </c>
    </row>
    <row r="3060" spans="4:4" x14ac:dyDescent="0.25">
      <c r="D3060">
        <v>1940732</v>
      </c>
    </row>
    <row r="3061" spans="4:4" x14ac:dyDescent="0.25">
      <c r="D3061">
        <v>1940732</v>
      </c>
    </row>
    <row r="3062" spans="4:4" x14ac:dyDescent="0.25">
      <c r="D3062">
        <v>1940732</v>
      </c>
    </row>
    <row r="3063" spans="4:4" x14ac:dyDescent="0.25">
      <c r="D3063">
        <v>1940732</v>
      </c>
    </row>
    <row r="3064" spans="4:4" x14ac:dyDescent="0.25">
      <c r="D3064">
        <v>1940732</v>
      </c>
    </row>
    <row r="3065" spans="4:4" x14ac:dyDescent="0.25">
      <c r="D3065">
        <v>1940732</v>
      </c>
    </row>
    <row r="3066" spans="4:4" x14ac:dyDescent="0.25">
      <c r="D3066">
        <v>1940732</v>
      </c>
    </row>
    <row r="3067" spans="4:4" x14ac:dyDescent="0.25">
      <c r="D3067">
        <v>1940732</v>
      </c>
    </row>
    <row r="3068" spans="4:4" x14ac:dyDescent="0.25">
      <c r="D3068">
        <v>2436343</v>
      </c>
    </row>
    <row r="3069" spans="4:4" x14ac:dyDescent="0.25">
      <c r="D3069">
        <v>2436343</v>
      </c>
    </row>
    <row r="3070" spans="4:4" x14ac:dyDescent="0.25">
      <c r="D3070">
        <v>2436343</v>
      </c>
    </row>
    <row r="3071" spans="4:4" x14ac:dyDescent="0.25">
      <c r="D3071">
        <v>2436343</v>
      </c>
    </row>
    <row r="3072" spans="4:4" x14ac:dyDescent="0.25">
      <c r="D3072">
        <v>2436343</v>
      </c>
    </row>
    <row r="3073" spans="4:4" x14ac:dyDescent="0.25">
      <c r="D3073">
        <v>2436343</v>
      </c>
    </row>
    <row r="3074" spans="4:4" x14ac:dyDescent="0.25">
      <c r="D3074">
        <v>2436343</v>
      </c>
    </row>
    <row r="3075" spans="4:4" x14ac:dyDescent="0.25">
      <c r="D3075">
        <v>3841884</v>
      </c>
    </row>
    <row r="3076" spans="4:4" x14ac:dyDescent="0.25">
      <c r="D3076">
        <v>1523477</v>
      </c>
    </row>
    <row r="3077" spans="4:4" x14ac:dyDescent="0.25">
      <c r="D3077">
        <v>3768904</v>
      </c>
    </row>
    <row r="3078" spans="4:4" x14ac:dyDescent="0.25">
      <c r="D3078">
        <v>3768904</v>
      </c>
    </row>
    <row r="3079" spans="4:4" x14ac:dyDescent="0.25">
      <c r="D3079">
        <v>3768904</v>
      </c>
    </row>
    <row r="3080" spans="4:4" x14ac:dyDescent="0.25">
      <c r="D3080">
        <v>3768904</v>
      </c>
    </row>
    <row r="3081" spans="4:4" x14ac:dyDescent="0.25">
      <c r="D3081">
        <v>3768904</v>
      </c>
    </row>
    <row r="3082" spans="4:4" x14ac:dyDescent="0.25">
      <c r="D3082">
        <v>3768904</v>
      </c>
    </row>
    <row r="3083" spans="4:4" x14ac:dyDescent="0.25">
      <c r="D3083">
        <v>3191747</v>
      </c>
    </row>
    <row r="3084" spans="4:4" x14ac:dyDescent="0.25">
      <c r="D3084">
        <v>3191747</v>
      </c>
    </row>
    <row r="3085" spans="4:4" x14ac:dyDescent="0.25">
      <c r="D3085">
        <v>3191747</v>
      </c>
    </row>
    <row r="3086" spans="4:4" x14ac:dyDescent="0.25">
      <c r="D3086">
        <v>3191747</v>
      </c>
    </row>
    <row r="3087" spans="4:4" x14ac:dyDescent="0.25">
      <c r="D3087">
        <v>3191747</v>
      </c>
    </row>
    <row r="3088" spans="4:4" x14ac:dyDescent="0.25">
      <c r="D3088">
        <v>3191747</v>
      </c>
    </row>
    <row r="3089" spans="4:4" x14ac:dyDescent="0.25">
      <c r="D3089">
        <v>3191747</v>
      </c>
    </row>
    <row r="3090" spans="4:4" x14ac:dyDescent="0.25">
      <c r="D3090">
        <v>3191747</v>
      </c>
    </row>
    <row r="3091" spans="4:4" x14ac:dyDescent="0.25">
      <c r="D3091">
        <v>3191747</v>
      </c>
    </row>
    <row r="3092" spans="4:4" x14ac:dyDescent="0.25">
      <c r="D3092">
        <v>1194658</v>
      </c>
    </row>
    <row r="3093" spans="4:4" x14ac:dyDescent="0.25">
      <c r="D3093">
        <v>3505953</v>
      </c>
    </row>
    <row r="3094" spans="4:4" x14ac:dyDescent="0.25">
      <c r="D3094">
        <v>3505953</v>
      </c>
    </row>
    <row r="3095" spans="4:4" x14ac:dyDescent="0.25">
      <c r="D3095">
        <v>3505953</v>
      </c>
    </row>
    <row r="3096" spans="4:4" x14ac:dyDescent="0.25">
      <c r="D3096">
        <v>3505953</v>
      </c>
    </row>
    <row r="3097" spans="4:4" x14ac:dyDescent="0.25">
      <c r="D3097">
        <v>3505953</v>
      </c>
    </row>
    <row r="3098" spans="4:4" x14ac:dyDescent="0.25">
      <c r="D3098">
        <v>3505953</v>
      </c>
    </row>
    <row r="3099" spans="4:4" x14ac:dyDescent="0.25">
      <c r="D3099">
        <v>3505953</v>
      </c>
    </row>
    <row r="3100" spans="4:4" x14ac:dyDescent="0.25">
      <c r="D3100">
        <v>3505953</v>
      </c>
    </row>
    <row r="3101" spans="4:4" x14ac:dyDescent="0.25">
      <c r="D3101">
        <v>3505953</v>
      </c>
    </row>
    <row r="3102" spans="4:4" x14ac:dyDescent="0.25">
      <c r="D3102">
        <v>3442533</v>
      </c>
    </row>
    <row r="3103" spans="4:4" x14ac:dyDescent="0.25">
      <c r="D3103">
        <v>3500470</v>
      </c>
    </row>
    <row r="3104" spans="4:4" x14ac:dyDescent="0.25">
      <c r="D3104">
        <v>3500470</v>
      </c>
    </row>
    <row r="3105" spans="4:4" x14ac:dyDescent="0.25">
      <c r="D3105">
        <v>3500470</v>
      </c>
    </row>
    <row r="3106" spans="4:4" x14ac:dyDescent="0.25">
      <c r="D3106">
        <v>3500470</v>
      </c>
    </row>
    <row r="3107" spans="4:4" x14ac:dyDescent="0.25">
      <c r="D3107">
        <v>3500470</v>
      </c>
    </row>
    <row r="3108" spans="4:4" x14ac:dyDescent="0.25">
      <c r="D3108">
        <v>3500470</v>
      </c>
    </row>
    <row r="3109" spans="4:4" x14ac:dyDescent="0.25">
      <c r="D3109">
        <v>3502254</v>
      </c>
    </row>
    <row r="3110" spans="4:4" x14ac:dyDescent="0.25">
      <c r="D3110">
        <v>3502254</v>
      </c>
    </row>
    <row r="3111" spans="4:4" x14ac:dyDescent="0.25">
      <c r="D3111">
        <v>3502254</v>
      </c>
    </row>
    <row r="3112" spans="4:4" x14ac:dyDescent="0.25">
      <c r="D3112">
        <v>3502254</v>
      </c>
    </row>
    <row r="3113" spans="4:4" x14ac:dyDescent="0.25">
      <c r="D3113">
        <v>3502254</v>
      </c>
    </row>
    <row r="3114" spans="4:4" x14ac:dyDescent="0.25">
      <c r="D3114">
        <v>3502254</v>
      </c>
    </row>
    <row r="3115" spans="4:4" x14ac:dyDescent="0.25">
      <c r="D3115">
        <v>3502254</v>
      </c>
    </row>
    <row r="3116" spans="4:4" x14ac:dyDescent="0.25">
      <c r="D3116">
        <v>3502254</v>
      </c>
    </row>
    <row r="3117" spans="4:4" x14ac:dyDescent="0.25">
      <c r="D3117">
        <v>3502254</v>
      </c>
    </row>
    <row r="3118" spans="4:4" x14ac:dyDescent="0.25">
      <c r="D3118">
        <v>3502254</v>
      </c>
    </row>
    <row r="3119" spans="4:4" x14ac:dyDescent="0.25">
      <c r="D3119">
        <v>3502254</v>
      </c>
    </row>
    <row r="3120" spans="4:4" x14ac:dyDescent="0.25">
      <c r="D3120">
        <v>3502254</v>
      </c>
    </row>
    <row r="3121" spans="4:4" x14ac:dyDescent="0.25">
      <c r="D3121">
        <v>3502254</v>
      </c>
    </row>
    <row r="3122" spans="4:4" x14ac:dyDescent="0.25">
      <c r="D3122">
        <v>3502254</v>
      </c>
    </row>
    <row r="3123" spans="4:4" x14ac:dyDescent="0.25">
      <c r="D3123">
        <v>3768902</v>
      </c>
    </row>
    <row r="3124" spans="4:4" x14ac:dyDescent="0.25">
      <c r="D3124">
        <v>3768902</v>
      </c>
    </row>
    <row r="3125" spans="4:4" x14ac:dyDescent="0.25">
      <c r="D3125">
        <v>3768902</v>
      </c>
    </row>
    <row r="3126" spans="4:4" x14ac:dyDescent="0.25">
      <c r="D3126">
        <v>3768902</v>
      </c>
    </row>
    <row r="3127" spans="4:4" x14ac:dyDescent="0.25">
      <c r="D3127">
        <v>1448371</v>
      </c>
    </row>
    <row r="3128" spans="4:4" x14ac:dyDescent="0.25">
      <c r="D3128">
        <v>1448371</v>
      </c>
    </row>
    <row r="3129" spans="4:4" x14ac:dyDescent="0.25">
      <c r="D3129">
        <v>1448371</v>
      </c>
    </row>
    <row r="3130" spans="4:4" x14ac:dyDescent="0.25">
      <c r="D3130">
        <v>1448371</v>
      </c>
    </row>
    <row r="3131" spans="4:4" x14ac:dyDescent="0.25">
      <c r="D3131">
        <v>3509030</v>
      </c>
    </row>
    <row r="3132" spans="4:4" x14ac:dyDescent="0.25">
      <c r="D3132">
        <v>3509030</v>
      </c>
    </row>
    <row r="3133" spans="4:4" x14ac:dyDescent="0.25">
      <c r="D3133">
        <v>3509030</v>
      </c>
    </row>
    <row r="3134" spans="4:4" x14ac:dyDescent="0.25">
      <c r="D3134">
        <v>2422183</v>
      </c>
    </row>
    <row r="3135" spans="4:4" x14ac:dyDescent="0.25">
      <c r="D3135">
        <v>3508742</v>
      </c>
    </row>
    <row r="3136" spans="4:4" x14ac:dyDescent="0.25">
      <c r="D3136">
        <v>3508742</v>
      </c>
    </row>
    <row r="3137" spans="4:4" x14ac:dyDescent="0.25">
      <c r="D3137">
        <v>3508742</v>
      </c>
    </row>
    <row r="3138" spans="4:4" x14ac:dyDescent="0.25">
      <c r="D3138">
        <v>3508742</v>
      </c>
    </row>
    <row r="3139" spans="4:4" x14ac:dyDescent="0.25">
      <c r="D3139">
        <v>3508742</v>
      </c>
    </row>
    <row r="3140" spans="4:4" x14ac:dyDescent="0.25">
      <c r="D3140">
        <v>3508742</v>
      </c>
    </row>
    <row r="3141" spans="4:4" x14ac:dyDescent="0.25">
      <c r="D3141">
        <v>1940738</v>
      </c>
    </row>
    <row r="3142" spans="4:4" x14ac:dyDescent="0.25">
      <c r="D3142">
        <v>1940738</v>
      </c>
    </row>
    <row r="3143" spans="4:4" x14ac:dyDescent="0.25">
      <c r="D3143">
        <v>1940738</v>
      </c>
    </row>
    <row r="3144" spans="4:4" x14ac:dyDescent="0.25">
      <c r="D3144">
        <v>1940738</v>
      </c>
    </row>
    <row r="3145" spans="4:4" x14ac:dyDescent="0.25">
      <c r="D3145">
        <v>444029</v>
      </c>
    </row>
    <row r="3146" spans="4:4" x14ac:dyDescent="0.25">
      <c r="D3146">
        <v>444029</v>
      </c>
    </row>
    <row r="3147" spans="4:4" x14ac:dyDescent="0.25">
      <c r="D3147">
        <v>1903849</v>
      </c>
    </row>
    <row r="3148" spans="4:4" x14ac:dyDescent="0.25">
      <c r="D3148">
        <v>1903849</v>
      </c>
    </row>
    <row r="3149" spans="4:4" x14ac:dyDescent="0.25">
      <c r="D3149">
        <v>1903849</v>
      </c>
    </row>
    <row r="3150" spans="4:4" x14ac:dyDescent="0.25">
      <c r="D3150">
        <v>1903849</v>
      </c>
    </row>
    <row r="3151" spans="4:4" x14ac:dyDescent="0.25">
      <c r="D3151">
        <v>1903849</v>
      </c>
    </row>
    <row r="3152" spans="4:4" x14ac:dyDescent="0.25">
      <c r="D3152">
        <v>1903849</v>
      </c>
    </row>
    <row r="3153" spans="4:4" x14ac:dyDescent="0.25">
      <c r="D3153">
        <v>1903849</v>
      </c>
    </row>
    <row r="3154" spans="4:4" x14ac:dyDescent="0.25">
      <c r="D3154">
        <v>1903849</v>
      </c>
    </row>
    <row r="3155" spans="4:4" x14ac:dyDescent="0.25">
      <c r="D3155">
        <v>1903849</v>
      </c>
    </row>
    <row r="3156" spans="4:4" x14ac:dyDescent="0.25">
      <c r="D3156">
        <v>1903849</v>
      </c>
    </row>
    <row r="3157" spans="4:4" x14ac:dyDescent="0.25">
      <c r="D3157">
        <v>1438332</v>
      </c>
    </row>
    <row r="3158" spans="4:4" x14ac:dyDescent="0.25">
      <c r="D3158">
        <v>1438332</v>
      </c>
    </row>
    <row r="3159" spans="4:4" x14ac:dyDescent="0.25">
      <c r="D3159">
        <v>1438332</v>
      </c>
    </row>
    <row r="3160" spans="4:4" x14ac:dyDescent="0.25">
      <c r="D3160">
        <v>3508985</v>
      </c>
    </row>
    <row r="3161" spans="4:4" x14ac:dyDescent="0.25">
      <c r="D3161">
        <v>1940739</v>
      </c>
    </row>
    <row r="3162" spans="4:4" x14ac:dyDescent="0.25">
      <c r="D3162">
        <v>1940739</v>
      </c>
    </row>
    <row r="3163" spans="4:4" x14ac:dyDescent="0.25">
      <c r="D3163">
        <v>1940739</v>
      </c>
    </row>
    <row r="3164" spans="4:4" x14ac:dyDescent="0.25">
      <c r="D3164">
        <v>1940739</v>
      </c>
    </row>
    <row r="3165" spans="4:4" x14ac:dyDescent="0.25">
      <c r="D3165">
        <v>437159</v>
      </c>
    </row>
    <row r="3166" spans="4:4" x14ac:dyDescent="0.25">
      <c r="D3166">
        <v>3774058</v>
      </c>
    </row>
    <row r="3167" spans="4:4" x14ac:dyDescent="0.25">
      <c r="D3167">
        <v>3516769</v>
      </c>
    </row>
    <row r="3168" spans="4:4" x14ac:dyDescent="0.25">
      <c r="D3168">
        <v>3516769</v>
      </c>
    </row>
    <row r="3169" spans="4:4" x14ac:dyDescent="0.25">
      <c r="D3169">
        <v>3516769</v>
      </c>
    </row>
    <row r="3170" spans="4:4" x14ac:dyDescent="0.25">
      <c r="D3170">
        <v>1940743</v>
      </c>
    </row>
    <row r="3171" spans="4:4" x14ac:dyDescent="0.25">
      <c r="D3171">
        <v>1940743</v>
      </c>
    </row>
    <row r="3172" spans="4:4" x14ac:dyDescent="0.25">
      <c r="D3172">
        <v>1940743</v>
      </c>
    </row>
    <row r="3173" spans="4:4" x14ac:dyDescent="0.25">
      <c r="D3173">
        <v>1940743</v>
      </c>
    </row>
    <row r="3174" spans="4:4" x14ac:dyDescent="0.25">
      <c r="D3174">
        <v>1940743</v>
      </c>
    </row>
    <row r="3175" spans="4:4" x14ac:dyDescent="0.25">
      <c r="D3175">
        <v>1940743</v>
      </c>
    </row>
    <row r="3176" spans="4:4" x14ac:dyDescent="0.25">
      <c r="D3176">
        <v>1940743</v>
      </c>
    </row>
    <row r="3177" spans="4:4" x14ac:dyDescent="0.25">
      <c r="D3177">
        <v>1940743</v>
      </c>
    </row>
    <row r="3178" spans="4:4" x14ac:dyDescent="0.25">
      <c r="D3178">
        <v>1940743</v>
      </c>
    </row>
    <row r="3179" spans="4:4" x14ac:dyDescent="0.25">
      <c r="D3179">
        <v>1940743</v>
      </c>
    </row>
    <row r="3180" spans="4:4" x14ac:dyDescent="0.25">
      <c r="D3180">
        <v>1940743</v>
      </c>
    </row>
    <row r="3181" spans="4:4" x14ac:dyDescent="0.25">
      <c r="D3181">
        <v>1940743</v>
      </c>
    </row>
    <row r="3182" spans="4:4" x14ac:dyDescent="0.25">
      <c r="D3182">
        <v>1940743</v>
      </c>
    </row>
    <row r="3183" spans="4:4" x14ac:dyDescent="0.25">
      <c r="D3183">
        <v>1940743</v>
      </c>
    </row>
    <row r="3184" spans="4:4" x14ac:dyDescent="0.25">
      <c r="D3184">
        <v>1940743</v>
      </c>
    </row>
    <row r="3185" spans="4:4" x14ac:dyDescent="0.25">
      <c r="D3185">
        <v>1940743</v>
      </c>
    </row>
    <row r="3186" spans="4:4" x14ac:dyDescent="0.25">
      <c r="D3186">
        <v>1940743</v>
      </c>
    </row>
    <row r="3187" spans="4:4" x14ac:dyDescent="0.25">
      <c r="D3187">
        <v>1940743</v>
      </c>
    </row>
    <row r="3188" spans="4:4" x14ac:dyDescent="0.25">
      <c r="D3188">
        <v>1940743</v>
      </c>
    </row>
    <row r="3189" spans="4:4" x14ac:dyDescent="0.25">
      <c r="D3189">
        <v>1940743</v>
      </c>
    </row>
    <row r="3190" spans="4:4" x14ac:dyDescent="0.25">
      <c r="D3190">
        <v>1940743</v>
      </c>
    </row>
    <row r="3191" spans="4:4" x14ac:dyDescent="0.25">
      <c r="D3191">
        <v>1940743</v>
      </c>
    </row>
    <row r="3192" spans="4:4" x14ac:dyDescent="0.25">
      <c r="D3192">
        <v>1940743</v>
      </c>
    </row>
    <row r="3193" spans="4:4" x14ac:dyDescent="0.25">
      <c r="D3193">
        <v>1940743</v>
      </c>
    </row>
    <row r="3194" spans="4:4" x14ac:dyDescent="0.25">
      <c r="D3194">
        <v>1940744</v>
      </c>
    </row>
    <row r="3195" spans="4:4" x14ac:dyDescent="0.25">
      <c r="D3195">
        <v>1940744</v>
      </c>
    </row>
    <row r="3196" spans="4:4" x14ac:dyDescent="0.25">
      <c r="D3196">
        <v>1940744</v>
      </c>
    </row>
    <row r="3197" spans="4:4" x14ac:dyDescent="0.25">
      <c r="D3197">
        <v>1940744</v>
      </c>
    </row>
    <row r="3198" spans="4:4" x14ac:dyDescent="0.25">
      <c r="D3198">
        <v>1940744</v>
      </c>
    </row>
    <row r="3199" spans="4:4" x14ac:dyDescent="0.25">
      <c r="D3199">
        <v>1940744</v>
      </c>
    </row>
    <row r="3200" spans="4:4" x14ac:dyDescent="0.25">
      <c r="D3200">
        <v>1940744</v>
      </c>
    </row>
    <row r="3201" spans="4:4" x14ac:dyDescent="0.25">
      <c r="D3201">
        <v>1308858</v>
      </c>
    </row>
    <row r="3202" spans="4:4" x14ac:dyDescent="0.25">
      <c r="D3202">
        <v>1940745</v>
      </c>
    </row>
    <row r="3203" spans="4:4" x14ac:dyDescent="0.25">
      <c r="D3203">
        <v>1940745</v>
      </c>
    </row>
    <row r="3204" spans="4:4" x14ac:dyDescent="0.25">
      <c r="D3204">
        <v>1940745</v>
      </c>
    </row>
    <row r="3205" spans="4:4" x14ac:dyDescent="0.25">
      <c r="D3205">
        <v>1940745</v>
      </c>
    </row>
    <row r="3206" spans="4:4" x14ac:dyDescent="0.25">
      <c r="D3206">
        <v>3191748</v>
      </c>
    </row>
    <row r="3207" spans="4:4" x14ac:dyDescent="0.25">
      <c r="D3207">
        <v>3191748</v>
      </c>
    </row>
    <row r="3208" spans="4:4" x14ac:dyDescent="0.25">
      <c r="D3208">
        <v>3191748</v>
      </c>
    </row>
    <row r="3209" spans="4:4" x14ac:dyDescent="0.25">
      <c r="D3209">
        <v>3191748</v>
      </c>
    </row>
    <row r="3210" spans="4:4" x14ac:dyDescent="0.25">
      <c r="D3210">
        <v>3191748</v>
      </c>
    </row>
    <row r="3211" spans="4:4" x14ac:dyDescent="0.25">
      <c r="D3211">
        <v>3191748</v>
      </c>
    </row>
    <row r="3212" spans="4:4" x14ac:dyDescent="0.25">
      <c r="D3212">
        <v>3191748</v>
      </c>
    </row>
    <row r="3213" spans="4:4" x14ac:dyDescent="0.25">
      <c r="D3213">
        <v>3191748</v>
      </c>
    </row>
    <row r="3214" spans="4:4" x14ac:dyDescent="0.25">
      <c r="D3214">
        <v>3191748</v>
      </c>
    </row>
    <row r="3215" spans="4:4" x14ac:dyDescent="0.25">
      <c r="D3215">
        <v>3515521</v>
      </c>
    </row>
    <row r="3216" spans="4:4" x14ac:dyDescent="0.25">
      <c r="D3216">
        <v>3500959</v>
      </c>
    </row>
    <row r="3217" spans="4:4" x14ac:dyDescent="0.25">
      <c r="D3217">
        <v>3500959</v>
      </c>
    </row>
    <row r="3218" spans="4:4" x14ac:dyDescent="0.25">
      <c r="D3218">
        <v>3500959</v>
      </c>
    </row>
    <row r="3219" spans="4:4" x14ac:dyDescent="0.25">
      <c r="D3219">
        <v>3500959</v>
      </c>
    </row>
    <row r="3220" spans="4:4" x14ac:dyDescent="0.25">
      <c r="D3220">
        <v>3500959</v>
      </c>
    </row>
    <row r="3221" spans="4:4" x14ac:dyDescent="0.25">
      <c r="D3221">
        <v>3500959</v>
      </c>
    </row>
    <row r="3222" spans="4:4" x14ac:dyDescent="0.25">
      <c r="D3222">
        <v>3500959</v>
      </c>
    </row>
    <row r="3223" spans="4:4" x14ac:dyDescent="0.25">
      <c r="D3223">
        <v>3500959</v>
      </c>
    </row>
    <row r="3224" spans="4:4" x14ac:dyDescent="0.25">
      <c r="D3224">
        <v>3500959</v>
      </c>
    </row>
    <row r="3225" spans="4:4" x14ac:dyDescent="0.25">
      <c r="D3225">
        <v>3500959</v>
      </c>
    </row>
    <row r="3226" spans="4:4" x14ac:dyDescent="0.25">
      <c r="D3226">
        <v>3500959</v>
      </c>
    </row>
    <row r="3227" spans="4:4" x14ac:dyDescent="0.25">
      <c r="D3227">
        <v>3502253</v>
      </c>
    </row>
    <row r="3228" spans="4:4" x14ac:dyDescent="0.25">
      <c r="D3228">
        <v>3442534</v>
      </c>
    </row>
    <row r="3229" spans="4:4" x14ac:dyDescent="0.25">
      <c r="D3229">
        <v>3682063</v>
      </c>
    </row>
    <row r="3230" spans="4:4" x14ac:dyDescent="0.25">
      <c r="D3230">
        <v>3533164</v>
      </c>
    </row>
    <row r="3231" spans="4:4" x14ac:dyDescent="0.25">
      <c r="D3231">
        <v>3533164</v>
      </c>
    </row>
    <row r="3232" spans="4:4" x14ac:dyDescent="0.25">
      <c r="D3232">
        <v>257093</v>
      </c>
    </row>
    <row r="3233" spans="4:4" x14ac:dyDescent="0.25">
      <c r="D3233">
        <v>257093</v>
      </c>
    </row>
    <row r="3234" spans="4:4" x14ac:dyDescent="0.25">
      <c r="D3234">
        <v>257093</v>
      </c>
    </row>
    <row r="3235" spans="4:4" x14ac:dyDescent="0.25">
      <c r="D3235">
        <v>257093</v>
      </c>
    </row>
    <row r="3236" spans="4:4" x14ac:dyDescent="0.25">
      <c r="D3236">
        <v>257093</v>
      </c>
    </row>
    <row r="3237" spans="4:4" x14ac:dyDescent="0.25">
      <c r="D3237">
        <v>257093</v>
      </c>
    </row>
    <row r="3238" spans="4:4" x14ac:dyDescent="0.25">
      <c r="D3238">
        <v>3509424</v>
      </c>
    </row>
    <row r="3239" spans="4:4" x14ac:dyDescent="0.25">
      <c r="D3239">
        <v>3509424</v>
      </c>
    </row>
    <row r="3240" spans="4:4" x14ac:dyDescent="0.25">
      <c r="D3240">
        <v>1529742</v>
      </c>
    </row>
    <row r="3241" spans="4:4" x14ac:dyDescent="0.25">
      <c r="D3241">
        <v>3788034</v>
      </c>
    </row>
    <row r="3242" spans="4:4" x14ac:dyDescent="0.25">
      <c r="D3242">
        <v>3500240</v>
      </c>
    </row>
    <row r="3243" spans="4:4" x14ac:dyDescent="0.25">
      <c r="D3243">
        <v>3500240</v>
      </c>
    </row>
    <row r="3244" spans="4:4" x14ac:dyDescent="0.25">
      <c r="D3244">
        <v>3500240</v>
      </c>
    </row>
    <row r="3245" spans="4:4" x14ac:dyDescent="0.25">
      <c r="D3245">
        <v>3502007</v>
      </c>
    </row>
    <row r="3246" spans="4:4" x14ac:dyDescent="0.25">
      <c r="D3246">
        <v>3502007</v>
      </c>
    </row>
    <row r="3247" spans="4:4" x14ac:dyDescent="0.25">
      <c r="D3247">
        <v>3502007</v>
      </c>
    </row>
    <row r="3248" spans="4:4" x14ac:dyDescent="0.25">
      <c r="D3248">
        <v>3502007</v>
      </c>
    </row>
    <row r="3249" spans="4:4" x14ac:dyDescent="0.25">
      <c r="D3249">
        <v>3502007</v>
      </c>
    </row>
    <row r="3250" spans="4:4" x14ac:dyDescent="0.25">
      <c r="D3250">
        <v>3502007</v>
      </c>
    </row>
    <row r="3251" spans="4:4" x14ac:dyDescent="0.25">
      <c r="D3251">
        <v>3502007</v>
      </c>
    </row>
    <row r="3252" spans="4:4" x14ac:dyDescent="0.25">
      <c r="D3252">
        <v>3502007</v>
      </c>
    </row>
    <row r="3253" spans="4:4" x14ac:dyDescent="0.25">
      <c r="D3253">
        <v>3502007</v>
      </c>
    </row>
    <row r="3254" spans="4:4" x14ac:dyDescent="0.25">
      <c r="D3254">
        <v>3502007</v>
      </c>
    </row>
    <row r="3255" spans="4:4" x14ac:dyDescent="0.25">
      <c r="D3255">
        <v>3502007</v>
      </c>
    </row>
    <row r="3256" spans="4:4" x14ac:dyDescent="0.25">
      <c r="D3256">
        <v>3502007</v>
      </c>
    </row>
    <row r="3257" spans="4:4" x14ac:dyDescent="0.25">
      <c r="D3257">
        <v>3502007</v>
      </c>
    </row>
    <row r="3258" spans="4:4" x14ac:dyDescent="0.25">
      <c r="D3258">
        <v>3502007</v>
      </c>
    </row>
    <row r="3259" spans="4:4" x14ac:dyDescent="0.25">
      <c r="D3259">
        <v>3747392</v>
      </c>
    </row>
    <row r="3260" spans="4:4" x14ac:dyDescent="0.25">
      <c r="D3260">
        <v>1940779</v>
      </c>
    </row>
    <row r="3261" spans="4:4" x14ac:dyDescent="0.25">
      <c r="D3261">
        <v>1940779</v>
      </c>
    </row>
    <row r="3262" spans="4:4" x14ac:dyDescent="0.25">
      <c r="D3262">
        <v>1940779</v>
      </c>
    </row>
    <row r="3263" spans="4:4" x14ac:dyDescent="0.25">
      <c r="D3263">
        <v>3784540</v>
      </c>
    </row>
    <row r="3264" spans="4:4" x14ac:dyDescent="0.25">
      <c r="D3264">
        <v>3784540</v>
      </c>
    </row>
    <row r="3265" spans="4:4" x14ac:dyDescent="0.25">
      <c r="D3265">
        <v>1938125</v>
      </c>
    </row>
    <row r="3266" spans="4:4" x14ac:dyDescent="0.25">
      <c r="D3266">
        <v>1938125</v>
      </c>
    </row>
    <row r="3267" spans="4:4" x14ac:dyDescent="0.25">
      <c r="D3267">
        <v>1938125</v>
      </c>
    </row>
    <row r="3268" spans="4:4" x14ac:dyDescent="0.25">
      <c r="D3268">
        <v>1938125</v>
      </c>
    </row>
    <row r="3269" spans="4:4" x14ac:dyDescent="0.25">
      <c r="D3269">
        <v>1938125</v>
      </c>
    </row>
    <row r="3270" spans="4:4" x14ac:dyDescent="0.25">
      <c r="D3270">
        <v>1938125</v>
      </c>
    </row>
    <row r="3271" spans="4:4" x14ac:dyDescent="0.25">
      <c r="D3271">
        <v>1938125</v>
      </c>
    </row>
    <row r="3272" spans="4:4" x14ac:dyDescent="0.25">
      <c r="D3272">
        <v>1938125</v>
      </c>
    </row>
    <row r="3273" spans="4:4" x14ac:dyDescent="0.25">
      <c r="D3273">
        <v>1938125</v>
      </c>
    </row>
    <row r="3274" spans="4:4" x14ac:dyDescent="0.25">
      <c r="D3274">
        <v>1938125</v>
      </c>
    </row>
    <row r="3275" spans="4:4" x14ac:dyDescent="0.25">
      <c r="D3275">
        <v>1938125</v>
      </c>
    </row>
    <row r="3276" spans="4:4" x14ac:dyDescent="0.25">
      <c r="D3276">
        <v>1938125</v>
      </c>
    </row>
    <row r="3277" spans="4:4" x14ac:dyDescent="0.25">
      <c r="D3277">
        <v>1938125</v>
      </c>
    </row>
    <row r="3278" spans="4:4" x14ac:dyDescent="0.25">
      <c r="D3278">
        <v>1938125</v>
      </c>
    </row>
    <row r="3279" spans="4:4" x14ac:dyDescent="0.25">
      <c r="D3279">
        <v>1130592</v>
      </c>
    </row>
    <row r="3280" spans="4:4" x14ac:dyDescent="0.25">
      <c r="D3280">
        <v>329678</v>
      </c>
    </row>
    <row r="3281" spans="4:4" x14ac:dyDescent="0.25">
      <c r="D3281">
        <v>1116276</v>
      </c>
    </row>
    <row r="3282" spans="4:4" x14ac:dyDescent="0.25">
      <c r="D3282">
        <v>1116782</v>
      </c>
    </row>
    <row r="3283" spans="4:4" x14ac:dyDescent="0.25">
      <c r="D3283">
        <v>1116686</v>
      </c>
    </row>
    <row r="3284" spans="4:4" x14ac:dyDescent="0.25">
      <c r="D3284">
        <v>431498</v>
      </c>
    </row>
    <row r="3285" spans="4:4" x14ac:dyDescent="0.25">
      <c r="D3285">
        <v>3842022</v>
      </c>
    </row>
    <row r="3286" spans="4:4" x14ac:dyDescent="0.25">
      <c r="D3286">
        <v>349227</v>
      </c>
    </row>
    <row r="3287" spans="4:4" x14ac:dyDescent="0.25">
      <c r="D3287">
        <v>3501038</v>
      </c>
    </row>
    <row r="3288" spans="4:4" x14ac:dyDescent="0.25">
      <c r="D3288">
        <v>3501038</v>
      </c>
    </row>
    <row r="3289" spans="4:4" x14ac:dyDescent="0.25">
      <c r="D3289">
        <v>3501038</v>
      </c>
    </row>
    <row r="3290" spans="4:4" x14ac:dyDescent="0.25">
      <c r="D3290">
        <v>3501038</v>
      </c>
    </row>
    <row r="3291" spans="4:4" x14ac:dyDescent="0.25">
      <c r="D3291">
        <v>3501038</v>
      </c>
    </row>
    <row r="3292" spans="4:4" x14ac:dyDescent="0.25">
      <c r="D3292">
        <v>3501038</v>
      </c>
    </row>
    <row r="3293" spans="4:4" x14ac:dyDescent="0.25">
      <c r="D3293">
        <v>3501038</v>
      </c>
    </row>
    <row r="3294" spans="4:4" x14ac:dyDescent="0.25">
      <c r="D3294">
        <v>3501038</v>
      </c>
    </row>
    <row r="3295" spans="4:4" x14ac:dyDescent="0.25">
      <c r="D3295">
        <v>3501038</v>
      </c>
    </row>
    <row r="3296" spans="4:4" x14ac:dyDescent="0.25">
      <c r="D3296">
        <v>3501038</v>
      </c>
    </row>
    <row r="3297" spans="4:4" x14ac:dyDescent="0.25">
      <c r="D3297">
        <v>3572046</v>
      </c>
    </row>
    <row r="3298" spans="4:4" x14ac:dyDescent="0.25">
      <c r="D3298">
        <v>3572046</v>
      </c>
    </row>
    <row r="3299" spans="4:4" x14ac:dyDescent="0.25">
      <c r="D3299">
        <v>3572046</v>
      </c>
    </row>
    <row r="3300" spans="4:4" x14ac:dyDescent="0.25">
      <c r="D3300">
        <v>3572046</v>
      </c>
    </row>
    <row r="3301" spans="4:4" x14ac:dyDescent="0.25">
      <c r="D3301">
        <v>3572046</v>
      </c>
    </row>
    <row r="3302" spans="4:4" x14ac:dyDescent="0.25">
      <c r="D3302">
        <v>3572046</v>
      </c>
    </row>
    <row r="3303" spans="4:4" x14ac:dyDescent="0.25">
      <c r="D3303">
        <v>3572046</v>
      </c>
    </row>
    <row r="3304" spans="4:4" x14ac:dyDescent="0.25">
      <c r="D3304">
        <v>3572046</v>
      </c>
    </row>
    <row r="3305" spans="4:4" x14ac:dyDescent="0.25">
      <c r="D3305">
        <v>3572046</v>
      </c>
    </row>
    <row r="3306" spans="4:4" x14ac:dyDescent="0.25">
      <c r="D3306">
        <v>3572046</v>
      </c>
    </row>
    <row r="3307" spans="4:4" x14ac:dyDescent="0.25">
      <c r="D3307">
        <v>3572046</v>
      </c>
    </row>
    <row r="3308" spans="4:4" x14ac:dyDescent="0.25">
      <c r="D3308">
        <v>3572046</v>
      </c>
    </row>
    <row r="3309" spans="4:4" x14ac:dyDescent="0.25">
      <c r="D3309">
        <v>3572046</v>
      </c>
    </row>
    <row r="3310" spans="4:4" x14ac:dyDescent="0.25">
      <c r="D3310">
        <v>3572046</v>
      </c>
    </row>
    <row r="3311" spans="4:4" x14ac:dyDescent="0.25">
      <c r="D3311">
        <v>3572047</v>
      </c>
    </row>
    <row r="3312" spans="4:4" x14ac:dyDescent="0.25">
      <c r="D3312">
        <v>3572047</v>
      </c>
    </row>
    <row r="3313" spans="4:4" x14ac:dyDescent="0.25">
      <c r="D3313">
        <v>3572047</v>
      </c>
    </row>
    <row r="3314" spans="4:4" x14ac:dyDescent="0.25">
      <c r="D3314">
        <v>3572047</v>
      </c>
    </row>
    <row r="3315" spans="4:4" x14ac:dyDescent="0.25">
      <c r="D3315">
        <v>3572047</v>
      </c>
    </row>
    <row r="3316" spans="4:4" x14ac:dyDescent="0.25">
      <c r="D3316">
        <v>3572047</v>
      </c>
    </row>
    <row r="3317" spans="4:4" x14ac:dyDescent="0.25">
      <c r="D3317">
        <v>3572047</v>
      </c>
    </row>
    <row r="3318" spans="4:4" x14ac:dyDescent="0.25">
      <c r="D3318">
        <v>3572047</v>
      </c>
    </row>
    <row r="3319" spans="4:4" x14ac:dyDescent="0.25">
      <c r="D3319">
        <v>3572047</v>
      </c>
    </row>
    <row r="3320" spans="4:4" x14ac:dyDescent="0.25">
      <c r="D3320">
        <v>3572047</v>
      </c>
    </row>
    <row r="3321" spans="4:4" x14ac:dyDescent="0.25">
      <c r="D3321">
        <v>3572047</v>
      </c>
    </row>
    <row r="3322" spans="4:4" x14ac:dyDescent="0.25">
      <c r="D3322">
        <v>3572047</v>
      </c>
    </row>
    <row r="3323" spans="4:4" x14ac:dyDescent="0.25">
      <c r="D3323">
        <v>3572047</v>
      </c>
    </row>
    <row r="3324" spans="4:4" x14ac:dyDescent="0.25">
      <c r="D3324">
        <v>3572047</v>
      </c>
    </row>
    <row r="3325" spans="4:4" x14ac:dyDescent="0.25">
      <c r="D3325">
        <v>3584174</v>
      </c>
    </row>
    <row r="3326" spans="4:4" x14ac:dyDescent="0.25">
      <c r="D3326">
        <v>3584174</v>
      </c>
    </row>
    <row r="3327" spans="4:4" x14ac:dyDescent="0.25">
      <c r="D3327">
        <v>3584174</v>
      </c>
    </row>
    <row r="3328" spans="4:4" x14ac:dyDescent="0.25">
      <c r="D3328">
        <v>3584174</v>
      </c>
    </row>
    <row r="3329" spans="4:4" x14ac:dyDescent="0.25">
      <c r="D3329">
        <v>3584174</v>
      </c>
    </row>
    <row r="3330" spans="4:4" x14ac:dyDescent="0.25">
      <c r="D3330">
        <v>3584174</v>
      </c>
    </row>
    <row r="3331" spans="4:4" x14ac:dyDescent="0.25">
      <c r="D3331">
        <v>3584174</v>
      </c>
    </row>
    <row r="3332" spans="4:4" x14ac:dyDescent="0.25">
      <c r="D3332">
        <v>3584174</v>
      </c>
    </row>
    <row r="3333" spans="4:4" x14ac:dyDescent="0.25">
      <c r="D3333">
        <v>3584174</v>
      </c>
    </row>
    <row r="3334" spans="4:4" x14ac:dyDescent="0.25">
      <c r="D3334">
        <v>3584174</v>
      </c>
    </row>
    <row r="3335" spans="4:4" x14ac:dyDescent="0.25">
      <c r="D3335">
        <v>3584174</v>
      </c>
    </row>
    <row r="3336" spans="4:4" x14ac:dyDescent="0.25">
      <c r="D3336">
        <v>3584174</v>
      </c>
    </row>
    <row r="3337" spans="4:4" x14ac:dyDescent="0.25">
      <c r="D3337">
        <v>3584174</v>
      </c>
    </row>
    <row r="3338" spans="4:4" x14ac:dyDescent="0.25">
      <c r="D3338">
        <v>3584174</v>
      </c>
    </row>
    <row r="3339" spans="4:4" x14ac:dyDescent="0.25">
      <c r="D3339">
        <v>3230467</v>
      </c>
    </row>
    <row r="3340" spans="4:4" x14ac:dyDescent="0.25">
      <c r="D3340">
        <v>3584171</v>
      </c>
    </row>
    <row r="3341" spans="4:4" x14ac:dyDescent="0.25">
      <c r="D3341">
        <v>3584171</v>
      </c>
    </row>
    <row r="3342" spans="4:4" x14ac:dyDescent="0.25">
      <c r="D3342">
        <v>3584171</v>
      </c>
    </row>
    <row r="3343" spans="4:4" x14ac:dyDescent="0.25">
      <c r="D3343">
        <v>3584171</v>
      </c>
    </row>
    <row r="3344" spans="4:4" x14ac:dyDescent="0.25">
      <c r="D3344">
        <v>3584171</v>
      </c>
    </row>
    <row r="3345" spans="4:4" x14ac:dyDescent="0.25">
      <c r="D3345">
        <v>3584171</v>
      </c>
    </row>
    <row r="3346" spans="4:4" x14ac:dyDescent="0.25">
      <c r="D3346">
        <v>3584171</v>
      </c>
    </row>
    <row r="3347" spans="4:4" x14ac:dyDescent="0.25">
      <c r="D3347">
        <v>3584171</v>
      </c>
    </row>
    <row r="3348" spans="4:4" x14ac:dyDescent="0.25">
      <c r="D3348">
        <v>3584171</v>
      </c>
    </row>
    <row r="3349" spans="4:4" x14ac:dyDescent="0.25">
      <c r="D3349">
        <v>3584171</v>
      </c>
    </row>
    <row r="3350" spans="4:4" x14ac:dyDescent="0.25">
      <c r="D3350">
        <v>3584171</v>
      </c>
    </row>
    <row r="3351" spans="4:4" x14ac:dyDescent="0.25">
      <c r="D3351">
        <v>3584171</v>
      </c>
    </row>
    <row r="3352" spans="4:4" x14ac:dyDescent="0.25">
      <c r="D3352">
        <v>3584171</v>
      </c>
    </row>
    <row r="3353" spans="4:4" x14ac:dyDescent="0.25">
      <c r="D3353">
        <v>3584171</v>
      </c>
    </row>
    <row r="3354" spans="4:4" x14ac:dyDescent="0.25">
      <c r="D3354">
        <v>3572048</v>
      </c>
    </row>
    <row r="3355" spans="4:4" x14ac:dyDescent="0.25">
      <c r="D3355">
        <v>3572048</v>
      </c>
    </row>
    <row r="3356" spans="4:4" x14ac:dyDescent="0.25">
      <c r="D3356">
        <v>3572048</v>
      </c>
    </row>
    <row r="3357" spans="4:4" x14ac:dyDescent="0.25">
      <c r="D3357">
        <v>3572048</v>
      </c>
    </row>
    <row r="3358" spans="4:4" x14ac:dyDescent="0.25">
      <c r="D3358">
        <v>3572048</v>
      </c>
    </row>
    <row r="3359" spans="4:4" x14ac:dyDescent="0.25">
      <c r="D3359">
        <v>3572048</v>
      </c>
    </row>
    <row r="3360" spans="4:4" x14ac:dyDescent="0.25">
      <c r="D3360">
        <v>3572048</v>
      </c>
    </row>
    <row r="3361" spans="4:4" x14ac:dyDescent="0.25">
      <c r="D3361">
        <v>3572048</v>
      </c>
    </row>
    <row r="3362" spans="4:4" x14ac:dyDescent="0.25">
      <c r="D3362">
        <v>3572048</v>
      </c>
    </row>
    <row r="3363" spans="4:4" x14ac:dyDescent="0.25">
      <c r="D3363">
        <v>3572048</v>
      </c>
    </row>
    <row r="3364" spans="4:4" x14ac:dyDescent="0.25">
      <c r="D3364">
        <v>3572048</v>
      </c>
    </row>
    <row r="3365" spans="4:4" x14ac:dyDescent="0.25">
      <c r="D3365">
        <v>3572048</v>
      </c>
    </row>
    <row r="3366" spans="4:4" x14ac:dyDescent="0.25">
      <c r="D3366">
        <v>3572048</v>
      </c>
    </row>
    <row r="3367" spans="4:4" x14ac:dyDescent="0.25">
      <c r="D3367">
        <v>3572048</v>
      </c>
    </row>
    <row r="3368" spans="4:4" x14ac:dyDescent="0.25">
      <c r="D3368">
        <v>3675690</v>
      </c>
    </row>
    <row r="3369" spans="4:4" x14ac:dyDescent="0.25">
      <c r="D3369">
        <v>3676011</v>
      </c>
    </row>
    <row r="3370" spans="4:4" x14ac:dyDescent="0.25">
      <c r="D3370">
        <v>3676012</v>
      </c>
    </row>
    <row r="3371" spans="4:4" x14ac:dyDescent="0.25">
      <c r="D3371">
        <v>3572049</v>
      </c>
    </row>
    <row r="3372" spans="4:4" x14ac:dyDescent="0.25">
      <c r="D3372">
        <v>3572049</v>
      </c>
    </row>
    <row r="3373" spans="4:4" x14ac:dyDescent="0.25">
      <c r="D3373">
        <v>3572049</v>
      </c>
    </row>
    <row r="3374" spans="4:4" x14ac:dyDescent="0.25">
      <c r="D3374">
        <v>3572049</v>
      </c>
    </row>
    <row r="3375" spans="4:4" x14ac:dyDescent="0.25">
      <c r="D3375">
        <v>3572049</v>
      </c>
    </row>
    <row r="3376" spans="4:4" x14ac:dyDescent="0.25">
      <c r="D3376">
        <v>3572049</v>
      </c>
    </row>
    <row r="3377" spans="4:4" x14ac:dyDescent="0.25">
      <c r="D3377">
        <v>3572049</v>
      </c>
    </row>
    <row r="3378" spans="4:4" x14ac:dyDescent="0.25">
      <c r="D3378">
        <v>3572049</v>
      </c>
    </row>
    <row r="3379" spans="4:4" x14ac:dyDescent="0.25">
      <c r="D3379">
        <v>3572049</v>
      </c>
    </row>
    <row r="3380" spans="4:4" x14ac:dyDescent="0.25">
      <c r="D3380">
        <v>3572049</v>
      </c>
    </row>
    <row r="3381" spans="4:4" x14ac:dyDescent="0.25">
      <c r="D3381">
        <v>3572049</v>
      </c>
    </row>
    <row r="3382" spans="4:4" x14ac:dyDescent="0.25">
      <c r="D3382">
        <v>3572049</v>
      </c>
    </row>
    <row r="3383" spans="4:4" x14ac:dyDescent="0.25">
      <c r="D3383">
        <v>3572049</v>
      </c>
    </row>
    <row r="3384" spans="4:4" x14ac:dyDescent="0.25">
      <c r="D3384">
        <v>3572049</v>
      </c>
    </row>
    <row r="3385" spans="4:4" x14ac:dyDescent="0.25">
      <c r="D3385">
        <v>3572050</v>
      </c>
    </row>
    <row r="3386" spans="4:4" x14ac:dyDescent="0.25">
      <c r="D3386">
        <v>3572050</v>
      </c>
    </row>
    <row r="3387" spans="4:4" x14ac:dyDescent="0.25">
      <c r="D3387">
        <v>3572050</v>
      </c>
    </row>
    <row r="3388" spans="4:4" x14ac:dyDescent="0.25">
      <c r="D3388">
        <v>3572050</v>
      </c>
    </row>
    <row r="3389" spans="4:4" x14ac:dyDescent="0.25">
      <c r="D3389">
        <v>3572050</v>
      </c>
    </row>
    <row r="3390" spans="4:4" x14ac:dyDescent="0.25">
      <c r="D3390">
        <v>3572050</v>
      </c>
    </row>
    <row r="3391" spans="4:4" x14ac:dyDescent="0.25">
      <c r="D3391">
        <v>3572050</v>
      </c>
    </row>
    <row r="3392" spans="4:4" x14ac:dyDescent="0.25">
      <c r="D3392">
        <v>3572050</v>
      </c>
    </row>
    <row r="3393" spans="4:4" x14ac:dyDescent="0.25">
      <c r="D3393">
        <v>3572050</v>
      </c>
    </row>
    <row r="3394" spans="4:4" x14ac:dyDescent="0.25">
      <c r="D3394">
        <v>3572050</v>
      </c>
    </row>
    <row r="3395" spans="4:4" x14ac:dyDescent="0.25">
      <c r="D3395">
        <v>3572050</v>
      </c>
    </row>
    <row r="3396" spans="4:4" x14ac:dyDescent="0.25">
      <c r="D3396">
        <v>3572050</v>
      </c>
    </row>
    <row r="3397" spans="4:4" x14ac:dyDescent="0.25">
      <c r="D3397">
        <v>3572050</v>
      </c>
    </row>
    <row r="3398" spans="4:4" x14ac:dyDescent="0.25">
      <c r="D3398">
        <v>3572050</v>
      </c>
    </row>
    <row r="3399" spans="4:4" x14ac:dyDescent="0.25">
      <c r="D3399">
        <v>3676013</v>
      </c>
    </row>
    <row r="3400" spans="4:4" x14ac:dyDescent="0.25">
      <c r="D3400">
        <v>3572051</v>
      </c>
    </row>
    <row r="3401" spans="4:4" x14ac:dyDescent="0.25">
      <c r="D3401">
        <v>3572051</v>
      </c>
    </row>
    <row r="3402" spans="4:4" x14ac:dyDescent="0.25">
      <c r="D3402">
        <v>3572051</v>
      </c>
    </row>
    <row r="3403" spans="4:4" x14ac:dyDescent="0.25">
      <c r="D3403">
        <v>3572051</v>
      </c>
    </row>
    <row r="3404" spans="4:4" x14ac:dyDescent="0.25">
      <c r="D3404">
        <v>3572051</v>
      </c>
    </row>
    <row r="3405" spans="4:4" x14ac:dyDescent="0.25">
      <c r="D3405">
        <v>3572051</v>
      </c>
    </row>
    <row r="3406" spans="4:4" x14ac:dyDescent="0.25">
      <c r="D3406">
        <v>3572051</v>
      </c>
    </row>
    <row r="3407" spans="4:4" x14ac:dyDescent="0.25">
      <c r="D3407">
        <v>3572051</v>
      </c>
    </row>
    <row r="3408" spans="4:4" x14ac:dyDescent="0.25">
      <c r="D3408">
        <v>3572051</v>
      </c>
    </row>
    <row r="3409" spans="4:4" x14ac:dyDescent="0.25">
      <c r="D3409">
        <v>3572051</v>
      </c>
    </row>
    <row r="3410" spans="4:4" x14ac:dyDescent="0.25">
      <c r="D3410">
        <v>3572051</v>
      </c>
    </row>
    <row r="3411" spans="4:4" x14ac:dyDescent="0.25">
      <c r="D3411">
        <v>3572051</v>
      </c>
    </row>
    <row r="3412" spans="4:4" x14ac:dyDescent="0.25">
      <c r="D3412">
        <v>3572051</v>
      </c>
    </row>
    <row r="3413" spans="4:4" x14ac:dyDescent="0.25">
      <c r="D3413">
        <v>3572051</v>
      </c>
    </row>
    <row r="3414" spans="4:4" x14ac:dyDescent="0.25">
      <c r="D3414">
        <v>3676014</v>
      </c>
    </row>
    <row r="3415" spans="4:4" x14ac:dyDescent="0.25">
      <c r="D3415">
        <v>3676015</v>
      </c>
    </row>
    <row r="3416" spans="4:4" x14ac:dyDescent="0.25">
      <c r="D3416">
        <v>3572052</v>
      </c>
    </row>
    <row r="3417" spans="4:4" x14ac:dyDescent="0.25">
      <c r="D3417">
        <v>3572052</v>
      </c>
    </row>
    <row r="3418" spans="4:4" x14ac:dyDescent="0.25">
      <c r="D3418">
        <v>3572052</v>
      </c>
    </row>
    <row r="3419" spans="4:4" x14ac:dyDescent="0.25">
      <c r="D3419">
        <v>3572052</v>
      </c>
    </row>
    <row r="3420" spans="4:4" x14ac:dyDescent="0.25">
      <c r="D3420">
        <v>3572052</v>
      </c>
    </row>
    <row r="3421" spans="4:4" x14ac:dyDescent="0.25">
      <c r="D3421">
        <v>3572052</v>
      </c>
    </row>
    <row r="3422" spans="4:4" x14ac:dyDescent="0.25">
      <c r="D3422">
        <v>3572052</v>
      </c>
    </row>
    <row r="3423" spans="4:4" x14ac:dyDescent="0.25">
      <c r="D3423">
        <v>3572052</v>
      </c>
    </row>
    <row r="3424" spans="4:4" x14ac:dyDescent="0.25">
      <c r="D3424">
        <v>3572052</v>
      </c>
    </row>
    <row r="3425" spans="4:4" x14ac:dyDescent="0.25">
      <c r="D3425">
        <v>3572052</v>
      </c>
    </row>
    <row r="3426" spans="4:4" x14ac:dyDescent="0.25">
      <c r="D3426">
        <v>3572052</v>
      </c>
    </row>
    <row r="3427" spans="4:4" x14ac:dyDescent="0.25">
      <c r="D3427">
        <v>3572052</v>
      </c>
    </row>
    <row r="3428" spans="4:4" x14ac:dyDescent="0.25">
      <c r="D3428">
        <v>3572052</v>
      </c>
    </row>
    <row r="3429" spans="4:4" x14ac:dyDescent="0.25">
      <c r="D3429">
        <v>3572052</v>
      </c>
    </row>
    <row r="3430" spans="4:4" x14ac:dyDescent="0.25">
      <c r="D3430">
        <v>3676016</v>
      </c>
    </row>
    <row r="3431" spans="4:4" x14ac:dyDescent="0.25">
      <c r="D3431">
        <v>3676017</v>
      </c>
    </row>
    <row r="3432" spans="4:4" x14ac:dyDescent="0.25">
      <c r="D3432">
        <v>3572053</v>
      </c>
    </row>
    <row r="3433" spans="4:4" x14ac:dyDescent="0.25">
      <c r="D3433">
        <v>3572053</v>
      </c>
    </row>
    <row r="3434" spans="4:4" x14ac:dyDescent="0.25">
      <c r="D3434">
        <v>3572053</v>
      </c>
    </row>
    <row r="3435" spans="4:4" x14ac:dyDescent="0.25">
      <c r="D3435">
        <v>3572053</v>
      </c>
    </row>
    <row r="3436" spans="4:4" x14ac:dyDescent="0.25">
      <c r="D3436">
        <v>3572053</v>
      </c>
    </row>
    <row r="3437" spans="4:4" x14ac:dyDescent="0.25">
      <c r="D3437">
        <v>3572053</v>
      </c>
    </row>
    <row r="3438" spans="4:4" x14ac:dyDescent="0.25">
      <c r="D3438">
        <v>3572053</v>
      </c>
    </row>
    <row r="3439" spans="4:4" x14ac:dyDescent="0.25">
      <c r="D3439">
        <v>3572053</v>
      </c>
    </row>
    <row r="3440" spans="4:4" x14ac:dyDescent="0.25">
      <c r="D3440">
        <v>3572053</v>
      </c>
    </row>
    <row r="3441" spans="4:4" x14ac:dyDescent="0.25">
      <c r="D3441">
        <v>3572053</v>
      </c>
    </row>
    <row r="3442" spans="4:4" x14ac:dyDescent="0.25">
      <c r="D3442">
        <v>3572053</v>
      </c>
    </row>
    <row r="3443" spans="4:4" x14ac:dyDescent="0.25">
      <c r="D3443">
        <v>3572053</v>
      </c>
    </row>
    <row r="3444" spans="4:4" x14ac:dyDescent="0.25">
      <c r="D3444">
        <v>3572053</v>
      </c>
    </row>
    <row r="3445" spans="4:4" x14ac:dyDescent="0.25">
      <c r="D3445">
        <v>3572053</v>
      </c>
    </row>
    <row r="3446" spans="4:4" x14ac:dyDescent="0.25">
      <c r="D3446">
        <v>3572054</v>
      </c>
    </row>
    <row r="3447" spans="4:4" x14ac:dyDescent="0.25">
      <c r="D3447">
        <v>3572054</v>
      </c>
    </row>
    <row r="3448" spans="4:4" x14ac:dyDescent="0.25">
      <c r="D3448">
        <v>3572054</v>
      </c>
    </row>
    <row r="3449" spans="4:4" x14ac:dyDescent="0.25">
      <c r="D3449">
        <v>3572054</v>
      </c>
    </row>
    <row r="3450" spans="4:4" x14ac:dyDescent="0.25">
      <c r="D3450">
        <v>3572054</v>
      </c>
    </row>
    <row r="3451" spans="4:4" x14ac:dyDescent="0.25">
      <c r="D3451">
        <v>3572054</v>
      </c>
    </row>
    <row r="3452" spans="4:4" x14ac:dyDescent="0.25">
      <c r="D3452">
        <v>3572054</v>
      </c>
    </row>
    <row r="3453" spans="4:4" x14ac:dyDescent="0.25">
      <c r="D3453">
        <v>3572054</v>
      </c>
    </row>
    <row r="3454" spans="4:4" x14ac:dyDescent="0.25">
      <c r="D3454">
        <v>3572054</v>
      </c>
    </row>
    <row r="3455" spans="4:4" x14ac:dyDescent="0.25">
      <c r="D3455">
        <v>3572054</v>
      </c>
    </row>
    <row r="3456" spans="4:4" x14ac:dyDescent="0.25">
      <c r="D3456">
        <v>3572054</v>
      </c>
    </row>
    <row r="3457" spans="4:4" x14ac:dyDescent="0.25">
      <c r="D3457">
        <v>3572054</v>
      </c>
    </row>
    <row r="3458" spans="4:4" x14ac:dyDescent="0.25">
      <c r="D3458">
        <v>3572054</v>
      </c>
    </row>
    <row r="3459" spans="4:4" x14ac:dyDescent="0.25">
      <c r="D3459">
        <v>3572054</v>
      </c>
    </row>
    <row r="3460" spans="4:4" x14ac:dyDescent="0.25">
      <c r="D3460">
        <v>3230465</v>
      </c>
    </row>
    <row r="3461" spans="4:4" x14ac:dyDescent="0.25">
      <c r="D3461">
        <v>3230465</v>
      </c>
    </row>
    <row r="3462" spans="4:4" x14ac:dyDescent="0.25">
      <c r="D3462">
        <v>3230465</v>
      </c>
    </row>
    <row r="3463" spans="4:4" x14ac:dyDescent="0.25">
      <c r="D3463">
        <v>3230465</v>
      </c>
    </row>
    <row r="3464" spans="4:4" x14ac:dyDescent="0.25">
      <c r="D3464">
        <v>3230465</v>
      </c>
    </row>
    <row r="3465" spans="4:4" x14ac:dyDescent="0.25">
      <c r="D3465">
        <v>3230465</v>
      </c>
    </row>
    <row r="3466" spans="4:4" x14ac:dyDescent="0.25">
      <c r="D3466">
        <v>3230465</v>
      </c>
    </row>
    <row r="3467" spans="4:4" x14ac:dyDescent="0.25">
      <c r="D3467">
        <v>3230465</v>
      </c>
    </row>
    <row r="3468" spans="4:4" x14ac:dyDescent="0.25">
      <c r="D3468">
        <v>3230465</v>
      </c>
    </row>
    <row r="3469" spans="4:4" x14ac:dyDescent="0.25">
      <c r="D3469">
        <v>3230465</v>
      </c>
    </row>
    <row r="3470" spans="4:4" x14ac:dyDescent="0.25">
      <c r="D3470">
        <v>3230465</v>
      </c>
    </row>
    <row r="3471" spans="4:4" x14ac:dyDescent="0.25">
      <c r="D3471">
        <v>3230465</v>
      </c>
    </row>
    <row r="3472" spans="4:4" x14ac:dyDescent="0.25">
      <c r="D3472">
        <v>3230465</v>
      </c>
    </row>
    <row r="3473" spans="4:4" x14ac:dyDescent="0.25">
      <c r="D3473">
        <v>3230465</v>
      </c>
    </row>
    <row r="3474" spans="4:4" x14ac:dyDescent="0.25">
      <c r="D3474">
        <v>3230470</v>
      </c>
    </row>
    <row r="3475" spans="4:4" x14ac:dyDescent="0.25">
      <c r="D3475">
        <v>3230470</v>
      </c>
    </row>
    <row r="3476" spans="4:4" x14ac:dyDescent="0.25">
      <c r="D3476">
        <v>3230470</v>
      </c>
    </row>
    <row r="3477" spans="4:4" x14ac:dyDescent="0.25">
      <c r="D3477">
        <v>3230470</v>
      </c>
    </row>
    <row r="3478" spans="4:4" x14ac:dyDescent="0.25">
      <c r="D3478">
        <v>3230470</v>
      </c>
    </row>
    <row r="3479" spans="4:4" x14ac:dyDescent="0.25">
      <c r="D3479">
        <v>3230470</v>
      </c>
    </row>
    <row r="3480" spans="4:4" x14ac:dyDescent="0.25">
      <c r="D3480">
        <v>3230470</v>
      </c>
    </row>
    <row r="3481" spans="4:4" x14ac:dyDescent="0.25">
      <c r="D3481">
        <v>3230470</v>
      </c>
    </row>
    <row r="3482" spans="4:4" x14ac:dyDescent="0.25">
      <c r="D3482">
        <v>3230470</v>
      </c>
    </row>
    <row r="3483" spans="4:4" x14ac:dyDescent="0.25">
      <c r="D3483">
        <v>3230470</v>
      </c>
    </row>
    <row r="3484" spans="4:4" x14ac:dyDescent="0.25">
      <c r="D3484">
        <v>3230470</v>
      </c>
    </row>
    <row r="3485" spans="4:4" x14ac:dyDescent="0.25">
      <c r="D3485">
        <v>3230470</v>
      </c>
    </row>
    <row r="3486" spans="4:4" x14ac:dyDescent="0.25">
      <c r="D3486">
        <v>3230470</v>
      </c>
    </row>
    <row r="3487" spans="4:4" x14ac:dyDescent="0.25">
      <c r="D3487">
        <v>3230470</v>
      </c>
    </row>
    <row r="3488" spans="4:4" x14ac:dyDescent="0.25">
      <c r="D3488">
        <v>3676018</v>
      </c>
    </row>
    <row r="3489" spans="4:4" x14ac:dyDescent="0.25">
      <c r="D3489">
        <v>3597713</v>
      </c>
    </row>
    <row r="3490" spans="4:4" x14ac:dyDescent="0.25">
      <c r="D3490">
        <v>3597713</v>
      </c>
    </row>
    <row r="3491" spans="4:4" x14ac:dyDescent="0.25">
      <c r="D3491">
        <v>3597714</v>
      </c>
    </row>
    <row r="3492" spans="4:4" x14ac:dyDescent="0.25">
      <c r="D3492">
        <v>3233559</v>
      </c>
    </row>
    <row r="3493" spans="4:4" x14ac:dyDescent="0.25">
      <c r="D3493">
        <v>3233559</v>
      </c>
    </row>
    <row r="3494" spans="4:4" x14ac:dyDescent="0.25">
      <c r="D3494">
        <v>3233559</v>
      </c>
    </row>
    <row r="3495" spans="4:4" x14ac:dyDescent="0.25">
      <c r="D3495">
        <v>3233559</v>
      </c>
    </row>
    <row r="3496" spans="4:4" x14ac:dyDescent="0.25">
      <c r="D3496">
        <v>3233559</v>
      </c>
    </row>
    <row r="3497" spans="4:4" x14ac:dyDescent="0.25">
      <c r="D3497">
        <v>3233559</v>
      </c>
    </row>
    <row r="3498" spans="4:4" x14ac:dyDescent="0.25">
      <c r="D3498">
        <v>3233559</v>
      </c>
    </row>
    <row r="3499" spans="4:4" x14ac:dyDescent="0.25">
      <c r="D3499">
        <v>3233559</v>
      </c>
    </row>
    <row r="3500" spans="4:4" x14ac:dyDescent="0.25">
      <c r="D3500">
        <v>3233559</v>
      </c>
    </row>
    <row r="3501" spans="4:4" x14ac:dyDescent="0.25">
      <c r="D3501">
        <v>3233559</v>
      </c>
    </row>
    <row r="3502" spans="4:4" x14ac:dyDescent="0.25">
      <c r="D3502">
        <v>3233559</v>
      </c>
    </row>
    <row r="3503" spans="4:4" x14ac:dyDescent="0.25">
      <c r="D3503">
        <v>3233559</v>
      </c>
    </row>
    <row r="3504" spans="4:4" x14ac:dyDescent="0.25">
      <c r="D3504">
        <v>3233559</v>
      </c>
    </row>
    <row r="3505" spans="4:4" x14ac:dyDescent="0.25">
      <c r="D3505">
        <v>3233559</v>
      </c>
    </row>
    <row r="3506" spans="4:4" x14ac:dyDescent="0.25">
      <c r="D3506">
        <v>3233559</v>
      </c>
    </row>
    <row r="3507" spans="4:4" x14ac:dyDescent="0.25">
      <c r="D3507">
        <v>3233559</v>
      </c>
    </row>
    <row r="3508" spans="4:4" x14ac:dyDescent="0.25">
      <c r="D3508">
        <v>3233559</v>
      </c>
    </row>
    <row r="3509" spans="4:4" x14ac:dyDescent="0.25">
      <c r="D3509">
        <v>3233559</v>
      </c>
    </row>
    <row r="3510" spans="4:4" x14ac:dyDescent="0.25">
      <c r="D3510">
        <v>3233559</v>
      </c>
    </row>
    <row r="3511" spans="4:4" x14ac:dyDescent="0.25">
      <c r="D3511">
        <v>3233559</v>
      </c>
    </row>
    <row r="3512" spans="4:4" x14ac:dyDescent="0.25">
      <c r="D3512">
        <v>3233559</v>
      </c>
    </row>
    <row r="3513" spans="4:4" x14ac:dyDescent="0.25">
      <c r="D3513">
        <v>3233559</v>
      </c>
    </row>
    <row r="3514" spans="4:4" x14ac:dyDescent="0.25">
      <c r="D3514">
        <v>3233559</v>
      </c>
    </row>
    <row r="3515" spans="4:4" x14ac:dyDescent="0.25">
      <c r="D3515">
        <v>3233559</v>
      </c>
    </row>
    <row r="3516" spans="4:4" x14ac:dyDescent="0.25">
      <c r="D3516">
        <v>3233559</v>
      </c>
    </row>
    <row r="3517" spans="4:4" x14ac:dyDescent="0.25">
      <c r="D3517">
        <v>3233559</v>
      </c>
    </row>
    <row r="3518" spans="4:4" x14ac:dyDescent="0.25">
      <c r="D3518">
        <v>3233559</v>
      </c>
    </row>
    <row r="3519" spans="4:4" x14ac:dyDescent="0.25">
      <c r="D3519">
        <v>3233559</v>
      </c>
    </row>
    <row r="3520" spans="4:4" x14ac:dyDescent="0.25">
      <c r="D3520">
        <v>3233557</v>
      </c>
    </row>
    <row r="3521" spans="4:4" x14ac:dyDescent="0.25">
      <c r="D3521">
        <v>3233557</v>
      </c>
    </row>
    <row r="3522" spans="4:4" x14ac:dyDescent="0.25">
      <c r="D3522">
        <v>3233557</v>
      </c>
    </row>
    <row r="3523" spans="4:4" x14ac:dyDescent="0.25">
      <c r="D3523">
        <v>3233557</v>
      </c>
    </row>
    <row r="3524" spans="4:4" x14ac:dyDescent="0.25">
      <c r="D3524">
        <v>3233557</v>
      </c>
    </row>
    <row r="3525" spans="4:4" x14ac:dyDescent="0.25">
      <c r="D3525">
        <v>3233557</v>
      </c>
    </row>
    <row r="3526" spans="4:4" x14ac:dyDescent="0.25">
      <c r="D3526">
        <v>3233557</v>
      </c>
    </row>
    <row r="3527" spans="4:4" x14ac:dyDescent="0.25">
      <c r="D3527">
        <v>3233557</v>
      </c>
    </row>
    <row r="3528" spans="4:4" x14ac:dyDescent="0.25">
      <c r="D3528">
        <v>3233557</v>
      </c>
    </row>
    <row r="3529" spans="4:4" x14ac:dyDescent="0.25">
      <c r="D3529">
        <v>3233557</v>
      </c>
    </row>
    <row r="3530" spans="4:4" x14ac:dyDescent="0.25">
      <c r="D3530">
        <v>3233557</v>
      </c>
    </row>
    <row r="3531" spans="4:4" x14ac:dyDescent="0.25">
      <c r="D3531">
        <v>3233557</v>
      </c>
    </row>
    <row r="3532" spans="4:4" x14ac:dyDescent="0.25">
      <c r="D3532">
        <v>3233557</v>
      </c>
    </row>
    <row r="3533" spans="4:4" x14ac:dyDescent="0.25">
      <c r="D3533">
        <v>3233557</v>
      </c>
    </row>
    <row r="3534" spans="4:4" x14ac:dyDescent="0.25">
      <c r="D3534">
        <v>3233557</v>
      </c>
    </row>
    <row r="3535" spans="4:4" x14ac:dyDescent="0.25">
      <c r="D3535">
        <v>3233557</v>
      </c>
    </row>
    <row r="3536" spans="4:4" x14ac:dyDescent="0.25">
      <c r="D3536">
        <v>3233557</v>
      </c>
    </row>
    <row r="3537" spans="4:4" x14ac:dyDescent="0.25">
      <c r="D3537">
        <v>3233557</v>
      </c>
    </row>
    <row r="3538" spans="4:4" x14ac:dyDescent="0.25">
      <c r="D3538">
        <v>3233557</v>
      </c>
    </row>
    <row r="3539" spans="4:4" x14ac:dyDescent="0.25">
      <c r="D3539">
        <v>3233557</v>
      </c>
    </row>
    <row r="3540" spans="4:4" x14ac:dyDescent="0.25">
      <c r="D3540">
        <v>3233557</v>
      </c>
    </row>
    <row r="3541" spans="4:4" x14ac:dyDescent="0.25">
      <c r="D3541">
        <v>3233557</v>
      </c>
    </row>
    <row r="3542" spans="4:4" x14ac:dyDescent="0.25">
      <c r="D3542">
        <v>3233557</v>
      </c>
    </row>
    <row r="3543" spans="4:4" x14ac:dyDescent="0.25">
      <c r="D3543">
        <v>3233557</v>
      </c>
    </row>
    <row r="3544" spans="4:4" x14ac:dyDescent="0.25">
      <c r="D3544">
        <v>3233557</v>
      </c>
    </row>
    <row r="3545" spans="4:4" x14ac:dyDescent="0.25">
      <c r="D3545">
        <v>3233557</v>
      </c>
    </row>
    <row r="3546" spans="4:4" x14ac:dyDescent="0.25">
      <c r="D3546">
        <v>3233557</v>
      </c>
    </row>
    <row r="3547" spans="4:4" x14ac:dyDescent="0.25">
      <c r="D3547">
        <v>3233557</v>
      </c>
    </row>
    <row r="3548" spans="4:4" x14ac:dyDescent="0.25">
      <c r="D3548">
        <v>3233557</v>
      </c>
    </row>
    <row r="3549" spans="4:4" x14ac:dyDescent="0.25">
      <c r="D3549">
        <v>3233556</v>
      </c>
    </row>
    <row r="3550" spans="4:4" x14ac:dyDescent="0.25">
      <c r="D3550">
        <v>3233556</v>
      </c>
    </row>
    <row r="3551" spans="4:4" x14ac:dyDescent="0.25">
      <c r="D3551">
        <v>3233556</v>
      </c>
    </row>
    <row r="3552" spans="4:4" x14ac:dyDescent="0.25">
      <c r="D3552">
        <v>3233556</v>
      </c>
    </row>
    <row r="3553" spans="4:4" x14ac:dyDescent="0.25">
      <c r="D3553">
        <v>3233556</v>
      </c>
    </row>
    <row r="3554" spans="4:4" x14ac:dyDescent="0.25">
      <c r="D3554">
        <v>3233556</v>
      </c>
    </row>
    <row r="3555" spans="4:4" x14ac:dyDescent="0.25">
      <c r="D3555">
        <v>3233556</v>
      </c>
    </row>
    <row r="3556" spans="4:4" x14ac:dyDescent="0.25">
      <c r="D3556">
        <v>3233556</v>
      </c>
    </row>
    <row r="3557" spans="4:4" x14ac:dyDescent="0.25">
      <c r="D3557">
        <v>3233556</v>
      </c>
    </row>
    <row r="3558" spans="4:4" x14ac:dyDescent="0.25">
      <c r="D3558">
        <v>3233556</v>
      </c>
    </row>
    <row r="3559" spans="4:4" x14ac:dyDescent="0.25">
      <c r="D3559">
        <v>3233556</v>
      </c>
    </row>
    <row r="3560" spans="4:4" x14ac:dyDescent="0.25">
      <c r="D3560">
        <v>3233556</v>
      </c>
    </row>
    <row r="3561" spans="4:4" x14ac:dyDescent="0.25">
      <c r="D3561">
        <v>3233556</v>
      </c>
    </row>
    <row r="3562" spans="4:4" x14ac:dyDescent="0.25">
      <c r="D3562">
        <v>3233556</v>
      </c>
    </row>
    <row r="3563" spans="4:4" x14ac:dyDescent="0.25">
      <c r="D3563">
        <v>3233556</v>
      </c>
    </row>
    <row r="3564" spans="4:4" x14ac:dyDescent="0.25">
      <c r="D3564">
        <v>3233556</v>
      </c>
    </row>
    <row r="3565" spans="4:4" x14ac:dyDescent="0.25">
      <c r="D3565">
        <v>3233556</v>
      </c>
    </row>
    <row r="3566" spans="4:4" x14ac:dyDescent="0.25">
      <c r="D3566">
        <v>3233556</v>
      </c>
    </row>
    <row r="3567" spans="4:4" x14ac:dyDescent="0.25">
      <c r="D3567">
        <v>3233556</v>
      </c>
    </row>
    <row r="3568" spans="4:4" x14ac:dyDescent="0.25">
      <c r="D3568">
        <v>3233556</v>
      </c>
    </row>
    <row r="3569" spans="4:4" x14ac:dyDescent="0.25">
      <c r="D3569">
        <v>3233556</v>
      </c>
    </row>
    <row r="3570" spans="4:4" x14ac:dyDescent="0.25">
      <c r="D3570">
        <v>3233556</v>
      </c>
    </row>
    <row r="3571" spans="4:4" x14ac:dyDescent="0.25">
      <c r="D3571">
        <v>3233556</v>
      </c>
    </row>
    <row r="3572" spans="4:4" x14ac:dyDescent="0.25">
      <c r="D3572">
        <v>3233556</v>
      </c>
    </row>
    <row r="3573" spans="4:4" x14ac:dyDescent="0.25">
      <c r="D3573">
        <v>3233556</v>
      </c>
    </row>
    <row r="3574" spans="4:4" x14ac:dyDescent="0.25">
      <c r="D3574">
        <v>3233556</v>
      </c>
    </row>
    <row r="3575" spans="4:4" x14ac:dyDescent="0.25">
      <c r="D3575">
        <v>3233556</v>
      </c>
    </row>
    <row r="3576" spans="4:4" x14ac:dyDescent="0.25">
      <c r="D3576">
        <v>3233556</v>
      </c>
    </row>
    <row r="3577" spans="4:4" x14ac:dyDescent="0.25">
      <c r="D3577">
        <v>3233556</v>
      </c>
    </row>
    <row r="3578" spans="4:4" x14ac:dyDescent="0.25">
      <c r="D3578">
        <v>3233555</v>
      </c>
    </row>
    <row r="3579" spans="4:4" x14ac:dyDescent="0.25">
      <c r="D3579">
        <v>3233555</v>
      </c>
    </row>
    <row r="3580" spans="4:4" x14ac:dyDescent="0.25">
      <c r="D3580">
        <v>3233555</v>
      </c>
    </row>
    <row r="3581" spans="4:4" x14ac:dyDescent="0.25">
      <c r="D3581">
        <v>3233555</v>
      </c>
    </row>
    <row r="3582" spans="4:4" x14ac:dyDescent="0.25">
      <c r="D3582">
        <v>3233555</v>
      </c>
    </row>
    <row r="3583" spans="4:4" x14ac:dyDescent="0.25">
      <c r="D3583">
        <v>3233555</v>
      </c>
    </row>
    <row r="3584" spans="4:4" x14ac:dyDescent="0.25">
      <c r="D3584">
        <v>3233555</v>
      </c>
    </row>
    <row r="3585" spans="4:4" x14ac:dyDescent="0.25">
      <c r="D3585">
        <v>3233555</v>
      </c>
    </row>
    <row r="3586" spans="4:4" x14ac:dyDescent="0.25">
      <c r="D3586">
        <v>3233555</v>
      </c>
    </row>
    <row r="3587" spans="4:4" x14ac:dyDescent="0.25">
      <c r="D3587">
        <v>3233555</v>
      </c>
    </row>
    <row r="3588" spans="4:4" x14ac:dyDescent="0.25">
      <c r="D3588">
        <v>3233555</v>
      </c>
    </row>
    <row r="3589" spans="4:4" x14ac:dyDescent="0.25">
      <c r="D3589">
        <v>3233555</v>
      </c>
    </row>
    <row r="3590" spans="4:4" x14ac:dyDescent="0.25">
      <c r="D3590">
        <v>3233555</v>
      </c>
    </row>
    <row r="3591" spans="4:4" x14ac:dyDescent="0.25">
      <c r="D3591">
        <v>3233555</v>
      </c>
    </row>
    <row r="3592" spans="4:4" x14ac:dyDescent="0.25">
      <c r="D3592">
        <v>3233555</v>
      </c>
    </row>
    <row r="3593" spans="4:4" x14ac:dyDescent="0.25">
      <c r="D3593">
        <v>3233555</v>
      </c>
    </row>
    <row r="3594" spans="4:4" x14ac:dyDescent="0.25">
      <c r="D3594">
        <v>3233555</v>
      </c>
    </row>
    <row r="3595" spans="4:4" x14ac:dyDescent="0.25">
      <c r="D3595">
        <v>3233555</v>
      </c>
    </row>
    <row r="3596" spans="4:4" x14ac:dyDescent="0.25">
      <c r="D3596">
        <v>3233555</v>
      </c>
    </row>
    <row r="3597" spans="4:4" x14ac:dyDescent="0.25">
      <c r="D3597">
        <v>3233555</v>
      </c>
    </row>
    <row r="3598" spans="4:4" x14ac:dyDescent="0.25">
      <c r="D3598">
        <v>3233555</v>
      </c>
    </row>
    <row r="3599" spans="4:4" x14ac:dyDescent="0.25">
      <c r="D3599">
        <v>3233555</v>
      </c>
    </row>
    <row r="3600" spans="4:4" x14ac:dyDescent="0.25">
      <c r="D3600">
        <v>3233555</v>
      </c>
    </row>
    <row r="3601" spans="4:4" x14ac:dyDescent="0.25">
      <c r="D3601">
        <v>3233555</v>
      </c>
    </row>
    <row r="3602" spans="4:4" x14ac:dyDescent="0.25">
      <c r="D3602">
        <v>3233555</v>
      </c>
    </row>
    <row r="3603" spans="4:4" x14ac:dyDescent="0.25">
      <c r="D3603">
        <v>3233555</v>
      </c>
    </row>
    <row r="3604" spans="4:4" x14ac:dyDescent="0.25">
      <c r="D3604">
        <v>3233555</v>
      </c>
    </row>
    <row r="3605" spans="4:4" x14ac:dyDescent="0.25">
      <c r="D3605">
        <v>3233555</v>
      </c>
    </row>
    <row r="3606" spans="4:4" x14ac:dyDescent="0.25">
      <c r="D3606">
        <v>3233555</v>
      </c>
    </row>
    <row r="3607" spans="4:4" x14ac:dyDescent="0.25">
      <c r="D3607">
        <v>3233554</v>
      </c>
    </row>
    <row r="3608" spans="4:4" x14ac:dyDescent="0.25">
      <c r="D3608">
        <v>3233554</v>
      </c>
    </row>
    <row r="3609" spans="4:4" x14ac:dyDescent="0.25">
      <c r="D3609">
        <v>3233554</v>
      </c>
    </row>
    <row r="3610" spans="4:4" x14ac:dyDescent="0.25">
      <c r="D3610">
        <v>3233554</v>
      </c>
    </row>
    <row r="3611" spans="4:4" x14ac:dyDescent="0.25">
      <c r="D3611">
        <v>3233554</v>
      </c>
    </row>
    <row r="3612" spans="4:4" x14ac:dyDescent="0.25">
      <c r="D3612">
        <v>3233554</v>
      </c>
    </row>
    <row r="3613" spans="4:4" x14ac:dyDescent="0.25">
      <c r="D3613">
        <v>3233554</v>
      </c>
    </row>
    <row r="3614" spans="4:4" x14ac:dyDescent="0.25">
      <c r="D3614">
        <v>3233554</v>
      </c>
    </row>
    <row r="3615" spans="4:4" x14ac:dyDescent="0.25">
      <c r="D3615">
        <v>3233554</v>
      </c>
    </row>
    <row r="3616" spans="4:4" x14ac:dyDescent="0.25">
      <c r="D3616">
        <v>3233554</v>
      </c>
    </row>
    <row r="3617" spans="4:4" x14ac:dyDescent="0.25">
      <c r="D3617">
        <v>3233554</v>
      </c>
    </row>
    <row r="3618" spans="4:4" x14ac:dyDescent="0.25">
      <c r="D3618">
        <v>3233554</v>
      </c>
    </row>
    <row r="3619" spans="4:4" x14ac:dyDescent="0.25">
      <c r="D3619">
        <v>3233554</v>
      </c>
    </row>
    <row r="3620" spans="4:4" x14ac:dyDescent="0.25">
      <c r="D3620">
        <v>3233554</v>
      </c>
    </row>
    <row r="3621" spans="4:4" x14ac:dyDescent="0.25">
      <c r="D3621">
        <v>3233554</v>
      </c>
    </row>
    <row r="3622" spans="4:4" x14ac:dyDescent="0.25">
      <c r="D3622">
        <v>3233554</v>
      </c>
    </row>
    <row r="3623" spans="4:4" x14ac:dyDescent="0.25">
      <c r="D3623">
        <v>3233554</v>
      </c>
    </row>
    <row r="3624" spans="4:4" x14ac:dyDescent="0.25">
      <c r="D3624">
        <v>3233554</v>
      </c>
    </row>
    <row r="3625" spans="4:4" x14ac:dyDescent="0.25">
      <c r="D3625">
        <v>3233554</v>
      </c>
    </row>
    <row r="3626" spans="4:4" x14ac:dyDescent="0.25">
      <c r="D3626">
        <v>3233554</v>
      </c>
    </row>
    <row r="3627" spans="4:4" x14ac:dyDescent="0.25">
      <c r="D3627">
        <v>3233554</v>
      </c>
    </row>
    <row r="3628" spans="4:4" x14ac:dyDescent="0.25">
      <c r="D3628">
        <v>3233554</v>
      </c>
    </row>
    <row r="3629" spans="4:4" x14ac:dyDescent="0.25">
      <c r="D3629">
        <v>3233554</v>
      </c>
    </row>
    <row r="3630" spans="4:4" x14ac:dyDescent="0.25">
      <c r="D3630">
        <v>3233554</v>
      </c>
    </row>
    <row r="3631" spans="4:4" x14ac:dyDescent="0.25">
      <c r="D3631">
        <v>3233554</v>
      </c>
    </row>
    <row r="3632" spans="4:4" x14ac:dyDescent="0.25">
      <c r="D3632">
        <v>3233554</v>
      </c>
    </row>
    <row r="3633" spans="4:4" x14ac:dyDescent="0.25">
      <c r="D3633">
        <v>3233554</v>
      </c>
    </row>
    <row r="3634" spans="4:4" x14ac:dyDescent="0.25">
      <c r="D3634">
        <v>3233554</v>
      </c>
    </row>
    <row r="3635" spans="4:4" x14ac:dyDescent="0.25">
      <c r="D3635">
        <v>3233554</v>
      </c>
    </row>
    <row r="3636" spans="4:4" x14ac:dyDescent="0.25">
      <c r="D3636">
        <v>3233553</v>
      </c>
    </row>
    <row r="3637" spans="4:4" x14ac:dyDescent="0.25">
      <c r="D3637">
        <v>3233553</v>
      </c>
    </row>
    <row r="3638" spans="4:4" x14ac:dyDescent="0.25">
      <c r="D3638">
        <v>3233553</v>
      </c>
    </row>
    <row r="3639" spans="4:4" x14ac:dyDescent="0.25">
      <c r="D3639">
        <v>3233553</v>
      </c>
    </row>
    <row r="3640" spans="4:4" x14ac:dyDescent="0.25">
      <c r="D3640">
        <v>3233553</v>
      </c>
    </row>
    <row r="3641" spans="4:4" x14ac:dyDescent="0.25">
      <c r="D3641">
        <v>3233553</v>
      </c>
    </row>
    <row r="3642" spans="4:4" x14ac:dyDescent="0.25">
      <c r="D3642">
        <v>3233553</v>
      </c>
    </row>
    <row r="3643" spans="4:4" x14ac:dyDescent="0.25">
      <c r="D3643">
        <v>3233553</v>
      </c>
    </row>
    <row r="3644" spans="4:4" x14ac:dyDescent="0.25">
      <c r="D3644">
        <v>3233553</v>
      </c>
    </row>
    <row r="3645" spans="4:4" x14ac:dyDescent="0.25">
      <c r="D3645">
        <v>3233553</v>
      </c>
    </row>
    <row r="3646" spans="4:4" x14ac:dyDescent="0.25">
      <c r="D3646">
        <v>3233553</v>
      </c>
    </row>
    <row r="3647" spans="4:4" x14ac:dyDescent="0.25">
      <c r="D3647">
        <v>3233553</v>
      </c>
    </row>
    <row r="3648" spans="4:4" x14ac:dyDescent="0.25">
      <c r="D3648">
        <v>3233553</v>
      </c>
    </row>
    <row r="3649" spans="4:4" x14ac:dyDescent="0.25">
      <c r="D3649">
        <v>3233553</v>
      </c>
    </row>
    <row r="3650" spans="4:4" x14ac:dyDescent="0.25">
      <c r="D3650">
        <v>3233553</v>
      </c>
    </row>
    <row r="3651" spans="4:4" x14ac:dyDescent="0.25">
      <c r="D3651">
        <v>3233553</v>
      </c>
    </row>
    <row r="3652" spans="4:4" x14ac:dyDescent="0.25">
      <c r="D3652">
        <v>3233553</v>
      </c>
    </row>
    <row r="3653" spans="4:4" x14ac:dyDescent="0.25">
      <c r="D3653">
        <v>3233553</v>
      </c>
    </row>
    <row r="3654" spans="4:4" x14ac:dyDescent="0.25">
      <c r="D3654">
        <v>3233553</v>
      </c>
    </row>
    <row r="3655" spans="4:4" x14ac:dyDescent="0.25">
      <c r="D3655">
        <v>3233553</v>
      </c>
    </row>
    <row r="3656" spans="4:4" x14ac:dyDescent="0.25">
      <c r="D3656">
        <v>3233553</v>
      </c>
    </row>
    <row r="3657" spans="4:4" x14ac:dyDescent="0.25">
      <c r="D3657">
        <v>3233553</v>
      </c>
    </row>
    <row r="3658" spans="4:4" x14ac:dyDescent="0.25">
      <c r="D3658">
        <v>3233553</v>
      </c>
    </row>
    <row r="3659" spans="4:4" x14ac:dyDescent="0.25">
      <c r="D3659">
        <v>3233553</v>
      </c>
    </row>
    <row r="3660" spans="4:4" x14ac:dyDescent="0.25">
      <c r="D3660">
        <v>3233553</v>
      </c>
    </row>
    <row r="3661" spans="4:4" x14ac:dyDescent="0.25">
      <c r="D3661">
        <v>3233553</v>
      </c>
    </row>
    <row r="3662" spans="4:4" x14ac:dyDescent="0.25">
      <c r="D3662">
        <v>3233553</v>
      </c>
    </row>
    <row r="3663" spans="4:4" x14ac:dyDescent="0.25">
      <c r="D3663">
        <v>3233553</v>
      </c>
    </row>
    <row r="3664" spans="4:4" x14ac:dyDescent="0.25">
      <c r="D3664">
        <v>3233553</v>
      </c>
    </row>
    <row r="3665" spans="4:4" x14ac:dyDescent="0.25">
      <c r="D3665">
        <v>1940801</v>
      </c>
    </row>
    <row r="3666" spans="4:4" x14ac:dyDescent="0.25">
      <c r="D3666">
        <v>1940801</v>
      </c>
    </row>
    <row r="3667" spans="4:4" x14ac:dyDescent="0.25">
      <c r="D3667">
        <v>1940801</v>
      </c>
    </row>
    <row r="3668" spans="4:4" x14ac:dyDescent="0.25">
      <c r="D3668">
        <v>1940801</v>
      </c>
    </row>
    <row r="3669" spans="4:4" x14ac:dyDescent="0.25">
      <c r="D3669">
        <v>1940801</v>
      </c>
    </row>
    <row r="3670" spans="4:4" x14ac:dyDescent="0.25">
      <c r="D3670">
        <v>1940801</v>
      </c>
    </row>
    <row r="3671" spans="4:4" x14ac:dyDescent="0.25">
      <c r="D3671">
        <v>1940801</v>
      </c>
    </row>
    <row r="3672" spans="4:4" x14ac:dyDescent="0.25">
      <c r="D3672">
        <v>1940801</v>
      </c>
    </row>
    <row r="3673" spans="4:4" x14ac:dyDescent="0.25">
      <c r="D3673">
        <v>1940801</v>
      </c>
    </row>
    <row r="3674" spans="4:4" x14ac:dyDescent="0.25">
      <c r="D3674">
        <v>1940801</v>
      </c>
    </row>
    <row r="3675" spans="4:4" x14ac:dyDescent="0.25">
      <c r="D3675">
        <v>1940801</v>
      </c>
    </row>
    <row r="3676" spans="4:4" x14ac:dyDescent="0.25">
      <c r="D3676">
        <v>1940801</v>
      </c>
    </row>
    <row r="3677" spans="4:4" x14ac:dyDescent="0.25">
      <c r="D3677">
        <v>1940801</v>
      </c>
    </row>
    <row r="3678" spans="4:4" x14ac:dyDescent="0.25">
      <c r="D3678">
        <v>1940801</v>
      </c>
    </row>
    <row r="3679" spans="4:4" x14ac:dyDescent="0.25">
      <c r="D3679">
        <v>1940801</v>
      </c>
    </row>
    <row r="3680" spans="4:4" x14ac:dyDescent="0.25">
      <c r="D3680">
        <v>1940801</v>
      </c>
    </row>
    <row r="3681" spans="4:4" x14ac:dyDescent="0.25">
      <c r="D3681">
        <v>1940801</v>
      </c>
    </row>
    <row r="3682" spans="4:4" x14ac:dyDescent="0.25">
      <c r="D3682">
        <v>1940801</v>
      </c>
    </row>
    <row r="3683" spans="4:4" x14ac:dyDescent="0.25">
      <c r="D3683">
        <v>1940801</v>
      </c>
    </row>
    <row r="3684" spans="4:4" x14ac:dyDescent="0.25">
      <c r="D3684">
        <v>1940801</v>
      </c>
    </row>
    <row r="3685" spans="4:4" x14ac:dyDescent="0.25">
      <c r="D3685">
        <v>1940801</v>
      </c>
    </row>
    <row r="3686" spans="4:4" x14ac:dyDescent="0.25">
      <c r="D3686">
        <v>1940801</v>
      </c>
    </row>
    <row r="3687" spans="4:4" x14ac:dyDescent="0.25">
      <c r="D3687">
        <v>1940801</v>
      </c>
    </row>
    <row r="3688" spans="4:4" x14ac:dyDescent="0.25">
      <c r="D3688">
        <v>1940801</v>
      </c>
    </row>
    <row r="3689" spans="4:4" x14ac:dyDescent="0.25">
      <c r="D3689">
        <v>1940801</v>
      </c>
    </row>
    <row r="3690" spans="4:4" x14ac:dyDescent="0.25">
      <c r="D3690">
        <v>1940801</v>
      </c>
    </row>
    <row r="3691" spans="4:4" x14ac:dyDescent="0.25">
      <c r="D3691">
        <v>1940801</v>
      </c>
    </row>
    <row r="3692" spans="4:4" x14ac:dyDescent="0.25">
      <c r="D3692">
        <v>1940801</v>
      </c>
    </row>
    <row r="3693" spans="4:4" x14ac:dyDescent="0.25">
      <c r="D3693">
        <v>1940801</v>
      </c>
    </row>
    <row r="3694" spans="4:4" x14ac:dyDescent="0.25">
      <c r="D3694">
        <v>1940801</v>
      </c>
    </row>
    <row r="3695" spans="4:4" x14ac:dyDescent="0.25">
      <c r="D3695">
        <v>1940801</v>
      </c>
    </row>
    <row r="3696" spans="4:4" x14ac:dyDescent="0.25">
      <c r="D3696">
        <v>1940801</v>
      </c>
    </row>
    <row r="3697" spans="4:4" x14ac:dyDescent="0.25">
      <c r="D3697">
        <v>1940801</v>
      </c>
    </row>
    <row r="3698" spans="4:4" x14ac:dyDescent="0.25">
      <c r="D3698">
        <v>1940801</v>
      </c>
    </row>
    <row r="3699" spans="4:4" x14ac:dyDescent="0.25">
      <c r="D3699">
        <v>1940801</v>
      </c>
    </row>
    <row r="3700" spans="4:4" x14ac:dyDescent="0.25">
      <c r="D3700">
        <v>1940801</v>
      </c>
    </row>
    <row r="3701" spans="4:4" x14ac:dyDescent="0.25">
      <c r="D3701">
        <v>1940801</v>
      </c>
    </row>
    <row r="3702" spans="4:4" x14ac:dyDescent="0.25">
      <c r="D3702">
        <v>1940801</v>
      </c>
    </row>
    <row r="3703" spans="4:4" x14ac:dyDescent="0.25">
      <c r="D3703">
        <v>1940801</v>
      </c>
    </row>
    <row r="3704" spans="4:4" x14ac:dyDescent="0.25">
      <c r="D3704">
        <v>1940801</v>
      </c>
    </row>
    <row r="3705" spans="4:4" x14ac:dyDescent="0.25">
      <c r="D3705">
        <v>1940801</v>
      </c>
    </row>
    <row r="3706" spans="4:4" x14ac:dyDescent="0.25">
      <c r="D3706">
        <v>1940801</v>
      </c>
    </row>
    <row r="3707" spans="4:4" x14ac:dyDescent="0.25">
      <c r="D3707">
        <v>1940801</v>
      </c>
    </row>
    <row r="3708" spans="4:4" x14ac:dyDescent="0.25">
      <c r="D3708">
        <v>1940807</v>
      </c>
    </row>
    <row r="3709" spans="4:4" x14ac:dyDescent="0.25">
      <c r="D3709">
        <v>1940807</v>
      </c>
    </row>
    <row r="3710" spans="4:4" x14ac:dyDescent="0.25">
      <c r="D3710">
        <v>1940807</v>
      </c>
    </row>
    <row r="3711" spans="4:4" x14ac:dyDescent="0.25">
      <c r="D3711">
        <v>1940807</v>
      </c>
    </row>
    <row r="3712" spans="4:4" x14ac:dyDescent="0.25">
      <c r="D3712">
        <v>1940807</v>
      </c>
    </row>
    <row r="3713" spans="4:4" x14ac:dyDescent="0.25">
      <c r="D3713">
        <v>1940807</v>
      </c>
    </row>
    <row r="3714" spans="4:4" x14ac:dyDescent="0.25">
      <c r="D3714">
        <v>1940807</v>
      </c>
    </row>
    <row r="3715" spans="4:4" x14ac:dyDescent="0.25">
      <c r="D3715">
        <v>1940807</v>
      </c>
    </row>
    <row r="3716" spans="4:4" x14ac:dyDescent="0.25">
      <c r="D3716">
        <v>1940807</v>
      </c>
    </row>
    <row r="3717" spans="4:4" x14ac:dyDescent="0.25">
      <c r="D3717">
        <v>1940807</v>
      </c>
    </row>
    <row r="3718" spans="4:4" x14ac:dyDescent="0.25">
      <c r="D3718">
        <v>1940807</v>
      </c>
    </row>
    <row r="3719" spans="4:4" x14ac:dyDescent="0.25">
      <c r="D3719">
        <v>1940807</v>
      </c>
    </row>
    <row r="3720" spans="4:4" x14ac:dyDescent="0.25">
      <c r="D3720">
        <v>1940807</v>
      </c>
    </row>
    <row r="3721" spans="4:4" x14ac:dyDescent="0.25">
      <c r="D3721">
        <v>1940807</v>
      </c>
    </row>
    <row r="3722" spans="4:4" x14ac:dyDescent="0.25">
      <c r="D3722">
        <v>1940807</v>
      </c>
    </row>
    <row r="3723" spans="4:4" x14ac:dyDescent="0.25">
      <c r="D3723">
        <v>1940807</v>
      </c>
    </row>
    <row r="3724" spans="4:4" x14ac:dyDescent="0.25">
      <c r="D3724">
        <v>1940815</v>
      </c>
    </row>
    <row r="3725" spans="4:4" x14ac:dyDescent="0.25">
      <c r="D3725">
        <v>1940815</v>
      </c>
    </row>
    <row r="3726" spans="4:4" x14ac:dyDescent="0.25">
      <c r="D3726">
        <v>1940815</v>
      </c>
    </row>
    <row r="3727" spans="4:4" x14ac:dyDescent="0.25">
      <c r="D3727">
        <v>1940815</v>
      </c>
    </row>
    <row r="3728" spans="4:4" x14ac:dyDescent="0.25">
      <c r="D3728">
        <v>1940815</v>
      </c>
    </row>
    <row r="3729" spans="4:4" x14ac:dyDescent="0.25">
      <c r="D3729">
        <v>1940815</v>
      </c>
    </row>
    <row r="3730" spans="4:4" x14ac:dyDescent="0.25">
      <c r="D3730">
        <v>1940815</v>
      </c>
    </row>
    <row r="3731" spans="4:4" x14ac:dyDescent="0.25">
      <c r="D3731">
        <v>1940815</v>
      </c>
    </row>
    <row r="3732" spans="4:4" x14ac:dyDescent="0.25">
      <c r="D3732">
        <v>1940815</v>
      </c>
    </row>
    <row r="3733" spans="4:4" x14ac:dyDescent="0.25">
      <c r="D3733">
        <v>1940815</v>
      </c>
    </row>
    <row r="3734" spans="4:4" x14ac:dyDescent="0.25">
      <c r="D3734">
        <v>1940815</v>
      </c>
    </row>
    <row r="3735" spans="4:4" x14ac:dyDescent="0.25">
      <c r="D3735">
        <v>1940815</v>
      </c>
    </row>
    <row r="3736" spans="4:4" x14ac:dyDescent="0.25">
      <c r="D3736">
        <v>1940815</v>
      </c>
    </row>
    <row r="3737" spans="4:4" x14ac:dyDescent="0.25">
      <c r="D3737">
        <v>1940815</v>
      </c>
    </row>
    <row r="3738" spans="4:4" x14ac:dyDescent="0.25">
      <c r="D3738">
        <v>1940815</v>
      </c>
    </row>
    <row r="3739" spans="4:4" x14ac:dyDescent="0.25">
      <c r="D3739">
        <v>1940815</v>
      </c>
    </row>
    <row r="3740" spans="4:4" x14ac:dyDescent="0.25">
      <c r="D3740">
        <v>1940815</v>
      </c>
    </row>
    <row r="3741" spans="4:4" x14ac:dyDescent="0.25">
      <c r="D3741">
        <v>2440971</v>
      </c>
    </row>
    <row r="3742" spans="4:4" x14ac:dyDescent="0.25">
      <c r="D3742">
        <v>2440971</v>
      </c>
    </row>
    <row r="3743" spans="4:4" x14ac:dyDescent="0.25">
      <c r="D3743">
        <v>2440971</v>
      </c>
    </row>
    <row r="3744" spans="4:4" x14ac:dyDescent="0.25">
      <c r="D3744">
        <v>2440971</v>
      </c>
    </row>
    <row r="3745" spans="4:4" x14ac:dyDescent="0.25">
      <c r="D3745">
        <v>2440971</v>
      </c>
    </row>
    <row r="3746" spans="4:4" x14ac:dyDescent="0.25">
      <c r="D3746">
        <v>2440971</v>
      </c>
    </row>
    <row r="3747" spans="4:4" x14ac:dyDescent="0.25">
      <c r="D3747">
        <v>2440971</v>
      </c>
    </row>
    <row r="3748" spans="4:4" x14ac:dyDescent="0.25">
      <c r="D3748">
        <v>3768905</v>
      </c>
    </row>
    <row r="3749" spans="4:4" x14ac:dyDescent="0.25">
      <c r="D3749">
        <v>3768905</v>
      </c>
    </row>
    <row r="3750" spans="4:4" x14ac:dyDescent="0.25">
      <c r="D3750">
        <v>3768905</v>
      </c>
    </row>
    <row r="3751" spans="4:4" x14ac:dyDescent="0.25">
      <c r="D3751">
        <v>3768905</v>
      </c>
    </row>
    <row r="3752" spans="4:4" x14ac:dyDescent="0.25">
      <c r="D3752">
        <v>1940821</v>
      </c>
    </row>
    <row r="3753" spans="4:4" x14ac:dyDescent="0.25">
      <c r="D3753">
        <v>1940821</v>
      </c>
    </row>
    <row r="3754" spans="4:4" x14ac:dyDescent="0.25">
      <c r="D3754">
        <v>1940821</v>
      </c>
    </row>
    <row r="3755" spans="4:4" x14ac:dyDescent="0.25">
      <c r="D3755">
        <v>1940821</v>
      </c>
    </row>
    <row r="3756" spans="4:4" x14ac:dyDescent="0.25">
      <c r="D3756">
        <v>1940821</v>
      </c>
    </row>
    <row r="3757" spans="4:4" x14ac:dyDescent="0.25">
      <c r="D3757">
        <v>1940821</v>
      </c>
    </row>
    <row r="3758" spans="4:4" x14ac:dyDescent="0.25">
      <c r="D3758">
        <v>1940821</v>
      </c>
    </row>
    <row r="3759" spans="4:4" x14ac:dyDescent="0.25">
      <c r="D3759">
        <v>1940821</v>
      </c>
    </row>
    <row r="3760" spans="4:4" x14ac:dyDescent="0.25">
      <c r="D3760">
        <v>1940821</v>
      </c>
    </row>
    <row r="3761" spans="4:4" x14ac:dyDescent="0.25">
      <c r="D3761">
        <v>1940821</v>
      </c>
    </row>
    <row r="3762" spans="4:4" x14ac:dyDescent="0.25">
      <c r="D3762">
        <v>1940821</v>
      </c>
    </row>
    <row r="3763" spans="4:4" x14ac:dyDescent="0.25">
      <c r="D3763">
        <v>1940821</v>
      </c>
    </row>
    <row r="3764" spans="4:4" x14ac:dyDescent="0.25">
      <c r="D3764">
        <v>1940821</v>
      </c>
    </row>
    <row r="3765" spans="4:4" x14ac:dyDescent="0.25">
      <c r="D3765">
        <v>1940821</v>
      </c>
    </row>
    <row r="3766" spans="4:4" x14ac:dyDescent="0.25">
      <c r="D3766">
        <v>1940821</v>
      </c>
    </row>
    <row r="3767" spans="4:4" x14ac:dyDescent="0.25">
      <c r="D3767">
        <v>1940821</v>
      </c>
    </row>
    <row r="3768" spans="4:4" x14ac:dyDescent="0.25">
      <c r="D3768">
        <v>3438761</v>
      </c>
    </row>
    <row r="3769" spans="4:4" x14ac:dyDescent="0.25">
      <c r="D3769">
        <v>3438761</v>
      </c>
    </row>
    <row r="3770" spans="4:4" x14ac:dyDescent="0.25">
      <c r="D3770">
        <v>3438761</v>
      </c>
    </row>
    <row r="3771" spans="4:4" x14ac:dyDescent="0.25">
      <c r="D3771">
        <v>3438761</v>
      </c>
    </row>
    <row r="3772" spans="4:4" x14ac:dyDescent="0.25">
      <c r="D3772">
        <v>1940822</v>
      </c>
    </row>
    <row r="3773" spans="4:4" x14ac:dyDescent="0.25">
      <c r="D3773">
        <v>1940822</v>
      </c>
    </row>
    <row r="3774" spans="4:4" x14ac:dyDescent="0.25">
      <c r="D3774">
        <v>1940822</v>
      </c>
    </row>
    <row r="3775" spans="4:4" x14ac:dyDescent="0.25">
      <c r="D3775">
        <v>1940822</v>
      </c>
    </row>
    <row r="3776" spans="4:4" x14ac:dyDescent="0.25">
      <c r="D3776">
        <v>1940822</v>
      </c>
    </row>
    <row r="3777" spans="4:4" x14ac:dyDescent="0.25">
      <c r="D3777">
        <v>1940822</v>
      </c>
    </row>
    <row r="3778" spans="4:4" x14ac:dyDescent="0.25">
      <c r="D3778">
        <v>1940822</v>
      </c>
    </row>
    <row r="3779" spans="4:4" x14ac:dyDescent="0.25">
      <c r="D3779">
        <v>1940822</v>
      </c>
    </row>
    <row r="3780" spans="4:4" x14ac:dyDescent="0.25">
      <c r="D3780">
        <v>1940822</v>
      </c>
    </row>
    <row r="3781" spans="4:4" x14ac:dyDescent="0.25">
      <c r="D3781">
        <v>1940822</v>
      </c>
    </row>
    <row r="3782" spans="4:4" x14ac:dyDescent="0.25">
      <c r="D3782">
        <v>1940822</v>
      </c>
    </row>
    <row r="3783" spans="4:4" x14ac:dyDescent="0.25">
      <c r="D3783">
        <v>1940822</v>
      </c>
    </row>
    <row r="3784" spans="4:4" x14ac:dyDescent="0.25">
      <c r="D3784">
        <v>1940822</v>
      </c>
    </row>
    <row r="3785" spans="4:4" x14ac:dyDescent="0.25">
      <c r="D3785">
        <v>1940822</v>
      </c>
    </row>
    <row r="3786" spans="4:4" x14ac:dyDescent="0.25">
      <c r="D3786">
        <v>1940822</v>
      </c>
    </row>
    <row r="3787" spans="4:4" x14ac:dyDescent="0.25">
      <c r="D3787">
        <v>1940822</v>
      </c>
    </row>
    <row r="3788" spans="4:4" x14ac:dyDescent="0.25">
      <c r="D3788">
        <v>1940822</v>
      </c>
    </row>
    <row r="3789" spans="4:4" x14ac:dyDescent="0.25">
      <c r="D3789">
        <v>1940822</v>
      </c>
    </row>
    <row r="3790" spans="4:4" x14ac:dyDescent="0.25">
      <c r="D3790">
        <v>1940822</v>
      </c>
    </row>
    <row r="3791" spans="4:4" x14ac:dyDescent="0.25">
      <c r="D3791">
        <v>1940822</v>
      </c>
    </row>
    <row r="3792" spans="4:4" x14ac:dyDescent="0.25">
      <c r="D3792">
        <v>1940822</v>
      </c>
    </row>
    <row r="3793" spans="4:4" x14ac:dyDescent="0.25">
      <c r="D3793">
        <v>1940822</v>
      </c>
    </row>
    <row r="3794" spans="4:4" x14ac:dyDescent="0.25">
      <c r="D3794">
        <v>1940822</v>
      </c>
    </row>
    <row r="3795" spans="4:4" x14ac:dyDescent="0.25">
      <c r="D3795">
        <v>1940822</v>
      </c>
    </row>
    <row r="3796" spans="4:4" x14ac:dyDescent="0.25">
      <c r="D3796">
        <v>1940822</v>
      </c>
    </row>
    <row r="3797" spans="4:4" x14ac:dyDescent="0.25">
      <c r="D3797">
        <v>1940822</v>
      </c>
    </row>
    <row r="3798" spans="4:4" x14ac:dyDescent="0.25">
      <c r="D3798">
        <v>1940822</v>
      </c>
    </row>
    <row r="3799" spans="4:4" x14ac:dyDescent="0.25">
      <c r="D3799">
        <v>3786201</v>
      </c>
    </row>
    <row r="3800" spans="4:4" x14ac:dyDescent="0.25">
      <c r="D3800">
        <v>3786201</v>
      </c>
    </row>
    <row r="3801" spans="4:4" x14ac:dyDescent="0.25">
      <c r="D3801">
        <v>3786201</v>
      </c>
    </row>
    <row r="3802" spans="4:4" x14ac:dyDescent="0.25">
      <c r="D3802">
        <v>3786201</v>
      </c>
    </row>
    <row r="3803" spans="4:4" x14ac:dyDescent="0.25">
      <c r="D3803">
        <v>3786201</v>
      </c>
    </row>
    <row r="3804" spans="4:4" x14ac:dyDescent="0.25">
      <c r="D3804">
        <v>3786201</v>
      </c>
    </row>
    <row r="3805" spans="4:4" x14ac:dyDescent="0.25">
      <c r="D3805">
        <v>1940823</v>
      </c>
    </row>
    <row r="3806" spans="4:4" x14ac:dyDescent="0.25">
      <c r="D3806">
        <v>1940823</v>
      </c>
    </row>
    <row r="3807" spans="4:4" x14ac:dyDescent="0.25">
      <c r="D3807">
        <v>1940823</v>
      </c>
    </row>
    <row r="3808" spans="4:4" x14ac:dyDescent="0.25">
      <c r="D3808">
        <v>1940823</v>
      </c>
    </row>
    <row r="3809" spans="4:4" x14ac:dyDescent="0.25">
      <c r="D3809">
        <v>1940823</v>
      </c>
    </row>
    <row r="3810" spans="4:4" x14ac:dyDescent="0.25">
      <c r="D3810">
        <v>1940823</v>
      </c>
    </row>
    <row r="3811" spans="4:4" x14ac:dyDescent="0.25">
      <c r="D3811">
        <v>1940823</v>
      </c>
    </row>
    <row r="3812" spans="4:4" x14ac:dyDescent="0.25">
      <c r="D3812">
        <v>1940823</v>
      </c>
    </row>
    <row r="3813" spans="4:4" x14ac:dyDescent="0.25">
      <c r="D3813">
        <v>1940823</v>
      </c>
    </row>
    <row r="3814" spans="4:4" x14ac:dyDescent="0.25">
      <c r="D3814">
        <v>1940823</v>
      </c>
    </row>
    <row r="3815" spans="4:4" x14ac:dyDescent="0.25">
      <c r="D3815">
        <v>1940823</v>
      </c>
    </row>
    <row r="3816" spans="4:4" x14ac:dyDescent="0.25">
      <c r="D3816">
        <v>1940823</v>
      </c>
    </row>
    <row r="3817" spans="4:4" x14ac:dyDescent="0.25">
      <c r="D3817">
        <v>1940823</v>
      </c>
    </row>
    <row r="3818" spans="4:4" x14ac:dyDescent="0.25">
      <c r="D3818">
        <v>1940823</v>
      </c>
    </row>
    <row r="3819" spans="4:4" x14ac:dyDescent="0.25">
      <c r="D3819">
        <v>1940823</v>
      </c>
    </row>
    <row r="3820" spans="4:4" x14ac:dyDescent="0.25">
      <c r="D3820">
        <v>1940823</v>
      </c>
    </row>
    <row r="3821" spans="4:4" x14ac:dyDescent="0.25">
      <c r="D3821">
        <v>1940823</v>
      </c>
    </row>
    <row r="3822" spans="4:4" x14ac:dyDescent="0.25">
      <c r="D3822">
        <v>1940823</v>
      </c>
    </row>
    <row r="3823" spans="4:4" x14ac:dyDescent="0.25">
      <c r="D3823">
        <v>1940823</v>
      </c>
    </row>
    <row r="3824" spans="4:4" x14ac:dyDescent="0.25">
      <c r="D3824">
        <v>1940823</v>
      </c>
    </row>
    <row r="3825" spans="4:4" x14ac:dyDescent="0.25">
      <c r="D3825">
        <v>3801265</v>
      </c>
    </row>
    <row r="3826" spans="4:4" x14ac:dyDescent="0.25">
      <c r="D3826">
        <v>3801265</v>
      </c>
    </row>
    <row r="3827" spans="4:4" x14ac:dyDescent="0.25">
      <c r="D3827">
        <v>1940825</v>
      </c>
    </row>
    <row r="3828" spans="4:4" x14ac:dyDescent="0.25">
      <c r="D3828">
        <v>1940825</v>
      </c>
    </row>
    <row r="3829" spans="4:4" x14ac:dyDescent="0.25">
      <c r="D3829">
        <v>1940825</v>
      </c>
    </row>
    <row r="3830" spans="4:4" x14ac:dyDescent="0.25">
      <c r="D3830">
        <v>1940825</v>
      </c>
    </row>
    <row r="3831" spans="4:4" x14ac:dyDescent="0.25">
      <c r="D3831">
        <v>1940825</v>
      </c>
    </row>
    <row r="3832" spans="4:4" x14ac:dyDescent="0.25">
      <c r="D3832">
        <v>1940825</v>
      </c>
    </row>
    <row r="3833" spans="4:4" x14ac:dyDescent="0.25">
      <c r="D3833">
        <v>1940825</v>
      </c>
    </row>
    <row r="3834" spans="4:4" x14ac:dyDescent="0.25">
      <c r="D3834">
        <v>1940825</v>
      </c>
    </row>
    <row r="3835" spans="4:4" x14ac:dyDescent="0.25">
      <c r="D3835">
        <v>1940825</v>
      </c>
    </row>
    <row r="3836" spans="4:4" x14ac:dyDescent="0.25">
      <c r="D3836">
        <v>1940825</v>
      </c>
    </row>
    <row r="3837" spans="4:4" x14ac:dyDescent="0.25">
      <c r="D3837">
        <v>1940825</v>
      </c>
    </row>
    <row r="3838" spans="4:4" x14ac:dyDescent="0.25">
      <c r="D3838">
        <v>1940825</v>
      </c>
    </row>
    <row r="3839" spans="4:4" x14ac:dyDescent="0.25">
      <c r="D3839">
        <v>1940825</v>
      </c>
    </row>
    <row r="3840" spans="4:4" x14ac:dyDescent="0.25">
      <c r="D3840">
        <v>1940825</v>
      </c>
    </row>
    <row r="3841" spans="4:4" x14ac:dyDescent="0.25">
      <c r="D3841">
        <v>1940825</v>
      </c>
    </row>
    <row r="3842" spans="4:4" x14ac:dyDescent="0.25">
      <c r="D3842">
        <v>1940825</v>
      </c>
    </row>
    <row r="3843" spans="4:4" x14ac:dyDescent="0.25">
      <c r="D3843">
        <v>1940825</v>
      </c>
    </row>
    <row r="3844" spans="4:4" x14ac:dyDescent="0.25">
      <c r="D3844">
        <v>1940825</v>
      </c>
    </row>
    <row r="3845" spans="4:4" x14ac:dyDescent="0.25">
      <c r="D3845">
        <v>1940825</v>
      </c>
    </row>
    <row r="3846" spans="4:4" x14ac:dyDescent="0.25">
      <c r="D3846">
        <v>3786202</v>
      </c>
    </row>
    <row r="3847" spans="4:4" x14ac:dyDescent="0.25">
      <c r="D3847">
        <v>3786202</v>
      </c>
    </row>
    <row r="3848" spans="4:4" x14ac:dyDescent="0.25">
      <c r="D3848">
        <v>3786202</v>
      </c>
    </row>
    <row r="3849" spans="4:4" x14ac:dyDescent="0.25">
      <c r="D3849">
        <v>3786202</v>
      </c>
    </row>
    <row r="3850" spans="4:4" x14ac:dyDescent="0.25">
      <c r="D3850">
        <v>3786202</v>
      </c>
    </row>
    <row r="3851" spans="4:4" x14ac:dyDescent="0.25">
      <c r="D3851">
        <v>2430125</v>
      </c>
    </row>
    <row r="3852" spans="4:4" x14ac:dyDescent="0.25">
      <c r="D3852">
        <v>2430125</v>
      </c>
    </row>
    <row r="3853" spans="4:4" x14ac:dyDescent="0.25">
      <c r="D3853">
        <v>2430125</v>
      </c>
    </row>
    <row r="3854" spans="4:4" x14ac:dyDescent="0.25">
      <c r="D3854">
        <v>2430125</v>
      </c>
    </row>
    <row r="3855" spans="4:4" x14ac:dyDescent="0.25">
      <c r="D3855">
        <v>2430125</v>
      </c>
    </row>
    <row r="3856" spans="4:4" x14ac:dyDescent="0.25">
      <c r="D3856">
        <v>1940826</v>
      </c>
    </row>
    <row r="3857" spans="4:4" x14ac:dyDescent="0.25">
      <c r="D3857">
        <v>1940826</v>
      </c>
    </row>
    <row r="3858" spans="4:4" x14ac:dyDescent="0.25">
      <c r="D3858">
        <v>1940826</v>
      </c>
    </row>
    <row r="3859" spans="4:4" x14ac:dyDescent="0.25">
      <c r="D3859">
        <v>1932559</v>
      </c>
    </row>
    <row r="3860" spans="4:4" x14ac:dyDescent="0.25">
      <c r="D3860">
        <v>1932559</v>
      </c>
    </row>
    <row r="3861" spans="4:4" x14ac:dyDescent="0.25">
      <c r="D3861">
        <v>1932559</v>
      </c>
    </row>
    <row r="3862" spans="4:4" x14ac:dyDescent="0.25">
      <c r="D3862">
        <v>1940829</v>
      </c>
    </row>
    <row r="3863" spans="4:4" x14ac:dyDescent="0.25">
      <c r="D3863">
        <v>1940829</v>
      </c>
    </row>
    <row r="3864" spans="4:4" x14ac:dyDescent="0.25">
      <c r="D3864">
        <v>1940829</v>
      </c>
    </row>
    <row r="3865" spans="4:4" x14ac:dyDescent="0.25">
      <c r="D3865">
        <v>1940829</v>
      </c>
    </row>
    <row r="3866" spans="4:4" x14ac:dyDescent="0.25">
      <c r="D3866">
        <v>1940829</v>
      </c>
    </row>
    <row r="3867" spans="4:4" x14ac:dyDescent="0.25">
      <c r="D3867">
        <v>1940829</v>
      </c>
    </row>
    <row r="3868" spans="4:4" x14ac:dyDescent="0.25">
      <c r="D3868">
        <v>1940829</v>
      </c>
    </row>
    <row r="3869" spans="4:4" x14ac:dyDescent="0.25">
      <c r="D3869">
        <v>1940829</v>
      </c>
    </row>
    <row r="3870" spans="4:4" x14ac:dyDescent="0.25">
      <c r="D3870">
        <v>1940829</v>
      </c>
    </row>
    <row r="3871" spans="4:4" x14ac:dyDescent="0.25">
      <c r="D3871">
        <v>1940829</v>
      </c>
    </row>
    <row r="3872" spans="4:4" x14ac:dyDescent="0.25">
      <c r="D3872">
        <v>1940829</v>
      </c>
    </row>
    <row r="3873" spans="4:4" x14ac:dyDescent="0.25">
      <c r="D3873">
        <v>1941860</v>
      </c>
    </row>
    <row r="3874" spans="4:4" x14ac:dyDescent="0.25">
      <c r="D3874">
        <v>1941860</v>
      </c>
    </row>
    <row r="3875" spans="4:4" x14ac:dyDescent="0.25">
      <c r="D3875">
        <v>1941860</v>
      </c>
    </row>
    <row r="3876" spans="4:4" x14ac:dyDescent="0.25">
      <c r="D3876">
        <v>1941860</v>
      </c>
    </row>
    <row r="3877" spans="4:4" x14ac:dyDescent="0.25">
      <c r="D3877">
        <v>1941860</v>
      </c>
    </row>
    <row r="3878" spans="4:4" x14ac:dyDescent="0.25">
      <c r="D3878">
        <v>1941860</v>
      </c>
    </row>
    <row r="3879" spans="4:4" x14ac:dyDescent="0.25">
      <c r="D3879">
        <v>3712521</v>
      </c>
    </row>
    <row r="3880" spans="4:4" x14ac:dyDescent="0.25">
      <c r="D3880">
        <v>3712521</v>
      </c>
    </row>
    <row r="3881" spans="4:4" x14ac:dyDescent="0.25">
      <c r="D3881">
        <v>3712521</v>
      </c>
    </row>
    <row r="3882" spans="4:4" x14ac:dyDescent="0.25">
      <c r="D3882">
        <v>3712521</v>
      </c>
    </row>
    <row r="3883" spans="4:4" x14ac:dyDescent="0.25">
      <c r="D3883">
        <v>3712521</v>
      </c>
    </row>
    <row r="3884" spans="4:4" x14ac:dyDescent="0.25">
      <c r="D3884">
        <v>3712521</v>
      </c>
    </row>
    <row r="3885" spans="4:4" x14ac:dyDescent="0.25">
      <c r="D3885">
        <v>3712521</v>
      </c>
    </row>
    <row r="3886" spans="4:4" x14ac:dyDescent="0.25">
      <c r="D3886">
        <v>3712521</v>
      </c>
    </row>
    <row r="3887" spans="4:4" x14ac:dyDescent="0.25">
      <c r="D3887">
        <v>3712521</v>
      </c>
    </row>
    <row r="3888" spans="4:4" x14ac:dyDescent="0.25">
      <c r="D3888">
        <v>3712521</v>
      </c>
    </row>
    <row r="3889" spans="4:4" x14ac:dyDescent="0.25">
      <c r="D3889">
        <v>3712521</v>
      </c>
    </row>
    <row r="3890" spans="4:4" x14ac:dyDescent="0.25">
      <c r="D3890">
        <v>3712521</v>
      </c>
    </row>
    <row r="3891" spans="4:4" x14ac:dyDescent="0.25">
      <c r="D3891">
        <v>3712521</v>
      </c>
    </row>
    <row r="3892" spans="4:4" x14ac:dyDescent="0.25">
      <c r="D3892">
        <v>3712521</v>
      </c>
    </row>
    <row r="3893" spans="4:4" x14ac:dyDescent="0.25">
      <c r="D3893">
        <v>3712521</v>
      </c>
    </row>
    <row r="3894" spans="4:4" x14ac:dyDescent="0.25">
      <c r="D3894">
        <v>3616912</v>
      </c>
    </row>
    <row r="3895" spans="4:4" x14ac:dyDescent="0.25">
      <c r="D3895">
        <v>3616912</v>
      </c>
    </row>
    <row r="3896" spans="4:4" x14ac:dyDescent="0.25">
      <c r="D3896">
        <v>1940830</v>
      </c>
    </row>
    <row r="3897" spans="4:4" x14ac:dyDescent="0.25">
      <c r="D3897">
        <v>1940830</v>
      </c>
    </row>
    <row r="3898" spans="4:4" x14ac:dyDescent="0.25">
      <c r="D3898">
        <v>1940830</v>
      </c>
    </row>
    <row r="3899" spans="4:4" x14ac:dyDescent="0.25">
      <c r="D3899">
        <v>1940830</v>
      </c>
    </row>
    <row r="3900" spans="4:4" x14ac:dyDescent="0.25">
      <c r="D3900">
        <v>1940830</v>
      </c>
    </row>
    <row r="3901" spans="4:4" x14ac:dyDescent="0.25">
      <c r="D3901">
        <v>1940830</v>
      </c>
    </row>
    <row r="3902" spans="4:4" x14ac:dyDescent="0.25">
      <c r="D3902">
        <v>1940830</v>
      </c>
    </row>
    <row r="3903" spans="4:4" x14ac:dyDescent="0.25">
      <c r="D3903">
        <v>1940830</v>
      </c>
    </row>
    <row r="3904" spans="4:4" x14ac:dyDescent="0.25">
      <c r="D3904">
        <v>1940830</v>
      </c>
    </row>
    <row r="3905" spans="4:4" x14ac:dyDescent="0.25">
      <c r="D3905">
        <v>1940830</v>
      </c>
    </row>
    <row r="3906" spans="4:4" x14ac:dyDescent="0.25">
      <c r="D3906">
        <v>1940830</v>
      </c>
    </row>
    <row r="3907" spans="4:4" x14ac:dyDescent="0.25">
      <c r="D3907">
        <v>1940830</v>
      </c>
    </row>
    <row r="3908" spans="4:4" x14ac:dyDescent="0.25">
      <c r="D3908">
        <v>1940830</v>
      </c>
    </row>
    <row r="3909" spans="4:4" x14ac:dyDescent="0.25">
      <c r="D3909">
        <v>1940830</v>
      </c>
    </row>
    <row r="3910" spans="4:4" x14ac:dyDescent="0.25">
      <c r="D3910">
        <v>1940830</v>
      </c>
    </row>
    <row r="3911" spans="4:4" x14ac:dyDescent="0.25">
      <c r="D3911">
        <v>1940830</v>
      </c>
    </row>
    <row r="3912" spans="4:4" x14ac:dyDescent="0.25">
      <c r="D3912">
        <v>1940830</v>
      </c>
    </row>
    <row r="3913" spans="4:4" x14ac:dyDescent="0.25">
      <c r="D3913">
        <v>1940831</v>
      </c>
    </row>
    <row r="3914" spans="4:4" x14ac:dyDescent="0.25">
      <c r="D3914">
        <v>1940831</v>
      </c>
    </row>
    <row r="3915" spans="4:4" x14ac:dyDescent="0.25">
      <c r="D3915">
        <v>1940831</v>
      </c>
    </row>
    <row r="3916" spans="4:4" x14ac:dyDescent="0.25">
      <c r="D3916">
        <v>1940831</v>
      </c>
    </row>
    <row r="3917" spans="4:4" x14ac:dyDescent="0.25">
      <c r="D3917">
        <v>1940831</v>
      </c>
    </row>
    <row r="3918" spans="4:4" x14ac:dyDescent="0.25">
      <c r="D3918">
        <v>1940831</v>
      </c>
    </row>
    <row r="3919" spans="4:4" x14ac:dyDescent="0.25">
      <c r="D3919">
        <v>1940831</v>
      </c>
    </row>
    <row r="3920" spans="4:4" x14ac:dyDescent="0.25">
      <c r="D3920">
        <v>1940831</v>
      </c>
    </row>
    <row r="3921" spans="4:4" x14ac:dyDescent="0.25">
      <c r="D3921">
        <v>1940831</v>
      </c>
    </row>
    <row r="3922" spans="4:4" x14ac:dyDescent="0.25">
      <c r="D3922">
        <v>1940831</v>
      </c>
    </row>
    <row r="3923" spans="4:4" x14ac:dyDescent="0.25">
      <c r="D3923">
        <v>1940831</v>
      </c>
    </row>
    <row r="3924" spans="4:4" x14ac:dyDescent="0.25">
      <c r="D3924">
        <v>1940831</v>
      </c>
    </row>
    <row r="3925" spans="4:4" x14ac:dyDescent="0.25">
      <c r="D3925">
        <v>1940831</v>
      </c>
    </row>
    <row r="3926" spans="4:4" x14ac:dyDescent="0.25">
      <c r="D3926">
        <v>1940831</v>
      </c>
    </row>
    <row r="3927" spans="4:4" x14ac:dyDescent="0.25">
      <c r="D3927">
        <v>1940831</v>
      </c>
    </row>
    <row r="3928" spans="4:4" x14ac:dyDescent="0.25">
      <c r="D3928">
        <v>3441727</v>
      </c>
    </row>
    <row r="3929" spans="4:4" x14ac:dyDescent="0.25">
      <c r="D3929">
        <v>3441727</v>
      </c>
    </row>
    <row r="3930" spans="4:4" x14ac:dyDescent="0.25">
      <c r="D3930">
        <v>3441727</v>
      </c>
    </row>
    <row r="3931" spans="4:4" x14ac:dyDescent="0.25">
      <c r="D3931">
        <v>3441727</v>
      </c>
    </row>
    <row r="3932" spans="4:4" x14ac:dyDescent="0.25">
      <c r="D3932">
        <v>3441727</v>
      </c>
    </row>
    <row r="3933" spans="4:4" x14ac:dyDescent="0.25">
      <c r="D3933">
        <v>3441727</v>
      </c>
    </row>
    <row r="3934" spans="4:4" x14ac:dyDescent="0.25">
      <c r="D3934">
        <v>3441727</v>
      </c>
    </row>
    <row r="3935" spans="4:4" x14ac:dyDescent="0.25">
      <c r="D3935">
        <v>3441727</v>
      </c>
    </row>
    <row r="3936" spans="4:4" x14ac:dyDescent="0.25">
      <c r="D3936">
        <v>3441727</v>
      </c>
    </row>
    <row r="3937" spans="4:4" x14ac:dyDescent="0.25">
      <c r="D3937">
        <v>3441727</v>
      </c>
    </row>
    <row r="3938" spans="4:4" x14ac:dyDescent="0.25">
      <c r="D3938">
        <v>3441727</v>
      </c>
    </row>
    <row r="3939" spans="4:4" x14ac:dyDescent="0.25">
      <c r="D3939">
        <v>3441727</v>
      </c>
    </row>
    <row r="3940" spans="4:4" x14ac:dyDescent="0.25">
      <c r="D3940">
        <v>1940832</v>
      </c>
    </row>
    <row r="3941" spans="4:4" x14ac:dyDescent="0.25">
      <c r="D3941">
        <v>1940833</v>
      </c>
    </row>
    <row r="3942" spans="4:4" x14ac:dyDescent="0.25">
      <c r="D3942">
        <v>3569651</v>
      </c>
    </row>
    <row r="3943" spans="4:4" x14ac:dyDescent="0.25">
      <c r="D3943">
        <v>3569651</v>
      </c>
    </row>
    <row r="3944" spans="4:4" x14ac:dyDescent="0.25">
      <c r="D3944">
        <v>1940837</v>
      </c>
    </row>
    <row r="3945" spans="4:4" x14ac:dyDescent="0.25">
      <c r="D3945">
        <v>1940837</v>
      </c>
    </row>
    <row r="3946" spans="4:4" x14ac:dyDescent="0.25">
      <c r="D3946">
        <v>1940837</v>
      </c>
    </row>
    <row r="3947" spans="4:4" x14ac:dyDescent="0.25">
      <c r="D3947">
        <v>1940837</v>
      </c>
    </row>
    <row r="3948" spans="4:4" x14ac:dyDescent="0.25">
      <c r="D3948">
        <v>1940837</v>
      </c>
    </row>
    <row r="3949" spans="4:4" x14ac:dyDescent="0.25">
      <c r="D3949">
        <v>1940837</v>
      </c>
    </row>
    <row r="3950" spans="4:4" x14ac:dyDescent="0.25">
      <c r="D3950">
        <v>1940837</v>
      </c>
    </row>
    <row r="3951" spans="4:4" x14ac:dyDescent="0.25">
      <c r="D3951">
        <v>1940837</v>
      </c>
    </row>
    <row r="3952" spans="4:4" x14ac:dyDescent="0.25">
      <c r="D3952">
        <v>1940837</v>
      </c>
    </row>
    <row r="3953" spans="4:4" x14ac:dyDescent="0.25">
      <c r="D3953">
        <v>1940837</v>
      </c>
    </row>
    <row r="3954" spans="4:4" x14ac:dyDescent="0.25">
      <c r="D3954">
        <v>1940837</v>
      </c>
    </row>
    <row r="3955" spans="4:4" x14ac:dyDescent="0.25">
      <c r="D3955">
        <v>1940837</v>
      </c>
    </row>
    <row r="3956" spans="4:4" x14ac:dyDescent="0.25">
      <c r="D3956">
        <v>1940837</v>
      </c>
    </row>
    <row r="3957" spans="4:4" x14ac:dyDescent="0.25">
      <c r="D3957">
        <v>1940837</v>
      </c>
    </row>
    <row r="3958" spans="4:4" x14ac:dyDescent="0.25">
      <c r="D3958">
        <v>1940837</v>
      </c>
    </row>
    <row r="3959" spans="4:4" x14ac:dyDescent="0.25">
      <c r="D3959">
        <v>1940837</v>
      </c>
    </row>
    <row r="3960" spans="4:4" x14ac:dyDescent="0.25">
      <c r="D3960">
        <v>1940837</v>
      </c>
    </row>
    <row r="3961" spans="4:4" x14ac:dyDescent="0.25">
      <c r="D3961">
        <v>1940837</v>
      </c>
    </row>
    <row r="3962" spans="4:4" x14ac:dyDescent="0.25">
      <c r="D3962">
        <v>1940837</v>
      </c>
    </row>
    <row r="3963" spans="4:4" x14ac:dyDescent="0.25">
      <c r="D3963">
        <v>1940837</v>
      </c>
    </row>
    <row r="3964" spans="4:4" x14ac:dyDescent="0.25">
      <c r="D3964">
        <v>1940838</v>
      </c>
    </row>
    <row r="3965" spans="4:4" x14ac:dyDescent="0.25">
      <c r="D3965">
        <v>1940840</v>
      </c>
    </row>
    <row r="3966" spans="4:4" x14ac:dyDescent="0.25">
      <c r="D3966">
        <v>1940840</v>
      </c>
    </row>
    <row r="3967" spans="4:4" x14ac:dyDescent="0.25">
      <c r="D3967">
        <v>1940840</v>
      </c>
    </row>
    <row r="3968" spans="4:4" x14ac:dyDescent="0.25">
      <c r="D3968">
        <v>1940840</v>
      </c>
    </row>
    <row r="3969" spans="4:4" x14ac:dyDescent="0.25">
      <c r="D3969">
        <v>1940840</v>
      </c>
    </row>
    <row r="3970" spans="4:4" x14ac:dyDescent="0.25">
      <c r="D3970">
        <v>1940840</v>
      </c>
    </row>
    <row r="3971" spans="4:4" x14ac:dyDescent="0.25">
      <c r="D3971">
        <v>1940840</v>
      </c>
    </row>
    <row r="3972" spans="4:4" x14ac:dyDescent="0.25">
      <c r="D3972">
        <v>1940840</v>
      </c>
    </row>
    <row r="3973" spans="4:4" x14ac:dyDescent="0.25">
      <c r="D3973">
        <v>1940840</v>
      </c>
    </row>
    <row r="3974" spans="4:4" x14ac:dyDescent="0.25">
      <c r="D3974">
        <v>1940840</v>
      </c>
    </row>
    <row r="3975" spans="4:4" x14ac:dyDescent="0.25">
      <c r="D3975">
        <v>1940840</v>
      </c>
    </row>
    <row r="3976" spans="4:4" x14ac:dyDescent="0.25">
      <c r="D3976">
        <v>1940840</v>
      </c>
    </row>
    <row r="3977" spans="4:4" x14ac:dyDescent="0.25">
      <c r="D3977">
        <v>1940840</v>
      </c>
    </row>
    <row r="3978" spans="4:4" x14ac:dyDescent="0.25">
      <c r="D3978">
        <v>1940840</v>
      </c>
    </row>
    <row r="3979" spans="4:4" x14ac:dyDescent="0.25">
      <c r="D3979">
        <v>1940840</v>
      </c>
    </row>
    <row r="3980" spans="4:4" x14ac:dyDescent="0.25">
      <c r="D3980">
        <v>1940840</v>
      </c>
    </row>
    <row r="3981" spans="4:4" x14ac:dyDescent="0.25">
      <c r="D3981">
        <v>1940840</v>
      </c>
    </row>
    <row r="3982" spans="4:4" x14ac:dyDescent="0.25">
      <c r="D3982">
        <v>1940840</v>
      </c>
    </row>
    <row r="3983" spans="4:4" x14ac:dyDescent="0.25">
      <c r="D3983">
        <v>1940840</v>
      </c>
    </row>
    <row r="3984" spans="4:4" x14ac:dyDescent="0.25">
      <c r="D3984">
        <v>1940840</v>
      </c>
    </row>
    <row r="3985" spans="4:4" x14ac:dyDescent="0.25">
      <c r="D3985">
        <v>1940840</v>
      </c>
    </row>
    <row r="3986" spans="4:4" x14ac:dyDescent="0.25">
      <c r="D3986">
        <v>1940840</v>
      </c>
    </row>
    <row r="3987" spans="4:4" x14ac:dyDescent="0.25">
      <c r="D3987">
        <v>1940840</v>
      </c>
    </row>
    <row r="3988" spans="4:4" x14ac:dyDescent="0.25">
      <c r="D3988">
        <v>1940840</v>
      </c>
    </row>
    <row r="3989" spans="4:4" x14ac:dyDescent="0.25">
      <c r="D3989">
        <v>3474555</v>
      </c>
    </row>
    <row r="3990" spans="4:4" x14ac:dyDescent="0.25">
      <c r="D3990">
        <v>3474555</v>
      </c>
    </row>
    <row r="3991" spans="4:4" x14ac:dyDescent="0.25">
      <c r="D3991">
        <v>3474555</v>
      </c>
    </row>
    <row r="3992" spans="4:4" x14ac:dyDescent="0.25">
      <c r="D3992">
        <v>3474555</v>
      </c>
    </row>
    <row r="3993" spans="4:4" x14ac:dyDescent="0.25">
      <c r="D3993">
        <v>3474555</v>
      </c>
    </row>
    <row r="3994" spans="4:4" x14ac:dyDescent="0.25">
      <c r="D3994">
        <v>3569652</v>
      </c>
    </row>
    <row r="3995" spans="4:4" x14ac:dyDescent="0.25">
      <c r="D3995">
        <v>1940849</v>
      </c>
    </row>
    <row r="3996" spans="4:4" x14ac:dyDescent="0.25">
      <c r="D3996">
        <v>1940849</v>
      </c>
    </row>
    <row r="3997" spans="4:4" x14ac:dyDescent="0.25">
      <c r="D3997">
        <v>1940849</v>
      </c>
    </row>
    <row r="3998" spans="4:4" x14ac:dyDescent="0.25">
      <c r="D3998">
        <v>1940849</v>
      </c>
    </row>
    <row r="3999" spans="4:4" x14ac:dyDescent="0.25">
      <c r="D3999">
        <v>1940849</v>
      </c>
    </row>
    <row r="4000" spans="4:4" x14ac:dyDescent="0.25">
      <c r="D4000">
        <v>1940849</v>
      </c>
    </row>
    <row r="4001" spans="4:4" x14ac:dyDescent="0.25">
      <c r="D4001">
        <v>1940849</v>
      </c>
    </row>
    <row r="4002" spans="4:4" x14ac:dyDescent="0.25">
      <c r="D4002">
        <v>1940849</v>
      </c>
    </row>
    <row r="4003" spans="4:4" x14ac:dyDescent="0.25">
      <c r="D4003">
        <v>1940849</v>
      </c>
    </row>
    <row r="4004" spans="4:4" x14ac:dyDescent="0.25">
      <c r="D4004">
        <v>1940849</v>
      </c>
    </row>
    <row r="4005" spans="4:4" x14ac:dyDescent="0.25">
      <c r="D4005">
        <v>1940849</v>
      </c>
    </row>
    <row r="4006" spans="4:4" x14ac:dyDescent="0.25">
      <c r="D4006">
        <v>1940849</v>
      </c>
    </row>
    <row r="4007" spans="4:4" x14ac:dyDescent="0.25">
      <c r="D4007">
        <v>1940849</v>
      </c>
    </row>
    <row r="4008" spans="4:4" x14ac:dyDescent="0.25">
      <c r="D4008">
        <v>1940849</v>
      </c>
    </row>
    <row r="4009" spans="4:4" x14ac:dyDescent="0.25">
      <c r="D4009">
        <v>1940850</v>
      </c>
    </row>
    <row r="4010" spans="4:4" x14ac:dyDescent="0.25">
      <c r="D4010">
        <v>1940850</v>
      </c>
    </row>
    <row r="4011" spans="4:4" x14ac:dyDescent="0.25">
      <c r="D4011">
        <v>1940850</v>
      </c>
    </row>
    <row r="4012" spans="4:4" x14ac:dyDescent="0.25">
      <c r="D4012">
        <v>1940850</v>
      </c>
    </row>
    <row r="4013" spans="4:4" x14ac:dyDescent="0.25">
      <c r="D4013">
        <v>1940850</v>
      </c>
    </row>
    <row r="4014" spans="4:4" x14ac:dyDescent="0.25">
      <c r="D4014">
        <v>1940850</v>
      </c>
    </row>
    <row r="4015" spans="4:4" x14ac:dyDescent="0.25">
      <c r="D4015">
        <v>1940850</v>
      </c>
    </row>
    <row r="4016" spans="4:4" x14ac:dyDescent="0.25">
      <c r="D4016">
        <v>1940850</v>
      </c>
    </row>
    <row r="4017" spans="4:4" x14ac:dyDescent="0.25">
      <c r="D4017">
        <v>1940850</v>
      </c>
    </row>
    <row r="4018" spans="4:4" x14ac:dyDescent="0.25">
      <c r="D4018">
        <v>1940850</v>
      </c>
    </row>
    <row r="4019" spans="4:4" x14ac:dyDescent="0.25">
      <c r="D4019">
        <v>1940850</v>
      </c>
    </row>
    <row r="4020" spans="4:4" x14ac:dyDescent="0.25">
      <c r="D4020">
        <v>1940850</v>
      </c>
    </row>
    <row r="4021" spans="4:4" x14ac:dyDescent="0.25">
      <c r="D4021">
        <v>1940850</v>
      </c>
    </row>
    <row r="4022" spans="4:4" x14ac:dyDescent="0.25">
      <c r="D4022">
        <v>1940850</v>
      </c>
    </row>
    <row r="4023" spans="4:4" x14ac:dyDescent="0.25">
      <c r="D4023">
        <v>3584172</v>
      </c>
    </row>
    <row r="4024" spans="4:4" x14ac:dyDescent="0.25">
      <c r="D4024">
        <v>3584172</v>
      </c>
    </row>
    <row r="4025" spans="4:4" x14ac:dyDescent="0.25">
      <c r="D4025">
        <v>3584172</v>
      </c>
    </row>
    <row r="4026" spans="4:4" x14ac:dyDescent="0.25">
      <c r="D4026">
        <v>3584172</v>
      </c>
    </row>
    <row r="4027" spans="4:4" x14ac:dyDescent="0.25">
      <c r="D4027">
        <v>3584172</v>
      </c>
    </row>
    <row r="4028" spans="4:4" x14ac:dyDescent="0.25">
      <c r="D4028">
        <v>3584172</v>
      </c>
    </row>
    <row r="4029" spans="4:4" x14ac:dyDescent="0.25">
      <c r="D4029">
        <v>3584172</v>
      </c>
    </row>
    <row r="4030" spans="4:4" x14ac:dyDescent="0.25">
      <c r="D4030">
        <v>3584172</v>
      </c>
    </row>
    <row r="4031" spans="4:4" x14ac:dyDescent="0.25">
      <c r="D4031">
        <v>3584172</v>
      </c>
    </row>
    <row r="4032" spans="4:4" x14ac:dyDescent="0.25">
      <c r="D4032">
        <v>3584172</v>
      </c>
    </row>
    <row r="4033" spans="4:4" x14ac:dyDescent="0.25">
      <c r="D4033">
        <v>3572055</v>
      </c>
    </row>
    <row r="4034" spans="4:4" x14ac:dyDescent="0.25">
      <c r="D4034">
        <v>3572055</v>
      </c>
    </row>
    <row r="4035" spans="4:4" x14ac:dyDescent="0.25">
      <c r="D4035">
        <v>3572055</v>
      </c>
    </row>
    <row r="4036" spans="4:4" x14ac:dyDescent="0.25">
      <c r="D4036">
        <v>3572055</v>
      </c>
    </row>
    <row r="4037" spans="4:4" x14ac:dyDescent="0.25">
      <c r="D4037">
        <v>3572055</v>
      </c>
    </row>
    <row r="4038" spans="4:4" x14ac:dyDescent="0.25">
      <c r="D4038">
        <v>3572055</v>
      </c>
    </row>
    <row r="4039" spans="4:4" x14ac:dyDescent="0.25">
      <c r="D4039">
        <v>3572055</v>
      </c>
    </row>
    <row r="4040" spans="4:4" x14ac:dyDescent="0.25">
      <c r="D4040">
        <v>3572055</v>
      </c>
    </row>
    <row r="4041" spans="4:4" x14ac:dyDescent="0.25">
      <c r="D4041">
        <v>3572055</v>
      </c>
    </row>
    <row r="4042" spans="4:4" x14ac:dyDescent="0.25">
      <c r="D4042">
        <v>3572055</v>
      </c>
    </row>
    <row r="4043" spans="4:4" x14ac:dyDescent="0.25">
      <c r="D4043">
        <v>3572055</v>
      </c>
    </row>
    <row r="4044" spans="4:4" x14ac:dyDescent="0.25">
      <c r="D4044">
        <v>3572055</v>
      </c>
    </row>
    <row r="4045" spans="4:4" x14ac:dyDescent="0.25">
      <c r="D4045">
        <v>3572055</v>
      </c>
    </row>
    <row r="4046" spans="4:4" x14ac:dyDescent="0.25">
      <c r="D4046">
        <v>3572055</v>
      </c>
    </row>
    <row r="4047" spans="4:4" x14ac:dyDescent="0.25">
      <c r="D4047">
        <v>3828833</v>
      </c>
    </row>
    <row r="4048" spans="4:4" x14ac:dyDescent="0.25">
      <c r="D4048">
        <v>1940852</v>
      </c>
    </row>
    <row r="4049" spans="4:4" x14ac:dyDescent="0.25">
      <c r="D4049">
        <v>1940852</v>
      </c>
    </row>
    <row r="4050" spans="4:4" x14ac:dyDescent="0.25">
      <c r="D4050">
        <v>1940852</v>
      </c>
    </row>
    <row r="4051" spans="4:4" x14ac:dyDescent="0.25">
      <c r="D4051">
        <v>1940852</v>
      </c>
    </row>
    <row r="4052" spans="4:4" x14ac:dyDescent="0.25">
      <c r="D4052">
        <v>1940852</v>
      </c>
    </row>
    <row r="4053" spans="4:4" x14ac:dyDescent="0.25">
      <c r="D4053">
        <v>1940852</v>
      </c>
    </row>
    <row r="4054" spans="4:4" x14ac:dyDescent="0.25">
      <c r="D4054">
        <v>1940852</v>
      </c>
    </row>
    <row r="4055" spans="4:4" x14ac:dyDescent="0.25">
      <c r="D4055">
        <v>1940852</v>
      </c>
    </row>
    <row r="4056" spans="4:4" x14ac:dyDescent="0.25">
      <c r="D4056">
        <v>1940852</v>
      </c>
    </row>
    <row r="4057" spans="4:4" x14ac:dyDescent="0.25">
      <c r="D4057">
        <v>1940852</v>
      </c>
    </row>
    <row r="4058" spans="4:4" x14ac:dyDescent="0.25">
      <c r="D4058">
        <v>1940852</v>
      </c>
    </row>
    <row r="4059" spans="4:4" x14ac:dyDescent="0.25">
      <c r="D4059">
        <v>1940852</v>
      </c>
    </row>
    <row r="4060" spans="4:4" x14ac:dyDescent="0.25">
      <c r="D4060">
        <v>1940852</v>
      </c>
    </row>
    <row r="4061" spans="4:4" x14ac:dyDescent="0.25">
      <c r="D4061">
        <v>1940852</v>
      </c>
    </row>
    <row r="4062" spans="4:4" x14ac:dyDescent="0.25">
      <c r="D4062">
        <v>1940852</v>
      </c>
    </row>
    <row r="4063" spans="4:4" x14ac:dyDescent="0.25">
      <c r="D4063">
        <v>1940852</v>
      </c>
    </row>
    <row r="4064" spans="4:4" x14ac:dyDescent="0.25">
      <c r="D4064">
        <v>1940852</v>
      </c>
    </row>
    <row r="4065" spans="4:4" x14ac:dyDescent="0.25">
      <c r="D4065">
        <v>1940852</v>
      </c>
    </row>
    <row r="4066" spans="4:4" x14ac:dyDescent="0.25">
      <c r="D4066">
        <v>3466052</v>
      </c>
    </row>
    <row r="4067" spans="4:4" x14ac:dyDescent="0.25">
      <c r="D4067">
        <v>3466052</v>
      </c>
    </row>
    <row r="4068" spans="4:4" x14ac:dyDescent="0.25">
      <c r="D4068">
        <v>3500639</v>
      </c>
    </row>
    <row r="4069" spans="4:4" x14ac:dyDescent="0.25">
      <c r="D4069">
        <v>3500639</v>
      </c>
    </row>
    <row r="4070" spans="4:4" x14ac:dyDescent="0.25">
      <c r="D4070">
        <v>3500639</v>
      </c>
    </row>
    <row r="4071" spans="4:4" x14ac:dyDescent="0.25">
      <c r="D4071">
        <v>3087646</v>
      </c>
    </row>
    <row r="4072" spans="4:4" x14ac:dyDescent="0.25">
      <c r="D4072">
        <v>3087646</v>
      </c>
    </row>
    <row r="4073" spans="4:4" x14ac:dyDescent="0.25">
      <c r="D4073">
        <v>3087646</v>
      </c>
    </row>
    <row r="4074" spans="4:4" x14ac:dyDescent="0.25">
      <c r="D4074">
        <v>3087646</v>
      </c>
    </row>
    <row r="4075" spans="4:4" x14ac:dyDescent="0.25">
      <c r="D4075">
        <v>3186831</v>
      </c>
    </row>
    <row r="4076" spans="4:4" x14ac:dyDescent="0.25">
      <c r="D4076">
        <v>3186831</v>
      </c>
    </row>
    <row r="4077" spans="4:4" x14ac:dyDescent="0.25">
      <c r="D4077">
        <v>3186831</v>
      </c>
    </row>
    <row r="4078" spans="4:4" x14ac:dyDescent="0.25">
      <c r="D4078">
        <v>3186831</v>
      </c>
    </row>
    <row r="4079" spans="4:4" x14ac:dyDescent="0.25">
      <c r="D4079">
        <v>3509829</v>
      </c>
    </row>
    <row r="4080" spans="4:4" x14ac:dyDescent="0.25">
      <c r="D4080">
        <v>3214495</v>
      </c>
    </row>
    <row r="4081" spans="4:4" x14ac:dyDescent="0.25">
      <c r="D4081">
        <v>3502252</v>
      </c>
    </row>
    <row r="4082" spans="4:4" x14ac:dyDescent="0.25">
      <c r="D4082">
        <v>3502252</v>
      </c>
    </row>
    <row r="4083" spans="4:4" x14ac:dyDescent="0.25">
      <c r="D4083">
        <v>3502252</v>
      </c>
    </row>
    <row r="4084" spans="4:4" x14ac:dyDescent="0.25">
      <c r="D4084">
        <v>3502252</v>
      </c>
    </row>
    <row r="4085" spans="4:4" x14ac:dyDescent="0.25">
      <c r="D4085">
        <v>3502252</v>
      </c>
    </row>
    <row r="4086" spans="4:4" x14ac:dyDescent="0.25">
      <c r="D4086">
        <v>3502252</v>
      </c>
    </row>
    <row r="4087" spans="4:4" x14ac:dyDescent="0.25">
      <c r="D4087">
        <v>3502252</v>
      </c>
    </row>
    <row r="4088" spans="4:4" x14ac:dyDescent="0.25">
      <c r="D4088">
        <v>3502252</v>
      </c>
    </row>
    <row r="4089" spans="4:4" x14ac:dyDescent="0.25">
      <c r="D4089">
        <v>3502252</v>
      </c>
    </row>
    <row r="4090" spans="4:4" x14ac:dyDescent="0.25">
      <c r="D4090">
        <v>3502252</v>
      </c>
    </row>
    <row r="4091" spans="4:4" x14ac:dyDescent="0.25">
      <c r="D4091">
        <v>3502252</v>
      </c>
    </row>
    <row r="4092" spans="4:4" x14ac:dyDescent="0.25">
      <c r="D4092">
        <v>3502252</v>
      </c>
    </row>
    <row r="4093" spans="4:4" x14ac:dyDescent="0.25">
      <c r="D4093">
        <v>3502252</v>
      </c>
    </row>
    <row r="4094" spans="4:4" x14ac:dyDescent="0.25">
      <c r="D4094">
        <v>3502252</v>
      </c>
    </row>
    <row r="4095" spans="4:4" x14ac:dyDescent="0.25">
      <c r="D4095">
        <v>3502252</v>
      </c>
    </row>
    <row r="4096" spans="4:4" x14ac:dyDescent="0.25">
      <c r="D4096">
        <v>3239889</v>
      </c>
    </row>
    <row r="4097" spans="4:4" x14ac:dyDescent="0.25">
      <c r="D4097">
        <v>3239889</v>
      </c>
    </row>
    <row r="4098" spans="4:4" x14ac:dyDescent="0.25">
      <c r="D4098">
        <v>3539418</v>
      </c>
    </row>
    <row r="4099" spans="4:4" x14ac:dyDescent="0.25">
      <c r="D4099">
        <v>2403433</v>
      </c>
    </row>
    <row r="4100" spans="4:4" x14ac:dyDescent="0.25">
      <c r="D4100">
        <v>2403433</v>
      </c>
    </row>
    <row r="4101" spans="4:4" x14ac:dyDescent="0.25">
      <c r="D4101">
        <v>2403433</v>
      </c>
    </row>
    <row r="4102" spans="4:4" x14ac:dyDescent="0.25">
      <c r="D4102">
        <v>280076</v>
      </c>
    </row>
    <row r="4103" spans="4:4" x14ac:dyDescent="0.25">
      <c r="D4103">
        <v>3499828</v>
      </c>
    </row>
    <row r="4104" spans="4:4" x14ac:dyDescent="0.25">
      <c r="D4104">
        <v>3499828</v>
      </c>
    </row>
    <row r="4105" spans="4:4" x14ac:dyDescent="0.25">
      <c r="D4105">
        <v>3499828</v>
      </c>
    </row>
    <row r="4106" spans="4:4" x14ac:dyDescent="0.25">
      <c r="D4106">
        <v>3499828</v>
      </c>
    </row>
    <row r="4107" spans="4:4" x14ac:dyDescent="0.25">
      <c r="D4107">
        <v>3673889</v>
      </c>
    </row>
    <row r="4108" spans="4:4" x14ac:dyDescent="0.25">
      <c r="D4108">
        <v>3673889</v>
      </c>
    </row>
    <row r="4109" spans="4:4" x14ac:dyDescent="0.25">
      <c r="D4109">
        <v>3673889</v>
      </c>
    </row>
    <row r="4110" spans="4:4" x14ac:dyDescent="0.25">
      <c r="D4110">
        <v>3673889</v>
      </c>
    </row>
    <row r="4111" spans="4:4" x14ac:dyDescent="0.25">
      <c r="D4111">
        <v>3673889</v>
      </c>
    </row>
    <row r="4112" spans="4:4" x14ac:dyDescent="0.25">
      <c r="D4112">
        <v>3673889</v>
      </c>
    </row>
    <row r="4113" spans="4:4" x14ac:dyDescent="0.25">
      <c r="D4113">
        <v>3673889</v>
      </c>
    </row>
    <row r="4114" spans="4:4" x14ac:dyDescent="0.25">
      <c r="D4114">
        <v>3673889</v>
      </c>
    </row>
    <row r="4115" spans="4:4" x14ac:dyDescent="0.25">
      <c r="D4115">
        <v>3673889</v>
      </c>
    </row>
    <row r="4116" spans="4:4" x14ac:dyDescent="0.25">
      <c r="D4116">
        <v>3673889</v>
      </c>
    </row>
    <row r="4117" spans="4:4" x14ac:dyDescent="0.25">
      <c r="D4117">
        <v>3673889</v>
      </c>
    </row>
    <row r="4118" spans="4:4" x14ac:dyDescent="0.25">
      <c r="D4118">
        <v>3673889</v>
      </c>
    </row>
    <row r="4119" spans="4:4" x14ac:dyDescent="0.25">
      <c r="D4119">
        <v>3673889</v>
      </c>
    </row>
    <row r="4120" spans="4:4" x14ac:dyDescent="0.25">
      <c r="D4120">
        <v>3502334</v>
      </c>
    </row>
    <row r="4121" spans="4:4" x14ac:dyDescent="0.25">
      <c r="D4121">
        <v>3502334</v>
      </c>
    </row>
    <row r="4122" spans="4:4" x14ac:dyDescent="0.25">
      <c r="D4122">
        <v>3502334</v>
      </c>
    </row>
    <row r="4123" spans="4:4" x14ac:dyDescent="0.25">
      <c r="D4123">
        <v>2415020</v>
      </c>
    </row>
    <row r="4124" spans="4:4" x14ac:dyDescent="0.25">
      <c r="D4124">
        <v>3514972</v>
      </c>
    </row>
    <row r="4125" spans="4:4" x14ac:dyDescent="0.25">
      <c r="D4125">
        <v>3605867</v>
      </c>
    </row>
    <row r="4126" spans="4:4" x14ac:dyDescent="0.25">
      <c r="D4126">
        <v>3768907</v>
      </c>
    </row>
    <row r="4127" spans="4:4" x14ac:dyDescent="0.25">
      <c r="D4127">
        <v>3768907</v>
      </c>
    </row>
    <row r="4128" spans="4:4" x14ac:dyDescent="0.25">
      <c r="D4128">
        <v>3768907</v>
      </c>
    </row>
    <row r="4129" spans="4:4" x14ac:dyDescent="0.25">
      <c r="D4129">
        <v>3768907</v>
      </c>
    </row>
    <row r="4130" spans="4:4" x14ac:dyDescent="0.25">
      <c r="D4130">
        <v>3531649</v>
      </c>
    </row>
    <row r="4131" spans="4:4" x14ac:dyDescent="0.25">
      <c r="D4131">
        <v>3531649</v>
      </c>
    </row>
    <row r="4132" spans="4:4" x14ac:dyDescent="0.25">
      <c r="D4132">
        <v>3531649</v>
      </c>
    </row>
    <row r="4133" spans="4:4" x14ac:dyDescent="0.25">
      <c r="D4133">
        <v>3531649</v>
      </c>
    </row>
    <row r="4134" spans="4:4" x14ac:dyDescent="0.25">
      <c r="D4134">
        <v>3531649</v>
      </c>
    </row>
    <row r="4135" spans="4:4" x14ac:dyDescent="0.25">
      <c r="D4135">
        <v>3531649</v>
      </c>
    </row>
    <row r="4136" spans="4:4" x14ac:dyDescent="0.25">
      <c r="D4136">
        <v>3531649</v>
      </c>
    </row>
    <row r="4137" spans="4:4" x14ac:dyDescent="0.25">
      <c r="D4137">
        <v>3531649</v>
      </c>
    </row>
    <row r="4138" spans="4:4" x14ac:dyDescent="0.25">
      <c r="D4138">
        <v>3531649</v>
      </c>
    </row>
    <row r="4139" spans="4:4" x14ac:dyDescent="0.25">
      <c r="D4139">
        <v>3531649</v>
      </c>
    </row>
    <row r="4140" spans="4:4" x14ac:dyDescent="0.25">
      <c r="D4140">
        <v>3531649</v>
      </c>
    </row>
    <row r="4141" spans="4:4" x14ac:dyDescent="0.25">
      <c r="D4141">
        <v>3531649</v>
      </c>
    </row>
    <row r="4142" spans="4:4" x14ac:dyDescent="0.25">
      <c r="D4142">
        <v>3531649</v>
      </c>
    </row>
    <row r="4143" spans="4:4" x14ac:dyDescent="0.25">
      <c r="D4143">
        <v>3531649</v>
      </c>
    </row>
    <row r="4144" spans="4:4" x14ac:dyDescent="0.25">
      <c r="D4144">
        <v>1496408</v>
      </c>
    </row>
    <row r="4145" spans="4:4" x14ac:dyDescent="0.25">
      <c r="D4145">
        <v>3722021</v>
      </c>
    </row>
    <row r="4146" spans="4:4" x14ac:dyDescent="0.25">
      <c r="D4146">
        <v>3722021</v>
      </c>
    </row>
    <row r="4147" spans="4:4" x14ac:dyDescent="0.25">
      <c r="D4147">
        <v>3722021</v>
      </c>
    </row>
    <row r="4148" spans="4:4" x14ac:dyDescent="0.25">
      <c r="D4148">
        <v>2417648</v>
      </c>
    </row>
    <row r="4149" spans="4:4" x14ac:dyDescent="0.25">
      <c r="D4149">
        <v>2417648</v>
      </c>
    </row>
    <row r="4150" spans="4:4" x14ac:dyDescent="0.25">
      <c r="D4150">
        <v>2417648</v>
      </c>
    </row>
    <row r="4151" spans="4:4" x14ac:dyDescent="0.25">
      <c r="D4151">
        <v>2417648</v>
      </c>
    </row>
    <row r="4152" spans="4:4" x14ac:dyDescent="0.25">
      <c r="D4152">
        <v>2417648</v>
      </c>
    </row>
    <row r="4153" spans="4:4" x14ac:dyDescent="0.25">
      <c r="D4153">
        <v>2417648</v>
      </c>
    </row>
    <row r="4154" spans="4:4" x14ac:dyDescent="0.25">
      <c r="D4154">
        <v>2417648</v>
      </c>
    </row>
    <row r="4155" spans="4:4" x14ac:dyDescent="0.25">
      <c r="D4155">
        <v>2417648</v>
      </c>
    </row>
    <row r="4156" spans="4:4" x14ac:dyDescent="0.25">
      <c r="D4156">
        <v>2417648</v>
      </c>
    </row>
    <row r="4157" spans="4:4" x14ac:dyDescent="0.25">
      <c r="D4157">
        <v>2417648</v>
      </c>
    </row>
    <row r="4158" spans="4:4" x14ac:dyDescent="0.25">
      <c r="D4158">
        <v>2417648</v>
      </c>
    </row>
    <row r="4159" spans="4:4" x14ac:dyDescent="0.25">
      <c r="D4159">
        <v>2417648</v>
      </c>
    </row>
    <row r="4160" spans="4:4" x14ac:dyDescent="0.25">
      <c r="D4160">
        <v>1310731</v>
      </c>
    </row>
    <row r="4161" spans="4:4" x14ac:dyDescent="0.25">
      <c r="D4161">
        <v>1310731</v>
      </c>
    </row>
    <row r="4162" spans="4:4" x14ac:dyDescent="0.25">
      <c r="D4162">
        <v>1310731</v>
      </c>
    </row>
    <row r="4163" spans="4:4" x14ac:dyDescent="0.25">
      <c r="D4163">
        <v>1310731</v>
      </c>
    </row>
    <row r="4164" spans="4:4" x14ac:dyDescent="0.25">
      <c r="D4164">
        <v>1310731</v>
      </c>
    </row>
    <row r="4165" spans="4:4" x14ac:dyDescent="0.25">
      <c r="D4165">
        <v>2417649</v>
      </c>
    </row>
    <row r="4166" spans="4:4" x14ac:dyDescent="0.25">
      <c r="D4166">
        <v>2417649</v>
      </c>
    </row>
    <row r="4167" spans="4:4" x14ac:dyDescent="0.25">
      <c r="D4167">
        <v>2417649</v>
      </c>
    </row>
    <row r="4168" spans="4:4" x14ac:dyDescent="0.25">
      <c r="D4168">
        <v>3433148</v>
      </c>
    </row>
    <row r="4169" spans="4:4" x14ac:dyDescent="0.25">
      <c r="D4169">
        <v>3433148</v>
      </c>
    </row>
    <row r="4170" spans="4:4" x14ac:dyDescent="0.25">
      <c r="D4170">
        <v>3433148</v>
      </c>
    </row>
    <row r="4171" spans="4:4" x14ac:dyDescent="0.25">
      <c r="D4171">
        <v>3433148</v>
      </c>
    </row>
    <row r="4172" spans="4:4" x14ac:dyDescent="0.25">
      <c r="D4172">
        <v>3433148</v>
      </c>
    </row>
    <row r="4173" spans="4:4" x14ac:dyDescent="0.25">
      <c r="D4173">
        <v>3502013</v>
      </c>
    </row>
    <row r="4174" spans="4:4" x14ac:dyDescent="0.25">
      <c r="D4174">
        <v>3502013</v>
      </c>
    </row>
    <row r="4175" spans="4:4" x14ac:dyDescent="0.25">
      <c r="D4175">
        <v>3502013</v>
      </c>
    </row>
    <row r="4176" spans="4:4" x14ac:dyDescent="0.25">
      <c r="D4176">
        <v>3502013</v>
      </c>
    </row>
    <row r="4177" spans="4:4" x14ac:dyDescent="0.25">
      <c r="D4177">
        <v>3502013</v>
      </c>
    </row>
    <row r="4178" spans="4:4" x14ac:dyDescent="0.25">
      <c r="D4178">
        <v>3502013</v>
      </c>
    </row>
    <row r="4179" spans="4:4" x14ac:dyDescent="0.25">
      <c r="D4179">
        <v>3502013</v>
      </c>
    </row>
    <row r="4180" spans="4:4" x14ac:dyDescent="0.25">
      <c r="D4180">
        <v>3502013</v>
      </c>
    </row>
    <row r="4181" spans="4:4" x14ac:dyDescent="0.25">
      <c r="D4181">
        <v>3502013</v>
      </c>
    </row>
    <row r="4182" spans="4:4" x14ac:dyDescent="0.25">
      <c r="D4182">
        <v>3500650</v>
      </c>
    </row>
    <row r="4183" spans="4:4" x14ac:dyDescent="0.25">
      <c r="D4183">
        <v>3500650</v>
      </c>
    </row>
    <row r="4184" spans="4:4" x14ac:dyDescent="0.25">
      <c r="D4184">
        <v>3500650</v>
      </c>
    </row>
    <row r="4185" spans="4:4" x14ac:dyDescent="0.25">
      <c r="D4185">
        <v>3500650</v>
      </c>
    </row>
    <row r="4186" spans="4:4" x14ac:dyDescent="0.25">
      <c r="D4186">
        <v>3500650</v>
      </c>
    </row>
    <row r="4187" spans="4:4" x14ac:dyDescent="0.25">
      <c r="D4187">
        <v>3500650</v>
      </c>
    </row>
    <row r="4188" spans="4:4" x14ac:dyDescent="0.25">
      <c r="D4188">
        <v>2396465</v>
      </c>
    </row>
    <row r="4189" spans="4:4" x14ac:dyDescent="0.25">
      <c r="D4189">
        <v>2396465</v>
      </c>
    </row>
    <row r="4190" spans="4:4" x14ac:dyDescent="0.25">
      <c r="D4190">
        <v>2396465</v>
      </c>
    </row>
    <row r="4191" spans="4:4" x14ac:dyDescent="0.25">
      <c r="D4191">
        <v>2396465</v>
      </c>
    </row>
    <row r="4192" spans="4:4" x14ac:dyDescent="0.25">
      <c r="D4192">
        <v>2396465</v>
      </c>
    </row>
    <row r="4193" spans="4:4" x14ac:dyDescent="0.25">
      <c r="D4193">
        <v>2396465</v>
      </c>
    </row>
    <row r="4194" spans="4:4" x14ac:dyDescent="0.25">
      <c r="D4194">
        <v>2396465</v>
      </c>
    </row>
    <row r="4195" spans="4:4" x14ac:dyDescent="0.25">
      <c r="D4195">
        <v>1511515</v>
      </c>
    </row>
    <row r="4196" spans="4:4" x14ac:dyDescent="0.25">
      <c r="D4196">
        <v>1511515</v>
      </c>
    </row>
    <row r="4197" spans="4:4" x14ac:dyDescent="0.25">
      <c r="D4197">
        <v>1511515</v>
      </c>
    </row>
    <row r="4198" spans="4:4" x14ac:dyDescent="0.25">
      <c r="D4198">
        <v>1511515</v>
      </c>
    </row>
    <row r="4199" spans="4:4" x14ac:dyDescent="0.25">
      <c r="D4199">
        <v>1511515</v>
      </c>
    </row>
    <row r="4200" spans="4:4" x14ac:dyDescent="0.25">
      <c r="D4200">
        <v>1511515</v>
      </c>
    </row>
    <row r="4201" spans="4:4" x14ac:dyDescent="0.25">
      <c r="D4201">
        <v>1511515</v>
      </c>
    </row>
    <row r="4202" spans="4:4" x14ac:dyDescent="0.25">
      <c r="D4202">
        <v>1511515</v>
      </c>
    </row>
    <row r="4203" spans="4:4" x14ac:dyDescent="0.25">
      <c r="D4203">
        <v>2422135</v>
      </c>
    </row>
    <row r="4204" spans="4:4" x14ac:dyDescent="0.25">
      <c r="D4204">
        <v>3784469</v>
      </c>
    </row>
    <row r="4205" spans="4:4" x14ac:dyDescent="0.25">
      <c r="D4205">
        <v>3901714</v>
      </c>
    </row>
    <row r="4206" spans="4:4" x14ac:dyDescent="0.25">
      <c r="D4206">
        <v>3187964</v>
      </c>
    </row>
    <row r="4207" spans="4:4" x14ac:dyDescent="0.25">
      <c r="D4207">
        <v>3187964</v>
      </c>
    </row>
    <row r="4208" spans="4:4" x14ac:dyDescent="0.25">
      <c r="D4208">
        <v>3187964</v>
      </c>
    </row>
    <row r="4209" spans="4:4" x14ac:dyDescent="0.25">
      <c r="D4209">
        <v>1310732</v>
      </c>
    </row>
    <row r="4210" spans="4:4" x14ac:dyDescent="0.25">
      <c r="D4210">
        <v>1310732</v>
      </c>
    </row>
    <row r="4211" spans="4:4" x14ac:dyDescent="0.25">
      <c r="D4211">
        <v>2428441</v>
      </c>
    </row>
    <row r="4212" spans="4:4" x14ac:dyDescent="0.25">
      <c r="D4212">
        <v>2428441</v>
      </c>
    </row>
    <row r="4213" spans="4:4" x14ac:dyDescent="0.25">
      <c r="D4213">
        <v>2428441</v>
      </c>
    </row>
    <row r="4214" spans="4:4" x14ac:dyDescent="0.25">
      <c r="D4214">
        <v>2428441</v>
      </c>
    </row>
    <row r="4215" spans="4:4" x14ac:dyDescent="0.25">
      <c r="D4215">
        <v>2428441</v>
      </c>
    </row>
    <row r="4216" spans="4:4" x14ac:dyDescent="0.25">
      <c r="D4216">
        <v>2428441</v>
      </c>
    </row>
    <row r="4217" spans="4:4" x14ac:dyDescent="0.25">
      <c r="D4217">
        <v>2428441</v>
      </c>
    </row>
    <row r="4218" spans="4:4" x14ac:dyDescent="0.25">
      <c r="D4218">
        <v>1399335</v>
      </c>
    </row>
    <row r="4219" spans="4:4" x14ac:dyDescent="0.25">
      <c r="D4219">
        <v>1938358</v>
      </c>
    </row>
    <row r="4220" spans="4:4" x14ac:dyDescent="0.25">
      <c r="D4220">
        <v>1938358</v>
      </c>
    </row>
    <row r="4221" spans="4:4" x14ac:dyDescent="0.25">
      <c r="D4221">
        <v>1938358</v>
      </c>
    </row>
    <row r="4222" spans="4:4" x14ac:dyDescent="0.25">
      <c r="D4222">
        <v>1938358</v>
      </c>
    </row>
    <row r="4223" spans="4:4" x14ac:dyDescent="0.25">
      <c r="D4223">
        <v>1938358</v>
      </c>
    </row>
    <row r="4224" spans="4:4" x14ac:dyDescent="0.25">
      <c r="D4224">
        <v>1938358</v>
      </c>
    </row>
    <row r="4225" spans="4:4" x14ac:dyDescent="0.25">
      <c r="D4225">
        <v>1938358</v>
      </c>
    </row>
    <row r="4226" spans="4:4" x14ac:dyDescent="0.25">
      <c r="D4226">
        <v>1938358</v>
      </c>
    </row>
    <row r="4227" spans="4:4" x14ac:dyDescent="0.25">
      <c r="D4227">
        <v>1311453</v>
      </c>
    </row>
    <row r="4228" spans="4:4" x14ac:dyDescent="0.25">
      <c r="D4228">
        <v>1311453</v>
      </c>
    </row>
    <row r="4229" spans="4:4" x14ac:dyDescent="0.25">
      <c r="D4229">
        <v>1311453</v>
      </c>
    </row>
    <row r="4230" spans="4:4" x14ac:dyDescent="0.25">
      <c r="D4230">
        <v>1311453</v>
      </c>
    </row>
    <row r="4231" spans="4:4" x14ac:dyDescent="0.25">
      <c r="D4231">
        <v>3439767</v>
      </c>
    </row>
    <row r="4232" spans="4:4" x14ac:dyDescent="0.25">
      <c r="D4232">
        <v>3439767</v>
      </c>
    </row>
    <row r="4233" spans="4:4" x14ac:dyDescent="0.25">
      <c r="D4233">
        <v>3499121</v>
      </c>
    </row>
    <row r="4234" spans="4:4" x14ac:dyDescent="0.25">
      <c r="D4234">
        <v>3499121</v>
      </c>
    </row>
    <row r="4235" spans="4:4" x14ac:dyDescent="0.25">
      <c r="D4235">
        <v>3499121</v>
      </c>
    </row>
    <row r="4236" spans="4:4" x14ac:dyDescent="0.25">
      <c r="D4236">
        <v>3500714</v>
      </c>
    </row>
    <row r="4237" spans="4:4" x14ac:dyDescent="0.25">
      <c r="D4237">
        <v>3500714</v>
      </c>
    </row>
    <row r="4238" spans="4:4" x14ac:dyDescent="0.25">
      <c r="D4238">
        <v>3500714</v>
      </c>
    </row>
    <row r="4239" spans="4:4" x14ac:dyDescent="0.25">
      <c r="D4239">
        <v>3500714</v>
      </c>
    </row>
    <row r="4240" spans="4:4" x14ac:dyDescent="0.25">
      <c r="D4240">
        <v>3500714</v>
      </c>
    </row>
    <row r="4241" spans="4:4" x14ac:dyDescent="0.25">
      <c r="D4241">
        <v>3500714</v>
      </c>
    </row>
    <row r="4242" spans="4:4" x14ac:dyDescent="0.25">
      <c r="D4242">
        <v>3500714</v>
      </c>
    </row>
    <row r="4243" spans="4:4" x14ac:dyDescent="0.25">
      <c r="D4243">
        <v>3500714</v>
      </c>
    </row>
    <row r="4244" spans="4:4" x14ac:dyDescent="0.25">
      <c r="D4244">
        <v>3500714</v>
      </c>
    </row>
    <row r="4245" spans="4:4" x14ac:dyDescent="0.25">
      <c r="D4245">
        <v>3500714</v>
      </c>
    </row>
    <row r="4246" spans="4:4" x14ac:dyDescent="0.25">
      <c r="D4246">
        <v>3500714</v>
      </c>
    </row>
    <row r="4247" spans="4:4" x14ac:dyDescent="0.25">
      <c r="D4247">
        <v>3500714</v>
      </c>
    </row>
    <row r="4248" spans="4:4" x14ac:dyDescent="0.25">
      <c r="D4248">
        <v>3500714</v>
      </c>
    </row>
    <row r="4249" spans="4:4" x14ac:dyDescent="0.25">
      <c r="D4249">
        <v>3500714</v>
      </c>
    </row>
    <row r="4250" spans="4:4" x14ac:dyDescent="0.25">
      <c r="D4250">
        <v>3500714</v>
      </c>
    </row>
    <row r="4251" spans="4:4" x14ac:dyDescent="0.25">
      <c r="D4251">
        <v>3500714</v>
      </c>
    </row>
    <row r="4252" spans="4:4" x14ac:dyDescent="0.25">
      <c r="D4252">
        <v>3500714</v>
      </c>
    </row>
    <row r="4253" spans="4:4" x14ac:dyDescent="0.25">
      <c r="D4253">
        <v>3500714</v>
      </c>
    </row>
    <row r="4254" spans="4:4" x14ac:dyDescent="0.25">
      <c r="D4254">
        <v>2426233</v>
      </c>
    </row>
    <row r="4255" spans="4:4" x14ac:dyDescent="0.25">
      <c r="D4255">
        <v>2426233</v>
      </c>
    </row>
    <row r="4256" spans="4:4" x14ac:dyDescent="0.25">
      <c r="D4256">
        <v>3501985</v>
      </c>
    </row>
    <row r="4257" spans="4:4" x14ac:dyDescent="0.25">
      <c r="D4257">
        <v>1490699</v>
      </c>
    </row>
    <row r="4258" spans="4:4" x14ac:dyDescent="0.25">
      <c r="D4258">
        <v>2420077</v>
      </c>
    </row>
    <row r="4259" spans="4:4" x14ac:dyDescent="0.25">
      <c r="D4259">
        <v>2420077</v>
      </c>
    </row>
    <row r="4260" spans="4:4" x14ac:dyDescent="0.25">
      <c r="D4260">
        <v>3545558</v>
      </c>
    </row>
    <row r="4261" spans="4:4" x14ac:dyDescent="0.25">
      <c r="D4261">
        <v>3545558</v>
      </c>
    </row>
    <row r="4262" spans="4:4" x14ac:dyDescent="0.25">
      <c r="D4262">
        <v>3545558</v>
      </c>
    </row>
    <row r="4263" spans="4:4" x14ac:dyDescent="0.25">
      <c r="D4263">
        <v>3545558</v>
      </c>
    </row>
    <row r="4264" spans="4:4" x14ac:dyDescent="0.25">
      <c r="D4264">
        <v>3545558</v>
      </c>
    </row>
    <row r="4265" spans="4:4" x14ac:dyDescent="0.25">
      <c r="D4265">
        <v>3545558</v>
      </c>
    </row>
    <row r="4266" spans="4:4" x14ac:dyDescent="0.25">
      <c r="D4266">
        <v>3545558</v>
      </c>
    </row>
    <row r="4267" spans="4:4" x14ac:dyDescent="0.25">
      <c r="D4267">
        <v>3545558</v>
      </c>
    </row>
    <row r="4268" spans="4:4" x14ac:dyDescent="0.25">
      <c r="D4268">
        <v>3545558</v>
      </c>
    </row>
    <row r="4269" spans="4:4" x14ac:dyDescent="0.25">
      <c r="D4269">
        <v>3545558</v>
      </c>
    </row>
    <row r="4270" spans="4:4" x14ac:dyDescent="0.25">
      <c r="D4270">
        <v>3514971</v>
      </c>
    </row>
    <row r="4271" spans="4:4" x14ac:dyDescent="0.25">
      <c r="D4271">
        <v>3514971</v>
      </c>
    </row>
    <row r="4272" spans="4:4" x14ac:dyDescent="0.25">
      <c r="D4272">
        <v>3502343</v>
      </c>
    </row>
    <row r="4273" spans="4:4" x14ac:dyDescent="0.25">
      <c r="D4273">
        <v>3502343</v>
      </c>
    </row>
    <row r="4274" spans="4:4" x14ac:dyDescent="0.25">
      <c r="D4274">
        <v>3502343</v>
      </c>
    </row>
    <row r="4275" spans="4:4" x14ac:dyDescent="0.25">
      <c r="D4275">
        <v>3502343</v>
      </c>
    </row>
    <row r="4276" spans="4:4" x14ac:dyDescent="0.25">
      <c r="D4276">
        <v>3502343</v>
      </c>
    </row>
    <row r="4277" spans="4:4" x14ac:dyDescent="0.25">
      <c r="D4277">
        <v>3502343</v>
      </c>
    </row>
    <row r="4278" spans="4:4" x14ac:dyDescent="0.25">
      <c r="D4278">
        <v>3501095</v>
      </c>
    </row>
    <row r="4279" spans="4:4" x14ac:dyDescent="0.25">
      <c r="D4279">
        <v>1490698</v>
      </c>
    </row>
    <row r="4280" spans="4:4" x14ac:dyDescent="0.25">
      <c r="D4280">
        <v>3514380</v>
      </c>
    </row>
    <row r="4281" spans="4:4" x14ac:dyDescent="0.25">
      <c r="D4281">
        <v>3514380</v>
      </c>
    </row>
    <row r="4282" spans="4:4" x14ac:dyDescent="0.25">
      <c r="D4282">
        <v>3502388</v>
      </c>
    </row>
    <row r="4283" spans="4:4" x14ac:dyDescent="0.25">
      <c r="D4283">
        <v>3502388</v>
      </c>
    </row>
    <row r="4284" spans="4:4" x14ac:dyDescent="0.25">
      <c r="D4284">
        <v>3502388</v>
      </c>
    </row>
    <row r="4285" spans="4:4" x14ac:dyDescent="0.25">
      <c r="D4285">
        <v>3502388</v>
      </c>
    </row>
    <row r="4286" spans="4:4" x14ac:dyDescent="0.25">
      <c r="D4286">
        <v>3502388</v>
      </c>
    </row>
    <row r="4287" spans="4:4" x14ac:dyDescent="0.25">
      <c r="D4287">
        <v>3502388</v>
      </c>
    </row>
    <row r="4288" spans="4:4" x14ac:dyDescent="0.25">
      <c r="D4288">
        <v>3502388</v>
      </c>
    </row>
    <row r="4289" spans="4:4" x14ac:dyDescent="0.25">
      <c r="D4289">
        <v>2397072</v>
      </c>
    </row>
    <row r="4290" spans="4:4" x14ac:dyDescent="0.25">
      <c r="D4290">
        <v>2397072</v>
      </c>
    </row>
    <row r="4291" spans="4:4" x14ac:dyDescent="0.25">
      <c r="D4291">
        <v>2397072</v>
      </c>
    </row>
    <row r="4292" spans="4:4" x14ac:dyDescent="0.25">
      <c r="D4292">
        <v>2397072</v>
      </c>
    </row>
    <row r="4293" spans="4:4" x14ac:dyDescent="0.25">
      <c r="D4293">
        <v>2397072</v>
      </c>
    </row>
    <row r="4294" spans="4:4" x14ac:dyDescent="0.25">
      <c r="D4294">
        <v>3649700</v>
      </c>
    </row>
    <row r="4295" spans="4:4" x14ac:dyDescent="0.25">
      <c r="D4295">
        <v>3649700</v>
      </c>
    </row>
    <row r="4296" spans="4:4" x14ac:dyDescent="0.25">
      <c r="D4296">
        <v>3649700</v>
      </c>
    </row>
    <row r="4297" spans="4:4" x14ac:dyDescent="0.25">
      <c r="D4297">
        <v>3649700</v>
      </c>
    </row>
    <row r="4298" spans="4:4" x14ac:dyDescent="0.25">
      <c r="D4298">
        <v>3649700</v>
      </c>
    </row>
    <row r="4299" spans="4:4" x14ac:dyDescent="0.25">
      <c r="D4299">
        <v>3649700</v>
      </c>
    </row>
    <row r="4300" spans="4:4" x14ac:dyDescent="0.25">
      <c r="D4300">
        <v>3649700</v>
      </c>
    </row>
    <row r="4301" spans="4:4" x14ac:dyDescent="0.25">
      <c r="D4301">
        <v>2397327</v>
      </c>
    </row>
    <row r="4302" spans="4:4" x14ac:dyDescent="0.25">
      <c r="D4302">
        <v>3460088</v>
      </c>
    </row>
    <row r="4303" spans="4:4" x14ac:dyDescent="0.25">
      <c r="D4303">
        <v>3460088</v>
      </c>
    </row>
    <row r="4304" spans="4:4" x14ac:dyDescent="0.25">
      <c r="D4304">
        <v>3460088</v>
      </c>
    </row>
    <row r="4305" spans="4:4" x14ac:dyDescent="0.25">
      <c r="D4305">
        <v>3460088</v>
      </c>
    </row>
    <row r="4306" spans="4:4" x14ac:dyDescent="0.25">
      <c r="D4306">
        <v>2325421</v>
      </c>
    </row>
    <row r="4307" spans="4:4" x14ac:dyDescent="0.25">
      <c r="D4307">
        <v>2325421</v>
      </c>
    </row>
    <row r="4308" spans="4:4" x14ac:dyDescent="0.25">
      <c r="D4308">
        <v>2325421</v>
      </c>
    </row>
    <row r="4309" spans="4:4" x14ac:dyDescent="0.25">
      <c r="D4309">
        <v>2325421</v>
      </c>
    </row>
    <row r="4310" spans="4:4" x14ac:dyDescent="0.25">
      <c r="D4310">
        <v>2325421</v>
      </c>
    </row>
    <row r="4311" spans="4:4" x14ac:dyDescent="0.25">
      <c r="D4311">
        <v>2325421</v>
      </c>
    </row>
    <row r="4312" spans="4:4" x14ac:dyDescent="0.25">
      <c r="D4312">
        <v>2325421</v>
      </c>
    </row>
    <row r="4313" spans="4:4" x14ac:dyDescent="0.25">
      <c r="D4313">
        <v>2325421</v>
      </c>
    </row>
    <row r="4314" spans="4:4" x14ac:dyDescent="0.25">
      <c r="D4314">
        <v>2325421</v>
      </c>
    </row>
    <row r="4315" spans="4:4" x14ac:dyDescent="0.25">
      <c r="D4315">
        <v>2325421</v>
      </c>
    </row>
    <row r="4316" spans="4:4" x14ac:dyDescent="0.25">
      <c r="D4316">
        <v>2325421</v>
      </c>
    </row>
    <row r="4317" spans="4:4" x14ac:dyDescent="0.25">
      <c r="D4317">
        <v>2325421</v>
      </c>
    </row>
    <row r="4318" spans="4:4" x14ac:dyDescent="0.25">
      <c r="D4318">
        <v>2325421</v>
      </c>
    </row>
    <row r="4319" spans="4:4" x14ac:dyDescent="0.25">
      <c r="D4319">
        <v>2325421</v>
      </c>
    </row>
    <row r="4320" spans="4:4" x14ac:dyDescent="0.25">
      <c r="D4320">
        <v>2325421</v>
      </c>
    </row>
    <row r="4321" spans="4:4" x14ac:dyDescent="0.25">
      <c r="D4321">
        <v>2325421</v>
      </c>
    </row>
    <row r="4322" spans="4:4" x14ac:dyDescent="0.25">
      <c r="D4322">
        <v>2325421</v>
      </c>
    </row>
    <row r="4323" spans="4:4" x14ac:dyDescent="0.25">
      <c r="D4323">
        <v>2325421</v>
      </c>
    </row>
    <row r="4324" spans="4:4" x14ac:dyDescent="0.25">
      <c r="D4324">
        <v>2325421</v>
      </c>
    </row>
    <row r="4325" spans="4:4" x14ac:dyDescent="0.25">
      <c r="D4325">
        <v>2325421</v>
      </c>
    </row>
    <row r="4326" spans="4:4" x14ac:dyDescent="0.25">
      <c r="D4326">
        <v>2325421</v>
      </c>
    </row>
    <row r="4327" spans="4:4" x14ac:dyDescent="0.25">
      <c r="D4327">
        <v>2325421</v>
      </c>
    </row>
    <row r="4328" spans="4:4" x14ac:dyDescent="0.25">
      <c r="D4328">
        <v>2325421</v>
      </c>
    </row>
    <row r="4329" spans="4:4" x14ac:dyDescent="0.25">
      <c r="D4329">
        <v>2325421</v>
      </c>
    </row>
    <row r="4330" spans="4:4" x14ac:dyDescent="0.25">
      <c r="D4330">
        <v>2325421</v>
      </c>
    </row>
    <row r="4331" spans="4:4" x14ac:dyDescent="0.25">
      <c r="D4331">
        <v>2325421</v>
      </c>
    </row>
    <row r="4332" spans="4:4" x14ac:dyDescent="0.25">
      <c r="D4332">
        <v>2325421</v>
      </c>
    </row>
    <row r="4333" spans="4:4" x14ac:dyDescent="0.25">
      <c r="D4333">
        <v>2325421</v>
      </c>
    </row>
    <row r="4334" spans="4:4" x14ac:dyDescent="0.25">
      <c r="D4334">
        <v>2325421</v>
      </c>
    </row>
    <row r="4335" spans="4:4" x14ac:dyDescent="0.25">
      <c r="D4335">
        <v>3453634</v>
      </c>
    </row>
    <row r="4336" spans="4:4" x14ac:dyDescent="0.25">
      <c r="D4336">
        <v>3545559</v>
      </c>
    </row>
    <row r="4337" spans="4:4" x14ac:dyDescent="0.25">
      <c r="D4337">
        <v>3545559</v>
      </c>
    </row>
    <row r="4338" spans="4:4" x14ac:dyDescent="0.25">
      <c r="D4338">
        <v>3545559</v>
      </c>
    </row>
    <row r="4339" spans="4:4" x14ac:dyDescent="0.25">
      <c r="D4339">
        <v>3545559</v>
      </c>
    </row>
    <row r="4340" spans="4:4" x14ac:dyDescent="0.25">
      <c r="D4340">
        <v>3502301</v>
      </c>
    </row>
    <row r="4341" spans="4:4" x14ac:dyDescent="0.25">
      <c r="D4341">
        <v>3502301</v>
      </c>
    </row>
    <row r="4342" spans="4:4" x14ac:dyDescent="0.25">
      <c r="D4342">
        <v>3502301</v>
      </c>
    </row>
    <row r="4343" spans="4:4" x14ac:dyDescent="0.25">
      <c r="D4343">
        <v>3502301</v>
      </c>
    </row>
    <row r="4344" spans="4:4" x14ac:dyDescent="0.25">
      <c r="D4344">
        <v>3502301</v>
      </c>
    </row>
    <row r="4345" spans="4:4" x14ac:dyDescent="0.25">
      <c r="D4345">
        <v>3597587</v>
      </c>
    </row>
    <row r="4346" spans="4:4" x14ac:dyDescent="0.25">
      <c r="D4346">
        <v>3597587</v>
      </c>
    </row>
    <row r="4347" spans="4:4" x14ac:dyDescent="0.25">
      <c r="D4347">
        <v>1325388</v>
      </c>
    </row>
    <row r="4348" spans="4:4" x14ac:dyDescent="0.25">
      <c r="D4348">
        <v>3508060</v>
      </c>
    </row>
    <row r="4349" spans="4:4" x14ac:dyDescent="0.25">
      <c r="D4349">
        <v>3501092</v>
      </c>
    </row>
    <row r="4350" spans="4:4" x14ac:dyDescent="0.25">
      <c r="D4350">
        <v>3230505</v>
      </c>
    </row>
    <row r="4351" spans="4:4" x14ac:dyDescent="0.25">
      <c r="D4351">
        <v>2404864</v>
      </c>
    </row>
    <row r="4352" spans="4:4" x14ac:dyDescent="0.25">
      <c r="D4352">
        <v>2404864</v>
      </c>
    </row>
    <row r="4353" spans="4:4" x14ac:dyDescent="0.25">
      <c r="D4353">
        <v>3549720</v>
      </c>
    </row>
    <row r="4354" spans="4:4" x14ac:dyDescent="0.25">
      <c r="D4354">
        <v>3549720</v>
      </c>
    </row>
    <row r="4355" spans="4:4" x14ac:dyDescent="0.25">
      <c r="D4355">
        <v>3549720</v>
      </c>
    </row>
    <row r="4356" spans="4:4" x14ac:dyDescent="0.25">
      <c r="D4356">
        <v>3549720</v>
      </c>
    </row>
    <row r="4357" spans="4:4" x14ac:dyDescent="0.25">
      <c r="D4357">
        <v>3549720</v>
      </c>
    </row>
    <row r="4358" spans="4:4" x14ac:dyDescent="0.25">
      <c r="D4358">
        <v>3549720</v>
      </c>
    </row>
    <row r="4359" spans="4:4" x14ac:dyDescent="0.25">
      <c r="D4359">
        <v>3549720</v>
      </c>
    </row>
    <row r="4360" spans="4:4" x14ac:dyDescent="0.25">
      <c r="D4360">
        <v>3238860</v>
      </c>
    </row>
    <row r="4361" spans="4:4" x14ac:dyDescent="0.25">
      <c r="D4361">
        <v>3742593</v>
      </c>
    </row>
    <row r="4362" spans="4:4" x14ac:dyDescent="0.25">
      <c r="D4362">
        <v>2356445</v>
      </c>
    </row>
    <row r="4363" spans="4:4" x14ac:dyDescent="0.25">
      <c r="D4363">
        <v>2356445</v>
      </c>
    </row>
    <row r="4364" spans="4:4" x14ac:dyDescent="0.25">
      <c r="D4364">
        <v>2356445</v>
      </c>
    </row>
    <row r="4365" spans="4:4" x14ac:dyDescent="0.25">
      <c r="D4365">
        <v>3239049</v>
      </c>
    </row>
    <row r="4366" spans="4:4" x14ac:dyDescent="0.25">
      <c r="D4366">
        <v>282519</v>
      </c>
    </row>
    <row r="4367" spans="4:4" x14ac:dyDescent="0.25">
      <c r="D4367">
        <v>3531650</v>
      </c>
    </row>
    <row r="4368" spans="4:4" x14ac:dyDescent="0.25">
      <c r="D4368">
        <v>3531650</v>
      </c>
    </row>
    <row r="4369" spans="4:4" x14ac:dyDescent="0.25">
      <c r="D4369">
        <v>3531650</v>
      </c>
    </row>
    <row r="4370" spans="4:4" x14ac:dyDescent="0.25">
      <c r="D4370">
        <v>3531650</v>
      </c>
    </row>
    <row r="4371" spans="4:4" x14ac:dyDescent="0.25">
      <c r="D4371">
        <v>1568170</v>
      </c>
    </row>
    <row r="4372" spans="4:4" x14ac:dyDescent="0.25">
      <c r="D4372">
        <v>1568170</v>
      </c>
    </row>
    <row r="4373" spans="4:4" x14ac:dyDescent="0.25">
      <c r="D4373">
        <v>1568170</v>
      </c>
    </row>
    <row r="4374" spans="4:4" x14ac:dyDescent="0.25">
      <c r="D4374">
        <v>1568170</v>
      </c>
    </row>
    <row r="4375" spans="4:4" x14ac:dyDescent="0.25">
      <c r="D4375">
        <v>1568170</v>
      </c>
    </row>
    <row r="4376" spans="4:4" x14ac:dyDescent="0.25">
      <c r="D4376">
        <v>1568170</v>
      </c>
    </row>
    <row r="4377" spans="4:4" x14ac:dyDescent="0.25">
      <c r="D4377">
        <v>281785</v>
      </c>
    </row>
    <row r="4378" spans="4:4" x14ac:dyDescent="0.25">
      <c r="D4378">
        <v>281785</v>
      </c>
    </row>
    <row r="4379" spans="4:4" x14ac:dyDescent="0.25">
      <c r="D4379">
        <v>3718726</v>
      </c>
    </row>
    <row r="4380" spans="4:4" x14ac:dyDescent="0.25">
      <c r="D4380">
        <v>3718726</v>
      </c>
    </row>
    <row r="4381" spans="4:4" x14ac:dyDescent="0.25">
      <c r="D4381">
        <v>3548921</v>
      </c>
    </row>
    <row r="4382" spans="4:4" x14ac:dyDescent="0.25">
      <c r="D4382">
        <v>3548921</v>
      </c>
    </row>
    <row r="4383" spans="4:4" x14ac:dyDescent="0.25">
      <c r="D4383">
        <v>3500540</v>
      </c>
    </row>
    <row r="4384" spans="4:4" x14ac:dyDescent="0.25">
      <c r="D4384">
        <v>3500540</v>
      </c>
    </row>
    <row r="4385" spans="4:4" x14ac:dyDescent="0.25">
      <c r="D4385">
        <v>3500540</v>
      </c>
    </row>
    <row r="4386" spans="4:4" x14ac:dyDescent="0.25">
      <c r="D4386">
        <v>3501438</v>
      </c>
    </row>
    <row r="4387" spans="4:4" x14ac:dyDescent="0.25">
      <c r="D4387">
        <v>3501438</v>
      </c>
    </row>
    <row r="4388" spans="4:4" x14ac:dyDescent="0.25">
      <c r="D4388">
        <v>3502422</v>
      </c>
    </row>
    <row r="4389" spans="4:4" x14ac:dyDescent="0.25">
      <c r="D4389">
        <v>3502422</v>
      </c>
    </row>
    <row r="4390" spans="4:4" x14ac:dyDescent="0.25">
      <c r="D4390">
        <v>3502422</v>
      </c>
    </row>
    <row r="4391" spans="4:4" x14ac:dyDescent="0.25">
      <c r="D4391">
        <v>3502422</v>
      </c>
    </row>
    <row r="4392" spans="4:4" x14ac:dyDescent="0.25">
      <c r="D4392">
        <v>3502422</v>
      </c>
    </row>
    <row r="4393" spans="4:4" x14ac:dyDescent="0.25">
      <c r="D4393">
        <v>3545983</v>
      </c>
    </row>
    <row r="4394" spans="4:4" x14ac:dyDescent="0.25">
      <c r="D4394">
        <v>3545983</v>
      </c>
    </row>
    <row r="4395" spans="4:4" x14ac:dyDescent="0.25">
      <c r="D4395">
        <v>3502725</v>
      </c>
    </row>
    <row r="4396" spans="4:4" x14ac:dyDescent="0.25">
      <c r="D4396">
        <v>3502725</v>
      </c>
    </row>
    <row r="4397" spans="4:4" x14ac:dyDescent="0.25">
      <c r="D4397">
        <v>3502725</v>
      </c>
    </row>
    <row r="4398" spans="4:4" x14ac:dyDescent="0.25">
      <c r="D4398">
        <v>3502725</v>
      </c>
    </row>
    <row r="4399" spans="4:4" x14ac:dyDescent="0.25">
      <c r="D4399">
        <v>3502725</v>
      </c>
    </row>
    <row r="4400" spans="4:4" x14ac:dyDescent="0.25">
      <c r="D4400">
        <v>3502725</v>
      </c>
    </row>
    <row r="4401" spans="4:4" x14ac:dyDescent="0.25">
      <c r="D4401">
        <v>3502725</v>
      </c>
    </row>
    <row r="4402" spans="4:4" x14ac:dyDescent="0.25">
      <c r="D4402">
        <v>3502725</v>
      </c>
    </row>
    <row r="4403" spans="4:4" x14ac:dyDescent="0.25">
      <c r="D4403">
        <v>3502725</v>
      </c>
    </row>
    <row r="4404" spans="4:4" x14ac:dyDescent="0.25">
      <c r="D4404">
        <v>3502725</v>
      </c>
    </row>
    <row r="4405" spans="4:4" x14ac:dyDescent="0.25">
      <c r="D4405">
        <v>3502725</v>
      </c>
    </row>
    <row r="4406" spans="4:4" x14ac:dyDescent="0.25">
      <c r="D4406">
        <v>3502725</v>
      </c>
    </row>
    <row r="4407" spans="4:4" x14ac:dyDescent="0.25">
      <c r="D4407">
        <v>3502725</v>
      </c>
    </row>
    <row r="4408" spans="4:4" x14ac:dyDescent="0.25">
      <c r="D4408">
        <v>3502725</v>
      </c>
    </row>
    <row r="4409" spans="4:4" x14ac:dyDescent="0.25">
      <c r="D4409">
        <v>3502725</v>
      </c>
    </row>
    <row r="4410" spans="4:4" x14ac:dyDescent="0.25">
      <c r="D4410">
        <v>3499123</v>
      </c>
    </row>
    <row r="4411" spans="4:4" x14ac:dyDescent="0.25">
      <c r="D4411">
        <v>3772811</v>
      </c>
    </row>
    <row r="4412" spans="4:4" x14ac:dyDescent="0.25">
      <c r="D4412">
        <v>2427158</v>
      </c>
    </row>
    <row r="4413" spans="4:4" x14ac:dyDescent="0.25">
      <c r="D4413">
        <v>2427158</v>
      </c>
    </row>
    <row r="4414" spans="4:4" x14ac:dyDescent="0.25">
      <c r="D4414">
        <v>2427158</v>
      </c>
    </row>
    <row r="4415" spans="4:4" x14ac:dyDescent="0.25">
      <c r="D4415">
        <v>2427158</v>
      </c>
    </row>
    <row r="4416" spans="4:4" x14ac:dyDescent="0.25">
      <c r="D4416">
        <v>2427158</v>
      </c>
    </row>
    <row r="4417" spans="4:4" x14ac:dyDescent="0.25">
      <c r="D4417">
        <v>2427158</v>
      </c>
    </row>
    <row r="4418" spans="4:4" x14ac:dyDescent="0.25">
      <c r="D4418">
        <v>2427158</v>
      </c>
    </row>
    <row r="4419" spans="4:4" x14ac:dyDescent="0.25">
      <c r="D4419">
        <v>2427158</v>
      </c>
    </row>
    <row r="4420" spans="4:4" x14ac:dyDescent="0.25">
      <c r="D4420">
        <v>2427158</v>
      </c>
    </row>
    <row r="4421" spans="4:4" x14ac:dyDescent="0.25">
      <c r="D4421">
        <v>2427158</v>
      </c>
    </row>
    <row r="4422" spans="4:4" x14ac:dyDescent="0.25">
      <c r="D4422">
        <v>2427158</v>
      </c>
    </row>
    <row r="4423" spans="4:4" x14ac:dyDescent="0.25">
      <c r="D4423">
        <v>2427158</v>
      </c>
    </row>
    <row r="4424" spans="4:4" x14ac:dyDescent="0.25">
      <c r="D4424">
        <v>2427158</v>
      </c>
    </row>
    <row r="4425" spans="4:4" x14ac:dyDescent="0.25">
      <c r="D4425">
        <v>2427158</v>
      </c>
    </row>
    <row r="4426" spans="4:4" x14ac:dyDescent="0.25">
      <c r="D4426">
        <v>2427158</v>
      </c>
    </row>
    <row r="4427" spans="4:4" x14ac:dyDescent="0.25">
      <c r="D4427">
        <v>2427158</v>
      </c>
    </row>
    <row r="4428" spans="4:4" x14ac:dyDescent="0.25">
      <c r="D4428">
        <v>2427158</v>
      </c>
    </row>
    <row r="4429" spans="4:4" x14ac:dyDescent="0.25">
      <c r="D4429">
        <v>2427158</v>
      </c>
    </row>
    <row r="4430" spans="4:4" x14ac:dyDescent="0.25">
      <c r="D4430">
        <v>3780004</v>
      </c>
    </row>
    <row r="4431" spans="4:4" x14ac:dyDescent="0.25">
      <c r="D4431">
        <v>3780004</v>
      </c>
    </row>
    <row r="4432" spans="4:4" x14ac:dyDescent="0.25">
      <c r="D4432">
        <v>3780004</v>
      </c>
    </row>
    <row r="4433" spans="4:4" x14ac:dyDescent="0.25">
      <c r="D4433">
        <v>3780004</v>
      </c>
    </row>
    <row r="4434" spans="4:4" x14ac:dyDescent="0.25">
      <c r="D4434">
        <v>3775637</v>
      </c>
    </row>
    <row r="4435" spans="4:4" x14ac:dyDescent="0.25">
      <c r="D4435">
        <v>1940879</v>
      </c>
    </row>
    <row r="4436" spans="4:4" x14ac:dyDescent="0.25">
      <c r="D4436">
        <v>1940879</v>
      </c>
    </row>
    <row r="4437" spans="4:4" x14ac:dyDescent="0.25">
      <c r="D4437">
        <v>1940879</v>
      </c>
    </row>
    <row r="4438" spans="4:4" x14ac:dyDescent="0.25">
      <c r="D4438">
        <v>1940879</v>
      </c>
    </row>
    <row r="4439" spans="4:4" x14ac:dyDescent="0.25">
      <c r="D4439">
        <v>1940879</v>
      </c>
    </row>
    <row r="4440" spans="4:4" x14ac:dyDescent="0.25">
      <c r="D4440">
        <v>1940879</v>
      </c>
    </row>
    <row r="4441" spans="4:4" x14ac:dyDescent="0.25">
      <c r="D4441">
        <v>1940879</v>
      </c>
    </row>
    <row r="4442" spans="4:4" x14ac:dyDescent="0.25">
      <c r="D4442">
        <v>1940879</v>
      </c>
    </row>
    <row r="4443" spans="4:4" x14ac:dyDescent="0.25">
      <c r="D4443">
        <v>1940879</v>
      </c>
    </row>
    <row r="4444" spans="4:4" x14ac:dyDescent="0.25">
      <c r="D4444">
        <v>1940879</v>
      </c>
    </row>
    <row r="4445" spans="4:4" x14ac:dyDescent="0.25">
      <c r="D4445">
        <v>3780005</v>
      </c>
    </row>
    <row r="4446" spans="4:4" x14ac:dyDescent="0.25">
      <c r="D4446">
        <v>3780005</v>
      </c>
    </row>
    <row r="4447" spans="4:4" x14ac:dyDescent="0.25">
      <c r="D4447">
        <v>3775638</v>
      </c>
    </row>
    <row r="4448" spans="4:4" x14ac:dyDescent="0.25">
      <c r="D4448">
        <v>2430128</v>
      </c>
    </row>
    <row r="4449" spans="4:4" x14ac:dyDescent="0.25">
      <c r="D4449">
        <v>2430128</v>
      </c>
    </row>
    <row r="4450" spans="4:4" x14ac:dyDescent="0.25">
      <c r="D4450">
        <v>2430128</v>
      </c>
    </row>
    <row r="4451" spans="4:4" x14ac:dyDescent="0.25">
      <c r="D4451">
        <v>2430128</v>
      </c>
    </row>
    <row r="4452" spans="4:4" x14ac:dyDescent="0.25">
      <c r="D4452">
        <v>2430128</v>
      </c>
    </row>
    <row r="4453" spans="4:4" x14ac:dyDescent="0.25">
      <c r="D4453">
        <v>2430128</v>
      </c>
    </row>
    <row r="4454" spans="4:4" x14ac:dyDescent="0.25">
      <c r="D4454">
        <v>2430128</v>
      </c>
    </row>
    <row r="4455" spans="4:4" x14ac:dyDescent="0.25">
      <c r="D4455">
        <v>2430128</v>
      </c>
    </row>
    <row r="4456" spans="4:4" x14ac:dyDescent="0.25">
      <c r="D4456">
        <v>2430128</v>
      </c>
    </row>
    <row r="4457" spans="4:4" x14ac:dyDescent="0.25">
      <c r="D4457">
        <v>2430128</v>
      </c>
    </row>
    <row r="4458" spans="4:4" x14ac:dyDescent="0.25">
      <c r="D4458">
        <v>2325414</v>
      </c>
    </row>
    <row r="4459" spans="4:4" x14ac:dyDescent="0.25">
      <c r="D4459">
        <v>2325414</v>
      </c>
    </row>
    <row r="4460" spans="4:4" x14ac:dyDescent="0.25">
      <c r="D4460">
        <v>3219709</v>
      </c>
    </row>
    <row r="4461" spans="4:4" x14ac:dyDescent="0.25">
      <c r="D4461">
        <v>1940881</v>
      </c>
    </row>
    <row r="4462" spans="4:4" x14ac:dyDescent="0.25">
      <c r="D4462">
        <v>1940881</v>
      </c>
    </row>
    <row r="4463" spans="4:4" x14ac:dyDescent="0.25">
      <c r="D4463">
        <v>1940881</v>
      </c>
    </row>
    <row r="4464" spans="4:4" x14ac:dyDescent="0.25">
      <c r="D4464">
        <v>1940881</v>
      </c>
    </row>
    <row r="4465" spans="4:4" x14ac:dyDescent="0.25">
      <c r="D4465">
        <v>1940881</v>
      </c>
    </row>
    <row r="4466" spans="4:4" x14ac:dyDescent="0.25">
      <c r="D4466">
        <v>1940881</v>
      </c>
    </row>
    <row r="4467" spans="4:4" x14ac:dyDescent="0.25">
      <c r="D4467">
        <v>1938127</v>
      </c>
    </row>
    <row r="4468" spans="4:4" x14ac:dyDescent="0.25">
      <c r="D4468">
        <v>1938127</v>
      </c>
    </row>
    <row r="4469" spans="4:4" x14ac:dyDescent="0.25">
      <c r="D4469">
        <v>468843</v>
      </c>
    </row>
    <row r="4470" spans="4:4" x14ac:dyDescent="0.25">
      <c r="D4470">
        <v>468843</v>
      </c>
    </row>
    <row r="4471" spans="4:4" x14ac:dyDescent="0.25">
      <c r="D4471">
        <v>468843</v>
      </c>
    </row>
    <row r="4472" spans="4:4" x14ac:dyDescent="0.25">
      <c r="D4472">
        <v>468843</v>
      </c>
    </row>
    <row r="4473" spans="4:4" x14ac:dyDescent="0.25">
      <c r="D4473">
        <v>1931849</v>
      </c>
    </row>
    <row r="4474" spans="4:4" x14ac:dyDescent="0.25">
      <c r="D4474">
        <v>1931849</v>
      </c>
    </row>
    <row r="4475" spans="4:4" x14ac:dyDescent="0.25">
      <c r="D4475">
        <v>1931849</v>
      </c>
    </row>
    <row r="4476" spans="4:4" x14ac:dyDescent="0.25">
      <c r="D4476">
        <v>3500641</v>
      </c>
    </row>
    <row r="4477" spans="4:4" x14ac:dyDescent="0.25">
      <c r="D4477">
        <v>3531648</v>
      </c>
    </row>
    <row r="4478" spans="4:4" x14ac:dyDescent="0.25">
      <c r="D4478">
        <v>3531648</v>
      </c>
    </row>
    <row r="4479" spans="4:4" x14ac:dyDescent="0.25">
      <c r="D4479">
        <v>3531648</v>
      </c>
    </row>
    <row r="4480" spans="4:4" x14ac:dyDescent="0.25">
      <c r="D4480">
        <v>3531648</v>
      </c>
    </row>
    <row r="4481" spans="4:4" x14ac:dyDescent="0.25">
      <c r="D4481">
        <v>3531648</v>
      </c>
    </row>
    <row r="4482" spans="4:4" x14ac:dyDescent="0.25">
      <c r="D4482">
        <v>3531648</v>
      </c>
    </row>
    <row r="4483" spans="4:4" x14ac:dyDescent="0.25">
      <c r="D4483">
        <v>3531648</v>
      </c>
    </row>
    <row r="4484" spans="4:4" x14ac:dyDescent="0.25">
      <c r="D4484">
        <v>3531648</v>
      </c>
    </row>
    <row r="4485" spans="4:4" x14ac:dyDescent="0.25">
      <c r="D4485">
        <v>3531648</v>
      </c>
    </row>
    <row r="4486" spans="4:4" x14ac:dyDescent="0.25">
      <c r="D4486">
        <v>3531648</v>
      </c>
    </row>
    <row r="4487" spans="4:4" x14ac:dyDescent="0.25">
      <c r="D4487">
        <v>3531648</v>
      </c>
    </row>
    <row r="4488" spans="4:4" x14ac:dyDescent="0.25">
      <c r="D4488">
        <v>3531648</v>
      </c>
    </row>
    <row r="4489" spans="4:4" x14ac:dyDescent="0.25">
      <c r="D4489">
        <v>3531648</v>
      </c>
    </row>
    <row r="4490" spans="4:4" x14ac:dyDescent="0.25">
      <c r="D4490">
        <v>3531648</v>
      </c>
    </row>
    <row r="4491" spans="4:4" x14ac:dyDescent="0.25">
      <c r="D4491">
        <v>1932730</v>
      </c>
    </row>
    <row r="4492" spans="4:4" x14ac:dyDescent="0.25">
      <c r="D4492">
        <v>3508740</v>
      </c>
    </row>
    <row r="4493" spans="4:4" x14ac:dyDescent="0.25">
      <c r="D4493">
        <v>3508740</v>
      </c>
    </row>
    <row r="4494" spans="4:4" x14ac:dyDescent="0.25">
      <c r="D4494">
        <v>2353927</v>
      </c>
    </row>
    <row r="4495" spans="4:4" x14ac:dyDescent="0.25">
      <c r="D4495">
        <v>2353927</v>
      </c>
    </row>
    <row r="4496" spans="4:4" x14ac:dyDescent="0.25">
      <c r="D4496">
        <v>2353927</v>
      </c>
    </row>
    <row r="4497" spans="4:4" x14ac:dyDescent="0.25">
      <c r="D4497">
        <v>2353927</v>
      </c>
    </row>
    <row r="4498" spans="4:4" x14ac:dyDescent="0.25">
      <c r="D4498">
        <v>2353927</v>
      </c>
    </row>
    <row r="4499" spans="4:4" x14ac:dyDescent="0.25">
      <c r="D4499">
        <v>1399336</v>
      </c>
    </row>
    <row r="4500" spans="4:4" x14ac:dyDescent="0.25">
      <c r="D4500">
        <v>2396464</v>
      </c>
    </row>
    <row r="4501" spans="4:4" x14ac:dyDescent="0.25">
      <c r="D4501">
        <v>2396464</v>
      </c>
    </row>
    <row r="4502" spans="4:4" x14ac:dyDescent="0.25">
      <c r="D4502">
        <v>2396464</v>
      </c>
    </row>
    <row r="4503" spans="4:4" x14ac:dyDescent="0.25">
      <c r="D4503">
        <v>3711330</v>
      </c>
    </row>
    <row r="4504" spans="4:4" x14ac:dyDescent="0.25">
      <c r="D4504">
        <v>3711330</v>
      </c>
    </row>
    <row r="4505" spans="4:4" x14ac:dyDescent="0.25">
      <c r="D4505">
        <v>3711330</v>
      </c>
    </row>
    <row r="4506" spans="4:4" x14ac:dyDescent="0.25">
      <c r="D4506">
        <v>1474091</v>
      </c>
    </row>
    <row r="4507" spans="4:4" x14ac:dyDescent="0.25">
      <c r="D4507">
        <v>1474091</v>
      </c>
    </row>
    <row r="4508" spans="4:4" x14ac:dyDescent="0.25">
      <c r="D4508">
        <v>1474091</v>
      </c>
    </row>
    <row r="4509" spans="4:4" x14ac:dyDescent="0.25">
      <c r="D4509">
        <v>277172</v>
      </c>
    </row>
    <row r="4510" spans="4:4" x14ac:dyDescent="0.25">
      <c r="D4510">
        <v>2427938</v>
      </c>
    </row>
    <row r="4511" spans="4:4" x14ac:dyDescent="0.25">
      <c r="D4511">
        <v>3727461</v>
      </c>
    </row>
    <row r="4512" spans="4:4" x14ac:dyDescent="0.25">
      <c r="D4512">
        <v>3727461</v>
      </c>
    </row>
    <row r="4513" spans="4:4" x14ac:dyDescent="0.25">
      <c r="D4513">
        <v>3727461</v>
      </c>
    </row>
    <row r="4514" spans="4:4" x14ac:dyDescent="0.25">
      <c r="D4514">
        <v>3727461</v>
      </c>
    </row>
    <row r="4515" spans="4:4" x14ac:dyDescent="0.25">
      <c r="D4515">
        <v>3727461</v>
      </c>
    </row>
    <row r="4516" spans="4:4" x14ac:dyDescent="0.25">
      <c r="D4516">
        <v>3616160</v>
      </c>
    </row>
    <row r="4517" spans="4:4" x14ac:dyDescent="0.25">
      <c r="D4517">
        <v>3616160</v>
      </c>
    </row>
    <row r="4518" spans="4:4" x14ac:dyDescent="0.25">
      <c r="D4518">
        <v>3616160</v>
      </c>
    </row>
    <row r="4519" spans="4:4" x14ac:dyDescent="0.25">
      <c r="D4519">
        <v>3616160</v>
      </c>
    </row>
    <row r="4520" spans="4:4" x14ac:dyDescent="0.25">
      <c r="D4520">
        <v>3616160</v>
      </c>
    </row>
    <row r="4521" spans="4:4" x14ac:dyDescent="0.25">
      <c r="D4521">
        <v>460176</v>
      </c>
    </row>
    <row r="4522" spans="4:4" x14ac:dyDescent="0.25">
      <c r="D4522">
        <v>460176</v>
      </c>
    </row>
    <row r="4523" spans="4:4" x14ac:dyDescent="0.25">
      <c r="D4523">
        <v>460176</v>
      </c>
    </row>
    <row r="4524" spans="4:4" x14ac:dyDescent="0.25">
      <c r="D4524">
        <v>3182342</v>
      </c>
    </row>
    <row r="4525" spans="4:4" x14ac:dyDescent="0.25">
      <c r="D4525">
        <v>3182342</v>
      </c>
    </row>
    <row r="4526" spans="4:4" x14ac:dyDescent="0.25">
      <c r="D4526">
        <v>3182342</v>
      </c>
    </row>
    <row r="4527" spans="4:4" x14ac:dyDescent="0.25">
      <c r="D4527">
        <v>3182342</v>
      </c>
    </row>
    <row r="4528" spans="4:4" x14ac:dyDescent="0.25">
      <c r="D4528">
        <v>3157631</v>
      </c>
    </row>
    <row r="4529" spans="4:4" x14ac:dyDescent="0.25">
      <c r="D4529">
        <v>3157631</v>
      </c>
    </row>
    <row r="4530" spans="4:4" x14ac:dyDescent="0.25">
      <c r="D4530">
        <v>3157631</v>
      </c>
    </row>
    <row r="4531" spans="4:4" x14ac:dyDescent="0.25">
      <c r="D4531">
        <v>3157631</v>
      </c>
    </row>
    <row r="4532" spans="4:4" x14ac:dyDescent="0.25">
      <c r="D4532">
        <v>3732177</v>
      </c>
    </row>
    <row r="4533" spans="4:4" x14ac:dyDescent="0.25">
      <c r="D4533">
        <v>3732177</v>
      </c>
    </row>
    <row r="4534" spans="4:4" x14ac:dyDescent="0.25">
      <c r="D4534">
        <v>3732177</v>
      </c>
    </row>
    <row r="4535" spans="4:4" x14ac:dyDescent="0.25">
      <c r="D4535">
        <v>3732177</v>
      </c>
    </row>
    <row r="4536" spans="4:4" x14ac:dyDescent="0.25">
      <c r="D4536">
        <v>3732177</v>
      </c>
    </row>
    <row r="4537" spans="4:4" x14ac:dyDescent="0.25">
      <c r="D4537">
        <v>3732177</v>
      </c>
    </row>
    <row r="4538" spans="4:4" x14ac:dyDescent="0.25">
      <c r="D4538">
        <v>3732177</v>
      </c>
    </row>
    <row r="4539" spans="4:4" x14ac:dyDescent="0.25">
      <c r="D4539">
        <v>3768906</v>
      </c>
    </row>
    <row r="4540" spans="4:4" x14ac:dyDescent="0.25">
      <c r="D4540">
        <v>3768906</v>
      </c>
    </row>
    <row r="4541" spans="4:4" x14ac:dyDescent="0.25">
      <c r="D4541">
        <v>2440972</v>
      </c>
    </row>
    <row r="4542" spans="4:4" x14ac:dyDescent="0.25">
      <c r="D4542">
        <v>2440972</v>
      </c>
    </row>
    <row r="4543" spans="4:4" x14ac:dyDescent="0.25">
      <c r="D4543">
        <v>2440972</v>
      </c>
    </row>
    <row r="4544" spans="4:4" x14ac:dyDescent="0.25">
      <c r="D4544">
        <v>2440972</v>
      </c>
    </row>
    <row r="4545" spans="4:4" x14ac:dyDescent="0.25">
      <c r="D4545">
        <v>2440972</v>
      </c>
    </row>
    <row r="4546" spans="4:4" x14ac:dyDescent="0.25">
      <c r="D4546">
        <v>2440972</v>
      </c>
    </row>
    <row r="4547" spans="4:4" x14ac:dyDescent="0.25">
      <c r="D4547">
        <v>2440972</v>
      </c>
    </row>
    <row r="4548" spans="4:4" x14ac:dyDescent="0.25">
      <c r="D4548">
        <v>2440972</v>
      </c>
    </row>
    <row r="4549" spans="4:4" x14ac:dyDescent="0.25">
      <c r="D4549">
        <v>2440972</v>
      </c>
    </row>
    <row r="4550" spans="4:4" x14ac:dyDescent="0.25">
      <c r="D4550">
        <v>2440972</v>
      </c>
    </row>
    <row r="4551" spans="4:4" x14ac:dyDescent="0.25">
      <c r="D4551">
        <v>2440972</v>
      </c>
    </row>
    <row r="4552" spans="4:4" x14ac:dyDescent="0.25">
      <c r="D4552">
        <v>2440972</v>
      </c>
    </row>
    <row r="4553" spans="4:4" x14ac:dyDescent="0.25">
      <c r="D4553">
        <v>2440972</v>
      </c>
    </row>
    <row r="4554" spans="4:4" x14ac:dyDescent="0.25">
      <c r="D4554">
        <v>3731697</v>
      </c>
    </row>
    <row r="4555" spans="4:4" x14ac:dyDescent="0.25">
      <c r="D4555">
        <v>3731697</v>
      </c>
    </row>
    <row r="4556" spans="4:4" x14ac:dyDescent="0.25">
      <c r="D4556">
        <v>3731697</v>
      </c>
    </row>
    <row r="4557" spans="4:4" x14ac:dyDescent="0.25">
      <c r="D4557">
        <v>3731697</v>
      </c>
    </row>
    <row r="4558" spans="4:4" x14ac:dyDescent="0.25">
      <c r="D4558">
        <v>3731697</v>
      </c>
    </row>
    <row r="4559" spans="4:4" x14ac:dyDescent="0.25">
      <c r="D4559">
        <v>3731697</v>
      </c>
    </row>
    <row r="4560" spans="4:4" x14ac:dyDescent="0.25">
      <c r="D4560">
        <v>3731697</v>
      </c>
    </row>
    <row r="4561" spans="4:4" x14ac:dyDescent="0.25">
      <c r="D4561">
        <v>1174860</v>
      </c>
    </row>
    <row r="4562" spans="4:4" x14ac:dyDescent="0.25">
      <c r="D4562">
        <v>1174860</v>
      </c>
    </row>
    <row r="4563" spans="4:4" x14ac:dyDescent="0.25">
      <c r="D4563">
        <v>1174860</v>
      </c>
    </row>
    <row r="4564" spans="4:4" x14ac:dyDescent="0.25">
      <c r="D4564">
        <v>1174860</v>
      </c>
    </row>
    <row r="4565" spans="4:4" x14ac:dyDescent="0.25">
      <c r="D4565">
        <v>1174860</v>
      </c>
    </row>
    <row r="4566" spans="4:4" x14ac:dyDescent="0.25">
      <c r="D4566">
        <v>1940911</v>
      </c>
    </row>
    <row r="4567" spans="4:4" x14ac:dyDescent="0.25">
      <c r="D4567">
        <v>1940911</v>
      </c>
    </row>
    <row r="4568" spans="4:4" x14ac:dyDescent="0.25">
      <c r="D4568">
        <v>1940911</v>
      </c>
    </row>
    <row r="4569" spans="4:4" x14ac:dyDescent="0.25">
      <c r="D4569">
        <v>1940911</v>
      </c>
    </row>
    <row r="4570" spans="4:4" x14ac:dyDescent="0.25">
      <c r="D4570">
        <v>1940911</v>
      </c>
    </row>
    <row r="4571" spans="4:4" x14ac:dyDescent="0.25">
      <c r="D4571">
        <v>1940911</v>
      </c>
    </row>
    <row r="4572" spans="4:4" x14ac:dyDescent="0.25">
      <c r="D4572">
        <v>1940911</v>
      </c>
    </row>
    <row r="4573" spans="4:4" x14ac:dyDescent="0.25">
      <c r="D4573">
        <v>1940911</v>
      </c>
    </row>
    <row r="4574" spans="4:4" x14ac:dyDescent="0.25">
      <c r="D4574">
        <v>1940911</v>
      </c>
    </row>
    <row r="4575" spans="4:4" x14ac:dyDescent="0.25">
      <c r="D4575">
        <v>1940911</v>
      </c>
    </row>
    <row r="4576" spans="4:4" x14ac:dyDescent="0.25">
      <c r="D4576">
        <v>1940911</v>
      </c>
    </row>
    <row r="4577" spans="4:4" x14ac:dyDescent="0.25">
      <c r="D4577">
        <v>1940911</v>
      </c>
    </row>
    <row r="4578" spans="4:4" x14ac:dyDescent="0.25">
      <c r="D4578">
        <v>1940911</v>
      </c>
    </row>
    <row r="4579" spans="4:4" x14ac:dyDescent="0.25">
      <c r="D4579">
        <v>1940911</v>
      </c>
    </row>
    <row r="4580" spans="4:4" x14ac:dyDescent="0.25">
      <c r="D4580">
        <v>1940911</v>
      </c>
    </row>
    <row r="4581" spans="4:4" x14ac:dyDescent="0.25">
      <c r="D4581">
        <v>1940911</v>
      </c>
    </row>
    <row r="4582" spans="4:4" x14ac:dyDescent="0.25">
      <c r="D4582">
        <v>3542858</v>
      </c>
    </row>
    <row r="4583" spans="4:4" x14ac:dyDescent="0.25">
      <c r="D4583">
        <v>1342334</v>
      </c>
    </row>
    <row r="4584" spans="4:4" x14ac:dyDescent="0.25">
      <c r="D4584">
        <v>1342334</v>
      </c>
    </row>
    <row r="4585" spans="4:4" x14ac:dyDescent="0.25">
      <c r="D4585">
        <v>1248570</v>
      </c>
    </row>
    <row r="4586" spans="4:4" x14ac:dyDescent="0.25">
      <c r="D4586">
        <v>3542857</v>
      </c>
    </row>
    <row r="4587" spans="4:4" x14ac:dyDescent="0.25">
      <c r="D4587">
        <v>3542857</v>
      </c>
    </row>
    <row r="4588" spans="4:4" x14ac:dyDescent="0.25">
      <c r="D4588">
        <v>3542857</v>
      </c>
    </row>
    <row r="4589" spans="4:4" x14ac:dyDescent="0.25">
      <c r="D4589">
        <v>3542857</v>
      </c>
    </row>
    <row r="4590" spans="4:4" x14ac:dyDescent="0.25">
      <c r="D4590">
        <v>3542857</v>
      </c>
    </row>
    <row r="4591" spans="4:4" x14ac:dyDescent="0.25">
      <c r="D4591">
        <v>3542857</v>
      </c>
    </row>
    <row r="4592" spans="4:4" x14ac:dyDescent="0.25">
      <c r="D4592">
        <v>3542857</v>
      </c>
    </row>
    <row r="4593" spans="4:4" x14ac:dyDescent="0.25">
      <c r="D4593">
        <v>3542857</v>
      </c>
    </row>
    <row r="4594" spans="4:4" x14ac:dyDescent="0.25">
      <c r="D4594">
        <v>3542857</v>
      </c>
    </row>
    <row r="4595" spans="4:4" x14ac:dyDescent="0.25">
      <c r="D4595">
        <v>1940913</v>
      </c>
    </row>
    <row r="4596" spans="4:4" x14ac:dyDescent="0.25">
      <c r="D4596">
        <v>1940913</v>
      </c>
    </row>
    <row r="4597" spans="4:4" x14ac:dyDescent="0.25">
      <c r="D4597">
        <v>3500277</v>
      </c>
    </row>
    <row r="4598" spans="4:4" x14ac:dyDescent="0.25">
      <c r="D4598">
        <v>3500277</v>
      </c>
    </row>
    <row r="4599" spans="4:4" x14ac:dyDescent="0.25">
      <c r="D4599">
        <v>3500277</v>
      </c>
    </row>
    <row r="4600" spans="4:4" x14ac:dyDescent="0.25">
      <c r="D4600">
        <v>3500277</v>
      </c>
    </row>
    <row r="4601" spans="4:4" x14ac:dyDescent="0.25">
      <c r="D4601">
        <v>3500277</v>
      </c>
    </row>
    <row r="4602" spans="4:4" x14ac:dyDescent="0.25">
      <c r="D4602">
        <v>3500955</v>
      </c>
    </row>
    <row r="4603" spans="4:4" x14ac:dyDescent="0.25">
      <c r="D4603">
        <v>3500955</v>
      </c>
    </row>
    <row r="4604" spans="4:4" x14ac:dyDescent="0.25">
      <c r="D4604">
        <v>3497967</v>
      </c>
    </row>
    <row r="4605" spans="4:4" x14ac:dyDescent="0.25">
      <c r="D4605">
        <v>3501047</v>
      </c>
    </row>
    <row r="4606" spans="4:4" x14ac:dyDescent="0.25">
      <c r="D4606">
        <v>3501047</v>
      </c>
    </row>
    <row r="4607" spans="4:4" x14ac:dyDescent="0.25">
      <c r="D4607">
        <v>3501047</v>
      </c>
    </row>
    <row r="4608" spans="4:4" x14ac:dyDescent="0.25">
      <c r="D4608">
        <v>3501047</v>
      </c>
    </row>
    <row r="4609" spans="4:4" x14ac:dyDescent="0.25">
      <c r="D4609">
        <v>3501047</v>
      </c>
    </row>
    <row r="4610" spans="4:4" x14ac:dyDescent="0.25">
      <c r="D4610">
        <v>3501047</v>
      </c>
    </row>
    <row r="4611" spans="4:4" x14ac:dyDescent="0.25">
      <c r="D4611">
        <v>3501047</v>
      </c>
    </row>
    <row r="4612" spans="4:4" x14ac:dyDescent="0.25">
      <c r="D4612">
        <v>3501047</v>
      </c>
    </row>
    <row r="4613" spans="4:4" x14ac:dyDescent="0.25">
      <c r="D4613">
        <v>3501047</v>
      </c>
    </row>
    <row r="4614" spans="4:4" x14ac:dyDescent="0.25">
      <c r="D4614">
        <v>3501047</v>
      </c>
    </row>
    <row r="4615" spans="4:4" x14ac:dyDescent="0.25">
      <c r="D4615">
        <v>3501047</v>
      </c>
    </row>
    <row r="4616" spans="4:4" x14ac:dyDescent="0.25">
      <c r="D4616">
        <v>3501047</v>
      </c>
    </row>
    <row r="4617" spans="4:4" x14ac:dyDescent="0.25">
      <c r="D4617">
        <v>3501047</v>
      </c>
    </row>
    <row r="4618" spans="4:4" x14ac:dyDescent="0.25">
      <c r="D4618">
        <v>3501047</v>
      </c>
    </row>
    <row r="4619" spans="4:4" x14ac:dyDescent="0.25">
      <c r="D4619">
        <v>2356405</v>
      </c>
    </row>
    <row r="4620" spans="4:4" x14ac:dyDescent="0.25">
      <c r="D4620">
        <v>2356405</v>
      </c>
    </row>
    <row r="4621" spans="4:4" x14ac:dyDescent="0.25">
      <c r="D4621">
        <v>2356405</v>
      </c>
    </row>
    <row r="4622" spans="4:4" x14ac:dyDescent="0.25">
      <c r="D4622">
        <v>2356405</v>
      </c>
    </row>
    <row r="4623" spans="4:4" x14ac:dyDescent="0.25">
      <c r="D4623">
        <v>2356405</v>
      </c>
    </row>
    <row r="4624" spans="4:4" x14ac:dyDescent="0.25">
      <c r="D4624">
        <v>3500626</v>
      </c>
    </row>
    <row r="4625" spans="4:4" x14ac:dyDescent="0.25">
      <c r="D4625">
        <v>3520581</v>
      </c>
    </row>
    <row r="4626" spans="4:4" x14ac:dyDescent="0.25">
      <c r="D4626">
        <v>3520581</v>
      </c>
    </row>
    <row r="4627" spans="4:4" x14ac:dyDescent="0.25">
      <c r="D4627">
        <v>3520581</v>
      </c>
    </row>
    <row r="4628" spans="4:4" x14ac:dyDescent="0.25">
      <c r="D4628">
        <v>3520581</v>
      </c>
    </row>
    <row r="4629" spans="4:4" x14ac:dyDescent="0.25">
      <c r="D4629">
        <v>3515489</v>
      </c>
    </row>
    <row r="4630" spans="4:4" x14ac:dyDescent="0.25">
      <c r="D4630">
        <v>3520439</v>
      </c>
    </row>
    <row r="4631" spans="4:4" x14ac:dyDescent="0.25">
      <c r="D4631">
        <v>3893101</v>
      </c>
    </row>
    <row r="4632" spans="4:4" x14ac:dyDescent="0.25">
      <c r="D4632">
        <v>3136139</v>
      </c>
    </row>
    <row r="4633" spans="4:4" x14ac:dyDescent="0.25">
      <c r="D4633">
        <v>3597590</v>
      </c>
    </row>
    <row r="4634" spans="4:4" x14ac:dyDescent="0.25">
      <c r="D4634">
        <v>3702886</v>
      </c>
    </row>
    <row r="4635" spans="4:4" x14ac:dyDescent="0.25">
      <c r="D4635">
        <v>3501105</v>
      </c>
    </row>
    <row r="4636" spans="4:4" x14ac:dyDescent="0.25">
      <c r="D4636">
        <v>3501105</v>
      </c>
    </row>
    <row r="4637" spans="4:4" x14ac:dyDescent="0.25">
      <c r="D4637">
        <v>3501105</v>
      </c>
    </row>
    <row r="4638" spans="4:4" x14ac:dyDescent="0.25">
      <c r="D4638">
        <v>3501105</v>
      </c>
    </row>
    <row r="4639" spans="4:4" x14ac:dyDescent="0.25">
      <c r="D4639">
        <v>3501105</v>
      </c>
    </row>
    <row r="4640" spans="4:4" x14ac:dyDescent="0.25">
      <c r="D4640">
        <v>3501105</v>
      </c>
    </row>
    <row r="4641" spans="4:4" x14ac:dyDescent="0.25">
      <c r="D4641">
        <v>3501105</v>
      </c>
    </row>
    <row r="4642" spans="4:4" x14ac:dyDescent="0.25">
      <c r="D4642">
        <v>3501105</v>
      </c>
    </row>
    <row r="4643" spans="4:4" x14ac:dyDescent="0.25">
      <c r="D4643">
        <v>2412743</v>
      </c>
    </row>
    <row r="4644" spans="4:4" x14ac:dyDescent="0.25">
      <c r="D4644">
        <v>3502342</v>
      </c>
    </row>
    <row r="4645" spans="4:4" x14ac:dyDescent="0.25">
      <c r="D4645">
        <v>3781647</v>
      </c>
    </row>
    <row r="4646" spans="4:4" x14ac:dyDescent="0.25">
      <c r="D4646">
        <v>3781647</v>
      </c>
    </row>
    <row r="4647" spans="4:4" x14ac:dyDescent="0.25">
      <c r="D4647">
        <v>3781647</v>
      </c>
    </row>
    <row r="4648" spans="4:4" x14ac:dyDescent="0.25">
      <c r="D4648">
        <v>3781647</v>
      </c>
    </row>
    <row r="4649" spans="4:4" x14ac:dyDescent="0.25">
      <c r="D4649">
        <v>2420716</v>
      </c>
    </row>
    <row r="4650" spans="4:4" x14ac:dyDescent="0.25">
      <c r="D4650">
        <v>2420716</v>
      </c>
    </row>
    <row r="4651" spans="4:4" x14ac:dyDescent="0.25">
      <c r="D4651">
        <v>2420716</v>
      </c>
    </row>
    <row r="4652" spans="4:4" x14ac:dyDescent="0.25">
      <c r="D4652">
        <v>2420716</v>
      </c>
    </row>
    <row r="4653" spans="4:4" x14ac:dyDescent="0.25">
      <c r="D4653">
        <v>2420716</v>
      </c>
    </row>
    <row r="4654" spans="4:4" x14ac:dyDescent="0.25">
      <c r="D4654">
        <v>2420716</v>
      </c>
    </row>
    <row r="4655" spans="4:4" x14ac:dyDescent="0.25">
      <c r="D4655">
        <v>2420716</v>
      </c>
    </row>
    <row r="4656" spans="4:4" x14ac:dyDescent="0.25">
      <c r="D4656">
        <v>2420716</v>
      </c>
    </row>
    <row r="4657" spans="4:4" x14ac:dyDescent="0.25">
      <c r="D4657">
        <v>2420716</v>
      </c>
    </row>
    <row r="4658" spans="4:4" x14ac:dyDescent="0.25">
      <c r="D4658">
        <v>2420716</v>
      </c>
    </row>
    <row r="4659" spans="4:4" x14ac:dyDescent="0.25">
      <c r="D4659">
        <v>2420716</v>
      </c>
    </row>
    <row r="4660" spans="4:4" x14ac:dyDescent="0.25">
      <c r="D4660">
        <v>3164112</v>
      </c>
    </row>
    <row r="4661" spans="4:4" x14ac:dyDescent="0.25">
      <c r="D4661">
        <v>3164112</v>
      </c>
    </row>
    <row r="4662" spans="4:4" x14ac:dyDescent="0.25">
      <c r="D4662">
        <v>3164112</v>
      </c>
    </row>
    <row r="4663" spans="4:4" x14ac:dyDescent="0.25">
      <c r="D4663">
        <v>3164112</v>
      </c>
    </row>
    <row r="4664" spans="4:4" x14ac:dyDescent="0.25">
      <c r="D4664">
        <v>3164112</v>
      </c>
    </row>
    <row r="4665" spans="4:4" x14ac:dyDescent="0.25">
      <c r="D4665">
        <v>3164112</v>
      </c>
    </row>
    <row r="4666" spans="4:4" x14ac:dyDescent="0.25">
      <c r="D4666">
        <v>3164112</v>
      </c>
    </row>
    <row r="4667" spans="4:4" x14ac:dyDescent="0.25">
      <c r="D4667">
        <v>3164112</v>
      </c>
    </row>
    <row r="4668" spans="4:4" x14ac:dyDescent="0.25">
      <c r="D4668">
        <v>3164112</v>
      </c>
    </row>
    <row r="4669" spans="4:4" x14ac:dyDescent="0.25">
      <c r="D4669">
        <v>3164112</v>
      </c>
    </row>
    <row r="4670" spans="4:4" x14ac:dyDescent="0.25">
      <c r="D4670">
        <v>3164112</v>
      </c>
    </row>
    <row r="4671" spans="4:4" x14ac:dyDescent="0.25">
      <c r="D4671">
        <v>3164112</v>
      </c>
    </row>
    <row r="4672" spans="4:4" x14ac:dyDescent="0.25">
      <c r="D4672">
        <v>3781649</v>
      </c>
    </row>
    <row r="4673" spans="4:4" x14ac:dyDescent="0.25">
      <c r="D4673">
        <v>3781649</v>
      </c>
    </row>
    <row r="4674" spans="4:4" x14ac:dyDescent="0.25">
      <c r="D4674">
        <v>2424885</v>
      </c>
    </row>
    <row r="4675" spans="4:4" x14ac:dyDescent="0.25">
      <c r="D4675">
        <v>3444065</v>
      </c>
    </row>
    <row r="4676" spans="4:4" x14ac:dyDescent="0.25">
      <c r="D4676">
        <v>1940925</v>
      </c>
    </row>
    <row r="4677" spans="4:4" x14ac:dyDescent="0.25">
      <c r="D4677">
        <v>1940925</v>
      </c>
    </row>
    <row r="4678" spans="4:4" x14ac:dyDescent="0.25">
      <c r="D4678">
        <v>1931843</v>
      </c>
    </row>
    <row r="4679" spans="4:4" x14ac:dyDescent="0.25">
      <c r="D4679">
        <v>3662752</v>
      </c>
    </row>
    <row r="4680" spans="4:4" x14ac:dyDescent="0.25">
      <c r="D4680">
        <v>3768903</v>
      </c>
    </row>
    <row r="4681" spans="4:4" x14ac:dyDescent="0.25">
      <c r="D4681">
        <v>3768903</v>
      </c>
    </row>
    <row r="4682" spans="4:4" x14ac:dyDescent="0.25">
      <c r="D4682">
        <v>3702875</v>
      </c>
    </row>
    <row r="4683" spans="4:4" x14ac:dyDescent="0.25">
      <c r="D4683">
        <v>3702875</v>
      </c>
    </row>
    <row r="4684" spans="4:4" x14ac:dyDescent="0.25">
      <c r="D4684">
        <v>3702875</v>
      </c>
    </row>
    <row r="4685" spans="4:4" x14ac:dyDescent="0.25">
      <c r="D4685">
        <v>3702875</v>
      </c>
    </row>
    <row r="4686" spans="4:4" x14ac:dyDescent="0.25">
      <c r="D4686">
        <v>3702875</v>
      </c>
    </row>
    <row r="4687" spans="4:4" x14ac:dyDescent="0.25">
      <c r="D4687">
        <v>3702875</v>
      </c>
    </row>
    <row r="4688" spans="4:4" x14ac:dyDescent="0.25">
      <c r="D4688">
        <v>3594528</v>
      </c>
    </row>
    <row r="4689" spans="4:4" x14ac:dyDescent="0.25">
      <c r="D4689">
        <v>3594528</v>
      </c>
    </row>
    <row r="4690" spans="4:4" x14ac:dyDescent="0.25">
      <c r="D4690">
        <v>3594528</v>
      </c>
    </row>
    <row r="4691" spans="4:4" x14ac:dyDescent="0.25">
      <c r="D4691">
        <v>1470103</v>
      </c>
    </row>
    <row r="4692" spans="4:4" x14ac:dyDescent="0.25">
      <c r="D4692">
        <v>1470103</v>
      </c>
    </row>
    <row r="4693" spans="4:4" x14ac:dyDescent="0.25">
      <c r="D4693">
        <v>1470103</v>
      </c>
    </row>
    <row r="4694" spans="4:4" x14ac:dyDescent="0.25">
      <c r="D4694">
        <v>1470103</v>
      </c>
    </row>
    <row r="4695" spans="4:4" x14ac:dyDescent="0.25">
      <c r="D4695">
        <v>1470103</v>
      </c>
    </row>
    <row r="4696" spans="4:4" x14ac:dyDescent="0.25">
      <c r="D4696">
        <v>2429059</v>
      </c>
    </row>
    <row r="4697" spans="4:4" x14ac:dyDescent="0.25">
      <c r="D4697">
        <v>2429059</v>
      </c>
    </row>
    <row r="4698" spans="4:4" x14ac:dyDescent="0.25">
      <c r="D4698">
        <v>2429059</v>
      </c>
    </row>
    <row r="4699" spans="4:4" x14ac:dyDescent="0.25">
      <c r="D4699">
        <v>424601</v>
      </c>
    </row>
    <row r="4700" spans="4:4" x14ac:dyDescent="0.25">
      <c r="D4700">
        <v>424601</v>
      </c>
    </row>
    <row r="4701" spans="4:4" x14ac:dyDescent="0.25">
      <c r="D4701">
        <v>424601</v>
      </c>
    </row>
    <row r="4702" spans="4:4" x14ac:dyDescent="0.25">
      <c r="D4702">
        <v>424601</v>
      </c>
    </row>
    <row r="4703" spans="4:4" x14ac:dyDescent="0.25">
      <c r="D4703">
        <v>1931860</v>
      </c>
    </row>
    <row r="4704" spans="4:4" x14ac:dyDescent="0.25">
      <c r="D4704">
        <v>3595229</v>
      </c>
    </row>
  </sheetData>
  <autoFilter ref="A1:BC386" xr:uid="{00000000-0009-0000-0000-000008000000}"/>
  <sortState xmlns:xlrd2="http://schemas.microsoft.com/office/spreadsheetml/2017/richdata2" ref="P2:P1614">
    <sortCondition ref="P2:P1614"/>
  </sortState>
  <conditionalFormatting sqref="E1:E1048576 B1:B1048576">
    <cfRule type="duplicateValues" dxfId="45" priority="6"/>
  </conditionalFormatting>
  <conditionalFormatting sqref="I1:J1048576">
    <cfRule type="duplicateValues" dxfId="44" priority="5"/>
  </conditionalFormatting>
  <conditionalFormatting sqref="Y1:Y1048576 AE1:AE1048576">
    <cfRule type="duplicateValues" dxfId="43" priority="4"/>
  </conditionalFormatting>
  <conditionalFormatting sqref="AJ1:AK1048576">
    <cfRule type="duplicateValues" dxfId="42" priority="3"/>
  </conditionalFormatting>
  <conditionalFormatting sqref="AT1:AT1048576 AW1:AW1048576">
    <cfRule type="duplicateValues" dxfId="41" priority="2"/>
  </conditionalFormatting>
  <conditionalFormatting sqref="BB1:BC1048576">
    <cfRule type="duplicateValues" dxfId="40" priority="1"/>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99D8-8E4C-4F46-B4D1-AAB31D5D9FDE}">
  <sheetPr codeName="Sheet40"/>
  <dimension ref="A2:AN689"/>
  <sheetViews>
    <sheetView topLeftCell="V2" zoomScaleNormal="100" workbookViewId="0">
      <pane ySplit="5" topLeftCell="A20" activePane="bottomLeft" state="frozen"/>
      <selection activeCell="D2" sqref="D2"/>
      <selection pane="bottomLeft" activeCell="V20" sqref="V20"/>
    </sheetView>
  </sheetViews>
  <sheetFormatPr defaultColWidth="8.85546875" defaultRowHeight="15" x14ac:dyDescent="0.25"/>
  <cols>
    <col min="1" max="1" width="9" style="15" bestFit="1" customWidth="1"/>
    <col min="2" max="2" width="13.85546875" style="15" customWidth="1"/>
    <col min="3" max="3" width="33.7109375" style="15" bestFit="1" customWidth="1"/>
    <col min="4" max="4" width="19.5703125" style="15" hidden="1" customWidth="1"/>
    <col min="5" max="5" width="18" style="15" customWidth="1"/>
    <col min="6" max="6" width="19.28515625" style="10" bestFit="1" customWidth="1"/>
    <col min="7" max="7" width="45.7109375" style="15" customWidth="1"/>
    <col min="8" max="8" width="13" style="15" bestFit="1" customWidth="1"/>
    <col min="9" max="15" width="11.28515625" style="15" hidden="1" customWidth="1"/>
    <col min="16" max="18" width="37.140625" style="15" hidden="1" customWidth="1"/>
    <col min="19" max="19" width="13.140625" style="10" customWidth="1"/>
    <col min="20" max="21" width="9" style="10" bestFit="1" customWidth="1"/>
    <col min="22" max="22" width="11.140625" style="10" customWidth="1"/>
    <col min="23" max="23" width="10" style="10" customWidth="1"/>
    <col min="24" max="24" width="10" style="10" hidden="1" customWidth="1"/>
    <col min="25" max="25" width="11.85546875" style="19" customWidth="1"/>
    <col min="26" max="26" width="11.5703125" style="15" customWidth="1"/>
    <col min="27" max="27" width="13.7109375" style="15" customWidth="1"/>
    <col min="28" max="28" width="17.42578125" style="15" customWidth="1"/>
    <col min="29" max="29" width="17.140625" style="15" customWidth="1"/>
    <col min="30" max="31" width="21.7109375" style="15" customWidth="1"/>
    <col min="32" max="33" width="15.7109375" style="15" customWidth="1"/>
    <col min="34" max="34" width="28.28515625" style="15" customWidth="1"/>
    <col min="35" max="35" width="12.7109375" style="15" customWidth="1"/>
    <col min="36" max="36" width="11" style="15" bestFit="1" customWidth="1"/>
    <col min="37" max="16384" width="8.85546875" style="15"/>
  </cols>
  <sheetData>
    <row r="2" spans="1:36" ht="18.75" x14ac:dyDescent="0.3">
      <c r="A2" s="11"/>
      <c r="B2" s="11"/>
      <c r="C2" s="11"/>
      <c r="D2" s="11"/>
      <c r="E2" s="11"/>
      <c r="F2" s="8"/>
      <c r="G2" s="11"/>
      <c r="H2" s="11"/>
      <c r="I2" s="11"/>
      <c r="J2" s="11"/>
      <c r="K2" s="11"/>
      <c r="L2" s="11"/>
      <c r="M2" s="11"/>
      <c r="N2" s="11"/>
      <c r="O2" s="11"/>
      <c r="P2" s="11"/>
      <c r="Q2" s="11"/>
      <c r="R2" s="11"/>
      <c r="S2" s="8"/>
      <c r="T2" s="12"/>
      <c r="U2" s="12"/>
      <c r="V2" s="12"/>
      <c r="W2" s="13"/>
      <c r="X2" s="13"/>
      <c r="Y2" s="20">
        <f t="shared" ref="Y2:AD2" si="0">SUBTOTAL(9,Y4:Y1048576)</f>
        <v>20006</v>
      </c>
      <c r="Z2" s="20">
        <f t="shared" si="0"/>
        <v>0</v>
      </c>
      <c r="AA2" s="20">
        <f t="shared" si="0"/>
        <v>20006</v>
      </c>
      <c r="AB2" s="21">
        <f t="shared" si="0"/>
        <v>33.681984968723505</v>
      </c>
      <c r="AC2" s="21">
        <f t="shared" si="0"/>
        <v>0</v>
      </c>
      <c r="AD2" s="21">
        <f t="shared" si="0"/>
        <v>33.681984968723505</v>
      </c>
      <c r="AE2" s="21"/>
      <c r="AF2" s="14">
        <f>SUBTOTAL(9,AF4:AF1048576)</f>
        <v>0</v>
      </c>
      <c r="AG2" s="14"/>
      <c r="AH2" s="14">
        <f>SUBTOTAL(9,AH4:AH1048576)</f>
        <v>0</v>
      </c>
      <c r="AI2" s="11"/>
    </row>
    <row r="3" spans="1:36" ht="23.45" customHeight="1" x14ac:dyDescent="0.25">
      <c r="A3" s="31" t="s">
        <v>1840</v>
      </c>
      <c r="B3" s="32" t="s">
        <v>1841</v>
      </c>
      <c r="C3" s="33" t="s">
        <v>281</v>
      </c>
      <c r="D3" s="33" t="s">
        <v>1842</v>
      </c>
      <c r="E3" s="34" t="s">
        <v>282</v>
      </c>
      <c r="F3" s="35" t="s">
        <v>1843</v>
      </c>
      <c r="G3" s="36" t="s">
        <v>6549</v>
      </c>
      <c r="H3" s="37" t="s">
        <v>315</v>
      </c>
      <c r="I3" s="37" t="s">
        <v>6550</v>
      </c>
      <c r="J3" s="37" t="s">
        <v>376</v>
      </c>
      <c r="K3" s="37" t="s">
        <v>1846</v>
      </c>
      <c r="L3" s="37" t="s">
        <v>1847</v>
      </c>
      <c r="M3" s="37" t="s">
        <v>1848</v>
      </c>
      <c r="N3" s="37" t="s">
        <v>1554</v>
      </c>
      <c r="O3" s="37" t="s">
        <v>1849</v>
      </c>
      <c r="P3" s="37" t="s">
        <v>261</v>
      </c>
      <c r="Q3" s="37" t="s">
        <v>1850</v>
      </c>
      <c r="R3" s="37" t="s">
        <v>1851</v>
      </c>
      <c r="S3" s="38" t="s">
        <v>937</v>
      </c>
      <c r="T3" s="38" t="s">
        <v>316</v>
      </c>
      <c r="U3" s="38" t="s">
        <v>317</v>
      </c>
      <c r="V3" s="38" t="s">
        <v>938</v>
      </c>
      <c r="W3" s="38" t="s">
        <v>319</v>
      </c>
      <c r="X3" s="38" t="s">
        <v>939</v>
      </c>
      <c r="Y3" s="39" t="s">
        <v>278</v>
      </c>
      <c r="Z3" s="40" t="s">
        <v>940</v>
      </c>
      <c r="AA3" s="41" t="s">
        <v>941</v>
      </c>
      <c r="AB3" s="104" t="s">
        <v>1858</v>
      </c>
      <c r="AC3" s="104" t="s">
        <v>1859</v>
      </c>
      <c r="AD3" s="104" t="s">
        <v>1860</v>
      </c>
      <c r="AE3" s="104" t="s">
        <v>6551</v>
      </c>
      <c r="AF3" s="104" t="s">
        <v>1861</v>
      </c>
      <c r="AG3" s="104" t="s">
        <v>943</v>
      </c>
      <c r="AH3" s="105" t="s">
        <v>1863</v>
      </c>
      <c r="AI3" s="117" t="s">
        <v>1864</v>
      </c>
      <c r="AJ3" s="15" t="s">
        <v>1865</v>
      </c>
    </row>
    <row r="4" spans="1:36" hidden="1" x14ac:dyDescent="0.25">
      <c r="A4" s="30">
        <v>243</v>
      </c>
      <c r="B4" s="5" t="s">
        <v>1816</v>
      </c>
      <c r="C4" s="2" t="s">
        <v>283</v>
      </c>
      <c r="D4" s="2"/>
      <c r="E4" s="2">
        <v>189287</v>
      </c>
      <c r="F4" s="2">
        <v>3432081</v>
      </c>
      <c r="G4" s="2" t="s">
        <v>417</v>
      </c>
      <c r="H4" s="2" t="s">
        <v>962</v>
      </c>
      <c r="I4" s="2"/>
      <c r="J4" s="2" t="s">
        <v>963</v>
      </c>
      <c r="K4" s="2" t="s">
        <v>1867</v>
      </c>
      <c r="L4" s="44" t="s">
        <v>1868</v>
      </c>
      <c r="M4" s="2"/>
      <c r="N4" s="2"/>
      <c r="O4" s="2"/>
      <c r="P4" s="557" t="str">
        <f>CONCATENATE(schedule13[[#This Row],[OD]],"-",schedule13[[#This Row],[ID]],"-",schedule13[[#This Row],[TICKNESS]],"-",schedule13[[#This Row],[GRADE]],"-",schedule13[[#This Row],[FC/NFC]])</f>
        <v>12.7-0-1.6-ERW 1-PE</v>
      </c>
      <c r="Q4" s="557"/>
      <c r="R4" s="557"/>
      <c r="S4" s="1">
        <v>12.7</v>
      </c>
      <c r="T4" s="1">
        <v>12.7</v>
      </c>
      <c r="U4" s="1">
        <v>0</v>
      </c>
      <c r="V4" s="1">
        <v>1.6</v>
      </c>
      <c r="W4" s="24">
        <v>189</v>
      </c>
      <c r="X4" s="24"/>
      <c r="Y4" s="2">
        <v>30000</v>
      </c>
      <c r="Z4" s="2"/>
      <c r="AA4" s="4">
        <f t="shared" ref="AA4:AA67" si="1">Y4-Z4</f>
        <v>30000</v>
      </c>
      <c r="AB4" s="1">
        <f t="shared" ref="AB4:AB35" si="2">(S4-V4)*V4*W4*0.024653*Y4/1000000</f>
        <v>2.4825373776000008</v>
      </c>
      <c r="AC4" s="1">
        <f t="shared" ref="AC4:AC19" si="3">(S4-V4)*V4*W4*0.024653*Z4/1000000</f>
        <v>0</v>
      </c>
      <c r="AD4" s="1">
        <f t="shared" ref="AD4:AD67" si="4">AB4-AC4</f>
        <v>2.4825373776000008</v>
      </c>
      <c r="AE4" s="1"/>
      <c r="AF4" s="1">
        <v>1.23071</v>
      </c>
      <c r="AG4" s="1"/>
      <c r="AH4" s="1" t="e">
        <f>AB3-AF4</f>
        <v>#VALUE!</v>
      </c>
      <c r="AI4" s="118" t="e">
        <f>(AC4+AF4)/AB3</f>
        <v>#VALUE!</v>
      </c>
    </row>
    <row r="5" spans="1:36" hidden="1" x14ac:dyDescent="0.25">
      <c r="A5" s="30">
        <v>244</v>
      </c>
      <c r="B5" s="5" t="s">
        <v>1816</v>
      </c>
      <c r="C5" s="2" t="s">
        <v>283</v>
      </c>
      <c r="D5" s="2"/>
      <c r="E5" s="2">
        <v>189287</v>
      </c>
      <c r="F5" s="2">
        <v>3239890</v>
      </c>
      <c r="G5" s="2" t="s">
        <v>6552</v>
      </c>
      <c r="H5" s="2" t="s">
        <v>962</v>
      </c>
      <c r="I5" s="2"/>
      <c r="J5" s="2" t="s">
        <v>963</v>
      </c>
      <c r="K5" s="2" t="s">
        <v>1867</v>
      </c>
      <c r="L5" s="2"/>
      <c r="M5" s="2"/>
      <c r="N5" s="2"/>
      <c r="O5" s="2"/>
      <c r="P5" s="557" t="str">
        <f>CONCATENATE(schedule13[[#This Row],[OD]],"-",schedule13[[#This Row],[ID]],"-",schedule13[[#This Row],[TICKNESS]],"-",schedule13[[#This Row],[GRADE]],"-",schedule13[[#This Row],[FC/NFC]])</f>
        <v>19.05-0-1.2-ERW 1-PE</v>
      </c>
      <c r="Q5" s="557"/>
      <c r="R5" s="557"/>
      <c r="S5" s="1">
        <v>19.05</v>
      </c>
      <c r="T5" s="1">
        <v>19.05</v>
      </c>
      <c r="U5" s="1">
        <v>0</v>
      </c>
      <c r="V5" s="1">
        <v>1.2</v>
      </c>
      <c r="W5" s="24">
        <v>330</v>
      </c>
      <c r="X5" s="24"/>
      <c r="Y5" s="2">
        <v>4000</v>
      </c>
      <c r="Z5" s="2"/>
      <c r="AA5" s="4">
        <f t="shared" si="1"/>
        <v>4000</v>
      </c>
      <c r="AB5" s="1">
        <f t="shared" si="2"/>
        <v>0.69704878320000008</v>
      </c>
      <c r="AC5" s="1">
        <f t="shared" si="3"/>
        <v>0</v>
      </c>
      <c r="AD5" s="1">
        <f t="shared" si="4"/>
        <v>0.69704878320000008</v>
      </c>
      <c r="AE5" s="1"/>
      <c r="AF5" s="1"/>
      <c r="AG5" s="1"/>
      <c r="AH5" s="1">
        <f>AB4-AF5</f>
        <v>2.4825373776000008</v>
      </c>
      <c r="AI5" s="118">
        <f>(AC5+AF5)/AB4</f>
        <v>0</v>
      </c>
    </row>
    <row r="6" spans="1:36" hidden="1" x14ac:dyDescent="0.25">
      <c r="A6" s="30">
        <v>245</v>
      </c>
      <c r="B6" s="5" t="s">
        <v>1816</v>
      </c>
      <c r="C6" s="2" t="s">
        <v>283</v>
      </c>
      <c r="D6" s="2"/>
      <c r="E6" s="2">
        <v>189287</v>
      </c>
      <c r="F6" s="2">
        <v>1940045</v>
      </c>
      <c r="G6" s="2" t="s">
        <v>1190</v>
      </c>
      <c r="H6" s="2" t="s">
        <v>962</v>
      </c>
      <c r="I6" s="2"/>
      <c r="J6" s="2" t="s">
        <v>963</v>
      </c>
      <c r="K6" s="2" t="s">
        <v>239</v>
      </c>
      <c r="L6" s="2"/>
      <c r="M6" s="2"/>
      <c r="N6" s="2"/>
      <c r="O6" s="2"/>
      <c r="P6" s="557" t="str">
        <f>CONCATENATE(schedule13[[#This Row],[OD]],"-",schedule13[[#This Row],[ID]],"-",schedule13[[#This Row],[TICKNESS]],"-",schedule13[[#This Row],[GRADE]],"-",schedule13[[#This Row],[FC/NFC]])</f>
        <v>15.88-0-1.2-ERW 1-PE</v>
      </c>
      <c r="Q6" s="557"/>
      <c r="R6" s="557"/>
      <c r="S6" s="1">
        <v>15.88</v>
      </c>
      <c r="T6" s="1">
        <v>15.88</v>
      </c>
      <c r="U6" s="1">
        <v>0</v>
      </c>
      <c r="V6" s="1">
        <v>1.2</v>
      </c>
      <c r="W6" s="24">
        <v>1130</v>
      </c>
      <c r="X6" s="24"/>
      <c r="Y6" s="2">
        <v>2000</v>
      </c>
      <c r="Z6" s="2"/>
      <c r="AA6" s="4">
        <f t="shared" si="1"/>
        <v>2000</v>
      </c>
      <c r="AB6" s="1">
        <f t="shared" si="2"/>
        <v>0.98148918048</v>
      </c>
      <c r="AC6" s="1">
        <f t="shared" si="3"/>
        <v>0</v>
      </c>
      <c r="AD6" s="1">
        <f t="shared" si="4"/>
        <v>0.98148918048</v>
      </c>
      <c r="AE6" s="1"/>
      <c r="AF6" s="1">
        <v>0.87745000000000006</v>
      </c>
      <c r="AG6" s="1"/>
      <c r="AH6" s="1">
        <f>AB5-AF6</f>
        <v>-0.18040121679999999</v>
      </c>
      <c r="AI6" s="118">
        <f>(AC6+AF6)/AB5</f>
        <v>1.2588071612030036</v>
      </c>
    </row>
    <row r="7" spans="1:36" hidden="1" x14ac:dyDescent="0.25">
      <c r="A7" s="30">
        <v>246</v>
      </c>
      <c r="B7" s="5" t="s">
        <v>1816</v>
      </c>
      <c r="C7" s="2" t="s">
        <v>283</v>
      </c>
      <c r="D7" s="2"/>
      <c r="E7" s="2">
        <v>189287</v>
      </c>
      <c r="F7" s="9">
        <v>3929662</v>
      </c>
      <c r="G7" s="9" t="s">
        <v>1870</v>
      </c>
      <c r="H7" s="2" t="s">
        <v>962</v>
      </c>
      <c r="I7" s="2"/>
      <c r="J7" s="2" t="s">
        <v>963</v>
      </c>
      <c r="K7" s="2" t="s">
        <v>1867</v>
      </c>
      <c r="L7" s="2"/>
      <c r="M7" s="2"/>
      <c r="N7" s="2"/>
      <c r="O7" s="2"/>
      <c r="P7" s="557" t="str">
        <f>CONCATENATE(schedule13[[#This Row],[OD]],"-",schedule13[[#This Row],[ID]],"-",schedule13[[#This Row],[TICKNESS]],"-",schedule13[[#This Row],[GRADE]],"-",schedule13[[#This Row],[FC/NFC]])</f>
        <v>19.05-0-1.2-ERW 1-PE</v>
      </c>
      <c r="Q7" s="557"/>
      <c r="R7" s="557"/>
      <c r="S7" s="1">
        <v>19.05</v>
      </c>
      <c r="T7" s="1">
        <v>19.05</v>
      </c>
      <c r="U7" s="1">
        <v>0</v>
      </c>
      <c r="V7" s="1">
        <v>1.2</v>
      </c>
      <c r="W7" s="24">
        <v>403</v>
      </c>
      <c r="X7" s="24"/>
      <c r="Y7" s="2">
        <v>0</v>
      </c>
      <c r="Z7" s="2"/>
      <c r="AA7" s="4">
        <f t="shared" si="1"/>
        <v>0</v>
      </c>
      <c r="AB7" s="1">
        <f t="shared" si="2"/>
        <v>0</v>
      </c>
      <c r="AC7" s="1">
        <f t="shared" si="3"/>
        <v>0</v>
      </c>
      <c r="AD7" s="1">
        <f t="shared" si="4"/>
        <v>0</v>
      </c>
      <c r="AE7" s="1"/>
      <c r="AF7" s="1"/>
      <c r="AG7" s="1"/>
      <c r="AH7" s="1">
        <f>AB6-AF7</f>
        <v>0.98148918048</v>
      </c>
      <c r="AI7" s="118">
        <f>(AC7+AF7)/AB6</f>
        <v>0</v>
      </c>
    </row>
    <row r="8" spans="1:36" hidden="1" x14ac:dyDescent="0.25">
      <c r="A8" s="30">
        <v>247</v>
      </c>
      <c r="B8" s="5" t="s">
        <v>1816</v>
      </c>
      <c r="C8" s="2" t="s">
        <v>283</v>
      </c>
      <c r="D8" s="2"/>
      <c r="E8" s="2">
        <v>189287</v>
      </c>
      <c r="F8" s="2">
        <v>1940046</v>
      </c>
      <c r="G8" s="2" t="s">
        <v>466</v>
      </c>
      <c r="H8" s="2" t="s">
        <v>962</v>
      </c>
      <c r="I8" s="2"/>
      <c r="J8" s="2" t="s">
        <v>963</v>
      </c>
      <c r="K8" s="2" t="s">
        <v>239</v>
      </c>
      <c r="L8" s="2"/>
      <c r="M8" s="2"/>
      <c r="N8" s="2"/>
      <c r="O8" s="2"/>
      <c r="P8" s="557" t="str">
        <f>CONCATENATE(schedule13[[#This Row],[OD]],"-",schedule13[[#This Row],[ID]],"-",schedule13[[#This Row],[TICKNESS]],"-",schedule13[[#This Row],[GRADE]],"-",schedule13[[#This Row],[FC/NFC]])</f>
        <v>15.88-0-1.2-ERW 1-PE</v>
      </c>
      <c r="Q8" s="557"/>
      <c r="R8" s="557"/>
      <c r="S8" s="1">
        <v>15.88</v>
      </c>
      <c r="T8" s="1">
        <v>15.88</v>
      </c>
      <c r="U8" s="1">
        <v>0</v>
      </c>
      <c r="V8" s="1">
        <v>1.2</v>
      </c>
      <c r="W8" s="24">
        <v>1310</v>
      </c>
      <c r="X8" s="24"/>
      <c r="Y8" s="2">
        <v>3000</v>
      </c>
      <c r="Z8" s="2"/>
      <c r="AA8" s="4">
        <f t="shared" si="1"/>
        <v>3000</v>
      </c>
      <c r="AB8" s="1">
        <f t="shared" si="2"/>
        <v>1.7067488846400001</v>
      </c>
      <c r="AC8" s="1">
        <f t="shared" si="3"/>
        <v>0</v>
      </c>
      <c r="AD8" s="1">
        <f t="shared" si="4"/>
        <v>1.7067488846400001</v>
      </c>
      <c r="AE8" s="1"/>
      <c r="AF8" s="1"/>
      <c r="AG8" s="1"/>
      <c r="AH8" s="1"/>
      <c r="AI8" s="118"/>
    </row>
    <row r="9" spans="1:36" hidden="1" x14ac:dyDescent="0.25">
      <c r="A9" s="30">
        <v>248</v>
      </c>
      <c r="B9" s="5" t="s">
        <v>1816</v>
      </c>
      <c r="C9" s="2" t="s">
        <v>283</v>
      </c>
      <c r="D9" s="2"/>
      <c r="E9" s="2">
        <v>189287</v>
      </c>
      <c r="F9" s="2">
        <v>1940034</v>
      </c>
      <c r="G9" s="2" t="s">
        <v>464</v>
      </c>
      <c r="H9" s="2" t="s">
        <v>962</v>
      </c>
      <c r="I9" s="2"/>
      <c r="J9" s="2" t="s">
        <v>963</v>
      </c>
      <c r="K9" s="2" t="s">
        <v>239</v>
      </c>
      <c r="L9" s="2"/>
      <c r="M9" s="2"/>
      <c r="N9" s="2"/>
      <c r="O9" s="2"/>
      <c r="P9" s="557" t="str">
        <f>CONCATENATE(schedule13[[#This Row],[OD]],"-",schedule13[[#This Row],[ID]],"-",schedule13[[#This Row],[TICKNESS]],"-",schedule13[[#This Row],[GRADE]],"-",schedule13[[#This Row],[FC/NFC]])</f>
        <v>15.88-0-1.2-ERW 1-PE</v>
      </c>
      <c r="Q9" s="557"/>
      <c r="R9" s="557"/>
      <c r="S9" s="1">
        <v>15.88</v>
      </c>
      <c r="T9" s="1">
        <v>15.88</v>
      </c>
      <c r="U9" s="1">
        <v>0</v>
      </c>
      <c r="V9" s="1">
        <v>1.2</v>
      </c>
      <c r="W9" s="24">
        <v>540</v>
      </c>
      <c r="X9" s="24"/>
      <c r="Y9" s="2">
        <v>3000</v>
      </c>
      <c r="Z9" s="2"/>
      <c r="AA9" s="4">
        <f t="shared" si="1"/>
        <v>3000</v>
      </c>
      <c r="AB9" s="1">
        <f t="shared" si="2"/>
        <v>0.70354534175999994</v>
      </c>
      <c r="AC9" s="1">
        <f t="shared" si="3"/>
        <v>0</v>
      </c>
      <c r="AD9" s="1">
        <f t="shared" si="4"/>
        <v>0.70354534175999994</v>
      </c>
      <c r="AE9" s="1"/>
      <c r="AF9" s="1">
        <v>0.90374599999999994</v>
      </c>
      <c r="AG9" s="1"/>
      <c r="AH9" s="1">
        <f t="shared" ref="AH9:AH19" si="5">AB8-AF9</f>
        <v>0.80300288464000014</v>
      </c>
      <c r="AI9" s="118">
        <f t="shared" ref="AI9:AI19" si="6">(AC9+AF9)/AB8</f>
        <v>0.52951316279349714</v>
      </c>
    </row>
    <row r="10" spans="1:36" hidden="1" x14ac:dyDescent="0.25">
      <c r="A10" s="30">
        <v>249</v>
      </c>
      <c r="B10" s="5" t="s">
        <v>1816</v>
      </c>
      <c r="C10" s="2" t="s">
        <v>283</v>
      </c>
      <c r="D10" s="2"/>
      <c r="E10" s="2">
        <v>189287</v>
      </c>
      <c r="F10" s="2">
        <v>3715199</v>
      </c>
      <c r="G10" s="2" t="s">
        <v>6553</v>
      </c>
      <c r="H10" s="2" t="s">
        <v>962</v>
      </c>
      <c r="I10" s="2"/>
      <c r="J10" s="2" t="s">
        <v>963</v>
      </c>
      <c r="K10" s="2" t="s">
        <v>1867</v>
      </c>
      <c r="L10" s="2"/>
      <c r="M10" s="2"/>
      <c r="N10" s="2"/>
      <c r="O10" s="2"/>
      <c r="P10" s="557" t="str">
        <f>CONCATENATE(schedule13[[#This Row],[OD]],"-",schedule13[[#This Row],[ID]],"-",schedule13[[#This Row],[TICKNESS]],"-",schedule13[[#This Row],[GRADE]],"-",schedule13[[#This Row],[FC/NFC]])</f>
        <v>15.88-0-1.2-ERW 1-PE</v>
      </c>
      <c r="Q10" s="557"/>
      <c r="R10" s="557"/>
      <c r="S10" s="1">
        <v>15.88</v>
      </c>
      <c r="T10" s="1">
        <v>15.88</v>
      </c>
      <c r="U10" s="1">
        <v>0</v>
      </c>
      <c r="V10" s="1">
        <v>1.2</v>
      </c>
      <c r="W10" s="24">
        <v>755</v>
      </c>
      <c r="X10" s="24"/>
      <c r="Y10" s="2">
        <v>4000</v>
      </c>
      <c r="Z10" s="2"/>
      <c r="AA10" s="4">
        <f t="shared" si="1"/>
        <v>4000</v>
      </c>
      <c r="AB10" s="1">
        <f t="shared" si="2"/>
        <v>1.3115474889600001</v>
      </c>
      <c r="AC10" s="1">
        <f t="shared" si="3"/>
        <v>0</v>
      </c>
      <c r="AD10" s="1">
        <f t="shared" si="4"/>
        <v>1.3115474889600001</v>
      </c>
      <c r="AE10" s="1"/>
      <c r="AF10" s="1">
        <v>0.87688999999999995</v>
      </c>
      <c r="AG10" s="1"/>
      <c r="AH10" s="1">
        <f t="shared" si="5"/>
        <v>-0.17334465824</v>
      </c>
      <c r="AI10" s="118">
        <f t="shared" si="6"/>
        <v>1.2463873299286701</v>
      </c>
    </row>
    <row r="11" spans="1:36" hidden="1" x14ac:dyDescent="0.25">
      <c r="A11" s="30">
        <v>250</v>
      </c>
      <c r="B11" s="5" t="s">
        <v>1816</v>
      </c>
      <c r="C11" s="2" t="s">
        <v>283</v>
      </c>
      <c r="D11" s="2"/>
      <c r="E11" s="2">
        <v>189287</v>
      </c>
      <c r="F11" s="2">
        <v>3635694</v>
      </c>
      <c r="G11" s="2" t="s">
        <v>649</v>
      </c>
      <c r="H11" s="2" t="s">
        <v>962</v>
      </c>
      <c r="I11" s="2"/>
      <c r="J11" s="2" t="s">
        <v>963</v>
      </c>
      <c r="K11" s="2" t="s">
        <v>1867</v>
      </c>
      <c r="L11" s="2"/>
      <c r="M11" s="2"/>
      <c r="N11" s="2"/>
      <c r="O11" s="2"/>
      <c r="P11" s="557" t="str">
        <f>CONCATENATE(schedule13[[#This Row],[OD]],"-",schedule13[[#This Row],[ID]],"-",schedule13[[#This Row],[TICKNESS]],"-",schedule13[[#This Row],[GRADE]],"-",schedule13[[#This Row],[FC/NFC]])</f>
        <v>19.05-0-1-ERW 1-PE</v>
      </c>
      <c r="Q11" s="557"/>
      <c r="R11" s="557"/>
      <c r="S11" s="1">
        <v>19.05</v>
      </c>
      <c r="T11" s="1">
        <v>19.05</v>
      </c>
      <c r="U11" s="1">
        <v>0</v>
      </c>
      <c r="V11" s="1">
        <v>1</v>
      </c>
      <c r="W11" s="24">
        <v>1200</v>
      </c>
      <c r="X11" s="24"/>
      <c r="Y11" s="2">
        <v>7000</v>
      </c>
      <c r="Z11" s="2"/>
      <c r="AA11" s="4">
        <f t="shared" si="1"/>
        <v>7000</v>
      </c>
      <c r="AB11" s="1">
        <f t="shared" si="2"/>
        <v>3.7378878599999998</v>
      </c>
      <c r="AC11" s="1">
        <f t="shared" si="3"/>
        <v>0</v>
      </c>
      <c r="AD11" s="1">
        <f t="shared" si="4"/>
        <v>3.7378878599999998</v>
      </c>
      <c r="AE11" s="1"/>
      <c r="AF11" s="1">
        <v>0.91100000000000003</v>
      </c>
      <c r="AG11" s="1"/>
      <c r="AH11" s="1">
        <f t="shared" si="5"/>
        <v>0.40054748896000003</v>
      </c>
      <c r="AI11" s="118">
        <f t="shared" si="6"/>
        <v>0.69459932459051354</v>
      </c>
    </row>
    <row r="12" spans="1:36" hidden="1" x14ac:dyDescent="0.25">
      <c r="A12" s="30">
        <v>251</v>
      </c>
      <c r="B12" s="5" t="s">
        <v>1816</v>
      </c>
      <c r="C12" s="2" t="s">
        <v>283</v>
      </c>
      <c r="D12" s="2"/>
      <c r="E12" s="2">
        <v>189287</v>
      </c>
      <c r="F12" s="2">
        <v>3229740</v>
      </c>
      <c r="G12" s="2" t="s">
        <v>472</v>
      </c>
      <c r="H12" s="2" t="s">
        <v>962</v>
      </c>
      <c r="I12" s="2"/>
      <c r="J12" s="2" t="s">
        <v>963</v>
      </c>
      <c r="K12" s="2" t="s">
        <v>1867</v>
      </c>
      <c r="L12" s="2"/>
      <c r="M12" s="2"/>
      <c r="N12" s="2"/>
      <c r="O12" s="2"/>
      <c r="P12" s="557" t="str">
        <f>CONCATENATE(schedule13[[#This Row],[OD]],"-",schedule13[[#This Row],[ID]],"-",schedule13[[#This Row],[TICKNESS]],"-",schedule13[[#This Row],[GRADE]],"-",schedule13[[#This Row],[FC/NFC]])</f>
        <v>19.05-0-1.2-ERW 1-PE</v>
      </c>
      <c r="Q12" s="557"/>
      <c r="R12" s="557"/>
      <c r="S12" s="1">
        <v>19.05</v>
      </c>
      <c r="T12" s="1">
        <v>19.05</v>
      </c>
      <c r="U12" s="1">
        <v>0</v>
      </c>
      <c r="V12" s="1">
        <v>1.2</v>
      </c>
      <c r="W12" s="24">
        <v>1075</v>
      </c>
      <c r="X12" s="24"/>
      <c r="Y12" s="2">
        <v>2000</v>
      </c>
      <c r="Z12" s="2"/>
      <c r="AA12" s="4">
        <f t="shared" si="1"/>
        <v>2000</v>
      </c>
      <c r="AB12" s="1">
        <f t="shared" si="2"/>
        <v>1.1353446090000001</v>
      </c>
      <c r="AC12" s="1">
        <f t="shared" si="3"/>
        <v>0</v>
      </c>
      <c r="AD12" s="1">
        <f t="shared" si="4"/>
        <v>1.1353446090000001</v>
      </c>
      <c r="AE12" s="1"/>
      <c r="AF12" s="1">
        <v>0.48117599999999999</v>
      </c>
      <c r="AG12" s="1"/>
      <c r="AH12" s="1">
        <f t="shared" si="5"/>
        <v>3.2567118599999998</v>
      </c>
      <c r="AI12" s="118">
        <f t="shared" si="6"/>
        <v>0.12872938355084843</v>
      </c>
    </row>
    <row r="13" spans="1:36" hidden="1" x14ac:dyDescent="0.25">
      <c r="A13" s="30">
        <v>252</v>
      </c>
      <c r="B13" s="5" t="s">
        <v>1816</v>
      </c>
      <c r="C13" s="2" t="s">
        <v>283</v>
      </c>
      <c r="D13" s="2"/>
      <c r="E13" s="2">
        <v>189287</v>
      </c>
      <c r="F13" s="2">
        <v>3409367</v>
      </c>
      <c r="G13" s="2" t="s">
        <v>667</v>
      </c>
      <c r="H13" s="2" t="s">
        <v>962</v>
      </c>
      <c r="I13" s="2"/>
      <c r="J13" s="2" t="s">
        <v>963</v>
      </c>
      <c r="K13" s="2" t="s">
        <v>1867</v>
      </c>
      <c r="L13" s="2"/>
      <c r="M13" s="2"/>
      <c r="N13" s="2"/>
      <c r="O13" s="2"/>
      <c r="P13" s="557" t="str">
        <f>CONCATENATE(schedule13[[#This Row],[OD]],"-",schedule13[[#This Row],[ID]],"-",schedule13[[#This Row],[TICKNESS]],"-",schedule13[[#This Row],[GRADE]],"-",schedule13[[#This Row],[FC/NFC]])</f>
        <v>19.05-0-1.2-ERW 1-PE</v>
      </c>
      <c r="Q13" s="557"/>
      <c r="R13" s="557"/>
      <c r="S13" s="1">
        <v>19.05</v>
      </c>
      <c r="T13" s="1">
        <v>19.05</v>
      </c>
      <c r="U13" s="1">
        <v>0</v>
      </c>
      <c r="V13" s="1">
        <v>1.2</v>
      </c>
      <c r="W13" s="24">
        <v>1275</v>
      </c>
      <c r="X13" s="24"/>
      <c r="Y13" s="2">
        <v>2000</v>
      </c>
      <c r="Z13" s="2"/>
      <c r="AA13" s="4">
        <f t="shared" si="1"/>
        <v>2000</v>
      </c>
      <c r="AB13" s="1">
        <f t="shared" si="2"/>
        <v>1.3465715130000002</v>
      </c>
      <c r="AC13" s="1">
        <f t="shared" si="3"/>
        <v>0</v>
      </c>
      <c r="AD13" s="1">
        <f t="shared" si="4"/>
        <v>1.3465715130000002</v>
      </c>
      <c r="AE13" s="1"/>
      <c r="AF13" s="1"/>
      <c r="AG13" s="1"/>
      <c r="AH13" s="1">
        <f t="shared" si="5"/>
        <v>1.1353446090000001</v>
      </c>
      <c r="AI13" s="118">
        <f t="shared" si="6"/>
        <v>0</v>
      </c>
    </row>
    <row r="14" spans="1:36" hidden="1" x14ac:dyDescent="0.25">
      <c r="A14" s="30">
        <v>253</v>
      </c>
      <c r="B14" s="5" t="s">
        <v>1816</v>
      </c>
      <c r="C14" s="2" t="s">
        <v>283</v>
      </c>
      <c r="D14" s="2"/>
      <c r="E14" s="2">
        <v>189287</v>
      </c>
      <c r="F14" s="2">
        <v>2409616</v>
      </c>
      <c r="G14" s="2" t="s">
        <v>1317</v>
      </c>
      <c r="H14" s="2" t="s">
        <v>962</v>
      </c>
      <c r="I14" s="2"/>
      <c r="J14" s="2" t="s">
        <v>963</v>
      </c>
      <c r="K14" s="2" t="s">
        <v>1867</v>
      </c>
      <c r="L14" s="2"/>
      <c r="M14" s="2"/>
      <c r="N14" s="2"/>
      <c r="O14" s="2"/>
      <c r="P14" s="557" t="str">
        <f>CONCATENATE(schedule13[[#This Row],[OD]],"-",schedule13[[#This Row],[ID]],"-",schedule13[[#This Row],[TICKNESS]],"-",schedule13[[#This Row],[GRADE]],"-",schedule13[[#This Row],[FC/NFC]])</f>
        <v>19.05-0-1.2-ERW 1-PE</v>
      </c>
      <c r="Q14" s="557"/>
      <c r="R14" s="557"/>
      <c r="S14" s="1">
        <v>19.05</v>
      </c>
      <c r="T14" s="1">
        <v>19.05</v>
      </c>
      <c r="U14" s="1">
        <v>0</v>
      </c>
      <c r="V14" s="1">
        <v>1.2</v>
      </c>
      <c r="W14" s="24">
        <v>513</v>
      </c>
      <c r="X14" s="24"/>
      <c r="Y14" s="2">
        <v>2000</v>
      </c>
      <c r="Z14" s="2"/>
      <c r="AA14" s="4">
        <f t="shared" si="1"/>
        <v>2000</v>
      </c>
      <c r="AB14" s="1">
        <f t="shared" si="2"/>
        <v>0.54179700876000003</v>
      </c>
      <c r="AC14" s="1">
        <f t="shared" si="3"/>
        <v>0</v>
      </c>
      <c r="AD14" s="1">
        <f t="shared" si="4"/>
        <v>0.54179700876000003</v>
      </c>
      <c r="AE14" s="1"/>
      <c r="AF14" s="1"/>
      <c r="AG14" s="1"/>
      <c r="AH14" s="1">
        <f t="shared" si="5"/>
        <v>1.3465715130000002</v>
      </c>
      <c r="AI14" s="118">
        <f t="shared" si="6"/>
        <v>0</v>
      </c>
    </row>
    <row r="15" spans="1:36" hidden="1" x14ac:dyDescent="0.25">
      <c r="A15" s="30">
        <v>254</v>
      </c>
      <c r="B15" s="5" t="s">
        <v>1816</v>
      </c>
      <c r="C15" s="2" t="s">
        <v>283</v>
      </c>
      <c r="D15" s="2"/>
      <c r="E15" s="2">
        <v>189287</v>
      </c>
      <c r="F15" s="2">
        <v>3229739</v>
      </c>
      <c r="G15" s="2" t="s">
        <v>1324</v>
      </c>
      <c r="H15" s="2" t="s">
        <v>962</v>
      </c>
      <c r="I15" s="2"/>
      <c r="J15" s="2" t="s">
        <v>963</v>
      </c>
      <c r="K15" s="2" t="s">
        <v>1867</v>
      </c>
      <c r="L15" s="2"/>
      <c r="M15" s="2"/>
      <c r="N15" s="2"/>
      <c r="O15" s="2"/>
      <c r="P15" s="557" t="str">
        <f>CONCATENATE(schedule13[[#This Row],[OD]],"-",schedule13[[#This Row],[ID]],"-",schedule13[[#This Row],[TICKNESS]],"-",schedule13[[#This Row],[GRADE]],"-",schedule13[[#This Row],[FC/NFC]])</f>
        <v>19.05-0-1.2-ERW 1-PE</v>
      </c>
      <c r="Q15" s="557"/>
      <c r="R15" s="557"/>
      <c r="S15" s="1">
        <v>19.05</v>
      </c>
      <c r="T15" s="1">
        <v>19.05</v>
      </c>
      <c r="U15" s="1">
        <v>0</v>
      </c>
      <c r="V15" s="1">
        <v>1.2</v>
      </c>
      <c r="W15" s="24">
        <v>1130</v>
      </c>
      <c r="X15" s="24"/>
      <c r="Y15" s="2">
        <v>3000</v>
      </c>
      <c r="Z15" s="2"/>
      <c r="AA15" s="4">
        <f t="shared" si="1"/>
        <v>3000</v>
      </c>
      <c r="AB15" s="1">
        <f t="shared" si="2"/>
        <v>1.7901480114000001</v>
      </c>
      <c r="AC15" s="1">
        <f t="shared" si="3"/>
        <v>0</v>
      </c>
      <c r="AD15" s="1">
        <f t="shared" si="4"/>
        <v>1.7901480114000001</v>
      </c>
      <c r="AE15" s="1"/>
      <c r="AF15" s="1">
        <v>0.44500000000000001</v>
      </c>
      <c r="AG15" s="1"/>
      <c r="AH15" s="1">
        <f t="shared" si="5"/>
        <v>9.6797008760000025E-2</v>
      </c>
      <c r="AI15" s="118">
        <f t="shared" si="6"/>
        <v>0.82134082101793549</v>
      </c>
    </row>
    <row r="16" spans="1:36" hidden="1" x14ac:dyDescent="0.25">
      <c r="A16" s="30">
        <v>255</v>
      </c>
      <c r="B16" s="5" t="s">
        <v>1816</v>
      </c>
      <c r="C16" s="2" t="s">
        <v>283</v>
      </c>
      <c r="D16" s="2"/>
      <c r="E16" s="2">
        <v>189287</v>
      </c>
      <c r="F16" s="2">
        <v>2430128</v>
      </c>
      <c r="G16" s="2" t="s">
        <v>475</v>
      </c>
      <c r="H16" s="2" t="s">
        <v>962</v>
      </c>
      <c r="I16" s="2"/>
      <c r="J16" s="2" t="s">
        <v>1003</v>
      </c>
      <c r="K16" s="2" t="s">
        <v>239</v>
      </c>
      <c r="L16" s="2" t="s">
        <v>1868</v>
      </c>
      <c r="M16" s="2"/>
      <c r="N16" s="2"/>
      <c r="O16" s="2"/>
      <c r="P16" s="557" t="str">
        <f>CONCATENATE(schedule13[[#This Row],[OD]],"-",schedule13[[#This Row],[ID]],"-",schedule13[[#This Row],[TICKNESS]],"-",schedule13[[#This Row],[GRADE]],"-",schedule13[[#This Row],[FC/NFC]])</f>
        <v>50-30-1.6-ERW 1-FC</v>
      </c>
      <c r="Q16" s="557"/>
      <c r="R16" s="557"/>
      <c r="S16" s="1">
        <v>50.8</v>
      </c>
      <c r="T16" s="1">
        <v>50</v>
      </c>
      <c r="U16" s="1">
        <v>30</v>
      </c>
      <c r="V16" s="1">
        <v>1.6</v>
      </c>
      <c r="W16" s="24">
        <v>1100</v>
      </c>
      <c r="X16" s="24"/>
      <c r="Y16" s="2">
        <v>6000</v>
      </c>
      <c r="Z16" s="2"/>
      <c r="AA16" s="4">
        <f t="shared" si="1"/>
        <v>6000</v>
      </c>
      <c r="AB16" s="1">
        <f t="shared" si="2"/>
        <v>12.808515456000002</v>
      </c>
      <c r="AC16" s="1">
        <f t="shared" si="3"/>
        <v>0</v>
      </c>
      <c r="AD16" s="1">
        <f t="shared" si="4"/>
        <v>12.808515456000002</v>
      </c>
      <c r="AE16" s="1"/>
      <c r="AF16" s="1"/>
      <c r="AG16" s="1"/>
      <c r="AH16" s="1">
        <f t="shared" si="5"/>
        <v>1.7901480114000001</v>
      </c>
      <c r="AI16" s="118">
        <f t="shared" si="6"/>
        <v>0</v>
      </c>
    </row>
    <row r="17" spans="1:35" hidden="1" x14ac:dyDescent="0.25">
      <c r="A17" s="30">
        <v>256</v>
      </c>
      <c r="B17" s="5" t="s">
        <v>1816</v>
      </c>
      <c r="C17" s="2" t="s">
        <v>283</v>
      </c>
      <c r="D17" s="2"/>
      <c r="E17" s="2">
        <v>189287</v>
      </c>
      <c r="F17" s="2">
        <v>3409366</v>
      </c>
      <c r="G17" s="2" t="s">
        <v>1313</v>
      </c>
      <c r="H17" s="2" t="s">
        <v>962</v>
      </c>
      <c r="I17" s="2"/>
      <c r="J17" s="2" t="s">
        <v>963</v>
      </c>
      <c r="K17" s="2" t="s">
        <v>1867</v>
      </c>
      <c r="L17" s="2"/>
      <c r="M17" s="2"/>
      <c r="N17" s="2"/>
      <c r="O17" s="2"/>
      <c r="P17" s="557" t="str">
        <f>CONCATENATE(schedule13[[#This Row],[OD]],"-",schedule13[[#This Row],[ID]],"-",schedule13[[#This Row],[TICKNESS]],"-",schedule13[[#This Row],[GRADE]],"-",schedule13[[#This Row],[FC/NFC]])</f>
        <v>19.05-0-1.2-ERW 1-PE</v>
      </c>
      <c r="Q17" s="557"/>
      <c r="R17" s="557"/>
      <c r="S17" s="1">
        <v>19.05</v>
      </c>
      <c r="T17" s="1">
        <v>19.05</v>
      </c>
      <c r="U17" s="1">
        <v>0</v>
      </c>
      <c r="V17" s="1">
        <v>1.2</v>
      </c>
      <c r="W17" s="24">
        <v>109</v>
      </c>
      <c r="X17" s="24"/>
      <c r="Y17" s="2">
        <v>3000</v>
      </c>
      <c r="Z17" s="2"/>
      <c r="AA17" s="4">
        <f t="shared" si="1"/>
        <v>3000</v>
      </c>
      <c r="AB17" s="1">
        <f t="shared" si="2"/>
        <v>0.17267799402</v>
      </c>
      <c r="AC17" s="1">
        <f t="shared" si="3"/>
        <v>0</v>
      </c>
      <c r="AD17" s="1">
        <f t="shared" si="4"/>
        <v>0.17267799402</v>
      </c>
      <c r="AE17" s="1"/>
      <c r="AF17" s="1">
        <v>0.76900000000000002</v>
      </c>
      <c r="AG17" s="1"/>
      <c r="AH17" s="1">
        <f t="shared" si="5"/>
        <v>12.039515456000002</v>
      </c>
      <c r="AI17" s="118">
        <f t="shared" si="6"/>
        <v>6.0038183397730982E-2</v>
      </c>
    </row>
    <row r="18" spans="1:35" hidden="1" x14ac:dyDescent="0.25">
      <c r="A18" s="30">
        <v>257</v>
      </c>
      <c r="B18" s="5" t="s">
        <v>1816</v>
      </c>
      <c r="C18" s="2" t="s">
        <v>283</v>
      </c>
      <c r="D18" s="2"/>
      <c r="E18" s="2">
        <v>189287</v>
      </c>
      <c r="F18" s="2">
        <v>2409618</v>
      </c>
      <c r="G18" s="2" t="s">
        <v>469</v>
      </c>
      <c r="H18" s="2" t="s">
        <v>962</v>
      </c>
      <c r="I18" s="2"/>
      <c r="J18" s="2" t="s">
        <v>963</v>
      </c>
      <c r="K18" s="2" t="s">
        <v>1867</v>
      </c>
      <c r="L18" s="44" t="s">
        <v>1868</v>
      </c>
      <c r="M18" s="2"/>
      <c r="N18" s="2"/>
      <c r="O18" s="2"/>
      <c r="P18" s="557" t="str">
        <f>CONCATENATE(schedule13[[#This Row],[OD]],"-",schedule13[[#This Row],[ID]],"-",schedule13[[#This Row],[TICKNESS]],"-",schedule13[[#This Row],[GRADE]],"-",schedule13[[#This Row],[FC/NFC]])</f>
        <v>25.4-0-1.6-ERW 1-PE</v>
      </c>
      <c r="Q18" s="557"/>
      <c r="R18" s="557"/>
      <c r="S18" s="1">
        <v>25.4</v>
      </c>
      <c r="T18" s="1">
        <v>25.4</v>
      </c>
      <c r="U18" s="1">
        <v>0</v>
      </c>
      <c r="V18" s="1">
        <v>1.6</v>
      </c>
      <c r="W18" s="24">
        <v>2590</v>
      </c>
      <c r="X18" s="24"/>
      <c r="Y18" s="2">
        <v>4000</v>
      </c>
      <c r="Z18" s="2"/>
      <c r="AA18" s="4">
        <f t="shared" si="1"/>
        <v>4000</v>
      </c>
      <c r="AB18" s="1">
        <f t="shared" si="2"/>
        <v>9.7258254464</v>
      </c>
      <c r="AC18" s="1">
        <f t="shared" si="3"/>
        <v>0</v>
      </c>
      <c r="AD18" s="1">
        <f t="shared" si="4"/>
        <v>9.7258254464</v>
      </c>
      <c r="AE18" s="1"/>
      <c r="AF18" s="1">
        <v>0.46090000000000003</v>
      </c>
      <c r="AG18" s="1"/>
      <c r="AH18" s="1">
        <f t="shared" si="5"/>
        <v>-0.28822200598000003</v>
      </c>
      <c r="AI18" s="118">
        <f t="shared" si="6"/>
        <v>2.6691299178899275</v>
      </c>
    </row>
    <row r="19" spans="1:35" hidden="1" x14ac:dyDescent="0.25">
      <c r="A19" s="30">
        <v>258</v>
      </c>
      <c r="B19" s="5" t="s">
        <v>1816</v>
      </c>
      <c r="C19" s="2" t="s">
        <v>283</v>
      </c>
      <c r="D19" s="2"/>
      <c r="E19" s="2">
        <v>189287</v>
      </c>
      <c r="F19" s="2">
        <v>1940038</v>
      </c>
      <c r="G19" s="2" t="s">
        <v>1185</v>
      </c>
      <c r="H19" s="2" t="s">
        <v>962</v>
      </c>
      <c r="I19" s="2"/>
      <c r="J19" s="2" t="s">
        <v>963</v>
      </c>
      <c r="K19" s="2" t="s">
        <v>239</v>
      </c>
      <c r="L19" s="2"/>
      <c r="M19" s="2"/>
      <c r="N19" s="2"/>
      <c r="O19" s="2"/>
      <c r="P19" s="557" t="str">
        <f>CONCATENATE(schedule13[[#This Row],[OD]],"-",schedule13[[#This Row],[ID]],"-",schedule13[[#This Row],[TICKNESS]],"-",schedule13[[#This Row],[GRADE]],"-",schedule13[[#This Row],[FC/NFC]])</f>
        <v>15.88-0-1.2-ERW 1-PE</v>
      </c>
      <c r="Q19" s="557"/>
      <c r="R19" s="557"/>
      <c r="S19" s="1">
        <v>15.88</v>
      </c>
      <c r="T19" s="1">
        <v>15.88</v>
      </c>
      <c r="U19" s="1">
        <v>0</v>
      </c>
      <c r="V19" s="1">
        <v>1.2</v>
      </c>
      <c r="W19" s="24">
        <v>680</v>
      </c>
      <c r="X19" s="24"/>
      <c r="Y19" s="2">
        <v>3000</v>
      </c>
      <c r="Z19" s="2"/>
      <c r="AA19" s="4">
        <f t="shared" si="1"/>
        <v>3000</v>
      </c>
      <c r="AB19" s="1">
        <f t="shared" si="2"/>
        <v>0.88594598591999996</v>
      </c>
      <c r="AC19" s="1">
        <f t="shared" si="3"/>
        <v>0</v>
      </c>
      <c r="AD19" s="1">
        <f t="shared" si="4"/>
        <v>0.88594598591999996</v>
      </c>
      <c r="AE19" s="1"/>
      <c r="AF19" s="1"/>
      <c r="AG19" s="1"/>
      <c r="AH19" s="1">
        <f t="shared" si="5"/>
        <v>9.7258254464</v>
      </c>
      <c r="AI19" s="118">
        <f t="shared" si="6"/>
        <v>0</v>
      </c>
    </row>
    <row r="20" spans="1:35" x14ac:dyDescent="0.25">
      <c r="A20" s="30">
        <v>584</v>
      </c>
      <c r="B20" s="568"/>
      <c r="C20" s="569" t="s">
        <v>6554</v>
      </c>
      <c r="D20" s="569"/>
      <c r="E20" s="569"/>
      <c r="F20" s="569">
        <v>3911993</v>
      </c>
      <c r="G20" s="569" t="s">
        <v>855</v>
      </c>
      <c r="H20" s="569" t="s">
        <v>993</v>
      </c>
      <c r="I20" s="569"/>
      <c r="J20" s="569"/>
      <c r="K20" s="569"/>
      <c r="L20" s="569"/>
      <c r="M20" s="569"/>
      <c r="N20" s="569"/>
      <c r="O20" s="569"/>
      <c r="P20" s="569" t="str">
        <f>CONCATENATE(schedule13[[#This Row],[OD]],"-",schedule13[[#This Row],[ID]],"-",schedule13[[#This Row],[TICKNESS]],"-",schedule13[[#This Row],[GRADE]],"-",schedule13[[#This Row],[FC/NFC]])</f>
        <v>34.93-0-2.3-ERW 2-</v>
      </c>
      <c r="Q20" s="569"/>
      <c r="R20" s="569"/>
      <c r="S20" s="570">
        <v>34.93</v>
      </c>
      <c r="T20" s="570">
        <v>34.93</v>
      </c>
      <c r="U20" s="112">
        <v>0</v>
      </c>
      <c r="V20" s="570">
        <v>2.2999999999999998</v>
      </c>
      <c r="W20" s="474">
        <v>1500</v>
      </c>
      <c r="X20" s="474"/>
      <c r="Y20" s="569">
        <v>6500</v>
      </c>
      <c r="Z20" s="569"/>
      <c r="AA20" s="571">
        <f t="shared" si="1"/>
        <v>6500</v>
      </c>
      <c r="AB20" s="570">
        <f t="shared" si="2"/>
        <v>18.039284220750002</v>
      </c>
      <c r="AC20" s="123"/>
      <c r="AD20" s="124">
        <f t="shared" si="4"/>
        <v>18.039284220750002</v>
      </c>
      <c r="AE20" s="572"/>
      <c r="AF20" s="10"/>
      <c r="AG20" s="10"/>
      <c r="AH20" s="10"/>
      <c r="AI20" s="121"/>
    </row>
    <row r="21" spans="1:35" x14ac:dyDescent="0.25">
      <c r="A21" s="30">
        <v>585</v>
      </c>
      <c r="B21" s="568"/>
      <c r="C21" s="569" t="s">
        <v>6554</v>
      </c>
      <c r="D21" s="569"/>
      <c r="E21" s="569"/>
      <c r="F21" s="569">
        <v>1241174</v>
      </c>
      <c r="G21" s="569" t="s">
        <v>1490</v>
      </c>
      <c r="H21" s="569" t="s">
        <v>993</v>
      </c>
      <c r="I21" s="569"/>
      <c r="J21" s="569"/>
      <c r="K21" s="569"/>
      <c r="L21" s="569"/>
      <c r="M21" s="569"/>
      <c r="N21" s="569"/>
      <c r="O21" s="569"/>
      <c r="P21" s="569" t="str">
        <f>CONCATENATE(schedule13[[#This Row],[OD]],"-",schedule13[[#This Row],[ID]],"-",schedule13[[#This Row],[TICKNESS]],"-",schedule13[[#This Row],[GRADE]],"-",schedule13[[#This Row],[FC/NFC]])</f>
        <v>22.23-0-2.3-ERW 2-</v>
      </c>
      <c r="Q21" s="569"/>
      <c r="R21" s="569"/>
      <c r="S21" s="570">
        <v>22.23</v>
      </c>
      <c r="T21" s="570">
        <v>22.23</v>
      </c>
      <c r="U21" s="112">
        <v>0</v>
      </c>
      <c r="V21" s="570">
        <v>2.2999999999999998</v>
      </c>
      <c r="W21" s="474">
        <v>370</v>
      </c>
      <c r="X21" s="474"/>
      <c r="Y21" s="569">
        <v>2000</v>
      </c>
      <c r="Z21" s="569"/>
      <c r="AA21" s="571">
        <f t="shared" si="1"/>
        <v>2000</v>
      </c>
      <c r="AB21" s="570">
        <f t="shared" si="2"/>
        <v>0.83625096158000012</v>
      </c>
      <c r="AC21" s="123"/>
      <c r="AD21" s="124">
        <f t="shared" si="4"/>
        <v>0.83625096158000012</v>
      </c>
      <c r="AE21" s="572"/>
      <c r="AF21" s="10"/>
      <c r="AG21" s="10"/>
      <c r="AH21" s="10"/>
      <c r="AI21" s="121"/>
    </row>
    <row r="22" spans="1:35" x14ac:dyDescent="0.25">
      <c r="A22" s="30">
        <v>586</v>
      </c>
      <c r="B22" s="568"/>
      <c r="C22" s="569" t="s">
        <v>6554</v>
      </c>
      <c r="D22" s="569"/>
      <c r="E22" s="569"/>
      <c r="F22" s="569">
        <v>3484652</v>
      </c>
      <c r="G22" s="569" t="s">
        <v>749</v>
      </c>
      <c r="H22" s="569" t="s">
        <v>993</v>
      </c>
      <c r="I22" s="569"/>
      <c r="J22" s="569"/>
      <c r="K22" s="569"/>
      <c r="L22" s="569"/>
      <c r="M22" s="569"/>
      <c r="N22" s="569"/>
      <c r="O22" s="569"/>
      <c r="P22" s="569" t="str">
        <f>CONCATENATE(schedule13[[#This Row],[OD]],"-",schedule13[[#This Row],[ID]],"-",schedule13[[#This Row],[TICKNESS]],"-",schedule13[[#This Row],[GRADE]],"-",schedule13[[#This Row],[FC/NFC]])</f>
        <v>22.23-0-2.3-ERW 2-</v>
      </c>
      <c r="Q22" s="569"/>
      <c r="R22" s="569"/>
      <c r="S22" s="570">
        <v>22.23</v>
      </c>
      <c r="T22" s="570">
        <v>22.23</v>
      </c>
      <c r="U22" s="112">
        <v>0</v>
      </c>
      <c r="V22" s="570">
        <v>2.2999999999999998</v>
      </c>
      <c r="W22" s="474">
        <v>225</v>
      </c>
      <c r="X22" s="474"/>
      <c r="Y22" s="569">
        <v>500</v>
      </c>
      <c r="Z22" s="569"/>
      <c r="AA22" s="571">
        <f t="shared" si="1"/>
        <v>500</v>
      </c>
      <c r="AB22" s="570">
        <f t="shared" si="2"/>
        <v>0.12713274753750001</v>
      </c>
      <c r="AC22" s="123"/>
      <c r="AD22" s="124">
        <f t="shared" si="4"/>
        <v>0.12713274753750001</v>
      </c>
      <c r="AE22" s="572"/>
      <c r="AF22" s="10"/>
      <c r="AG22" s="10"/>
      <c r="AH22" s="10"/>
      <c r="AI22" s="121"/>
    </row>
    <row r="23" spans="1:35" x14ac:dyDescent="0.25">
      <c r="A23" s="30">
        <v>587</v>
      </c>
      <c r="B23" s="568"/>
      <c r="C23" s="569" t="s">
        <v>6554</v>
      </c>
      <c r="D23" s="569"/>
      <c r="E23" s="569"/>
      <c r="F23" s="9">
        <v>3472304</v>
      </c>
      <c r="G23" s="9" t="s">
        <v>1720</v>
      </c>
      <c r="H23" s="569" t="s">
        <v>993</v>
      </c>
      <c r="I23" s="569"/>
      <c r="J23" s="569"/>
      <c r="K23" s="569"/>
      <c r="L23" s="569"/>
      <c r="M23" s="569"/>
      <c r="N23" s="569"/>
      <c r="O23" s="569"/>
      <c r="P23" s="569" t="str">
        <f>CONCATENATE(schedule13[[#This Row],[OD]],"-",schedule13[[#This Row],[ID]],"-",schedule13[[#This Row],[TICKNESS]],"-",schedule13[[#This Row],[GRADE]],"-",schedule13[[#This Row],[FC/NFC]])</f>
        <v>48.6-0-4-ERW 2-</v>
      </c>
      <c r="Q23" s="569"/>
      <c r="R23" s="569"/>
      <c r="S23" s="570">
        <v>48.6</v>
      </c>
      <c r="T23" s="570">
        <v>48.6</v>
      </c>
      <c r="U23" s="112">
        <v>0</v>
      </c>
      <c r="V23" s="570">
        <v>4</v>
      </c>
      <c r="W23" s="474">
        <v>565</v>
      </c>
      <c r="X23" s="474"/>
      <c r="Y23" s="569">
        <v>3000</v>
      </c>
      <c r="Z23" s="569"/>
      <c r="AA23" s="571">
        <f t="shared" si="1"/>
        <v>3000</v>
      </c>
      <c r="AB23" s="570">
        <f t="shared" si="2"/>
        <v>7.454771364</v>
      </c>
      <c r="AC23" s="123"/>
      <c r="AD23" s="124">
        <f t="shared" si="4"/>
        <v>7.454771364</v>
      </c>
      <c r="AE23" s="572"/>
      <c r="AF23" s="10"/>
      <c r="AG23" s="10"/>
      <c r="AH23" s="10"/>
      <c r="AI23" s="121"/>
    </row>
    <row r="24" spans="1:35" x14ac:dyDescent="0.25">
      <c r="A24" s="30">
        <v>588</v>
      </c>
      <c r="B24" s="568"/>
      <c r="C24" s="569" t="s">
        <v>6554</v>
      </c>
      <c r="D24" s="569"/>
      <c r="E24" s="569"/>
      <c r="F24" s="569">
        <v>3499121</v>
      </c>
      <c r="G24" s="569" t="s">
        <v>1696</v>
      </c>
      <c r="H24" s="569" t="s">
        <v>962</v>
      </c>
      <c r="I24" s="569"/>
      <c r="J24" s="569"/>
      <c r="K24" s="569"/>
      <c r="L24" s="569"/>
      <c r="M24" s="569"/>
      <c r="N24" s="569"/>
      <c r="O24" s="569"/>
      <c r="P24" s="569" t="str">
        <f>CONCATENATE(schedule13[[#This Row],[OD]],"-",schedule13[[#This Row],[ID]],"-",schedule13[[#This Row],[TICKNESS]],"-",schedule13[[#This Row],[GRADE]],"-",schedule13[[#This Row],[FC/NFC]])</f>
        <v>42.7-0-4-ERW 1-</v>
      </c>
      <c r="Q24" s="569"/>
      <c r="R24" s="569"/>
      <c r="S24" s="570">
        <v>42.7</v>
      </c>
      <c r="T24" s="570">
        <v>42.7</v>
      </c>
      <c r="U24" s="112">
        <v>0</v>
      </c>
      <c r="V24" s="570">
        <v>4</v>
      </c>
      <c r="W24" s="474">
        <v>290</v>
      </c>
      <c r="X24" s="474"/>
      <c r="Y24" s="569">
        <v>4006</v>
      </c>
      <c r="Z24" s="569"/>
      <c r="AA24" s="571">
        <f t="shared" si="1"/>
        <v>4006</v>
      </c>
      <c r="AB24" s="570">
        <f t="shared" si="2"/>
        <v>4.4335302388560009</v>
      </c>
      <c r="AC24" s="123"/>
      <c r="AD24" s="124">
        <f t="shared" si="4"/>
        <v>4.4335302388560009</v>
      </c>
      <c r="AE24" s="572"/>
      <c r="AF24" s="10"/>
      <c r="AG24" s="10"/>
      <c r="AH24" s="10"/>
      <c r="AI24" s="121"/>
    </row>
    <row r="25" spans="1:35" hidden="1" x14ac:dyDescent="0.25">
      <c r="A25" s="30">
        <v>410</v>
      </c>
      <c r="B25" s="5" t="s">
        <v>1816</v>
      </c>
      <c r="C25" s="2" t="s">
        <v>284</v>
      </c>
      <c r="D25" s="2"/>
      <c r="E25" s="2">
        <v>129663</v>
      </c>
      <c r="F25" s="2">
        <v>2397074</v>
      </c>
      <c r="G25" s="2" t="s">
        <v>1887</v>
      </c>
      <c r="H25" s="2" t="s">
        <v>962</v>
      </c>
      <c r="I25" s="2"/>
      <c r="J25" s="2"/>
      <c r="K25" s="2" t="s">
        <v>239</v>
      </c>
      <c r="L25" s="2"/>
      <c r="M25" s="2"/>
      <c r="N25" s="2"/>
      <c r="O25" s="2"/>
      <c r="P25" s="557" t="str">
        <f>CONCATENATE(schedule13[[#This Row],[OD]],"-",schedule13[[#This Row],[ID]],"-",schedule13[[#This Row],[TICKNESS]],"-",schedule13[[#This Row],[GRADE]],"-",schedule13[[#This Row],[FC/NFC]])</f>
        <v>28.58-0-2-ERW 1-</v>
      </c>
      <c r="Q25" s="557"/>
      <c r="R25" s="557"/>
      <c r="S25" s="1">
        <v>28.58</v>
      </c>
      <c r="T25" s="1">
        <v>28.58</v>
      </c>
      <c r="U25" s="1">
        <v>0</v>
      </c>
      <c r="V25" s="1">
        <v>2</v>
      </c>
      <c r="W25" s="22">
        <v>469</v>
      </c>
      <c r="X25" s="22"/>
      <c r="Y25" s="2">
        <v>0</v>
      </c>
      <c r="Z25" s="2"/>
      <c r="AA25" s="4">
        <f t="shared" si="1"/>
        <v>0</v>
      </c>
      <c r="AB25" s="1">
        <f t="shared" si="2"/>
        <v>0</v>
      </c>
      <c r="AC25" s="1">
        <f t="shared" ref="AC25:AC88" si="7">(S25-V25)*V25*W25*0.024653*Z25/1000000</f>
        <v>0</v>
      </c>
      <c r="AD25" s="1">
        <f t="shared" si="4"/>
        <v>0</v>
      </c>
      <c r="AE25" s="1"/>
      <c r="AF25" s="1">
        <v>4.7758499999999993</v>
      </c>
      <c r="AG25" s="1"/>
      <c r="AH25" s="1">
        <f t="shared" ref="AH25:AH30" si="8">AB24-AF25</f>
        <v>-0.34231976114399831</v>
      </c>
      <c r="AI25" s="118">
        <f>(AC25+AF25)/AB24</f>
        <v>1.0772115543825249</v>
      </c>
    </row>
    <row r="26" spans="1:35" hidden="1" x14ac:dyDescent="0.25">
      <c r="A26" s="30">
        <v>411</v>
      </c>
      <c r="B26" s="5" t="s">
        <v>1816</v>
      </c>
      <c r="C26" s="2" t="s">
        <v>284</v>
      </c>
      <c r="D26" s="2"/>
      <c r="E26" s="2">
        <v>129663</v>
      </c>
      <c r="F26" s="2">
        <v>1932548</v>
      </c>
      <c r="G26" s="2" t="s">
        <v>1889</v>
      </c>
      <c r="H26" s="2" t="s">
        <v>962</v>
      </c>
      <c r="I26" s="2"/>
      <c r="J26" s="2"/>
      <c r="K26" s="2" t="s">
        <v>239</v>
      </c>
      <c r="L26" s="2"/>
      <c r="M26" s="2"/>
      <c r="N26" s="2"/>
      <c r="O26" s="2"/>
      <c r="P26" s="557" t="str">
        <f>CONCATENATE(schedule13[[#This Row],[OD]],"-",schedule13[[#This Row],[ID]],"-",schedule13[[#This Row],[TICKNESS]],"-",schedule13[[#This Row],[GRADE]],"-",schedule13[[#This Row],[FC/NFC]])</f>
        <v>25-25-2-ERW 1-</v>
      </c>
      <c r="Q26" s="557"/>
      <c r="R26" s="557"/>
      <c r="S26" s="1">
        <v>31.75</v>
      </c>
      <c r="T26" s="1">
        <v>25</v>
      </c>
      <c r="U26" s="1">
        <v>25</v>
      </c>
      <c r="V26" s="1">
        <v>2</v>
      </c>
      <c r="W26" s="22">
        <v>6000</v>
      </c>
      <c r="X26" s="22"/>
      <c r="Y26" s="2">
        <v>0</v>
      </c>
      <c r="Z26" s="2"/>
      <c r="AA26" s="4">
        <f t="shared" si="1"/>
        <v>0</v>
      </c>
      <c r="AB26" s="1">
        <f t="shared" si="2"/>
        <v>0</v>
      </c>
      <c r="AC26" s="1">
        <f t="shared" si="7"/>
        <v>0</v>
      </c>
      <c r="AD26" s="1">
        <f t="shared" si="4"/>
        <v>0</v>
      </c>
      <c r="AE26" s="1"/>
      <c r="AF26" s="1">
        <v>8.8999999999999996E-2</v>
      </c>
      <c r="AG26" s="1"/>
      <c r="AH26" s="1">
        <f t="shared" si="8"/>
        <v>-8.8999999999999996E-2</v>
      </c>
      <c r="AI26" s="118" t="e">
        <f>(AC26+AF26)/AB25</f>
        <v>#DIV/0!</v>
      </c>
    </row>
    <row r="27" spans="1:35" hidden="1" x14ac:dyDescent="0.25">
      <c r="A27" s="30">
        <v>412</v>
      </c>
      <c r="B27" s="5" t="s">
        <v>1816</v>
      </c>
      <c r="C27" s="2" t="s">
        <v>284</v>
      </c>
      <c r="D27" s="2"/>
      <c r="E27" s="2">
        <v>129663</v>
      </c>
      <c r="F27" s="2" t="s">
        <v>1878</v>
      </c>
      <c r="G27" s="2"/>
      <c r="H27" s="2"/>
      <c r="I27" s="2"/>
      <c r="J27" s="2"/>
      <c r="K27" s="2" t="s">
        <v>239</v>
      </c>
      <c r="L27" s="2"/>
      <c r="M27" s="2"/>
      <c r="N27" s="2"/>
      <c r="O27" s="2"/>
      <c r="P27" s="557" t="str">
        <f>CONCATENATE(schedule13[[#This Row],[OD]],"-",schedule13[[#This Row],[ID]],"-",schedule13[[#This Row],[TICKNESS]],"-",schedule13[[#This Row],[GRADE]],"-",schedule13[[#This Row],[FC/NFC]])</f>
        <v>12.7-0-1.6--</v>
      </c>
      <c r="Q27" s="557"/>
      <c r="R27" s="557"/>
      <c r="S27" s="1">
        <v>12.7</v>
      </c>
      <c r="T27" s="1">
        <v>12.7</v>
      </c>
      <c r="U27" s="1">
        <v>0</v>
      </c>
      <c r="V27" s="1">
        <v>1.6</v>
      </c>
      <c r="W27" s="22">
        <v>252</v>
      </c>
      <c r="X27" s="22"/>
      <c r="Y27" s="2">
        <v>0</v>
      </c>
      <c r="Z27" s="2"/>
      <c r="AA27" s="4">
        <f t="shared" si="1"/>
        <v>0</v>
      </c>
      <c r="AB27" s="1">
        <f t="shared" si="2"/>
        <v>0</v>
      </c>
      <c r="AC27" s="1">
        <f t="shared" si="7"/>
        <v>0</v>
      </c>
      <c r="AD27" s="1">
        <f t="shared" si="4"/>
        <v>0</v>
      </c>
      <c r="AE27" s="1"/>
      <c r="AF27" s="1"/>
      <c r="AG27" s="1"/>
      <c r="AH27" s="1">
        <f t="shared" si="8"/>
        <v>0</v>
      </c>
      <c r="AI27" s="118"/>
    </row>
    <row r="28" spans="1:35" hidden="1" x14ac:dyDescent="0.25">
      <c r="A28" s="30">
        <v>413</v>
      </c>
      <c r="B28" s="5" t="s">
        <v>1816</v>
      </c>
      <c r="C28" s="2" t="s">
        <v>284</v>
      </c>
      <c r="D28" s="2"/>
      <c r="E28" s="2">
        <v>129663</v>
      </c>
      <c r="F28" s="2">
        <v>1940588</v>
      </c>
      <c r="G28" s="2" t="s">
        <v>797</v>
      </c>
      <c r="H28" s="2" t="s">
        <v>962</v>
      </c>
      <c r="I28" s="2"/>
      <c r="J28" s="2" t="s">
        <v>1003</v>
      </c>
      <c r="K28" s="2" t="s">
        <v>239</v>
      </c>
      <c r="L28" s="2"/>
      <c r="M28" s="2"/>
      <c r="N28" s="2"/>
      <c r="O28" s="2"/>
      <c r="P28" s="557" t="str">
        <f>CONCATENATE(schedule13[[#This Row],[OD]],"-",schedule13[[#This Row],[ID]],"-",schedule13[[#This Row],[TICKNESS]],"-",schedule13[[#This Row],[GRADE]],"-",schedule13[[#This Row],[FC/NFC]])</f>
        <v>25.4-0-2-ERW 1-FC</v>
      </c>
      <c r="Q28" s="557"/>
      <c r="R28" s="557"/>
      <c r="S28" s="1">
        <v>25.4</v>
      </c>
      <c r="T28" s="1">
        <v>25.4</v>
      </c>
      <c r="U28" s="1">
        <v>0</v>
      </c>
      <c r="V28" s="1">
        <v>2</v>
      </c>
      <c r="W28" s="23">
        <v>355</v>
      </c>
      <c r="X28" s="23"/>
      <c r="Y28" s="7">
        <v>2500</v>
      </c>
      <c r="Z28" s="2"/>
      <c r="AA28" s="4">
        <f t="shared" si="1"/>
        <v>2500</v>
      </c>
      <c r="AB28" s="1">
        <f t="shared" si="2"/>
        <v>1.0239623549999999</v>
      </c>
      <c r="AC28" s="1">
        <f t="shared" si="7"/>
        <v>0</v>
      </c>
      <c r="AD28" s="1">
        <f t="shared" si="4"/>
        <v>1.0239623549999999</v>
      </c>
      <c r="AE28" s="1"/>
      <c r="AF28" s="1"/>
      <c r="AG28" s="1"/>
      <c r="AH28" s="1">
        <f t="shared" si="8"/>
        <v>0</v>
      </c>
      <c r="AI28" s="118" t="e">
        <f>(AC28+AF28)/AB27</f>
        <v>#DIV/0!</v>
      </c>
    </row>
    <row r="29" spans="1:35" hidden="1" x14ac:dyDescent="0.25">
      <c r="A29" s="30">
        <v>414</v>
      </c>
      <c r="B29" s="5" t="s">
        <v>1816</v>
      </c>
      <c r="C29" s="2" t="s">
        <v>284</v>
      </c>
      <c r="D29" s="2"/>
      <c r="E29" s="2">
        <v>129663</v>
      </c>
      <c r="F29" s="2">
        <v>1939966</v>
      </c>
      <c r="G29" s="2" t="s">
        <v>402</v>
      </c>
      <c r="H29" s="2" t="s">
        <v>962</v>
      </c>
      <c r="I29" s="2"/>
      <c r="J29" s="2" t="s">
        <v>963</v>
      </c>
      <c r="K29" s="2" t="s">
        <v>1867</v>
      </c>
      <c r="L29" s="2"/>
      <c r="M29" s="2"/>
      <c r="N29" s="2"/>
      <c r="O29" s="2"/>
      <c r="P29" s="557" t="str">
        <f>CONCATENATE(schedule13[[#This Row],[OD]],"-",schedule13[[#This Row],[ID]],"-",schedule13[[#This Row],[TICKNESS]],"-",schedule13[[#This Row],[GRADE]],"-",schedule13[[#This Row],[FC/NFC]])</f>
        <v>12.7-0-1.2-ERW 1-PE</v>
      </c>
      <c r="Q29" s="557"/>
      <c r="R29" s="557"/>
      <c r="S29" s="1">
        <v>12.7</v>
      </c>
      <c r="T29" s="1">
        <v>12.7</v>
      </c>
      <c r="U29" s="1">
        <v>0</v>
      </c>
      <c r="V29" s="1">
        <v>1.2</v>
      </c>
      <c r="W29" s="23">
        <v>408</v>
      </c>
      <c r="X29" s="23"/>
      <c r="Y29" s="7">
        <v>15000</v>
      </c>
      <c r="Z29" s="2"/>
      <c r="AA29" s="4">
        <f t="shared" si="1"/>
        <v>15000</v>
      </c>
      <c r="AB29" s="1">
        <f t="shared" si="2"/>
        <v>2.082093768</v>
      </c>
      <c r="AC29" s="1">
        <f t="shared" si="7"/>
        <v>0</v>
      </c>
      <c r="AD29" s="1">
        <f t="shared" si="4"/>
        <v>2.082093768</v>
      </c>
      <c r="AE29" s="1"/>
      <c r="AF29" s="1">
        <v>1.2562200000000001</v>
      </c>
      <c r="AG29" s="1"/>
      <c r="AH29" s="1">
        <f t="shared" si="8"/>
        <v>-0.23225764500000023</v>
      </c>
      <c r="AI29" s="118">
        <f>(AC29+AF29)/AB28</f>
        <v>1.2268224450497502</v>
      </c>
    </row>
    <row r="30" spans="1:35" hidden="1" x14ac:dyDescent="0.25">
      <c r="A30" s="30">
        <v>415</v>
      </c>
      <c r="B30" s="5" t="s">
        <v>1816</v>
      </c>
      <c r="C30" s="2" t="s">
        <v>284</v>
      </c>
      <c r="D30" s="2"/>
      <c r="E30" s="2">
        <v>129663</v>
      </c>
      <c r="F30" s="2"/>
      <c r="G30" s="2" t="s">
        <v>1888</v>
      </c>
      <c r="H30" s="2" t="s">
        <v>962</v>
      </c>
      <c r="I30" s="2"/>
      <c r="J30" s="2" t="s">
        <v>1003</v>
      </c>
      <c r="K30" s="2" t="s">
        <v>239</v>
      </c>
      <c r="L30" s="2"/>
      <c r="M30" s="2"/>
      <c r="N30" s="2"/>
      <c r="O30" s="2"/>
      <c r="P30" s="557" t="str">
        <f>CONCATENATE(schedule13[[#This Row],[OD]],"-",schedule13[[#This Row],[ID]],"-",schedule13[[#This Row],[TICKNESS]],"-",schedule13[[#This Row],[GRADE]],"-",schedule13[[#This Row],[FC/NFC]])</f>
        <v>28.58-0-2-ERW 1-FC</v>
      </c>
      <c r="Q30" s="557"/>
      <c r="R30" s="557"/>
      <c r="S30" s="1">
        <v>28.58</v>
      </c>
      <c r="T30" s="1">
        <v>28.58</v>
      </c>
      <c r="U30" s="1">
        <v>0</v>
      </c>
      <c r="V30" s="1">
        <v>2</v>
      </c>
      <c r="W30" s="23">
        <v>475</v>
      </c>
      <c r="X30" s="23"/>
      <c r="Y30" s="7">
        <v>13500</v>
      </c>
      <c r="Z30" s="2"/>
      <c r="AA30" s="4">
        <f t="shared" si="1"/>
        <v>13500</v>
      </c>
      <c r="AB30" s="1">
        <f t="shared" si="2"/>
        <v>8.4039241904999997</v>
      </c>
      <c r="AC30" s="1">
        <f t="shared" si="7"/>
        <v>0</v>
      </c>
      <c r="AD30" s="1">
        <f t="shared" si="4"/>
        <v>8.4039241904999997</v>
      </c>
      <c r="AE30" s="1"/>
      <c r="AF30" s="1"/>
      <c r="AG30" s="1"/>
      <c r="AH30" s="1">
        <f t="shared" si="8"/>
        <v>2.082093768</v>
      </c>
      <c r="AI30" s="118">
        <f>(AC30+AF30)/AB29</f>
        <v>0</v>
      </c>
    </row>
    <row r="31" spans="1:35" hidden="1" x14ac:dyDescent="0.25">
      <c r="A31" s="30">
        <v>416</v>
      </c>
      <c r="B31" s="5" t="s">
        <v>1816</v>
      </c>
      <c r="C31" s="2" t="s">
        <v>284</v>
      </c>
      <c r="D31" s="2"/>
      <c r="E31" s="2">
        <v>129663</v>
      </c>
      <c r="F31" s="2">
        <v>3598957</v>
      </c>
      <c r="G31" s="2" t="s">
        <v>665</v>
      </c>
      <c r="H31" s="2" t="s">
        <v>962</v>
      </c>
      <c r="I31" s="2"/>
      <c r="J31" s="2" t="s">
        <v>1003</v>
      </c>
      <c r="K31" s="2" t="s">
        <v>1867</v>
      </c>
      <c r="L31" s="44" t="s">
        <v>1868</v>
      </c>
      <c r="M31" s="2"/>
      <c r="N31" s="2"/>
      <c r="O31" s="2"/>
      <c r="P31" s="557" t="str">
        <f>CONCATENATE(schedule13[[#This Row],[OD]],"-",schedule13[[#This Row],[ID]],"-",schedule13[[#This Row],[TICKNESS]],"-",schedule13[[#This Row],[GRADE]],"-",schedule13[[#This Row],[FC/NFC]])</f>
        <v>28.58-0-1.6-ERW 1-FC</v>
      </c>
      <c r="Q31" s="557"/>
      <c r="R31" s="557"/>
      <c r="S31" s="1">
        <v>28.58</v>
      </c>
      <c r="T31" s="1">
        <v>28.58</v>
      </c>
      <c r="U31" s="6">
        <v>0</v>
      </c>
      <c r="V31" s="1">
        <v>1.6</v>
      </c>
      <c r="W31" s="23">
        <v>414</v>
      </c>
      <c r="X31" s="23"/>
      <c r="Y31" s="7">
        <v>15000</v>
      </c>
      <c r="Z31" s="2"/>
      <c r="AA31" s="4">
        <f t="shared" si="1"/>
        <v>15000</v>
      </c>
      <c r="AB31" s="1">
        <f t="shared" si="2"/>
        <v>6.6088105718400003</v>
      </c>
      <c r="AC31" s="1">
        <f t="shared" si="7"/>
        <v>0</v>
      </c>
      <c r="AD31" s="1">
        <f t="shared" si="4"/>
        <v>6.6088105718400003</v>
      </c>
      <c r="AE31" s="1"/>
      <c r="AF31" s="1"/>
      <c r="AG31" s="1"/>
      <c r="AH31" s="1"/>
      <c r="AI31" s="118"/>
    </row>
    <row r="32" spans="1:35" hidden="1" x14ac:dyDescent="0.25">
      <c r="A32" s="30">
        <v>417</v>
      </c>
      <c r="B32" s="5" t="s">
        <v>1816</v>
      </c>
      <c r="C32" s="2" t="s">
        <v>284</v>
      </c>
      <c r="D32" s="2"/>
      <c r="E32" s="2">
        <v>129663</v>
      </c>
      <c r="F32" s="2">
        <v>1940815</v>
      </c>
      <c r="G32" s="2" t="s">
        <v>790</v>
      </c>
      <c r="H32" s="2" t="s">
        <v>962</v>
      </c>
      <c r="I32" s="2"/>
      <c r="J32" s="2" t="s">
        <v>1003</v>
      </c>
      <c r="K32" s="2" t="s">
        <v>239</v>
      </c>
      <c r="L32" s="2" t="s">
        <v>1891</v>
      </c>
      <c r="M32" s="2"/>
      <c r="N32" s="2"/>
      <c r="O32" s="2" t="s">
        <v>1892</v>
      </c>
      <c r="P32" s="557" t="str">
        <f>CONCATENATE(schedule13[[#This Row],[OD]],"-",schedule13[[#This Row],[ID]],"-",schedule13[[#This Row],[TICKNESS]],"-",schedule13[[#This Row],[GRADE]],"-",schedule13[[#This Row],[FC/NFC]])</f>
        <v>40-20-1.6-ERW 1-FC</v>
      </c>
      <c r="Q32" s="557"/>
      <c r="R32" s="557"/>
      <c r="S32" s="1">
        <v>38.1</v>
      </c>
      <c r="T32" s="1">
        <v>40</v>
      </c>
      <c r="U32" s="1">
        <v>20</v>
      </c>
      <c r="V32" s="1">
        <v>1.6</v>
      </c>
      <c r="W32" s="23">
        <v>480</v>
      </c>
      <c r="X32" s="23"/>
      <c r="Y32" s="7">
        <v>10000</v>
      </c>
      <c r="Z32" s="2"/>
      <c r="AA32" s="4">
        <f t="shared" si="1"/>
        <v>10000</v>
      </c>
      <c r="AB32" s="1">
        <f t="shared" si="2"/>
        <v>6.910728960000001</v>
      </c>
      <c r="AC32" s="1">
        <f t="shared" si="7"/>
        <v>0</v>
      </c>
      <c r="AD32" s="1">
        <f t="shared" si="4"/>
        <v>6.910728960000001</v>
      </c>
      <c r="AE32" s="1"/>
      <c r="AF32" s="1">
        <v>2.8580000000000001</v>
      </c>
      <c r="AG32" s="1"/>
      <c r="AH32" s="1">
        <f t="shared" ref="AH32:AH38" si="9">AB31-AF32</f>
        <v>3.7508105718400002</v>
      </c>
      <c r="AI32" s="118">
        <f t="shared" ref="AI32:AI38" si="10">(AC32+AF32)/AB31</f>
        <v>0.43245300632127004</v>
      </c>
    </row>
    <row r="33" spans="1:35" hidden="1" x14ac:dyDescent="0.25">
      <c r="A33" s="30">
        <v>418</v>
      </c>
      <c r="B33" s="5" t="s">
        <v>1816</v>
      </c>
      <c r="C33" s="2" t="s">
        <v>284</v>
      </c>
      <c r="D33" s="2"/>
      <c r="E33" s="2">
        <v>129663</v>
      </c>
      <c r="F33" s="2">
        <v>1940821</v>
      </c>
      <c r="G33" s="2" t="s">
        <v>571</v>
      </c>
      <c r="H33" s="2" t="s">
        <v>962</v>
      </c>
      <c r="I33" s="2"/>
      <c r="J33" s="2" t="s">
        <v>1003</v>
      </c>
      <c r="K33" s="2" t="s">
        <v>1867</v>
      </c>
      <c r="L33" s="44" t="s">
        <v>1891</v>
      </c>
      <c r="M33" s="2"/>
      <c r="N33" s="2"/>
      <c r="O33" s="2" t="s">
        <v>1892</v>
      </c>
      <c r="P33" s="557" t="str">
        <f>CONCATENATE(schedule13[[#This Row],[OD]],"-",schedule13[[#This Row],[ID]],"-",schedule13[[#This Row],[TICKNESS]],"-",schedule13[[#This Row],[GRADE]],"-",schedule13[[#This Row],[FC/NFC]])</f>
        <v>40-25-1.6-ERW 1-FC</v>
      </c>
      <c r="Q33" s="557"/>
      <c r="R33" s="557"/>
      <c r="S33" s="1">
        <v>41.28</v>
      </c>
      <c r="T33" s="1">
        <v>40</v>
      </c>
      <c r="U33" s="1">
        <v>25</v>
      </c>
      <c r="V33" s="1">
        <v>1.6</v>
      </c>
      <c r="W33" s="23">
        <v>513</v>
      </c>
      <c r="X33" s="23"/>
      <c r="Y33" s="2">
        <v>6000</v>
      </c>
      <c r="Z33" s="2"/>
      <c r="AA33" s="4">
        <f t="shared" si="1"/>
        <v>6000</v>
      </c>
      <c r="AB33" s="1">
        <f t="shared" si="2"/>
        <v>4.8175922257919996</v>
      </c>
      <c r="AC33" s="1">
        <f t="shared" si="7"/>
        <v>0</v>
      </c>
      <c r="AD33" s="1">
        <f t="shared" si="4"/>
        <v>4.8175922257919996</v>
      </c>
      <c r="AE33" s="1"/>
      <c r="AF33" s="1"/>
      <c r="AG33" s="1"/>
      <c r="AH33" s="1">
        <f t="shared" si="9"/>
        <v>6.910728960000001</v>
      </c>
      <c r="AI33" s="118">
        <f t="shared" si="10"/>
        <v>0</v>
      </c>
    </row>
    <row r="34" spans="1:35" hidden="1" x14ac:dyDescent="0.25">
      <c r="A34" s="30">
        <v>419</v>
      </c>
      <c r="B34" s="5" t="s">
        <v>1816</v>
      </c>
      <c r="C34" s="2" t="s">
        <v>284</v>
      </c>
      <c r="D34" s="2"/>
      <c r="E34" s="2">
        <v>129663</v>
      </c>
      <c r="F34" s="2">
        <v>3727212</v>
      </c>
      <c r="G34" s="2" t="s">
        <v>669</v>
      </c>
      <c r="H34" s="2" t="s">
        <v>962</v>
      </c>
      <c r="I34" s="2"/>
      <c r="J34" s="2" t="s">
        <v>1003</v>
      </c>
      <c r="K34" s="2" t="s">
        <v>1867</v>
      </c>
      <c r="L34" s="44" t="s">
        <v>1868</v>
      </c>
      <c r="M34" s="2"/>
      <c r="N34" s="2"/>
      <c r="O34" s="2"/>
      <c r="P34" s="557" t="str">
        <f>CONCATENATE(schedule13[[#This Row],[OD]],"-",schedule13[[#This Row],[ID]],"-",schedule13[[#This Row],[TICKNESS]],"-",schedule13[[#This Row],[GRADE]],"-",schedule13[[#This Row],[FC/NFC]])</f>
        <v>28.58-0-1.6-ERW 1-FC</v>
      </c>
      <c r="Q34" s="557"/>
      <c r="R34" s="557"/>
      <c r="S34" s="1">
        <v>28.58</v>
      </c>
      <c r="T34" s="1">
        <v>28.58</v>
      </c>
      <c r="U34" s="6">
        <v>0</v>
      </c>
      <c r="V34" s="1">
        <v>1.6</v>
      </c>
      <c r="W34" s="23">
        <v>215</v>
      </c>
      <c r="X34" s="23"/>
      <c r="Y34" s="2">
        <v>5000</v>
      </c>
      <c r="Z34" s="2"/>
      <c r="AA34" s="4">
        <f t="shared" si="1"/>
        <v>5000</v>
      </c>
      <c r="AB34" s="1">
        <f t="shared" si="2"/>
        <v>1.1440372567999999</v>
      </c>
      <c r="AC34" s="1">
        <f t="shared" si="7"/>
        <v>0</v>
      </c>
      <c r="AD34" s="1">
        <f t="shared" si="4"/>
        <v>1.1440372567999999</v>
      </c>
      <c r="AE34" s="1"/>
      <c r="AF34" s="1">
        <v>1.01349</v>
      </c>
      <c r="AG34" s="1"/>
      <c r="AH34" s="1">
        <f t="shared" si="9"/>
        <v>3.8041022257919996</v>
      </c>
      <c r="AI34" s="118">
        <f t="shared" si="10"/>
        <v>0.21037272407034924</v>
      </c>
    </row>
    <row r="35" spans="1:35" hidden="1" x14ac:dyDescent="0.25">
      <c r="A35" s="30">
        <v>420</v>
      </c>
      <c r="B35" s="5" t="s">
        <v>1816</v>
      </c>
      <c r="C35" s="2" t="s">
        <v>284</v>
      </c>
      <c r="D35" s="2"/>
      <c r="E35" s="2">
        <v>129663</v>
      </c>
      <c r="F35" s="2">
        <v>1940822</v>
      </c>
      <c r="G35" s="2" t="s">
        <v>574</v>
      </c>
      <c r="H35" s="2" t="s">
        <v>962</v>
      </c>
      <c r="I35" s="2"/>
      <c r="J35" s="2" t="s">
        <v>1003</v>
      </c>
      <c r="K35" s="2" t="s">
        <v>1867</v>
      </c>
      <c r="L35" s="44" t="s">
        <v>1891</v>
      </c>
      <c r="M35" s="2"/>
      <c r="N35" s="2"/>
      <c r="O35" s="2" t="s">
        <v>1892</v>
      </c>
      <c r="P35" s="557" t="str">
        <f>CONCATENATE(schedule13[[#This Row],[OD]],"-",schedule13[[#This Row],[ID]],"-",schedule13[[#This Row],[TICKNESS]],"-",schedule13[[#This Row],[GRADE]],"-",schedule13[[#This Row],[FC/NFC]])</f>
        <v>40-25-1.6-ERW 1-FC</v>
      </c>
      <c r="Q35" s="557"/>
      <c r="R35" s="557"/>
      <c r="S35" s="1">
        <v>41.28</v>
      </c>
      <c r="T35" s="1">
        <v>40</v>
      </c>
      <c r="U35" s="1">
        <v>25</v>
      </c>
      <c r="V35" s="1">
        <v>1.6</v>
      </c>
      <c r="W35" s="23">
        <v>536</v>
      </c>
      <c r="X35" s="23"/>
      <c r="Y35" s="7">
        <v>38000</v>
      </c>
      <c r="Z35" s="2"/>
      <c r="AA35" s="4">
        <f t="shared" si="1"/>
        <v>38000</v>
      </c>
      <c r="AB35" s="1">
        <f t="shared" si="2"/>
        <v>31.879375716352001</v>
      </c>
      <c r="AC35" s="1">
        <f t="shared" si="7"/>
        <v>0</v>
      </c>
      <c r="AD35" s="1">
        <f t="shared" si="4"/>
        <v>31.879375716352001</v>
      </c>
      <c r="AE35" s="1"/>
      <c r="AF35" s="1">
        <v>1.4990000000000001</v>
      </c>
      <c r="AG35" s="1"/>
      <c r="AH35" s="1">
        <f t="shared" si="9"/>
        <v>-0.35496274320000021</v>
      </c>
      <c r="AI35" s="118">
        <f t="shared" si="10"/>
        <v>1.3102720135119295</v>
      </c>
    </row>
    <row r="36" spans="1:35" hidden="1" x14ac:dyDescent="0.25">
      <c r="A36" s="30">
        <v>421</v>
      </c>
      <c r="B36" s="5" t="s">
        <v>1816</v>
      </c>
      <c r="C36" s="2" t="s">
        <v>284</v>
      </c>
      <c r="D36" s="2"/>
      <c r="E36" s="2">
        <v>129663</v>
      </c>
      <c r="F36" s="2">
        <v>1940823</v>
      </c>
      <c r="G36" s="2" t="s">
        <v>576</v>
      </c>
      <c r="H36" s="2" t="s">
        <v>962</v>
      </c>
      <c r="I36" s="2"/>
      <c r="J36" s="2" t="s">
        <v>1003</v>
      </c>
      <c r="K36" s="2" t="s">
        <v>1867</v>
      </c>
      <c r="L36" s="44" t="s">
        <v>1891</v>
      </c>
      <c r="M36" s="2"/>
      <c r="N36" s="2"/>
      <c r="O36" s="2" t="s">
        <v>1892</v>
      </c>
      <c r="P36" s="557" t="str">
        <f>CONCATENATE(schedule13[[#This Row],[OD]],"-",schedule13[[#This Row],[ID]],"-",schedule13[[#This Row],[TICKNESS]],"-",schedule13[[#This Row],[GRADE]],"-",schedule13[[#This Row],[FC/NFC]])</f>
        <v>40-25-1.6-ERW 1-FC</v>
      </c>
      <c r="Q36" s="557"/>
      <c r="R36" s="557"/>
      <c r="S36" s="1">
        <v>41.28</v>
      </c>
      <c r="T36" s="1">
        <v>40</v>
      </c>
      <c r="U36" s="1">
        <v>25</v>
      </c>
      <c r="V36" s="1">
        <v>1.6</v>
      </c>
      <c r="W36" s="23">
        <v>560</v>
      </c>
      <c r="X36" s="23"/>
      <c r="Y36" s="7">
        <v>16000</v>
      </c>
      <c r="Z36" s="2"/>
      <c r="AA36" s="4">
        <f t="shared" si="1"/>
        <v>16000</v>
      </c>
      <c r="AB36" s="1">
        <f t="shared" ref="AB36:AB67" si="11">(S36-V36)*V36*W36*0.024653*Y36/1000000</f>
        <v>14.023920189439998</v>
      </c>
      <c r="AC36" s="1">
        <f t="shared" si="7"/>
        <v>0</v>
      </c>
      <c r="AD36" s="1">
        <f t="shared" si="4"/>
        <v>14.023920189439998</v>
      </c>
      <c r="AE36" s="1"/>
      <c r="AF36" s="1"/>
      <c r="AG36" s="1"/>
      <c r="AH36" s="1">
        <f t="shared" si="9"/>
        <v>31.879375716352001</v>
      </c>
      <c r="AI36" s="118">
        <f t="shared" si="10"/>
        <v>0</v>
      </c>
    </row>
    <row r="37" spans="1:35" hidden="1" x14ac:dyDescent="0.25">
      <c r="A37" s="30">
        <v>422</v>
      </c>
      <c r="B37" s="5" t="s">
        <v>1816</v>
      </c>
      <c r="C37" s="2" t="s">
        <v>284</v>
      </c>
      <c r="D37" s="2"/>
      <c r="E37" s="2">
        <v>129663</v>
      </c>
      <c r="F37" s="2">
        <v>1940825</v>
      </c>
      <c r="G37" s="2" t="s">
        <v>788</v>
      </c>
      <c r="H37" s="2" t="s">
        <v>962</v>
      </c>
      <c r="I37" s="2"/>
      <c r="J37" s="2" t="s">
        <v>1003</v>
      </c>
      <c r="K37" s="2" t="s">
        <v>1867</v>
      </c>
      <c r="L37" s="44" t="s">
        <v>1891</v>
      </c>
      <c r="M37" s="2"/>
      <c r="N37" s="2"/>
      <c r="O37" s="2" t="s">
        <v>1892</v>
      </c>
      <c r="P37" s="557" t="str">
        <f>CONCATENATE(schedule13[[#This Row],[OD]],"-",schedule13[[#This Row],[ID]],"-",schedule13[[#This Row],[TICKNESS]],"-",schedule13[[#This Row],[GRADE]],"-",schedule13[[#This Row],[FC/NFC]])</f>
        <v>40-25-1.6-ERW 1-FC</v>
      </c>
      <c r="Q37" s="557"/>
      <c r="R37" s="557"/>
      <c r="S37" s="1">
        <v>41.28</v>
      </c>
      <c r="T37" s="1">
        <v>40</v>
      </c>
      <c r="U37" s="1">
        <v>25</v>
      </c>
      <c r="V37" s="1">
        <v>1.6</v>
      </c>
      <c r="W37" s="23">
        <v>585</v>
      </c>
      <c r="X37" s="23"/>
      <c r="Y37" s="7">
        <v>14500</v>
      </c>
      <c r="Z37" s="2"/>
      <c r="AA37" s="4">
        <f t="shared" si="1"/>
        <v>14500</v>
      </c>
      <c r="AB37" s="1">
        <f t="shared" si="11"/>
        <v>13.276551674880002</v>
      </c>
      <c r="AC37" s="1">
        <f t="shared" si="7"/>
        <v>0</v>
      </c>
      <c r="AD37" s="1">
        <f t="shared" si="4"/>
        <v>13.276551674880002</v>
      </c>
      <c r="AE37" s="1"/>
      <c r="AF37" s="1"/>
      <c r="AG37" s="1"/>
      <c r="AH37" s="1">
        <f t="shared" si="9"/>
        <v>14.023920189439998</v>
      </c>
      <c r="AI37" s="118">
        <f t="shared" si="10"/>
        <v>0</v>
      </c>
    </row>
    <row r="38" spans="1:35" hidden="1" x14ac:dyDescent="0.25">
      <c r="A38" s="30">
        <v>423</v>
      </c>
      <c r="B38" s="5" t="s">
        <v>1816</v>
      </c>
      <c r="C38" s="2" t="s">
        <v>284</v>
      </c>
      <c r="D38" s="2"/>
      <c r="E38" s="2">
        <v>129663</v>
      </c>
      <c r="F38" s="2">
        <v>3441727</v>
      </c>
      <c r="G38" s="9" t="s">
        <v>1681</v>
      </c>
      <c r="H38" s="2" t="s">
        <v>962</v>
      </c>
      <c r="I38" s="2"/>
      <c r="J38" s="2" t="s">
        <v>1003</v>
      </c>
      <c r="K38" s="2" t="s">
        <v>239</v>
      </c>
      <c r="L38" s="2"/>
      <c r="M38" s="2"/>
      <c r="N38" s="2"/>
      <c r="O38" s="2"/>
      <c r="P38" s="557" t="str">
        <f>CONCATENATE(schedule13[[#This Row],[OD]],"-",schedule13[[#This Row],[ID]],"-",schedule13[[#This Row],[TICKNESS]],"-",schedule13[[#This Row],[GRADE]],"-",schedule13[[#This Row],[FC/NFC]])</f>
        <v>40-30-1.6-ERW 1-FC</v>
      </c>
      <c r="Q38" s="557"/>
      <c r="R38" s="557"/>
      <c r="S38" s="1">
        <v>44.45</v>
      </c>
      <c r="T38" s="1">
        <v>40</v>
      </c>
      <c r="U38" s="1">
        <v>30</v>
      </c>
      <c r="V38" s="1">
        <v>1.6</v>
      </c>
      <c r="W38" s="23">
        <v>6000</v>
      </c>
      <c r="X38" s="23"/>
      <c r="Y38" s="7">
        <v>250</v>
      </c>
      <c r="Z38" s="2"/>
      <c r="AA38" s="4">
        <f t="shared" si="1"/>
        <v>250</v>
      </c>
      <c r="AB38" s="1">
        <f t="shared" si="11"/>
        <v>2.5353145200000005</v>
      </c>
      <c r="AC38" s="1">
        <f t="shared" si="7"/>
        <v>0</v>
      </c>
      <c r="AD38" s="1">
        <f t="shared" si="4"/>
        <v>2.5353145200000005</v>
      </c>
      <c r="AE38" s="1"/>
      <c r="AF38" s="1">
        <v>6.3760680000000001</v>
      </c>
      <c r="AG38" s="1"/>
      <c r="AH38" s="1">
        <f t="shared" si="9"/>
        <v>6.900483674880002</v>
      </c>
      <c r="AI38" s="118">
        <f t="shared" si="10"/>
        <v>0.48025030566211607</v>
      </c>
    </row>
    <row r="39" spans="1:35" hidden="1" x14ac:dyDescent="0.25">
      <c r="A39" s="30">
        <v>424</v>
      </c>
      <c r="B39" s="5" t="s">
        <v>1816</v>
      </c>
      <c r="C39" s="2" t="s">
        <v>284</v>
      </c>
      <c r="D39" s="2"/>
      <c r="E39" s="2">
        <v>129663</v>
      </c>
      <c r="F39" s="2">
        <v>1932559</v>
      </c>
      <c r="G39" s="2" t="s">
        <v>1893</v>
      </c>
      <c r="H39" s="2" t="s">
        <v>962</v>
      </c>
      <c r="I39" s="2"/>
      <c r="J39" s="2" t="s">
        <v>1003</v>
      </c>
      <c r="K39" s="2" t="s">
        <v>239</v>
      </c>
      <c r="L39" s="2"/>
      <c r="M39" s="2"/>
      <c r="N39" s="2"/>
      <c r="O39" s="2" t="s">
        <v>1892</v>
      </c>
      <c r="P39" s="557" t="str">
        <f>CONCATENATE(schedule13[[#This Row],[OD]],"-",schedule13[[#This Row],[ID]],"-",schedule13[[#This Row],[TICKNESS]],"-",schedule13[[#This Row],[GRADE]],"-",schedule13[[#This Row],[FC/NFC]])</f>
        <v>40-25-2-ERW 1-FC</v>
      </c>
      <c r="Q39" s="557"/>
      <c r="R39" s="557"/>
      <c r="S39" s="1">
        <v>41.28</v>
      </c>
      <c r="T39" s="1">
        <v>40</v>
      </c>
      <c r="U39" s="1">
        <v>25</v>
      </c>
      <c r="V39" s="1">
        <v>2</v>
      </c>
      <c r="W39" s="23">
        <v>6000</v>
      </c>
      <c r="X39" s="23"/>
      <c r="Y39" s="2">
        <v>209</v>
      </c>
      <c r="Z39" s="2"/>
      <c r="AA39" s="4">
        <f t="shared" si="1"/>
        <v>209</v>
      </c>
      <c r="AB39" s="1">
        <f t="shared" si="11"/>
        <v>2.4286715587200001</v>
      </c>
      <c r="AC39" s="1">
        <f t="shared" si="7"/>
        <v>0</v>
      </c>
      <c r="AD39" s="1">
        <f t="shared" si="4"/>
        <v>2.4286715587200001</v>
      </c>
      <c r="AE39" s="1"/>
      <c r="AF39" s="1"/>
      <c r="AG39" s="1"/>
      <c r="AH39" s="1"/>
      <c r="AI39" s="118"/>
    </row>
    <row r="40" spans="1:35" hidden="1" x14ac:dyDescent="0.25">
      <c r="A40" s="30">
        <v>425</v>
      </c>
      <c r="B40" s="5" t="s">
        <v>1816</v>
      </c>
      <c r="C40" s="2" t="s">
        <v>284</v>
      </c>
      <c r="D40" s="2"/>
      <c r="E40" s="2">
        <v>129663</v>
      </c>
      <c r="F40" s="2">
        <v>2427711</v>
      </c>
      <c r="G40" s="2" t="s">
        <v>705</v>
      </c>
      <c r="H40" s="2" t="s">
        <v>962</v>
      </c>
      <c r="I40" s="2"/>
      <c r="J40" s="2" t="s">
        <v>963</v>
      </c>
      <c r="K40" s="2" t="s">
        <v>239</v>
      </c>
      <c r="L40" s="2"/>
      <c r="M40" s="2"/>
      <c r="N40" s="2"/>
      <c r="O40" s="2"/>
      <c r="P40" s="557" t="str">
        <f>CONCATENATE(schedule13[[#This Row],[OD]],"-",schedule13[[#This Row],[ID]],"-",schedule13[[#This Row],[TICKNESS]],"-",schedule13[[#This Row],[GRADE]],"-",schedule13[[#This Row],[FC/NFC]])</f>
        <v>19.05-0-2.3-ERW 1-PE</v>
      </c>
      <c r="Q40" s="557"/>
      <c r="R40" s="557"/>
      <c r="S40" s="1">
        <v>19.05</v>
      </c>
      <c r="T40" s="1">
        <v>19.05</v>
      </c>
      <c r="U40" s="1">
        <v>0</v>
      </c>
      <c r="V40" s="1">
        <v>2.2999999999999998</v>
      </c>
      <c r="W40" s="23">
        <v>285</v>
      </c>
      <c r="X40" s="23"/>
      <c r="Y40" s="7">
        <v>5000</v>
      </c>
      <c r="Z40" s="2"/>
      <c r="AA40" s="4">
        <f t="shared" si="1"/>
        <v>5000</v>
      </c>
      <c r="AB40" s="1">
        <f t="shared" si="11"/>
        <v>1.353403475625</v>
      </c>
      <c r="AC40" s="1">
        <f t="shared" si="7"/>
        <v>0</v>
      </c>
      <c r="AD40" s="1">
        <f t="shared" si="4"/>
        <v>1.353403475625</v>
      </c>
      <c r="AE40" s="1"/>
      <c r="AF40" s="1">
        <v>2.8535810000000001</v>
      </c>
      <c r="AG40" s="1"/>
      <c r="AH40" s="1">
        <f t="shared" ref="AH40:AH71" si="12">AB39-AF40</f>
        <v>-0.42490944128000008</v>
      </c>
      <c r="AI40" s="118">
        <f t="shared" ref="AI40:AI71" si="13">(AC40+AF40)/AB39</f>
        <v>1.1749554976894212</v>
      </c>
    </row>
    <row r="41" spans="1:35" hidden="1" x14ac:dyDescent="0.25">
      <c r="A41" s="30">
        <v>426</v>
      </c>
      <c r="B41" s="5" t="s">
        <v>1816</v>
      </c>
      <c r="C41" s="2" t="s">
        <v>284</v>
      </c>
      <c r="D41" s="2"/>
      <c r="E41" s="2">
        <v>129663</v>
      </c>
      <c r="F41" s="2">
        <v>2427158</v>
      </c>
      <c r="G41" s="2" t="s">
        <v>671</v>
      </c>
      <c r="H41" s="2" t="s">
        <v>962</v>
      </c>
      <c r="I41" s="2"/>
      <c r="J41" s="2" t="s">
        <v>1003</v>
      </c>
      <c r="K41" s="2" t="s">
        <v>239</v>
      </c>
      <c r="L41" s="2" t="s">
        <v>1868</v>
      </c>
      <c r="M41" s="2"/>
      <c r="N41" s="2"/>
      <c r="O41" s="2"/>
      <c r="P41" s="557" t="str">
        <f>CONCATENATE(schedule13[[#This Row],[OD]],"-",schedule13[[#This Row],[ID]],"-",schedule13[[#This Row],[TICKNESS]],"-",schedule13[[#This Row],[GRADE]],"-",schedule13[[#This Row],[FC/NFC]])</f>
        <v>50-30-1.6-ERW 1-FC</v>
      </c>
      <c r="Q41" s="557"/>
      <c r="R41" s="557"/>
      <c r="S41" s="1">
        <v>50.8</v>
      </c>
      <c r="T41" s="1">
        <v>50</v>
      </c>
      <c r="U41" s="1">
        <v>30</v>
      </c>
      <c r="V41" s="1">
        <v>1.6</v>
      </c>
      <c r="W41" s="23">
        <v>604</v>
      </c>
      <c r="X41" s="23"/>
      <c r="Y41" s="7">
        <v>30000</v>
      </c>
      <c r="Z41" s="2"/>
      <c r="AA41" s="4">
        <f t="shared" si="1"/>
        <v>30000</v>
      </c>
      <c r="AB41" s="1">
        <f t="shared" si="11"/>
        <v>35.165196979199997</v>
      </c>
      <c r="AC41" s="1">
        <f t="shared" si="7"/>
        <v>0</v>
      </c>
      <c r="AD41" s="1">
        <f t="shared" si="4"/>
        <v>35.165196979199997</v>
      </c>
      <c r="AE41" s="1"/>
      <c r="AF41" s="1"/>
      <c r="AG41" s="1"/>
      <c r="AH41" s="1">
        <f t="shared" si="12"/>
        <v>1.353403475625</v>
      </c>
      <c r="AI41" s="118">
        <f t="shared" si="13"/>
        <v>0</v>
      </c>
    </row>
    <row r="42" spans="1:35" hidden="1" x14ac:dyDescent="0.25">
      <c r="A42" s="30">
        <v>427</v>
      </c>
      <c r="B42" s="5" t="s">
        <v>1816</v>
      </c>
      <c r="C42" s="2" t="s">
        <v>284</v>
      </c>
      <c r="D42" s="2"/>
      <c r="E42" s="2">
        <v>129663</v>
      </c>
      <c r="F42" s="2">
        <v>1940840</v>
      </c>
      <c r="G42" s="2" t="s">
        <v>1684</v>
      </c>
      <c r="H42" s="2" t="s">
        <v>962</v>
      </c>
      <c r="I42" s="2"/>
      <c r="J42" s="2" t="s">
        <v>1003</v>
      </c>
      <c r="K42" s="2" t="s">
        <v>239</v>
      </c>
      <c r="L42" s="2"/>
      <c r="M42" s="2"/>
      <c r="N42" s="2"/>
      <c r="O42" s="2"/>
      <c r="P42" s="557" t="str">
        <f>CONCATENATE(schedule13[[#This Row],[OD]],"-",schedule13[[#This Row],[ID]],"-",schedule13[[#This Row],[TICKNESS]],"-",schedule13[[#This Row],[GRADE]],"-",schedule13[[#This Row],[FC/NFC]])</f>
        <v>40-30-2-ERW 1-FC</v>
      </c>
      <c r="Q42" s="557"/>
      <c r="R42" s="557"/>
      <c r="S42" s="1">
        <v>44.45</v>
      </c>
      <c r="T42" s="1">
        <v>40</v>
      </c>
      <c r="U42" s="6">
        <v>30</v>
      </c>
      <c r="V42" s="1">
        <v>2</v>
      </c>
      <c r="W42" s="23">
        <v>6000</v>
      </c>
      <c r="X42" s="23"/>
      <c r="Y42" s="7">
        <v>500</v>
      </c>
      <c r="Z42" s="2"/>
      <c r="AA42" s="4">
        <f t="shared" si="1"/>
        <v>500</v>
      </c>
      <c r="AB42" s="1">
        <f t="shared" si="11"/>
        <v>6.2791191000000008</v>
      </c>
      <c r="AC42" s="1">
        <f t="shared" si="7"/>
        <v>0</v>
      </c>
      <c r="AD42" s="1">
        <f t="shared" si="4"/>
        <v>6.2791191000000008</v>
      </c>
      <c r="AE42" s="1"/>
      <c r="AF42" s="1">
        <v>11.085434999999999</v>
      </c>
      <c r="AG42" s="1"/>
      <c r="AH42" s="1">
        <f t="shared" si="12"/>
        <v>24.079761979200001</v>
      </c>
      <c r="AI42" s="118">
        <f t="shared" si="13"/>
        <v>0.31523881429007683</v>
      </c>
    </row>
    <row r="43" spans="1:35" hidden="1" x14ac:dyDescent="0.25">
      <c r="A43" s="30">
        <v>428</v>
      </c>
      <c r="B43" s="5" t="s">
        <v>1816</v>
      </c>
      <c r="C43" s="2" t="s">
        <v>284</v>
      </c>
      <c r="D43" s="2"/>
      <c r="E43" s="2">
        <v>129663</v>
      </c>
      <c r="F43" s="2">
        <v>1940313</v>
      </c>
      <c r="G43" s="2" t="s">
        <v>707</v>
      </c>
      <c r="H43" s="2" t="s">
        <v>962</v>
      </c>
      <c r="I43" s="2"/>
      <c r="J43" s="2" t="s">
        <v>963</v>
      </c>
      <c r="K43" s="2" t="s">
        <v>239</v>
      </c>
      <c r="L43" s="2"/>
      <c r="M43" s="2"/>
      <c r="N43" s="2"/>
      <c r="O43" s="2"/>
      <c r="P43" s="557" t="str">
        <f>CONCATENATE(schedule13[[#This Row],[OD]],"-",schedule13[[#This Row],[ID]],"-",schedule13[[#This Row],[TICKNESS]],"-",schedule13[[#This Row],[GRADE]],"-",schedule13[[#This Row],[FC/NFC]])</f>
        <v>19.05-0-2.3-ERW 1-PE</v>
      </c>
      <c r="Q43" s="557"/>
      <c r="R43" s="557"/>
      <c r="S43" s="1">
        <v>19.05</v>
      </c>
      <c r="T43" s="1">
        <v>19.05</v>
      </c>
      <c r="U43" s="1">
        <v>0</v>
      </c>
      <c r="V43" s="1">
        <v>2.2999999999999998</v>
      </c>
      <c r="W43" s="23">
        <v>303</v>
      </c>
      <c r="X43" s="23"/>
      <c r="Y43" s="7">
        <v>14000</v>
      </c>
      <c r="Z43" s="2"/>
      <c r="AA43" s="4">
        <f t="shared" si="1"/>
        <v>14000</v>
      </c>
      <c r="AB43" s="1">
        <f t="shared" si="11"/>
        <v>4.0288684516499993</v>
      </c>
      <c r="AC43" s="1">
        <f t="shared" si="7"/>
        <v>0</v>
      </c>
      <c r="AD43" s="1">
        <f t="shared" si="4"/>
        <v>4.0288684516499993</v>
      </c>
      <c r="AE43" s="1"/>
      <c r="AF43" s="1">
        <v>2.7622870000000006</v>
      </c>
      <c r="AG43" s="1"/>
      <c r="AH43" s="1">
        <f t="shared" si="12"/>
        <v>3.5168321000000002</v>
      </c>
      <c r="AI43" s="118">
        <f t="shared" si="13"/>
        <v>0.43991632520555313</v>
      </c>
    </row>
    <row r="44" spans="1:35" hidden="1" x14ac:dyDescent="0.25">
      <c r="A44" s="30">
        <v>429</v>
      </c>
      <c r="B44" s="5" t="s">
        <v>1872</v>
      </c>
      <c r="C44" s="2" t="s">
        <v>284</v>
      </c>
      <c r="D44" s="2"/>
      <c r="E44" s="2">
        <v>129663</v>
      </c>
      <c r="F44" s="2">
        <v>3188792</v>
      </c>
      <c r="G44" s="2" t="s">
        <v>547</v>
      </c>
      <c r="H44" s="2" t="s">
        <v>357</v>
      </c>
      <c r="I44" s="2"/>
      <c r="J44" s="2" t="s">
        <v>357</v>
      </c>
      <c r="K44" s="2" t="s">
        <v>239</v>
      </c>
      <c r="L44" s="2"/>
      <c r="M44" s="2"/>
      <c r="N44" s="2"/>
      <c r="O44" s="2"/>
      <c r="P44" s="557" t="str">
        <f>CONCATENATE(schedule13[[#This Row],[OD]],"-",schedule13[[#This Row],[ID]],"-",schedule13[[#This Row],[TICKNESS]],"-",schedule13[[#This Row],[GRADE]],"-",schedule13[[#This Row],[FC/NFC]])</f>
        <v>16.1-0-2.8-CEW-CEW</v>
      </c>
      <c r="Q44" s="557"/>
      <c r="R44" s="557"/>
      <c r="S44" s="1">
        <v>16.100000000000001</v>
      </c>
      <c r="T44" s="1">
        <v>16.100000000000001</v>
      </c>
      <c r="U44" s="1">
        <v>0</v>
      </c>
      <c r="V44" s="1">
        <v>2.8</v>
      </c>
      <c r="W44" s="23">
        <v>4500</v>
      </c>
      <c r="X44" s="23"/>
      <c r="Y44" s="7">
        <v>667</v>
      </c>
      <c r="Z44" s="2"/>
      <c r="AA44" s="4">
        <f t="shared" si="1"/>
        <v>667</v>
      </c>
      <c r="AB44" s="1">
        <f t="shared" si="11"/>
        <v>2.7556102765800001</v>
      </c>
      <c r="AC44" s="1">
        <f t="shared" si="7"/>
        <v>0</v>
      </c>
      <c r="AD44" s="1">
        <f t="shared" si="4"/>
        <v>2.7556102765800001</v>
      </c>
      <c r="AE44" s="1"/>
      <c r="AF44" s="1"/>
      <c r="AG44" s="1"/>
      <c r="AH44" s="1">
        <f t="shared" si="12"/>
        <v>4.0288684516499993</v>
      </c>
      <c r="AI44" s="118">
        <f t="shared" si="13"/>
        <v>0</v>
      </c>
    </row>
    <row r="45" spans="1:35" hidden="1" x14ac:dyDescent="0.25">
      <c r="A45" s="30">
        <v>430</v>
      </c>
      <c r="B45" s="5" t="s">
        <v>1816</v>
      </c>
      <c r="C45" s="2" t="s">
        <v>284</v>
      </c>
      <c r="D45" s="2"/>
      <c r="E45" s="2">
        <v>129663</v>
      </c>
      <c r="F45" s="2">
        <v>2427712</v>
      </c>
      <c r="G45" s="2" t="s">
        <v>700</v>
      </c>
      <c r="H45" s="2" t="s">
        <v>962</v>
      </c>
      <c r="I45" s="2"/>
      <c r="J45" s="2" t="s">
        <v>963</v>
      </c>
      <c r="K45" s="2" t="s">
        <v>239</v>
      </c>
      <c r="L45" s="2"/>
      <c r="M45" s="2"/>
      <c r="N45" s="2"/>
      <c r="O45" s="2"/>
      <c r="P45" s="557" t="str">
        <f>CONCATENATE(schedule13[[#This Row],[OD]],"-",schedule13[[#This Row],[ID]],"-",schedule13[[#This Row],[TICKNESS]],"-",schedule13[[#This Row],[GRADE]],"-",schedule13[[#This Row],[FC/NFC]])</f>
        <v>19.05-0-2.3-ERW 1-PE</v>
      </c>
      <c r="Q45" s="557"/>
      <c r="R45" s="557"/>
      <c r="S45" s="1">
        <v>19.05</v>
      </c>
      <c r="T45" s="1">
        <v>19.05</v>
      </c>
      <c r="U45" s="1">
        <v>0</v>
      </c>
      <c r="V45" s="1">
        <v>2.2999999999999998</v>
      </c>
      <c r="W45" s="23">
        <v>255</v>
      </c>
      <c r="X45" s="23"/>
      <c r="Y45" s="7">
        <v>8000</v>
      </c>
      <c r="Z45" s="2"/>
      <c r="AA45" s="4">
        <f t="shared" si="1"/>
        <v>8000</v>
      </c>
      <c r="AB45" s="1">
        <f t="shared" si="11"/>
        <v>1.9375039230000002</v>
      </c>
      <c r="AC45" s="1">
        <f t="shared" si="7"/>
        <v>0</v>
      </c>
      <c r="AD45" s="1">
        <f t="shared" si="4"/>
        <v>1.9375039230000002</v>
      </c>
      <c r="AE45" s="1"/>
      <c r="AF45" s="1"/>
      <c r="AG45" s="1"/>
      <c r="AH45" s="1">
        <f t="shared" si="12"/>
        <v>2.7556102765800001</v>
      </c>
      <c r="AI45" s="118">
        <f t="shared" si="13"/>
        <v>0</v>
      </c>
    </row>
    <row r="46" spans="1:35" hidden="1" x14ac:dyDescent="0.25">
      <c r="A46" s="30">
        <v>431</v>
      </c>
      <c r="B46" s="5" t="s">
        <v>1816</v>
      </c>
      <c r="C46" s="2" t="s">
        <v>284</v>
      </c>
      <c r="D46" s="2"/>
      <c r="E46" s="2">
        <v>129663</v>
      </c>
      <c r="F46" s="2">
        <v>3164112</v>
      </c>
      <c r="G46" s="2" t="s">
        <v>569</v>
      </c>
      <c r="H46" s="2" t="s">
        <v>962</v>
      </c>
      <c r="I46" s="2"/>
      <c r="J46" s="2" t="s">
        <v>348</v>
      </c>
      <c r="K46" s="2" t="s">
        <v>239</v>
      </c>
      <c r="L46" s="2"/>
      <c r="M46" s="2"/>
      <c r="N46" s="2"/>
      <c r="O46" s="2"/>
      <c r="P46" s="557" t="str">
        <f>CONCATENATE(schedule13[[#This Row],[OD]],"-",schedule13[[#This Row],[ID]],"-",schedule13[[#This Row],[TICKNESS]],"-",schedule13[[#This Row],[GRADE]],"-",schedule13[[#This Row],[FC/NFC]])</f>
        <v>59-30-1.6-ERW 1-FIN CUT</v>
      </c>
      <c r="Q46" s="557"/>
      <c r="R46" s="557"/>
      <c r="S46" s="1">
        <v>48.6</v>
      </c>
      <c r="T46" s="1">
        <v>59</v>
      </c>
      <c r="U46" s="1">
        <v>30</v>
      </c>
      <c r="V46" s="1">
        <v>1.6</v>
      </c>
      <c r="W46" s="23">
        <v>641</v>
      </c>
      <c r="X46" s="23"/>
      <c r="Y46" s="7">
        <v>0</v>
      </c>
      <c r="Z46" s="2"/>
      <c r="AA46" s="4">
        <f t="shared" si="1"/>
        <v>0</v>
      </c>
      <c r="AB46" s="1">
        <f t="shared" si="11"/>
        <v>0</v>
      </c>
      <c r="AC46" s="1">
        <f t="shared" si="7"/>
        <v>0</v>
      </c>
      <c r="AD46" s="1">
        <f t="shared" si="4"/>
        <v>0</v>
      </c>
      <c r="AE46" s="1"/>
      <c r="AF46" s="1"/>
      <c r="AG46" s="1"/>
      <c r="AH46" s="1">
        <f t="shared" si="12"/>
        <v>1.9375039230000002</v>
      </c>
      <c r="AI46" s="118">
        <f t="shared" si="13"/>
        <v>0</v>
      </c>
    </row>
    <row r="47" spans="1:35" hidden="1" x14ac:dyDescent="0.25">
      <c r="A47" s="30">
        <v>432</v>
      </c>
      <c r="B47" s="5" t="s">
        <v>1816</v>
      </c>
      <c r="C47" s="2" t="s">
        <v>284</v>
      </c>
      <c r="D47" s="2"/>
      <c r="E47" s="2">
        <v>129663</v>
      </c>
      <c r="F47" s="2">
        <v>1939974</v>
      </c>
      <c r="G47" s="2" t="s">
        <v>1133</v>
      </c>
      <c r="H47" s="2" t="s">
        <v>962</v>
      </c>
      <c r="I47" s="2"/>
      <c r="J47" s="2" t="s">
        <v>963</v>
      </c>
      <c r="K47" s="2" t="s">
        <v>1867</v>
      </c>
      <c r="L47" s="2"/>
      <c r="M47" s="2"/>
      <c r="N47" s="2"/>
      <c r="O47" s="2"/>
      <c r="P47" s="557" t="str">
        <f>CONCATENATE(schedule13[[#This Row],[OD]],"-",schedule13[[#This Row],[ID]],"-",schedule13[[#This Row],[TICKNESS]],"-",schedule13[[#This Row],[GRADE]],"-",schedule13[[#This Row],[FC/NFC]])</f>
        <v>12.7-0-1.2-ERW 1-PE</v>
      </c>
      <c r="Q47" s="557"/>
      <c r="R47" s="557"/>
      <c r="S47" s="1">
        <v>12.7</v>
      </c>
      <c r="T47" s="1">
        <v>12.7</v>
      </c>
      <c r="U47" s="1">
        <v>0</v>
      </c>
      <c r="V47" s="1">
        <v>1.2</v>
      </c>
      <c r="W47" s="23">
        <v>772</v>
      </c>
      <c r="X47" s="23"/>
      <c r="Y47" s="7">
        <v>13500</v>
      </c>
      <c r="Z47" s="2"/>
      <c r="AA47" s="4">
        <f t="shared" si="1"/>
        <v>13500</v>
      </c>
      <c r="AB47" s="1">
        <f t="shared" si="11"/>
        <v>3.5456832108</v>
      </c>
      <c r="AC47" s="1">
        <f t="shared" si="7"/>
        <v>0</v>
      </c>
      <c r="AD47" s="1">
        <f t="shared" si="4"/>
        <v>3.5456832108</v>
      </c>
      <c r="AE47" s="1"/>
      <c r="AF47" s="1"/>
      <c r="AG47" s="1"/>
      <c r="AH47" s="1">
        <f t="shared" si="12"/>
        <v>0</v>
      </c>
      <c r="AI47" s="118" t="e">
        <f t="shared" si="13"/>
        <v>#DIV/0!</v>
      </c>
    </row>
    <row r="48" spans="1:35" hidden="1" x14ac:dyDescent="0.25">
      <c r="A48" s="30">
        <v>433</v>
      </c>
      <c r="B48" s="5" t="s">
        <v>1816</v>
      </c>
      <c r="C48" s="2" t="s">
        <v>284</v>
      </c>
      <c r="D48" s="2"/>
      <c r="E48" s="2">
        <v>129663</v>
      </c>
      <c r="F48" s="2">
        <v>1940284</v>
      </c>
      <c r="G48" s="2" t="s">
        <v>1373</v>
      </c>
      <c r="H48" s="2" t="s">
        <v>962</v>
      </c>
      <c r="I48" s="2"/>
      <c r="J48" s="2" t="s">
        <v>963</v>
      </c>
      <c r="K48" s="2" t="s">
        <v>239</v>
      </c>
      <c r="L48" s="2"/>
      <c r="M48" s="2"/>
      <c r="N48" s="2"/>
      <c r="O48" s="2"/>
      <c r="P48" s="557" t="str">
        <f>CONCATENATE(schedule13[[#This Row],[OD]],"-",schedule13[[#This Row],[ID]],"-",schedule13[[#This Row],[TICKNESS]],"-",schedule13[[#This Row],[GRADE]],"-",schedule13[[#This Row],[FC/NFC]])</f>
        <v>19.05-0-2-ERW 1-PE</v>
      </c>
      <c r="Q48" s="557"/>
      <c r="R48" s="557"/>
      <c r="S48" s="1">
        <v>19.05</v>
      </c>
      <c r="T48" s="1">
        <v>19.05</v>
      </c>
      <c r="U48" s="1">
        <v>0</v>
      </c>
      <c r="V48" s="1">
        <v>2</v>
      </c>
      <c r="W48" s="23">
        <v>785</v>
      </c>
      <c r="X48" s="23"/>
      <c r="Y48" s="7">
        <v>3000</v>
      </c>
      <c r="Z48" s="2"/>
      <c r="AA48" s="4">
        <f t="shared" si="1"/>
        <v>3000</v>
      </c>
      <c r="AB48" s="1">
        <f t="shared" si="11"/>
        <v>1.9797714915</v>
      </c>
      <c r="AC48" s="1">
        <f t="shared" si="7"/>
        <v>0</v>
      </c>
      <c r="AD48" s="1">
        <f t="shared" si="4"/>
        <v>1.9797714915</v>
      </c>
      <c r="AE48" s="1"/>
      <c r="AF48" s="1"/>
      <c r="AG48" s="1"/>
      <c r="AH48" s="1">
        <f t="shared" si="12"/>
        <v>3.5456832108</v>
      </c>
      <c r="AI48" s="118">
        <f t="shared" si="13"/>
        <v>0</v>
      </c>
    </row>
    <row r="49" spans="1:35" hidden="1" x14ac:dyDescent="0.25">
      <c r="A49" s="30">
        <v>434</v>
      </c>
      <c r="B49" s="5" t="s">
        <v>1816</v>
      </c>
      <c r="C49" s="2" t="s">
        <v>284</v>
      </c>
      <c r="D49" s="2"/>
      <c r="E49" s="2">
        <v>129663</v>
      </c>
      <c r="F49" s="2">
        <v>1937438</v>
      </c>
      <c r="G49" s="2" t="s">
        <v>1386</v>
      </c>
      <c r="H49" s="2" t="s">
        <v>962</v>
      </c>
      <c r="I49" s="2"/>
      <c r="J49" s="2" t="s">
        <v>963</v>
      </c>
      <c r="K49" s="2" t="s">
        <v>239</v>
      </c>
      <c r="L49" s="2"/>
      <c r="M49" s="2"/>
      <c r="N49" s="2"/>
      <c r="O49" s="2"/>
      <c r="P49" s="557" t="str">
        <f>CONCATENATE(schedule13[[#This Row],[OD]],"-",schedule13[[#This Row],[ID]],"-",schedule13[[#This Row],[TICKNESS]],"-",schedule13[[#This Row],[GRADE]],"-",schedule13[[#This Row],[FC/NFC]])</f>
        <v>19.05-0-2-ERW 1-PE</v>
      </c>
      <c r="Q49" s="557"/>
      <c r="R49" s="557"/>
      <c r="S49" s="1">
        <v>19.05</v>
      </c>
      <c r="T49" s="1">
        <v>19.05</v>
      </c>
      <c r="U49" s="1">
        <v>0</v>
      </c>
      <c r="V49" s="1">
        <v>2</v>
      </c>
      <c r="W49" s="23">
        <v>830</v>
      </c>
      <c r="X49" s="23"/>
      <c r="Y49" s="7">
        <v>3000</v>
      </c>
      <c r="Z49" s="2"/>
      <c r="AA49" s="4">
        <f t="shared" si="1"/>
        <v>3000</v>
      </c>
      <c r="AB49" s="1">
        <f t="shared" si="11"/>
        <v>2.0932615770000003</v>
      </c>
      <c r="AC49" s="1">
        <f t="shared" si="7"/>
        <v>0</v>
      </c>
      <c r="AD49" s="1">
        <f t="shared" si="4"/>
        <v>2.0932615770000003</v>
      </c>
      <c r="AE49" s="1"/>
      <c r="AF49" s="1"/>
      <c r="AG49" s="1"/>
      <c r="AH49" s="1">
        <f t="shared" si="12"/>
        <v>1.9797714915</v>
      </c>
      <c r="AI49" s="118">
        <f t="shared" si="13"/>
        <v>0</v>
      </c>
    </row>
    <row r="50" spans="1:35" hidden="1" x14ac:dyDescent="0.25">
      <c r="A50" s="30">
        <v>435</v>
      </c>
      <c r="B50" s="5" t="s">
        <v>1816</v>
      </c>
      <c r="C50" s="2" t="s">
        <v>284</v>
      </c>
      <c r="D50" s="2"/>
      <c r="E50" s="2">
        <v>129663</v>
      </c>
      <c r="F50" s="2">
        <v>3172238</v>
      </c>
      <c r="G50" s="2" t="s">
        <v>438</v>
      </c>
      <c r="H50" s="2" t="s">
        <v>962</v>
      </c>
      <c r="I50" s="2"/>
      <c r="J50" s="2" t="s">
        <v>963</v>
      </c>
      <c r="K50" s="2" t="s">
        <v>1867</v>
      </c>
      <c r="L50" s="44" t="s">
        <v>1868</v>
      </c>
      <c r="M50" s="2"/>
      <c r="N50" s="2"/>
      <c r="O50" s="2"/>
      <c r="P50" s="557" t="str">
        <f>CONCATENATE(schedule13[[#This Row],[OD]],"-",schedule13[[#This Row],[ID]],"-",schedule13[[#This Row],[TICKNESS]],"-",schedule13[[#This Row],[GRADE]],"-",schedule13[[#This Row],[FC/NFC]])</f>
        <v>12.7-0-1.6-ERW 1-PE</v>
      </c>
      <c r="Q50" s="557"/>
      <c r="R50" s="557"/>
      <c r="S50" s="1">
        <v>12.7</v>
      </c>
      <c r="T50" s="1">
        <v>12.7</v>
      </c>
      <c r="U50" s="1">
        <v>0</v>
      </c>
      <c r="V50" s="1">
        <v>1.6</v>
      </c>
      <c r="W50" s="23">
        <v>950</v>
      </c>
      <c r="X50" s="23"/>
      <c r="Y50" s="7">
        <v>12500</v>
      </c>
      <c r="Z50" s="2"/>
      <c r="AA50" s="4">
        <f t="shared" si="1"/>
        <v>12500</v>
      </c>
      <c r="AB50" s="1">
        <f t="shared" si="11"/>
        <v>5.1993176999999999</v>
      </c>
      <c r="AC50" s="1">
        <f t="shared" si="7"/>
        <v>0</v>
      </c>
      <c r="AD50" s="1">
        <f t="shared" si="4"/>
        <v>5.1993176999999999</v>
      </c>
      <c r="AE50" s="1"/>
      <c r="AF50" s="1">
        <v>0.191</v>
      </c>
      <c r="AG50" s="1"/>
      <c r="AH50" s="1">
        <f t="shared" si="12"/>
        <v>1.9022615770000002</v>
      </c>
      <c r="AI50" s="118">
        <f t="shared" si="13"/>
        <v>9.1245165964272595E-2</v>
      </c>
    </row>
    <row r="51" spans="1:35" hidden="1" x14ac:dyDescent="0.25">
      <c r="A51" s="30">
        <v>436</v>
      </c>
      <c r="B51" s="5" t="s">
        <v>1816</v>
      </c>
      <c r="C51" s="2" t="s">
        <v>284</v>
      </c>
      <c r="D51" s="2"/>
      <c r="E51" s="2">
        <v>129663</v>
      </c>
      <c r="F51" s="2">
        <v>1940014</v>
      </c>
      <c r="G51" s="2" t="s">
        <v>448</v>
      </c>
      <c r="H51" s="2" t="s">
        <v>962</v>
      </c>
      <c r="I51" s="2"/>
      <c r="J51" s="2"/>
      <c r="K51" s="2" t="s">
        <v>239</v>
      </c>
      <c r="L51" s="2"/>
      <c r="M51" s="2"/>
      <c r="N51" s="2"/>
      <c r="O51" s="2"/>
      <c r="P51" s="557" t="str">
        <f>CONCATENATE(schedule13[[#This Row],[OD]],"-",schedule13[[#This Row],[ID]],"-",schedule13[[#This Row],[TICKNESS]],"-",schedule13[[#This Row],[GRADE]],"-",schedule13[[#This Row],[FC/NFC]])</f>
        <v>12.7-0-1.6-ERW 1-</v>
      </c>
      <c r="Q51" s="557"/>
      <c r="R51" s="557"/>
      <c r="S51" s="1">
        <v>12.7</v>
      </c>
      <c r="T51" s="1">
        <v>12.7</v>
      </c>
      <c r="U51" s="1">
        <v>0</v>
      </c>
      <c r="V51" s="1">
        <v>1.6</v>
      </c>
      <c r="W51" s="23">
        <v>6000</v>
      </c>
      <c r="X51" s="23"/>
      <c r="Y51" s="2">
        <v>0</v>
      </c>
      <c r="Z51" s="2"/>
      <c r="AA51" s="4">
        <f t="shared" si="1"/>
        <v>0</v>
      </c>
      <c r="AB51" s="1">
        <f t="shared" si="11"/>
        <v>0</v>
      </c>
      <c r="AC51" s="1">
        <f t="shared" si="7"/>
        <v>0</v>
      </c>
      <c r="AD51" s="1">
        <f t="shared" si="4"/>
        <v>0</v>
      </c>
      <c r="AE51" s="1"/>
      <c r="AF51" s="1">
        <v>1.5841270000000001</v>
      </c>
      <c r="AG51" s="1"/>
      <c r="AH51" s="1">
        <f t="shared" si="12"/>
        <v>3.6151906999999999</v>
      </c>
      <c r="AI51" s="118">
        <f t="shared" si="13"/>
        <v>0.30467978519566136</v>
      </c>
    </row>
    <row r="52" spans="1:35" hidden="1" x14ac:dyDescent="0.25">
      <c r="A52" s="30">
        <v>437</v>
      </c>
      <c r="B52" s="5" t="s">
        <v>1816</v>
      </c>
      <c r="C52" s="2" t="s">
        <v>284</v>
      </c>
      <c r="D52" s="2"/>
      <c r="E52" s="2">
        <v>129663</v>
      </c>
      <c r="F52" s="2">
        <v>1900224</v>
      </c>
      <c r="G52" s="2" t="s">
        <v>1880</v>
      </c>
      <c r="H52" s="2" t="s">
        <v>962</v>
      </c>
      <c r="I52" s="2"/>
      <c r="J52" s="2" t="s">
        <v>963</v>
      </c>
      <c r="K52" s="2" t="s">
        <v>1867</v>
      </c>
      <c r="L52" s="44" t="s">
        <v>1868</v>
      </c>
      <c r="M52" s="2"/>
      <c r="N52" s="2"/>
      <c r="O52" s="2"/>
      <c r="P52" s="557" t="str">
        <f>CONCATENATE(schedule13[[#This Row],[OD]],"-",schedule13[[#This Row],[ID]],"-",schedule13[[#This Row],[TICKNESS]],"-",schedule13[[#This Row],[GRADE]],"-",schedule13[[#This Row],[FC/NFC]])</f>
        <v>15.88-0-1.6-ERW 1-PE</v>
      </c>
      <c r="Q52" s="557"/>
      <c r="R52" s="557"/>
      <c r="S52" s="1">
        <v>15.88</v>
      </c>
      <c r="T52" s="1">
        <v>15.88</v>
      </c>
      <c r="U52" s="1">
        <v>0</v>
      </c>
      <c r="V52" s="1">
        <v>1.6</v>
      </c>
      <c r="W52" s="23">
        <v>6000</v>
      </c>
      <c r="X52" s="23"/>
      <c r="Y52" s="7">
        <v>1000</v>
      </c>
      <c r="Z52" s="2"/>
      <c r="AA52" s="4">
        <f t="shared" si="1"/>
        <v>1000</v>
      </c>
      <c r="AB52" s="1">
        <f t="shared" si="11"/>
        <v>3.3796304640000008</v>
      </c>
      <c r="AC52" s="1">
        <f t="shared" si="7"/>
        <v>0</v>
      </c>
      <c r="AD52" s="1">
        <f t="shared" si="4"/>
        <v>3.3796304640000008</v>
      </c>
      <c r="AE52" s="1"/>
      <c r="AF52" s="1">
        <v>2.7290489999999998</v>
      </c>
      <c r="AG52" s="1"/>
      <c r="AH52" s="1">
        <f t="shared" si="12"/>
        <v>-2.7290489999999998</v>
      </c>
      <c r="AI52" s="118" t="e">
        <f t="shared" si="13"/>
        <v>#DIV/0!</v>
      </c>
    </row>
    <row r="53" spans="1:35" hidden="1" x14ac:dyDescent="0.25">
      <c r="A53" s="30">
        <v>438</v>
      </c>
      <c r="B53" s="5" t="s">
        <v>1872</v>
      </c>
      <c r="C53" s="2" t="s">
        <v>284</v>
      </c>
      <c r="D53" s="2"/>
      <c r="E53" s="2">
        <v>129663</v>
      </c>
      <c r="F53" s="2">
        <v>2410960</v>
      </c>
      <c r="G53" s="2" t="s">
        <v>847</v>
      </c>
      <c r="H53" s="2" t="s">
        <v>357</v>
      </c>
      <c r="I53" s="2"/>
      <c r="J53" s="2" t="s">
        <v>357</v>
      </c>
      <c r="K53" s="2" t="s">
        <v>239</v>
      </c>
      <c r="L53" s="2"/>
      <c r="M53" s="2"/>
      <c r="N53" s="2"/>
      <c r="O53" s="2"/>
      <c r="P53" s="557" t="str">
        <f>CONCATENATE(schedule13[[#This Row],[OD]],"-",schedule13[[#This Row],[ID]],"-",schedule13[[#This Row],[TICKNESS]],"-",schedule13[[#This Row],[GRADE]],"-",schedule13[[#This Row],[FC/NFC]])</f>
        <v>31.75-25-3.37-CEW-CEW</v>
      </c>
      <c r="Q53" s="557"/>
      <c r="R53" s="557"/>
      <c r="S53" s="1">
        <v>31.75</v>
      </c>
      <c r="T53" s="1">
        <v>31.75</v>
      </c>
      <c r="U53" s="1">
        <v>25</v>
      </c>
      <c r="V53" s="1">
        <v>3.37</v>
      </c>
      <c r="W53" s="23">
        <v>4500</v>
      </c>
      <c r="X53" s="23"/>
      <c r="Y53" s="7">
        <v>445</v>
      </c>
      <c r="Z53" s="2"/>
      <c r="AA53" s="4">
        <f t="shared" si="1"/>
        <v>445</v>
      </c>
      <c r="AB53" s="1">
        <f t="shared" si="11"/>
        <v>4.7215499928795008</v>
      </c>
      <c r="AC53" s="1">
        <f t="shared" si="7"/>
        <v>0</v>
      </c>
      <c r="AD53" s="1">
        <f t="shared" si="4"/>
        <v>4.7215499928795008</v>
      </c>
      <c r="AE53" s="1"/>
      <c r="AF53" s="1">
        <v>3.3541389999999995</v>
      </c>
      <c r="AG53" s="1"/>
      <c r="AH53" s="1">
        <f t="shared" si="12"/>
        <v>2.549146400000124E-2</v>
      </c>
      <c r="AI53" s="118">
        <f t="shared" si="13"/>
        <v>0.99245732210324833</v>
      </c>
    </row>
    <row r="54" spans="1:35" hidden="1" x14ac:dyDescent="0.25">
      <c r="A54" s="30">
        <v>439</v>
      </c>
      <c r="B54" s="5" t="s">
        <v>1816</v>
      </c>
      <c r="C54" s="2" t="s">
        <v>284</v>
      </c>
      <c r="D54" s="2"/>
      <c r="E54" s="2">
        <v>129663</v>
      </c>
      <c r="F54" s="2">
        <v>1940363</v>
      </c>
      <c r="G54" s="2" t="s">
        <v>1500</v>
      </c>
      <c r="H54" s="2" t="s">
        <v>962</v>
      </c>
      <c r="I54" s="2"/>
      <c r="J54" s="2" t="s">
        <v>963</v>
      </c>
      <c r="K54" s="2" t="s">
        <v>1867</v>
      </c>
      <c r="L54" s="2"/>
      <c r="M54" s="2"/>
      <c r="N54" s="2"/>
      <c r="O54" s="2"/>
      <c r="P54" s="557" t="str">
        <f>CONCATENATE(schedule13[[#This Row],[OD]],"-",schedule13[[#This Row],[ID]],"-",schedule13[[#This Row],[TICKNESS]],"-",schedule13[[#This Row],[GRADE]],"-",schedule13[[#This Row],[FC/NFC]])</f>
        <v>22.23-0-1.2-ERW 1-PE</v>
      </c>
      <c r="Q54" s="557"/>
      <c r="R54" s="557"/>
      <c r="S54" s="1">
        <v>22.23</v>
      </c>
      <c r="T54" s="1">
        <v>22.23</v>
      </c>
      <c r="U54" s="1">
        <v>0</v>
      </c>
      <c r="V54" s="1">
        <v>1.2</v>
      </c>
      <c r="W54" s="22">
        <v>1162</v>
      </c>
      <c r="X54" s="22"/>
      <c r="Y54" s="7">
        <v>6000</v>
      </c>
      <c r="Z54" s="2"/>
      <c r="AA54" s="4">
        <f t="shared" si="1"/>
        <v>6000</v>
      </c>
      <c r="AB54" s="1">
        <f t="shared" si="11"/>
        <v>4.3375817489759996</v>
      </c>
      <c r="AC54" s="1">
        <f t="shared" si="7"/>
        <v>0</v>
      </c>
      <c r="AD54" s="1">
        <f t="shared" si="4"/>
        <v>4.3375817489759996</v>
      </c>
      <c r="AE54" s="1"/>
      <c r="AF54" s="1">
        <v>4.8039179999999995</v>
      </c>
      <c r="AG54" s="1"/>
      <c r="AH54" s="1">
        <f t="shared" si="12"/>
        <v>-8.2368007120498632E-2</v>
      </c>
      <c r="AI54" s="118">
        <f t="shared" si="13"/>
        <v>1.0174451201924615</v>
      </c>
    </row>
    <row r="55" spans="1:35" hidden="1" x14ac:dyDescent="0.25">
      <c r="A55" s="30">
        <v>440</v>
      </c>
      <c r="B55" s="5" t="s">
        <v>1872</v>
      </c>
      <c r="C55" s="2" t="s">
        <v>284</v>
      </c>
      <c r="D55" s="2"/>
      <c r="E55" s="2">
        <v>129663</v>
      </c>
      <c r="F55" s="2">
        <v>1938119</v>
      </c>
      <c r="G55" s="2" t="s">
        <v>1235</v>
      </c>
      <c r="H55" s="2" t="s">
        <v>962</v>
      </c>
      <c r="I55" s="2"/>
      <c r="J55" s="2" t="s">
        <v>963</v>
      </c>
      <c r="K55" s="2" t="s">
        <v>1867</v>
      </c>
      <c r="L55" s="2" t="s">
        <v>1883</v>
      </c>
      <c r="M55" s="2"/>
      <c r="N55" s="2"/>
      <c r="O55" s="2"/>
      <c r="P55" s="557" t="str">
        <f>CONCATENATE(schedule13[[#This Row],[OD]],"-",schedule13[[#This Row],[ID]],"-",schedule13[[#This Row],[TICKNESS]],"-",schedule13[[#This Row],[GRADE]],"-",schedule13[[#This Row],[FC/NFC]])</f>
        <v>17.3-0-1.6-ERW 1-PE</v>
      </c>
      <c r="Q55" s="557"/>
      <c r="R55" s="557"/>
      <c r="S55" s="6">
        <v>17.3</v>
      </c>
      <c r="T55" s="6">
        <v>17.3</v>
      </c>
      <c r="U55" s="1">
        <v>0</v>
      </c>
      <c r="V55" s="1">
        <v>1.6</v>
      </c>
      <c r="W55" s="26">
        <v>400</v>
      </c>
      <c r="X55" s="26"/>
      <c r="Y55" s="7">
        <v>12500</v>
      </c>
      <c r="Z55" s="2"/>
      <c r="AA55" s="4">
        <f t="shared" si="1"/>
        <v>12500</v>
      </c>
      <c r="AB55" s="1">
        <f t="shared" si="11"/>
        <v>3.0964168000000005</v>
      </c>
      <c r="AC55" s="1">
        <f t="shared" si="7"/>
        <v>0</v>
      </c>
      <c r="AD55" s="1">
        <f t="shared" si="4"/>
        <v>3.0964168000000005</v>
      </c>
      <c r="AE55" s="1"/>
      <c r="AF55" s="1"/>
      <c r="AG55" s="1"/>
      <c r="AH55" s="1">
        <f t="shared" si="12"/>
        <v>4.3375817489759996</v>
      </c>
      <c r="AI55" s="118">
        <f t="shared" si="13"/>
        <v>0</v>
      </c>
    </row>
    <row r="56" spans="1:35" hidden="1" x14ac:dyDescent="0.25">
      <c r="A56" s="30">
        <v>441</v>
      </c>
      <c r="B56" s="5" t="s">
        <v>1872</v>
      </c>
      <c r="C56" s="2" t="s">
        <v>284</v>
      </c>
      <c r="D56" s="2"/>
      <c r="E56" s="2">
        <v>129663</v>
      </c>
      <c r="F56" s="2">
        <v>1938118</v>
      </c>
      <c r="G56" s="2" t="s">
        <v>1233</v>
      </c>
      <c r="H56" s="2" t="s">
        <v>962</v>
      </c>
      <c r="I56" s="2"/>
      <c r="J56" s="2" t="s">
        <v>963</v>
      </c>
      <c r="K56" s="2" t="s">
        <v>1867</v>
      </c>
      <c r="L56" s="2" t="s">
        <v>1883</v>
      </c>
      <c r="M56" s="2"/>
      <c r="N56" s="2"/>
      <c r="O56" s="2"/>
      <c r="P56" s="557" t="str">
        <f>CONCATENATE(schedule13[[#This Row],[OD]],"-",schedule13[[#This Row],[ID]],"-",schedule13[[#This Row],[TICKNESS]],"-",schedule13[[#This Row],[GRADE]],"-",schedule13[[#This Row],[FC/NFC]])</f>
        <v>17.3-0-1.6-ERW 1-PE</v>
      </c>
      <c r="Q56" s="557"/>
      <c r="R56" s="557"/>
      <c r="S56" s="6">
        <v>17.3</v>
      </c>
      <c r="T56" s="6">
        <v>17.3</v>
      </c>
      <c r="U56" s="1">
        <v>0</v>
      </c>
      <c r="V56" s="1">
        <v>1.6</v>
      </c>
      <c r="W56" s="26">
        <v>355</v>
      </c>
      <c r="X56" s="26"/>
      <c r="Y56" s="7">
        <v>20000</v>
      </c>
      <c r="Z56" s="2"/>
      <c r="AA56" s="4">
        <f t="shared" si="1"/>
        <v>20000</v>
      </c>
      <c r="AB56" s="1">
        <f t="shared" si="11"/>
        <v>4.3969118560000018</v>
      </c>
      <c r="AC56" s="1">
        <f t="shared" si="7"/>
        <v>0</v>
      </c>
      <c r="AD56" s="1">
        <f t="shared" si="4"/>
        <v>4.3969118560000018</v>
      </c>
      <c r="AE56" s="1"/>
      <c r="AF56" s="1">
        <v>0.4</v>
      </c>
      <c r="AG56" s="1"/>
      <c r="AH56" s="1">
        <f t="shared" si="12"/>
        <v>2.6964168000000006</v>
      </c>
      <c r="AI56" s="118">
        <f t="shared" si="13"/>
        <v>0.12918157529696905</v>
      </c>
    </row>
    <row r="57" spans="1:35" hidden="1" x14ac:dyDescent="0.25">
      <c r="A57" s="30">
        <v>442</v>
      </c>
      <c r="B57" s="5" t="s">
        <v>1872</v>
      </c>
      <c r="C57" s="2" t="s">
        <v>284</v>
      </c>
      <c r="D57" s="2"/>
      <c r="E57" s="2">
        <v>129663</v>
      </c>
      <c r="F57" s="2">
        <v>1938382</v>
      </c>
      <c r="G57" s="2" t="s">
        <v>4519</v>
      </c>
      <c r="H57" s="2" t="s">
        <v>962</v>
      </c>
      <c r="I57" s="2"/>
      <c r="J57" s="2" t="s">
        <v>963</v>
      </c>
      <c r="K57" s="2" t="s">
        <v>239</v>
      </c>
      <c r="L57" s="2"/>
      <c r="M57" s="2"/>
      <c r="N57" s="2"/>
      <c r="O57" s="2"/>
      <c r="P57" s="557" t="str">
        <f>CONCATENATE(schedule13[[#This Row],[OD]],"-",schedule13[[#This Row],[ID]],"-",schedule13[[#This Row],[TICKNESS]],"-",schedule13[[#This Row],[GRADE]],"-",schedule13[[#This Row],[FC/NFC]])</f>
        <v>17.3-0-1.6-ERW 1-PE</v>
      </c>
      <c r="Q57" s="557"/>
      <c r="R57" s="557"/>
      <c r="S57" s="6">
        <v>17.3</v>
      </c>
      <c r="T57" s="6">
        <v>17.3</v>
      </c>
      <c r="U57" s="1">
        <v>0</v>
      </c>
      <c r="V57" s="1">
        <v>1.6</v>
      </c>
      <c r="W57" s="26">
        <v>385</v>
      </c>
      <c r="X57" s="26"/>
      <c r="Y57" s="2">
        <v>5000</v>
      </c>
      <c r="Z57" s="2"/>
      <c r="AA57" s="4">
        <f t="shared" si="1"/>
        <v>5000</v>
      </c>
      <c r="AB57" s="1">
        <f t="shared" si="11"/>
        <v>1.1921204680000004</v>
      </c>
      <c r="AC57" s="1">
        <f t="shared" si="7"/>
        <v>0</v>
      </c>
      <c r="AD57" s="1">
        <f t="shared" si="4"/>
        <v>1.1921204680000004</v>
      </c>
      <c r="AE57" s="1"/>
      <c r="AF57" s="1">
        <v>0.127</v>
      </c>
      <c r="AG57" s="1"/>
      <c r="AH57" s="1">
        <f t="shared" si="12"/>
        <v>4.269911856000002</v>
      </c>
      <c r="AI57" s="118">
        <f t="shared" si="13"/>
        <v>2.8883908561118072E-2</v>
      </c>
    </row>
    <row r="58" spans="1:35" hidden="1" x14ac:dyDescent="0.25">
      <c r="A58" s="30">
        <v>443</v>
      </c>
      <c r="B58" s="5" t="s">
        <v>1872</v>
      </c>
      <c r="C58" s="2" t="s">
        <v>284</v>
      </c>
      <c r="D58" s="2"/>
      <c r="E58" s="2">
        <v>129663</v>
      </c>
      <c r="F58" s="2">
        <v>403039</v>
      </c>
      <c r="G58" s="2" t="s">
        <v>1635</v>
      </c>
      <c r="H58" s="2"/>
      <c r="I58" s="2"/>
      <c r="J58" s="2"/>
      <c r="K58" s="2" t="s">
        <v>239</v>
      </c>
      <c r="L58" s="2"/>
      <c r="M58" s="2"/>
      <c r="N58" s="2"/>
      <c r="O58" s="2"/>
      <c r="P58" s="557" t="str">
        <f>CONCATENATE(schedule13[[#This Row],[OD]],"-",schedule13[[#This Row],[ID]],"-",schedule13[[#This Row],[TICKNESS]],"-",schedule13[[#This Row],[GRADE]],"-",schedule13[[#This Row],[FC/NFC]])</f>
        <v>37.6-31.2-3.2--</v>
      </c>
      <c r="Q58" s="557"/>
      <c r="R58" s="557"/>
      <c r="S58" s="6">
        <v>31.2</v>
      </c>
      <c r="T58" s="6">
        <v>37.6</v>
      </c>
      <c r="U58" s="1">
        <v>31.2</v>
      </c>
      <c r="V58" s="1">
        <v>3.2</v>
      </c>
      <c r="W58" s="22">
        <v>295</v>
      </c>
      <c r="X58" s="22"/>
      <c r="Y58" s="2">
        <v>0</v>
      </c>
      <c r="Z58" s="2"/>
      <c r="AA58" s="4">
        <f t="shared" si="1"/>
        <v>0</v>
      </c>
      <c r="AB58" s="1">
        <f t="shared" si="11"/>
        <v>0</v>
      </c>
      <c r="AC58" s="1">
        <f t="shared" si="7"/>
        <v>0</v>
      </c>
      <c r="AD58" s="1">
        <f t="shared" si="4"/>
        <v>0</v>
      </c>
      <c r="AE58" s="1"/>
      <c r="AF58" s="1">
        <v>5.9200000000000003E-2</v>
      </c>
      <c r="AG58" s="1"/>
      <c r="AH58" s="1">
        <f t="shared" si="12"/>
        <v>1.1329204680000005</v>
      </c>
      <c r="AI58" s="118">
        <f t="shared" si="13"/>
        <v>4.9659410763510173E-2</v>
      </c>
    </row>
    <row r="59" spans="1:35" hidden="1" x14ac:dyDescent="0.25">
      <c r="A59" s="30">
        <v>444</v>
      </c>
      <c r="B59" s="5" t="s">
        <v>1872</v>
      </c>
      <c r="C59" s="2" t="s">
        <v>284</v>
      </c>
      <c r="D59" s="2"/>
      <c r="E59" s="2">
        <v>129663</v>
      </c>
      <c r="F59" s="2">
        <v>1155164</v>
      </c>
      <c r="G59" s="2" t="s">
        <v>1630</v>
      </c>
      <c r="H59" s="2" t="s">
        <v>962</v>
      </c>
      <c r="I59" s="2"/>
      <c r="J59" s="2" t="s">
        <v>1003</v>
      </c>
      <c r="K59" s="2" t="s">
        <v>239</v>
      </c>
      <c r="L59" s="2"/>
      <c r="M59" s="2"/>
      <c r="N59" s="2"/>
      <c r="O59" s="2"/>
      <c r="P59" s="557" t="str">
        <f>CONCATENATE(schedule13[[#This Row],[OD]],"-",schedule13[[#This Row],[ID]],"-",schedule13[[#This Row],[TICKNESS]],"-",schedule13[[#This Row],[GRADE]],"-",schedule13[[#This Row],[FC/NFC]])</f>
        <v>34.93-0-2.5-ERW 1-FC</v>
      </c>
      <c r="Q59" s="557"/>
      <c r="R59" s="557"/>
      <c r="S59" s="6">
        <v>34.93</v>
      </c>
      <c r="T59" s="6">
        <v>34.93</v>
      </c>
      <c r="U59" s="1">
        <v>0</v>
      </c>
      <c r="V59" s="1">
        <v>2.5</v>
      </c>
      <c r="W59" s="22">
        <v>1723</v>
      </c>
      <c r="X59" s="22"/>
      <c r="Y59" s="2">
        <v>0</v>
      </c>
      <c r="Z59" s="2"/>
      <c r="AA59" s="4">
        <f t="shared" si="1"/>
        <v>0</v>
      </c>
      <c r="AB59" s="1">
        <f t="shared" si="11"/>
        <v>0</v>
      </c>
      <c r="AC59" s="1">
        <f t="shared" si="7"/>
        <v>0</v>
      </c>
      <c r="AD59" s="1">
        <f t="shared" si="4"/>
        <v>0</v>
      </c>
      <c r="AE59" s="1"/>
      <c r="AF59" s="1">
        <v>0.47906199999999999</v>
      </c>
      <c r="AG59" s="1"/>
      <c r="AH59" s="1">
        <f t="shared" si="12"/>
        <v>-0.47906199999999999</v>
      </c>
      <c r="AI59" s="118" t="e">
        <f t="shared" si="13"/>
        <v>#DIV/0!</v>
      </c>
    </row>
    <row r="60" spans="1:35" hidden="1" x14ac:dyDescent="0.25">
      <c r="A60" s="30">
        <v>445</v>
      </c>
      <c r="B60" s="5" t="s">
        <v>1816</v>
      </c>
      <c r="C60" s="2" t="s">
        <v>284</v>
      </c>
      <c r="D60" s="2"/>
      <c r="E60" s="2">
        <v>129663</v>
      </c>
      <c r="F60" s="2">
        <v>1155165</v>
      </c>
      <c r="G60" s="2" t="s">
        <v>1627</v>
      </c>
      <c r="H60" s="2" t="s">
        <v>962</v>
      </c>
      <c r="I60" s="2"/>
      <c r="J60" s="2" t="s">
        <v>1003</v>
      </c>
      <c r="K60" s="2" t="s">
        <v>239</v>
      </c>
      <c r="L60" s="2"/>
      <c r="M60" s="2"/>
      <c r="N60" s="2"/>
      <c r="O60" s="2"/>
      <c r="P60" s="557" t="str">
        <f>CONCATENATE(schedule13[[#This Row],[OD]],"-",schedule13[[#This Row],[ID]],"-",schedule13[[#This Row],[TICKNESS]],"-",schedule13[[#This Row],[GRADE]],"-",schedule13[[#This Row],[FC/NFC]])</f>
        <v>34.93-0-1.6-ERW 1-FC</v>
      </c>
      <c r="Q60" s="557"/>
      <c r="R60" s="557"/>
      <c r="S60" s="6">
        <v>34.93</v>
      </c>
      <c r="T60" s="6">
        <v>34.93</v>
      </c>
      <c r="U60" s="1">
        <v>0</v>
      </c>
      <c r="V60" s="1">
        <v>1.6</v>
      </c>
      <c r="W60" s="22">
        <v>1726</v>
      </c>
      <c r="X60" s="22"/>
      <c r="Y60" s="2">
        <v>0</v>
      </c>
      <c r="Z60" s="2"/>
      <c r="AA60" s="4">
        <f t="shared" si="1"/>
        <v>0</v>
      </c>
      <c r="AB60" s="1">
        <f t="shared" si="11"/>
        <v>0</v>
      </c>
      <c r="AC60" s="1">
        <f t="shared" si="7"/>
        <v>0</v>
      </c>
      <c r="AD60" s="1">
        <f t="shared" si="4"/>
        <v>0</v>
      </c>
      <c r="AE60" s="1"/>
      <c r="AF60" s="1">
        <v>2.062484</v>
      </c>
      <c r="AG60" s="1"/>
      <c r="AH60" s="1">
        <f t="shared" si="12"/>
        <v>-2.062484</v>
      </c>
      <c r="AI60" s="118" t="e">
        <f t="shared" si="13"/>
        <v>#DIV/0!</v>
      </c>
    </row>
    <row r="61" spans="1:35" hidden="1" x14ac:dyDescent="0.25">
      <c r="A61" s="30">
        <v>446</v>
      </c>
      <c r="B61" s="5" t="s">
        <v>1816</v>
      </c>
      <c r="C61" s="2" t="s">
        <v>284</v>
      </c>
      <c r="D61" s="2"/>
      <c r="E61" s="2">
        <v>129663</v>
      </c>
      <c r="F61" s="2">
        <v>1482265</v>
      </c>
      <c r="G61" s="2" t="s">
        <v>1906</v>
      </c>
      <c r="H61" s="2"/>
      <c r="I61" s="2"/>
      <c r="J61" s="2"/>
      <c r="K61" s="2" t="s">
        <v>239</v>
      </c>
      <c r="L61" s="2"/>
      <c r="M61" s="2"/>
      <c r="N61" s="2"/>
      <c r="O61" s="2"/>
      <c r="P61" s="557" t="str">
        <f>CONCATENATE(schedule13[[#This Row],[OD]],"-",schedule13[[#This Row],[ID]],"-",schedule13[[#This Row],[TICKNESS]],"-",schedule13[[#This Row],[GRADE]],"-",schedule13[[#This Row],[FC/NFC]])</f>
        <v>25.4-0-2--</v>
      </c>
      <c r="Q61" s="557"/>
      <c r="R61" s="557"/>
      <c r="S61" s="6">
        <v>25.4</v>
      </c>
      <c r="T61" s="6">
        <v>25.4</v>
      </c>
      <c r="U61" s="1">
        <v>0</v>
      </c>
      <c r="V61" s="1">
        <v>2</v>
      </c>
      <c r="W61" s="22">
        <v>478</v>
      </c>
      <c r="X61" s="22"/>
      <c r="Y61" s="2">
        <v>0</v>
      </c>
      <c r="Z61" s="2"/>
      <c r="AA61" s="4">
        <f t="shared" si="1"/>
        <v>0</v>
      </c>
      <c r="AB61" s="1">
        <f t="shared" si="11"/>
        <v>0</v>
      </c>
      <c r="AC61" s="1">
        <f t="shared" si="7"/>
        <v>0</v>
      </c>
      <c r="AD61" s="1">
        <f t="shared" si="4"/>
        <v>0</v>
      </c>
      <c r="AE61" s="1"/>
      <c r="AF61" s="1">
        <v>0.33487100000000003</v>
      </c>
      <c r="AG61" s="1"/>
      <c r="AH61" s="1">
        <f t="shared" si="12"/>
        <v>-0.33487100000000003</v>
      </c>
      <c r="AI61" s="118" t="e">
        <f t="shared" si="13"/>
        <v>#DIV/0!</v>
      </c>
    </row>
    <row r="62" spans="1:35" hidden="1" x14ac:dyDescent="0.25">
      <c r="A62" s="30">
        <v>447</v>
      </c>
      <c r="B62" s="5" t="s">
        <v>1816</v>
      </c>
      <c r="C62" s="2" t="s">
        <v>284</v>
      </c>
      <c r="D62" s="2"/>
      <c r="E62" s="2">
        <v>129663</v>
      </c>
      <c r="F62" s="2">
        <v>1531612</v>
      </c>
      <c r="G62" s="2" t="s">
        <v>1902</v>
      </c>
      <c r="H62" s="2"/>
      <c r="I62" s="2"/>
      <c r="J62" s="2"/>
      <c r="K62" s="2" t="s">
        <v>239</v>
      </c>
      <c r="L62" s="2"/>
      <c r="M62" s="2"/>
      <c r="N62" s="2"/>
      <c r="O62" s="2"/>
      <c r="P62" s="557" t="str">
        <f>CONCATENATE(schedule13[[#This Row],[OD]],"-",schedule13[[#This Row],[ID]],"-",schedule13[[#This Row],[TICKNESS]],"-",schedule13[[#This Row],[GRADE]],"-",schedule13[[#This Row],[FC/NFC]])</f>
        <v>19.05-0-1.6--</v>
      </c>
      <c r="Q62" s="557"/>
      <c r="R62" s="557"/>
      <c r="S62" s="6">
        <v>19.05</v>
      </c>
      <c r="T62" s="6">
        <v>19.05</v>
      </c>
      <c r="U62" s="1">
        <v>0</v>
      </c>
      <c r="V62" s="1">
        <v>1.6</v>
      </c>
      <c r="W62" s="22">
        <v>380</v>
      </c>
      <c r="X62" s="22"/>
      <c r="Y62" s="2">
        <v>0</v>
      </c>
      <c r="Z62" s="2"/>
      <c r="AA62" s="4">
        <f t="shared" si="1"/>
        <v>0</v>
      </c>
      <c r="AB62" s="1">
        <f t="shared" si="11"/>
        <v>0</v>
      </c>
      <c r="AC62" s="1">
        <f t="shared" si="7"/>
        <v>0</v>
      </c>
      <c r="AD62" s="1">
        <f t="shared" si="4"/>
        <v>0</v>
      </c>
      <c r="AE62" s="1"/>
      <c r="AF62" s="1"/>
      <c r="AG62" s="1"/>
      <c r="AH62" s="1">
        <f t="shared" si="12"/>
        <v>0</v>
      </c>
      <c r="AI62" s="118" t="e">
        <f t="shared" si="13"/>
        <v>#DIV/0!</v>
      </c>
    </row>
    <row r="63" spans="1:35" hidden="1" x14ac:dyDescent="0.25">
      <c r="A63" s="30">
        <v>448</v>
      </c>
      <c r="B63" s="5" t="s">
        <v>1816</v>
      </c>
      <c r="C63" s="2" t="s">
        <v>284</v>
      </c>
      <c r="D63" s="2"/>
      <c r="E63" s="2">
        <v>129663</v>
      </c>
      <c r="F63" s="2">
        <v>3510169</v>
      </c>
      <c r="G63" s="2" t="s">
        <v>1899</v>
      </c>
      <c r="H63" s="2"/>
      <c r="I63" s="2"/>
      <c r="J63" s="2"/>
      <c r="K63" s="2" t="s">
        <v>239</v>
      </c>
      <c r="L63" s="2"/>
      <c r="M63" s="2"/>
      <c r="N63" s="2"/>
      <c r="O63" s="2"/>
      <c r="P63" s="557" t="str">
        <f>CONCATENATE(schedule13[[#This Row],[OD]],"-",schedule13[[#This Row],[ID]],"-",schedule13[[#This Row],[TICKNESS]],"-",schedule13[[#This Row],[GRADE]],"-",schedule13[[#This Row],[FC/NFC]])</f>
        <v>19.05-0-1.6--</v>
      </c>
      <c r="Q63" s="557"/>
      <c r="R63" s="557"/>
      <c r="S63" s="6">
        <v>19.05</v>
      </c>
      <c r="T63" s="6">
        <v>19.05</v>
      </c>
      <c r="U63" s="1">
        <v>0</v>
      </c>
      <c r="V63" s="1">
        <v>1.6</v>
      </c>
      <c r="W63" s="22">
        <v>238</v>
      </c>
      <c r="X63" s="22"/>
      <c r="Y63" s="2">
        <v>0</v>
      </c>
      <c r="Z63" s="2"/>
      <c r="AA63" s="4">
        <f t="shared" si="1"/>
        <v>0</v>
      </c>
      <c r="AB63" s="1">
        <f t="shared" si="11"/>
        <v>0</v>
      </c>
      <c r="AC63" s="1">
        <f t="shared" si="7"/>
        <v>0</v>
      </c>
      <c r="AD63" s="1">
        <f t="shared" si="4"/>
        <v>0</v>
      </c>
      <c r="AE63" s="1"/>
      <c r="AF63" s="1"/>
      <c r="AG63" s="1"/>
      <c r="AH63" s="1">
        <f t="shared" si="12"/>
        <v>0</v>
      </c>
      <c r="AI63" s="118" t="e">
        <f t="shared" si="13"/>
        <v>#DIV/0!</v>
      </c>
    </row>
    <row r="64" spans="1:35" hidden="1" x14ac:dyDescent="0.25">
      <c r="A64" s="30">
        <v>449</v>
      </c>
      <c r="B64" s="5" t="s">
        <v>1816</v>
      </c>
      <c r="C64" s="2" t="s">
        <v>284</v>
      </c>
      <c r="D64" s="2"/>
      <c r="E64" s="2">
        <v>129663</v>
      </c>
      <c r="F64" s="2">
        <v>3213875</v>
      </c>
      <c r="G64" s="2" t="s">
        <v>1904</v>
      </c>
      <c r="H64" s="2"/>
      <c r="I64" s="2"/>
      <c r="J64" s="2"/>
      <c r="K64" s="2" t="s">
        <v>239</v>
      </c>
      <c r="L64" s="2"/>
      <c r="M64" s="2"/>
      <c r="N64" s="2"/>
      <c r="O64" s="2"/>
      <c r="P64" s="557" t="str">
        <f>CONCATENATE(schedule13[[#This Row],[OD]],"-",schedule13[[#This Row],[ID]],"-",schedule13[[#This Row],[TICKNESS]],"-",schedule13[[#This Row],[GRADE]],"-",schedule13[[#This Row],[FC/NFC]])</f>
        <v>19.05-0-1.6--</v>
      </c>
      <c r="Q64" s="557"/>
      <c r="R64" s="557"/>
      <c r="S64" s="6">
        <v>19.05</v>
      </c>
      <c r="T64" s="6">
        <v>19.05</v>
      </c>
      <c r="U64" s="1">
        <v>0</v>
      </c>
      <c r="V64" s="1">
        <v>1.6</v>
      </c>
      <c r="W64" s="22">
        <v>485</v>
      </c>
      <c r="X64" s="22"/>
      <c r="Y64" s="2">
        <v>0</v>
      </c>
      <c r="Z64" s="2"/>
      <c r="AA64" s="4">
        <f t="shared" si="1"/>
        <v>0</v>
      </c>
      <c r="AB64" s="1">
        <f t="shared" si="11"/>
        <v>0</v>
      </c>
      <c r="AC64" s="1">
        <f t="shared" si="7"/>
        <v>0</v>
      </c>
      <c r="AD64" s="1">
        <f t="shared" si="4"/>
        <v>0</v>
      </c>
      <c r="AE64" s="1"/>
      <c r="AF64" s="1"/>
      <c r="AG64" s="1"/>
      <c r="AH64" s="1">
        <f t="shared" si="12"/>
        <v>0</v>
      </c>
      <c r="AI64" s="118" t="e">
        <f t="shared" si="13"/>
        <v>#DIV/0!</v>
      </c>
    </row>
    <row r="65" spans="1:35" hidden="1" x14ac:dyDescent="0.25">
      <c r="A65" s="30">
        <v>450</v>
      </c>
      <c r="B65" s="5" t="s">
        <v>1872</v>
      </c>
      <c r="C65" s="2" t="s">
        <v>284</v>
      </c>
      <c r="D65" s="2"/>
      <c r="E65" s="2">
        <v>129663</v>
      </c>
      <c r="F65" s="2">
        <v>460176</v>
      </c>
      <c r="G65" s="2" t="s">
        <v>1744</v>
      </c>
      <c r="H65" s="2"/>
      <c r="I65" s="2"/>
      <c r="J65" s="2"/>
      <c r="K65" s="2" t="s">
        <v>239</v>
      </c>
      <c r="L65" s="2"/>
      <c r="M65" s="2"/>
      <c r="N65" s="2"/>
      <c r="O65" s="2"/>
      <c r="P65" s="557" t="str">
        <f>CONCATENATE(schedule13[[#This Row],[OD]],"-",schedule13[[#This Row],[ID]],"-",schedule13[[#This Row],[TICKNESS]],"-",schedule13[[#This Row],[GRADE]],"-",schedule13[[#This Row],[FC/NFC]])</f>
        <v>57.15-0-2--</v>
      </c>
      <c r="Q65" s="557"/>
      <c r="R65" s="557"/>
      <c r="S65" s="6">
        <v>57.15</v>
      </c>
      <c r="T65" s="6">
        <v>57.15</v>
      </c>
      <c r="U65" s="1">
        <v>0</v>
      </c>
      <c r="V65" s="1">
        <v>2</v>
      </c>
      <c r="W65" s="22">
        <v>713</v>
      </c>
      <c r="X65" s="22"/>
      <c r="Y65" s="2">
        <v>0</v>
      </c>
      <c r="Z65" s="2"/>
      <c r="AA65" s="4">
        <f t="shared" si="1"/>
        <v>0</v>
      </c>
      <c r="AB65" s="1">
        <f t="shared" si="11"/>
        <v>0</v>
      </c>
      <c r="AC65" s="1">
        <f t="shared" si="7"/>
        <v>0</v>
      </c>
      <c r="AD65" s="1">
        <f t="shared" si="4"/>
        <v>0</v>
      </c>
      <c r="AE65" s="1"/>
      <c r="AF65" s="1"/>
      <c r="AG65" s="1"/>
      <c r="AH65" s="1">
        <f t="shared" si="12"/>
        <v>0</v>
      </c>
      <c r="AI65" s="118" t="e">
        <f t="shared" si="13"/>
        <v>#DIV/0!</v>
      </c>
    </row>
    <row r="66" spans="1:35" hidden="1" x14ac:dyDescent="0.25">
      <c r="A66" s="30">
        <v>451</v>
      </c>
      <c r="B66" s="5" t="s">
        <v>1872</v>
      </c>
      <c r="C66" s="2" t="s">
        <v>284</v>
      </c>
      <c r="D66" s="2"/>
      <c r="E66" s="2">
        <v>129663</v>
      </c>
      <c r="F66" s="2">
        <v>3617058</v>
      </c>
      <c r="G66" s="2" t="s">
        <v>817</v>
      </c>
      <c r="H66" s="2" t="s">
        <v>357</v>
      </c>
      <c r="I66" s="2"/>
      <c r="J66" s="2" t="s">
        <v>357</v>
      </c>
      <c r="K66" s="2" t="s">
        <v>239</v>
      </c>
      <c r="L66" s="2"/>
      <c r="M66" s="2"/>
      <c r="N66" s="2"/>
      <c r="O66" s="2"/>
      <c r="P66" s="557" t="str">
        <f>CONCATENATE(schedule13[[#This Row],[OD]],"-",schedule13[[#This Row],[ID]],"-",schedule13[[#This Row],[TICKNESS]],"-",schedule13[[#This Row],[GRADE]],"-",schedule13[[#This Row],[FC/NFC]])</f>
        <v>28.6-0-2.65-CEW-CEW</v>
      </c>
      <c r="Q66" s="557"/>
      <c r="R66" s="557"/>
      <c r="S66" s="1">
        <v>28.6</v>
      </c>
      <c r="T66" s="1">
        <v>28.6</v>
      </c>
      <c r="U66" s="1">
        <v>0</v>
      </c>
      <c r="V66" s="1">
        <v>2.65</v>
      </c>
      <c r="W66" s="22">
        <v>209</v>
      </c>
      <c r="X66" s="22"/>
      <c r="Y66" s="7">
        <v>15000</v>
      </c>
      <c r="Z66" s="2"/>
      <c r="AA66" s="4">
        <f t="shared" si="1"/>
        <v>15000</v>
      </c>
      <c r="AB66" s="1">
        <f t="shared" si="11"/>
        <v>5.3148444314625003</v>
      </c>
      <c r="AC66" s="1">
        <f t="shared" si="7"/>
        <v>0</v>
      </c>
      <c r="AD66" s="1">
        <f t="shared" si="4"/>
        <v>5.3148444314625003</v>
      </c>
      <c r="AE66" s="1"/>
      <c r="AF66" s="1">
        <v>0.43018800000000001</v>
      </c>
      <c r="AG66" s="1"/>
      <c r="AH66" s="1">
        <f t="shared" si="12"/>
        <v>-0.43018800000000001</v>
      </c>
      <c r="AI66" s="118" t="e">
        <f t="shared" si="13"/>
        <v>#DIV/0!</v>
      </c>
    </row>
    <row r="67" spans="1:35" hidden="1" x14ac:dyDescent="0.25">
      <c r="A67" s="30">
        <v>452</v>
      </c>
      <c r="B67" s="5" t="s">
        <v>1816</v>
      </c>
      <c r="C67" s="2" t="s">
        <v>284</v>
      </c>
      <c r="D67" s="2"/>
      <c r="E67" s="2">
        <v>129663</v>
      </c>
      <c r="F67" s="2">
        <v>464578</v>
      </c>
      <c r="G67" s="2" t="s">
        <v>1900</v>
      </c>
      <c r="H67" s="2"/>
      <c r="I67" s="2"/>
      <c r="J67" s="2"/>
      <c r="K67" s="2" t="s">
        <v>239</v>
      </c>
      <c r="L67" s="2"/>
      <c r="M67" s="2"/>
      <c r="N67" s="2"/>
      <c r="O67" s="2"/>
      <c r="P67" s="557" t="str">
        <f>CONCATENATE(schedule13[[#This Row],[OD]],"-",schedule13[[#This Row],[ID]],"-",schedule13[[#This Row],[TICKNESS]],"-",schedule13[[#This Row],[GRADE]],"-",schedule13[[#This Row],[FC/NFC]])</f>
        <v>19.05-0-1.6--</v>
      </c>
      <c r="Q67" s="557"/>
      <c r="R67" s="557"/>
      <c r="S67" s="6">
        <v>19.05</v>
      </c>
      <c r="T67" s="6">
        <v>19.05</v>
      </c>
      <c r="U67" s="1">
        <v>0</v>
      </c>
      <c r="V67" s="1">
        <v>1.6</v>
      </c>
      <c r="W67" s="22">
        <v>310</v>
      </c>
      <c r="X67" s="22"/>
      <c r="Y67" s="2">
        <v>0</v>
      </c>
      <c r="Z67" s="2"/>
      <c r="AA67" s="4">
        <f t="shared" si="1"/>
        <v>0</v>
      </c>
      <c r="AB67" s="1">
        <f t="shared" si="11"/>
        <v>0</v>
      </c>
      <c r="AC67" s="1">
        <f t="shared" si="7"/>
        <v>0</v>
      </c>
      <c r="AD67" s="1">
        <f t="shared" si="4"/>
        <v>0</v>
      </c>
      <c r="AE67" s="1"/>
      <c r="AF67" s="1"/>
      <c r="AG67" s="1"/>
      <c r="AH67" s="1">
        <f t="shared" si="12"/>
        <v>5.3148444314625003</v>
      </c>
      <c r="AI67" s="118">
        <f t="shared" si="13"/>
        <v>0</v>
      </c>
    </row>
    <row r="68" spans="1:35" hidden="1" x14ac:dyDescent="0.25">
      <c r="A68" s="30">
        <v>453</v>
      </c>
      <c r="B68" s="5" t="s">
        <v>1816</v>
      </c>
      <c r="C68" s="2" t="s">
        <v>284</v>
      </c>
      <c r="D68" s="2"/>
      <c r="E68" s="2">
        <v>129663</v>
      </c>
      <c r="F68" s="2">
        <v>1236370</v>
      </c>
      <c r="G68" s="2" t="s">
        <v>1909</v>
      </c>
      <c r="H68" s="2"/>
      <c r="I68" s="2"/>
      <c r="J68" s="2"/>
      <c r="K68" s="2" t="s">
        <v>239</v>
      </c>
      <c r="L68" s="2"/>
      <c r="M68" s="2"/>
      <c r="N68" s="2"/>
      <c r="O68" s="2"/>
      <c r="P68" s="557" t="str">
        <f>CONCATENATE(schedule13[[#This Row],[OD]],"-",schedule13[[#This Row],[ID]],"-",schedule13[[#This Row],[TICKNESS]],"-",schedule13[[#This Row],[GRADE]],"-",schedule13[[#This Row],[FC/NFC]])</f>
        <v>34.93-0-2--</v>
      </c>
      <c r="Q68" s="557"/>
      <c r="R68" s="557"/>
      <c r="S68" s="6">
        <v>34.93</v>
      </c>
      <c r="T68" s="6">
        <v>34.93</v>
      </c>
      <c r="U68" s="1">
        <v>0</v>
      </c>
      <c r="V68" s="1">
        <v>2</v>
      </c>
      <c r="W68" s="22">
        <v>339</v>
      </c>
      <c r="X68" s="22"/>
      <c r="Y68" s="2">
        <v>0</v>
      </c>
      <c r="Z68" s="2"/>
      <c r="AA68" s="4">
        <f t="shared" ref="AA68:AA131" si="14">Y68-Z68</f>
        <v>0</v>
      </c>
      <c r="AB68" s="1">
        <f t="shared" ref="AB68:AB99" si="15">(S68-V68)*V68*W68*0.024653*Y68/1000000</f>
        <v>0</v>
      </c>
      <c r="AC68" s="1">
        <f t="shared" si="7"/>
        <v>0</v>
      </c>
      <c r="AD68" s="1">
        <f t="shared" ref="AD68:AD131" si="16">AB68-AC68</f>
        <v>0</v>
      </c>
      <c r="AE68" s="1"/>
      <c r="AF68" s="1"/>
      <c r="AG68" s="1"/>
      <c r="AH68" s="1">
        <f t="shared" si="12"/>
        <v>0</v>
      </c>
      <c r="AI68" s="118" t="e">
        <f t="shared" si="13"/>
        <v>#DIV/0!</v>
      </c>
    </row>
    <row r="69" spans="1:35" hidden="1" x14ac:dyDescent="0.25">
      <c r="A69" s="30">
        <v>454</v>
      </c>
      <c r="B69" s="5" t="s">
        <v>1872</v>
      </c>
      <c r="C69" s="2" t="s">
        <v>284</v>
      </c>
      <c r="D69" s="2"/>
      <c r="E69" s="2">
        <v>129663</v>
      </c>
      <c r="F69" s="2">
        <v>1938382</v>
      </c>
      <c r="G69" s="2" t="s">
        <v>4519</v>
      </c>
      <c r="H69" s="2" t="s">
        <v>357</v>
      </c>
      <c r="I69" s="2"/>
      <c r="J69" s="2"/>
      <c r="K69" s="2" t="s">
        <v>239</v>
      </c>
      <c r="L69" s="2"/>
      <c r="M69" s="2"/>
      <c r="N69" s="2"/>
      <c r="O69" s="2"/>
      <c r="P69" s="557" t="str">
        <f>CONCATENATE(schedule13[[#This Row],[OD]],"-",schedule13[[#This Row],[ID]],"-",schedule13[[#This Row],[TICKNESS]],"-",schedule13[[#This Row],[GRADE]],"-",schedule13[[#This Row],[FC/NFC]])</f>
        <v>17.3-0-1.6-CEW-</v>
      </c>
      <c r="Q69" s="557"/>
      <c r="R69" s="557"/>
      <c r="S69" s="6">
        <v>17.3</v>
      </c>
      <c r="T69" s="6">
        <v>17.3</v>
      </c>
      <c r="U69" s="1">
        <v>0</v>
      </c>
      <c r="V69" s="1">
        <v>1.6</v>
      </c>
      <c r="W69" s="22">
        <v>387</v>
      </c>
      <c r="X69" s="22"/>
      <c r="Y69" s="2">
        <v>0</v>
      </c>
      <c r="Z69" s="2"/>
      <c r="AA69" s="4">
        <f t="shared" si="14"/>
        <v>0</v>
      </c>
      <c r="AB69" s="1">
        <f t="shared" si="15"/>
        <v>0</v>
      </c>
      <c r="AC69" s="1">
        <f t="shared" si="7"/>
        <v>0</v>
      </c>
      <c r="AD69" s="1">
        <f t="shared" si="16"/>
        <v>0</v>
      </c>
      <c r="AE69" s="1"/>
      <c r="AF69" s="1"/>
      <c r="AG69" s="1"/>
      <c r="AH69" s="1">
        <f t="shared" si="12"/>
        <v>0</v>
      </c>
      <c r="AI69" s="118" t="e">
        <f t="shared" si="13"/>
        <v>#DIV/0!</v>
      </c>
    </row>
    <row r="70" spans="1:35" hidden="1" x14ac:dyDescent="0.25">
      <c r="A70" s="30">
        <v>455</v>
      </c>
      <c r="B70" s="5" t="s">
        <v>1816</v>
      </c>
      <c r="C70" s="2" t="s">
        <v>284</v>
      </c>
      <c r="D70" s="2"/>
      <c r="E70" s="2">
        <v>129663</v>
      </c>
      <c r="F70" s="2">
        <v>1413976</v>
      </c>
      <c r="G70" s="2" t="s">
        <v>1886</v>
      </c>
      <c r="H70" s="2"/>
      <c r="I70" s="2"/>
      <c r="J70" s="2"/>
      <c r="K70" s="2" t="s">
        <v>239</v>
      </c>
      <c r="L70" s="2"/>
      <c r="M70" s="2"/>
      <c r="N70" s="2"/>
      <c r="O70" s="2"/>
      <c r="P70" s="557" t="str">
        <f>CONCATENATE(schedule13[[#This Row],[OD]],"-",schedule13[[#This Row],[ID]],"-",schedule13[[#This Row],[TICKNESS]],"-",schedule13[[#This Row],[GRADE]],"-",schedule13[[#This Row],[FC/NFC]])</f>
        <v>25.4-0-2--</v>
      </c>
      <c r="Q70" s="557"/>
      <c r="R70" s="557"/>
      <c r="S70" s="6">
        <v>25.4</v>
      </c>
      <c r="T70" s="6">
        <v>25.4</v>
      </c>
      <c r="U70" s="1">
        <v>0</v>
      </c>
      <c r="V70" s="1">
        <v>2</v>
      </c>
      <c r="W70" s="22">
        <v>315</v>
      </c>
      <c r="X70" s="22"/>
      <c r="Y70" s="2">
        <v>0</v>
      </c>
      <c r="Z70" s="2"/>
      <c r="AA70" s="4">
        <f t="shared" si="14"/>
        <v>0</v>
      </c>
      <c r="AB70" s="1">
        <f t="shared" si="15"/>
        <v>0</v>
      </c>
      <c r="AC70" s="1">
        <f t="shared" si="7"/>
        <v>0</v>
      </c>
      <c r="AD70" s="1">
        <f t="shared" si="16"/>
        <v>0</v>
      </c>
      <c r="AE70" s="1"/>
      <c r="AF70" s="1">
        <v>5.9200000000000003E-2</v>
      </c>
      <c r="AG70" s="1"/>
      <c r="AH70" s="1">
        <f t="shared" si="12"/>
        <v>-5.9200000000000003E-2</v>
      </c>
      <c r="AI70" s="118" t="e">
        <f t="shared" si="13"/>
        <v>#DIV/0!</v>
      </c>
    </row>
    <row r="71" spans="1:35" hidden="1" x14ac:dyDescent="0.25">
      <c r="A71" s="30">
        <v>456</v>
      </c>
      <c r="B71" s="5" t="s">
        <v>1816</v>
      </c>
      <c r="C71" s="2" t="s">
        <v>284</v>
      </c>
      <c r="D71" s="2"/>
      <c r="E71" s="2">
        <v>129663</v>
      </c>
      <c r="F71" s="2">
        <v>1551280</v>
      </c>
      <c r="G71" s="2" t="s">
        <v>1908</v>
      </c>
      <c r="H71" s="2"/>
      <c r="I71" s="2"/>
      <c r="J71" s="2"/>
      <c r="K71" s="2" t="s">
        <v>239</v>
      </c>
      <c r="L71" s="2"/>
      <c r="M71" s="2"/>
      <c r="N71" s="2"/>
      <c r="O71" s="2"/>
      <c r="P71" s="557" t="str">
        <f>CONCATENATE(schedule13[[#This Row],[OD]],"-",schedule13[[#This Row],[ID]],"-",schedule13[[#This Row],[TICKNESS]],"-",schedule13[[#This Row],[GRADE]],"-",schedule13[[#This Row],[FC/NFC]])</f>
        <v>34.93-0-2--</v>
      </c>
      <c r="Q71" s="557"/>
      <c r="R71" s="557"/>
      <c r="S71" s="6">
        <v>34.93</v>
      </c>
      <c r="T71" s="6">
        <v>34.93</v>
      </c>
      <c r="U71" s="1">
        <v>0</v>
      </c>
      <c r="V71" s="1">
        <v>2</v>
      </c>
      <c r="W71" s="22">
        <v>284</v>
      </c>
      <c r="X71" s="22"/>
      <c r="Y71" s="2">
        <v>0</v>
      </c>
      <c r="Z71" s="2"/>
      <c r="AA71" s="4">
        <f t="shared" si="14"/>
        <v>0</v>
      </c>
      <c r="AB71" s="1">
        <f t="shared" si="15"/>
        <v>0</v>
      </c>
      <c r="AC71" s="1">
        <f t="shared" si="7"/>
        <v>0</v>
      </c>
      <c r="AD71" s="1">
        <f t="shared" si="16"/>
        <v>0</v>
      </c>
      <c r="AE71" s="1"/>
      <c r="AF71" s="1"/>
      <c r="AG71" s="1"/>
      <c r="AH71" s="1">
        <f t="shared" si="12"/>
        <v>0</v>
      </c>
      <c r="AI71" s="118" t="e">
        <f t="shared" si="13"/>
        <v>#DIV/0!</v>
      </c>
    </row>
    <row r="72" spans="1:35" hidden="1" x14ac:dyDescent="0.25">
      <c r="A72" s="30">
        <v>457</v>
      </c>
      <c r="B72" s="5" t="s">
        <v>1816</v>
      </c>
      <c r="C72" s="2" t="s">
        <v>284</v>
      </c>
      <c r="D72" s="2"/>
      <c r="E72" s="2">
        <v>129663</v>
      </c>
      <c r="F72" s="2">
        <v>3218520</v>
      </c>
      <c r="G72" s="2" t="s">
        <v>1907</v>
      </c>
      <c r="H72" s="2"/>
      <c r="I72" s="2"/>
      <c r="J72" s="2"/>
      <c r="K72" s="2" t="s">
        <v>239</v>
      </c>
      <c r="L72" s="2"/>
      <c r="M72" s="2"/>
      <c r="N72" s="2"/>
      <c r="O72" s="2"/>
      <c r="P72" s="557" t="str">
        <f>CONCATENATE(schedule13[[#This Row],[OD]],"-",schedule13[[#This Row],[ID]],"-",schedule13[[#This Row],[TICKNESS]],"-",schedule13[[#This Row],[GRADE]],"-",schedule13[[#This Row],[FC/NFC]])</f>
        <v>25.4-0-2--</v>
      </c>
      <c r="Q72" s="557"/>
      <c r="R72" s="557"/>
      <c r="S72" s="6">
        <v>25.4</v>
      </c>
      <c r="T72" s="6">
        <v>25.4</v>
      </c>
      <c r="U72" s="1">
        <v>0</v>
      </c>
      <c r="V72" s="1">
        <v>2</v>
      </c>
      <c r="W72" s="22">
        <v>496</v>
      </c>
      <c r="X72" s="22"/>
      <c r="Y72" s="2">
        <v>0</v>
      </c>
      <c r="Z72" s="2"/>
      <c r="AA72" s="4">
        <f t="shared" si="14"/>
        <v>0</v>
      </c>
      <c r="AB72" s="1">
        <f t="shared" si="15"/>
        <v>0</v>
      </c>
      <c r="AC72" s="1">
        <f t="shared" si="7"/>
        <v>0</v>
      </c>
      <c r="AD72" s="1">
        <f t="shared" si="16"/>
        <v>0</v>
      </c>
      <c r="AE72" s="1"/>
      <c r="AF72" s="1"/>
      <c r="AG72" s="1"/>
      <c r="AH72" s="1">
        <f t="shared" ref="AH72:AH91" si="17">AB71-AF72</f>
        <v>0</v>
      </c>
      <c r="AI72" s="118" t="e">
        <f t="shared" ref="AI72:AI91" si="18">(AC72+AF72)/AB71</f>
        <v>#DIV/0!</v>
      </c>
    </row>
    <row r="73" spans="1:35" hidden="1" x14ac:dyDescent="0.25">
      <c r="A73" s="30">
        <v>458</v>
      </c>
      <c r="B73" s="5" t="s">
        <v>1816</v>
      </c>
      <c r="C73" s="2" t="s">
        <v>284</v>
      </c>
      <c r="D73" s="2"/>
      <c r="E73" s="2">
        <v>129663</v>
      </c>
      <c r="F73" s="2">
        <v>288719</v>
      </c>
      <c r="G73" s="2" t="s">
        <v>1481</v>
      </c>
      <c r="H73" s="2" t="s">
        <v>962</v>
      </c>
      <c r="I73" s="2"/>
      <c r="J73" s="2"/>
      <c r="K73" s="2" t="s">
        <v>239</v>
      </c>
      <c r="L73" s="2"/>
      <c r="M73" s="2"/>
      <c r="N73" s="2"/>
      <c r="O73" s="2"/>
      <c r="P73" s="557" t="str">
        <f>CONCATENATE(schedule13[[#This Row],[OD]],"-",schedule13[[#This Row],[ID]],"-",schedule13[[#This Row],[TICKNESS]],"-",schedule13[[#This Row],[GRADE]],"-",schedule13[[#This Row],[FC/NFC]])</f>
        <v>22.23-0-2-ERW 1-</v>
      </c>
      <c r="Q73" s="557"/>
      <c r="R73" s="557"/>
      <c r="S73" s="6">
        <v>22.23</v>
      </c>
      <c r="T73" s="6">
        <v>22.23</v>
      </c>
      <c r="U73" s="1">
        <v>0</v>
      </c>
      <c r="V73" s="1">
        <v>2</v>
      </c>
      <c r="W73" s="22">
        <v>715</v>
      </c>
      <c r="X73" s="22"/>
      <c r="Y73" s="2">
        <v>0</v>
      </c>
      <c r="Z73" s="2"/>
      <c r="AA73" s="4">
        <f t="shared" si="14"/>
        <v>0</v>
      </c>
      <c r="AB73" s="1">
        <f t="shared" si="15"/>
        <v>0</v>
      </c>
      <c r="AC73" s="1">
        <f t="shared" si="7"/>
        <v>0</v>
      </c>
      <c r="AD73" s="1">
        <f t="shared" si="16"/>
        <v>0</v>
      </c>
      <c r="AE73" s="1"/>
      <c r="AF73" s="1"/>
      <c r="AG73" s="1"/>
      <c r="AH73" s="1">
        <f t="shared" si="17"/>
        <v>0</v>
      </c>
      <c r="AI73" s="118" t="e">
        <f t="shared" si="18"/>
        <v>#DIV/0!</v>
      </c>
    </row>
    <row r="74" spans="1:35" hidden="1" x14ac:dyDescent="0.25">
      <c r="A74" s="30">
        <v>459</v>
      </c>
      <c r="B74" s="5" t="s">
        <v>1816</v>
      </c>
      <c r="C74" s="2" t="s">
        <v>284</v>
      </c>
      <c r="D74" s="2"/>
      <c r="E74" s="2">
        <v>129663</v>
      </c>
      <c r="F74" s="2">
        <v>468311</v>
      </c>
      <c r="G74" s="2" t="s">
        <v>1882</v>
      </c>
      <c r="H74" s="2"/>
      <c r="I74" s="2"/>
      <c r="J74" s="2"/>
      <c r="K74" s="2" t="s">
        <v>239</v>
      </c>
      <c r="L74" s="2"/>
      <c r="M74" s="2"/>
      <c r="N74" s="2"/>
      <c r="O74" s="2"/>
      <c r="P74" s="557" t="str">
        <f>CONCATENATE(schedule13[[#This Row],[OD]],"-",schedule13[[#This Row],[ID]],"-",schedule13[[#This Row],[TICKNESS]],"-",schedule13[[#This Row],[GRADE]],"-",schedule13[[#This Row],[FC/NFC]])</f>
        <v>15.88-0-2--</v>
      </c>
      <c r="Q74" s="557"/>
      <c r="R74" s="557"/>
      <c r="S74" s="6">
        <v>15.88</v>
      </c>
      <c r="T74" s="6">
        <v>15.88</v>
      </c>
      <c r="U74" s="1">
        <v>0</v>
      </c>
      <c r="V74" s="1">
        <v>2</v>
      </c>
      <c r="W74" s="22">
        <v>291</v>
      </c>
      <c r="X74" s="22"/>
      <c r="Y74" s="2">
        <v>0</v>
      </c>
      <c r="Z74" s="2"/>
      <c r="AA74" s="4">
        <f t="shared" si="14"/>
        <v>0</v>
      </c>
      <c r="AB74" s="1">
        <f t="shared" si="15"/>
        <v>0</v>
      </c>
      <c r="AC74" s="1">
        <f t="shared" si="7"/>
        <v>0</v>
      </c>
      <c r="AD74" s="1">
        <f t="shared" si="16"/>
        <v>0</v>
      </c>
      <c r="AE74" s="1"/>
      <c r="AF74" s="1"/>
      <c r="AG74" s="1"/>
      <c r="AH74" s="1">
        <f t="shared" si="17"/>
        <v>0</v>
      </c>
      <c r="AI74" s="118" t="e">
        <f t="shared" si="18"/>
        <v>#DIV/0!</v>
      </c>
    </row>
    <row r="75" spans="1:35" hidden="1" x14ac:dyDescent="0.25">
      <c r="A75" s="30">
        <v>460</v>
      </c>
      <c r="B75" s="5" t="s">
        <v>1816</v>
      </c>
      <c r="C75" s="2" t="s">
        <v>284</v>
      </c>
      <c r="D75" s="2"/>
      <c r="E75" s="2">
        <v>129663</v>
      </c>
      <c r="F75" s="2">
        <v>3599863</v>
      </c>
      <c r="G75" s="2" t="s">
        <v>1517</v>
      </c>
      <c r="H75" s="2" t="s">
        <v>962</v>
      </c>
      <c r="I75" s="2"/>
      <c r="J75" s="2" t="s">
        <v>963</v>
      </c>
      <c r="K75" s="2" t="s">
        <v>1867</v>
      </c>
      <c r="L75" s="44" t="s">
        <v>1868</v>
      </c>
      <c r="M75" s="2"/>
      <c r="N75" s="2"/>
      <c r="O75" s="2"/>
      <c r="P75" s="557" t="str">
        <f>CONCATENATE(schedule13[[#This Row],[OD]],"-",schedule13[[#This Row],[ID]],"-",schedule13[[#This Row],[TICKNESS]],"-",schedule13[[#This Row],[GRADE]],"-",schedule13[[#This Row],[FC/NFC]])</f>
        <v>22.23-0-1.6-ERW 1-PE</v>
      </c>
      <c r="Q75" s="557"/>
      <c r="R75" s="557"/>
      <c r="S75" s="6">
        <v>22.23</v>
      </c>
      <c r="T75" s="6">
        <v>22.23</v>
      </c>
      <c r="U75" s="1">
        <v>0</v>
      </c>
      <c r="V75" s="1">
        <v>1.6</v>
      </c>
      <c r="W75" s="22">
        <v>945</v>
      </c>
      <c r="X75" s="22"/>
      <c r="Y75" s="7">
        <v>2500</v>
      </c>
      <c r="Z75" s="2"/>
      <c r="AA75" s="4">
        <f t="shared" si="14"/>
        <v>2500</v>
      </c>
      <c r="AB75" s="1">
        <f t="shared" si="15"/>
        <v>1.9224754542000002</v>
      </c>
      <c r="AC75" s="1">
        <f t="shared" si="7"/>
        <v>0</v>
      </c>
      <c r="AD75" s="1">
        <f t="shared" si="16"/>
        <v>1.9224754542000002</v>
      </c>
      <c r="AE75" s="1"/>
      <c r="AF75" s="1"/>
      <c r="AG75" s="1"/>
      <c r="AH75" s="1">
        <f t="shared" si="17"/>
        <v>0</v>
      </c>
      <c r="AI75" s="118" t="e">
        <f t="shared" si="18"/>
        <v>#DIV/0!</v>
      </c>
    </row>
    <row r="76" spans="1:35" hidden="1" x14ac:dyDescent="0.25">
      <c r="A76" s="30">
        <v>461</v>
      </c>
      <c r="B76" s="5" t="s">
        <v>1816</v>
      </c>
      <c r="C76" s="2" t="s">
        <v>284</v>
      </c>
      <c r="D76" s="2"/>
      <c r="E76" s="2">
        <v>129663</v>
      </c>
      <c r="F76" s="2">
        <v>3545983</v>
      </c>
      <c r="G76" s="2" t="s">
        <v>1898</v>
      </c>
      <c r="H76" s="2"/>
      <c r="I76" s="2"/>
      <c r="J76" s="2"/>
      <c r="K76" s="2" t="s">
        <v>239</v>
      </c>
      <c r="L76" s="2"/>
      <c r="M76" s="2"/>
      <c r="N76" s="2"/>
      <c r="O76" s="2"/>
      <c r="P76" s="557" t="str">
        <f>CONCATENATE(schedule13[[#This Row],[OD]],"-",schedule13[[#This Row],[ID]],"-",schedule13[[#This Row],[TICKNESS]],"-",schedule13[[#This Row],[GRADE]],"-",schedule13[[#This Row],[FC/NFC]])</f>
        <v>48.6-0-4--</v>
      </c>
      <c r="Q76" s="557"/>
      <c r="R76" s="557"/>
      <c r="S76" s="6">
        <v>48.6</v>
      </c>
      <c r="T76" s="6">
        <v>48.6</v>
      </c>
      <c r="U76" s="1">
        <v>0</v>
      </c>
      <c r="V76" s="1">
        <v>4</v>
      </c>
      <c r="W76" s="22">
        <v>595</v>
      </c>
      <c r="X76" s="22"/>
      <c r="Y76" s="2">
        <v>0</v>
      </c>
      <c r="Z76" s="2"/>
      <c r="AA76" s="4">
        <f t="shared" si="14"/>
        <v>0</v>
      </c>
      <c r="AB76" s="1">
        <f t="shared" si="15"/>
        <v>0</v>
      </c>
      <c r="AC76" s="1">
        <f t="shared" si="7"/>
        <v>0</v>
      </c>
      <c r="AD76" s="1">
        <f t="shared" si="16"/>
        <v>0</v>
      </c>
      <c r="AE76" s="1"/>
      <c r="AF76" s="1"/>
      <c r="AG76" s="1"/>
      <c r="AH76" s="1">
        <f t="shared" si="17"/>
        <v>1.9224754542000002</v>
      </c>
      <c r="AI76" s="118">
        <f t="shared" si="18"/>
        <v>0</v>
      </c>
    </row>
    <row r="77" spans="1:35" hidden="1" x14ac:dyDescent="0.25">
      <c r="A77" s="30">
        <v>462</v>
      </c>
      <c r="B77" s="5" t="s">
        <v>1872</v>
      </c>
      <c r="C77" s="2" t="s">
        <v>284</v>
      </c>
      <c r="D77" s="2"/>
      <c r="E77" s="2">
        <v>129663</v>
      </c>
      <c r="F77" s="2">
        <v>2410388</v>
      </c>
      <c r="G77" s="2" t="s">
        <v>819</v>
      </c>
      <c r="H77" s="2" t="s">
        <v>357</v>
      </c>
      <c r="I77" s="2"/>
      <c r="J77" s="2" t="s">
        <v>357</v>
      </c>
      <c r="K77" s="2" t="s">
        <v>239</v>
      </c>
      <c r="L77" s="2"/>
      <c r="M77" s="2"/>
      <c r="N77" s="2"/>
      <c r="O77" s="2"/>
      <c r="P77" s="557" t="str">
        <f>CONCATENATE(schedule13[[#This Row],[OD]],"-",schedule13[[#This Row],[ID]],"-",schedule13[[#This Row],[TICKNESS]],"-",schedule13[[#This Row],[GRADE]],"-",schedule13[[#This Row],[FC/NFC]])</f>
        <v>28.6-0-2.65-CEW-CEW</v>
      </c>
      <c r="Q77" s="557"/>
      <c r="R77" s="557"/>
      <c r="S77" s="1">
        <v>28.6</v>
      </c>
      <c r="T77" s="1">
        <v>28.6</v>
      </c>
      <c r="U77" s="1">
        <v>0</v>
      </c>
      <c r="V77" s="1">
        <v>2.65</v>
      </c>
      <c r="W77" s="23">
        <v>4500</v>
      </c>
      <c r="X77" s="23"/>
      <c r="Y77" s="7">
        <v>1778</v>
      </c>
      <c r="Z77" s="2"/>
      <c r="AA77" s="4">
        <f t="shared" si="14"/>
        <v>1778</v>
      </c>
      <c r="AB77" s="1">
        <f t="shared" si="15"/>
        <v>13.564296745177503</v>
      </c>
      <c r="AC77" s="1">
        <f t="shared" si="7"/>
        <v>0</v>
      </c>
      <c r="AD77" s="1">
        <f t="shared" si="16"/>
        <v>13.564296745177503</v>
      </c>
      <c r="AE77" s="1"/>
      <c r="AF77" s="1">
        <v>0.96283099999999999</v>
      </c>
      <c r="AG77" s="1"/>
      <c r="AH77" s="1">
        <f t="shared" si="17"/>
        <v>-0.96283099999999999</v>
      </c>
      <c r="AI77" s="118" t="e">
        <f t="shared" si="18"/>
        <v>#DIV/0!</v>
      </c>
    </row>
    <row r="78" spans="1:35" hidden="1" x14ac:dyDescent="0.25">
      <c r="A78" s="30">
        <v>463</v>
      </c>
      <c r="B78" s="5" t="s">
        <v>1816</v>
      </c>
      <c r="C78" s="2" t="s">
        <v>284</v>
      </c>
      <c r="D78" s="2"/>
      <c r="E78" s="2">
        <v>129663</v>
      </c>
      <c r="F78" s="2">
        <v>3453634</v>
      </c>
      <c r="G78" s="17" t="s">
        <v>1897</v>
      </c>
      <c r="H78" s="2"/>
      <c r="I78" s="2"/>
      <c r="J78" s="2"/>
      <c r="K78" s="2" t="s">
        <v>239</v>
      </c>
      <c r="L78" s="2"/>
      <c r="M78" s="2"/>
      <c r="N78" s="2"/>
      <c r="O78" s="2"/>
      <c r="P78" s="557" t="str">
        <f>CONCATENATE(schedule13[[#This Row],[OD]],"-",schedule13[[#This Row],[ID]],"-",schedule13[[#This Row],[TICKNESS]],"-",schedule13[[#This Row],[GRADE]],"-",schedule13[[#This Row],[FC/NFC]])</f>
        <v>48.6-0-2--</v>
      </c>
      <c r="Q78" s="557"/>
      <c r="R78" s="557"/>
      <c r="S78" s="1">
        <v>48.6</v>
      </c>
      <c r="T78" s="1">
        <v>48.6</v>
      </c>
      <c r="U78" s="1">
        <v>0</v>
      </c>
      <c r="V78" s="1">
        <v>2</v>
      </c>
      <c r="W78" s="23">
        <v>545</v>
      </c>
      <c r="X78" s="23"/>
      <c r="Y78" s="2">
        <v>0</v>
      </c>
      <c r="Z78" s="2"/>
      <c r="AA78" s="4">
        <f t="shared" si="14"/>
        <v>0</v>
      </c>
      <c r="AB78" s="1">
        <f t="shared" si="15"/>
        <v>0</v>
      </c>
      <c r="AC78" s="1">
        <f t="shared" si="7"/>
        <v>0</v>
      </c>
      <c r="AD78" s="1">
        <f t="shared" si="16"/>
        <v>0</v>
      </c>
      <c r="AE78" s="1"/>
      <c r="AF78" s="1">
        <v>16.948177999999995</v>
      </c>
      <c r="AG78" s="1"/>
      <c r="AH78" s="1">
        <f t="shared" si="17"/>
        <v>-3.3838812548224926</v>
      </c>
      <c r="AI78" s="118">
        <f t="shared" si="18"/>
        <v>1.2494697158572234</v>
      </c>
    </row>
    <row r="79" spans="1:35" hidden="1" x14ac:dyDescent="0.25">
      <c r="A79" s="30">
        <v>464</v>
      </c>
      <c r="B79" s="5" t="s">
        <v>1872</v>
      </c>
      <c r="C79" s="2" t="s">
        <v>284</v>
      </c>
      <c r="D79" s="2"/>
      <c r="E79" s="2">
        <v>129663</v>
      </c>
      <c r="F79" s="2">
        <v>2410389</v>
      </c>
      <c r="G79" s="2" t="s">
        <v>1165</v>
      </c>
      <c r="H79" s="2" t="s">
        <v>357</v>
      </c>
      <c r="I79" s="2"/>
      <c r="J79" s="2" t="s">
        <v>357</v>
      </c>
      <c r="K79" s="2" t="s">
        <v>1867</v>
      </c>
      <c r="L79" s="2" t="s">
        <v>1874</v>
      </c>
      <c r="M79" s="2"/>
      <c r="N79" s="2"/>
      <c r="O79" s="2"/>
      <c r="P79" s="557" t="str">
        <f>CONCATENATE(schedule13[[#This Row],[OD]],"-",schedule13[[#This Row],[ID]],"-",schedule13[[#This Row],[TICKNESS]],"-",schedule13[[#This Row],[GRADE]],"-",schedule13[[#This Row],[FC/NFC]])</f>
        <v>14-0-1.6-CEW-CEW</v>
      </c>
      <c r="Q79" s="557"/>
      <c r="R79" s="557"/>
      <c r="S79" s="1">
        <v>14</v>
      </c>
      <c r="T79" s="1">
        <v>14</v>
      </c>
      <c r="U79" s="1">
        <v>0</v>
      </c>
      <c r="V79" s="1">
        <v>1.6</v>
      </c>
      <c r="W79" s="23">
        <v>4500</v>
      </c>
      <c r="X79" s="23"/>
      <c r="Y79" s="7">
        <v>556</v>
      </c>
      <c r="Z79" s="2"/>
      <c r="AA79" s="4">
        <f t="shared" si="14"/>
        <v>556</v>
      </c>
      <c r="AB79" s="1">
        <f t="shared" si="15"/>
        <v>1.2237670310400002</v>
      </c>
      <c r="AC79" s="1">
        <f t="shared" si="7"/>
        <v>0</v>
      </c>
      <c r="AD79" s="1">
        <f t="shared" si="16"/>
        <v>1.2237670310400002</v>
      </c>
      <c r="AE79" s="1"/>
      <c r="AF79" s="1"/>
      <c r="AG79" s="1"/>
      <c r="AH79" s="1">
        <f t="shared" si="17"/>
        <v>0</v>
      </c>
      <c r="AI79" s="118" t="e">
        <f t="shared" si="18"/>
        <v>#DIV/0!</v>
      </c>
    </row>
    <row r="80" spans="1:35" hidden="1" x14ac:dyDescent="0.25">
      <c r="A80" s="30">
        <v>465</v>
      </c>
      <c r="B80" s="5" t="s">
        <v>1816</v>
      </c>
      <c r="C80" s="2" t="s">
        <v>284</v>
      </c>
      <c r="D80" s="2"/>
      <c r="E80" s="2">
        <v>129663</v>
      </c>
      <c r="F80" s="2">
        <v>3210056</v>
      </c>
      <c r="G80" s="2" t="s">
        <v>1890</v>
      </c>
      <c r="H80" s="2" t="s">
        <v>962</v>
      </c>
      <c r="I80" s="2"/>
      <c r="J80" s="2"/>
      <c r="K80" s="2" t="s">
        <v>239</v>
      </c>
      <c r="L80" s="2"/>
      <c r="M80" s="2"/>
      <c r="N80" s="2"/>
      <c r="O80" s="2"/>
      <c r="P80" s="557" t="str">
        <f>CONCATENATE(schedule13[[#This Row],[OD]],"-",schedule13[[#This Row],[ID]],"-",schedule13[[#This Row],[TICKNESS]],"-",schedule13[[#This Row],[GRADE]],"-",schedule13[[#This Row],[FC/NFC]])</f>
        <v>34.93-0-2-ERW 1-</v>
      </c>
      <c r="Q80" s="557"/>
      <c r="R80" s="557"/>
      <c r="S80" s="1">
        <v>34.93</v>
      </c>
      <c r="T80" s="1">
        <v>34.93</v>
      </c>
      <c r="U80" s="1">
        <v>0</v>
      </c>
      <c r="V80" s="1">
        <v>2</v>
      </c>
      <c r="W80" s="23">
        <v>1175</v>
      </c>
      <c r="X80" s="23"/>
      <c r="Y80" s="2">
        <v>0</v>
      </c>
      <c r="Z80" s="2"/>
      <c r="AA80" s="4">
        <f t="shared" si="14"/>
        <v>0</v>
      </c>
      <c r="AB80" s="1">
        <f t="shared" si="15"/>
        <v>0</v>
      </c>
      <c r="AC80" s="1">
        <f t="shared" si="7"/>
        <v>0</v>
      </c>
      <c r="AD80" s="1">
        <f t="shared" si="16"/>
        <v>0</v>
      </c>
      <c r="AE80" s="1"/>
      <c r="AF80" s="1">
        <v>10.500966</v>
      </c>
      <c r="AG80" s="1"/>
      <c r="AH80" s="1">
        <f t="shared" si="17"/>
        <v>-9.2771989689600005</v>
      </c>
      <c r="AI80" s="118">
        <f t="shared" si="18"/>
        <v>8.5808538174753011</v>
      </c>
    </row>
    <row r="81" spans="1:35" hidden="1" x14ac:dyDescent="0.25">
      <c r="A81" s="30">
        <v>466</v>
      </c>
      <c r="B81" s="5" t="s">
        <v>1816</v>
      </c>
      <c r="C81" s="2" t="s">
        <v>284</v>
      </c>
      <c r="D81" s="2"/>
      <c r="E81" s="2">
        <v>129663</v>
      </c>
      <c r="F81" s="2">
        <v>3453631</v>
      </c>
      <c r="G81" s="2" t="s">
        <v>1901</v>
      </c>
      <c r="H81" s="2"/>
      <c r="I81" s="2"/>
      <c r="J81" s="2"/>
      <c r="K81" s="2" t="s">
        <v>239</v>
      </c>
      <c r="L81" s="2"/>
      <c r="M81" s="2"/>
      <c r="N81" s="2"/>
      <c r="O81" s="2"/>
      <c r="P81" s="557" t="str">
        <f>CONCATENATE(schedule13[[#This Row],[OD]],"-",schedule13[[#This Row],[ID]],"-",schedule13[[#This Row],[TICKNESS]],"-",schedule13[[#This Row],[GRADE]],"-",schedule13[[#This Row],[FC/NFC]])</f>
        <v>19.05-0-1.6--</v>
      </c>
      <c r="Q81" s="557"/>
      <c r="R81" s="557"/>
      <c r="S81" s="1">
        <v>19.05</v>
      </c>
      <c r="T81" s="6">
        <v>19.05</v>
      </c>
      <c r="U81" s="1">
        <v>0</v>
      </c>
      <c r="V81" s="1">
        <v>1.6</v>
      </c>
      <c r="W81" s="23">
        <v>350</v>
      </c>
      <c r="X81" s="23"/>
      <c r="Y81" s="2">
        <v>0</v>
      </c>
      <c r="Z81" s="2"/>
      <c r="AA81" s="4">
        <f t="shared" si="14"/>
        <v>0</v>
      </c>
      <c r="AB81" s="1">
        <f t="shared" si="15"/>
        <v>0</v>
      </c>
      <c r="AC81" s="1">
        <f t="shared" si="7"/>
        <v>0</v>
      </c>
      <c r="AD81" s="1">
        <f t="shared" si="16"/>
        <v>0</v>
      </c>
      <c r="AE81" s="1"/>
      <c r="AF81" s="1"/>
      <c r="AG81" s="1"/>
      <c r="AH81" s="1">
        <f t="shared" si="17"/>
        <v>0</v>
      </c>
      <c r="AI81" s="118" t="e">
        <f t="shared" si="18"/>
        <v>#DIV/0!</v>
      </c>
    </row>
    <row r="82" spans="1:35" hidden="1" x14ac:dyDescent="0.25">
      <c r="A82" s="30">
        <v>467</v>
      </c>
      <c r="B82" s="5" t="s">
        <v>1816</v>
      </c>
      <c r="C82" s="2" t="s">
        <v>284</v>
      </c>
      <c r="D82" s="2"/>
      <c r="E82" s="2">
        <v>129663</v>
      </c>
      <c r="F82" s="2">
        <v>3510171</v>
      </c>
      <c r="G82" s="2" t="s">
        <v>1903</v>
      </c>
      <c r="H82" s="2"/>
      <c r="I82" s="2"/>
      <c r="J82" s="2"/>
      <c r="K82" s="2" t="s">
        <v>239</v>
      </c>
      <c r="L82" s="2"/>
      <c r="M82" s="2"/>
      <c r="N82" s="2"/>
      <c r="O82" s="2"/>
      <c r="P82" s="557" t="str">
        <f>CONCATENATE(schedule13[[#This Row],[OD]],"-",schedule13[[#This Row],[ID]],"-",schedule13[[#This Row],[TICKNESS]],"-",schedule13[[#This Row],[GRADE]],"-",schedule13[[#This Row],[FC/NFC]])</f>
        <v>19.05-0-1.6--</v>
      </c>
      <c r="Q82" s="557"/>
      <c r="R82" s="557"/>
      <c r="S82" s="1">
        <v>19.05</v>
      </c>
      <c r="T82" s="1">
        <v>19.05</v>
      </c>
      <c r="U82" s="1">
        <v>0</v>
      </c>
      <c r="V82" s="1">
        <v>1.6</v>
      </c>
      <c r="W82" s="23">
        <v>469</v>
      </c>
      <c r="X82" s="23"/>
      <c r="Y82" s="2">
        <v>0</v>
      </c>
      <c r="Z82" s="2"/>
      <c r="AA82" s="4">
        <f t="shared" si="14"/>
        <v>0</v>
      </c>
      <c r="AB82" s="1">
        <f t="shared" si="15"/>
        <v>0</v>
      </c>
      <c r="AC82" s="1">
        <f t="shared" si="7"/>
        <v>0</v>
      </c>
      <c r="AD82" s="1">
        <f t="shared" si="16"/>
        <v>0</v>
      </c>
      <c r="AE82" s="1"/>
      <c r="AF82" s="1"/>
      <c r="AG82" s="1"/>
      <c r="AH82" s="1">
        <f t="shared" si="17"/>
        <v>0</v>
      </c>
      <c r="AI82" s="118" t="e">
        <f t="shared" si="18"/>
        <v>#DIV/0!</v>
      </c>
    </row>
    <row r="83" spans="1:35" hidden="1" x14ac:dyDescent="0.25">
      <c r="A83" s="30">
        <v>468</v>
      </c>
      <c r="B83" s="5" t="s">
        <v>1816</v>
      </c>
      <c r="C83" s="2" t="s">
        <v>284</v>
      </c>
      <c r="D83" s="2"/>
      <c r="E83" s="2">
        <v>129663</v>
      </c>
      <c r="F83" s="2">
        <v>3499121</v>
      </c>
      <c r="G83" s="2" t="s">
        <v>1696</v>
      </c>
      <c r="H83" s="2" t="s">
        <v>962</v>
      </c>
      <c r="I83" s="2" t="s">
        <v>1894</v>
      </c>
      <c r="J83" s="2" t="s">
        <v>1003</v>
      </c>
      <c r="K83" s="2" t="s">
        <v>239</v>
      </c>
      <c r="L83" s="2"/>
      <c r="M83" s="2"/>
      <c r="N83" s="2"/>
      <c r="O83" s="2"/>
      <c r="P83" s="557" t="str">
        <f>CONCATENATE(schedule13[[#This Row],[OD]],"-",schedule13[[#This Row],[ID]],"-",schedule13[[#This Row],[TICKNESS]],"-",schedule13[[#This Row],[GRADE]],"-",schedule13[[#This Row],[FC/NFC]])</f>
        <v>42.7-0-4-ERW 1-FC</v>
      </c>
      <c r="Q83" s="557"/>
      <c r="R83" s="557"/>
      <c r="S83" s="1">
        <v>42.7</v>
      </c>
      <c r="T83" s="1">
        <v>42.7</v>
      </c>
      <c r="U83" s="1">
        <v>0</v>
      </c>
      <c r="V83" s="1">
        <v>4</v>
      </c>
      <c r="W83" s="29">
        <v>290</v>
      </c>
      <c r="X83" s="29"/>
      <c r="Y83" s="2">
        <v>0</v>
      </c>
      <c r="Z83" s="2"/>
      <c r="AA83" s="4">
        <f t="shared" si="14"/>
        <v>0</v>
      </c>
      <c r="AB83" s="1">
        <f t="shared" si="15"/>
        <v>0</v>
      </c>
      <c r="AC83" s="1">
        <f t="shared" si="7"/>
        <v>0</v>
      </c>
      <c r="AD83" s="1">
        <f t="shared" si="16"/>
        <v>0</v>
      </c>
      <c r="AE83" s="1"/>
      <c r="AF83" s="1"/>
      <c r="AG83" s="1"/>
      <c r="AH83" s="1">
        <f t="shared" si="17"/>
        <v>0</v>
      </c>
      <c r="AI83" s="118" t="e">
        <f t="shared" si="18"/>
        <v>#DIV/0!</v>
      </c>
    </row>
    <row r="84" spans="1:35" hidden="1" x14ac:dyDescent="0.25">
      <c r="A84" s="30">
        <v>469</v>
      </c>
      <c r="B84" s="5" t="s">
        <v>1816</v>
      </c>
      <c r="C84" s="2" t="s">
        <v>284</v>
      </c>
      <c r="D84" s="2"/>
      <c r="E84" s="2">
        <v>129663</v>
      </c>
      <c r="F84" s="2">
        <v>319456</v>
      </c>
      <c r="G84" s="2" t="s">
        <v>1905</v>
      </c>
      <c r="H84" s="2"/>
      <c r="I84" s="2"/>
      <c r="J84" s="2"/>
      <c r="K84" s="2" t="s">
        <v>239</v>
      </c>
      <c r="L84" s="2"/>
      <c r="M84" s="2"/>
      <c r="N84" s="2"/>
      <c r="O84" s="2"/>
      <c r="P84" s="557" t="str">
        <f>CONCATENATE(schedule13[[#This Row],[OD]],"-",schedule13[[#This Row],[ID]],"-",schedule13[[#This Row],[TICKNESS]],"-",schedule13[[#This Row],[GRADE]],"-",schedule13[[#This Row],[FC/NFC]])</f>
        <v>19.05-0-1.63--</v>
      </c>
      <c r="Q84" s="557"/>
      <c r="R84" s="557"/>
      <c r="S84" s="1">
        <v>19.05</v>
      </c>
      <c r="T84" s="1">
        <v>19.05</v>
      </c>
      <c r="U84" s="1">
        <v>0</v>
      </c>
      <c r="V84" s="1">
        <v>1.63</v>
      </c>
      <c r="W84" s="23">
        <v>336</v>
      </c>
      <c r="X84" s="23"/>
      <c r="Y84" s="2">
        <v>0</v>
      </c>
      <c r="Z84" s="2"/>
      <c r="AA84" s="4">
        <f t="shared" si="14"/>
        <v>0</v>
      </c>
      <c r="AB84" s="1">
        <f t="shared" si="15"/>
        <v>0</v>
      </c>
      <c r="AC84" s="1">
        <f t="shared" si="7"/>
        <v>0</v>
      </c>
      <c r="AD84" s="1">
        <f t="shared" si="16"/>
        <v>0</v>
      </c>
      <c r="AE84" s="1"/>
      <c r="AF84" s="1"/>
      <c r="AG84" s="1"/>
      <c r="AH84" s="1">
        <f t="shared" si="17"/>
        <v>0</v>
      </c>
      <c r="AI84" s="118" t="e">
        <f t="shared" si="18"/>
        <v>#DIV/0!</v>
      </c>
    </row>
    <row r="85" spans="1:35" hidden="1" x14ac:dyDescent="0.25">
      <c r="A85" s="30">
        <v>470</v>
      </c>
      <c r="B85" s="5" t="s">
        <v>1816</v>
      </c>
      <c r="C85" s="2" t="s">
        <v>284</v>
      </c>
      <c r="D85" s="2"/>
      <c r="E85" s="2">
        <v>129663</v>
      </c>
      <c r="F85" s="2">
        <v>2410995</v>
      </c>
      <c r="G85" s="2" t="s">
        <v>6555</v>
      </c>
      <c r="H85" s="2" t="s">
        <v>357</v>
      </c>
      <c r="I85" s="2"/>
      <c r="J85" s="2" t="s">
        <v>357</v>
      </c>
      <c r="K85" s="2" t="s">
        <v>239</v>
      </c>
      <c r="L85" s="2"/>
      <c r="M85" s="2"/>
      <c r="N85" s="2"/>
      <c r="O85" s="2"/>
      <c r="P85" s="557" t="str">
        <f>CONCATENATE(schedule13[[#This Row],[OD]],"-",schedule13[[#This Row],[ID]],"-",schedule13[[#This Row],[TICKNESS]],"-",schedule13[[#This Row],[GRADE]],"-",schedule13[[#This Row],[FC/NFC]])</f>
        <v>16.1-10.7-2.95-CEW-CEW</v>
      </c>
      <c r="Q85" s="557"/>
      <c r="R85" s="557"/>
      <c r="S85" s="1">
        <v>16.100000000000001</v>
      </c>
      <c r="T85" s="1">
        <v>16.100000000000001</v>
      </c>
      <c r="U85" s="1">
        <v>10.7</v>
      </c>
      <c r="V85" s="1">
        <v>2.95</v>
      </c>
      <c r="W85" s="23">
        <v>4600</v>
      </c>
      <c r="X85" s="23"/>
      <c r="Y85" s="2">
        <v>218</v>
      </c>
      <c r="Z85" s="2"/>
      <c r="AA85" s="4">
        <f t="shared" si="14"/>
        <v>218</v>
      </c>
      <c r="AB85" s="1">
        <f t="shared" si="15"/>
        <v>0.95902928670700038</v>
      </c>
      <c r="AC85" s="1">
        <f t="shared" si="7"/>
        <v>0</v>
      </c>
      <c r="AD85" s="1">
        <f t="shared" si="16"/>
        <v>0.95902928670700038</v>
      </c>
      <c r="AE85" s="1"/>
      <c r="AF85" s="1"/>
      <c r="AG85" s="1"/>
      <c r="AH85" s="1">
        <f t="shared" si="17"/>
        <v>0</v>
      </c>
      <c r="AI85" s="118" t="e">
        <f t="shared" si="18"/>
        <v>#DIV/0!</v>
      </c>
    </row>
    <row r="86" spans="1:35" hidden="1" x14ac:dyDescent="0.25">
      <c r="A86" s="30">
        <v>471</v>
      </c>
      <c r="B86" s="5" t="s">
        <v>1872</v>
      </c>
      <c r="C86" s="2" t="s">
        <v>164</v>
      </c>
      <c r="D86" s="2"/>
      <c r="E86" s="2">
        <v>129663</v>
      </c>
      <c r="F86" s="2">
        <v>1931823</v>
      </c>
      <c r="G86" s="2" t="s">
        <v>1876</v>
      </c>
      <c r="H86" s="2" t="s">
        <v>357</v>
      </c>
      <c r="I86" s="2"/>
      <c r="J86" s="2"/>
      <c r="K86" s="2" t="s">
        <v>239</v>
      </c>
      <c r="L86" s="2"/>
      <c r="M86" s="2"/>
      <c r="N86" s="2"/>
      <c r="O86" s="2"/>
      <c r="P86" s="557" t="str">
        <f>CONCATENATE(schedule13[[#This Row],[OD]],"-",schedule13[[#This Row],[ID]],"-",schedule13[[#This Row],[TICKNESS]],"-",schedule13[[#This Row],[GRADE]],"-",schedule13[[#This Row],[FC/NFC]])</f>
        <v>17.3-0-1.6-CEW-</v>
      </c>
      <c r="Q86" s="557"/>
      <c r="R86" s="557"/>
      <c r="S86" s="1">
        <v>17.3</v>
      </c>
      <c r="T86" s="1">
        <v>17.3</v>
      </c>
      <c r="U86" s="1">
        <v>0</v>
      </c>
      <c r="V86" s="1">
        <v>1.6</v>
      </c>
      <c r="W86" s="23">
        <v>6000</v>
      </c>
      <c r="X86" s="23"/>
      <c r="Y86" s="2">
        <v>0</v>
      </c>
      <c r="Z86" s="2"/>
      <c r="AA86" s="4">
        <f t="shared" si="14"/>
        <v>0</v>
      </c>
      <c r="AB86" s="1">
        <f t="shared" si="15"/>
        <v>0</v>
      </c>
      <c r="AC86" s="1">
        <f t="shared" si="7"/>
        <v>0</v>
      </c>
      <c r="AD86" s="1">
        <f t="shared" si="16"/>
        <v>0</v>
      </c>
      <c r="AE86" s="1"/>
      <c r="AF86" s="1"/>
      <c r="AG86" s="1"/>
      <c r="AH86" s="1">
        <f t="shared" si="17"/>
        <v>0.95902928670700038</v>
      </c>
      <c r="AI86" s="118">
        <f t="shared" si="18"/>
        <v>0</v>
      </c>
    </row>
    <row r="87" spans="1:35" hidden="1" x14ac:dyDescent="0.25">
      <c r="A87" s="30">
        <v>472</v>
      </c>
      <c r="B87" s="5" t="s">
        <v>1816</v>
      </c>
      <c r="C87" s="2" t="s">
        <v>287</v>
      </c>
      <c r="D87" s="2"/>
      <c r="E87" s="2">
        <v>940921</v>
      </c>
      <c r="F87" s="2">
        <v>1940879</v>
      </c>
      <c r="G87" s="2" t="s">
        <v>676</v>
      </c>
      <c r="H87" s="2" t="s">
        <v>962</v>
      </c>
      <c r="I87" s="2"/>
      <c r="J87" s="2" t="s">
        <v>1003</v>
      </c>
      <c r="K87" s="2" t="s">
        <v>239</v>
      </c>
      <c r="L87" s="2" t="s">
        <v>1891</v>
      </c>
      <c r="M87" s="2"/>
      <c r="N87" s="2"/>
      <c r="O87" s="2"/>
      <c r="P87" s="557" t="str">
        <f>CONCATENATE(schedule13[[#This Row],[OD]],"-",schedule13[[#This Row],[ID]],"-",schedule13[[#This Row],[TICKNESS]],"-",schedule13[[#This Row],[GRADE]],"-",schedule13[[#This Row],[FC/NFC]])</f>
        <v>50-30-1.6-ERW 1-FC</v>
      </c>
      <c r="Q87" s="557"/>
      <c r="R87" s="557"/>
      <c r="S87" s="1">
        <v>50.8</v>
      </c>
      <c r="T87" s="1">
        <v>50</v>
      </c>
      <c r="U87" s="1">
        <v>30</v>
      </c>
      <c r="V87" s="1">
        <v>1.6</v>
      </c>
      <c r="W87" s="23">
        <v>636</v>
      </c>
      <c r="X87" s="23"/>
      <c r="Y87" s="2">
        <v>7750</v>
      </c>
      <c r="Z87" s="2"/>
      <c r="AA87" s="4">
        <f t="shared" si="14"/>
        <v>7750</v>
      </c>
      <c r="AB87" s="1">
        <f t="shared" si="15"/>
        <v>9.5656322246399998</v>
      </c>
      <c r="AC87" s="1">
        <f t="shared" si="7"/>
        <v>0</v>
      </c>
      <c r="AD87" s="1">
        <f t="shared" si="16"/>
        <v>9.5656322246399998</v>
      </c>
      <c r="AE87" s="1"/>
      <c r="AF87" s="1">
        <v>0.75475400000000004</v>
      </c>
      <c r="AG87" s="1"/>
      <c r="AH87" s="1">
        <f t="shared" si="17"/>
        <v>-0.75475400000000004</v>
      </c>
      <c r="AI87" s="118" t="e">
        <f t="shared" si="18"/>
        <v>#DIV/0!</v>
      </c>
    </row>
    <row r="88" spans="1:35" hidden="1" x14ac:dyDescent="0.25">
      <c r="A88" s="30">
        <v>473</v>
      </c>
      <c r="B88" s="5" t="s">
        <v>1816</v>
      </c>
      <c r="C88" s="2" t="s">
        <v>287</v>
      </c>
      <c r="D88" s="2"/>
      <c r="E88" s="2">
        <v>940921</v>
      </c>
      <c r="F88" s="2">
        <v>1940718</v>
      </c>
      <c r="G88" s="2" t="s">
        <v>1631</v>
      </c>
      <c r="H88" s="2" t="s">
        <v>962</v>
      </c>
      <c r="I88" s="2"/>
      <c r="J88" s="2" t="s">
        <v>1003</v>
      </c>
      <c r="K88" s="2" t="s">
        <v>239</v>
      </c>
      <c r="L88" s="2"/>
      <c r="M88" s="2"/>
      <c r="N88" s="2"/>
      <c r="O88" s="2"/>
      <c r="P88" s="557" t="str">
        <f>CONCATENATE(schedule13[[#This Row],[OD]],"-",schedule13[[#This Row],[ID]],"-",schedule13[[#This Row],[TICKNESS]],"-",schedule13[[#This Row],[GRADE]],"-",schedule13[[#This Row],[FC/NFC]])</f>
        <v>34.93-0-2.6-ERW 1-FC</v>
      </c>
      <c r="Q88" s="557"/>
      <c r="R88" s="557"/>
      <c r="S88" s="1">
        <v>34.93</v>
      </c>
      <c r="T88" s="1">
        <v>34.93</v>
      </c>
      <c r="U88" s="1">
        <v>0</v>
      </c>
      <c r="V88" s="1">
        <v>2.6</v>
      </c>
      <c r="W88" s="24">
        <v>1721</v>
      </c>
      <c r="X88" s="24"/>
      <c r="Y88" s="2">
        <v>2450</v>
      </c>
      <c r="Z88" s="2"/>
      <c r="AA88" s="4">
        <f t="shared" si="14"/>
        <v>2450</v>
      </c>
      <c r="AB88" s="1">
        <f t="shared" si="15"/>
        <v>8.7376729076273012</v>
      </c>
      <c r="AC88" s="1">
        <f t="shared" si="7"/>
        <v>0</v>
      </c>
      <c r="AD88" s="1">
        <f t="shared" si="16"/>
        <v>8.7376729076273012</v>
      </c>
      <c r="AE88" s="1"/>
      <c r="AF88" s="1">
        <v>2.9545360000000001</v>
      </c>
      <c r="AG88" s="1"/>
      <c r="AH88" s="1">
        <f t="shared" si="17"/>
        <v>6.6110962246399998</v>
      </c>
      <c r="AI88" s="118">
        <f t="shared" si="18"/>
        <v>0.30886991373026507</v>
      </c>
    </row>
    <row r="89" spans="1:35" hidden="1" x14ac:dyDescent="0.25">
      <c r="A89" s="30">
        <v>474</v>
      </c>
      <c r="B89" s="5" t="s">
        <v>1816</v>
      </c>
      <c r="C89" s="2" t="s">
        <v>287</v>
      </c>
      <c r="D89" s="2"/>
      <c r="E89" s="2">
        <v>940921</v>
      </c>
      <c r="F89" s="2">
        <v>1155165</v>
      </c>
      <c r="G89" s="2" t="s">
        <v>1627</v>
      </c>
      <c r="H89" s="2" t="s">
        <v>962</v>
      </c>
      <c r="I89" s="2"/>
      <c r="J89" s="2" t="s">
        <v>1003</v>
      </c>
      <c r="K89" s="2" t="s">
        <v>1867</v>
      </c>
      <c r="L89" s="44" t="s">
        <v>1914</v>
      </c>
      <c r="M89" s="2"/>
      <c r="N89" s="2"/>
      <c r="O89" s="2"/>
      <c r="P89" s="557" t="str">
        <f>CONCATENATE(schedule13[[#This Row],[OD]],"-",schedule13[[#This Row],[ID]],"-",schedule13[[#This Row],[TICKNESS]],"-",schedule13[[#This Row],[GRADE]],"-",schedule13[[#This Row],[FC/NFC]])</f>
        <v>34.93-0-1.6-ERW 1-FC</v>
      </c>
      <c r="Q89" s="557"/>
      <c r="R89" s="557"/>
      <c r="S89" s="1">
        <v>34.93</v>
      </c>
      <c r="T89" s="1">
        <v>34.93</v>
      </c>
      <c r="U89" s="1">
        <v>0</v>
      </c>
      <c r="V89" s="1">
        <v>1.6</v>
      </c>
      <c r="W89" s="24">
        <v>1726</v>
      </c>
      <c r="X89" s="24"/>
      <c r="Y89" s="2">
        <v>2600</v>
      </c>
      <c r="Z89" s="2"/>
      <c r="AA89" s="4">
        <f t="shared" si="14"/>
        <v>2600</v>
      </c>
      <c r="AB89" s="1">
        <f t="shared" si="15"/>
        <v>5.8998261077184004</v>
      </c>
      <c r="AC89" s="1">
        <f t="shared" ref="AC89:AC152" si="19">(S89-V89)*V89*W89*0.024653*Z89/1000000</f>
        <v>0</v>
      </c>
      <c r="AD89" s="1">
        <f t="shared" si="16"/>
        <v>5.8998261077184004</v>
      </c>
      <c r="AE89" s="1"/>
      <c r="AF89" s="1"/>
      <c r="AG89" s="1"/>
      <c r="AH89" s="1">
        <f t="shared" si="17"/>
        <v>8.7376729076273012</v>
      </c>
      <c r="AI89" s="118">
        <f t="shared" si="18"/>
        <v>0</v>
      </c>
    </row>
    <row r="90" spans="1:35" hidden="1" x14ac:dyDescent="0.25">
      <c r="A90" s="30">
        <v>475</v>
      </c>
      <c r="B90" s="5" t="s">
        <v>1816</v>
      </c>
      <c r="C90" s="2" t="s">
        <v>287</v>
      </c>
      <c r="D90" s="2"/>
      <c r="E90" s="2">
        <v>940921</v>
      </c>
      <c r="F90" s="2">
        <v>460176</v>
      </c>
      <c r="G90" s="2" t="s">
        <v>1744</v>
      </c>
      <c r="H90" s="2" t="s">
        <v>962</v>
      </c>
      <c r="I90" s="2"/>
      <c r="J90" s="2" t="s">
        <v>1003</v>
      </c>
      <c r="K90" s="2" t="s">
        <v>239</v>
      </c>
      <c r="L90" s="2"/>
      <c r="M90" s="2"/>
      <c r="N90" s="2" t="s">
        <v>1895</v>
      </c>
      <c r="O90" s="2"/>
      <c r="P90" s="557" t="str">
        <f>CONCATENATE(schedule13[[#This Row],[OD]],"-",schedule13[[#This Row],[ID]],"-",schedule13[[#This Row],[TICKNESS]],"-",schedule13[[#This Row],[GRADE]],"-",schedule13[[#This Row],[FC/NFC]])</f>
        <v>57.15-0-2-ERW 1-FC</v>
      </c>
      <c r="Q90" s="557" t="str">
        <f>_xlfn.CONCAT(schedule13[[#This Row],[Bucket]],"-",schedule13[[#This Row],[LENGTH]]/1000)</f>
        <v>57.15-0-2-ERW 1-FC-0.713</v>
      </c>
      <c r="R90" s="557">
        <f>COUNTIF(buckets[CTL Bucket],schedule13[[#This Row],[CTL Bucket]])</f>
        <v>3</v>
      </c>
      <c r="S90" s="1">
        <v>57.15</v>
      </c>
      <c r="T90" s="1">
        <v>57.15</v>
      </c>
      <c r="U90" s="1">
        <v>0</v>
      </c>
      <c r="V90" s="1">
        <v>2</v>
      </c>
      <c r="W90" s="24">
        <v>713</v>
      </c>
      <c r="X90" s="22" t="s">
        <v>397</v>
      </c>
      <c r="Y90" s="2">
        <v>6300</v>
      </c>
      <c r="Z90" s="2"/>
      <c r="AA90" s="4">
        <f t="shared" si="14"/>
        <v>6300</v>
      </c>
      <c r="AB90" s="1">
        <f t="shared" si="15"/>
        <v>12.214490820209999</v>
      </c>
      <c r="AC90" s="1">
        <f t="shared" si="19"/>
        <v>0</v>
      </c>
      <c r="AD90" s="1">
        <f t="shared" si="16"/>
        <v>12.214490820209999</v>
      </c>
      <c r="AE90" s="1"/>
      <c r="AF90" s="1">
        <v>0.33487100000000003</v>
      </c>
      <c r="AG90" s="1"/>
      <c r="AH90" s="1">
        <f t="shared" si="17"/>
        <v>5.5649551077184007</v>
      </c>
      <c r="AI90" s="118">
        <f t="shared" si="18"/>
        <v>5.6759469497229369E-2</v>
      </c>
    </row>
    <row r="91" spans="1:35" hidden="1" x14ac:dyDescent="0.25">
      <c r="A91" s="30">
        <v>476</v>
      </c>
      <c r="B91" s="5" t="s">
        <v>1816</v>
      </c>
      <c r="C91" s="2" t="s">
        <v>287</v>
      </c>
      <c r="D91" s="2"/>
      <c r="E91" s="2">
        <v>940921</v>
      </c>
      <c r="F91" s="2">
        <v>468311</v>
      </c>
      <c r="G91" s="2" t="s">
        <v>1882</v>
      </c>
      <c r="H91" s="2" t="s">
        <v>962</v>
      </c>
      <c r="I91" s="2"/>
      <c r="J91" s="2" t="s">
        <v>963</v>
      </c>
      <c r="K91" s="2" t="s">
        <v>239</v>
      </c>
      <c r="L91" s="2"/>
      <c r="M91" s="2"/>
      <c r="N91" s="2"/>
      <c r="O91" s="2"/>
      <c r="P91" s="557" t="str">
        <f>CONCATENATE(schedule13[[#This Row],[OD]],"-",schedule13[[#This Row],[ID]],"-",schedule13[[#This Row],[TICKNESS]],"-",schedule13[[#This Row],[GRADE]],"-",schedule13[[#This Row],[FC/NFC]])</f>
        <v>15.88-0-2-ERW 1-PE</v>
      </c>
      <c r="Q91" s="557"/>
      <c r="R91" s="557"/>
      <c r="S91" s="1">
        <v>15.88</v>
      </c>
      <c r="T91" s="1">
        <v>15.88</v>
      </c>
      <c r="U91" s="1">
        <v>0</v>
      </c>
      <c r="V91" s="1">
        <v>2</v>
      </c>
      <c r="W91" s="24">
        <v>291</v>
      </c>
      <c r="X91" s="24"/>
      <c r="Y91" s="2">
        <v>9100</v>
      </c>
      <c r="Z91" s="2"/>
      <c r="AA91" s="4">
        <f t="shared" si="14"/>
        <v>9100</v>
      </c>
      <c r="AB91" s="1">
        <f t="shared" si="15"/>
        <v>1.812272994168</v>
      </c>
      <c r="AC91" s="1">
        <f t="shared" si="19"/>
        <v>0</v>
      </c>
      <c r="AD91" s="1">
        <f t="shared" si="16"/>
        <v>1.812272994168</v>
      </c>
      <c r="AE91" s="1"/>
      <c r="AF91" s="1">
        <v>0.43018800000000001</v>
      </c>
      <c r="AG91" s="1"/>
      <c r="AH91" s="1">
        <f t="shared" si="17"/>
        <v>11.78430282021</v>
      </c>
      <c r="AI91" s="118">
        <f t="shared" si="18"/>
        <v>3.5219478759459577E-2</v>
      </c>
    </row>
    <row r="92" spans="1:35" hidden="1" x14ac:dyDescent="0.25">
      <c r="A92" s="30">
        <v>477</v>
      </c>
      <c r="B92" s="5" t="s">
        <v>1816</v>
      </c>
      <c r="C92" s="2" t="s">
        <v>287</v>
      </c>
      <c r="D92" s="2"/>
      <c r="E92" s="2">
        <v>940921</v>
      </c>
      <c r="F92" s="2">
        <v>3164112</v>
      </c>
      <c r="G92" s="2" t="s">
        <v>569</v>
      </c>
      <c r="H92" s="2" t="s">
        <v>962</v>
      </c>
      <c r="I92" s="2"/>
      <c r="J92" s="2" t="s">
        <v>1003</v>
      </c>
      <c r="K92" s="2"/>
      <c r="L92" s="2"/>
      <c r="M92" s="2"/>
      <c r="N92" s="2"/>
      <c r="O92" s="2"/>
      <c r="P92" s="557" t="s">
        <v>568</v>
      </c>
      <c r="Q92" s="557"/>
      <c r="R92" s="557"/>
      <c r="S92" s="1">
        <v>48.6</v>
      </c>
      <c r="T92" s="1">
        <v>59</v>
      </c>
      <c r="U92" s="1">
        <v>30</v>
      </c>
      <c r="V92" s="1">
        <v>1.6</v>
      </c>
      <c r="W92" s="24">
        <v>641</v>
      </c>
      <c r="X92" s="24"/>
      <c r="Y92" s="2">
        <v>11600</v>
      </c>
      <c r="Z92" s="2"/>
      <c r="AA92" s="4">
        <f t="shared" si="14"/>
        <v>11600</v>
      </c>
      <c r="AB92" s="1">
        <f t="shared" si="15"/>
        <v>13.784900479360001</v>
      </c>
      <c r="AC92" s="1">
        <f t="shared" si="19"/>
        <v>0</v>
      </c>
      <c r="AD92" s="1">
        <f t="shared" si="16"/>
        <v>13.784900479360001</v>
      </c>
      <c r="AE92" s="1"/>
      <c r="AF92" s="1"/>
      <c r="AG92" s="1"/>
      <c r="AH92" s="1"/>
      <c r="AI92" s="118"/>
    </row>
    <row r="93" spans="1:35" hidden="1" x14ac:dyDescent="0.25">
      <c r="A93" s="30">
        <v>478</v>
      </c>
      <c r="B93" s="5" t="s">
        <v>1816</v>
      </c>
      <c r="C93" s="2" t="s">
        <v>287</v>
      </c>
      <c r="D93" s="2"/>
      <c r="E93" s="2">
        <v>940921</v>
      </c>
      <c r="F93" s="2">
        <v>403039</v>
      </c>
      <c r="G93" s="2" t="s">
        <v>1635</v>
      </c>
      <c r="H93" s="2" t="s">
        <v>357</v>
      </c>
      <c r="I93" s="2"/>
      <c r="J93" s="2" t="s">
        <v>357</v>
      </c>
      <c r="K93" s="2" t="s">
        <v>239</v>
      </c>
      <c r="L93" s="2"/>
      <c r="M93" s="2"/>
      <c r="N93" s="2"/>
      <c r="O93" s="2"/>
      <c r="P93" s="557" t="str">
        <f>CONCATENATE(schedule13[[#This Row],[OD]],"-",schedule13[[#This Row],[ID]],"-",schedule13[[#This Row],[TICKNESS]],"-",schedule13[[#This Row],[GRADE]],"-",schedule13[[#This Row],[FC/NFC]])</f>
        <v>37.6-31.2-3.2-CEW-CEW</v>
      </c>
      <c r="Q93" s="557" t="str">
        <f>_xlfn.CONCAT(schedule13[[#This Row],[Bucket]],"-",schedule13[[#This Row],[LENGTH]]/1000)</f>
        <v>37.6-31.2-3.2-CEW-CEW-0.295</v>
      </c>
      <c r="R93" s="557">
        <f>COUNTIF(buckets[CTL Bucket],schedule13[[#This Row],[CTL Bucket]])</f>
        <v>2</v>
      </c>
      <c r="S93" s="1">
        <v>37.6</v>
      </c>
      <c r="T93" s="1">
        <v>37.6</v>
      </c>
      <c r="U93" s="1">
        <v>31.2</v>
      </c>
      <c r="V93" s="1">
        <v>3.2</v>
      </c>
      <c r="W93" s="24">
        <v>295</v>
      </c>
      <c r="X93" s="24" t="s">
        <v>397</v>
      </c>
      <c r="Y93" s="2">
        <v>6200</v>
      </c>
      <c r="Z93" s="2"/>
      <c r="AA93" s="4">
        <f t="shared" si="14"/>
        <v>6200</v>
      </c>
      <c r="AB93" s="1">
        <f t="shared" si="15"/>
        <v>4.9635442969600003</v>
      </c>
      <c r="AC93" s="1">
        <f t="shared" si="19"/>
        <v>0</v>
      </c>
      <c r="AD93" s="1">
        <f t="shared" si="16"/>
        <v>4.9635442969600003</v>
      </c>
      <c r="AE93" s="1"/>
      <c r="AF93" s="1"/>
      <c r="AG93" s="1"/>
      <c r="AH93" s="1">
        <f>AB91-AF93</f>
        <v>1.812272994168</v>
      </c>
      <c r="AI93" s="118">
        <f>(AC93+AF93)/AB91</f>
        <v>0</v>
      </c>
    </row>
    <row r="94" spans="1:35" hidden="1" x14ac:dyDescent="0.25">
      <c r="A94" s="30">
        <v>479</v>
      </c>
      <c r="B94" s="5" t="s">
        <v>1816</v>
      </c>
      <c r="C94" s="2" t="s">
        <v>287</v>
      </c>
      <c r="D94" s="2"/>
      <c r="E94" s="2">
        <v>940921</v>
      </c>
      <c r="F94" s="2"/>
      <c r="G94" s="2"/>
      <c r="H94" s="2"/>
      <c r="I94" s="2"/>
      <c r="J94" s="2"/>
      <c r="K94" s="2" t="s">
        <v>239</v>
      </c>
      <c r="L94" s="2"/>
      <c r="M94" s="2"/>
      <c r="N94" s="2"/>
      <c r="O94" s="2"/>
      <c r="P94" s="557" t="str">
        <f>CONCATENATE(schedule13[[#This Row],[OD]],"-",schedule13[[#This Row],[ID]],"-",schedule13[[#This Row],[TICKNESS]],"-",schedule13[[#This Row],[GRADE]],"-",schedule13[[#This Row],[FC/NFC]])</f>
        <v>22.23-0-2--</v>
      </c>
      <c r="Q94" s="557"/>
      <c r="R94" s="557"/>
      <c r="S94" s="1">
        <v>22.23</v>
      </c>
      <c r="T94" s="1">
        <v>22.23</v>
      </c>
      <c r="U94" s="1">
        <v>0</v>
      </c>
      <c r="V94" s="1">
        <v>2</v>
      </c>
      <c r="W94" s="24">
        <v>706</v>
      </c>
      <c r="X94" s="24"/>
      <c r="Y94" s="2">
        <v>0</v>
      </c>
      <c r="Z94" s="2"/>
      <c r="AA94" s="4">
        <f t="shared" si="14"/>
        <v>0</v>
      </c>
      <c r="AB94" s="1">
        <f t="shared" si="15"/>
        <v>0</v>
      </c>
      <c r="AC94" s="1">
        <f t="shared" si="19"/>
        <v>0</v>
      </c>
      <c r="AD94" s="1">
        <f t="shared" si="16"/>
        <v>0</v>
      </c>
      <c r="AE94" s="1"/>
      <c r="AF94" s="1">
        <v>0.47906199999999999</v>
      </c>
      <c r="AG94" s="1"/>
      <c r="AH94" s="1">
        <f t="shared" ref="AH94:AH99" si="20">AB93-AF94</f>
        <v>4.4844822969600004</v>
      </c>
      <c r="AI94" s="118">
        <f t="shared" ref="AI94:AI99" si="21">(AC94+AF94)/AB93</f>
        <v>9.6516112547521529E-2</v>
      </c>
    </row>
    <row r="95" spans="1:35" hidden="1" x14ac:dyDescent="0.25">
      <c r="A95" s="30">
        <v>480</v>
      </c>
      <c r="B95" s="5" t="s">
        <v>1816</v>
      </c>
      <c r="C95" s="2" t="s">
        <v>287</v>
      </c>
      <c r="D95" s="2"/>
      <c r="E95" s="2">
        <v>940921</v>
      </c>
      <c r="F95" s="2">
        <v>288719</v>
      </c>
      <c r="G95" s="2" t="s">
        <v>1481</v>
      </c>
      <c r="H95" s="2" t="s">
        <v>962</v>
      </c>
      <c r="I95" s="2"/>
      <c r="J95" s="2" t="s">
        <v>1003</v>
      </c>
      <c r="K95" s="2" t="s">
        <v>239</v>
      </c>
      <c r="L95" s="2"/>
      <c r="M95" s="2"/>
      <c r="N95" s="2"/>
      <c r="O95" s="2"/>
      <c r="P95" s="557" t="str">
        <f>CONCATENATE(schedule13[[#This Row],[OD]],"-",schedule13[[#This Row],[ID]],"-",schedule13[[#This Row],[TICKNESS]],"-",schedule13[[#This Row],[GRADE]],"-",schedule13[[#This Row],[FC/NFC]])</f>
        <v>22.23-0-2-ERW 1-FC</v>
      </c>
      <c r="Q95" s="557"/>
      <c r="R95" s="557"/>
      <c r="S95" s="1">
        <v>22.23</v>
      </c>
      <c r="T95" s="1">
        <v>22.23</v>
      </c>
      <c r="U95" s="1">
        <v>0</v>
      </c>
      <c r="V95" s="1">
        <v>2</v>
      </c>
      <c r="W95" s="24">
        <v>715</v>
      </c>
      <c r="X95" s="24"/>
      <c r="Y95" s="2">
        <v>7800</v>
      </c>
      <c r="Z95" s="2"/>
      <c r="AA95" s="4">
        <f t="shared" si="14"/>
        <v>7800</v>
      </c>
      <c r="AB95" s="1">
        <f t="shared" si="15"/>
        <v>5.562836539260001</v>
      </c>
      <c r="AC95" s="1">
        <f t="shared" si="19"/>
        <v>0</v>
      </c>
      <c r="AD95" s="1">
        <f t="shared" si="16"/>
        <v>5.562836539260001</v>
      </c>
      <c r="AE95" s="1"/>
      <c r="AF95" s="1"/>
      <c r="AG95" s="1"/>
      <c r="AH95" s="1">
        <f t="shared" si="20"/>
        <v>0</v>
      </c>
      <c r="AI95" s="118" t="e">
        <f t="shared" si="21"/>
        <v>#DIV/0!</v>
      </c>
    </row>
    <row r="96" spans="1:35" hidden="1" x14ac:dyDescent="0.25">
      <c r="A96" s="30">
        <v>259</v>
      </c>
      <c r="B96" s="5" t="s">
        <v>1872</v>
      </c>
      <c r="C96" s="2" t="s">
        <v>288</v>
      </c>
      <c r="D96" s="2"/>
      <c r="E96" s="2">
        <v>188934</v>
      </c>
      <c r="F96" s="2">
        <v>2359912</v>
      </c>
      <c r="G96" s="2" t="s">
        <v>825</v>
      </c>
      <c r="H96" s="2" t="s">
        <v>1023</v>
      </c>
      <c r="I96" s="2"/>
      <c r="J96" s="2" t="s">
        <v>357</v>
      </c>
      <c r="K96" s="2" t="s">
        <v>239</v>
      </c>
      <c r="L96" s="2"/>
      <c r="M96" s="2" t="s">
        <v>1516</v>
      </c>
      <c r="N96" s="2"/>
      <c r="O96" s="2"/>
      <c r="P96" s="557" t="str">
        <f>CONCATENATE(schedule13[[#This Row],[OD]],"-",schedule13[[#This Row],[ID]],"-",schedule13[[#This Row],[TICKNESS]],"-",schedule13[[#This Row],[GRADE]],"-",schedule13[[#This Row],[FC/NFC]])</f>
        <v>29.4-20.4-4.5-CEW STKM 13C-CEW</v>
      </c>
      <c r="Q96" s="557" t="str">
        <f>_xlfn.CONCAT(schedule13[[#This Row],[Bucket]],"-",schedule13[[#This Row],[LENGTH]]/1000)</f>
        <v>29.4-20.4-4.5-CEW STKM 13C-CEW-0.376</v>
      </c>
      <c r="R96" s="557">
        <f>COUNTIF(buckets[CTL Bucket],schedule13[[#This Row],[CTL Bucket]])</f>
        <v>1</v>
      </c>
      <c r="S96" s="1">
        <v>29.4</v>
      </c>
      <c r="T96" s="1">
        <v>29.4</v>
      </c>
      <c r="U96" s="1">
        <v>20.399999999999999</v>
      </c>
      <c r="V96" s="1">
        <v>4.5</v>
      </c>
      <c r="W96" s="24">
        <v>376</v>
      </c>
      <c r="X96" s="22" t="s">
        <v>397</v>
      </c>
      <c r="Y96" s="2">
        <v>8000</v>
      </c>
      <c r="Z96" s="2"/>
      <c r="AA96" s="4">
        <f t="shared" si="14"/>
        <v>8000</v>
      </c>
      <c r="AB96" s="1">
        <f t="shared" si="15"/>
        <v>8.3092048991999992</v>
      </c>
      <c r="AC96" s="1">
        <f t="shared" si="19"/>
        <v>0</v>
      </c>
      <c r="AD96" s="1">
        <f t="shared" si="16"/>
        <v>8.3092048991999992</v>
      </c>
      <c r="AE96" s="1"/>
      <c r="AF96" s="1">
        <v>0.17840400000000001</v>
      </c>
      <c r="AG96" s="1"/>
      <c r="AH96" s="1">
        <f t="shared" si="20"/>
        <v>5.3844325392600005</v>
      </c>
      <c r="AI96" s="118">
        <f t="shared" si="21"/>
        <v>3.2070688890623464E-2</v>
      </c>
    </row>
    <row r="97" spans="1:35" hidden="1" x14ac:dyDescent="0.25">
      <c r="A97" s="30">
        <v>260</v>
      </c>
      <c r="B97" s="5" t="s">
        <v>1872</v>
      </c>
      <c r="C97" s="2" t="s">
        <v>288</v>
      </c>
      <c r="D97" s="2"/>
      <c r="E97" s="2">
        <v>188934</v>
      </c>
      <c r="F97" s="2">
        <v>1941303</v>
      </c>
      <c r="G97" s="2" t="s">
        <v>1590</v>
      </c>
      <c r="H97" s="2" t="s">
        <v>1023</v>
      </c>
      <c r="I97" s="2"/>
      <c r="J97" s="2" t="s">
        <v>357</v>
      </c>
      <c r="K97" s="2" t="s">
        <v>239</v>
      </c>
      <c r="L97" s="2"/>
      <c r="M97" s="2" t="s">
        <v>1516</v>
      </c>
      <c r="N97" s="2"/>
      <c r="O97" s="2"/>
      <c r="P97" s="557" t="str">
        <f>CONCATENATE(schedule13[[#This Row],[OD]],"-",schedule13[[#This Row],[ID]],"-",schedule13[[#This Row],[TICKNESS]],"-",schedule13[[#This Row],[GRADE]],"-",schedule13[[#This Row],[FC/NFC]])</f>
        <v>29.4-20.4-4.5-CEW STKM 13C-CEW</v>
      </c>
      <c r="Q97" s="557" t="str">
        <f>_xlfn.CONCAT(schedule13[[#This Row],[Bucket]],"-",schedule13[[#This Row],[LENGTH]]/1000)</f>
        <v>29.4-20.4-4.5-CEW STKM 13C-CEW-0.361</v>
      </c>
      <c r="R97" s="557">
        <f>COUNTIF(buckets[CTL Bucket],schedule13[[#This Row],[CTL Bucket]])</f>
        <v>2</v>
      </c>
      <c r="S97" s="1">
        <v>29.4</v>
      </c>
      <c r="T97" s="1">
        <v>29.4</v>
      </c>
      <c r="U97" s="1">
        <v>20.399999999999999</v>
      </c>
      <c r="V97" s="1">
        <v>4.5</v>
      </c>
      <c r="W97" s="24">
        <v>361</v>
      </c>
      <c r="X97" s="22" t="s">
        <v>397</v>
      </c>
      <c r="Y97" s="2">
        <v>8000</v>
      </c>
      <c r="Z97" s="2"/>
      <c r="AA97" s="4">
        <f t="shared" si="14"/>
        <v>8000</v>
      </c>
      <c r="AB97" s="1">
        <f t="shared" si="15"/>
        <v>7.9777206612000002</v>
      </c>
      <c r="AC97" s="1">
        <f t="shared" si="19"/>
        <v>0</v>
      </c>
      <c r="AD97" s="1">
        <f t="shared" si="16"/>
        <v>7.9777206612000002</v>
      </c>
      <c r="AE97" s="1"/>
      <c r="AF97" s="1">
        <v>0.856437</v>
      </c>
      <c r="AG97" s="1"/>
      <c r="AH97" s="1">
        <f t="shared" si="20"/>
        <v>7.4527678991999995</v>
      </c>
      <c r="AI97" s="118">
        <f t="shared" si="21"/>
        <v>0.1030708726514202</v>
      </c>
    </row>
    <row r="98" spans="1:35" hidden="1" x14ac:dyDescent="0.25">
      <c r="A98" s="30">
        <v>261</v>
      </c>
      <c r="B98" s="5" t="s">
        <v>1872</v>
      </c>
      <c r="C98" s="2" t="s">
        <v>288</v>
      </c>
      <c r="D98" s="2"/>
      <c r="E98" s="2">
        <v>188934</v>
      </c>
      <c r="F98" s="2">
        <v>3190072</v>
      </c>
      <c r="G98" s="2" t="s">
        <v>1588</v>
      </c>
      <c r="H98" s="2" t="s">
        <v>1023</v>
      </c>
      <c r="I98" s="2"/>
      <c r="J98" s="2" t="s">
        <v>357</v>
      </c>
      <c r="K98" s="2" t="s">
        <v>239</v>
      </c>
      <c r="L98" s="2"/>
      <c r="M98" s="2"/>
      <c r="N98" s="2"/>
      <c r="O98" s="2"/>
      <c r="P98" s="557" t="str">
        <f>CONCATENATE(schedule13[[#This Row],[OD]],"-",schedule13[[#This Row],[ID]],"-",schedule13[[#This Row],[TICKNESS]],"-",schedule13[[#This Row],[GRADE]],"-",schedule13[[#This Row],[FC/NFC]])</f>
        <v>29.4-20.4-4.5-CEW STKM 13C-CEW</v>
      </c>
      <c r="Q98" s="557" t="str">
        <f>_xlfn.CONCAT(schedule13[[#This Row],[Bucket]],"-",schedule13[[#This Row],[LENGTH]]/1000)</f>
        <v>29.4-20.4-4.5-CEW STKM 13C-CEW-0.357</v>
      </c>
      <c r="R98" s="557">
        <f>COUNTIF(buckets[CTL Bucket],schedule13[[#This Row],[CTL Bucket]])</f>
        <v>1</v>
      </c>
      <c r="S98" s="1">
        <v>29.4</v>
      </c>
      <c r="T98" s="1">
        <v>29.4</v>
      </c>
      <c r="U98" s="1">
        <v>20.399999999999999</v>
      </c>
      <c r="V98" s="1">
        <v>4.5</v>
      </c>
      <c r="W98" s="24">
        <v>357</v>
      </c>
      <c r="X98" s="22" t="s">
        <v>397</v>
      </c>
      <c r="Y98" s="2">
        <v>0</v>
      </c>
      <c r="Z98" s="2"/>
      <c r="AA98" s="4">
        <f t="shared" si="14"/>
        <v>0</v>
      </c>
      <c r="AB98" s="1">
        <f t="shared" si="15"/>
        <v>0</v>
      </c>
      <c r="AC98" s="1">
        <f t="shared" si="19"/>
        <v>0</v>
      </c>
      <c r="AD98" s="1">
        <f t="shared" si="16"/>
        <v>0</v>
      </c>
      <c r="AE98" s="1"/>
      <c r="AF98" s="1">
        <v>1.6414340000000001</v>
      </c>
      <c r="AG98" s="1"/>
      <c r="AH98" s="1">
        <f t="shared" si="20"/>
        <v>6.3362866611999999</v>
      </c>
      <c r="AI98" s="118">
        <f t="shared" si="21"/>
        <v>0.20575225301923486</v>
      </c>
    </row>
    <row r="99" spans="1:35" hidden="1" x14ac:dyDescent="0.25">
      <c r="A99" s="30">
        <v>262</v>
      </c>
      <c r="B99" s="5" t="s">
        <v>1872</v>
      </c>
      <c r="C99" s="2" t="s">
        <v>288</v>
      </c>
      <c r="D99" s="2"/>
      <c r="E99" s="2">
        <v>188934</v>
      </c>
      <c r="F99" s="2">
        <v>3190073</v>
      </c>
      <c r="G99" s="2" t="s">
        <v>1919</v>
      </c>
      <c r="H99" s="2" t="s">
        <v>357</v>
      </c>
      <c r="I99" s="2"/>
      <c r="J99" s="2" t="s">
        <v>357</v>
      </c>
      <c r="K99" s="2" t="s">
        <v>239</v>
      </c>
      <c r="L99" s="2"/>
      <c r="M99" s="2"/>
      <c r="N99" s="2"/>
      <c r="O99" s="2"/>
      <c r="P99" s="557" t="str">
        <f>CONCATENATE(schedule13[[#This Row],[OD]],"-",schedule13[[#This Row],[ID]],"-",schedule13[[#This Row],[TICKNESS]],"-",schedule13[[#This Row],[GRADE]],"-",schedule13[[#This Row],[FC/NFC]])</f>
        <v>29.4-20.4-4.5-CEW-CEW</v>
      </c>
      <c r="Q99" s="557"/>
      <c r="R99" s="557"/>
      <c r="S99" s="1">
        <v>29.4</v>
      </c>
      <c r="T99" s="1">
        <v>29.4</v>
      </c>
      <c r="U99" s="1">
        <v>20.399999999999999</v>
      </c>
      <c r="V99" s="1">
        <v>4.5</v>
      </c>
      <c r="W99" s="24">
        <v>385</v>
      </c>
      <c r="X99" s="24"/>
      <c r="Y99" s="2">
        <v>2000</v>
      </c>
      <c r="Z99" s="2"/>
      <c r="AA99" s="4">
        <f t="shared" si="14"/>
        <v>2000</v>
      </c>
      <c r="AB99" s="1">
        <f t="shared" si="15"/>
        <v>2.1270238605</v>
      </c>
      <c r="AC99" s="1">
        <f t="shared" si="19"/>
        <v>0</v>
      </c>
      <c r="AD99" s="1">
        <f t="shared" si="16"/>
        <v>2.1270238605</v>
      </c>
      <c r="AE99" s="1"/>
      <c r="AF99" s="1">
        <v>0.7964</v>
      </c>
      <c r="AG99" s="1"/>
      <c r="AH99" s="1">
        <f t="shared" si="20"/>
        <v>-0.7964</v>
      </c>
      <c r="AI99" s="118" t="e">
        <f t="shared" si="21"/>
        <v>#DIV/0!</v>
      </c>
    </row>
    <row r="100" spans="1:35" hidden="1" x14ac:dyDescent="0.25">
      <c r="A100" s="30">
        <v>263</v>
      </c>
      <c r="B100" s="5" t="s">
        <v>1872</v>
      </c>
      <c r="C100" s="2" t="s">
        <v>288</v>
      </c>
      <c r="D100" s="557"/>
      <c r="E100" s="2">
        <v>188934</v>
      </c>
      <c r="F100" s="557">
        <v>3940551</v>
      </c>
      <c r="G100" s="2" t="s">
        <v>6556</v>
      </c>
      <c r="H100" s="2" t="s">
        <v>357</v>
      </c>
      <c r="I100" s="557"/>
      <c r="J100" s="2" t="s">
        <v>357</v>
      </c>
      <c r="K100" s="2" t="s">
        <v>239</v>
      </c>
      <c r="L100" s="557"/>
      <c r="M100" s="557" t="s">
        <v>1516</v>
      </c>
      <c r="N100" s="557"/>
      <c r="O100" s="557"/>
      <c r="P100" s="557" t="str">
        <f>CONCATENATE(schedule13[[#This Row],[OD]],"-",schedule13[[#This Row],[ID]],"-",schedule13[[#This Row],[TICKNESS]],"-",schedule13[[#This Row],[GRADE]],"-",schedule13[[#This Row],[FC/NFC]])</f>
        <v>29.4-20.4-4.5-CEW-CEW</v>
      </c>
      <c r="Q100" s="557" t="str">
        <f>_xlfn.CONCAT(schedule13[[#This Row],[Bucket]],"-",schedule13[[#This Row],[LENGTH]]/1000)</f>
        <v>29.4-20.4-4.5-CEW-CEW-0.36</v>
      </c>
      <c r="R100" s="557">
        <f>COUNTIF(buckets[CTL Bucket],schedule13[[#This Row],[CTL Bucket]])</f>
        <v>1</v>
      </c>
      <c r="S100" s="1">
        <v>29.4</v>
      </c>
      <c r="T100" s="1">
        <v>29.4</v>
      </c>
      <c r="U100" s="1">
        <v>20.399999999999999</v>
      </c>
      <c r="V100" s="1">
        <v>4.5</v>
      </c>
      <c r="W100" s="24">
        <v>360</v>
      </c>
      <c r="X100" s="22" t="s">
        <v>397</v>
      </c>
      <c r="Y100" s="557">
        <v>20000</v>
      </c>
      <c r="Z100" s="2"/>
      <c r="AA100" s="560">
        <f t="shared" si="14"/>
        <v>20000</v>
      </c>
      <c r="AB100" s="559">
        <f t="shared" ref="AB100:AB131" si="22">(S100-V100)*V100*W100*0.024653*Y100/1000000</f>
        <v>19.88905428</v>
      </c>
      <c r="AC100" s="1">
        <f t="shared" si="19"/>
        <v>0</v>
      </c>
      <c r="AD100" s="1">
        <f t="shared" si="16"/>
        <v>19.88905428</v>
      </c>
      <c r="AE100" s="1"/>
      <c r="AF100" s="1"/>
      <c r="AG100" s="1"/>
      <c r="AH100" s="1"/>
      <c r="AI100" s="118"/>
    </row>
    <row r="101" spans="1:35" hidden="1" x14ac:dyDescent="0.25">
      <c r="A101" s="30">
        <v>264</v>
      </c>
      <c r="B101" s="5" t="s">
        <v>1872</v>
      </c>
      <c r="C101" s="2" t="s">
        <v>288</v>
      </c>
      <c r="D101" s="2"/>
      <c r="E101" s="2">
        <v>188934</v>
      </c>
      <c r="F101" s="2">
        <v>1939282</v>
      </c>
      <c r="G101" s="2" t="s">
        <v>1920</v>
      </c>
      <c r="H101" s="2" t="s">
        <v>357</v>
      </c>
      <c r="I101" s="2"/>
      <c r="J101" s="2" t="s">
        <v>357</v>
      </c>
      <c r="K101" s="2" t="s">
        <v>239</v>
      </c>
      <c r="L101" s="2"/>
      <c r="M101" s="2"/>
      <c r="N101" s="2"/>
      <c r="O101" s="2"/>
      <c r="P101" s="557" t="str">
        <f>CONCATENATE(schedule13[[#This Row],[OD]],"-",schedule13[[#This Row],[ID]],"-",schedule13[[#This Row],[TICKNESS]],"-",schedule13[[#This Row],[GRADE]],"-",schedule13[[#This Row],[FC/NFC]])</f>
        <v>29.4-20.4-4.5-CEW-CEW</v>
      </c>
      <c r="Q101" s="557"/>
      <c r="R101" s="557"/>
      <c r="S101" s="1">
        <v>29.4</v>
      </c>
      <c r="T101" s="1">
        <v>29.4</v>
      </c>
      <c r="U101" s="1">
        <v>20.399999999999999</v>
      </c>
      <c r="V101" s="1">
        <v>4.5</v>
      </c>
      <c r="W101" s="24">
        <v>450</v>
      </c>
      <c r="X101" s="24"/>
      <c r="Y101" s="2">
        <v>4000</v>
      </c>
      <c r="Z101" s="2"/>
      <c r="AA101" s="4">
        <f t="shared" si="14"/>
        <v>4000</v>
      </c>
      <c r="AB101" s="1">
        <f t="shared" si="22"/>
        <v>4.97226357</v>
      </c>
      <c r="AC101" s="1">
        <f t="shared" si="19"/>
        <v>0</v>
      </c>
      <c r="AD101" s="1">
        <f t="shared" si="16"/>
        <v>4.97226357</v>
      </c>
      <c r="AE101" s="1"/>
      <c r="AF101" s="1">
        <v>0.33359300000000003</v>
      </c>
      <c r="AG101" s="1"/>
      <c r="AH101" s="1">
        <f>AB99-AF101</f>
        <v>1.7934308605</v>
      </c>
      <c r="AI101" s="118">
        <f>(AC101+AF101)/AB99</f>
        <v>0.15683557020445565</v>
      </c>
    </row>
    <row r="102" spans="1:35" hidden="1" x14ac:dyDescent="0.25">
      <c r="A102" s="30">
        <v>381</v>
      </c>
      <c r="B102" s="5" t="s">
        <v>1872</v>
      </c>
      <c r="C102" s="2" t="s">
        <v>288</v>
      </c>
      <c r="D102" s="2"/>
      <c r="E102" s="2">
        <v>188934</v>
      </c>
      <c r="F102" s="2">
        <v>1930110</v>
      </c>
      <c r="G102" s="2" t="s">
        <v>1916</v>
      </c>
      <c r="H102" s="2" t="s">
        <v>357</v>
      </c>
      <c r="I102" s="2"/>
      <c r="J102" s="2" t="s">
        <v>357</v>
      </c>
      <c r="K102" s="2" t="s">
        <v>239</v>
      </c>
      <c r="L102" s="2"/>
      <c r="M102" s="2"/>
      <c r="N102" s="2"/>
      <c r="O102" s="2"/>
      <c r="P102" s="557" t="str">
        <f>CONCATENATE(schedule13[[#This Row],[OD]],"-",schedule13[[#This Row],[ID]],"-",schedule13[[#This Row],[TICKNESS]],"-",schedule13[[#This Row],[GRADE]],"-",schedule13[[#This Row],[FC/NFC]])</f>
        <v>29.4-20.4-4.5-CEW-CEW</v>
      </c>
      <c r="Q102" s="557"/>
      <c r="R102" s="557"/>
      <c r="S102" s="1">
        <v>29.4</v>
      </c>
      <c r="T102" s="1">
        <v>29.4</v>
      </c>
      <c r="U102" s="1">
        <v>20.399999999999999</v>
      </c>
      <c r="V102" s="1">
        <v>4.5</v>
      </c>
      <c r="W102" s="23">
        <v>5200</v>
      </c>
      <c r="X102" s="23"/>
      <c r="Y102" s="2">
        <v>0</v>
      </c>
      <c r="Z102" s="2"/>
      <c r="AA102" s="4">
        <f t="shared" si="14"/>
        <v>0</v>
      </c>
      <c r="AB102" s="1">
        <f t="shared" si="22"/>
        <v>0</v>
      </c>
      <c r="AC102" s="1">
        <f t="shared" si="19"/>
        <v>0</v>
      </c>
      <c r="AD102" s="1">
        <f t="shared" si="16"/>
        <v>0</v>
      </c>
      <c r="AE102" s="1"/>
      <c r="AF102" s="1">
        <v>0.878</v>
      </c>
      <c r="AG102" s="1"/>
      <c r="AH102" s="1">
        <f t="shared" ref="AH102:AH117" si="23">AB101-AF102</f>
        <v>4.0942635699999999</v>
      </c>
      <c r="AI102" s="118">
        <f>(AC102+AF102)/AB101</f>
        <v>0.1765795371945659</v>
      </c>
    </row>
    <row r="103" spans="1:35" hidden="1" x14ac:dyDescent="0.25">
      <c r="A103" s="30">
        <v>370</v>
      </c>
      <c r="B103" s="5" t="s">
        <v>1816</v>
      </c>
      <c r="C103" s="2" t="s">
        <v>25</v>
      </c>
      <c r="D103" s="2"/>
      <c r="E103" s="2">
        <v>819045</v>
      </c>
      <c r="F103" s="2">
        <v>3533249</v>
      </c>
      <c r="G103" s="2" t="s">
        <v>733</v>
      </c>
      <c r="H103" s="2" t="s">
        <v>962</v>
      </c>
      <c r="I103" s="2"/>
      <c r="J103" s="2" t="s">
        <v>963</v>
      </c>
      <c r="K103" s="2" t="s">
        <v>1867</v>
      </c>
      <c r="L103" s="44" t="s">
        <v>1891</v>
      </c>
      <c r="M103" s="2"/>
      <c r="N103" s="2"/>
      <c r="O103" s="2"/>
      <c r="P103" s="557" t="str">
        <f>CONCATENATE(schedule13[[#This Row],[OD]],"-",schedule13[[#This Row],[ID]],"-",schedule13[[#This Row],[TICKNESS]],"-",schedule13[[#This Row],[GRADE]],"-",schedule13[[#This Row],[FC/NFC]])</f>
        <v>22.23-0-1.6-ERW 1-PE</v>
      </c>
      <c r="Q103" s="557"/>
      <c r="R103" s="557"/>
      <c r="S103" s="1">
        <v>22.23</v>
      </c>
      <c r="T103" s="1">
        <v>22.23</v>
      </c>
      <c r="U103" s="1">
        <v>0</v>
      </c>
      <c r="V103" s="1">
        <v>1.6</v>
      </c>
      <c r="W103" s="23">
        <v>1222</v>
      </c>
      <c r="X103" s="23"/>
      <c r="Y103" s="2">
        <v>0</v>
      </c>
      <c r="Z103" s="2"/>
      <c r="AA103" s="4">
        <f t="shared" si="14"/>
        <v>0</v>
      </c>
      <c r="AB103" s="1">
        <f t="shared" si="22"/>
        <v>0</v>
      </c>
      <c r="AC103" s="1">
        <f t="shared" si="19"/>
        <v>0</v>
      </c>
      <c r="AD103" s="1">
        <f t="shared" si="16"/>
        <v>0</v>
      </c>
      <c r="AE103" s="1"/>
      <c r="AF103" s="1"/>
      <c r="AG103" s="1"/>
      <c r="AH103" s="1">
        <f t="shared" si="23"/>
        <v>0</v>
      </c>
      <c r="AI103" s="118" t="e">
        <f>(AC103+AF103)/AB102</f>
        <v>#DIV/0!</v>
      </c>
    </row>
    <row r="104" spans="1:35" hidden="1" x14ac:dyDescent="0.25">
      <c r="A104" s="30">
        <v>371</v>
      </c>
      <c r="B104" s="5" t="s">
        <v>1816</v>
      </c>
      <c r="C104" s="2" t="s">
        <v>25</v>
      </c>
      <c r="D104" s="2"/>
      <c r="E104" s="2">
        <v>819045</v>
      </c>
      <c r="F104" s="2">
        <v>1940467</v>
      </c>
      <c r="G104" s="2" t="s">
        <v>766</v>
      </c>
      <c r="H104" s="2" t="s">
        <v>985</v>
      </c>
      <c r="I104" s="2"/>
      <c r="J104" s="2" t="s">
        <v>963</v>
      </c>
      <c r="K104" s="2" t="s">
        <v>239</v>
      </c>
      <c r="L104" s="44" t="s">
        <v>1924</v>
      </c>
      <c r="M104" s="2"/>
      <c r="N104" s="2"/>
      <c r="O104" s="2"/>
      <c r="P104" s="557" t="str">
        <f>CONCATENATE(schedule13[[#This Row],[OD]],"-",schedule13[[#This Row],[ID]],"-",schedule13[[#This Row],[TICKNESS]],"-",schedule13[[#This Row],[GRADE]],"-",schedule13[[#This Row],[FC/NFC]])</f>
        <v>22.23-0-2-ERW 2 MAHS-PE</v>
      </c>
      <c r="Q104" s="557"/>
      <c r="R104" s="557"/>
      <c r="S104" s="1">
        <v>22.23</v>
      </c>
      <c r="T104" s="1">
        <v>22.23</v>
      </c>
      <c r="U104" s="1">
        <v>0</v>
      </c>
      <c r="V104" s="1">
        <v>2</v>
      </c>
      <c r="W104" s="23">
        <v>812</v>
      </c>
      <c r="X104" s="23"/>
      <c r="Y104" s="2">
        <v>0</v>
      </c>
      <c r="Z104" s="2"/>
      <c r="AA104" s="4">
        <f t="shared" si="14"/>
        <v>0</v>
      </c>
      <c r="AB104" s="1">
        <f t="shared" si="22"/>
        <v>0</v>
      </c>
      <c r="AC104" s="1">
        <f t="shared" si="19"/>
        <v>0</v>
      </c>
      <c r="AD104" s="1">
        <f t="shared" si="16"/>
        <v>0</v>
      </c>
      <c r="AE104" s="1"/>
      <c r="AF104" s="1">
        <v>0.17871500000000001</v>
      </c>
      <c r="AG104" s="1"/>
      <c r="AH104" s="1">
        <f t="shared" si="23"/>
        <v>-0.17871500000000001</v>
      </c>
      <c r="AI104" s="118" t="e">
        <f>(AC104+AF104)/AB103</f>
        <v>#DIV/0!</v>
      </c>
    </row>
    <row r="105" spans="1:35" hidden="1" x14ac:dyDescent="0.25">
      <c r="A105" s="30">
        <v>372</v>
      </c>
      <c r="B105" s="5" t="s">
        <v>1816</v>
      </c>
      <c r="C105" s="2" t="s">
        <v>25</v>
      </c>
      <c r="D105" s="2"/>
      <c r="E105" s="2">
        <v>819045</v>
      </c>
      <c r="F105" s="2">
        <v>3775108</v>
      </c>
      <c r="G105" s="2" t="s">
        <v>1925</v>
      </c>
      <c r="H105" s="2"/>
      <c r="I105" s="2"/>
      <c r="J105" s="2"/>
      <c r="K105" s="2" t="s">
        <v>239</v>
      </c>
      <c r="L105" s="2"/>
      <c r="M105" s="2"/>
      <c r="N105" s="2"/>
      <c r="O105" s="2"/>
      <c r="P105" s="557" t="str">
        <f>CONCATENATE(schedule13[[#This Row],[OD]],"-",schedule13[[#This Row],[ID]],"-",schedule13[[#This Row],[TICKNESS]],"-",schedule13[[#This Row],[GRADE]],"-",schedule13[[#This Row],[FC/NFC]])</f>
        <v>22.23-0-2--</v>
      </c>
      <c r="Q105" s="557"/>
      <c r="R105" s="557"/>
      <c r="S105" s="1">
        <v>22.23</v>
      </c>
      <c r="T105" s="1">
        <v>22.23</v>
      </c>
      <c r="U105" s="1">
        <v>0</v>
      </c>
      <c r="V105" s="1">
        <v>2</v>
      </c>
      <c r="W105" s="23">
        <v>772</v>
      </c>
      <c r="X105" s="23"/>
      <c r="Y105" s="2">
        <v>0</v>
      </c>
      <c r="Z105" s="2"/>
      <c r="AA105" s="4">
        <f t="shared" si="14"/>
        <v>0</v>
      </c>
      <c r="AB105" s="1">
        <f t="shared" si="22"/>
        <v>0</v>
      </c>
      <c r="AC105" s="1">
        <f t="shared" si="19"/>
        <v>0</v>
      </c>
      <c r="AD105" s="1">
        <f t="shared" si="16"/>
        <v>0</v>
      </c>
      <c r="AE105" s="1"/>
      <c r="AF105" s="1"/>
      <c r="AG105" s="1"/>
      <c r="AH105" s="1">
        <f t="shared" si="23"/>
        <v>0</v>
      </c>
      <c r="AI105" s="118" t="e">
        <f>(AC105+AF105)/AB104</f>
        <v>#DIV/0!</v>
      </c>
    </row>
    <row r="106" spans="1:35" hidden="1" x14ac:dyDescent="0.25">
      <c r="A106" s="30">
        <v>373</v>
      </c>
      <c r="B106" s="5" t="s">
        <v>1816</v>
      </c>
      <c r="C106" s="2" t="s">
        <v>25</v>
      </c>
      <c r="D106" s="2"/>
      <c r="E106" s="2">
        <v>819045</v>
      </c>
      <c r="F106" s="2">
        <v>3533248</v>
      </c>
      <c r="G106" s="2" t="s">
        <v>735</v>
      </c>
      <c r="H106" s="2" t="s">
        <v>962</v>
      </c>
      <c r="I106" s="2"/>
      <c r="J106" s="2" t="s">
        <v>963</v>
      </c>
      <c r="K106" s="2" t="s">
        <v>1867</v>
      </c>
      <c r="L106" s="44" t="s">
        <v>1891</v>
      </c>
      <c r="M106" s="2"/>
      <c r="N106" s="2"/>
      <c r="O106" s="2"/>
      <c r="P106" s="557" t="str">
        <f>CONCATENATE(schedule13[[#This Row],[OD]],"-",schedule13[[#This Row],[ID]],"-",schedule13[[#This Row],[TICKNESS]],"-",schedule13[[#This Row],[GRADE]],"-",schedule13[[#This Row],[FC/NFC]])</f>
        <v>22.23-0-1.6-ERW 1-PE</v>
      </c>
      <c r="Q106" s="557"/>
      <c r="R106" s="557"/>
      <c r="S106" s="1">
        <v>22.23</v>
      </c>
      <c r="T106" s="1">
        <v>22.23</v>
      </c>
      <c r="U106" s="1">
        <v>0</v>
      </c>
      <c r="V106" s="1">
        <v>1.6</v>
      </c>
      <c r="W106" s="23">
        <v>1290</v>
      </c>
      <c r="X106" s="23"/>
      <c r="Y106" s="2">
        <v>0</v>
      </c>
      <c r="Z106" s="2"/>
      <c r="AA106" s="4">
        <f t="shared" si="14"/>
        <v>0</v>
      </c>
      <c r="AB106" s="1">
        <f t="shared" si="22"/>
        <v>0</v>
      </c>
      <c r="AC106" s="1">
        <f t="shared" si="19"/>
        <v>0</v>
      </c>
      <c r="AD106" s="1">
        <f t="shared" si="16"/>
        <v>0</v>
      </c>
      <c r="AE106" s="1"/>
      <c r="AF106" s="1"/>
      <c r="AG106" s="1"/>
      <c r="AH106" s="1">
        <f t="shared" si="23"/>
        <v>0</v>
      </c>
      <c r="AI106" s="118"/>
    </row>
    <row r="107" spans="1:35" hidden="1" x14ac:dyDescent="0.25">
      <c r="A107" s="30">
        <v>374</v>
      </c>
      <c r="B107" s="5" t="s">
        <v>1816</v>
      </c>
      <c r="C107" s="2" t="s">
        <v>25</v>
      </c>
      <c r="D107" s="2"/>
      <c r="E107" s="2">
        <v>819045</v>
      </c>
      <c r="F107" s="2"/>
      <c r="G107" s="2"/>
      <c r="H107" s="2"/>
      <c r="I107" s="2"/>
      <c r="J107" s="2"/>
      <c r="K107" s="2" t="s">
        <v>239</v>
      </c>
      <c r="L107" s="2"/>
      <c r="M107" s="2"/>
      <c r="N107" s="2"/>
      <c r="O107" s="2"/>
      <c r="P107" s="557" t="str">
        <f>CONCATENATE(schedule13[[#This Row],[OD]],"-",schedule13[[#This Row],[ID]],"-",schedule13[[#This Row],[TICKNESS]],"-",schedule13[[#This Row],[GRADE]],"-",schedule13[[#This Row],[FC/NFC]])</f>
        <v>25.4-0-2--</v>
      </c>
      <c r="Q107" s="557"/>
      <c r="R107" s="557"/>
      <c r="S107" s="1">
        <v>25.4</v>
      </c>
      <c r="T107" s="1">
        <v>25.4</v>
      </c>
      <c r="U107" s="1">
        <v>0</v>
      </c>
      <c r="V107" s="1">
        <v>2</v>
      </c>
      <c r="W107" s="23">
        <v>600</v>
      </c>
      <c r="X107" s="23"/>
      <c r="Y107" s="2">
        <v>0</v>
      </c>
      <c r="Z107" s="2"/>
      <c r="AA107" s="4">
        <f t="shared" si="14"/>
        <v>0</v>
      </c>
      <c r="AB107" s="1">
        <f t="shared" si="22"/>
        <v>0</v>
      </c>
      <c r="AC107" s="1">
        <f t="shared" si="19"/>
        <v>0</v>
      </c>
      <c r="AD107" s="1">
        <f t="shared" si="16"/>
        <v>0</v>
      </c>
      <c r="AE107" s="1"/>
      <c r="AF107" s="1"/>
      <c r="AG107" s="1"/>
      <c r="AH107" s="1">
        <f t="shared" si="23"/>
        <v>0</v>
      </c>
      <c r="AI107" s="118" t="e">
        <f>(AC107+AF107)/AB106</f>
        <v>#DIV/0!</v>
      </c>
    </row>
    <row r="108" spans="1:35" hidden="1" x14ac:dyDescent="0.25">
      <c r="A108" s="30">
        <v>375</v>
      </c>
      <c r="B108" s="5" t="s">
        <v>1816</v>
      </c>
      <c r="C108" s="2" t="s">
        <v>25</v>
      </c>
      <c r="D108" s="2"/>
      <c r="E108" s="2">
        <v>819045</v>
      </c>
      <c r="F108" s="2"/>
      <c r="G108" s="2" t="s">
        <v>1927</v>
      </c>
      <c r="H108" s="2"/>
      <c r="I108" s="2"/>
      <c r="J108" s="2"/>
      <c r="K108" s="2" t="s">
        <v>239</v>
      </c>
      <c r="L108" s="2"/>
      <c r="M108" s="2"/>
      <c r="N108" s="2"/>
      <c r="O108" s="2"/>
      <c r="P108" s="557" t="str">
        <f>CONCATENATE(schedule13[[#This Row],[OD]],"-",schedule13[[#This Row],[ID]],"-",schedule13[[#This Row],[TICKNESS]],"-",schedule13[[#This Row],[GRADE]],"-",schedule13[[#This Row],[FC/NFC]])</f>
        <v>48.6-0-3.5--</v>
      </c>
      <c r="Q108" s="557"/>
      <c r="R108" s="557"/>
      <c r="S108" s="1">
        <v>48.6</v>
      </c>
      <c r="T108" s="1">
        <v>48.6</v>
      </c>
      <c r="U108" s="1">
        <v>0</v>
      </c>
      <c r="V108" s="1">
        <v>3.5</v>
      </c>
      <c r="W108" s="23">
        <v>595</v>
      </c>
      <c r="X108" s="23"/>
      <c r="Y108" s="2">
        <v>0</v>
      </c>
      <c r="Z108" s="2"/>
      <c r="AA108" s="4">
        <f t="shared" si="14"/>
        <v>0</v>
      </c>
      <c r="AB108" s="1">
        <f t="shared" si="22"/>
        <v>0</v>
      </c>
      <c r="AC108" s="1">
        <f t="shared" si="19"/>
        <v>0</v>
      </c>
      <c r="AD108" s="1">
        <f t="shared" si="16"/>
        <v>0</v>
      </c>
      <c r="AE108" s="1"/>
      <c r="AF108" s="1"/>
      <c r="AG108" s="1"/>
      <c r="AH108" s="1">
        <f t="shared" si="23"/>
        <v>0</v>
      </c>
      <c r="AI108" s="118" t="e">
        <f>(AC108+AF108)/AB107</f>
        <v>#DIV/0!</v>
      </c>
    </row>
    <row r="109" spans="1:35" hidden="1" x14ac:dyDescent="0.25">
      <c r="A109" s="30">
        <v>376</v>
      </c>
      <c r="B109" s="5" t="s">
        <v>1872</v>
      </c>
      <c r="C109" s="2" t="s">
        <v>25</v>
      </c>
      <c r="D109" s="2"/>
      <c r="E109" s="2">
        <v>819045</v>
      </c>
      <c r="F109" s="2">
        <v>3500714</v>
      </c>
      <c r="G109" s="2" t="s">
        <v>1922</v>
      </c>
      <c r="H109" s="2" t="s">
        <v>962</v>
      </c>
      <c r="I109" s="2" t="s">
        <v>1894</v>
      </c>
      <c r="J109" s="2"/>
      <c r="K109" s="2" t="s">
        <v>239</v>
      </c>
      <c r="L109" s="2"/>
      <c r="M109" s="2"/>
      <c r="N109" s="2"/>
      <c r="O109" s="2"/>
      <c r="P109" s="557" t="str">
        <f>CONCATENATE(schedule13[[#This Row],[OD]],"-",schedule13[[#This Row],[ID]],"-",schedule13[[#This Row],[TICKNESS]],"-",schedule13[[#This Row],[GRADE]],"-",schedule13[[#This Row],[FC/NFC]])</f>
        <v>42.7-0-4-ERW 1-</v>
      </c>
      <c r="Q109" s="557"/>
      <c r="R109" s="557"/>
      <c r="S109" s="1">
        <v>42.7</v>
      </c>
      <c r="T109" s="1">
        <v>42.7</v>
      </c>
      <c r="U109" s="1">
        <v>0</v>
      </c>
      <c r="V109" s="1">
        <v>4</v>
      </c>
      <c r="W109" s="23">
        <v>5500</v>
      </c>
      <c r="X109" s="23"/>
      <c r="Y109" s="2">
        <v>0</v>
      </c>
      <c r="Z109" s="2"/>
      <c r="AA109" s="4">
        <f t="shared" si="14"/>
        <v>0</v>
      </c>
      <c r="AB109" s="1">
        <f t="shared" si="22"/>
        <v>0</v>
      </c>
      <c r="AC109" s="1">
        <f t="shared" si="19"/>
        <v>0</v>
      </c>
      <c r="AD109" s="1">
        <f t="shared" si="16"/>
        <v>0</v>
      </c>
      <c r="AE109" s="1"/>
      <c r="AF109" s="1">
        <v>0.96283099999999999</v>
      </c>
      <c r="AG109" s="1"/>
      <c r="AH109" s="1">
        <f t="shared" si="23"/>
        <v>-0.96283099999999999</v>
      </c>
      <c r="AI109" s="118" t="e">
        <f>(AC109+AF109)/AB108</f>
        <v>#DIV/0!</v>
      </c>
    </row>
    <row r="110" spans="1:35" hidden="1" x14ac:dyDescent="0.25">
      <c r="A110" s="30">
        <v>377</v>
      </c>
      <c r="B110" s="5" t="s">
        <v>1816</v>
      </c>
      <c r="C110" s="2" t="s">
        <v>25</v>
      </c>
      <c r="D110" s="2"/>
      <c r="E110" s="2">
        <v>819045</v>
      </c>
      <c r="F110" s="2">
        <v>235292</v>
      </c>
      <c r="G110" s="2" t="s">
        <v>6557</v>
      </c>
      <c r="H110" s="2" t="s">
        <v>962</v>
      </c>
      <c r="I110" s="2"/>
      <c r="J110" s="2" t="s">
        <v>963</v>
      </c>
      <c r="K110" s="2" t="s">
        <v>239</v>
      </c>
      <c r="L110" s="2"/>
      <c r="M110" s="2"/>
      <c r="N110" s="2"/>
      <c r="O110" s="2"/>
      <c r="P110" s="557" t="str">
        <f>CONCATENATE(schedule13[[#This Row],[OD]],"-",schedule13[[#This Row],[ID]],"-",schedule13[[#This Row],[TICKNESS]],"-",schedule13[[#This Row],[GRADE]],"-",schedule13[[#This Row],[FC/NFC]])</f>
        <v>19.05-0-2-ERW 1-PE</v>
      </c>
      <c r="Q110" s="557"/>
      <c r="R110" s="557"/>
      <c r="S110" s="1">
        <v>19.05</v>
      </c>
      <c r="T110" s="1">
        <v>19.05</v>
      </c>
      <c r="U110" s="1">
        <v>0</v>
      </c>
      <c r="V110" s="1">
        <v>2</v>
      </c>
      <c r="W110" s="23">
        <v>6000</v>
      </c>
      <c r="X110" s="23"/>
      <c r="Y110" s="2">
        <v>0</v>
      </c>
      <c r="Z110" s="2"/>
      <c r="AA110" s="4">
        <f t="shared" si="14"/>
        <v>0</v>
      </c>
      <c r="AB110" s="1">
        <f t="shared" si="22"/>
        <v>0</v>
      </c>
      <c r="AC110" s="1">
        <f t="shared" si="19"/>
        <v>0</v>
      </c>
      <c r="AD110" s="1">
        <f t="shared" si="16"/>
        <v>0</v>
      </c>
      <c r="AE110" s="1"/>
      <c r="AF110" s="1">
        <v>31.876309000000003</v>
      </c>
      <c r="AG110" s="1"/>
      <c r="AH110" s="1">
        <f t="shared" si="23"/>
        <v>-31.876309000000003</v>
      </c>
      <c r="AI110" s="118"/>
    </row>
    <row r="111" spans="1:35" hidden="1" x14ac:dyDescent="0.25">
      <c r="A111" s="30">
        <v>378</v>
      </c>
      <c r="B111" s="5" t="s">
        <v>1816</v>
      </c>
      <c r="C111" s="2" t="s">
        <v>25</v>
      </c>
      <c r="D111" s="2"/>
      <c r="E111" s="2">
        <v>819045</v>
      </c>
      <c r="F111" s="2">
        <v>3138219</v>
      </c>
      <c r="G111" s="2" t="s">
        <v>1921</v>
      </c>
      <c r="H111" s="2" t="s">
        <v>962</v>
      </c>
      <c r="I111" s="2"/>
      <c r="J111" s="2" t="s">
        <v>1003</v>
      </c>
      <c r="K111" s="2" t="s">
        <v>1867</v>
      </c>
      <c r="L111" s="2"/>
      <c r="M111" s="2"/>
      <c r="N111" s="2"/>
      <c r="O111" s="2"/>
      <c r="P111" s="557" t="str">
        <f>CONCATENATE(schedule13[[#This Row],[OD]],"-",schedule13[[#This Row],[ID]],"-",schedule13[[#This Row],[TICKNESS]],"-",schedule13[[#This Row],[GRADE]],"-",schedule13[[#This Row],[FC/NFC]])</f>
        <v>34.93-0-1.2-ERW 1-FC</v>
      </c>
      <c r="Q111" s="557"/>
      <c r="R111" s="557"/>
      <c r="S111" s="1">
        <v>34.93</v>
      </c>
      <c r="T111" s="1">
        <v>34.93</v>
      </c>
      <c r="U111" s="1">
        <v>0</v>
      </c>
      <c r="V111" s="1">
        <v>1.2</v>
      </c>
      <c r="W111" s="23">
        <v>390</v>
      </c>
      <c r="X111" s="23"/>
      <c r="Y111" s="2">
        <v>0</v>
      </c>
      <c r="Z111" s="2"/>
      <c r="AA111" s="4">
        <f t="shared" si="14"/>
        <v>0</v>
      </c>
      <c r="AB111" s="1">
        <f t="shared" si="22"/>
        <v>0</v>
      </c>
      <c r="AC111" s="1">
        <f t="shared" si="19"/>
        <v>0</v>
      </c>
      <c r="AD111" s="1">
        <f t="shared" si="16"/>
        <v>0</v>
      </c>
      <c r="AE111" s="1"/>
      <c r="AF111" s="1"/>
      <c r="AG111" s="1"/>
      <c r="AH111" s="1">
        <f t="shared" si="23"/>
        <v>0</v>
      </c>
      <c r="AI111" s="118" t="e">
        <f t="shared" ref="AI111:AI117" si="24">(AC111+AF111)/AB110</f>
        <v>#DIV/0!</v>
      </c>
    </row>
    <row r="112" spans="1:35" hidden="1" x14ac:dyDescent="0.25">
      <c r="A112" s="30">
        <v>379</v>
      </c>
      <c r="B112" s="5" t="s">
        <v>1816</v>
      </c>
      <c r="C112" s="2" t="s">
        <v>25</v>
      </c>
      <c r="D112" s="2"/>
      <c r="E112" s="2">
        <v>819045</v>
      </c>
      <c r="F112" s="2">
        <v>3484654</v>
      </c>
      <c r="G112" s="2" t="s">
        <v>1926</v>
      </c>
      <c r="H112" s="2"/>
      <c r="I112" s="2"/>
      <c r="J112" s="2"/>
      <c r="K112" s="2" t="s">
        <v>239</v>
      </c>
      <c r="L112" s="2"/>
      <c r="M112" s="2"/>
      <c r="N112" s="2"/>
      <c r="O112" s="2"/>
      <c r="P112" s="557" t="str">
        <f>CONCATENATE(schedule13[[#This Row],[OD]],"-",schedule13[[#This Row],[ID]],"-",schedule13[[#This Row],[TICKNESS]],"-",schedule13[[#This Row],[GRADE]],"-",schedule13[[#This Row],[FC/NFC]])</f>
        <v>34.93-0-2--</v>
      </c>
      <c r="Q112" s="557"/>
      <c r="R112" s="557"/>
      <c r="S112" s="1">
        <v>34.93</v>
      </c>
      <c r="T112" s="1">
        <v>34.93</v>
      </c>
      <c r="U112" s="1">
        <v>0</v>
      </c>
      <c r="V112" s="1">
        <v>2</v>
      </c>
      <c r="W112" s="23">
        <v>1280</v>
      </c>
      <c r="X112" s="23"/>
      <c r="Y112" s="2">
        <v>0</v>
      </c>
      <c r="Z112" s="2"/>
      <c r="AA112" s="4">
        <f t="shared" si="14"/>
        <v>0</v>
      </c>
      <c r="AB112" s="1">
        <f t="shared" si="22"/>
        <v>0</v>
      </c>
      <c r="AC112" s="1">
        <f t="shared" si="19"/>
        <v>0</v>
      </c>
      <c r="AD112" s="1">
        <f t="shared" si="16"/>
        <v>0</v>
      </c>
      <c r="AE112" s="1"/>
      <c r="AF112" s="1"/>
      <c r="AG112" s="1"/>
      <c r="AH112" s="1">
        <f t="shared" si="23"/>
        <v>0</v>
      </c>
      <c r="AI112" s="118" t="e">
        <f t="shared" si="24"/>
        <v>#DIV/0!</v>
      </c>
    </row>
    <row r="113" spans="1:35" hidden="1" x14ac:dyDescent="0.25">
      <c r="A113" s="30">
        <v>332</v>
      </c>
      <c r="B113" s="5" t="s">
        <v>1816</v>
      </c>
      <c r="C113" s="2" t="s">
        <v>289</v>
      </c>
      <c r="D113" s="2"/>
      <c r="E113" s="2">
        <v>189002</v>
      </c>
      <c r="F113" s="2">
        <v>1940801</v>
      </c>
      <c r="G113" s="2" t="s">
        <v>478</v>
      </c>
      <c r="H113" s="2" t="s">
        <v>229</v>
      </c>
      <c r="I113" s="2"/>
      <c r="J113" s="2" t="s">
        <v>963</v>
      </c>
      <c r="K113" s="2" t="s">
        <v>1867</v>
      </c>
      <c r="L113" s="2"/>
      <c r="M113" s="2"/>
      <c r="N113" s="2"/>
      <c r="O113" s="2"/>
      <c r="P113" s="557" t="str">
        <f>CONCATENATE(schedule13[[#This Row],[OD]],"-",schedule13[[#This Row],[ID]],"-",schedule13[[#This Row],[TICKNESS]],"-",schedule13[[#This Row],[GRADE]],"-",schedule13[[#This Row],[FC/NFC]])</f>
        <v>40-20-1.2-CRFH-PE</v>
      </c>
      <c r="Q113" s="557"/>
      <c r="R113" s="557"/>
      <c r="S113" s="1">
        <v>38.1</v>
      </c>
      <c r="T113" s="1">
        <v>40</v>
      </c>
      <c r="U113" s="1">
        <v>20</v>
      </c>
      <c r="V113" s="1">
        <v>1.2</v>
      </c>
      <c r="W113" s="24">
        <v>1310</v>
      </c>
      <c r="X113" s="24"/>
      <c r="Y113" s="2">
        <v>0</v>
      </c>
      <c r="Z113" s="2"/>
      <c r="AA113" s="4">
        <f t="shared" si="14"/>
        <v>0</v>
      </c>
      <c r="AB113" s="1">
        <f t="shared" si="22"/>
        <v>0</v>
      </c>
      <c r="AC113" s="1">
        <f t="shared" si="19"/>
        <v>0</v>
      </c>
      <c r="AD113" s="1">
        <f t="shared" si="16"/>
        <v>0</v>
      </c>
      <c r="AE113" s="1"/>
      <c r="AF113" s="1">
        <v>2.282</v>
      </c>
      <c r="AG113" s="1"/>
      <c r="AH113" s="1">
        <f t="shared" si="23"/>
        <v>-2.282</v>
      </c>
      <c r="AI113" s="118" t="e">
        <f t="shared" si="24"/>
        <v>#DIV/0!</v>
      </c>
    </row>
    <row r="114" spans="1:35" hidden="1" x14ac:dyDescent="0.25">
      <c r="A114" s="30">
        <v>333</v>
      </c>
      <c r="B114" s="5" t="s">
        <v>1816</v>
      </c>
      <c r="C114" s="2" t="s">
        <v>289</v>
      </c>
      <c r="D114" s="2"/>
      <c r="E114" s="2">
        <v>189002</v>
      </c>
      <c r="F114" s="2">
        <v>3233553</v>
      </c>
      <c r="G114" s="2" t="s">
        <v>1673</v>
      </c>
      <c r="H114" s="2" t="s">
        <v>229</v>
      </c>
      <c r="I114" s="2"/>
      <c r="J114" s="2" t="s">
        <v>963</v>
      </c>
      <c r="K114" s="2" t="s">
        <v>1867</v>
      </c>
      <c r="L114" s="2"/>
      <c r="M114" s="2"/>
      <c r="N114" s="2"/>
      <c r="O114" s="2"/>
      <c r="P114" s="557" t="str">
        <f>CONCATENATE(schedule13[[#This Row],[OD]],"-",schedule13[[#This Row],[ID]],"-",schedule13[[#This Row],[TICKNESS]],"-",schedule13[[#This Row],[GRADE]],"-",schedule13[[#This Row],[FC/NFC]])</f>
        <v>40-20-1.2-CRFH-PE</v>
      </c>
      <c r="Q114" s="557"/>
      <c r="R114" s="557"/>
      <c r="S114" s="1">
        <v>38.1</v>
      </c>
      <c r="T114" s="1">
        <v>40</v>
      </c>
      <c r="U114" s="1">
        <v>20</v>
      </c>
      <c r="V114" s="1">
        <v>1.2</v>
      </c>
      <c r="W114" s="24">
        <v>1298</v>
      </c>
      <c r="X114" s="24"/>
      <c r="Y114" s="2">
        <v>0</v>
      </c>
      <c r="Z114" s="2"/>
      <c r="AA114" s="4">
        <f t="shared" si="14"/>
        <v>0</v>
      </c>
      <c r="AB114" s="1">
        <f t="shared" si="22"/>
        <v>0</v>
      </c>
      <c r="AC114" s="1">
        <f t="shared" si="19"/>
        <v>0</v>
      </c>
      <c r="AD114" s="1">
        <f t="shared" si="16"/>
        <v>0</v>
      </c>
      <c r="AE114" s="1"/>
      <c r="AF114" s="1">
        <v>0.48522100000000001</v>
      </c>
      <c r="AG114" s="1"/>
      <c r="AH114" s="1">
        <f t="shared" si="23"/>
        <v>-0.48522100000000001</v>
      </c>
      <c r="AI114" s="118" t="e">
        <f t="shared" si="24"/>
        <v>#DIV/0!</v>
      </c>
    </row>
    <row r="115" spans="1:35" hidden="1" x14ac:dyDescent="0.25">
      <c r="A115" s="30">
        <v>334</v>
      </c>
      <c r="B115" s="5" t="s">
        <v>1816</v>
      </c>
      <c r="C115" s="2" t="s">
        <v>289</v>
      </c>
      <c r="D115" s="2"/>
      <c r="E115" s="2">
        <v>189002</v>
      </c>
      <c r="F115" s="2">
        <v>3233554</v>
      </c>
      <c r="G115" s="2" t="s">
        <v>480</v>
      </c>
      <c r="H115" s="2" t="s">
        <v>229</v>
      </c>
      <c r="I115" s="2"/>
      <c r="J115" s="2" t="s">
        <v>963</v>
      </c>
      <c r="K115" s="2" t="s">
        <v>1867</v>
      </c>
      <c r="L115" s="2"/>
      <c r="M115" s="2"/>
      <c r="N115" s="2"/>
      <c r="O115" s="2"/>
      <c r="P115" s="557" t="str">
        <f>CONCATENATE(schedule13[[#This Row],[OD]],"-",schedule13[[#This Row],[ID]],"-",schedule13[[#This Row],[TICKNESS]],"-",schedule13[[#This Row],[GRADE]],"-",schedule13[[#This Row],[FC/NFC]])</f>
        <v>40-20-1.2-CRFH-PE</v>
      </c>
      <c r="Q115" s="557"/>
      <c r="R115" s="557"/>
      <c r="S115" s="1">
        <v>38.1</v>
      </c>
      <c r="T115" s="1">
        <v>40</v>
      </c>
      <c r="U115" s="1">
        <v>20</v>
      </c>
      <c r="V115" s="1">
        <v>1.2</v>
      </c>
      <c r="W115" s="24">
        <v>1246</v>
      </c>
      <c r="X115" s="24"/>
      <c r="Y115" s="2">
        <v>0</v>
      </c>
      <c r="Z115" s="2"/>
      <c r="AA115" s="4">
        <f t="shared" si="14"/>
        <v>0</v>
      </c>
      <c r="AB115" s="1">
        <f t="shared" si="22"/>
        <v>0</v>
      </c>
      <c r="AC115" s="1">
        <f t="shared" si="19"/>
        <v>0</v>
      </c>
      <c r="AD115" s="1">
        <f t="shared" si="16"/>
        <v>0</v>
      </c>
      <c r="AE115" s="1"/>
      <c r="AF115" s="1">
        <v>0.52707000000000004</v>
      </c>
      <c r="AG115" s="1"/>
      <c r="AH115" s="1">
        <f t="shared" si="23"/>
        <v>-0.52707000000000004</v>
      </c>
      <c r="AI115" s="118" t="e">
        <f t="shared" si="24"/>
        <v>#DIV/0!</v>
      </c>
    </row>
    <row r="116" spans="1:35" hidden="1" x14ac:dyDescent="0.25">
      <c r="A116" s="30">
        <v>335</v>
      </c>
      <c r="B116" s="5" t="s">
        <v>1816</v>
      </c>
      <c r="C116" s="2" t="s">
        <v>289</v>
      </c>
      <c r="D116" s="2"/>
      <c r="E116" s="2">
        <v>189002</v>
      </c>
      <c r="F116" s="2">
        <v>3233555</v>
      </c>
      <c r="G116" s="2" t="s">
        <v>482</v>
      </c>
      <c r="H116" s="2" t="s">
        <v>229</v>
      </c>
      <c r="I116" s="2"/>
      <c r="J116" s="2" t="s">
        <v>963</v>
      </c>
      <c r="K116" s="2" t="s">
        <v>1867</v>
      </c>
      <c r="L116" s="2"/>
      <c r="M116" s="2"/>
      <c r="N116" s="2"/>
      <c r="O116" s="2"/>
      <c r="P116" s="557" t="str">
        <f>CONCATENATE(schedule13[[#This Row],[OD]],"-",schedule13[[#This Row],[ID]],"-",schedule13[[#This Row],[TICKNESS]],"-",schedule13[[#This Row],[GRADE]],"-",schedule13[[#This Row],[FC/NFC]])</f>
        <v>40-20-1.2-CRFH-PE</v>
      </c>
      <c r="Q116" s="557"/>
      <c r="R116" s="557"/>
      <c r="S116" s="1">
        <v>38.1</v>
      </c>
      <c r="T116" s="1">
        <v>40</v>
      </c>
      <c r="U116" s="1">
        <v>20</v>
      </c>
      <c r="V116" s="1">
        <v>1.2</v>
      </c>
      <c r="W116" s="24">
        <v>1120</v>
      </c>
      <c r="X116" s="24"/>
      <c r="Y116" s="2">
        <v>0</v>
      </c>
      <c r="Z116" s="2"/>
      <c r="AA116" s="4">
        <f t="shared" si="14"/>
        <v>0</v>
      </c>
      <c r="AB116" s="1">
        <f t="shared" si="22"/>
        <v>0</v>
      </c>
      <c r="AC116" s="1">
        <f t="shared" si="19"/>
        <v>0</v>
      </c>
      <c r="AD116" s="1">
        <f t="shared" si="16"/>
        <v>0</v>
      </c>
      <c r="AE116" s="1"/>
      <c r="AF116" s="1">
        <v>2.0453039999999998</v>
      </c>
      <c r="AG116" s="1"/>
      <c r="AH116" s="1">
        <f t="shared" si="23"/>
        <v>-2.0453039999999998</v>
      </c>
      <c r="AI116" s="118" t="e">
        <f t="shared" si="24"/>
        <v>#DIV/0!</v>
      </c>
    </row>
    <row r="117" spans="1:35" hidden="1" x14ac:dyDescent="0.25">
      <c r="A117" s="30">
        <v>336</v>
      </c>
      <c r="B117" s="5" t="s">
        <v>1816</v>
      </c>
      <c r="C117" s="2" t="s">
        <v>289</v>
      </c>
      <c r="D117" s="2"/>
      <c r="E117" s="2">
        <v>189002</v>
      </c>
      <c r="F117" s="2">
        <v>2410388</v>
      </c>
      <c r="G117" s="2" t="s">
        <v>819</v>
      </c>
      <c r="H117" s="2" t="s">
        <v>357</v>
      </c>
      <c r="I117" s="9"/>
      <c r="J117" s="2" t="s">
        <v>357</v>
      </c>
      <c r="K117" s="2" t="s">
        <v>239</v>
      </c>
      <c r="L117" s="2"/>
      <c r="M117" s="9"/>
      <c r="N117" s="9"/>
      <c r="O117" s="9"/>
      <c r="P117" s="557" t="str">
        <f>CONCATENATE(schedule13[[#This Row],[OD]],"-",schedule13[[#This Row],[ID]],"-",schedule13[[#This Row],[TICKNESS]],"-",schedule13[[#This Row],[GRADE]],"-",schedule13[[#This Row],[FC/NFC]])</f>
        <v>28.6-0-2.65-CEW-CEW</v>
      </c>
      <c r="Q117" s="557"/>
      <c r="R117" s="557"/>
      <c r="S117" s="1">
        <v>28.6</v>
      </c>
      <c r="T117" s="1">
        <v>28.6</v>
      </c>
      <c r="U117" s="1">
        <v>0</v>
      </c>
      <c r="V117" s="1">
        <v>2.65</v>
      </c>
      <c r="W117" s="24">
        <v>4500</v>
      </c>
      <c r="X117" s="24"/>
      <c r="Y117" s="2">
        <v>0</v>
      </c>
      <c r="Z117" s="2"/>
      <c r="AA117" s="4">
        <f t="shared" si="14"/>
        <v>0</v>
      </c>
      <c r="AB117" s="1">
        <f t="shared" si="22"/>
        <v>0</v>
      </c>
      <c r="AC117" s="1">
        <f t="shared" si="19"/>
        <v>0</v>
      </c>
      <c r="AD117" s="1">
        <f t="shared" si="16"/>
        <v>0</v>
      </c>
      <c r="AE117" s="1"/>
      <c r="AF117" s="1">
        <v>0.17361799999999999</v>
      </c>
      <c r="AG117" s="1"/>
      <c r="AH117" s="1">
        <f t="shared" si="23"/>
        <v>-0.17361799999999999</v>
      </c>
      <c r="AI117" s="118" t="e">
        <f t="shared" si="24"/>
        <v>#DIV/0!</v>
      </c>
    </row>
    <row r="118" spans="1:35" hidden="1" x14ac:dyDescent="0.25">
      <c r="A118" s="30">
        <v>337</v>
      </c>
      <c r="B118" s="5" t="s">
        <v>1816</v>
      </c>
      <c r="C118" s="2" t="s">
        <v>289</v>
      </c>
      <c r="D118" s="2"/>
      <c r="E118" s="2">
        <v>189002</v>
      </c>
      <c r="F118" s="2">
        <v>3233556</v>
      </c>
      <c r="G118" s="2" t="s">
        <v>1672</v>
      </c>
      <c r="H118" s="2" t="s">
        <v>229</v>
      </c>
      <c r="I118" s="2"/>
      <c r="J118" s="2" t="s">
        <v>963</v>
      </c>
      <c r="K118" s="2" t="s">
        <v>1867</v>
      </c>
      <c r="L118" s="2"/>
      <c r="M118" s="2"/>
      <c r="N118" s="2"/>
      <c r="O118" s="2"/>
      <c r="P118" s="557" t="str">
        <f>CONCATENATE(schedule13[[#This Row],[OD]],"-",schedule13[[#This Row],[ID]],"-",schedule13[[#This Row],[TICKNESS]],"-",schedule13[[#This Row],[GRADE]],"-",schedule13[[#This Row],[FC/NFC]])</f>
        <v>40-20-1.2-CRFH-PE</v>
      </c>
      <c r="Q118" s="557"/>
      <c r="R118" s="557"/>
      <c r="S118" s="1">
        <v>38.1</v>
      </c>
      <c r="T118" s="1">
        <v>40</v>
      </c>
      <c r="U118" s="1">
        <v>20</v>
      </c>
      <c r="V118" s="1">
        <v>1.2</v>
      </c>
      <c r="W118" s="24">
        <v>940</v>
      </c>
      <c r="X118" s="24"/>
      <c r="Y118" s="2">
        <v>0</v>
      </c>
      <c r="Z118" s="2"/>
      <c r="AA118" s="4">
        <f t="shared" si="14"/>
        <v>0</v>
      </c>
      <c r="AB118" s="1">
        <f t="shared" si="22"/>
        <v>0</v>
      </c>
      <c r="AC118" s="1">
        <f t="shared" si="19"/>
        <v>0</v>
      </c>
      <c r="AD118" s="1">
        <f t="shared" si="16"/>
        <v>0</v>
      </c>
      <c r="AE118" s="1"/>
      <c r="AF118" s="1"/>
      <c r="AG118" s="1"/>
      <c r="AH118" s="1"/>
      <c r="AI118" s="118"/>
    </row>
    <row r="119" spans="1:35" hidden="1" x14ac:dyDescent="0.25">
      <c r="A119" s="30">
        <v>338</v>
      </c>
      <c r="B119" s="5" t="s">
        <v>1816</v>
      </c>
      <c r="C119" s="2" t="s">
        <v>289</v>
      </c>
      <c r="D119" s="2"/>
      <c r="E119" s="2">
        <v>189002</v>
      </c>
      <c r="F119" s="2">
        <v>3233557</v>
      </c>
      <c r="G119" s="2" t="s">
        <v>610</v>
      </c>
      <c r="H119" s="2" t="s">
        <v>229</v>
      </c>
      <c r="I119" s="2"/>
      <c r="J119" s="2" t="s">
        <v>963</v>
      </c>
      <c r="K119" s="2" t="s">
        <v>1867</v>
      </c>
      <c r="L119" s="2"/>
      <c r="M119" s="2"/>
      <c r="N119" s="2"/>
      <c r="O119" s="2"/>
      <c r="P119" s="557" t="str">
        <f>CONCATENATE(schedule13[[#This Row],[OD]],"-",schedule13[[#This Row],[ID]],"-",schedule13[[#This Row],[TICKNESS]],"-",schedule13[[#This Row],[GRADE]],"-",schedule13[[#This Row],[FC/NFC]])</f>
        <v>40-20-1.2-CRFH-PE</v>
      </c>
      <c r="Q119" s="557"/>
      <c r="R119" s="557"/>
      <c r="S119" s="1">
        <v>38.1</v>
      </c>
      <c r="T119" s="1">
        <v>40</v>
      </c>
      <c r="U119" s="1">
        <v>20</v>
      </c>
      <c r="V119" s="1">
        <v>1.2</v>
      </c>
      <c r="W119" s="24">
        <v>800</v>
      </c>
      <c r="X119" s="24"/>
      <c r="Y119" s="2">
        <v>0</v>
      </c>
      <c r="Z119" s="2"/>
      <c r="AA119" s="4">
        <f t="shared" si="14"/>
        <v>0</v>
      </c>
      <c r="AB119" s="1">
        <f t="shared" si="22"/>
        <v>0</v>
      </c>
      <c r="AC119" s="1">
        <f t="shared" si="19"/>
        <v>0</v>
      </c>
      <c r="AD119" s="1">
        <f t="shared" si="16"/>
        <v>0</v>
      </c>
      <c r="AE119" s="1"/>
      <c r="AF119" s="1">
        <v>0.91121200000000002</v>
      </c>
      <c r="AG119" s="1"/>
      <c r="AH119" s="1">
        <f t="shared" ref="AH119:AH127" si="25">AB118-AF119</f>
        <v>-0.91121200000000002</v>
      </c>
      <c r="AI119" s="118" t="e">
        <f t="shared" ref="AI119:AI127" si="26">(AC119+AF119)/AB118</f>
        <v>#DIV/0!</v>
      </c>
    </row>
    <row r="120" spans="1:35" hidden="1" x14ac:dyDescent="0.25">
      <c r="A120" s="30">
        <v>339</v>
      </c>
      <c r="B120" s="5" t="s">
        <v>1816</v>
      </c>
      <c r="C120" s="2" t="s">
        <v>289</v>
      </c>
      <c r="D120" s="2"/>
      <c r="E120" s="2">
        <v>189002</v>
      </c>
      <c r="F120" s="2">
        <v>3230494</v>
      </c>
      <c r="G120" s="2" t="s">
        <v>1290</v>
      </c>
      <c r="H120" s="2" t="s">
        <v>229</v>
      </c>
      <c r="I120" s="2"/>
      <c r="J120" s="2" t="s">
        <v>963</v>
      </c>
      <c r="K120" s="2" t="s">
        <v>1867</v>
      </c>
      <c r="L120" s="2"/>
      <c r="M120" s="2"/>
      <c r="N120" s="2"/>
      <c r="O120" s="2"/>
      <c r="P120" s="557" t="str">
        <f>CONCATENATE(schedule13[[#This Row],[OD]],"-",schedule13[[#This Row],[ID]],"-",schedule13[[#This Row],[TICKNESS]],"-",schedule13[[#This Row],[GRADE]],"-",schedule13[[#This Row],[FC/NFC]])</f>
        <v>19-19-1-CRFH-PE</v>
      </c>
      <c r="Q120" s="557"/>
      <c r="R120" s="557"/>
      <c r="S120" s="1">
        <v>23.42</v>
      </c>
      <c r="T120" s="1">
        <v>19</v>
      </c>
      <c r="U120" s="1">
        <v>19</v>
      </c>
      <c r="V120" s="1">
        <v>1</v>
      </c>
      <c r="W120" s="24">
        <v>1300</v>
      </c>
      <c r="X120" s="24"/>
      <c r="Y120" s="2">
        <v>0</v>
      </c>
      <c r="Z120" s="2"/>
      <c r="AA120" s="4">
        <f t="shared" si="14"/>
        <v>0</v>
      </c>
      <c r="AB120" s="1">
        <f t="shared" si="22"/>
        <v>0</v>
      </c>
      <c r="AC120" s="1">
        <f t="shared" si="19"/>
        <v>0</v>
      </c>
      <c r="AD120" s="1">
        <f t="shared" si="16"/>
        <v>0</v>
      </c>
      <c r="AE120" s="1"/>
      <c r="AF120" s="1">
        <v>8.9912000000000006E-2</v>
      </c>
      <c r="AG120" s="1"/>
      <c r="AH120" s="1">
        <f t="shared" si="25"/>
        <v>-8.9912000000000006E-2</v>
      </c>
      <c r="AI120" s="118" t="e">
        <f t="shared" si="26"/>
        <v>#DIV/0!</v>
      </c>
    </row>
    <row r="121" spans="1:35" hidden="1" x14ac:dyDescent="0.25">
      <c r="A121" s="30">
        <v>340</v>
      </c>
      <c r="B121" s="5" t="s">
        <v>1816</v>
      </c>
      <c r="C121" s="2" t="s">
        <v>289</v>
      </c>
      <c r="D121" s="2"/>
      <c r="E121" s="2">
        <v>189002</v>
      </c>
      <c r="F121" s="2">
        <v>3230492</v>
      </c>
      <c r="G121" s="2" t="s">
        <v>614</v>
      </c>
      <c r="H121" s="2" t="s">
        <v>229</v>
      </c>
      <c r="I121" s="2"/>
      <c r="J121" s="2" t="s">
        <v>963</v>
      </c>
      <c r="K121" s="2" t="s">
        <v>1867</v>
      </c>
      <c r="L121" s="2"/>
      <c r="M121" s="2"/>
      <c r="N121" s="2"/>
      <c r="O121" s="2"/>
      <c r="P121" s="557" t="str">
        <f>CONCATENATE(schedule13[[#This Row],[OD]],"-",schedule13[[#This Row],[ID]],"-",schedule13[[#This Row],[TICKNESS]],"-",schedule13[[#This Row],[GRADE]],"-",schedule13[[#This Row],[FC/NFC]])</f>
        <v>19-19-1-CRFH-PE</v>
      </c>
      <c r="Q121" s="557"/>
      <c r="R121" s="557"/>
      <c r="S121" s="1">
        <v>23.42</v>
      </c>
      <c r="T121" s="1">
        <v>19</v>
      </c>
      <c r="U121" s="1">
        <v>19</v>
      </c>
      <c r="V121" s="1">
        <v>1</v>
      </c>
      <c r="W121" s="24">
        <v>880</v>
      </c>
      <c r="X121" s="24"/>
      <c r="Y121" s="2">
        <v>0</v>
      </c>
      <c r="Z121" s="2"/>
      <c r="AA121" s="4">
        <f t="shared" si="14"/>
        <v>0</v>
      </c>
      <c r="AB121" s="1">
        <f t="shared" si="22"/>
        <v>0</v>
      </c>
      <c r="AC121" s="1">
        <f t="shared" si="19"/>
        <v>0</v>
      </c>
      <c r="AD121" s="1">
        <f t="shared" si="16"/>
        <v>0</v>
      </c>
      <c r="AE121" s="1"/>
      <c r="AF121" s="1">
        <v>6.2439999999999996E-2</v>
      </c>
      <c r="AG121" s="1"/>
      <c r="AH121" s="1">
        <f t="shared" si="25"/>
        <v>-6.2439999999999996E-2</v>
      </c>
      <c r="AI121" s="118" t="e">
        <f t="shared" si="26"/>
        <v>#DIV/0!</v>
      </c>
    </row>
    <row r="122" spans="1:35" hidden="1" x14ac:dyDescent="0.25">
      <c r="A122" s="30">
        <v>341</v>
      </c>
      <c r="B122" s="5" t="s">
        <v>1816</v>
      </c>
      <c r="C122" s="2" t="s">
        <v>289</v>
      </c>
      <c r="D122" s="2"/>
      <c r="E122" s="2">
        <v>189002</v>
      </c>
      <c r="F122" s="2">
        <v>3605739</v>
      </c>
      <c r="G122" s="2" t="s">
        <v>620</v>
      </c>
      <c r="H122" s="2" t="s">
        <v>229</v>
      </c>
      <c r="I122" s="2"/>
      <c r="J122" s="2" t="s">
        <v>963</v>
      </c>
      <c r="K122" s="2" t="s">
        <v>1867</v>
      </c>
      <c r="L122" s="2"/>
      <c r="M122" s="2"/>
      <c r="N122" s="2"/>
      <c r="O122" s="2"/>
      <c r="P122" s="557" t="str">
        <f>CONCATENATE(schedule13[[#This Row],[OD]],"-",schedule13[[#This Row],[ID]],"-",schedule13[[#This Row],[TICKNESS]],"-",schedule13[[#This Row],[GRADE]],"-",schedule13[[#This Row],[FC/NFC]])</f>
        <v>19-19-1-CRFH-PE</v>
      </c>
      <c r="Q122" s="557"/>
      <c r="R122" s="557"/>
      <c r="S122" s="1">
        <v>23.42</v>
      </c>
      <c r="T122" s="1">
        <v>19</v>
      </c>
      <c r="U122" s="1">
        <v>19</v>
      </c>
      <c r="V122" s="1">
        <v>1</v>
      </c>
      <c r="W122" s="24">
        <v>871</v>
      </c>
      <c r="X122" s="24"/>
      <c r="Y122" s="2">
        <v>0</v>
      </c>
      <c r="Z122" s="2"/>
      <c r="AA122" s="4">
        <f t="shared" si="14"/>
        <v>0</v>
      </c>
      <c r="AB122" s="1">
        <f t="shared" si="22"/>
        <v>0</v>
      </c>
      <c r="AC122" s="1">
        <f t="shared" si="19"/>
        <v>0</v>
      </c>
      <c r="AD122" s="1">
        <f t="shared" si="16"/>
        <v>0</v>
      </c>
      <c r="AE122" s="1"/>
      <c r="AF122" s="1">
        <v>0.112</v>
      </c>
      <c r="AG122" s="1"/>
      <c r="AH122" s="1">
        <f t="shared" si="25"/>
        <v>-0.112</v>
      </c>
      <c r="AI122" s="118" t="e">
        <f t="shared" si="26"/>
        <v>#DIV/0!</v>
      </c>
    </row>
    <row r="123" spans="1:35" hidden="1" x14ac:dyDescent="0.25">
      <c r="A123" s="30">
        <v>342</v>
      </c>
      <c r="B123" s="5" t="s">
        <v>1816</v>
      </c>
      <c r="C123" s="2" t="s">
        <v>289</v>
      </c>
      <c r="D123" s="2"/>
      <c r="E123" s="2">
        <v>189002</v>
      </c>
      <c r="F123" s="2">
        <v>3230485</v>
      </c>
      <c r="G123" s="2" t="s">
        <v>616</v>
      </c>
      <c r="H123" s="2" t="s">
        <v>229</v>
      </c>
      <c r="I123" s="2"/>
      <c r="J123" s="2" t="s">
        <v>963</v>
      </c>
      <c r="K123" s="2" t="s">
        <v>1867</v>
      </c>
      <c r="L123" s="2"/>
      <c r="M123" s="2"/>
      <c r="N123" s="2"/>
      <c r="O123" s="2"/>
      <c r="P123" s="557" t="str">
        <f>CONCATENATE(schedule13[[#This Row],[OD]],"-",schedule13[[#This Row],[ID]],"-",schedule13[[#This Row],[TICKNESS]],"-",schedule13[[#This Row],[GRADE]],"-",schedule13[[#This Row],[FC/NFC]])</f>
        <v>19-19-1-CRFH-PE</v>
      </c>
      <c r="Q123" s="557"/>
      <c r="R123" s="557"/>
      <c r="S123" s="1">
        <v>23.42</v>
      </c>
      <c r="T123" s="1">
        <v>19</v>
      </c>
      <c r="U123" s="1">
        <v>19</v>
      </c>
      <c r="V123" s="1">
        <v>1</v>
      </c>
      <c r="W123" s="24">
        <v>840</v>
      </c>
      <c r="X123" s="24"/>
      <c r="Y123" s="2">
        <v>0</v>
      </c>
      <c r="Z123" s="2"/>
      <c r="AA123" s="4">
        <f t="shared" si="14"/>
        <v>0</v>
      </c>
      <c r="AB123" s="1">
        <f t="shared" si="22"/>
        <v>0</v>
      </c>
      <c r="AC123" s="1">
        <f t="shared" si="19"/>
        <v>0</v>
      </c>
      <c r="AD123" s="1">
        <f t="shared" si="16"/>
        <v>0</v>
      </c>
      <c r="AE123" s="1"/>
      <c r="AF123" s="1"/>
      <c r="AG123" s="1"/>
      <c r="AH123" s="1">
        <f t="shared" si="25"/>
        <v>0</v>
      </c>
      <c r="AI123" s="118" t="e">
        <f t="shared" si="26"/>
        <v>#DIV/0!</v>
      </c>
    </row>
    <row r="124" spans="1:35" hidden="1" x14ac:dyDescent="0.25">
      <c r="A124" s="30">
        <v>343</v>
      </c>
      <c r="B124" s="5" t="s">
        <v>1816</v>
      </c>
      <c r="C124" s="2" t="s">
        <v>289</v>
      </c>
      <c r="D124" s="2"/>
      <c r="E124" s="2">
        <v>189002</v>
      </c>
      <c r="F124" s="2">
        <v>3605740</v>
      </c>
      <c r="G124" s="2" t="s">
        <v>1296</v>
      </c>
      <c r="H124" s="2" t="s">
        <v>229</v>
      </c>
      <c r="I124" s="2"/>
      <c r="J124" s="2" t="s">
        <v>963</v>
      </c>
      <c r="K124" s="2" t="s">
        <v>1867</v>
      </c>
      <c r="L124" s="2"/>
      <c r="M124" s="2"/>
      <c r="N124" s="2"/>
      <c r="O124" s="2"/>
      <c r="P124" s="557" t="str">
        <f>CONCATENATE(schedule13[[#This Row],[OD]],"-",schedule13[[#This Row],[ID]],"-",schedule13[[#This Row],[TICKNESS]],"-",schedule13[[#This Row],[GRADE]],"-",schedule13[[#This Row],[FC/NFC]])</f>
        <v>19-19-1-CRFH-PE</v>
      </c>
      <c r="Q124" s="557"/>
      <c r="R124" s="557"/>
      <c r="S124" s="1">
        <v>23.42</v>
      </c>
      <c r="T124" s="1">
        <v>19</v>
      </c>
      <c r="U124" s="1">
        <v>19</v>
      </c>
      <c r="V124" s="1">
        <v>1</v>
      </c>
      <c r="W124" s="24">
        <v>675</v>
      </c>
      <c r="X124" s="24"/>
      <c r="Y124" s="2">
        <v>0</v>
      </c>
      <c r="Z124" s="2"/>
      <c r="AA124" s="4">
        <f t="shared" si="14"/>
        <v>0</v>
      </c>
      <c r="AB124" s="1">
        <f t="shared" si="22"/>
        <v>0</v>
      </c>
      <c r="AC124" s="1">
        <f t="shared" si="19"/>
        <v>0</v>
      </c>
      <c r="AD124" s="1">
        <f t="shared" si="16"/>
        <v>0</v>
      </c>
      <c r="AE124" s="1"/>
      <c r="AF124" s="1">
        <v>0.11556999999999999</v>
      </c>
      <c r="AG124" s="1"/>
      <c r="AH124" s="1">
        <f t="shared" si="25"/>
        <v>-0.11556999999999999</v>
      </c>
      <c r="AI124" s="118" t="e">
        <f t="shared" si="26"/>
        <v>#DIV/0!</v>
      </c>
    </row>
    <row r="125" spans="1:35" hidden="1" x14ac:dyDescent="0.25">
      <c r="A125" s="30">
        <v>344</v>
      </c>
      <c r="B125" s="5" t="s">
        <v>1816</v>
      </c>
      <c r="C125" s="2" t="s">
        <v>289</v>
      </c>
      <c r="D125" s="2"/>
      <c r="E125" s="2">
        <v>189002</v>
      </c>
      <c r="F125" s="2">
        <v>3230488</v>
      </c>
      <c r="G125" s="2" t="s">
        <v>496</v>
      </c>
      <c r="H125" s="2" t="s">
        <v>229</v>
      </c>
      <c r="I125" s="2"/>
      <c r="J125" s="2" t="s">
        <v>963</v>
      </c>
      <c r="K125" s="2" t="s">
        <v>1867</v>
      </c>
      <c r="L125" s="2"/>
      <c r="M125" s="2"/>
      <c r="N125" s="2"/>
      <c r="O125" s="2"/>
      <c r="P125" s="557" t="str">
        <f>CONCATENATE(schedule13[[#This Row],[OD]],"-",schedule13[[#This Row],[ID]],"-",schedule13[[#This Row],[TICKNESS]],"-",schedule13[[#This Row],[GRADE]],"-",schedule13[[#This Row],[FC/NFC]])</f>
        <v>19-19-1-CRFH-PE</v>
      </c>
      <c r="Q125" s="557"/>
      <c r="R125" s="557"/>
      <c r="S125" s="1">
        <v>23.42</v>
      </c>
      <c r="T125" s="1">
        <v>19</v>
      </c>
      <c r="U125" s="1">
        <v>19</v>
      </c>
      <c r="V125" s="1">
        <v>1</v>
      </c>
      <c r="W125" s="24">
        <v>470</v>
      </c>
      <c r="X125" s="24"/>
      <c r="Y125" s="2">
        <v>0</v>
      </c>
      <c r="Z125" s="2"/>
      <c r="AA125" s="4">
        <f t="shared" si="14"/>
        <v>0</v>
      </c>
      <c r="AB125" s="1">
        <f t="shared" si="22"/>
        <v>0</v>
      </c>
      <c r="AC125" s="1">
        <f t="shared" si="19"/>
        <v>0</v>
      </c>
      <c r="AD125" s="1">
        <f t="shared" si="16"/>
        <v>0</v>
      </c>
      <c r="AE125" s="1"/>
      <c r="AF125" s="1">
        <v>0.35012700000000002</v>
      </c>
      <c r="AG125" s="1"/>
      <c r="AH125" s="1">
        <f t="shared" si="25"/>
        <v>-0.35012700000000002</v>
      </c>
      <c r="AI125" s="118" t="e">
        <f t="shared" si="26"/>
        <v>#DIV/0!</v>
      </c>
    </row>
    <row r="126" spans="1:35" hidden="1" x14ac:dyDescent="0.25">
      <c r="A126" s="30">
        <v>345</v>
      </c>
      <c r="B126" s="5" t="s">
        <v>1816</v>
      </c>
      <c r="C126" s="2" t="s">
        <v>289</v>
      </c>
      <c r="D126" s="2"/>
      <c r="E126" s="2">
        <v>189002</v>
      </c>
      <c r="F126" s="2">
        <v>3234371</v>
      </c>
      <c r="G126" s="2" t="s">
        <v>1264</v>
      </c>
      <c r="H126" s="2" t="s">
        <v>229</v>
      </c>
      <c r="I126" s="2"/>
      <c r="J126" s="2" t="s">
        <v>963</v>
      </c>
      <c r="K126" s="2" t="s">
        <v>1867</v>
      </c>
      <c r="L126" s="2"/>
      <c r="M126" s="2"/>
      <c r="N126" s="2"/>
      <c r="O126" s="2"/>
      <c r="P126" s="557" t="str">
        <f>CONCATENATE(schedule13[[#This Row],[OD]],"-",schedule13[[#This Row],[ID]],"-",schedule13[[#This Row],[TICKNESS]],"-",schedule13[[#This Row],[GRADE]],"-",schedule13[[#This Row],[FC/NFC]])</f>
        <v>19-19-1-CRFH-PE</v>
      </c>
      <c r="Q126" s="557"/>
      <c r="R126" s="557"/>
      <c r="S126" s="1">
        <v>23.42</v>
      </c>
      <c r="T126" s="1">
        <v>19</v>
      </c>
      <c r="U126" s="1">
        <v>19</v>
      </c>
      <c r="V126" s="1">
        <v>1</v>
      </c>
      <c r="W126" s="24">
        <v>462</v>
      </c>
      <c r="X126" s="24"/>
      <c r="Y126" s="2">
        <v>0</v>
      </c>
      <c r="Z126" s="2"/>
      <c r="AA126" s="4">
        <f t="shared" si="14"/>
        <v>0</v>
      </c>
      <c r="AB126" s="1">
        <f t="shared" si="22"/>
        <v>0</v>
      </c>
      <c r="AC126" s="1">
        <f t="shared" si="19"/>
        <v>0</v>
      </c>
      <c r="AD126" s="1">
        <f t="shared" si="16"/>
        <v>0</v>
      </c>
      <c r="AE126" s="1"/>
      <c r="AF126" s="1"/>
      <c r="AG126" s="1"/>
      <c r="AH126" s="1">
        <f t="shared" si="25"/>
        <v>0</v>
      </c>
      <c r="AI126" s="118" t="e">
        <f t="shared" si="26"/>
        <v>#DIV/0!</v>
      </c>
    </row>
    <row r="127" spans="1:35" hidden="1" x14ac:dyDescent="0.25">
      <c r="A127" s="30">
        <v>346</v>
      </c>
      <c r="B127" s="5" t="s">
        <v>1816</v>
      </c>
      <c r="C127" s="2" t="s">
        <v>289</v>
      </c>
      <c r="D127" s="2"/>
      <c r="E127" s="2">
        <v>189002</v>
      </c>
      <c r="F127" s="2">
        <v>3230487</v>
      </c>
      <c r="G127" s="2" t="s">
        <v>498</v>
      </c>
      <c r="H127" s="2" t="s">
        <v>229</v>
      </c>
      <c r="I127" s="2"/>
      <c r="J127" s="2" t="s">
        <v>963</v>
      </c>
      <c r="K127" s="2" t="s">
        <v>1867</v>
      </c>
      <c r="L127" s="2"/>
      <c r="M127" s="2"/>
      <c r="N127" s="2"/>
      <c r="O127" s="2"/>
      <c r="P127" s="557" t="str">
        <f>CONCATENATE(schedule13[[#This Row],[OD]],"-",schedule13[[#This Row],[ID]],"-",schedule13[[#This Row],[TICKNESS]],"-",schedule13[[#This Row],[GRADE]],"-",schedule13[[#This Row],[FC/NFC]])</f>
        <v>19-19-1-CRFH-PE</v>
      </c>
      <c r="Q127" s="557"/>
      <c r="R127" s="557"/>
      <c r="S127" s="1">
        <v>23.42</v>
      </c>
      <c r="T127" s="1">
        <v>19</v>
      </c>
      <c r="U127" s="1">
        <v>19</v>
      </c>
      <c r="V127" s="1">
        <v>1</v>
      </c>
      <c r="W127" s="24">
        <v>400</v>
      </c>
      <c r="X127" s="24"/>
      <c r="Y127" s="2">
        <v>0</v>
      </c>
      <c r="Z127" s="2"/>
      <c r="AA127" s="4">
        <f t="shared" si="14"/>
        <v>0</v>
      </c>
      <c r="AB127" s="1">
        <f t="shared" si="22"/>
        <v>0</v>
      </c>
      <c r="AC127" s="1">
        <f t="shared" si="19"/>
        <v>0</v>
      </c>
      <c r="AD127" s="1">
        <f t="shared" si="16"/>
        <v>0</v>
      </c>
      <c r="AE127" s="1"/>
      <c r="AF127" s="1">
        <v>0.77899999999999991</v>
      </c>
      <c r="AG127" s="1"/>
      <c r="AH127" s="1">
        <f t="shared" si="25"/>
        <v>-0.77899999999999991</v>
      </c>
      <c r="AI127" s="118" t="e">
        <f t="shared" si="26"/>
        <v>#DIV/0!</v>
      </c>
    </row>
    <row r="128" spans="1:35" hidden="1" x14ac:dyDescent="0.25">
      <c r="A128" s="30">
        <v>347</v>
      </c>
      <c r="B128" s="78" t="s">
        <v>1816</v>
      </c>
      <c r="C128" s="44" t="s">
        <v>289</v>
      </c>
      <c r="D128" s="557"/>
      <c r="E128" s="44">
        <v>189002</v>
      </c>
      <c r="F128" s="44">
        <v>3432217</v>
      </c>
      <c r="G128" s="44" t="s">
        <v>1305</v>
      </c>
      <c r="H128" s="44" t="s">
        <v>229</v>
      </c>
      <c r="I128" s="1"/>
      <c r="J128" s="44" t="s">
        <v>963</v>
      </c>
      <c r="K128" s="1"/>
      <c r="L128" s="1"/>
      <c r="M128" s="24"/>
      <c r="N128" s="2"/>
      <c r="O128" s="2"/>
      <c r="P128" s="557" t="str">
        <f>CONCATENATE(schedule13[[#This Row],[OD]],"-",schedule13[[#This Row],[ID]],"-",schedule13[[#This Row],[TICKNESS]],"-",schedule13[[#This Row],[GRADE]],"-",schedule13[[#This Row],[FC/NFC]])</f>
        <v>19-19-1-CRFH-PE</v>
      </c>
      <c r="Q128" s="557"/>
      <c r="R128" s="557"/>
      <c r="S128" s="79">
        <v>23.42</v>
      </c>
      <c r="T128" s="79">
        <v>19</v>
      </c>
      <c r="U128" s="79">
        <v>19</v>
      </c>
      <c r="V128" s="79">
        <v>1</v>
      </c>
      <c r="W128" s="81">
        <v>330</v>
      </c>
      <c r="X128" s="81"/>
      <c r="Y128" s="2">
        <v>0</v>
      </c>
      <c r="Z128" s="558"/>
      <c r="AA128" s="573">
        <f t="shared" si="14"/>
        <v>0</v>
      </c>
      <c r="AB128" s="561">
        <f t="shared" si="22"/>
        <v>0</v>
      </c>
      <c r="AC128" s="1">
        <f t="shared" si="19"/>
        <v>0</v>
      </c>
      <c r="AD128" s="1">
        <f t="shared" si="16"/>
        <v>0</v>
      </c>
      <c r="AE128" s="1"/>
      <c r="AF128" s="1"/>
      <c r="AG128" s="1"/>
      <c r="AH128" s="1"/>
      <c r="AI128" s="118"/>
    </row>
    <row r="129" spans="1:35" hidden="1" x14ac:dyDescent="0.25">
      <c r="A129" s="30">
        <v>348</v>
      </c>
      <c r="B129" s="5" t="s">
        <v>1816</v>
      </c>
      <c r="C129" s="2" t="s">
        <v>289</v>
      </c>
      <c r="D129" s="2"/>
      <c r="E129" s="2">
        <v>189002</v>
      </c>
      <c r="F129" s="2">
        <v>3233560</v>
      </c>
      <c r="G129" s="2" t="s">
        <v>618</v>
      </c>
      <c r="H129" s="2" t="s">
        <v>229</v>
      </c>
      <c r="I129" s="2"/>
      <c r="J129" s="2"/>
      <c r="K129" s="2" t="s">
        <v>239</v>
      </c>
      <c r="L129" s="2"/>
      <c r="M129" s="2"/>
      <c r="N129" s="2"/>
      <c r="O129" s="2"/>
      <c r="P129" s="557" t="str">
        <f>CONCATENATE(schedule13[[#This Row],[OD]],"-",schedule13[[#This Row],[ID]],"-",schedule13[[#This Row],[TICKNESS]],"-",schedule13[[#This Row],[GRADE]],"-",schedule13[[#This Row],[FC/NFC]])</f>
        <v>19-19-1-CRFH-</v>
      </c>
      <c r="Q129" s="557"/>
      <c r="R129" s="557"/>
      <c r="S129" s="1">
        <v>23.42</v>
      </c>
      <c r="T129" s="1">
        <v>19</v>
      </c>
      <c r="U129" s="1">
        <v>19</v>
      </c>
      <c r="V129" s="1">
        <v>1</v>
      </c>
      <c r="W129" s="24">
        <v>875</v>
      </c>
      <c r="X129" s="24"/>
      <c r="Y129" s="2">
        <v>0</v>
      </c>
      <c r="Z129" s="2"/>
      <c r="AA129" s="4">
        <f t="shared" si="14"/>
        <v>0</v>
      </c>
      <c r="AB129" s="1">
        <f t="shared" si="22"/>
        <v>0</v>
      </c>
      <c r="AC129" s="1">
        <f t="shared" si="19"/>
        <v>0</v>
      </c>
      <c r="AD129" s="1">
        <f t="shared" si="16"/>
        <v>0</v>
      </c>
      <c r="AE129" s="1"/>
      <c r="AF129" s="1">
        <v>0.20477999999999999</v>
      </c>
      <c r="AG129" s="1"/>
      <c r="AH129" s="1">
        <f>AB127-AF129</f>
        <v>-0.20477999999999999</v>
      </c>
      <c r="AI129" s="118" t="e">
        <f>(AC129+AF129)/AB127</f>
        <v>#DIV/0!</v>
      </c>
    </row>
    <row r="130" spans="1:35" hidden="1" x14ac:dyDescent="0.25">
      <c r="A130" s="30">
        <v>349</v>
      </c>
      <c r="B130" s="5" t="s">
        <v>1816</v>
      </c>
      <c r="C130" s="2" t="s">
        <v>289</v>
      </c>
      <c r="D130" s="2"/>
      <c r="E130" s="2">
        <v>189002</v>
      </c>
      <c r="F130" s="2">
        <v>3230491</v>
      </c>
      <c r="G130" s="2" t="s">
        <v>1270</v>
      </c>
      <c r="H130" s="2" t="s">
        <v>229</v>
      </c>
      <c r="I130" s="2"/>
      <c r="J130" s="2"/>
      <c r="K130" s="2" t="s">
        <v>239</v>
      </c>
      <c r="L130" s="2"/>
      <c r="M130" s="2"/>
      <c r="N130" s="2"/>
      <c r="O130" s="2"/>
      <c r="P130" s="557" t="str">
        <f>CONCATENATE(schedule13[[#This Row],[OD]],"-",schedule13[[#This Row],[ID]],"-",schedule13[[#This Row],[TICKNESS]],"-",schedule13[[#This Row],[GRADE]],"-",schedule13[[#This Row],[FC/NFC]])</f>
        <v>19-19-1-CRFH-</v>
      </c>
      <c r="Q130" s="557"/>
      <c r="R130" s="557"/>
      <c r="S130" s="1">
        <v>23.42</v>
      </c>
      <c r="T130" s="1">
        <v>19</v>
      </c>
      <c r="U130" s="1">
        <v>19</v>
      </c>
      <c r="V130" s="1">
        <v>1</v>
      </c>
      <c r="W130" s="24">
        <v>682</v>
      </c>
      <c r="X130" s="24"/>
      <c r="Y130" s="2">
        <v>0</v>
      </c>
      <c r="Z130" s="2"/>
      <c r="AA130" s="4">
        <f t="shared" si="14"/>
        <v>0</v>
      </c>
      <c r="AB130" s="1">
        <f t="shared" si="22"/>
        <v>0</v>
      </c>
      <c r="AC130" s="1">
        <f t="shared" si="19"/>
        <v>0</v>
      </c>
      <c r="AD130" s="1">
        <f t="shared" si="16"/>
        <v>0</v>
      </c>
      <c r="AE130" s="1"/>
      <c r="AF130" s="1"/>
      <c r="AG130" s="1"/>
      <c r="AH130" s="1">
        <f t="shared" ref="AH130:AH139" si="27">AB129-AF130</f>
        <v>0</v>
      </c>
      <c r="AI130" s="118" t="e">
        <f t="shared" ref="AI130:AI139" si="28">(AC130+AF130)/AB129</f>
        <v>#DIV/0!</v>
      </c>
    </row>
    <row r="131" spans="1:35" hidden="1" x14ac:dyDescent="0.25">
      <c r="A131" s="30">
        <v>350</v>
      </c>
      <c r="B131" s="5" t="s">
        <v>1816</v>
      </c>
      <c r="C131" s="2" t="s">
        <v>289</v>
      </c>
      <c r="D131" s="2"/>
      <c r="E131" s="2">
        <v>189002</v>
      </c>
      <c r="F131" s="2">
        <v>3230490</v>
      </c>
      <c r="G131" s="2" t="s">
        <v>515</v>
      </c>
      <c r="H131" s="2" t="s">
        <v>229</v>
      </c>
      <c r="I131" s="2"/>
      <c r="J131" s="2" t="s">
        <v>963</v>
      </c>
      <c r="K131" s="2" t="s">
        <v>1867</v>
      </c>
      <c r="L131" s="2"/>
      <c r="M131" s="2"/>
      <c r="N131" s="2"/>
      <c r="O131" s="2"/>
      <c r="P131" s="557" t="str">
        <f>CONCATENATE(schedule13[[#This Row],[OD]],"-",schedule13[[#This Row],[ID]],"-",schedule13[[#This Row],[TICKNESS]],"-",schedule13[[#This Row],[GRADE]],"-",schedule13[[#This Row],[FC/NFC]])</f>
        <v>19-19-1-CRFH-PE</v>
      </c>
      <c r="Q131" s="557"/>
      <c r="R131" s="557"/>
      <c r="S131" s="1">
        <v>23.42</v>
      </c>
      <c r="T131" s="1">
        <v>19</v>
      </c>
      <c r="U131" s="1">
        <v>19</v>
      </c>
      <c r="V131" s="1">
        <v>1</v>
      </c>
      <c r="W131" s="24">
        <v>355</v>
      </c>
      <c r="X131" s="24"/>
      <c r="Y131" s="2">
        <v>0</v>
      </c>
      <c r="Z131" s="2"/>
      <c r="AA131" s="4">
        <f t="shared" si="14"/>
        <v>0</v>
      </c>
      <c r="AB131" s="1">
        <f t="shared" si="22"/>
        <v>0</v>
      </c>
      <c r="AC131" s="1">
        <f t="shared" si="19"/>
        <v>0</v>
      </c>
      <c r="AD131" s="1">
        <f t="shared" si="16"/>
        <v>0</v>
      </c>
      <c r="AE131" s="1"/>
      <c r="AF131" s="1">
        <v>0.28299999999999997</v>
      </c>
      <c r="AG131" s="1"/>
      <c r="AH131" s="1">
        <f t="shared" si="27"/>
        <v>-0.28299999999999997</v>
      </c>
      <c r="AI131" s="118" t="e">
        <f t="shared" si="28"/>
        <v>#DIV/0!</v>
      </c>
    </row>
    <row r="132" spans="1:35" hidden="1" x14ac:dyDescent="0.25">
      <c r="A132" s="30">
        <v>351</v>
      </c>
      <c r="B132" s="5" t="s">
        <v>1816</v>
      </c>
      <c r="C132" s="2" t="s">
        <v>289</v>
      </c>
      <c r="D132" s="2"/>
      <c r="E132" s="2">
        <v>189002</v>
      </c>
      <c r="F132" s="2">
        <v>3230484</v>
      </c>
      <c r="G132" s="2" t="s">
        <v>1545</v>
      </c>
      <c r="H132" s="2" t="s">
        <v>229</v>
      </c>
      <c r="I132" s="2"/>
      <c r="J132" s="2" t="s">
        <v>963</v>
      </c>
      <c r="K132" s="2" t="s">
        <v>1867</v>
      </c>
      <c r="L132" s="2"/>
      <c r="M132" s="2"/>
      <c r="N132" s="2"/>
      <c r="O132" s="2"/>
      <c r="P132" s="557" t="str">
        <f>CONCATENATE(schedule13[[#This Row],[OD]],"-",schedule13[[#This Row],[ID]],"-",schedule13[[#This Row],[TICKNESS]],"-",schedule13[[#This Row],[GRADE]],"-",schedule13[[#This Row],[FC/NFC]])</f>
        <v>25-25-1.2-CRFH-PE</v>
      </c>
      <c r="Q132" s="557"/>
      <c r="R132" s="557"/>
      <c r="S132" s="1">
        <v>31.75</v>
      </c>
      <c r="T132" s="1">
        <v>25</v>
      </c>
      <c r="U132" s="1">
        <v>25</v>
      </c>
      <c r="V132" s="1">
        <v>1.2</v>
      </c>
      <c r="W132" s="24">
        <v>1246</v>
      </c>
      <c r="X132" s="24"/>
      <c r="Y132" s="2">
        <v>0</v>
      </c>
      <c r="Z132" s="2"/>
      <c r="AA132" s="4">
        <f t="shared" ref="AA132:AA195" si="29">Y132-Z132</f>
        <v>0</v>
      </c>
      <c r="AB132" s="1">
        <f t="shared" ref="AB132:AB163" si="30">(S132-V132)*V132*W132*0.024653*Y132/1000000</f>
        <v>0</v>
      </c>
      <c r="AC132" s="1">
        <f t="shared" si="19"/>
        <v>0</v>
      </c>
      <c r="AD132" s="1">
        <f t="shared" ref="AD132:AD195" si="31">AB132-AC132</f>
        <v>0</v>
      </c>
      <c r="AE132" s="1"/>
      <c r="AF132" s="1">
        <v>8.6858999999999992E-2</v>
      </c>
      <c r="AG132" s="1"/>
      <c r="AH132" s="1">
        <f t="shared" si="27"/>
        <v>-8.6858999999999992E-2</v>
      </c>
      <c r="AI132" s="118" t="e">
        <f t="shared" si="28"/>
        <v>#DIV/0!</v>
      </c>
    </row>
    <row r="133" spans="1:35" hidden="1" x14ac:dyDescent="0.25">
      <c r="A133" s="30">
        <v>352</v>
      </c>
      <c r="B133" s="5" t="s">
        <v>1816</v>
      </c>
      <c r="C133" s="2" t="s">
        <v>289</v>
      </c>
      <c r="D133" s="2"/>
      <c r="E133" s="2">
        <v>189002</v>
      </c>
      <c r="F133" s="2">
        <v>3230482</v>
      </c>
      <c r="G133" s="2" t="s">
        <v>624</v>
      </c>
      <c r="H133" s="2" t="s">
        <v>229</v>
      </c>
      <c r="I133" s="2"/>
      <c r="J133" s="2" t="s">
        <v>963</v>
      </c>
      <c r="K133" s="2" t="s">
        <v>1867</v>
      </c>
      <c r="L133" s="2"/>
      <c r="M133" s="2"/>
      <c r="N133" s="2"/>
      <c r="O133" s="2"/>
      <c r="P133" s="557" t="str">
        <f>CONCATENATE(schedule13[[#This Row],[OD]],"-",schedule13[[#This Row],[ID]],"-",schedule13[[#This Row],[TICKNESS]],"-",schedule13[[#This Row],[GRADE]],"-",schedule13[[#This Row],[FC/NFC]])</f>
        <v>25-25-1.2-CRFH-PE</v>
      </c>
      <c r="Q133" s="557"/>
      <c r="R133" s="557"/>
      <c r="S133" s="1">
        <v>31.75</v>
      </c>
      <c r="T133" s="1">
        <v>25</v>
      </c>
      <c r="U133" s="1">
        <v>25</v>
      </c>
      <c r="V133" s="1">
        <v>1.2</v>
      </c>
      <c r="W133" s="24">
        <v>787</v>
      </c>
      <c r="X133" s="24"/>
      <c r="Y133" s="2">
        <v>0</v>
      </c>
      <c r="Z133" s="2"/>
      <c r="AA133" s="4">
        <f t="shared" si="29"/>
        <v>0</v>
      </c>
      <c r="AB133" s="1">
        <f t="shared" si="30"/>
        <v>0</v>
      </c>
      <c r="AC133" s="1">
        <f t="shared" si="19"/>
        <v>0</v>
      </c>
      <c r="AD133" s="1">
        <f t="shared" si="31"/>
        <v>0</v>
      </c>
      <c r="AE133" s="1"/>
      <c r="AF133" s="1">
        <v>0.156473</v>
      </c>
      <c r="AG133" s="1"/>
      <c r="AH133" s="1">
        <f t="shared" si="27"/>
        <v>-0.156473</v>
      </c>
      <c r="AI133" s="118" t="e">
        <f t="shared" si="28"/>
        <v>#DIV/0!</v>
      </c>
    </row>
    <row r="134" spans="1:35" hidden="1" x14ac:dyDescent="0.25">
      <c r="A134" s="30">
        <v>353</v>
      </c>
      <c r="B134" s="5" t="s">
        <v>1816</v>
      </c>
      <c r="C134" s="2" t="s">
        <v>289</v>
      </c>
      <c r="D134" s="2"/>
      <c r="E134" s="2">
        <v>189002</v>
      </c>
      <c r="F134" s="2">
        <v>3230483</v>
      </c>
      <c r="G134" s="2" t="s">
        <v>1543</v>
      </c>
      <c r="H134" s="2" t="s">
        <v>229</v>
      </c>
      <c r="I134" s="2"/>
      <c r="J134" s="2" t="s">
        <v>963</v>
      </c>
      <c r="K134" s="2" t="s">
        <v>1867</v>
      </c>
      <c r="L134" s="2"/>
      <c r="M134" s="2"/>
      <c r="N134" s="2"/>
      <c r="O134" s="2"/>
      <c r="P134" s="557" t="str">
        <f>CONCATENATE(schedule13[[#This Row],[OD]],"-",schedule13[[#This Row],[ID]],"-",schedule13[[#This Row],[TICKNESS]],"-",schedule13[[#This Row],[GRADE]],"-",schedule13[[#This Row],[FC/NFC]])</f>
        <v>25-25-1.2-CRFH-PE</v>
      </c>
      <c r="Q134" s="557"/>
      <c r="R134" s="557"/>
      <c r="S134" s="1">
        <v>31.75</v>
      </c>
      <c r="T134" s="1">
        <v>25</v>
      </c>
      <c r="U134" s="1">
        <v>25</v>
      </c>
      <c r="V134" s="1">
        <v>1.2</v>
      </c>
      <c r="W134" s="24">
        <v>330</v>
      </c>
      <c r="X134" s="24"/>
      <c r="Y134" s="2">
        <v>0</v>
      </c>
      <c r="Z134" s="2"/>
      <c r="AA134" s="4">
        <f t="shared" si="29"/>
        <v>0</v>
      </c>
      <c r="AB134" s="1">
        <f t="shared" si="30"/>
        <v>0</v>
      </c>
      <c r="AC134" s="1">
        <f t="shared" si="19"/>
        <v>0</v>
      </c>
      <c r="AD134" s="1">
        <f t="shared" si="31"/>
        <v>0</v>
      </c>
      <c r="AE134" s="1"/>
      <c r="AF134" s="1">
        <v>0.34899999999999998</v>
      </c>
      <c r="AG134" s="1"/>
      <c r="AH134" s="1">
        <f t="shared" si="27"/>
        <v>-0.34899999999999998</v>
      </c>
      <c r="AI134" s="118" t="e">
        <f t="shared" si="28"/>
        <v>#DIV/0!</v>
      </c>
    </row>
    <row r="135" spans="1:35" hidden="1" x14ac:dyDescent="0.25">
      <c r="A135" s="30">
        <v>354</v>
      </c>
      <c r="B135" s="5" t="s">
        <v>1816</v>
      </c>
      <c r="C135" s="2" t="s">
        <v>289</v>
      </c>
      <c r="D135" s="2"/>
      <c r="E135" s="2">
        <v>189002</v>
      </c>
      <c r="F135" s="2">
        <v>3230495</v>
      </c>
      <c r="G135" s="2" t="s">
        <v>629</v>
      </c>
      <c r="H135" s="2" t="s">
        <v>229</v>
      </c>
      <c r="I135" s="2"/>
      <c r="J135" s="2" t="s">
        <v>963</v>
      </c>
      <c r="K135" s="2" t="s">
        <v>1867</v>
      </c>
      <c r="L135" s="2"/>
      <c r="M135" s="2"/>
      <c r="N135" s="2"/>
      <c r="O135" s="2"/>
      <c r="P135" s="557" t="str">
        <f>CONCATENATE(schedule13[[#This Row],[OD]],"-",schedule13[[#This Row],[ID]],"-",schedule13[[#This Row],[TICKNESS]],"-",schedule13[[#This Row],[GRADE]],"-",schedule13[[#This Row],[FC/NFC]])</f>
        <v>30-30-1.2-CRFH-PE</v>
      </c>
      <c r="Q135" s="557"/>
      <c r="R135" s="557"/>
      <c r="S135" s="1">
        <v>38.1</v>
      </c>
      <c r="T135" s="1">
        <v>30</v>
      </c>
      <c r="U135" s="1">
        <v>30</v>
      </c>
      <c r="V135" s="1">
        <v>1.2</v>
      </c>
      <c r="W135" s="24">
        <v>220</v>
      </c>
      <c r="X135" s="24"/>
      <c r="Y135" s="2">
        <v>0</v>
      </c>
      <c r="Z135" s="2"/>
      <c r="AA135" s="4">
        <f t="shared" si="29"/>
        <v>0</v>
      </c>
      <c r="AB135" s="1">
        <f t="shared" si="30"/>
        <v>0</v>
      </c>
      <c r="AC135" s="1">
        <f t="shared" si="19"/>
        <v>0</v>
      </c>
      <c r="AD135" s="1">
        <f t="shared" si="31"/>
        <v>0</v>
      </c>
      <c r="AE135" s="1"/>
      <c r="AF135" s="1"/>
      <c r="AG135" s="1"/>
      <c r="AH135" s="1">
        <f t="shared" si="27"/>
        <v>0</v>
      </c>
      <c r="AI135" s="118" t="e">
        <f t="shared" si="28"/>
        <v>#DIV/0!</v>
      </c>
    </row>
    <row r="136" spans="1:35" hidden="1" x14ac:dyDescent="0.25">
      <c r="A136" s="30">
        <v>355</v>
      </c>
      <c r="B136" s="5" t="s">
        <v>1872</v>
      </c>
      <c r="C136" s="2" t="s">
        <v>289</v>
      </c>
      <c r="D136" s="2"/>
      <c r="E136" s="2">
        <v>189002</v>
      </c>
      <c r="F136" s="2">
        <v>1938125</v>
      </c>
      <c r="G136" s="2" t="s">
        <v>870</v>
      </c>
      <c r="H136" s="2" t="s">
        <v>357</v>
      </c>
      <c r="I136" s="2"/>
      <c r="J136" s="2" t="s">
        <v>357</v>
      </c>
      <c r="K136" s="2" t="s">
        <v>239</v>
      </c>
      <c r="L136" s="2"/>
      <c r="M136" s="2" t="s">
        <v>1516</v>
      </c>
      <c r="N136" s="2"/>
      <c r="O136" s="2"/>
      <c r="P136" s="557" t="str">
        <f>CONCATENATE(schedule13[[#This Row],[OD]],"-",schedule13[[#This Row],[ID]],"-",schedule13[[#This Row],[TICKNESS]],"-",schedule13[[#This Row],[GRADE]],"-",schedule13[[#This Row],[FC/NFC]])</f>
        <v>39-34-2.5-CEW-CEW</v>
      </c>
      <c r="Q136" s="557" t="str">
        <f>_xlfn.CONCAT(schedule13[[#This Row],[Bucket]],"-",schedule13[[#This Row],[LENGTH]]/1000)</f>
        <v>39-34-2.5-CEW-CEW-0.272</v>
      </c>
      <c r="R136" s="557">
        <f>COUNTIF(buckets[CTL Bucket],schedule13[[#This Row],[CTL Bucket]])</f>
        <v>2</v>
      </c>
      <c r="S136" s="1">
        <v>39</v>
      </c>
      <c r="T136" s="1">
        <v>39</v>
      </c>
      <c r="U136" s="1">
        <v>34</v>
      </c>
      <c r="V136" s="1">
        <v>2.5</v>
      </c>
      <c r="W136" s="24">
        <v>272</v>
      </c>
      <c r="X136" s="22" t="s">
        <v>397</v>
      </c>
      <c r="Y136" s="2">
        <v>0</v>
      </c>
      <c r="Z136" s="2"/>
      <c r="AA136" s="4">
        <f t="shared" si="29"/>
        <v>0</v>
      </c>
      <c r="AB136" s="1">
        <f t="shared" si="30"/>
        <v>0</v>
      </c>
      <c r="AC136" s="1">
        <f t="shared" si="19"/>
        <v>0</v>
      </c>
      <c r="AD136" s="1">
        <f t="shared" si="31"/>
        <v>0</v>
      </c>
      <c r="AE136" s="1"/>
      <c r="AF136" s="1">
        <v>0.15278600000000001</v>
      </c>
      <c r="AG136" s="1"/>
      <c r="AH136" s="1">
        <f t="shared" si="27"/>
        <v>-0.15278600000000001</v>
      </c>
      <c r="AI136" s="118" t="e">
        <f t="shared" si="28"/>
        <v>#DIV/0!</v>
      </c>
    </row>
    <row r="137" spans="1:35" hidden="1" x14ac:dyDescent="0.25">
      <c r="A137" s="30">
        <v>356</v>
      </c>
      <c r="B137" s="5" t="s">
        <v>1872</v>
      </c>
      <c r="C137" s="2" t="s">
        <v>289</v>
      </c>
      <c r="D137" s="2"/>
      <c r="E137" s="2">
        <v>189002</v>
      </c>
      <c r="F137" s="2">
        <v>2359755</v>
      </c>
      <c r="G137" s="2" t="s">
        <v>828</v>
      </c>
      <c r="H137" s="2" t="s">
        <v>357</v>
      </c>
      <c r="I137" s="2"/>
      <c r="J137" s="2" t="s">
        <v>357</v>
      </c>
      <c r="K137" s="2" t="s">
        <v>239</v>
      </c>
      <c r="L137" s="2"/>
      <c r="M137" s="2" t="s">
        <v>1516</v>
      </c>
      <c r="N137" s="2"/>
      <c r="O137" s="2"/>
      <c r="P137" s="557" t="str">
        <f>CONCATENATE(schedule13[[#This Row],[OD]],"-",schedule13[[#This Row],[ID]],"-",schedule13[[#This Row],[TICKNESS]],"-",schedule13[[#This Row],[GRADE]],"-",schedule13[[#This Row],[FC/NFC]])</f>
        <v>30-25.5-2.25-CEW-CEW</v>
      </c>
      <c r="Q137" s="557" t="str">
        <f>_xlfn.CONCAT(schedule13[[#This Row],[Bucket]],"-",schedule13[[#This Row],[LENGTH]]/1000)</f>
        <v>30-25.5-2.25-CEW-CEW-0.485</v>
      </c>
      <c r="R137" s="557">
        <f>COUNTIF(buckets[CTL Bucket],schedule13[[#This Row],[CTL Bucket]])</f>
        <v>3</v>
      </c>
      <c r="S137" s="1">
        <v>30.15</v>
      </c>
      <c r="T137" s="1">
        <v>30</v>
      </c>
      <c r="U137" s="1">
        <v>25.5</v>
      </c>
      <c r="V137" s="1">
        <v>2.25</v>
      </c>
      <c r="W137" s="24">
        <v>485</v>
      </c>
      <c r="X137" s="22" t="s">
        <v>397</v>
      </c>
      <c r="Y137" s="2">
        <v>0</v>
      </c>
      <c r="Z137" s="2"/>
      <c r="AA137" s="4">
        <f t="shared" si="29"/>
        <v>0</v>
      </c>
      <c r="AB137" s="1">
        <f t="shared" si="30"/>
        <v>0</v>
      </c>
      <c r="AC137" s="1">
        <f t="shared" si="19"/>
        <v>0</v>
      </c>
      <c r="AD137" s="1">
        <f t="shared" si="31"/>
        <v>0</v>
      </c>
      <c r="AE137" s="1"/>
      <c r="AF137" s="1">
        <v>1.23071</v>
      </c>
      <c r="AG137" s="1"/>
      <c r="AH137" s="1">
        <f t="shared" si="27"/>
        <v>-1.23071</v>
      </c>
      <c r="AI137" s="118" t="e">
        <f t="shared" si="28"/>
        <v>#DIV/0!</v>
      </c>
    </row>
    <row r="138" spans="1:35" hidden="1" x14ac:dyDescent="0.25">
      <c r="A138" s="30">
        <v>357</v>
      </c>
      <c r="B138" s="5" t="s">
        <v>1872</v>
      </c>
      <c r="C138" s="2" t="s">
        <v>289</v>
      </c>
      <c r="D138" s="2"/>
      <c r="E138" s="2">
        <v>189002</v>
      </c>
      <c r="F138" s="2">
        <v>1939544</v>
      </c>
      <c r="G138" s="2" t="s">
        <v>807</v>
      </c>
      <c r="H138" s="2" t="s">
        <v>357</v>
      </c>
      <c r="I138" s="2"/>
      <c r="J138" s="2" t="s">
        <v>357</v>
      </c>
      <c r="K138" s="2" t="s">
        <v>239</v>
      </c>
      <c r="L138" s="2"/>
      <c r="M138" s="2"/>
      <c r="N138" s="2"/>
      <c r="O138" s="2"/>
      <c r="P138" s="557" t="str">
        <f>CONCATENATE(schedule13[[#This Row],[OD]],"-",schedule13[[#This Row],[ID]],"-",schedule13[[#This Row],[TICKNESS]],"-",schedule13[[#This Row],[GRADE]],"-",schedule13[[#This Row],[FC/NFC]])</f>
        <v>25.4-0-2.5-CEW-CEW</v>
      </c>
      <c r="Q138" s="557"/>
      <c r="R138" s="557"/>
      <c r="S138" s="1">
        <v>25.4</v>
      </c>
      <c r="T138" s="1">
        <v>25.4</v>
      </c>
      <c r="U138" s="1">
        <v>0</v>
      </c>
      <c r="V138" s="1">
        <v>2.5</v>
      </c>
      <c r="W138" s="24">
        <v>217</v>
      </c>
      <c r="X138" s="24"/>
      <c r="Y138" s="2">
        <v>0</v>
      </c>
      <c r="Z138" s="2"/>
      <c r="AA138" s="4">
        <f t="shared" si="29"/>
        <v>0</v>
      </c>
      <c r="AB138" s="1">
        <f t="shared" si="30"/>
        <v>0</v>
      </c>
      <c r="AC138" s="1">
        <f t="shared" si="19"/>
        <v>0</v>
      </c>
      <c r="AD138" s="1">
        <f t="shared" si="31"/>
        <v>0</v>
      </c>
      <c r="AE138" s="1"/>
      <c r="AF138" s="1">
        <v>4.3706000000000005</v>
      </c>
      <c r="AG138" s="1"/>
      <c r="AH138" s="1">
        <f t="shared" si="27"/>
        <v>-4.3706000000000005</v>
      </c>
      <c r="AI138" s="118" t="e">
        <f t="shared" si="28"/>
        <v>#DIV/0!</v>
      </c>
    </row>
    <row r="139" spans="1:35" hidden="1" x14ac:dyDescent="0.25">
      <c r="A139" s="30">
        <v>358</v>
      </c>
      <c r="B139" s="5" t="s">
        <v>1816</v>
      </c>
      <c r="C139" s="2" t="s">
        <v>289</v>
      </c>
      <c r="D139" s="2"/>
      <c r="E139" s="2">
        <v>189002</v>
      </c>
      <c r="F139" s="2">
        <v>3438761</v>
      </c>
      <c r="G139" s="2" t="s">
        <v>682</v>
      </c>
      <c r="H139" s="2" t="s">
        <v>962</v>
      </c>
      <c r="I139" s="2"/>
      <c r="J139" s="2" t="s">
        <v>1003</v>
      </c>
      <c r="K139" s="2" t="s">
        <v>1867</v>
      </c>
      <c r="L139" s="44" t="s">
        <v>1868</v>
      </c>
      <c r="M139" s="2"/>
      <c r="N139" s="2"/>
      <c r="O139" s="2"/>
      <c r="P139" s="557" t="str">
        <f>CONCATENATE(schedule13[[#This Row],[OD]],"-",schedule13[[#This Row],[ID]],"-",schedule13[[#This Row],[TICKNESS]],"-",schedule13[[#This Row],[GRADE]],"-",schedule13[[#This Row],[FC/NFC]])</f>
        <v>40-25-1.6-ERW 1-FC</v>
      </c>
      <c r="Q139" s="557"/>
      <c r="R139" s="557"/>
      <c r="S139" s="1">
        <v>41.28</v>
      </c>
      <c r="T139" s="1">
        <v>40</v>
      </c>
      <c r="U139" s="1">
        <v>25</v>
      </c>
      <c r="V139" s="1">
        <v>1.6</v>
      </c>
      <c r="W139" s="24">
        <v>514</v>
      </c>
      <c r="X139" s="24"/>
      <c r="Y139" s="2">
        <v>0</v>
      </c>
      <c r="Z139" s="2"/>
      <c r="AA139" s="4">
        <f t="shared" si="29"/>
        <v>0</v>
      </c>
      <c r="AB139" s="1">
        <f t="shared" si="30"/>
        <v>0</v>
      </c>
      <c r="AC139" s="1">
        <f t="shared" si="19"/>
        <v>0</v>
      </c>
      <c r="AD139" s="1">
        <f t="shared" si="31"/>
        <v>0</v>
      </c>
      <c r="AE139" s="1"/>
      <c r="AF139" s="1">
        <v>0.30275000000000002</v>
      </c>
      <c r="AG139" s="1"/>
      <c r="AH139" s="1">
        <f t="shared" si="27"/>
        <v>-0.30275000000000002</v>
      </c>
      <c r="AI139" s="118" t="e">
        <f t="shared" si="28"/>
        <v>#DIV/0!</v>
      </c>
    </row>
    <row r="140" spans="1:35" hidden="1" x14ac:dyDescent="0.25">
      <c r="A140" s="30">
        <v>359</v>
      </c>
      <c r="B140" s="5" t="s">
        <v>1816</v>
      </c>
      <c r="C140" s="2" t="s">
        <v>289</v>
      </c>
      <c r="D140" s="2"/>
      <c r="E140" s="2">
        <v>189002</v>
      </c>
      <c r="F140" s="2">
        <v>1940807</v>
      </c>
      <c r="G140" s="2" t="s">
        <v>1674</v>
      </c>
      <c r="H140" s="2" t="s">
        <v>229</v>
      </c>
      <c r="I140" s="2"/>
      <c r="J140" s="2" t="s">
        <v>963</v>
      </c>
      <c r="K140" s="2" t="s">
        <v>1867</v>
      </c>
      <c r="L140" s="2"/>
      <c r="M140" s="2"/>
      <c r="N140" s="2"/>
      <c r="O140" s="2"/>
      <c r="P140" s="557" t="str">
        <f>CONCATENATE(schedule13[[#This Row],[OD]],"-",schedule13[[#This Row],[ID]],"-",schedule13[[#This Row],[TICKNESS]],"-",schedule13[[#This Row],[GRADE]],"-",schedule13[[#This Row],[FC/NFC]])</f>
        <v>40-20-1.2-CRFH-PE</v>
      </c>
      <c r="Q140" s="557"/>
      <c r="R140" s="557"/>
      <c r="S140" s="1">
        <v>38.1</v>
      </c>
      <c r="T140" s="1">
        <v>40</v>
      </c>
      <c r="U140" s="1">
        <v>20</v>
      </c>
      <c r="V140" s="1">
        <v>1.2</v>
      </c>
      <c r="W140" s="24">
        <v>6000</v>
      </c>
      <c r="X140" s="24"/>
      <c r="Y140" s="2">
        <v>0</v>
      </c>
      <c r="Z140" s="2"/>
      <c r="AA140" s="4">
        <f t="shared" si="29"/>
        <v>0</v>
      </c>
      <c r="AB140" s="1">
        <f t="shared" si="30"/>
        <v>0</v>
      </c>
      <c r="AC140" s="1">
        <f t="shared" si="19"/>
        <v>0</v>
      </c>
      <c r="AD140" s="1">
        <f t="shared" si="31"/>
        <v>0</v>
      </c>
      <c r="AE140" s="1"/>
      <c r="AF140" s="1"/>
      <c r="AG140" s="1"/>
      <c r="AH140" s="1"/>
      <c r="AI140" s="118"/>
    </row>
    <row r="141" spans="1:35" hidden="1" x14ac:dyDescent="0.25">
      <c r="A141" s="30">
        <v>360</v>
      </c>
      <c r="B141" s="5" t="s">
        <v>1872</v>
      </c>
      <c r="C141" s="2" t="s">
        <v>289</v>
      </c>
      <c r="D141" s="2"/>
      <c r="E141" s="2">
        <v>189002</v>
      </c>
      <c r="F141" s="2">
        <v>3784540</v>
      </c>
      <c r="G141" s="2" t="s">
        <v>1944</v>
      </c>
      <c r="H141" s="2" t="s">
        <v>962</v>
      </c>
      <c r="I141" s="2"/>
      <c r="J141" s="2" t="s">
        <v>1003</v>
      </c>
      <c r="K141" s="2" t="s">
        <v>239</v>
      </c>
      <c r="L141" s="2"/>
      <c r="M141" s="2"/>
      <c r="N141" s="2"/>
      <c r="O141" s="2"/>
      <c r="P141" s="557" t="str">
        <f>CONCATENATE(schedule13[[#This Row],[OD]],"-",schedule13[[#This Row],[ID]],"-",schedule13[[#This Row],[TICKNESS]],"-",schedule13[[#This Row],[GRADE]],"-",schedule13[[#This Row],[FC/NFC]])</f>
        <v>38.1-0-3.66-ERW 1-FC</v>
      </c>
      <c r="Q141" s="557"/>
      <c r="R141" s="557"/>
      <c r="S141" s="1">
        <v>38.1</v>
      </c>
      <c r="T141" s="1">
        <v>38.1</v>
      </c>
      <c r="U141" s="1">
        <v>0</v>
      </c>
      <c r="V141" s="1">
        <v>3.66</v>
      </c>
      <c r="W141" s="24">
        <v>201</v>
      </c>
      <c r="X141" s="24"/>
      <c r="Y141" s="2">
        <v>0</v>
      </c>
      <c r="Z141" s="2"/>
      <c r="AA141" s="4">
        <f t="shared" si="29"/>
        <v>0</v>
      </c>
      <c r="AB141" s="1">
        <f t="shared" si="30"/>
        <v>0</v>
      </c>
      <c r="AC141" s="1">
        <f t="shared" si="19"/>
        <v>0</v>
      </c>
      <c r="AD141" s="1">
        <f t="shared" si="31"/>
        <v>0</v>
      </c>
      <c r="AE141" s="1"/>
      <c r="AF141" s="1">
        <v>3.6440349999999997</v>
      </c>
      <c r="AG141" s="1"/>
      <c r="AH141" s="1">
        <f>AB140-AF141</f>
        <v>-3.6440349999999997</v>
      </c>
      <c r="AI141" s="118" t="e">
        <f>(AC141+AF141)/AB140</f>
        <v>#DIV/0!</v>
      </c>
    </row>
    <row r="142" spans="1:35" hidden="1" x14ac:dyDescent="0.25">
      <c r="A142" s="30">
        <v>361</v>
      </c>
      <c r="B142" s="5" t="s">
        <v>1816</v>
      </c>
      <c r="C142" s="2" t="s">
        <v>289</v>
      </c>
      <c r="D142" s="2"/>
      <c r="E142" s="2">
        <v>189002</v>
      </c>
      <c r="F142" s="2">
        <v>3597713</v>
      </c>
      <c r="G142" s="2" t="s">
        <v>1938</v>
      </c>
      <c r="H142" s="2" t="s">
        <v>229</v>
      </c>
      <c r="I142" s="2"/>
      <c r="J142" s="2"/>
      <c r="K142" s="2" t="s">
        <v>239</v>
      </c>
      <c r="L142" s="2"/>
      <c r="M142" s="2"/>
      <c r="N142" s="2"/>
      <c r="O142" s="2"/>
      <c r="P142" s="557" t="str">
        <f>CONCATENATE(schedule13[[#This Row],[OD]],"-",schedule13[[#This Row],[ID]],"-",schedule13[[#This Row],[TICKNESS]],"-",schedule13[[#This Row],[GRADE]],"-",schedule13[[#This Row],[FC/NFC]])</f>
        <v>40-20-1.2-CRFH-</v>
      </c>
      <c r="Q142" s="557"/>
      <c r="R142" s="557"/>
      <c r="S142" s="1">
        <v>38.1</v>
      </c>
      <c r="T142" s="1">
        <v>40</v>
      </c>
      <c r="U142" s="1">
        <v>20</v>
      </c>
      <c r="V142" s="1">
        <v>1.2</v>
      </c>
      <c r="W142" s="24">
        <v>5260</v>
      </c>
      <c r="X142" s="24"/>
      <c r="Y142" s="2">
        <v>0</v>
      </c>
      <c r="Z142" s="2"/>
      <c r="AA142" s="4">
        <f t="shared" si="29"/>
        <v>0</v>
      </c>
      <c r="AB142" s="1">
        <f t="shared" si="30"/>
        <v>0</v>
      </c>
      <c r="AC142" s="1">
        <f t="shared" si="19"/>
        <v>0</v>
      </c>
      <c r="AD142" s="1">
        <f t="shared" si="31"/>
        <v>0</v>
      </c>
      <c r="AE142" s="1"/>
      <c r="AF142" s="1"/>
      <c r="AG142" s="1"/>
      <c r="AH142" s="1"/>
      <c r="AI142" s="118"/>
    </row>
    <row r="143" spans="1:35" hidden="1" x14ac:dyDescent="0.25">
      <c r="A143" s="30">
        <v>362</v>
      </c>
      <c r="B143" s="5" t="s">
        <v>1816</v>
      </c>
      <c r="C143" s="2" t="s">
        <v>289</v>
      </c>
      <c r="D143" s="2"/>
      <c r="E143" s="2">
        <v>189002</v>
      </c>
      <c r="F143" s="2">
        <v>1940852</v>
      </c>
      <c r="G143" s="2" t="s">
        <v>446</v>
      </c>
      <c r="H143" s="2" t="s">
        <v>229</v>
      </c>
      <c r="I143" s="2"/>
      <c r="J143" s="2" t="s">
        <v>963</v>
      </c>
      <c r="K143" s="2" t="s">
        <v>1867</v>
      </c>
      <c r="L143" s="2"/>
      <c r="M143" s="2"/>
      <c r="N143" s="2"/>
      <c r="O143" s="2"/>
      <c r="P143" s="557" t="str">
        <f>CONCATENATE(schedule13[[#This Row],[OD]],"-",schedule13[[#This Row],[ID]],"-",schedule13[[#This Row],[TICKNESS]],"-",schedule13[[#This Row],[GRADE]],"-",schedule13[[#This Row],[FC/NFC]])</f>
        <v>40-40-1.2-CRFH-PE</v>
      </c>
      <c r="Q143" s="557"/>
      <c r="R143" s="557"/>
      <c r="S143" s="1">
        <v>50.8</v>
      </c>
      <c r="T143" s="1">
        <v>40</v>
      </c>
      <c r="U143" s="1">
        <v>40</v>
      </c>
      <c r="V143" s="1">
        <v>1.2</v>
      </c>
      <c r="W143" s="24">
        <v>6000</v>
      </c>
      <c r="X143" s="24"/>
      <c r="Y143" s="2">
        <v>0</v>
      </c>
      <c r="Z143" s="2"/>
      <c r="AA143" s="4">
        <f t="shared" si="29"/>
        <v>0</v>
      </c>
      <c r="AB143" s="1">
        <f t="shared" si="30"/>
        <v>0</v>
      </c>
      <c r="AC143" s="1">
        <f t="shared" si="19"/>
        <v>0</v>
      </c>
      <c r="AD143" s="1">
        <f t="shared" si="31"/>
        <v>0</v>
      </c>
      <c r="AE143" s="1"/>
      <c r="AF143" s="1"/>
      <c r="AG143" s="1"/>
      <c r="AH143" s="1">
        <f>AB142-AF143</f>
        <v>0</v>
      </c>
      <c r="AI143" s="118" t="e">
        <f>(AC143+AF143)/AB142</f>
        <v>#DIV/0!</v>
      </c>
    </row>
    <row r="144" spans="1:35" hidden="1" x14ac:dyDescent="0.25">
      <c r="A144" s="30">
        <v>363</v>
      </c>
      <c r="B144" s="5" t="s">
        <v>1816</v>
      </c>
      <c r="C144" s="2" t="s">
        <v>289</v>
      </c>
      <c r="D144" s="2"/>
      <c r="E144" s="2">
        <v>189002</v>
      </c>
      <c r="F144" s="2">
        <v>3786202</v>
      </c>
      <c r="G144" s="2" t="s">
        <v>435</v>
      </c>
      <c r="H144" s="2" t="s">
        <v>962</v>
      </c>
      <c r="I144" s="2"/>
      <c r="J144" s="2" t="s">
        <v>1003</v>
      </c>
      <c r="K144" s="2" t="s">
        <v>1867</v>
      </c>
      <c r="L144" s="44" t="s">
        <v>1874</v>
      </c>
      <c r="M144" s="2"/>
      <c r="N144" s="2"/>
      <c r="O144" s="2"/>
      <c r="P144" s="557" t="str">
        <f>CONCATENATE(schedule13[[#This Row],[OD]],"-",schedule13[[#This Row],[ID]],"-",schedule13[[#This Row],[TICKNESS]],"-",schedule13[[#This Row],[GRADE]],"-",schedule13[[#This Row],[FC/NFC]])</f>
        <v>40-25-1.6-ERW 1-FC</v>
      </c>
      <c r="Q144" s="557"/>
      <c r="R144" s="557"/>
      <c r="S144" s="1">
        <v>41.28</v>
      </c>
      <c r="T144" s="1">
        <v>40</v>
      </c>
      <c r="U144" s="1">
        <v>25</v>
      </c>
      <c r="V144" s="1">
        <v>1.6</v>
      </c>
      <c r="W144" s="24">
        <v>587</v>
      </c>
      <c r="X144" s="24"/>
      <c r="Y144" s="2">
        <v>0</v>
      </c>
      <c r="Z144" s="2"/>
      <c r="AA144" s="4">
        <f t="shared" si="29"/>
        <v>0</v>
      </c>
      <c r="AB144" s="1">
        <f t="shared" si="30"/>
        <v>0</v>
      </c>
      <c r="AC144" s="1">
        <f t="shared" si="19"/>
        <v>0</v>
      </c>
      <c r="AD144" s="1">
        <f t="shared" si="31"/>
        <v>0</v>
      </c>
      <c r="AE144" s="1"/>
      <c r="AF144" s="1">
        <v>0.57743</v>
      </c>
      <c r="AG144" s="1"/>
      <c r="AH144" s="1">
        <f>AB143-AF144</f>
        <v>-0.57743</v>
      </c>
      <c r="AI144" s="118" t="e">
        <f>(AC144+AF144)/AB143</f>
        <v>#DIV/0!</v>
      </c>
    </row>
    <row r="145" spans="1:35" hidden="1" x14ac:dyDescent="0.25">
      <c r="A145" s="30">
        <v>364</v>
      </c>
      <c r="B145" s="5" t="s">
        <v>1816</v>
      </c>
      <c r="C145" s="2" t="s">
        <v>289</v>
      </c>
      <c r="D145" s="2"/>
      <c r="E145" s="2">
        <v>189002</v>
      </c>
      <c r="F145" s="2">
        <v>3786201</v>
      </c>
      <c r="G145" s="2" t="s">
        <v>429</v>
      </c>
      <c r="H145" s="2" t="s">
        <v>962</v>
      </c>
      <c r="I145" s="2"/>
      <c r="J145" s="2" t="s">
        <v>1003</v>
      </c>
      <c r="K145" s="2" t="s">
        <v>1867</v>
      </c>
      <c r="L145" s="44" t="s">
        <v>1874</v>
      </c>
      <c r="M145" s="2"/>
      <c r="N145" s="2"/>
      <c r="O145" s="2"/>
      <c r="P145" s="557" t="str">
        <f>CONCATENATE(schedule13[[#This Row],[OD]],"-",schedule13[[#This Row],[ID]],"-",schedule13[[#This Row],[TICKNESS]],"-",schedule13[[#This Row],[GRADE]],"-",schedule13[[#This Row],[FC/NFC]])</f>
        <v>40-25-1.6-ERW 1-FC</v>
      </c>
      <c r="Q145" s="557"/>
      <c r="R145" s="557"/>
      <c r="S145" s="1">
        <v>41.28</v>
      </c>
      <c r="T145" s="1">
        <v>40</v>
      </c>
      <c r="U145" s="1">
        <v>25</v>
      </c>
      <c r="V145" s="1">
        <v>1.6</v>
      </c>
      <c r="W145" s="24">
        <v>538</v>
      </c>
      <c r="X145" s="24"/>
      <c r="Y145" s="2">
        <v>0</v>
      </c>
      <c r="Z145" s="2"/>
      <c r="AA145" s="4">
        <f t="shared" si="29"/>
        <v>0</v>
      </c>
      <c r="AB145" s="1">
        <f t="shared" si="30"/>
        <v>0</v>
      </c>
      <c r="AC145" s="1">
        <f t="shared" si="19"/>
        <v>0</v>
      </c>
      <c r="AD145" s="1">
        <f t="shared" si="31"/>
        <v>0</v>
      </c>
      <c r="AE145" s="1"/>
      <c r="AF145" s="1"/>
      <c r="AG145" s="1"/>
      <c r="AH145" s="1"/>
      <c r="AI145" s="118"/>
    </row>
    <row r="146" spans="1:35" hidden="1" x14ac:dyDescent="0.25">
      <c r="A146" s="30">
        <v>365</v>
      </c>
      <c r="B146" s="5" t="s">
        <v>1816</v>
      </c>
      <c r="C146" s="2" t="s">
        <v>289</v>
      </c>
      <c r="D146" s="2"/>
      <c r="E146" s="2">
        <v>189002</v>
      </c>
      <c r="F146" s="2">
        <v>1940146</v>
      </c>
      <c r="G146" s="2" t="s">
        <v>1936</v>
      </c>
      <c r="H146" s="2" t="s">
        <v>229</v>
      </c>
      <c r="I146" s="2"/>
      <c r="J146" s="2" t="s">
        <v>963</v>
      </c>
      <c r="K146" s="2" t="s">
        <v>1867</v>
      </c>
      <c r="L146" s="2"/>
      <c r="M146" s="2"/>
      <c r="N146" s="2"/>
      <c r="O146" s="2"/>
      <c r="P146" s="557" t="str">
        <f>CONCATENATE(schedule13[[#This Row],[OD]],"-",schedule13[[#This Row],[ID]],"-",schedule13[[#This Row],[TICKNESS]],"-",schedule13[[#This Row],[GRADE]],"-",schedule13[[#This Row],[FC/NFC]])</f>
        <v>19-19-1-CRFH-PE</v>
      </c>
      <c r="Q146" s="557"/>
      <c r="R146" s="557"/>
      <c r="S146" s="1">
        <v>23.42</v>
      </c>
      <c r="T146" s="1">
        <v>19</v>
      </c>
      <c r="U146" s="1">
        <v>19</v>
      </c>
      <c r="V146" s="1">
        <v>1</v>
      </c>
      <c r="W146" s="24">
        <v>6000</v>
      </c>
      <c r="X146" s="24"/>
      <c r="Y146" s="2">
        <v>0</v>
      </c>
      <c r="Z146" s="2"/>
      <c r="AA146" s="4">
        <f t="shared" si="29"/>
        <v>0</v>
      </c>
      <c r="AB146" s="1">
        <f t="shared" si="30"/>
        <v>0</v>
      </c>
      <c r="AC146" s="1">
        <f t="shared" si="19"/>
        <v>0</v>
      </c>
      <c r="AD146" s="1">
        <f t="shared" si="31"/>
        <v>0</v>
      </c>
      <c r="AE146" s="1"/>
      <c r="AF146" s="1"/>
      <c r="AG146" s="1"/>
      <c r="AH146" s="1"/>
      <c r="AI146" s="118"/>
    </row>
    <row r="147" spans="1:35" hidden="1" x14ac:dyDescent="0.25">
      <c r="A147" s="30">
        <v>382</v>
      </c>
      <c r="B147" s="5" t="s">
        <v>1816</v>
      </c>
      <c r="C147" s="2" t="s">
        <v>289</v>
      </c>
      <c r="D147" s="2"/>
      <c r="E147" s="2">
        <v>189002</v>
      </c>
      <c r="F147" s="16">
        <v>3597679</v>
      </c>
      <c r="G147" s="2" t="s">
        <v>459</v>
      </c>
      <c r="H147" s="2" t="s">
        <v>229</v>
      </c>
      <c r="I147" s="2"/>
      <c r="J147" s="2"/>
      <c r="K147" s="2" t="s">
        <v>239</v>
      </c>
      <c r="L147" s="2"/>
      <c r="M147" s="2"/>
      <c r="N147" s="2"/>
      <c r="O147" s="2"/>
      <c r="P147" s="557" t="str">
        <f>CONCATENATE(schedule13[[#This Row],[OD]],"-",schedule13[[#This Row],[ID]],"-",schedule13[[#This Row],[TICKNESS]],"-",schedule13[[#This Row],[GRADE]],"-",schedule13[[#This Row],[FC/NFC]])</f>
        <v>19-19-1-CRFH-</v>
      </c>
      <c r="Q147" s="557"/>
      <c r="R147" s="557"/>
      <c r="S147" s="1">
        <v>23.42</v>
      </c>
      <c r="T147" s="1">
        <v>19</v>
      </c>
      <c r="U147" s="1">
        <v>19</v>
      </c>
      <c r="V147" s="1">
        <v>1</v>
      </c>
      <c r="W147" s="23">
        <v>6140</v>
      </c>
      <c r="X147" s="23"/>
      <c r="Y147" s="2">
        <v>0</v>
      </c>
      <c r="Z147" s="2"/>
      <c r="AA147" s="4">
        <f t="shared" si="29"/>
        <v>0</v>
      </c>
      <c r="AB147" s="1">
        <f t="shared" si="30"/>
        <v>0</v>
      </c>
      <c r="AC147" s="1">
        <f t="shared" si="19"/>
        <v>0</v>
      </c>
      <c r="AD147" s="1">
        <f t="shared" si="31"/>
        <v>0</v>
      </c>
      <c r="AE147" s="1"/>
      <c r="AF147" s="1">
        <v>35.614093000000004</v>
      </c>
      <c r="AG147" s="1"/>
      <c r="AH147" s="1">
        <f t="shared" ref="AH147:AH177" si="32">AB146-AF147</f>
        <v>-35.614093000000004</v>
      </c>
      <c r="AI147" s="118" t="e">
        <f t="shared" ref="AI147:AI177" si="33">(AC147+AF147)/AB146</f>
        <v>#DIV/0!</v>
      </c>
    </row>
    <row r="148" spans="1:35" hidden="1" x14ac:dyDescent="0.25">
      <c r="A148" s="30">
        <v>383</v>
      </c>
      <c r="B148" s="5" t="s">
        <v>1816</v>
      </c>
      <c r="C148" s="2" t="s">
        <v>289</v>
      </c>
      <c r="D148" s="2"/>
      <c r="E148" s="2">
        <v>189002</v>
      </c>
      <c r="F148" s="16">
        <v>3605862</v>
      </c>
      <c r="G148" s="2" t="s">
        <v>6558</v>
      </c>
      <c r="H148" s="2"/>
      <c r="I148" s="2"/>
      <c r="J148" s="2"/>
      <c r="K148" s="2" t="s">
        <v>239</v>
      </c>
      <c r="L148" s="2"/>
      <c r="M148" s="2"/>
      <c r="N148" s="2"/>
      <c r="O148" s="2"/>
      <c r="P148" s="557" t="str">
        <f>CONCATENATE(schedule13[[#This Row],[OD]],"-",schedule13[[#This Row],[ID]],"-",schedule13[[#This Row],[TICKNESS]],"-",schedule13[[#This Row],[GRADE]],"-",schedule13[[#This Row],[FC/NFC]])</f>
        <v>25.4-0-1.22--</v>
      </c>
      <c r="Q148" s="557"/>
      <c r="R148" s="557"/>
      <c r="S148" s="1">
        <v>25.4</v>
      </c>
      <c r="T148" s="1">
        <v>25.4</v>
      </c>
      <c r="U148" s="1">
        <v>0</v>
      </c>
      <c r="V148" s="1">
        <v>1.22</v>
      </c>
      <c r="W148" s="23">
        <v>2585</v>
      </c>
      <c r="X148" s="23"/>
      <c r="Y148" s="2">
        <v>0</v>
      </c>
      <c r="Z148" s="2"/>
      <c r="AA148" s="4">
        <f t="shared" si="29"/>
        <v>0</v>
      </c>
      <c r="AB148" s="1">
        <f t="shared" si="30"/>
        <v>0</v>
      </c>
      <c r="AC148" s="1">
        <f t="shared" si="19"/>
        <v>0</v>
      </c>
      <c r="AD148" s="1">
        <f t="shared" si="31"/>
        <v>0</v>
      </c>
      <c r="AE148" s="1"/>
      <c r="AF148" s="1"/>
      <c r="AG148" s="1"/>
      <c r="AH148" s="1">
        <f t="shared" si="32"/>
        <v>0</v>
      </c>
      <c r="AI148" s="118" t="e">
        <f t="shared" si="33"/>
        <v>#DIV/0!</v>
      </c>
    </row>
    <row r="149" spans="1:35" hidden="1" x14ac:dyDescent="0.25">
      <c r="A149" s="30">
        <v>384</v>
      </c>
      <c r="B149" s="5" t="s">
        <v>1816</v>
      </c>
      <c r="C149" s="2" t="s">
        <v>289</v>
      </c>
      <c r="D149" s="2"/>
      <c r="E149" s="2">
        <v>189002</v>
      </c>
      <c r="F149" s="2">
        <v>3695241</v>
      </c>
      <c r="G149" s="2" t="s">
        <v>6559</v>
      </c>
      <c r="H149" s="2" t="s">
        <v>229</v>
      </c>
      <c r="I149" s="2"/>
      <c r="J149" s="2"/>
      <c r="K149" s="2" t="s">
        <v>239</v>
      </c>
      <c r="L149" s="2"/>
      <c r="M149" s="2"/>
      <c r="N149" s="2"/>
      <c r="O149" s="2"/>
      <c r="P149" s="557" t="str">
        <f>CONCATENATE(schedule13[[#This Row],[OD]],"-",schedule13[[#This Row],[ID]],"-",schedule13[[#This Row],[TICKNESS]],"-",schedule13[[#This Row],[GRADE]],"-",schedule13[[#This Row],[FC/NFC]])</f>
        <v>19-19-1-CRFH-</v>
      </c>
      <c r="Q149" s="557"/>
      <c r="R149" s="557"/>
      <c r="S149" s="1">
        <v>23.42</v>
      </c>
      <c r="T149" s="1">
        <v>19</v>
      </c>
      <c r="U149" s="1">
        <v>19</v>
      </c>
      <c r="V149" s="1">
        <v>1</v>
      </c>
      <c r="W149" s="23">
        <v>6250</v>
      </c>
      <c r="X149" s="23"/>
      <c r="Y149" s="2">
        <v>0</v>
      </c>
      <c r="Z149" s="2"/>
      <c r="AA149" s="4">
        <f t="shared" si="29"/>
        <v>0</v>
      </c>
      <c r="AB149" s="1">
        <f t="shared" si="30"/>
        <v>0</v>
      </c>
      <c r="AC149" s="1">
        <f t="shared" si="19"/>
        <v>0</v>
      </c>
      <c r="AD149" s="1">
        <f t="shared" si="31"/>
        <v>0</v>
      </c>
      <c r="AE149" s="1"/>
      <c r="AF149" s="1"/>
      <c r="AG149" s="1"/>
      <c r="AH149" s="1">
        <f t="shared" si="32"/>
        <v>0</v>
      </c>
      <c r="AI149" s="118" t="e">
        <f t="shared" si="33"/>
        <v>#DIV/0!</v>
      </c>
    </row>
    <row r="150" spans="1:35" hidden="1" x14ac:dyDescent="0.25">
      <c r="A150" s="30">
        <v>385</v>
      </c>
      <c r="B150" s="5" t="s">
        <v>1816</v>
      </c>
      <c r="C150" s="2" t="s">
        <v>289</v>
      </c>
      <c r="D150" s="2"/>
      <c r="E150" s="2">
        <v>189002</v>
      </c>
      <c r="F150" s="2">
        <v>1940840</v>
      </c>
      <c r="G150" s="2" t="s">
        <v>1684</v>
      </c>
      <c r="H150" s="2" t="s">
        <v>962</v>
      </c>
      <c r="I150" s="2"/>
      <c r="J150" s="2" t="s">
        <v>1003</v>
      </c>
      <c r="K150" s="2" t="s">
        <v>239</v>
      </c>
      <c r="L150" s="2"/>
      <c r="M150" s="2"/>
      <c r="N150" s="2"/>
      <c r="O150" s="2"/>
      <c r="P150" s="557" t="str">
        <f>CONCATENATE(schedule13[[#This Row],[OD]],"-",schedule13[[#This Row],[ID]],"-",schedule13[[#This Row],[TICKNESS]],"-",schedule13[[#This Row],[GRADE]],"-",schedule13[[#This Row],[FC/NFC]])</f>
        <v>40-30-2-ERW 1-FC</v>
      </c>
      <c r="Q150" s="557"/>
      <c r="R150" s="557"/>
      <c r="S150" s="1">
        <v>44.45</v>
      </c>
      <c r="T150" s="1">
        <v>40</v>
      </c>
      <c r="U150" s="1">
        <v>30</v>
      </c>
      <c r="V150" s="1">
        <v>2</v>
      </c>
      <c r="W150" s="23">
        <v>6000</v>
      </c>
      <c r="X150" s="23"/>
      <c r="Y150" s="2">
        <v>0</v>
      </c>
      <c r="Z150" s="2"/>
      <c r="AA150" s="4">
        <f t="shared" si="29"/>
        <v>0</v>
      </c>
      <c r="AB150" s="1">
        <f t="shared" si="30"/>
        <v>0</v>
      </c>
      <c r="AC150" s="1">
        <f t="shared" si="19"/>
        <v>0</v>
      </c>
      <c r="AD150" s="1">
        <f t="shared" si="31"/>
        <v>0</v>
      </c>
      <c r="AE150" s="1"/>
      <c r="AF150" s="1"/>
      <c r="AG150" s="1"/>
      <c r="AH150" s="1">
        <f t="shared" si="32"/>
        <v>0</v>
      </c>
      <c r="AI150" s="118" t="e">
        <f t="shared" si="33"/>
        <v>#DIV/0!</v>
      </c>
    </row>
    <row r="151" spans="1:35" hidden="1" x14ac:dyDescent="0.25">
      <c r="A151" s="30">
        <v>386</v>
      </c>
      <c r="B151" s="5" t="s">
        <v>1872</v>
      </c>
      <c r="C151" s="2" t="s">
        <v>289</v>
      </c>
      <c r="D151" s="2"/>
      <c r="E151" s="2">
        <v>189002</v>
      </c>
      <c r="F151" s="2">
        <v>1930116</v>
      </c>
      <c r="G151" s="2" t="s">
        <v>1932</v>
      </c>
      <c r="H151" s="2" t="s">
        <v>357</v>
      </c>
      <c r="I151" s="2"/>
      <c r="J151" s="2"/>
      <c r="K151" s="2" t="s">
        <v>239</v>
      </c>
      <c r="L151" s="2"/>
      <c r="M151" s="2"/>
      <c r="N151" s="2"/>
      <c r="O151" s="2"/>
      <c r="P151" s="557" t="str">
        <f>CONCATENATE(schedule13[[#This Row],[OD]],"-",schedule13[[#This Row],[ID]],"-",schedule13[[#This Row],[TICKNESS]],"-",schedule13[[#This Row],[GRADE]],"-",schedule13[[#This Row],[FC/NFC]])</f>
        <v>39-34-2.5-CEW-</v>
      </c>
      <c r="Q151" s="557"/>
      <c r="R151" s="557"/>
      <c r="S151" s="1">
        <v>39</v>
      </c>
      <c r="T151" s="1">
        <v>39</v>
      </c>
      <c r="U151" s="1">
        <v>34</v>
      </c>
      <c r="V151" s="1">
        <v>2.5</v>
      </c>
      <c r="W151" s="23">
        <v>4500</v>
      </c>
      <c r="X151" s="23"/>
      <c r="Y151" s="2">
        <v>0</v>
      </c>
      <c r="Z151" s="2"/>
      <c r="AA151" s="4">
        <f t="shared" si="29"/>
        <v>0</v>
      </c>
      <c r="AB151" s="1">
        <f t="shared" si="30"/>
        <v>0</v>
      </c>
      <c r="AC151" s="1">
        <f t="shared" si="19"/>
        <v>0</v>
      </c>
      <c r="AD151" s="1">
        <f t="shared" si="31"/>
        <v>0</v>
      </c>
      <c r="AE151" s="1"/>
      <c r="AF151" s="1">
        <v>2.7622870000000006</v>
      </c>
      <c r="AG151" s="1"/>
      <c r="AH151" s="1">
        <f t="shared" si="32"/>
        <v>-2.7622870000000006</v>
      </c>
      <c r="AI151" s="118" t="e">
        <f t="shared" si="33"/>
        <v>#DIV/0!</v>
      </c>
    </row>
    <row r="152" spans="1:35" hidden="1" x14ac:dyDescent="0.25">
      <c r="A152" s="30">
        <v>387</v>
      </c>
      <c r="B152" s="5" t="s">
        <v>1872</v>
      </c>
      <c r="C152" s="2" t="s">
        <v>289</v>
      </c>
      <c r="D152" s="2"/>
      <c r="E152" s="2">
        <v>189002</v>
      </c>
      <c r="F152" s="2">
        <v>1942166</v>
      </c>
      <c r="G152" s="2" t="s">
        <v>1930</v>
      </c>
      <c r="H152" s="2" t="s">
        <v>357</v>
      </c>
      <c r="I152" s="2"/>
      <c r="J152" s="2"/>
      <c r="K152" s="2" t="s">
        <v>239</v>
      </c>
      <c r="L152" s="2"/>
      <c r="M152" s="2"/>
      <c r="N152" s="2"/>
      <c r="O152" s="2"/>
      <c r="P152" s="557" t="str">
        <f>CONCATENATE(schedule13[[#This Row],[OD]],"-",schedule13[[#This Row],[ID]],"-",schedule13[[#This Row],[TICKNESS]],"-",schedule13[[#This Row],[GRADE]],"-",schedule13[[#This Row],[FC/NFC]])</f>
        <v>30-25.5-2.25-CEW-</v>
      </c>
      <c r="Q152" s="557"/>
      <c r="R152" s="557"/>
      <c r="S152" s="1">
        <v>30</v>
      </c>
      <c r="T152" s="1">
        <v>30</v>
      </c>
      <c r="U152" s="1">
        <v>25.5</v>
      </c>
      <c r="V152" s="1">
        <v>2.25</v>
      </c>
      <c r="W152" s="23">
        <v>5930</v>
      </c>
      <c r="X152" s="23"/>
      <c r="Y152" s="2">
        <v>0</v>
      </c>
      <c r="Z152" s="2"/>
      <c r="AA152" s="4">
        <f t="shared" si="29"/>
        <v>0</v>
      </c>
      <c r="AB152" s="1">
        <f t="shared" si="30"/>
        <v>0</v>
      </c>
      <c r="AC152" s="1">
        <f t="shared" si="19"/>
        <v>0</v>
      </c>
      <c r="AD152" s="1">
        <f t="shared" si="31"/>
        <v>0</v>
      </c>
      <c r="AE152" s="1"/>
      <c r="AF152" s="1">
        <v>53.999353000000013</v>
      </c>
      <c r="AG152" s="1"/>
      <c r="AH152" s="1">
        <f t="shared" si="32"/>
        <v>-53.999353000000013</v>
      </c>
      <c r="AI152" s="118" t="e">
        <f t="shared" si="33"/>
        <v>#DIV/0!</v>
      </c>
    </row>
    <row r="153" spans="1:35" hidden="1" x14ac:dyDescent="0.25">
      <c r="A153" s="30">
        <v>388</v>
      </c>
      <c r="B153" s="5" t="s">
        <v>1872</v>
      </c>
      <c r="C153" s="2" t="s">
        <v>289</v>
      </c>
      <c r="D153" s="2"/>
      <c r="E153" s="2">
        <v>189002</v>
      </c>
      <c r="F153" s="2">
        <v>1941408</v>
      </c>
      <c r="G153" s="2" t="s">
        <v>1929</v>
      </c>
      <c r="H153" s="2" t="s">
        <v>357</v>
      </c>
      <c r="I153" s="2"/>
      <c r="J153" s="2"/>
      <c r="K153" s="2" t="s">
        <v>239</v>
      </c>
      <c r="L153" s="2"/>
      <c r="M153" s="2"/>
      <c r="N153" s="2"/>
      <c r="O153" s="2"/>
      <c r="P153" s="557" t="str">
        <f>CONCATENATE(schedule13[[#This Row],[OD]],"-",schedule13[[#This Row],[ID]],"-",schedule13[[#This Row],[TICKNESS]],"-",schedule13[[#This Row],[GRADE]],"-",schedule13[[#This Row],[FC/NFC]])</f>
        <v>25.4-20.4-2.5-CEW-</v>
      </c>
      <c r="Q153" s="557"/>
      <c r="R153" s="557"/>
      <c r="S153" s="1">
        <v>25.4</v>
      </c>
      <c r="T153" s="1">
        <v>25.4</v>
      </c>
      <c r="U153" s="1">
        <v>20.399999999999999</v>
      </c>
      <c r="V153" s="1">
        <v>2.5</v>
      </c>
      <c r="W153" s="23">
        <v>3730</v>
      </c>
      <c r="X153" s="23"/>
      <c r="Y153" s="2">
        <v>0</v>
      </c>
      <c r="Z153" s="2"/>
      <c r="AA153" s="4">
        <f t="shared" si="29"/>
        <v>0</v>
      </c>
      <c r="AB153" s="1">
        <f t="shared" si="30"/>
        <v>0</v>
      </c>
      <c r="AC153" s="1">
        <f t="shared" ref="AC153:AC216" si="34">(S153-V153)*V153*W153*0.024653*Z153/1000000</f>
        <v>0</v>
      </c>
      <c r="AD153" s="1">
        <f t="shared" si="31"/>
        <v>0</v>
      </c>
      <c r="AE153" s="1"/>
      <c r="AF153" s="1">
        <v>38.684999999999995</v>
      </c>
      <c r="AG153" s="1"/>
      <c r="AH153" s="1">
        <f t="shared" si="32"/>
        <v>-38.684999999999995</v>
      </c>
      <c r="AI153" s="118" t="e">
        <f t="shared" si="33"/>
        <v>#DIV/0!</v>
      </c>
    </row>
    <row r="154" spans="1:35" hidden="1" x14ac:dyDescent="0.25">
      <c r="A154" s="30">
        <v>265</v>
      </c>
      <c r="B154" s="5" t="s">
        <v>1816</v>
      </c>
      <c r="C154" s="2" t="s">
        <v>290</v>
      </c>
      <c r="D154" s="2"/>
      <c r="E154" s="2">
        <v>188647</v>
      </c>
      <c r="F154" s="2">
        <v>2325421</v>
      </c>
      <c r="G154" s="2" t="s">
        <v>795</v>
      </c>
      <c r="H154" s="2" t="s">
        <v>962</v>
      </c>
      <c r="I154" s="2"/>
      <c r="J154" s="2" t="s">
        <v>1003</v>
      </c>
      <c r="K154" s="2" t="s">
        <v>1867</v>
      </c>
      <c r="L154" s="2"/>
      <c r="M154" s="2"/>
      <c r="N154" s="2"/>
      <c r="O154" s="2"/>
      <c r="P154" s="557" t="str">
        <f>CONCATENATE(schedule13[[#This Row],[OD]],"-",schedule13[[#This Row],[ID]],"-",schedule13[[#This Row],[TICKNESS]],"-",schedule13[[#This Row],[GRADE]],"-",schedule13[[#This Row],[FC/NFC]])</f>
        <v>48.6-0-1.2-ERW 1-FC</v>
      </c>
      <c r="Q154" s="557"/>
      <c r="R154" s="557"/>
      <c r="S154" s="1">
        <v>48.6</v>
      </c>
      <c r="T154" s="1">
        <v>48.6</v>
      </c>
      <c r="U154" s="1">
        <v>0</v>
      </c>
      <c r="V154" s="1">
        <v>1.2</v>
      </c>
      <c r="W154" s="24">
        <v>336</v>
      </c>
      <c r="X154" s="24"/>
      <c r="Y154" s="2">
        <v>10000</v>
      </c>
      <c r="Z154" s="2"/>
      <c r="AA154" s="4">
        <f t="shared" si="29"/>
        <v>10000</v>
      </c>
      <c r="AB154" s="1">
        <f t="shared" si="30"/>
        <v>4.7116024704000008</v>
      </c>
      <c r="AC154" s="1">
        <f t="shared" si="34"/>
        <v>0</v>
      </c>
      <c r="AD154" s="1">
        <f t="shared" si="31"/>
        <v>4.7116024704000008</v>
      </c>
      <c r="AE154" s="1"/>
      <c r="AF154" s="1"/>
      <c r="AG154" s="1"/>
      <c r="AH154" s="1">
        <f t="shared" si="32"/>
        <v>0</v>
      </c>
      <c r="AI154" s="118" t="e">
        <f t="shared" si="33"/>
        <v>#DIV/0!</v>
      </c>
    </row>
    <row r="155" spans="1:35" hidden="1" x14ac:dyDescent="0.25">
      <c r="A155" s="30">
        <v>266</v>
      </c>
      <c r="B155" s="5" t="s">
        <v>1816</v>
      </c>
      <c r="C155" s="2" t="s">
        <v>290</v>
      </c>
      <c r="D155" s="2"/>
      <c r="E155" s="2">
        <v>188647</v>
      </c>
      <c r="F155" s="2">
        <v>2418569</v>
      </c>
      <c r="G155" s="2" t="s">
        <v>1353</v>
      </c>
      <c r="H155" s="2" t="s">
        <v>962</v>
      </c>
      <c r="I155" s="2"/>
      <c r="J155" s="2" t="s">
        <v>963</v>
      </c>
      <c r="K155" s="2" t="s">
        <v>1867</v>
      </c>
      <c r="L155" s="2" t="s">
        <v>1881</v>
      </c>
      <c r="M155" s="2"/>
      <c r="N155" s="2"/>
      <c r="O155" s="2"/>
      <c r="P155" s="557" t="str">
        <f>CONCATENATE(schedule13[[#This Row],[OD]],"-",schedule13[[#This Row],[ID]],"-",schedule13[[#This Row],[TICKNESS]],"-",schedule13[[#This Row],[GRADE]],"-",schedule13[[#This Row],[FC/NFC]])</f>
        <v>19.05-0-1.6-ERW 1-PE</v>
      </c>
      <c r="Q155" s="557"/>
      <c r="R155" s="557"/>
      <c r="S155" s="1">
        <v>19.05</v>
      </c>
      <c r="T155" s="1">
        <v>19.05</v>
      </c>
      <c r="U155" s="1">
        <v>0</v>
      </c>
      <c r="V155" s="1">
        <v>1.6</v>
      </c>
      <c r="W155" s="24">
        <v>1405</v>
      </c>
      <c r="X155" s="24"/>
      <c r="Y155" s="2">
        <v>4000</v>
      </c>
      <c r="Z155" s="2"/>
      <c r="AA155" s="4">
        <f t="shared" si="29"/>
        <v>4000</v>
      </c>
      <c r="AB155" s="1">
        <f t="shared" si="30"/>
        <v>3.8683120912000009</v>
      </c>
      <c r="AC155" s="1">
        <f t="shared" si="34"/>
        <v>0</v>
      </c>
      <c r="AD155" s="1">
        <f t="shared" si="31"/>
        <v>3.8683120912000009</v>
      </c>
      <c r="AE155" s="1"/>
      <c r="AF155" s="1">
        <v>0.36347999999999997</v>
      </c>
      <c r="AG155" s="1"/>
      <c r="AH155" s="1">
        <f t="shared" si="32"/>
        <v>4.3481224704000008</v>
      </c>
      <c r="AI155" s="118">
        <f t="shared" si="33"/>
        <v>7.7145727442735984E-2</v>
      </c>
    </row>
    <row r="156" spans="1:35" hidden="1" x14ac:dyDescent="0.25">
      <c r="A156" s="30">
        <v>267</v>
      </c>
      <c r="B156" s="5" t="s">
        <v>1816</v>
      </c>
      <c r="C156" s="2" t="s">
        <v>290</v>
      </c>
      <c r="D156" s="2"/>
      <c r="E156" s="2">
        <v>188647</v>
      </c>
      <c r="F156" s="2">
        <v>2418687</v>
      </c>
      <c r="G156" s="2" t="s">
        <v>1515</v>
      </c>
      <c r="H156" s="2" t="s">
        <v>962</v>
      </c>
      <c r="I156" s="2"/>
      <c r="J156" s="2" t="s">
        <v>963</v>
      </c>
      <c r="K156" s="2" t="s">
        <v>1867</v>
      </c>
      <c r="L156" s="44" t="s">
        <v>1891</v>
      </c>
      <c r="M156" s="2"/>
      <c r="N156" s="2"/>
      <c r="O156" s="2"/>
      <c r="P156" s="557" t="str">
        <f>CONCATENATE(schedule13[[#This Row],[OD]],"-",schedule13[[#This Row],[ID]],"-",schedule13[[#This Row],[TICKNESS]],"-",schedule13[[#This Row],[GRADE]],"-",schedule13[[#This Row],[FC/NFC]])</f>
        <v>22.23-0-1.6-ERW 1-PE</v>
      </c>
      <c r="Q156" s="557"/>
      <c r="R156" s="557"/>
      <c r="S156" s="1">
        <v>22.23</v>
      </c>
      <c r="T156" s="1">
        <v>22.23</v>
      </c>
      <c r="U156" s="1">
        <v>0</v>
      </c>
      <c r="V156" s="1">
        <v>1.6</v>
      </c>
      <c r="W156" s="24">
        <v>880</v>
      </c>
      <c r="X156" s="24"/>
      <c r="Y156" s="2">
        <v>3000</v>
      </c>
      <c r="Z156" s="2"/>
      <c r="AA156" s="4">
        <f t="shared" si="29"/>
        <v>3000</v>
      </c>
      <c r="AB156" s="1">
        <f t="shared" si="30"/>
        <v>2.1482900313600002</v>
      </c>
      <c r="AC156" s="1">
        <f t="shared" si="34"/>
        <v>0</v>
      </c>
      <c r="AD156" s="1">
        <f t="shared" si="31"/>
        <v>2.1482900313600002</v>
      </c>
      <c r="AE156" s="1"/>
      <c r="AF156" s="1">
        <v>1.9039520000000001</v>
      </c>
      <c r="AG156" s="1"/>
      <c r="AH156" s="1">
        <f t="shared" si="32"/>
        <v>1.9643600912000008</v>
      </c>
      <c r="AI156" s="118">
        <f t="shared" si="33"/>
        <v>0.49219193154846236</v>
      </c>
    </row>
    <row r="157" spans="1:35" hidden="1" x14ac:dyDescent="0.25">
      <c r="A157" s="30">
        <v>268</v>
      </c>
      <c r="B157" s="5" t="s">
        <v>1816</v>
      </c>
      <c r="C157" s="2" t="s">
        <v>290</v>
      </c>
      <c r="D157" s="2"/>
      <c r="E157" s="2">
        <v>188647</v>
      </c>
      <c r="F157" s="2">
        <v>1940595</v>
      </c>
      <c r="G157" s="2" t="s">
        <v>1953</v>
      </c>
      <c r="H157" s="2" t="s">
        <v>962</v>
      </c>
      <c r="I157" s="2"/>
      <c r="J157" s="2"/>
      <c r="K157" s="2" t="s">
        <v>239</v>
      </c>
      <c r="L157" s="2"/>
      <c r="M157" s="2"/>
      <c r="N157" s="2"/>
      <c r="O157" s="2"/>
      <c r="P157" s="557" t="str">
        <f>CONCATENATE(schedule13[[#This Row],[OD]],"-",schedule13[[#This Row],[ID]],"-",schedule13[[#This Row],[TICKNESS]],"-",schedule13[[#This Row],[GRADE]],"-",schedule13[[#This Row],[FC/NFC]])</f>
        <v>25.4-0-2.5-ERW 1-</v>
      </c>
      <c r="Q157" s="557"/>
      <c r="R157" s="557"/>
      <c r="S157" s="1">
        <v>25.4</v>
      </c>
      <c r="T157" s="1">
        <v>25.4</v>
      </c>
      <c r="U157" s="1">
        <v>0</v>
      </c>
      <c r="V157" s="1">
        <v>2.5</v>
      </c>
      <c r="W157" s="24">
        <v>322</v>
      </c>
      <c r="X157" s="24"/>
      <c r="Y157" s="2">
        <v>0</v>
      </c>
      <c r="Z157" s="2"/>
      <c r="AA157" s="4">
        <f t="shared" si="29"/>
        <v>0</v>
      </c>
      <c r="AB157" s="1">
        <f t="shared" si="30"/>
        <v>0</v>
      </c>
      <c r="AC157" s="1">
        <f t="shared" si="34"/>
        <v>0</v>
      </c>
      <c r="AD157" s="1">
        <f t="shared" si="31"/>
        <v>0</v>
      </c>
      <c r="AE157" s="1"/>
      <c r="AF157" s="1"/>
      <c r="AG157" s="1"/>
      <c r="AH157" s="1">
        <f t="shared" si="32"/>
        <v>2.1482900313600002</v>
      </c>
      <c r="AI157" s="118">
        <f t="shared" si="33"/>
        <v>0</v>
      </c>
    </row>
    <row r="158" spans="1:35" hidden="1" x14ac:dyDescent="0.25">
      <c r="A158" s="30">
        <v>269</v>
      </c>
      <c r="B158" s="5" t="s">
        <v>1872</v>
      </c>
      <c r="C158" s="2" t="s">
        <v>290</v>
      </c>
      <c r="D158" s="2"/>
      <c r="E158" s="2">
        <v>188647</v>
      </c>
      <c r="F158" s="2">
        <v>2428441</v>
      </c>
      <c r="G158" s="2" t="s">
        <v>1695</v>
      </c>
      <c r="H158" s="2" t="s">
        <v>962</v>
      </c>
      <c r="I158" s="2" t="s">
        <v>1894</v>
      </c>
      <c r="J158" s="2" t="s">
        <v>1003</v>
      </c>
      <c r="K158" s="2" t="s">
        <v>239</v>
      </c>
      <c r="L158" s="2"/>
      <c r="M158" s="2" t="s">
        <v>1516</v>
      </c>
      <c r="N158" s="2"/>
      <c r="O158" s="2"/>
      <c r="P158" s="557" t="str">
        <f>CONCATENATE(schedule13[[#This Row],[OD]],"-",schedule13[[#This Row],[ID]],"-",schedule13[[#This Row],[TICKNESS]],"-",schedule13[[#This Row],[GRADE]],"-",schedule13[[#This Row],[FC/NFC]])</f>
        <v>42.7-0-4-ERW 1-FC</v>
      </c>
      <c r="Q158" s="557" t="str">
        <f>_xlfn.CONCAT(schedule13[[#This Row],[Bucket]],"-",schedule13[[#This Row],[LENGTH]]/1000)</f>
        <v>42.7-0-4-ERW 1-FC-0.235</v>
      </c>
      <c r="R158" s="557">
        <f>COUNTIF(buckets[CTL Bucket],schedule13[[#This Row],[CTL Bucket]])</f>
        <v>2</v>
      </c>
      <c r="S158" s="1">
        <v>42.7</v>
      </c>
      <c r="T158" s="1">
        <v>42.7</v>
      </c>
      <c r="U158" s="1">
        <v>0</v>
      </c>
      <c r="V158" s="1">
        <v>4</v>
      </c>
      <c r="W158" s="24">
        <v>235</v>
      </c>
      <c r="X158" s="22" t="s">
        <v>397</v>
      </c>
      <c r="Y158" s="2">
        <v>4000</v>
      </c>
      <c r="Z158" s="2"/>
      <c r="AA158" s="4">
        <f t="shared" si="29"/>
        <v>4000</v>
      </c>
      <c r="AB158" s="1">
        <f t="shared" si="30"/>
        <v>3.5873073360000003</v>
      </c>
      <c r="AC158" s="1">
        <f t="shared" si="34"/>
        <v>0</v>
      </c>
      <c r="AD158" s="1">
        <f t="shared" si="31"/>
        <v>3.5873073360000003</v>
      </c>
      <c r="AE158" s="1"/>
      <c r="AF158" s="1"/>
      <c r="AG158" s="1"/>
      <c r="AH158" s="1">
        <f t="shared" si="32"/>
        <v>0</v>
      </c>
      <c r="AI158" s="118" t="e">
        <f t="shared" si="33"/>
        <v>#DIV/0!</v>
      </c>
    </row>
    <row r="159" spans="1:35" hidden="1" x14ac:dyDescent="0.25">
      <c r="A159" s="30">
        <v>270</v>
      </c>
      <c r="B159" s="5" t="s">
        <v>1872</v>
      </c>
      <c r="C159" s="2" t="s">
        <v>290</v>
      </c>
      <c r="D159" s="2"/>
      <c r="E159" s="2">
        <v>188647</v>
      </c>
      <c r="F159" s="2">
        <v>2417648</v>
      </c>
      <c r="G159" s="2" t="s">
        <v>876</v>
      </c>
      <c r="H159" s="2" t="s">
        <v>962</v>
      </c>
      <c r="I159" s="2" t="s">
        <v>1894</v>
      </c>
      <c r="J159" s="2" t="s">
        <v>1003</v>
      </c>
      <c r="K159" s="2" t="s">
        <v>239</v>
      </c>
      <c r="L159" s="2"/>
      <c r="M159" s="2"/>
      <c r="N159" s="2"/>
      <c r="O159" s="2"/>
      <c r="P159" s="557" t="str">
        <f>CONCATENATE(schedule13[[#This Row],[OD]],"-",schedule13[[#This Row],[ID]],"-",schedule13[[#This Row],[TICKNESS]],"-",schedule13[[#This Row],[GRADE]],"-",schedule13[[#This Row],[FC/NFC]])</f>
        <v>42.7-0-3.5-ERW 1-FC</v>
      </c>
      <c r="Q159" s="557"/>
      <c r="R159" s="557"/>
      <c r="S159" s="1">
        <v>42.7</v>
      </c>
      <c r="T159" s="1">
        <v>42.7</v>
      </c>
      <c r="U159" s="1">
        <v>0</v>
      </c>
      <c r="V159" s="1">
        <v>3.5</v>
      </c>
      <c r="W159" s="24">
        <v>210</v>
      </c>
      <c r="X159" s="24"/>
      <c r="Y159" s="2">
        <v>2000</v>
      </c>
      <c r="Z159" s="2"/>
      <c r="AA159" s="4">
        <f t="shared" si="29"/>
        <v>2000</v>
      </c>
      <c r="AB159" s="1">
        <f t="shared" si="30"/>
        <v>1.4206044720000004</v>
      </c>
      <c r="AC159" s="1">
        <f t="shared" si="34"/>
        <v>0</v>
      </c>
      <c r="AD159" s="1">
        <f t="shared" si="31"/>
        <v>1.4206044720000004</v>
      </c>
      <c r="AE159" s="1"/>
      <c r="AF159" s="1">
        <v>0.30537800000000004</v>
      </c>
      <c r="AG159" s="1"/>
      <c r="AH159" s="1">
        <f t="shared" si="32"/>
        <v>3.2819293360000001</v>
      </c>
      <c r="AI159" s="118">
        <f t="shared" si="33"/>
        <v>8.5127359157498181E-2</v>
      </c>
    </row>
    <row r="160" spans="1:35" hidden="1" x14ac:dyDescent="0.25">
      <c r="A160" s="30">
        <v>271</v>
      </c>
      <c r="B160" s="5" t="s">
        <v>1816</v>
      </c>
      <c r="C160" s="2" t="s">
        <v>290</v>
      </c>
      <c r="D160" s="2"/>
      <c r="E160" s="2">
        <v>188647</v>
      </c>
      <c r="F160" s="2">
        <v>3191747</v>
      </c>
      <c r="G160" s="2" t="s">
        <v>1959</v>
      </c>
      <c r="H160" s="2" t="s">
        <v>985</v>
      </c>
      <c r="I160" s="2"/>
      <c r="J160" s="2" t="s">
        <v>1003</v>
      </c>
      <c r="K160" s="2" t="s">
        <v>239</v>
      </c>
      <c r="L160" s="44" t="s">
        <v>1924</v>
      </c>
      <c r="M160" s="2"/>
      <c r="N160" s="2"/>
      <c r="O160" s="2"/>
      <c r="P160" s="557" t="str">
        <f>CONCATENATE(schedule13[[#This Row],[OD]],"-",schedule13[[#This Row],[ID]],"-",schedule13[[#This Row],[TICKNESS]],"-",schedule13[[#This Row],[GRADE]],"-",schedule13[[#This Row],[FC/NFC]])</f>
        <v>38.1-0-1.6-ERW 2 MAHS-FC</v>
      </c>
      <c r="Q160" s="557"/>
      <c r="R160" s="557"/>
      <c r="S160" s="1">
        <v>38.1</v>
      </c>
      <c r="T160" s="1">
        <v>38.1</v>
      </c>
      <c r="U160" s="1">
        <v>0</v>
      </c>
      <c r="V160" s="1">
        <v>1.6</v>
      </c>
      <c r="W160" s="24">
        <v>930</v>
      </c>
      <c r="X160" s="24"/>
      <c r="Y160" s="2">
        <v>0</v>
      </c>
      <c r="Z160" s="2"/>
      <c r="AA160" s="4">
        <f t="shared" si="29"/>
        <v>0</v>
      </c>
      <c r="AB160" s="1">
        <f t="shared" si="30"/>
        <v>0</v>
      </c>
      <c r="AC160" s="1">
        <f t="shared" si="34"/>
        <v>0</v>
      </c>
      <c r="AD160" s="1">
        <f t="shared" si="31"/>
        <v>0</v>
      </c>
      <c r="AE160" s="1"/>
      <c r="AF160" s="1"/>
      <c r="AG160" s="1"/>
      <c r="AH160" s="1">
        <f t="shared" si="32"/>
        <v>1.4206044720000004</v>
      </c>
      <c r="AI160" s="118">
        <f t="shared" si="33"/>
        <v>0</v>
      </c>
    </row>
    <row r="161" spans="1:35" hidden="1" x14ac:dyDescent="0.25">
      <c r="A161" s="30">
        <v>272</v>
      </c>
      <c r="B161" s="5" t="s">
        <v>1816</v>
      </c>
      <c r="C161" s="2" t="s">
        <v>290</v>
      </c>
      <c r="D161" s="2"/>
      <c r="E161" s="2">
        <v>188647</v>
      </c>
      <c r="F161" s="2">
        <v>3191748</v>
      </c>
      <c r="G161" s="2" t="s">
        <v>1961</v>
      </c>
      <c r="H161" s="2" t="s">
        <v>985</v>
      </c>
      <c r="I161" s="2"/>
      <c r="J161" s="2"/>
      <c r="K161" s="2" t="s">
        <v>239</v>
      </c>
      <c r="L161" s="44" t="s">
        <v>1924</v>
      </c>
      <c r="M161" s="2"/>
      <c r="N161" s="2"/>
      <c r="O161" s="2"/>
      <c r="P161" s="557" t="str">
        <f>CONCATENATE(schedule13[[#This Row],[OD]],"-",schedule13[[#This Row],[ID]],"-",schedule13[[#This Row],[TICKNESS]],"-",schedule13[[#This Row],[GRADE]],"-",schedule13[[#This Row],[FC/NFC]])</f>
        <v>38.1-0-2-ERW 2 MAHS-</v>
      </c>
      <c r="Q161" s="557"/>
      <c r="R161" s="557"/>
      <c r="S161" s="1">
        <v>38.1</v>
      </c>
      <c r="T161" s="1">
        <v>38.1</v>
      </c>
      <c r="U161" s="1">
        <v>0</v>
      </c>
      <c r="V161" s="1">
        <v>2</v>
      </c>
      <c r="W161" s="24">
        <v>930</v>
      </c>
      <c r="X161" s="24"/>
      <c r="Y161" s="2">
        <v>0</v>
      </c>
      <c r="Z161" s="2"/>
      <c r="AA161" s="4">
        <f t="shared" si="29"/>
        <v>0</v>
      </c>
      <c r="AB161" s="1">
        <f t="shared" si="30"/>
        <v>0</v>
      </c>
      <c r="AC161" s="1">
        <f t="shared" si="34"/>
        <v>0</v>
      </c>
      <c r="AD161" s="1">
        <f t="shared" si="31"/>
        <v>0</v>
      </c>
      <c r="AE161" s="1"/>
      <c r="AF161" s="1"/>
      <c r="AG161" s="1"/>
      <c r="AH161" s="1">
        <f t="shared" si="32"/>
        <v>0</v>
      </c>
      <c r="AI161" s="118" t="e">
        <f t="shared" si="33"/>
        <v>#DIV/0!</v>
      </c>
    </row>
    <row r="162" spans="1:35" hidden="1" x14ac:dyDescent="0.25">
      <c r="A162" s="30">
        <v>273</v>
      </c>
      <c r="B162" s="5" t="s">
        <v>1816</v>
      </c>
      <c r="C162" s="2" t="s">
        <v>290</v>
      </c>
      <c r="D162" s="2"/>
      <c r="E162" s="2">
        <v>188647</v>
      </c>
      <c r="F162" s="2">
        <v>3542857</v>
      </c>
      <c r="G162" s="2" t="s">
        <v>1958</v>
      </c>
      <c r="H162" s="2" t="s">
        <v>962</v>
      </c>
      <c r="I162" s="2"/>
      <c r="J162" s="2"/>
      <c r="K162" s="2" t="s">
        <v>239</v>
      </c>
      <c r="L162" s="2"/>
      <c r="M162" s="2"/>
      <c r="N162" s="2"/>
      <c r="O162" s="2"/>
      <c r="P162" s="557" t="str">
        <f>CONCATENATE(schedule13[[#This Row],[OD]],"-",schedule13[[#This Row],[ID]],"-",schedule13[[#This Row],[TICKNESS]],"-",schedule13[[#This Row],[GRADE]],"-",schedule13[[#This Row],[FC/NFC]])</f>
        <v>57.15-0-2.5-ERW 1-</v>
      </c>
      <c r="Q162" s="557"/>
      <c r="R162" s="557"/>
      <c r="S162" s="1">
        <v>57.15</v>
      </c>
      <c r="T162" s="1">
        <v>57.15</v>
      </c>
      <c r="U162" s="1">
        <v>0</v>
      </c>
      <c r="V162" s="1">
        <v>2.5</v>
      </c>
      <c r="W162" s="24">
        <v>812</v>
      </c>
      <c r="X162" s="24"/>
      <c r="Y162" s="2">
        <v>0</v>
      </c>
      <c r="Z162" s="2"/>
      <c r="AA162" s="4">
        <f t="shared" si="29"/>
        <v>0</v>
      </c>
      <c r="AB162" s="1">
        <f t="shared" si="30"/>
        <v>0</v>
      </c>
      <c r="AC162" s="1">
        <f t="shared" si="34"/>
        <v>0</v>
      </c>
      <c r="AD162" s="1">
        <f t="shared" si="31"/>
        <v>0</v>
      </c>
      <c r="AE162" s="1"/>
      <c r="AF162" s="1"/>
      <c r="AG162" s="1"/>
      <c r="AH162" s="1">
        <f t="shared" si="32"/>
        <v>0</v>
      </c>
      <c r="AI162" s="118" t="e">
        <f t="shared" si="33"/>
        <v>#DIV/0!</v>
      </c>
    </row>
    <row r="163" spans="1:35" hidden="1" x14ac:dyDescent="0.25">
      <c r="A163" s="30">
        <v>274</v>
      </c>
      <c r="B163" s="5" t="s">
        <v>1816</v>
      </c>
      <c r="C163" s="2" t="s">
        <v>290</v>
      </c>
      <c r="D163" s="2"/>
      <c r="E163" s="2">
        <v>188647</v>
      </c>
      <c r="F163" s="2">
        <v>1940407</v>
      </c>
      <c r="G163" s="2" t="s">
        <v>1514</v>
      </c>
      <c r="H163" s="2" t="s">
        <v>962</v>
      </c>
      <c r="I163" s="2"/>
      <c r="J163" s="2" t="s">
        <v>963</v>
      </c>
      <c r="K163" s="2" t="s">
        <v>1867</v>
      </c>
      <c r="L163" s="44" t="s">
        <v>1891</v>
      </c>
      <c r="M163" s="2"/>
      <c r="N163" s="2"/>
      <c r="O163" s="2"/>
      <c r="P163" s="557" t="str">
        <f>CONCATENATE(schedule13[[#This Row],[OD]],"-",schedule13[[#This Row],[ID]],"-",schedule13[[#This Row],[TICKNESS]],"-",schedule13[[#This Row],[GRADE]],"-",schedule13[[#This Row],[FC/NFC]])</f>
        <v>22.23-0-1.6-ERW 1-PE</v>
      </c>
      <c r="Q163" s="557"/>
      <c r="R163" s="557"/>
      <c r="S163" s="1">
        <v>22.23</v>
      </c>
      <c r="T163" s="1">
        <v>22.23</v>
      </c>
      <c r="U163" s="1">
        <v>0</v>
      </c>
      <c r="V163" s="1">
        <v>1.6</v>
      </c>
      <c r="W163" s="24">
        <v>740</v>
      </c>
      <c r="X163" s="24"/>
      <c r="Y163" s="2">
        <v>3000</v>
      </c>
      <c r="Z163" s="2"/>
      <c r="AA163" s="4">
        <f t="shared" si="29"/>
        <v>3000</v>
      </c>
      <c r="AB163" s="1">
        <f t="shared" si="30"/>
        <v>1.8065166172800005</v>
      </c>
      <c r="AC163" s="1">
        <f t="shared" si="34"/>
        <v>0</v>
      </c>
      <c r="AD163" s="1">
        <f t="shared" si="31"/>
        <v>1.8065166172800005</v>
      </c>
      <c r="AE163" s="1"/>
      <c r="AF163" s="1"/>
      <c r="AG163" s="1"/>
      <c r="AH163" s="1">
        <f t="shared" si="32"/>
        <v>0</v>
      </c>
      <c r="AI163" s="118" t="e">
        <f t="shared" si="33"/>
        <v>#DIV/0!</v>
      </c>
    </row>
    <row r="164" spans="1:35" hidden="1" x14ac:dyDescent="0.25">
      <c r="A164" s="30">
        <v>275</v>
      </c>
      <c r="B164" s="5" t="s">
        <v>1816</v>
      </c>
      <c r="C164" s="2" t="s">
        <v>290</v>
      </c>
      <c r="D164" s="2"/>
      <c r="E164" s="2">
        <v>188647</v>
      </c>
      <c r="F164" s="2">
        <v>1940829</v>
      </c>
      <c r="G164" s="2" t="s">
        <v>1956</v>
      </c>
      <c r="H164" s="2" t="s">
        <v>962</v>
      </c>
      <c r="I164" s="2"/>
      <c r="J164" s="2"/>
      <c r="K164" s="2" t="s">
        <v>239</v>
      </c>
      <c r="L164" s="2"/>
      <c r="M164" s="2"/>
      <c r="N164" s="2"/>
      <c r="O164" s="2"/>
      <c r="P164" s="557" t="str">
        <f>CONCATENATE(schedule13[[#This Row],[OD]],"-",schedule13[[#This Row],[ID]],"-",schedule13[[#This Row],[TICKNESS]],"-",schedule13[[#This Row],[GRADE]],"-",schedule13[[#This Row],[FC/NFC]])</f>
        <v>40-30-1.6-ERW 1-</v>
      </c>
      <c r="Q164" s="557"/>
      <c r="R164" s="557"/>
      <c r="S164" s="1">
        <v>44.45</v>
      </c>
      <c r="T164" s="1">
        <v>40</v>
      </c>
      <c r="U164" s="1">
        <v>30</v>
      </c>
      <c r="V164" s="1">
        <v>1.6</v>
      </c>
      <c r="W164" s="24">
        <v>314</v>
      </c>
      <c r="X164" s="24"/>
      <c r="Y164" s="2">
        <v>0</v>
      </c>
      <c r="Z164" s="2"/>
      <c r="AA164" s="4">
        <f t="shared" si="29"/>
        <v>0</v>
      </c>
      <c r="AB164" s="1">
        <f t="shared" ref="AB164:AB197" si="35">(S164-V164)*V164*W164*0.024653*Y164/1000000</f>
        <v>0</v>
      </c>
      <c r="AC164" s="1">
        <f t="shared" si="34"/>
        <v>0</v>
      </c>
      <c r="AD164" s="1">
        <f t="shared" si="31"/>
        <v>0</v>
      </c>
      <c r="AE164" s="1"/>
      <c r="AF164" s="1"/>
      <c r="AG164" s="1"/>
      <c r="AH164" s="1">
        <f t="shared" si="32"/>
        <v>1.8065166172800005</v>
      </c>
      <c r="AI164" s="118">
        <f t="shared" si="33"/>
        <v>0</v>
      </c>
    </row>
    <row r="165" spans="1:35" hidden="1" x14ac:dyDescent="0.25">
      <c r="A165" s="30">
        <v>276</v>
      </c>
      <c r="B165" s="5" t="s">
        <v>1872</v>
      </c>
      <c r="C165" s="2" t="s">
        <v>290</v>
      </c>
      <c r="D165" s="2"/>
      <c r="E165" s="2">
        <v>188647</v>
      </c>
      <c r="F165" s="2">
        <v>2363145</v>
      </c>
      <c r="G165" s="2" t="s">
        <v>1946</v>
      </c>
      <c r="H165" s="2" t="s">
        <v>357</v>
      </c>
      <c r="I165" s="2"/>
      <c r="J165" s="2"/>
      <c r="K165" s="2" t="s">
        <v>239</v>
      </c>
      <c r="L165" s="2"/>
      <c r="M165" s="2"/>
      <c r="N165" s="2"/>
      <c r="O165" s="2"/>
      <c r="P165" s="557" t="str">
        <f>CONCATENATE(schedule13[[#This Row],[OD]],"-",schedule13[[#This Row],[ID]],"-",schedule13[[#This Row],[TICKNESS]],"-",schedule13[[#This Row],[GRADE]],"-",schedule13[[#This Row],[FC/NFC]])</f>
        <v>14-9.1-2.45-CEW-</v>
      </c>
      <c r="Q165" s="557"/>
      <c r="R165" s="557"/>
      <c r="S165" s="1">
        <v>14</v>
      </c>
      <c r="T165" s="1">
        <v>14</v>
      </c>
      <c r="U165" s="1">
        <v>9.1</v>
      </c>
      <c r="V165" s="1">
        <v>2.4500000000000002</v>
      </c>
      <c r="W165" s="24">
        <v>5000</v>
      </c>
      <c r="X165" s="24"/>
      <c r="Y165" s="2">
        <v>0</v>
      </c>
      <c r="Z165" s="2"/>
      <c r="AA165" s="4">
        <f t="shared" si="29"/>
        <v>0</v>
      </c>
      <c r="AB165" s="1">
        <f t="shared" si="35"/>
        <v>0</v>
      </c>
      <c r="AC165" s="1">
        <f t="shared" si="34"/>
        <v>0</v>
      </c>
      <c r="AD165" s="1">
        <f t="shared" si="31"/>
        <v>0</v>
      </c>
      <c r="AE165" s="1"/>
      <c r="AF165" s="1">
        <v>2.9849999999999999</v>
      </c>
      <c r="AG165" s="1"/>
      <c r="AH165" s="1">
        <f t="shared" si="32"/>
        <v>-2.9849999999999999</v>
      </c>
      <c r="AI165" s="118" t="e">
        <f t="shared" si="33"/>
        <v>#DIV/0!</v>
      </c>
    </row>
    <row r="166" spans="1:35" hidden="1" x14ac:dyDescent="0.25">
      <c r="A166" s="30">
        <v>277</v>
      </c>
      <c r="B166" s="5" t="s">
        <v>1816</v>
      </c>
      <c r="C166" s="2" t="s">
        <v>290</v>
      </c>
      <c r="D166" s="2"/>
      <c r="E166" s="2">
        <v>188647</v>
      </c>
      <c r="F166" s="2">
        <v>1940732</v>
      </c>
      <c r="G166" s="2" t="s">
        <v>1954</v>
      </c>
      <c r="H166" s="2" t="s">
        <v>962</v>
      </c>
      <c r="I166" s="2"/>
      <c r="J166" s="2" t="s">
        <v>1003</v>
      </c>
      <c r="K166" s="2" t="s">
        <v>239</v>
      </c>
      <c r="L166" s="2" t="s">
        <v>1891</v>
      </c>
      <c r="M166" s="2"/>
      <c r="N166" s="2"/>
      <c r="O166" s="2"/>
      <c r="P166" s="557" t="str">
        <f>CONCATENATE(schedule13[[#This Row],[OD]],"-",schedule13[[#This Row],[ID]],"-",schedule13[[#This Row],[TICKNESS]],"-",schedule13[[#This Row],[GRADE]],"-",schedule13[[#This Row],[FC/NFC]])</f>
        <v>38.1-0-1.6-ERW 1-FC</v>
      </c>
      <c r="Q166" s="557"/>
      <c r="R166" s="557"/>
      <c r="S166" s="1">
        <v>38.1</v>
      </c>
      <c r="T166" s="1">
        <v>38.1</v>
      </c>
      <c r="U166" s="1">
        <v>0</v>
      </c>
      <c r="V166" s="1">
        <v>1.6</v>
      </c>
      <c r="W166" s="24">
        <v>821</v>
      </c>
      <c r="X166" s="24"/>
      <c r="Y166" s="2">
        <v>0</v>
      </c>
      <c r="Z166" s="2"/>
      <c r="AA166" s="4">
        <f t="shared" si="29"/>
        <v>0</v>
      </c>
      <c r="AB166" s="1">
        <f t="shared" si="35"/>
        <v>0</v>
      </c>
      <c r="AC166" s="1">
        <f t="shared" si="34"/>
        <v>0</v>
      </c>
      <c r="AD166" s="1">
        <f t="shared" si="31"/>
        <v>0</v>
      </c>
      <c r="AE166" s="1"/>
      <c r="AF166" s="1"/>
      <c r="AG166" s="1"/>
      <c r="AH166" s="1">
        <f t="shared" si="32"/>
        <v>0</v>
      </c>
      <c r="AI166" s="118" t="e">
        <f t="shared" si="33"/>
        <v>#DIV/0!</v>
      </c>
    </row>
    <row r="167" spans="1:35" hidden="1" x14ac:dyDescent="0.25">
      <c r="A167" s="30">
        <v>278</v>
      </c>
      <c r="B167" s="5" t="s">
        <v>1872</v>
      </c>
      <c r="C167" s="2" t="s">
        <v>290</v>
      </c>
      <c r="D167" s="2"/>
      <c r="E167" s="2">
        <v>188647</v>
      </c>
      <c r="F167" s="2">
        <v>2410994</v>
      </c>
      <c r="G167" s="2" t="s">
        <v>1949</v>
      </c>
      <c r="H167" s="2" t="s">
        <v>357</v>
      </c>
      <c r="I167" s="2"/>
      <c r="J167" s="2"/>
      <c r="K167" s="2" t="s">
        <v>239</v>
      </c>
      <c r="L167" s="2"/>
      <c r="M167" s="2"/>
      <c r="N167" s="2"/>
      <c r="O167" s="2"/>
      <c r="P167" s="557" t="str">
        <f>CONCATENATE(schedule13[[#This Row],[OD]],"-",schedule13[[#This Row],[ID]],"-",schedule13[[#This Row],[TICKNESS]],"-",schedule13[[#This Row],[GRADE]],"-",schedule13[[#This Row],[FC/NFC]])</f>
        <v>21.75-0-3.5-CEW-</v>
      </c>
      <c r="Q167" s="557"/>
      <c r="R167" s="557"/>
      <c r="S167" s="1">
        <v>21.75</v>
      </c>
      <c r="T167" s="1">
        <v>21.75</v>
      </c>
      <c r="U167" s="1">
        <v>0</v>
      </c>
      <c r="V167" s="1">
        <v>3.5</v>
      </c>
      <c r="W167" s="24">
        <v>4500</v>
      </c>
      <c r="X167" s="24"/>
      <c r="Y167" s="2">
        <v>0</v>
      </c>
      <c r="Z167" s="2"/>
      <c r="AA167" s="4">
        <f t="shared" si="29"/>
        <v>0</v>
      </c>
      <c r="AB167" s="1">
        <f t="shared" si="35"/>
        <v>0</v>
      </c>
      <c r="AC167" s="1">
        <f t="shared" si="34"/>
        <v>0</v>
      </c>
      <c r="AD167" s="1">
        <f t="shared" si="31"/>
        <v>0</v>
      </c>
      <c r="AE167" s="1"/>
      <c r="AF167" s="1">
        <v>0.85175999999999996</v>
      </c>
      <c r="AG167" s="1"/>
      <c r="AH167" s="1">
        <f t="shared" si="32"/>
        <v>-0.85175999999999996</v>
      </c>
      <c r="AI167" s="118" t="e">
        <f t="shared" si="33"/>
        <v>#DIV/0!</v>
      </c>
    </row>
    <row r="168" spans="1:35" hidden="1" x14ac:dyDescent="0.25">
      <c r="A168" s="30">
        <v>279</v>
      </c>
      <c r="B168" s="5" t="s">
        <v>1816</v>
      </c>
      <c r="C168" s="2" t="s">
        <v>290</v>
      </c>
      <c r="D168" s="2"/>
      <c r="E168" s="2">
        <v>188647</v>
      </c>
      <c r="F168" s="2">
        <v>1940831</v>
      </c>
      <c r="G168" s="2" t="s">
        <v>657</v>
      </c>
      <c r="H168" s="2" t="s">
        <v>962</v>
      </c>
      <c r="I168" s="2"/>
      <c r="J168" s="2" t="s">
        <v>1003</v>
      </c>
      <c r="K168" s="2" t="s">
        <v>1867</v>
      </c>
      <c r="L168" s="44" t="s">
        <v>1891</v>
      </c>
      <c r="M168" s="2"/>
      <c r="N168" s="2"/>
      <c r="O168" s="2"/>
      <c r="P168" s="557" t="str">
        <f>CONCATENATE(schedule13[[#This Row],[OD]],"-",schedule13[[#This Row],[ID]],"-",schedule13[[#This Row],[TICKNESS]],"-",schedule13[[#This Row],[GRADE]],"-",schedule13[[#This Row],[FC/NFC]])</f>
        <v>40-30-1.6-ERW 1-FC</v>
      </c>
      <c r="Q168" s="557"/>
      <c r="R168" s="557"/>
      <c r="S168" s="1">
        <v>44.45</v>
      </c>
      <c r="T168" s="1">
        <v>40</v>
      </c>
      <c r="U168" s="1">
        <v>30</v>
      </c>
      <c r="V168" s="1">
        <v>1.6</v>
      </c>
      <c r="W168" s="24">
        <v>880</v>
      </c>
      <c r="X168" s="24"/>
      <c r="Y168" s="2">
        <v>2500</v>
      </c>
      <c r="Z168" s="2"/>
      <c r="AA168" s="4">
        <f t="shared" si="29"/>
        <v>2500</v>
      </c>
      <c r="AB168" s="1">
        <f t="shared" si="35"/>
        <v>3.7184612960000005</v>
      </c>
      <c r="AC168" s="1">
        <f t="shared" si="34"/>
        <v>0</v>
      </c>
      <c r="AD168" s="1">
        <f t="shared" si="31"/>
        <v>3.7184612960000005</v>
      </c>
      <c r="AE168" s="1"/>
      <c r="AF168" s="1">
        <v>7.0729329999999999</v>
      </c>
      <c r="AG168" s="1"/>
      <c r="AH168" s="1">
        <f t="shared" si="32"/>
        <v>-7.0729329999999999</v>
      </c>
      <c r="AI168" s="118" t="e">
        <f t="shared" si="33"/>
        <v>#DIV/0!</v>
      </c>
    </row>
    <row r="169" spans="1:35" hidden="1" x14ac:dyDescent="0.25">
      <c r="A169" s="30">
        <v>280</v>
      </c>
      <c r="B169" s="5" t="s">
        <v>1872</v>
      </c>
      <c r="C169" s="2" t="s">
        <v>290</v>
      </c>
      <c r="D169" s="2"/>
      <c r="E169" s="2">
        <v>188647</v>
      </c>
      <c r="F169" s="2"/>
      <c r="G169" s="2"/>
      <c r="H169" s="2" t="s">
        <v>962</v>
      </c>
      <c r="I169" s="2" t="s">
        <v>1894</v>
      </c>
      <c r="J169" s="2"/>
      <c r="K169" s="2" t="s">
        <v>239</v>
      </c>
      <c r="L169" s="2"/>
      <c r="M169" s="2"/>
      <c r="N169" s="2"/>
      <c r="O169" s="2"/>
      <c r="P169" s="557" t="str">
        <f>CONCATENATE(schedule13[[#This Row],[OD]],"-",schedule13[[#This Row],[ID]],"-",schedule13[[#This Row],[TICKNESS]],"-",schedule13[[#This Row],[GRADE]],"-",schedule13[[#This Row],[FC/NFC]])</f>
        <v>0-0-4-ERW 1-</v>
      </c>
      <c r="Q169" s="557"/>
      <c r="R169" s="557"/>
      <c r="S169" s="1">
        <v>42.7</v>
      </c>
      <c r="T169" s="1">
        <v>0</v>
      </c>
      <c r="U169" s="1">
        <v>0</v>
      </c>
      <c r="V169" s="1">
        <v>4</v>
      </c>
      <c r="W169" s="24">
        <v>266</v>
      </c>
      <c r="X169" s="24"/>
      <c r="Y169" s="2">
        <v>0</v>
      </c>
      <c r="Z169" s="2"/>
      <c r="AA169" s="4">
        <f t="shared" si="29"/>
        <v>0</v>
      </c>
      <c r="AB169" s="1">
        <f t="shared" si="35"/>
        <v>0</v>
      </c>
      <c r="AC169" s="1">
        <f t="shared" si="34"/>
        <v>0</v>
      </c>
      <c r="AD169" s="1">
        <f t="shared" si="31"/>
        <v>0</v>
      </c>
      <c r="AE169" s="1"/>
      <c r="AF169" s="1"/>
      <c r="AG169" s="1"/>
      <c r="AH169" s="1">
        <f t="shared" si="32"/>
        <v>3.7184612960000005</v>
      </c>
      <c r="AI169" s="118">
        <f t="shared" si="33"/>
        <v>0</v>
      </c>
    </row>
    <row r="170" spans="1:35" hidden="1" x14ac:dyDescent="0.25">
      <c r="A170" s="30">
        <v>281</v>
      </c>
      <c r="B170" s="5" t="s">
        <v>1816</v>
      </c>
      <c r="C170" s="2" t="s">
        <v>290</v>
      </c>
      <c r="D170" s="2"/>
      <c r="E170" s="2">
        <v>188647</v>
      </c>
      <c r="F170" s="2">
        <v>3712521</v>
      </c>
      <c r="G170" s="2" t="s">
        <v>631</v>
      </c>
      <c r="H170" s="2" t="s">
        <v>962</v>
      </c>
      <c r="I170" s="2"/>
      <c r="J170" s="2" t="s">
        <v>1003</v>
      </c>
      <c r="K170" s="2" t="s">
        <v>1867</v>
      </c>
      <c r="L170" s="44" t="s">
        <v>1868</v>
      </c>
      <c r="M170" s="2"/>
      <c r="N170" s="2"/>
      <c r="O170" s="2"/>
      <c r="P170" s="557" t="str">
        <f>CONCATENATE(schedule13[[#This Row],[OD]],"-",schedule13[[#This Row],[ID]],"-",schedule13[[#This Row],[TICKNESS]],"-",schedule13[[#This Row],[GRADE]],"-",schedule13[[#This Row],[FC/NFC]])</f>
        <v>40-30-1.6-ERW 1-FC</v>
      </c>
      <c r="Q170" s="557"/>
      <c r="R170" s="557"/>
      <c r="S170" s="1">
        <v>44.45</v>
      </c>
      <c r="T170" s="1">
        <v>40</v>
      </c>
      <c r="U170" s="1">
        <v>30</v>
      </c>
      <c r="V170" s="1">
        <v>1.6</v>
      </c>
      <c r="W170" s="24">
        <v>835</v>
      </c>
      <c r="X170" s="24"/>
      <c r="Y170" s="2">
        <v>13000</v>
      </c>
      <c r="Z170" s="2"/>
      <c r="AA170" s="4">
        <f t="shared" si="29"/>
        <v>13000</v>
      </c>
      <c r="AB170" s="1">
        <f t="shared" si="35"/>
        <v>18.347226076400002</v>
      </c>
      <c r="AC170" s="1">
        <f t="shared" si="34"/>
        <v>0</v>
      </c>
      <c r="AD170" s="1">
        <f t="shared" si="31"/>
        <v>18.347226076400002</v>
      </c>
      <c r="AE170" s="1"/>
      <c r="AF170" s="1"/>
      <c r="AG170" s="1"/>
      <c r="AH170" s="1">
        <f t="shared" si="32"/>
        <v>0</v>
      </c>
      <c r="AI170" s="118" t="e">
        <f t="shared" si="33"/>
        <v>#DIV/0!</v>
      </c>
    </row>
    <row r="171" spans="1:35" hidden="1" x14ac:dyDescent="0.25">
      <c r="A171" s="30">
        <v>282</v>
      </c>
      <c r="B171" s="5" t="s">
        <v>1872</v>
      </c>
      <c r="C171" s="2" t="s">
        <v>290</v>
      </c>
      <c r="D171" s="2"/>
      <c r="E171" s="2">
        <v>188647</v>
      </c>
      <c r="F171" s="2">
        <v>3768907</v>
      </c>
      <c r="G171" s="2" t="s">
        <v>655</v>
      </c>
      <c r="H171" s="2" t="s">
        <v>962</v>
      </c>
      <c r="I171" s="2"/>
      <c r="J171" s="2" t="s">
        <v>1003</v>
      </c>
      <c r="K171" s="2" t="s">
        <v>239</v>
      </c>
      <c r="L171" s="2"/>
      <c r="M171" s="2" t="s">
        <v>1516</v>
      </c>
      <c r="N171" s="2"/>
      <c r="O171" s="2"/>
      <c r="P171" s="557" t="str">
        <f>CONCATENATE(schedule13[[#This Row],[OD]],"-",schedule13[[#This Row],[ID]],"-",schedule13[[#This Row],[TICKNESS]],"-",schedule13[[#This Row],[GRADE]],"-",schedule13[[#This Row],[FC/NFC]])</f>
        <v>41.28-0-3.2-ERW 1-FC</v>
      </c>
      <c r="Q171" s="557" t="str">
        <f>_xlfn.CONCAT(schedule13[[#This Row],[Bucket]],"-",schedule13[[#This Row],[LENGTH]]/1000)</f>
        <v>41.28-0-3.2-ERW 1-FC-0.246</v>
      </c>
      <c r="R171" s="557">
        <f>COUNTIF(buckets[CTL Bucket],schedule13[[#This Row],[CTL Bucket]])</f>
        <v>1</v>
      </c>
      <c r="S171" s="1">
        <v>41.28</v>
      </c>
      <c r="T171" s="1">
        <v>41.28</v>
      </c>
      <c r="U171" s="1">
        <v>0</v>
      </c>
      <c r="V171" s="1">
        <v>3.2</v>
      </c>
      <c r="W171" s="24">
        <v>246</v>
      </c>
      <c r="X171" s="22" t="s">
        <v>397</v>
      </c>
      <c r="Y171" s="2">
        <v>8000</v>
      </c>
      <c r="Z171" s="2"/>
      <c r="AA171" s="4">
        <f t="shared" si="29"/>
        <v>8000</v>
      </c>
      <c r="AB171" s="1">
        <f t="shared" si="35"/>
        <v>5.912100225024</v>
      </c>
      <c r="AC171" s="1">
        <f t="shared" si="34"/>
        <v>0</v>
      </c>
      <c r="AD171" s="1">
        <f t="shared" si="31"/>
        <v>5.912100225024</v>
      </c>
      <c r="AE171" s="1"/>
      <c r="AF171" s="1">
        <v>3.9888550000000005</v>
      </c>
      <c r="AG171" s="1"/>
      <c r="AH171" s="1">
        <f t="shared" si="32"/>
        <v>14.358371076400001</v>
      </c>
      <c r="AI171" s="118">
        <f t="shared" si="33"/>
        <v>0.21740915947674816</v>
      </c>
    </row>
    <row r="172" spans="1:35" hidden="1" x14ac:dyDescent="0.25">
      <c r="A172" s="30">
        <v>283</v>
      </c>
      <c r="B172" s="5" t="s">
        <v>1816</v>
      </c>
      <c r="C172" s="2" t="s">
        <v>290</v>
      </c>
      <c r="D172" s="2"/>
      <c r="E172" s="2">
        <v>188647</v>
      </c>
      <c r="F172" s="2">
        <v>3768904</v>
      </c>
      <c r="G172" s="2" t="s">
        <v>1644</v>
      </c>
      <c r="H172" s="2" t="s">
        <v>985</v>
      </c>
      <c r="I172" s="2"/>
      <c r="J172" s="2" t="s">
        <v>1003</v>
      </c>
      <c r="K172" s="2" t="s">
        <v>1867</v>
      </c>
      <c r="L172" s="44" t="s">
        <v>1924</v>
      </c>
      <c r="M172" s="2"/>
      <c r="N172" s="2"/>
      <c r="O172" s="2"/>
      <c r="P172" s="557" t="str">
        <f>CONCATENATE(schedule13[[#This Row],[OD]],"-",schedule13[[#This Row],[ID]],"-",schedule13[[#This Row],[TICKNESS]],"-",schedule13[[#This Row],[GRADE]],"-",schedule13[[#This Row],[FC/NFC]])</f>
        <v>38.1-0-1.6-ERW 2 MAHS-FC</v>
      </c>
      <c r="Q172" s="557"/>
      <c r="R172" s="557"/>
      <c r="S172" s="1">
        <v>38.1</v>
      </c>
      <c r="T172" s="1">
        <v>38.1</v>
      </c>
      <c r="U172" s="1">
        <v>0</v>
      </c>
      <c r="V172" s="1">
        <v>1.6</v>
      </c>
      <c r="W172" s="24">
        <v>878</v>
      </c>
      <c r="X172" s="24"/>
      <c r="Y172" s="2">
        <v>6000</v>
      </c>
      <c r="Z172" s="2"/>
      <c r="AA172" s="4">
        <f t="shared" si="29"/>
        <v>6000</v>
      </c>
      <c r="AB172" s="1">
        <f t="shared" si="35"/>
        <v>7.5845250336000012</v>
      </c>
      <c r="AC172" s="1">
        <f t="shared" si="34"/>
        <v>0</v>
      </c>
      <c r="AD172" s="1">
        <f t="shared" si="31"/>
        <v>7.5845250336000012</v>
      </c>
      <c r="AE172" s="1"/>
      <c r="AF172" s="1"/>
      <c r="AG172" s="1"/>
      <c r="AH172" s="1">
        <f t="shared" si="32"/>
        <v>5.912100225024</v>
      </c>
      <c r="AI172" s="118">
        <f t="shared" si="33"/>
        <v>0</v>
      </c>
    </row>
    <row r="173" spans="1:35" hidden="1" x14ac:dyDescent="0.25">
      <c r="A173" s="30">
        <v>284</v>
      </c>
      <c r="B173" s="5" t="s">
        <v>1928</v>
      </c>
      <c r="C173" s="2" t="s">
        <v>290</v>
      </c>
      <c r="D173" s="2"/>
      <c r="E173" s="2">
        <v>188647</v>
      </c>
      <c r="F173" s="2">
        <v>3768904</v>
      </c>
      <c r="G173" s="2" t="s">
        <v>1655</v>
      </c>
      <c r="H173" s="51" t="s">
        <v>985</v>
      </c>
      <c r="I173" s="2"/>
      <c r="J173" s="2" t="s">
        <v>1003</v>
      </c>
      <c r="K173" s="2" t="s">
        <v>239</v>
      </c>
      <c r="L173" s="44" t="s">
        <v>1924</v>
      </c>
      <c r="M173" s="2"/>
      <c r="N173" s="2"/>
      <c r="O173" s="2"/>
      <c r="P173" s="557" t="str">
        <f>CONCATENATE(schedule13[[#This Row],[OD]],"-",schedule13[[#This Row],[ID]],"-",schedule13[[#This Row],[TICKNESS]],"-",schedule13[[#This Row],[GRADE]],"-",schedule13[[#This Row],[FC/NFC]])</f>
        <v>38.1-0-2.5-ERW 2 MAHS-FC</v>
      </c>
      <c r="Q173" s="557"/>
      <c r="R173" s="557"/>
      <c r="S173" s="1">
        <v>38.1</v>
      </c>
      <c r="T173" s="1">
        <v>38.1</v>
      </c>
      <c r="U173" s="1">
        <v>0</v>
      </c>
      <c r="V173" s="1">
        <v>2.5</v>
      </c>
      <c r="W173" s="24">
        <v>878</v>
      </c>
      <c r="X173" s="24"/>
      <c r="Y173" s="2">
        <v>6000</v>
      </c>
      <c r="Z173" s="2"/>
      <c r="AA173" s="4">
        <f t="shared" si="29"/>
        <v>6000</v>
      </c>
      <c r="AB173" s="1">
        <f t="shared" si="35"/>
        <v>11.558608356000001</v>
      </c>
      <c r="AC173" s="1">
        <f t="shared" si="34"/>
        <v>0</v>
      </c>
      <c r="AD173" s="1">
        <f t="shared" si="31"/>
        <v>11.558608356000001</v>
      </c>
      <c r="AE173" s="1"/>
      <c r="AF173" s="1"/>
      <c r="AG173" s="1"/>
      <c r="AH173" s="1">
        <f t="shared" si="32"/>
        <v>7.5845250336000012</v>
      </c>
      <c r="AI173" s="118">
        <f t="shared" si="33"/>
        <v>0</v>
      </c>
    </row>
    <row r="174" spans="1:35" hidden="1" x14ac:dyDescent="0.25">
      <c r="A174" s="30">
        <v>285</v>
      </c>
      <c r="B174" s="5" t="s">
        <v>1872</v>
      </c>
      <c r="C174" s="2" t="s">
        <v>290</v>
      </c>
      <c r="D174" s="2"/>
      <c r="E174" s="2">
        <v>188647</v>
      </c>
      <c r="F174" s="2">
        <v>3768903</v>
      </c>
      <c r="G174" s="2" t="s">
        <v>1759</v>
      </c>
      <c r="H174" s="2" t="s">
        <v>962</v>
      </c>
      <c r="I174" s="2"/>
      <c r="J174" s="2" t="s">
        <v>1003</v>
      </c>
      <c r="K174" s="2" t="s">
        <v>239</v>
      </c>
      <c r="L174" s="2"/>
      <c r="M174" s="2"/>
      <c r="N174" s="2" t="s">
        <v>1895</v>
      </c>
      <c r="O174" s="2"/>
      <c r="P174" s="557" t="str">
        <f>CONCATENATE(schedule13[[#This Row],[OD]],"-",schedule13[[#This Row],[ID]],"-",schedule13[[#This Row],[TICKNESS]],"-",schedule13[[#This Row],[GRADE]],"-",schedule13[[#This Row],[FC/NFC]])</f>
        <v>60.3-0-2-ERW 1-FC</v>
      </c>
      <c r="Q174" s="557" t="str">
        <f>_xlfn.CONCAT(schedule13[[#This Row],[Bucket]],"-",schedule13[[#This Row],[LENGTH]]/1000)</f>
        <v>60.3-0-2-ERW 1-FC-0.525</v>
      </c>
      <c r="R174" s="557">
        <f>COUNTIF(buckets[CTL Bucket],schedule13[[#This Row],[CTL Bucket]])</f>
        <v>1</v>
      </c>
      <c r="S174" s="1">
        <v>60.3</v>
      </c>
      <c r="T174" s="1">
        <v>60.3</v>
      </c>
      <c r="U174" s="1">
        <v>0</v>
      </c>
      <c r="V174" s="1">
        <v>2</v>
      </c>
      <c r="W174" s="24">
        <v>525</v>
      </c>
      <c r="X174" s="22" t="s">
        <v>397</v>
      </c>
      <c r="Y174" s="2">
        <v>6000</v>
      </c>
      <c r="Z174" s="2"/>
      <c r="AA174" s="4">
        <f t="shared" si="29"/>
        <v>6000</v>
      </c>
      <c r="AB174" s="1">
        <f t="shared" si="35"/>
        <v>9.0548003700000006</v>
      </c>
      <c r="AC174" s="1">
        <f t="shared" si="34"/>
        <v>0</v>
      </c>
      <c r="AD174" s="1">
        <f t="shared" si="31"/>
        <v>9.0548003700000006</v>
      </c>
      <c r="AE174" s="1"/>
      <c r="AF174" s="1"/>
      <c r="AG174" s="1"/>
      <c r="AH174" s="1">
        <f t="shared" si="32"/>
        <v>11.558608356000001</v>
      </c>
      <c r="AI174" s="118">
        <f t="shared" si="33"/>
        <v>0</v>
      </c>
    </row>
    <row r="175" spans="1:35" hidden="1" x14ac:dyDescent="0.25">
      <c r="A175" s="30">
        <v>286</v>
      </c>
      <c r="B175" s="5" t="s">
        <v>1816</v>
      </c>
      <c r="C175" s="2" t="s">
        <v>290</v>
      </c>
      <c r="D175" s="2"/>
      <c r="E175" s="2">
        <v>188647</v>
      </c>
      <c r="F175" s="2">
        <v>3768906</v>
      </c>
      <c r="G175" s="2" t="s">
        <v>1957</v>
      </c>
      <c r="H175" s="2" t="s">
        <v>962</v>
      </c>
      <c r="I175" s="2"/>
      <c r="J175" s="2" t="s">
        <v>1003</v>
      </c>
      <c r="K175" s="2" t="s">
        <v>239</v>
      </c>
      <c r="L175" s="2"/>
      <c r="M175" s="2"/>
      <c r="N175" s="2" t="s">
        <v>1895</v>
      </c>
      <c r="O175" s="2"/>
      <c r="P175" s="557" t="str">
        <f>CONCATENATE(schedule13[[#This Row],[OD]],"-",schedule13[[#This Row],[ID]],"-",schedule13[[#This Row],[TICKNESS]],"-",schedule13[[#This Row],[GRADE]],"-",schedule13[[#This Row],[FC/NFC]])</f>
        <v>57.15-0-2.5-ERW 1-FC</v>
      </c>
      <c r="Q175" s="557" t="str">
        <f>_xlfn.CONCAT(schedule13[[#This Row],[Bucket]],"-",schedule13[[#This Row],[LENGTH]]/1000)</f>
        <v>57.15-0-2.5-ERW 1-FC-0.346</v>
      </c>
      <c r="R175" s="557"/>
      <c r="S175" s="1">
        <v>57.15</v>
      </c>
      <c r="T175" s="1">
        <v>57.15</v>
      </c>
      <c r="U175" s="1">
        <v>0</v>
      </c>
      <c r="V175" s="1">
        <v>2.5</v>
      </c>
      <c r="W175" s="24">
        <v>346</v>
      </c>
      <c r="X175" s="24" t="s">
        <v>397</v>
      </c>
      <c r="Y175" s="2">
        <v>0</v>
      </c>
      <c r="Z175" s="2"/>
      <c r="AA175" s="4">
        <f t="shared" si="29"/>
        <v>0</v>
      </c>
      <c r="AB175" s="1">
        <f t="shared" si="35"/>
        <v>0</v>
      </c>
      <c r="AC175" s="1">
        <f t="shared" si="34"/>
        <v>0</v>
      </c>
      <c r="AD175" s="1">
        <f t="shared" si="31"/>
        <v>0</v>
      </c>
      <c r="AE175" s="1"/>
      <c r="AF175" s="1"/>
      <c r="AG175" s="1"/>
      <c r="AH175" s="1">
        <f t="shared" si="32"/>
        <v>9.0548003700000006</v>
      </c>
      <c r="AI175" s="118">
        <f t="shared" si="33"/>
        <v>0</v>
      </c>
    </row>
    <row r="176" spans="1:35" hidden="1" x14ac:dyDescent="0.25">
      <c r="A176" s="30">
        <v>287</v>
      </c>
      <c r="B176" s="5" t="s">
        <v>1816</v>
      </c>
      <c r="C176" s="2" t="s">
        <v>290</v>
      </c>
      <c r="D176" s="2"/>
      <c r="E176" s="2">
        <v>188647</v>
      </c>
      <c r="F176" s="2">
        <v>2440972</v>
      </c>
      <c r="G176" s="2" t="s">
        <v>1747</v>
      </c>
      <c r="H176" s="2" t="s">
        <v>962</v>
      </c>
      <c r="I176" s="2"/>
      <c r="J176" s="2" t="s">
        <v>1003</v>
      </c>
      <c r="K176" s="2" t="s">
        <v>239</v>
      </c>
      <c r="L176" s="2"/>
      <c r="M176" s="2"/>
      <c r="N176" s="2"/>
      <c r="O176" s="2"/>
      <c r="P176" s="557" t="str">
        <f>CONCATENATE(schedule13[[#This Row],[OD]],"-",schedule13[[#This Row],[ID]],"-",schedule13[[#This Row],[TICKNESS]],"-",schedule13[[#This Row],[GRADE]],"-",schedule13[[#This Row],[FC/NFC]])</f>
        <v>57.15-0-2.5-ERW 1-FC</v>
      </c>
      <c r="Q176" s="557"/>
      <c r="R176" s="557"/>
      <c r="S176" s="1">
        <v>57.15</v>
      </c>
      <c r="T176" s="1">
        <v>57.15</v>
      </c>
      <c r="U176" s="1">
        <v>0</v>
      </c>
      <c r="V176" s="1">
        <v>2.5</v>
      </c>
      <c r="W176" s="24">
        <v>375</v>
      </c>
      <c r="X176" s="24"/>
      <c r="Y176" s="2">
        <v>0</v>
      </c>
      <c r="Z176" s="2"/>
      <c r="AA176" s="4">
        <f t="shared" si="29"/>
        <v>0</v>
      </c>
      <c r="AB176" s="1">
        <f t="shared" si="35"/>
        <v>0</v>
      </c>
      <c r="AC176" s="1">
        <f t="shared" si="34"/>
        <v>0</v>
      </c>
      <c r="AD176" s="1">
        <f t="shared" si="31"/>
        <v>0</v>
      </c>
      <c r="AE176" s="1"/>
      <c r="AF176" s="1"/>
      <c r="AG176" s="1"/>
      <c r="AH176" s="1">
        <f t="shared" si="32"/>
        <v>0</v>
      </c>
      <c r="AI176" s="118" t="e">
        <f t="shared" si="33"/>
        <v>#DIV/0!</v>
      </c>
    </row>
    <row r="177" spans="1:35" hidden="1" x14ac:dyDescent="0.25">
      <c r="A177" s="30">
        <v>288</v>
      </c>
      <c r="B177" s="5" t="s">
        <v>1816</v>
      </c>
      <c r="C177" s="2" t="s">
        <v>290</v>
      </c>
      <c r="D177" s="2"/>
      <c r="E177" s="2">
        <v>188647</v>
      </c>
      <c r="F177" s="2">
        <v>3768905</v>
      </c>
      <c r="G177" s="2" t="s">
        <v>1677</v>
      </c>
      <c r="H177" s="2" t="s">
        <v>962</v>
      </c>
      <c r="I177" s="2"/>
      <c r="J177" s="2" t="s">
        <v>1003</v>
      </c>
      <c r="K177" s="2" t="s">
        <v>1867</v>
      </c>
      <c r="L177" s="44" t="s">
        <v>1874</v>
      </c>
      <c r="M177" s="2"/>
      <c r="N177" s="2"/>
      <c r="O177" s="2"/>
      <c r="P177" s="557" t="str">
        <f>CONCATENATE(schedule13[[#This Row],[OD]],"-",schedule13[[#This Row],[ID]],"-",schedule13[[#This Row],[TICKNESS]],"-",schedule13[[#This Row],[GRADE]],"-",schedule13[[#This Row],[FC/NFC]])</f>
        <v>40-25-1.6-ERW 1-FC</v>
      </c>
      <c r="Q177" s="557"/>
      <c r="R177" s="557"/>
      <c r="S177" s="1">
        <v>41.28</v>
      </c>
      <c r="T177" s="1">
        <v>40</v>
      </c>
      <c r="U177" s="1">
        <v>25</v>
      </c>
      <c r="V177" s="1">
        <v>1.6</v>
      </c>
      <c r="W177" s="24">
        <v>322</v>
      </c>
      <c r="X177" s="24"/>
      <c r="Y177" s="2">
        <v>0</v>
      </c>
      <c r="Z177" s="2"/>
      <c r="AA177" s="4">
        <f t="shared" si="29"/>
        <v>0</v>
      </c>
      <c r="AB177" s="1">
        <f t="shared" si="35"/>
        <v>0</v>
      </c>
      <c r="AC177" s="1">
        <f t="shared" si="34"/>
        <v>0</v>
      </c>
      <c r="AD177" s="1">
        <f t="shared" si="31"/>
        <v>0</v>
      </c>
      <c r="AE177" s="1"/>
      <c r="AF177" s="1">
        <v>0.16400000000000001</v>
      </c>
      <c r="AG177" s="1"/>
      <c r="AH177" s="1">
        <f t="shared" si="32"/>
        <v>-0.16400000000000001</v>
      </c>
      <c r="AI177" s="118" t="e">
        <f t="shared" si="33"/>
        <v>#DIV/0!</v>
      </c>
    </row>
    <row r="178" spans="1:35" hidden="1" x14ac:dyDescent="0.25">
      <c r="A178" s="30">
        <v>290</v>
      </c>
      <c r="B178" s="5" t="s">
        <v>1872</v>
      </c>
      <c r="C178" s="2" t="s">
        <v>290</v>
      </c>
      <c r="D178" s="2"/>
      <c r="E178" s="2">
        <v>188647</v>
      </c>
      <c r="F178" s="2">
        <v>3545492</v>
      </c>
      <c r="G178" s="2" t="s">
        <v>1948</v>
      </c>
      <c r="H178" s="2" t="s">
        <v>357</v>
      </c>
      <c r="I178" s="2"/>
      <c r="J178" s="2" t="s">
        <v>357</v>
      </c>
      <c r="K178" s="2"/>
      <c r="L178" s="2"/>
      <c r="M178" s="2"/>
      <c r="N178" s="2"/>
      <c r="O178" s="2"/>
      <c r="P178" s="557" t="str">
        <f>CONCATENATE(schedule13[[#This Row],[OD]],"-",schedule13[[#This Row],[ID]],"-",schedule13[[#This Row],[TICKNESS]],"-",schedule13[[#This Row],[GRADE]],"-",schedule13[[#This Row],[FC/NFC]])</f>
        <v>19-12.5-3.25-CEW-CEW</v>
      </c>
      <c r="Q178" s="557"/>
      <c r="R178" s="557"/>
      <c r="S178" s="1">
        <v>19.05</v>
      </c>
      <c r="T178" s="1">
        <v>19</v>
      </c>
      <c r="U178" s="1">
        <v>12.5</v>
      </c>
      <c r="V178" s="1">
        <v>3.25</v>
      </c>
      <c r="W178" s="24">
        <v>195</v>
      </c>
      <c r="X178" s="24"/>
      <c r="Y178" s="2">
        <v>8000</v>
      </c>
      <c r="Z178" s="2"/>
      <c r="AA178" s="4">
        <f t="shared" si="29"/>
        <v>8000</v>
      </c>
      <c r="AB178" s="1">
        <f t="shared" si="35"/>
        <v>1.974853218</v>
      </c>
      <c r="AC178" s="1">
        <f t="shared" si="34"/>
        <v>0</v>
      </c>
      <c r="AD178" s="1">
        <f t="shared" si="31"/>
        <v>1.974853218</v>
      </c>
      <c r="AE178" s="1"/>
      <c r="AF178" s="1"/>
      <c r="AG178" s="1"/>
      <c r="AH178" s="1"/>
      <c r="AI178" s="118"/>
    </row>
    <row r="179" spans="1:35" hidden="1" x14ac:dyDescent="0.25">
      <c r="A179" s="30">
        <v>291</v>
      </c>
      <c r="B179" s="5" t="s">
        <v>1872</v>
      </c>
      <c r="C179" s="2" t="s">
        <v>290</v>
      </c>
      <c r="D179" s="2"/>
      <c r="E179" s="2">
        <v>188647</v>
      </c>
      <c r="F179" s="2">
        <v>3545493</v>
      </c>
      <c r="G179" s="2" t="s">
        <v>1947</v>
      </c>
      <c r="H179" s="2" t="s">
        <v>357</v>
      </c>
      <c r="I179" s="2"/>
      <c r="J179" s="2" t="s">
        <v>357</v>
      </c>
      <c r="K179" s="2"/>
      <c r="L179" s="2"/>
      <c r="M179" s="2"/>
      <c r="N179" s="2"/>
      <c r="O179" s="2"/>
      <c r="P179" s="557" t="str">
        <f>CONCATENATE(schedule13[[#This Row],[OD]],"-",schedule13[[#This Row],[ID]],"-",schedule13[[#This Row],[TICKNESS]],"-",schedule13[[#This Row],[GRADE]],"-",schedule13[[#This Row],[FC/NFC]])</f>
        <v>19-12.5-3.25-CEW-CEW</v>
      </c>
      <c r="Q179" s="557"/>
      <c r="R179" s="557"/>
      <c r="S179" s="1">
        <v>19.05</v>
      </c>
      <c r="T179" s="1">
        <v>19</v>
      </c>
      <c r="U179" s="1">
        <v>12.5</v>
      </c>
      <c r="V179" s="1">
        <v>3.25</v>
      </c>
      <c r="W179" s="24">
        <v>180</v>
      </c>
      <c r="X179" s="24"/>
      <c r="Y179" s="2">
        <v>5000</v>
      </c>
      <c r="Z179" s="2"/>
      <c r="AA179" s="4">
        <f t="shared" si="29"/>
        <v>5000</v>
      </c>
      <c r="AB179" s="1">
        <f t="shared" si="35"/>
        <v>1.139338395</v>
      </c>
      <c r="AC179" s="1">
        <f t="shared" si="34"/>
        <v>0</v>
      </c>
      <c r="AD179" s="1">
        <f t="shared" si="31"/>
        <v>1.139338395</v>
      </c>
      <c r="AE179" s="1"/>
      <c r="AF179" s="1">
        <v>6.5073999999999993E-2</v>
      </c>
      <c r="AG179" s="1"/>
      <c r="AH179" s="1">
        <f t="shared" ref="AH179:AH192" si="36">AB178-AF179</f>
        <v>1.9097792179999999</v>
      </c>
      <c r="AI179" s="118">
        <f>(AC179+AF179)/AB178</f>
        <v>3.2951309700830635E-2</v>
      </c>
    </row>
    <row r="180" spans="1:35" hidden="1" x14ac:dyDescent="0.25">
      <c r="A180" s="30">
        <v>292</v>
      </c>
      <c r="B180" s="5" t="s">
        <v>1816</v>
      </c>
      <c r="C180" s="2" t="s">
        <v>290</v>
      </c>
      <c r="D180" s="2"/>
      <c r="E180" s="2">
        <v>188647</v>
      </c>
      <c r="F180" s="2">
        <v>3732180</v>
      </c>
      <c r="G180" s="2" t="s">
        <v>1566</v>
      </c>
      <c r="H180" s="2" t="s">
        <v>962</v>
      </c>
      <c r="I180" s="2"/>
      <c r="J180" s="2" t="s">
        <v>1003</v>
      </c>
      <c r="K180" s="2" t="s">
        <v>1867</v>
      </c>
      <c r="L180" s="44" t="s">
        <v>1952</v>
      </c>
      <c r="M180" s="2"/>
      <c r="N180" s="2"/>
      <c r="O180" s="2"/>
      <c r="P180" s="557" t="str">
        <f>CONCATENATE(schedule13[[#This Row],[OD]],"-",schedule13[[#This Row],[ID]],"-",schedule13[[#This Row],[TICKNESS]],"-",schedule13[[#This Row],[GRADE]],"-",schedule13[[#This Row],[FC/NFC]])</f>
        <v>25.4-0-1.6-ERW 1-FC</v>
      </c>
      <c r="Q180" s="557"/>
      <c r="R180" s="557"/>
      <c r="S180" s="1">
        <v>25.4</v>
      </c>
      <c r="T180" s="1">
        <v>25.4</v>
      </c>
      <c r="U180" s="1">
        <v>0</v>
      </c>
      <c r="V180" s="1">
        <v>1.6</v>
      </c>
      <c r="W180" s="24">
        <v>208</v>
      </c>
      <c r="X180" s="24"/>
      <c r="Y180" s="2">
        <v>0</v>
      </c>
      <c r="Z180" s="2"/>
      <c r="AA180" s="4">
        <f t="shared" si="29"/>
        <v>0</v>
      </c>
      <c r="AB180" s="1">
        <f t="shared" si="35"/>
        <v>0</v>
      </c>
      <c r="AC180" s="1">
        <f t="shared" si="34"/>
        <v>0</v>
      </c>
      <c r="AD180" s="1">
        <f t="shared" si="31"/>
        <v>0</v>
      </c>
      <c r="AE180" s="1"/>
      <c r="AF180" s="1"/>
      <c r="AG180" s="1"/>
      <c r="AH180" s="1">
        <f t="shared" si="36"/>
        <v>1.139338395</v>
      </c>
      <c r="AI180" s="118"/>
    </row>
    <row r="181" spans="1:35" hidden="1" x14ac:dyDescent="0.25">
      <c r="A181" s="30">
        <v>293</v>
      </c>
      <c r="B181" s="5" t="s">
        <v>1816</v>
      </c>
      <c r="C181" s="2" t="s">
        <v>290</v>
      </c>
      <c r="D181" s="2"/>
      <c r="E181" s="2">
        <v>188647</v>
      </c>
      <c r="F181" s="2">
        <v>3768902</v>
      </c>
      <c r="G181" s="2" t="s">
        <v>1955</v>
      </c>
      <c r="H181" s="2" t="s">
        <v>962</v>
      </c>
      <c r="I181" s="2"/>
      <c r="J181" s="2"/>
      <c r="K181" s="2" t="s">
        <v>239</v>
      </c>
      <c r="L181" s="2"/>
      <c r="M181" s="2"/>
      <c r="N181" s="2"/>
      <c r="O181" s="2"/>
      <c r="P181" s="557" t="str">
        <f>CONCATENATE(schedule13[[#This Row],[OD]],"-",schedule13[[#This Row],[ID]],"-",schedule13[[#This Row],[TICKNESS]],"-",schedule13[[#This Row],[GRADE]],"-",schedule13[[#This Row],[FC/NFC]])</f>
        <v>38.1-0-2-ERW 1-</v>
      </c>
      <c r="Q181" s="557"/>
      <c r="R181" s="557"/>
      <c r="S181" s="1">
        <v>38.1</v>
      </c>
      <c r="T181" s="1">
        <v>38.1</v>
      </c>
      <c r="U181" s="1">
        <v>0</v>
      </c>
      <c r="V181" s="1">
        <v>2</v>
      </c>
      <c r="W181" s="24">
        <v>276.5</v>
      </c>
      <c r="X181" s="24"/>
      <c r="Y181" s="2">
        <v>0</v>
      </c>
      <c r="Z181" s="2"/>
      <c r="AA181" s="4">
        <f t="shared" si="29"/>
        <v>0</v>
      </c>
      <c r="AB181" s="1">
        <f t="shared" si="35"/>
        <v>0</v>
      </c>
      <c r="AC181" s="1">
        <f t="shared" si="34"/>
        <v>0</v>
      </c>
      <c r="AD181" s="1">
        <f t="shared" si="31"/>
        <v>0</v>
      </c>
      <c r="AE181" s="1"/>
      <c r="AF181" s="1">
        <v>2.1890000000000001</v>
      </c>
      <c r="AG181" s="1"/>
      <c r="AH181" s="1">
        <f t="shared" si="36"/>
        <v>-2.1890000000000001</v>
      </c>
      <c r="AI181" s="118" t="e">
        <f t="shared" ref="AI181:AI192" si="37">(AC181+AF181)/AB180</f>
        <v>#DIV/0!</v>
      </c>
    </row>
    <row r="182" spans="1:35" hidden="1" x14ac:dyDescent="0.25">
      <c r="A182" s="30">
        <v>294</v>
      </c>
      <c r="B182" s="5" t="s">
        <v>1816</v>
      </c>
      <c r="C182" s="2" t="s">
        <v>290</v>
      </c>
      <c r="D182" s="2"/>
      <c r="E182" s="2">
        <v>188647</v>
      </c>
      <c r="F182" s="2"/>
      <c r="G182" s="2"/>
      <c r="H182" s="2" t="s">
        <v>962</v>
      </c>
      <c r="I182" s="2"/>
      <c r="J182" s="2"/>
      <c r="K182" s="2" t="s">
        <v>1867</v>
      </c>
      <c r="L182" s="2"/>
      <c r="M182" s="2"/>
      <c r="N182" s="2"/>
      <c r="O182" s="2"/>
      <c r="P182" s="557" t="str">
        <f>CONCATENATE(schedule13[[#This Row],[OD]],"-",schedule13[[#This Row],[ID]],"-",schedule13[[#This Row],[TICKNESS]],"-",schedule13[[#This Row],[GRADE]],"-",schedule13[[#This Row],[FC/NFC]])</f>
        <v>28.58-0-1.6-ERW 1-</v>
      </c>
      <c r="Q182" s="557"/>
      <c r="R182" s="557"/>
      <c r="S182" s="1">
        <v>28.58</v>
      </c>
      <c r="T182" s="1">
        <v>28.58</v>
      </c>
      <c r="U182" s="6">
        <v>0</v>
      </c>
      <c r="V182" s="1">
        <v>1.6</v>
      </c>
      <c r="W182" s="24">
        <v>6000</v>
      </c>
      <c r="X182" s="24"/>
      <c r="Y182" s="2">
        <v>0</v>
      </c>
      <c r="Z182" s="2"/>
      <c r="AA182" s="4">
        <f t="shared" si="29"/>
        <v>0</v>
      </c>
      <c r="AB182" s="1">
        <f t="shared" si="35"/>
        <v>0</v>
      </c>
      <c r="AC182" s="1">
        <f t="shared" si="34"/>
        <v>0</v>
      </c>
      <c r="AD182" s="1">
        <f t="shared" si="31"/>
        <v>0</v>
      </c>
      <c r="AE182" s="1"/>
      <c r="AF182" s="1"/>
      <c r="AG182" s="1"/>
      <c r="AH182" s="1">
        <f t="shared" si="36"/>
        <v>0</v>
      </c>
      <c r="AI182" s="118" t="e">
        <f t="shared" si="37"/>
        <v>#DIV/0!</v>
      </c>
    </row>
    <row r="183" spans="1:35" hidden="1" x14ac:dyDescent="0.25">
      <c r="A183" s="30">
        <v>389</v>
      </c>
      <c r="B183" s="5" t="s">
        <v>1872</v>
      </c>
      <c r="C183" s="2" t="s">
        <v>290</v>
      </c>
      <c r="D183" s="2"/>
      <c r="E183" s="2">
        <v>188647</v>
      </c>
      <c r="F183" s="2">
        <v>2426233</v>
      </c>
      <c r="G183" s="2" t="s">
        <v>1951</v>
      </c>
      <c r="H183" s="2" t="s">
        <v>357</v>
      </c>
      <c r="I183" s="2" t="s">
        <v>1894</v>
      </c>
      <c r="J183" s="2"/>
      <c r="K183" s="2" t="s">
        <v>239</v>
      </c>
      <c r="L183" s="2"/>
      <c r="M183" s="2"/>
      <c r="N183" s="2"/>
      <c r="O183" s="2"/>
      <c r="P183" s="557" t="str">
        <f>CONCATENATE(schedule13[[#This Row],[OD]],"-",schedule13[[#This Row],[ID]],"-",schedule13[[#This Row],[TICKNESS]],"-",schedule13[[#This Row],[GRADE]],"-",schedule13[[#This Row],[FC/NFC]])</f>
        <v>42.7-0-4-CEW-</v>
      </c>
      <c r="Q183" s="557"/>
      <c r="R183" s="557"/>
      <c r="S183" s="1">
        <v>42.7</v>
      </c>
      <c r="T183" s="1">
        <v>42.7</v>
      </c>
      <c r="U183" s="1">
        <v>0</v>
      </c>
      <c r="V183" s="1">
        <v>4</v>
      </c>
      <c r="W183" s="23">
        <v>5730</v>
      </c>
      <c r="X183" s="23"/>
      <c r="Y183" s="2">
        <v>0</v>
      </c>
      <c r="Z183" s="2"/>
      <c r="AA183" s="4">
        <f t="shared" si="29"/>
        <v>0</v>
      </c>
      <c r="AB183" s="1">
        <f t="shared" si="35"/>
        <v>0</v>
      </c>
      <c r="AC183" s="1">
        <f t="shared" si="34"/>
        <v>0</v>
      </c>
      <c r="AD183" s="1">
        <f t="shared" si="31"/>
        <v>0</v>
      </c>
      <c r="AE183" s="1"/>
      <c r="AF183" s="1">
        <v>4.7758499999999993</v>
      </c>
      <c r="AG183" s="1"/>
      <c r="AH183" s="1">
        <f t="shared" si="36"/>
        <v>-4.7758499999999993</v>
      </c>
      <c r="AI183" s="118" t="e">
        <f t="shared" si="37"/>
        <v>#DIV/0!</v>
      </c>
    </row>
    <row r="184" spans="1:35" hidden="1" x14ac:dyDescent="0.25">
      <c r="A184" s="30">
        <v>390</v>
      </c>
      <c r="B184" s="5" t="s">
        <v>1872</v>
      </c>
      <c r="C184" s="2" t="s">
        <v>290</v>
      </c>
      <c r="D184" s="2"/>
      <c r="E184" s="2">
        <v>188647</v>
      </c>
      <c r="F184" s="2">
        <v>2396465</v>
      </c>
      <c r="G184" s="2" t="s">
        <v>1950</v>
      </c>
      <c r="H184" s="2" t="s">
        <v>357</v>
      </c>
      <c r="I184" s="2" t="s">
        <v>1894</v>
      </c>
      <c r="J184" s="2"/>
      <c r="K184" s="2" t="s">
        <v>239</v>
      </c>
      <c r="L184" s="2"/>
      <c r="M184" s="2"/>
      <c r="N184" s="2"/>
      <c r="O184" s="2"/>
      <c r="P184" s="557" t="str">
        <f>CONCATENATE(schedule13[[#This Row],[OD]],"-",schedule13[[#This Row],[ID]],"-",schedule13[[#This Row],[TICKNESS]],"-",schedule13[[#This Row],[GRADE]],"-",schedule13[[#This Row],[FC/NFC]])</f>
        <v>42.7-0-3.5-CEW-</v>
      </c>
      <c r="Q184" s="557"/>
      <c r="R184" s="557"/>
      <c r="S184" s="1">
        <v>42.7</v>
      </c>
      <c r="T184" s="1">
        <v>42.7</v>
      </c>
      <c r="U184" s="1">
        <v>0</v>
      </c>
      <c r="V184" s="1">
        <v>3.5</v>
      </c>
      <c r="W184" s="23">
        <v>6000</v>
      </c>
      <c r="X184" s="23"/>
      <c r="Y184" s="2">
        <v>0</v>
      </c>
      <c r="Z184" s="2"/>
      <c r="AA184" s="4">
        <f t="shared" si="29"/>
        <v>0</v>
      </c>
      <c r="AB184" s="1">
        <f t="shared" si="35"/>
        <v>0</v>
      </c>
      <c r="AC184" s="1">
        <f t="shared" si="34"/>
        <v>0</v>
      </c>
      <c r="AD184" s="1">
        <f t="shared" si="31"/>
        <v>0</v>
      </c>
      <c r="AE184" s="1"/>
      <c r="AF184" s="1">
        <v>4.5201260000000003</v>
      </c>
      <c r="AG184" s="1"/>
      <c r="AH184" s="1">
        <f t="shared" si="36"/>
        <v>-4.5201260000000003</v>
      </c>
      <c r="AI184" s="118" t="e">
        <f t="shared" si="37"/>
        <v>#DIV/0!</v>
      </c>
    </row>
    <row r="185" spans="1:35" hidden="1" x14ac:dyDescent="0.25">
      <c r="A185" s="30">
        <v>295</v>
      </c>
      <c r="B185" s="5" t="s">
        <v>1872</v>
      </c>
      <c r="C185" s="2" t="s">
        <v>71</v>
      </c>
      <c r="D185" s="2"/>
      <c r="E185" s="2">
        <v>187546</v>
      </c>
      <c r="F185" s="2">
        <v>1941303</v>
      </c>
      <c r="G185" s="2" t="s">
        <v>1590</v>
      </c>
      <c r="H185" s="2" t="s">
        <v>1023</v>
      </c>
      <c r="I185" s="2"/>
      <c r="J185" s="2" t="s">
        <v>357</v>
      </c>
      <c r="K185" s="2" t="s">
        <v>239</v>
      </c>
      <c r="L185" s="2"/>
      <c r="M185" s="2" t="s">
        <v>1516</v>
      </c>
      <c r="N185" s="2"/>
      <c r="O185" s="2"/>
      <c r="P185" s="557" t="str">
        <f>CONCATENATE(schedule13[[#This Row],[OD]],"-",schedule13[[#This Row],[ID]],"-",schedule13[[#This Row],[TICKNESS]],"-",schedule13[[#This Row],[GRADE]],"-",schedule13[[#This Row],[FC/NFC]])</f>
        <v>29.4-20.4-4.5-CEW STKM 13C-CEW</v>
      </c>
      <c r="Q185" s="557" t="str">
        <f>_xlfn.CONCAT(schedule13[[#This Row],[Bucket]],"-",schedule13[[#This Row],[LENGTH]]/1000)</f>
        <v>29.4-20.4-4.5-CEW STKM 13C-CEW-0.361</v>
      </c>
      <c r="R185" s="557">
        <f>COUNTIF(buckets[CTL Bucket],schedule13[[#This Row],[CTL Bucket]])</f>
        <v>2</v>
      </c>
      <c r="S185" s="1">
        <v>29.4</v>
      </c>
      <c r="T185" s="1">
        <v>29.4</v>
      </c>
      <c r="U185" s="1">
        <v>20.399999999999999</v>
      </c>
      <c r="V185" s="1">
        <v>4.5</v>
      </c>
      <c r="W185" s="24">
        <v>361</v>
      </c>
      <c r="X185" s="22" t="s">
        <v>397</v>
      </c>
      <c r="Y185" s="2">
        <v>10000</v>
      </c>
      <c r="Z185" s="2"/>
      <c r="AA185" s="4">
        <f t="shared" si="29"/>
        <v>10000</v>
      </c>
      <c r="AB185" s="1">
        <f t="shared" si="35"/>
        <v>9.9721508265000001</v>
      </c>
      <c r="AC185" s="1">
        <f t="shared" si="34"/>
        <v>0</v>
      </c>
      <c r="AD185" s="1">
        <f t="shared" si="31"/>
        <v>9.9721508265000001</v>
      </c>
      <c r="AE185" s="1"/>
      <c r="AF185" s="1"/>
      <c r="AG185" s="1"/>
      <c r="AH185" s="1">
        <f t="shared" si="36"/>
        <v>0</v>
      </c>
      <c r="AI185" s="118" t="e">
        <f t="shared" si="37"/>
        <v>#DIV/0!</v>
      </c>
    </row>
    <row r="186" spans="1:35" hidden="1" x14ac:dyDescent="0.25">
      <c r="A186" s="30">
        <v>296</v>
      </c>
      <c r="B186" s="5" t="s">
        <v>1872</v>
      </c>
      <c r="C186" s="2" t="s">
        <v>71</v>
      </c>
      <c r="D186" s="2"/>
      <c r="E186" s="2">
        <v>187546</v>
      </c>
      <c r="F186" s="2">
        <v>2418610</v>
      </c>
      <c r="G186" s="2" t="s">
        <v>6560</v>
      </c>
      <c r="H186" s="2" t="s">
        <v>357</v>
      </c>
      <c r="I186" s="2"/>
      <c r="J186" s="2" t="s">
        <v>357</v>
      </c>
      <c r="K186" s="2"/>
      <c r="L186" s="2"/>
      <c r="M186" s="2"/>
      <c r="N186" s="2"/>
      <c r="O186" s="2"/>
      <c r="P186" s="557" t="str">
        <f>CONCATENATE(schedule13[[#This Row],[OD]],"-",schedule13[[#This Row],[ID]],"-",schedule13[[#This Row],[TICKNESS]],"-",schedule13[[#This Row],[GRADE]],"-",schedule13[[#This Row],[FC/NFC]])</f>
        <v>25.4-18.4-3.5-CEW-CEW</v>
      </c>
      <c r="Q186" s="557"/>
      <c r="R186" s="557"/>
      <c r="S186" s="1">
        <v>25.4</v>
      </c>
      <c r="T186" s="1">
        <v>25.4</v>
      </c>
      <c r="U186" s="1">
        <v>18.399999999999999</v>
      </c>
      <c r="V186" s="1">
        <v>3.5</v>
      </c>
      <c r="W186" s="24">
        <v>247</v>
      </c>
      <c r="X186" s="24"/>
      <c r="Y186" s="2">
        <v>34000</v>
      </c>
      <c r="Z186" s="2"/>
      <c r="AA186" s="4">
        <f t="shared" si="29"/>
        <v>34000</v>
      </c>
      <c r="AB186" s="1">
        <f t="shared" si="35"/>
        <v>15.8693012751</v>
      </c>
      <c r="AC186" s="1">
        <f t="shared" si="34"/>
        <v>0</v>
      </c>
      <c r="AD186" s="1">
        <f t="shared" si="31"/>
        <v>15.8693012751</v>
      </c>
      <c r="AE186" s="1"/>
      <c r="AF186" s="1">
        <v>1.6414340000000001</v>
      </c>
      <c r="AG186" s="1"/>
      <c r="AH186" s="1">
        <f t="shared" si="36"/>
        <v>8.3307168264999998</v>
      </c>
      <c r="AI186" s="118">
        <f t="shared" si="37"/>
        <v>0.16460180241538788</v>
      </c>
    </row>
    <row r="187" spans="1:35" hidden="1" x14ac:dyDescent="0.25">
      <c r="A187" s="30">
        <v>297</v>
      </c>
      <c r="B187" s="5" t="s">
        <v>1872</v>
      </c>
      <c r="C187" s="2" t="s">
        <v>71</v>
      </c>
      <c r="D187" s="2"/>
      <c r="E187" s="2">
        <v>187546</v>
      </c>
      <c r="F187" s="2">
        <v>2418610</v>
      </c>
      <c r="G187" s="2" t="s">
        <v>1965</v>
      </c>
      <c r="H187" s="2" t="s">
        <v>357</v>
      </c>
      <c r="I187" s="2"/>
      <c r="J187" s="2" t="s">
        <v>357</v>
      </c>
      <c r="K187" s="2"/>
      <c r="L187" s="2"/>
      <c r="M187" s="2"/>
      <c r="N187" s="2"/>
      <c r="O187" s="2"/>
      <c r="P187" s="557" t="str">
        <f>CONCATENATE(schedule13[[#This Row],[OD]],"-",schedule13[[#This Row],[ID]],"-",schedule13[[#This Row],[TICKNESS]],"-",schedule13[[#This Row],[GRADE]],"-",schedule13[[#This Row],[FC/NFC]])</f>
        <v>25.4-18.4-3.5-CEW-CEW</v>
      </c>
      <c r="Q187" s="557"/>
      <c r="R187" s="557"/>
      <c r="S187" s="1">
        <v>25.4</v>
      </c>
      <c r="T187" s="1">
        <v>25.4</v>
      </c>
      <c r="U187" s="1">
        <v>18.399999999999999</v>
      </c>
      <c r="V187" s="1">
        <v>3.5</v>
      </c>
      <c r="W187" s="24">
        <v>263</v>
      </c>
      <c r="X187" s="24"/>
      <c r="Y187" s="2">
        <v>20000</v>
      </c>
      <c r="Z187" s="2"/>
      <c r="AA187" s="4">
        <f t="shared" si="29"/>
        <v>20000</v>
      </c>
      <c r="AB187" s="1">
        <f t="shared" si="35"/>
        <v>9.9395718869999996</v>
      </c>
      <c r="AC187" s="1">
        <f t="shared" si="34"/>
        <v>0</v>
      </c>
      <c r="AD187" s="1">
        <f t="shared" si="31"/>
        <v>9.9395718869999996</v>
      </c>
      <c r="AE187" s="1"/>
      <c r="AF187" s="1">
        <v>6.4062329999999994</v>
      </c>
      <c r="AG187" s="1"/>
      <c r="AH187" s="1">
        <f t="shared" si="36"/>
        <v>9.4630682750999995</v>
      </c>
      <c r="AI187" s="118">
        <f t="shared" si="37"/>
        <v>0.40368714973303893</v>
      </c>
    </row>
    <row r="188" spans="1:35" hidden="1" x14ac:dyDescent="0.25">
      <c r="A188" s="30">
        <v>391</v>
      </c>
      <c r="B188" s="5" t="s">
        <v>1872</v>
      </c>
      <c r="C188" s="2" t="s">
        <v>71</v>
      </c>
      <c r="D188" s="2"/>
      <c r="E188" s="2">
        <v>187546</v>
      </c>
      <c r="F188" s="2">
        <v>3190072</v>
      </c>
      <c r="G188" s="2" t="s">
        <v>1588</v>
      </c>
      <c r="H188" s="2" t="s">
        <v>357</v>
      </c>
      <c r="I188" s="2"/>
      <c r="J188" s="2" t="s">
        <v>357</v>
      </c>
      <c r="K188" s="2" t="s">
        <v>239</v>
      </c>
      <c r="L188" s="2"/>
      <c r="M188" s="2" t="s">
        <v>1516</v>
      </c>
      <c r="N188" s="2"/>
      <c r="O188" s="2"/>
      <c r="P188" s="557" t="str">
        <f>CONCATENATE(schedule13[[#This Row],[OD]],"-",schedule13[[#This Row],[ID]],"-",schedule13[[#This Row],[TICKNESS]],"-",schedule13[[#This Row],[GRADE]],"-",schedule13[[#This Row],[FC/NFC]])</f>
        <v>29.4-20.4-4.5-CEW-CEW</v>
      </c>
      <c r="Q188" s="557" t="str">
        <f>_xlfn.CONCAT(schedule13[[#This Row],[Bucket]],"-",schedule13[[#This Row],[LENGTH]]/1000)</f>
        <v>29.4-20.4-4.5-CEW-CEW-0.357</v>
      </c>
      <c r="R188" s="557">
        <f>COUNTIF(buckets[CTL Bucket],schedule13[[#This Row],[CTL Bucket]])</f>
        <v>1</v>
      </c>
      <c r="S188" s="1">
        <v>29.4</v>
      </c>
      <c r="T188" s="1">
        <v>29.4</v>
      </c>
      <c r="U188" s="1">
        <v>20.399999999999999</v>
      </c>
      <c r="V188" s="1">
        <v>4.5</v>
      </c>
      <c r="W188" s="23">
        <v>357</v>
      </c>
      <c r="X188" s="22" t="s">
        <v>397</v>
      </c>
      <c r="Y188" s="2">
        <v>20000</v>
      </c>
      <c r="Z188" s="2"/>
      <c r="AA188" s="4">
        <f t="shared" si="29"/>
        <v>20000</v>
      </c>
      <c r="AB188" s="1">
        <f t="shared" si="35"/>
        <v>19.723312161000003</v>
      </c>
      <c r="AC188" s="1">
        <f t="shared" si="34"/>
        <v>0</v>
      </c>
      <c r="AD188" s="1">
        <f t="shared" si="31"/>
        <v>19.723312161000003</v>
      </c>
      <c r="AE188" s="1"/>
      <c r="AF188" s="1">
        <v>42.531999999999996</v>
      </c>
      <c r="AG188" s="1"/>
      <c r="AH188" s="1">
        <f t="shared" si="36"/>
        <v>-32.592428112999997</v>
      </c>
      <c r="AI188" s="118">
        <f t="shared" si="37"/>
        <v>4.27905753723938</v>
      </c>
    </row>
    <row r="189" spans="1:35" hidden="1" x14ac:dyDescent="0.25">
      <c r="A189" s="30">
        <v>392</v>
      </c>
      <c r="B189" s="5" t="s">
        <v>1872</v>
      </c>
      <c r="C189" s="2" t="s">
        <v>71</v>
      </c>
      <c r="D189" s="2"/>
      <c r="E189" s="2">
        <v>187546</v>
      </c>
      <c r="F189" s="2">
        <v>1938483</v>
      </c>
      <c r="G189" s="2" t="s">
        <v>1963</v>
      </c>
      <c r="H189" s="2" t="s">
        <v>357</v>
      </c>
      <c r="I189" s="2"/>
      <c r="J189" s="2"/>
      <c r="K189" s="2" t="s">
        <v>239</v>
      </c>
      <c r="L189" s="2"/>
      <c r="M189" s="2"/>
      <c r="N189" s="2"/>
      <c r="O189" s="2"/>
      <c r="P189" s="557" t="str">
        <f>CONCATENATE(schedule13[[#This Row],[OD]],"-",schedule13[[#This Row],[ID]],"-",schedule13[[#This Row],[TICKNESS]],"-",schedule13[[#This Row],[GRADE]],"-",schedule13[[#This Row],[FC/NFC]])</f>
        <v>26-18-4-CEW-</v>
      </c>
      <c r="Q189" s="557"/>
      <c r="R189" s="557"/>
      <c r="S189" s="1">
        <v>18</v>
      </c>
      <c r="T189" s="1">
        <v>26</v>
      </c>
      <c r="U189" s="1">
        <v>18</v>
      </c>
      <c r="V189" s="1">
        <v>4</v>
      </c>
      <c r="W189" s="23">
        <v>3700</v>
      </c>
      <c r="X189" s="23"/>
      <c r="Y189" s="2">
        <v>0</v>
      </c>
      <c r="Z189" s="2"/>
      <c r="AA189" s="4">
        <f t="shared" si="29"/>
        <v>0</v>
      </c>
      <c r="AB189" s="1">
        <f t="shared" si="35"/>
        <v>0</v>
      </c>
      <c r="AC189" s="1">
        <f t="shared" si="34"/>
        <v>0</v>
      </c>
      <c r="AD189" s="1">
        <f t="shared" si="31"/>
        <v>0</v>
      </c>
      <c r="AE189" s="1"/>
      <c r="AF189" s="1">
        <v>0.7964</v>
      </c>
      <c r="AG189" s="1"/>
      <c r="AH189" s="1">
        <f t="shared" si="36"/>
        <v>18.926912161000004</v>
      </c>
      <c r="AI189" s="118">
        <f t="shared" si="37"/>
        <v>4.0378613566476214E-2</v>
      </c>
    </row>
    <row r="190" spans="1:35" hidden="1" x14ac:dyDescent="0.25">
      <c r="A190" s="30">
        <v>393</v>
      </c>
      <c r="B190" s="5" t="s">
        <v>1872</v>
      </c>
      <c r="C190" s="2" t="s">
        <v>71</v>
      </c>
      <c r="D190" s="2"/>
      <c r="E190" s="2">
        <v>187546</v>
      </c>
      <c r="F190" s="2">
        <v>2426241</v>
      </c>
      <c r="G190" s="2" t="s">
        <v>1966</v>
      </c>
      <c r="H190" s="2" t="s">
        <v>357</v>
      </c>
      <c r="I190" s="2"/>
      <c r="J190" s="2"/>
      <c r="K190" s="2" t="s">
        <v>239</v>
      </c>
      <c r="L190" s="2"/>
      <c r="M190" s="2"/>
      <c r="N190" s="2"/>
      <c r="O190" s="2"/>
      <c r="P190" s="557" t="str">
        <f>CONCATENATE(schedule13[[#This Row],[OD]],"-",schedule13[[#This Row],[ID]],"-",schedule13[[#This Row],[TICKNESS]],"-",schedule13[[#This Row],[GRADE]],"-",schedule13[[#This Row],[FC/NFC]])</f>
        <v>25.6-16.6-4.5-CEW-</v>
      </c>
      <c r="Q190" s="557"/>
      <c r="R190" s="557"/>
      <c r="S190" s="1">
        <v>25.6</v>
      </c>
      <c r="T190" s="1">
        <v>25.6</v>
      </c>
      <c r="U190" s="1">
        <v>16.600000000000001</v>
      </c>
      <c r="V190" s="1">
        <v>4.5</v>
      </c>
      <c r="W190" s="23">
        <v>4200</v>
      </c>
      <c r="X190" s="23"/>
      <c r="Y190" s="2">
        <v>0</v>
      </c>
      <c r="Z190" s="2"/>
      <c r="AA190" s="4">
        <f t="shared" si="29"/>
        <v>0</v>
      </c>
      <c r="AB190" s="1">
        <f t="shared" si="35"/>
        <v>0</v>
      </c>
      <c r="AC190" s="1">
        <f t="shared" si="34"/>
        <v>0</v>
      </c>
      <c r="AD190" s="1">
        <f t="shared" si="31"/>
        <v>0</v>
      </c>
      <c r="AE190" s="1"/>
      <c r="AF190" s="1"/>
      <c r="AG190" s="1"/>
      <c r="AH190" s="1">
        <f t="shared" si="36"/>
        <v>0</v>
      </c>
      <c r="AI190" s="118" t="e">
        <f t="shared" si="37"/>
        <v>#DIV/0!</v>
      </c>
    </row>
    <row r="191" spans="1:35" hidden="1" x14ac:dyDescent="0.25">
      <c r="A191" s="30">
        <v>394</v>
      </c>
      <c r="B191" s="5" t="s">
        <v>1872</v>
      </c>
      <c r="C191" s="2" t="s">
        <v>71</v>
      </c>
      <c r="D191" s="2"/>
      <c r="E191" s="2">
        <v>187546</v>
      </c>
      <c r="F191" s="9">
        <v>1939872</v>
      </c>
      <c r="G191" s="9" t="s">
        <v>1967</v>
      </c>
      <c r="H191" s="2" t="s">
        <v>357</v>
      </c>
      <c r="I191" s="2"/>
      <c r="J191" s="2"/>
      <c r="K191" s="2" t="s">
        <v>239</v>
      </c>
      <c r="L191" s="2"/>
      <c r="M191" s="2"/>
      <c r="N191" s="2"/>
      <c r="O191" s="2"/>
      <c r="P191" s="557" t="str">
        <f>CONCATENATE(schedule13[[#This Row],[OD]],"-",schedule13[[#This Row],[ID]],"-",schedule13[[#This Row],[TICKNESS]],"-",schedule13[[#This Row],[GRADE]],"-",schedule13[[#This Row],[FC/NFC]])</f>
        <v>32-0-4.5-CEW-</v>
      </c>
      <c r="Q191" s="557"/>
      <c r="R191" s="557"/>
      <c r="S191" s="1">
        <v>32</v>
      </c>
      <c r="T191" s="1">
        <v>32</v>
      </c>
      <c r="U191" s="1">
        <v>0</v>
      </c>
      <c r="V191" s="1">
        <v>4.5</v>
      </c>
      <c r="W191" s="23">
        <v>3300</v>
      </c>
      <c r="X191" s="23"/>
      <c r="Y191" s="2">
        <v>0</v>
      </c>
      <c r="Z191" s="2"/>
      <c r="AA191" s="4">
        <f t="shared" si="29"/>
        <v>0</v>
      </c>
      <c r="AB191" s="1">
        <f t="shared" si="35"/>
        <v>0</v>
      </c>
      <c r="AC191" s="1">
        <f t="shared" si="34"/>
        <v>0</v>
      </c>
      <c r="AD191" s="1">
        <f t="shared" si="31"/>
        <v>0</v>
      </c>
      <c r="AE191" s="1"/>
      <c r="AF191" s="1"/>
      <c r="AG191" s="1"/>
      <c r="AH191" s="1">
        <f t="shared" si="36"/>
        <v>0</v>
      </c>
      <c r="AI191" s="118" t="e">
        <f t="shared" si="37"/>
        <v>#DIV/0!</v>
      </c>
    </row>
    <row r="192" spans="1:35" hidden="1" x14ac:dyDescent="0.25">
      <c r="A192" s="30">
        <v>395</v>
      </c>
      <c r="B192" s="5" t="s">
        <v>1872</v>
      </c>
      <c r="C192" s="2" t="s">
        <v>71</v>
      </c>
      <c r="D192" s="2"/>
      <c r="E192" s="2">
        <v>187546</v>
      </c>
      <c r="F192" s="2">
        <v>2418610</v>
      </c>
      <c r="G192" s="2" t="s">
        <v>1964</v>
      </c>
      <c r="H192" s="2" t="s">
        <v>357</v>
      </c>
      <c r="I192" s="2"/>
      <c r="J192" s="2"/>
      <c r="K192" s="2" t="s">
        <v>239</v>
      </c>
      <c r="L192" s="2"/>
      <c r="M192" s="2"/>
      <c r="N192" s="2"/>
      <c r="O192" s="2"/>
      <c r="P192" s="557" t="str">
        <f>CONCATENATE(schedule13[[#This Row],[OD]],"-",schedule13[[#This Row],[ID]],"-",schedule13[[#This Row],[TICKNESS]],"-",schedule13[[#This Row],[GRADE]],"-",schedule13[[#This Row],[FC/NFC]])</f>
        <v>25.4-18.4-3.5-CEW-</v>
      </c>
      <c r="Q192" s="557"/>
      <c r="R192" s="557"/>
      <c r="S192" s="1">
        <v>25.4</v>
      </c>
      <c r="T192" s="1">
        <v>25.4</v>
      </c>
      <c r="U192" s="1">
        <v>18.399999999999999</v>
      </c>
      <c r="V192" s="1">
        <v>3.5</v>
      </c>
      <c r="W192" s="23">
        <v>4500</v>
      </c>
      <c r="X192" s="23"/>
      <c r="Y192" s="2">
        <v>0</v>
      </c>
      <c r="Z192" s="2"/>
      <c r="AA192" s="4">
        <f t="shared" si="29"/>
        <v>0</v>
      </c>
      <c r="AB192" s="1">
        <f t="shared" si="35"/>
        <v>0</v>
      </c>
      <c r="AC192" s="1">
        <f t="shared" si="34"/>
        <v>0</v>
      </c>
      <c r="AD192" s="1">
        <f t="shared" si="31"/>
        <v>0</v>
      </c>
      <c r="AE192" s="1"/>
      <c r="AF192" s="1"/>
      <c r="AG192" s="1"/>
      <c r="AH192" s="1">
        <f t="shared" si="36"/>
        <v>0</v>
      </c>
      <c r="AI192" s="118" t="e">
        <f t="shared" si="37"/>
        <v>#DIV/0!</v>
      </c>
    </row>
    <row r="193" spans="1:35" hidden="1" x14ac:dyDescent="0.25">
      <c r="A193" s="30">
        <v>397</v>
      </c>
      <c r="B193" s="5" t="s">
        <v>1872</v>
      </c>
      <c r="C193" s="2" t="s">
        <v>42</v>
      </c>
      <c r="D193" s="2"/>
      <c r="E193" s="2">
        <v>189226</v>
      </c>
      <c r="F193" s="2">
        <v>1931824</v>
      </c>
      <c r="G193" s="2" t="s">
        <v>1968</v>
      </c>
      <c r="H193" s="2" t="s">
        <v>357</v>
      </c>
      <c r="I193" s="2"/>
      <c r="J193" s="2"/>
      <c r="K193" s="2" t="s">
        <v>239</v>
      </c>
      <c r="L193" s="2"/>
      <c r="M193" s="2"/>
      <c r="N193" s="2"/>
      <c r="O193" s="2"/>
      <c r="P193" s="557" t="str">
        <f>CONCATENATE(schedule13[[#This Row],[OD]],"-",schedule13[[#This Row],[ID]],"-",schedule13[[#This Row],[TICKNESS]],"-",schedule13[[#This Row],[GRADE]],"-",schedule13[[#This Row],[FC/NFC]])</f>
        <v>17.3-0-1.2-CEW-</v>
      </c>
      <c r="Q193" s="557"/>
      <c r="R193" s="557"/>
      <c r="S193" s="1">
        <v>17.3</v>
      </c>
      <c r="T193" s="1">
        <v>17.3</v>
      </c>
      <c r="U193" s="1">
        <v>0</v>
      </c>
      <c r="V193" s="1">
        <v>1.2</v>
      </c>
      <c r="W193" s="23">
        <v>6000</v>
      </c>
      <c r="X193" s="23"/>
      <c r="Y193" s="2">
        <v>0</v>
      </c>
      <c r="Z193" s="2"/>
      <c r="AA193" s="4">
        <f t="shared" si="29"/>
        <v>0</v>
      </c>
      <c r="AB193" s="1">
        <f t="shared" si="35"/>
        <v>0</v>
      </c>
      <c r="AC193" s="1">
        <f t="shared" si="34"/>
        <v>0</v>
      </c>
      <c r="AD193" s="1">
        <f t="shared" si="31"/>
        <v>0</v>
      </c>
      <c r="AE193" s="1"/>
      <c r="AF193" s="1"/>
      <c r="AG193" s="1"/>
      <c r="AH193" s="1"/>
      <c r="AI193" s="118"/>
    </row>
    <row r="194" spans="1:35" hidden="1" x14ac:dyDescent="0.25">
      <c r="A194" s="30">
        <v>398</v>
      </c>
      <c r="B194" s="5" t="s">
        <v>1872</v>
      </c>
      <c r="C194" s="2" t="s">
        <v>42</v>
      </c>
      <c r="D194" s="2"/>
      <c r="E194" s="2">
        <v>189226</v>
      </c>
      <c r="F194" s="2">
        <v>2397139</v>
      </c>
      <c r="G194" s="2" t="s">
        <v>1998</v>
      </c>
      <c r="H194" s="2" t="s">
        <v>993</v>
      </c>
      <c r="I194" s="2"/>
      <c r="J194" s="2" t="s">
        <v>1003</v>
      </c>
      <c r="K194" s="2" t="s">
        <v>239</v>
      </c>
      <c r="L194" s="2"/>
      <c r="M194" s="2"/>
      <c r="N194" s="2"/>
      <c r="O194" s="2"/>
      <c r="P194" s="557" t="str">
        <f>CONCATENATE(schedule13[[#This Row],[OD]],"-",schedule13[[#This Row],[ID]],"-",schedule13[[#This Row],[TICKNESS]],"-",schedule13[[#This Row],[GRADE]],"-",schedule13[[#This Row],[FC/NFC]])</f>
        <v>54-0-3-ERW 2-FC</v>
      </c>
      <c r="Q194" s="557"/>
      <c r="R194" s="557"/>
      <c r="S194" s="1">
        <v>54</v>
      </c>
      <c r="T194" s="1">
        <v>54</v>
      </c>
      <c r="U194" s="1">
        <v>0</v>
      </c>
      <c r="V194" s="1">
        <v>3</v>
      </c>
      <c r="W194" s="23">
        <v>5750</v>
      </c>
      <c r="X194" s="23"/>
      <c r="Y194" s="2">
        <v>0</v>
      </c>
      <c r="Z194" s="2"/>
      <c r="AA194" s="4">
        <f t="shared" si="29"/>
        <v>0</v>
      </c>
      <c r="AB194" s="1">
        <f t="shared" si="35"/>
        <v>0</v>
      </c>
      <c r="AC194" s="1">
        <f t="shared" si="34"/>
        <v>0</v>
      </c>
      <c r="AD194" s="1">
        <f t="shared" si="31"/>
        <v>0</v>
      </c>
      <c r="AE194" s="1"/>
      <c r="AF194" s="1">
        <v>7.3596659999999989</v>
      </c>
      <c r="AG194" s="1"/>
      <c r="AH194" s="1">
        <f>AB193-AF194</f>
        <v>-7.3596659999999989</v>
      </c>
      <c r="AI194" s="118" t="e">
        <f>(AC194+AF194)/AB193</f>
        <v>#DIV/0!</v>
      </c>
    </row>
    <row r="195" spans="1:35" hidden="1" x14ac:dyDescent="0.25">
      <c r="A195" s="30">
        <v>399</v>
      </c>
      <c r="B195" s="5" t="s">
        <v>1872</v>
      </c>
      <c r="C195" s="2" t="s">
        <v>42</v>
      </c>
      <c r="D195" s="2"/>
      <c r="E195" s="2">
        <v>189226</v>
      </c>
      <c r="F195" s="2">
        <v>2429289</v>
      </c>
      <c r="G195" s="2" t="s">
        <v>1996</v>
      </c>
      <c r="H195" s="2" t="s">
        <v>962</v>
      </c>
      <c r="I195" s="2" t="s">
        <v>1894</v>
      </c>
      <c r="J195" s="2" t="s">
        <v>1003</v>
      </c>
      <c r="K195" s="2" t="s">
        <v>239</v>
      </c>
      <c r="L195" s="2"/>
      <c r="M195" s="2"/>
      <c r="N195" s="2"/>
      <c r="O195" s="2"/>
      <c r="P195" s="557" t="str">
        <f>CONCATENATE(schedule13[[#This Row],[OD]],"-",schedule13[[#This Row],[ID]],"-",schedule13[[#This Row],[TICKNESS]],"-",schedule13[[#This Row],[GRADE]],"-",schedule13[[#This Row],[FC/NFC]])</f>
        <v>63.5-0-4-ERW 1-FC</v>
      </c>
      <c r="Q195" s="557"/>
      <c r="R195" s="557"/>
      <c r="S195" s="1">
        <v>63.5</v>
      </c>
      <c r="T195" s="1">
        <v>63.5</v>
      </c>
      <c r="U195" s="1">
        <v>0</v>
      </c>
      <c r="V195" s="1">
        <v>4</v>
      </c>
      <c r="W195" s="23">
        <v>5060</v>
      </c>
      <c r="X195" s="23"/>
      <c r="Y195" s="2">
        <v>0</v>
      </c>
      <c r="Z195" s="2"/>
      <c r="AA195" s="4">
        <f t="shared" si="29"/>
        <v>0</v>
      </c>
      <c r="AB195" s="1">
        <f t="shared" si="35"/>
        <v>0</v>
      </c>
      <c r="AC195" s="1">
        <f t="shared" si="34"/>
        <v>0</v>
      </c>
      <c r="AD195" s="1">
        <f t="shared" si="31"/>
        <v>0</v>
      </c>
      <c r="AE195" s="1"/>
      <c r="AF195" s="1">
        <v>4.9127120000000009</v>
      </c>
      <c r="AG195" s="1"/>
      <c r="AH195" s="1">
        <f>AB194-AF195</f>
        <v>-4.9127120000000009</v>
      </c>
      <c r="AI195" s="118" t="e">
        <f>(AC195+AF195)/AB194</f>
        <v>#DIV/0!</v>
      </c>
    </row>
    <row r="196" spans="1:35" hidden="1" x14ac:dyDescent="0.25">
      <c r="A196" s="30">
        <v>400</v>
      </c>
      <c r="B196" s="5" t="s">
        <v>1872</v>
      </c>
      <c r="C196" s="2" t="s">
        <v>42</v>
      </c>
      <c r="D196" s="2"/>
      <c r="E196" s="2">
        <v>189226</v>
      </c>
      <c r="F196" s="2">
        <v>3557967</v>
      </c>
      <c r="G196" s="2" t="s">
        <v>2000</v>
      </c>
      <c r="H196" s="2" t="s">
        <v>993</v>
      </c>
      <c r="I196" s="2"/>
      <c r="J196" s="2" t="s">
        <v>1003</v>
      </c>
      <c r="K196" s="2" t="s">
        <v>239</v>
      </c>
      <c r="L196" s="2"/>
      <c r="M196" s="2"/>
      <c r="N196" s="2"/>
      <c r="O196" s="2"/>
      <c r="P196" s="557" t="str">
        <f>CONCATENATE(schedule13[[#This Row],[OD]],"-",schedule13[[#This Row],[ID]],"-",schedule13[[#This Row],[TICKNESS]],"-",schedule13[[#This Row],[GRADE]],"-",schedule13[[#This Row],[FC/NFC]])</f>
        <v>70-0-3.2-ERW 2-FC</v>
      </c>
      <c r="Q196" s="557"/>
      <c r="R196" s="557"/>
      <c r="S196" s="1">
        <v>70</v>
      </c>
      <c r="T196" s="1">
        <v>70</v>
      </c>
      <c r="U196" s="1">
        <v>0</v>
      </c>
      <c r="V196" s="1">
        <v>3.2</v>
      </c>
      <c r="W196" s="23">
        <v>6455</v>
      </c>
      <c r="X196" s="23"/>
      <c r="Y196" s="2">
        <v>0</v>
      </c>
      <c r="Z196" s="2"/>
      <c r="AA196" s="4">
        <f t="shared" ref="AA196:AA259" si="38">Y196-Z196</f>
        <v>0</v>
      </c>
      <c r="AB196" s="1">
        <f t="shared" si="35"/>
        <v>0</v>
      </c>
      <c r="AC196" s="1">
        <f t="shared" si="34"/>
        <v>0</v>
      </c>
      <c r="AD196" s="1">
        <f t="shared" ref="AD196:AD259" si="39">AB196-AC196</f>
        <v>0</v>
      </c>
      <c r="AE196" s="1"/>
      <c r="AF196" s="1">
        <v>8.638380999999999</v>
      </c>
      <c r="AG196" s="1"/>
      <c r="AH196" s="1">
        <f>AB195-AF196</f>
        <v>-8.638380999999999</v>
      </c>
      <c r="AI196" s="118" t="e">
        <f>(AC196+AF196)/AB195</f>
        <v>#DIV/0!</v>
      </c>
    </row>
    <row r="197" spans="1:35" hidden="1" x14ac:dyDescent="0.25">
      <c r="A197" s="30">
        <v>58</v>
      </c>
      <c r="B197" s="5" t="s">
        <v>1816</v>
      </c>
      <c r="C197" s="2" t="s">
        <v>953</v>
      </c>
      <c r="D197" s="2"/>
      <c r="E197" s="2">
        <v>189227</v>
      </c>
      <c r="F197" s="2">
        <v>2410993</v>
      </c>
      <c r="G197" s="2" t="s">
        <v>1970</v>
      </c>
      <c r="H197" s="2" t="s">
        <v>357</v>
      </c>
      <c r="I197" s="2"/>
      <c r="J197" s="2"/>
      <c r="K197" s="2" t="s">
        <v>239</v>
      </c>
      <c r="L197" s="2"/>
      <c r="M197" s="2"/>
      <c r="N197" s="2"/>
      <c r="O197" s="2"/>
      <c r="P197" s="557" t="str">
        <f>CONCATENATE(schedule13[[#This Row],[OD]],"-",schedule13[[#This Row],[ID]],"-",schedule13[[#This Row],[TICKNESS]],"-",schedule13[[#This Row],[GRADE]],"-",schedule13[[#This Row],[FC/NFC]])</f>
        <v>2.29999955264502-29.3-2-CEW-</v>
      </c>
      <c r="Q197" s="557"/>
      <c r="R197" s="557"/>
      <c r="S197" s="1">
        <v>33.299999999999997</v>
      </c>
      <c r="T197" s="1">
        <v>2.2999995526450192</v>
      </c>
      <c r="U197" s="1">
        <v>29.3</v>
      </c>
      <c r="V197" s="1">
        <v>2</v>
      </c>
      <c r="W197" s="22">
        <v>4500</v>
      </c>
      <c r="X197" s="22"/>
      <c r="Y197" s="2">
        <v>0</v>
      </c>
      <c r="Z197" s="2"/>
      <c r="AA197" s="4">
        <f t="shared" si="38"/>
        <v>0</v>
      </c>
      <c r="AB197" s="1">
        <f t="shared" si="35"/>
        <v>0</v>
      </c>
      <c r="AC197" s="1">
        <f t="shared" si="34"/>
        <v>0</v>
      </c>
      <c r="AD197" s="1">
        <f t="shared" si="39"/>
        <v>0</v>
      </c>
      <c r="AE197" s="1"/>
      <c r="AF197" s="1">
        <v>1.6456170000000001</v>
      </c>
      <c r="AG197" s="1"/>
      <c r="AH197" s="1">
        <f>AB196-AF197</f>
        <v>-1.6456170000000001</v>
      </c>
      <c r="AI197" s="118" t="e">
        <f t="shared" ref="AI197:AI228" si="40">(AC197+AF197)/AB197</f>
        <v>#DIV/0!</v>
      </c>
    </row>
    <row r="198" spans="1:35" hidden="1" x14ac:dyDescent="0.25">
      <c r="A198" s="30">
        <v>64</v>
      </c>
      <c r="B198" s="5" t="s">
        <v>1816</v>
      </c>
      <c r="C198" s="2" t="s">
        <v>953</v>
      </c>
      <c r="D198" s="2"/>
      <c r="E198" s="2" t="s">
        <v>309</v>
      </c>
      <c r="F198" s="2">
        <v>1940019</v>
      </c>
      <c r="G198" s="2" t="s">
        <v>1973</v>
      </c>
      <c r="H198" s="2" t="s">
        <v>962</v>
      </c>
      <c r="I198" s="2"/>
      <c r="J198" s="2" t="s">
        <v>963</v>
      </c>
      <c r="K198" s="2" t="s">
        <v>1867</v>
      </c>
      <c r="L198" s="2"/>
      <c r="M198" s="2"/>
      <c r="N198" s="2"/>
      <c r="O198" s="2"/>
      <c r="P198" s="557" t="str">
        <f>CONCATENATE(schedule13[[#This Row],[OD]],"-",schedule13[[#This Row],[ID]],"-",schedule13[[#This Row],[TICKNESS]],"-",schedule13[[#This Row],[GRADE]],"-",schedule13[[#This Row],[FC/NFC]])</f>
        <v>15.88-0-1-ERW 1-PE</v>
      </c>
      <c r="Q198" s="557" t="str">
        <f>_xlfn.CONCAT(schedule13[[#This Row],[Bucket]],"-",schedule13[[#This Row],[LENGTH]]/1000)</f>
        <v>15.88-0-1-ERW 1-PE-0.14</v>
      </c>
      <c r="R198" s="557">
        <f>COUNTIF(buckets[CTL Bucket],schedule13[[#This Row],[CTL Bucket]])</f>
        <v>1</v>
      </c>
      <c r="S198" s="1">
        <v>15.88</v>
      </c>
      <c r="T198" s="1">
        <v>15.88</v>
      </c>
      <c r="U198" s="1">
        <v>0</v>
      </c>
      <c r="V198" s="1">
        <v>1</v>
      </c>
      <c r="W198" s="22">
        <v>140</v>
      </c>
      <c r="X198" s="22" t="s">
        <v>397</v>
      </c>
      <c r="Y198" s="2">
        <v>4000</v>
      </c>
      <c r="Z198" s="2"/>
      <c r="AA198" s="4">
        <f t="shared" si="38"/>
        <v>4000</v>
      </c>
      <c r="AB198" s="1">
        <f>(3.14*(schedule13[[#This Row],[ACTUAL OD]]-schedule13[[#This Row],[TICKNESS]])*schedule13[[#This Row],[TICKNESS]]*schedule13[[#This Row],[LENGTH]]*7.85)/1000000*schedule13[[#This Row],[SCHEDULE]]/1000</f>
        <v>0.2053951872</v>
      </c>
      <c r="AC198" s="1">
        <f t="shared" si="34"/>
        <v>0</v>
      </c>
      <c r="AD198" s="1">
        <f t="shared" si="39"/>
        <v>0.2053951872</v>
      </c>
      <c r="AE198" s="3">
        <f>schedule13[[#This Row],[CTL Stock]]/schedule13[[#This Row],[SCHEDULE IN MT]]*schedule13[[#This Row],[SCHEDULE]]</f>
        <v>0</v>
      </c>
      <c r="AF198" s="1">
        <f>SUMIFS(stock[MT],stock[Bucket],schedule13[[#This Row],[Bucket]],stock[CTL Bucket],schedule13[[#This Row],[CTL Bucket]])</f>
        <v>0</v>
      </c>
      <c r="AG198" s="1">
        <f>SUMIFS(stock[MT],stock[Bucket],schedule13[[#This Row],[Bucket]])+SUMIFS(wip[Stock(Net Wt)],wip[Bucket],schedule13[[#This Row],[Bucket]])/1000</f>
        <v>7.7449320000000013</v>
      </c>
      <c r="AH198" s="1">
        <f t="shared" ref="AH198:AH203" si="41">AB198-AF198</f>
        <v>0.2053951872</v>
      </c>
      <c r="AI198" s="118">
        <f t="shared" si="40"/>
        <v>0</v>
      </c>
    </row>
    <row r="199" spans="1:35" hidden="1" x14ac:dyDescent="0.25">
      <c r="A199" s="30">
        <v>70</v>
      </c>
      <c r="B199" s="5" t="s">
        <v>1872</v>
      </c>
      <c r="C199" s="2" t="s">
        <v>953</v>
      </c>
      <c r="D199" s="2"/>
      <c r="E199" s="2" t="s">
        <v>309</v>
      </c>
      <c r="F199" s="2">
        <v>1938195</v>
      </c>
      <c r="G199" s="2" t="s">
        <v>558</v>
      </c>
      <c r="H199" s="2" t="s">
        <v>962</v>
      </c>
      <c r="I199" s="2"/>
      <c r="J199" s="2" t="s">
        <v>963</v>
      </c>
      <c r="K199" s="2" t="s">
        <v>1867</v>
      </c>
      <c r="L199" s="2"/>
      <c r="M199" s="2"/>
      <c r="N199" s="2"/>
      <c r="O199" s="2"/>
      <c r="P199" s="557" t="str">
        <f>CONCATENATE(schedule13[[#This Row],[OD]],"-",schedule13[[#This Row],[ID]],"-",schedule13[[#This Row],[TICKNESS]],"-",schedule13[[#This Row],[GRADE]],"-",schedule13[[#This Row],[FC/NFC]])</f>
        <v>17.3-0-1.2-ERW 1-PE</v>
      </c>
      <c r="Q199" s="557" t="str">
        <f>_xlfn.CONCAT(schedule13[[#This Row],[Bucket]],"-",schedule13[[#This Row],[LENGTH]]/1000)</f>
        <v>17.3-0-1.2-ERW 1-PE-0.15</v>
      </c>
      <c r="R199" s="557">
        <f>COUNTIF(buckets[CTL Bucket],schedule13[[#This Row],[CTL Bucket]])</f>
        <v>2</v>
      </c>
      <c r="S199" s="1">
        <v>17.3</v>
      </c>
      <c r="T199" s="1">
        <v>17.3</v>
      </c>
      <c r="U199" s="1">
        <v>0</v>
      </c>
      <c r="V199" s="1">
        <v>1.2</v>
      </c>
      <c r="W199" s="26">
        <v>150</v>
      </c>
      <c r="X199" s="22" t="s">
        <v>397</v>
      </c>
      <c r="Y199" s="2">
        <v>30000</v>
      </c>
      <c r="Z199" s="2"/>
      <c r="AA199" s="4">
        <f t="shared" si="38"/>
        <v>30000</v>
      </c>
      <c r="AB199" s="1">
        <f>(3.14*(schedule13[[#This Row],[ACTUAL OD]]-schedule13[[#This Row],[TICKNESS]])*schedule13[[#This Row],[TICKNESS]]*schedule13[[#This Row],[LENGTH]]*7.85)/1000000*schedule13[[#This Row],[SCHEDULE]]/1000</f>
        <v>2.1429840600000007</v>
      </c>
      <c r="AC199" s="1">
        <f t="shared" si="34"/>
        <v>0</v>
      </c>
      <c r="AD199" s="1">
        <f t="shared" si="39"/>
        <v>2.1429840600000007</v>
      </c>
      <c r="AE199" s="3">
        <f>schedule13[[#This Row],[CTL Stock]]/schedule13[[#This Row],[SCHEDULE IN MT]]*schedule13[[#This Row],[SCHEDULE]]</f>
        <v>0</v>
      </c>
      <c r="AF199" s="1">
        <f>SUMIFS(stock[MT],stock[Bucket],schedule13[[#This Row],[Bucket]],stock[CTL Bucket],schedule13[[#This Row],[CTL Bucket]])</f>
        <v>0</v>
      </c>
      <c r="AG199" s="1">
        <f>SUMIFS(stock[MT],stock[Bucket],schedule13[[#This Row],[Bucket]])+SUMIFS(wip[Stock(Net Wt)],wip[Bucket],schedule13[[#This Row],[Bucket]])/1000</f>
        <v>4.49552</v>
      </c>
      <c r="AH199" s="1">
        <f t="shared" si="41"/>
        <v>2.1429840600000007</v>
      </c>
      <c r="AI199" s="118">
        <f t="shared" si="40"/>
        <v>0</v>
      </c>
    </row>
    <row r="200" spans="1:35" hidden="1" x14ac:dyDescent="0.25">
      <c r="A200" s="30">
        <v>71</v>
      </c>
      <c r="B200" s="5" t="s">
        <v>1872</v>
      </c>
      <c r="C200" s="2" t="s">
        <v>953</v>
      </c>
      <c r="D200" s="2"/>
      <c r="E200" s="2" t="s">
        <v>309</v>
      </c>
      <c r="F200" s="2">
        <v>1938116</v>
      </c>
      <c r="G200" s="2" t="s">
        <v>1237</v>
      </c>
      <c r="H200" s="2" t="s">
        <v>962</v>
      </c>
      <c r="I200" s="2"/>
      <c r="J200" s="2" t="s">
        <v>963</v>
      </c>
      <c r="K200" s="2" t="s">
        <v>1867</v>
      </c>
      <c r="L200" s="2"/>
      <c r="M200" s="2"/>
      <c r="N200" s="2"/>
      <c r="O200" s="2"/>
      <c r="P200" s="557" t="str">
        <f>CONCATENATE(schedule13[[#This Row],[OD]],"-",schedule13[[#This Row],[ID]],"-",schedule13[[#This Row],[TICKNESS]],"-",schedule13[[#This Row],[GRADE]],"-",schedule13[[#This Row],[FC/NFC]])</f>
        <v>18.2-0-1-ERW 1-PE</v>
      </c>
      <c r="Q200" s="557" t="str">
        <f>_xlfn.CONCAT(schedule13[[#This Row],[Bucket]],"-",schedule13[[#This Row],[LENGTH]]/1000)</f>
        <v>18.2-0-1-ERW 1-PE-0.11</v>
      </c>
      <c r="R200" s="557">
        <f>COUNTIF(buckets[CTL Bucket],schedule13[[#This Row],[CTL Bucket]])</f>
        <v>1</v>
      </c>
      <c r="S200" s="1">
        <v>18.2</v>
      </c>
      <c r="T200" s="1">
        <v>18.2</v>
      </c>
      <c r="U200" s="6">
        <v>0</v>
      </c>
      <c r="V200" s="1">
        <v>1</v>
      </c>
      <c r="W200" s="22">
        <v>110</v>
      </c>
      <c r="X200" s="22" t="s">
        <v>397</v>
      </c>
      <c r="Y200" s="2">
        <v>30000</v>
      </c>
      <c r="Z200" s="2"/>
      <c r="AA200" s="4">
        <f t="shared" si="38"/>
        <v>30000</v>
      </c>
      <c r="AB200" s="1">
        <f>(3.14*(schedule13[[#This Row],[ACTUAL OD]]-schedule13[[#This Row],[TICKNESS]])*schedule13[[#This Row],[TICKNESS]]*schedule13[[#This Row],[LENGTH]]*7.85)/1000000*schedule13[[#This Row],[SCHEDULE]]/1000</f>
        <v>1.3990772399999998</v>
      </c>
      <c r="AC200" s="1">
        <f t="shared" si="34"/>
        <v>0</v>
      </c>
      <c r="AD200" s="1">
        <f t="shared" si="39"/>
        <v>1.3990772399999998</v>
      </c>
      <c r="AE200" s="3">
        <f>schedule13[[#This Row],[CTL Stock]]/schedule13[[#This Row],[SCHEDULE IN MT]]*schedule13[[#This Row],[SCHEDULE]]</f>
        <v>1474.8292238675833</v>
      </c>
      <c r="AF200" s="1">
        <f>SUMIFS(stock[MT],stock[Bucket],schedule13[[#This Row],[Bucket]],stock[CTL Bucket],schedule13[[#This Row],[CTL Bucket]])</f>
        <v>6.8780000000000008E-2</v>
      </c>
      <c r="AG200" s="1">
        <f>SUMIFS(stock[MT],stock[Bucket],schedule13[[#This Row],[Bucket]])+SUMIFS(wip[Stock(Net Wt)],wip[Bucket],schedule13[[#This Row],[Bucket]])/1000</f>
        <v>0.37930300000000006</v>
      </c>
      <c r="AH200" s="1">
        <f t="shared" si="41"/>
        <v>1.3302972399999997</v>
      </c>
      <c r="AI200" s="118">
        <f t="shared" si="40"/>
        <v>4.9160974128919441E-2</v>
      </c>
    </row>
    <row r="201" spans="1:35" hidden="1" x14ac:dyDescent="0.25">
      <c r="A201" s="30">
        <v>73</v>
      </c>
      <c r="B201" s="5" t="s">
        <v>1872</v>
      </c>
      <c r="C201" s="2" t="s">
        <v>953</v>
      </c>
      <c r="D201" s="2"/>
      <c r="E201" s="2" t="s">
        <v>309</v>
      </c>
      <c r="F201" s="2">
        <v>1938117</v>
      </c>
      <c r="G201" s="2" t="s">
        <v>1239</v>
      </c>
      <c r="H201" s="2" t="s">
        <v>962</v>
      </c>
      <c r="I201" s="2"/>
      <c r="J201" s="2" t="s">
        <v>963</v>
      </c>
      <c r="K201" s="2" t="s">
        <v>1867</v>
      </c>
      <c r="L201" s="2"/>
      <c r="M201" s="2"/>
      <c r="N201" s="2"/>
      <c r="O201" s="2"/>
      <c r="P201" s="557" t="str">
        <f>CONCATENATE(schedule13[[#This Row],[OD]],"-",schedule13[[#This Row],[ID]],"-",schedule13[[#This Row],[TICKNESS]],"-",schedule13[[#This Row],[GRADE]],"-",schedule13[[#This Row],[FC/NFC]])</f>
        <v>18.2-0-1-ERW 1-PE</v>
      </c>
      <c r="Q201" s="557" t="str">
        <f>_xlfn.CONCAT(schedule13[[#This Row],[Bucket]],"-",schedule13[[#This Row],[LENGTH]]/1000)</f>
        <v>18.2-0-1-ERW 1-PE-0.145</v>
      </c>
      <c r="R201" s="557">
        <f>COUNTIF(buckets[CTL Bucket],schedule13[[#This Row],[CTL Bucket]])</f>
        <v>1</v>
      </c>
      <c r="S201" s="1">
        <v>18.2</v>
      </c>
      <c r="T201" s="1">
        <v>18.2</v>
      </c>
      <c r="U201" s="1">
        <v>0</v>
      </c>
      <c r="V201" s="1">
        <v>1</v>
      </c>
      <c r="W201" s="22">
        <v>145</v>
      </c>
      <c r="X201" s="22" t="s">
        <v>397</v>
      </c>
      <c r="Y201" s="2">
        <v>30000</v>
      </c>
      <c r="Z201" s="2"/>
      <c r="AA201" s="4">
        <f t="shared" si="38"/>
        <v>30000</v>
      </c>
      <c r="AB201" s="1">
        <f>(3.14*(schedule13[[#This Row],[ACTUAL OD]]-schedule13[[#This Row],[TICKNESS]])*schedule13[[#This Row],[TICKNESS]]*schedule13[[#This Row],[LENGTH]]*7.85)/1000000*schedule13[[#This Row],[SCHEDULE]]/1000</f>
        <v>1.8442381800000001</v>
      </c>
      <c r="AC201" s="1">
        <f t="shared" si="34"/>
        <v>0</v>
      </c>
      <c r="AD201" s="1">
        <f t="shared" si="39"/>
        <v>1.8442381800000001</v>
      </c>
      <c r="AE201" s="3">
        <f>schedule13[[#This Row],[CTL Stock]]/schedule13[[#This Row],[SCHEDULE IN MT]]*schedule13[[#This Row],[SCHEDULE]]</f>
        <v>2027.1785068455745</v>
      </c>
      <c r="AF201" s="1">
        <f>SUMIFS(stock[MT],stock[Bucket],schedule13[[#This Row],[Bucket]],stock[CTL Bucket],schedule13[[#This Row],[CTL Bucket]])</f>
        <v>0.12461999999999999</v>
      </c>
      <c r="AG201" s="1">
        <f>SUMIFS(stock[MT],stock[Bucket],schedule13[[#This Row],[Bucket]])+SUMIFS(wip[Stock(Net Wt)],wip[Bucket],schedule13[[#This Row],[Bucket]])/1000</f>
        <v>0.37930300000000006</v>
      </c>
      <c r="AH201" s="1">
        <f t="shared" si="41"/>
        <v>1.7196181800000001</v>
      </c>
      <c r="AI201" s="118">
        <f t="shared" si="40"/>
        <v>6.7572616894852486E-2</v>
      </c>
    </row>
    <row r="202" spans="1:35" hidden="1" x14ac:dyDescent="0.25">
      <c r="A202" s="30">
        <v>81</v>
      </c>
      <c r="B202" s="5" t="s">
        <v>1872</v>
      </c>
      <c r="C202" s="2" t="s">
        <v>953</v>
      </c>
      <c r="D202" s="2"/>
      <c r="E202" s="2" t="s">
        <v>309</v>
      </c>
      <c r="F202" s="2">
        <v>2439536</v>
      </c>
      <c r="G202" s="2" t="s">
        <v>1428</v>
      </c>
      <c r="H202" s="2" t="s">
        <v>357</v>
      </c>
      <c r="I202" s="2"/>
      <c r="J202" s="2" t="s">
        <v>357</v>
      </c>
      <c r="K202" s="2" t="s">
        <v>239</v>
      </c>
      <c r="L202" s="2"/>
      <c r="M202" s="2"/>
      <c r="N202" s="2"/>
      <c r="O202" s="2"/>
      <c r="P202" s="557" t="str">
        <f>CONCATENATE(schedule13[[#This Row],[OD]],"-",schedule13[[#This Row],[ID]],"-",schedule13[[#This Row],[TICKNESS]],"-",schedule13[[#This Row],[GRADE]],"-",schedule13[[#This Row],[FC/NFC]])</f>
        <v>20-12.4-3.8-CEW-CEW</v>
      </c>
      <c r="Q202" s="557" t="str">
        <f>schedule13[[#This Row],[Bucket]]</f>
        <v>20-12.4-3.8-CEW-CEW</v>
      </c>
      <c r="R202" s="557">
        <f>COUNTIF(buckets[CTL Bucket],schedule13[[#This Row],[CTL Bucket]])</f>
        <v>0</v>
      </c>
      <c r="S202" s="1">
        <v>20</v>
      </c>
      <c r="T202" s="1">
        <v>20</v>
      </c>
      <c r="U202" s="1">
        <v>12.4</v>
      </c>
      <c r="V202" s="1">
        <v>3.8</v>
      </c>
      <c r="W202" s="22">
        <v>1000</v>
      </c>
      <c r="X202" s="22" t="s">
        <v>444</v>
      </c>
      <c r="Y202" s="2">
        <v>5000</v>
      </c>
      <c r="Z202" s="3"/>
      <c r="AA202" s="4">
        <f t="shared" si="38"/>
        <v>5000</v>
      </c>
      <c r="AB202" s="1">
        <f>(3.14*(schedule13[[#This Row],[ACTUAL OD]]-schedule13[[#This Row],[TICKNESS]])*schedule13[[#This Row],[TICKNESS]]*schedule13[[#This Row],[LENGTH]]*7.85)/1000000*schedule13[[#This Row],[SCHEDULE]]/1000</f>
        <v>7.5869621999999994</v>
      </c>
      <c r="AC202" s="1">
        <f t="shared" si="34"/>
        <v>0</v>
      </c>
      <c r="AD202" s="1">
        <f t="shared" si="39"/>
        <v>7.5869621999999994</v>
      </c>
      <c r="AE202" s="3">
        <f>schedule13[[#This Row],[CTL Stock]]/schedule13[[#This Row],[SCHEDULE IN MT]]*schedule13[[#This Row],[SCHEDULE]]</f>
        <v>0</v>
      </c>
      <c r="AF202" s="1">
        <f>SUMIFS(stock[MT],stock[Bucket],schedule13[[#This Row],[Bucket]],stock[CTL Bucket],schedule13[[#This Row],[CTL Bucket]])</f>
        <v>0</v>
      </c>
      <c r="AG202" s="1">
        <f>SUMIFS(stock[MT],stock[Bucket],schedule13[[#This Row],[Bucket]])+SUMIFS(wip[Stock(Net Wt)],wip[Bucket],schedule13[[#This Row],[Bucket]])/1000</f>
        <v>0</v>
      </c>
      <c r="AH202" s="1">
        <f t="shared" si="41"/>
        <v>7.5869621999999994</v>
      </c>
      <c r="AI202" s="118">
        <f t="shared" si="40"/>
        <v>0</v>
      </c>
    </row>
    <row r="203" spans="1:35" hidden="1" x14ac:dyDescent="0.25">
      <c r="A203" s="30">
        <v>83</v>
      </c>
      <c r="B203" s="5" t="s">
        <v>1872</v>
      </c>
      <c r="C203" s="2" t="s">
        <v>953</v>
      </c>
      <c r="D203" s="2"/>
      <c r="E203" s="2" t="s">
        <v>309</v>
      </c>
      <c r="F203" s="2">
        <v>2439535</v>
      </c>
      <c r="G203" s="2" t="s">
        <v>1430</v>
      </c>
      <c r="H203" s="2" t="s">
        <v>357</v>
      </c>
      <c r="I203" s="2"/>
      <c r="J203" s="2" t="s">
        <v>357</v>
      </c>
      <c r="K203" s="2" t="s">
        <v>239</v>
      </c>
      <c r="L203" s="2"/>
      <c r="M203" s="2"/>
      <c r="N203" s="2"/>
      <c r="O203" s="2"/>
      <c r="P203" s="557" t="str">
        <f>CONCATENATE(schedule13[[#This Row],[OD]],"-",schedule13[[#This Row],[ID]],"-",schedule13[[#This Row],[TICKNESS]],"-",schedule13[[#This Row],[GRADE]],"-",schedule13[[#This Row],[FC/NFC]])</f>
        <v>20-12.4-4.5-CEW-CEW</v>
      </c>
      <c r="Q203" s="557" t="str">
        <f>schedule13[[#This Row],[Bucket]]</f>
        <v>20-12.4-4.5-CEW-CEW</v>
      </c>
      <c r="R203" s="557">
        <f>COUNTIF(buckets[CTL Bucket],schedule13[[#This Row],[CTL Bucket]])</f>
        <v>0</v>
      </c>
      <c r="S203" s="1">
        <v>20</v>
      </c>
      <c r="T203" s="1">
        <v>20</v>
      </c>
      <c r="U203" s="1">
        <v>12.4</v>
      </c>
      <c r="V203" s="1">
        <v>4.5</v>
      </c>
      <c r="W203" s="22">
        <v>1000</v>
      </c>
      <c r="X203" s="22" t="s">
        <v>444</v>
      </c>
      <c r="Y203" s="2">
        <v>3500</v>
      </c>
      <c r="Z203" s="2"/>
      <c r="AA203" s="4">
        <f t="shared" si="38"/>
        <v>3500</v>
      </c>
      <c r="AB203" s="1">
        <f>(3.14*(schedule13[[#This Row],[ACTUAL OD]]-schedule13[[#This Row],[TICKNESS]])*schedule13[[#This Row],[TICKNESS]]*schedule13[[#This Row],[LENGTH]]*7.85)/1000000*schedule13[[#This Row],[SCHEDULE]]/1000</f>
        <v>6.0174371250000007</v>
      </c>
      <c r="AC203" s="1">
        <f t="shared" si="34"/>
        <v>0</v>
      </c>
      <c r="AD203" s="1">
        <f t="shared" si="39"/>
        <v>6.0174371250000007</v>
      </c>
      <c r="AE203" s="3">
        <f>schedule13[[#This Row],[CTL Stock]]/schedule13[[#This Row],[SCHEDULE IN MT]]*schedule13[[#This Row],[SCHEDULE]]</f>
        <v>0</v>
      </c>
      <c r="AF203" s="1">
        <f>SUMIFS(stock[MT],stock[Bucket],schedule13[[#This Row],[Bucket]],stock[CTL Bucket],schedule13[[#This Row],[CTL Bucket]])</f>
        <v>0</v>
      </c>
      <c r="AG203" s="1">
        <f>SUMIFS(stock[MT],stock[Bucket],schedule13[[#This Row],[Bucket]])+SUMIFS(wip[Stock(Net Wt)],wip[Bucket],schedule13[[#This Row],[Bucket]])/1000</f>
        <v>0</v>
      </c>
      <c r="AH203" s="1">
        <f t="shared" si="41"/>
        <v>6.0174371250000007</v>
      </c>
      <c r="AI203" s="118">
        <f t="shared" si="40"/>
        <v>0</v>
      </c>
    </row>
    <row r="204" spans="1:35" hidden="1" x14ac:dyDescent="0.25">
      <c r="A204" s="30">
        <v>86</v>
      </c>
      <c r="B204" s="5" t="s">
        <v>1816</v>
      </c>
      <c r="C204" s="2" t="s">
        <v>953</v>
      </c>
      <c r="D204" s="2"/>
      <c r="E204" s="2" t="s">
        <v>309</v>
      </c>
      <c r="F204" s="2">
        <v>1940357</v>
      </c>
      <c r="G204" s="2" t="s">
        <v>1980</v>
      </c>
      <c r="H204" s="2" t="s">
        <v>962</v>
      </c>
      <c r="I204" s="2"/>
      <c r="J204" s="2" t="s">
        <v>963</v>
      </c>
      <c r="K204" s="2" t="s">
        <v>1867</v>
      </c>
      <c r="L204" s="2"/>
      <c r="M204" s="2"/>
      <c r="N204" s="2"/>
      <c r="O204" s="2"/>
      <c r="P204" s="557" t="str">
        <f>CONCATENATE(schedule13[[#This Row],[OD]],"-",schedule13[[#This Row],[ID]],"-",schedule13[[#This Row],[TICKNESS]],"-",schedule13[[#This Row],[GRADE]],"-",schedule13[[#This Row],[FC/NFC]])</f>
        <v>22.23-0-1.2-ERW 1-PE</v>
      </c>
      <c r="Q204" s="557" t="str">
        <f>_xlfn.CONCAT(schedule13[[#This Row],[Bucket]],"-",schedule13[[#This Row],[LENGTH]]/1000)</f>
        <v>22.23-0-1.2-ERW 1-PE-0.14</v>
      </c>
      <c r="R204" s="557">
        <f>COUNTIF(buckets[CTL Bucket],schedule13[[#This Row],[CTL Bucket]])</f>
        <v>1</v>
      </c>
      <c r="S204" s="1">
        <v>22.23</v>
      </c>
      <c r="T204" s="1">
        <v>22.23</v>
      </c>
      <c r="U204" s="1">
        <v>0</v>
      </c>
      <c r="V204" s="1">
        <v>1.2</v>
      </c>
      <c r="W204" s="22">
        <v>140</v>
      </c>
      <c r="X204" s="22" t="s">
        <v>397</v>
      </c>
      <c r="Y204" s="2">
        <v>4000</v>
      </c>
      <c r="Z204" s="2"/>
      <c r="AA204" s="4">
        <f t="shared" si="38"/>
        <v>4000</v>
      </c>
      <c r="AB204" s="1">
        <f>(3.14*(schedule13[[#This Row],[ACTUAL OD]]-schedule13[[#This Row],[TICKNESS]])*schedule13[[#This Row],[TICKNESS]]*schedule13[[#This Row],[LENGTH]]*7.85)/1000000*schedule13[[#This Row],[SCHEDULE]]/1000</f>
        <v>0.34834361184000001</v>
      </c>
      <c r="AC204" s="1">
        <f t="shared" si="34"/>
        <v>0</v>
      </c>
      <c r="AD204" s="1">
        <f t="shared" si="39"/>
        <v>0.34834361184000001</v>
      </c>
      <c r="AE204" s="3">
        <f>schedule13[[#This Row],[CTL Stock]]/schedule13[[#This Row],[SCHEDULE IN MT]]*schedule13[[#This Row],[SCHEDULE]]</f>
        <v>0</v>
      </c>
      <c r="AF204" s="1">
        <f>SUMIFS(stock[MT],stock[Bucket],schedule13[[#This Row],[Bucket]],stock[CTL Bucket],schedule13[[#This Row],[CTL Bucket]])</f>
        <v>0</v>
      </c>
      <c r="AG204" s="1">
        <f>SUMIFS(stock[MT],stock[Bucket],schedule13[[#This Row],[Bucket]])+SUMIFS(wip[Stock(Net Wt)],wip[Bucket],schedule13[[#This Row],[Bucket]])/1000</f>
        <v>5.0530619999999997</v>
      </c>
      <c r="AH204" s="1">
        <f>AB203-AF204</f>
        <v>6.0174371250000007</v>
      </c>
      <c r="AI204" s="118">
        <f t="shared" si="40"/>
        <v>0</v>
      </c>
    </row>
    <row r="205" spans="1:35" hidden="1" x14ac:dyDescent="0.25">
      <c r="A205" s="30">
        <v>88</v>
      </c>
      <c r="B205" s="5" t="s">
        <v>1816</v>
      </c>
      <c r="C205" s="2" t="s">
        <v>953</v>
      </c>
      <c r="D205" s="2"/>
      <c r="E205" s="2" t="s">
        <v>309</v>
      </c>
      <c r="F205" s="2">
        <v>1938251</v>
      </c>
      <c r="G205" s="2" t="s">
        <v>1511</v>
      </c>
      <c r="H205" s="2" t="s">
        <v>962</v>
      </c>
      <c r="I205" s="2"/>
      <c r="J205" s="2" t="s">
        <v>963</v>
      </c>
      <c r="K205" s="2" t="s">
        <v>1867</v>
      </c>
      <c r="L205" s="44" t="s">
        <v>1883</v>
      </c>
      <c r="M205" s="2"/>
      <c r="N205" s="2"/>
      <c r="O205" s="2"/>
      <c r="P205" s="557" t="str">
        <f>CONCATENATE(schedule13[[#This Row],[OD]],"-",schedule13[[#This Row],[ID]],"-",schedule13[[#This Row],[TICKNESS]],"-",schedule13[[#This Row],[GRADE]],"-",schedule13[[#This Row],[FC/NFC]])</f>
        <v>22.23-0-1.6-ERW 1-PE</v>
      </c>
      <c r="Q205" s="557" t="str">
        <f>_xlfn.CONCAT(schedule13[[#This Row],[Bucket]],"-",schedule13[[#This Row],[LENGTH]]/1000)</f>
        <v>22.23-0-1.6-ERW 1-PE-0.394</v>
      </c>
      <c r="R205" s="557">
        <f>COUNTIF(buckets[CTL Bucket],schedule13[[#This Row],[CTL Bucket]])</f>
        <v>4</v>
      </c>
      <c r="S205" s="1">
        <v>22.23</v>
      </c>
      <c r="T205" s="1">
        <v>22.23</v>
      </c>
      <c r="U205" s="6">
        <v>0</v>
      </c>
      <c r="V205" s="1">
        <v>1.6</v>
      </c>
      <c r="W205" s="22">
        <v>394</v>
      </c>
      <c r="X205" s="22" t="s">
        <v>397</v>
      </c>
      <c r="Y205" s="2">
        <v>6000</v>
      </c>
      <c r="Z205" s="2"/>
      <c r="AA205" s="4">
        <f t="shared" si="38"/>
        <v>6000</v>
      </c>
      <c r="AB205" s="1">
        <f>(3.14*(schedule13[[#This Row],[ACTUAL OD]]-schedule13[[#This Row],[TICKNESS]])*schedule13[[#This Row],[TICKNESS]]*schedule13[[#This Row],[LENGTH]]*7.85)/1000000*schedule13[[#This Row],[SCHEDULE]]/1000</f>
        <v>1.9233839498880001</v>
      </c>
      <c r="AC205" s="1">
        <f t="shared" si="34"/>
        <v>0</v>
      </c>
      <c r="AD205" s="1">
        <f t="shared" si="39"/>
        <v>1.9233839498880001</v>
      </c>
      <c r="AE205" s="3">
        <f>schedule13[[#This Row],[CTL Stock]]/schedule13[[#This Row],[SCHEDULE IN MT]]*schedule13[[#This Row],[SCHEDULE]]</f>
        <v>2789.2933183270043</v>
      </c>
      <c r="AF205" s="1">
        <f>SUMIFS(stock[MT],stock[Bucket],schedule13[[#This Row],[Bucket]],stock[CTL Bucket],schedule13[[#This Row],[CTL Bucket]])</f>
        <v>0.89414700000000003</v>
      </c>
      <c r="AG205" s="1">
        <f>SUMIFS(stock[MT],stock[Bucket],schedule13[[#This Row],[Bucket]])+SUMIFS(wip[Stock(Net Wt)],wip[Bucket],schedule13[[#This Row],[Bucket]])/1000</f>
        <v>65.213986000000006</v>
      </c>
      <c r="AH205" s="1">
        <f t="shared" ref="AH205:AH210" si="42">AB205-AF205</f>
        <v>1.0292369498880001</v>
      </c>
      <c r="AI205" s="118">
        <f t="shared" si="40"/>
        <v>0.46488221972116739</v>
      </c>
    </row>
    <row r="206" spans="1:35" hidden="1" x14ac:dyDescent="0.25">
      <c r="A206" s="30">
        <v>89</v>
      </c>
      <c r="B206" s="5" t="s">
        <v>1816</v>
      </c>
      <c r="C206" s="2" t="s">
        <v>953</v>
      </c>
      <c r="D206" s="2"/>
      <c r="E206" s="2" t="s">
        <v>309</v>
      </c>
      <c r="F206" s="2">
        <v>2427960</v>
      </c>
      <c r="G206" s="2" t="s">
        <v>1981</v>
      </c>
      <c r="H206" s="2" t="s">
        <v>962</v>
      </c>
      <c r="I206" s="2"/>
      <c r="J206" s="44" t="s">
        <v>963</v>
      </c>
      <c r="K206" s="2" t="s">
        <v>1867</v>
      </c>
      <c r="L206" s="44" t="s">
        <v>1868</v>
      </c>
      <c r="M206" s="2"/>
      <c r="N206" s="2"/>
      <c r="O206" s="2"/>
      <c r="P206" s="557" t="str">
        <f>CONCATENATE(schedule13[[#This Row],[OD]],"-",schedule13[[#This Row],[ID]],"-",schedule13[[#This Row],[TICKNESS]],"-",schedule13[[#This Row],[GRADE]],"-",schedule13[[#This Row],[FC/NFC]])</f>
        <v>22.23-0-1.6-ERW 1-PE</v>
      </c>
      <c r="Q206" s="557" t="str">
        <f>_xlfn.CONCAT(schedule13[[#This Row],[Bucket]],"-",schedule13[[#This Row],[LENGTH]]/1000)</f>
        <v>22.23-0-1.6-ERW 1-PE-0.67</v>
      </c>
      <c r="R206" s="557">
        <f>COUNTIF(buckets[CTL Bucket],schedule13[[#This Row],[CTL Bucket]])</f>
        <v>3</v>
      </c>
      <c r="S206" s="1">
        <v>22.23</v>
      </c>
      <c r="T206" s="1">
        <v>22.23</v>
      </c>
      <c r="U206" s="6">
        <v>0</v>
      </c>
      <c r="V206" s="1">
        <v>1.6</v>
      </c>
      <c r="W206" s="22">
        <v>670</v>
      </c>
      <c r="X206" s="22" t="s">
        <v>397</v>
      </c>
      <c r="Y206" s="2">
        <v>14000</v>
      </c>
      <c r="Z206" s="2"/>
      <c r="AA206" s="4">
        <f t="shared" si="38"/>
        <v>14000</v>
      </c>
      <c r="AB206" s="1">
        <f>(3.14*(schedule13[[#This Row],[ACTUAL OD]]-schedule13[[#This Row],[TICKNESS]])*schedule13[[#This Row],[TICKNESS]]*schedule13[[#This Row],[LENGTH]]*7.85)/1000000*schedule13[[#This Row],[SCHEDULE]]/1000</f>
        <v>7.6317011209599999</v>
      </c>
      <c r="AC206" s="1">
        <f t="shared" si="34"/>
        <v>0</v>
      </c>
      <c r="AD206" s="1">
        <f t="shared" si="39"/>
        <v>7.6317011209599999</v>
      </c>
      <c r="AE206" s="3">
        <f>schedule13[[#This Row],[CTL Stock]]/schedule13[[#This Row],[SCHEDULE IN MT]]*schedule13[[#This Row],[SCHEDULE]]</f>
        <v>1.9812096622172277</v>
      </c>
      <c r="AF206" s="1">
        <f>SUMIFS(stock[MT],stock[Bucket],schedule13[[#This Row],[Bucket]],stock[CTL Bucket],schedule13[[#This Row],[CTL Bucket]])</f>
        <v>1.08E-3</v>
      </c>
      <c r="AG206" s="1">
        <f>SUMIFS(stock[MT],stock[Bucket],schedule13[[#This Row],[Bucket]])+SUMIFS(wip[Stock(Net Wt)],wip[Bucket],schedule13[[#This Row],[Bucket]])/1000</f>
        <v>65.213986000000006</v>
      </c>
      <c r="AH206" s="1">
        <f t="shared" si="42"/>
        <v>7.6306211209599999</v>
      </c>
      <c r="AI206" s="118">
        <f t="shared" si="40"/>
        <v>1.4151497587265913E-4</v>
      </c>
    </row>
    <row r="207" spans="1:35" hidden="1" x14ac:dyDescent="0.25">
      <c r="A207" s="30">
        <v>90</v>
      </c>
      <c r="B207" s="5" t="s">
        <v>1816</v>
      </c>
      <c r="C207" s="2" t="s">
        <v>953</v>
      </c>
      <c r="D207" s="2"/>
      <c r="E207" s="2" t="s">
        <v>309</v>
      </c>
      <c r="F207" s="2">
        <v>2427939</v>
      </c>
      <c r="G207" s="2" t="s">
        <v>1512</v>
      </c>
      <c r="H207" s="2" t="s">
        <v>962</v>
      </c>
      <c r="I207" s="2"/>
      <c r="J207" s="44" t="s">
        <v>963</v>
      </c>
      <c r="K207" s="2" t="s">
        <v>1867</v>
      </c>
      <c r="L207" s="44" t="s">
        <v>1868</v>
      </c>
      <c r="M207" s="2"/>
      <c r="N207" s="2" t="s">
        <v>1895</v>
      </c>
      <c r="O207" s="2"/>
      <c r="P207" s="557" t="str">
        <f>CONCATENATE(schedule13[[#This Row],[OD]],"-",schedule13[[#This Row],[ID]],"-",schedule13[[#This Row],[TICKNESS]],"-",schedule13[[#This Row],[GRADE]],"-",schedule13[[#This Row],[FC/NFC]])</f>
        <v>22.23-0-1.6-ERW 1-PE</v>
      </c>
      <c r="Q207" s="557" t="str">
        <f>_xlfn.CONCAT(schedule13[[#This Row],[Bucket]],"-",schedule13[[#This Row],[LENGTH]]/1000)</f>
        <v>22.23-0-1.6-ERW 1-PE-0.675</v>
      </c>
      <c r="R207" s="557">
        <f>COUNTIF(buckets[CTL Bucket],schedule13[[#This Row],[CTL Bucket]])</f>
        <v>2</v>
      </c>
      <c r="S207" s="1">
        <v>22.23</v>
      </c>
      <c r="T207" s="1">
        <v>22.23</v>
      </c>
      <c r="U207" s="6">
        <v>0</v>
      </c>
      <c r="V207" s="1">
        <v>1.6</v>
      </c>
      <c r="W207" s="22">
        <v>675</v>
      </c>
      <c r="X207" s="22" t="s">
        <v>397</v>
      </c>
      <c r="Y207" s="2">
        <v>14000</v>
      </c>
      <c r="Z207" s="2"/>
      <c r="AA207" s="4">
        <f t="shared" si="38"/>
        <v>14000</v>
      </c>
      <c r="AB207" s="1">
        <f>(3.14*(schedule13[[#This Row],[ACTUAL OD]]-schedule13[[#This Row],[TICKNESS]])*schedule13[[#This Row],[TICKNESS]]*schedule13[[#This Row],[LENGTH]]*7.85)/1000000*schedule13[[#This Row],[SCHEDULE]]/1000</f>
        <v>7.6886541144000002</v>
      </c>
      <c r="AC207" s="1">
        <f t="shared" si="34"/>
        <v>0</v>
      </c>
      <c r="AD207" s="1">
        <f t="shared" si="39"/>
        <v>7.6886541144000002</v>
      </c>
      <c r="AE207" s="3">
        <f>schedule13[[#This Row],[CTL Stock]]/schedule13[[#This Row],[SCHEDULE IN MT]]*schedule13[[#This Row],[SCHEDULE]]</f>
        <v>0</v>
      </c>
      <c r="AF207" s="1">
        <f>SUMIFS(stock[MT],stock[Bucket],schedule13[[#This Row],[Bucket]],stock[CTL Bucket],schedule13[[#This Row],[CTL Bucket]])</f>
        <v>0</v>
      </c>
      <c r="AG207" s="1">
        <f>SUMIFS(stock[MT],stock[Bucket],schedule13[[#This Row],[Bucket]])+SUMIFS(wip[Stock(Net Wt)],wip[Bucket],schedule13[[#This Row],[Bucket]])/1000</f>
        <v>65.213986000000006</v>
      </c>
      <c r="AH207" s="1">
        <f t="shared" si="42"/>
        <v>7.6886541144000002</v>
      </c>
      <c r="AI207" s="118">
        <f t="shared" si="40"/>
        <v>0</v>
      </c>
    </row>
    <row r="208" spans="1:35" hidden="1" x14ac:dyDescent="0.25">
      <c r="A208" s="30">
        <v>91</v>
      </c>
      <c r="B208" s="5" t="s">
        <v>1816</v>
      </c>
      <c r="C208" s="2" t="s">
        <v>953</v>
      </c>
      <c r="D208" s="2"/>
      <c r="E208" s="2" t="s">
        <v>309</v>
      </c>
      <c r="F208" s="2">
        <v>1940408</v>
      </c>
      <c r="G208" s="2" t="s">
        <v>1982</v>
      </c>
      <c r="H208" s="2" t="s">
        <v>962</v>
      </c>
      <c r="I208" s="2"/>
      <c r="J208" s="2" t="s">
        <v>963</v>
      </c>
      <c r="K208" s="2" t="s">
        <v>1867</v>
      </c>
      <c r="L208" s="44" t="s">
        <v>1891</v>
      </c>
      <c r="M208" s="2"/>
      <c r="N208" s="2"/>
      <c r="O208" s="2"/>
      <c r="P208" s="557" t="str">
        <f>CONCATENATE(schedule13[[#This Row],[OD]],"-",schedule13[[#This Row],[ID]],"-",schedule13[[#This Row],[TICKNESS]],"-",schedule13[[#This Row],[GRADE]],"-",schedule13[[#This Row],[FC/NFC]])</f>
        <v>22.23-0-1.6-ERW 1-PE</v>
      </c>
      <c r="Q208" s="557" t="str">
        <f>_xlfn.CONCAT(schedule13[[#This Row],[Bucket]],"-",schedule13[[#This Row],[LENGTH]]/1000)</f>
        <v>22.23-0-1.6-ERW 1-PE-0.809</v>
      </c>
      <c r="R208" s="557">
        <f>COUNTIF(buckets[CTL Bucket],schedule13[[#This Row],[CTL Bucket]])</f>
        <v>3</v>
      </c>
      <c r="S208" s="1">
        <v>22.23</v>
      </c>
      <c r="T208" s="1">
        <v>22.23</v>
      </c>
      <c r="U208" s="6">
        <v>0</v>
      </c>
      <c r="V208" s="1">
        <v>1.6</v>
      </c>
      <c r="W208" s="22">
        <v>809</v>
      </c>
      <c r="X208" s="22" t="s">
        <v>397</v>
      </c>
      <c r="Y208" s="2">
        <v>2000</v>
      </c>
      <c r="Z208" s="2"/>
      <c r="AA208" s="4">
        <f t="shared" si="38"/>
        <v>2000</v>
      </c>
      <c r="AB208" s="1">
        <f>(3.14*(schedule13[[#This Row],[ACTUAL OD]]-schedule13[[#This Row],[TICKNESS]])*schedule13[[#This Row],[TICKNESS]]*schedule13[[#This Row],[LENGTH]]*7.85)/1000000*schedule13[[#This Row],[SCHEDULE]]/1000</f>
        <v>1.3164277626559999</v>
      </c>
      <c r="AC208" s="1">
        <f t="shared" si="34"/>
        <v>0</v>
      </c>
      <c r="AD208" s="1">
        <f t="shared" si="39"/>
        <v>1.3164277626559999</v>
      </c>
      <c r="AE208" s="3">
        <f>schedule13[[#This Row],[CTL Stock]]/schedule13[[#This Row],[SCHEDULE IN MT]]*schedule13[[#This Row],[SCHEDULE]]</f>
        <v>0</v>
      </c>
      <c r="AF208" s="1">
        <f>SUMIFS(stock[MT],stock[Bucket],schedule13[[#This Row],[Bucket]],stock[CTL Bucket],schedule13[[#This Row],[CTL Bucket]])</f>
        <v>0</v>
      </c>
      <c r="AG208" s="1">
        <f>SUMIFS(stock[MT],stock[Bucket],schedule13[[#This Row],[Bucket]])+SUMIFS(wip[Stock(Net Wt)],wip[Bucket],schedule13[[#This Row],[Bucket]])/1000</f>
        <v>65.213986000000006</v>
      </c>
      <c r="AH208" s="1">
        <f t="shared" si="42"/>
        <v>1.3164277626559999</v>
      </c>
      <c r="AI208" s="118">
        <f t="shared" si="40"/>
        <v>0</v>
      </c>
    </row>
    <row r="209" spans="1:35" hidden="1" x14ac:dyDescent="0.25">
      <c r="A209" s="30">
        <v>94</v>
      </c>
      <c r="B209" s="5" t="s">
        <v>1816</v>
      </c>
      <c r="C209" s="2" t="s">
        <v>953</v>
      </c>
      <c r="D209" s="2"/>
      <c r="E209" s="2" t="s">
        <v>309</v>
      </c>
      <c r="F209" s="2">
        <v>1940437</v>
      </c>
      <c r="G209" s="2" t="s">
        <v>637</v>
      </c>
      <c r="H209" s="2" t="s">
        <v>962</v>
      </c>
      <c r="I209" s="2"/>
      <c r="J209" s="2" t="s">
        <v>963</v>
      </c>
      <c r="K209" s="2" t="s">
        <v>239</v>
      </c>
      <c r="L209" s="2"/>
      <c r="M209" s="2"/>
      <c r="N209" s="2"/>
      <c r="O209" s="2"/>
      <c r="P209" s="557" t="str">
        <f>CONCATENATE(schedule13[[#This Row],[OD]],"-",schedule13[[#This Row],[ID]],"-",schedule13[[#This Row],[TICKNESS]],"-",schedule13[[#This Row],[GRADE]],"-",schedule13[[#This Row],[FC/NFC]])</f>
        <v>22.23-0-2-ERW 1-PE</v>
      </c>
      <c r="Q209" s="557" t="str">
        <f>_xlfn.CONCAT(schedule13[[#This Row],[Bucket]],"-",schedule13[[#This Row],[LENGTH]]/1000)</f>
        <v>22.23-0-2-ERW 1-PE-0.394</v>
      </c>
      <c r="R209" s="557">
        <f>COUNTIF(buckets[CTL Bucket],schedule13[[#This Row],[CTL Bucket]])</f>
        <v>2</v>
      </c>
      <c r="S209" s="1">
        <v>22.23</v>
      </c>
      <c r="T209" s="1">
        <v>22.23</v>
      </c>
      <c r="U209" s="6">
        <v>0</v>
      </c>
      <c r="V209" s="1">
        <v>2</v>
      </c>
      <c r="W209" s="22">
        <v>394</v>
      </c>
      <c r="X209" s="22" t="s">
        <v>397</v>
      </c>
      <c r="Y209" s="2">
        <v>15000</v>
      </c>
      <c r="Z209" s="2"/>
      <c r="AA209" s="4">
        <f t="shared" si="38"/>
        <v>15000</v>
      </c>
      <c r="AB209" s="1">
        <f>(3.14*(schedule13[[#This Row],[ACTUAL OD]]-schedule13[[#This Row],[TICKNESS]])*schedule13[[#This Row],[TICKNESS]]*schedule13[[#This Row],[LENGTH]]*7.85)/1000000*schedule13[[#This Row],[SCHEDULE]]/1000</f>
        <v>5.8940343714000001</v>
      </c>
      <c r="AC209" s="1">
        <f t="shared" si="34"/>
        <v>0</v>
      </c>
      <c r="AD209" s="1">
        <f t="shared" si="39"/>
        <v>5.8940343714000001</v>
      </c>
      <c r="AE209" s="3">
        <f>schedule13[[#This Row],[CTL Stock]]/schedule13[[#This Row],[SCHEDULE IN MT]]*schedule13[[#This Row],[SCHEDULE]]</f>
        <v>5.9755335277480315</v>
      </c>
      <c r="AF209" s="1">
        <f>SUMIFS(stock[MT],stock[Bucket],schedule13[[#This Row],[Bucket]],stock[CTL Bucket],schedule13[[#This Row],[CTL Bucket]])</f>
        <v>2.3479999999999998E-3</v>
      </c>
      <c r="AG209" s="1">
        <f>SUMIFS(stock[MT],stock[Bucket],schedule13[[#This Row],[Bucket]])+SUMIFS(wip[Stock(Net Wt)],wip[Bucket],schedule13[[#This Row],[Bucket]])/1000</f>
        <v>15.848029999999998</v>
      </c>
      <c r="AH209" s="1">
        <f t="shared" si="42"/>
        <v>5.8916863714000005</v>
      </c>
      <c r="AI209" s="118">
        <f t="shared" si="40"/>
        <v>3.9836890184986878E-4</v>
      </c>
    </row>
    <row r="210" spans="1:35" hidden="1" x14ac:dyDescent="0.25">
      <c r="A210" s="30">
        <v>95</v>
      </c>
      <c r="B210" s="5" t="s">
        <v>1816</v>
      </c>
      <c r="C210" s="2" t="s">
        <v>953</v>
      </c>
      <c r="D210" s="2"/>
      <c r="E210" s="2" t="s">
        <v>309</v>
      </c>
      <c r="F210" s="2">
        <v>1940466</v>
      </c>
      <c r="G210" s="2" t="s">
        <v>764</v>
      </c>
      <c r="H210" s="2" t="s">
        <v>962</v>
      </c>
      <c r="I210" s="2"/>
      <c r="J210" s="2" t="s">
        <v>963</v>
      </c>
      <c r="K210" s="2" t="s">
        <v>239</v>
      </c>
      <c r="L210" s="2"/>
      <c r="M210" s="2"/>
      <c r="N210" s="2"/>
      <c r="O210" s="2"/>
      <c r="P210" s="557" t="str">
        <f>CONCATENATE(schedule13[[#This Row],[OD]],"-",schedule13[[#This Row],[ID]],"-",schedule13[[#This Row],[TICKNESS]],"-",schedule13[[#This Row],[GRADE]],"-",schedule13[[#This Row],[FC/NFC]])</f>
        <v>22.23-0-2-ERW 1-PE</v>
      </c>
      <c r="Q210" s="557" t="str">
        <f>_xlfn.CONCAT(schedule13[[#This Row],[Bucket]],"-",schedule13[[#This Row],[LENGTH]]/1000)</f>
        <v>22.23-0-2-ERW 1-PE-0.809</v>
      </c>
      <c r="R210" s="557">
        <f>COUNTIF(buckets[CTL Bucket],schedule13[[#This Row],[CTL Bucket]])</f>
        <v>2</v>
      </c>
      <c r="S210" s="1">
        <v>22.23</v>
      </c>
      <c r="T210" s="1">
        <v>22.23</v>
      </c>
      <c r="U210" s="6">
        <v>0</v>
      </c>
      <c r="V210" s="1">
        <v>2</v>
      </c>
      <c r="W210" s="22">
        <v>809</v>
      </c>
      <c r="X210" s="22" t="s">
        <v>397</v>
      </c>
      <c r="Y210" s="2">
        <v>6000</v>
      </c>
      <c r="Z210" s="2"/>
      <c r="AA210" s="4">
        <f t="shared" si="38"/>
        <v>6000</v>
      </c>
      <c r="AB210" s="1">
        <f>(3.14*(schedule13[[#This Row],[ACTUAL OD]]-schedule13[[#This Row],[TICKNESS]])*schedule13[[#This Row],[TICKNESS]]*schedule13[[#This Row],[LENGTH]]*7.85)/1000000*schedule13[[#This Row],[SCHEDULE]]/1000</f>
        <v>4.8408871131600009</v>
      </c>
      <c r="AC210" s="1">
        <f t="shared" si="34"/>
        <v>0</v>
      </c>
      <c r="AD210" s="1">
        <f t="shared" si="39"/>
        <v>4.8408871131600009</v>
      </c>
      <c r="AE210" s="3">
        <f>schedule13[[#This Row],[CTL Stock]]/schedule13[[#This Row],[SCHEDULE IN MT]]*schedule13[[#This Row],[SCHEDULE]]</f>
        <v>2300.2015415169144</v>
      </c>
      <c r="AF210" s="1">
        <f>SUMIFS(stock[MT],stock[Bucket],schedule13[[#This Row],[Bucket]],stock[CTL Bucket],schedule13[[#This Row],[CTL Bucket]])</f>
        <v>1.855836</v>
      </c>
      <c r="AG210" s="1">
        <f>SUMIFS(stock[MT],stock[Bucket],schedule13[[#This Row],[Bucket]])+SUMIFS(wip[Stock(Net Wt)],wip[Bucket],schedule13[[#This Row],[Bucket]])/1000</f>
        <v>15.848029999999998</v>
      </c>
      <c r="AH210" s="1">
        <f t="shared" si="42"/>
        <v>2.9850511131600008</v>
      </c>
      <c r="AI210" s="118">
        <f t="shared" si="40"/>
        <v>0.38336692358615243</v>
      </c>
    </row>
    <row r="211" spans="1:35" hidden="1" x14ac:dyDescent="0.25">
      <c r="A211" s="30">
        <v>101</v>
      </c>
      <c r="B211" s="5" t="s">
        <v>1816</v>
      </c>
      <c r="C211" s="2" t="s">
        <v>953</v>
      </c>
      <c r="D211" s="2"/>
      <c r="E211" s="2" t="s">
        <v>309</v>
      </c>
      <c r="F211" s="2"/>
      <c r="G211" s="2" t="s">
        <v>1986</v>
      </c>
      <c r="H211" s="2" t="s">
        <v>962</v>
      </c>
      <c r="I211" s="2"/>
      <c r="J211" s="2" t="s">
        <v>963</v>
      </c>
      <c r="K211" s="2" t="s">
        <v>239</v>
      </c>
      <c r="L211" s="2"/>
      <c r="M211" s="2"/>
      <c r="N211" s="2"/>
      <c r="O211" s="2"/>
      <c r="P211" s="557" t="str">
        <f>CONCATENATE(schedule13[[#This Row],[OD]],"-",schedule13[[#This Row],[ID]],"-",schedule13[[#This Row],[TICKNESS]],"-",schedule13[[#This Row],[GRADE]],"-",schedule13[[#This Row],[FC/NFC]])</f>
        <v>25.4-0-2-ERW 1-PE</v>
      </c>
      <c r="Q211" s="557" t="str">
        <f>_xlfn.CONCAT(schedule13[[#This Row],[Bucket]],"-",schedule13[[#This Row],[LENGTH]]/1000)</f>
        <v>25.4-0-2-ERW 1-PE-0.412</v>
      </c>
      <c r="R211" s="557">
        <f>COUNTIF(buckets[CTL Bucket],schedule13[[#This Row],[CTL Bucket]])</f>
        <v>1</v>
      </c>
      <c r="S211" s="1">
        <v>25.4</v>
      </c>
      <c r="T211" s="1">
        <v>25.4</v>
      </c>
      <c r="U211" s="1">
        <v>0</v>
      </c>
      <c r="V211" s="1">
        <v>2</v>
      </c>
      <c r="W211" s="22">
        <v>412</v>
      </c>
      <c r="X211" s="22" t="s">
        <v>397</v>
      </c>
      <c r="Y211" s="2">
        <v>8000</v>
      </c>
      <c r="Z211" s="2"/>
      <c r="AA211" s="4">
        <f t="shared" si="38"/>
        <v>8000</v>
      </c>
      <c r="AB211" s="1">
        <f>(3.14*(schedule13[[#This Row],[ACTUAL OD]]-schedule13[[#This Row],[TICKNESS]])*schedule13[[#This Row],[TICKNESS]]*schedule13[[#This Row],[LENGTH]]*7.85)/1000000*schedule13[[#This Row],[SCHEDULE]]/1000</f>
        <v>3.8021772672000003</v>
      </c>
      <c r="AC211" s="1">
        <f t="shared" si="34"/>
        <v>0</v>
      </c>
      <c r="AD211" s="1">
        <f t="shared" si="39"/>
        <v>3.8021772672000003</v>
      </c>
      <c r="AE211" s="3">
        <f>schedule13[[#This Row],[CTL Stock]]/schedule13[[#This Row],[SCHEDULE IN MT]]*schedule13[[#This Row],[SCHEDULE]]</f>
        <v>0</v>
      </c>
      <c r="AF211" s="1">
        <f>SUMIFS(stock[MT],stock[Bucket],schedule13[[#This Row],[Bucket]],stock[CTL Bucket],schedule13[[#This Row],[CTL Bucket]])</f>
        <v>0</v>
      </c>
      <c r="AG211" s="1">
        <f>SUMIFS(stock[MT],stock[Bucket],schedule13[[#This Row],[Bucket]])+SUMIFS(wip[Stock(Net Wt)],wip[Bucket],schedule13[[#This Row],[Bucket]])/1000</f>
        <v>6.7099399999999996</v>
      </c>
      <c r="AH211" s="1">
        <f t="shared" ref="AH211:AH222" si="43">AB210-AF211</f>
        <v>4.8408871131600009</v>
      </c>
      <c r="AI211" s="118">
        <f t="shared" si="40"/>
        <v>0</v>
      </c>
    </row>
    <row r="212" spans="1:35" hidden="1" x14ac:dyDescent="0.25">
      <c r="A212" s="30">
        <v>102</v>
      </c>
      <c r="B212" s="5" t="s">
        <v>1872</v>
      </c>
      <c r="C212" s="2" t="s">
        <v>953</v>
      </c>
      <c r="D212" s="2"/>
      <c r="E212" s="2" t="s">
        <v>309</v>
      </c>
      <c r="F212" s="2">
        <v>2410997</v>
      </c>
      <c r="G212" s="2" t="s">
        <v>814</v>
      </c>
      <c r="H212" s="2" t="s">
        <v>357</v>
      </c>
      <c r="I212" s="2"/>
      <c r="J212" s="2" t="s">
        <v>357</v>
      </c>
      <c r="K212" s="2" t="s">
        <v>239</v>
      </c>
      <c r="L212" s="2"/>
      <c r="M212" s="2"/>
      <c r="N212" s="2"/>
      <c r="O212" s="2"/>
      <c r="P212" s="557" t="str">
        <f>CONCATENATE(schedule13[[#This Row],[OD]],"-",schedule13[[#This Row],[ID]],"-",schedule13[[#This Row],[TICKNESS]],"-",schedule13[[#This Row],[GRADE]],"-",schedule13[[#This Row],[FC/NFC]])</f>
        <v>25.4-19-3.2-CEW-CEW</v>
      </c>
      <c r="Q212" s="557" t="str">
        <f>schedule13[[#This Row],[Bucket]]</f>
        <v>25.4-19-3.2-CEW-CEW</v>
      </c>
      <c r="R212" s="557">
        <f>COUNTIF(buckets[CTL Bucket],schedule13[[#This Row],[CTL Bucket]])</f>
        <v>0</v>
      </c>
      <c r="S212" s="1">
        <v>25.4</v>
      </c>
      <c r="T212" s="1">
        <v>25.4</v>
      </c>
      <c r="U212" s="1">
        <v>19</v>
      </c>
      <c r="V212" s="1">
        <v>3.2</v>
      </c>
      <c r="W212" s="22">
        <v>1000</v>
      </c>
      <c r="X212" s="22" t="s">
        <v>444</v>
      </c>
      <c r="Y212" s="2">
        <v>3500</v>
      </c>
      <c r="Z212" s="2"/>
      <c r="AA212" s="4">
        <f t="shared" si="38"/>
        <v>3500</v>
      </c>
      <c r="AB212" s="1">
        <f>(3.14*(schedule13[[#This Row],[ACTUAL OD]]-schedule13[[#This Row],[TICKNESS]])*schedule13[[#This Row],[TICKNESS]]*schedule13[[#This Row],[LENGTH]]*7.85)/1000000*schedule13[[#This Row],[SCHEDULE]]/1000</f>
        <v>6.1287273600000001</v>
      </c>
      <c r="AC212" s="1">
        <f t="shared" si="34"/>
        <v>0</v>
      </c>
      <c r="AD212" s="1">
        <f t="shared" si="39"/>
        <v>6.1287273600000001</v>
      </c>
      <c r="AE212" s="3">
        <f>schedule13[[#This Row],[CTL Stock]]/schedule13[[#This Row],[SCHEDULE IN MT]]*schedule13[[#This Row],[SCHEDULE]]</f>
        <v>0</v>
      </c>
      <c r="AF212" s="1">
        <f>SUMIFS(stock[MT],stock[Bucket],schedule13[[#This Row],[Bucket]],stock[CTL Bucket],schedule13[[#This Row],[CTL Bucket]])</f>
        <v>0</v>
      </c>
      <c r="AG212" s="1">
        <f>SUMIFS(stock[MT],stock[Bucket],schedule13[[#This Row],[Bucket]])+SUMIFS(wip[Stock(Net Wt)],wip[Bucket],schedule13[[#This Row],[Bucket]])/1000</f>
        <v>0.19838500000000001</v>
      </c>
      <c r="AH212" s="1">
        <f t="shared" si="43"/>
        <v>3.8021772672000003</v>
      </c>
      <c r="AI212" s="118">
        <f t="shared" si="40"/>
        <v>0</v>
      </c>
    </row>
    <row r="213" spans="1:35" hidden="1" x14ac:dyDescent="0.25">
      <c r="A213" s="30">
        <v>105</v>
      </c>
      <c r="B213" s="5" t="s">
        <v>1816</v>
      </c>
      <c r="C213" s="2" t="s">
        <v>953</v>
      </c>
      <c r="D213" s="2"/>
      <c r="E213" s="2" t="s">
        <v>309</v>
      </c>
      <c r="F213" s="2">
        <v>1933557</v>
      </c>
      <c r="G213" s="2" t="s">
        <v>1997</v>
      </c>
      <c r="H213" s="2" t="s">
        <v>962</v>
      </c>
      <c r="I213" s="2"/>
      <c r="J213" s="2" t="s">
        <v>963</v>
      </c>
      <c r="K213" s="2" t="s">
        <v>1867</v>
      </c>
      <c r="L213" s="44" t="s">
        <v>1924</v>
      </c>
      <c r="M213" s="2"/>
      <c r="N213" s="2"/>
      <c r="O213" s="2"/>
      <c r="P213" s="557" t="str">
        <f>CONCATENATE(schedule13[[#This Row],[OD]],"-",schedule13[[#This Row],[ID]],"-",schedule13[[#This Row],[TICKNESS]],"-",schedule13[[#This Row],[GRADE]],"-",schedule13[[#This Row],[FC/NFC]])</f>
        <v>28.58-0-1.6-ERW 1-PE</v>
      </c>
      <c r="Q213" s="557" t="str">
        <f>_xlfn.CONCAT(schedule13[[#This Row],[Bucket]],"-",schedule13[[#This Row],[LENGTH]]/1000)</f>
        <v>28.58-0-1.6-ERW 1-PE-0.845</v>
      </c>
      <c r="R213" s="557">
        <f>COUNTIF(buckets[CTL Bucket],schedule13[[#This Row],[CTL Bucket]])</f>
        <v>0</v>
      </c>
      <c r="S213" s="1">
        <v>28.58</v>
      </c>
      <c r="T213" s="1">
        <v>28.58</v>
      </c>
      <c r="U213" s="6">
        <v>0</v>
      </c>
      <c r="V213" s="1">
        <v>1.6</v>
      </c>
      <c r="W213" s="22">
        <v>845</v>
      </c>
      <c r="X213" s="22" t="s">
        <v>397</v>
      </c>
      <c r="Y213" s="2">
        <v>100</v>
      </c>
      <c r="Z213" s="2"/>
      <c r="AA213" s="4">
        <f t="shared" si="38"/>
        <v>100</v>
      </c>
      <c r="AB213" s="1">
        <f>(3.14*(schedule13[[#This Row],[ACTUAL OD]]-schedule13[[#This Row],[TICKNESS]])*schedule13[[#This Row],[TICKNESS]]*schedule13[[#This Row],[LENGTH]]*7.85)/1000000*schedule13[[#This Row],[SCHEDULE]]/1000</f>
        <v>8.9912058704E-2</v>
      </c>
      <c r="AC213" s="1">
        <f t="shared" si="34"/>
        <v>0</v>
      </c>
      <c r="AD213" s="1">
        <f t="shared" si="39"/>
        <v>8.9912058704E-2</v>
      </c>
      <c r="AE213" s="3">
        <f>schedule13[[#This Row],[CTL Stock]]/schedule13[[#This Row],[SCHEDULE IN MT]]*schedule13[[#This Row],[SCHEDULE]]</f>
        <v>0</v>
      </c>
      <c r="AF213" s="1">
        <f>SUMIFS(stock[MT],stock[Bucket],schedule13[[#This Row],[Bucket]],stock[CTL Bucket],schedule13[[#This Row],[CTL Bucket]])</f>
        <v>0</v>
      </c>
      <c r="AG213" s="1">
        <f>SUMIFS(stock[MT],stock[Bucket],schedule13[[#This Row],[Bucket]])+SUMIFS(wip[Stock(Net Wt)],wip[Bucket],schedule13[[#This Row],[Bucket]])/1000</f>
        <v>0</v>
      </c>
      <c r="AH213" s="1">
        <f t="shared" si="43"/>
        <v>6.1287273600000001</v>
      </c>
      <c r="AI213" s="118">
        <f t="shared" si="40"/>
        <v>0</v>
      </c>
    </row>
    <row r="214" spans="1:35" hidden="1" x14ac:dyDescent="0.25">
      <c r="A214" s="30">
        <v>110</v>
      </c>
      <c r="B214" s="5" t="s">
        <v>1816</v>
      </c>
      <c r="C214" s="2" t="s">
        <v>953</v>
      </c>
      <c r="D214" s="2"/>
      <c r="E214" s="2" t="s">
        <v>309</v>
      </c>
      <c r="F214" s="2">
        <v>1940731</v>
      </c>
      <c r="G214" s="2" t="s">
        <v>1642</v>
      </c>
      <c r="H214" s="2" t="s">
        <v>962</v>
      </c>
      <c r="I214" s="2"/>
      <c r="J214" s="2" t="s">
        <v>1003</v>
      </c>
      <c r="K214" s="2" t="s">
        <v>239</v>
      </c>
      <c r="L214" s="2" t="s">
        <v>1891</v>
      </c>
      <c r="M214" s="2"/>
      <c r="N214" s="2"/>
      <c r="O214" s="2"/>
      <c r="P214" s="557" t="str">
        <f>CONCATENATE(schedule13[[#This Row],[OD]],"-",schedule13[[#This Row],[ID]],"-",schedule13[[#This Row],[TICKNESS]],"-",schedule13[[#This Row],[GRADE]],"-",schedule13[[#This Row],[FC/NFC]])</f>
        <v>38.1-0-1.6-ERW 1-FC</v>
      </c>
      <c r="Q214" s="557" t="str">
        <f>_xlfn.CONCAT(schedule13[[#This Row],[Bucket]],"-",schedule13[[#This Row],[LENGTH]]/1000)</f>
        <v>38.1-0-1.6-ERW 1-FC-0.812</v>
      </c>
      <c r="R214" s="557">
        <f>COUNTIF(buckets[CTL Bucket],schedule13[[#This Row],[CTL Bucket]])</f>
        <v>2</v>
      </c>
      <c r="S214" s="1">
        <v>38.1</v>
      </c>
      <c r="T214" s="1">
        <v>38.1</v>
      </c>
      <c r="U214" s="6">
        <v>0</v>
      </c>
      <c r="V214" s="1">
        <v>1.6</v>
      </c>
      <c r="W214" s="22">
        <v>812</v>
      </c>
      <c r="X214" s="22" t="s">
        <v>397</v>
      </c>
      <c r="Y214" s="2">
        <v>2000</v>
      </c>
      <c r="Z214" s="2"/>
      <c r="AA214" s="4">
        <f t="shared" si="38"/>
        <v>2000</v>
      </c>
      <c r="AB214" s="1">
        <f>(3.14*(schedule13[[#This Row],[ACTUAL OD]]-schedule13[[#This Row],[TICKNESS]])*schedule13[[#This Row],[TICKNESS]]*schedule13[[#This Row],[LENGTH]]*7.85)/1000000*schedule13[[#This Row],[SCHEDULE]]/1000</f>
        <v>2.3377505984</v>
      </c>
      <c r="AC214" s="1">
        <f t="shared" si="34"/>
        <v>0</v>
      </c>
      <c r="AD214" s="1">
        <f t="shared" si="39"/>
        <v>2.3377505984</v>
      </c>
      <c r="AE214" s="3">
        <f>schedule13[[#This Row],[CTL Stock]]/schedule13[[#This Row],[SCHEDULE IN MT]]*schedule13[[#This Row],[SCHEDULE]]</f>
        <v>3966.2331843037373</v>
      </c>
      <c r="AF214" s="1">
        <f>SUMIFS(stock[MT],stock[Bucket],schedule13[[#This Row],[Bucket]],stock[CTL Bucket],schedule13[[#This Row],[CTL Bucket]])</f>
        <v>4.6360320000000002</v>
      </c>
      <c r="AG214" s="1">
        <f>SUMIFS(stock[MT],stock[Bucket],schedule13[[#This Row],[Bucket]])+SUMIFS(wip[Stock(Net Wt)],wip[Bucket],schedule13[[#This Row],[Bucket]])/1000</f>
        <v>12.785389000000002</v>
      </c>
      <c r="AH214" s="1">
        <f t="shared" si="43"/>
        <v>-4.5461199412960003</v>
      </c>
      <c r="AI214" s="118">
        <f t="shared" si="40"/>
        <v>1.9831165921518688</v>
      </c>
    </row>
    <row r="215" spans="1:35" hidden="1" x14ac:dyDescent="0.25">
      <c r="A215" s="30">
        <v>114</v>
      </c>
      <c r="B215" s="5" t="s">
        <v>1816</v>
      </c>
      <c r="C215" s="2" t="s">
        <v>953</v>
      </c>
      <c r="D215" s="2"/>
      <c r="E215" s="2" t="s">
        <v>309</v>
      </c>
      <c r="F215" s="2">
        <v>3509030</v>
      </c>
      <c r="G215" s="2" t="s">
        <v>6561</v>
      </c>
      <c r="H215" s="2" t="s">
        <v>962</v>
      </c>
      <c r="I215" s="2"/>
      <c r="J215" s="2" t="s">
        <v>963</v>
      </c>
      <c r="K215" s="2" t="s">
        <v>239</v>
      </c>
      <c r="L215" s="2"/>
      <c r="M215" s="2"/>
      <c r="N215" s="2"/>
      <c r="O215" s="2"/>
      <c r="P215" s="557" t="str">
        <f>CONCATENATE(schedule13[[#This Row],[OD]],"-",schedule13[[#This Row],[ID]],"-",schedule13[[#This Row],[TICKNESS]],"-",schedule13[[#This Row],[GRADE]],"-",schedule13[[#This Row],[FC/NFC]])</f>
        <v>38.1-0-2-ERW 1-PE</v>
      </c>
      <c r="Q215" s="557" t="str">
        <f>_xlfn.CONCAT(schedule13[[#This Row],[Bucket]],"-",schedule13[[#This Row],[LENGTH]]/1000)</f>
        <v>38.1-0-2-ERW 1-PE-0.406</v>
      </c>
      <c r="R215" s="557">
        <f>COUNTIF(buckets[CTL Bucket],schedule13[[#This Row],[CTL Bucket]])</f>
        <v>1</v>
      </c>
      <c r="S215" s="1">
        <v>38.1</v>
      </c>
      <c r="T215" s="1">
        <v>38.1</v>
      </c>
      <c r="U215" s="6">
        <v>0</v>
      </c>
      <c r="V215" s="1">
        <v>2</v>
      </c>
      <c r="W215" s="22">
        <v>406</v>
      </c>
      <c r="X215" s="22" t="s">
        <v>397</v>
      </c>
      <c r="Y215" s="2">
        <v>6000</v>
      </c>
      <c r="Z215" s="2"/>
      <c r="AA215" s="4">
        <f t="shared" si="38"/>
        <v>6000</v>
      </c>
      <c r="AB215" s="1">
        <f>(3.14*(schedule13[[#This Row],[ACTUAL OD]]-schedule13[[#This Row],[TICKNESS]])*schedule13[[#This Row],[TICKNESS]]*schedule13[[#This Row],[LENGTH]]*7.85)/1000000*schedule13[[#This Row],[SCHEDULE]]/1000</f>
        <v>4.3352464008000009</v>
      </c>
      <c r="AC215" s="1">
        <f t="shared" si="34"/>
        <v>0</v>
      </c>
      <c r="AD215" s="1">
        <f t="shared" si="39"/>
        <v>4.3352464008000009</v>
      </c>
      <c r="AE215" s="3">
        <f>schedule13[[#This Row],[CTL Stock]]/schedule13[[#This Row],[SCHEDULE IN MT]]*schedule13[[#This Row],[SCHEDULE]]</f>
        <v>0</v>
      </c>
      <c r="AF215" s="1">
        <f>SUMIFS(stock[MT],stock[Bucket],schedule13[[#This Row],[Bucket]],stock[CTL Bucket],schedule13[[#This Row],[CTL Bucket]])</f>
        <v>0</v>
      </c>
      <c r="AG215" s="1">
        <f>SUMIFS(stock[MT],stock[Bucket],schedule13[[#This Row],[Bucket]])+SUMIFS(wip[Stock(Net Wt)],wip[Bucket],schedule13[[#This Row],[Bucket]])/1000</f>
        <v>0</v>
      </c>
      <c r="AH215" s="1">
        <f t="shared" si="43"/>
        <v>2.3377505984</v>
      </c>
      <c r="AI215" s="118">
        <f t="shared" si="40"/>
        <v>0</v>
      </c>
    </row>
    <row r="216" spans="1:35" hidden="1" x14ac:dyDescent="0.25">
      <c r="A216" s="30">
        <v>117</v>
      </c>
      <c r="B216" s="5" t="s">
        <v>1816</v>
      </c>
      <c r="C216" s="2" t="s">
        <v>953</v>
      </c>
      <c r="D216" s="2"/>
      <c r="E216" s="2" t="s">
        <v>309</v>
      </c>
      <c r="F216" s="2">
        <v>1940743</v>
      </c>
      <c r="G216" s="2" t="s">
        <v>867</v>
      </c>
      <c r="H216" s="2" t="s">
        <v>962</v>
      </c>
      <c r="I216" s="2"/>
      <c r="J216" s="2" t="s">
        <v>1003</v>
      </c>
      <c r="K216" s="2" t="s">
        <v>239</v>
      </c>
      <c r="L216" s="2"/>
      <c r="M216" s="2"/>
      <c r="N216" s="2"/>
      <c r="O216" s="2"/>
      <c r="P216" s="557" t="str">
        <f>CONCATENATE(schedule13[[#This Row],[OD]],"-",schedule13[[#This Row],[ID]],"-",schedule13[[#This Row],[TICKNESS]],"-",schedule13[[#This Row],[GRADE]],"-",schedule13[[#This Row],[FC/NFC]])</f>
        <v>38.1-0-2-ERW 1-FC</v>
      </c>
      <c r="Q216" s="557" t="str">
        <f>_xlfn.CONCAT(schedule13[[#This Row],[Bucket]],"-",schedule13[[#This Row],[LENGTH]]/1000)</f>
        <v>38.1-0-2-ERW 1-FC-0.812</v>
      </c>
      <c r="R216" s="557">
        <f>COUNTIF(buckets[CTL Bucket],schedule13[[#This Row],[CTL Bucket]])</f>
        <v>2</v>
      </c>
      <c r="S216" s="1">
        <v>38.1</v>
      </c>
      <c r="T216" s="1">
        <v>38.1</v>
      </c>
      <c r="U216" s="6">
        <v>0</v>
      </c>
      <c r="V216" s="1">
        <v>2</v>
      </c>
      <c r="W216" s="22">
        <v>812</v>
      </c>
      <c r="X216" s="22" t="s">
        <v>397</v>
      </c>
      <c r="Y216" s="2">
        <v>2000</v>
      </c>
      <c r="Z216" s="2"/>
      <c r="AA216" s="4">
        <f t="shared" si="38"/>
        <v>2000</v>
      </c>
      <c r="AB216" s="1">
        <f>(3.14*(schedule13[[#This Row],[ACTUAL OD]]-schedule13[[#This Row],[TICKNESS]])*schedule13[[#This Row],[TICKNESS]]*schedule13[[#This Row],[LENGTH]]*7.85)/1000000*schedule13[[#This Row],[SCHEDULE]]/1000</f>
        <v>2.8901642672000003</v>
      </c>
      <c r="AC216" s="1">
        <f t="shared" si="34"/>
        <v>0</v>
      </c>
      <c r="AD216" s="1">
        <f t="shared" si="39"/>
        <v>2.8901642672000003</v>
      </c>
      <c r="AE216" s="3">
        <f>schedule13[[#This Row],[CTL Stock]]/schedule13[[#This Row],[SCHEDULE IN MT]]*schedule13[[#This Row],[SCHEDULE]]</f>
        <v>6464.5128348018206</v>
      </c>
      <c r="AF216" s="1">
        <f>SUMIFS(stock[MT],stock[Bucket],schedule13[[#This Row],[Bucket]],stock[CTL Bucket],schedule13[[#This Row],[CTL Bucket]])</f>
        <v>9.3417519999999996</v>
      </c>
      <c r="AG216" s="1">
        <f>SUMIFS(stock[MT],stock[Bucket],schedule13[[#This Row],[Bucket]])+SUMIFS(wip[Stock(Net Wt)],wip[Bucket],schedule13[[#This Row],[Bucket]])/1000</f>
        <v>102.05120000000002</v>
      </c>
      <c r="AH216" s="1">
        <f t="shared" si="43"/>
        <v>-5.0065055991999987</v>
      </c>
      <c r="AI216" s="118">
        <f t="shared" si="40"/>
        <v>3.2322564174009103</v>
      </c>
    </row>
    <row r="217" spans="1:35" hidden="1" x14ac:dyDescent="0.25">
      <c r="A217" s="30">
        <v>121</v>
      </c>
      <c r="B217" s="5" t="s">
        <v>1928</v>
      </c>
      <c r="C217" s="2" t="s">
        <v>953</v>
      </c>
      <c r="D217" s="2"/>
      <c r="E217" s="2" t="s">
        <v>309</v>
      </c>
      <c r="F217" s="2">
        <v>1568170</v>
      </c>
      <c r="G217" s="2" t="s">
        <v>1718</v>
      </c>
      <c r="H217" s="2" t="s">
        <v>962</v>
      </c>
      <c r="I217" s="2" t="s">
        <v>1894</v>
      </c>
      <c r="J217" s="2" t="s">
        <v>1003</v>
      </c>
      <c r="K217" s="2" t="s">
        <v>239</v>
      </c>
      <c r="L217" s="2"/>
      <c r="M217" s="2" t="s">
        <v>1516</v>
      </c>
      <c r="N217" s="2"/>
      <c r="O217" s="2"/>
      <c r="P217" s="557" t="str">
        <f>CONCATENATE(schedule13[[#This Row],[OD]],"-",schedule13[[#This Row],[ID]],"-",schedule13[[#This Row],[TICKNESS]],"-",schedule13[[#This Row],[GRADE]],"-",schedule13[[#This Row],[FC/NFC]])</f>
        <v>48.6-0-3.5-ERW 1-FC</v>
      </c>
      <c r="Q217" s="557" t="str">
        <f>_xlfn.CONCAT(schedule13[[#This Row],[Bucket]],"-",schedule13[[#This Row],[LENGTH]]/1000)</f>
        <v>48.6-0-3.5-ERW 1-FC-0.196</v>
      </c>
      <c r="R217" s="557">
        <f>COUNTIF(buckets[CTL Bucket],schedule13[[#This Row],[CTL Bucket]])</f>
        <v>5</v>
      </c>
      <c r="S217" s="1">
        <v>48.6</v>
      </c>
      <c r="T217" s="1">
        <v>48.6</v>
      </c>
      <c r="U217" s="1">
        <v>0</v>
      </c>
      <c r="V217" s="1">
        <v>3.5</v>
      </c>
      <c r="W217" s="22">
        <v>196</v>
      </c>
      <c r="X217" s="22" t="s">
        <v>397</v>
      </c>
      <c r="Y217" s="2">
        <v>10000</v>
      </c>
      <c r="Z217" s="2"/>
      <c r="AA217" s="4">
        <f t="shared" si="38"/>
        <v>10000</v>
      </c>
      <c r="AB217" s="1">
        <f>(3.14*(schedule13[[#This Row],[ACTUAL OD]]-schedule13[[#This Row],[TICKNESS]])*schedule13[[#This Row],[TICKNESS]]*schedule13[[#This Row],[LENGTH]]*7.85)/1000000*schedule13[[#This Row],[SCHEDULE]]/1000</f>
        <v>7.6260555139999999</v>
      </c>
      <c r="AC217" s="1">
        <f t="shared" ref="AC217:AC280" si="44">(S217-V217)*V217*W217*0.024653*Z217/1000000</f>
        <v>0</v>
      </c>
      <c r="AD217" s="1">
        <f t="shared" si="39"/>
        <v>7.6260555139999999</v>
      </c>
      <c r="AE217" s="3">
        <f>schedule13[[#This Row],[CTL Stock]]/schedule13[[#This Row],[SCHEDULE IN MT]]*schedule13[[#This Row],[SCHEDULE]]</f>
        <v>2227.2890577334447</v>
      </c>
      <c r="AF217" s="1">
        <f>SUMIFS(stock[MT],stock[Bucket],schedule13[[#This Row],[Bucket]],stock[CTL Bucket],schedule13[[#This Row],[CTL Bucket]])</f>
        <v>1.6985430000000001</v>
      </c>
      <c r="AG217" s="1">
        <f>SUMIFS(stock[MT],stock[Bucket],schedule13[[#This Row],[Bucket]])+SUMIFS(wip[Stock(Net Wt)],wip[Bucket],schedule13[[#This Row],[Bucket]])/1000</f>
        <v>13.734189999999998</v>
      </c>
      <c r="AH217" s="1">
        <f t="shared" si="43"/>
        <v>1.1916212672000002</v>
      </c>
      <c r="AI217" s="118">
        <f t="shared" si="40"/>
        <v>0.22272890577334448</v>
      </c>
    </row>
    <row r="218" spans="1:35" hidden="1" x14ac:dyDescent="0.25">
      <c r="A218" s="30">
        <v>125</v>
      </c>
      <c r="B218" s="5" t="s">
        <v>1816</v>
      </c>
      <c r="C218" s="2" t="s">
        <v>953</v>
      </c>
      <c r="D218" s="2"/>
      <c r="E218" s="2" t="s">
        <v>309</v>
      </c>
      <c r="F218" s="2">
        <v>2353927</v>
      </c>
      <c r="G218" s="2" t="s">
        <v>1995</v>
      </c>
      <c r="H218" s="2" t="s">
        <v>962</v>
      </c>
      <c r="I218" s="2"/>
      <c r="J218" s="2" t="s">
        <v>1003</v>
      </c>
      <c r="K218" s="2" t="s">
        <v>239</v>
      </c>
      <c r="L218" s="2" t="s">
        <v>1868</v>
      </c>
      <c r="M218" s="2"/>
      <c r="N218" s="2" t="s">
        <v>1895</v>
      </c>
      <c r="O218" s="2"/>
      <c r="P218" s="557" t="str">
        <f>CONCATENATE(schedule13[[#This Row],[OD]],"-",schedule13[[#This Row],[ID]],"-",schedule13[[#This Row],[TICKNESS]],"-",schedule13[[#This Row],[GRADE]],"-",schedule13[[#This Row],[FC/NFC]])</f>
        <v>50.8-0-1.6-ERW 1-FC</v>
      </c>
      <c r="Q218" s="557" t="str">
        <f>_xlfn.CONCAT(schedule13[[#This Row],[Bucket]],"-",schedule13[[#This Row],[LENGTH]]/1000)</f>
        <v>50.8-0-1.6-ERW 1-FC-0.385</v>
      </c>
      <c r="R218" s="557">
        <f>COUNTIF(buckets[CTL Bucket],schedule13[[#This Row],[CTL Bucket]])</f>
        <v>3</v>
      </c>
      <c r="S218" s="1">
        <v>50.8</v>
      </c>
      <c r="T218" s="1">
        <v>50.8</v>
      </c>
      <c r="U218" s="6">
        <v>0</v>
      </c>
      <c r="V218" s="1">
        <v>1.6</v>
      </c>
      <c r="W218" s="22">
        <v>385</v>
      </c>
      <c r="X218" s="22" t="s">
        <v>397</v>
      </c>
      <c r="Y218" s="2">
        <v>8000</v>
      </c>
      <c r="Z218" s="2"/>
      <c r="AA218" s="4">
        <f t="shared" si="38"/>
        <v>8000</v>
      </c>
      <c r="AB218" s="1">
        <f>(3.14*(schedule13[[#This Row],[ACTUAL OD]]-schedule13[[#This Row],[TICKNESS]])*schedule13[[#This Row],[TICKNESS]]*schedule13[[#This Row],[LENGTH]]*7.85)/1000000*schedule13[[#This Row],[SCHEDULE]]/1000</f>
        <v>5.9763373824000006</v>
      </c>
      <c r="AC218" s="1">
        <f t="shared" si="44"/>
        <v>0</v>
      </c>
      <c r="AD218" s="1">
        <f t="shared" si="39"/>
        <v>5.9763373824000006</v>
      </c>
      <c r="AE218" s="3">
        <f>schedule13[[#This Row],[CTL Stock]]/schedule13[[#This Row],[SCHEDULE IN MT]]*schedule13[[#This Row],[SCHEDULE]]</f>
        <v>4815.0427525635941</v>
      </c>
      <c r="AF218" s="1">
        <f>SUMIFS(stock[MT],stock[Bucket],schedule13[[#This Row],[Bucket]],stock[CTL Bucket],schedule13[[#This Row],[CTL Bucket]])</f>
        <v>3.5970400000000002</v>
      </c>
      <c r="AG218" s="1">
        <f>SUMIFS(stock[MT],stock[Bucket],schedule13[[#This Row],[Bucket]])+SUMIFS(wip[Stock(Net Wt)],wip[Bucket],schedule13[[#This Row],[Bucket]])/1000</f>
        <v>5.0530400000000002</v>
      </c>
      <c r="AH218" s="1">
        <f t="shared" si="43"/>
        <v>4.0290155139999992</v>
      </c>
      <c r="AI218" s="118">
        <f t="shared" si="40"/>
        <v>0.60188034407044921</v>
      </c>
    </row>
    <row r="219" spans="1:35" hidden="1" x14ac:dyDescent="0.25">
      <c r="A219" s="30">
        <v>127</v>
      </c>
      <c r="B219" s="5" t="s">
        <v>1928</v>
      </c>
      <c r="C219" s="2" t="s">
        <v>953</v>
      </c>
      <c r="D219" s="2"/>
      <c r="E219" s="2" t="s">
        <v>309</v>
      </c>
      <c r="F219" s="2">
        <v>3157631</v>
      </c>
      <c r="G219" s="2" t="s">
        <v>6562</v>
      </c>
      <c r="H219" s="2" t="s">
        <v>993</v>
      </c>
      <c r="I219" s="2"/>
      <c r="J219" s="2" t="s">
        <v>1003</v>
      </c>
      <c r="K219" s="2" t="s">
        <v>1867</v>
      </c>
      <c r="L219" s="2"/>
      <c r="M219" s="2"/>
      <c r="N219" s="2" t="s">
        <v>1895</v>
      </c>
      <c r="O219" s="2"/>
      <c r="P219" s="557" t="str">
        <f>CONCATENATE(schedule13[[#This Row],[OD]],"-",schedule13[[#This Row],[ID]],"-",schedule13[[#This Row],[TICKNESS]],"-",schedule13[[#This Row],[GRADE]],"-",schedule13[[#This Row],[FC/NFC]])</f>
        <v>57.15-0-2.3-ERW 2-FC</v>
      </c>
      <c r="Q219" s="557" t="str">
        <f>_xlfn.CONCAT(schedule13[[#This Row],[Bucket]],"-",schedule13[[#This Row],[LENGTH]]/1000)</f>
        <v>57.15-0-2.3-ERW 2-FC-1.365</v>
      </c>
      <c r="R219" s="557">
        <f>COUNTIF(buckets[CTL Bucket],schedule13[[#This Row],[CTL Bucket]])</f>
        <v>3</v>
      </c>
      <c r="S219" s="1">
        <v>57.15</v>
      </c>
      <c r="T219" s="1">
        <v>57.15</v>
      </c>
      <c r="U219" s="6">
        <v>0</v>
      </c>
      <c r="V219" s="1">
        <v>2.2999999999999998</v>
      </c>
      <c r="W219" s="22">
        <v>1365</v>
      </c>
      <c r="X219" s="22" t="s">
        <v>397</v>
      </c>
      <c r="Y219" s="2">
        <v>15000</v>
      </c>
      <c r="Z219" s="2"/>
      <c r="AA219" s="4">
        <f t="shared" si="38"/>
        <v>15000</v>
      </c>
      <c r="AB219" s="1">
        <f>(3.14*(schedule13[[#This Row],[ACTUAL OD]]-schedule13[[#This Row],[TICKNESS]])*schedule13[[#This Row],[TICKNESS]]*schedule13[[#This Row],[LENGTH]]*7.85)/1000000*schedule13[[#This Row],[SCHEDULE]]/1000</f>
        <v>63.668949332625004</v>
      </c>
      <c r="AC219" s="1">
        <f t="shared" si="44"/>
        <v>0</v>
      </c>
      <c r="AD219" s="1">
        <f t="shared" si="39"/>
        <v>63.668949332625004</v>
      </c>
      <c r="AE219" s="3">
        <f>schedule13[[#This Row],[CTL Stock]]/schedule13[[#This Row],[SCHEDULE IN MT]]*schedule13[[#This Row],[SCHEDULE]]</f>
        <v>502.35421402832367</v>
      </c>
      <c r="AF219" s="1">
        <f>SUMIFS(stock[MT],stock[Bucket],schedule13[[#This Row],[Bucket]],stock[CTL Bucket],schedule13[[#This Row],[CTL Bucket]])</f>
        <v>2.1322909999999999</v>
      </c>
      <c r="AG219" s="1">
        <f>SUMIFS(stock[MT],stock[Bucket],schedule13[[#This Row],[Bucket]])+SUMIFS(wip[Stock(Net Wt)],wip[Bucket],schedule13[[#This Row],[Bucket]])/1000</f>
        <v>22.071048000000001</v>
      </c>
      <c r="AH219" s="1">
        <f t="shared" si="43"/>
        <v>3.8440463824000006</v>
      </c>
      <c r="AI219" s="118">
        <f t="shared" si="40"/>
        <v>3.3490280935221578E-2</v>
      </c>
    </row>
    <row r="220" spans="1:35" hidden="1" x14ac:dyDescent="0.25">
      <c r="A220" s="30">
        <v>57</v>
      </c>
      <c r="B220" s="5" t="s">
        <v>1872</v>
      </c>
      <c r="C220" s="2" t="s">
        <v>954</v>
      </c>
      <c r="D220" s="2"/>
      <c r="E220" s="2">
        <v>189226</v>
      </c>
      <c r="F220" s="2">
        <v>2412748</v>
      </c>
      <c r="G220" s="2" t="s">
        <v>1969</v>
      </c>
      <c r="H220" s="2" t="s">
        <v>357</v>
      </c>
      <c r="I220" s="2"/>
      <c r="J220" s="2"/>
      <c r="K220" s="2" t="s">
        <v>239</v>
      </c>
      <c r="L220" s="2"/>
      <c r="M220" s="2"/>
      <c r="N220" s="2"/>
      <c r="O220" s="2"/>
      <c r="P220" s="557" t="str">
        <f>CONCATENATE(schedule13[[#This Row],[OD]],"-",schedule13[[#This Row],[ID]],"-",schedule13[[#This Row],[TICKNESS]],"-",schedule13[[#This Row],[GRADE]],"-",schedule13[[#This Row],[FC/NFC]])</f>
        <v>0.0960109875294564-0-2-CEW-</v>
      </c>
      <c r="Q220" s="557"/>
      <c r="R220" s="557"/>
      <c r="S220" s="1">
        <v>33.299999999999997</v>
      </c>
      <c r="T220" s="1">
        <v>9.601098752945636E-2</v>
      </c>
      <c r="U220" s="1">
        <v>0</v>
      </c>
      <c r="V220" s="1">
        <v>2</v>
      </c>
      <c r="W220" s="22">
        <v>4300</v>
      </c>
      <c r="X220" s="22"/>
      <c r="Y220" s="2">
        <v>0</v>
      </c>
      <c r="Z220" s="2"/>
      <c r="AA220" s="4">
        <f t="shared" si="38"/>
        <v>0</v>
      </c>
      <c r="AB220" s="1">
        <f>(S220-V220)*V220*W220*0.024653*Y220/1000000</f>
        <v>0</v>
      </c>
      <c r="AC220" s="1">
        <f t="shared" si="44"/>
        <v>0</v>
      </c>
      <c r="AD220" s="1">
        <f t="shared" si="39"/>
        <v>0</v>
      </c>
      <c r="AE220" s="1"/>
      <c r="AF220" s="1"/>
      <c r="AG220" s="1"/>
      <c r="AH220" s="1">
        <f t="shared" si="43"/>
        <v>63.668949332625004</v>
      </c>
      <c r="AI220" s="118" t="e">
        <f t="shared" si="40"/>
        <v>#DIV/0!</v>
      </c>
    </row>
    <row r="221" spans="1:35" hidden="1" x14ac:dyDescent="0.25">
      <c r="A221" s="30">
        <v>59</v>
      </c>
      <c r="B221" s="5" t="s">
        <v>1872</v>
      </c>
      <c r="C221" s="2" t="s">
        <v>954</v>
      </c>
      <c r="D221" s="2"/>
      <c r="E221" s="2">
        <v>189226</v>
      </c>
      <c r="F221" s="2">
        <v>2426342</v>
      </c>
      <c r="G221" s="2" t="s">
        <v>6563</v>
      </c>
      <c r="H221" s="2" t="s">
        <v>357</v>
      </c>
      <c r="I221" s="2"/>
      <c r="J221" s="2"/>
      <c r="K221" s="2" t="s">
        <v>239</v>
      </c>
      <c r="L221" s="2"/>
      <c r="M221" s="2"/>
      <c r="N221" s="2"/>
      <c r="O221" s="2"/>
      <c r="P221" s="557" t="str">
        <f>CONCATENATE(schedule13[[#This Row],[OD]],"-",schedule13[[#This Row],[ID]],"-",schedule13[[#This Row],[TICKNESS]],"-",schedule13[[#This Row],[GRADE]],"-",schedule13[[#This Row],[FC/NFC]])</f>
        <v>11-8-1.5-CEW-</v>
      </c>
      <c r="Q221" s="557"/>
      <c r="R221" s="557"/>
      <c r="S221" s="1">
        <v>11</v>
      </c>
      <c r="T221" s="1">
        <v>11</v>
      </c>
      <c r="U221" s="1">
        <v>8</v>
      </c>
      <c r="V221" s="1">
        <v>1.5</v>
      </c>
      <c r="W221" s="22">
        <v>263</v>
      </c>
      <c r="X221" s="22"/>
      <c r="Y221" s="2">
        <v>0</v>
      </c>
      <c r="Z221" s="2"/>
      <c r="AA221" s="4">
        <f t="shared" si="38"/>
        <v>0</v>
      </c>
      <c r="AB221" s="1">
        <f>(S221-V221)*V221*W221*0.024653*Y221/1000000</f>
        <v>0</v>
      </c>
      <c r="AC221" s="1">
        <f t="shared" si="44"/>
        <v>0</v>
      </c>
      <c r="AD221" s="1">
        <f t="shared" si="39"/>
        <v>0</v>
      </c>
      <c r="AE221" s="1"/>
      <c r="AF221" s="1"/>
      <c r="AG221" s="1"/>
      <c r="AH221" s="1">
        <f t="shared" si="43"/>
        <v>0</v>
      </c>
      <c r="AI221" s="118" t="e">
        <f t="shared" si="40"/>
        <v>#DIV/0!</v>
      </c>
    </row>
    <row r="222" spans="1:35" hidden="1" x14ac:dyDescent="0.25">
      <c r="A222" s="30">
        <v>60</v>
      </c>
      <c r="B222" s="5" t="s">
        <v>1872</v>
      </c>
      <c r="C222" s="2" t="s">
        <v>954</v>
      </c>
      <c r="D222" s="2"/>
      <c r="E222" s="2">
        <v>189226</v>
      </c>
      <c r="F222" s="2">
        <v>1939303</v>
      </c>
      <c r="G222" s="2" t="s">
        <v>6564</v>
      </c>
      <c r="H222" s="2" t="s">
        <v>357</v>
      </c>
      <c r="I222" s="2"/>
      <c r="J222" s="2"/>
      <c r="K222" s="2" t="s">
        <v>239</v>
      </c>
      <c r="L222" s="2"/>
      <c r="M222" s="2"/>
      <c r="N222" s="2"/>
      <c r="O222" s="2"/>
      <c r="P222" s="557" t="str">
        <f>CONCATENATE(schedule13[[#This Row],[OD]],"-",schedule13[[#This Row],[ID]],"-",schedule13[[#This Row],[TICKNESS]],"-",schedule13[[#This Row],[GRADE]],"-",schedule13[[#This Row],[FC/NFC]])</f>
        <v>11-8-1.5-CEW-</v>
      </c>
      <c r="Q222" s="557"/>
      <c r="R222" s="557"/>
      <c r="S222" s="1">
        <v>11</v>
      </c>
      <c r="T222" s="1">
        <v>11</v>
      </c>
      <c r="U222" s="1">
        <v>8</v>
      </c>
      <c r="V222" s="1">
        <v>1.5</v>
      </c>
      <c r="W222" s="22">
        <v>330</v>
      </c>
      <c r="X222" s="22"/>
      <c r="Y222" s="2">
        <v>3000</v>
      </c>
      <c r="Z222" s="2"/>
      <c r="AA222" s="4">
        <f t="shared" si="38"/>
        <v>3000</v>
      </c>
      <c r="AB222" s="1">
        <f>(S222-V222)*V222*W222*0.024653*Y222/1000000</f>
        <v>0.34779219750000001</v>
      </c>
      <c r="AC222" s="1">
        <f t="shared" si="44"/>
        <v>0</v>
      </c>
      <c r="AD222" s="1">
        <f t="shared" si="39"/>
        <v>0.34779219750000001</v>
      </c>
      <c r="AE222" s="1"/>
      <c r="AF222" s="1"/>
      <c r="AG222" s="1"/>
      <c r="AH222" s="1">
        <f t="shared" si="43"/>
        <v>0</v>
      </c>
      <c r="AI222" s="118">
        <f t="shared" si="40"/>
        <v>0</v>
      </c>
    </row>
    <row r="223" spans="1:35" hidden="1" x14ac:dyDescent="0.25">
      <c r="A223" s="30">
        <v>61</v>
      </c>
      <c r="B223" s="5" t="s">
        <v>1816</v>
      </c>
      <c r="C223" s="2" t="s">
        <v>954</v>
      </c>
      <c r="D223" s="2"/>
      <c r="E223" s="2" t="s">
        <v>308</v>
      </c>
      <c r="F223" s="2">
        <v>1939991</v>
      </c>
      <c r="G223" s="2" t="s">
        <v>1147</v>
      </c>
      <c r="H223" s="2" t="s">
        <v>962</v>
      </c>
      <c r="I223" s="2"/>
      <c r="J223" s="2" t="s">
        <v>963</v>
      </c>
      <c r="K223" s="2" t="s">
        <v>1867</v>
      </c>
      <c r="L223" s="2" t="s">
        <v>1881</v>
      </c>
      <c r="M223" s="2"/>
      <c r="N223" s="2"/>
      <c r="O223" s="2"/>
      <c r="P223" s="557" t="str">
        <f>CONCATENATE(schedule13[[#This Row],[OD]],"-",schedule13[[#This Row],[ID]],"-",schedule13[[#This Row],[TICKNESS]],"-",schedule13[[#This Row],[GRADE]],"-",schedule13[[#This Row],[FC/NFC]])</f>
        <v>12.7-0-1.6-ERW 1-PE</v>
      </c>
      <c r="Q223" s="557" t="str">
        <f>_xlfn.CONCAT(schedule13[[#This Row],[Bucket]],"-",schedule13[[#This Row],[LENGTH]]/1000)</f>
        <v>12.7-0-1.6-ERW 1-PE-0.145</v>
      </c>
      <c r="R223" s="557">
        <f>COUNTIF(buckets[CTL Bucket],schedule13[[#This Row],[CTL Bucket]])</f>
        <v>1</v>
      </c>
      <c r="S223" s="1">
        <v>12.7</v>
      </c>
      <c r="T223" s="1">
        <v>12.7</v>
      </c>
      <c r="U223" s="6">
        <v>0</v>
      </c>
      <c r="V223" s="1">
        <v>1.6</v>
      </c>
      <c r="W223" s="22">
        <v>145</v>
      </c>
      <c r="X223" s="22" t="s">
        <v>397</v>
      </c>
      <c r="Y223" s="2">
        <v>20000</v>
      </c>
      <c r="Z223" s="2"/>
      <c r="AA223" s="4">
        <f t="shared" si="38"/>
        <v>20000</v>
      </c>
      <c r="AB223" s="1">
        <f>(3.14*(schedule13[[#This Row],[ACTUAL OD]]-schedule13[[#This Row],[TICKNESS]])*schedule13[[#This Row],[TICKNESS]]*schedule13[[#This Row],[LENGTH]]*7.85)/1000000*schedule13[[#This Row],[SCHEDULE]]/1000</f>
        <v>1.2695220960000002</v>
      </c>
      <c r="AC223" s="1">
        <f t="shared" si="44"/>
        <v>0</v>
      </c>
      <c r="AD223" s="1">
        <f t="shared" si="39"/>
        <v>1.2695220960000002</v>
      </c>
      <c r="AE223" s="3">
        <f>schedule13[[#This Row],[CTL Stock]]/schedule13[[#This Row],[SCHEDULE IN MT]]*schedule13[[#This Row],[SCHEDULE]]</f>
        <v>0</v>
      </c>
      <c r="AF223" s="1">
        <f>SUMIFS(stock[MT],stock[Bucket],schedule13[[#This Row],[Bucket]],stock[CTL Bucket],schedule13[[#This Row],[CTL Bucket]])</f>
        <v>0</v>
      </c>
      <c r="AG223" s="1">
        <f>SUMIFS(stock[MT],stock[Bucket],schedule13[[#This Row],[Bucket]])+SUMIFS(wip[Stock(Net Wt)],wip[Bucket],schedule13[[#This Row],[Bucket]])/1000</f>
        <v>14.452704000000001</v>
      </c>
      <c r="AH223" s="1">
        <f>AB223-AF223</f>
        <v>1.2695220960000002</v>
      </c>
      <c r="AI223" s="118">
        <f t="shared" si="40"/>
        <v>0</v>
      </c>
    </row>
    <row r="224" spans="1:35" hidden="1" x14ac:dyDescent="0.25">
      <c r="A224" s="30">
        <v>62</v>
      </c>
      <c r="B224" s="5" t="s">
        <v>1816</v>
      </c>
      <c r="C224" s="2" t="s">
        <v>954</v>
      </c>
      <c r="D224" s="2"/>
      <c r="E224" s="2">
        <v>189226</v>
      </c>
      <c r="F224" s="2">
        <v>1931237</v>
      </c>
      <c r="G224" s="2" t="s">
        <v>1972</v>
      </c>
      <c r="H224" s="2" t="s">
        <v>962</v>
      </c>
      <c r="I224" s="2"/>
      <c r="J224" s="2"/>
      <c r="K224" s="2" t="s">
        <v>239</v>
      </c>
      <c r="L224" s="2"/>
      <c r="M224" s="2"/>
      <c r="N224" s="2"/>
      <c r="O224" s="2"/>
      <c r="P224" s="557" t="str">
        <f>CONCATENATE(schedule13[[#This Row],[OD]],"-",schedule13[[#This Row],[ID]],"-",schedule13[[#This Row],[TICKNESS]],"-",schedule13[[#This Row],[GRADE]],"-",schedule13[[#This Row],[FC/NFC]])</f>
        <v>12.7-0-2-ERW 1-</v>
      </c>
      <c r="Q224" s="557"/>
      <c r="R224" s="557"/>
      <c r="S224" s="1">
        <v>12.7</v>
      </c>
      <c r="T224" s="1">
        <v>12.7</v>
      </c>
      <c r="U224" s="6">
        <v>0</v>
      </c>
      <c r="V224" s="1">
        <v>2</v>
      </c>
      <c r="W224" s="22">
        <v>5050</v>
      </c>
      <c r="X224" s="22"/>
      <c r="Y224" s="2">
        <v>0</v>
      </c>
      <c r="Z224" s="2"/>
      <c r="AA224" s="4">
        <f t="shared" si="38"/>
        <v>0</v>
      </c>
      <c r="AB224" s="1">
        <f>(S224-V224)*V224*W224*0.024653*Y224/1000000</f>
        <v>0</v>
      </c>
      <c r="AC224" s="1">
        <f t="shared" si="44"/>
        <v>0</v>
      </c>
      <c r="AD224" s="1">
        <f t="shared" si="39"/>
        <v>0</v>
      </c>
      <c r="AE224" s="1"/>
      <c r="AF224" s="1"/>
      <c r="AG224" s="1"/>
      <c r="AH224" s="1"/>
      <c r="AI224" s="118" t="e">
        <f t="shared" si="40"/>
        <v>#DIV/0!</v>
      </c>
    </row>
    <row r="225" spans="1:35" hidden="1" x14ac:dyDescent="0.25">
      <c r="A225" s="30">
        <v>63</v>
      </c>
      <c r="B225" s="5" t="s">
        <v>1872</v>
      </c>
      <c r="C225" s="2" t="s">
        <v>954</v>
      </c>
      <c r="D225" s="2"/>
      <c r="E225" s="2">
        <v>189226</v>
      </c>
      <c r="F225" s="2">
        <v>2363145</v>
      </c>
      <c r="G225" s="2" t="s">
        <v>1946</v>
      </c>
      <c r="H225" s="2" t="s">
        <v>357</v>
      </c>
      <c r="I225" s="2"/>
      <c r="J225" s="2" t="s">
        <v>357</v>
      </c>
      <c r="K225" s="2" t="s">
        <v>239</v>
      </c>
      <c r="L225" s="2"/>
      <c r="M225" s="2"/>
      <c r="N225" s="2"/>
      <c r="O225" s="2"/>
      <c r="P225" s="557" t="s">
        <v>6538</v>
      </c>
      <c r="Q225" s="557" t="s">
        <v>6538</v>
      </c>
      <c r="R225" s="557"/>
      <c r="S225" s="1">
        <v>14</v>
      </c>
      <c r="T225" s="1">
        <v>14</v>
      </c>
      <c r="U225" s="1">
        <v>0</v>
      </c>
      <c r="V225" s="1">
        <v>2.4500000000000002</v>
      </c>
      <c r="W225" s="22">
        <v>1000</v>
      </c>
      <c r="X225" s="22" t="s">
        <v>444</v>
      </c>
      <c r="Y225" s="2">
        <v>4000</v>
      </c>
      <c r="Z225" s="2"/>
      <c r="AA225" s="4">
        <f t="shared" si="38"/>
        <v>4000</v>
      </c>
      <c r="AB225" s="1">
        <f>(3.14*(schedule13[[#This Row],[ACTUAL OD]]-schedule13[[#This Row],[TICKNESS]])*schedule13[[#This Row],[TICKNESS]]*schedule13[[#This Row],[LENGTH]]*7.85)/1000000*schedule13[[#This Row],[SCHEDULE]]/1000</f>
        <v>2.7900203100000005</v>
      </c>
      <c r="AC225" s="1">
        <f t="shared" si="44"/>
        <v>0</v>
      </c>
      <c r="AD225" s="1">
        <f t="shared" si="39"/>
        <v>2.7900203100000005</v>
      </c>
      <c r="AE225" s="3">
        <f>schedule13[[#This Row],[CTL Stock]]/schedule13[[#This Row],[SCHEDULE IN MT]]*schedule13[[#This Row],[SCHEDULE]]</f>
        <v>0</v>
      </c>
      <c r="AF225" s="1">
        <f>SUMIFS(stock[MT],stock[Bucket],schedule13[[#This Row],[Bucket]],stock[CTL Bucket],schedule13[[#This Row],[CTL Bucket]])</f>
        <v>0</v>
      </c>
      <c r="AG225" s="1">
        <f>SUMIFS(stock[MT],stock[Bucket],schedule13[[#This Row],[Bucket]])+SUMIFS(wip[Stock(Net Wt)],wip[Bucket],schedule13[[#This Row],[Bucket]])/1000</f>
        <v>0</v>
      </c>
      <c r="AH225" s="1">
        <f>AB224-AF225</f>
        <v>0</v>
      </c>
      <c r="AI225" s="118">
        <f t="shared" si="40"/>
        <v>0</v>
      </c>
    </row>
    <row r="226" spans="1:35" hidden="1" x14ac:dyDescent="0.25">
      <c r="A226" s="30">
        <v>65</v>
      </c>
      <c r="B226" s="5" t="s">
        <v>1816</v>
      </c>
      <c r="C226" s="2" t="s">
        <v>954</v>
      </c>
      <c r="D226" s="2"/>
      <c r="E226" s="2" t="s">
        <v>308</v>
      </c>
      <c r="F226" s="2">
        <v>1941845</v>
      </c>
      <c r="G226" s="2" t="s">
        <v>1173</v>
      </c>
      <c r="H226" s="2" t="s">
        <v>962</v>
      </c>
      <c r="I226" s="2"/>
      <c r="J226" s="2" t="s">
        <v>963</v>
      </c>
      <c r="K226" s="2" t="s">
        <v>239</v>
      </c>
      <c r="L226" s="2"/>
      <c r="M226" s="2"/>
      <c r="N226" s="2"/>
      <c r="O226" s="2"/>
      <c r="P226" s="557" t="str">
        <f>CONCATENATE(schedule13[[#This Row],[OD]],"-",schedule13[[#This Row],[ID]],"-",schedule13[[#This Row],[TICKNESS]],"-",schedule13[[#This Row],[GRADE]],"-",schedule13[[#This Row],[FC/NFC]])</f>
        <v>15.88-0-1-ERW 1-PE</v>
      </c>
      <c r="Q226" s="557" t="str">
        <f>_xlfn.CONCAT(schedule13[[#This Row],[Bucket]],"-",schedule13[[#This Row],[LENGTH]]/1000)</f>
        <v>15.88-0-1-ERW 1-PE-1.234</v>
      </c>
      <c r="R226" s="557">
        <f>COUNTIF(buckets[CTL Bucket],schedule13[[#This Row],[CTL Bucket]])</f>
        <v>1</v>
      </c>
      <c r="S226" s="1">
        <v>15.88</v>
      </c>
      <c r="T226" s="1">
        <v>15.88</v>
      </c>
      <c r="U226" s="1">
        <v>0</v>
      </c>
      <c r="V226" s="1">
        <v>1</v>
      </c>
      <c r="W226" s="22">
        <v>1234</v>
      </c>
      <c r="X226" s="22" t="s">
        <v>397</v>
      </c>
      <c r="Y226" s="2">
        <v>6000</v>
      </c>
      <c r="Z226" s="2"/>
      <c r="AA226" s="4">
        <f t="shared" si="38"/>
        <v>6000</v>
      </c>
      <c r="AB226" s="1">
        <f>(3.14*(schedule13[[#This Row],[ACTUAL OD]]-schedule13[[#This Row],[TICKNESS]])*schedule13[[#This Row],[TICKNESS]]*schedule13[[#This Row],[LENGTH]]*7.85)/1000000*schedule13[[#This Row],[SCHEDULE]]/1000</f>
        <v>2.7156177964800006</v>
      </c>
      <c r="AC226" s="1">
        <f t="shared" si="44"/>
        <v>0</v>
      </c>
      <c r="AD226" s="1">
        <f t="shared" si="39"/>
        <v>2.7156177964800006</v>
      </c>
      <c r="AE226" s="3">
        <f>schedule13[[#This Row],[CTL Stock]]/schedule13[[#This Row],[SCHEDULE IN MT]]*schedule13[[#This Row],[SCHEDULE]]</f>
        <v>615.80683488215459</v>
      </c>
      <c r="AF226" s="1">
        <f>SUMIFS(stock[MT],stock[Bucket],schedule13[[#This Row],[Bucket]],stock[CTL Bucket],schedule13[[#This Row],[CTL Bucket]])</f>
        <v>0.27871600000000002</v>
      </c>
      <c r="AG226" s="1">
        <f>SUMIFS(stock[MT],stock[Bucket],schedule13[[#This Row],[Bucket]])+SUMIFS(wip[Stock(Net Wt)],wip[Bucket],schedule13[[#This Row],[Bucket]])/1000</f>
        <v>7.7449320000000013</v>
      </c>
      <c r="AH226" s="1">
        <f t="shared" ref="AH226:AH234" si="45">AB226-AF226</f>
        <v>2.4369017964800004</v>
      </c>
      <c r="AI226" s="118">
        <f t="shared" si="40"/>
        <v>0.10263447248035909</v>
      </c>
    </row>
    <row r="227" spans="1:35" hidden="1" x14ac:dyDescent="0.25">
      <c r="A227" s="30">
        <v>66</v>
      </c>
      <c r="B227" s="5" t="s">
        <v>1816</v>
      </c>
      <c r="C227" s="2" t="s">
        <v>954</v>
      </c>
      <c r="D227" s="2"/>
      <c r="E227" s="2" t="s">
        <v>308</v>
      </c>
      <c r="F227" s="2">
        <v>1941846</v>
      </c>
      <c r="G227" s="2" t="s">
        <v>440</v>
      </c>
      <c r="H227" s="2" t="s">
        <v>962</v>
      </c>
      <c r="I227" s="2"/>
      <c r="J227" s="2" t="s">
        <v>963</v>
      </c>
      <c r="K227" s="2" t="s">
        <v>239</v>
      </c>
      <c r="L227" s="2"/>
      <c r="M227" s="2"/>
      <c r="N227" s="2"/>
      <c r="O227" s="2"/>
      <c r="P227" s="557" t="str">
        <f>CONCATENATE(schedule13[[#This Row],[OD]],"-",schedule13[[#This Row],[ID]],"-",schedule13[[#This Row],[TICKNESS]],"-",schedule13[[#This Row],[GRADE]],"-",schedule13[[#This Row],[FC/NFC]])</f>
        <v>15.88-0-1-ERW 1-PE</v>
      </c>
      <c r="Q227" s="557" t="str">
        <f>_xlfn.CONCAT(schedule13[[#This Row],[Bucket]],"-",schedule13[[#This Row],[LENGTH]]/1000)</f>
        <v>15.88-0-1-ERW 1-PE-1.603</v>
      </c>
      <c r="R227" s="557">
        <f>COUNTIF(buckets[CTL Bucket],schedule13[[#This Row],[CTL Bucket]])</f>
        <v>1</v>
      </c>
      <c r="S227" s="1">
        <v>15.88</v>
      </c>
      <c r="T227" s="1">
        <v>15.88</v>
      </c>
      <c r="U227" s="6">
        <v>0</v>
      </c>
      <c r="V227" s="1">
        <v>1</v>
      </c>
      <c r="W227" s="22">
        <v>1603</v>
      </c>
      <c r="X227" s="22" t="s">
        <v>397</v>
      </c>
      <c r="Y227" s="2">
        <v>6000</v>
      </c>
      <c r="Z227" s="2"/>
      <c r="AA227" s="4">
        <f t="shared" si="38"/>
        <v>6000</v>
      </c>
      <c r="AB227" s="1">
        <f>(3.14*(schedule13[[#This Row],[ACTUAL OD]]-schedule13[[#This Row],[TICKNESS]])*schedule13[[#This Row],[TICKNESS]]*schedule13[[#This Row],[LENGTH]]*7.85)/1000000*schedule13[[#This Row],[SCHEDULE]]/1000</f>
        <v>3.5276623401599996</v>
      </c>
      <c r="AC227" s="1">
        <f t="shared" si="44"/>
        <v>0</v>
      </c>
      <c r="AD227" s="1">
        <f t="shared" si="39"/>
        <v>3.5276623401599996</v>
      </c>
      <c r="AE227" s="3">
        <f>schedule13[[#This Row],[CTL Stock]]/schedule13[[#This Row],[SCHEDULE IN MT]]*schedule13[[#This Row],[SCHEDULE]]</f>
        <v>194.58324913513883</v>
      </c>
      <c r="AF227" s="1">
        <f>SUMIFS(stock[MT],stock[Bucket],schedule13[[#This Row],[Bucket]],stock[CTL Bucket],schedule13[[#This Row],[CTL Bucket]])</f>
        <v>0.11440399999999999</v>
      </c>
      <c r="AG227" s="1">
        <f>SUMIFS(stock[MT],stock[Bucket],schedule13[[#This Row],[Bucket]])+SUMIFS(wip[Stock(Net Wt)],wip[Bucket],schedule13[[#This Row],[Bucket]])/1000</f>
        <v>7.7449320000000013</v>
      </c>
      <c r="AH227" s="1">
        <f t="shared" si="45"/>
        <v>3.4132583401599996</v>
      </c>
      <c r="AI227" s="118">
        <f t="shared" si="40"/>
        <v>3.2430541522523136E-2</v>
      </c>
    </row>
    <row r="228" spans="1:35" hidden="1" x14ac:dyDescent="0.25">
      <c r="A228" s="30">
        <v>67</v>
      </c>
      <c r="B228" s="5" t="s">
        <v>1816</v>
      </c>
      <c r="C228" s="2" t="s">
        <v>954</v>
      </c>
      <c r="D228" s="2"/>
      <c r="E228" s="2" t="s">
        <v>308</v>
      </c>
      <c r="F228" s="2">
        <v>1941847</v>
      </c>
      <c r="G228" s="2" t="s">
        <v>442</v>
      </c>
      <c r="H228" s="2" t="s">
        <v>962</v>
      </c>
      <c r="I228" s="2"/>
      <c r="J228" s="2" t="s">
        <v>963</v>
      </c>
      <c r="K228" s="2" t="s">
        <v>239</v>
      </c>
      <c r="L228" s="2"/>
      <c r="M228" s="2"/>
      <c r="N228" s="2"/>
      <c r="O228" s="2"/>
      <c r="P228" s="557" t="str">
        <f>CONCATENATE(schedule13[[#This Row],[OD]],"-",schedule13[[#This Row],[ID]],"-",schedule13[[#This Row],[TICKNESS]],"-",schedule13[[#This Row],[GRADE]],"-",schedule13[[#This Row],[FC/NFC]])</f>
        <v>15.88-0-1-ERW 1-PE</v>
      </c>
      <c r="Q228" s="557" t="str">
        <f>_xlfn.CONCAT(schedule13[[#This Row],[Bucket]],"-",schedule13[[#This Row],[LENGTH]]/1000)</f>
        <v>15.88-0-1-ERW 1-PE-2.185</v>
      </c>
      <c r="R228" s="557">
        <f>COUNTIF(buckets[CTL Bucket],schedule13[[#This Row],[CTL Bucket]])</f>
        <v>1</v>
      </c>
      <c r="S228" s="1">
        <v>15.88</v>
      </c>
      <c r="T228" s="1">
        <v>15.88</v>
      </c>
      <c r="U228" s="1">
        <v>0</v>
      </c>
      <c r="V228" s="1">
        <v>1</v>
      </c>
      <c r="W228" s="22">
        <v>2185</v>
      </c>
      <c r="X228" s="22" t="s">
        <v>397</v>
      </c>
      <c r="Y228" s="2">
        <v>4000</v>
      </c>
      <c r="Z228" s="2"/>
      <c r="AA228" s="4">
        <f t="shared" si="38"/>
        <v>4000</v>
      </c>
      <c r="AB228" s="1">
        <f>(3.14*(schedule13[[#This Row],[ACTUAL OD]]-schedule13[[#This Row],[TICKNESS]])*schedule13[[#This Row],[TICKNESS]]*schedule13[[#This Row],[LENGTH]]*7.85)/1000000*schedule13[[#This Row],[SCHEDULE]]/1000</f>
        <v>3.2056320287999998</v>
      </c>
      <c r="AC228" s="1">
        <f t="shared" si="44"/>
        <v>0</v>
      </c>
      <c r="AD228" s="1">
        <f t="shared" si="39"/>
        <v>3.2056320287999998</v>
      </c>
      <c r="AE228" s="3">
        <f>schedule13[[#This Row],[CTL Stock]]/schedule13[[#This Row],[SCHEDULE IN MT]]*schedule13[[#This Row],[SCHEDULE]]</f>
        <v>3470.6091965785395</v>
      </c>
      <c r="AF228" s="1">
        <f>SUMIFS(stock[MT],stock[Bucket],schedule13[[#This Row],[Bucket]],stock[CTL Bucket],schedule13[[#This Row],[CTL Bucket]])</f>
        <v>2.781374</v>
      </c>
      <c r="AG228" s="1">
        <f>SUMIFS(stock[MT],stock[Bucket],schedule13[[#This Row],[Bucket]])+SUMIFS(wip[Stock(Net Wt)],wip[Bucket],schedule13[[#This Row],[Bucket]])/1000</f>
        <v>7.7449320000000013</v>
      </c>
      <c r="AH228" s="1">
        <f t="shared" si="45"/>
        <v>0.42425802879999974</v>
      </c>
      <c r="AI228" s="118">
        <f t="shared" si="40"/>
        <v>0.86765229914463482</v>
      </c>
    </row>
    <row r="229" spans="1:35" hidden="1" x14ac:dyDescent="0.25">
      <c r="A229" s="30">
        <v>68</v>
      </c>
      <c r="B229" s="5" t="s">
        <v>1816</v>
      </c>
      <c r="C229" s="2" t="s">
        <v>954</v>
      </c>
      <c r="D229" s="2"/>
      <c r="E229" s="2" t="s">
        <v>308</v>
      </c>
      <c r="F229" s="2">
        <v>1941848</v>
      </c>
      <c r="G229" s="2" t="s">
        <v>1974</v>
      </c>
      <c r="H229" s="2" t="s">
        <v>962</v>
      </c>
      <c r="I229" s="2"/>
      <c r="J229" s="2" t="s">
        <v>963</v>
      </c>
      <c r="K229" s="2" t="s">
        <v>239</v>
      </c>
      <c r="L229" s="2"/>
      <c r="M229" s="2"/>
      <c r="N229" s="2"/>
      <c r="O229" s="2"/>
      <c r="P229" s="557" t="str">
        <f>CONCATENATE(schedule13[[#This Row],[OD]],"-",schedule13[[#This Row],[ID]],"-",schedule13[[#This Row],[TICKNESS]],"-",schedule13[[#This Row],[GRADE]],"-",schedule13[[#This Row],[FC/NFC]])</f>
        <v>15.88-0-1-ERW 1-PE</v>
      </c>
      <c r="Q229" s="557" t="str">
        <f>_xlfn.CONCAT(schedule13[[#This Row],[Bucket]],"-",schedule13[[#This Row],[LENGTH]]/1000)</f>
        <v>15.88-0-1-ERW 1-PE-2.49</v>
      </c>
      <c r="R229" s="557">
        <f>COUNTIF(buckets[CTL Bucket],schedule13[[#This Row],[CTL Bucket]])</f>
        <v>1</v>
      </c>
      <c r="S229" s="1">
        <v>15.88</v>
      </c>
      <c r="T229" s="1">
        <v>15.88</v>
      </c>
      <c r="U229" s="6">
        <v>0</v>
      </c>
      <c r="V229" s="1">
        <v>1</v>
      </c>
      <c r="W229" s="22">
        <v>2490</v>
      </c>
      <c r="X229" s="22" t="s">
        <v>397</v>
      </c>
      <c r="Y229" s="2">
        <v>4000</v>
      </c>
      <c r="Z229" s="2"/>
      <c r="AA229" s="4">
        <f t="shared" si="38"/>
        <v>4000</v>
      </c>
      <c r="AB229" s="1">
        <f>(3.14*(schedule13[[#This Row],[ACTUAL OD]]-schedule13[[#This Row],[TICKNESS]])*schedule13[[#This Row],[TICKNESS]]*schedule13[[#This Row],[LENGTH]]*7.85)/1000000*schedule13[[#This Row],[SCHEDULE]]/1000</f>
        <v>3.6531001152000004</v>
      </c>
      <c r="AC229" s="1">
        <f t="shared" si="44"/>
        <v>0</v>
      </c>
      <c r="AD229" s="1">
        <f t="shared" si="39"/>
        <v>3.6531001152000004</v>
      </c>
      <c r="AE229" s="3">
        <f>schedule13[[#This Row],[CTL Stock]]/schedule13[[#This Row],[SCHEDULE IN MT]]*schedule13[[#This Row],[SCHEDULE]]</f>
        <v>2835.8335860808547</v>
      </c>
      <c r="AF229" s="1">
        <f>SUMIFS(stock[MT],stock[Bucket],schedule13[[#This Row],[Bucket]],stock[CTL Bucket],schedule13[[#This Row],[CTL Bucket]])</f>
        <v>2.589896</v>
      </c>
      <c r="AG229" s="1">
        <f>SUMIFS(stock[MT],stock[Bucket],schedule13[[#This Row],[Bucket]])+SUMIFS(wip[Stock(Net Wt)],wip[Bucket],schedule13[[#This Row],[Bucket]])/1000</f>
        <v>7.7449320000000013</v>
      </c>
      <c r="AH229" s="1">
        <f t="shared" si="45"/>
        <v>1.0632041152000005</v>
      </c>
      <c r="AI229" s="118">
        <f t="shared" ref="AI229:AI264" si="46">(AC229+AF229)/AB229</f>
        <v>0.70895839652021364</v>
      </c>
    </row>
    <row r="230" spans="1:35" hidden="1" x14ac:dyDescent="0.25">
      <c r="A230" s="30">
        <v>69</v>
      </c>
      <c r="B230" s="5" t="s">
        <v>1816</v>
      </c>
      <c r="C230" s="2" t="s">
        <v>954</v>
      </c>
      <c r="D230" s="2"/>
      <c r="E230" s="2" t="s">
        <v>308</v>
      </c>
      <c r="F230" s="2">
        <v>3541434</v>
      </c>
      <c r="G230" s="2" t="s">
        <v>6565</v>
      </c>
      <c r="H230" s="2" t="s">
        <v>962</v>
      </c>
      <c r="I230" s="2"/>
      <c r="J230" s="2" t="s">
        <v>963</v>
      </c>
      <c r="K230" s="2" t="s">
        <v>1867</v>
      </c>
      <c r="L230" s="2"/>
      <c r="M230" s="2"/>
      <c r="N230" s="2"/>
      <c r="O230" s="2"/>
      <c r="P230" s="557" t="str">
        <f>CONCATENATE(schedule13[[#This Row],[OD]],"-",schedule13[[#This Row],[ID]],"-",schedule13[[#This Row],[TICKNESS]],"-",schedule13[[#This Row],[GRADE]],"-",schedule13[[#This Row],[FC/NFC]])</f>
        <v>15.88-0-1-ERW 1-PE</v>
      </c>
      <c r="Q230" s="557" t="str">
        <f>_xlfn.CONCAT(schedule13[[#This Row],[Bucket]],"-",schedule13[[#This Row],[LENGTH]]/1000)</f>
        <v>15.88-0-1-ERW 1-PE-2.905</v>
      </c>
      <c r="R230" s="557">
        <f>COUNTIF(buckets[CTL Bucket],schedule13[[#This Row],[CTL Bucket]])</f>
        <v>1</v>
      </c>
      <c r="S230" s="1">
        <v>15.88</v>
      </c>
      <c r="T230" s="1">
        <v>15.88</v>
      </c>
      <c r="U230" s="6">
        <v>0</v>
      </c>
      <c r="V230" s="1">
        <v>1</v>
      </c>
      <c r="W230" s="22">
        <v>2905</v>
      </c>
      <c r="X230" s="22" t="s">
        <v>397</v>
      </c>
      <c r="Y230" s="2">
        <v>4000</v>
      </c>
      <c r="Z230" s="2"/>
      <c r="AA230" s="4">
        <f t="shared" si="38"/>
        <v>4000</v>
      </c>
      <c r="AB230" s="1">
        <f>(3.14*(schedule13[[#This Row],[ACTUAL OD]]-schedule13[[#This Row],[TICKNESS]])*schedule13[[#This Row],[TICKNESS]]*schedule13[[#This Row],[LENGTH]]*7.85)/1000000*schedule13[[#This Row],[SCHEDULE]]/1000</f>
        <v>4.2619501344000001</v>
      </c>
      <c r="AC230" s="1">
        <f t="shared" si="44"/>
        <v>0</v>
      </c>
      <c r="AD230" s="1">
        <f t="shared" si="39"/>
        <v>4.2619501344000001</v>
      </c>
      <c r="AE230" s="3">
        <f>schedule13[[#This Row],[CTL Stock]]/schedule13[[#This Row],[SCHEDULE IN MT]]*schedule13[[#This Row],[SCHEDULE]]</f>
        <v>1388.5202344895836</v>
      </c>
      <c r="AF230" s="1">
        <f>SUMIFS(stock[MT],stock[Bucket],schedule13[[#This Row],[Bucket]],stock[CTL Bucket],schedule13[[#This Row],[CTL Bucket]])</f>
        <v>1.4794510000000001</v>
      </c>
      <c r="AG230" s="1">
        <f>SUMIFS(stock[MT],stock[Bucket],schedule13[[#This Row],[Bucket]])+SUMIFS(wip[Stock(Net Wt)],wip[Bucket],schedule13[[#This Row],[Bucket]])/1000</f>
        <v>7.7449320000000013</v>
      </c>
      <c r="AH230" s="1">
        <f t="shared" si="45"/>
        <v>2.7824991344000001</v>
      </c>
      <c r="AI230" s="118">
        <f t="shared" si="46"/>
        <v>0.34713005862239588</v>
      </c>
    </row>
    <row r="231" spans="1:35" hidden="1" x14ac:dyDescent="0.25">
      <c r="A231" s="30">
        <v>72</v>
      </c>
      <c r="B231" s="5" t="s">
        <v>1872</v>
      </c>
      <c r="C231" s="2" t="s">
        <v>954</v>
      </c>
      <c r="D231" s="2"/>
      <c r="E231" s="2" t="s">
        <v>308</v>
      </c>
      <c r="F231" s="2">
        <v>1938116</v>
      </c>
      <c r="G231" s="2" t="s">
        <v>1237</v>
      </c>
      <c r="H231" s="2" t="s">
        <v>962</v>
      </c>
      <c r="I231" s="2"/>
      <c r="J231" s="2" t="s">
        <v>963</v>
      </c>
      <c r="K231" s="2" t="s">
        <v>1867</v>
      </c>
      <c r="L231" s="2"/>
      <c r="M231" s="2"/>
      <c r="N231" s="2"/>
      <c r="O231" s="2"/>
      <c r="P231" s="557" t="str">
        <f>CONCATENATE(schedule13[[#This Row],[OD]],"-",schedule13[[#This Row],[ID]],"-",schedule13[[#This Row],[TICKNESS]],"-",schedule13[[#This Row],[GRADE]],"-",schedule13[[#This Row],[FC/NFC]])</f>
        <v>18.2-0-1-ERW 1-PE</v>
      </c>
      <c r="Q231" s="557" t="str">
        <f>_xlfn.CONCAT(schedule13[[#This Row],[Bucket]],"-",schedule13[[#This Row],[LENGTH]]/1000)</f>
        <v>18.2-0-1-ERW 1-PE-0.11</v>
      </c>
      <c r="R231" s="557">
        <f>COUNTIF(buckets[CTL Bucket],schedule13[[#This Row],[CTL Bucket]])</f>
        <v>1</v>
      </c>
      <c r="S231" s="1">
        <v>18.2</v>
      </c>
      <c r="T231" s="1">
        <v>18.2</v>
      </c>
      <c r="U231" s="6">
        <v>0</v>
      </c>
      <c r="V231" s="1">
        <v>1</v>
      </c>
      <c r="W231" s="22">
        <v>110</v>
      </c>
      <c r="X231" s="22" t="s">
        <v>397</v>
      </c>
      <c r="Y231" s="2">
        <v>10000</v>
      </c>
      <c r="Z231" s="2"/>
      <c r="AA231" s="4">
        <f t="shared" si="38"/>
        <v>10000</v>
      </c>
      <c r="AB231" s="1">
        <f>(3.14*(schedule13[[#This Row],[ACTUAL OD]]-schedule13[[#This Row],[TICKNESS]])*schedule13[[#This Row],[TICKNESS]]*schedule13[[#This Row],[LENGTH]]*7.85)/1000000*schedule13[[#This Row],[SCHEDULE]]/1000</f>
        <v>0.46635907999999993</v>
      </c>
      <c r="AC231" s="1">
        <f t="shared" si="44"/>
        <v>0</v>
      </c>
      <c r="AD231" s="1">
        <f t="shared" si="39"/>
        <v>0.46635907999999993</v>
      </c>
      <c r="AE231" s="3">
        <f>schedule13[[#This Row],[CTL Stock]]/schedule13[[#This Row],[SCHEDULE IN MT]]*schedule13[[#This Row],[SCHEDULE]]</f>
        <v>1474.8292238675833</v>
      </c>
      <c r="AF231" s="1">
        <f>SUMIFS(stock[MT],stock[Bucket],schedule13[[#This Row],[Bucket]],stock[CTL Bucket],schedule13[[#This Row],[CTL Bucket]])</f>
        <v>6.8780000000000008E-2</v>
      </c>
      <c r="AG231" s="1">
        <f>SUMIFS(stock[MT],stock[Bucket],schedule13[[#This Row],[Bucket]])+SUMIFS(wip[Stock(Net Wt)],wip[Bucket],schedule13[[#This Row],[Bucket]])/1000</f>
        <v>0.37930300000000006</v>
      </c>
      <c r="AH231" s="1">
        <f t="shared" si="45"/>
        <v>0.39757907999999992</v>
      </c>
      <c r="AI231" s="118">
        <f t="shared" si="46"/>
        <v>0.14748292238675834</v>
      </c>
    </row>
    <row r="232" spans="1:35" hidden="1" x14ac:dyDescent="0.25">
      <c r="A232" s="30">
        <v>74</v>
      </c>
      <c r="B232" s="5" t="s">
        <v>1816</v>
      </c>
      <c r="C232" s="2" t="s">
        <v>954</v>
      </c>
      <c r="D232" s="2"/>
      <c r="E232" s="2" t="s">
        <v>308</v>
      </c>
      <c r="F232" s="2">
        <v>3518158</v>
      </c>
      <c r="G232" s="2" t="s">
        <v>6566</v>
      </c>
      <c r="H232" s="2" t="s">
        <v>962</v>
      </c>
      <c r="I232" s="2"/>
      <c r="J232" s="2" t="s">
        <v>963</v>
      </c>
      <c r="K232" s="2" t="s">
        <v>1867</v>
      </c>
      <c r="L232" s="2"/>
      <c r="M232" s="2"/>
      <c r="N232" s="2"/>
      <c r="O232" s="2"/>
      <c r="P232" s="557" t="str">
        <f>CONCATENATE(schedule13[[#This Row],[OD]],"-",schedule13[[#This Row],[ID]],"-",schedule13[[#This Row],[TICKNESS]],"-",schedule13[[#This Row],[GRADE]],"-",schedule13[[#This Row],[FC/NFC]])</f>
        <v>19.05-0-1-ERW 1-PE</v>
      </c>
      <c r="Q232" s="557" t="str">
        <f>_xlfn.CONCAT(schedule13[[#This Row],[Bucket]],"-",schedule13[[#This Row],[LENGTH]]/1000)</f>
        <v>19.05-0-1-ERW 1-PE-1.095</v>
      </c>
      <c r="R232" s="557">
        <f>COUNTIF(buckets[CTL Bucket],schedule13[[#This Row],[CTL Bucket]])</f>
        <v>1</v>
      </c>
      <c r="S232" s="1">
        <v>19.05</v>
      </c>
      <c r="T232" s="1">
        <v>19.05</v>
      </c>
      <c r="U232" s="6">
        <v>0</v>
      </c>
      <c r="V232" s="1">
        <v>1</v>
      </c>
      <c r="W232" s="22">
        <v>1095</v>
      </c>
      <c r="X232" s="22" t="s">
        <v>397</v>
      </c>
      <c r="Y232" s="2">
        <v>8000</v>
      </c>
      <c r="Z232" s="2"/>
      <c r="AA232" s="4">
        <f t="shared" si="38"/>
        <v>8000</v>
      </c>
      <c r="AB232" s="1">
        <f>(3.14*(schedule13[[#This Row],[ACTUAL OD]]-schedule13[[#This Row],[TICKNESS]])*schedule13[[#This Row],[TICKNESS]]*schedule13[[#This Row],[LENGTH]]*7.85)/1000000*schedule13[[#This Row],[SCHEDULE]]/1000</f>
        <v>3.8974505820000003</v>
      </c>
      <c r="AC232" s="1">
        <f t="shared" si="44"/>
        <v>0</v>
      </c>
      <c r="AD232" s="1">
        <f t="shared" si="39"/>
        <v>3.8974505820000003</v>
      </c>
      <c r="AE232" s="3">
        <f>schedule13[[#This Row],[CTL Stock]]/schedule13[[#This Row],[SCHEDULE IN MT]]*schedule13[[#This Row],[SCHEDULE]]</f>
        <v>143.68366916217133</v>
      </c>
      <c r="AF232" s="1">
        <f>SUMIFS(stock[MT],stock[Bucket],schedule13[[#This Row],[Bucket]],stock[CTL Bucket],schedule13[[#This Row],[CTL Bucket]])</f>
        <v>7.0000000000000007E-2</v>
      </c>
      <c r="AG232" s="1">
        <f>SUMIFS(stock[MT],stock[Bucket],schedule13[[#This Row],[Bucket]])+SUMIFS(wip[Stock(Net Wt)],wip[Bucket],schedule13[[#This Row],[Bucket]])/1000</f>
        <v>20.177100000000003</v>
      </c>
      <c r="AH232" s="1">
        <f t="shared" si="45"/>
        <v>3.8274505820000004</v>
      </c>
      <c r="AI232" s="118">
        <f t="shared" si="46"/>
        <v>1.7960458645271415E-2</v>
      </c>
    </row>
    <row r="233" spans="1:35" hidden="1" x14ac:dyDescent="0.25">
      <c r="A233" s="30">
        <v>75</v>
      </c>
      <c r="B233" s="5" t="s">
        <v>1816</v>
      </c>
      <c r="C233" s="2" t="s">
        <v>954</v>
      </c>
      <c r="D233" s="2"/>
      <c r="E233" s="2" t="s">
        <v>308</v>
      </c>
      <c r="F233" s="2">
        <v>1940188</v>
      </c>
      <c r="G233" s="2" t="s">
        <v>1976</v>
      </c>
      <c r="H233" s="2" t="s">
        <v>962</v>
      </c>
      <c r="I233" s="2"/>
      <c r="J233" s="2" t="s">
        <v>963</v>
      </c>
      <c r="K233" s="2" t="s">
        <v>239</v>
      </c>
      <c r="L233" s="2"/>
      <c r="M233" s="2"/>
      <c r="N233" s="2"/>
      <c r="O233" s="2"/>
      <c r="P233" s="557" t="str">
        <f>CONCATENATE(schedule13[[#This Row],[OD]],"-",schedule13[[#This Row],[ID]],"-",schedule13[[#This Row],[TICKNESS]],"-",schedule13[[#This Row],[GRADE]],"-",schedule13[[#This Row],[FC/NFC]])</f>
        <v>19.05-0-1.2-ERW 1-PE</v>
      </c>
      <c r="Q233" s="557" t="str">
        <f>_xlfn.CONCAT(schedule13[[#This Row],[Bucket]],"-",schedule13[[#This Row],[LENGTH]]/1000)</f>
        <v>19.05-0-1.2-ERW 1-PE-0.631</v>
      </c>
      <c r="R233" s="557">
        <f>COUNTIF(buckets[CTL Bucket],schedule13[[#This Row],[CTL Bucket]])</f>
        <v>2</v>
      </c>
      <c r="S233" s="1">
        <v>19.05</v>
      </c>
      <c r="T233" s="1">
        <v>19.05</v>
      </c>
      <c r="U233" s="1">
        <v>0</v>
      </c>
      <c r="V233" s="1">
        <v>1.2</v>
      </c>
      <c r="W233" s="22">
        <v>631</v>
      </c>
      <c r="X233" s="22" t="s">
        <v>397</v>
      </c>
      <c r="Y233" s="2">
        <v>11000</v>
      </c>
      <c r="Z233" s="2"/>
      <c r="AA233" s="4">
        <f t="shared" si="38"/>
        <v>11000</v>
      </c>
      <c r="AB233" s="1">
        <f>(3.14*(schedule13[[#This Row],[ACTUAL OD]]-schedule13[[#This Row],[TICKNESS]])*schedule13[[#This Row],[TICKNESS]]*schedule13[[#This Row],[LENGTH]]*7.85)/1000000*schedule13[[#This Row],[SCHEDULE]]/1000</f>
        <v>3.6647201467800001</v>
      </c>
      <c r="AC233" s="1">
        <f t="shared" si="44"/>
        <v>0</v>
      </c>
      <c r="AD233" s="1">
        <f t="shared" si="39"/>
        <v>3.6647201467800001</v>
      </c>
      <c r="AE233" s="3">
        <f>schedule13[[#This Row],[CTL Stock]]/schedule13[[#This Row],[SCHEDULE IN MT]]*schedule13[[#This Row],[SCHEDULE]]</f>
        <v>8701.6194205222491</v>
      </c>
      <c r="AF233" s="1">
        <f>SUMIFS(stock[MT],stock[Bucket],schedule13[[#This Row],[Bucket]],stock[CTL Bucket],schedule13[[#This Row],[CTL Bucket]])</f>
        <v>2.899</v>
      </c>
      <c r="AG233" s="1">
        <f>SUMIFS(stock[MT],stock[Bucket],schedule13[[#This Row],[Bucket]])+SUMIFS(wip[Stock(Net Wt)],wip[Bucket],schedule13[[#This Row],[Bucket]])/1000</f>
        <v>33.181024000000001</v>
      </c>
      <c r="AH233" s="1">
        <f t="shared" si="45"/>
        <v>0.76572014678000011</v>
      </c>
      <c r="AI233" s="118">
        <f t="shared" si="46"/>
        <v>0.79105631095656814</v>
      </c>
    </row>
    <row r="234" spans="1:35" hidden="1" x14ac:dyDescent="0.25">
      <c r="A234" s="30">
        <v>76</v>
      </c>
      <c r="B234" s="5" t="s">
        <v>1816</v>
      </c>
      <c r="C234" s="2" t="s">
        <v>954</v>
      </c>
      <c r="D234" s="2"/>
      <c r="E234" s="2" t="s">
        <v>308</v>
      </c>
      <c r="F234" s="2">
        <v>1940189</v>
      </c>
      <c r="G234" s="2" t="s">
        <v>1977</v>
      </c>
      <c r="H234" s="2" t="s">
        <v>962</v>
      </c>
      <c r="I234" s="2"/>
      <c r="J234" s="2" t="s">
        <v>963</v>
      </c>
      <c r="K234" s="2" t="s">
        <v>1867</v>
      </c>
      <c r="L234" s="2"/>
      <c r="M234" s="2"/>
      <c r="N234" s="2"/>
      <c r="O234" s="2"/>
      <c r="P234" s="557" t="str">
        <f>CONCATENATE(schedule13[[#This Row],[OD]],"-",schedule13[[#This Row],[ID]],"-",schedule13[[#This Row],[TICKNESS]],"-",schedule13[[#This Row],[GRADE]],"-",schedule13[[#This Row],[FC/NFC]])</f>
        <v>19.05-0-1.2-ERW 1-PE</v>
      </c>
      <c r="Q234" s="557" t="str">
        <f>_xlfn.CONCAT(schedule13[[#This Row],[Bucket]],"-",schedule13[[#This Row],[LENGTH]]/1000)</f>
        <v>19.05-0-1.2-ERW 1-PE-0.68</v>
      </c>
      <c r="R234" s="557">
        <f>COUNTIF(buckets[CTL Bucket],schedule13[[#This Row],[CTL Bucket]])</f>
        <v>3</v>
      </c>
      <c r="S234" s="1">
        <v>19.05</v>
      </c>
      <c r="T234" s="1">
        <v>19.05</v>
      </c>
      <c r="U234" s="1">
        <v>0</v>
      </c>
      <c r="V234" s="1">
        <v>1.2</v>
      </c>
      <c r="W234" s="22">
        <v>680</v>
      </c>
      <c r="X234" s="22" t="s">
        <v>397</v>
      </c>
      <c r="Y234" s="2">
        <v>7000</v>
      </c>
      <c r="Z234" s="2"/>
      <c r="AA234" s="4">
        <f t="shared" si="38"/>
        <v>7000</v>
      </c>
      <c r="AB234" s="1">
        <f>(3.14*(schedule13[[#This Row],[ACTUAL OD]]-schedule13[[#This Row],[TICKNESS]])*schedule13[[#This Row],[TICKNESS]]*schedule13[[#This Row],[LENGTH]]*7.85)/1000000*schedule13[[#This Row],[SCHEDULE]]/1000</f>
        <v>2.5131923208</v>
      </c>
      <c r="AC234" s="1">
        <f t="shared" si="44"/>
        <v>0</v>
      </c>
      <c r="AD234" s="1">
        <f t="shared" si="39"/>
        <v>2.5131923208</v>
      </c>
      <c r="AE234" s="3">
        <f>schedule13[[#This Row],[CTL Stock]]/schedule13[[#This Row],[SCHEDULE IN MT]]*schedule13[[#This Row],[SCHEDULE]]</f>
        <v>9829.2895436416784</v>
      </c>
      <c r="AF234" s="1">
        <f>SUMIFS(stock[MT],stock[Bucket],schedule13[[#This Row],[Bucket]],stock[CTL Bucket],schedule13[[#This Row],[CTL Bucket]])</f>
        <v>3.528985</v>
      </c>
      <c r="AG234" s="1">
        <f>SUMIFS(stock[MT],stock[Bucket],schedule13[[#This Row],[Bucket]])+SUMIFS(wip[Stock(Net Wt)],wip[Bucket],schedule13[[#This Row],[Bucket]])/1000</f>
        <v>33.181024000000001</v>
      </c>
      <c r="AH234" s="1">
        <f t="shared" si="45"/>
        <v>-1.0157926792</v>
      </c>
      <c r="AI234" s="118">
        <f t="shared" si="46"/>
        <v>1.4041842205202397</v>
      </c>
    </row>
    <row r="235" spans="1:35" hidden="1" x14ac:dyDescent="0.25">
      <c r="A235" s="30">
        <v>77</v>
      </c>
      <c r="B235" s="5" t="s">
        <v>1816</v>
      </c>
      <c r="C235" s="2" t="s">
        <v>954</v>
      </c>
      <c r="D235" s="2"/>
      <c r="E235" s="2">
        <v>189226</v>
      </c>
      <c r="F235" s="2">
        <v>236341</v>
      </c>
      <c r="G235" s="2" t="s">
        <v>1978</v>
      </c>
      <c r="H235" s="2"/>
      <c r="I235" s="2"/>
      <c r="J235" s="2"/>
      <c r="K235" s="2" t="s">
        <v>239</v>
      </c>
      <c r="L235" s="2"/>
      <c r="M235" s="2"/>
      <c r="N235" s="2"/>
      <c r="O235" s="2"/>
      <c r="P235" s="557" t="str">
        <f>CONCATENATE(schedule13[[#This Row],[OD]],"-",schedule13[[#This Row],[ID]],"-",schedule13[[#This Row],[TICKNESS]],"-",schedule13[[#This Row],[GRADE]],"-",schedule13[[#This Row],[FC/NFC]])</f>
        <v>19.05-0-1.6--</v>
      </c>
      <c r="Q235" s="557"/>
      <c r="R235" s="557"/>
      <c r="S235" s="1">
        <v>19.05</v>
      </c>
      <c r="T235" s="1">
        <v>19.05</v>
      </c>
      <c r="U235" s="1">
        <v>0</v>
      </c>
      <c r="V235" s="1">
        <v>1.6</v>
      </c>
      <c r="W235" s="22">
        <v>610</v>
      </c>
      <c r="X235" s="22"/>
      <c r="Y235" s="2">
        <v>0</v>
      </c>
      <c r="Z235" s="2"/>
      <c r="AA235" s="4">
        <f t="shared" si="38"/>
        <v>0</v>
      </c>
      <c r="AB235" s="1">
        <f>(S235-V235)*V235*W235*0.024653*Y235/1000000</f>
        <v>0</v>
      </c>
      <c r="AC235" s="1">
        <f t="shared" si="44"/>
        <v>0</v>
      </c>
      <c r="AD235" s="1">
        <f t="shared" si="39"/>
        <v>0</v>
      </c>
      <c r="AE235" s="1"/>
      <c r="AF235" s="1"/>
      <c r="AG235" s="1"/>
      <c r="AH235" s="1">
        <f>AB234-AF235</f>
        <v>2.5131923208</v>
      </c>
      <c r="AI235" s="118" t="e">
        <f t="shared" si="46"/>
        <v>#DIV/0!</v>
      </c>
    </row>
    <row r="236" spans="1:35" hidden="1" x14ac:dyDescent="0.25">
      <c r="A236" s="30">
        <v>78</v>
      </c>
      <c r="B236" s="5" t="s">
        <v>1816</v>
      </c>
      <c r="C236" s="2" t="s">
        <v>954</v>
      </c>
      <c r="D236" s="2"/>
      <c r="E236" s="2">
        <v>189226</v>
      </c>
      <c r="F236" s="2">
        <v>235953</v>
      </c>
      <c r="G236" s="2" t="s">
        <v>1979</v>
      </c>
      <c r="H236" s="2" t="s">
        <v>962</v>
      </c>
      <c r="I236" s="2"/>
      <c r="J236" s="2"/>
      <c r="K236" s="2" t="s">
        <v>239</v>
      </c>
      <c r="L236" s="2"/>
      <c r="M236" s="2"/>
      <c r="N236" s="2"/>
      <c r="O236" s="2"/>
      <c r="P236" s="557" t="str">
        <f>CONCATENATE(schedule13[[#This Row],[OD]],"-",schedule13[[#This Row],[ID]],"-",schedule13[[#This Row],[TICKNESS]],"-",schedule13[[#This Row],[GRADE]],"-",schedule13[[#This Row],[FC/NFC]])</f>
        <v>19.05-0-1.6-ERW 1-</v>
      </c>
      <c r="Q236" s="557"/>
      <c r="R236" s="557"/>
      <c r="S236" s="1">
        <v>19.05</v>
      </c>
      <c r="T236" s="1">
        <v>19.05</v>
      </c>
      <c r="U236" s="1">
        <v>0</v>
      </c>
      <c r="V236" s="6">
        <v>1.6</v>
      </c>
      <c r="W236" s="22">
        <v>5475</v>
      </c>
      <c r="X236" s="22"/>
      <c r="Y236" s="2">
        <v>0</v>
      </c>
      <c r="Z236" s="2"/>
      <c r="AA236" s="4">
        <f t="shared" si="38"/>
        <v>0</v>
      </c>
      <c r="AB236" s="1">
        <f>(S236-V236)*V236*W236*0.024653*Y236/1000000</f>
        <v>0</v>
      </c>
      <c r="AC236" s="1">
        <f t="shared" si="44"/>
        <v>0</v>
      </c>
      <c r="AD236" s="1">
        <f t="shared" si="39"/>
        <v>0</v>
      </c>
      <c r="AE236" s="1"/>
      <c r="AF236" s="1"/>
      <c r="AG236" s="1"/>
      <c r="AH236" s="1">
        <f>AB235-AF236</f>
        <v>0</v>
      </c>
      <c r="AI236" s="118" t="e">
        <f t="shared" si="46"/>
        <v>#DIV/0!</v>
      </c>
    </row>
    <row r="237" spans="1:35" hidden="1" x14ac:dyDescent="0.25">
      <c r="A237" s="30">
        <v>79</v>
      </c>
      <c r="B237" s="5" t="s">
        <v>1816</v>
      </c>
      <c r="C237" s="2" t="s">
        <v>954</v>
      </c>
      <c r="D237" s="2"/>
      <c r="E237" s="2" t="s">
        <v>308</v>
      </c>
      <c r="F237" s="2">
        <v>1940318</v>
      </c>
      <c r="G237" s="2" t="s">
        <v>710</v>
      </c>
      <c r="H237" s="2" t="s">
        <v>962</v>
      </c>
      <c r="I237" s="2"/>
      <c r="J237" s="2" t="s">
        <v>963</v>
      </c>
      <c r="K237" s="2" t="s">
        <v>239</v>
      </c>
      <c r="L237" s="2"/>
      <c r="M237" s="2"/>
      <c r="N237" s="2"/>
      <c r="O237" s="2"/>
      <c r="P237" s="557" t="str">
        <f>CONCATENATE(schedule13[[#This Row],[OD]],"-",schedule13[[#This Row],[ID]],"-",schedule13[[#This Row],[TICKNESS]],"-",schedule13[[#This Row],[GRADE]],"-",schedule13[[#This Row],[FC/NFC]])</f>
        <v>19.05-0-2.3-ERW 1-PE</v>
      </c>
      <c r="Q237" s="557" t="str">
        <f>_xlfn.CONCAT(schedule13[[#This Row],[Bucket]],"-",schedule13[[#This Row],[LENGTH]]/1000)</f>
        <v>19.05-0-2.3-ERW 1-PE-0.394</v>
      </c>
      <c r="R237" s="557">
        <f>COUNTIF(buckets[CTL Bucket],schedule13[[#This Row],[CTL Bucket]])</f>
        <v>2</v>
      </c>
      <c r="S237" s="1">
        <v>19.05</v>
      </c>
      <c r="T237" s="1">
        <v>19.05</v>
      </c>
      <c r="U237" s="6">
        <v>0</v>
      </c>
      <c r="V237" s="1">
        <v>2.2999999999999998</v>
      </c>
      <c r="W237" s="22">
        <v>394</v>
      </c>
      <c r="X237" s="22" t="s">
        <v>397</v>
      </c>
      <c r="Y237" s="2">
        <v>8000</v>
      </c>
      <c r="Z237" s="2"/>
      <c r="AA237" s="4">
        <f t="shared" si="38"/>
        <v>8000</v>
      </c>
      <c r="AB237" s="1">
        <f>(3.14*(schedule13[[#This Row],[ACTUAL OD]]-schedule13[[#This Row],[TICKNESS]])*schedule13[[#This Row],[TICKNESS]]*schedule13[[#This Row],[LENGTH]]*7.85)/1000000*schedule13[[#This Row],[SCHEDULE]]/1000</f>
        <v>2.9931477892</v>
      </c>
      <c r="AC237" s="1">
        <f t="shared" si="44"/>
        <v>0</v>
      </c>
      <c r="AD237" s="1">
        <f t="shared" si="39"/>
        <v>2.9931477892</v>
      </c>
      <c r="AE237" s="3">
        <f>schedule13[[#This Row],[CTL Stock]]/schedule13[[#This Row],[SCHEDULE IN MT]]*schedule13[[#This Row],[SCHEDULE]]</f>
        <v>7.7617283329031279</v>
      </c>
      <c r="AF237" s="1">
        <f>SUMIFS(stock[MT],stock[Bucket],schedule13[[#This Row],[Bucket]],stock[CTL Bucket],schedule13[[#This Row],[CTL Bucket]])</f>
        <v>2.9039999999999999E-3</v>
      </c>
      <c r="AG237" s="1">
        <f>SUMIFS(stock[MT],stock[Bucket],schedule13[[#This Row],[Bucket]])+SUMIFS(wip[Stock(Net Wt)],wip[Bucket],schedule13[[#This Row],[Bucket]])/1000</f>
        <v>99.250489000000016</v>
      </c>
      <c r="AH237" s="1">
        <f>AB237-AF237</f>
        <v>2.9902437892</v>
      </c>
      <c r="AI237" s="118">
        <f t="shared" si="46"/>
        <v>9.7021604161289096E-4</v>
      </c>
    </row>
    <row r="238" spans="1:35" hidden="1" x14ac:dyDescent="0.25">
      <c r="A238" s="30">
        <v>80</v>
      </c>
      <c r="B238" s="5" t="s">
        <v>1872</v>
      </c>
      <c r="C238" s="2" t="s">
        <v>954</v>
      </c>
      <c r="D238" s="2"/>
      <c r="E238" s="2" t="s">
        <v>308</v>
      </c>
      <c r="F238" s="2">
        <v>3228788</v>
      </c>
      <c r="G238" s="2" t="s">
        <v>725</v>
      </c>
      <c r="H238" s="2" t="s">
        <v>357</v>
      </c>
      <c r="I238" s="2"/>
      <c r="J238" s="2" t="s">
        <v>357</v>
      </c>
      <c r="K238" s="2" t="s">
        <v>239</v>
      </c>
      <c r="L238" s="2"/>
      <c r="M238" s="2"/>
      <c r="N238" s="2"/>
      <c r="O238" s="2"/>
      <c r="P238" s="557" t="str">
        <f>CONCATENATE(schedule13[[#This Row],[OD]],"-",schedule13[[#This Row],[ID]],"-",schedule13[[#This Row],[TICKNESS]],"-",schedule13[[#This Row],[GRADE]],"-",schedule13[[#This Row],[FC/NFC]])</f>
        <v>20-17.16-1.42-CEW-CEW</v>
      </c>
      <c r="Q238" s="557" t="str">
        <f>_xlfn.CONCAT(schedule13[[#This Row],[Bucket]],"-",schedule13[[#This Row],[LENGTH]]/1000)</f>
        <v>20-17.16-1.42-CEW-CEW-0.273</v>
      </c>
      <c r="R238" s="557">
        <f>COUNTIF(buckets[CTL Bucket],schedule13[[#This Row],[CTL Bucket]])</f>
        <v>1</v>
      </c>
      <c r="S238" s="1">
        <v>20</v>
      </c>
      <c r="T238" s="1">
        <v>20</v>
      </c>
      <c r="U238" s="1">
        <v>17.16</v>
      </c>
      <c r="V238" s="1">
        <v>1.42</v>
      </c>
      <c r="W238" s="22">
        <v>273</v>
      </c>
      <c r="X238" s="22" t="s">
        <v>397</v>
      </c>
      <c r="Y238" s="2">
        <v>6000</v>
      </c>
      <c r="Z238" s="2"/>
      <c r="AA238" s="4">
        <f t="shared" si="38"/>
        <v>6000</v>
      </c>
      <c r="AB238" s="1">
        <f>(3.14*(schedule13[[#This Row],[ACTUAL OD]]-schedule13[[#This Row],[TICKNESS]])*schedule13[[#This Row],[TICKNESS]]*schedule13[[#This Row],[LENGTH]]*7.85)/1000000*schedule13[[#This Row],[SCHEDULE]]/1000</f>
        <v>1.0652394857831999</v>
      </c>
      <c r="AC238" s="1">
        <f t="shared" si="44"/>
        <v>0</v>
      </c>
      <c r="AD238" s="1">
        <f t="shared" si="39"/>
        <v>1.0652394857831999</v>
      </c>
      <c r="AE238" s="3">
        <f>schedule13[[#This Row],[CTL Stock]]/schedule13[[#This Row],[SCHEDULE IN MT]]*schedule13[[#This Row],[SCHEDULE]]</f>
        <v>4005.8428709696427</v>
      </c>
      <c r="AF238" s="1">
        <f>SUMIFS(stock[MT],stock[Bucket],schedule13[[#This Row],[Bucket]],stock[CTL Bucket],schedule13[[#This Row],[CTL Bucket]])</f>
        <v>0.71119699999999997</v>
      </c>
      <c r="AG238" s="1">
        <f>SUMIFS(stock[MT],stock[Bucket],schedule13[[#This Row],[Bucket]])+SUMIFS(wip[Stock(Net Wt)],wip[Bucket],schedule13[[#This Row],[Bucket]])/1000</f>
        <v>1.883197</v>
      </c>
      <c r="AH238" s="1">
        <f>AB238-AF238</f>
        <v>0.35404248578319997</v>
      </c>
      <c r="AI238" s="118">
        <f t="shared" si="46"/>
        <v>0.66764047849494046</v>
      </c>
    </row>
    <row r="239" spans="1:35" hidden="1" x14ac:dyDescent="0.25">
      <c r="A239" s="30">
        <v>82</v>
      </c>
      <c r="B239" s="5" t="s">
        <v>1872</v>
      </c>
      <c r="C239" s="2" t="s">
        <v>954</v>
      </c>
      <c r="D239" s="2"/>
      <c r="E239" s="2" t="s">
        <v>308</v>
      </c>
      <c r="F239" s="2">
        <v>2439536</v>
      </c>
      <c r="G239" s="2" t="s">
        <v>1428</v>
      </c>
      <c r="H239" s="2" t="s">
        <v>357</v>
      </c>
      <c r="I239" s="2"/>
      <c r="J239" s="2" t="s">
        <v>357</v>
      </c>
      <c r="K239" s="2"/>
      <c r="L239" s="2"/>
      <c r="M239" s="2"/>
      <c r="N239" s="2"/>
      <c r="O239" s="2"/>
      <c r="P239" s="557" t="str">
        <f>CONCATENATE(schedule13[[#This Row],[OD]],"-",schedule13[[#This Row],[ID]],"-",schedule13[[#This Row],[TICKNESS]],"-",schedule13[[#This Row],[GRADE]],"-",schedule13[[#This Row],[FC/NFC]])</f>
        <v>20-12.4-3.8-CEW-CEW</v>
      </c>
      <c r="Q239" s="557" t="str">
        <f>schedule13[[#This Row],[Bucket]]</f>
        <v>20-12.4-3.8-CEW-CEW</v>
      </c>
      <c r="R239" s="557">
        <f>COUNTIF(buckets[CTL Bucket],schedule13[[#This Row],[CTL Bucket]])</f>
        <v>0</v>
      </c>
      <c r="S239" s="1">
        <v>20</v>
      </c>
      <c r="T239" s="1">
        <v>20</v>
      </c>
      <c r="U239" s="1">
        <v>12.4</v>
      </c>
      <c r="V239" s="1">
        <v>3.8</v>
      </c>
      <c r="W239" s="22">
        <v>1000</v>
      </c>
      <c r="X239" s="22" t="s">
        <v>444</v>
      </c>
      <c r="Y239" s="2">
        <v>8000</v>
      </c>
      <c r="Z239" s="2"/>
      <c r="AA239" s="4">
        <f t="shared" si="38"/>
        <v>8000</v>
      </c>
      <c r="AB239" s="1">
        <f>(3.14*(schedule13[[#This Row],[ACTUAL OD]]-schedule13[[#This Row],[TICKNESS]])*schedule13[[#This Row],[TICKNESS]]*schedule13[[#This Row],[LENGTH]]*7.85)/1000000*schedule13[[#This Row],[SCHEDULE]]/1000</f>
        <v>12.139139519999999</v>
      </c>
      <c r="AC239" s="1">
        <f t="shared" si="44"/>
        <v>0</v>
      </c>
      <c r="AD239" s="1">
        <f t="shared" si="39"/>
        <v>12.139139519999999</v>
      </c>
      <c r="AE239" s="3">
        <f>schedule13[[#This Row],[CTL Stock]]/schedule13[[#This Row],[SCHEDULE IN MT]]*schedule13[[#This Row],[SCHEDULE]]</f>
        <v>0</v>
      </c>
      <c r="AF239" s="1">
        <f>SUMIFS(stock[MT],stock[Bucket],schedule13[[#This Row],[Bucket]],stock[CTL Bucket],schedule13[[#This Row],[CTL Bucket]])</f>
        <v>0</v>
      </c>
      <c r="AG239" s="1">
        <f>SUMIFS(stock[MT],stock[Bucket],schedule13[[#This Row],[Bucket]])+SUMIFS(wip[Stock(Net Wt)],wip[Bucket],schedule13[[#This Row],[Bucket]])/1000</f>
        <v>0</v>
      </c>
      <c r="AH239" s="1">
        <f>AB239-AF239</f>
        <v>12.139139519999999</v>
      </c>
      <c r="AI239" s="118">
        <f t="shared" si="46"/>
        <v>0</v>
      </c>
    </row>
    <row r="240" spans="1:35" hidden="1" x14ac:dyDescent="0.25">
      <c r="A240" s="30">
        <v>84</v>
      </c>
      <c r="B240" s="5" t="s">
        <v>1872</v>
      </c>
      <c r="C240" s="2" t="s">
        <v>954</v>
      </c>
      <c r="D240" s="2"/>
      <c r="E240" s="2">
        <v>189226</v>
      </c>
      <c r="F240" s="2">
        <v>2410994</v>
      </c>
      <c r="G240" s="2" t="s">
        <v>1949</v>
      </c>
      <c r="H240" s="2" t="s">
        <v>357</v>
      </c>
      <c r="I240" s="2"/>
      <c r="J240" s="2" t="s">
        <v>1003</v>
      </c>
      <c r="K240" s="2" t="s">
        <v>239</v>
      </c>
      <c r="L240" s="2"/>
      <c r="M240" s="2"/>
      <c r="N240" s="2"/>
      <c r="O240" s="2"/>
      <c r="P240" s="557" t="str">
        <f>CONCATENATE(schedule13[[#This Row],[OD]],"-",schedule13[[#This Row],[ID]],"-",schedule13[[#This Row],[TICKNESS]],"-",schedule13[[#This Row],[GRADE]],"-",schedule13[[#This Row],[FC/NFC]])</f>
        <v>21.7-16.2-2.75-CEW-FC</v>
      </c>
      <c r="Q240" s="557"/>
      <c r="R240" s="557"/>
      <c r="S240" s="1">
        <v>21.7</v>
      </c>
      <c r="T240" s="6">
        <v>21.7</v>
      </c>
      <c r="U240" s="6">
        <v>16.2</v>
      </c>
      <c r="V240" s="6">
        <v>2.75</v>
      </c>
      <c r="W240" s="22">
        <v>4500</v>
      </c>
      <c r="X240" s="22"/>
      <c r="Y240" s="2">
        <v>112</v>
      </c>
      <c r="Z240" s="2"/>
      <c r="AA240" s="4">
        <f t="shared" si="38"/>
        <v>112</v>
      </c>
      <c r="AB240" s="1">
        <f>(S240-V240)*V240*W240*0.024653*Y240/1000000</f>
        <v>0.64750364910000002</v>
      </c>
      <c r="AC240" s="1">
        <f t="shared" si="44"/>
        <v>0</v>
      </c>
      <c r="AD240" s="1">
        <f t="shared" si="39"/>
        <v>0.64750364910000002</v>
      </c>
      <c r="AE240" s="1"/>
      <c r="AF240" s="1"/>
      <c r="AG240" s="1"/>
      <c r="AH240" s="1">
        <f>AB239-AF240</f>
        <v>12.139139519999999</v>
      </c>
      <c r="AI240" s="118">
        <f t="shared" si="46"/>
        <v>0</v>
      </c>
    </row>
    <row r="241" spans="1:36" hidden="1" x14ac:dyDescent="0.25">
      <c r="A241" s="30">
        <v>85</v>
      </c>
      <c r="B241" s="5" t="s">
        <v>1872</v>
      </c>
      <c r="C241" s="2" t="s">
        <v>954</v>
      </c>
      <c r="D241" s="2">
        <v>189226</v>
      </c>
      <c r="E241" s="2" t="s">
        <v>308</v>
      </c>
      <c r="F241" s="2">
        <v>2410994</v>
      </c>
      <c r="G241" s="2" t="s">
        <v>1949</v>
      </c>
      <c r="H241" s="2" t="s">
        <v>357</v>
      </c>
      <c r="I241" s="1"/>
      <c r="J241" s="2" t="s">
        <v>357</v>
      </c>
      <c r="K241" s="1"/>
      <c r="L241" s="1"/>
      <c r="M241" s="24"/>
      <c r="N241" s="2"/>
      <c r="O241" s="2"/>
      <c r="P241" s="557" t="str">
        <f>CONCATENATE(schedule13[[#This Row],[OD]],"-",schedule13[[#This Row],[ID]],"-",schedule13[[#This Row],[TICKNESS]],"-",schedule13[[#This Row],[GRADE]],"-",schedule13[[#This Row],[FC/NFC]])</f>
        <v>21.75-0-3.5-CEW-CEW</v>
      </c>
      <c r="Q241" s="557" t="str">
        <f>schedule13[[#This Row],[Bucket]]</f>
        <v>21.75-0-3.5-CEW-CEW</v>
      </c>
      <c r="R241" s="557">
        <f>COUNTIF(buckets[CTL Bucket],schedule13[[#This Row],[CTL Bucket]])</f>
        <v>0</v>
      </c>
      <c r="S241" s="1">
        <v>21.75</v>
      </c>
      <c r="T241" s="1">
        <v>21.75</v>
      </c>
      <c r="U241" s="6">
        <v>0</v>
      </c>
      <c r="V241" s="1">
        <v>3.5</v>
      </c>
      <c r="W241" s="22">
        <v>1000</v>
      </c>
      <c r="X241" s="22" t="s">
        <v>444</v>
      </c>
      <c r="Y241" s="2">
        <v>0</v>
      </c>
      <c r="Z241" s="2"/>
      <c r="AA241" s="4">
        <f t="shared" si="38"/>
        <v>0</v>
      </c>
      <c r="AB241" s="1">
        <f>(3.14*(schedule13[[#This Row],[ACTUAL OD]]-schedule13[[#This Row],[TICKNESS]])*schedule13[[#This Row],[TICKNESS]]*schedule13[[#This Row],[LENGTH]]*7.85)/1000000*schedule13[[#This Row],[SCHEDULE]]/1000</f>
        <v>0</v>
      </c>
      <c r="AC241" s="1">
        <f t="shared" si="44"/>
        <v>0</v>
      </c>
      <c r="AD241" s="1">
        <f t="shared" si="39"/>
        <v>0</v>
      </c>
      <c r="AE241" s="3" t="e">
        <f>schedule13[[#This Row],[CTL Stock]]/schedule13[[#This Row],[SCHEDULE IN MT]]*schedule13[[#This Row],[SCHEDULE]]</f>
        <v>#DIV/0!</v>
      </c>
      <c r="AF241" s="1">
        <f>SUMIFS(stock[MT],stock[Bucket],schedule13[[#This Row],[Bucket]],stock[CTL Bucket],schedule13[[#This Row],[CTL Bucket]])</f>
        <v>0</v>
      </c>
      <c r="AG241" s="1">
        <f>SUMIFS(stock[MT],stock[Bucket],schedule13[[#This Row],[Bucket]])+SUMIFS(wip[Stock(Net Wt)],wip[Bucket],schedule13[[#This Row],[Bucket]])/1000</f>
        <v>0</v>
      </c>
      <c r="AH241" s="1">
        <f>AB241-AF241</f>
        <v>0</v>
      </c>
      <c r="AI241" s="118" t="e">
        <f t="shared" si="46"/>
        <v>#DIV/0!</v>
      </c>
    </row>
    <row r="242" spans="1:36" hidden="1" x14ac:dyDescent="0.25">
      <c r="A242" s="30">
        <v>87</v>
      </c>
      <c r="B242" s="5" t="s">
        <v>1816</v>
      </c>
      <c r="C242" s="2" t="s">
        <v>954</v>
      </c>
      <c r="D242" s="2"/>
      <c r="E242" s="2" t="s">
        <v>308</v>
      </c>
      <c r="F242" s="2">
        <v>1940392</v>
      </c>
      <c r="G242" s="2" t="s">
        <v>1940</v>
      </c>
      <c r="H242" s="2" t="s">
        <v>962</v>
      </c>
      <c r="I242" s="2"/>
      <c r="J242" s="2" t="s">
        <v>963</v>
      </c>
      <c r="K242" s="2" t="s">
        <v>1867</v>
      </c>
      <c r="L242" s="44" t="s">
        <v>1891</v>
      </c>
      <c r="M242" s="2"/>
      <c r="N242" s="2"/>
      <c r="O242" s="2"/>
      <c r="P242" s="557" t="str">
        <f>CONCATENATE(schedule13[[#This Row],[OD]],"-",schedule13[[#This Row],[ID]],"-",schedule13[[#This Row],[TICKNESS]],"-",schedule13[[#This Row],[GRADE]],"-",schedule13[[#This Row],[FC/NFC]])</f>
        <v>22.23-0-1.6-ERW 1-PE</v>
      </c>
      <c r="Q242" s="557" t="str">
        <f>_xlfn.CONCAT(schedule13[[#This Row],[Bucket]],"-",schedule13[[#This Row],[LENGTH]]/1000)</f>
        <v>22.23-0-1.6-ERW 1-PE-0.285</v>
      </c>
      <c r="R242" s="557">
        <f>COUNTIF(buckets[CTL Bucket],schedule13[[#This Row],[CTL Bucket]])</f>
        <v>4</v>
      </c>
      <c r="S242" s="1">
        <v>22.23</v>
      </c>
      <c r="T242" s="1">
        <v>22.23</v>
      </c>
      <c r="U242" s="1">
        <v>0</v>
      </c>
      <c r="V242" s="1">
        <v>1.6</v>
      </c>
      <c r="W242" s="22">
        <v>285</v>
      </c>
      <c r="X242" s="22" t="s">
        <v>397</v>
      </c>
      <c r="Y242" s="2">
        <v>10000</v>
      </c>
      <c r="Z242" s="2"/>
      <c r="AA242" s="4">
        <f t="shared" si="38"/>
        <v>10000</v>
      </c>
      <c r="AB242" s="1">
        <f>(3.14*(schedule13[[#This Row],[ACTUAL OD]]-schedule13[[#This Row],[TICKNESS]])*schedule13[[#This Row],[TICKNESS]]*schedule13[[#This Row],[LENGTH]]*7.85)/1000000*schedule13[[#This Row],[SCHEDULE]]/1000</f>
        <v>2.3188004472000001</v>
      </c>
      <c r="AC242" s="1">
        <f t="shared" si="44"/>
        <v>0</v>
      </c>
      <c r="AD242" s="1">
        <f t="shared" si="39"/>
        <v>2.3188004472000001</v>
      </c>
      <c r="AE242" s="3">
        <f>schedule13[[#This Row],[CTL Stock]]/schedule13[[#This Row],[SCHEDULE IN MT]]*schedule13[[#This Row],[SCHEDULE]]</f>
        <v>3464.4507722518606</v>
      </c>
      <c r="AF242" s="1">
        <f>SUMIFS(stock[MT],stock[Bucket],schedule13[[#This Row],[Bucket]],stock[CTL Bucket],schedule13[[#This Row],[CTL Bucket]])</f>
        <v>0.80333700000000008</v>
      </c>
      <c r="AG242" s="1">
        <f>SUMIFS(stock[MT],stock[Bucket],schedule13[[#This Row],[Bucket]])+SUMIFS(wip[Stock(Net Wt)],wip[Bucket],schedule13[[#This Row],[Bucket]])/1000</f>
        <v>65.213986000000006</v>
      </c>
      <c r="AH242" s="1">
        <f>AB241-AF242</f>
        <v>-0.80333700000000008</v>
      </c>
      <c r="AI242" s="118">
        <f t="shared" si="46"/>
        <v>0.34644507722518608</v>
      </c>
    </row>
    <row r="243" spans="1:36" hidden="1" x14ac:dyDescent="0.25">
      <c r="A243" s="30">
        <v>92</v>
      </c>
      <c r="B243" s="5" t="s">
        <v>1816</v>
      </c>
      <c r="C243" s="2" t="s">
        <v>954</v>
      </c>
      <c r="D243" s="2"/>
      <c r="E243" s="2" t="s">
        <v>308</v>
      </c>
      <c r="F243" s="2">
        <v>1940408</v>
      </c>
      <c r="G243" s="2" t="s">
        <v>1982</v>
      </c>
      <c r="H243" s="2" t="s">
        <v>962</v>
      </c>
      <c r="I243" s="2"/>
      <c r="J243" s="2" t="s">
        <v>963</v>
      </c>
      <c r="K243" s="2" t="s">
        <v>1867</v>
      </c>
      <c r="L243" s="44" t="s">
        <v>1891</v>
      </c>
      <c r="M243" s="2"/>
      <c r="N243" s="2"/>
      <c r="O243" s="2"/>
      <c r="P243" s="557" t="str">
        <f>CONCATENATE(schedule13[[#This Row],[OD]],"-",schedule13[[#This Row],[ID]],"-",schedule13[[#This Row],[TICKNESS]],"-",schedule13[[#This Row],[GRADE]],"-",schedule13[[#This Row],[FC/NFC]])</f>
        <v>22.23-0-1.6-ERW 1-PE</v>
      </c>
      <c r="Q243" s="557" t="str">
        <f>_xlfn.CONCAT(schedule13[[#This Row],[Bucket]],"-",schedule13[[#This Row],[LENGTH]]/1000)</f>
        <v>22.23-0-1.6-ERW 1-PE-0.809</v>
      </c>
      <c r="R243" s="557">
        <f>COUNTIF(buckets[CTL Bucket],schedule13[[#This Row],[CTL Bucket]])</f>
        <v>3</v>
      </c>
      <c r="S243" s="1">
        <v>22.23</v>
      </c>
      <c r="T243" s="1">
        <v>22.23</v>
      </c>
      <c r="U243" s="6">
        <v>0</v>
      </c>
      <c r="V243" s="1">
        <v>1.6</v>
      </c>
      <c r="W243" s="22">
        <v>809</v>
      </c>
      <c r="X243" s="22" t="s">
        <v>397</v>
      </c>
      <c r="Y243" s="2">
        <v>2000</v>
      </c>
      <c r="Z243" s="2"/>
      <c r="AA243" s="4">
        <f t="shared" si="38"/>
        <v>2000</v>
      </c>
      <c r="AB243" s="1">
        <f>(3.14*(schedule13[[#This Row],[ACTUAL OD]]-schedule13[[#This Row],[TICKNESS]])*schedule13[[#This Row],[TICKNESS]]*schedule13[[#This Row],[LENGTH]]*7.85)/1000000*schedule13[[#This Row],[SCHEDULE]]/1000</f>
        <v>1.3164277626559999</v>
      </c>
      <c r="AC243" s="1">
        <f t="shared" si="44"/>
        <v>0</v>
      </c>
      <c r="AD243" s="1">
        <f t="shared" si="39"/>
        <v>1.3164277626559999</v>
      </c>
      <c r="AE243" s="3">
        <f>schedule13[[#This Row],[CTL Stock]]/schedule13[[#This Row],[SCHEDULE IN MT]]*schedule13[[#This Row],[SCHEDULE]]</f>
        <v>0</v>
      </c>
      <c r="AF243" s="1">
        <f>SUMIFS(stock[MT],stock[Bucket],schedule13[[#This Row],[Bucket]],stock[CTL Bucket],schedule13[[#This Row],[CTL Bucket]])</f>
        <v>0</v>
      </c>
      <c r="AG243" s="1">
        <f>SUMIFS(stock[MT],stock[Bucket],schedule13[[#This Row],[Bucket]])+SUMIFS(wip[Stock(Net Wt)],wip[Bucket],schedule13[[#This Row],[Bucket]])/1000</f>
        <v>65.213986000000006</v>
      </c>
      <c r="AH243" s="1">
        <f>AB242-AF243</f>
        <v>2.3188004472000001</v>
      </c>
      <c r="AI243" s="118">
        <f t="shared" si="46"/>
        <v>0</v>
      </c>
    </row>
    <row r="244" spans="1:36" hidden="1" x14ac:dyDescent="0.25">
      <c r="A244" s="30">
        <v>93</v>
      </c>
      <c r="B244" s="5" t="s">
        <v>1816</v>
      </c>
      <c r="C244" s="2" t="s">
        <v>954</v>
      </c>
      <c r="D244" s="2"/>
      <c r="E244" s="2">
        <v>189226</v>
      </c>
      <c r="F244" s="2">
        <v>1159568</v>
      </c>
      <c r="G244" s="2" t="s">
        <v>1983</v>
      </c>
      <c r="H244" s="2" t="s">
        <v>962</v>
      </c>
      <c r="I244" s="2"/>
      <c r="J244" s="2"/>
      <c r="K244" s="2" t="s">
        <v>239</v>
      </c>
      <c r="L244" s="2"/>
      <c r="M244" s="2"/>
      <c r="N244" s="2"/>
      <c r="O244" s="2"/>
      <c r="P244" s="557" t="str">
        <f>CONCATENATE(schedule13[[#This Row],[OD]],"-",schedule13[[#This Row],[ID]],"-",schedule13[[#This Row],[TICKNESS]],"-",schedule13[[#This Row],[GRADE]],"-",schedule13[[#This Row],[FC/NFC]])</f>
        <v>22.23-0-2-ERW 1-</v>
      </c>
      <c r="Q244" s="557"/>
      <c r="R244" s="557"/>
      <c r="S244" s="1">
        <v>22.23</v>
      </c>
      <c r="T244" s="1">
        <v>22.23</v>
      </c>
      <c r="U244" s="1">
        <v>0</v>
      </c>
      <c r="V244" s="1">
        <v>2</v>
      </c>
      <c r="W244" s="22">
        <v>180</v>
      </c>
      <c r="X244" s="22"/>
      <c r="Y244" s="2">
        <v>0</v>
      </c>
      <c r="Z244" s="2"/>
      <c r="AA244" s="4">
        <f t="shared" si="38"/>
        <v>0</v>
      </c>
      <c r="AB244" s="1">
        <f>(S244-V244)*V244*W244*0.024653*Y244/1000000</f>
        <v>0</v>
      </c>
      <c r="AC244" s="1">
        <f t="shared" si="44"/>
        <v>0</v>
      </c>
      <c r="AD244" s="1">
        <f t="shared" si="39"/>
        <v>0</v>
      </c>
      <c r="AE244" s="1"/>
      <c r="AF244" s="1">
        <v>9.7794539999999994</v>
      </c>
      <c r="AG244" s="1"/>
      <c r="AH244" s="1">
        <f>AB243-AF244</f>
        <v>-8.4630262373439997</v>
      </c>
      <c r="AI244" s="118" t="e">
        <f t="shared" si="46"/>
        <v>#DIV/0!</v>
      </c>
    </row>
    <row r="245" spans="1:36" hidden="1" x14ac:dyDescent="0.25">
      <c r="A245" s="30">
        <v>96</v>
      </c>
      <c r="B245" s="5" t="s">
        <v>1816</v>
      </c>
      <c r="C245" s="2" t="s">
        <v>954</v>
      </c>
      <c r="D245" s="2"/>
      <c r="E245" s="2" t="s">
        <v>308</v>
      </c>
      <c r="F245" s="2">
        <v>1940466</v>
      </c>
      <c r="G245" s="2" t="s">
        <v>764</v>
      </c>
      <c r="H245" s="2" t="s">
        <v>962</v>
      </c>
      <c r="I245" s="2"/>
      <c r="J245" s="2" t="s">
        <v>963</v>
      </c>
      <c r="K245" s="2" t="s">
        <v>239</v>
      </c>
      <c r="L245" s="2"/>
      <c r="M245" s="2"/>
      <c r="N245" s="2"/>
      <c r="O245" s="2"/>
      <c r="P245" s="557" t="str">
        <f>CONCATENATE(schedule13[[#This Row],[OD]],"-",schedule13[[#This Row],[ID]],"-",schedule13[[#This Row],[TICKNESS]],"-",schedule13[[#This Row],[GRADE]],"-",schedule13[[#This Row],[FC/NFC]])</f>
        <v>22.23-0-2-ERW 1-PE</v>
      </c>
      <c r="Q245" s="557" t="str">
        <f>_xlfn.CONCAT(schedule13[[#This Row],[Bucket]],"-",schedule13[[#This Row],[LENGTH]]/1000)</f>
        <v>22.23-0-2-ERW 1-PE-0.809</v>
      </c>
      <c r="R245" s="557">
        <f>COUNTIF(buckets[CTL Bucket],schedule13[[#This Row],[CTL Bucket]])</f>
        <v>2</v>
      </c>
      <c r="S245" s="1">
        <v>22.23</v>
      </c>
      <c r="T245" s="1">
        <v>22.23</v>
      </c>
      <c r="U245" s="1">
        <v>0</v>
      </c>
      <c r="V245" s="1">
        <v>2</v>
      </c>
      <c r="W245" s="22">
        <v>809</v>
      </c>
      <c r="X245" s="22" t="s">
        <v>397</v>
      </c>
      <c r="Y245" s="2">
        <v>6000</v>
      </c>
      <c r="Z245" s="2"/>
      <c r="AA245" s="4">
        <f t="shared" si="38"/>
        <v>6000</v>
      </c>
      <c r="AB245" s="1">
        <f>(3.14*(schedule13[[#This Row],[ACTUAL OD]]-schedule13[[#This Row],[TICKNESS]])*schedule13[[#This Row],[TICKNESS]]*schedule13[[#This Row],[LENGTH]]*7.85)/1000000*schedule13[[#This Row],[SCHEDULE]]/1000</f>
        <v>4.8408871131600009</v>
      </c>
      <c r="AC245" s="1">
        <f t="shared" si="44"/>
        <v>0</v>
      </c>
      <c r="AD245" s="1">
        <f t="shared" si="39"/>
        <v>4.8408871131600009</v>
      </c>
      <c r="AE245" s="3">
        <f>schedule13[[#This Row],[CTL Stock]]/schedule13[[#This Row],[SCHEDULE IN MT]]*schedule13[[#This Row],[SCHEDULE]]</f>
        <v>2300.2015415169144</v>
      </c>
      <c r="AF245" s="1">
        <f>SUMIFS(stock[MT],stock[Bucket],schedule13[[#This Row],[Bucket]],stock[CTL Bucket],schedule13[[#This Row],[CTL Bucket]])</f>
        <v>1.855836</v>
      </c>
      <c r="AG245" s="1">
        <f>SUMIFS(stock[MT],stock[Bucket],schedule13[[#This Row],[Bucket]])+SUMIFS(wip[Stock(Net Wt)],wip[Bucket],schedule13[[#This Row],[Bucket]])/1000</f>
        <v>15.848029999999998</v>
      </c>
      <c r="AH245" s="1"/>
      <c r="AI245" s="118">
        <f t="shared" si="46"/>
        <v>0.38336692358615243</v>
      </c>
    </row>
    <row r="246" spans="1:36" hidden="1" x14ac:dyDescent="0.25">
      <c r="A246" s="30">
        <v>97</v>
      </c>
      <c r="B246" s="5" t="s">
        <v>1816</v>
      </c>
      <c r="C246" s="2" t="s">
        <v>954</v>
      </c>
      <c r="D246" s="2"/>
      <c r="E246" s="2" t="s">
        <v>308</v>
      </c>
      <c r="F246" s="2">
        <v>2413708</v>
      </c>
      <c r="G246" s="2" t="s">
        <v>634</v>
      </c>
      <c r="H246" s="2" t="s">
        <v>962</v>
      </c>
      <c r="I246" s="2"/>
      <c r="J246" s="2" t="s">
        <v>963</v>
      </c>
      <c r="K246" s="2" t="s">
        <v>239</v>
      </c>
      <c r="L246" s="2"/>
      <c r="M246" s="2"/>
      <c r="N246" s="2"/>
      <c r="O246" s="2"/>
      <c r="P246" s="557" t="str">
        <f>CONCATENATE(schedule13[[#This Row],[OD]],"-",schedule13[[#This Row],[ID]],"-",schedule13[[#This Row],[TICKNESS]],"-",schedule13[[#This Row],[GRADE]],"-",schedule13[[#This Row],[FC/NFC]])</f>
        <v>22.23-0-2-ERW 1-PE</v>
      </c>
      <c r="Q246" s="557" t="str">
        <f>_xlfn.CONCAT(schedule13[[#This Row],[Bucket]],"-",schedule13[[#This Row],[LENGTH]]/1000)</f>
        <v>22.23-0-2-ERW 1-PE-0.815</v>
      </c>
      <c r="R246" s="557">
        <f>COUNTIF(buckets[CTL Bucket],schedule13[[#This Row],[CTL Bucket]])</f>
        <v>3</v>
      </c>
      <c r="S246" s="1">
        <v>22.23</v>
      </c>
      <c r="T246" s="1">
        <v>22.23</v>
      </c>
      <c r="U246" s="1">
        <v>0</v>
      </c>
      <c r="V246" s="1">
        <v>2</v>
      </c>
      <c r="W246" s="22">
        <v>815</v>
      </c>
      <c r="X246" s="22" t="s">
        <v>397</v>
      </c>
      <c r="Y246" s="2">
        <v>6000</v>
      </c>
      <c r="Z246" s="2"/>
      <c r="AA246" s="4">
        <f t="shared" si="38"/>
        <v>6000</v>
      </c>
      <c r="AB246" s="1">
        <f>(3.14*(schedule13[[#This Row],[ACTUAL OD]]-schedule13[[#This Row],[TICKNESS]])*schedule13[[#This Row],[TICKNESS]]*schedule13[[#This Row],[LENGTH]]*7.85)/1000000*schedule13[[#This Row],[SCHEDULE]]/1000</f>
        <v>4.8767898605999997</v>
      </c>
      <c r="AC246" s="1">
        <f t="shared" si="44"/>
        <v>0</v>
      </c>
      <c r="AD246" s="1">
        <f t="shared" si="39"/>
        <v>4.8767898605999997</v>
      </c>
      <c r="AE246" s="3">
        <f>schedule13[[#This Row],[CTL Stock]]/schedule13[[#This Row],[SCHEDULE IN MT]]*schedule13[[#This Row],[SCHEDULE]]</f>
        <v>17.042358267570421</v>
      </c>
      <c r="AF246" s="1">
        <f>SUMIFS(stock[MT],stock[Bucket],schedule13[[#This Row],[Bucket]],stock[CTL Bucket],schedule13[[#This Row],[CTL Bucket]])</f>
        <v>1.3852E-2</v>
      </c>
      <c r="AG246" s="1">
        <f>SUMIFS(stock[MT],stock[Bucket],schedule13[[#This Row],[Bucket]])+SUMIFS(wip[Stock(Net Wt)],wip[Bucket],schedule13[[#This Row],[Bucket]])/1000</f>
        <v>15.848029999999998</v>
      </c>
      <c r="AH246" s="1">
        <f>AB245-AF246</f>
        <v>4.8270351131600009</v>
      </c>
      <c r="AI246" s="118">
        <f t="shared" si="46"/>
        <v>2.8403930445950699E-3</v>
      </c>
    </row>
    <row r="247" spans="1:36" hidden="1" x14ac:dyDescent="0.25">
      <c r="A247" s="30">
        <v>98</v>
      </c>
      <c r="B247" s="5" t="s">
        <v>1816</v>
      </c>
      <c r="C247" s="2" t="s">
        <v>954</v>
      </c>
      <c r="D247" s="2"/>
      <c r="E247" s="2">
        <v>189226</v>
      </c>
      <c r="F247" s="2">
        <v>3506579</v>
      </c>
      <c r="G247" s="2" t="s">
        <v>1984</v>
      </c>
      <c r="H247" s="2" t="s">
        <v>962</v>
      </c>
      <c r="I247" s="2"/>
      <c r="J247" s="2"/>
      <c r="K247" s="2" t="s">
        <v>239</v>
      </c>
      <c r="L247" s="2"/>
      <c r="M247" s="2"/>
      <c r="N247" s="2"/>
      <c r="O247" s="2"/>
      <c r="P247" s="557" t="str">
        <f>CONCATENATE(schedule13[[#This Row],[OD]],"-",schedule13[[#This Row],[ID]],"-",schedule13[[#This Row],[TICKNESS]],"-",schedule13[[#This Row],[GRADE]],"-",schedule13[[#This Row],[FC/NFC]])</f>
        <v>22.23-0-2.3-ERW 1-</v>
      </c>
      <c r="Q247" s="557"/>
      <c r="R247" s="557"/>
      <c r="S247" s="1">
        <v>22.23</v>
      </c>
      <c r="T247" s="1">
        <v>22.23</v>
      </c>
      <c r="U247" s="1">
        <v>0</v>
      </c>
      <c r="V247" s="1">
        <v>2.2999999999999998</v>
      </c>
      <c r="W247" s="22">
        <v>430</v>
      </c>
      <c r="X247" s="22"/>
      <c r="Y247" s="2">
        <v>0</v>
      </c>
      <c r="Z247" s="2"/>
      <c r="AA247" s="4">
        <f t="shared" si="38"/>
        <v>0</v>
      </c>
      <c r="AB247" s="1">
        <f>(S247-V247)*V247*W247*0.024653*Y247/1000000</f>
        <v>0</v>
      </c>
      <c r="AC247" s="1">
        <f t="shared" si="44"/>
        <v>0</v>
      </c>
      <c r="AD247" s="1">
        <f t="shared" si="39"/>
        <v>0</v>
      </c>
      <c r="AE247" s="1"/>
      <c r="AF247" s="1"/>
      <c r="AG247" s="1"/>
      <c r="AH247" s="1"/>
      <c r="AI247" s="118" t="e">
        <f t="shared" si="46"/>
        <v>#DIV/0!</v>
      </c>
      <c r="AJ247" s="15">
        <v>9518489722</v>
      </c>
    </row>
    <row r="248" spans="1:36" hidden="1" x14ac:dyDescent="0.25">
      <c r="A248" s="30">
        <v>99</v>
      </c>
      <c r="B248" s="5" t="s">
        <v>1816</v>
      </c>
      <c r="C248" s="2" t="s">
        <v>954</v>
      </c>
      <c r="D248" s="2"/>
      <c r="E248" s="2" t="s">
        <v>308</v>
      </c>
      <c r="F248" s="2">
        <v>1940538</v>
      </c>
      <c r="G248" s="2" t="s">
        <v>1553</v>
      </c>
      <c r="H248" s="2" t="s">
        <v>962</v>
      </c>
      <c r="I248" s="2"/>
      <c r="J248" s="2" t="s">
        <v>963</v>
      </c>
      <c r="K248" s="2" t="s">
        <v>1867</v>
      </c>
      <c r="L248" s="2"/>
      <c r="M248" s="2"/>
      <c r="N248" s="2" t="s">
        <v>1895</v>
      </c>
      <c r="O248" s="2"/>
      <c r="P248" s="557" t="str">
        <f>CONCATENATE(schedule13[[#This Row],[OD]],"-",schedule13[[#This Row],[ID]],"-",schedule13[[#This Row],[TICKNESS]],"-",schedule13[[#This Row],[GRADE]],"-",schedule13[[#This Row],[FC/NFC]])</f>
        <v>25.4-0-1.2-ERW 1-PE</v>
      </c>
      <c r="Q248" s="557" t="str">
        <f>_xlfn.CONCAT(schedule13[[#This Row],[Bucket]],"-",schedule13[[#This Row],[LENGTH]]/1000)</f>
        <v>25.4-0-1.2-ERW 1-PE-0.845</v>
      </c>
      <c r="R248" s="557">
        <f>COUNTIF(buckets[CTL Bucket],schedule13[[#This Row],[CTL Bucket]])</f>
        <v>2</v>
      </c>
      <c r="S248" s="1">
        <v>25.4</v>
      </c>
      <c r="T248" s="1">
        <v>25.4</v>
      </c>
      <c r="U248" s="1">
        <v>0</v>
      </c>
      <c r="V248" s="1">
        <v>1.2</v>
      </c>
      <c r="W248" s="22">
        <v>845</v>
      </c>
      <c r="X248" s="22" t="s">
        <v>397</v>
      </c>
      <c r="Y248" s="2">
        <v>11000</v>
      </c>
      <c r="Z248" s="2"/>
      <c r="AA248" s="4">
        <f t="shared" si="38"/>
        <v>11000</v>
      </c>
      <c r="AB248" s="1">
        <f>(3.14*(schedule13[[#This Row],[ACTUAL OD]]-schedule13[[#This Row],[TICKNESS]])*schedule13[[#This Row],[TICKNESS]]*schedule13[[#This Row],[LENGTH]]*7.85)/1000000*schedule13[[#This Row],[SCHEDULE]]/1000</f>
        <v>6.6534256931999991</v>
      </c>
      <c r="AC248" s="1">
        <f t="shared" si="44"/>
        <v>0</v>
      </c>
      <c r="AD248" s="1">
        <f t="shared" si="39"/>
        <v>6.6534256931999991</v>
      </c>
      <c r="AE248" s="3">
        <f>schedule13[[#This Row],[CTL Stock]]/schedule13[[#This Row],[SCHEDULE IN MT]]*schedule13[[#This Row],[SCHEDULE]]</f>
        <v>151.48211560100214</v>
      </c>
      <c r="AF248" s="1">
        <f>SUMIFS(stock[MT],stock[Bucket],schedule13[[#This Row],[Bucket]],stock[CTL Bucket],schedule13[[#This Row],[CTL Bucket]])</f>
        <v>9.1624999999999998E-2</v>
      </c>
      <c r="AG248" s="1">
        <f>SUMIFS(stock[MT],stock[Bucket],schedule13[[#This Row],[Bucket]])+SUMIFS(wip[Stock(Net Wt)],wip[Bucket],schedule13[[#This Row],[Bucket]])/1000</f>
        <v>26.071783</v>
      </c>
      <c r="AH248" s="1">
        <f>AB247-AF248</f>
        <v>-9.1624999999999998E-2</v>
      </c>
      <c r="AI248" s="118">
        <f t="shared" si="46"/>
        <v>1.3771101418272921E-2</v>
      </c>
    </row>
    <row r="249" spans="1:36" hidden="1" x14ac:dyDescent="0.25">
      <c r="A249" s="30">
        <v>100</v>
      </c>
      <c r="B249" s="5" t="s">
        <v>1816</v>
      </c>
      <c r="C249" s="2" t="s">
        <v>954</v>
      </c>
      <c r="D249" s="2"/>
      <c r="E249" s="2">
        <v>189226</v>
      </c>
      <c r="F249" s="2">
        <v>3727130</v>
      </c>
      <c r="G249" s="2" t="s">
        <v>1985</v>
      </c>
      <c r="H249" s="2" t="s">
        <v>962</v>
      </c>
      <c r="I249" s="2"/>
      <c r="J249" s="2"/>
      <c r="K249" s="2" t="s">
        <v>239</v>
      </c>
      <c r="L249" s="2"/>
      <c r="M249" s="2"/>
      <c r="N249" s="2"/>
      <c r="O249" s="2"/>
      <c r="P249" s="557" t="str">
        <f>CONCATENATE(schedule13[[#This Row],[OD]],"-",schedule13[[#This Row],[ID]],"-",schedule13[[#This Row],[TICKNESS]],"-",schedule13[[#This Row],[GRADE]],"-",schedule13[[#This Row],[FC/NFC]])</f>
        <v>25.4-0-1.6-ERW 1-</v>
      </c>
      <c r="Q249" s="557"/>
      <c r="R249" s="557"/>
      <c r="S249" s="1">
        <v>25.4</v>
      </c>
      <c r="T249" s="1">
        <v>25.4</v>
      </c>
      <c r="U249" s="6">
        <v>0</v>
      </c>
      <c r="V249" s="1">
        <v>1.6</v>
      </c>
      <c r="W249" s="22">
        <v>512</v>
      </c>
      <c r="X249" s="22"/>
      <c r="Y249" s="2">
        <v>0</v>
      </c>
      <c r="Z249" s="3"/>
      <c r="AA249" s="4">
        <f t="shared" si="38"/>
        <v>0</v>
      </c>
      <c r="AB249" s="1">
        <f>(S249-V249)*V249*W249*0.024653*Y249/1000000</f>
        <v>0</v>
      </c>
      <c r="AC249" s="1">
        <f t="shared" si="44"/>
        <v>0</v>
      </c>
      <c r="AD249" s="1">
        <f t="shared" si="39"/>
        <v>0</v>
      </c>
      <c r="AE249" s="1"/>
      <c r="AF249" s="1"/>
      <c r="AG249" s="1"/>
      <c r="AH249" s="1">
        <f>AB249-AF249</f>
        <v>0</v>
      </c>
      <c r="AI249" s="118" t="e">
        <f t="shared" si="46"/>
        <v>#DIV/0!</v>
      </c>
    </row>
    <row r="250" spans="1:36" hidden="1" x14ac:dyDescent="0.25">
      <c r="A250" s="30">
        <v>103</v>
      </c>
      <c r="B250" s="5" t="s">
        <v>1872</v>
      </c>
      <c r="C250" s="2" t="s">
        <v>954</v>
      </c>
      <c r="D250" s="2"/>
      <c r="E250" s="2" t="s">
        <v>308</v>
      </c>
      <c r="F250" s="2">
        <v>2410997</v>
      </c>
      <c r="G250" s="2" t="s">
        <v>814</v>
      </c>
      <c r="H250" s="2" t="s">
        <v>357</v>
      </c>
      <c r="I250" s="2"/>
      <c r="J250" s="2" t="s">
        <v>357</v>
      </c>
      <c r="K250" s="2" t="s">
        <v>239</v>
      </c>
      <c r="L250" s="2"/>
      <c r="M250" s="2"/>
      <c r="N250" s="2"/>
      <c r="O250" s="2"/>
      <c r="P250" s="557" t="str">
        <f>CONCATENATE(schedule13[[#This Row],[OD]],"-",schedule13[[#This Row],[ID]],"-",schedule13[[#This Row],[TICKNESS]],"-",schedule13[[#This Row],[GRADE]],"-",schedule13[[#This Row],[FC/NFC]])</f>
        <v>25.4-19-3.2-CEW-CEW</v>
      </c>
      <c r="Q250" s="557" t="str">
        <f>schedule13[[#This Row],[Bucket]]</f>
        <v>25.4-19-3.2-CEW-CEW</v>
      </c>
      <c r="R250" s="557">
        <f>COUNTIF(buckets[CTL Bucket],schedule13[[#This Row],[CTL Bucket]])</f>
        <v>0</v>
      </c>
      <c r="S250" s="1">
        <v>25.4</v>
      </c>
      <c r="T250" s="1">
        <v>25.4</v>
      </c>
      <c r="U250" s="6">
        <v>19</v>
      </c>
      <c r="V250" s="1">
        <v>3.2</v>
      </c>
      <c r="W250" s="22">
        <v>1000</v>
      </c>
      <c r="X250" s="22" t="s">
        <v>444</v>
      </c>
      <c r="Y250" s="2">
        <v>2000</v>
      </c>
      <c r="Z250" s="2"/>
      <c r="AA250" s="4">
        <f t="shared" si="38"/>
        <v>2000</v>
      </c>
      <c r="AB250" s="1">
        <f>(3.14*(schedule13[[#This Row],[ACTUAL OD]]-schedule13[[#This Row],[TICKNESS]])*schedule13[[#This Row],[TICKNESS]]*schedule13[[#This Row],[LENGTH]]*7.85)/1000000*schedule13[[#This Row],[SCHEDULE]]/1000</f>
        <v>3.5021299199999998</v>
      </c>
      <c r="AC250" s="1">
        <f t="shared" si="44"/>
        <v>0</v>
      </c>
      <c r="AD250" s="1">
        <f t="shared" si="39"/>
        <v>3.5021299199999998</v>
      </c>
      <c r="AE250" s="3">
        <f>schedule13[[#This Row],[CTL Stock]]/schedule13[[#This Row],[SCHEDULE IN MT]]*schedule13[[#This Row],[SCHEDULE]]</f>
        <v>0</v>
      </c>
      <c r="AF250" s="1">
        <f>SUMIFS(stock[MT],stock[Bucket],schedule13[[#This Row],[Bucket]],stock[CTL Bucket],schedule13[[#This Row],[CTL Bucket]])</f>
        <v>0</v>
      </c>
      <c r="AG250" s="1">
        <f>SUMIFS(stock[MT],stock[Bucket],schedule13[[#This Row],[Bucket]])+SUMIFS(wip[Stock(Net Wt)],wip[Bucket],schedule13[[#This Row],[Bucket]])/1000</f>
        <v>0.19838500000000001</v>
      </c>
      <c r="AH250" s="1">
        <f t="shared" ref="AH250:AH295" si="47">AB249-AF250</f>
        <v>0</v>
      </c>
      <c r="AI250" s="118">
        <f t="shared" si="46"/>
        <v>0</v>
      </c>
    </row>
    <row r="251" spans="1:36" hidden="1" x14ac:dyDescent="0.25">
      <c r="A251" s="30">
        <v>104</v>
      </c>
      <c r="B251" s="5" t="s">
        <v>1816</v>
      </c>
      <c r="C251" s="2" t="s">
        <v>954</v>
      </c>
      <c r="D251" s="2"/>
      <c r="E251" s="2">
        <v>189226</v>
      </c>
      <c r="F251" s="2">
        <v>237726</v>
      </c>
      <c r="G251" s="2" t="s">
        <v>1987</v>
      </c>
      <c r="H251" s="2"/>
      <c r="I251" s="2"/>
      <c r="J251" s="2"/>
      <c r="K251" s="2" t="s">
        <v>239</v>
      </c>
      <c r="L251" s="2"/>
      <c r="M251" s="2"/>
      <c r="N251" s="2"/>
      <c r="O251" s="2"/>
      <c r="P251" s="557" t="str">
        <f>CONCATENATE(schedule13[[#This Row],[OD]],"-",schedule13[[#This Row],[ID]],"-",schedule13[[#This Row],[TICKNESS]],"-",schedule13[[#This Row],[GRADE]],"-",schedule13[[#This Row],[FC/NFC]])</f>
        <v>28.58-0-1.2--</v>
      </c>
      <c r="Q251" s="557"/>
      <c r="R251" s="557"/>
      <c r="S251" s="1">
        <v>28.58</v>
      </c>
      <c r="T251" s="1">
        <v>28.58</v>
      </c>
      <c r="U251" s="1">
        <v>0</v>
      </c>
      <c r="V251" s="1">
        <v>1.2</v>
      </c>
      <c r="W251" s="22">
        <v>610</v>
      </c>
      <c r="X251" s="22"/>
      <c r="Y251" s="2">
        <v>0</v>
      </c>
      <c r="Z251" s="2"/>
      <c r="AA251" s="4">
        <f t="shared" si="38"/>
        <v>0</v>
      </c>
      <c r="AB251" s="1">
        <f>(S251-V251)*V251*W251*0.024653*Y251/1000000</f>
        <v>0</v>
      </c>
      <c r="AC251" s="1">
        <f t="shared" si="44"/>
        <v>0</v>
      </c>
      <c r="AD251" s="1">
        <f t="shared" si="39"/>
        <v>0</v>
      </c>
      <c r="AE251" s="1"/>
      <c r="AF251" s="1"/>
      <c r="AG251" s="1"/>
      <c r="AH251" s="1">
        <f t="shared" si="47"/>
        <v>3.5021299199999998</v>
      </c>
      <c r="AI251" s="118" t="e">
        <f t="shared" si="46"/>
        <v>#DIV/0!</v>
      </c>
    </row>
    <row r="252" spans="1:36" hidden="1" x14ac:dyDescent="0.25">
      <c r="A252" s="30">
        <v>106</v>
      </c>
      <c r="B252" s="5" t="s">
        <v>1816</v>
      </c>
      <c r="C252" s="2" t="s">
        <v>954</v>
      </c>
      <c r="D252" s="2"/>
      <c r="E252" s="2" t="s">
        <v>308</v>
      </c>
      <c r="F252" s="2">
        <v>1940653</v>
      </c>
      <c r="G252" s="2" t="s">
        <v>1601</v>
      </c>
      <c r="H252" s="2" t="s">
        <v>962</v>
      </c>
      <c r="I252" s="2"/>
      <c r="J252" s="2" t="s">
        <v>963</v>
      </c>
      <c r="K252" s="2" t="s">
        <v>1867</v>
      </c>
      <c r="L252" s="2"/>
      <c r="M252" s="2"/>
      <c r="N252" s="2"/>
      <c r="O252" s="2"/>
      <c r="P252" s="557" t="str">
        <f>CONCATENATE(schedule13[[#This Row],[OD]],"-",schedule13[[#This Row],[ID]],"-",schedule13[[#This Row],[TICKNESS]],"-",schedule13[[#This Row],[GRADE]],"-",schedule13[[#This Row],[FC/NFC]])</f>
        <v>31.75-0-1.2-ERW 1-PE</v>
      </c>
      <c r="Q252" s="557" t="str">
        <f>_xlfn.CONCAT(schedule13[[#This Row],[Bucket]],"-",schedule13[[#This Row],[LENGTH]]/1000)</f>
        <v>31.75-0-1.2-ERW 1-PE-0.67</v>
      </c>
      <c r="R252" s="557">
        <f>COUNTIF(buckets[CTL Bucket],schedule13[[#This Row],[CTL Bucket]])</f>
        <v>3</v>
      </c>
      <c r="S252" s="1">
        <v>31.75</v>
      </c>
      <c r="T252" s="1">
        <v>31.75</v>
      </c>
      <c r="U252" s="1">
        <v>0</v>
      </c>
      <c r="V252" s="6">
        <v>1.2</v>
      </c>
      <c r="W252" s="22">
        <v>670</v>
      </c>
      <c r="X252" s="22" t="s">
        <v>397</v>
      </c>
      <c r="Y252" s="2">
        <v>11000</v>
      </c>
      <c r="Z252" s="2"/>
      <c r="AA252" s="4">
        <f t="shared" si="38"/>
        <v>11000</v>
      </c>
      <c r="AB252" s="1">
        <f>(3.14*(schedule13[[#This Row],[ACTUAL OD]]-schedule13[[#This Row],[TICKNESS]])*schedule13[[#This Row],[TICKNESS]]*schedule13[[#This Row],[LENGTH]]*7.85)/1000000*schedule13[[#This Row],[SCHEDULE]]/1000</f>
        <v>6.6597703458000002</v>
      </c>
      <c r="AC252" s="1">
        <f t="shared" si="44"/>
        <v>0</v>
      </c>
      <c r="AD252" s="1">
        <f t="shared" si="39"/>
        <v>6.6597703458000002</v>
      </c>
      <c r="AE252" s="3">
        <f>schedule13[[#This Row],[CTL Stock]]/schedule13[[#This Row],[SCHEDULE IN MT]]*schedule13[[#This Row],[SCHEDULE]]</f>
        <v>10370.662112028649</v>
      </c>
      <c r="AF252" s="1">
        <f>SUMIFS(stock[MT],stock[Bucket],schedule13[[#This Row],[Bucket]],stock[CTL Bucket],schedule13[[#This Row],[CTL Bucket]])</f>
        <v>6.2787479999999993</v>
      </c>
      <c r="AG252" s="1">
        <f>SUMIFS(stock[MT],stock[Bucket],schedule13[[#This Row],[Bucket]])+SUMIFS(wip[Stock(Net Wt)],wip[Bucket],schedule13[[#This Row],[Bucket]])/1000</f>
        <v>23.995653000000001</v>
      </c>
      <c r="AH252" s="1">
        <f t="shared" si="47"/>
        <v>-6.2787479999999993</v>
      </c>
      <c r="AI252" s="118">
        <f t="shared" si="46"/>
        <v>0.94278746472987718</v>
      </c>
    </row>
    <row r="253" spans="1:36" hidden="1" x14ac:dyDescent="0.25">
      <c r="A253" s="30">
        <v>107</v>
      </c>
      <c r="B253" s="5" t="s">
        <v>1816</v>
      </c>
      <c r="C253" s="2" t="s">
        <v>954</v>
      </c>
      <c r="D253" s="2"/>
      <c r="E253" s="2">
        <v>189226</v>
      </c>
      <c r="F253" s="2">
        <v>1940701</v>
      </c>
      <c r="G253" s="2" t="s">
        <v>1988</v>
      </c>
      <c r="H253" s="2" t="s">
        <v>962</v>
      </c>
      <c r="I253" s="2"/>
      <c r="J253" s="2"/>
      <c r="K253" s="2" t="s">
        <v>239</v>
      </c>
      <c r="L253" s="2"/>
      <c r="M253" s="2"/>
      <c r="N253" s="2"/>
      <c r="O253" s="2"/>
      <c r="P253" s="557" t="str">
        <f>CONCATENATE(schedule13[[#This Row],[OD]],"-",schedule13[[#This Row],[ID]],"-",schedule13[[#This Row],[TICKNESS]],"-",schedule13[[#This Row],[GRADE]],"-",schedule13[[#This Row],[FC/NFC]])</f>
        <v>34.93-0-1.2-ERW 1-</v>
      </c>
      <c r="Q253" s="557"/>
      <c r="R253" s="557"/>
      <c r="S253" s="1">
        <v>34.93</v>
      </c>
      <c r="T253" s="1">
        <v>34.93</v>
      </c>
      <c r="U253" s="1">
        <v>0</v>
      </c>
      <c r="V253" s="1">
        <v>1.2</v>
      </c>
      <c r="W253" s="22">
        <v>6000</v>
      </c>
      <c r="X253" s="22"/>
      <c r="Y253" s="2">
        <v>0</v>
      </c>
      <c r="Z253" s="2"/>
      <c r="AA253" s="4">
        <f t="shared" si="38"/>
        <v>0</v>
      </c>
      <c r="AB253" s="1">
        <f>(S253-V253)*V253*W253*0.024653*Y253/1000000</f>
        <v>0</v>
      </c>
      <c r="AC253" s="1">
        <f t="shared" si="44"/>
        <v>0</v>
      </c>
      <c r="AD253" s="1">
        <f t="shared" si="39"/>
        <v>0</v>
      </c>
      <c r="AE253" s="1"/>
      <c r="AF253" s="1"/>
      <c r="AG253" s="1"/>
      <c r="AH253" s="1">
        <f t="shared" si="47"/>
        <v>6.6597703458000002</v>
      </c>
      <c r="AI253" s="118" t="e">
        <f t="shared" si="46"/>
        <v>#DIV/0!</v>
      </c>
    </row>
    <row r="254" spans="1:36" hidden="1" x14ac:dyDescent="0.25">
      <c r="A254" s="30">
        <v>108</v>
      </c>
      <c r="B254" s="5" t="s">
        <v>1928</v>
      </c>
      <c r="C254" s="2" t="s">
        <v>954</v>
      </c>
      <c r="D254" s="2"/>
      <c r="E254" s="2" t="s">
        <v>308</v>
      </c>
      <c r="F254" s="2">
        <v>238413</v>
      </c>
      <c r="G254" s="2" t="s">
        <v>1971</v>
      </c>
      <c r="H254" s="2" t="s">
        <v>357</v>
      </c>
      <c r="I254" s="2"/>
      <c r="J254" s="2" t="s">
        <v>357</v>
      </c>
      <c r="K254" s="2" t="s">
        <v>239</v>
      </c>
      <c r="L254" s="2"/>
      <c r="M254" s="2"/>
      <c r="N254" s="2"/>
      <c r="O254" s="2"/>
      <c r="P254" s="557" t="str">
        <f>CONCATENATE(schedule13[[#This Row],[OD]],"-",schedule13[[#This Row],[ID]],"-",schedule13[[#This Row],[TICKNESS]],"-",schedule13[[#This Row],[GRADE]],"-",schedule13[[#This Row],[FC/NFC]])</f>
        <v>37.95-32-2.95-CEW-CEW</v>
      </c>
      <c r="Q254" s="557" t="str">
        <f>_xlfn.CONCAT(schedule13[[#This Row],[Bucket]],"-",schedule13[[#This Row],[LENGTH]]/1000)</f>
        <v>37.95-32-2.95-CEW-CEW-0.94</v>
      </c>
      <c r="R254" s="557">
        <f>COUNTIF(buckets[CTL Bucket],schedule13[[#This Row],[CTL Bucket]])</f>
        <v>2</v>
      </c>
      <c r="S254" s="1">
        <v>37.950000000000003</v>
      </c>
      <c r="T254" s="1">
        <v>37.950000000000003</v>
      </c>
      <c r="U254" s="6">
        <v>32</v>
      </c>
      <c r="V254" s="1">
        <v>2.95</v>
      </c>
      <c r="W254" s="22">
        <v>940</v>
      </c>
      <c r="X254" s="22" t="s">
        <v>397</v>
      </c>
      <c r="Y254" s="2">
        <v>1000</v>
      </c>
      <c r="Z254" s="2"/>
      <c r="AA254" s="4">
        <f t="shared" si="38"/>
        <v>1000</v>
      </c>
      <c r="AB254" s="1">
        <f>(3.14*(schedule13[[#This Row],[ACTUAL OD]]-schedule13[[#This Row],[TICKNESS]])*schedule13[[#This Row],[TICKNESS]]*schedule13[[#This Row],[LENGTH]]*7.85)/1000000*schedule13[[#This Row],[SCHEDULE]]/1000</f>
        <v>2.3923086949999997</v>
      </c>
      <c r="AC254" s="1">
        <f t="shared" si="44"/>
        <v>0</v>
      </c>
      <c r="AD254" s="1">
        <f t="shared" si="39"/>
        <v>2.3923086949999997</v>
      </c>
      <c r="AE254" s="3">
        <f>schedule13[[#This Row],[CTL Stock]]/schedule13[[#This Row],[SCHEDULE IN MT]]*schedule13[[#This Row],[SCHEDULE]]</f>
        <v>0</v>
      </c>
      <c r="AF254" s="1">
        <f>SUMIFS(stock[MT],stock[Bucket],schedule13[[#This Row],[Bucket]],stock[CTL Bucket],schedule13[[#This Row],[CTL Bucket]])</f>
        <v>0</v>
      </c>
      <c r="AG254" s="1">
        <f>SUMIFS(stock[MT],stock[Bucket],schedule13[[#This Row],[Bucket]])+SUMIFS(wip[Stock(Net Wt)],wip[Bucket],schedule13[[#This Row],[Bucket]])/1000</f>
        <v>27.475126000000003</v>
      </c>
      <c r="AH254" s="1">
        <f t="shared" si="47"/>
        <v>0</v>
      </c>
      <c r="AI254" s="118">
        <f t="shared" si="46"/>
        <v>0</v>
      </c>
    </row>
    <row r="255" spans="1:36" hidden="1" x14ac:dyDescent="0.25">
      <c r="A255" s="30">
        <v>109</v>
      </c>
      <c r="B255" s="5" t="s">
        <v>1816</v>
      </c>
      <c r="C255" s="2" t="s">
        <v>954</v>
      </c>
      <c r="D255" s="2"/>
      <c r="E255" s="2" t="s">
        <v>308</v>
      </c>
      <c r="F255" s="2">
        <v>1940730</v>
      </c>
      <c r="G255" s="2" t="s">
        <v>6567</v>
      </c>
      <c r="H255" s="2" t="s">
        <v>962</v>
      </c>
      <c r="I255" s="2"/>
      <c r="J255" s="2" t="s">
        <v>1003</v>
      </c>
      <c r="K255" s="2" t="s">
        <v>239</v>
      </c>
      <c r="L255" s="2"/>
      <c r="M255" s="2"/>
      <c r="N255" s="2"/>
      <c r="O255" s="2"/>
      <c r="P255" s="557" t="str">
        <f>CONCATENATE(schedule13[[#This Row],[OD]],"-",schedule13[[#This Row],[ID]],"-",schedule13[[#This Row],[TICKNESS]],"-",schedule13[[#This Row],[GRADE]],"-",schedule13[[#This Row],[FC/NFC]])</f>
        <v>38.1-0-1.6-ERW 1-FC</v>
      </c>
      <c r="Q255" s="557" t="str">
        <f>_xlfn.CONCAT(schedule13[[#This Row],[Bucket]],"-",schedule13[[#This Row],[LENGTH]]/1000)</f>
        <v>38.1-0-1.6-ERW 1-FC-0.488</v>
      </c>
      <c r="R255" s="557">
        <f>COUNTIF(buckets[CTL Bucket],schedule13[[#This Row],[CTL Bucket]])</f>
        <v>2</v>
      </c>
      <c r="S255" s="1">
        <v>38.1</v>
      </c>
      <c r="T255" s="1">
        <v>38.1</v>
      </c>
      <c r="U255" s="1">
        <v>0</v>
      </c>
      <c r="V255" s="1">
        <v>1.6</v>
      </c>
      <c r="W255" s="22">
        <v>488</v>
      </c>
      <c r="X255" s="22" t="s">
        <v>397</v>
      </c>
      <c r="Y255" s="2">
        <v>1000</v>
      </c>
      <c r="Z255" s="2"/>
      <c r="AA255" s="4">
        <f t="shared" si="38"/>
        <v>1000</v>
      </c>
      <c r="AB255" s="1">
        <f>(3.14*(schedule13[[#This Row],[ACTUAL OD]]-schedule13[[#This Row],[TICKNESS]])*schedule13[[#This Row],[TICKNESS]]*schedule13[[#This Row],[LENGTH]]*7.85)/1000000*schedule13[[#This Row],[SCHEDULE]]/1000</f>
        <v>0.70247678079999998</v>
      </c>
      <c r="AC255" s="1">
        <f t="shared" si="44"/>
        <v>0</v>
      </c>
      <c r="AD255" s="1">
        <f t="shared" si="39"/>
        <v>0.70247678079999998</v>
      </c>
      <c r="AE255" s="3">
        <f>schedule13[[#This Row],[CTL Stock]]/schedule13[[#This Row],[SCHEDULE IN MT]]*schedule13[[#This Row],[SCHEDULE]]</f>
        <v>0</v>
      </c>
      <c r="AF255" s="1">
        <f>SUMIFS(stock[MT],stock[Bucket],schedule13[[#This Row],[Bucket]],stock[CTL Bucket],schedule13[[#This Row],[CTL Bucket]])</f>
        <v>0</v>
      </c>
      <c r="AG255" s="1">
        <f>SUMIFS(stock[MT],stock[Bucket],schedule13[[#This Row],[Bucket]])+SUMIFS(wip[Stock(Net Wt)],wip[Bucket],schedule13[[#This Row],[Bucket]])/1000</f>
        <v>12.785389000000002</v>
      </c>
      <c r="AH255" s="1">
        <f t="shared" si="47"/>
        <v>2.3923086949999997</v>
      </c>
      <c r="AI255" s="118">
        <f t="shared" si="46"/>
        <v>0</v>
      </c>
    </row>
    <row r="256" spans="1:36" hidden="1" x14ac:dyDescent="0.25">
      <c r="A256" s="30">
        <v>111</v>
      </c>
      <c r="B256" s="5" t="s">
        <v>1816</v>
      </c>
      <c r="C256" s="2" t="s">
        <v>954</v>
      </c>
      <c r="D256" s="2"/>
      <c r="E256" s="2" t="s">
        <v>308</v>
      </c>
      <c r="F256" s="2">
        <v>1940731</v>
      </c>
      <c r="G256" s="2" t="s">
        <v>1642</v>
      </c>
      <c r="H256" s="2" t="s">
        <v>962</v>
      </c>
      <c r="I256" s="2"/>
      <c r="J256" s="2" t="s">
        <v>1003</v>
      </c>
      <c r="K256" s="2" t="s">
        <v>239</v>
      </c>
      <c r="L256" s="2" t="s">
        <v>1891</v>
      </c>
      <c r="M256" s="2"/>
      <c r="N256" s="2"/>
      <c r="O256" s="2"/>
      <c r="P256" s="557" t="str">
        <f>CONCATENATE(schedule13[[#This Row],[OD]],"-",schedule13[[#This Row],[ID]],"-",schedule13[[#This Row],[TICKNESS]],"-",schedule13[[#This Row],[GRADE]],"-",schedule13[[#This Row],[FC/NFC]])</f>
        <v>38.1-0-1.6-ERW 1-FC</v>
      </c>
      <c r="Q256" s="557" t="str">
        <f>_xlfn.CONCAT(schedule13[[#This Row],[Bucket]],"-",schedule13[[#This Row],[LENGTH]]/1000)</f>
        <v>38.1-0-1.6-ERW 1-FC-0.812</v>
      </c>
      <c r="R256" s="557">
        <f>COUNTIF(buckets[CTL Bucket],schedule13[[#This Row],[CTL Bucket]])</f>
        <v>2</v>
      </c>
      <c r="S256" s="1">
        <v>38.1</v>
      </c>
      <c r="T256" s="1">
        <v>38.1</v>
      </c>
      <c r="U256" s="6">
        <v>0</v>
      </c>
      <c r="V256" s="1">
        <v>1.6</v>
      </c>
      <c r="W256" s="22">
        <v>812</v>
      </c>
      <c r="X256" s="22" t="s">
        <v>397</v>
      </c>
      <c r="Y256" s="2">
        <v>2000</v>
      </c>
      <c r="Z256" s="2"/>
      <c r="AA256" s="4">
        <f t="shared" si="38"/>
        <v>2000</v>
      </c>
      <c r="AB256" s="1">
        <f>(3.14*(schedule13[[#This Row],[ACTUAL OD]]-schedule13[[#This Row],[TICKNESS]])*schedule13[[#This Row],[TICKNESS]]*schedule13[[#This Row],[LENGTH]]*7.85)/1000000*schedule13[[#This Row],[SCHEDULE]]/1000</f>
        <v>2.3377505984</v>
      </c>
      <c r="AC256" s="1">
        <f t="shared" si="44"/>
        <v>0</v>
      </c>
      <c r="AD256" s="1">
        <f t="shared" si="39"/>
        <v>2.3377505984</v>
      </c>
      <c r="AE256" s="3">
        <f>schedule13[[#This Row],[CTL Stock]]/schedule13[[#This Row],[SCHEDULE IN MT]]*schedule13[[#This Row],[SCHEDULE]]</f>
        <v>3966.2331843037373</v>
      </c>
      <c r="AF256" s="1">
        <f>SUMIFS(stock[MT],stock[Bucket],schedule13[[#This Row],[Bucket]],stock[CTL Bucket],schedule13[[#This Row],[CTL Bucket]])</f>
        <v>4.6360320000000002</v>
      </c>
      <c r="AG256" s="1">
        <f>SUMIFS(stock[MT],stock[Bucket],schedule13[[#This Row],[Bucket]])+SUMIFS(wip[Stock(Net Wt)],wip[Bucket],schedule13[[#This Row],[Bucket]])/1000</f>
        <v>12.785389000000002</v>
      </c>
      <c r="AH256" s="1">
        <f t="shared" si="47"/>
        <v>-3.9335552192000001</v>
      </c>
      <c r="AI256" s="118">
        <f t="shared" si="46"/>
        <v>1.9831165921518688</v>
      </c>
    </row>
    <row r="257" spans="1:36" hidden="1" x14ac:dyDescent="0.25">
      <c r="A257" s="30">
        <v>112</v>
      </c>
      <c r="B257" s="5" t="s">
        <v>1816</v>
      </c>
      <c r="C257" s="2" t="s">
        <v>954</v>
      </c>
      <c r="D257" s="2"/>
      <c r="E257" s="2" t="s">
        <v>308</v>
      </c>
      <c r="F257" s="2">
        <v>3507790</v>
      </c>
      <c r="G257" s="2" t="s">
        <v>1989</v>
      </c>
      <c r="H257" s="2" t="s">
        <v>962</v>
      </c>
      <c r="I257" s="2"/>
      <c r="J257" s="2" t="s">
        <v>1003</v>
      </c>
      <c r="K257" s="2" t="s">
        <v>239</v>
      </c>
      <c r="L257" s="2"/>
      <c r="M257" s="2"/>
      <c r="N257" s="2"/>
      <c r="O257" s="2"/>
      <c r="P257" s="557" t="str">
        <f>CONCATENATE(schedule13[[#This Row],[OD]],"-",schedule13[[#This Row],[ID]],"-",schedule13[[#This Row],[TICKNESS]],"-",schedule13[[#This Row],[GRADE]],"-",schedule13[[#This Row],[FC/NFC]])</f>
        <v>38.1-0-1.6-ERW 1-FC</v>
      </c>
      <c r="Q257" s="557" t="str">
        <f>_xlfn.CONCAT(schedule13[[#This Row],[Bucket]],"-",schedule13[[#This Row],[LENGTH]]/1000)</f>
        <v>38.1-0-1.6-ERW 1-FC-0.815</v>
      </c>
      <c r="R257" s="557">
        <f>COUNTIF(buckets[CTL Bucket],schedule13[[#This Row],[CTL Bucket]])</f>
        <v>1</v>
      </c>
      <c r="S257" s="1">
        <v>38.1</v>
      </c>
      <c r="T257" s="1">
        <v>38.1</v>
      </c>
      <c r="U257" s="1">
        <v>0</v>
      </c>
      <c r="V257" s="1">
        <v>1.6</v>
      </c>
      <c r="W257" s="22">
        <v>815</v>
      </c>
      <c r="X257" s="22" t="s">
        <v>397</v>
      </c>
      <c r="Y257" s="2">
        <v>500</v>
      </c>
      <c r="Z257" s="2"/>
      <c r="AA257" s="4">
        <f t="shared" si="38"/>
        <v>500</v>
      </c>
      <c r="AB257" s="1">
        <f>(3.14*(schedule13[[#This Row],[ACTUAL OD]]-schedule13[[#This Row],[TICKNESS]])*schedule13[[#This Row],[TICKNESS]]*schedule13[[#This Row],[LENGTH]]*7.85)/1000000*schedule13[[#This Row],[SCHEDULE]]/1000</f>
        <v>0.58659690200000003</v>
      </c>
      <c r="AC257" s="1">
        <f t="shared" si="44"/>
        <v>0</v>
      </c>
      <c r="AD257" s="1">
        <f t="shared" si="39"/>
        <v>0.58659690200000003</v>
      </c>
      <c r="AE257" s="3">
        <f>schedule13[[#This Row],[CTL Stock]]/schedule13[[#This Row],[SCHEDULE IN MT]]*schedule13[[#This Row],[SCHEDULE]]</f>
        <v>0</v>
      </c>
      <c r="AF257" s="1">
        <f>SUMIFS(stock[MT],stock[Bucket],schedule13[[#This Row],[Bucket]],stock[CTL Bucket],schedule13[[#This Row],[CTL Bucket]])</f>
        <v>0</v>
      </c>
      <c r="AG257" s="1">
        <f>SUMIFS(stock[MT],stock[Bucket],schedule13[[#This Row],[Bucket]])+SUMIFS(wip[Stock(Net Wt)],wip[Bucket],schedule13[[#This Row],[Bucket]])/1000</f>
        <v>12.785389000000002</v>
      </c>
      <c r="AH257" s="1">
        <f t="shared" si="47"/>
        <v>2.3377505984</v>
      </c>
      <c r="AI257" s="118">
        <f t="shared" si="46"/>
        <v>0</v>
      </c>
    </row>
    <row r="258" spans="1:36" hidden="1" x14ac:dyDescent="0.25">
      <c r="A258" s="30">
        <v>113</v>
      </c>
      <c r="B258" s="5" t="s">
        <v>1816</v>
      </c>
      <c r="C258" s="2" t="s">
        <v>954</v>
      </c>
      <c r="D258" s="2"/>
      <c r="E258" s="2">
        <v>189226</v>
      </c>
      <c r="F258" s="2">
        <v>1194658</v>
      </c>
      <c r="G258" s="2" t="s">
        <v>1990</v>
      </c>
      <c r="H258" s="2" t="s">
        <v>962</v>
      </c>
      <c r="I258" s="2"/>
      <c r="J258" s="2"/>
      <c r="K258" s="2" t="s">
        <v>239</v>
      </c>
      <c r="L258" s="2"/>
      <c r="M258" s="2"/>
      <c r="N258" s="2"/>
      <c r="O258" s="2"/>
      <c r="P258" s="557" t="str">
        <f>CONCATENATE(schedule13[[#This Row],[OD]],"-",schedule13[[#This Row],[ID]],"-",schedule13[[#This Row],[TICKNESS]],"-",schedule13[[#This Row],[GRADE]],"-",schedule13[[#This Row],[FC/NFC]])</f>
        <v>38.1-0-1.6-ERW 1-</v>
      </c>
      <c r="Q258" s="557"/>
      <c r="R258" s="557"/>
      <c r="S258" s="1">
        <v>38.1</v>
      </c>
      <c r="T258" s="1">
        <v>38.1</v>
      </c>
      <c r="U258" s="1">
        <v>0</v>
      </c>
      <c r="V258" s="1">
        <v>1.6</v>
      </c>
      <c r="W258" s="22">
        <v>970</v>
      </c>
      <c r="X258" s="22"/>
      <c r="Y258" s="2">
        <v>0</v>
      </c>
      <c r="Z258" s="2"/>
      <c r="AA258" s="4">
        <f t="shared" si="38"/>
        <v>0</v>
      </c>
      <c r="AB258" s="1">
        <f>(S258-V258)*V258*W258*0.024653*Y258/1000000</f>
        <v>0</v>
      </c>
      <c r="AC258" s="1">
        <f t="shared" si="44"/>
        <v>0</v>
      </c>
      <c r="AD258" s="1">
        <f t="shared" si="39"/>
        <v>0</v>
      </c>
      <c r="AE258" s="1"/>
      <c r="AF258" s="1"/>
      <c r="AG258" s="1"/>
      <c r="AH258" s="1">
        <f t="shared" si="47"/>
        <v>0.58659690200000003</v>
      </c>
      <c r="AI258" s="118" t="e">
        <f t="shared" si="46"/>
        <v>#DIV/0!</v>
      </c>
    </row>
    <row r="259" spans="1:36" hidden="1" x14ac:dyDescent="0.25">
      <c r="A259" s="30">
        <v>115</v>
      </c>
      <c r="B259" s="5" t="s">
        <v>1816</v>
      </c>
      <c r="C259" s="2" t="s">
        <v>954</v>
      </c>
      <c r="D259" s="2"/>
      <c r="E259" s="2" t="s">
        <v>308</v>
      </c>
      <c r="F259" s="2">
        <v>1940738</v>
      </c>
      <c r="G259" s="2" t="s">
        <v>863</v>
      </c>
      <c r="H259" s="2" t="s">
        <v>962</v>
      </c>
      <c r="I259" s="2"/>
      <c r="J259" s="2" t="s">
        <v>1003</v>
      </c>
      <c r="K259" s="2" t="s">
        <v>239</v>
      </c>
      <c r="L259" s="2"/>
      <c r="M259" s="2"/>
      <c r="N259" s="2"/>
      <c r="O259" s="2"/>
      <c r="P259" s="557" t="str">
        <f>CONCATENATE(schedule13[[#This Row],[OD]],"-",schedule13[[#This Row],[ID]],"-",schedule13[[#This Row],[TICKNESS]],"-",schedule13[[#This Row],[GRADE]],"-",schedule13[[#This Row],[FC/NFC]])</f>
        <v>38.1-0-2-ERW 1-FC</v>
      </c>
      <c r="Q259" s="557" t="str">
        <f>_xlfn.CONCAT(schedule13[[#This Row],[Bucket]],"-",schedule13[[#This Row],[LENGTH]]/1000)</f>
        <v>38.1-0-2-ERW 1-FC-0.425</v>
      </c>
      <c r="R259" s="557">
        <f>COUNTIF(buckets[CTL Bucket],schedule13[[#This Row],[CTL Bucket]])</f>
        <v>2</v>
      </c>
      <c r="S259" s="1">
        <v>38.1</v>
      </c>
      <c r="T259" s="1">
        <v>38.1</v>
      </c>
      <c r="U259" s="1">
        <v>0</v>
      </c>
      <c r="V259" s="1">
        <v>2</v>
      </c>
      <c r="W259" s="22">
        <v>425</v>
      </c>
      <c r="X259" s="22" t="s">
        <v>397</v>
      </c>
      <c r="Y259" s="2">
        <v>6000</v>
      </c>
      <c r="Z259" s="2"/>
      <c r="AA259" s="4">
        <f t="shared" si="38"/>
        <v>6000</v>
      </c>
      <c r="AB259" s="1">
        <f>(3.14*(schedule13[[#This Row],[ACTUAL OD]]-schedule13[[#This Row],[TICKNESS]])*schedule13[[#This Row],[TICKNESS]]*schedule13[[#This Row],[LENGTH]]*7.85)/1000000*schedule13[[#This Row],[SCHEDULE]]/1000</f>
        <v>4.5381273900000005</v>
      </c>
      <c r="AC259" s="1">
        <f t="shared" si="44"/>
        <v>0</v>
      </c>
      <c r="AD259" s="1">
        <f t="shared" si="39"/>
        <v>4.5381273900000005</v>
      </c>
      <c r="AE259" s="3">
        <f>schedule13[[#This Row],[CTL Stock]]/schedule13[[#This Row],[SCHEDULE IN MT]]*schedule13[[#This Row],[SCHEDULE]]</f>
        <v>5122.9676917465285</v>
      </c>
      <c r="AF259" s="1">
        <f>SUMIFS(stock[MT],stock[Bucket],schedule13[[#This Row],[Bucket]],stock[CTL Bucket],schedule13[[#This Row],[CTL Bucket]])</f>
        <v>3.8747800000000003</v>
      </c>
      <c r="AG259" s="1">
        <f>SUMIFS(stock[MT],stock[Bucket],schedule13[[#This Row],[Bucket]])+SUMIFS(wip[Stock(Net Wt)],wip[Bucket],schedule13[[#This Row],[Bucket]])/1000</f>
        <v>102.05120000000002</v>
      </c>
      <c r="AH259" s="1">
        <f t="shared" si="47"/>
        <v>-3.8747800000000003</v>
      </c>
      <c r="AI259" s="118">
        <f t="shared" si="46"/>
        <v>0.85382794862442146</v>
      </c>
    </row>
    <row r="260" spans="1:36" hidden="1" x14ac:dyDescent="0.25">
      <c r="A260" s="30">
        <v>116</v>
      </c>
      <c r="B260" s="5" t="s">
        <v>1816</v>
      </c>
      <c r="C260" s="2" t="s">
        <v>954</v>
      </c>
      <c r="D260" s="2"/>
      <c r="E260" s="2" t="s">
        <v>308</v>
      </c>
      <c r="F260" s="2">
        <v>1940739</v>
      </c>
      <c r="G260" s="2" t="s">
        <v>1649</v>
      </c>
      <c r="H260" s="2" t="s">
        <v>962</v>
      </c>
      <c r="I260" s="2"/>
      <c r="J260" s="2" t="s">
        <v>1003</v>
      </c>
      <c r="K260" s="2" t="s">
        <v>239</v>
      </c>
      <c r="L260" s="2"/>
      <c r="M260" s="2"/>
      <c r="N260" s="2"/>
      <c r="O260" s="2"/>
      <c r="P260" s="557" t="str">
        <f>CONCATENATE(schedule13[[#This Row],[OD]],"-",schedule13[[#This Row],[ID]],"-",schedule13[[#This Row],[TICKNESS]],"-",schedule13[[#This Row],[GRADE]],"-",schedule13[[#This Row],[FC/NFC]])</f>
        <v>38.1-0-2-ERW 1-FC</v>
      </c>
      <c r="Q260" s="557" t="str">
        <f>_xlfn.CONCAT(schedule13[[#This Row],[Bucket]],"-",schedule13[[#This Row],[LENGTH]]/1000)</f>
        <v>38.1-0-2-ERW 1-FC-0.488</v>
      </c>
      <c r="R260" s="557">
        <f>COUNTIF(buckets[CTL Bucket],schedule13[[#This Row],[CTL Bucket]])</f>
        <v>3</v>
      </c>
      <c r="S260" s="1">
        <v>38.1</v>
      </c>
      <c r="T260" s="1">
        <v>38.1</v>
      </c>
      <c r="U260" s="1">
        <v>0</v>
      </c>
      <c r="V260" s="1">
        <v>2</v>
      </c>
      <c r="W260" s="22">
        <v>488</v>
      </c>
      <c r="X260" s="22" t="s">
        <v>397</v>
      </c>
      <c r="Y260" s="2">
        <v>3000</v>
      </c>
      <c r="Z260" s="2"/>
      <c r="AA260" s="4">
        <f t="shared" ref="AA260:AA323" si="48">Y260-Z260</f>
        <v>3000</v>
      </c>
      <c r="AB260" s="1">
        <f>(3.14*(schedule13[[#This Row],[ACTUAL OD]]-schedule13[[#This Row],[TICKNESS]])*schedule13[[#This Row],[TICKNESS]]*schedule13[[#This Row],[LENGTH]]*7.85)/1000000*schedule13[[#This Row],[SCHEDULE]]/1000</f>
        <v>2.6054190192000002</v>
      </c>
      <c r="AC260" s="1">
        <f t="shared" si="44"/>
        <v>0</v>
      </c>
      <c r="AD260" s="1">
        <f t="shared" ref="AD260:AD323" si="49">AB260-AC260</f>
        <v>2.6054190192000002</v>
      </c>
      <c r="AE260" s="3">
        <f>schedule13[[#This Row],[CTL Stock]]/schedule13[[#This Row],[SCHEDULE IN MT]]*schedule13[[#This Row],[SCHEDULE]]</f>
        <v>0</v>
      </c>
      <c r="AF260" s="1">
        <f>SUMIFS(stock[MT],stock[Bucket],schedule13[[#This Row],[Bucket]],stock[CTL Bucket],schedule13[[#This Row],[CTL Bucket]])</f>
        <v>0</v>
      </c>
      <c r="AG260" s="1">
        <f>SUMIFS(stock[MT],stock[Bucket],schedule13[[#This Row],[Bucket]])+SUMIFS(wip[Stock(Net Wt)],wip[Bucket],schedule13[[#This Row],[Bucket]])/1000</f>
        <v>102.05120000000002</v>
      </c>
      <c r="AH260" s="1">
        <f t="shared" si="47"/>
        <v>4.5381273900000005</v>
      </c>
      <c r="AI260" s="118">
        <f t="shared" si="46"/>
        <v>0</v>
      </c>
    </row>
    <row r="261" spans="1:36" hidden="1" x14ac:dyDescent="0.25">
      <c r="A261" s="30">
        <v>118</v>
      </c>
      <c r="B261" s="5" t="s">
        <v>1816</v>
      </c>
      <c r="C261" s="2" t="s">
        <v>954</v>
      </c>
      <c r="D261" s="2"/>
      <c r="E261" s="2" t="s">
        <v>308</v>
      </c>
      <c r="F261" s="2">
        <v>1940743</v>
      </c>
      <c r="G261" s="2" t="s">
        <v>867</v>
      </c>
      <c r="H261" s="2" t="s">
        <v>962</v>
      </c>
      <c r="I261" s="2"/>
      <c r="J261" s="2" t="s">
        <v>1003</v>
      </c>
      <c r="K261" s="2" t="s">
        <v>239</v>
      </c>
      <c r="L261" s="2"/>
      <c r="M261" s="2"/>
      <c r="N261" s="2"/>
      <c r="O261" s="2"/>
      <c r="P261" s="557" t="str">
        <f>CONCATENATE(schedule13[[#This Row],[OD]],"-",schedule13[[#This Row],[ID]],"-",schedule13[[#This Row],[TICKNESS]],"-",schedule13[[#This Row],[GRADE]],"-",schedule13[[#This Row],[FC/NFC]])</f>
        <v>38.1-0-2-ERW 1-FC</v>
      </c>
      <c r="Q261" s="557" t="str">
        <f>_xlfn.CONCAT(schedule13[[#This Row],[Bucket]],"-",schedule13[[#This Row],[LENGTH]]/1000)</f>
        <v>38.1-0-2-ERW 1-FC-0.812</v>
      </c>
      <c r="R261" s="557">
        <f>COUNTIF(buckets[CTL Bucket],schedule13[[#This Row],[CTL Bucket]])</f>
        <v>2</v>
      </c>
      <c r="S261" s="1">
        <v>38.1</v>
      </c>
      <c r="T261" s="1">
        <v>38.1</v>
      </c>
      <c r="U261" s="6">
        <v>0</v>
      </c>
      <c r="V261" s="1">
        <v>2</v>
      </c>
      <c r="W261" s="22">
        <v>812</v>
      </c>
      <c r="X261" s="22" t="s">
        <v>397</v>
      </c>
      <c r="Y261" s="2">
        <v>8000</v>
      </c>
      <c r="Z261" s="2"/>
      <c r="AA261" s="4">
        <f t="shared" si="48"/>
        <v>8000</v>
      </c>
      <c r="AB261" s="1">
        <f>(3.14*(schedule13[[#This Row],[ACTUAL OD]]-schedule13[[#This Row],[TICKNESS]])*schedule13[[#This Row],[TICKNESS]]*schedule13[[#This Row],[LENGTH]]*7.85)/1000000*schedule13[[#This Row],[SCHEDULE]]/1000</f>
        <v>11.560657068800001</v>
      </c>
      <c r="AC261" s="1">
        <f t="shared" si="44"/>
        <v>0</v>
      </c>
      <c r="AD261" s="1">
        <f t="shared" si="49"/>
        <v>11.560657068800001</v>
      </c>
      <c r="AE261" s="3">
        <f>schedule13[[#This Row],[CTL Stock]]/schedule13[[#This Row],[SCHEDULE IN MT]]*schedule13[[#This Row],[SCHEDULE]]</f>
        <v>6464.5128348018206</v>
      </c>
      <c r="AF261" s="1">
        <f>SUMIFS(stock[MT],stock[Bucket],schedule13[[#This Row],[Bucket]],stock[CTL Bucket],schedule13[[#This Row],[CTL Bucket]])</f>
        <v>9.3417519999999996</v>
      </c>
      <c r="AG261" s="1">
        <f>SUMIFS(stock[MT],stock[Bucket],schedule13[[#This Row],[Bucket]])+SUMIFS(wip[Stock(Net Wt)],wip[Bucket],schedule13[[#This Row],[Bucket]])/1000</f>
        <v>102.05120000000002</v>
      </c>
      <c r="AH261" s="1">
        <f t="shared" si="47"/>
        <v>-6.7363329807999994</v>
      </c>
      <c r="AI261" s="118">
        <f t="shared" si="46"/>
        <v>0.80806410435022757</v>
      </c>
    </row>
    <row r="262" spans="1:36" hidden="1" x14ac:dyDescent="0.25">
      <c r="A262" s="30">
        <v>119</v>
      </c>
      <c r="B262" s="5" t="s">
        <v>1816</v>
      </c>
      <c r="C262" s="2" t="s">
        <v>954</v>
      </c>
      <c r="D262" s="2"/>
      <c r="E262" s="2">
        <v>189226</v>
      </c>
      <c r="F262" s="2">
        <v>3539418</v>
      </c>
      <c r="G262" s="2" t="s">
        <v>2001</v>
      </c>
      <c r="H262" s="2"/>
      <c r="I262" s="2"/>
      <c r="J262" s="2"/>
      <c r="K262" s="2" t="s">
        <v>239</v>
      </c>
      <c r="L262" s="2"/>
      <c r="M262" s="2"/>
      <c r="N262" s="2"/>
      <c r="O262" s="2"/>
      <c r="P262" s="557" t="str">
        <f>CONCATENATE(schedule13[[#This Row],[OD]],"-",schedule13[[#This Row],[ID]],"-",schedule13[[#This Row],[TICKNESS]],"-",schedule13[[#This Row],[GRADE]],"-",schedule13[[#This Row],[FC/NFC]])</f>
        <v>41.28-0-2.9--</v>
      </c>
      <c r="Q262" s="557"/>
      <c r="R262" s="557"/>
      <c r="S262" s="1">
        <v>41.28</v>
      </c>
      <c r="T262" s="1">
        <v>41.28</v>
      </c>
      <c r="U262" s="1">
        <v>0</v>
      </c>
      <c r="V262" s="1">
        <v>2.9</v>
      </c>
      <c r="W262" s="22">
        <v>420</v>
      </c>
      <c r="X262" s="22"/>
      <c r="Y262" s="2">
        <v>0</v>
      </c>
      <c r="Z262" s="2"/>
      <c r="AA262" s="4">
        <f t="shared" si="48"/>
        <v>0</v>
      </c>
      <c r="AB262" s="1">
        <f>(S262-V262)*V262*W262*0.024653*Y262/1000000</f>
        <v>0</v>
      </c>
      <c r="AC262" s="1">
        <f t="shared" si="44"/>
        <v>0</v>
      </c>
      <c r="AD262" s="1">
        <f t="shared" si="49"/>
        <v>0</v>
      </c>
      <c r="AE262" s="1"/>
      <c r="AF262" s="1"/>
      <c r="AG262" s="1"/>
      <c r="AH262" s="1">
        <f t="shared" si="47"/>
        <v>11.560657068800001</v>
      </c>
      <c r="AI262" s="118" t="e">
        <f t="shared" si="46"/>
        <v>#DIV/0!</v>
      </c>
    </row>
    <row r="263" spans="1:36" hidden="1" x14ac:dyDescent="0.25">
      <c r="A263" s="30">
        <v>120</v>
      </c>
      <c r="B263" s="5" t="s">
        <v>1872</v>
      </c>
      <c r="C263" s="2" t="s">
        <v>954</v>
      </c>
      <c r="D263" s="2"/>
      <c r="E263" s="2" t="s">
        <v>308</v>
      </c>
      <c r="F263" s="2">
        <v>2417649</v>
      </c>
      <c r="G263" s="2" t="s">
        <v>6568</v>
      </c>
      <c r="H263" s="2" t="s">
        <v>962</v>
      </c>
      <c r="I263" s="2" t="s">
        <v>1894</v>
      </c>
      <c r="J263" s="2" t="s">
        <v>1003</v>
      </c>
      <c r="K263" s="2" t="s">
        <v>239</v>
      </c>
      <c r="L263" s="2"/>
      <c r="M263" s="2" t="s">
        <v>1516</v>
      </c>
      <c r="N263" s="2"/>
      <c r="O263" s="2"/>
      <c r="P263" s="557" t="str">
        <f>CONCATENATE(schedule13[[#This Row],[OD]],"-",schedule13[[#This Row],[ID]],"-",schedule13[[#This Row],[TICKNESS]],"-",schedule13[[#This Row],[GRADE]],"-",schedule13[[#This Row],[FC/NFC]])</f>
        <v>42.7-0-3.5-ERW 1-FC</v>
      </c>
      <c r="Q263" s="557" t="str">
        <f>_xlfn.CONCAT(schedule13[[#This Row],[Bucket]],"-",schedule13[[#This Row],[LENGTH]]/1000)</f>
        <v>42.7-0-3.5-ERW 1-FC-0.21</v>
      </c>
      <c r="R263" s="557">
        <f>COUNTIF(buckets[CTL Bucket],schedule13[[#This Row],[CTL Bucket]])</f>
        <v>3</v>
      </c>
      <c r="S263" s="1">
        <v>42.7</v>
      </c>
      <c r="T263" s="1">
        <v>42.7</v>
      </c>
      <c r="U263" s="1">
        <v>0</v>
      </c>
      <c r="V263" s="1">
        <v>3.5</v>
      </c>
      <c r="W263" s="22">
        <v>210</v>
      </c>
      <c r="X263" s="22" t="s">
        <v>397</v>
      </c>
      <c r="Y263" s="2">
        <v>40000</v>
      </c>
      <c r="Z263" s="2"/>
      <c r="AA263" s="4">
        <f t="shared" si="48"/>
        <v>40000</v>
      </c>
      <c r="AB263" s="1">
        <f>(3.14*(schedule13[[#This Row],[ACTUAL OD]]-schedule13[[#This Row],[TICKNESS]])*schedule13[[#This Row],[TICKNESS]]*schedule13[[#This Row],[LENGTH]]*7.85)/1000000*schedule13[[#This Row],[SCHEDULE]]/1000</f>
        <v>28.407479520000003</v>
      </c>
      <c r="AC263" s="1">
        <f t="shared" si="44"/>
        <v>0</v>
      </c>
      <c r="AD263" s="1">
        <f t="shared" si="49"/>
        <v>28.407479520000003</v>
      </c>
      <c r="AE263" s="3">
        <f>schedule13[[#This Row],[CTL Stock]]/schedule13[[#This Row],[SCHEDULE IN MT]]*schedule13[[#This Row],[SCHEDULE]]</f>
        <v>790.08347024234695</v>
      </c>
      <c r="AF263" s="1">
        <f>SUMIFS(stock[MT],stock[Bucket],schedule13[[#This Row],[Bucket]],stock[CTL Bucket],schedule13[[#This Row],[CTL Bucket]])</f>
        <v>0.56110700000000002</v>
      </c>
      <c r="AG263" s="1">
        <f>SUMIFS(stock[MT],stock[Bucket],schedule13[[#This Row],[Bucket]])+SUMIFS(wip[Stock(Net Wt)],wip[Bucket],schedule13[[#This Row],[Bucket]])/1000</f>
        <v>11.004057000000001</v>
      </c>
      <c r="AH263" s="1">
        <f t="shared" si="47"/>
        <v>-0.56110700000000002</v>
      </c>
      <c r="AI263" s="118">
        <f t="shared" si="46"/>
        <v>1.9752086756058673E-2</v>
      </c>
    </row>
    <row r="264" spans="1:36" hidden="1" x14ac:dyDescent="0.25">
      <c r="A264" s="30">
        <v>122</v>
      </c>
      <c r="B264" s="5" t="s">
        <v>1872</v>
      </c>
      <c r="C264" s="2" t="s">
        <v>954</v>
      </c>
      <c r="D264" s="2"/>
      <c r="E264" s="2" t="s">
        <v>308</v>
      </c>
      <c r="F264" s="2">
        <v>1938127</v>
      </c>
      <c r="G264" s="2" t="s">
        <v>1733</v>
      </c>
      <c r="H264" s="2" t="s">
        <v>993</v>
      </c>
      <c r="I264" s="2"/>
      <c r="J264" s="2" t="s">
        <v>963</v>
      </c>
      <c r="K264" s="2" t="s">
        <v>1867</v>
      </c>
      <c r="L264" s="44" t="s">
        <v>1883</v>
      </c>
      <c r="M264" s="2"/>
      <c r="N264" s="2"/>
      <c r="O264" s="2"/>
      <c r="P264" s="557" t="str">
        <f>CONCATENATE(schedule13[[#This Row],[OD]],"-",schedule13[[#This Row],[ID]],"-",schedule13[[#This Row],[TICKNESS]],"-",schedule13[[#This Row],[GRADE]],"-",schedule13[[#This Row],[FC/NFC]])</f>
        <v>50-50-1.6-ERW 2-PE</v>
      </c>
      <c r="Q264" s="557" t="str">
        <f>_xlfn.CONCAT(schedule13[[#This Row],[Bucket]],"-",schedule13[[#This Row],[LENGTH]]/1000)</f>
        <v>50-50-1.6-ERW 2-PE-0.847</v>
      </c>
      <c r="R264" s="557">
        <f>COUNTIF(buckets[CTL Bucket],schedule13[[#This Row],[CTL Bucket]])</f>
        <v>3</v>
      </c>
      <c r="S264" s="1">
        <v>63.5</v>
      </c>
      <c r="T264" s="1">
        <v>50</v>
      </c>
      <c r="U264" s="1">
        <v>50</v>
      </c>
      <c r="V264" s="1">
        <v>1.6</v>
      </c>
      <c r="W264" s="22">
        <v>847</v>
      </c>
      <c r="X264" s="22" t="s">
        <v>397</v>
      </c>
      <c r="Y264" s="2">
        <v>4000</v>
      </c>
      <c r="Z264" s="2"/>
      <c r="AA264" s="4">
        <f t="shared" si="48"/>
        <v>4000</v>
      </c>
      <c r="AB264" s="1">
        <f>(3.14*(schedule13[[#This Row],[ACTUAL OD]]-schedule13[[#This Row],[TICKNESS]])*schedule13[[#This Row],[TICKNESS]]*schedule13[[#This Row],[LENGTH]]*7.85)/1000000*schedule13[[#This Row],[SCHEDULE]]/1000</f>
        <v>8.270910820480001</v>
      </c>
      <c r="AC264" s="1">
        <f t="shared" si="44"/>
        <v>0</v>
      </c>
      <c r="AD264" s="1">
        <f t="shared" si="49"/>
        <v>8.270910820480001</v>
      </c>
      <c r="AE264" s="3">
        <f>schedule13[[#This Row],[CTL Stock]]/schedule13[[#This Row],[SCHEDULE IN MT]]*schedule13[[#This Row],[SCHEDULE]]</f>
        <v>1591.878365729483</v>
      </c>
      <c r="AF264" s="1">
        <f>SUMIFS(stock[MT],stock[Bucket],schedule13[[#This Row],[Bucket]],stock[CTL Bucket],schedule13[[#This Row],[CTL Bucket]])</f>
        <v>3.2915710000000002</v>
      </c>
      <c r="AG264" s="1">
        <f>SUMIFS(stock[MT],stock[Bucket],schedule13[[#This Row],[Bucket]])+SUMIFS(wip[Stock(Net Wt)],wip[Bucket],schedule13[[#This Row],[Bucket]])/1000</f>
        <v>17.492674000000008</v>
      </c>
      <c r="AH264" s="1">
        <f t="shared" si="47"/>
        <v>25.115908520000001</v>
      </c>
      <c r="AI264" s="118">
        <f t="shared" si="46"/>
        <v>0.39796959143237076</v>
      </c>
    </row>
    <row r="265" spans="1:36" hidden="1" x14ac:dyDescent="0.25">
      <c r="A265" s="30">
        <v>123</v>
      </c>
      <c r="B265" s="5" t="s">
        <v>1816</v>
      </c>
      <c r="C265" s="2" t="s">
        <v>954</v>
      </c>
      <c r="D265" s="2"/>
      <c r="E265" s="2">
        <v>189226</v>
      </c>
      <c r="F265" s="9">
        <v>2325414</v>
      </c>
      <c r="G265" s="9" t="s">
        <v>1994</v>
      </c>
      <c r="H265" s="2" t="s">
        <v>962</v>
      </c>
      <c r="I265" s="2"/>
      <c r="J265" s="2"/>
      <c r="K265" s="2" t="s">
        <v>239</v>
      </c>
      <c r="L265" s="2"/>
      <c r="M265" s="2"/>
      <c r="N265" s="2"/>
      <c r="O265" s="2"/>
      <c r="P265" s="557" t="str">
        <f>CONCATENATE(schedule13[[#This Row],[OD]],"-",schedule13[[#This Row],[ID]],"-",schedule13[[#This Row],[TICKNESS]],"-",schedule13[[#This Row],[GRADE]],"-",schedule13[[#This Row],[FC/NFC]])</f>
        <v>50-30-2-ERW 1-</v>
      </c>
      <c r="Q265" s="557"/>
      <c r="R265" s="557"/>
      <c r="S265" s="1">
        <v>48.6</v>
      </c>
      <c r="T265" s="1">
        <v>50</v>
      </c>
      <c r="U265" s="1">
        <v>30</v>
      </c>
      <c r="V265" s="1">
        <v>2</v>
      </c>
      <c r="W265" s="23">
        <v>140</v>
      </c>
      <c r="X265" s="23"/>
      <c r="Y265" s="2">
        <v>0</v>
      </c>
      <c r="Z265" s="2"/>
      <c r="AA265" s="4">
        <f t="shared" si="48"/>
        <v>0</v>
      </c>
      <c r="AB265" s="1">
        <f>(S265-V265)*V265*W265*0.024653*Y265/1000000</f>
        <v>0</v>
      </c>
      <c r="AC265" s="1">
        <f t="shared" si="44"/>
        <v>0</v>
      </c>
      <c r="AD265" s="1">
        <f t="shared" si="49"/>
        <v>0</v>
      </c>
      <c r="AE265" s="1"/>
      <c r="AF265" s="1">
        <v>6.4062329999999994</v>
      </c>
      <c r="AG265" s="1"/>
      <c r="AH265" s="1">
        <f t="shared" si="47"/>
        <v>1.8646778204800016</v>
      </c>
      <c r="AI265" s="118">
        <f>(AC265+AF265)/AB264</f>
        <v>0.77454988199573094</v>
      </c>
    </row>
    <row r="266" spans="1:36" hidden="1" x14ac:dyDescent="0.25">
      <c r="A266" s="30">
        <v>124</v>
      </c>
      <c r="B266" s="5" t="s">
        <v>1816</v>
      </c>
      <c r="C266" s="2" t="s">
        <v>954</v>
      </c>
      <c r="D266" s="2"/>
      <c r="E266" s="2" t="s">
        <v>308</v>
      </c>
      <c r="F266" s="2">
        <v>1940881</v>
      </c>
      <c r="G266" s="2" t="s">
        <v>842</v>
      </c>
      <c r="H266" s="2" t="s">
        <v>962</v>
      </c>
      <c r="I266" s="2"/>
      <c r="J266" s="2" t="s">
        <v>1003</v>
      </c>
      <c r="K266" s="2" t="s">
        <v>239</v>
      </c>
      <c r="L266" s="2"/>
      <c r="M266" s="2"/>
      <c r="N266" s="2"/>
      <c r="O266" s="2"/>
      <c r="P266" s="557" t="str">
        <f>CONCATENATE(schedule13[[#This Row],[OD]],"-",schedule13[[#This Row],[ID]],"-",schedule13[[#This Row],[TICKNESS]],"-",schedule13[[#This Row],[GRADE]],"-",schedule13[[#This Row],[FC/NFC]])</f>
        <v>50-30-2-ERW 1-FC</v>
      </c>
      <c r="Q266" s="557" t="str">
        <f>_xlfn.CONCAT(schedule13[[#This Row],[Bucket]],"-",schedule13[[#This Row],[LENGTH]]/1000)</f>
        <v>50-30-2-ERW 1-FC-0.73</v>
      </c>
      <c r="R266" s="557">
        <f>COUNTIF(buckets[CTL Bucket],schedule13[[#This Row],[CTL Bucket]])</f>
        <v>1</v>
      </c>
      <c r="S266" s="1">
        <v>50.8</v>
      </c>
      <c r="T266" s="1">
        <v>50</v>
      </c>
      <c r="U266" s="6">
        <v>30</v>
      </c>
      <c r="V266" s="1">
        <v>2</v>
      </c>
      <c r="W266" s="22">
        <v>730</v>
      </c>
      <c r="X266" s="22" t="s">
        <v>397</v>
      </c>
      <c r="Y266" s="2">
        <v>4500</v>
      </c>
      <c r="Z266" s="2"/>
      <c r="AA266" s="4">
        <f t="shared" si="48"/>
        <v>4500</v>
      </c>
      <c r="AB266" s="1">
        <f>(3.14*(schedule13[[#This Row],[ACTUAL OD]]-schedule13[[#This Row],[TICKNESS]])*schedule13[[#This Row],[TICKNESS]]*schedule13[[#This Row],[LENGTH]]*7.85)/1000000*schedule13[[#This Row],[SCHEDULE]]/1000</f>
        <v>7.9028637839999991</v>
      </c>
      <c r="AC266" s="1">
        <f t="shared" si="44"/>
        <v>0</v>
      </c>
      <c r="AD266" s="1">
        <f t="shared" si="49"/>
        <v>7.9028637839999991</v>
      </c>
      <c r="AE266" s="3">
        <f>schedule13[[#This Row],[CTL Stock]]/schedule13[[#This Row],[SCHEDULE IN MT]]*schedule13[[#This Row],[SCHEDULE]]</f>
        <v>1134.323043521156</v>
      </c>
      <c r="AF266" s="1">
        <f>SUMIFS(stock[MT],stock[Bucket],schedule13[[#This Row],[Bucket]],stock[CTL Bucket],schedule13[[#This Row],[CTL Bucket]])</f>
        <v>1.9920889999999998</v>
      </c>
      <c r="AG266" s="1">
        <f>SUMIFS(stock[MT],stock[Bucket],schedule13[[#This Row],[Bucket]])+SUMIFS(wip[Stock(Net Wt)],wip[Bucket],schedule13[[#This Row],[Bucket]])/1000</f>
        <v>1.9920889999999998</v>
      </c>
      <c r="AH266" s="1">
        <f t="shared" si="47"/>
        <v>-1.9920889999999998</v>
      </c>
      <c r="AI266" s="118">
        <f>(AC266+AF266)/AB266</f>
        <v>0.25207178744914577</v>
      </c>
    </row>
    <row r="267" spans="1:36" hidden="1" x14ac:dyDescent="0.25">
      <c r="A267" s="30">
        <v>126</v>
      </c>
      <c r="B267" s="5" t="s">
        <v>1872</v>
      </c>
      <c r="C267" s="2" t="s">
        <v>954</v>
      </c>
      <c r="D267" s="2"/>
      <c r="E267" s="2" t="s">
        <v>308</v>
      </c>
      <c r="F267" s="2">
        <v>2396464</v>
      </c>
      <c r="G267" s="2" t="s">
        <v>921</v>
      </c>
      <c r="H267" s="2" t="s">
        <v>993</v>
      </c>
      <c r="I267" s="2"/>
      <c r="J267" s="2" t="s">
        <v>1003</v>
      </c>
      <c r="K267" s="2" t="s">
        <v>239</v>
      </c>
      <c r="L267" s="2"/>
      <c r="M267" s="2"/>
      <c r="N267" s="2"/>
      <c r="O267" s="2"/>
      <c r="P267" s="557" t="str">
        <f>CONCATENATE(schedule13[[#This Row],[OD]],"-",schedule13[[#This Row],[ID]],"-",schedule13[[#This Row],[TICKNESS]],"-",schedule13[[#This Row],[GRADE]],"-",schedule13[[#This Row],[FC/NFC]])</f>
        <v>54-0-3-ERW 2-FC</v>
      </c>
      <c r="Q267" s="557" t="str">
        <f>_xlfn.CONCAT(schedule13[[#This Row],[Bucket]],"-",schedule13[[#This Row],[LENGTH]]/1000)</f>
        <v>54-0-3-ERW 2-FC-1.14</v>
      </c>
      <c r="R267" s="557">
        <f>COUNTIF(buckets[CTL Bucket],schedule13[[#This Row],[CTL Bucket]])</f>
        <v>4</v>
      </c>
      <c r="S267" s="1">
        <v>54</v>
      </c>
      <c r="T267" s="1">
        <v>54</v>
      </c>
      <c r="U267" s="1">
        <v>0</v>
      </c>
      <c r="V267" s="1">
        <v>3</v>
      </c>
      <c r="W267" s="22">
        <v>1140</v>
      </c>
      <c r="X267" s="22" t="s">
        <v>397</v>
      </c>
      <c r="Y267" s="2">
        <v>4000</v>
      </c>
      <c r="Z267" s="2"/>
      <c r="AA267" s="4">
        <f t="shared" si="48"/>
        <v>4000</v>
      </c>
      <c r="AB267" s="1">
        <f>(3.14*(schedule13[[#This Row],[ACTUAL OD]]-schedule13[[#This Row],[TICKNESS]])*schedule13[[#This Row],[TICKNESS]]*schedule13[[#This Row],[LENGTH]]*7.85)/1000000*schedule13[[#This Row],[SCHEDULE]]/1000</f>
        <v>17.197114320000001</v>
      </c>
      <c r="AC267" s="1">
        <f t="shared" si="44"/>
        <v>0</v>
      </c>
      <c r="AD267" s="1">
        <f t="shared" si="49"/>
        <v>17.197114320000001</v>
      </c>
      <c r="AE267" s="3">
        <f>schedule13[[#This Row],[CTL Stock]]/schedule13[[#This Row],[SCHEDULE IN MT]]*schedule13[[#This Row],[SCHEDULE]]</f>
        <v>1194.3306079039892</v>
      </c>
      <c r="AF267" s="1">
        <f>SUMIFS(stock[MT],stock[Bucket],schedule13[[#This Row],[Bucket]],stock[CTL Bucket],schedule13[[#This Row],[CTL Bucket]])</f>
        <v>5.13476</v>
      </c>
      <c r="AG267" s="1">
        <f>SUMIFS(stock[MT],stock[Bucket],schedule13[[#This Row],[Bucket]])+SUMIFS(wip[Stock(Net Wt)],wip[Bucket],schedule13[[#This Row],[Bucket]])/1000</f>
        <v>44.291760000000004</v>
      </c>
      <c r="AH267" s="1">
        <f t="shared" si="47"/>
        <v>2.7681037839999991</v>
      </c>
      <c r="AI267" s="118">
        <f>(AC267+AF267)/AB267</f>
        <v>0.29858265197599732</v>
      </c>
    </row>
    <row r="268" spans="1:36" hidden="1" x14ac:dyDescent="0.25">
      <c r="A268" s="30">
        <v>128</v>
      </c>
      <c r="B268" s="5" t="s">
        <v>1872</v>
      </c>
      <c r="C268" s="2" t="s">
        <v>954</v>
      </c>
      <c r="D268" s="2"/>
      <c r="E268" s="2" t="s">
        <v>308</v>
      </c>
      <c r="F268" s="2">
        <v>1470103</v>
      </c>
      <c r="G268" s="2" t="s">
        <v>1764</v>
      </c>
      <c r="H268" s="2" t="s">
        <v>962</v>
      </c>
      <c r="I268" s="2" t="s">
        <v>1894</v>
      </c>
      <c r="J268" s="2" t="s">
        <v>1003</v>
      </c>
      <c r="K268" s="2" t="s">
        <v>239</v>
      </c>
      <c r="L268" s="2"/>
      <c r="M268" s="2"/>
      <c r="N268" s="2"/>
      <c r="O268" s="2"/>
      <c r="P268" s="557" t="str">
        <f>CONCATENATE(schedule13[[#This Row],[OD]],"-",schedule13[[#This Row],[ID]],"-",schedule13[[#This Row],[TICKNESS]],"-",schedule13[[#This Row],[GRADE]],"-",schedule13[[#This Row],[FC/NFC]])</f>
        <v>63.5-0-4-ERW 1-FC</v>
      </c>
      <c r="Q268" s="557" t="str">
        <f>_xlfn.CONCAT(schedule13[[#This Row],[Bucket]],"-",schedule13[[#This Row],[LENGTH]]/1000)</f>
        <v>63.5-0-4-ERW 1-FC-0.236</v>
      </c>
      <c r="R268" s="557">
        <f>COUNTIF(buckets[CTL Bucket],schedule13[[#This Row],[CTL Bucket]])</f>
        <v>3</v>
      </c>
      <c r="S268" s="1">
        <v>63.5</v>
      </c>
      <c r="T268" s="1">
        <v>63.5</v>
      </c>
      <c r="U268" s="1">
        <v>0</v>
      </c>
      <c r="V268" s="1">
        <v>4</v>
      </c>
      <c r="W268" s="22">
        <v>236</v>
      </c>
      <c r="X268" s="22" t="s">
        <v>397</v>
      </c>
      <c r="Y268" s="2">
        <v>9500</v>
      </c>
      <c r="Z268" s="2"/>
      <c r="AA268" s="4">
        <f t="shared" si="48"/>
        <v>9500</v>
      </c>
      <c r="AB268" s="1">
        <f>(3.14*(schedule13[[#This Row],[ACTUAL OD]]-schedule13[[#This Row],[TICKNESS]])*schedule13[[#This Row],[TICKNESS]]*schedule13[[#This Row],[LENGTH]]*7.85)/1000000*schedule13[[#This Row],[SCHEDULE]]/1000</f>
        <v>13.152607804000001</v>
      </c>
      <c r="AC268" s="1">
        <f t="shared" si="44"/>
        <v>0</v>
      </c>
      <c r="AD268" s="1">
        <f t="shared" si="49"/>
        <v>13.152607804000001</v>
      </c>
      <c r="AE268" s="3">
        <f>schedule13[[#This Row],[CTL Stock]]/schedule13[[#This Row],[SCHEDULE IN MT]]*schedule13[[#This Row],[SCHEDULE]]</f>
        <v>3557.4042955778227</v>
      </c>
      <c r="AF268" s="1">
        <f>SUMIFS(stock[MT],stock[Bucket],schedule13[[#This Row],[Bucket]],stock[CTL Bucket],schedule13[[#This Row],[CTL Bucket]])</f>
        <v>4.925173</v>
      </c>
      <c r="AG268" s="1">
        <f>SUMIFS(stock[MT],stock[Bucket],schedule13[[#This Row],[Bucket]])+SUMIFS(wip[Stock(Net Wt)],wip[Bucket],schedule13[[#This Row],[Bucket]])/1000</f>
        <v>76.899259999999998</v>
      </c>
      <c r="AH268" s="1">
        <f t="shared" si="47"/>
        <v>12.27194132</v>
      </c>
      <c r="AI268" s="118">
        <f>(AC268+AF268)/AB268</f>
        <v>0.37446361006082346</v>
      </c>
    </row>
    <row r="269" spans="1:36" ht="17.25" hidden="1" x14ac:dyDescent="0.25">
      <c r="A269" s="30">
        <v>396</v>
      </c>
      <c r="B269" s="5" t="s">
        <v>1872</v>
      </c>
      <c r="C269" s="2" t="s">
        <v>954</v>
      </c>
      <c r="D269" s="2"/>
      <c r="E269" s="2" t="s">
        <v>308</v>
      </c>
      <c r="F269" s="2">
        <v>1938128</v>
      </c>
      <c r="G269" s="2" t="s">
        <v>1999</v>
      </c>
      <c r="H269" s="2" t="s">
        <v>993</v>
      </c>
      <c r="I269" s="2" t="s">
        <v>1894</v>
      </c>
      <c r="J269" s="2" t="s">
        <v>1003</v>
      </c>
      <c r="K269" s="2" t="s">
        <v>239</v>
      </c>
      <c r="L269" s="2"/>
      <c r="M269" s="2"/>
      <c r="N269" s="2" t="s">
        <v>1895</v>
      </c>
      <c r="O269" s="2"/>
      <c r="P269" s="557" t="str">
        <f>CONCATENATE(schedule13[[#This Row],[OD]],"-",schedule13[[#This Row],[ID]],"-",schedule13[[#This Row],[TICKNESS]],"-",schedule13[[#This Row],[GRADE]],"-",schedule13[[#This Row],[FC/NFC]])</f>
        <v>70-0-3.2-ERW 2-FC</v>
      </c>
      <c r="Q269" s="557" t="str">
        <f>_xlfn.CONCAT(schedule13[[#This Row],[Bucket]],"-",schedule13[[#This Row],[LENGTH]]/1000)</f>
        <v>70-0-3.2-ERW 2-FC-0.49</v>
      </c>
      <c r="R269" s="557">
        <f>COUNTIF(buckets[CTL Bucket],schedule13[[#This Row],[CTL Bucket]])</f>
        <v>2</v>
      </c>
      <c r="S269" s="1">
        <v>70</v>
      </c>
      <c r="T269" s="1">
        <v>70</v>
      </c>
      <c r="U269" s="1">
        <v>0</v>
      </c>
      <c r="V269" s="1">
        <v>3.2</v>
      </c>
      <c r="W269" s="22">
        <v>490</v>
      </c>
      <c r="X269" s="22" t="s">
        <v>397</v>
      </c>
      <c r="Y269" s="2">
        <v>4000</v>
      </c>
      <c r="Z269" s="2"/>
      <c r="AA269" s="4">
        <f t="shared" si="48"/>
        <v>4000</v>
      </c>
      <c r="AB269" s="1">
        <f>(3.14*(schedule13[[#This Row],[ACTUAL OD]]-schedule13[[#This Row],[TICKNESS]])*schedule13[[#This Row],[TICKNESS]]*schedule13[[#This Row],[LENGTH]]*7.85)/1000000*schedule13[[#This Row],[SCHEDULE]]/1000</f>
        <v>10.3271816704</v>
      </c>
      <c r="AC269" s="1">
        <f t="shared" si="44"/>
        <v>0</v>
      </c>
      <c r="AD269" s="1">
        <f t="shared" si="49"/>
        <v>10.3271816704</v>
      </c>
      <c r="AE269" s="3">
        <f>schedule13[[#This Row],[CTL Stock]]/schedule13[[#This Row],[SCHEDULE IN MT]]*schedule13[[#This Row],[SCHEDULE]]</f>
        <v>505.82784022987647</v>
      </c>
      <c r="AF269" s="1">
        <f>SUMIFS(stock[MT],stock[Bucket],schedule13[[#This Row],[Bucket]],stock[CTL Bucket],schedule13[[#This Row],[CTL Bucket]])</f>
        <v>1.305944</v>
      </c>
      <c r="AG269" s="1">
        <f>SUMIFS(stock[MT],stock[Bucket],schedule13[[#This Row],[Bucket]])+SUMIFS(wip[Stock(Net Wt)],wip[Bucket],schedule13[[#This Row],[Bucket]])/1000</f>
        <v>38.948604999999993</v>
      </c>
      <c r="AH269" s="1">
        <f t="shared" si="47"/>
        <v>11.846663804</v>
      </c>
      <c r="AI269" s="118">
        <f>(AC269+AF269)/AB269</f>
        <v>0.12645696005746912</v>
      </c>
      <c r="AJ269" s="83">
        <v>9518489778</v>
      </c>
    </row>
    <row r="270" spans="1:36" hidden="1" x14ac:dyDescent="0.25">
      <c r="A270" s="30">
        <v>136</v>
      </c>
      <c r="B270" s="5" t="s">
        <v>1816</v>
      </c>
      <c r="C270" s="2" t="s">
        <v>291</v>
      </c>
      <c r="D270" s="2" t="s">
        <v>955</v>
      </c>
      <c r="E270" s="2" t="s">
        <v>6569</v>
      </c>
      <c r="F270" s="2"/>
      <c r="G270" s="2"/>
      <c r="H270" s="2" t="s">
        <v>357</v>
      </c>
      <c r="I270" s="2"/>
      <c r="J270" s="2" t="s">
        <v>357</v>
      </c>
      <c r="K270" s="2" t="s">
        <v>239</v>
      </c>
      <c r="L270" s="2"/>
      <c r="M270" s="2"/>
      <c r="N270" s="2"/>
      <c r="O270" s="2"/>
      <c r="P270" s="557" t="str">
        <f>CONCATENATE(schedule13[[#This Row],[OD]],"-",schedule13[[#This Row],[ID]],"-",schedule13[[#This Row],[TICKNESS]],"-",schedule13[[#This Row],[GRADE]],"-",schedule13[[#This Row],[FC/NFC]])</f>
        <v>36-34-0.91-CEW-CEW</v>
      </c>
      <c r="Q270" s="557" t="str">
        <f>_xlfn.CONCAT(schedule13[[#This Row],[Bucket]],"-",schedule13[[#This Row],[LENGTH]]/1000)</f>
        <v>36-34-0.91-CEW-CEW-0.168</v>
      </c>
      <c r="R270" s="557">
        <f>COUNTIF(buckets[CTL Bucket],schedule13[[#This Row],[CTL Bucket]])</f>
        <v>0</v>
      </c>
      <c r="S270" s="1">
        <v>36</v>
      </c>
      <c r="T270" s="1">
        <v>36</v>
      </c>
      <c r="U270" s="1">
        <v>34</v>
      </c>
      <c r="V270" s="1">
        <v>0.91</v>
      </c>
      <c r="W270" s="24">
        <v>168</v>
      </c>
      <c r="X270" s="24"/>
      <c r="Y270" s="2">
        <v>0</v>
      </c>
      <c r="Z270" s="2"/>
      <c r="AA270" s="4">
        <f t="shared" si="48"/>
        <v>0</v>
      </c>
      <c r="AB270" s="1">
        <f t="shared" ref="AB270:AB333" si="50">(S270-V270)*V270*W270*0.024653*Y270/1000000</f>
        <v>0</v>
      </c>
      <c r="AC270" s="1">
        <f t="shared" si="44"/>
        <v>0</v>
      </c>
      <c r="AD270" s="1">
        <f t="shared" si="49"/>
        <v>0</v>
      </c>
      <c r="AE270" s="1"/>
      <c r="AF270" s="1">
        <v>1.1511800000000001</v>
      </c>
      <c r="AG270" s="1"/>
      <c r="AH270" s="1">
        <f t="shared" si="47"/>
        <v>9.1760016703999998</v>
      </c>
      <c r="AI270" s="118">
        <f t="shared" ref="AI270:AI295" si="51">(AC270+AF270)/AB269</f>
        <v>0.11147087721905174</v>
      </c>
    </row>
    <row r="271" spans="1:36" hidden="1" x14ac:dyDescent="0.25">
      <c r="A271" s="30">
        <v>138</v>
      </c>
      <c r="B271" s="5" t="s">
        <v>1872</v>
      </c>
      <c r="C271" s="2" t="s">
        <v>291</v>
      </c>
      <c r="D271" s="2" t="s">
        <v>955</v>
      </c>
      <c r="E271" s="2" t="s">
        <v>6569</v>
      </c>
      <c r="F271" s="2"/>
      <c r="G271" s="2"/>
      <c r="H271" s="2" t="s">
        <v>357</v>
      </c>
      <c r="I271" s="2"/>
      <c r="J271" s="2" t="s">
        <v>357</v>
      </c>
      <c r="K271" s="2" t="s">
        <v>239</v>
      </c>
      <c r="L271" s="2"/>
      <c r="M271" s="2"/>
      <c r="N271" s="2"/>
      <c r="O271" s="2"/>
      <c r="P271" s="557" t="str">
        <f>CONCATENATE(schedule13[[#This Row],[OD]],"-",schedule13[[#This Row],[ID]],"-",schedule13[[#This Row],[TICKNESS]],"-",schedule13[[#This Row],[GRADE]],"-",schedule13[[#This Row],[FC/NFC]])</f>
        <v>16.1-0-2.8-CEW-CEW</v>
      </c>
      <c r="Q271" s="557" t="str">
        <f>_xlfn.CONCAT(schedule13[[#This Row],[Bucket]],"-",schedule13[[#This Row],[LENGTH]]/1000)</f>
        <v>16.1-0-2.8-CEW-CEW-4.5</v>
      </c>
      <c r="R271" s="557">
        <f>COUNTIF(buckets[CTL Bucket],schedule13[[#This Row],[CTL Bucket]])</f>
        <v>0</v>
      </c>
      <c r="S271" s="1">
        <v>16.100000000000001</v>
      </c>
      <c r="T271" s="1">
        <v>16.100000000000001</v>
      </c>
      <c r="U271" s="1">
        <v>0</v>
      </c>
      <c r="V271" s="1">
        <v>2.8</v>
      </c>
      <c r="W271" s="24">
        <v>4500</v>
      </c>
      <c r="X271" s="24"/>
      <c r="Y271" s="2">
        <v>0</v>
      </c>
      <c r="Z271" s="2"/>
      <c r="AA271" s="4">
        <f t="shared" si="48"/>
        <v>0</v>
      </c>
      <c r="AB271" s="1">
        <f t="shared" si="50"/>
        <v>0</v>
      </c>
      <c r="AC271" s="1">
        <f t="shared" si="44"/>
        <v>0</v>
      </c>
      <c r="AD271" s="1">
        <f t="shared" si="49"/>
        <v>0</v>
      </c>
      <c r="AE271" s="1"/>
      <c r="AF271" s="1">
        <v>1.1268279999999999</v>
      </c>
      <c r="AG271" s="1"/>
      <c r="AH271" s="1">
        <f t="shared" si="47"/>
        <v>-1.1268279999999999</v>
      </c>
      <c r="AI271" s="118" t="e">
        <f t="shared" si="51"/>
        <v>#DIV/0!</v>
      </c>
    </row>
    <row r="272" spans="1:36" hidden="1" x14ac:dyDescent="0.25">
      <c r="A272" s="30">
        <v>146</v>
      </c>
      <c r="B272" s="5" t="s">
        <v>1816</v>
      </c>
      <c r="C272" s="2" t="s">
        <v>291</v>
      </c>
      <c r="D272" s="2" t="s">
        <v>955</v>
      </c>
      <c r="E272" s="2" t="s">
        <v>6569</v>
      </c>
      <c r="F272" s="2">
        <v>1940360</v>
      </c>
      <c r="G272" s="2" t="s">
        <v>2026</v>
      </c>
      <c r="H272" s="2" t="s">
        <v>962</v>
      </c>
      <c r="I272" s="2"/>
      <c r="J272" s="2"/>
      <c r="K272" s="2" t="s">
        <v>239</v>
      </c>
      <c r="L272" s="2"/>
      <c r="M272" s="2"/>
      <c r="N272" s="2"/>
      <c r="O272" s="2"/>
      <c r="P272" s="557" t="str">
        <f>CONCATENATE(schedule13[[#This Row],[OD]],"-",schedule13[[#This Row],[ID]],"-",schedule13[[#This Row],[TICKNESS]],"-",schedule13[[#This Row],[GRADE]],"-",schedule13[[#This Row],[FC/NFC]])</f>
        <v>22.23-0-1.2-ERW 1-</v>
      </c>
      <c r="Q272" s="557" t="str">
        <f>_xlfn.CONCAT(schedule13[[#This Row],[Bucket]],"-",schedule13[[#This Row],[LENGTH]]/1000)</f>
        <v>22.23-0-1.2-ERW 1--0.6</v>
      </c>
      <c r="R272" s="557">
        <f>COUNTIF(buckets[CTL Bucket],schedule13[[#This Row],[CTL Bucket]])</f>
        <v>0</v>
      </c>
      <c r="S272" s="1">
        <v>22.23</v>
      </c>
      <c r="T272" s="1">
        <v>22.23</v>
      </c>
      <c r="U272" s="1">
        <v>0</v>
      </c>
      <c r="V272" s="1">
        <v>1.2</v>
      </c>
      <c r="W272" s="24">
        <v>600</v>
      </c>
      <c r="X272" s="24"/>
      <c r="Y272" s="2">
        <v>0</v>
      </c>
      <c r="Z272" s="2"/>
      <c r="AA272" s="4">
        <f t="shared" si="48"/>
        <v>0</v>
      </c>
      <c r="AB272" s="1">
        <f t="shared" si="50"/>
        <v>0</v>
      </c>
      <c r="AC272" s="1">
        <f t="shared" si="44"/>
        <v>0</v>
      </c>
      <c r="AD272" s="1">
        <f t="shared" si="49"/>
        <v>0</v>
      </c>
      <c r="AE272" s="1"/>
      <c r="AF272" s="1"/>
      <c r="AG272" s="1"/>
      <c r="AH272" s="1">
        <f t="shared" si="47"/>
        <v>0</v>
      </c>
      <c r="AI272" s="118" t="e">
        <f t="shared" si="51"/>
        <v>#DIV/0!</v>
      </c>
    </row>
    <row r="273" spans="1:35" hidden="1" x14ac:dyDescent="0.25">
      <c r="A273" s="30">
        <v>149</v>
      </c>
      <c r="B273" s="5" t="s">
        <v>1816</v>
      </c>
      <c r="C273" s="2" t="s">
        <v>291</v>
      </c>
      <c r="D273" s="2" t="s">
        <v>955</v>
      </c>
      <c r="E273" s="2" t="s">
        <v>6569</v>
      </c>
      <c r="F273" s="2">
        <v>2332783</v>
      </c>
      <c r="G273" s="2" t="s">
        <v>2024</v>
      </c>
      <c r="H273" s="2" t="s">
        <v>962</v>
      </c>
      <c r="I273" s="2"/>
      <c r="J273" s="2"/>
      <c r="K273" s="2" t="s">
        <v>239</v>
      </c>
      <c r="L273" s="2"/>
      <c r="M273" s="2"/>
      <c r="N273" s="2"/>
      <c r="O273" s="2"/>
      <c r="P273" s="557" t="str">
        <f>CONCATENATE(schedule13[[#This Row],[OD]],"-",schedule13[[#This Row],[ID]],"-",schedule13[[#This Row],[TICKNESS]],"-",schedule13[[#This Row],[GRADE]],"-",schedule13[[#This Row],[FC/NFC]])</f>
        <v>19.05-0-2.34-ERW 1-</v>
      </c>
      <c r="Q273" s="557" t="str">
        <f>_xlfn.CONCAT(schedule13[[#This Row],[Bucket]],"-",schedule13[[#This Row],[LENGTH]]/1000)</f>
        <v>19.05-0-2.34-ERW 1--0.55</v>
      </c>
      <c r="R273" s="557">
        <f>COUNTIF(buckets[CTL Bucket],schedule13[[#This Row],[CTL Bucket]])</f>
        <v>0</v>
      </c>
      <c r="S273" s="1">
        <v>19.05</v>
      </c>
      <c r="T273" s="1">
        <v>19.05</v>
      </c>
      <c r="U273" s="1">
        <v>0</v>
      </c>
      <c r="V273" s="1">
        <v>2.34</v>
      </c>
      <c r="W273" s="24">
        <v>550</v>
      </c>
      <c r="X273" s="24"/>
      <c r="Y273" s="2">
        <v>0</v>
      </c>
      <c r="Z273" s="2"/>
      <c r="AA273" s="4">
        <f t="shared" si="48"/>
        <v>0</v>
      </c>
      <c r="AB273" s="1">
        <f t="shared" si="50"/>
        <v>0</v>
      </c>
      <c r="AC273" s="1">
        <f t="shared" si="44"/>
        <v>0</v>
      </c>
      <c r="AD273" s="1">
        <f t="shared" si="49"/>
        <v>0</v>
      </c>
      <c r="AE273" s="1"/>
      <c r="AF273" s="1">
        <v>0.30275000000000002</v>
      </c>
      <c r="AG273" s="1"/>
      <c r="AH273" s="1">
        <f t="shared" si="47"/>
        <v>-0.30275000000000002</v>
      </c>
      <c r="AI273" s="118" t="e">
        <f t="shared" si="51"/>
        <v>#DIV/0!</v>
      </c>
    </row>
    <row r="274" spans="1:35" hidden="1" x14ac:dyDescent="0.25">
      <c r="A274" s="30">
        <v>150</v>
      </c>
      <c r="B274" s="5" t="s">
        <v>1816</v>
      </c>
      <c r="C274" s="2" t="s">
        <v>291</v>
      </c>
      <c r="D274" s="2" t="s">
        <v>955</v>
      </c>
      <c r="E274" s="2" t="s">
        <v>6569</v>
      </c>
      <c r="F274" s="2">
        <v>1940500</v>
      </c>
      <c r="G274" s="2" t="s">
        <v>2035</v>
      </c>
      <c r="H274" s="2" t="s">
        <v>962</v>
      </c>
      <c r="I274" s="2"/>
      <c r="J274" s="2"/>
      <c r="K274" s="2" t="s">
        <v>239</v>
      </c>
      <c r="L274" s="2"/>
      <c r="M274" s="2"/>
      <c r="N274" s="2"/>
      <c r="O274" s="2"/>
      <c r="P274" s="557" t="str">
        <f>CONCATENATE(schedule13[[#This Row],[OD]],"-",schedule13[[#This Row],[ID]],"-",schedule13[[#This Row],[TICKNESS]],"-",schedule13[[#This Row],[GRADE]],"-",schedule13[[#This Row],[FC/NFC]])</f>
        <v>22.23-0-2.3-ERW 1-</v>
      </c>
      <c r="Q274" s="557" t="str">
        <f>_xlfn.CONCAT(schedule13[[#This Row],[Bucket]],"-",schedule13[[#This Row],[LENGTH]]/1000)</f>
        <v>22.23-0-2.3-ERW 1--0.35</v>
      </c>
      <c r="R274" s="557">
        <f>COUNTIF(buckets[CTL Bucket],schedule13[[#This Row],[CTL Bucket]])</f>
        <v>0</v>
      </c>
      <c r="S274" s="1">
        <v>22.23</v>
      </c>
      <c r="T274" s="1">
        <v>22.23</v>
      </c>
      <c r="U274" s="1">
        <v>0</v>
      </c>
      <c r="V274" s="1">
        <v>2.2999999999999998</v>
      </c>
      <c r="W274" s="24">
        <v>350</v>
      </c>
      <c r="X274" s="24"/>
      <c r="Y274" s="2">
        <v>0</v>
      </c>
      <c r="Z274" s="2"/>
      <c r="AA274" s="4">
        <f t="shared" si="48"/>
        <v>0</v>
      </c>
      <c r="AB274" s="1">
        <f t="shared" si="50"/>
        <v>0</v>
      </c>
      <c r="AC274" s="1">
        <f t="shared" si="44"/>
        <v>0</v>
      </c>
      <c r="AD274" s="1">
        <f t="shared" si="49"/>
        <v>0</v>
      </c>
      <c r="AE274" s="1"/>
      <c r="AF274" s="1"/>
      <c r="AG274" s="1"/>
      <c r="AH274" s="1">
        <f t="shared" si="47"/>
        <v>0</v>
      </c>
      <c r="AI274" s="118" t="e">
        <f t="shared" si="51"/>
        <v>#DIV/0!</v>
      </c>
    </row>
    <row r="275" spans="1:35" hidden="1" x14ac:dyDescent="0.25">
      <c r="A275" s="30">
        <v>154</v>
      </c>
      <c r="B275" s="5" t="s">
        <v>1816</v>
      </c>
      <c r="C275" s="2" t="s">
        <v>291</v>
      </c>
      <c r="D275" s="2" t="s">
        <v>955</v>
      </c>
      <c r="E275" s="2" t="s">
        <v>6569</v>
      </c>
      <c r="F275" s="2">
        <v>3616912</v>
      </c>
      <c r="G275" s="2" t="s">
        <v>2046</v>
      </c>
      <c r="H275" s="2" t="s">
        <v>962</v>
      </c>
      <c r="I275" s="2"/>
      <c r="J275" s="2"/>
      <c r="K275" s="2" t="s">
        <v>239</v>
      </c>
      <c r="L275" s="2"/>
      <c r="M275" s="2"/>
      <c r="N275" s="2"/>
      <c r="O275" s="2"/>
      <c r="P275" s="557" t="str">
        <f>CONCATENATE(schedule13[[#This Row],[OD]],"-",schedule13[[#This Row],[ID]],"-",schedule13[[#This Row],[TICKNESS]],"-",schedule13[[#This Row],[GRADE]],"-",schedule13[[#This Row],[FC/NFC]])</f>
        <v>40-30-1.6-ERW 1-</v>
      </c>
      <c r="Q275" s="557" t="str">
        <f>_xlfn.CONCAT(schedule13[[#This Row],[Bucket]],"-",schedule13[[#This Row],[LENGTH]]/1000)</f>
        <v>40-30-1.6-ERW 1--0.852</v>
      </c>
      <c r="R275" s="557">
        <f>COUNTIF(buckets[CTL Bucket],schedule13[[#This Row],[CTL Bucket]])</f>
        <v>0</v>
      </c>
      <c r="S275" s="1">
        <v>44.45</v>
      </c>
      <c r="T275" s="1">
        <v>40</v>
      </c>
      <c r="U275" s="6">
        <v>30</v>
      </c>
      <c r="V275" s="1">
        <v>1.6</v>
      </c>
      <c r="W275" s="24">
        <v>852</v>
      </c>
      <c r="X275" s="24"/>
      <c r="Y275" s="2">
        <v>0</v>
      </c>
      <c r="Z275" s="2"/>
      <c r="AA275" s="4">
        <f t="shared" si="48"/>
        <v>0</v>
      </c>
      <c r="AB275" s="1">
        <f t="shared" si="50"/>
        <v>0</v>
      </c>
      <c r="AC275" s="1">
        <f t="shared" si="44"/>
        <v>0</v>
      </c>
      <c r="AD275" s="1">
        <f t="shared" si="49"/>
        <v>0</v>
      </c>
      <c r="AE275" s="1"/>
      <c r="AF275" s="1">
        <v>3.9888550000000005</v>
      </c>
      <c r="AG275" s="1"/>
      <c r="AH275" s="1">
        <f t="shared" si="47"/>
        <v>-3.9888550000000005</v>
      </c>
      <c r="AI275" s="118" t="e">
        <f t="shared" si="51"/>
        <v>#DIV/0!</v>
      </c>
    </row>
    <row r="276" spans="1:35" hidden="1" x14ac:dyDescent="0.25">
      <c r="A276" s="30">
        <v>156</v>
      </c>
      <c r="B276" s="5" t="s">
        <v>1816</v>
      </c>
      <c r="C276" s="2" t="s">
        <v>291</v>
      </c>
      <c r="D276" s="2" t="s">
        <v>955</v>
      </c>
      <c r="E276" s="2" t="s">
        <v>6569</v>
      </c>
      <c r="F276" s="2"/>
      <c r="G276" s="2" t="s">
        <v>2047</v>
      </c>
      <c r="H276" s="2" t="s">
        <v>962</v>
      </c>
      <c r="I276" s="2"/>
      <c r="J276" s="2"/>
      <c r="K276" s="2" t="s">
        <v>239</v>
      </c>
      <c r="L276" s="2"/>
      <c r="M276" s="2"/>
      <c r="N276" s="2"/>
      <c r="O276" s="2"/>
      <c r="P276" s="557" t="str">
        <f>CONCATENATE(schedule13[[#This Row],[OD]],"-",schedule13[[#This Row],[ID]],"-",schedule13[[#This Row],[TICKNESS]],"-",schedule13[[#This Row],[GRADE]],"-",schedule13[[#This Row],[FC/NFC]])</f>
        <v>57.15-0-2-ERW 1-</v>
      </c>
      <c r="Q276" s="557" t="str">
        <f>_xlfn.CONCAT(schedule13[[#This Row],[Bucket]],"-",schedule13[[#This Row],[LENGTH]]/1000)</f>
        <v>57.15-0-2-ERW 1--0.409</v>
      </c>
      <c r="R276" s="557">
        <f>COUNTIF(buckets[CTL Bucket],schedule13[[#This Row],[CTL Bucket]])</f>
        <v>0</v>
      </c>
      <c r="S276" s="1">
        <v>57.15</v>
      </c>
      <c r="T276" s="1">
        <v>57.15</v>
      </c>
      <c r="U276" s="1">
        <v>0</v>
      </c>
      <c r="V276" s="1">
        <v>2</v>
      </c>
      <c r="W276" s="24">
        <v>409</v>
      </c>
      <c r="X276" s="24"/>
      <c r="Y276" s="2">
        <v>0</v>
      </c>
      <c r="Z276" s="2"/>
      <c r="AA276" s="4">
        <f t="shared" si="48"/>
        <v>0</v>
      </c>
      <c r="AB276" s="1">
        <f t="shared" si="50"/>
        <v>0</v>
      </c>
      <c r="AC276" s="1">
        <f t="shared" si="44"/>
        <v>0</v>
      </c>
      <c r="AD276" s="1">
        <f t="shared" si="49"/>
        <v>0</v>
      </c>
      <c r="AE276" s="1"/>
      <c r="AF276" s="1"/>
      <c r="AG276" s="1"/>
      <c r="AH276" s="1">
        <f t="shared" si="47"/>
        <v>0</v>
      </c>
      <c r="AI276" s="118" t="e">
        <f t="shared" si="51"/>
        <v>#DIV/0!</v>
      </c>
    </row>
    <row r="277" spans="1:35" hidden="1" x14ac:dyDescent="0.25">
      <c r="A277" s="30">
        <v>160</v>
      </c>
      <c r="B277" s="5" t="s">
        <v>1816</v>
      </c>
      <c r="C277" s="2" t="s">
        <v>291</v>
      </c>
      <c r="D277" s="2" t="s">
        <v>955</v>
      </c>
      <c r="E277" s="2" t="s">
        <v>6569</v>
      </c>
      <c r="F277" s="2">
        <v>1432169</v>
      </c>
      <c r="G277" s="2" t="s">
        <v>2017</v>
      </c>
      <c r="H277" s="2"/>
      <c r="I277" s="2"/>
      <c r="J277" s="2"/>
      <c r="K277" s="2" t="s">
        <v>239</v>
      </c>
      <c r="L277" s="2"/>
      <c r="M277" s="2"/>
      <c r="N277" s="2"/>
      <c r="O277" s="2"/>
      <c r="P277" s="557" t="str">
        <f>CONCATENATE(schedule13[[#This Row],[OD]],"-",schedule13[[#This Row],[ID]],"-",schedule13[[#This Row],[TICKNESS]],"-",schedule13[[#This Row],[GRADE]],"-",schedule13[[#This Row],[FC/NFC]])</f>
        <v>19.05-0-2--</v>
      </c>
      <c r="Q277" s="557" t="str">
        <f>_xlfn.CONCAT(schedule13[[#This Row],[Bucket]],"-",schedule13[[#This Row],[LENGTH]]/1000)</f>
        <v>19.05-0-2---0.43</v>
      </c>
      <c r="R277" s="557">
        <f>COUNTIF(buckets[CTL Bucket],schedule13[[#This Row],[CTL Bucket]])</f>
        <v>0</v>
      </c>
      <c r="S277" s="1">
        <v>19.05</v>
      </c>
      <c r="T277" s="1">
        <v>19.05</v>
      </c>
      <c r="U277" s="1">
        <v>0</v>
      </c>
      <c r="V277" s="1">
        <v>2</v>
      </c>
      <c r="W277" s="24">
        <v>430</v>
      </c>
      <c r="X277" s="24"/>
      <c r="Y277" s="2">
        <v>0</v>
      </c>
      <c r="Z277" s="2"/>
      <c r="AA277" s="4">
        <f t="shared" si="48"/>
        <v>0</v>
      </c>
      <c r="AB277" s="1">
        <f t="shared" si="50"/>
        <v>0</v>
      </c>
      <c r="AC277" s="1">
        <f t="shared" si="44"/>
        <v>0</v>
      </c>
      <c r="AD277" s="1">
        <f t="shared" si="49"/>
        <v>0</v>
      </c>
      <c r="AE277" s="1"/>
      <c r="AF277" s="1"/>
      <c r="AG277" s="1"/>
      <c r="AH277" s="1">
        <f t="shared" si="47"/>
        <v>0</v>
      </c>
      <c r="AI277" s="118" t="e">
        <f t="shared" si="51"/>
        <v>#DIV/0!</v>
      </c>
    </row>
    <row r="278" spans="1:35" hidden="1" x14ac:dyDescent="0.25">
      <c r="A278" s="30">
        <v>180</v>
      </c>
      <c r="B278" s="5" t="s">
        <v>1816</v>
      </c>
      <c r="C278" s="2" t="s">
        <v>291</v>
      </c>
      <c r="D278" s="2" t="s">
        <v>955</v>
      </c>
      <c r="E278" s="2" t="s">
        <v>6569</v>
      </c>
      <c r="F278" s="2">
        <v>1940430</v>
      </c>
      <c r="G278" s="2" t="s">
        <v>762</v>
      </c>
      <c r="H278" s="2" t="s">
        <v>962</v>
      </c>
      <c r="I278" s="2"/>
      <c r="J278" s="2"/>
      <c r="K278" s="2" t="s">
        <v>239</v>
      </c>
      <c r="L278" s="2"/>
      <c r="M278" s="2"/>
      <c r="N278" s="2"/>
      <c r="O278" s="2"/>
      <c r="P278" s="557" t="str">
        <f>CONCATENATE(schedule13[[#This Row],[OD]],"-",schedule13[[#This Row],[ID]],"-",schedule13[[#This Row],[TICKNESS]],"-",schedule13[[#This Row],[GRADE]],"-",schedule13[[#This Row],[FC/NFC]])</f>
        <v>22.23-0-2-ERW 1-</v>
      </c>
      <c r="Q278" s="557" t="str">
        <f>_xlfn.CONCAT(schedule13[[#This Row],[Bucket]],"-",schedule13[[#This Row],[LENGTH]]/1000)</f>
        <v>22.23-0-2-ERW 1--0.22</v>
      </c>
      <c r="R278" s="557">
        <f>COUNTIF(buckets[CTL Bucket],schedule13[[#This Row],[CTL Bucket]])</f>
        <v>0</v>
      </c>
      <c r="S278" s="1">
        <v>22.23</v>
      </c>
      <c r="T278" s="1">
        <v>22.23</v>
      </c>
      <c r="U278" s="1">
        <v>0</v>
      </c>
      <c r="V278" s="1">
        <v>2</v>
      </c>
      <c r="W278" s="23">
        <v>220</v>
      </c>
      <c r="X278" s="23"/>
      <c r="Y278" s="2">
        <v>0</v>
      </c>
      <c r="Z278" s="2"/>
      <c r="AA278" s="4">
        <f t="shared" si="48"/>
        <v>0</v>
      </c>
      <c r="AB278" s="1">
        <f t="shared" si="50"/>
        <v>0</v>
      </c>
      <c r="AC278" s="1">
        <f t="shared" si="44"/>
        <v>0</v>
      </c>
      <c r="AD278" s="1">
        <f t="shared" si="49"/>
        <v>0</v>
      </c>
      <c r="AE278" s="1"/>
      <c r="AF278" s="1">
        <v>0.38996799999999998</v>
      </c>
      <c r="AG278" s="1"/>
      <c r="AH278" s="1">
        <f t="shared" si="47"/>
        <v>-0.38996799999999998</v>
      </c>
      <c r="AI278" s="118" t="e">
        <f t="shared" si="51"/>
        <v>#DIV/0!</v>
      </c>
    </row>
    <row r="279" spans="1:35" hidden="1" x14ac:dyDescent="0.25">
      <c r="A279" s="30">
        <v>181</v>
      </c>
      <c r="B279" s="5" t="s">
        <v>1816</v>
      </c>
      <c r="C279" s="2" t="s">
        <v>291</v>
      </c>
      <c r="D279" s="2" t="s">
        <v>955</v>
      </c>
      <c r="E279" s="2" t="s">
        <v>6569</v>
      </c>
      <c r="F279" s="2">
        <v>1939992</v>
      </c>
      <c r="G279" s="2" t="s">
        <v>2008</v>
      </c>
      <c r="H279" s="2" t="s">
        <v>962</v>
      </c>
      <c r="I279" s="2"/>
      <c r="J279" s="2"/>
      <c r="K279" s="2" t="s">
        <v>239</v>
      </c>
      <c r="L279" s="2"/>
      <c r="M279" s="2"/>
      <c r="N279" s="2"/>
      <c r="O279" s="2"/>
      <c r="P279" s="557" t="str">
        <f>CONCATENATE(schedule13[[#This Row],[OD]],"-",schedule13[[#This Row],[ID]],"-",schedule13[[#This Row],[TICKNESS]],"-",schedule13[[#This Row],[GRADE]],"-",schedule13[[#This Row],[FC/NFC]])</f>
        <v>12.7-0-1.6-ERW 1-</v>
      </c>
      <c r="Q279" s="557" t="str">
        <f>_xlfn.CONCAT(schedule13[[#This Row],[Bucket]],"-",schedule13[[#This Row],[LENGTH]]/1000)</f>
        <v>12.7-0-1.6-ERW 1--0.187</v>
      </c>
      <c r="R279" s="557">
        <f>COUNTIF(buckets[CTL Bucket],schedule13[[#This Row],[CTL Bucket]])</f>
        <v>0</v>
      </c>
      <c r="S279" s="1">
        <v>12.7</v>
      </c>
      <c r="T279" s="1">
        <v>12.7</v>
      </c>
      <c r="U279" s="1">
        <v>0</v>
      </c>
      <c r="V279" s="1">
        <v>1.6</v>
      </c>
      <c r="W279" s="23">
        <v>187</v>
      </c>
      <c r="X279" s="23"/>
      <c r="Y279" s="2">
        <v>0</v>
      </c>
      <c r="Z279" s="2"/>
      <c r="AA279" s="4">
        <f t="shared" si="48"/>
        <v>0</v>
      </c>
      <c r="AB279" s="1">
        <f t="shared" si="50"/>
        <v>0</v>
      </c>
      <c r="AC279" s="1">
        <f t="shared" si="44"/>
        <v>0</v>
      </c>
      <c r="AD279" s="1">
        <f t="shared" si="49"/>
        <v>0</v>
      </c>
      <c r="AE279" s="1"/>
      <c r="AF279" s="1">
        <v>1.8909999999999998</v>
      </c>
      <c r="AG279" s="1"/>
      <c r="AH279" s="1">
        <f t="shared" si="47"/>
        <v>-1.8909999999999998</v>
      </c>
      <c r="AI279" s="118" t="e">
        <f t="shared" si="51"/>
        <v>#DIV/0!</v>
      </c>
    </row>
    <row r="280" spans="1:35" hidden="1" x14ac:dyDescent="0.25">
      <c r="A280" s="30">
        <v>190</v>
      </c>
      <c r="B280" s="5" t="s">
        <v>1816</v>
      </c>
      <c r="C280" s="2" t="s">
        <v>291</v>
      </c>
      <c r="D280" s="2" t="s">
        <v>955</v>
      </c>
      <c r="E280" s="2" t="s">
        <v>6569</v>
      </c>
      <c r="F280" s="2">
        <v>2403384</v>
      </c>
      <c r="G280" s="2" t="s">
        <v>1365</v>
      </c>
      <c r="H280" s="2" t="s">
        <v>962</v>
      </c>
      <c r="I280" s="2"/>
      <c r="J280" s="2"/>
      <c r="K280" s="2" t="s">
        <v>239</v>
      </c>
      <c r="L280" s="2"/>
      <c r="M280" s="2"/>
      <c r="N280" s="2"/>
      <c r="O280" s="2"/>
      <c r="P280" s="557" t="str">
        <f>CONCATENATE(schedule13[[#This Row],[OD]],"-",schedule13[[#This Row],[ID]],"-",schedule13[[#This Row],[TICKNESS]],"-",schedule13[[#This Row],[GRADE]],"-",schedule13[[#This Row],[FC/NFC]])</f>
        <v>19.05-0-2-ERW 1-</v>
      </c>
      <c r="Q280" s="557" t="str">
        <f>_xlfn.CONCAT(schedule13[[#This Row],[Bucket]],"-",schedule13[[#This Row],[LENGTH]]/1000)</f>
        <v>19.05-0-2-ERW 1--0.449</v>
      </c>
      <c r="R280" s="557">
        <f>COUNTIF(buckets[CTL Bucket],schedule13[[#This Row],[CTL Bucket]])</f>
        <v>0</v>
      </c>
      <c r="S280" s="1">
        <v>19.05</v>
      </c>
      <c r="T280" s="1">
        <v>19.05</v>
      </c>
      <c r="U280" s="1">
        <v>0</v>
      </c>
      <c r="V280" s="1">
        <v>2</v>
      </c>
      <c r="W280" s="27">
        <v>449</v>
      </c>
      <c r="X280" s="27"/>
      <c r="Y280" s="2">
        <v>0</v>
      </c>
      <c r="Z280" s="2"/>
      <c r="AA280" s="4">
        <f t="shared" si="48"/>
        <v>0</v>
      </c>
      <c r="AB280" s="1">
        <f t="shared" si="50"/>
        <v>0</v>
      </c>
      <c r="AC280" s="1">
        <f t="shared" si="44"/>
        <v>0</v>
      </c>
      <c r="AD280" s="1">
        <f t="shared" si="49"/>
        <v>0</v>
      </c>
      <c r="AE280" s="1"/>
      <c r="AF280" s="1">
        <v>3.0570000000000004</v>
      </c>
      <c r="AG280" s="1"/>
      <c r="AH280" s="1">
        <f t="shared" si="47"/>
        <v>-3.0570000000000004</v>
      </c>
      <c r="AI280" s="118" t="e">
        <f t="shared" si="51"/>
        <v>#DIV/0!</v>
      </c>
    </row>
    <row r="281" spans="1:35" hidden="1" x14ac:dyDescent="0.25">
      <c r="A281" s="30">
        <v>192</v>
      </c>
      <c r="B281" s="5" t="s">
        <v>1816</v>
      </c>
      <c r="C281" s="2" t="s">
        <v>291</v>
      </c>
      <c r="D281" s="2" t="s">
        <v>955</v>
      </c>
      <c r="E281" s="2" t="s">
        <v>6569</v>
      </c>
      <c r="F281" s="2">
        <v>2403386</v>
      </c>
      <c r="G281" s="2" t="s">
        <v>2016</v>
      </c>
      <c r="H281" s="2" t="s">
        <v>962</v>
      </c>
      <c r="I281" s="2"/>
      <c r="J281" s="2"/>
      <c r="K281" s="2" t="s">
        <v>239</v>
      </c>
      <c r="L281" s="2"/>
      <c r="M281" s="2"/>
      <c r="N281" s="2"/>
      <c r="O281" s="2"/>
      <c r="P281" s="557" t="str">
        <f>CONCATENATE(schedule13[[#This Row],[OD]],"-",schedule13[[#This Row],[ID]],"-",schedule13[[#This Row],[TICKNESS]],"-",schedule13[[#This Row],[GRADE]],"-",schedule13[[#This Row],[FC/NFC]])</f>
        <v>19.05-0-2-ERW 1-</v>
      </c>
      <c r="Q281" s="557" t="str">
        <f>_xlfn.CONCAT(schedule13[[#This Row],[Bucket]],"-",schedule13[[#This Row],[LENGTH]]/1000)</f>
        <v>19.05-0-2-ERW 1--0.358</v>
      </c>
      <c r="R281" s="557">
        <f>COUNTIF(buckets[CTL Bucket],schedule13[[#This Row],[CTL Bucket]])</f>
        <v>0</v>
      </c>
      <c r="S281" s="1">
        <v>19.05</v>
      </c>
      <c r="T281" s="1">
        <v>19.05</v>
      </c>
      <c r="U281" s="1">
        <v>0</v>
      </c>
      <c r="V281" s="1">
        <v>2</v>
      </c>
      <c r="W281" s="27">
        <v>358</v>
      </c>
      <c r="X281" s="27"/>
      <c r="Y281" s="2">
        <v>0</v>
      </c>
      <c r="Z281" s="2"/>
      <c r="AA281" s="4">
        <f t="shared" si="48"/>
        <v>0</v>
      </c>
      <c r="AB281" s="1">
        <f t="shared" si="50"/>
        <v>0</v>
      </c>
      <c r="AC281" s="1">
        <f t="shared" ref="AC281:AC344" si="52">(S281-V281)*V281*W281*0.024653*Z281/1000000</f>
        <v>0</v>
      </c>
      <c r="AD281" s="1">
        <f t="shared" si="49"/>
        <v>0</v>
      </c>
      <c r="AE281" s="1"/>
      <c r="AF281" s="1"/>
      <c r="AG281" s="1"/>
      <c r="AH281" s="1">
        <f t="shared" si="47"/>
        <v>0</v>
      </c>
      <c r="AI281" s="118" t="e">
        <f t="shared" si="51"/>
        <v>#DIV/0!</v>
      </c>
    </row>
    <row r="282" spans="1:35" hidden="1" x14ac:dyDescent="0.25">
      <c r="A282" s="30">
        <v>195</v>
      </c>
      <c r="B282" s="5" t="s">
        <v>1816</v>
      </c>
      <c r="C282" s="2" t="s">
        <v>291</v>
      </c>
      <c r="D282" s="2" t="s">
        <v>955</v>
      </c>
      <c r="E282" s="2" t="s">
        <v>6569</v>
      </c>
      <c r="F282" s="2">
        <v>2440974</v>
      </c>
      <c r="G282" s="2" t="s">
        <v>431</v>
      </c>
      <c r="H282" s="2" t="s">
        <v>962</v>
      </c>
      <c r="I282" s="2"/>
      <c r="J282" s="2"/>
      <c r="K282" s="2" t="s">
        <v>239</v>
      </c>
      <c r="L282" s="2"/>
      <c r="M282" s="2"/>
      <c r="N282" s="2"/>
      <c r="O282" s="2"/>
      <c r="P282" s="557" t="str">
        <f>CONCATENATE(schedule13[[#This Row],[OD]],"-",schedule13[[#This Row],[ID]],"-",schedule13[[#This Row],[TICKNESS]],"-",schedule13[[#This Row],[GRADE]],"-",schedule13[[#This Row],[FC/NFC]])</f>
        <v>12.7-0-1.6-ERW 1-</v>
      </c>
      <c r="Q282" s="557" t="str">
        <f>_xlfn.CONCAT(schedule13[[#This Row],[Bucket]],"-",schedule13[[#This Row],[LENGTH]]/1000)</f>
        <v>12.7-0-1.6-ERW 1--0.28</v>
      </c>
      <c r="R282" s="557">
        <f>COUNTIF(buckets[CTL Bucket],schedule13[[#This Row],[CTL Bucket]])</f>
        <v>0</v>
      </c>
      <c r="S282" s="1">
        <v>12.7</v>
      </c>
      <c r="T282" s="1">
        <v>12.7</v>
      </c>
      <c r="U282" s="1">
        <v>0</v>
      </c>
      <c r="V282" s="1">
        <v>1.6</v>
      </c>
      <c r="W282" s="27">
        <v>280</v>
      </c>
      <c r="X282" s="27"/>
      <c r="Y282" s="2">
        <v>0</v>
      </c>
      <c r="Z282" s="2"/>
      <c r="AA282" s="4">
        <f t="shared" si="48"/>
        <v>0</v>
      </c>
      <c r="AB282" s="1">
        <f t="shared" si="50"/>
        <v>0</v>
      </c>
      <c r="AC282" s="1">
        <f t="shared" si="52"/>
        <v>0</v>
      </c>
      <c r="AD282" s="1">
        <f t="shared" si="49"/>
        <v>0</v>
      </c>
      <c r="AE282" s="1"/>
      <c r="AF282" s="1">
        <v>0.32942399999999999</v>
      </c>
      <c r="AG282" s="1"/>
      <c r="AH282" s="1">
        <f t="shared" si="47"/>
        <v>-0.32942399999999999</v>
      </c>
      <c r="AI282" s="118" t="e">
        <f t="shared" si="51"/>
        <v>#DIV/0!</v>
      </c>
    </row>
    <row r="283" spans="1:35" hidden="1" x14ac:dyDescent="0.25">
      <c r="A283" s="30">
        <v>201</v>
      </c>
      <c r="B283" s="5" t="s">
        <v>1816</v>
      </c>
      <c r="C283" s="2" t="s">
        <v>291</v>
      </c>
      <c r="D283" s="2" t="s">
        <v>955</v>
      </c>
      <c r="E283" s="2" t="s">
        <v>6569</v>
      </c>
      <c r="F283" s="2">
        <v>1940745</v>
      </c>
      <c r="G283" s="2" t="s">
        <v>2042</v>
      </c>
      <c r="H283" s="2" t="s">
        <v>962</v>
      </c>
      <c r="I283" s="2"/>
      <c r="J283" s="2"/>
      <c r="K283" s="2" t="s">
        <v>239</v>
      </c>
      <c r="L283" s="2"/>
      <c r="M283" s="2"/>
      <c r="N283" s="2"/>
      <c r="O283" s="2"/>
      <c r="P283" s="557" t="str">
        <f>CONCATENATE(schedule13[[#This Row],[OD]],"-",schedule13[[#This Row],[ID]],"-",schedule13[[#This Row],[TICKNESS]],"-",schedule13[[#This Row],[GRADE]],"-",schedule13[[#This Row],[FC/NFC]])</f>
        <v>38.1-0-2-ERW 1-</v>
      </c>
      <c r="Q283" s="557" t="str">
        <f>_xlfn.CONCAT(schedule13[[#This Row],[Bucket]],"-",schedule13[[#This Row],[LENGTH]]/1000)</f>
        <v>38.1-0-2-ERW 1--0.927</v>
      </c>
      <c r="R283" s="557">
        <f>COUNTIF(buckets[CTL Bucket],schedule13[[#This Row],[CTL Bucket]])</f>
        <v>0</v>
      </c>
      <c r="S283" s="1">
        <v>38.1</v>
      </c>
      <c r="T283" s="1">
        <v>38.1</v>
      </c>
      <c r="U283" s="1">
        <v>0</v>
      </c>
      <c r="V283" s="1">
        <v>2</v>
      </c>
      <c r="W283" s="23">
        <v>927</v>
      </c>
      <c r="X283" s="23"/>
      <c r="Y283" s="2">
        <v>0</v>
      </c>
      <c r="Z283" s="2"/>
      <c r="AA283" s="4">
        <f t="shared" si="48"/>
        <v>0</v>
      </c>
      <c r="AB283" s="1">
        <f t="shared" si="50"/>
        <v>0</v>
      </c>
      <c r="AC283" s="1">
        <f t="shared" si="52"/>
        <v>0</v>
      </c>
      <c r="AD283" s="1">
        <f t="shared" si="49"/>
        <v>0</v>
      </c>
      <c r="AE283" s="1"/>
      <c r="AF283" s="1">
        <v>1.232</v>
      </c>
      <c r="AG283" s="1"/>
      <c r="AH283" s="1">
        <f t="shared" si="47"/>
        <v>-1.232</v>
      </c>
      <c r="AI283" s="118" t="e">
        <f t="shared" si="51"/>
        <v>#DIV/0!</v>
      </c>
    </row>
    <row r="284" spans="1:35" hidden="1" x14ac:dyDescent="0.25">
      <c r="A284" s="30">
        <v>204</v>
      </c>
      <c r="B284" s="5" t="s">
        <v>1816</v>
      </c>
      <c r="C284" s="2" t="s">
        <v>291</v>
      </c>
      <c r="D284" s="2" t="s">
        <v>955</v>
      </c>
      <c r="E284" s="2" t="s">
        <v>6569</v>
      </c>
      <c r="F284" s="2">
        <v>1900224</v>
      </c>
      <c r="G284" s="2" t="s">
        <v>1880</v>
      </c>
      <c r="H284" s="2" t="s">
        <v>962</v>
      </c>
      <c r="I284" s="2"/>
      <c r="J284" s="2"/>
      <c r="K284" s="2" t="s">
        <v>239</v>
      </c>
      <c r="L284" s="2"/>
      <c r="M284" s="2"/>
      <c r="N284" s="2"/>
      <c r="O284" s="2"/>
      <c r="P284" s="557" t="str">
        <f>CONCATENATE(schedule13[[#This Row],[OD]],"-",schedule13[[#This Row],[ID]],"-",schedule13[[#This Row],[TICKNESS]],"-",schedule13[[#This Row],[GRADE]],"-",schedule13[[#This Row],[FC/NFC]])</f>
        <v>15.88-0-1.6-ERW 1-</v>
      </c>
      <c r="Q284" s="557" t="str">
        <f>_xlfn.CONCAT(schedule13[[#This Row],[Bucket]],"-",schedule13[[#This Row],[LENGTH]]/1000)</f>
        <v>15.88-0-1.6-ERW 1--6</v>
      </c>
      <c r="R284" s="557">
        <f>COUNTIF(buckets[CTL Bucket],schedule13[[#This Row],[CTL Bucket]])</f>
        <v>0</v>
      </c>
      <c r="S284" s="1">
        <v>15.88</v>
      </c>
      <c r="T284" s="1">
        <v>15.88</v>
      </c>
      <c r="U284" s="1">
        <v>0</v>
      </c>
      <c r="V284" s="1">
        <v>1.6</v>
      </c>
      <c r="W284" s="23">
        <v>6000</v>
      </c>
      <c r="X284" s="23"/>
      <c r="Y284" s="2">
        <v>0</v>
      </c>
      <c r="Z284" s="2"/>
      <c r="AA284" s="4">
        <f t="shared" si="48"/>
        <v>0</v>
      </c>
      <c r="AB284" s="1">
        <f t="shared" si="50"/>
        <v>0</v>
      </c>
      <c r="AC284" s="1">
        <f t="shared" si="52"/>
        <v>0</v>
      </c>
      <c r="AD284" s="1">
        <f t="shared" si="49"/>
        <v>0</v>
      </c>
      <c r="AE284" s="1"/>
      <c r="AF284" s="1"/>
      <c r="AG284" s="1"/>
      <c r="AH284" s="1">
        <f t="shared" si="47"/>
        <v>0</v>
      </c>
      <c r="AI284" s="118" t="e">
        <f t="shared" si="51"/>
        <v>#DIV/0!</v>
      </c>
    </row>
    <row r="285" spans="1:35" hidden="1" x14ac:dyDescent="0.25">
      <c r="A285" s="30">
        <v>206</v>
      </c>
      <c r="B285" s="5" t="s">
        <v>1816</v>
      </c>
      <c r="C285" s="2" t="s">
        <v>291</v>
      </c>
      <c r="D285" s="2" t="s">
        <v>955</v>
      </c>
      <c r="E285" s="2" t="s">
        <v>6569</v>
      </c>
      <c r="F285" s="2">
        <v>508992</v>
      </c>
      <c r="G285" s="2" t="s">
        <v>2020</v>
      </c>
      <c r="H285" s="2" t="s">
        <v>962</v>
      </c>
      <c r="I285" s="2"/>
      <c r="J285" s="2"/>
      <c r="K285" s="2" t="s">
        <v>239</v>
      </c>
      <c r="L285" s="2"/>
      <c r="M285" s="2"/>
      <c r="N285" s="2"/>
      <c r="O285" s="2"/>
      <c r="P285" s="557" t="str">
        <f>CONCATENATE(schedule13[[#This Row],[OD]],"-",schedule13[[#This Row],[ID]],"-",schedule13[[#This Row],[TICKNESS]],"-",schedule13[[#This Row],[GRADE]],"-",schedule13[[#This Row],[FC/NFC]])</f>
        <v>19.05-0-2.3-ERW 1-</v>
      </c>
      <c r="Q285" s="557" t="str">
        <f>_xlfn.CONCAT(schedule13[[#This Row],[Bucket]],"-",schedule13[[#This Row],[LENGTH]]/1000)</f>
        <v>19.05-0-2.3-ERW 1--0.459</v>
      </c>
      <c r="R285" s="557">
        <f>COUNTIF(buckets[CTL Bucket],schedule13[[#This Row],[CTL Bucket]])</f>
        <v>0</v>
      </c>
      <c r="S285" s="1">
        <v>19.05</v>
      </c>
      <c r="T285" s="1">
        <v>19.05</v>
      </c>
      <c r="U285" s="1">
        <v>0</v>
      </c>
      <c r="V285" s="1">
        <v>2.2999999999999998</v>
      </c>
      <c r="W285" s="23">
        <v>459</v>
      </c>
      <c r="X285" s="23"/>
      <c r="Y285" s="2">
        <v>0</v>
      </c>
      <c r="Z285" s="2"/>
      <c r="AA285" s="4">
        <f t="shared" si="48"/>
        <v>0</v>
      </c>
      <c r="AB285" s="1">
        <f t="shared" si="50"/>
        <v>0</v>
      </c>
      <c r="AC285" s="1">
        <f t="shared" si="52"/>
        <v>0</v>
      </c>
      <c r="AD285" s="1">
        <f t="shared" si="49"/>
        <v>0</v>
      </c>
      <c r="AE285" s="1"/>
      <c r="AF285" s="1">
        <v>1.1511800000000001</v>
      </c>
      <c r="AG285" s="1"/>
      <c r="AH285" s="1">
        <f t="shared" si="47"/>
        <v>-1.1511800000000001</v>
      </c>
      <c r="AI285" s="118" t="e">
        <f t="shared" si="51"/>
        <v>#DIV/0!</v>
      </c>
    </row>
    <row r="286" spans="1:35" hidden="1" x14ac:dyDescent="0.25">
      <c r="A286" s="30">
        <v>208</v>
      </c>
      <c r="B286" s="5" t="s">
        <v>1816</v>
      </c>
      <c r="C286" s="2" t="s">
        <v>291</v>
      </c>
      <c r="D286" s="2" t="s">
        <v>955</v>
      </c>
      <c r="E286" s="2" t="s">
        <v>6569</v>
      </c>
      <c r="F286" s="2">
        <v>314118</v>
      </c>
      <c r="G286" s="2" t="s">
        <v>1445</v>
      </c>
      <c r="H286" s="2"/>
      <c r="I286" s="2"/>
      <c r="J286" s="2"/>
      <c r="K286" s="2" t="s">
        <v>239</v>
      </c>
      <c r="L286" s="2"/>
      <c r="M286" s="2"/>
      <c r="N286" s="2"/>
      <c r="O286" s="2"/>
      <c r="P286" s="557" t="str">
        <f>CONCATENATE(schedule13[[#This Row],[OD]],"-",schedule13[[#This Row],[ID]],"-",schedule13[[#This Row],[TICKNESS]],"-",schedule13[[#This Row],[GRADE]],"-",schedule13[[#This Row],[FC/NFC]])</f>
        <v>22.2-0-1.2--</v>
      </c>
      <c r="Q286" s="557" t="str">
        <f>_xlfn.CONCAT(schedule13[[#This Row],[Bucket]],"-",schedule13[[#This Row],[LENGTH]]/1000)</f>
        <v>22.2-0-1.2---0.3</v>
      </c>
      <c r="R286" s="557">
        <f>COUNTIF(buckets[CTL Bucket],schedule13[[#This Row],[CTL Bucket]])</f>
        <v>0</v>
      </c>
      <c r="S286" s="1">
        <v>22.23</v>
      </c>
      <c r="T286" s="1">
        <v>22.2</v>
      </c>
      <c r="U286" s="1">
        <v>0</v>
      </c>
      <c r="V286" s="1">
        <v>1.2</v>
      </c>
      <c r="W286" s="24">
        <v>300</v>
      </c>
      <c r="X286" s="24"/>
      <c r="Y286" s="2">
        <v>0</v>
      </c>
      <c r="Z286" s="2"/>
      <c r="AA286" s="4">
        <f t="shared" si="48"/>
        <v>0</v>
      </c>
      <c r="AB286" s="1">
        <f t="shared" si="50"/>
        <v>0</v>
      </c>
      <c r="AC286" s="1">
        <f t="shared" si="52"/>
        <v>0</v>
      </c>
      <c r="AD286" s="1">
        <f t="shared" si="49"/>
        <v>0</v>
      </c>
      <c r="AE286" s="1"/>
      <c r="AF286" s="1"/>
      <c r="AG286" s="1"/>
      <c r="AH286" s="1">
        <f t="shared" si="47"/>
        <v>0</v>
      </c>
      <c r="AI286" s="118" t="e">
        <f t="shared" si="51"/>
        <v>#DIV/0!</v>
      </c>
    </row>
    <row r="287" spans="1:35" hidden="1" x14ac:dyDescent="0.25">
      <c r="A287" s="30">
        <v>210</v>
      </c>
      <c r="B287" s="5" t="s">
        <v>1872</v>
      </c>
      <c r="C287" s="2" t="s">
        <v>291</v>
      </c>
      <c r="D287" s="2" t="s">
        <v>955</v>
      </c>
      <c r="E287" s="2" t="s">
        <v>6569</v>
      </c>
      <c r="F287" s="2">
        <v>3545491</v>
      </c>
      <c r="G287" s="2" t="s">
        <v>2005</v>
      </c>
      <c r="H287" s="2" t="s">
        <v>357</v>
      </c>
      <c r="I287" s="2"/>
      <c r="J287" s="2" t="s">
        <v>357</v>
      </c>
      <c r="K287" s="2" t="s">
        <v>239</v>
      </c>
      <c r="L287" s="2"/>
      <c r="M287" s="2"/>
      <c r="N287" s="2"/>
      <c r="O287" s="2"/>
      <c r="P287" s="557" t="str">
        <f>CONCATENATE(schedule13[[#This Row],[OD]],"-",schedule13[[#This Row],[ID]],"-",schedule13[[#This Row],[TICKNESS]],"-",schedule13[[#This Row],[GRADE]],"-",schedule13[[#This Row],[FC/NFC]])</f>
        <v>19-12.5-3.25-CEW-CEW</v>
      </c>
      <c r="Q287" s="557" t="str">
        <f>_xlfn.CONCAT(schedule13[[#This Row],[Bucket]],"-",schedule13[[#This Row],[LENGTH]]/1000)</f>
        <v>19-12.5-3.25-CEW-CEW-0.319</v>
      </c>
      <c r="R287" s="557">
        <f>COUNTIF(buckets[CTL Bucket],schedule13[[#This Row],[CTL Bucket]])</f>
        <v>1</v>
      </c>
      <c r="S287" s="1">
        <v>19.05</v>
      </c>
      <c r="T287" s="1">
        <v>19</v>
      </c>
      <c r="U287" s="1">
        <v>12.5</v>
      </c>
      <c r="V287" s="1">
        <v>3.25</v>
      </c>
      <c r="W287" s="24">
        <v>319</v>
      </c>
      <c r="X287" s="24"/>
      <c r="Y287" s="2">
        <v>0</v>
      </c>
      <c r="Z287" s="4"/>
      <c r="AA287" s="4">
        <f t="shared" si="48"/>
        <v>0</v>
      </c>
      <c r="AB287" s="1">
        <f t="shared" si="50"/>
        <v>0</v>
      </c>
      <c r="AC287" s="1">
        <f t="shared" si="52"/>
        <v>0</v>
      </c>
      <c r="AD287" s="1">
        <f t="shared" si="49"/>
        <v>0</v>
      </c>
      <c r="AE287" s="1"/>
      <c r="AF287" s="1">
        <v>6.3770000000000007E-2</v>
      </c>
      <c r="AG287" s="1"/>
      <c r="AH287" s="1">
        <f t="shared" si="47"/>
        <v>-6.3770000000000007E-2</v>
      </c>
      <c r="AI287" s="118" t="e">
        <f t="shared" si="51"/>
        <v>#DIV/0!</v>
      </c>
    </row>
    <row r="288" spans="1:35" hidden="1" x14ac:dyDescent="0.25">
      <c r="A288" s="30">
        <v>211</v>
      </c>
      <c r="B288" s="5" t="s">
        <v>1872</v>
      </c>
      <c r="C288" s="2" t="s">
        <v>291</v>
      </c>
      <c r="D288" s="2" t="s">
        <v>955</v>
      </c>
      <c r="E288" s="2" t="s">
        <v>6569</v>
      </c>
      <c r="F288" s="2"/>
      <c r="G288" s="2"/>
      <c r="H288" s="2" t="s">
        <v>357</v>
      </c>
      <c r="I288" s="2"/>
      <c r="J288" s="2" t="s">
        <v>357</v>
      </c>
      <c r="K288" s="2" t="s">
        <v>239</v>
      </c>
      <c r="L288" s="2"/>
      <c r="M288" s="2"/>
      <c r="N288" s="2"/>
      <c r="O288" s="2"/>
      <c r="P288" s="557" t="str">
        <f>CONCATENATE(schedule13[[#This Row],[OD]],"-",schedule13[[#This Row],[ID]],"-",schedule13[[#This Row],[TICKNESS]],"-",schedule13[[#This Row],[GRADE]],"-",schedule13[[#This Row],[FC/NFC]])</f>
        <v>19-12.5-3.25-CEW-CEW</v>
      </c>
      <c r="Q288" s="557" t="str">
        <f>_xlfn.CONCAT(schedule13[[#This Row],[Bucket]],"-",schedule13[[#This Row],[LENGTH]]/1000)</f>
        <v>19-12.5-3.25-CEW-CEW-0.2</v>
      </c>
      <c r="R288" s="557">
        <f>COUNTIF(buckets[CTL Bucket],schedule13[[#This Row],[CTL Bucket]])</f>
        <v>0</v>
      </c>
      <c r="S288" s="1">
        <v>19.05</v>
      </c>
      <c r="T288" s="1">
        <v>19</v>
      </c>
      <c r="U288" s="1">
        <v>12.5</v>
      </c>
      <c r="V288" s="1">
        <v>3.25</v>
      </c>
      <c r="W288" s="24">
        <v>200</v>
      </c>
      <c r="X288" s="24"/>
      <c r="Y288" s="2">
        <v>0</v>
      </c>
      <c r="Z288" s="4"/>
      <c r="AA288" s="4">
        <f t="shared" si="48"/>
        <v>0</v>
      </c>
      <c r="AB288" s="1">
        <f t="shared" si="50"/>
        <v>0</v>
      </c>
      <c r="AC288" s="1">
        <f t="shared" si="52"/>
        <v>0</v>
      </c>
      <c r="AD288" s="1">
        <f t="shared" si="49"/>
        <v>0</v>
      </c>
      <c r="AE288" s="1"/>
      <c r="AF288" s="1"/>
      <c r="AG288" s="1"/>
      <c r="AH288" s="1">
        <f t="shared" si="47"/>
        <v>0</v>
      </c>
      <c r="AI288" s="118" t="e">
        <f t="shared" si="51"/>
        <v>#DIV/0!</v>
      </c>
    </row>
    <row r="289" spans="1:36" hidden="1" x14ac:dyDescent="0.25">
      <c r="A289" s="30">
        <v>213</v>
      </c>
      <c r="B289" s="5" t="s">
        <v>1872</v>
      </c>
      <c r="C289" s="2" t="s">
        <v>291</v>
      </c>
      <c r="D289" s="2" t="s">
        <v>955</v>
      </c>
      <c r="E289" s="2" t="s">
        <v>6569</v>
      </c>
      <c r="F289" s="2">
        <v>503108</v>
      </c>
      <c r="G289" s="2" t="s">
        <v>2006</v>
      </c>
      <c r="H289" s="2" t="s">
        <v>357</v>
      </c>
      <c r="I289" s="2"/>
      <c r="J289" s="2" t="s">
        <v>357</v>
      </c>
      <c r="K289" s="2" t="s">
        <v>239</v>
      </c>
      <c r="L289" s="2"/>
      <c r="M289" s="2"/>
      <c r="N289" s="2"/>
      <c r="O289" s="2"/>
      <c r="P289" s="557" t="str">
        <f>CONCATENATE(schedule13[[#This Row],[OD]],"-",schedule13[[#This Row],[ID]],"-",schedule13[[#This Row],[TICKNESS]],"-",schedule13[[#This Row],[GRADE]],"-",schedule13[[#This Row],[FC/NFC]])</f>
        <v>30.15-25.5-2.32-CEW-CEW</v>
      </c>
      <c r="Q289" s="557" t="str">
        <f>_xlfn.CONCAT(schedule13[[#This Row],[Bucket]],"-",schedule13[[#This Row],[LENGTH]]/1000)</f>
        <v>30.15-25.5-2.32-CEW-CEW-0.485</v>
      </c>
      <c r="R289" s="557">
        <f>COUNTIF(buckets[CTL Bucket],schedule13[[#This Row],[CTL Bucket]])</f>
        <v>0</v>
      </c>
      <c r="S289" s="1">
        <v>25.5</v>
      </c>
      <c r="T289" s="1">
        <v>30.15</v>
      </c>
      <c r="U289" s="1">
        <v>25.5</v>
      </c>
      <c r="V289" s="1">
        <v>2.3199999999999998</v>
      </c>
      <c r="W289" s="24">
        <v>485</v>
      </c>
      <c r="X289" s="24"/>
      <c r="Y289" s="2">
        <v>0</v>
      </c>
      <c r="Z289" s="4"/>
      <c r="AA289" s="4">
        <f t="shared" si="48"/>
        <v>0</v>
      </c>
      <c r="AB289" s="1">
        <f t="shared" si="50"/>
        <v>0</v>
      </c>
      <c r="AC289" s="1">
        <f t="shared" si="52"/>
        <v>0</v>
      </c>
      <c r="AD289" s="1">
        <f t="shared" si="49"/>
        <v>0</v>
      </c>
      <c r="AE289" s="1"/>
      <c r="AF289" s="1"/>
      <c r="AG289" s="1"/>
      <c r="AH289" s="1">
        <f t="shared" si="47"/>
        <v>0</v>
      </c>
      <c r="AI289" s="118" t="e">
        <f t="shared" si="51"/>
        <v>#DIV/0!</v>
      </c>
    </row>
    <row r="290" spans="1:36" hidden="1" x14ac:dyDescent="0.25">
      <c r="A290" s="30">
        <v>214</v>
      </c>
      <c r="B290" s="5" t="s">
        <v>1816</v>
      </c>
      <c r="C290" s="2" t="s">
        <v>291</v>
      </c>
      <c r="D290" s="2" t="s">
        <v>955</v>
      </c>
      <c r="E290" s="2" t="s">
        <v>6569</v>
      </c>
      <c r="F290" s="2">
        <v>1940829</v>
      </c>
      <c r="G290" s="2" t="s">
        <v>1956</v>
      </c>
      <c r="H290" s="2" t="s">
        <v>962</v>
      </c>
      <c r="I290" s="2"/>
      <c r="J290" s="2"/>
      <c r="K290" s="2" t="s">
        <v>239</v>
      </c>
      <c r="L290" s="2"/>
      <c r="M290" s="2"/>
      <c r="N290" s="2"/>
      <c r="O290" s="2"/>
      <c r="P290" s="557" t="str">
        <f>CONCATENATE(schedule13[[#This Row],[OD]],"-",schedule13[[#This Row],[ID]],"-",schedule13[[#This Row],[TICKNESS]],"-",schedule13[[#This Row],[GRADE]],"-",schedule13[[#This Row],[FC/NFC]])</f>
        <v>40-30-1.6-ERW 1-</v>
      </c>
      <c r="Q290" s="557" t="str">
        <f>_xlfn.CONCAT(schedule13[[#This Row],[Bucket]],"-",schedule13[[#This Row],[LENGTH]]/1000)</f>
        <v>40-30-1.6-ERW 1--0.314</v>
      </c>
      <c r="R290" s="557">
        <f>COUNTIF(buckets[CTL Bucket],schedule13[[#This Row],[CTL Bucket]])</f>
        <v>0</v>
      </c>
      <c r="S290" s="1">
        <v>44.45</v>
      </c>
      <c r="T290" s="1">
        <v>40</v>
      </c>
      <c r="U290" s="1">
        <v>30</v>
      </c>
      <c r="V290" s="1">
        <v>1.6</v>
      </c>
      <c r="W290" s="24">
        <v>314</v>
      </c>
      <c r="X290" s="24"/>
      <c r="Y290" s="2">
        <v>0</v>
      </c>
      <c r="Z290" s="4"/>
      <c r="AA290" s="4">
        <f t="shared" si="48"/>
        <v>0</v>
      </c>
      <c r="AB290" s="1">
        <f t="shared" si="50"/>
        <v>0</v>
      </c>
      <c r="AC290" s="1">
        <f t="shared" si="52"/>
        <v>0</v>
      </c>
      <c r="AD290" s="1">
        <f t="shared" si="49"/>
        <v>0</v>
      </c>
      <c r="AE290" s="1"/>
      <c r="AF290" s="1"/>
      <c r="AG290" s="1"/>
      <c r="AH290" s="1">
        <f t="shared" si="47"/>
        <v>0</v>
      </c>
      <c r="AI290" s="118" t="e">
        <f t="shared" si="51"/>
        <v>#DIV/0!</v>
      </c>
    </row>
    <row r="291" spans="1:36" hidden="1" x14ac:dyDescent="0.25">
      <c r="A291" s="30">
        <v>215</v>
      </c>
      <c r="B291" s="5" t="s">
        <v>1816</v>
      </c>
      <c r="C291" s="2" t="s">
        <v>291</v>
      </c>
      <c r="D291" s="2" t="s">
        <v>955</v>
      </c>
      <c r="E291" s="2" t="s">
        <v>6569</v>
      </c>
      <c r="F291" s="2">
        <v>1531609</v>
      </c>
      <c r="G291" s="2" t="s">
        <v>2051</v>
      </c>
      <c r="H291" s="2"/>
      <c r="I291" s="2"/>
      <c r="J291" s="2"/>
      <c r="K291" s="2" t="s">
        <v>239</v>
      </c>
      <c r="L291" s="2"/>
      <c r="M291" s="2"/>
      <c r="N291" s="2"/>
      <c r="O291" s="2"/>
      <c r="P291" s="557" t="str">
        <f>CONCATENATE(schedule13[[#This Row],[OD]],"-",schedule13[[#This Row],[ID]],"-",schedule13[[#This Row],[TICKNESS]],"-",schedule13[[#This Row],[GRADE]],"-",schedule13[[#This Row],[FC/NFC]])</f>
        <v>25.4-0-2--</v>
      </c>
      <c r="Q291" s="557" t="str">
        <f>_xlfn.CONCAT(schedule13[[#This Row],[Bucket]],"-",schedule13[[#This Row],[LENGTH]]/1000)</f>
        <v>25.4-0-2---0.6</v>
      </c>
      <c r="R291" s="557">
        <f>COUNTIF(buckets[CTL Bucket],schedule13[[#This Row],[CTL Bucket]])</f>
        <v>0</v>
      </c>
      <c r="S291" s="1">
        <v>25.4</v>
      </c>
      <c r="T291" s="1">
        <v>25.4</v>
      </c>
      <c r="U291" s="1">
        <v>0</v>
      </c>
      <c r="V291" s="1">
        <v>2</v>
      </c>
      <c r="W291" s="24">
        <v>600</v>
      </c>
      <c r="X291" s="24"/>
      <c r="Y291" s="2">
        <v>0</v>
      </c>
      <c r="Z291" s="4"/>
      <c r="AA291" s="4">
        <f t="shared" si="48"/>
        <v>0</v>
      </c>
      <c r="AB291" s="1">
        <f t="shared" si="50"/>
        <v>0</v>
      </c>
      <c r="AC291" s="1">
        <f t="shared" si="52"/>
        <v>0</v>
      </c>
      <c r="AD291" s="1">
        <f t="shared" si="49"/>
        <v>0</v>
      </c>
      <c r="AE291" s="1"/>
      <c r="AF291" s="1">
        <v>2.9849999999999999</v>
      </c>
      <c r="AG291" s="1"/>
      <c r="AH291" s="1">
        <f t="shared" si="47"/>
        <v>-2.9849999999999999</v>
      </c>
      <c r="AI291" s="118" t="e">
        <f t="shared" si="51"/>
        <v>#DIV/0!</v>
      </c>
    </row>
    <row r="292" spans="1:36" hidden="1" x14ac:dyDescent="0.25">
      <c r="A292" s="30">
        <v>216</v>
      </c>
      <c r="B292" s="5" t="s">
        <v>1816</v>
      </c>
      <c r="C292" s="2" t="s">
        <v>291</v>
      </c>
      <c r="D292" s="2" t="s">
        <v>955</v>
      </c>
      <c r="E292" s="2" t="s">
        <v>6569</v>
      </c>
      <c r="F292" s="2">
        <v>3605867</v>
      </c>
      <c r="G292" s="2" t="s">
        <v>2044</v>
      </c>
      <c r="H292" s="2" t="s">
        <v>962</v>
      </c>
      <c r="I292" s="2"/>
      <c r="J292" s="2"/>
      <c r="K292" s="2" t="s">
        <v>239</v>
      </c>
      <c r="L292" s="2"/>
      <c r="M292" s="2"/>
      <c r="N292" s="2"/>
      <c r="O292" s="2"/>
      <c r="P292" s="557" t="str">
        <f>CONCATENATE(schedule13[[#This Row],[OD]],"-",schedule13[[#This Row],[ID]],"-",schedule13[[#This Row],[TICKNESS]],"-",schedule13[[#This Row],[GRADE]],"-",schedule13[[#This Row],[FC/NFC]])</f>
        <v>41.28-0-3.2-ERW 1-</v>
      </c>
      <c r="Q292" s="557" t="str">
        <f>_xlfn.CONCAT(schedule13[[#This Row],[Bucket]],"-",schedule13[[#This Row],[LENGTH]]/1000)</f>
        <v>41.28-0-3.2-ERW 1--0.235</v>
      </c>
      <c r="R292" s="557">
        <f>COUNTIF(buckets[CTL Bucket],schedule13[[#This Row],[CTL Bucket]])</f>
        <v>0</v>
      </c>
      <c r="S292" s="1">
        <v>41.28</v>
      </c>
      <c r="T292" s="1">
        <v>41.28</v>
      </c>
      <c r="U292" s="1">
        <v>0</v>
      </c>
      <c r="V292" s="1">
        <v>3.2</v>
      </c>
      <c r="W292" s="24">
        <v>235</v>
      </c>
      <c r="X292" s="24"/>
      <c r="Y292" s="2">
        <v>0</v>
      </c>
      <c r="Z292" s="4"/>
      <c r="AA292" s="4">
        <f t="shared" si="48"/>
        <v>0</v>
      </c>
      <c r="AB292" s="1">
        <f t="shared" si="50"/>
        <v>0</v>
      </c>
      <c r="AC292" s="1">
        <f t="shared" si="52"/>
        <v>0</v>
      </c>
      <c r="AD292" s="1">
        <f t="shared" si="49"/>
        <v>0</v>
      </c>
      <c r="AE292" s="1"/>
      <c r="AF292" s="1"/>
      <c r="AG292" s="1"/>
      <c r="AH292" s="1">
        <f t="shared" si="47"/>
        <v>0</v>
      </c>
      <c r="AI292" s="118" t="e">
        <f t="shared" si="51"/>
        <v>#DIV/0!</v>
      </c>
    </row>
    <row r="293" spans="1:36" hidden="1" x14ac:dyDescent="0.25">
      <c r="A293" s="30">
        <v>217</v>
      </c>
      <c r="B293" s="5" t="s">
        <v>1872</v>
      </c>
      <c r="C293" s="2" t="s">
        <v>291</v>
      </c>
      <c r="D293" s="2" t="s">
        <v>955</v>
      </c>
      <c r="E293" s="2" t="s">
        <v>6569</v>
      </c>
      <c r="F293" s="2">
        <v>3662752</v>
      </c>
      <c r="G293" s="2" t="s">
        <v>2055</v>
      </c>
      <c r="H293" s="2"/>
      <c r="I293" s="2"/>
      <c r="J293" s="2"/>
      <c r="K293" s="2" t="s">
        <v>239</v>
      </c>
      <c r="L293" s="2"/>
      <c r="M293" s="2"/>
      <c r="N293" s="2"/>
      <c r="O293" s="2"/>
      <c r="P293" s="557" t="str">
        <f>CONCATENATE(schedule13[[#This Row],[OD]],"-",schedule13[[#This Row],[ID]],"-",schedule13[[#This Row],[TICKNESS]],"-",schedule13[[#This Row],[GRADE]],"-",schedule13[[#This Row],[FC/NFC]])</f>
        <v>60.3-0-2--</v>
      </c>
      <c r="Q293" s="557" t="str">
        <f>_xlfn.CONCAT(schedule13[[#This Row],[Bucket]],"-",schedule13[[#This Row],[LENGTH]]/1000)</f>
        <v>60.3-0-2---0.493</v>
      </c>
      <c r="R293" s="557">
        <f>COUNTIF(buckets[CTL Bucket],schedule13[[#This Row],[CTL Bucket]])</f>
        <v>0</v>
      </c>
      <c r="S293" s="1">
        <v>60.3</v>
      </c>
      <c r="T293" s="1">
        <v>60.3</v>
      </c>
      <c r="U293" s="1">
        <v>0</v>
      </c>
      <c r="V293" s="1">
        <v>2</v>
      </c>
      <c r="W293" s="24">
        <v>493</v>
      </c>
      <c r="X293" s="24"/>
      <c r="Y293" s="2">
        <v>0</v>
      </c>
      <c r="Z293" s="4"/>
      <c r="AA293" s="4">
        <f t="shared" si="48"/>
        <v>0</v>
      </c>
      <c r="AB293" s="1">
        <f t="shared" si="50"/>
        <v>0</v>
      </c>
      <c r="AC293" s="1">
        <f t="shared" si="52"/>
        <v>0</v>
      </c>
      <c r="AD293" s="1">
        <f t="shared" si="49"/>
        <v>0</v>
      </c>
      <c r="AE293" s="1"/>
      <c r="AF293" s="1"/>
      <c r="AG293" s="1"/>
      <c r="AH293" s="1">
        <f t="shared" si="47"/>
        <v>0</v>
      </c>
      <c r="AI293" s="118" t="e">
        <f t="shared" si="51"/>
        <v>#DIV/0!</v>
      </c>
    </row>
    <row r="294" spans="1:36" hidden="1" x14ac:dyDescent="0.25">
      <c r="A294" s="30">
        <v>220</v>
      </c>
      <c r="B294" s="5" t="s">
        <v>1816</v>
      </c>
      <c r="C294" s="2" t="s">
        <v>291</v>
      </c>
      <c r="D294" s="2" t="s">
        <v>955</v>
      </c>
      <c r="E294" s="2" t="s">
        <v>6569</v>
      </c>
      <c r="F294" s="2" t="s">
        <v>1878</v>
      </c>
      <c r="G294" s="2"/>
      <c r="H294" s="2"/>
      <c r="I294" s="2"/>
      <c r="J294" s="2"/>
      <c r="K294" s="2" t="s">
        <v>239</v>
      </c>
      <c r="L294" s="2"/>
      <c r="M294" s="2"/>
      <c r="N294" s="2"/>
      <c r="O294" s="2"/>
      <c r="P294" s="557" t="str">
        <f>CONCATENATE(schedule13[[#This Row],[OD]],"-",schedule13[[#This Row],[ID]],"-",schedule13[[#This Row],[TICKNESS]],"-",schedule13[[#This Row],[GRADE]],"-",schedule13[[#This Row],[FC/NFC]])</f>
        <v>57.15-0-2.5--</v>
      </c>
      <c r="Q294" s="557" t="str">
        <f>_xlfn.CONCAT(schedule13[[#This Row],[Bucket]],"-",schedule13[[#This Row],[LENGTH]]/1000)</f>
        <v>57.15-0-2.5---0.376</v>
      </c>
      <c r="R294" s="557">
        <f>COUNTIF(buckets[CTL Bucket],schedule13[[#This Row],[CTL Bucket]])</f>
        <v>0</v>
      </c>
      <c r="S294" s="1">
        <v>57.15</v>
      </c>
      <c r="T294" s="1">
        <v>57.15</v>
      </c>
      <c r="U294" s="1">
        <v>0</v>
      </c>
      <c r="V294" s="1">
        <v>2.5</v>
      </c>
      <c r="W294" s="24">
        <v>376</v>
      </c>
      <c r="X294" s="24"/>
      <c r="Y294" s="2">
        <v>0</v>
      </c>
      <c r="Z294" s="4"/>
      <c r="AA294" s="4">
        <f t="shared" si="48"/>
        <v>0</v>
      </c>
      <c r="AB294" s="1">
        <f t="shared" si="50"/>
        <v>0</v>
      </c>
      <c r="AC294" s="1">
        <f t="shared" si="52"/>
        <v>0</v>
      </c>
      <c r="AD294" s="1">
        <f t="shared" si="49"/>
        <v>0</v>
      </c>
      <c r="AE294" s="1"/>
      <c r="AF294" s="1">
        <v>5.1419999999999995</v>
      </c>
      <c r="AG294" s="1"/>
      <c r="AH294" s="1">
        <f t="shared" si="47"/>
        <v>-5.1419999999999995</v>
      </c>
      <c r="AI294" s="118" t="e">
        <f t="shared" si="51"/>
        <v>#DIV/0!</v>
      </c>
    </row>
    <row r="295" spans="1:36" hidden="1" x14ac:dyDescent="0.25">
      <c r="A295" s="30">
        <v>221</v>
      </c>
      <c r="B295" s="5" t="s">
        <v>1816</v>
      </c>
      <c r="C295" s="2" t="s">
        <v>291</v>
      </c>
      <c r="D295" s="2" t="s">
        <v>955</v>
      </c>
      <c r="E295" s="2" t="s">
        <v>6569</v>
      </c>
      <c r="F295" s="2" t="s">
        <v>2038</v>
      </c>
      <c r="G295" s="2"/>
      <c r="H295" s="2"/>
      <c r="I295" s="2"/>
      <c r="J295" s="2"/>
      <c r="K295" s="2" t="s">
        <v>239</v>
      </c>
      <c r="L295" s="2"/>
      <c r="M295" s="2"/>
      <c r="N295" s="2"/>
      <c r="O295" s="2"/>
      <c r="P295" s="557" t="str">
        <f>CONCATENATE(schedule13[[#This Row],[OD]],"-",schedule13[[#This Row],[ID]],"-",schedule13[[#This Row],[TICKNESS]],"-",schedule13[[#This Row],[GRADE]],"-",schedule13[[#This Row],[FC/NFC]])</f>
        <v>25.4-0-2--</v>
      </c>
      <c r="Q295" s="557" t="str">
        <f>_xlfn.CONCAT(schedule13[[#This Row],[Bucket]],"-",schedule13[[#This Row],[LENGTH]]/1000)</f>
        <v>25.4-0-2---0.66</v>
      </c>
      <c r="R295" s="557">
        <f>COUNTIF(buckets[CTL Bucket],schedule13[[#This Row],[CTL Bucket]])</f>
        <v>0</v>
      </c>
      <c r="S295" s="1">
        <v>25.4</v>
      </c>
      <c r="T295" s="1">
        <v>25.4</v>
      </c>
      <c r="U295" s="1">
        <v>0</v>
      </c>
      <c r="V295" s="1">
        <v>2</v>
      </c>
      <c r="W295" s="24">
        <v>660</v>
      </c>
      <c r="X295" s="24"/>
      <c r="Y295" s="2">
        <v>0</v>
      </c>
      <c r="Z295" s="4"/>
      <c r="AA295" s="4">
        <f t="shared" si="48"/>
        <v>0</v>
      </c>
      <c r="AB295" s="1">
        <f t="shared" si="50"/>
        <v>0</v>
      </c>
      <c r="AC295" s="1">
        <f t="shared" si="52"/>
        <v>0</v>
      </c>
      <c r="AD295" s="1">
        <f t="shared" si="49"/>
        <v>0</v>
      </c>
      <c r="AE295" s="1"/>
      <c r="AF295" s="1"/>
      <c r="AG295" s="1"/>
      <c r="AH295" s="1">
        <f t="shared" si="47"/>
        <v>0</v>
      </c>
      <c r="AI295" s="118" t="e">
        <f t="shared" si="51"/>
        <v>#DIV/0!</v>
      </c>
    </row>
    <row r="296" spans="1:36" hidden="1" x14ac:dyDescent="0.25">
      <c r="A296" s="30">
        <v>222</v>
      </c>
      <c r="B296" s="5" t="s">
        <v>1816</v>
      </c>
      <c r="C296" s="2" t="s">
        <v>291</v>
      </c>
      <c r="D296" s="2" t="s">
        <v>955</v>
      </c>
      <c r="E296" s="2" t="s">
        <v>6569</v>
      </c>
      <c r="F296" s="2" t="s">
        <v>2038</v>
      </c>
      <c r="G296" s="2"/>
      <c r="H296" s="2"/>
      <c r="I296" s="2"/>
      <c r="J296" s="2"/>
      <c r="K296" s="2" t="s">
        <v>239</v>
      </c>
      <c r="L296" s="2"/>
      <c r="M296" s="2"/>
      <c r="N296" s="2"/>
      <c r="O296" s="2"/>
      <c r="P296" s="557" t="str">
        <f>CONCATENATE(schedule13[[#This Row],[OD]],"-",schedule13[[#This Row],[ID]],"-",schedule13[[#This Row],[TICKNESS]],"-",schedule13[[#This Row],[GRADE]],"-",schedule13[[#This Row],[FC/NFC]])</f>
        <v>25.4-0-2--</v>
      </c>
      <c r="Q296" s="557" t="str">
        <f>_xlfn.CONCAT(schedule13[[#This Row],[Bucket]],"-",schedule13[[#This Row],[LENGTH]]/1000)</f>
        <v>25.4-0-2---0.567</v>
      </c>
      <c r="R296" s="557">
        <f>COUNTIF(buckets[CTL Bucket],schedule13[[#This Row],[CTL Bucket]])</f>
        <v>0</v>
      </c>
      <c r="S296" s="1">
        <v>25.4</v>
      </c>
      <c r="T296" s="1">
        <v>25.4</v>
      </c>
      <c r="U296" s="1">
        <v>0</v>
      </c>
      <c r="V296" s="1">
        <v>2</v>
      </c>
      <c r="W296" s="24">
        <v>567</v>
      </c>
      <c r="X296" s="24"/>
      <c r="Y296" s="2">
        <v>0</v>
      </c>
      <c r="Z296" s="4"/>
      <c r="AA296" s="4">
        <f t="shared" si="48"/>
        <v>0</v>
      </c>
      <c r="AB296" s="1">
        <f t="shared" si="50"/>
        <v>0</v>
      </c>
      <c r="AC296" s="1">
        <f t="shared" si="52"/>
        <v>0</v>
      </c>
      <c r="AD296" s="1">
        <f t="shared" si="49"/>
        <v>0</v>
      </c>
      <c r="AE296" s="1"/>
      <c r="AF296" s="1"/>
      <c r="AG296" s="1"/>
      <c r="AH296" s="1"/>
      <c r="AI296" s="118"/>
    </row>
    <row r="297" spans="1:36" hidden="1" x14ac:dyDescent="0.25">
      <c r="A297" s="30">
        <v>223</v>
      </c>
      <c r="B297" s="5" t="s">
        <v>1816</v>
      </c>
      <c r="C297" s="2" t="s">
        <v>291</v>
      </c>
      <c r="D297" s="2" t="s">
        <v>955</v>
      </c>
      <c r="E297" s="2" t="s">
        <v>6569</v>
      </c>
      <c r="F297" s="2">
        <v>1190412</v>
      </c>
      <c r="G297" s="2" t="s">
        <v>2052</v>
      </c>
      <c r="H297" s="2"/>
      <c r="I297" s="2"/>
      <c r="J297" s="2"/>
      <c r="K297" s="2" t="s">
        <v>239</v>
      </c>
      <c r="L297" s="2"/>
      <c r="M297" s="2"/>
      <c r="N297" s="2"/>
      <c r="O297" s="2"/>
      <c r="P297" s="557" t="str">
        <f>CONCATENATE(schedule13[[#This Row],[OD]],"-",schedule13[[#This Row],[ID]],"-",schedule13[[#This Row],[TICKNESS]],"-",schedule13[[#This Row],[GRADE]],"-",schedule13[[#This Row],[FC/NFC]])</f>
        <v>25.4-0-2--</v>
      </c>
      <c r="Q297" s="557" t="str">
        <f>_xlfn.CONCAT(schedule13[[#This Row],[Bucket]],"-",schedule13[[#This Row],[LENGTH]]/1000)</f>
        <v>25.4-0-2---0.657</v>
      </c>
      <c r="R297" s="557">
        <f>COUNTIF(buckets[CTL Bucket],schedule13[[#This Row],[CTL Bucket]])</f>
        <v>0</v>
      </c>
      <c r="S297" s="1">
        <v>25.4</v>
      </c>
      <c r="T297" s="1">
        <v>25.4</v>
      </c>
      <c r="U297" s="1">
        <v>0</v>
      </c>
      <c r="V297" s="1">
        <v>2</v>
      </c>
      <c r="W297" s="24">
        <v>657</v>
      </c>
      <c r="X297" s="24"/>
      <c r="Y297" s="2">
        <v>0</v>
      </c>
      <c r="Z297" s="4"/>
      <c r="AA297" s="4">
        <f t="shared" si="48"/>
        <v>0</v>
      </c>
      <c r="AB297" s="1">
        <f t="shared" si="50"/>
        <v>0</v>
      </c>
      <c r="AC297" s="1">
        <f t="shared" si="52"/>
        <v>0</v>
      </c>
      <c r="AD297" s="1">
        <f t="shared" si="49"/>
        <v>0</v>
      </c>
      <c r="AE297" s="1"/>
      <c r="AF297" s="1"/>
      <c r="AG297" s="1"/>
      <c r="AH297" s="1"/>
      <c r="AI297" s="118"/>
    </row>
    <row r="298" spans="1:36" hidden="1" x14ac:dyDescent="0.25">
      <c r="A298" s="30">
        <v>224</v>
      </c>
      <c r="B298" s="5" t="s">
        <v>1816</v>
      </c>
      <c r="C298" s="2" t="s">
        <v>291</v>
      </c>
      <c r="D298" s="2" t="s">
        <v>955</v>
      </c>
      <c r="E298" s="2" t="s">
        <v>6569</v>
      </c>
      <c r="F298" s="2">
        <v>1268694</v>
      </c>
      <c r="G298" s="2" t="s">
        <v>1423</v>
      </c>
      <c r="H298" s="2" t="s">
        <v>962</v>
      </c>
      <c r="I298" s="2"/>
      <c r="J298" s="2"/>
      <c r="K298" s="2" t="s">
        <v>239</v>
      </c>
      <c r="L298" s="2"/>
      <c r="M298" s="2"/>
      <c r="N298" s="2"/>
      <c r="O298" s="2"/>
      <c r="P298" s="557" t="str">
        <f>CONCATENATE(schedule13[[#This Row],[OD]],"-",schedule13[[#This Row],[ID]],"-",schedule13[[#This Row],[TICKNESS]],"-",schedule13[[#This Row],[GRADE]],"-",schedule13[[#This Row],[FC/NFC]])</f>
        <v>19.05-0-2.3-ERW 1-</v>
      </c>
      <c r="Q298" s="557" t="str">
        <f>_xlfn.CONCAT(schedule13[[#This Row],[Bucket]],"-",schedule13[[#This Row],[LENGTH]]/1000)</f>
        <v>19.05-0-2.3-ERW 1--7</v>
      </c>
      <c r="R298" s="557">
        <f>COUNTIF(buckets[CTL Bucket],schedule13[[#This Row],[CTL Bucket]])</f>
        <v>0</v>
      </c>
      <c r="S298" s="1">
        <v>19.05</v>
      </c>
      <c r="T298" s="1">
        <v>19.05</v>
      </c>
      <c r="U298" s="1">
        <v>0</v>
      </c>
      <c r="V298" s="1">
        <v>2.2999999999999998</v>
      </c>
      <c r="W298" s="24">
        <v>7000</v>
      </c>
      <c r="X298" s="24"/>
      <c r="Y298" s="2">
        <v>0</v>
      </c>
      <c r="Z298" s="4"/>
      <c r="AA298" s="4">
        <f t="shared" si="48"/>
        <v>0</v>
      </c>
      <c r="AB298" s="1">
        <f t="shared" si="50"/>
        <v>0</v>
      </c>
      <c r="AC298" s="1">
        <f t="shared" si="52"/>
        <v>0</v>
      </c>
      <c r="AD298" s="1">
        <f t="shared" si="49"/>
        <v>0</v>
      </c>
      <c r="AE298" s="1"/>
      <c r="AF298" s="1"/>
      <c r="AG298" s="1"/>
      <c r="AH298" s="1">
        <f t="shared" ref="AH298:AH313" si="53">AB297-AF298</f>
        <v>0</v>
      </c>
      <c r="AI298" s="118" t="e">
        <f t="shared" ref="AI298:AI313" si="54">(AC298+AF298)/AB297</f>
        <v>#DIV/0!</v>
      </c>
    </row>
    <row r="299" spans="1:36" hidden="1" x14ac:dyDescent="0.25">
      <c r="A299" s="30">
        <v>226</v>
      </c>
      <c r="B299" s="5" t="s">
        <v>1816</v>
      </c>
      <c r="C299" s="2" t="s">
        <v>291</v>
      </c>
      <c r="D299" s="2" t="s">
        <v>955</v>
      </c>
      <c r="E299" s="2" t="s">
        <v>6569</v>
      </c>
      <c r="F299" s="2">
        <v>437150</v>
      </c>
      <c r="G299" s="2" t="s">
        <v>2022</v>
      </c>
      <c r="H299" s="2" t="s">
        <v>962</v>
      </c>
      <c r="I299" s="2"/>
      <c r="J299" s="2"/>
      <c r="K299" s="2" t="s">
        <v>239</v>
      </c>
      <c r="L299" s="2"/>
      <c r="M299" s="2"/>
      <c r="N299" s="2"/>
      <c r="O299" s="2"/>
      <c r="P299" s="557" t="str">
        <f>CONCATENATE(schedule13[[#This Row],[OD]],"-",schedule13[[#This Row],[ID]],"-",schedule13[[#This Row],[TICKNESS]],"-",schedule13[[#This Row],[GRADE]],"-",schedule13[[#This Row],[FC/NFC]])</f>
        <v>19.05-0-2.3-ERW 1-</v>
      </c>
      <c r="Q299" s="557" t="str">
        <f>_xlfn.CONCAT(schedule13[[#This Row],[Bucket]],"-",schedule13[[#This Row],[LENGTH]]/1000)</f>
        <v>19.05-0-2.3-ERW 1--0.555</v>
      </c>
      <c r="R299" s="557">
        <f>COUNTIF(buckets[CTL Bucket],schedule13[[#This Row],[CTL Bucket]])</f>
        <v>0</v>
      </c>
      <c r="S299" s="1">
        <v>19.05</v>
      </c>
      <c r="T299" s="1">
        <v>19.05</v>
      </c>
      <c r="U299" s="1">
        <v>0</v>
      </c>
      <c r="V299" s="1">
        <v>2.2999999999999998</v>
      </c>
      <c r="W299" s="24">
        <v>555</v>
      </c>
      <c r="X299" s="24"/>
      <c r="Y299" s="2">
        <v>0</v>
      </c>
      <c r="Z299" s="4"/>
      <c r="AA299" s="4">
        <f t="shared" si="48"/>
        <v>0</v>
      </c>
      <c r="AB299" s="1">
        <f t="shared" si="50"/>
        <v>0</v>
      </c>
      <c r="AC299" s="1">
        <f t="shared" si="52"/>
        <v>0</v>
      </c>
      <c r="AD299" s="1">
        <f t="shared" si="49"/>
        <v>0</v>
      </c>
      <c r="AE299" s="1"/>
      <c r="AF299" s="1"/>
      <c r="AG299" s="1"/>
      <c r="AH299" s="1">
        <f t="shared" si="53"/>
        <v>0</v>
      </c>
      <c r="AI299" s="118" t="e">
        <f t="shared" si="54"/>
        <v>#DIV/0!</v>
      </c>
    </row>
    <row r="300" spans="1:36" hidden="1" x14ac:dyDescent="0.25">
      <c r="A300" s="30">
        <v>227</v>
      </c>
      <c r="B300" s="5" t="s">
        <v>1816</v>
      </c>
      <c r="C300" s="2" t="s">
        <v>291</v>
      </c>
      <c r="D300" s="2" t="s">
        <v>955</v>
      </c>
      <c r="E300" s="2" t="s">
        <v>6569</v>
      </c>
      <c r="F300" s="2">
        <v>1940504</v>
      </c>
      <c r="G300" s="2" t="s">
        <v>2036</v>
      </c>
      <c r="H300" s="2"/>
      <c r="I300" s="2"/>
      <c r="J300" s="2"/>
      <c r="K300" s="2" t="s">
        <v>239</v>
      </c>
      <c r="L300" s="2"/>
      <c r="M300" s="2"/>
      <c r="N300" s="2"/>
      <c r="O300" s="2"/>
      <c r="P300" s="557" t="str">
        <f>CONCATENATE(schedule13[[#This Row],[OD]],"-",schedule13[[#This Row],[ID]],"-",schedule13[[#This Row],[TICKNESS]],"-",schedule13[[#This Row],[GRADE]],"-",schedule13[[#This Row],[FC/NFC]])</f>
        <v>22.23-0-2.3--</v>
      </c>
      <c r="Q300" s="557" t="str">
        <f>_xlfn.CONCAT(schedule13[[#This Row],[Bucket]],"-",schedule13[[#This Row],[LENGTH]]/1000)</f>
        <v>22.23-0-2.3---0.499</v>
      </c>
      <c r="R300" s="557">
        <f>COUNTIF(buckets[CTL Bucket],schedule13[[#This Row],[CTL Bucket]])</f>
        <v>0</v>
      </c>
      <c r="S300" s="1">
        <v>22.23</v>
      </c>
      <c r="T300" s="1">
        <v>22.23</v>
      </c>
      <c r="U300" s="1">
        <v>0</v>
      </c>
      <c r="V300" s="1">
        <v>2.2999999999999998</v>
      </c>
      <c r="W300" s="24">
        <v>499</v>
      </c>
      <c r="X300" s="24"/>
      <c r="Y300" s="2">
        <v>0</v>
      </c>
      <c r="Z300" s="4"/>
      <c r="AA300" s="4">
        <f t="shared" si="48"/>
        <v>0</v>
      </c>
      <c r="AB300" s="1">
        <f t="shared" si="50"/>
        <v>0</v>
      </c>
      <c r="AC300" s="1">
        <f t="shared" si="52"/>
        <v>0</v>
      </c>
      <c r="AD300" s="1">
        <f t="shared" si="49"/>
        <v>0</v>
      </c>
      <c r="AE300" s="1"/>
      <c r="AF300" s="1"/>
      <c r="AG300" s="1"/>
      <c r="AH300" s="1">
        <f t="shared" si="53"/>
        <v>0</v>
      </c>
      <c r="AI300" s="118" t="e">
        <f t="shared" si="54"/>
        <v>#DIV/0!</v>
      </c>
    </row>
    <row r="301" spans="1:36" hidden="1" x14ac:dyDescent="0.25">
      <c r="A301" s="30">
        <v>228</v>
      </c>
      <c r="B301" s="5" t="s">
        <v>1816</v>
      </c>
      <c r="C301" s="2" t="s">
        <v>291</v>
      </c>
      <c r="D301" s="2" t="s">
        <v>955</v>
      </c>
      <c r="E301" s="2" t="s">
        <v>6569</v>
      </c>
      <c r="F301" s="2">
        <v>1511515</v>
      </c>
      <c r="G301" s="2" t="s">
        <v>2045</v>
      </c>
      <c r="H301" s="2" t="s">
        <v>962</v>
      </c>
      <c r="I301" s="2" t="s">
        <v>1894</v>
      </c>
      <c r="J301" s="2"/>
      <c r="K301" s="2" t="s">
        <v>239</v>
      </c>
      <c r="L301" s="2"/>
      <c r="M301" s="2"/>
      <c r="N301" s="2"/>
      <c r="O301" s="2"/>
      <c r="P301" s="557" t="str">
        <f>CONCATENATE(schedule13[[#This Row],[OD]],"-",schedule13[[#This Row],[ID]],"-",schedule13[[#This Row],[TICKNESS]],"-",schedule13[[#This Row],[GRADE]],"-",schedule13[[#This Row],[FC/NFC]])</f>
        <v>42.7-0-4-ERW 1-</v>
      </c>
      <c r="Q301" s="557" t="str">
        <f>_xlfn.CONCAT(schedule13[[#This Row],[Bucket]],"-",schedule13[[#This Row],[LENGTH]]/1000)</f>
        <v>42.7-0-4-ERW 1--0.208</v>
      </c>
      <c r="R301" s="557">
        <f>COUNTIF(buckets[CTL Bucket],schedule13[[#This Row],[CTL Bucket]])</f>
        <v>0</v>
      </c>
      <c r="S301" s="1">
        <v>42.7</v>
      </c>
      <c r="T301" s="1">
        <v>42.7</v>
      </c>
      <c r="U301" s="1">
        <v>0</v>
      </c>
      <c r="V301" s="1">
        <v>4</v>
      </c>
      <c r="W301" s="24">
        <v>208</v>
      </c>
      <c r="X301" s="24"/>
      <c r="Y301" s="2">
        <v>0</v>
      </c>
      <c r="Z301" s="4"/>
      <c r="AA301" s="4">
        <f t="shared" si="48"/>
        <v>0</v>
      </c>
      <c r="AB301" s="1">
        <f t="shared" si="50"/>
        <v>0</v>
      </c>
      <c r="AC301" s="1">
        <f t="shared" si="52"/>
        <v>0</v>
      </c>
      <c r="AD301" s="1">
        <f t="shared" si="49"/>
        <v>0</v>
      </c>
      <c r="AE301" s="1"/>
      <c r="AF301" s="1">
        <v>0.25393199999999999</v>
      </c>
      <c r="AG301" s="1"/>
      <c r="AH301" s="1">
        <f t="shared" si="53"/>
        <v>-0.25393199999999999</v>
      </c>
      <c r="AI301" s="118" t="e">
        <f t="shared" si="54"/>
        <v>#DIV/0!</v>
      </c>
    </row>
    <row r="302" spans="1:36" ht="17.25" hidden="1" x14ac:dyDescent="0.25">
      <c r="A302" s="30">
        <v>229</v>
      </c>
      <c r="B302" s="5" t="s">
        <v>1816</v>
      </c>
      <c r="C302" s="2" t="s">
        <v>291</v>
      </c>
      <c r="D302" s="2" t="s">
        <v>955</v>
      </c>
      <c r="E302" s="2" t="s">
        <v>6569</v>
      </c>
      <c r="F302" s="48">
        <v>444028</v>
      </c>
      <c r="G302" s="48" t="s">
        <v>2053</v>
      </c>
      <c r="H302" s="2"/>
      <c r="I302" s="2"/>
      <c r="J302" s="2"/>
      <c r="K302" s="2" t="s">
        <v>239</v>
      </c>
      <c r="L302" s="2"/>
      <c r="M302" s="2"/>
      <c r="N302" s="2"/>
      <c r="O302" s="2"/>
      <c r="P302" s="557" t="str">
        <f>CONCATENATE(schedule13[[#This Row],[OD]],"-",schedule13[[#This Row],[ID]],"-",schedule13[[#This Row],[TICKNESS]],"-",schedule13[[#This Row],[GRADE]],"-",schedule13[[#This Row],[FC/NFC]])</f>
        <v>31.75-0-1.2--</v>
      </c>
      <c r="Q302" s="557" t="str">
        <f>_xlfn.CONCAT(schedule13[[#This Row],[Bucket]],"-",schedule13[[#This Row],[LENGTH]]/1000)</f>
        <v>31.75-0-1.2---0.6</v>
      </c>
      <c r="R302" s="557">
        <f>COUNTIF(buckets[CTL Bucket],schedule13[[#This Row],[CTL Bucket]])</f>
        <v>0</v>
      </c>
      <c r="S302" s="1">
        <v>31.75</v>
      </c>
      <c r="T302" s="1">
        <v>31.75</v>
      </c>
      <c r="U302" s="1">
        <v>0</v>
      </c>
      <c r="V302" s="1">
        <v>1.2</v>
      </c>
      <c r="W302" s="24">
        <v>600</v>
      </c>
      <c r="X302" s="24"/>
      <c r="Y302" s="2">
        <v>0</v>
      </c>
      <c r="Z302" s="4"/>
      <c r="AA302" s="4">
        <f t="shared" si="48"/>
        <v>0</v>
      </c>
      <c r="AB302" s="1">
        <f t="shared" si="50"/>
        <v>0</v>
      </c>
      <c r="AC302" s="1">
        <f t="shared" si="52"/>
        <v>0</v>
      </c>
      <c r="AD302" s="1">
        <f t="shared" si="49"/>
        <v>0</v>
      </c>
      <c r="AE302" s="1"/>
      <c r="AF302" s="1">
        <v>2.2387610000000002</v>
      </c>
      <c r="AG302" s="1"/>
      <c r="AH302" s="1">
        <f t="shared" si="53"/>
        <v>-2.2387610000000002</v>
      </c>
      <c r="AI302" s="118" t="e">
        <f t="shared" si="54"/>
        <v>#DIV/0!</v>
      </c>
      <c r="AJ302" s="83">
        <v>9518489828</v>
      </c>
    </row>
    <row r="303" spans="1:36" hidden="1" x14ac:dyDescent="0.25">
      <c r="A303" s="30">
        <v>230</v>
      </c>
      <c r="B303" s="5" t="s">
        <v>1816</v>
      </c>
      <c r="C303" s="2" t="s">
        <v>291</v>
      </c>
      <c r="D303" s="2" t="s">
        <v>955</v>
      </c>
      <c r="E303" s="2" t="s">
        <v>6569</v>
      </c>
      <c r="F303" s="48">
        <v>3087646</v>
      </c>
      <c r="G303" s="48" t="s">
        <v>2043</v>
      </c>
      <c r="H303" s="2" t="s">
        <v>962</v>
      </c>
      <c r="I303" s="2"/>
      <c r="J303" s="2" t="s">
        <v>1003</v>
      </c>
      <c r="K303" s="2" t="s">
        <v>239</v>
      </c>
      <c r="L303" s="2"/>
      <c r="M303" s="2"/>
      <c r="N303" s="2"/>
      <c r="O303" s="2"/>
      <c r="P303" s="557" t="str">
        <f>CONCATENATE(schedule13[[#This Row],[OD]],"-",schedule13[[#This Row],[ID]],"-",schedule13[[#This Row],[TICKNESS]],"-",schedule13[[#This Row],[GRADE]],"-",schedule13[[#This Row],[FC/NFC]])</f>
        <v>41.28-0-2.6-ERW 1-FC</v>
      </c>
      <c r="Q303" s="557" t="str">
        <f>_xlfn.CONCAT(schedule13[[#This Row],[Bucket]],"-",schedule13[[#This Row],[LENGTH]]/1000)</f>
        <v>41.28-0-2.6-ERW 1-FC-0.848</v>
      </c>
      <c r="R303" s="557">
        <f>COUNTIF(buckets[CTL Bucket],schedule13[[#This Row],[CTL Bucket]])</f>
        <v>2</v>
      </c>
      <c r="S303" s="1">
        <v>41.28</v>
      </c>
      <c r="T303" s="1">
        <v>41.28</v>
      </c>
      <c r="U303" s="1">
        <v>0</v>
      </c>
      <c r="V303" s="1">
        <v>2.6</v>
      </c>
      <c r="W303" s="24">
        <v>848</v>
      </c>
      <c r="X303" s="24"/>
      <c r="Y303" s="2">
        <v>0</v>
      </c>
      <c r="Z303" s="4"/>
      <c r="AA303" s="4">
        <f t="shared" si="48"/>
        <v>0</v>
      </c>
      <c r="AB303" s="1">
        <f t="shared" si="50"/>
        <v>0</v>
      </c>
      <c r="AC303" s="1">
        <f t="shared" si="52"/>
        <v>0</v>
      </c>
      <c r="AD303" s="1">
        <f t="shared" si="49"/>
        <v>0</v>
      </c>
      <c r="AE303" s="1"/>
      <c r="AF303" s="1">
        <v>7.3437000000000002E-2</v>
      </c>
      <c r="AG303" s="1"/>
      <c r="AH303" s="1">
        <f t="shared" si="53"/>
        <v>-7.3437000000000002E-2</v>
      </c>
      <c r="AI303" s="118" t="e">
        <f t="shared" si="54"/>
        <v>#DIV/0!</v>
      </c>
    </row>
    <row r="304" spans="1:36" hidden="1" x14ac:dyDescent="0.25">
      <c r="A304" s="30">
        <v>231</v>
      </c>
      <c r="B304" s="5" t="s">
        <v>1816</v>
      </c>
      <c r="C304" s="2" t="s">
        <v>291</v>
      </c>
      <c r="D304" s="2" t="s">
        <v>955</v>
      </c>
      <c r="E304" s="2" t="s">
        <v>6569</v>
      </c>
      <c r="F304" s="2">
        <v>1174856</v>
      </c>
      <c r="G304" s="2" t="s">
        <v>2032</v>
      </c>
      <c r="H304" s="2" t="s">
        <v>962</v>
      </c>
      <c r="I304" s="2"/>
      <c r="J304" s="2"/>
      <c r="K304" s="2" t="s">
        <v>239</v>
      </c>
      <c r="L304" s="2"/>
      <c r="M304" s="2"/>
      <c r="N304" s="2"/>
      <c r="O304" s="2"/>
      <c r="P304" s="557" t="str">
        <f>CONCATENATE(schedule13[[#This Row],[OD]],"-",schedule13[[#This Row],[ID]],"-",schedule13[[#This Row],[TICKNESS]],"-",schedule13[[#This Row],[GRADE]],"-",schedule13[[#This Row],[FC/NFC]])</f>
        <v>22.23-0-2-ERW 1-</v>
      </c>
      <c r="Q304" s="557" t="str">
        <f>_xlfn.CONCAT(schedule13[[#This Row],[Bucket]],"-",schedule13[[#This Row],[LENGTH]]/1000)</f>
        <v>22.23-0-2-ERW 1--0.505</v>
      </c>
      <c r="R304" s="557">
        <f>COUNTIF(buckets[CTL Bucket],schedule13[[#This Row],[CTL Bucket]])</f>
        <v>0</v>
      </c>
      <c r="S304" s="1">
        <v>22.23</v>
      </c>
      <c r="T304" s="1">
        <v>22.23</v>
      </c>
      <c r="U304" s="1">
        <v>0</v>
      </c>
      <c r="V304" s="1">
        <v>2</v>
      </c>
      <c r="W304" s="24">
        <v>505</v>
      </c>
      <c r="X304" s="24"/>
      <c r="Y304" s="2">
        <v>0</v>
      </c>
      <c r="Z304" s="4"/>
      <c r="AA304" s="4">
        <f t="shared" si="48"/>
        <v>0</v>
      </c>
      <c r="AB304" s="1">
        <f t="shared" si="50"/>
        <v>0</v>
      </c>
      <c r="AC304" s="1">
        <f t="shared" si="52"/>
        <v>0</v>
      </c>
      <c r="AD304" s="1">
        <f t="shared" si="49"/>
        <v>0</v>
      </c>
      <c r="AE304" s="1"/>
      <c r="AF304" s="1">
        <v>0.28709699999999999</v>
      </c>
      <c r="AG304" s="1"/>
      <c r="AH304" s="1">
        <f t="shared" si="53"/>
        <v>-0.28709699999999999</v>
      </c>
      <c r="AI304" s="118" t="e">
        <f t="shared" si="54"/>
        <v>#DIV/0!</v>
      </c>
    </row>
    <row r="305" spans="1:36" hidden="1" x14ac:dyDescent="0.25">
      <c r="A305" s="30">
        <v>232</v>
      </c>
      <c r="B305" s="5" t="s">
        <v>1816</v>
      </c>
      <c r="C305" s="2" t="s">
        <v>291</v>
      </c>
      <c r="D305" s="2" t="s">
        <v>955</v>
      </c>
      <c r="E305" s="2" t="s">
        <v>6569</v>
      </c>
      <c r="F305" s="2">
        <v>1140302</v>
      </c>
      <c r="G305" s="2" t="s">
        <v>2039</v>
      </c>
      <c r="H305" s="2" t="s">
        <v>962</v>
      </c>
      <c r="I305" s="2"/>
      <c r="J305" s="2"/>
      <c r="K305" s="2" t="s">
        <v>239</v>
      </c>
      <c r="L305" s="2"/>
      <c r="M305" s="2"/>
      <c r="N305" s="2"/>
      <c r="O305" s="2"/>
      <c r="P305" s="557" t="str">
        <f>CONCATENATE(schedule13[[#This Row],[OD]],"-",schedule13[[#This Row],[ID]],"-",schedule13[[#This Row],[TICKNESS]],"-",schedule13[[#This Row],[GRADE]],"-",schedule13[[#This Row],[FC/NFC]])</f>
        <v>25.4-0-2.6-ERW 1-</v>
      </c>
      <c r="Q305" s="557" t="str">
        <f>_xlfn.CONCAT(schedule13[[#This Row],[Bucket]],"-",schedule13[[#This Row],[LENGTH]]/1000)</f>
        <v>25.4-0-2.6-ERW 1--0.36</v>
      </c>
      <c r="R305" s="557">
        <f>COUNTIF(buckets[CTL Bucket],schedule13[[#This Row],[CTL Bucket]])</f>
        <v>0</v>
      </c>
      <c r="S305" s="1">
        <v>25.4</v>
      </c>
      <c r="T305" s="1">
        <v>25.4</v>
      </c>
      <c r="U305" s="1">
        <v>0</v>
      </c>
      <c r="V305" s="1">
        <v>2.6</v>
      </c>
      <c r="W305" s="24">
        <v>360</v>
      </c>
      <c r="X305" s="24"/>
      <c r="Y305" s="2">
        <v>0</v>
      </c>
      <c r="Z305" s="4"/>
      <c r="AA305" s="4">
        <f t="shared" si="48"/>
        <v>0</v>
      </c>
      <c r="AB305" s="1">
        <f t="shared" si="50"/>
        <v>0</v>
      </c>
      <c r="AC305" s="1">
        <f t="shared" si="52"/>
        <v>0</v>
      </c>
      <c r="AD305" s="1">
        <f t="shared" si="49"/>
        <v>0</v>
      </c>
      <c r="AE305" s="1"/>
      <c r="AF305" s="1">
        <v>0.9035700000000001</v>
      </c>
      <c r="AG305" s="1"/>
      <c r="AH305" s="1">
        <f t="shared" si="53"/>
        <v>-0.9035700000000001</v>
      </c>
      <c r="AI305" s="118" t="e">
        <f t="shared" si="54"/>
        <v>#DIV/0!</v>
      </c>
    </row>
    <row r="306" spans="1:36" hidden="1" x14ac:dyDescent="0.25">
      <c r="A306" s="30">
        <v>233</v>
      </c>
      <c r="B306" s="5" t="s">
        <v>1816</v>
      </c>
      <c r="C306" s="2" t="s">
        <v>291</v>
      </c>
      <c r="D306" s="2" t="s">
        <v>955</v>
      </c>
      <c r="E306" s="2" t="s">
        <v>6569</v>
      </c>
      <c r="F306" s="2">
        <v>1940913</v>
      </c>
      <c r="G306" s="2" t="s">
        <v>2054</v>
      </c>
      <c r="H306" s="2"/>
      <c r="I306" s="2"/>
      <c r="J306" s="2"/>
      <c r="K306" s="2" t="s">
        <v>239</v>
      </c>
      <c r="L306" s="2"/>
      <c r="M306" s="2"/>
      <c r="N306" s="2"/>
      <c r="O306" s="2"/>
      <c r="P306" s="557" t="str">
        <f>CONCATENATE(schedule13[[#This Row],[OD]],"-",schedule13[[#This Row],[ID]],"-",schedule13[[#This Row],[TICKNESS]],"-",schedule13[[#This Row],[GRADE]],"-",schedule13[[#This Row],[FC/NFC]])</f>
        <v>57.15-0-2.5--</v>
      </c>
      <c r="Q306" s="557" t="str">
        <f>_xlfn.CONCAT(schedule13[[#This Row],[Bucket]],"-",schedule13[[#This Row],[LENGTH]]/1000)</f>
        <v>57.15-0-2.5---0.812</v>
      </c>
      <c r="R306" s="557">
        <f>COUNTIF(buckets[CTL Bucket],schedule13[[#This Row],[CTL Bucket]])</f>
        <v>0</v>
      </c>
      <c r="S306" s="1">
        <v>57.15</v>
      </c>
      <c r="T306" s="1">
        <v>57.15</v>
      </c>
      <c r="U306" s="1">
        <v>0</v>
      </c>
      <c r="V306" s="1">
        <v>2.5</v>
      </c>
      <c r="W306" s="24">
        <v>812</v>
      </c>
      <c r="X306" s="24"/>
      <c r="Y306" s="2">
        <v>0</v>
      </c>
      <c r="Z306" s="4"/>
      <c r="AA306" s="4">
        <f t="shared" si="48"/>
        <v>0</v>
      </c>
      <c r="AB306" s="1">
        <f t="shared" si="50"/>
        <v>0</v>
      </c>
      <c r="AC306" s="1">
        <f t="shared" si="52"/>
        <v>0</v>
      </c>
      <c r="AD306" s="1">
        <f t="shared" si="49"/>
        <v>0</v>
      </c>
      <c r="AE306" s="1"/>
      <c r="AF306" s="1"/>
      <c r="AG306" s="1"/>
      <c r="AH306" s="1">
        <f t="shared" si="53"/>
        <v>0</v>
      </c>
      <c r="AI306" s="118" t="e">
        <f t="shared" si="54"/>
        <v>#DIV/0!</v>
      </c>
    </row>
    <row r="307" spans="1:36" hidden="1" x14ac:dyDescent="0.25">
      <c r="A307" s="30">
        <v>234</v>
      </c>
      <c r="B307" s="5" t="s">
        <v>1816</v>
      </c>
      <c r="C307" s="2" t="s">
        <v>291</v>
      </c>
      <c r="D307" s="2" t="s">
        <v>955</v>
      </c>
      <c r="E307" s="2" t="s">
        <v>6569</v>
      </c>
      <c r="F307" s="2">
        <v>3747395</v>
      </c>
      <c r="G307" s="2" t="s">
        <v>2028</v>
      </c>
      <c r="H307" s="2" t="s">
        <v>962</v>
      </c>
      <c r="I307" s="2"/>
      <c r="J307" s="2"/>
      <c r="K307" s="2" t="s">
        <v>239</v>
      </c>
      <c r="L307" s="2"/>
      <c r="M307" s="2"/>
      <c r="N307" s="2"/>
      <c r="O307" s="2"/>
      <c r="P307" s="557" t="str">
        <f>CONCATENATE(schedule13[[#This Row],[OD]],"-",schedule13[[#This Row],[ID]],"-",schedule13[[#This Row],[TICKNESS]],"-",schedule13[[#This Row],[GRADE]],"-",schedule13[[#This Row],[FC/NFC]])</f>
        <v>22.23-0-1.6-ERW 1-</v>
      </c>
      <c r="Q307" s="557" t="str">
        <f>_xlfn.CONCAT(schedule13[[#This Row],[Bucket]],"-",schedule13[[#This Row],[LENGTH]]/1000)</f>
        <v>22.23-0-1.6-ERW 1--0.361</v>
      </c>
      <c r="R307" s="557">
        <f>COUNTIF(buckets[CTL Bucket],schedule13[[#This Row],[CTL Bucket]])</f>
        <v>0</v>
      </c>
      <c r="S307" s="1">
        <v>22.23</v>
      </c>
      <c r="T307" s="1">
        <v>22.23</v>
      </c>
      <c r="U307" s="1">
        <v>0</v>
      </c>
      <c r="V307" s="1">
        <v>1.6</v>
      </c>
      <c r="W307" s="24">
        <v>361</v>
      </c>
      <c r="X307" s="24"/>
      <c r="Y307" s="2">
        <v>0</v>
      </c>
      <c r="Z307" s="4"/>
      <c r="AA307" s="4">
        <f t="shared" si="48"/>
        <v>0</v>
      </c>
      <c r="AB307" s="1">
        <f t="shared" si="50"/>
        <v>0</v>
      </c>
      <c r="AC307" s="1">
        <f t="shared" si="52"/>
        <v>0</v>
      </c>
      <c r="AD307" s="1">
        <f t="shared" si="49"/>
        <v>0</v>
      </c>
      <c r="AE307" s="1"/>
      <c r="AF307" s="1"/>
      <c r="AG307" s="1"/>
      <c r="AH307" s="1">
        <f t="shared" si="53"/>
        <v>0</v>
      </c>
      <c r="AI307" s="118" t="e">
        <f t="shared" si="54"/>
        <v>#DIV/0!</v>
      </c>
    </row>
    <row r="308" spans="1:36" hidden="1" x14ac:dyDescent="0.25">
      <c r="A308" s="30">
        <v>236</v>
      </c>
      <c r="B308" s="5" t="s">
        <v>1816</v>
      </c>
      <c r="C308" s="2" t="s">
        <v>291</v>
      </c>
      <c r="D308" s="2" t="s">
        <v>955</v>
      </c>
      <c r="E308" s="2" t="s">
        <v>6569</v>
      </c>
      <c r="F308" s="2">
        <v>1119129</v>
      </c>
      <c r="G308" s="2" t="s">
        <v>2037</v>
      </c>
      <c r="H308" s="2" t="s">
        <v>962</v>
      </c>
      <c r="I308" s="2"/>
      <c r="J308" s="2"/>
      <c r="K308" s="2" t="s">
        <v>239</v>
      </c>
      <c r="L308" s="2"/>
      <c r="M308" s="2"/>
      <c r="N308" s="2"/>
      <c r="O308" s="2"/>
      <c r="P308" s="557" t="str">
        <f>CONCATENATE(schedule13[[#This Row],[OD]],"-",schedule13[[#This Row],[ID]],"-",schedule13[[#This Row],[TICKNESS]],"-",schedule13[[#This Row],[GRADE]],"-",schedule13[[#This Row],[FC/NFC]])</f>
        <v>25.4-0-1.6-ERW 1-</v>
      </c>
      <c r="Q308" s="557" t="str">
        <f>_xlfn.CONCAT(schedule13[[#This Row],[Bucket]],"-",schedule13[[#This Row],[LENGTH]]/1000)</f>
        <v>25.4-0-1.6-ERW 1--0.36</v>
      </c>
      <c r="R308" s="557">
        <f>COUNTIF(buckets[CTL Bucket],schedule13[[#This Row],[CTL Bucket]])</f>
        <v>0</v>
      </c>
      <c r="S308" s="1">
        <v>25.4</v>
      </c>
      <c r="T308" s="1">
        <v>25.4</v>
      </c>
      <c r="U308" s="1">
        <v>0</v>
      </c>
      <c r="V308" s="1">
        <v>1.6</v>
      </c>
      <c r="W308" s="24">
        <v>360</v>
      </c>
      <c r="X308" s="24"/>
      <c r="Y308" s="2">
        <v>0</v>
      </c>
      <c r="Z308" s="4"/>
      <c r="AA308" s="4">
        <f t="shared" si="48"/>
        <v>0</v>
      </c>
      <c r="AB308" s="1">
        <f t="shared" si="50"/>
        <v>0</v>
      </c>
      <c r="AC308" s="1">
        <f t="shared" si="52"/>
        <v>0</v>
      </c>
      <c r="AD308" s="1">
        <f t="shared" si="49"/>
        <v>0</v>
      </c>
      <c r="AE308" s="1"/>
      <c r="AF308" s="1">
        <v>0.46290399999999998</v>
      </c>
      <c r="AG308" s="1"/>
      <c r="AH308" s="1">
        <f t="shared" si="53"/>
        <v>-0.46290399999999998</v>
      </c>
      <c r="AI308" s="118" t="e">
        <f t="shared" si="54"/>
        <v>#DIV/0!</v>
      </c>
    </row>
    <row r="309" spans="1:36" hidden="1" x14ac:dyDescent="0.25">
      <c r="A309" s="30">
        <v>237</v>
      </c>
      <c r="B309" s="5" t="s">
        <v>1872</v>
      </c>
      <c r="C309" s="2" t="s">
        <v>291</v>
      </c>
      <c r="D309" s="2" t="s">
        <v>955</v>
      </c>
      <c r="E309" s="2" t="s">
        <v>6569</v>
      </c>
      <c r="F309" s="2">
        <v>508988</v>
      </c>
      <c r="G309" s="2" t="s">
        <v>1409</v>
      </c>
      <c r="H309" s="2" t="s">
        <v>962</v>
      </c>
      <c r="I309" s="2"/>
      <c r="J309" s="2"/>
      <c r="K309" s="2" t="s">
        <v>239</v>
      </c>
      <c r="L309" s="2"/>
      <c r="M309" s="2"/>
      <c r="N309" s="2"/>
      <c r="O309" s="2"/>
      <c r="P309" s="557" t="str">
        <f>CONCATENATE(schedule13[[#This Row],[OD]],"-",schedule13[[#This Row],[ID]],"-",schedule13[[#This Row],[TICKNESS]],"-",schedule13[[#This Row],[GRADE]],"-",schedule13[[#This Row],[FC/NFC]])</f>
        <v>19.05-0-2.3-ERW 1-</v>
      </c>
      <c r="Q309" s="557" t="str">
        <f>_xlfn.CONCAT(schedule13[[#This Row],[Bucket]],"-",schedule13[[#This Row],[LENGTH]]/1000)</f>
        <v>19.05-0-2.3-ERW 1--0.303</v>
      </c>
      <c r="R309" s="557">
        <f>COUNTIF(buckets[CTL Bucket],schedule13[[#This Row],[CTL Bucket]])</f>
        <v>0</v>
      </c>
      <c r="S309" s="1">
        <v>19.05</v>
      </c>
      <c r="T309" s="1">
        <v>19.05</v>
      </c>
      <c r="U309" s="1">
        <v>0</v>
      </c>
      <c r="V309" s="1">
        <v>2.2999999999999998</v>
      </c>
      <c r="W309" s="24">
        <v>303</v>
      </c>
      <c r="X309" s="24"/>
      <c r="Y309" s="2">
        <v>0</v>
      </c>
      <c r="Z309" s="4"/>
      <c r="AA309" s="4">
        <f t="shared" si="48"/>
        <v>0</v>
      </c>
      <c r="AB309" s="1">
        <f t="shared" si="50"/>
        <v>0</v>
      </c>
      <c r="AC309" s="1">
        <f t="shared" si="52"/>
        <v>0</v>
      </c>
      <c r="AD309" s="1">
        <f t="shared" si="49"/>
        <v>0</v>
      </c>
      <c r="AE309" s="1"/>
      <c r="AF309" s="1"/>
      <c r="AG309" s="1"/>
      <c r="AH309" s="1">
        <f t="shared" si="53"/>
        <v>0</v>
      </c>
      <c r="AI309" s="118" t="e">
        <f t="shared" si="54"/>
        <v>#DIV/0!</v>
      </c>
    </row>
    <row r="310" spans="1:36" hidden="1" x14ac:dyDescent="0.25">
      <c r="A310" s="30">
        <v>239</v>
      </c>
      <c r="B310" s="5" t="s">
        <v>1816</v>
      </c>
      <c r="C310" s="2" t="s">
        <v>291</v>
      </c>
      <c r="D310" s="2" t="s">
        <v>955</v>
      </c>
      <c r="E310" s="2" t="s">
        <v>6569</v>
      </c>
      <c r="F310" s="2">
        <v>1140411</v>
      </c>
      <c r="G310" s="2" t="s">
        <v>2033</v>
      </c>
      <c r="H310" s="2" t="s">
        <v>962</v>
      </c>
      <c r="I310" s="2"/>
      <c r="J310" s="2"/>
      <c r="K310" s="2" t="s">
        <v>239</v>
      </c>
      <c r="L310" s="2"/>
      <c r="M310" s="2"/>
      <c r="N310" s="2"/>
      <c r="O310" s="2"/>
      <c r="P310" s="557" t="str">
        <f>CONCATENATE(schedule13[[#This Row],[OD]],"-",schedule13[[#This Row],[ID]],"-",schedule13[[#This Row],[TICKNESS]],"-",schedule13[[#This Row],[GRADE]],"-",schedule13[[#This Row],[FC/NFC]])</f>
        <v>22.23-0-2-ERW 1-</v>
      </c>
      <c r="Q310" s="557" t="str">
        <f>_xlfn.CONCAT(schedule13[[#This Row],[Bucket]],"-",schedule13[[#This Row],[LENGTH]]/1000)</f>
        <v>22.23-0-2-ERW 1--0.851</v>
      </c>
      <c r="R310" s="557">
        <f>COUNTIF(buckets[CTL Bucket],schedule13[[#This Row],[CTL Bucket]])</f>
        <v>0</v>
      </c>
      <c r="S310" s="1">
        <v>22.23</v>
      </c>
      <c r="T310" s="1">
        <v>22.23</v>
      </c>
      <c r="U310" s="1">
        <v>0</v>
      </c>
      <c r="V310" s="1">
        <v>2</v>
      </c>
      <c r="W310" s="24">
        <v>851</v>
      </c>
      <c r="X310" s="24"/>
      <c r="Y310" s="2">
        <v>0</v>
      </c>
      <c r="Z310" s="4"/>
      <c r="AA310" s="4">
        <f t="shared" si="48"/>
        <v>0</v>
      </c>
      <c r="AB310" s="1">
        <f t="shared" si="50"/>
        <v>0</v>
      </c>
      <c r="AC310" s="1">
        <f t="shared" si="52"/>
        <v>0</v>
      </c>
      <c r="AD310" s="1">
        <f t="shared" si="49"/>
        <v>0</v>
      </c>
      <c r="AE310" s="1"/>
      <c r="AF310" s="1"/>
      <c r="AG310" s="1"/>
      <c r="AH310" s="1">
        <f t="shared" si="53"/>
        <v>0</v>
      </c>
      <c r="AI310" s="118" t="e">
        <f t="shared" si="54"/>
        <v>#DIV/0!</v>
      </c>
    </row>
    <row r="311" spans="1:36" hidden="1" x14ac:dyDescent="0.25">
      <c r="A311" s="30">
        <v>240</v>
      </c>
      <c r="B311" s="5" t="s">
        <v>1816</v>
      </c>
      <c r="C311" s="2" t="s">
        <v>291</v>
      </c>
      <c r="D311" s="2" t="s">
        <v>955</v>
      </c>
      <c r="E311" s="2" t="s">
        <v>6569</v>
      </c>
      <c r="F311" s="2">
        <v>1529261</v>
      </c>
      <c r="G311" s="2" t="s">
        <v>2011</v>
      </c>
      <c r="H311" s="2" t="s">
        <v>962</v>
      </c>
      <c r="I311" s="2"/>
      <c r="J311" s="2"/>
      <c r="K311" s="2" t="s">
        <v>239</v>
      </c>
      <c r="L311" s="2"/>
      <c r="M311" s="2"/>
      <c r="N311" s="2"/>
      <c r="O311" s="2"/>
      <c r="P311" s="557" t="str">
        <f>CONCATENATE(schedule13[[#This Row],[OD]],"-",schedule13[[#This Row],[ID]],"-",schedule13[[#This Row],[TICKNESS]],"-",schedule13[[#This Row],[GRADE]],"-",schedule13[[#This Row],[FC/NFC]])</f>
        <v>19.05-0-1.6-ERW 1-</v>
      </c>
      <c r="Q311" s="557" t="str">
        <f>_xlfn.CONCAT(schedule13[[#This Row],[Bucket]],"-",schedule13[[#This Row],[LENGTH]]/1000)</f>
        <v>19.05-0-1.6-ERW 1--0.289</v>
      </c>
      <c r="R311" s="557">
        <f>COUNTIF(buckets[CTL Bucket],schedule13[[#This Row],[CTL Bucket]])</f>
        <v>0</v>
      </c>
      <c r="S311" s="1">
        <v>19.05</v>
      </c>
      <c r="T311" s="1">
        <v>19.05</v>
      </c>
      <c r="U311" s="1">
        <v>0</v>
      </c>
      <c r="V311" s="1">
        <v>1.6</v>
      </c>
      <c r="W311" s="24">
        <v>289</v>
      </c>
      <c r="X311" s="24"/>
      <c r="Y311" s="2">
        <v>0</v>
      </c>
      <c r="Z311" s="4"/>
      <c r="AA311" s="4">
        <f t="shared" si="48"/>
        <v>0</v>
      </c>
      <c r="AB311" s="1">
        <f t="shared" si="50"/>
        <v>0</v>
      </c>
      <c r="AC311" s="1">
        <f t="shared" si="52"/>
        <v>0</v>
      </c>
      <c r="AD311" s="1">
        <f t="shared" si="49"/>
        <v>0</v>
      </c>
      <c r="AE311" s="1"/>
      <c r="AF311" s="1">
        <v>5.2076999999999998E-2</v>
      </c>
      <c r="AG311" s="1"/>
      <c r="AH311" s="1">
        <f t="shared" si="53"/>
        <v>-5.2076999999999998E-2</v>
      </c>
      <c r="AI311" s="118" t="e">
        <f t="shared" si="54"/>
        <v>#DIV/0!</v>
      </c>
    </row>
    <row r="312" spans="1:36" hidden="1" x14ac:dyDescent="0.25">
      <c r="A312" s="30">
        <v>241</v>
      </c>
      <c r="B312" s="5" t="s">
        <v>1816</v>
      </c>
      <c r="C312" s="2" t="s">
        <v>291</v>
      </c>
      <c r="D312" s="2" t="s">
        <v>955</v>
      </c>
      <c r="E312" s="2" t="s">
        <v>6569</v>
      </c>
      <c r="F312" s="2">
        <v>1361680</v>
      </c>
      <c r="G312" s="2" t="s">
        <v>2034</v>
      </c>
      <c r="H312" s="2" t="s">
        <v>962</v>
      </c>
      <c r="I312" s="2"/>
      <c r="J312" s="2"/>
      <c r="K312" s="2" t="s">
        <v>239</v>
      </c>
      <c r="L312" s="2"/>
      <c r="M312" s="2"/>
      <c r="N312" s="2"/>
      <c r="O312" s="2"/>
      <c r="P312" s="557" t="str">
        <f>CONCATENATE(schedule13[[#This Row],[OD]],"-",schedule13[[#This Row],[ID]],"-",schedule13[[#This Row],[TICKNESS]],"-",schedule13[[#This Row],[GRADE]],"-",schedule13[[#This Row],[FC/NFC]])</f>
        <v>22.23-0-2-ERW 1-</v>
      </c>
      <c r="Q312" s="557" t="str">
        <f>_xlfn.CONCAT(schedule13[[#This Row],[Bucket]],"-",schedule13[[#This Row],[LENGTH]]/1000)</f>
        <v>22.23-0-2-ERW 1--0.862</v>
      </c>
      <c r="R312" s="557">
        <f>COUNTIF(buckets[CTL Bucket],schedule13[[#This Row],[CTL Bucket]])</f>
        <v>0</v>
      </c>
      <c r="S312" s="1">
        <v>22.23</v>
      </c>
      <c r="T312" s="1">
        <v>22.23</v>
      </c>
      <c r="U312" s="1">
        <v>0</v>
      </c>
      <c r="V312" s="1">
        <v>2</v>
      </c>
      <c r="W312" s="24">
        <v>862</v>
      </c>
      <c r="X312" s="24"/>
      <c r="Y312" s="2">
        <v>0</v>
      </c>
      <c r="Z312" s="4"/>
      <c r="AA312" s="4">
        <f t="shared" si="48"/>
        <v>0</v>
      </c>
      <c r="AB312" s="1">
        <f t="shared" si="50"/>
        <v>0</v>
      </c>
      <c r="AC312" s="1">
        <f t="shared" si="52"/>
        <v>0</v>
      </c>
      <c r="AD312" s="1">
        <f t="shared" si="49"/>
        <v>0</v>
      </c>
      <c r="AE312" s="1"/>
      <c r="AF312" s="1"/>
      <c r="AG312" s="1"/>
      <c r="AH312" s="1">
        <f t="shared" si="53"/>
        <v>0</v>
      </c>
      <c r="AI312" s="118" t="e">
        <f t="shared" si="54"/>
        <v>#DIV/0!</v>
      </c>
    </row>
    <row r="313" spans="1:36" hidden="1" x14ac:dyDescent="0.25">
      <c r="A313" s="30">
        <v>401</v>
      </c>
      <c r="B313" s="5" t="s">
        <v>1816</v>
      </c>
      <c r="C313" s="2" t="s">
        <v>291</v>
      </c>
      <c r="D313" s="2" t="s">
        <v>955</v>
      </c>
      <c r="E313" s="2" t="s">
        <v>6569</v>
      </c>
      <c r="F313" s="2"/>
      <c r="G313" s="2"/>
      <c r="H313" s="2" t="s">
        <v>993</v>
      </c>
      <c r="I313" s="2"/>
      <c r="J313" s="2"/>
      <c r="K313" s="2" t="s">
        <v>239</v>
      </c>
      <c r="L313" s="2"/>
      <c r="M313" s="2"/>
      <c r="N313" s="2"/>
      <c r="O313" s="2"/>
      <c r="P313" s="557" t="str">
        <f>CONCATENATE(schedule13[[#This Row],[OD]],"-",schedule13[[#This Row],[ID]],"-",schedule13[[#This Row],[TICKNESS]],"-",schedule13[[#This Row],[GRADE]],"-",schedule13[[#This Row],[FC/NFC]])</f>
        <v>19.05-0-2.5-ERW 2-</v>
      </c>
      <c r="Q313" s="557" t="str">
        <f>_xlfn.CONCAT(schedule13[[#This Row],[Bucket]],"-",schedule13[[#This Row],[LENGTH]]/1000)</f>
        <v>19.05-0-2.5-ERW 2--0.319</v>
      </c>
      <c r="R313" s="557">
        <f>COUNTIF(buckets[CTL Bucket],schedule13[[#This Row],[CTL Bucket]])</f>
        <v>0</v>
      </c>
      <c r="S313" s="1">
        <v>19.05</v>
      </c>
      <c r="T313" s="1">
        <v>19.05</v>
      </c>
      <c r="U313" s="1">
        <v>0</v>
      </c>
      <c r="V313" s="1">
        <v>2.5</v>
      </c>
      <c r="W313" s="23">
        <v>319</v>
      </c>
      <c r="X313" s="23"/>
      <c r="Y313" s="2">
        <v>0</v>
      </c>
      <c r="Z313" s="2"/>
      <c r="AA313" s="4">
        <f t="shared" si="48"/>
        <v>0</v>
      </c>
      <c r="AB313" s="1">
        <f t="shared" si="50"/>
        <v>0</v>
      </c>
      <c r="AC313" s="1">
        <f t="shared" si="52"/>
        <v>0</v>
      </c>
      <c r="AD313" s="1">
        <f t="shared" si="49"/>
        <v>0</v>
      </c>
      <c r="AE313" s="1"/>
      <c r="AF313" s="1">
        <v>2.0945</v>
      </c>
      <c r="AG313" s="1"/>
      <c r="AH313" s="1">
        <f t="shared" si="53"/>
        <v>-2.0945</v>
      </c>
      <c r="AI313" s="118" t="e">
        <f t="shared" si="54"/>
        <v>#DIV/0!</v>
      </c>
    </row>
    <row r="314" spans="1:36" ht="17.25" hidden="1" x14ac:dyDescent="0.25">
      <c r="A314" s="30">
        <v>402</v>
      </c>
      <c r="B314" s="5" t="s">
        <v>1816</v>
      </c>
      <c r="C314" s="2" t="s">
        <v>291</v>
      </c>
      <c r="D314" s="2" t="s">
        <v>955</v>
      </c>
      <c r="E314" s="2" t="s">
        <v>6569</v>
      </c>
      <c r="F314" s="2">
        <v>1529260</v>
      </c>
      <c r="G314" s="2" t="s">
        <v>2012</v>
      </c>
      <c r="H314" s="2" t="s">
        <v>962</v>
      </c>
      <c r="I314" s="2"/>
      <c r="J314" s="2"/>
      <c r="K314" s="2" t="s">
        <v>239</v>
      </c>
      <c r="L314" s="2"/>
      <c r="M314" s="2"/>
      <c r="N314" s="2"/>
      <c r="O314" s="2"/>
      <c r="P314" s="557" t="str">
        <f>CONCATENATE(schedule13[[#This Row],[OD]],"-",schedule13[[#This Row],[ID]],"-",schedule13[[#This Row],[TICKNESS]],"-",schedule13[[#This Row],[GRADE]],"-",schedule13[[#This Row],[FC/NFC]])</f>
        <v>19.05-0-1.6-ERW 1-</v>
      </c>
      <c r="Q314" s="557" t="str">
        <f>_xlfn.CONCAT(schedule13[[#This Row],[Bucket]],"-",schedule13[[#This Row],[LENGTH]]/1000)</f>
        <v>19.05-0-1.6-ERW 1--0.299</v>
      </c>
      <c r="R314" s="557">
        <f>COUNTIF(buckets[CTL Bucket],schedule13[[#This Row],[CTL Bucket]])</f>
        <v>0</v>
      </c>
      <c r="S314" s="1">
        <v>19.05</v>
      </c>
      <c r="T314" s="1">
        <v>19.05</v>
      </c>
      <c r="U314" s="1">
        <v>0</v>
      </c>
      <c r="V314" s="1">
        <v>1.6</v>
      </c>
      <c r="W314" s="23">
        <v>299</v>
      </c>
      <c r="X314" s="23"/>
      <c r="Y314" s="2">
        <v>0</v>
      </c>
      <c r="Z314" s="2"/>
      <c r="AA314" s="4">
        <f t="shared" si="48"/>
        <v>0</v>
      </c>
      <c r="AB314" s="1">
        <f t="shared" si="50"/>
        <v>0</v>
      </c>
      <c r="AC314" s="1">
        <f t="shared" si="52"/>
        <v>0</v>
      </c>
      <c r="AD314" s="1">
        <f t="shared" si="49"/>
        <v>0</v>
      </c>
      <c r="AE314" s="1"/>
      <c r="AF314" s="1"/>
      <c r="AG314" s="1"/>
      <c r="AH314" s="1"/>
      <c r="AI314" s="118"/>
      <c r="AJ314" s="83">
        <v>9518489911</v>
      </c>
    </row>
    <row r="315" spans="1:36" hidden="1" x14ac:dyDescent="0.25">
      <c r="A315" s="30">
        <v>403</v>
      </c>
      <c r="B315" s="5" t="s">
        <v>1872</v>
      </c>
      <c r="C315" s="2" t="s">
        <v>291</v>
      </c>
      <c r="D315" s="2" t="s">
        <v>955</v>
      </c>
      <c r="E315" s="2" t="s">
        <v>6569</v>
      </c>
      <c r="F315" s="2">
        <v>1931824</v>
      </c>
      <c r="G315" s="2" t="s">
        <v>1968</v>
      </c>
      <c r="H315" s="2" t="s">
        <v>357</v>
      </c>
      <c r="I315" s="2"/>
      <c r="J315" s="2" t="s">
        <v>357</v>
      </c>
      <c r="K315" s="2" t="s">
        <v>239</v>
      </c>
      <c r="L315" s="2"/>
      <c r="M315" s="2"/>
      <c r="N315" s="2"/>
      <c r="O315" s="2"/>
      <c r="P315" s="557" t="str">
        <f>CONCATENATE(schedule13[[#This Row],[OD]],"-",schedule13[[#This Row],[ID]],"-",schedule13[[#This Row],[TICKNESS]],"-",schedule13[[#This Row],[GRADE]],"-",schedule13[[#This Row],[FC/NFC]])</f>
        <v>17.3-0-1.2-CEW-CEW</v>
      </c>
      <c r="Q315" s="557" t="str">
        <f>_xlfn.CONCAT(schedule13[[#This Row],[Bucket]],"-",schedule13[[#This Row],[LENGTH]]/1000)</f>
        <v>17.3-0-1.2-CEW-CEW-6</v>
      </c>
      <c r="R315" s="557">
        <f>COUNTIF(buckets[CTL Bucket],schedule13[[#This Row],[CTL Bucket]])</f>
        <v>0</v>
      </c>
      <c r="S315" s="1">
        <v>17.3</v>
      </c>
      <c r="T315" s="1">
        <v>17.3</v>
      </c>
      <c r="U315" s="1">
        <v>0</v>
      </c>
      <c r="V315" s="1">
        <v>1.2</v>
      </c>
      <c r="W315" s="23">
        <v>6000</v>
      </c>
      <c r="X315" s="23"/>
      <c r="Y315" s="2">
        <v>0</v>
      </c>
      <c r="Z315" s="2"/>
      <c r="AA315" s="4">
        <f t="shared" si="48"/>
        <v>0</v>
      </c>
      <c r="AB315" s="1">
        <f t="shared" si="50"/>
        <v>0</v>
      </c>
      <c r="AC315" s="1">
        <f t="shared" si="52"/>
        <v>0</v>
      </c>
      <c r="AD315" s="1">
        <f t="shared" si="49"/>
        <v>0</v>
      </c>
      <c r="AE315" s="1"/>
      <c r="AF315" s="1"/>
      <c r="AG315" s="1"/>
      <c r="AH315" s="1">
        <f>AB314-AF315</f>
        <v>0</v>
      </c>
      <c r="AI315" s="118" t="e">
        <f>(AC315+AF315)/AB314</f>
        <v>#DIV/0!</v>
      </c>
    </row>
    <row r="316" spans="1:36" hidden="1" x14ac:dyDescent="0.25">
      <c r="A316" s="30">
        <v>404</v>
      </c>
      <c r="B316" s="5" t="s">
        <v>1816</v>
      </c>
      <c r="C316" s="2" t="s">
        <v>291</v>
      </c>
      <c r="D316" s="2" t="s">
        <v>955</v>
      </c>
      <c r="E316" s="2" t="s">
        <v>6569</v>
      </c>
      <c r="F316" s="9">
        <v>3727461</v>
      </c>
      <c r="G316" s="9" t="s">
        <v>2048</v>
      </c>
      <c r="H316" s="2" t="s">
        <v>962</v>
      </c>
      <c r="I316" s="2"/>
      <c r="J316" s="2"/>
      <c r="K316" s="2" t="s">
        <v>239</v>
      </c>
      <c r="L316" s="2"/>
      <c r="M316" s="2"/>
      <c r="N316" s="2"/>
      <c r="O316" s="2"/>
      <c r="P316" s="557" t="str">
        <f>CONCATENATE(schedule13[[#This Row],[OD]],"-",schedule13[[#This Row],[ID]],"-",schedule13[[#This Row],[TICKNESS]],"-",schedule13[[#This Row],[GRADE]],"-",schedule13[[#This Row],[FC/NFC]])</f>
        <v>57.15-0-2-ERW 1-</v>
      </c>
      <c r="Q316" s="557" t="str">
        <f>_xlfn.CONCAT(schedule13[[#This Row],[Bucket]],"-",schedule13[[#This Row],[LENGTH]]/1000)</f>
        <v>57.15-0-2-ERW 1--0.413</v>
      </c>
      <c r="R316" s="557">
        <f>COUNTIF(buckets[CTL Bucket],schedule13[[#This Row],[CTL Bucket]])</f>
        <v>0</v>
      </c>
      <c r="S316" s="1">
        <v>57.15</v>
      </c>
      <c r="T316" s="1">
        <v>57.15</v>
      </c>
      <c r="U316" s="1">
        <v>0</v>
      </c>
      <c r="V316" s="1">
        <v>2</v>
      </c>
      <c r="W316" s="23">
        <v>413</v>
      </c>
      <c r="X316" s="23"/>
      <c r="Y316" s="2">
        <v>0</v>
      </c>
      <c r="Z316" s="2"/>
      <c r="AA316" s="4">
        <f t="shared" si="48"/>
        <v>0</v>
      </c>
      <c r="AB316" s="1">
        <f t="shared" si="50"/>
        <v>0</v>
      </c>
      <c r="AC316" s="1">
        <f t="shared" si="52"/>
        <v>0</v>
      </c>
      <c r="AD316" s="1">
        <f t="shared" si="49"/>
        <v>0</v>
      </c>
      <c r="AE316" s="1"/>
      <c r="AF316" s="1">
        <v>7.3596659999999989</v>
      </c>
      <c r="AG316" s="1"/>
      <c r="AH316" s="1">
        <f>AB315-AF316</f>
        <v>-7.3596659999999989</v>
      </c>
      <c r="AI316" s="118" t="e">
        <f>(AC316+AF316)/AB315</f>
        <v>#DIV/0!</v>
      </c>
    </row>
    <row r="317" spans="1:36" hidden="1" x14ac:dyDescent="0.25">
      <c r="A317" s="30">
        <v>406</v>
      </c>
      <c r="B317" s="5" t="s">
        <v>1872</v>
      </c>
      <c r="C317" s="2" t="s">
        <v>291</v>
      </c>
      <c r="D317" s="2" t="s">
        <v>955</v>
      </c>
      <c r="E317" s="2" t="s">
        <v>6569</v>
      </c>
      <c r="F317" s="2">
        <v>3468207</v>
      </c>
      <c r="G317" s="2" t="s">
        <v>2004</v>
      </c>
      <c r="H317" s="2" t="s">
        <v>357</v>
      </c>
      <c r="I317" s="2"/>
      <c r="J317" s="2" t="s">
        <v>357</v>
      </c>
      <c r="K317" s="2" t="s">
        <v>239</v>
      </c>
      <c r="L317" s="2"/>
      <c r="M317" s="2"/>
      <c r="N317" s="2"/>
      <c r="O317" s="2"/>
      <c r="P317" s="557" t="str">
        <f>CONCATENATE(schedule13[[#This Row],[OD]],"-",schedule13[[#This Row],[ID]],"-",schedule13[[#This Row],[TICKNESS]],"-",schedule13[[#This Row],[GRADE]],"-",schedule13[[#This Row],[FC/NFC]])</f>
        <v>19-12.5-3.25-CEW-CEW</v>
      </c>
      <c r="Q317" s="557" t="str">
        <f>_xlfn.CONCAT(schedule13[[#This Row],[Bucket]],"-",schedule13[[#This Row],[LENGTH]]/1000)</f>
        <v>19-12.5-3.25-CEW-CEW-5</v>
      </c>
      <c r="R317" s="557">
        <f>COUNTIF(buckets[CTL Bucket],schedule13[[#This Row],[CTL Bucket]])</f>
        <v>0</v>
      </c>
      <c r="S317" s="1">
        <v>19</v>
      </c>
      <c r="T317" s="1">
        <v>19</v>
      </c>
      <c r="U317" s="1">
        <v>12.5</v>
      </c>
      <c r="V317" s="1">
        <v>3.25</v>
      </c>
      <c r="W317" s="23">
        <v>5000</v>
      </c>
      <c r="X317" s="23"/>
      <c r="Y317" s="2">
        <v>0</v>
      </c>
      <c r="Z317" s="2"/>
      <c r="AA317" s="4">
        <f t="shared" si="48"/>
        <v>0</v>
      </c>
      <c r="AB317" s="1">
        <f t="shared" si="50"/>
        <v>0</v>
      </c>
      <c r="AC317" s="1">
        <f t="shared" si="52"/>
        <v>0</v>
      </c>
      <c r="AD317" s="1">
        <f t="shared" si="49"/>
        <v>0</v>
      </c>
      <c r="AE317" s="1"/>
      <c r="AF317" s="1"/>
      <c r="AG317" s="1"/>
      <c r="AH317" s="1"/>
      <c r="AI317" s="118"/>
    </row>
    <row r="318" spans="1:36" hidden="1" x14ac:dyDescent="0.25">
      <c r="A318" s="30">
        <v>407</v>
      </c>
      <c r="B318" s="5" t="s">
        <v>1872</v>
      </c>
      <c r="C318" s="2" t="s">
        <v>291</v>
      </c>
      <c r="D318" s="2" t="s">
        <v>955</v>
      </c>
      <c r="E318" s="2" t="s">
        <v>6569</v>
      </c>
      <c r="F318" s="2">
        <v>3594528</v>
      </c>
      <c r="G318" s="2" t="s">
        <v>2007</v>
      </c>
      <c r="H318" s="2" t="s">
        <v>357</v>
      </c>
      <c r="I318" s="2"/>
      <c r="J318" s="2" t="s">
        <v>357</v>
      </c>
      <c r="K318" s="2" t="s">
        <v>239</v>
      </c>
      <c r="L318" s="2"/>
      <c r="M318" s="2"/>
      <c r="N318" s="2"/>
      <c r="O318" s="2"/>
      <c r="P318" s="557" t="str">
        <f>CONCATENATE(schedule13[[#This Row],[OD]],"-",schedule13[[#This Row],[ID]],"-",schedule13[[#This Row],[TICKNESS]],"-",schedule13[[#This Row],[GRADE]],"-",schedule13[[#This Row],[FC/NFC]])</f>
        <v>60.3-0-2-CEW-CEW</v>
      </c>
      <c r="Q318" s="557" t="str">
        <f>_xlfn.CONCAT(schedule13[[#This Row],[Bucket]],"-",schedule13[[#This Row],[LENGTH]]/1000)</f>
        <v>60.3-0-2-CEW-CEW-6</v>
      </c>
      <c r="R318" s="557">
        <f>COUNTIF(buckets[CTL Bucket],schedule13[[#This Row],[CTL Bucket]])</f>
        <v>0</v>
      </c>
      <c r="S318" s="1">
        <v>60.3</v>
      </c>
      <c r="T318" s="1">
        <v>60.3</v>
      </c>
      <c r="U318" s="1">
        <v>0</v>
      </c>
      <c r="V318" s="1">
        <v>2</v>
      </c>
      <c r="W318" s="23">
        <v>6000</v>
      </c>
      <c r="X318" s="23"/>
      <c r="Y318" s="2">
        <v>0</v>
      </c>
      <c r="Z318" s="2"/>
      <c r="AA318" s="4">
        <f t="shared" si="48"/>
        <v>0</v>
      </c>
      <c r="AB318" s="1">
        <f t="shared" si="50"/>
        <v>0</v>
      </c>
      <c r="AC318" s="1">
        <f t="shared" si="52"/>
        <v>0</v>
      </c>
      <c r="AD318" s="1">
        <f t="shared" si="49"/>
        <v>0</v>
      </c>
      <c r="AE318" s="1"/>
      <c r="AF318" s="1"/>
      <c r="AG318" s="1"/>
      <c r="AH318" s="1">
        <f t="shared" ref="AH318:AH323" si="55">AB317-AF318</f>
        <v>0</v>
      </c>
      <c r="AI318" s="118" t="e">
        <f t="shared" ref="AI318:AI323" si="56">(AC318+AF318)/AB317</f>
        <v>#DIV/0!</v>
      </c>
    </row>
    <row r="319" spans="1:36" hidden="1" x14ac:dyDescent="0.25">
      <c r="A319" s="30">
        <v>408</v>
      </c>
      <c r="B319" s="5" t="s">
        <v>1872</v>
      </c>
      <c r="C319" s="2" t="s">
        <v>291</v>
      </c>
      <c r="D319" s="2" t="s">
        <v>955</v>
      </c>
      <c r="E319" s="2" t="s">
        <v>6569</v>
      </c>
      <c r="F319" s="2">
        <v>2426233</v>
      </c>
      <c r="G319" s="2" t="s">
        <v>1951</v>
      </c>
      <c r="H319" s="2" t="s">
        <v>357</v>
      </c>
      <c r="I319" s="2" t="s">
        <v>1894</v>
      </c>
      <c r="J319" s="2" t="s">
        <v>357</v>
      </c>
      <c r="K319" s="2" t="s">
        <v>239</v>
      </c>
      <c r="L319" s="2"/>
      <c r="M319" s="2"/>
      <c r="N319" s="2"/>
      <c r="O319" s="2"/>
      <c r="P319" s="557" t="str">
        <f>CONCATENATE(schedule13[[#This Row],[OD]],"-",schedule13[[#This Row],[ID]],"-",schedule13[[#This Row],[TICKNESS]],"-",schedule13[[#This Row],[GRADE]],"-",schedule13[[#This Row],[FC/NFC]])</f>
        <v>42.7-0-4-CEW-CEW</v>
      </c>
      <c r="Q319" s="557" t="str">
        <f>_xlfn.CONCAT(schedule13[[#This Row],[Bucket]],"-",schedule13[[#This Row],[LENGTH]]/1000)</f>
        <v>42.7-0-4-CEW-CEW-5.739</v>
      </c>
      <c r="R319" s="557">
        <f>COUNTIF(buckets[CTL Bucket],schedule13[[#This Row],[CTL Bucket]])</f>
        <v>0</v>
      </c>
      <c r="S319" s="1">
        <v>42.7</v>
      </c>
      <c r="T319" s="1">
        <v>42.7</v>
      </c>
      <c r="U319" s="1">
        <v>0</v>
      </c>
      <c r="V319" s="1">
        <v>4</v>
      </c>
      <c r="W319" s="23">
        <v>5739</v>
      </c>
      <c r="X319" s="23"/>
      <c r="Y319" s="2">
        <v>0</v>
      </c>
      <c r="Z319" s="2"/>
      <c r="AA319" s="4">
        <f t="shared" si="48"/>
        <v>0</v>
      </c>
      <c r="AB319" s="1">
        <f t="shared" si="50"/>
        <v>0</v>
      </c>
      <c r="AC319" s="1">
        <f t="shared" si="52"/>
        <v>0</v>
      </c>
      <c r="AD319" s="1">
        <f t="shared" si="49"/>
        <v>0</v>
      </c>
      <c r="AE319" s="1"/>
      <c r="AF319" s="1">
        <v>19.242229000000002</v>
      </c>
      <c r="AG319" s="1"/>
      <c r="AH319" s="1">
        <f t="shared" si="55"/>
        <v>-19.242229000000002</v>
      </c>
      <c r="AI319" s="118" t="e">
        <f t="shared" si="56"/>
        <v>#DIV/0!</v>
      </c>
    </row>
    <row r="320" spans="1:36" hidden="1" x14ac:dyDescent="0.25">
      <c r="A320" s="30">
        <v>409</v>
      </c>
      <c r="B320" s="5" t="s">
        <v>1872</v>
      </c>
      <c r="C320" s="2" t="s">
        <v>291</v>
      </c>
      <c r="D320" s="2" t="s">
        <v>955</v>
      </c>
      <c r="E320" s="2" t="s">
        <v>6569</v>
      </c>
      <c r="F320" s="2">
        <v>1941408</v>
      </c>
      <c r="G320" s="2" t="s">
        <v>1929</v>
      </c>
      <c r="H320" s="2" t="s">
        <v>357</v>
      </c>
      <c r="I320" s="2"/>
      <c r="J320" s="2" t="s">
        <v>357</v>
      </c>
      <c r="K320" s="2" t="s">
        <v>239</v>
      </c>
      <c r="L320" s="2"/>
      <c r="M320" s="2"/>
      <c r="N320" s="2"/>
      <c r="O320" s="2"/>
      <c r="P320" s="557" t="str">
        <f>CONCATENATE(schedule13[[#This Row],[OD]],"-",schedule13[[#This Row],[ID]],"-",schedule13[[#This Row],[TICKNESS]],"-",schedule13[[#This Row],[GRADE]],"-",schedule13[[#This Row],[FC/NFC]])</f>
        <v>25.4-20.4-2.5-CEW-CEW</v>
      </c>
      <c r="Q320" s="557" t="str">
        <f>_xlfn.CONCAT(schedule13[[#This Row],[Bucket]],"-",schedule13[[#This Row],[LENGTH]]/1000)</f>
        <v>25.4-20.4-2.5-CEW-CEW-3.73</v>
      </c>
      <c r="R320" s="557">
        <f>COUNTIF(buckets[CTL Bucket],schedule13[[#This Row],[CTL Bucket]])</f>
        <v>0</v>
      </c>
      <c r="S320" s="1">
        <v>25.4</v>
      </c>
      <c r="T320" s="1">
        <v>25.4</v>
      </c>
      <c r="U320" s="1">
        <v>20.399999999999999</v>
      </c>
      <c r="V320" s="1">
        <v>2.5</v>
      </c>
      <c r="W320" s="23">
        <v>3730</v>
      </c>
      <c r="X320" s="23"/>
      <c r="Y320" s="2">
        <v>0</v>
      </c>
      <c r="Z320" s="2"/>
      <c r="AA320" s="4">
        <f t="shared" si="48"/>
        <v>0</v>
      </c>
      <c r="AB320" s="1">
        <f t="shared" si="50"/>
        <v>0</v>
      </c>
      <c r="AC320" s="1">
        <f t="shared" si="52"/>
        <v>0</v>
      </c>
      <c r="AD320" s="1">
        <f t="shared" si="49"/>
        <v>0</v>
      </c>
      <c r="AE320" s="1"/>
      <c r="AF320" s="1">
        <v>4.5201260000000003</v>
      </c>
      <c r="AG320" s="1"/>
      <c r="AH320" s="1">
        <f t="shared" si="55"/>
        <v>-4.5201260000000003</v>
      </c>
      <c r="AI320" s="118" t="e">
        <f t="shared" si="56"/>
        <v>#DIV/0!</v>
      </c>
    </row>
    <row r="321" spans="1:35" hidden="1" x14ac:dyDescent="0.25">
      <c r="A321" s="30">
        <v>129</v>
      </c>
      <c r="B321" s="5" t="s">
        <v>1872</v>
      </c>
      <c r="C321" s="2" t="s">
        <v>293</v>
      </c>
      <c r="D321" s="2" t="s">
        <v>955</v>
      </c>
      <c r="E321" s="2">
        <v>930883</v>
      </c>
      <c r="F321" s="2"/>
      <c r="G321" s="2"/>
      <c r="H321" s="2" t="s">
        <v>357</v>
      </c>
      <c r="I321" s="2"/>
      <c r="J321" s="2" t="s">
        <v>357</v>
      </c>
      <c r="K321" s="2" t="s">
        <v>239</v>
      </c>
      <c r="L321" s="2"/>
      <c r="M321" s="2"/>
      <c r="N321" s="2"/>
      <c r="O321" s="2"/>
      <c r="P321" s="557" t="str">
        <f>CONCATENATE(schedule13[[#This Row],[OD]],"-",schedule13[[#This Row],[ID]],"-",schedule13[[#This Row],[TICKNESS]],"-",schedule13[[#This Row],[GRADE]],"-",schedule13[[#This Row],[FC/NFC]])</f>
        <v>12-0-1.6-CEW-CEW</v>
      </c>
      <c r="Q321" s="557" t="str">
        <f>schedule13[[#This Row],[Bucket]]</f>
        <v>12-0-1.6-CEW-CEW</v>
      </c>
      <c r="R321" s="557">
        <f>COUNTIF(buckets[CTL Bucket],schedule13[[#This Row],[CTL Bucket]])</f>
        <v>0</v>
      </c>
      <c r="S321" s="1">
        <v>12</v>
      </c>
      <c r="T321" s="1">
        <v>12</v>
      </c>
      <c r="U321" s="1">
        <v>0</v>
      </c>
      <c r="V321" s="1">
        <v>1.6</v>
      </c>
      <c r="W321" s="24">
        <v>1000</v>
      </c>
      <c r="X321" s="22" t="s">
        <v>444</v>
      </c>
      <c r="Y321" s="2">
        <v>0</v>
      </c>
      <c r="Z321" s="2"/>
      <c r="AA321" s="4">
        <f t="shared" si="48"/>
        <v>0</v>
      </c>
      <c r="AB321" s="1">
        <f t="shared" si="50"/>
        <v>0</v>
      </c>
      <c r="AC321" s="1">
        <f t="shared" si="52"/>
        <v>0</v>
      </c>
      <c r="AD321" s="1">
        <f t="shared" si="49"/>
        <v>0</v>
      </c>
      <c r="AE321" s="3" t="e">
        <f>schedule13[[#This Row],[CTL Stock]]/schedule13[[#This Row],[SCHEDULE IN MT]]*schedule13[[#This Row],[SCHEDULE]]</f>
        <v>#DIV/0!</v>
      </c>
      <c r="AF321" s="1">
        <f>SUMIFS(stock[MT],stock[Bucket],schedule13[[#This Row],[Bucket]],stock[CTL Bucket],schedule13[[#This Row],[CTL Bucket]])</f>
        <v>0</v>
      </c>
      <c r="AG321" s="1">
        <f>SUMIFS(stock[MT],stock[Bucket],schedule13[[#This Row],[Bucket]])+SUMIFS(wip[Stock(Net Wt)],wip[Bucket],schedule13[[#This Row],[Bucket]])/1000</f>
        <v>0</v>
      </c>
      <c r="AH321" s="1">
        <f t="shared" si="55"/>
        <v>0</v>
      </c>
      <c r="AI321" s="118" t="e">
        <f t="shared" si="56"/>
        <v>#DIV/0!</v>
      </c>
    </row>
    <row r="322" spans="1:35" hidden="1" x14ac:dyDescent="0.25">
      <c r="A322" s="30">
        <v>130</v>
      </c>
      <c r="B322" s="5" t="s">
        <v>1872</v>
      </c>
      <c r="C322" s="2" t="s">
        <v>293</v>
      </c>
      <c r="D322" s="2" t="s">
        <v>955</v>
      </c>
      <c r="E322" s="2">
        <v>930883</v>
      </c>
      <c r="F322" s="2">
        <v>1931824</v>
      </c>
      <c r="G322" s="2" t="s">
        <v>1968</v>
      </c>
      <c r="H322" s="2" t="s">
        <v>962</v>
      </c>
      <c r="I322" s="2"/>
      <c r="J322" s="2"/>
      <c r="K322" s="2" t="s">
        <v>239</v>
      </c>
      <c r="L322" s="2"/>
      <c r="M322" s="2"/>
      <c r="N322" s="2"/>
      <c r="O322" s="2"/>
      <c r="P322" s="557" t="str">
        <f>CONCATENATE(schedule13[[#This Row],[OD]],"-",schedule13[[#This Row],[ID]],"-",schedule13[[#This Row],[TICKNESS]],"-",schedule13[[#This Row],[GRADE]],"-",schedule13[[#This Row],[FC/NFC]])</f>
        <v>17.3-0-1.2-ERW 1-</v>
      </c>
      <c r="Q322" s="557"/>
      <c r="R322" s="557"/>
      <c r="S322" s="1">
        <v>17.3</v>
      </c>
      <c r="T322" s="1">
        <v>17.3</v>
      </c>
      <c r="U322" s="1">
        <v>0</v>
      </c>
      <c r="V322" s="1">
        <v>1.2</v>
      </c>
      <c r="W322" s="24">
        <v>6000</v>
      </c>
      <c r="X322" s="24"/>
      <c r="Y322" s="2">
        <v>0</v>
      </c>
      <c r="Z322" s="2"/>
      <c r="AA322" s="4">
        <f t="shared" si="48"/>
        <v>0</v>
      </c>
      <c r="AB322" s="1">
        <f t="shared" si="50"/>
        <v>0</v>
      </c>
      <c r="AC322" s="1">
        <f t="shared" si="52"/>
        <v>0</v>
      </c>
      <c r="AD322" s="1">
        <f t="shared" si="49"/>
        <v>0</v>
      </c>
      <c r="AE322" s="1"/>
      <c r="AF322" s="1">
        <v>0.97362400000000004</v>
      </c>
      <c r="AG322" s="1"/>
      <c r="AH322" s="1">
        <f t="shared" si="55"/>
        <v>-0.97362400000000004</v>
      </c>
      <c r="AI322" s="118" t="e">
        <f t="shared" si="56"/>
        <v>#DIV/0!</v>
      </c>
    </row>
    <row r="323" spans="1:35" hidden="1" x14ac:dyDescent="0.25">
      <c r="A323" s="30">
        <v>131</v>
      </c>
      <c r="B323" s="5" t="s">
        <v>1816</v>
      </c>
      <c r="C323" s="2" t="s">
        <v>293</v>
      </c>
      <c r="D323" s="2" t="s">
        <v>955</v>
      </c>
      <c r="E323" s="2">
        <v>930883</v>
      </c>
      <c r="F323" s="2">
        <v>1939993</v>
      </c>
      <c r="G323" s="2" t="s">
        <v>420</v>
      </c>
      <c r="H323" s="2" t="s">
        <v>962</v>
      </c>
      <c r="I323" s="2"/>
      <c r="J323" s="2"/>
      <c r="K323" s="2" t="s">
        <v>239</v>
      </c>
      <c r="L323" s="2"/>
      <c r="M323" s="2"/>
      <c r="N323" s="2"/>
      <c r="O323" s="2"/>
      <c r="P323" s="557" t="str">
        <f>CONCATENATE(schedule13[[#This Row],[OD]],"-",schedule13[[#This Row],[ID]],"-",schedule13[[#This Row],[TICKNESS]],"-",schedule13[[#This Row],[GRADE]],"-",schedule13[[#This Row],[FC/NFC]])</f>
        <v>12.7-0-1.6-ERW 1-</v>
      </c>
      <c r="Q323" s="557"/>
      <c r="R323" s="557"/>
      <c r="S323" s="1">
        <v>12.7</v>
      </c>
      <c r="T323" s="1">
        <v>12.7</v>
      </c>
      <c r="U323" s="1">
        <v>0</v>
      </c>
      <c r="V323" s="1">
        <v>1.6</v>
      </c>
      <c r="W323" s="24">
        <v>250</v>
      </c>
      <c r="X323" s="24"/>
      <c r="Y323" s="2">
        <v>10000</v>
      </c>
      <c r="Z323" s="2"/>
      <c r="AA323" s="4">
        <f t="shared" si="48"/>
        <v>10000</v>
      </c>
      <c r="AB323" s="1">
        <f t="shared" si="50"/>
        <v>1.0945932</v>
      </c>
      <c r="AC323" s="1">
        <f t="shared" si="52"/>
        <v>0</v>
      </c>
      <c r="AD323" s="1">
        <f t="shared" si="49"/>
        <v>1.0945932</v>
      </c>
      <c r="AE323" s="1"/>
      <c r="AF323" s="1">
        <v>7.3596659999999989</v>
      </c>
      <c r="AG323" s="1"/>
      <c r="AH323" s="1">
        <f t="shared" si="55"/>
        <v>-7.3596659999999989</v>
      </c>
      <c r="AI323" s="118" t="e">
        <f t="shared" si="56"/>
        <v>#DIV/0!</v>
      </c>
    </row>
    <row r="324" spans="1:35" hidden="1" x14ac:dyDescent="0.25">
      <c r="A324" s="30">
        <v>133</v>
      </c>
      <c r="B324" s="5" t="s">
        <v>1816</v>
      </c>
      <c r="C324" s="2" t="s">
        <v>293</v>
      </c>
      <c r="D324" s="2" t="s">
        <v>955</v>
      </c>
      <c r="E324" s="2">
        <v>930883</v>
      </c>
      <c r="F324" s="2">
        <v>1939996</v>
      </c>
      <c r="G324" s="2" t="s">
        <v>433</v>
      </c>
      <c r="H324" s="2" t="s">
        <v>962</v>
      </c>
      <c r="I324" s="2"/>
      <c r="J324" s="2"/>
      <c r="K324" s="2" t="s">
        <v>239</v>
      </c>
      <c r="L324" s="2"/>
      <c r="M324" s="2"/>
      <c r="N324" s="2"/>
      <c r="O324" s="2"/>
      <c r="P324" s="557" t="str">
        <f>CONCATENATE(schedule13[[#This Row],[OD]],"-",schedule13[[#This Row],[ID]],"-",schedule13[[#This Row],[TICKNESS]],"-",schedule13[[#This Row],[GRADE]],"-",schedule13[[#This Row],[FC/NFC]])</f>
        <v>12.7-0-1.6-ERW 1-</v>
      </c>
      <c r="Q324" s="557"/>
      <c r="R324" s="557"/>
      <c r="S324" s="1">
        <v>12.7</v>
      </c>
      <c r="T324" s="1">
        <v>12.7</v>
      </c>
      <c r="U324" s="1">
        <v>0</v>
      </c>
      <c r="V324" s="1">
        <v>1.6</v>
      </c>
      <c r="W324" s="24">
        <v>295</v>
      </c>
      <c r="X324" s="24"/>
      <c r="Y324" s="2">
        <v>10000</v>
      </c>
      <c r="Z324" s="2"/>
      <c r="AA324" s="4">
        <f t="shared" ref="AA324:AA387" si="57">Y324-Z324</f>
        <v>10000</v>
      </c>
      <c r="AB324" s="1">
        <f t="shared" si="50"/>
        <v>1.2916199760000002</v>
      </c>
      <c r="AC324" s="1">
        <f t="shared" si="52"/>
        <v>0</v>
      </c>
      <c r="AD324" s="1">
        <f t="shared" ref="AD324:AD387" si="58">AB324-AC324</f>
        <v>1.2916199760000002</v>
      </c>
      <c r="AE324" s="1"/>
      <c r="AF324" s="1"/>
      <c r="AG324" s="1"/>
      <c r="AH324" s="1"/>
      <c r="AI324" s="118"/>
    </row>
    <row r="325" spans="1:35" hidden="1" x14ac:dyDescent="0.25">
      <c r="A325" s="30">
        <v>134</v>
      </c>
      <c r="B325" s="5" t="s">
        <v>1872</v>
      </c>
      <c r="C325" s="2" t="s">
        <v>293</v>
      </c>
      <c r="D325" s="2" t="s">
        <v>955</v>
      </c>
      <c r="E325" s="2">
        <v>930883</v>
      </c>
      <c r="F325" s="2"/>
      <c r="G325" s="2"/>
      <c r="H325" s="2" t="s">
        <v>357</v>
      </c>
      <c r="I325" s="2"/>
      <c r="J325" s="2"/>
      <c r="K325" s="2" t="s">
        <v>239</v>
      </c>
      <c r="L325" s="2"/>
      <c r="M325" s="2"/>
      <c r="N325" s="2"/>
      <c r="O325" s="2"/>
      <c r="P325" s="557" t="str">
        <f>CONCATENATE(schedule13[[#This Row],[OD]],"-",schedule13[[#This Row],[ID]],"-",schedule13[[#This Row],[TICKNESS]],"-",schedule13[[#This Row],[GRADE]],"-",schedule13[[#This Row],[FC/NFC]])</f>
        <v>16.1-0-2.8-CEW-</v>
      </c>
      <c r="Q325" s="557"/>
      <c r="R325" s="557"/>
      <c r="S325" s="1">
        <v>16.100000000000001</v>
      </c>
      <c r="T325" s="1">
        <v>16.100000000000001</v>
      </c>
      <c r="U325" s="1">
        <v>0</v>
      </c>
      <c r="V325" s="1">
        <v>2.8</v>
      </c>
      <c r="W325" s="24">
        <v>4500</v>
      </c>
      <c r="X325" s="24"/>
      <c r="Y325" s="2">
        <v>1112</v>
      </c>
      <c r="Z325" s="2"/>
      <c r="AA325" s="4">
        <f t="shared" si="57"/>
        <v>1112</v>
      </c>
      <c r="AB325" s="1">
        <f t="shared" si="50"/>
        <v>4.5940609108800006</v>
      </c>
      <c r="AC325" s="1">
        <f t="shared" si="52"/>
        <v>0</v>
      </c>
      <c r="AD325" s="1">
        <f t="shared" si="58"/>
        <v>4.5940609108800006</v>
      </c>
      <c r="AE325" s="1"/>
      <c r="AF325" s="1"/>
      <c r="AG325" s="1"/>
      <c r="AH325" s="1">
        <f>AB324-AF325</f>
        <v>1.2916199760000002</v>
      </c>
      <c r="AI325" s="118">
        <f>(AC325+AF325)/AB324</f>
        <v>0</v>
      </c>
    </row>
    <row r="326" spans="1:35" hidden="1" x14ac:dyDescent="0.25">
      <c r="A326" s="30">
        <v>135</v>
      </c>
      <c r="B326" s="5" t="s">
        <v>1816</v>
      </c>
      <c r="C326" s="2" t="s">
        <v>293</v>
      </c>
      <c r="D326" s="2" t="s">
        <v>955</v>
      </c>
      <c r="E326" s="2">
        <v>930883</v>
      </c>
      <c r="F326" s="2">
        <v>1940090</v>
      </c>
      <c r="G326" s="2" t="s">
        <v>538</v>
      </c>
      <c r="H326" s="2" t="s">
        <v>962</v>
      </c>
      <c r="I326" s="2"/>
      <c r="J326" s="2"/>
      <c r="K326" s="2" t="s">
        <v>239</v>
      </c>
      <c r="L326" s="2"/>
      <c r="M326" s="2"/>
      <c r="N326" s="2"/>
      <c r="O326" s="2"/>
      <c r="P326" s="557" t="str">
        <f>CONCATENATE(schedule13[[#This Row],[OD]],"-",schedule13[[#This Row],[ID]],"-",schedule13[[#This Row],[TICKNESS]],"-",schedule13[[#This Row],[GRADE]],"-",schedule13[[#This Row],[FC/NFC]])</f>
        <v>15.88-0-2-ERW 1-</v>
      </c>
      <c r="Q326" s="557"/>
      <c r="R326" s="557"/>
      <c r="S326" s="1">
        <v>15.88</v>
      </c>
      <c r="T326" s="1">
        <v>15.88</v>
      </c>
      <c r="U326" s="1">
        <v>0</v>
      </c>
      <c r="V326" s="1">
        <v>2</v>
      </c>
      <c r="W326" s="24">
        <v>291</v>
      </c>
      <c r="X326" s="24"/>
      <c r="Y326" s="2">
        <v>10000</v>
      </c>
      <c r="Z326" s="2"/>
      <c r="AA326" s="4">
        <f t="shared" si="57"/>
        <v>10000</v>
      </c>
      <c r="AB326" s="1">
        <f t="shared" si="50"/>
        <v>1.9915087848000002</v>
      </c>
      <c r="AC326" s="1">
        <f t="shared" si="52"/>
        <v>0</v>
      </c>
      <c r="AD326" s="1">
        <f t="shared" si="58"/>
        <v>1.9915087848000002</v>
      </c>
      <c r="AE326" s="1"/>
      <c r="AF326" s="1"/>
      <c r="AG326" s="1"/>
      <c r="AH326" s="1"/>
      <c r="AI326" s="118"/>
    </row>
    <row r="327" spans="1:35" hidden="1" x14ac:dyDescent="0.25">
      <c r="A327" s="30">
        <v>139</v>
      </c>
      <c r="B327" s="5" t="s">
        <v>1816</v>
      </c>
      <c r="C327" s="2" t="s">
        <v>293</v>
      </c>
      <c r="D327" s="2" t="s">
        <v>955</v>
      </c>
      <c r="E327" s="2">
        <v>930883</v>
      </c>
      <c r="F327" s="2">
        <v>2243845</v>
      </c>
      <c r="G327" s="2" t="s">
        <v>1207</v>
      </c>
      <c r="H327" s="2" t="s">
        <v>962</v>
      </c>
      <c r="I327" s="2"/>
      <c r="J327" s="2"/>
      <c r="K327" s="2" t="s">
        <v>239</v>
      </c>
      <c r="L327" s="2"/>
      <c r="M327" s="2"/>
      <c r="N327" s="2"/>
      <c r="O327" s="2"/>
      <c r="P327" s="557" t="str">
        <f>CONCATENATE(schedule13[[#This Row],[OD]],"-",schedule13[[#This Row],[ID]],"-",schedule13[[#This Row],[TICKNESS]],"-",schedule13[[#This Row],[GRADE]],"-",schedule13[[#This Row],[FC/NFC]])</f>
        <v>15.88-0-2-ERW 1-</v>
      </c>
      <c r="Q327" s="557"/>
      <c r="R327" s="557"/>
      <c r="S327" s="1">
        <v>15.88</v>
      </c>
      <c r="T327" s="1">
        <v>15.88</v>
      </c>
      <c r="U327" s="1">
        <v>0</v>
      </c>
      <c r="V327" s="1">
        <v>2</v>
      </c>
      <c r="W327" s="24">
        <v>442</v>
      </c>
      <c r="X327" s="24"/>
      <c r="Y327" s="2">
        <v>0</v>
      </c>
      <c r="Z327" s="2"/>
      <c r="AA327" s="4">
        <f t="shared" si="57"/>
        <v>0</v>
      </c>
      <c r="AB327" s="1">
        <f t="shared" si="50"/>
        <v>0</v>
      </c>
      <c r="AC327" s="1">
        <f t="shared" si="52"/>
        <v>0</v>
      </c>
      <c r="AD327" s="1">
        <f t="shared" si="58"/>
        <v>0</v>
      </c>
      <c r="AE327" s="1"/>
      <c r="AF327" s="1"/>
      <c r="AG327" s="1"/>
      <c r="AH327" s="1"/>
      <c r="AI327" s="118"/>
    </row>
    <row r="328" spans="1:35" hidden="1" x14ac:dyDescent="0.25">
      <c r="A328" s="30">
        <v>141</v>
      </c>
      <c r="B328" s="5" t="s">
        <v>1816</v>
      </c>
      <c r="C328" s="2" t="s">
        <v>293</v>
      </c>
      <c r="D328" s="2" t="s">
        <v>955</v>
      </c>
      <c r="E328" s="2">
        <v>930883</v>
      </c>
      <c r="F328" s="2">
        <v>3747395</v>
      </c>
      <c r="G328" s="2" t="s">
        <v>2028</v>
      </c>
      <c r="H328" s="2" t="s">
        <v>962</v>
      </c>
      <c r="I328" s="2"/>
      <c r="J328" s="2"/>
      <c r="K328" s="2" t="s">
        <v>239</v>
      </c>
      <c r="L328" s="2"/>
      <c r="M328" s="2"/>
      <c r="N328" s="2"/>
      <c r="O328" s="2"/>
      <c r="P328" s="557" t="str">
        <f>CONCATENATE(schedule13[[#This Row],[OD]],"-",schedule13[[#This Row],[ID]],"-",schedule13[[#This Row],[TICKNESS]],"-",schedule13[[#This Row],[GRADE]],"-",schedule13[[#This Row],[FC/NFC]])</f>
        <v>22.23-0-1.6-ERW 1-</v>
      </c>
      <c r="Q328" s="557"/>
      <c r="R328" s="557"/>
      <c r="S328" s="1">
        <v>22.23</v>
      </c>
      <c r="T328" s="1">
        <v>22.23</v>
      </c>
      <c r="U328" s="1">
        <v>0</v>
      </c>
      <c r="V328" s="1">
        <v>1.6</v>
      </c>
      <c r="W328" s="24">
        <v>361</v>
      </c>
      <c r="X328" s="24"/>
      <c r="Y328" s="2">
        <v>0</v>
      </c>
      <c r="Z328" s="2"/>
      <c r="AA328" s="4">
        <f t="shared" si="57"/>
        <v>0</v>
      </c>
      <c r="AB328" s="1">
        <f t="shared" si="50"/>
        <v>0</v>
      </c>
      <c r="AC328" s="1">
        <f t="shared" si="52"/>
        <v>0</v>
      </c>
      <c r="AD328" s="1">
        <f t="shared" si="58"/>
        <v>0</v>
      </c>
      <c r="AE328" s="1"/>
      <c r="AF328" s="1">
        <v>3.1489999999999996</v>
      </c>
      <c r="AG328" s="1"/>
      <c r="AH328" s="1">
        <f t="shared" ref="AH328:AH348" si="59">AB327-AF328</f>
        <v>-3.1489999999999996</v>
      </c>
      <c r="AI328" s="118" t="e">
        <f>(AC328+AF328)/AB327</f>
        <v>#DIV/0!</v>
      </c>
    </row>
    <row r="329" spans="1:35" hidden="1" x14ac:dyDescent="0.25">
      <c r="A329" s="30">
        <v>142</v>
      </c>
      <c r="B329" s="5" t="s">
        <v>1816</v>
      </c>
      <c r="C329" s="2" t="s">
        <v>293</v>
      </c>
      <c r="D329" s="2" t="s">
        <v>955</v>
      </c>
      <c r="E329" s="2">
        <v>930883</v>
      </c>
      <c r="F329" s="2">
        <v>1940445</v>
      </c>
      <c r="G329" s="2" t="s">
        <v>2061</v>
      </c>
      <c r="H329" s="2" t="s">
        <v>962</v>
      </c>
      <c r="I329" s="2"/>
      <c r="J329" s="2"/>
      <c r="K329" s="2" t="s">
        <v>239</v>
      </c>
      <c r="L329" s="2"/>
      <c r="M329" s="2"/>
      <c r="N329" s="2"/>
      <c r="O329" s="2"/>
      <c r="P329" s="557" t="str">
        <f>CONCATENATE(schedule13[[#This Row],[OD]],"-",schedule13[[#This Row],[ID]],"-",schedule13[[#This Row],[TICKNESS]],"-",schedule13[[#This Row],[GRADE]],"-",schedule13[[#This Row],[FC/NFC]])</f>
        <v>22.23-0-2-ERW 1-</v>
      </c>
      <c r="Q329" s="557"/>
      <c r="R329" s="557"/>
      <c r="S329" s="1">
        <v>22.23</v>
      </c>
      <c r="T329" s="1">
        <v>22.23</v>
      </c>
      <c r="U329" s="1">
        <v>0</v>
      </c>
      <c r="V329" s="1">
        <v>2</v>
      </c>
      <c r="W329" s="24">
        <v>505</v>
      </c>
      <c r="X329" s="24"/>
      <c r="Y329" s="2">
        <v>0</v>
      </c>
      <c r="Z329" s="2"/>
      <c r="AA329" s="4">
        <f t="shared" si="57"/>
        <v>0</v>
      </c>
      <c r="AB329" s="1">
        <f t="shared" si="50"/>
        <v>0</v>
      </c>
      <c r="AC329" s="1">
        <f t="shared" si="52"/>
        <v>0</v>
      </c>
      <c r="AD329" s="1">
        <f t="shared" si="58"/>
        <v>0</v>
      </c>
      <c r="AE329" s="1"/>
      <c r="AF329" s="1">
        <v>0.10406699999999999</v>
      </c>
      <c r="AG329" s="1"/>
      <c r="AH329" s="1">
        <f t="shared" si="59"/>
        <v>-0.10406699999999999</v>
      </c>
      <c r="AI329" s="118" t="e">
        <f>(AC329+AF329)/AB328</f>
        <v>#DIV/0!</v>
      </c>
    </row>
    <row r="330" spans="1:35" hidden="1" x14ac:dyDescent="0.25">
      <c r="A330" s="30">
        <v>143</v>
      </c>
      <c r="B330" s="5" t="s">
        <v>1816</v>
      </c>
      <c r="C330" s="2" t="s">
        <v>293</v>
      </c>
      <c r="D330" s="2" t="s">
        <v>955</v>
      </c>
      <c r="E330" s="2">
        <v>930883</v>
      </c>
      <c r="F330" s="2">
        <v>1940470</v>
      </c>
      <c r="G330" s="2" t="s">
        <v>2062</v>
      </c>
      <c r="H330" s="2" t="s">
        <v>962</v>
      </c>
      <c r="I330" s="2"/>
      <c r="J330" s="2"/>
      <c r="K330" s="2" t="s">
        <v>239</v>
      </c>
      <c r="L330" s="2"/>
      <c r="M330" s="2"/>
      <c r="N330" s="2"/>
      <c r="O330" s="2"/>
      <c r="P330" s="557" t="str">
        <f>CONCATENATE(schedule13[[#This Row],[OD]],"-",schedule13[[#This Row],[ID]],"-",schedule13[[#This Row],[TICKNESS]],"-",schedule13[[#This Row],[GRADE]],"-",schedule13[[#This Row],[FC/NFC]])</f>
        <v>22.23-0-2-ERW 1-</v>
      </c>
      <c r="Q330" s="557"/>
      <c r="R330" s="557"/>
      <c r="S330" s="1">
        <v>22.23</v>
      </c>
      <c r="T330" s="1">
        <v>22.23</v>
      </c>
      <c r="U330" s="1">
        <v>0</v>
      </c>
      <c r="V330" s="1">
        <v>2</v>
      </c>
      <c r="W330" s="24">
        <v>851</v>
      </c>
      <c r="X330" s="24"/>
      <c r="Y330" s="2">
        <v>0</v>
      </c>
      <c r="Z330" s="2"/>
      <c r="AA330" s="4">
        <f t="shared" si="57"/>
        <v>0</v>
      </c>
      <c r="AB330" s="1">
        <f t="shared" si="50"/>
        <v>0</v>
      </c>
      <c r="AC330" s="1">
        <f t="shared" si="52"/>
        <v>0</v>
      </c>
      <c r="AD330" s="1">
        <f t="shared" si="58"/>
        <v>0</v>
      </c>
      <c r="AE330" s="1"/>
      <c r="AF330" s="1"/>
      <c r="AG330" s="1"/>
      <c r="AH330" s="1">
        <f t="shared" si="59"/>
        <v>0</v>
      </c>
      <c r="AI330" s="118" t="e">
        <f>(AC330+AF330)/AB329</f>
        <v>#DIV/0!</v>
      </c>
    </row>
    <row r="331" spans="1:35" hidden="1" x14ac:dyDescent="0.25">
      <c r="A331" s="30">
        <v>148</v>
      </c>
      <c r="B331" s="5" t="s">
        <v>1816</v>
      </c>
      <c r="C331" s="2" t="s">
        <v>293</v>
      </c>
      <c r="D331" s="2" t="s">
        <v>955</v>
      </c>
      <c r="E331" s="2">
        <v>930883</v>
      </c>
      <c r="F331" s="2">
        <v>3122347</v>
      </c>
      <c r="G331" s="2" t="s">
        <v>1797</v>
      </c>
      <c r="H331" s="2" t="s">
        <v>985</v>
      </c>
      <c r="I331" s="2"/>
      <c r="J331" s="2" t="s">
        <v>963</v>
      </c>
      <c r="K331" s="2" t="s">
        <v>1867</v>
      </c>
      <c r="L331" s="44" t="s">
        <v>1924</v>
      </c>
      <c r="M331" s="2"/>
      <c r="N331" s="2" t="s">
        <v>1895</v>
      </c>
      <c r="O331" s="2"/>
      <c r="P331" s="557" t="str">
        <f>CONCATENATE(schedule13[[#This Row],[OD]],"-",schedule13[[#This Row],[ID]],"-",schedule13[[#This Row],[TICKNESS]],"-",schedule13[[#This Row],[GRADE]],"-",schedule13[[#This Row],[FC/NFC]])</f>
        <v>19.05-0-1.6-ERW 2 MAHS-PE</v>
      </c>
      <c r="Q331" s="557" t="str">
        <f>_xlfn.CONCAT(schedule13[[#This Row],[Bucket]],"-",schedule13[[#This Row],[LENGTH]]/1000)</f>
        <v>19.05-0-1.6-ERW 2 MAHS-PE-0.394</v>
      </c>
      <c r="R331" s="557">
        <f>COUNTIF(buckets[CTL Bucket],schedule13[[#This Row],[CTL Bucket]])</f>
        <v>1</v>
      </c>
      <c r="S331" s="1">
        <v>19.05</v>
      </c>
      <c r="T331" s="1">
        <v>19.05</v>
      </c>
      <c r="U331" s="1">
        <v>0</v>
      </c>
      <c r="V331" s="1">
        <v>1.6</v>
      </c>
      <c r="W331" s="24">
        <v>394</v>
      </c>
      <c r="X331" s="22" t="s">
        <v>397</v>
      </c>
      <c r="Y331" s="2">
        <v>40000</v>
      </c>
      <c r="Z331" s="2"/>
      <c r="AA331" s="4">
        <f t="shared" si="57"/>
        <v>40000</v>
      </c>
      <c r="AB331" s="1">
        <f t="shared" si="50"/>
        <v>10.847793337600001</v>
      </c>
      <c r="AC331" s="1">
        <f t="shared" si="52"/>
        <v>0</v>
      </c>
      <c r="AD331" s="1">
        <f t="shared" si="58"/>
        <v>10.847793337600001</v>
      </c>
      <c r="AE331" s="3">
        <f>schedule13[[#This Row],[CTL Stock]]/schedule13[[#This Row],[SCHEDULE IN MT]]*schedule13[[#This Row],[SCHEDULE]]</f>
        <v>6938.9522511546556</v>
      </c>
      <c r="AF331" s="1">
        <f>SUMIFS(stock[MT],stock[Bucket],schedule13[[#This Row],[Bucket]],stock[CTL Bucket],schedule13[[#This Row],[CTL Bucket]])</f>
        <v>1.8818079999999999</v>
      </c>
      <c r="AG331" s="1">
        <f>SUMIFS(stock[MT],stock[Bucket],schedule13[[#This Row],[Bucket]])+SUMIFS(wip[Stock(Net Wt)],wip[Bucket],schedule13[[#This Row],[Bucket]])/1000</f>
        <v>4.8775969999999997</v>
      </c>
      <c r="AH331" s="1">
        <f t="shared" si="59"/>
        <v>-1.8818079999999999</v>
      </c>
      <c r="AI331" s="118" t="e">
        <f>(AC331+AF331)/AB330</f>
        <v>#DIV/0!</v>
      </c>
    </row>
    <row r="332" spans="1:35" hidden="1" x14ac:dyDescent="0.25">
      <c r="A332" s="30">
        <v>152</v>
      </c>
      <c r="B332" s="5" t="s">
        <v>1816</v>
      </c>
      <c r="C332" s="2" t="s">
        <v>293</v>
      </c>
      <c r="D332" s="2" t="s">
        <v>955</v>
      </c>
      <c r="E332" s="2">
        <v>930883</v>
      </c>
      <c r="F332" s="2">
        <v>2403386</v>
      </c>
      <c r="G332" s="2" t="s">
        <v>2016</v>
      </c>
      <c r="H332" s="2" t="s">
        <v>962</v>
      </c>
      <c r="I332" s="2"/>
      <c r="J332" s="2" t="s">
        <v>963</v>
      </c>
      <c r="K332" s="2" t="s">
        <v>239</v>
      </c>
      <c r="L332" s="2"/>
      <c r="M332" s="2"/>
      <c r="N332" s="2"/>
      <c r="O332" s="2"/>
      <c r="P332" s="557" t="str">
        <f>CONCATENATE(schedule13[[#This Row],[OD]],"-",schedule13[[#This Row],[ID]],"-",schedule13[[#This Row],[TICKNESS]],"-",schedule13[[#This Row],[GRADE]],"-",schedule13[[#This Row],[FC/NFC]])</f>
        <v>19.05-0-2-ERW 1-PE</v>
      </c>
      <c r="Q332" s="557" t="str">
        <f>_xlfn.CONCAT(schedule13[[#This Row],[Bucket]],"-",schedule13[[#This Row],[LENGTH]]/1000)</f>
        <v>19.05-0-2-ERW 1-PE-0.358</v>
      </c>
      <c r="R332" s="557">
        <f>COUNTIF(buckets[CTL Bucket],schedule13[[#This Row],[CTL Bucket]])</f>
        <v>3</v>
      </c>
      <c r="S332" s="1">
        <v>19.05</v>
      </c>
      <c r="T332" s="1">
        <v>19.05</v>
      </c>
      <c r="U332" s="1">
        <v>0</v>
      </c>
      <c r="V332" s="1">
        <v>2</v>
      </c>
      <c r="W332" s="27">
        <v>358</v>
      </c>
      <c r="X332" s="22" t="s">
        <v>397</v>
      </c>
      <c r="Y332" s="2">
        <v>5000</v>
      </c>
      <c r="Z332" s="2"/>
      <c r="AA332" s="4">
        <f t="shared" si="57"/>
        <v>5000</v>
      </c>
      <c r="AB332" s="1">
        <f t="shared" si="50"/>
        <v>1.5047944670000002</v>
      </c>
      <c r="AC332" s="1">
        <f t="shared" si="52"/>
        <v>0</v>
      </c>
      <c r="AD332" s="1">
        <f t="shared" si="58"/>
        <v>1.5047944670000002</v>
      </c>
      <c r="AE332" s="3">
        <f>schedule13[[#This Row],[CTL Stock]]/schedule13[[#This Row],[SCHEDULE IN MT]]*schedule13[[#This Row],[SCHEDULE]]</f>
        <v>69.604190005305213</v>
      </c>
      <c r="AF332" s="1">
        <f>SUMIFS(stock[MT],stock[Bucket],schedule13[[#This Row],[Bucket]],stock[CTL Bucket],schedule13[[#This Row],[CTL Bucket]])</f>
        <v>2.0948000000000001E-2</v>
      </c>
      <c r="AG332" s="1">
        <f>SUMIFS(stock[MT],stock[Bucket],schedule13[[#This Row],[Bucket]])+SUMIFS(wip[Stock(Net Wt)],wip[Bucket],schedule13[[#This Row],[Bucket]])/1000</f>
        <v>11.751524</v>
      </c>
      <c r="AH332" s="1">
        <f t="shared" si="59"/>
        <v>10.8268453376</v>
      </c>
      <c r="AI332" s="118">
        <f>(AC332+AF332)/AB331</f>
        <v>1.9310839862141586E-3</v>
      </c>
    </row>
    <row r="333" spans="1:35" hidden="1" x14ac:dyDescent="0.25">
      <c r="A333" s="30">
        <v>153</v>
      </c>
      <c r="B333" s="5" t="s">
        <v>1816</v>
      </c>
      <c r="C333" s="2" t="s">
        <v>293</v>
      </c>
      <c r="D333" s="2" t="s">
        <v>955</v>
      </c>
      <c r="E333" s="2">
        <v>930883</v>
      </c>
      <c r="F333" s="2">
        <v>2403383</v>
      </c>
      <c r="G333" s="2" t="s">
        <v>2018</v>
      </c>
      <c r="H333" s="2" t="s">
        <v>962</v>
      </c>
      <c r="I333" s="2"/>
      <c r="J333" s="2" t="s">
        <v>963</v>
      </c>
      <c r="K333" s="2" t="s">
        <v>239</v>
      </c>
      <c r="L333" s="2"/>
      <c r="M333" s="2"/>
      <c r="N333" s="2"/>
      <c r="O333" s="2"/>
      <c r="P333" s="557" t="str">
        <f>CONCATENATE(schedule13[[#This Row],[OD]],"-",schedule13[[#This Row],[ID]],"-",schedule13[[#This Row],[TICKNESS]],"-",schedule13[[#This Row],[GRADE]],"-",schedule13[[#This Row],[FC/NFC]])</f>
        <v>19.05-0-2-ERW 1-PE</v>
      </c>
      <c r="Q333" s="557" t="str">
        <f>_xlfn.CONCAT(schedule13[[#This Row],[Bucket]],"-",schedule13[[#This Row],[LENGTH]]/1000)</f>
        <v>19.05-0-2-ERW 1-PE-0.475</v>
      </c>
      <c r="R333" s="557">
        <f>COUNTIF(buckets[CTL Bucket],schedule13[[#This Row],[CTL Bucket]])</f>
        <v>3</v>
      </c>
      <c r="S333" s="1">
        <v>19.05</v>
      </c>
      <c r="T333" s="1">
        <v>19.05</v>
      </c>
      <c r="U333" s="1">
        <v>0</v>
      </c>
      <c r="V333" s="1">
        <v>2</v>
      </c>
      <c r="W333" s="24">
        <v>475</v>
      </c>
      <c r="X333" s="22" t="s">
        <v>397</v>
      </c>
      <c r="Y333" s="2">
        <v>5000</v>
      </c>
      <c r="Z333" s="2"/>
      <c r="AA333" s="4">
        <f t="shared" si="57"/>
        <v>5000</v>
      </c>
      <c r="AB333" s="1">
        <f t="shared" si="50"/>
        <v>1.9965848375000002</v>
      </c>
      <c r="AC333" s="1">
        <f t="shared" si="52"/>
        <v>0</v>
      </c>
      <c r="AD333" s="1">
        <f t="shared" si="58"/>
        <v>1.9965848375000002</v>
      </c>
      <c r="AE333" s="3">
        <f>schedule13[[#This Row],[CTL Stock]]/schedule13[[#This Row],[SCHEDULE IN MT]]*schedule13[[#This Row],[SCHEDULE]]</f>
        <v>22.037631045567831</v>
      </c>
      <c r="AF333" s="1">
        <f>SUMIFS(stock[MT],stock[Bucket],schedule13[[#This Row],[Bucket]],stock[CTL Bucket],schedule13[[#This Row],[CTL Bucket]])</f>
        <v>8.8000000000000005E-3</v>
      </c>
      <c r="AG333" s="1">
        <f>SUMIFS(stock[MT],stock[Bucket],schedule13[[#This Row],[Bucket]])+SUMIFS(wip[Stock(Net Wt)],wip[Bucket],schedule13[[#This Row],[Bucket]])/1000</f>
        <v>11.751524</v>
      </c>
      <c r="AH333" s="1">
        <f t="shared" si="59"/>
        <v>1.4959944670000003</v>
      </c>
      <c r="AI333" s="118"/>
    </row>
    <row r="334" spans="1:35" hidden="1" x14ac:dyDescent="0.25">
      <c r="A334" s="30">
        <v>158</v>
      </c>
      <c r="B334" s="5" t="s">
        <v>1816</v>
      </c>
      <c r="C334" s="2" t="s">
        <v>293</v>
      </c>
      <c r="D334" s="2" t="s">
        <v>955</v>
      </c>
      <c r="E334" s="2">
        <v>930883</v>
      </c>
      <c r="F334" s="2">
        <v>1940472</v>
      </c>
      <c r="G334" s="2" t="s">
        <v>2063</v>
      </c>
      <c r="H334" s="2" t="s">
        <v>962</v>
      </c>
      <c r="I334" s="2"/>
      <c r="J334" s="2"/>
      <c r="K334" s="2" t="s">
        <v>239</v>
      </c>
      <c r="L334" s="2"/>
      <c r="M334" s="2"/>
      <c r="N334" s="2"/>
      <c r="O334" s="2"/>
      <c r="P334" s="557" t="str">
        <f>CONCATENATE(schedule13[[#This Row],[OD]],"-",schedule13[[#This Row],[ID]],"-",schedule13[[#This Row],[TICKNESS]],"-",schedule13[[#This Row],[GRADE]],"-",schedule13[[#This Row],[FC/NFC]])</f>
        <v>22.23-0-2-ERW 1-</v>
      </c>
      <c r="Q334" s="557"/>
      <c r="R334" s="557"/>
      <c r="S334" s="1">
        <v>22.23</v>
      </c>
      <c r="T334" s="1">
        <v>22.23</v>
      </c>
      <c r="U334" s="1">
        <v>0</v>
      </c>
      <c r="V334" s="1">
        <v>2</v>
      </c>
      <c r="W334" s="24">
        <v>862</v>
      </c>
      <c r="X334" s="24"/>
      <c r="Y334" s="2">
        <v>0</v>
      </c>
      <c r="Z334" s="2"/>
      <c r="AA334" s="4">
        <f t="shared" si="57"/>
        <v>0</v>
      </c>
      <c r="AB334" s="1">
        <f t="shared" ref="AB334:AB397" si="60">(S334-V334)*V334*W334*0.024653*Y334/1000000</f>
        <v>0</v>
      </c>
      <c r="AC334" s="1">
        <f t="shared" si="52"/>
        <v>0</v>
      </c>
      <c r="AD334" s="1">
        <f t="shared" si="58"/>
        <v>0</v>
      </c>
      <c r="AE334" s="1"/>
      <c r="AF334" s="1"/>
      <c r="AG334" s="1"/>
      <c r="AH334" s="1">
        <f t="shared" si="59"/>
        <v>1.9965848375000002</v>
      </c>
      <c r="AI334" s="118">
        <f t="shared" ref="AI334:AI348" si="61">(AC334+AF334)/AB333</f>
        <v>0</v>
      </c>
    </row>
    <row r="335" spans="1:35" hidden="1" x14ac:dyDescent="0.25">
      <c r="A335" s="30">
        <v>159</v>
      </c>
      <c r="B335" s="5" t="s">
        <v>1816</v>
      </c>
      <c r="C335" s="2" t="s">
        <v>293</v>
      </c>
      <c r="D335" s="2" t="s">
        <v>955</v>
      </c>
      <c r="E335" s="2">
        <v>930883</v>
      </c>
      <c r="F335" s="2">
        <v>1940562</v>
      </c>
      <c r="G335" s="2" t="s">
        <v>2065</v>
      </c>
      <c r="H335" s="2" t="s">
        <v>962</v>
      </c>
      <c r="I335" s="2"/>
      <c r="J335" s="2"/>
      <c r="K335" s="2" t="s">
        <v>239</v>
      </c>
      <c r="L335" s="2"/>
      <c r="M335" s="2"/>
      <c r="N335" s="2"/>
      <c r="O335" s="2"/>
      <c r="P335" s="557" t="str">
        <f>CONCATENATE(schedule13[[#This Row],[OD]],"-",schedule13[[#This Row],[ID]],"-",schedule13[[#This Row],[TICKNESS]],"-",schedule13[[#This Row],[GRADE]],"-",schedule13[[#This Row],[FC/NFC]])</f>
        <v>25.4-0-1.6-ERW 1-</v>
      </c>
      <c r="Q335" s="557"/>
      <c r="R335" s="557"/>
      <c r="S335" s="1">
        <v>25.4</v>
      </c>
      <c r="T335" s="1">
        <v>25.4</v>
      </c>
      <c r="U335" s="1">
        <v>0</v>
      </c>
      <c r="V335" s="1">
        <v>1.6</v>
      </c>
      <c r="W335" s="24">
        <v>360</v>
      </c>
      <c r="X335" s="24"/>
      <c r="Y335" s="2">
        <v>0</v>
      </c>
      <c r="Z335" s="2"/>
      <c r="AA335" s="4">
        <f t="shared" si="57"/>
        <v>0</v>
      </c>
      <c r="AB335" s="1">
        <f t="shared" si="60"/>
        <v>0</v>
      </c>
      <c r="AC335" s="1">
        <f t="shared" si="52"/>
        <v>0</v>
      </c>
      <c r="AD335" s="1">
        <f t="shared" si="58"/>
        <v>0</v>
      </c>
      <c r="AE335" s="1"/>
      <c r="AF335" s="1">
        <v>0.34402100000000002</v>
      </c>
      <c r="AG335" s="1"/>
      <c r="AH335" s="1">
        <f t="shared" si="59"/>
        <v>-0.34402100000000002</v>
      </c>
      <c r="AI335" s="118" t="e">
        <f t="shared" si="61"/>
        <v>#DIV/0!</v>
      </c>
    </row>
    <row r="336" spans="1:35" hidden="1" x14ac:dyDescent="0.25">
      <c r="A336" s="30">
        <v>161</v>
      </c>
      <c r="B336" s="5" t="s">
        <v>1816</v>
      </c>
      <c r="C336" s="2" t="s">
        <v>293</v>
      </c>
      <c r="D336" s="2" t="s">
        <v>955</v>
      </c>
      <c r="E336" s="2">
        <v>930883</v>
      </c>
      <c r="F336" s="2">
        <v>2410998</v>
      </c>
      <c r="G336" s="2" t="s">
        <v>2003</v>
      </c>
      <c r="H336" s="2" t="s">
        <v>357</v>
      </c>
      <c r="I336" s="2"/>
      <c r="J336" s="2"/>
      <c r="K336" s="2" t="s">
        <v>239</v>
      </c>
      <c r="L336" s="2"/>
      <c r="M336" s="2"/>
      <c r="N336" s="2"/>
      <c r="O336" s="2"/>
      <c r="P336" s="557" t="str">
        <f>CONCATENATE(schedule13[[#This Row],[OD]],"-",schedule13[[#This Row],[ID]],"-",schedule13[[#This Row],[TICKNESS]],"-",schedule13[[#This Row],[GRADE]],"-",schedule13[[#This Row],[FC/NFC]])</f>
        <v>18.2-12.3-2.95-CEW-</v>
      </c>
      <c r="Q336" s="557"/>
      <c r="R336" s="557"/>
      <c r="S336" s="1">
        <v>18.2</v>
      </c>
      <c r="T336" s="1">
        <v>18.2</v>
      </c>
      <c r="U336" s="1">
        <v>12.3</v>
      </c>
      <c r="V336" s="1">
        <v>2.95</v>
      </c>
      <c r="W336" s="24">
        <v>4500</v>
      </c>
      <c r="X336" s="24"/>
      <c r="Y336" s="2">
        <v>0</v>
      </c>
      <c r="Z336" s="2"/>
      <c r="AA336" s="4">
        <f t="shared" si="57"/>
        <v>0</v>
      </c>
      <c r="AB336" s="1">
        <f t="shared" si="60"/>
        <v>0</v>
      </c>
      <c r="AC336" s="1">
        <f t="shared" si="52"/>
        <v>0</v>
      </c>
      <c r="AD336" s="1">
        <f t="shared" si="58"/>
        <v>0</v>
      </c>
      <c r="AE336" s="1"/>
      <c r="AF336" s="1"/>
      <c r="AG336" s="1"/>
      <c r="AH336" s="1">
        <f t="shared" si="59"/>
        <v>0</v>
      </c>
      <c r="AI336" s="118" t="e">
        <f t="shared" si="61"/>
        <v>#DIV/0!</v>
      </c>
    </row>
    <row r="337" spans="1:35" hidden="1" x14ac:dyDescent="0.25">
      <c r="A337" s="30">
        <v>163</v>
      </c>
      <c r="B337" s="5" t="s">
        <v>1816</v>
      </c>
      <c r="C337" s="2" t="s">
        <v>293</v>
      </c>
      <c r="D337" s="2" t="s">
        <v>955</v>
      </c>
      <c r="E337" s="2">
        <v>930883</v>
      </c>
      <c r="F337" s="2">
        <v>1940603</v>
      </c>
      <c r="G337" s="2" t="s">
        <v>2066</v>
      </c>
      <c r="H337" s="2" t="s">
        <v>962</v>
      </c>
      <c r="I337" s="2"/>
      <c r="J337" s="2"/>
      <c r="K337" s="2" t="s">
        <v>239</v>
      </c>
      <c r="L337" s="2"/>
      <c r="M337" s="2"/>
      <c r="N337" s="2"/>
      <c r="O337" s="2"/>
      <c r="P337" s="557" t="str">
        <f>CONCATENATE(schedule13[[#This Row],[OD]],"-",schedule13[[#This Row],[ID]],"-",schedule13[[#This Row],[TICKNESS]],"-",schedule13[[#This Row],[GRADE]],"-",schedule13[[#This Row],[FC/NFC]])</f>
        <v>25.4-0-2.6-ERW 1-</v>
      </c>
      <c r="Q337" s="557"/>
      <c r="R337" s="557"/>
      <c r="S337" s="1">
        <v>25.4</v>
      </c>
      <c r="T337" s="1">
        <v>25.4</v>
      </c>
      <c r="U337" s="1">
        <v>0</v>
      </c>
      <c r="V337" s="1">
        <v>2.6</v>
      </c>
      <c r="W337" s="24">
        <v>360</v>
      </c>
      <c r="X337" s="24"/>
      <c r="Y337" s="2">
        <v>0</v>
      </c>
      <c r="Z337" s="2"/>
      <c r="AA337" s="4">
        <f t="shared" si="57"/>
        <v>0</v>
      </c>
      <c r="AB337" s="1">
        <f t="shared" si="60"/>
        <v>0</v>
      </c>
      <c r="AC337" s="1">
        <f t="shared" si="52"/>
        <v>0</v>
      </c>
      <c r="AD337" s="1">
        <f t="shared" si="58"/>
        <v>0</v>
      </c>
      <c r="AE337" s="1"/>
      <c r="AF337" s="1">
        <v>3.0570000000000004</v>
      </c>
      <c r="AG337" s="1"/>
      <c r="AH337" s="1">
        <f t="shared" si="59"/>
        <v>-3.0570000000000004</v>
      </c>
      <c r="AI337" s="118" t="e">
        <f t="shared" si="61"/>
        <v>#DIV/0!</v>
      </c>
    </row>
    <row r="338" spans="1:35" hidden="1" x14ac:dyDescent="0.25">
      <c r="A338" s="30">
        <v>168</v>
      </c>
      <c r="B338" s="5" t="s">
        <v>1872</v>
      </c>
      <c r="C338" s="2" t="s">
        <v>293</v>
      </c>
      <c r="D338" s="2" t="s">
        <v>955</v>
      </c>
      <c r="E338" s="2">
        <v>930883</v>
      </c>
      <c r="F338" s="2">
        <v>2410997</v>
      </c>
      <c r="G338" s="2" t="s">
        <v>814</v>
      </c>
      <c r="H338" s="2" t="s">
        <v>357</v>
      </c>
      <c r="I338" s="2"/>
      <c r="J338" s="2"/>
      <c r="K338" s="2" t="s">
        <v>239</v>
      </c>
      <c r="L338" s="2"/>
      <c r="M338" s="2"/>
      <c r="N338" s="2"/>
      <c r="O338" s="2"/>
      <c r="P338" s="557" t="str">
        <f>CONCATENATE(schedule13[[#This Row],[OD]],"-",schedule13[[#This Row],[ID]],"-",schedule13[[#This Row],[TICKNESS]],"-",schedule13[[#This Row],[GRADE]],"-",schedule13[[#This Row],[FC/NFC]])</f>
        <v>25.4-19-3.2-CEW-</v>
      </c>
      <c r="Q338" s="557"/>
      <c r="R338" s="557"/>
      <c r="S338" s="1">
        <v>25.4</v>
      </c>
      <c r="T338" s="1">
        <v>25.4</v>
      </c>
      <c r="U338" s="1">
        <v>19</v>
      </c>
      <c r="V338" s="1">
        <v>3.2</v>
      </c>
      <c r="W338" s="24">
        <v>4500</v>
      </c>
      <c r="X338" s="24"/>
      <c r="Y338" s="2">
        <v>0</v>
      </c>
      <c r="Z338" s="2"/>
      <c r="AA338" s="4">
        <f t="shared" si="57"/>
        <v>0</v>
      </c>
      <c r="AB338" s="1">
        <f t="shared" si="60"/>
        <v>0</v>
      </c>
      <c r="AC338" s="1">
        <f t="shared" si="52"/>
        <v>0</v>
      </c>
      <c r="AD338" s="1">
        <f t="shared" si="58"/>
        <v>0</v>
      </c>
      <c r="AE338" s="1"/>
      <c r="AF338" s="1">
        <v>4.3706000000000005</v>
      </c>
      <c r="AG338" s="1"/>
      <c r="AH338" s="1">
        <f t="shared" si="59"/>
        <v>-4.3706000000000005</v>
      </c>
      <c r="AI338" s="118" t="e">
        <f t="shared" si="61"/>
        <v>#DIV/0!</v>
      </c>
    </row>
    <row r="339" spans="1:35" hidden="1" x14ac:dyDescent="0.25">
      <c r="A339" s="30">
        <v>170</v>
      </c>
      <c r="B339" s="5" t="s">
        <v>1872</v>
      </c>
      <c r="C339" s="2" t="s">
        <v>293</v>
      </c>
      <c r="D339" s="2" t="s">
        <v>955</v>
      </c>
      <c r="E339" s="2">
        <v>930883</v>
      </c>
      <c r="F339" s="2">
        <v>2422135</v>
      </c>
      <c r="G339" s="2" t="s">
        <v>2058</v>
      </c>
      <c r="H339" s="2" t="s">
        <v>357</v>
      </c>
      <c r="I339" s="2" t="s">
        <v>1894</v>
      </c>
      <c r="J339" s="2"/>
      <c r="K339" s="2" t="s">
        <v>239</v>
      </c>
      <c r="L339" s="2"/>
      <c r="M339" s="2"/>
      <c r="N339" s="2"/>
      <c r="O339" s="2"/>
      <c r="P339" s="557" t="str">
        <f>CONCATENATE(schedule13[[#This Row],[OD]],"-",schedule13[[#This Row],[ID]],"-",schedule13[[#This Row],[TICKNESS]],"-",schedule13[[#This Row],[GRADE]],"-",schedule13[[#This Row],[FC/NFC]])</f>
        <v>42.7-0-4-CEW-</v>
      </c>
      <c r="Q339" s="557"/>
      <c r="R339" s="557"/>
      <c r="S339" s="1">
        <v>42.7</v>
      </c>
      <c r="T339" s="1">
        <v>42.7</v>
      </c>
      <c r="U339" s="1">
        <v>0</v>
      </c>
      <c r="V339" s="1">
        <v>4</v>
      </c>
      <c r="W339" s="24">
        <v>208</v>
      </c>
      <c r="X339" s="24"/>
      <c r="Y339" s="2">
        <v>0</v>
      </c>
      <c r="Z339" s="2"/>
      <c r="AA339" s="4">
        <f t="shared" si="57"/>
        <v>0</v>
      </c>
      <c r="AB339" s="1">
        <f t="shared" si="60"/>
        <v>0</v>
      </c>
      <c r="AC339" s="1">
        <f t="shared" si="52"/>
        <v>0</v>
      </c>
      <c r="AD339" s="1">
        <f t="shared" si="58"/>
        <v>0</v>
      </c>
      <c r="AE339" s="1"/>
      <c r="AF339" s="1">
        <v>6.3650000000000002</v>
      </c>
      <c r="AG339" s="1"/>
      <c r="AH339" s="1">
        <f t="shared" si="59"/>
        <v>-6.3650000000000002</v>
      </c>
      <c r="AI339" s="118" t="e">
        <f t="shared" si="61"/>
        <v>#DIV/0!</v>
      </c>
    </row>
    <row r="340" spans="1:35" hidden="1" x14ac:dyDescent="0.25">
      <c r="A340" s="30">
        <v>173</v>
      </c>
      <c r="B340" s="5" t="s">
        <v>1816</v>
      </c>
      <c r="C340" s="2" t="s">
        <v>293</v>
      </c>
      <c r="D340" s="2" t="s">
        <v>955</v>
      </c>
      <c r="E340" s="2">
        <v>930883</v>
      </c>
      <c r="F340" s="2">
        <v>3122348</v>
      </c>
      <c r="G340" s="2" t="s">
        <v>2059</v>
      </c>
      <c r="H340" s="2" t="s">
        <v>962</v>
      </c>
      <c r="I340" s="2"/>
      <c r="J340" s="2"/>
      <c r="K340" s="2" t="s">
        <v>239</v>
      </c>
      <c r="L340" s="2"/>
      <c r="M340" s="2"/>
      <c r="N340" s="2"/>
      <c r="O340" s="2"/>
      <c r="P340" s="557" t="str">
        <f>CONCATENATE(schedule13[[#This Row],[OD]],"-",schedule13[[#This Row],[ID]],"-",schedule13[[#This Row],[TICKNESS]],"-",schedule13[[#This Row],[GRADE]],"-",schedule13[[#This Row],[FC/NFC]])</f>
        <v>19.05-0-2-ERW 1-</v>
      </c>
      <c r="Q340" s="557"/>
      <c r="R340" s="557"/>
      <c r="S340" s="1">
        <v>19.05</v>
      </c>
      <c r="T340" s="1">
        <v>19.05</v>
      </c>
      <c r="U340" s="1">
        <v>0</v>
      </c>
      <c r="V340" s="1">
        <v>2</v>
      </c>
      <c r="W340" s="24">
        <v>238.5</v>
      </c>
      <c r="X340" s="24"/>
      <c r="Y340" s="2">
        <v>0</v>
      </c>
      <c r="Z340" s="2"/>
      <c r="AA340" s="4">
        <f t="shared" si="57"/>
        <v>0</v>
      </c>
      <c r="AB340" s="1">
        <f t="shared" si="60"/>
        <v>0</v>
      </c>
      <c r="AC340" s="1">
        <f t="shared" si="52"/>
        <v>0</v>
      </c>
      <c r="AD340" s="1">
        <f t="shared" si="58"/>
        <v>0</v>
      </c>
      <c r="AE340" s="1"/>
      <c r="AF340" s="1">
        <v>0.46290399999999998</v>
      </c>
      <c r="AG340" s="1"/>
      <c r="AH340" s="1">
        <f t="shared" si="59"/>
        <v>-0.46290399999999998</v>
      </c>
      <c r="AI340" s="118" t="e">
        <f t="shared" si="61"/>
        <v>#DIV/0!</v>
      </c>
    </row>
    <row r="341" spans="1:35" hidden="1" x14ac:dyDescent="0.25">
      <c r="A341" s="30">
        <v>174</v>
      </c>
      <c r="B341" s="5" t="s">
        <v>1816</v>
      </c>
      <c r="C341" s="2" t="s">
        <v>293</v>
      </c>
      <c r="D341" s="2" t="s">
        <v>955</v>
      </c>
      <c r="E341" s="2">
        <v>930883</v>
      </c>
      <c r="F341" s="2">
        <v>3186831</v>
      </c>
      <c r="G341" s="2" t="s">
        <v>2068</v>
      </c>
      <c r="H341" s="2" t="s">
        <v>962</v>
      </c>
      <c r="I341" s="2"/>
      <c r="J341" s="2" t="s">
        <v>1003</v>
      </c>
      <c r="K341" s="2" t="s">
        <v>239</v>
      </c>
      <c r="L341" s="2"/>
      <c r="M341" s="2"/>
      <c r="N341" s="2"/>
      <c r="O341" s="2"/>
      <c r="P341" s="557" t="str">
        <f>CONCATENATE(schedule13[[#This Row],[OD]],"-",schedule13[[#This Row],[ID]],"-",schedule13[[#This Row],[TICKNESS]],"-",schedule13[[#This Row],[GRADE]],"-",schedule13[[#This Row],[FC/NFC]])</f>
        <v>41.28-0-2.6-ERW 1-FC</v>
      </c>
      <c r="Q341" s="557"/>
      <c r="R341" s="557"/>
      <c r="S341" s="1">
        <v>41.28</v>
      </c>
      <c r="T341" s="1">
        <v>41.28</v>
      </c>
      <c r="U341" s="1">
        <v>0</v>
      </c>
      <c r="V341" s="1">
        <v>2.6</v>
      </c>
      <c r="W341" s="24">
        <v>848</v>
      </c>
      <c r="X341" s="24"/>
      <c r="Y341" s="2">
        <v>0</v>
      </c>
      <c r="Z341" s="2"/>
      <c r="AA341" s="4">
        <f t="shared" si="57"/>
        <v>0</v>
      </c>
      <c r="AB341" s="1">
        <f t="shared" si="60"/>
        <v>0</v>
      </c>
      <c r="AC341" s="1">
        <f t="shared" si="52"/>
        <v>0</v>
      </c>
      <c r="AD341" s="1">
        <f t="shared" si="58"/>
        <v>0</v>
      </c>
      <c r="AE341" s="1"/>
      <c r="AF341" s="1"/>
      <c r="AG341" s="1"/>
      <c r="AH341" s="1">
        <f t="shared" si="59"/>
        <v>0</v>
      </c>
      <c r="AI341" s="118" t="e">
        <f t="shared" si="61"/>
        <v>#DIV/0!</v>
      </c>
    </row>
    <row r="342" spans="1:35" hidden="1" x14ac:dyDescent="0.25">
      <c r="A342" s="30">
        <v>187</v>
      </c>
      <c r="B342" s="5" t="s">
        <v>1816</v>
      </c>
      <c r="C342" s="2" t="s">
        <v>293</v>
      </c>
      <c r="D342" s="2" t="s">
        <v>955</v>
      </c>
      <c r="E342" s="2">
        <v>930883</v>
      </c>
      <c r="F342" s="2">
        <v>1940510</v>
      </c>
      <c r="G342" s="2" t="s">
        <v>1536</v>
      </c>
      <c r="H342" s="2" t="s">
        <v>962</v>
      </c>
      <c r="I342" s="2"/>
      <c r="J342" s="2"/>
      <c r="K342" s="2" t="s">
        <v>239</v>
      </c>
      <c r="L342" s="2"/>
      <c r="M342" s="2"/>
      <c r="N342" s="2"/>
      <c r="O342" s="2"/>
      <c r="P342" s="557" t="str">
        <f>CONCATENATE(schedule13[[#This Row],[OD]],"-",schedule13[[#This Row],[ID]],"-",schedule13[[#This Row],[TICKNESS]],"-",schedule13[[#This Row],[GRADE]],"-",schedule13[[#This Row],[FC/NFC]])</f>
        <v>22.23-0-2.3-ERW 1-</v>
      </c>
      <c r="Q342" s="557"/>
      <c r="R342" s="557"/>
      <c r="S342" s="1">
        <v>22.23</v>
      </c>
      <c r="T342" s="1">
        <v>22.23</v>
      </c>
      <c r="U342" s="1">
        <v>0</v>
      </c>
      <c r="V342" s="1">
        <v>2.2999999999999998</v>
      </c>
      <c r="W342" s="27">
        <v>6000</v>
      </c>
      <c r="X342" s="27"/>
      <c r="Y342" s="2">
        <v>834</v>
      </c>
      <c r="Z342" s="2"/>
      <c r="AA342" s="4">
        <f t="shared" si="57"/>
        <v>834</v>
      </c>
      <c r="AB342" s="1">
        <f t="shared" si="60"/>
        <v>5.6548646104680005</v>
      </c>
      <c r="AC342" s="1">
        <f t="shared" si="52"/>
        <v>0</v>
      </c>
      <c r="AD342" s="1">
        <f t="shared" si="58"/>
        <v>5.6548646104680005</v>
      </c>
      <c r="AE342" s="1"/>
      <c r="AF342" s="1"/>
      <c r="AG342" s="1"/>
      <c r="AH342" s="1">
        <f t="shared" si="59"/>
        <v>0</v>
      </c>
      <c r="AI342" s="118" t="e">
        <f t="shared" si="61"/>
        <v>#DIV/0!</v>
      </c>
    </row>
    <row r="343" spans="1:35" hidden="1" x14ac:dyDescent="0.25">
      <c r="A343" s="30">
        <v>194</v>
      </c>
      <c r="B343" s="5" t="s">
        <v>1816</v>
      </c>
      <c r="C343" s="2" t="s">
        <v>293</v>
      </c>
      <c r="D343" s="2" t="s">
        <v>955</v>
      </c>
      <c r="E343" s="2">
        <v>930883</v>
      </c>
      <c r="F343" s="2">
        <v>1941840</v>
      </c>
      <c r="G343" s="2" t="s">
        <v>2067</v>
      </c>
      <c r="H343" s="2" t="s">
        <v>962</v>
      </c>
      <c r="I343" s="2"/>
      <c r="J343" s="2" t="s">
        <v>1003</v>
      </c>
      <c r="K343" s="2" t="s">
        <v>239</v>
      </c>
      <c r="L343" s="2"/>
      <c r="M343" s="2"/>
      <c r="N343" s="2"/>
      <c r="O343" s="2"/>
      <c r="P343" s="557" t="str">
        <f>CONCATENATE(schedule13[[#This Row],[OD]],"-",schedule13[[#This Row],[ID]],"-",schedule13[[#This Row],[TICKNESS]],"-",schedule13[[#This Row],[GRADE]],"-",schedule13[[#This Row],[FC/NFC]])</f>
        <v>31.75-0-2.5-ERW 1-FC</v>
      </c>
      <c r="Q343" s="557" t="str">
        <f>schedule13[[#This Row],[Bucket]]</f>
        <v>31.75-0-2.5-ERW 1-FC</v>
      </c>
      <c r="R343" s="557">
        <f>COUNTIF(buckets[CTL Bucket],schedule13[[#This Row],[CTL Bucket]])</f>
        <v>0</v>
      </c>
      <c r="S343" s="1">
        <v>31.75</v>
      </c>
      <c r="T343" s="1">
        <v>31.75</v>
      </c>
      <c r="U343" s="1">
        <v>0</v>
      </c>
      <c r="V343" s="1">
        <v>2.5</v>
      </c>
      <c r="W343" s="24">
        <v>1000</v>
      </c>
      <c r="X343" s="22" t="s">
        <v>444</v>
      </c>
      <c r="Y343" s="2">
        <v>0</v>
      </c>
      <c r="Z343" s="2"/>
      <c r="AA343" s="4">
        <f t="shared" si="57"/>
        <v>0</v>
      </c>
      <c r="AB343" s="1">
        <f t="shared" si="60"/>
        <v>0</v>
      </c>
      <c r="AC343" s="1">
        <f t="shared" si="52"/>
        <v>0</v>
      </c>
      <c r="AD343" s="1">
        <f t="shared" si="58"/>
        <v>0</v>
      </c>
      <c r="AE343" s="3" t="e">
        <f>schedule13[[#This Row],[CTL Stock]]/schedule13[[#This Row],[SCHEDULE IN MT]]*schedule13[[#This Row],[SCHEDULE]]</f>
        <v>#DIV/0!</v>
      </c>
      <c r="AF343" s="1">
        <f>SUMIFS(stock[MT],stock[Bucket],schedule13[[#This Row],[Bucket]],stock[CTL Bucket],schedule13[[#This Row],[CTL Bucket]])</f>
        <v>0</v>
      </c>
      <c r="AG343" s="1">
        <f>SUMIFS(stock[MT],stock[Bucket],schedule13[[#This Row],[Bucket]])+SUMIFS(wip[Stock(Net Wt)],wip[Bucket],schedule13[[#This Row],[Bucket]])/1000</f>
        <v>5.9421669999999995</v>
      </c>
      <c r="AH343" s="1">
        <f t="shared" si="59"/>
        <v>5.6548646104680005</v>
      </c>
      <c r="AI343" s="118">
        <f t="shared" si="61"/>
        <v>0</v>
      </c>
    </row>
    <row r="344" spans="1:35" hidden="1" x14ac:dyDescent="0.25">
      <c r="A344" s="30">
        <v>199</v>
      </c>
      <c r="B344" s="5" t="s">
        <v>1816</v>
      </c>
      <c r="C344" s="2" t="s">
        <v>293</v>
      </c>
      <c r="D344" s="2" t="s">
        <v>955</v>
      </c>
      <c r="E344" s="2">
        <v>930883</v>
      </c>
      <c r="F344" s="2">
        <v>1940830</v>
      </c>
      <c r="G344" s="2" t="s">
        <v>587</v>
      </c>
      <c r="H344" s="2" t="s">
        <v>962</v>
      </c>
      <c r="I344" s="2"/>
      <c r="J344" s="2" t="s">
        <v>1003</v>
      </c>
      <c r="K344" s="2" t="s">
        <v>1867</v>
      </c>
      <c r="L344" s="44" t="s">
        <v>1891</v>
      </c>
      <c r="M344" s="2"/>
      <c r="N344" s="2"/>
      <c r="O344" s="2"/>
      <c r="P344" s="557" t="str">
        <f>CONCATENATE(schedule13[[#This Row],[OD]],"-",schedule13[[#This Row],[ID]],"-",schedule13[[#This Row],[TICKNESS]],"-",schedule13[[#This Row],[GRADE]],"-",schedule13[[#This Row],[FC/NFC]])</f>
        <v>40-30-1.6-ERW 1-FC</v>
      </c>
      <c r="Q344" s="557" t="str">
        <f>_xlfn.CONCAT(schedule13[[#This Row],[Bucket]],"-",schedule13[[#This Row],[LENGTH]]/1000)</f>
        <v>40-30-1.6-ERW 1-FC-0.86</v>
      </c>
      <c r="R344" s="557">
        <f>COUNTIF(buckets[CTL Bucket],schedule13[[#This Row],[CTL Bucket]])</f>
        <v>1</v>
      </c>
      <c r="S344" s="1">
        <v>44.45</v>
      </c>
      <c r="T344" s="1">
        <v>40</v>
      </c>
      <c r="U344" s="6">
        <v>30</v>
      </c>
      <c r="V344" s="1">
        <v>1.6</v>
      </c>
      <c r="W344" s="24">
        <v>860</v>
      </c>
      <c r="X344" s="22" t="s">
        <v>397</v>
      </c>
      <c r="Y344" s="2">
        <v>3000</v>
      </c>
      <c r="Z344" s="2"/>
      <c r="AA344" s="4">
        <f t="shared" si="57"/>
        <v>3000</v>
      </c>
      <c r="AB344" s="1">
        <f t="shared" si="60"/>
        <v>4.3607409743999996</v>
      </c>
      <c r="AC344" s="1">
        <f t="shared" si="52"/>
        <v>0</v>
      </c>
      <c r="AD344" s="1">
        <f t="shared" si="58"/>
        <v>4.3607409743999996</v>
      </c>
      <c r="AE344" s="3">
        <f>schedule13[[#This Row],[CTL Stock]]/schedule13[[#This Row],[SCHEDULE IN MT]]*schedule13[[#This Row],[SCHEDULE]]</f>
        <v>9.6657885087521098</v>
      </c>
      <c r="AF344" s="1">
        <f>SUMIFS(stock[MT],stock[Bucket],schedule13[[#This Row],[Bucket]],stock[CTL Bucket],schedule13[[#This Row],[CTL Bucket]])</f>
        <v>1.405E-2</v>
      </c>
      <c r="AG344" s="1">
        <f>SUMIFS(stock[MT],stock[Bucket],schedule13[[#This Row],[Bucket]])+SUMIFS(wip[Stock(Net Wt)],wip[Bucket],schedule13[[#This Row],[Bucket]])/1000</f>
        <v>1.9878749999999998</v>
      </c>
      <c r="AH344" s="1">
        <f t="shared" si="59"/>
        <v>-1.405E-2</v>
      </c>
      <c r="AI344" s="118" t="e">
        <f t="shared" si="61"/>
        <v>#DIV/0!</v>
      </c>
    </row>
    <row r="345" spans="1:35" hidden="1" x14ac:dyDescent="0.25">
      <c r="A345" s="30">
        <v>202</v>
      </c>
      <c r="B345" s="5" t="s">
        <v>1872</v>
      </c>
      <c r="C345" s="2" t="s">
        <v>293</v>
      </c>
      <c r="D345" s="2" t="s">
        <v>955</v>
      </c>
      <c r="E345" s="2">
        <v>930883</v>
      </c>
      <c r="F345" s="2">
        <v>234926</v>
      </c>
      <c r="G345" s="2" t="s">
        <v>2057</v>
      </c>
      <c r="H345" s="2" t="s">
        <v>357</v>
      </c>
      <c r="I345" s="2"/>
      <c r="J345" s="2"/>
      <c r="K345" s="2" t="s">
        <v>239</v>
      </c>
      <c r="L345" s="2"/>
      <c r="M345" s="2"/>
      <c r="N345" s="2"/>
      <c r="O345" s="2"/>
      <c r="P345" s="557" t="str">
        <f>CONCATENATE(schedule13[[#This Row],[OD]],"-",schedule13[[#This Row],[ID]],"-",schedule13[[#This Row],[TICKNESS]],"-",schedule13[[#This Row],[GRADE]],"-",schedule13[[#This Row],[FC/NFC]])</f>
        <v>21.75-0-3.5-CEW-</v>
      </c>
      <c r="Q345" s="557"/>
      <c r="R345" s="557"/>
      <c r="S345" s="1">
        <v>21.75</v>
      </c>
      <c r="T345" s="1">
        <v>21.75</v>
      </c>
      <c r="U345" s="1">
        <v>0</v>
      </c>
      <c r="V345" s="1">
        <v>3.5</v>
      </c>
      <c r="W345" s="23">
        <v>5000</v>
      </c>
      <c r="X345" s="23"/>
      <c r="Y345" s="2">
        <v>0</v>
      </c>
      <c r="Z345" s="2"/>
      <c r="AA345" s="4">
        <f t="shared" si="57"/>
        <v>0</v>
      </c>
      <c r="AB345" s="1">
        <f t="shared" si="60"/>
        <v>0</v>
      </c>
      <c r="AC345" s="1">
        <f t="shared" ref="AC345:AC408" si="62">(S345-V345)*V345*W345*0.024653*Z345/1000000</f>
        <v>0</v>
      </c>
      <c r="AD345" s="1">
        <f t="shared" si="58"/>
        <v>0</v>
      </c>
      <c r="AE345" s="1"/>
      <c r="AF345" s="1">
        <v>0.313718</v>
      </c>
      <c r="AG345" s="1"/>
      <c r="AH345" s="1">
        <f t="shared" si="59"/>
        <v>4.0470229743999999</v>
      </c>
      <c r="AI345" s="118">
        <f t="shared" si="61"/>
        <v>7.194144340186702E-2</v>
      </c>
    </row>
    <row r="346" spans="1:35" hidden="1" x14ac:dyDescent="0.25">
      <c r="A346" s="30">
        <v>207</v>
      </c>
      <c r="B346" s="5" t="s">
        <v>1816</v>
      </c>
      <c r="C346" s="2" t="s">
        <v>293</v>
      </c>
      <c r="D346" s="2" t="s">
        <v>955</v>
      </c>
      <c r="E346" s="2">
        <v>930883</v>
      </c>
      <c r="F346" s="2">
        <v>1940837</v>
      </c>
      <c r="G346" s="2" t="s">
        <v>593</v>
      </c>
      <c r="H346" s="2" t="s">
        <v>962</v>
      </c>
      <c r="I346" s="2"/>
      <c r="J346" s="2" t="s">
        <v>1003</v>
      </c>
      <c r="K346" s="2" t="s">
        <v>239</v>
      </c>
      <c r="L346" s="2"/>
      <c r="M346" s="2"/>
      <c r="N346" s="2"/>
      <c r="O346" s="2"/>
      <c r="P346" s="557" t="str">
        <f>CONCATENATE(schedule13[[#This Row],[OD]],"-",schedule13[[#This Row],[ID]],"-",schedule13[[#This Row],[TICKNESS]],"-",schedule13[[#This Row],[GRADE]],"-",schedule13[[#This Row],[FC/NFC]])</f>
        <v>40-30-2-ERW 1-FC</v>
      </c>
      <c r="Q346" s="557" t="str">
        <f>_xlfn.CONCAT(schedule13[[#This Row],[Bucket]],"-",schedule13[[#This Row],[LENGTH]]/1000)</f>
        <v>40-30-2-ERW 1-FC-0.87</v>
      </c>
      <c r="R346" s="557">
        <f>COUNTIF(buckets[CTL Bucket],schedule13[[#This Row],[CTL Bucket]])</f>
        <v>1</v>
      </c>
      <c r="S346" s="1">
        <v>44.45</v>
      </c>
      <c r="T346" s="1">
        <v>40</v>
      </c>
      <c r="U346" s="6">
        <v>30</v>
      </c>
      <c r="V346" s="1">
        <v>2</v>
      </c>
      <c r="W346" s="24">
        <v>870</v>
      </c>
      <c r="X346" s="22" t="s">
        <v>397</v>
      </c>
      <c r="Y346" s="2">
        <v>5000</v>
      </c>
      <c r="Z346" s="2"/>
      <c r="AA346" s="4">
        <f t="shared" si="57"/>
        <v>5000</v>
      </c>
      <c r="AB346" s="1">
        <f t="shared" si="60"/>
        <v>9.1047226949999995</v>
      </c>
      <c r="AC346" s="1">
        <f t="shared" si="62"/>
        <v>0</v>
      </c>
      <c r="AD346" s="1">
        <f t="shared" si="58"/>
        <v>9.1047226949999995</v>
      </c>
      <c r="AE346" s="3">
        <f>schedule13[[#This Row],[CTL Stock]]/schedule13[[#This Row],[SCHEDULE IN MT]]*schedule13[[#This Row],[SCHEDULE]]</f>
        <v>5676.5452097055868</v>
      </c>
      <c r="AF346" s="1">
        <f>SUMIFS(stock[MT],stock[Bucket],schedule13[[#This Row],[Bucket]],stock[CTL Bucket],schedule13[[#This Row],[CTL Bucket]])</f>
        <v>10.336673999999999</v>
      </c>
      <c r="AG346" s="1">
        <f>SUMIFS(stock[MT],stock[Bucket],schedule13[[#This Row],[Bucket]])+SUMIFS(wip[Stock(Net Wt)],wip[Bucket],schedule13[[#This Row],[Bucket]])/1000</f>
        <v>45.338346000000001</v>
      </c>
      <c r="AH346" s="1">
        <f t="shared" si="59"/>
        <v>-10.336673999999999</v>
      </c>
      <c r="AI346" s="118" t="e">
        <f t="shared" si="61"/>
        <v>#DIV/0!</v>
      </c>
    </row>
    <row r="347" spans="1:35" hidden="1" x14ac:dyDescent="0.25">
      <c r="A347" s="30">
        <v>219</v>
      </c>
      <c r="B347" s="5" t="s">
        <v>1872</v>
      </c>
      <c r="C347" s="2" t="s">
        <v>293</v>
      </c>
      <c r="D347" s="2" t="s">
        <v>955</v>
      </c>
      <c r="E347" s="2">
        <v>930883</v>
      </c>
      <c r="F347" s="2">
        <v>1938358</v>
      </c>
      <c r="G347" s="2" t="s">
        <v>892</v>
      </c>
      <c r="H347" s="2" t="s">
        <v>962</v>
      </c>
      <c r="I347" s="2" t="s">
        <v>1894</v>
      </c>
      <c r="J347" s="2" t="s">
        <v>1003</v>
      </c>
      <c r="K347" s="2" t="s">
        <v>239</v>
      </c>
      <c r="L347" s="2"/>
      <c r="M347" s="2" t="s">
        <v>1516</v>
      </c>
      <c r="N347" s="2"/>
      <c r="O347" s="2"/>
      <c r="P347" s="557" t="str">
        <f>CONCATENATE(schedule13[[#This Row],[OD]],"-",schedule13[[#This Row],[ID]],"-",schedule13[[#This Row],[TICKNESS]],"-",schedule13[[#This Row],[GRADE]],"-",schedule13[[#This Row],[FC/NFC]])</f>
        <v>42.7-0-4-ERW 1-FC</v>
      </c>
      <c r="Q347" s="557" t="str">
        <f>_xlfn.CONCAT(schedule13[[#This Row],[Bucket]],"-",schedule13[[#This Row],[LENGTH]]/1000)</f>
        <v>42.7-0-4-ERW 1-FC-0.254</v>
      </c>
      <c r="R347" s="557">
        <f>COUNTIF(buckets[CTL Bucket],schedule13[[#This Row],[CTL Bucket]])</f>
        <v>2</v>
      </c>
      <c r="S347" s="1">
        <v>42.7</v>
      </c>
      <c r="T347" s="1">
        <v>42.7</v>
      </c>
      <c r="U347" s="1">
        <v>0</v>
      </c>
      <c r="V347" s="1">
        <v>4</v>
      </c>
      <c r="W347" s="23">
        <v>254</v>
      </c>
      <c r="X347" s="22" t="s">
        <v>397</v>
      </c>
      <c r="Y347" s="2">
        <v>5000</v>
      </c>
      <c r="Z347" s="2"/>
      <c r="AA347" s="4">
        <f t="shared" si="57"/>
        <v>5000</v>
      </c>
      <c r="AB347" s="1">
        <f t="shared" si="60"/>
        <v>4.8466811880000007</v>
      </c>
      <c r="AC347" s="1">
        <f t="shared" si="62"/>
        <v>0</v>
      </c>
      <c r="AD347" s="1">
        <f t="shared" si="58"/>
        <v>4.8466811880000007</v>
      </c>
      <c r="AE347" s="3">
        <f>schedule13[[#This Row],[CTL Stock]]/schedule13[[#This Row],[SCHEDULE IN MT]]*schedule13[[#This Row],[SCHEDULE]]</f>
        <v>536.17617895604815</v>
      </c>
      <c r="AF347" s="1">
        <f>SUMIFS(stock[MT],stock[Bucket],schedule13[[#This Row],[Bucket]],stock[CTL Bucket],schedule13[[#This Row],[CTL Bucket]])</f>
        <v>0.51973500000000006</v>
      </c>
      <c r="AG347" s="1">
        <f>SUMIFS(stock[MT],stock[Bucket],schedule13[[#This Row],[Bucket]])+SUMIFS(wip[Stock(Net Wt)],wip[Bucket],schedule13[[#This Row],[Bucket]])/1000</f>
        <v>219.53498700000003</v>
      </c>
      <c r="AH347" s="1">
        <f t="shared" si="59"/>
        <v>8.5849876949999988</v>
      </c>
      <c r="AI347" s="118">
        <f t="shared" si="61"/>
        <v>5.7084110896141918E-2</v>
      </c>
    </row>
    <row r="348" spans="1:35" hidden="1" x14ac:dyDescent="0.25">
      <c r="A348" s="30">
        <v>238</v>
      </c>
      <c r="B348" s="5" t="s">
        <v>1816</v>
      </c>
      <c r="C348" s="2" t="s">
        <v>293</v>
      </c>
      <c r="D348" s="2" t="s">
        <v>955</v>
      </c>
      <c r="E348" s="2">
        <v>930883</v>
      </c>
      <c r="F348" s="2">
        <v>1940911</v>
      </c>
      <c r="G348" s="2" t="s">
        <v>2050</v>
      </c>
      <c r="H348" s="2" t="s">
        <v>962</v>
      </c>
      <c r="I348" s="2"/>
      <c r="J348" s="2" t="s">
        <v>1003</v>
      </c>
      <c r="K348" s="2" t="s">
        <v>239</v>
      </c>
      <c r="L348" s="2"/>
      <c r="M348" s="2"/>
      <c r="N348" s="2" t="s">
        <v>1895</v>
      </c>
      <c r="O348" s="2"/>
      <c r="P348" s="557" t="str">
        <f>CONCATENATE(schedule13[[#This Row],[OD]],"-",schedule13[[#This Row],[ID]],"-",schedule13[[#This Row],[TICKNESS]],"-",schedule13[[#This Row],[GRADE]],"-",schedule13[[#This Row],[FC/NFC]])</f>
        <v>57.15-0-2.5-ERW 1-FC</v>
      </c>
      <c r="Q348" s="557" t="str">
        <f>_xlfn.CONCAT(schedule13[[#This Row],[Bucket]],"-",schedule13[[#This Row],[LENGTH]]/1000)</f>
        <v>57.15-0-2.5-ERW 1-FC-0.772</v>
      </c>
      <c r="R348" s="557">
        <f>COUNTIF(buckets[CTL Bucket],schedule13[[#This Row],[CTL Bucket]])</f>
        <v>3</v>
      </c>
      <c r="S348" s="1">
        <v>57.15</v>
      </c>
      <c r="T348" s="1">
        <v>57.15</v>
      </c>
      <c r="U348" s="1">
        <v>0</v>
      </c>
      <c r="V348" s="1">
        <v>2.5</v>
      </c>
      <c r="W348" s="23">
        <v>772</v>
      </c>
      <c r="X348" s="22" t="s">
        <v>397</v>
      </c>
      <c r="Y348" s="2">
        <v>3000</v>
      </c>
      <c r="Z348" s="2"/>
      <c r="AA348" s="4">
        <f t="shared" si="57"/>
        <v>3000</v>
      </c>
      <c r="AB348" s="1">
        <f t="shared" si="60"/>
        <v>7.8007885454999997</v>
      </c>
      <c r="AC348" s="1">
        <f t="shared" si="62"/>
        <v>0</v>
      </c>
      <c r="AD348" s="1">
        <f t="shared" si="58"/>
        <v>7.8007885454999997</v>
      </c>
      <c r="AE348" s="3">
        <f>schedule13[[#This Row],[CTL Stock]]/schedule13[[#This Row],[SCHEDULE IN MT]]*schedule13[[#This Row],[SCHEDULE]]</f>
        <v>6.0086233239893181</v>
      </c>
      <c r="AF348" s="1">
        <f>SUMIFS(stock[MT],stock[Bucket],schedule13[[#This Row],[Bucket]],stock[CTL Bucket],schedule13[[#This Row],[CTL Bucket]])</f>
        <v>1.5624000000000001E-2</v>
      </c>
      <c r="AG348" s="1">
        <f>SUMIFS(stock[MT],stock[Bucket],schedule13[[#This Row],[Bucket]])+SUMIFS(wip[Stock(Net Wt)],wip[Bucket],schedule13[[#This Row],[Bucket]])/1000</f>
        <v>18.570545999999997</v>
      </c>
      <c r="AH348" s="1">
        <f t="shared" si="59"/>
        <v>4.8310571880000008</v>
      </c>
      <c r="AI348" s="118">
        <f t="shared" si="61"/>
        <v>3.2236492135450934E-3</v>
      </c>
    </row>
    <row r="349" spans="1:35" hidden="1" x14ac:dyDescent="0.25">
      <c r="A349" s="30">
        <v>405</v>
      </c>
      <c r="B349" s="5" t="s">
        <v>1872</v>
      </c>
      <c r="C349" s="2" t="s">
        <v>293</v>
      </c>
      <c r="D349" s="2" t="s">
        <v>955</v>
      </c>
      <c r="E349" s="2">
        <v>930883</v>
      </c>
      <c r="F349" s="9">
        <v>2363145</v>
      </c>
      <c r="G349" s="9" t="s">
        <v>1946</v>
      </c>
      <c r="H349" s="2" t="s">
        <v>357</v>
      </c>
      <c r="I349" s="2"/>
      <c r="J349" s="2"/>
      <c r="K349" s="2" t="s">
        <v>239</v>
      </c>
      <c r="L349" s="2"/>
      <c r="M349" s="2"/>
      <c r="N349" s="2"/>
      <c r="O349" s="2"/>
      <c r="P349" s="557" t="str">
        <f>CONCATENATE(schedule13[[#This Row],[OD]],"-",schedule13[[#This Row],[ID]],"-",schedule13[[#This Row],[TICKNESS]],"-",schedule13[[#This Row],[GRADE]],"-",schedule13[[#This Row],[FC/NFC]])</f>
        <v>14-0-2.45-CEW-</v>
      </c>
      <c r="Q349" s="557"/>
      <c r="R349" s="557"/>
      <c r="S349" s="1">
        <v>14</v>
      </c>
      <c r="T349" s="1">
        <v>14</v>
      </c>
      <c r="U349" s="1">
        <v>0</v>
      </c>
      <c r="V349" s="1">
        <v>2.4500000000000002</v>
      </c>
      <c r="W349" s="23">
        <v>5000</v>
      </c>
      <c r="X349" s="23"/>
      <c r="Y349" s="2">
        <v>0</v>
      </c>
      <c r="Z349" s="2"/>
      <c r="AA349" s="4">
        <f t="shared" si="57"/>
        <v>0</v>
      </c>
      <c r="AB349" s="1">
        <f t="shared" si="60"/>
        <v>0</v>
      </c>
      <c r="AC349" s="1">
        <f t="shared" si="62"/>
        <v>0</v>
      </c>
      <c r="AD349" s="1">
        <f t="shared" si="58"/>
        <v>0</v>
      </c>
      <c r="AE349" s="1"/>
      <c r="AF349" s="1"/>
      <c r="AG349" s="1"/>
      <c r="AH349" s="1"/>
      <c r="AI349" s="118"/>
    </row>
    <row r="350" spans="1:35" hidden="1" x14ac:dyDescent="0.25">
      <c r="A350" s="30">
        <v>147</v>
      </c>
      <c r="B350" s="5" t="s">
        <v>1872</v>
      </c>
      <c r="C350" s="2" t="s">
        <v>295</v>
      </c>
      <c r="D350" s="2" t="s">
        <v>955</v>
      </c>
      <c r="E350" s="2" t="s">
        <v>6569</v>
      </c>
      <c r="F350" s="2">
        <v>1938191</v>
      </c>
      <c r="G350" s="2" t="s">
        <v>591</v>
      </c>
      <c r="H350" s="2" t="s">
        <v>357</v>
      </c>
      <c r="I350" s="2"/>
      <c r="J350" s="2" t="s">
        <v>357</v>
      </c>
      <c r="K350" s="2" t="s">
        <v>239</v>
      </c>
      <c r="L350" s="2"/>
      <c r="M350" s="2"/>
      <c r="N350" s="2"/>
      <c r="O350" s="2"/>
      <c r="P350" s="557" t="str">
        <f>CONCATENATE(schedule13[[#This Row],[OD]],"-",schedule13[[#This Row],[ID]],"-",schedule13[[#This Row],[TICKNESS]],"-",schedule13[[#This Row],[GRADE]],"-",schedule13[[#This Row],[FC/NFC]])</f>
        <v>19-12.5-3.25-CEW-CEW</v>
      </c>
      <c r="Q350" s="557" t="str">
        <f>_xlfn.CONCAT(schedule13[[#This Row],[Bucket]],"-",schedule13[[#This Row],[LENGTH]]/1000)</f>
        <v>19-12.5-3.25-CEW-CEW-0.588</v>
      </c>
      <c r="R350" s="557">
        <f>COUNTIF(buckets[CTL Bucket],schedule13[[#This Row],[CTL Bucket]])</f>
        <v>1</v>
      </c>
      <c r="S350" s="1">
        <v>19.05</v>
      </c>
      <c r="T350" s="1">
        <v>19</v>
      </c>
      <c r="U350" s="1">
        <v>12.5</v>
      </c>
      <c r="V350" s="1">
        <v>3.25</v>
      </c>
      <c r="W350" s="24">
        <v>588</v>
      </c>
      <c r="X350" s="22" t="s">
        <v>397</v>
      </c>
      <c r="Y350" s="2">
        <v>10000</v>
      </c>
      <c r="Z350" s="2"/>
      <c r="AA350" s="4">
        <f t="shared" si="57"/>
        <v>10000</v>
      </c>
      <c r="AB350" s="1">
        <f t="shared" si="60"/>
        <v>7.4436775139999991</v>
      </c>
      <c r="AC350" s="1">
        <f t="shared" si="62"/>
        <v>0</v>
      </c>
      <c r="AD350" s="1">
        <f t="shared" si="58"/>
        <v>7.4436775139999991</v>
      </c>
      <c r="AE350" s="3">
        <f>schedule13[[#This Row],[CTL Stock]]/schedule13[[#This Row],[SCHEDULE IN MT]]*schedule13[[#This Row],[SCHEDULE]]</f>
        <v>2173.3692747399164</v>
      </c>
      <c r="AF350" s="1">
        <f>SUMIFS(stock[MT],stock[Bucket],schedule13[[#This Row],[Bucket]],stock[CTL Bucket],schedule13[[#This Row],[CTL Bucket]])</f>
        <v>1.6177860000000002</v>
      </c>
      <c r="AG350" s="1">
        <f>SUMIFS(stock[MT],stock[Bucket],schedule13[[#This Row],[Bucket]])+SUMIFS(wip[Stock(Net Wt)],wip[Bucket],schedule13[[#This Row],[Bucket]])/1000</f>
        <v>13.477843999999999</v>
      </c>
      <c r="AH350" s="1">
        <f>AB349-AF350</f>
        <v>-1.6177860000000002</v>
      </c>
      <c r="AI350" s="118" t="e">
        <f>(AC350+AF350)/AB349</f>
        <v>#DIV/0!</v>
      </c>
    </row>
    <row r="351" spans="1:35" hidden="1" x14ac:dyDescent="0.25">
      <c r="A351" s="30">
        <v>166</v>
      </c>
      <c r="B351" s="5" t="s">
        <v>1816</v>
      </c>
      <c r="C351" s="2" t="s">
        <v>295</v>
      </c>
      <c r="D351" s="2" t="s">
        <v>955</v>
      </c>
      <c r="E351" s="2" t="s">
        <v>6569</v>
      </c>
      <c r="F351" s="2">
        <v>3535743</v>
      </c>
      <c r="G351" s="2" t="s">
        <v>2023</v>
      </c>
      <c r="H351" s="2" t="s">
        <v>962</v>
      </c>
      <c r="I351" s="2"/>
      <c r="J351" s="2" t="s">
        <v>963</v>
      </c>
      <c r="K351" s="2" t="s">
        <v>239</v>
      </c>
      <c r="L351" s="2"/>
      <c r="M351" s="2"/>
      <c r="N351" s="2"/>
      <c r="O351" s="2"/>
      <c r="P351" s="557" t="str">
        <f>CONCATENATE(schedule13[[#This Row],[OD]],"-",schedule13[[#This Row],[ID]],"-",schedule13[[#This Row],[TICKNESS]],"-",schedule13[[#This Row],[GRADE]],"-",schedule13[[#This Row],[FC/NFC]])</f>
        <v>19.05-0-2.3-ERW 1-PE</v>
      </c>
      <c r="Q351" s="557" t="str">
        <f>_xlfn.CONCAT(schedule13[[#This Row],[Bucket]],"-",schedule13[[#This Row],[LENGTH]]/1000)</f>
        <v>19.05-0-2.3-ERW 1-PE-0.6</v>
      </c>
      <c r="R351" s="557">
        <f>COUNTIF(buckets[CTL Bucket],schedule13[[#This Row],[CTL Bucket]])</f>
        <v>2</v>
      </c>
      <c r="S351" s="1">
        <v>19.05</v>
      </c>
      <c r="T351" s="1">
        <v>19.05</v>
      </c>
      <c r="U351" s="1">
        <v>0</v>
      </c>
      <c r="V351" s="1">
        <v>2.2999999999999998</v>
      </c>
      <c r="W351" s="24">
        <v>600</v>
      </c>
      <c r="X351" s="22" t="s">
        <v>397</v>
      </c>
      <c r="Y351" s="2">
        <v>4000</v>
      </c>
      <c r="Z351" s="2"/>
      <c r="AA351" s="4">
        <f t="shared" si="57"/>
        <v>4000</v>
      </c>
      <c r="AB351" s="1">
        <f t="shared" si="60"/>
        <v>2.2794163799999998</v>
      </c>
      <c r="AC351" s="1">
        <f t="shared" si="62"/>
        <v>0</v>
      </c>
      <c r="AD351" s="1">
        <f t="shared" si="58"/>
        <v>2.2794163799999998</v>
      </c>
      <c r="AE351" s="3">
        <f>schedule13[[#This Row],[CTL Stock]]/schedule13[[#This Row],[SCHEDULE IN MT]]*schedule13[[#This Row],[SCHEDULE]]</f>
        <v>0</v>
      </c>
      <c r="AF351" s="1">
        <f>SUMIFS(stock[MT],stock[Bucket],schedule13[[#This Row],[Bucket]],stock[CTL Bucket],schedule13[[#This Row],[CTL Bucket]])</f>
        <v>0</v>
      </c>
      <c r="AG351" s="1">
        <f>SUMIFS(stock[MT],stock[Bucket],schedule13[[#This Row],[Bucket]])+SUMIFS(wip[Stock(Net Wt)],wip[Bucket],schedule13[[#This Row],[Bucket]])/1000</f>
        <v>99.250489000000016</v>
      </c>
      <c r="AH351" s="1"/>
      <c r="AI351" s="118"/>
    </row>
    <row r="352" spans="1:35" hidden="1" x14ac:dyDescent="0.25">
      <c r="A352" s="30">
        <v>186</v>
      </c>
      <c r="B352" s="5" t="s">
        <v>1872</v>
      </c>
      <c r="C352" s="2" t="s">
        <v>295</v>
      </c>
      <c r="D352" s="2" t="s">
        <v>955</v>
      </c>
      <c r="E352" s="2" t="s">
        <v>6569</v>
      </c>
      <c r="F352" s="2">
        <v>1939544</v>
      </c>
      <c r="G352" s="2" t="s">
        <v>807</v>
      </c>
      <c r="H352" s="2" t="s">
        <v>357</v>
      </c>
      <c r="I352" s="2"/>
      <c r="J352" s="2" t="s">
        <v>357</v>
      </c>
      <c r="K352" s="2" t="s">
        <v>239</v>
      </c>
      <c r="L352" s="2"/>
      <c r="M352" s="2"/>
      <c r="N352" s="2"/>
      <c r="O352" s="2"/>
      <c r="P352" s="557" t="str">
        <f>CONCATENATE(schedule13[[#This Row],[OD]],"-",schedule13[[#This Row],[ID]],"-",schedule13[[#This Row],[TICKNESS]],"-",schedule13[[#This Row],[GRADE]],"-",schedule13[[#This Row],[FC/NFC]])</f>
        <v>25.4-0-2.5-CEW-CEW</v>
      </c>
      <c r="Q352" s="557" t="str">
        <f>_xlfn.CONCAT(schedule13[[#This Row],[Bucket]],"-",schedule13[[#This Row],[LENGTH]]/1000)</f>
        <v>25.4-0-2.5-CEW-CEW-0.217</v>
      </c>
      <c r="R352" s="557">
        <f>COUNTIF(buckets[CTL Bucket],schedule13[[#This Row],[CTL Bucket]])</f>
        <v>1</v>
      </c>
      <c r="S352" s="1">
        <v>25.4</v>
      </c>
      <c r="T352" s="1">
        <v>25.4</v>
      </c>
      <c r="U352" s="1">
        <v>0</v>
      </c>
      <c r="V352" s="1">
        <v>2.5</v>
      </c>
      <c r="W352" s="24">
        <v>217</v>
      </c>
      <c r="X352" s="22" t="s">
        <v>397</v>
      </c>
      <c r="Y352" s="2">
        <v>10000</v>
      </c>
      <c r="Z352" s="2"/>
      <c r="AA352" s="4">
        <f t="shared" si="57"/>
        <v>10000</v>
      </c>
      <c r="AB352" s="1">
        <f t="shared" si="60"/>
        <v>3.0627038225000001</v>
      </c>
      <c r="AC352" s="1">
        <f t="shared" si="62"/>
        <v>0</v>
      </c>
      <c r="AD352" s="1">
        <f t="shared" si="58"/>
        <v>3.0627038225000001</v>
      </c>
      <c r="AE352" s="3">
        <f>schedule13[[#This Row],[CTL Stock]]/schedule13[[#This Row],[SCHEDULE IN MT]]*schedule13[[#This Row],[SCHEDULE]]</f>
        <v>7138.0000375468881</v>
      </c>
      <c r="AF352" s="1">
        <f>SUMIFS(stock[MT],stock[Bucket],schedule13[[#This Row],[Bucket]],stock[CTL Bucket],schedule13[[#This Row],[CTL Bucket]])</f>
        <v>2.1861579999999998</v>
      </c>
      <c r="AG352" s="1">
        <f>SUMIFS(stock[MT],stock[Bucket],schedule13[[#This Row],[Bucket]])+SUMIFS(wip[Stock(Net Wt)],wip[Bucket],schedule13[[#This Row],[Bucket]])/1000</f>
        <v>8.4329329999999985</v>
      </c>
      <c r="AH352" s="1">
        <f t="shared" ref="AH352:AH378" si="63">AB351-AF352</f>
        <v>9.3258379999999974E-2</v>
      </c>
      <c r="AI352" s="118">
        <f t="shared" ref="AI352:AI378" si="64">(AC352+AF352)/AB351</f>
        <v>0.95908672903368364</v>
      </c>
    </row>
    <row r="353" spans="1:35" hidden="1" x14ac:dyDescent="0.25">
      <c r="A353" s="30">
        <v>188</v>
      </c>
      <c r="B353" s="5" t="s">
        <v>1872</v>
      </c>
      <c r="C353" s="2" t="s">
        <v>295</v>
      </c>
      <c r="D353" s="2" t="s">
        <v>955</v>
      </c>
      <c r="E353" s="2" t="s">
        <v>6569</v>
      </c>
      <c r="F353" s="2">
        <v>403040</v>
      </c>
      <c r="G353" s="2" t="s">
        <v>1597</v>
      </c>
      <c r="H353" s="2" t="s">
        <v>357</v>
      </c>
      <c r="I353" s="2"/>
      <c r="J353" s="2" t="s">
        <v>357</v>
      </c>
      <c r="K353" s="2" t="s">
        <v>239</v>
      </c>
      <c r="L353" s="2"/>
      <c r="M353" s="2" t="s">
        <v>1516</v>
      </c>
      <c r="N353" s="2"/>
      <c r="O353" s="2"/>
      <c r="P353" s="557" t="str">
        <f>CONCATENATE(schedule13[[#This Row],[OD]],"-",schedule13[[#This Row],[ID]],"-",schedule13[[#This Row],[TICKNESS]],"-",schedule13[[#This Row],[GRADE]],"-",schedule13[[#This Row],[FC/NFC]])</f>
        <v>30-25.5-2.25-CEW-CEW</v>
      </c>
      <c r="Q353" s="557" t="str">
        <f>_xlfn.CONCAT(schedule13[[#This Row],[Bucket]],"-",schedule13[[#This Row],[LENGTH]]/1000)</f>
        <v>30-25.5-2.25-CEW-CEW-0.465</v>
      </c>
      <c r="R353" s="557">
        <f>COUNTIF(buckets[CTL Bucket],schedule13[[#This Row],[CTL Bucket]])</f>
        <v>2</v>
      </c>
      <c r="S353" s="1">
        <v>30.15</v>
      </c>
      <c r="T353" s="1">
        <v>30</v>
      </c>
      <c r="U353" s="1">
        <v>25.5</v>
      </c>
      <c r="V353" s="1">
        <v>2.25</v>
      </c>
      <c r="W353" s="24">
        <v>465</v>
      </c>
      <c r="X353" s="22" t="s">
        <v>397</v>
      </c>
      <c r="Y353" s="2">
        <v>5000</v>
      </c>
      <c r="Z353" s="2"/>
      <c r="AA353" s="4">
        <f t="shared" si="57"/>
        <v>5000</v>
      </c>
      <c r="AB353" s="1">
        <f t="shared" si="60"/>
        <v>3.5981515743750001</v>
      </c>
      <c r="AC353" s="1">
        <f t="shared" si="62"/>
        <v>0</v>
      </c>
      <c r="AD353" s="1">
        <f t="shared" si="58"/>
        <v>3.5981515743750001</v>
      </c>
      <c r="AE353" s="3">
        <f>schedule13[[#This Row],[CTL Stock]]/schedule13[[#This Row],[SCHEDULE IN MT]]*schedule13[[#This Row],[SCHEDULE]]</f>
        <v>887.77110523890497</v>
      </c>
      <c r="AF353" s="1">
        <f>SUMIFS(stock[MT],stock[Bucket],schedule13[[#This Row],[Bucket]],stock[CTL Bucket],schedule13[[#This Row],[CTL Bucket]])</f>
        <v>0.63886699999999996</v>
      </c>
      <c r="AG353" s="1">
        <f>SUMIFS(stock[MT],stock[Bucket],schedule13[[#This Row],[Bucket]])+SUMIFS(wip[Stock(Net Wt)],wip[Bucket],schedule13[[#This Row],[Bucket]])/1000</f>
        <v>14.864266000000001</v>
      </c>
      <c r="AH353" s="1">
        <f t="shared" si="63"/>
        <v>2.4238368225000002</v>
      </c>
      <c r="AI353" s="118">
        <f t="shared" si="64"/>
        <v>0.20859574971193609</v>
      </c>
    </row>
    <row r="354" spans="1:35" hidden="1" x14ac:dyDescent="0.25">
      <c r="A354" s="30">
        <v>189</v>
      </c>
      <c r="B354" s="5" t="s">
        <v>1872</v>
      </c>
      <c r="C354" s="2" t="s">
        <v>295</v>
      </c>
      <c r="D354" s="2" t="s">
        <v>955</v>
      </c>
      <c r="E354" s="2" t="s">
        <v>6569</v>
      </c>
      <c r="F354" s="2">
        <v>2359755</v>
      </c>
      <c r="G354" s="2" t="s">
        <v>828</v>
      </c>
      <c r="H354" s="2" t="s">
        <v>357</v>
      </c>
      <c r="I354" s="2"/>
      <c r="J354" s="2" t="s">
        <v>357</v>
      </c>
      <c r="K354" s="2" t="s">
        <v>239</v>
      </c>
      <c r="L354" s="2"/>
      <c r="M354" s="2" t="s">
        <v>1516</v>
      </c>
      <c r="N354" s="2"/>
      <c r="O354" s="2"/>
      <c r="P354" s="557" t="str">
        <f>CONCATENATE(schedule13[[#This Row],[OD]],"-",schedule13[[#This Row],[ID]],"-",schedule13[[#This Row],[TICKNESS]],"-",schedule13[[#This Row],[GRADE]],"-",schedule13[[#This Row],[FC/NFC]])</f>
        <v>30-25.5-2.25-CEW-CEW</v>
      </c>
      <c r="Q354" s="557" t="str">
        <f>_xlfn.CONCAT(schedule13[[#This Row],[Bucket]],"-",schedule13[[#This Row],[LENGTH]]/1000)</f>
        <v>30-25.5-2.25-CEW-CEW-0.485</v>
      </c>
      <c r="R354" s="557">
        <f>COUNTIF(buckets[CTL Bucket],schedule13[[#This Row],[CTL Bucket]])</f>
        <v>3</v>
      </c>
      <c r="S354" s="1">
        <v>30.15</v>
      </c>
      <c r="T354" s="1">
        <v>30</v>
      </c>
      <c r="U354" s="1">
        <v>25.5</v>
      </c>
      <c r="V354" s="1">
        <v>2.25</v>
      </c>
      <c r="W354" s="24">
        <v>485</v>
      </c>
      <c r="X354" s="22" t="s">
        <v>397</v>
      </c>
      <c r="Y354" s="2">
        <v>15000</v>
      </c>
      <c r="Z354" s="2"/>
      <c r="AA354" s="4">
        <f t="shared" si="57"/>
        <v>15000</v>
      </c>
      <c r="AB354" s="1">
        <f t="shared" si="60"/>
        <v>11.258732345625003</v>
      </c>
      <c r="AC354" s="1">
        <f t="shared" si="62"/>
        <v>0</v>
      </c>
      <c r="AD354" s="1">
        <f t="shared" si="58"/>
        <v>11.258732345625003</v>
      </c>
      <c r="AE354" s="3">
        <f>schedule13[[#This Row],[CTL Stock]]/schedule13[[#This Row],[SCHEDULE IN MT]]*schedule13[[#This Row],[SCHEDULE]]</f>
        <v>1119.5390043087739</v>
      </c>
      <c r="AF354" s="1">
        <f>SUMIFS(stock[MT],stock[Bucket],schedule13[[#This Row],[Bucket]],stock[CTL Bucket],schedule13[[#This Row],[CTL Bucket]])</f>
        <v>0.840306</v>
      </c>
      <c r="AG354" s="1">
        <f>SUMIFS(stock[MT],stock[Bucket],schedule13[[#This Row],[Bucket]])+SUMIFS(wip[Stock(Net Wt)],wip[Bucket],schedule13[[#This Row],[Bucket]])/1000</f>
        <v>14.864266000000001</v>
      </c>
      <c r="AH354" s="1">
        <f t="shared" si="63"/>
        <v>2.7578455743750001</v>
      </c>
      <c r="AI354" s="118">
        <f t="shared" si="64"/>
        <v>0.2335382439095722</v>
      </c>
    </row>
    <row r="355" spans="1:35" hidden="1" x14ac:dyDescent="0.25">
      <c r="A355" s="30">
        <v>197</v>
      </c>
      <c r="B355" s="5" t="s">
        <v>1872</v>
      </c>
      <c r="C355" s="2" t="s">
        <v>295</v>
      </c>
      <c r="D355" s="2" t="s">
        <v>955</v>
      </c>
      <c r="E355" s="2" t="s">
        <v>6569</v>
      </c>
      <c r="F355" s="2">
        <v>1938125</v>
      </c>
      <c r="G355" s="2" t="s">
        <v>870</v>
      </c>
      <c r="H355" s="2" t="s">
        <v>357</v>
      </c>
      <c r="I355" s="2"/>
      <c r="J355" s="2" t="s">
        <v>357</v>
      </c>
      <c r="K355" s="2" t="s">
        <v>239</v>
      </c>
      <c r="L355" s="2"/>
      <c r="M355" s="2" t="s">
        <v>1516</v>
      </c>
      <c r="N355" s="2"/>
      <c r="O355" s="2"/>
      <c r="P355" s="557" t="str">
        <f>CONCATENATE(schedule13[[#This Row],[OD]],"-",schedule13[[#This Row],[ID]],"-",schedule13[[#This Row],[TICKNESS]],"-",schedule13[[#This Row],[GRADE]],"-",schedule13[[#This Row],[FC/NFC]])</f>
        <v>39-34-2.5-CEW-CEW</v>
      </c>
      <c r="Q355" s="557" t="str">
        <f>_xlfn.CONCAT(schedule13[[#This Row],[Bucket]],"-",schedule13[[#This Row],[LENGTH]]/1000)</f>
        <v>39-34-2.5-CEW-CEW-0.272</v>
      </c>
      <c r="R355" s="557">
        <f>COUNTIF(buckets[CTL Bucket],schedule13[[#This Row],[CTL Bucket]])</f>
        <v>2</v>
      </c>
      <c r="S355" s="1">
        <v>39</v>
      </c>
      <c r="T355" s="1">
        <v>39</v>
      </c>
      <c r="U355" s="1">
        <v>34</v>
      </c>
      <c r="V355" s="1">
        <v>2.5</v>
      </c>
      <c r="W355" s="24">
        <v>272</v>
      </c>
      <c r="X355" s="22" t="s">
        <v>397</v>
      </c>
      <c r="Y355" s="2">
        <v>15000</v>
      </c>
      <c r="Z355" s="2"/>
      <c r="AA355" s="4">
        <f t="shared" si="57"/>
        <v>15000</v>
      </c>
      <c r="AB355" s="1">
        <f t="shared" si="60"/>
        <v>9.1783119000000006</v>
      </c>
      <c r="AC355" s="1">
        <f t="shared" si="62"/>
        <v>0</v>
      </c>
      <c r="AD355" s="1">
        <f t="shared" si="58"/>
        <v>9.1783119000000006</v>
      </c>
      <c r="AE355" s="3">
        <f>schedule13[[#This Row],[CTL Stock]]/schedule13[[#This Row],[SCHEDULE IN MT]]*schedule13[[#This Row],[SCHEDULE]]</f>
        <v>1795.1863239687898</v>
      </c>
      <c r="AF355" s="1">
        <f>SUMIFS(stock[MT],stock[Bucket],schedule13[[#This Row],[Bucket]],stock[CTL Bucket],schedule13[[#This Row],[CTL Bucket]])</f>
        <v>1.098452</v>
      </c>
      <c r="AG355" s="1">
        <f>SUMIFS(stock[MT],stock[Bucket],schedule13[[#This Row],[Bucket]])+SUMIFS(wip[Stock(Net Wt)],wip[Bucket],schedule13[[#This Row],[Bucket]])/1000</f>
        <v>8.5196199999999997</v>
      </c>
      <c r="AH355" s="1">
        <f t="shared" si="63"/>
        <v>10.160280345625003</v>
      </c>
      <c r="AI355" s="118">
        <f t="shared" si="64"/>
        <v>9.7564447424389134E-2</v>
      </c>
    </row>
    <row r="356" spans="1:35" hidden="1" x14ac:dyDescent="0.25">
      <c r="A356" s="30">
        <v>137</v>
      </c>
      <c r="B356" s="5" t="s">
        <v>1816</v>
      </c>
      <c r="C356" s="2" t="s">
        <v>296</v>
      </c>
      <c r="D356" s="2" t="s">
        <v>955</v>
      </c>
      <c r="E356" s="2" t="s">
        <v>6569</v>
      </c>
      <c r="F356" s="2">
        <v>1940003</v>
      </c>
      <c r="G356" s="2" t="s">
        <v>2009</v>
      </c>
      <c r="H356" s="2" t="s">
        <v>962</v>
      </c>
      <c r="I356" s="2"/>
      <c r="J356" s="2" t="s">
        <v>963</v>
      </c>
      <c r="K356" s="2" t="s">
        <v>1867</v>
      </c>
      <c r="L356" s="2" t="s">
        <v>1881</v>
      </c>
      <c r="M356" s="2"/>
      <c r="N356" s="2"/>
      <c r="O356" s="2"/>
      <c r="P356" s="557" t="str">
        <f>CONCATENATE(schedule13[[#This Row],[OD]],"-",schedule13[[#This Row],[ID]],"-",schedule13[[#This Row],[TICKNESS]],"-",schedule13[[#This Row],[GRADE]],"-",schedule13[[#This Row],[FC/NFC]])</f>
        <v>12.7-0-1.6-ERW 1-PE</v>
      </c>
      <c r="Q356" s="557" t="str">
        <f>_xlfn.CONCAT(schedule13[[#This Row],[Bucket]],"-",schedule13[[#This Row],[LENGTH]]/1000)</f>
        <v>12.7-0-1.6-ERW 1-PE-0.393</v>
      </c>
      <c r="R356" s="557">
        <f>COUNTIF(buckets[CTL Bucket],schedule13[[#This Row],[CTL Bucket]])</f>
        <v>1</v>
      </c>
      <c r="S356" s="1">
        <v>12.7</v>
      </c>
      <c r="T356" s="1">
        <v>12.7</v>
      </c>
      <c r="U356" s="1">
        <v>0</v>
      </c>
      <c r="V356" s="1">
        <v>1.6</v>
      </c>
      <c r="W356" s="23">
        <v>393</v>
      </c>
      <c r="X356" s="22" t="s">
        <v>397</v>
      </c>
      <c r="Y356" s="2">
        <v>5000</v>
      </c>
      <c r="Z356" s="2"/>
      <c r="AA356" s="4">
        <f t="shared" si="57"/>
        <v>5000</v>
      </c>
      <c r="AB356" s="1">
        <f t="shared" si="60"/>
        <v>0.86035025519999997</v>
      </c>
      <c r="AC356" s="1">
        <f t="shared" si="62"/>
        <v>0</v>
      </c>
      <c r="AD356" s="1">
        <f t="shared" si="58"/>
        <v>0.86035025519999997</v>
      </c>
      <c r="AE356" s="3">
        <f>schedule13[[#This Row],[CTL Stock]]/schedule13[[#This Row],[SCHEDULE IN MT]]*schedule13[[#This Row],[SCHEDULE]]</f>
        <v>0</v>
      </c>
      <c r="AF356" s="1">
        <f>SUMIFS(stock[MT],stock[Bucket],schedule13[[#This Row],[Bucket]],stock[CTL Bucket],schedule13[[#This Row],[CTL Bucket]])</f>
        <v>0</v>
      </c>
      <c r="AG356" s="1">
        <f>SUMIFS(stock[MT],stock[Bucket],schedule13[[#This Row],[Bucket]])+SUMIFS(wip[Stock(Net Wt)],wip[Bucket],schedule13[[#This Row],[Bucket]])/1000</f>
        <v>14.452704000000001</v>
      </c>
      <c r="AH356" s="1">
        <f t="shared" si="63"/>
        <v>9.1783119000000006</v>
      </c>
      <c r="AI356" s="118">
        <f t="shared" si="64"/>
        <v>0</v>
      </c>
    </row>
    <row r="357" spans="1:35" hidden="1" x14ac:dyDescent="0.25">
      <c r="A357" s="30">
        <v>140</v>
      </c>
      <c r="B357" s="5" t="s">
        <v>1816</v>
      </c>
      <c r="C357" s="2" t="s">
        <v>296</v>
      </c>
      <c r="D357" s="2" t="s">
        <v>955</v>
      </c>
      <c r="E357" s="2" t="s">
        <v>6569</v>
      </c>
      <c r="F357" s="9">
        <v>2387804</v>
      </c>
      <c r="G357" s="9" t="s">
        <v>2010</v>
      </c>
      <c r="H357" s="2" t="s">
        <v>962</v>
      </c>
      <c r="I357" s="2"/>
      <c r="J357" s="2" t="s">
        <v>963</v>
      </c>
      <c r="K357" s="2" t="s">
        <v>1867</v>
      </c>
      <c r="L357" s="44" t="s">
        <v>1868</v>
      </c>
      <c r="M357" s="2"/>
      <c r="N357" s="2"/>
      <c r="O357" s="2"/>
      <c r="P357" s="557" t="str">
        <f>CONCATENATE(schedule13[[#This Row],[OD]],"-",schedule13[[#This Row],[ID]],"-",schedule13[[#This Row],[TICKNESS]],"-",schedule13[[#This Row],[GRADE]],"-",schedule13[[#This Row],[FC/NFC]])</f>
        <v>15.88-0-1.6-ERW 1-PE</v>
      </c>
      <c r="Q357" s="557" t="str">
        <f>_xlfn.CONCAT(schedule13[[#This Row],[Bucket]],"-",schedule13[[#This Row],[LENGTH]]/1000)</f>
        <v>15.88-0-1.6-ERW 1-PE-0.442</v>
      </c>
      <c r="R357" s="557">
        <f>COUNTIF(buckets[CTL Bucket],schedule13[[#This Row],[CTL Bucket]])</f>
        <v>1</v>
      </c>
      <c r="S357" s="1">
        <v>15.88</v>
      </c>
      <c r="T357" s="1">
        <v>15.88</v>
      </c>
      <c r="U357" s="1">
        <v>0</v>
      </c>
      <c r="V357" s="1">
        <v>1.6</v>
      </c>
      <c r="W357" s="27">
        <v>442</v>
      </c>
      <c r="X357" s="22" t="s">
        <v>397</v>
      </c>
      <c r="Y357" s="2">
        <v>5000</v>
      </c>
      <c r="Z357" s="2"/>
      <c r="AA357" s="4">
        <f t="shared" si="57"/>
        <v>5000</v>
      </c>
      <c r="AB357" s="1">
        <f t="shared" si="60"/>
        <v>1.2448305542400002</v>
      </c>
      <c r="AC357" s="1">
        <f t="shared" si="62"/>
        <v>0</v>
      </c>
      <c r="AD357" s="1">
        <f t="shared" si="58"/>
        <v>1.2448305542400002</v>
      </c>
      <c r="AE357" s="3">
        <f>schedule13[[#This Row],[CTL Stock]]/schedule13[[#This Row],[SCHEDULE IN MT]]*schedule13[[#This Row],[SCHEDULE]]</f>
        <v>0</v>
      </c>
      <c r="AF357" s="1">
        <f>SUMIFS(stock[MT],stock[Bucket],schedule13[[#This Row],[Bucket]],stock[CTL Bucket],schedule13[[#This Row],[CTL Bucket]])</f>
        <v>0</v>
      </c>
      <c r="AG357" s="1">
        <f>SUMIFS(stock[MT],stock[Bucket],schedule13[[#This Row],[Bucket]])+SUMIFS(wip[Stock(Net Wt)],wip[Bucket],schedule13[[#This Row],[Bucket]])/1000</f>
        <v>6.268999</v>
      </c>
      <c r="AH357" s="1">
        <f t="shared" si="63"/>
        <v>0.86035025519999997</v>
      </c>
      <c r="AI357" s="118">
        <f t="shared" si="64"/>
        <v>0</v>
      </c>
    </row>
    <row r="358" spans="1:35" hidden="1" x14ac:dyDescent="0.25">
      <c r="A358" s="30">
        <v>157</v>
      </c>
      <c r="B358" s="5" t="s">
        <v>1816</v>
      </c>
      <c r="C358" s="2" t="s">
        <v>296</v>
      </c>
      <c r="D358" s="2" t="s">
        <v>955</v>
      </c>
      <c r="E358" s="2" t="s">
        <v>6569</v>
      </c>
      <c r="F358" s="2">
        <v>1940302</v>
      </c>
      <c r="G358" s="2" t="s">
        <v>1390</v>
      </c>
      <c r="H358" s="2" t="s">
        <v>962</v>
      </c>
      <c r="I358" s="2"/>
      <c r="J358" s="2" t="s">
        <v>963</v>
      </c>
      <c r="K358" s="2" t="s">
        <v>239</v>
      </c>
      <c r="L358" s="2"/>
      <c r="M358" s="2"/>
      <c r="N358" s="2"/>
      <c r="O358" s="2"/>
      <c r="P358" s="557" t="str">
        <f>CONCATENATE(schedule13[[#This Row],[OD]],"-",schedule13[[#This Row],[ID]],"-",schedule13[[#This Row],[TICKNESS]],"-",schedule13[[#This Row],[GRADE]],"-",schedule13[[#This Row],[FC/NFC]])</f>
        <v>19.05-0-2.3-ERW 1-PE</v>
      </c>
      <c r="Q358" s="557" t="str">
        <f>_xlfn.CONCAT(schedule13[[#This Row],[Bucket]],"-",schedule13[[#This Row],[LENGTH]]/1000)</f>
        <v>19.05-0-2.3-ERW 1-PE-0.195</v>
      </c>
      <c r="R358" s="557">
        <f>COUNTIF(buckets[CTL Bucket],schedule13[[#This Row],[CTL Bucket]])</f>
        <v>2</v>
      </c>
      <c r="S358" s="1">
        <v>19.05</v>
      </c>
      <c r="T358" s="1">
        <v>19.05</v>
      </c>
      <c r="U358" s="1">
        <v>0</v>
      </c>
      <c r="V358" s="1">
        <v>2.2999999999999998</v>
      </c>
      <c r="W358" s="23">
        <v>195</v>
      </c>
      <c r="X358" s="22" t="s">
        <v>397</v>
      </c>
      <c r="Y358" s="2">
        <v>30000</v>
      </c>
      <c r="Z358" s="2"/>
      <c r="AA358" s="4">
        <f t="shared" si="57"/>
        <v>30000</v>
      </c>
      <c r="AB358" s="1">
        <f t="shared" si="60"/>
        <v>5.5560774262500008</v>
      </c>
      <c r="AC358" s="1">
        <f t="shared" si="62"/>
        <v>0</v>
      </c>
      <c r="AD358" s="1">
        <f t="shared" si="58"/>
        <v>5.5560774262500008</v>
      </c>
      <c r="AE358" s="3">
        <f>schedule13[[#This Row],[CTL Stock]]/schedule13[[#This Row],[SCHEDULE IN MT]]*schedule13[[#This Row],[SCHEDULE]]</f>
        <v>0</v>
      </c>
      <c r="AF358" s="1">
        <f>SUMIFS(stock[MT],stock[Bucket],schedule13[[#This Row],[Bucket]],stock[CTL Bucket],schedule13[[#This Row],[CTL Bucket]])</f>
        <v>0</v>
      </c>
      <c r="AG358" s="1">
        <f>SUMIFS(stock[MT],stock[Bucket],schedule13[[#This Row],[Bucket]])+SUMIFS(wip[Stock(Net Wt)],wip[Bucket],schedule13[[#This Row],[Bucket]])/1000</f>
        <v>99.250489000000016</v>
      </c>
      <c r="AH358" s="1">
        <f t="shared" si="63"/>
        <v>1.2448305542400002</v>
      </c>
      <c r="AI358" s="118">
        <f t="shared" si="64"/>
        <v>0</v>
      </c>
    </row>
    <row r="359" spans="1:35" hidden="1" x14ac:dyDescent="0.25">
      <c r="A359" s="30">
        <v>164</v>
      </c>
      <c r="B359" s="5" t="s">
        <v>1816</v>
      </c>
      <c r="C359" s="2" t="s">
        <v>296</v>
      </c>
      <c r="D359" s="2" t="s">
        <v>955</v>
      </c>
      <c r="E359" s="2" t="s">
        <v>6569</v>
      </c>
      <c r="F359" s="2">
        <v>1940325</v>
      </c>
      <c r="G359" s="2" t="s">
        <v>715</v>
      </c>
      <c r="H359" s="2" t="s">
        <v>962</v>
      </c>
      <c r="I359" s="2"/>
      <c r="J359" s="2" t="s">
        <v>963</v>
      </c>
      <c r="K359" s="2" t="s">
        <v>239</v>
      </c>
      <c r="L359" s="2"/>
      <c r="M359" s="2"/>
      <c r="N359" s="2"/>
      <c r="O359" s="2"/>
      <c r="P359" s="557" t="str">
        <f>CONCATENATE(schedule13[[#This Row],[OD]],"-",schedule13[[#This Row],[ID]],"-",schedule13[[#This Row],[TICKNESS]],"-",schedule13[[#This Row],[GRADE]],"-",schedule13[[#This Row],[FC/NFC]])</f>
        <v>19.05-0-2.3-ERW 1-PE</v>
      </c>
      <c r="Q359" s="557" t="str">
        <f>_xlfn.CONCAT(schedule13[[#This Row],[Bucket]],"-",schedule13[[#This Row],[LENGTH]]/1000)</f>
        <v>19.05-0-2.3-ERW 1-PE-0.57</v>
      </c>
      <c r="R359" s="557">
        <f>COUNTIF(buckets[CTL Bucket],schedule13[[#This Row],[CTL Bucket]])</f>
        <v>4</v>
      </c>
      <c r="S359" s="1">
        <v>19.05</v>
      </c>
      <c r="T359" s="1">
        <v>19.05</v>
      </c>
      <c r="U359" s="1">
        <v>0</v>
      </c>
      <c r="V359" s="1">
        <v>2.2999999999999998</v>
      </c>
      <c r="W359" s="23">
        <v>570</v>
      </c>
      <c r="X359" s="22" t="s">
        <v>397</v>
      </c>
      <c r="Y359" s="2">
        <v>5000</v>
      </c>
      <c r="Z359" s="2"/>
      <c r="AA359" s="4">
        <f t="shared" si="57"/>
        <v>5000</v>
      </c>
      <c r="AB359" s="1">
        <f t="shared" si="60"/>
        <v>2.7068069512499999</v>
      </c>
      <c r="AC359" s="1">
        <f t="shared" si="62"/>
        <v>0</v>
      </c>
      <c r="AD359" s="1">
        <f t="shared" si="58"/>
        <v>2.7068069512499999</v>
      </c>
      <c r="AE359" s="3">
        <f>schedule13[[#This Row],[CTL Stock]]/schedule13[[#This Row],[SCHEDULE IN MT]]*schedule13[[#This Row],[SCHEDULE]]</f>
        <v>1416.8779189180455</v>
      </c>
      <c r="AF359" s="1">
        <f>SUMIFS(stock[MT],stock[Bucket],schedule13[[#This Row],[Bucket]],stock[CTL Bucket],schedule13[[#This Row],[CTL Bucket]])</f>
        <v>0.76704299999999992</v>
      </c>
      <c r="AG359" s="1">
        <f>SUMIFS(stock[MT],stock[Bucket],schedule13[[#This Row],[Bucket]])+SUMIFS(wip[Stock(Net Wt)],wip[Bucket],schedule13[[#This Row],[Bucket]])/1000</f>
        <v>99.250489000000016</v>
      </c>
      <c r="AH359" s="1">
        <f t="shared" si="63"/>
        <v>4.7890344262500006</v>
      </c>
      <c r="AI359" s="118">
        <f t="shared" si="64"/>
        <v>0.13805477158688648</v>
      </c>
    </row>
    <row r="360" spans="1:35" hidden="1" x14ac:dyDescent="0.25">
      <c r="A360" s="30">
        <v>165</v>
      </c>
      <c r="B360" s="5" t="s">
        <v>1816</v>
      </c>
      <c r="C360" s="2" t="s">
        <v>296</v>
      </c>
      <c r="D360" s="2" t="s">
        <v>955</v>
      </c>
      <c r="E360" s="2" t="s">
        <v>6569</v>
      </c>
      <c r="F360" s="2">
        <v>1940327</v>
      </c>
      <c r="G360" s="2" t="s">
        <v>719</v>
      </c>
      <c r="H360" s="2" t="s">
        <v>962</v>
      </c>
      <c r="I360" s="2"/>
      <c r="J360" s="2" t="s">
        <v>963</v>
      </c>
      <c r="K360" s="2" t="s">
        <v>239</v>
      </c>
      <c r="L360" s="2"/>
      <c r="M360" s="2"/>
      <c r="N360" s="2"/>
      <c r="O360" s="2"/>
      <c r="P360" s="557" t="str">
        <f>CONCATENATE(schedule13[[#This Row],[OD]],"-",schedule13[[#This Row],[ID]],"-",schedule13[[#This Row],[TICKNESS]],"-",schedule13[[#This Row],[GRADE]],"-",schedule13[[#This Row],[FC/NFC]])</f>
        <v>19.05-0-2.3-ERW 1-PE</v>
      </c>
      <c r="Q360" s="557" t="str">
        <f>_xlfn.CONCAT(schedule13[[#This Row],[Bucket]],"-",schedule13[[#This Row],[LENGTH]]/1000)</f>
        <v>19.05-0-2.3-ERW 1-PE-0.585</v>
      </c>
      <c r="R360" s="557">
        <f>COUNTIF(buckets[CTL Bucket],schedule13[[#This Row],[CTL Bucket]])</f>
        <v>2</v>
      </c>
      <c r="S360" s="1">
        <v>19.05</v>
      </c>
      <c r="T360" s="1">
        <v>19.05</v>
      </c>
      <c r="U360" s="1">
        <v>0</v>
      </c>
      <c r="V360" s="1">
        <v>2.2999999999999998</v>
      </c>
      <c r="W360" s="23">
        <v>585</v>
      </c>
      <c r="X360" s="22" t="s">
        <v>397</v>
      </c>
      <c r="Y360" s="2">
        <v>5000</v>
      </c>
      <c r="Z360" s="2"/>
      <c r="AA360" s="4">
        <f t="shared" si="57"/>
        <v>5000</v>
      </c>
      <c r="AB360" s="1">
        <f t="shared" si="60"/>
        <v>2.7780387131250004</v>
      </c>
      <c r="AC360" s="1">
        <f t="shared" si="62"/>
        <v>0</v>
      </c>
      <c r="AD360" s="1">
        <f t="shared" si="58"/>
        <v>2.7780387131250004</v>
      </c>
      <c r="AE360" s="3">
        <f>schedule13[[#This Row],[CTL Stock]]/schedule13[[#This Row],[SCHEDULE IN MT]]*schedule13[[#This Row],[SCHEDULE]]</f>
        <v>0</v>
      </c>
      <c r="AF360" s="1">
        <f>SUMIFS(stock[MT],stock[Bucket],schedule13[[#This Row],[Bucket]],stock[CTL Bucket],schedule13[[#This Row],[CTL Bucket]])</f>
        <v>0</v>
      </c>
      <c r="AG360" s="1">
        <f>SUMIFS(stock[MT],stock[Bucket],schedule13[[#This Row],[Bucket]])+SUMIFS(wip[Stock(Net Wt)],wip[Bucket],schedule13[[#This Row],[Bucket]])/1000</f>
        <v>99.250489000000016</v>
      </c>
      <c r="AH360" s="1">
        <f t="shared" si="63"/>
        <v>2.7068069512499999</v>
      </c>
      <c r="AI360" s="118">
        <f t="shared" si="64"/>
        <v>0</v>
      </c>
    </row>
    <row r="361" spans="1:35" hidden="1" x14ac:dyDescent="0.25">
      <c r="A361" s="30">
        <v>171</v>
      </c>
      <c r="B361" s="5" t="s">
        <v>1816</v>
      </c>
      <c r="C361" s="2" t="s">
        <v>296</v>
      </c>
      <c r="D361" s="2" t="s">
        <v>955</v>
      </c>
      <c r="E361" s="2" t="s">
        <v>6569</v>
      </c>
      <c r="F361" s="2">
        <v>1940399</v>
      </c>
      <c r="G361" s="2" t="s">
        <v>598</v>
      </c>
      <c r="H361" s="2" t="s">
        <v>962</v>
      </c>
      <c r="I361" s="2"/>
      <c r="J361" s="2" t="s">
        <v>963</v>
      </c>
      <c r="K361" s="2" t="s">
        <v>1867</v>
      </c>
      <c r="L361" s="2" t="s">
        <v>1881</v>
      </c>
      <c r="M361" s="2"/>
      <c r="N361" s="2"/>
      <c r="O361" s="2"/>
      <c r="P361" s="557" t="str">
        <f>CONCATENATE(schedule13[[#This Row],[OD]],"-",schedule13[[#This Row],[ID]],"-",schedule13[[#This Row],[TICKNESS]],"-",schedule13[[#This Row],[GRADE]],"-",schedule13[[#This Row],[FC/NFC]])</f>
        <v>22.23-0-1.6-ERW 1-PE</v>
      </c>
      <c r="Q361" s="557" t="str">
        <f>_xlfn.CONCAT(schedule13[[#This Row],[Bucket]],"-",schedule13[[#This Row],[LENGTH]]/1000)</f>
        <v>22.23-0-1.6-ERW 1-PE-0.401</v>
      </c>
      <c r="R361" s="557">
        <f>COUNTIF(buckets[CTL Bucket],schedule13[[#This Row],[CTL Bucket]])</f>
        <v>4</v>
      </c>
      <c r="S361" s="1">
        <v>22.23</v>
      </c>
      <c r="T361" s="1">
        <v>22.23</v>
      </c>
      <c r="U361" s="1">
        <v>0</v>
      </c>
      <c r="V361" s="1">
        <v>1.6</v>
      </c>
      <c r="W361" s="24">
        <v>401</v>
      </c>
      <c r="X361" s="22" t="s">
        <v>397</v>
      </c>
      <c r="Y361" s="2">
        <v>5000</v>
      </c>
      <c r="Z361" s="2"/>
      <c r="AA361" s="4">
        <f t="shared" si="57"/>
        <v>5000</v>
      </c>
      <c r="AB361" s="1">
        <f t="shared" si="60"/>
        <v>1.6315611791200002</v>
      </c>
      <c r="AC361" s="1">
        <f t="shared" si="62"/>
        <v>0</v>
      </c>
      <c r="AD361" s="1">
        <f t="shared" si="58"/>
        <v>1.6315611791200002</v>
      </c>
      <c r="AE361" s="3">
        <f>schedule13[[#This Row],[CTL Stock]]/schedule13[[#This Row],[SCHEDULE IN MT]]*schedule13[[#This Row],[SCHEDULE]]</f>
        <v>73.745319231544755</v>
      </c>
      <c r="AF361" s="1">
        <f>SUMIFS(stock[MT],stock[Bucket],schedule13[[#This Row],[Bucket]],stock[CTL Bucket],schedule13[[#This Row],[CTL Bucket]])</f>
        <v>2.4063999999999999E-2</v>
      </c>
      <c r="AG361" s="1">
        <f>SUMIFS(stock[MT],stock[Bucket],schedule13[[#This Row],[Bucket]])+SUMIFS(wip[Stock(Net Wt)],wip[Bucket],schedule13[[#This Row],[Bucket]])/1000</f>
        <v>65.213986000000006</v>
      </c>
      <c r="AH361" s="1">
        <f t="shared" si="63"/>
        <v>2.7539747131250003</v>
      </c>
      <c r="AI361" s="118">
        <f t="shared" si="64"/>
        <v>8.6622262988302768E-3</v>
      </c>
    </row>
    <row r="362" spans="1:35" hidden="1" x14ac:dyDescent="0.25">
      <c r="A362" s="30">
        <v>172</v>
      </c>
      <c r="B362" s="5" t="s">
        <v>1816</v>
      </c>
      <c r="C362" s="2" t="s">
        <v>296</v>
      </c>
      <c r="D362" s="2" t="s">
        <v>955</v>
      </c>
      <c r="E362" s="2" t="s">
        <v>6569</v>
      </c>
      <c r="F362" s="2">
        <v>3556680</v>
      </c>
      <c r="G362" s="2" t="s">
        <v>600</v>
      </c>
      <c r="H362" s="2" t="s">
        <v>962</v>
      </c>
      <c r="I362" s="2"/>
      <c r="J362" s="2" t="s">
        <v>963</v>
      </c>
      <c r="K362" s="2" t="s">
        <v>1867</v>
      </c>
      <c r="L362" s="44" t="s">
        <v>1891</v>
      </c>
      <c r="M362" s="2"/>
      <c r="N362" s="2"/>
      <c r="O362" s="2"/>
      <c r="P362" s="557" t="str">
        <f>CONCATENATE(schedule13[[#This Row],[OD]],"-",schedule13[[#This Row],[ID]],"-",schedule13[[#This Row],[TICKNESS]],"-",schedule13[[#This Row],[GRADE]],"-",schedule13[[#This Row],[FC/NFC]])</f>
        <v>22.23-0-1.6-ERW 1-PE</v>
      </c>
      <c r="Q362" s="557" t="str">
        <f>_xlfn.CONCAT(schedule13[[#This Row],[Bucket]],"-",schedule13[[#This Row],[LENGTH]]/1000)</f>
        <v>22.23-0-1.6-ERW 1-PE-0.64</v>
      </c>
      <c r="R362" s="557">
        <f>COUNTIF(buckets[CTL Bucket],schedule13[[#This Row],[CTL Bucket]])</f>
        <v>1</v>
      </c>
      <c r="S362" s="1">
        <v>22.23</v>
      </c>
      <c r="T362" s="1">
        <v>22.23</v>
      </c>
      <c r="U362" s="1">
        <v>0</v>
      </c>
      <c r="V362" s="1">
        <v>1.6</v>
      </c>
      <c r="W362" s="23">
        <v>640</v>
      </c>
      <c r="X362" s="22" t="s">
        <v>397</v>
      </c>
      <c r="Y362" s="2">
        <v>10000</v>
      </c>
      <c r="Z362" s="2"/>
      <c r="AA362" s="4">
        <f t="shared" si="57"/>
        <v>10000</v>
      </c>
      <c r="AB362" s="1">
        <f t="shared" si="60"/>
        <v>5.2079758336000008</v>
      </c>
      <c r="AC362" s="1">
        <f t="shared" si="62"/>
        <v>0</v>
      </c>
      <c r="AD362" s="1">
        <f t="shared" si="58"/>
        <v>5.2079758336000008</v>
      </c>
      <c r="AE362" s="3">
        <f>schedule13[[#This Row],[CTL Stock]]/schedule13[[#This Row],[SCHEDULE IN MT]]*schedule13[[#This Row],[SCHEDULE]]</f>
        <v>559.05405344160465</v>
      </c>
      <c r="AF362" s="1">
        <f>SUMIFS(stock[MT],stock[Bucket],schedule13[[#This Row],[Bucket]],stock[CTL Bucket],schedule13[[#This Row],[CTL Bucket]])</f>
        <v>0.29115400000000002</v>
      </c>
      <c r="AG362" s="1">
        <f>SUMIFS(stock[MT],stock[Bucket],schedule13[[#This Row],[Bucket]])+SUMIFS(wip[Stock(Net Wt)],wip[Bucket],schedule13[[#This Row],[Bucket]])/1000</f>
        <v>65.213986000000006</v>
      </c>
      <c r="AH362" s="1">
        <f t="shared" si="63"/>
        <v>1.3404071791200001</v>
      </c>
      <c r="AI362" s="118">
        <f t="shared" si="64"/>
        <v>0.17845116917836756</v>
      </c>
    </row>
    <row r="363" spans="1:35" hidden="1" x14ac:dyDescent="0.25">
      <c r="A363" s="30">
        <v>176</v>
      </c>
      <c r="B363" s="5" t="s">
        <v>1816</v>
      </c>
      <c r="C363" s="2" t="s">
        <v>296</v>
      </c>
      <c r="D363" s="2" t="s">
        <v>955</v>
      </c>
      <c r="E363" s="2" t="s">
        <v>6569</v>
      </c>
      <c r="F363" s="2">
        <v>3509824</v>
      </c>
      <c r="G363" s="2" t="s">
        <v>2030</v>
      </c>
      <c r="H363" s="2" t="s">
        <v>962</v>
      </c>
      <c r="I363" s="2"/>
      <c r="J363" s="2" t="s">
        <v>963</v>
      </c>
      <c r="K363" s="2" t="s">
        <v>1867</v>
      </c>
      <c r="L363" s="44" t="s">
        <v>1914</v>
      </c>
      <c r="M363" s="2"/>
      <c r="N363" s="2"/>
      <c r="O363" s="2"/>
      <c r="P363" s="557" t="str">
        <f>CONCATENATE(schedule13[[#This Row],[OD]],"-",schedule13[[#This Row],[ID]],"-",schedule13[[#This Row],[TICKNESS]],"-",schedule13[[#This Row],[GRADE]],"-",schedule13[[#This Row],[FC/NFC]])</f>
        <v>22.23-0-1.6-ERW 1-PE</v>
      </c>
      <c r="Q363" s="557" t="str">
        <f>_xlfn.CONCAT(schedule13[[#This Row],[Bucket]],"-",schedule13[[#This Row],[LENGTH]]/1000)</f>
        <v>22.23-0-1.6-ERW 1-PE-1.21</v>
      </c>
      <c r="R363" s="557">
        <f>COUNTIF(buckets[CTL Bucket],schedule13[[#This Row],[CTL Bucket]])</f>
        <v>1</v>
      </c>
      <c r="S363" s="1">
        <v>22.23</v>
      </c>
      <c r="T363" s="1">
        <v>22.23</v>
      </c>
      <c r="U363" s="1">
        <v>0</v>
      </c>
      <c r="V363" s="1">
        <v>1.6</v>
      </c>
      <c r="W363" s="23">
        <v>1210</v>
      </c>
      <c r="X363" s="22" t="s">
        <v>397</v>
      </c>
      <c r="Y363" s="2">
        <v>5000</v>
      </c>
      <c r="Z363" s="2"/>
      <c r="AA363" s="4">
        <f t="shared" si="57"/>
        <v>5000</v>
      </c>
      <c r="AB363" s="1">
        <f t="shared" si="60"/>
        <v>4.9231646551999999</v>
      </c>
      <c r="AC363" s="1">
        <f t="shared" si="62"/>
        <v>0</v>
      </c>
      <c r="AD363" s="1">
        <f t="shared" si="58"/>
        <v>4.9231646551999999</v>
      </c>
      <c r="AE363" s="3">
        <f>schedule13[[#This Row],[CTL Stock]]/schedule13[[#This Row],[SCHEDULE IN MT]]*schedule13[[#This Row],[SCHEDULE]]</f>
        <v>3.9039929285524178</v>
      </c>
      <c r="AF363" s="1">
        <f>SUMIFS(stock[MT],stock[Bucket],schedule13[[#This Row],[Bucket]],stock[CTL Bucket],schedule13[[#This Row],[CTL Bucket]])</f>
        <v>3.8440000000000002E-3</v>
      </c>
      <c r="AG363" s="1">
        <f>SUMIFS(stock[MT],stock[Bucket],schedule13[[#This Row],[Bucket]])+SUMIFS(wip[Stock(Net Wt)],wip[Bucket],schedule13[[#This Row],[Bucket]])/1000</f>
        <v>65.213986000000006</v>
      </c>
      <c r="AH363" s="1">
        <f t="shared" si="63"/>
        <v>5.2041318336000009</v>
      </c>
      <c r="AI363" s="118">
        <f t="shared" si="64"/>
        <v>7.3809866305444129E-4</v>
      </c>
    </row>
    <row r="364" spans="1:35" hidden="1" x14ac:dyDescent="0.25">
      <c r="A364" s="30">
        <v>178</v>
      </c>
      <c r="B364" s="5" t="s">
        <v>1816</v>
      </c>
      <c r="C364" s="2" t="s">
        <v>296</v>
      </c>
      <c r="D364" s="2" t="s">
        <v>955</v>
      </c>
      <c r="E364" s="2" t="s">
        <v>6569</v>
      </c>
      <c r="F364" s="2">
        <v>2420106</v>
      </c>
      <c r="G364" s="2" t="s">
        <v>775</v>
      </c>
      <c r="H364" s="2" t="s">
        <v>962</v>
      </c>
      <c r="I364" s="2"/>
      <c r="J364" s="2" t="s">
        <v>963</v>
      </c>
      <c r="K364" s="2" t="s">
        <v>239</v>
      </c>
      <c r="L364" s="2"/>
      <c r="M364" s="2"/>
      <c r="N364" s="2"/>
      <c r="O364" s="2"/>
      <c r="P364" s="557" t="str">
        <f>CONCATENATE(schedule13[[#This Row],[OD]],"-",schedule13[[#This Row],[ID]],"-",schedule13[[#This Row],[TICKNESS]],"-",schedule13[[#This Row],[GRADE]],"-",schedule13[[#This Row],[FC/NFC]])</f>
        <v>22.23-0-2-ERW 1-PE</v>
      </c>
      <c r="Q364" s="557" t="str">
        <f>_xlfn.CONCAT(schedule13[[#This Row],[Bucket]],"-",schedule13[[#This Row],[LENGTH]]/1000)</f>
        <v>22.23-0-2-ERW 1-PE-1.325</v>
      </c>
      <c r="R364" s="557">
        <f>COUNTIF(buckets[CTL Bucket],schedule13[[#This Row],[CTL Bucket]])</f>
        <v>2</v>
      </c>
      <c r="S364" s="1">
        <v>22.23</v>
      </c>
      <c r="T364" s="1">
        <v>22.23</v>
      </c>
      <c r="U364" s="1">
        <v>0</v>
      </c>
      <c r="V364" s="1">
        <v>2</v>
      </c>
      <c r="W364" s="23">
        <v>1325</v>
      </c>
      <c r="X364" s="22" t="s">
        <v>397</v>
      </c>
      <c r="Y364" s="2">
        <v>5000</v>
      </c>
      <c r="Z364" s="2"/>
      <c r="AA364" s="4">
        <f t="shared" si="57"/>
        <v>5000</v>
      </c>
      <c r="AB364" s="1">
        <f t="shared" si="60"/>
        <v>6.6081750174999998</v>
      </c>
      <c r="AC364" s="1">
        <f t="shared" si="62"/>
        <v>0</v>
      </c>
      <c r="AD364" s="1">
        <f t="shared" si="58"/>
        <v>6.6081750174999998</v>
      </c>
      <c r="AE364" s="3">
        <f>schedule13[[#This Row],[CTL Stock]]/schedule13[[#This Row],[SCHEDULE IN MT]]*schedule13[[#This Row],[SCHEDULE]]</f>
        <v>65.24494264425708</v>
      </c>
      <c r="AF364" s="1">
        <f>SUMIFS(stock[MT],stock[Bucket],schedule13[[#This Row],[Bucket]],stock[CTL Bucket],schedule13[[#This Row],[CTL Bucket]])</f>
        <v>8.6230000000000001E-2</v>
      </c>
      <c r="AG364" s="1">
        <f>SUMIFS(stock[MT],stock[Bucket],schedule13[[#This Row],[Bucket]])+SUMIFS(wip[Stock(Net Wt)],wip[Bucket],schedule13[[#This Row],[Bucket]])/1000</f>
        <v>15.848029999999998</v>
      </c>
      <c r="AH364" s="1">
        <f t="shared" si="63"/>
        <v>4.8369346552000003</v>
      </c>
      <c r="AI364" s="118">
        <f t="shared" si="64"/>
        <v>1.7515156619618884E-2</v>
      </c>
    </row>
    <row r="365" spans="1:35" hidden="1" x14ac:dyDescent="0.25">
      <c r="A365" s="30">
        <v>179</v>
      </c>
      <c r="B365" s="5" t="s">
        <v>1816</v>
      </c>
      <c r="C365" s="2" t="s">
        <v>296</v>
      </c>
      <c r="D365" s="2" t="s">
        <v>955</v>
      </c>
      <c r="E365" s="2" t="s">
        <v>6569</v>
      </c>
      <c r="F365" s="2">
        <v>3087645</v>
      </c>
      <c r="G365" s="2" t="s">
        <v>1492</v>
      </c>
      <c r="H365" s="2" t="s">
        <v>962</v>
      </c>
      <c r="I365" s="2"/>
      <c r="J365" s="2" t="s">
        <v>963</v>
      </c>
      <c r="K365" s="2" t="s">
        <v>239</v>
      </c>
      <c r="L365" s="2"/>
      <c r="M365" s="2"/>
      <c r="N365" s="2"/>
      <c r="O365" s="2"/>
      <c r="P365" s="557" t="str">
        <f>CONCATENATE(schedule13[[#This Row],[OD]],"-",schedule13[[#This Row],[ID]],"-",schedule13[[#This Row],[TICKNESS]],"-",schedule13[[#This Row],[GRADE]],"-",schedule13[[#This Row],[FC/NFC]])</f>
        <v>22.23-0-2.3-ERW 1-PE</v>
      </c>
      <c r="Q365" s="557" t="str">
        <f>_xlfn.CONCAT(schedule13[[#This Row],[Bucket]],"-",schedule13[[#This Row],[LENGTH]]/1000)</f>
        <v>22.23-0-2.3-ERW 1-PE-0.425</v>
      </c>
      <c r="R365" s="557">
        <f>COUNTIF(buckets[CTL Bucket],schedule13[[#This Row],[CTL Bucket]])</f>
        <v>2</v>
      </c>
      <c r="S365" s="1">
        <v>22.23</v>
      </c>
      <c r="T365" s="1">
        <v>22.23</v>
      </c>
      <c r="U365" s="1">
        <v>0</v>
      </c>
      <c r="V365" s="1">
        <v>2.2999999999999998</v>
      </c>
      <c r="W365" s="23">
        <v>425</v>
      </c>
      <c r="X365" s="22" t="s">
        <v>397</v>
      </c>
      <c r="Y365" s="2">
        <v>5000</v>
      </c>
      <c r="Z365" s="2"/>
      <c r="AA365" s="4">
        <f t="shared" si="57"/>
        <v>5000</v>
      </c>
      <c r="AB365" s="1">
        <f t="shared" si="60"/>
        <v>2.401396342375</v>
      </c>
      <c r="AC365" s="1">
        <f t="shared" si="62"/>
        <v>0</v>
      </c>
      <c r="AD365" s="1">
        <f t="shared" si="58"/>
        <v>2.401396342375</v>
      </c>
      <c r="AE365" s="3">
        <f>schedule13[[#This Row],[CTL Stock]]/schedule13[[#This Row],[SCHEDULE IN MT]]*schedule13[[#This Row],[SCHEDULE]]</f>
        <v>0</v>
      </c>
      <c r="AF365" s="1">
        <f>SUMIFS(stock[MT],stock[Bucket],schedule13[[#This Row],[Bucket]],stock[CTL Bucket],schedule13[[#This Row],[CTL Bucket]])</f>
        <v>0</v>
      </c>
      <c r="AG365" s="1">
        <f>SUMIFS(stock[MT],stock[Bucket],schedule13[[#This Row],[Bucket]])+SUMIFS(wip[Stock(Net Wt)],wip[Bucket],schedule13[[#This Row],[Bucket]])/1000</f>
        <v>6.9830090000000009</v>
      </c>
      <c r="AH365" s="1">
        <f t="shared" si="63"/>
        <v>6.6081750174999998</v>
      </c>
      <c r="AI365" s="118">
        <f t="shared" si="64"/>
        <v>0</v>
      </c>
    </row>
    <row r="366" spans="1:35" hidden="1" x14ac:dyDescent="0.25">
      <c r="A366" s="30">
        <v>183</v>
      </c>
      <c r="B366" s="5" t="s">
        <v>1816</v>
      </c>
      <c r="C366" s="2" t="s">
        <v>296</v>
      </c>
      <c r="D366" s="2" t="s">
        <v>955</v>
      </c>
      <c r="E366" s="2" t="s">
        <v>6569</v>
      </c>
      <c r="F366" s="2">
        <v>1940266</v>
      </c>
      <c r="G366" s="2" t="s">
        <v>1361</v>
      </c>
      <c r="H366" s="2" t="s">
        <v>962</v>
      </c>
      <c r="I366" s="2"/>
      <c r="J366" s="2"/>
      <c r="K366" s="2" t="s">
        <v>239</v>
      </c>
      <c r="L366" s="2"/>
      <c r="M366" s="2"/>
      <c r="N366" s="2"/>
      <c r="O366" s="2"/>
      <c r="P366" s="557" t="str">
        <f>CONCATENATE(schedule13[[#This Row],[OD]],"-",schedule13[[#This Row],[ID]],"-",schedule13[[#This Row],[TICKNESS]],"-",schedule13[[#This Row],[GRADE]],"-",schedule13[[#This Row],[FC/NFC]])</f>
        <v>19.05-0-2-ERW 1-</v>
      </c>
      <c r="Q366" s="557" t="str">
        <f>_xlfn.CONCAT(schedule13[[#This Row],[Bucket]],"-",schedule13[[#This Row],[LENGTH]]/1000)</f>
        <v>19.05-0-2-ERW 1--0.213</v>
      </c>
      <c r="R366" s="557">
        <f>COUNTIF(buckets[CTL Bucket],schedule13[[#This Row],[CTL Bucket]])</f>
        <v>0</v>
      </c>
      <c r="S366" s="1">
        <v>19.05</v>
      </c>
      <c r="T366" s="1">
        <v>19.05</v>
      </c>
      <c r="U366" s="1">
        <v>0</v>
      </c>
      <c r="V366" s="1">
        <v>2</v>
      </c>
      <c r="W366" s="23">
        <v>213</v>
      </c>
      <c r="X366" s="23"/>
      <c r="Y366" s="2">
        <v>5000</v>
      </c>
      <c r="Z366" s="2"/>
      <c r="AA366" s="4">
        <f t="shared" si="57"/>
        <v>5000</v>
      </c>
      <c r="AB366" s="1">
        <f t="shared" si="60"/>
        <v>0.89531067450000013</v>
      </c>
      <c r="AC366" s="1">
        <f t="shared" si="62"/>
        <v>0</v>
      </c>
      <c r="AD366" s="1">
        <f t="shared" si="58"/>
        <v>0.89531067450000013</v>
      </c>
      <c r="AE366" s="1"/>
      <c r="AF366" s="1">
        <v>0.61987899999999996</v>
      </c>
      <c r="AG366" s="1"/>
      <c r="AH366" s="1">
        <f t="shared" si="63"/>
        <v>1.7815173423749999</v>
      </c>
      <c r="AI366" s="118">
        <f t="shared" si="64"/>
        <v>0.2581327326362689</v>
      </c>
    </row>
    <row r="367" spans="1:35" hidden="1" x14ac:dyDescent="0.25">
      <c r="A367" s="30">
        <v>184</v>
      </c>
      <c r="B367" s="5" t="s">
        <v>1816</v>
      </c>
      <c r="C367" s="2" t="s">
        <v>296</v>
      </c>
      <c r="D367" s="2" t="s">
        <v>955</v>
      </c>
      <c r="E367" s="2" t="s">
        <v>6569</v>
      </c>
      <c r="F367" s="2">
        <v>1940272</v>
      </c>
      <c r="G367" s="2" t="s">
        <v>2014</v>
      </c>
      <c r="H367" s="2" t="s">
        <v>962</v>
      </c>
      <c r="I367" s="2"/>
      <c r="J367" s="2"/>
      <c r="K367" s="2" t="s">
        <v>239</v>
      </c>
      <c r="L367" s="2"/>
      <c r="M367" s="2"/>
      <c r="N367" s="2"/>
      <c r="O367" s="2"/>
      <c r="P367" s="557" t="str">
        <f>CONCATENATE(schedule13[[#This Row],[OD]],"-",schedule13[[#This Row],[ID]],"-",schedule13[[#This Row],[TICKNESS]],"-",schedule13[[#This Row],[GRADE]],"-",schedule13[[#This Row],[FC/NFC]])</f>
        <v>19.05-0-2-ERW 1-</v>
      </c>
      <c r="Q367" s="557" t="str">
        <f>_xlfn.CONCAT(schedule13[[#This Row],[Bucket]],"-",schedule13[[#This Row],[LENGTH]]/1000)</f>
        <v>19.05-0-2-ERW 1--0.259</v>
      </c>
      <c r="R367" s="557">
        <f>COUNTIF(buckets[CTL Bucket],schedule13[[#This Row],[CTL Bucket]])</f>
        <v>0</v>
      </c>
      <c r="S367" s="1">
        <v>19.05</v>
      </c>
      <c r="T367" s="1">
        <v>19.05</v>
      </c>
      <c r="U367" s="1">
        <v>0</v>
      </c>
      <c r="V367" s="1">
        <v>2</v>
      </c>
      <c r="W367" s="23">
        <v>259</v>
      </c>
      <c r="X367" s="23"/>
      <c r="Y367" s="2">
        <v>5000</v>
      </c>
      <c r="Z367" s="2"/>
      <c r="AA367" s="4">
        <f t="shared" si="57"/>
        <v>5000</v>
      </c>
      <c r="AB367" s="1">
        <f t="shared" si="60"/>
        <v>1.0886641535000001</v>
      </c>
      <c r="AC367" s="1">
        <f t="shared" si="62"/>
        <v>0</v>
      </c>
      <c r="AD367" s="1">
        <f t="shared" si="58"/>
        <v>1.0886641535000001</v>
      </c>
      <c r="AE367" s="1"/>
      <c r="AF367" s="1"/>
      <c r="AG367" s="1"/>
      <c r="AH367" s="1">
        <f t="shared" si="63"/>
        <v>0.89531067450000013</v>
      </c>
      <c r="AI367" s="118">
        <f t="shared" si="64"/>
        <v>0</v>
      </c>
    </row>
    <row r="368" spans="1:35" hidden="1" x14ac:dyDescent="0.25">
      <c r="A368" s="30">
        <v>185</v>
      </c>
      <c r="B368" s="5" t="s">
        <v>1816</v>
      </c>
      <c r="C368" s="2" t="s">
        <v>296</v>
      </c>
      <c r="D368" s="2" t="s">
        <v>955</v>
      </c>
      <c r="E368" s="2" t="s">
        <v>6569</v>
      </c>
      <c r="F368" s="2">
        <v>1940269</v>
      </c>
      <c r="G368" s="2" t="s">
        <v>6570</v>
      </c>
      <c r="H368" s="2" t="s">
        <v>962</v>
      </c>
      <c r="I368" s="2"/>
      <c r="J368" s="2"/>
      <c r="K368" s="2" t="s">
        <v>239</v>
      </c>
      <c r="L368" s="2"/>
      <c r="M368" s="2"/>
      <c r="N368" s="2"/>
      <c r="O368" s="2"/>
      <c r="P368" s="557" t="str">
        <f>CONCATENATE(schedule13[[#This Row],[OD]],"-",schedule13[[#This Row],[ID]],"-",schedule13[[#This Row],[TICKNESS]],"-",schedule13[[#This Row],[GRADE]],"-",schedule13[[#This Row],[FC/NFC]])</f>
        <v>19.05-0-2-ERW 1-</v>
      </c>
      <c r="Q368" s="557" t="str">
        <f>_xlfn.CONCAT(schedule13[[#This Row],[Bucket]],"-",schedule13[[#This Row],[LENGTH]]/1000)</f>
        <v>19.05-0-2-ERW 1--0.24</v>
      </c>
      <c r="R368" s="557">
        <f>COUNTIF(buckets[CTL Bucket],schedule13[[#This Row],[CTL Bucket]])</f>
        <v>0</v>
      </c>
      <c r="S368" s="1">
        <v>19.05</v>
      </c>
      <c r="T368" s="1">
        <v>19.05</v>
      </c>
      <c r="U368" s="1">
        <v>0</v>
      </c>
      <c r="V368" s="1">
        <v>2</v>
      </c>
      <c r="W368" s="23">
        <v>240</v>
      </c>
      <c r="X368" s="23"/>
      <c r="Y368" s="2">
        <v>5000</v>
      </c>
      <c r="Z368" s="2"/>
      <c r="AA368" s="4">
        <f t="shared" si="57"/>
        <v>5000</v>
      </c>
      <c r="AB368" s="1">
        <f t="shared" si="60"/>
        <v>1.00880076</v>
      </c>
      <c r="AC368" s="1">
        <f t="shared" si="62"/>
        <v>0</v>
      </c>
      <c r="AD368" s="1">
        <f t="shared" si="58"/>
        <v>1.00880076</v>
      </c>
      <c r="AE368" s="1"/>
      <c r="AF368" s="1"/>
      <c r="AG368" s="1"/>
      <c r="AH368" s="1">
        <f t="shared" si="63"/>
        <v>1.0886641535000001</v>
      </c>
      <c r="AI368" s="118">
        <f t="shared" si="64"/>
        <v>0</v>
      </c>
    </row>
    <row r="369" spans="1:35" hidden="1" x14ac:dyDescent="0.25">
      <c r="A369" s="30">
        <v>193</v>
      </c>
      <c r="B369" s="5" t="s">
        <v>1816</v>
      </c>
      <c r="C369" s="2" t="s">
        <v>296</v>
      </c>
      <c r="D369" s="2" t="s">
        <v>955</v>
      </c>
      <c r="E369" s="2" t="s">
        <v>6569</v>
      </c>
      <c r="F369" s="2">
        <v>3171772</v>
      </c>
      <c r="G369" s="2" t="s">
        <v>2040</v>
      </c>
      <c r="H369" s="2" t="s">
        <v>962</v>
      </c>
      <c r="I369" s="2"/>
      <c r="J369" s="2" t="s">
        <v>963</v>
      </c>
      <c r="K369" s="2" t="s">
        <v>1867</v>
      </c>
      <c r="L369" s="2"/>
      <c r="M369" s="2"/>
      <c r="N369" s="2"/>
      <c r="O369" s="2"/>
      <c r="P369" s="557" t="str">
        <f>CONCATENATE(schedule13[[#This Row],[OD]],"-",schedule13[[#This Row],[ID]],"-",schedule13[[#This Row],[TICKNESS]],"-",schedule13[[#This Row],[GRADE]],"-",schedule13[[#This Row],[FC/NFC]])</f>
        <v>31.75-0-1.2-ERW 1-PE</v>
      </c>
      <c r="Q369" s="557" t="str">
        <f>CONCATENATE(schedule13[[#This Row],[OD]],"-",schedule13[[#This Row],[ID]],"-",schedule13[[#This Row],[TICKNESS]],"-",schedule13[[#This Row],[GRADE]],"-",schedule13[[#This Row],[FC/NFC]])</f>
        <v>31.75-0-1.2-ERW 1-PE</v>
      </c>
      <c r="R369" s="557">
        <f>COUNTIF(buckets[CTL Bucket],schedule13[[#This Row],[CTL Bucket]])</f>
        <v>0</v>
      </c>
      <c r="S369" s="1">
        <v>31.75</v>
      </c>
      <c r="T369" s="1">
        <v>31.75</v>
      </c>
      <c r="U369" s="1">
        <v>0</v>
      </c>
      <c r="V369" s="1">
        <v>1.2</v>
      </c>
      <c r="W369" s="24">
        <v>1000</v>
      </c>
      <c r="X369" s="22" t="s">
        <v>444</v>
      </c>
      <c r="Y369" s="2">
        <v>2000</v>
      </c>
      <c r="Z369" s="2"/>
      <c r="AA369" s="4">
        <f t="shared" si="57"/>
        <v>2000</v>
      </c>
      <c r="AB369" s="1">
        <f t="shared" si="60"/>
        <v>1.8075579600000002</v>
      </c>
      <c r="AC369" s="1">
        <f t="shared" si="62"/>
        <v>0</v>
      </c>
      <c r="AD369" s="1">
        <f t="shared" si="58"/>
        <v>1.8075579600000002</v>
      </c>
      <c r="AE369" s="3">
        <f>schedule13[[#This Row],[CTL Stock]]/schedule13[[#This Row],[SCHEDULE IN MT]]*schedule13[[#This Row],[SCHEDULE]]</f>
        <v>0</v>
      </c>
      <c r="AF369" s="1">
        <f>SUMIFS(stock[MT],stock[Bucket],schedule13[[#This Row],[Bucket]],stock[CTL Bucket],schedule13[[#This Row],[CTL Bucket]])</f>
        <v>0</v>
      </c>
      <c r="AG369" s="1">
        <f>SUMIFS(stock[MT],stock[Bucket],schedule13[[#This Row],[Bucket]])+SUMIFS(wip[Stock(Net Wt)],wip[Bucket],schedule13[[#This Row],[Bucket]])/1000</f>
        <v>23.995653000000001</v>
      </c>
      <c r="AH369" s="1">
        <f t="shared" si="63"/>
        <v>1.00880076</v>
      </c>
      <c r="AI369" s="118">
        <f t="shared" si="64"/>
        <v>0</v>
      </c>
    </row>
    <row r="370" spans="1:35" hidden="1" x14ac:dyDescent="0.25">
      <c r="A370" s="30">
        <v>167</v>
      </c>
      <c r="B370" s="5" t="s">
        <v>1816</v>
      </c>
      <c r="C370" s="2" t="s">
        <v>297</v>
      </c>
      <c r="D370" s="2" t="s">
        <v>955</v>
      </c>
      <c r="E370" s="2" t="s">
        <v>6569</v>
      </c>
      <c r="F370" s="2" t="s">
        <v>1878</v>
      </c>
      <c r="G370" s="2"/>
      <c r="H370" s="2" t="s">
        <v>962</v>
      </c>
      <c r="I370" s="2"/>
      <c r="J370" s="2" t="s">
        <v>963</v>
      </c>
      <c r="K370" s="2" t="s">
        <v>1867</v>
      </c>
      <c r="L370" s="2"/>
      <c r="M370" s="2"/>
      <c r="N370" s="2"/>
      <c r="O370" s="2"/>
      <c r="P370" s="557" t="str">
        <f>CONCATENATE(schedule13[[#This Row],[OD]],"-",schedule13[[#This Row],[ID]],"-",schedule13[[#This Row],[TICKNESS]],"-",schedule13[[#This Row],[GRADE]],"-",schedule13[[#This Row],[FC/NFC]])</f>
        <v>22.23-0-1.2-ERW 1-PE</v>
      </c>
      <c r="Q370" s="557" t="str">
        <f>_xlfn.CONCAT(schedule13[[#This Row],[Bucket]],"-",schedule13[[#This Row],[LENGTH]]/1000)</f>
        <v>22.23-0-1.2-ERW 1-PE-0.297</v>
      </c>
      <c r="R370" s="557">
        <f>COUNTIF(buckets[CTL Bucket],schedule13[[#This Row],[CTL Bucket]])</f>
        <v>1</v>
      </c>
      <c r="S370" s="1">
        <v>22.23</v>
      </c>
      <c r="T370" s="1">
        <v>22.23</v>
      </c>
      <c r="U370" s="1">
        <v>0</v>
      </c>
      <c r="V370" s="1">
        <v>1.2</v>
      </c>
      <c r="W370" s="24">
        <v>297</v>
      </c>
      <c r="X370" s="22" t="s">
        <v>397</v>
      </c>
      <c r="Y370" s="2">
        <v>2000</v>
      </c>
      <c r="Z370" s="2"/>
      <c r="AA370" s="4">
        <f t="shared" si="57"/>
        <v>2000</v>
      </c>
      <c r="AB370" s="1">
        <f t="shared" si="60"/>
        <v>0.36955300615200004</v>
      </c>
      <c r="AC370" s="1">
        <f t="shared" si="62"/>
        <v>0</v>
      </c>
      <c r="AD370" s="1">
        <f t="shared" si="58"/>
        <v>0.36955300615200004</v>
      </c>
      <c r="AE370" s="3">
        <f>schedule13[[#This Row],[CTL Stock]]/schedule13[[#This Row],[SCHEDULE IN MT]]*schedule13[[#This Row],[SCHEDULE]]</f>
        <v>0</v>
      </c>
      <c r="AF370" s="1">
        <f>SUMIFS(stock[MT],stock[Bucket],schedule13[[#This Row],[Bucket]],stock[CTL Bucket],schedule13[[#This Row],[CTL Bucket]])</f>
        <v>0</v>
      </c>
      <c r="AG370" s="1">
        <f>SUMIFS(stock[MT],stock[Bucket],schedule13[[#This Row],[Bucket]])+SUMIFS(wip[Stock(Net Wt)],wip[Bucket],schedule13[[#This Row],[Bucket]])/1000</f>
        <v>5.0530619999999997</v>
      </c>
      <c r="AH370" s="1">
        <f t="shared" si="63"/>
        <v>1.8075579600000002</v>
      </c>
      <c r="AI370" s="118">
        <f t="shared" si="64"/>
        <v>0</v>
      </c>
    </row>
    <row r="371" spans="1:35" hidden="1" x14ac:dyDescent="0.25">
      <c r="A371" s="30">
        <v>169</v>
      </c>
      <c r="B371" s="5" t="s">
        <v>1816</v>
      </c>
      <c r="C371" s="2" t="s">
        <v>297</v>
      </c>
      <c r="D371" s="2" t="s">
        <v>955</v>
      </c>
      <c r="E371" s="2" t="s">
        <v>6569</v>
      </c>
      <c r="F371" s="2">
        <v>3507568</v>
      </c>
      <c r="G371" s="2" t="s">
        <v>1448</v>
      </c>
      <c r="H371" s="2" t="s">
        <v>962</v>
      </c>
      <c r="I371" s="2"/>
      <c r="J371" s="2" t="s">
        <v>963</v>
      </c>
      <c r="K371" s="2" t="s">
        <v>1867</v>
      </c>
      <c r="L371" s="2"/>
      <c r="M371" s="2"/>
      <c r="N371" s="2"/>
      <c r="O371" s="2"/>
      <c r="P371" s="557" t="str">
        <f>CONCATENATE(schedule13[[#This Row],[OD]],"-",schedule13[[#This Row],[ID]],"-",schedule13[[#This Row],[TICKNESS]],"-",schedule13[[#This Row],[GRADE]],"-",schedule13[[#This Row],[FC/NFC]])</f>
        <v>22.23-0-1.2-ERW 1-PE</v>
      </c>
      <c r="Q371" s="557" t="str">
        <f>_xlfn.CONCAT(schedule13[[#This Row],[Bucket]],"-",schedule13[[#This Row],[LENGTH]]/1000)</f>
        <v>22.23-0-1.2-ERW 1-PE-0.681</v>
      </c>
      <c r="R371" s="557">
        <f>COUNTIF(buckets[CTL Bucket],schedule13[[#This Row],[CTL Bucket]])</f>
        <v>2</v>
      </c>
      <c r="S371" s="1">
        <v>22.23</v>
      </c>
      <c r="T371" s="1">
        <v>22.23</v>
      </c>
      <c r="U371" s="1">
        <v>0</v>
      </c>
      <c r="V371" s="1">
        <v>1.2</v>
      </c>
      <c r="W371" s="23">
        <v>681</v>
      </c>
      <c r="X371" s="22" t="s">
        <v>397</v>
      </c>
      <c r="Y371" s="2">
        <v>2000</v>
      </c>
      <c r="Z371" s="2"/>
      <c r="AA371" s="4">
        <f t="shared" si="57"/>
        <v>2000</v>
      </c>
      <c r="AB371" s="1">
        <f t="shared" si="60"/>
        <v>0.84735891309600009</v>
      </c>
      <c r="AC371" s="1">
        <f t="shared" si="62"/>
        <v>0</v>
      </c>
      <c r="AD371" s="1">
        <f t="shared" si="58"/>
        <v>0.84735891309600009</v>
      </c>
      <c r="AE371" s="3">
        <f>schedule13[[#This Row],[CTL Stock]]/schedule13[[#This Row],[SCHEDULE IN MT]]*schedule13[[#This Row],[SCHEDULE]]</f>
        <v>470.15732512258933</v>
      </c>
      <c r="AF371" s="1">
        <f>SUMIFS(stock[MT],stock[Bucket],schedule13[[#This Row],[Bucket]],stock[CTL Bucket],schedule13[[#This Row],[CTL Bucket]])</f>
        <v>0.19919600000000001</v>
      </c>
      <c r="AG371" s="1">
        <f>SUMIFS(stock[MT],stock[Bucket],schedule13[[#This Row],[Bucket]])+SUMIFS(wip[Stock(Net Wt)],wip[Bucket],schedule13[[#This Row],[Bucket]])/1000</f>
        <v>5.0530619999999997</v>
      </c>
      <c r="AH371" s="1">
        <f t="shared" si="63"/>
        <v>0.17035700615200003</v>
      </c>
      <c r="AI371" s="118">
        <f t="shared" si="64"/>
        <v>0.53901875152943324</v>
      </c>
    </row>
    <row r="372" spans="1:35" hidden="1" x14ac:dyDescent="0.25">
      <c r="A372" s="30">
        <v>191</v>
      </c>
      <c r="B372" s="5" t="s">
        <v>1816</v>
      </c>
      <c r="C372" s="2" t="s">
        <v>297</v>
      </c>
      <c r="D372" s="2" t="s">
        <v>955</v>
      </c>
      <c r="E372" s="2" t="s">
        <v>6569</v>
      </c>
      <c r="F372" s="2"/>
      <c r="G372" s="2"/>
      <c r="H372" s="2" t="s">
        <v>962</v>
      </c>
      <c r="I372" s="2"/>
      <c r="J372" s="2" t="s">
        <v>963</v>
      </c>
      <c r="K372" s="2" t="s">
        <v>1867</v>
      </c>
      <c r="L372" s="2"/>
      <c r="M372" s="2"/>
      <c r="N372" s="2"/>
      <c r="O372" s="2"/>
      <c r="P372" s="557" t="str">
        <f>CONCATENATE(schedule13[[#This Row],[OD]],"-",schedule13[[#This Row],[ID]],"-",schedule13[[#This Row],[TICKNESS]],"-",schedule13[[#This Row],[GRADE]],"-",schedule13[[#This Row],[FC/NFC]])</f>
        <v>31.75-0-1.2-ERW 1-PE</v>
      </c>
      <c r="Q372" s="557" t="str">
        <f>_xlfn.CONCAT(schedule13[[#This Row],[Bucket]],"-",schedule13[[#This Row],[LENGTH]]/1000)</f>
        <v>31.75-0-1.2-ERW 1-PE-0.598</v>
      </c>
      <c r="R372" s="557">
        <f>COUNTIF(buckets[CTL Bucket],schedule13[[#This Row],[CTL Bucket]])</f>
        <v>0</v>
      </c>
      <c r="S372" s="1">
        <v>31.75</v>
      </c>
      <c r="T372" s="1">
        <v>31.75</v>
      </c>
      <c r="U372" s="1">
        <v>0</v>
      </c>
      <c r="V372" s="1">
        <v>1.2</v>
      </c>
      <c r="W372" s="24">
        <v>598</v>
      </c>
      <c r="X372" s="22" t="s">
        <v>397</v>
      </c>
      <c r="Y372" s="2">
        <v>2000</v>
      </c>
      <c r="Z372" s="2"/>
      <c r="AA372" s="4">
        <f t="shared" si="57"/>
        <v>2000</v>
      </c>
      <c r="AB372" s="1">
        <f t="shared" si="60"/>
        <v>1.0809196600799997</v>
      </c>
      <c r="AC372" s="1">
        <f t="shared" si="62"/>
        <v>0</v>
      </c>
      <c r="AD372" s="1">
        <f t="shared" si="58"/>
        <v>1.0809196600799997</v>
      </c>
      <c r="AE372" s="3">
        <f>schedule13[[#This Row],[CTL Stock]]/schedule13[[#This Row],[SCHEDULE IN MT]]*schedule13[[#This Row],[SCHEDULE]]</f>
        <v>0</v>
      </c>
      <c r="AF372" s="1">
        <f>SUMIFS(stock[MT],stock[Bucket],schedule13[[#This Row],[Bucket]],stock[CTL Bucket],schedule13[[#This Row],[CTL Bucket]])</f>
        <v>0</v>
      </c>
      <c r="AG372" s="1">
        <f>SUMIFS(stock[MT],stock[Bucket],schedule13[[#This Row],[Bucket]])+SUMIFS(wip[Stock(Net Wt)],wip[Bucket],schedule13[[#This Row],[Bucket]])/1000</f>
        <v>23.995653000000001</v>
      </c>
      <c r="AH372" s="1">
        <f t="shared" si="63"/>
        <v>0.84735891309600009</v>
      </c>
      <c r="AI372" s="118">
        <f t="shared" si="64"/>
        <v>0</v>
      </c>
    </row>
    <row r="373" spans="1:35" hidden="1" x14ac:dyDescent="0.25">
      <c r="A373" s="30">
        <v>132</v>
      </c>
      <c r="B373" s="5" t="s">
        <v>1816</v>
      </c>
      <c r="C373" s="2" t="s">
        <v>298</v>
      </c>
      <c r="D373" s="2" t="s">
        <v>955</v>
      </c>
      <c r="E373" s="2" t="s">
        <v>6569</v>
      </c>
      <c r="F373" s="2">
        <v>3223304</v>
      </c>
      <c r="G373" s="2" t="s">
        <v>1150</v>
      </c>
      <c r="H373" s="2" t="s">
        <v>962</v>
      </c>
      <c r="I373" s="2"/>
      <c r="J373" s="2" t="s">
        <v>963</v>
      </c>
      <c r="K373" s="2" t="s">
        <v>1867</v>
      </c>
      <c r="L373" s="44" t="s">
        <v>1868</v>
      </c>
      <c r="M373" s="2"/>
      <c r="N373" s="2"/>
      <c r="O373" s="2"/>
      <c r="P373" s="557" t="str">
        <f>CONCATENATE(schedule13[[#This Row],[OD]],"-",schedule13[[#This Row],[ID]],"-",schedule13[[#This Row],[TICKNESS]],"-",schedule13[[#This Row],[GRADE]],"-",schedule13[[#This Row],[FC/NFC]])</f>
        <v>12.7-0-1.6-ERW 1-PE</v>
      </c>
      <c r="Q373" s="557" t="str">
        <f>_xlfn.CONCAT(schedule13[[#This Row],[Bucket]],"-",schedule13[[#This Row],[LENGTH]]/1000)</f>
        <v>12.7-0-1.6-ERW 1-PE-0.255</v>
      </c>
      <c r="R373" s="557">
        <f>COUNTIF(buckets[CTL Bucket],schedule13[[#This Row],[CTL Bucket]])</f>
        <v>1</v>
      </c>
      <c r="S373" s="1">
        <v>12.7</v>
      </c>
      <c r="T373" s="1">
        <v>12.7</v>
      </c>
      <c r="U373" s="1">
        <v>0</v>
      </c>
      <c r="V373" s="1">
        <v>1.6</v>
      </c>
      <c r="W373" s="23">
        <v>255</v>
      </c>
      <c r="X373" s="22" t="s">
        <v>397</v>
      </c>
      <c r="Y373" s="2">
        <v>10000</v>
      </c>
      <c r="Z373" s="2"/>
      <c r="AA373" s="4">
        <f t="shared" si="57"/>
        <v>10000</v>
      </c>
      <c r="AB373" s="1">
        <f t="shared" si="60"/>
        <v>1.1164850640000001</v>
      </c>
      <c r="AC373" s="1">
        <f t="shared" si="62"/>
        <v>0</v>
      </c>
      <c r="AD373" s="1">
        <f t="shared" si="58"/>
        <v>1.1164850640000001</v>
      </c>
      <c r="AE373" s="3">
        <f>schedule13[[#This Row],[CTL Stock]]/schedule13[[#This Row],[SCHEDULE IN MT]]*schedule13[[#This Row],[SCHEDULE]]</f>
        <v>4965.6553220133355</v>
      </c>
      <c r="AF373" s="1">
        <f>SUMIFS(stock[MT],stock[Bucket],schedule13[[#This Row],[Bucket]],stock[CTL Bucket],schedule13[[#This Row],[CTL Bucket]])</f>
        <v>0.55440800000000001</v>
      </c>
      <c r="AG373" s="1">
        <f>SUMIFS(stock[MT],stock[Bucket],schedule13[[#This Row],[Bucket]])+SUMIFS(wip[Stock(Net Wt)],wip[Bucket],schedule13[[#This Row],[Bucket]])/1000</f>
        <v>14.452704000000001</v>
      </c>
      <c r="AH373" s="1">
        <f t="shared" si="63"/>
        <v>0.52651166007999972</v>
      </c>
      <c r="AI373" s="118">
        <f t="shared" si="64"/>
        <v>0.51290398396395886</v>
      </c>
    </row>
    <row r="374" spans="1:35" hidden="1" x14ac:dyDescent="0.25">
      <c r="A374" s="30">
        <v>144</v>
      </c>
      <c r="B374" s="5" t="s">
        <v>1872</v>
      </c>
      <c r="C374" s="2" t="s">
        <v>298</v>
      </c>
      <c r="D374" s="2" t="s">
        <v>955</v>
      </c>
      <c r="E374" s="2" t="s">
        <v>6569</v>
      </c>
      <c r="F374" s="2"/>
      <c r="G374" s="2"/>
      <c r="H374" s="2" t="s">
        <v>357</v>
      </c>
      <c r="I374" s="2"/>
      <c r="J374" s="2" t="s">
        <v>357</v>
      </c>
      <c r="K374" s="2" t="s">
        <v>239</v>
      </c>
      <c r="L374" s="2"/>
      <c r="M374" s="2"/>
      <c r="N374" s="2"/>
      <c r="O374" s="2"/>
      <c r="P374" s="557" t="str">
        <f>CONCATENATE(schedule13[[#This Row],[OD]],"-",schedule13[[#This Row],[ID]],"-",schedule13[[#This Row],[TICKNESS]],"-",schedule13[[#This Row],[GRADE]],"-",schedule13[[#This Row],[FC/NFC]])</f>
        <v>21.7-16.2-2.75-CEW-CEW</v>
      </c>
      <c r="Q374" s="557" t="str">
        <f>_xlfn.CONCAT(schedule13[[#This Row],[Bucket]],"-",schedule13[[#This Row],[LENGTH]]/1000)</f>
        <v>21.7-16.2-2.75-CEW-CEW-4.5</v>
      </c>
      <c r="R374" s="557">
        <f>COUNTIF(buckets[CTL Bucket],schedule13[[#This Row],[CTL Bucket]])</f>
        <v>0</v>
      </c>
      <c r="S374" s="1">
        <v>21.7</v>
      </c>
      <c r="T374" s="6">
        <v>21.7</v>
      </c>
      <c r="U374" s="6">
        <v>16.2</v>
      </c>
      <c r="V374" s="6">
        <v>2.75</v>
      </c>
      <c r="W374" s="24">
        <v>4500</v>
      </c>
      <c r="X374" s="24"/>
      <c r="Y374" s="2">
        <v>0</v>
      </c>
      <c r="Z374" s="2"/>
      <c r="AA374" s="4">
        <f t="shared" si="57"/>
        <v>0</v>
      </c>
      <c r="AB374" s="1">
        <f t="shared" si="60"/>
        <v>0</v>
      </c>
      <c r="AC374" s="1">
        <f t="shared" si="62"/>
        <v>0</v>
      </c>
      <c r="AD374" s="1">
        <f t="shared" si="58"/>
        <v>0</v>
      </c>
      <c r="AE374" s="1"/>
      <c r="AF374" s="1"/>
      <c r="AG374" s="1"/>
      <c r="AH374" s="1">
        <f t="shared" si="63"/>
        <v>1.1164850640000001</v>
      </c>
      <c r="AI374" s="118">
        <f t="shared" si="64"/>
        <v>0</v>
      </c>
    </row>
    <row r="375" spans="1:35" hidden="1" x14ac:dyDescent="0.25">
      <c r="A375" s="30">
        <v>145</v>
      </c>
      <c r="B375" s="5" t="s">
        <v>1872</v>
      </c>
      <c r="C375" s="2" t="s">
        <v>298</v>
      </c>
      <c r="D375" s="2" t="s">
        <v>955</v>
      </c>
      <c r="E375" s="2" t="s">
        <v>6569</v>
      </c>
      <c r="F375" s="2">
        <v>2410996</v>
      </c>
      <c r="G375" s="2" t="s">
        <v>1230</v>
      </c>
      <c r="H375" s="2" t="s">
        <v>357</v>
      </c>
      <c r="I375" s="2"/>
      <c r="J375" s="2" t="s">
        <v>357</v>
      </c>
      <c r="K375" s="2" t="s">
        <v>239</v>
      </c>
      <c r="L375" s="2"/>
      <c r="M375" s="2"/>
      <c r="N375" s="2"/>
      <c r="O375" s="2"/>
      <c r="P375" s="557" t="str">
        <f>CONCATENATE(schedule13[[#This Row],[OD]],"-",schedule13[[#This Row],[ID]],"-",schedule13[[#This Row],[TICKNESS]],"-",schedule13[[#This Row],[GRADE]],"-",schedule13[[#This Row],[FC/NFC]])</f>
        <v>16.1-10.4-2.7-CEW-CEW</v>
      </c>
      <c r="Q375" s="557" t="str">
        <f>CONCATENATE(schedule13[[#This Row],[OD]],"-",schedule13[[#This Row],[ID]],"-",schedule13[[#This Row],[TICKNESS]],"-",schedule13[[#This Row],[GRADE]],"-",schedule13[[#This Row],[FC/NFC]])</f>
        <v>16.1-10.4-2.7-CEW-CEW</v>
      </c>
      <c r="R375" s="557">
        <f>COUNTIF(buckets[CTL Bucket],schedule13[[#This Row],[CTL Bucket]])</f>
        <v>0</v>
      </c>
      <c r="S375" s="1">
        <v>16.100000000000001</v>
      </c>
      <c r="T375" s="1">
        <v>16.100000000000001</v>
      </c>
      <c r="U375" s="1">
        <v>10.4</v>
      </c>
      <c r="V375" s="1">
        <v>2.7</v>
      </c>
      <c r="W375" s="24">
        <v>1000</v>
      </c>
      <c r="X375" s="22" t="s">
        <v>444</v>
      </c>
      <c r="Y375" s="2">
        <v>4000</v>
      </c>
      <c r="Z375" s="2"/>
      <c r="AA375" s="4">
        <f t="shared" si="57"/>
        <v>4000</v>
      </c>
      <c r="AB375" s="1">
        <f t="shared" si="60"/>
        <v>3.567782160000001</v>
      </c>
      <c r="AC375" s="1">
        <f t="shared" si="62"/>
        <v>0</v>
      </c>
      <c r="AD375" s="1">
        <f t="shared" si="58"/>
        <v>3.567782160000001</v>
      </c>
      <c r="AE375" s="3">
        <f>schedule13[[#This Row],[CTL Stock]]/schedule13[[#This Row],[SCHEDULE IN MT]]*schedule13[[#This Row],[SCHEDULE]]</f>
        <v>0</v>
      </c>
      <c r="AF375" s="1">
        <f>SUMIFS(stock[MT],stock[Bucket],schedule13[[#This Row],[Bucket]],stock[CTL Bucket],schedule13[[#This Row],[CTL Bucket]])</f>
        <v>0</v>
      </c>
      <c r="AG375" s="1">
        <f>SUMIFS(stock[MT],stock[Bucket],schedule13[[#This Row],[Bucket]])+SUMIFS(wip[Stock(Net Wt)],wip[Bucket],schedule13[[#This Row],[Bucket]])/1000</f>
        <v>7.4622169999999999</v>
      </c>
      <c r="AH375" s="1">
        <f t="shared" si="63"/>
        <v>0</v>
      </c>
      <c r="AI375" s="118" t="e">
        <f t="shared" si="64"/>
        <v>#DIV/0!</v>
      </c>
    </row>
    <row r="376" spans="1:35" hidden="1" x14ac:dyDescent="0.25">
      <c r="A376" s="30">
        <v>155</v>
      </c>
      <c r="B376" s="5" t="s">
        <v>1816</v>
      </c>
      <c r="C376" s="2" t="s">
        <v>298</v>
      </c>
      <c r="D376" s="2" t="s">
        <v>955</v>
      </c>
      <c r="E376" s="2" t="s">
        <v>6569</v>
      </c>
      <c r="F376" s="2">
        <v>2403383</v>
      </c>
      <c r="G376" s="2" t="s">
        <v>2018</v>
      </c>
      <c r="H376" s="2" t="s">
        <v>962</v>
      </c>
      <c r="I376" s="2"/>
      <c r="J376" s="2" t="s">
        <v>963</v>
      </c>
      <c r="K376" s="2" t="s">
        <v>239</v>
      </c>
      <c r="L376" s="2"/>
      <c r="M376" s="2"/>
      <c r="N376" s="2"/>
      <c r="O376" s="2"/>
      <c r="P376" s="557" t="str">
        <f>CONCATENATE(schedule13[[#This Row],[OD]],"-",schedule13[[#This Row],[ID]],"-",schedule13[[#This Row],[TICKNESS]],"-",schedule13[[#This Row],[GRADE]],"-",schedule13[[#This Row],[FC/NFC]])</f>
        <v>19.05-0-2-ERW 1-PE</v>
      </c>
      <c r="Q376" s="557" t="str">
        <f>_xlfn.CONCAT(schedule13[[#This Row],[Bucket]],"-",schedule13[[#This Row],[LENGTH]]/1000)</f>
        <v>19.05-0-2-ERW 1-PE-0.475</v>
      </c>
      <c r="R376" s="557">
        <f>COUNTIF(buckets[CTL Bucket],schedule13[[#This Row],[CTL Bucket]])</f>
        <v>3</v>
      </c>
      <c r="S376" s="1">
        <v>19.05</v>
      </c>
      <c r="T376" s="1">
        <v>19.05</v>
      </c>
      <c r="U376" s="1">
        <v>0</v>
      </c>
      <c r="V376" s="1">
        <v>2</v>
      </c>
      <c r="W376" s="27">
        <v>475</v>
      </c>
      <c r="X376" s="22" t="s">
        <v>397</v>
      </c>
      <c r="Y376" s="2">
        <v>7000</v>
      </c>
      <c r="Z376" s="2"/>
      <c r="AA376" s="4">
        <f t="shared" si="57"/>
        <v>7000</v>
      </c>
      <c r="AB376" s="1">
        <f t="shared" si="60"/>
        <v>2.7952187725000006</v>
      </c>
      <c r="AC376" s="1">
        <f t="shared" si="62"/>
        <v>0</v>
      </c>
      <c r="AD376" s="1">
        <f t="shared" si="58"/>
        <v>2.7952187725000006</v>
      </c>
      <c r="AE376" s="3">
        <f>schedule13[[#This Row],[CTL Stock]]/schedule13[[#This Row],[SCHEDULE IN MT]]*schedule13[[#This Row],[SCHEDULE]]</f>
        <v>22.037631045567824</v>
      </c>
      <c r="AF376" s="1">
        <f>SUMIFS(stock[MT],stock[Bucket],schedule13[[#This Row],[Bucket]],stock[CTL Bucket],schedule13[[#This Row],[CTL Bucket]])</f>
        <v>8.8000000000000005E-3</v>
      </c>
      <c r="AG376" s="1">
        <f>SUMIFS(stock[MT],stock[Bucket],schedule13[[#This Row],[Bucket]])+SUMIFS(wip[Stock(Net Wt)],wip[Bucket],schedule13[[#This Row],[Bucket]])/1000</f>
        <v>11.751524</v>
      </c>
      <c r="AH376" s="1">
        <f t="shared" si="63"/>
        <v>3.5589821600000011</v>
      </c>
      <c r="AI376" s="118">
        <f t="shared" si="64"/>
        <v>2.4665183033484302E-3</v>
      </c>
    </row>
    <row r="377" spans="1:35" hidden="1" x14ac:dyDescent="0.25">
      <c r="A377" s="30">
        <v>162</v>
      </c>
      <c r="B377" s="5" t="s">
        <v>1816</v>
      </c>
      <c r="C377" s="2" t="s">
        <v>298</v>
      </c>
      <c r="D377" s="2" t="s">
        <v>955</v>
      </c>
      <c r="E377" s="2" t="s">
        <v>6569</v>
      </c>
      <c r="F377" s="2">
        <v>1940324</v>
      </c>
      <c r="G377" s="2" t="s">
        <v>2021</v>
      </c>
      <c r="H377" s="2" t="s">
        <v>962</v>
      </c>
      <c r="I377" s="2"/>
      <c r="J377" s="2" t="s">
        <v>963</v>
      </c>
      <c r="K377" s="2" t="s">
        <v>239</v>
      </c>
      <c r="L377" s="2"/>
      <c r="M377" s="2"/>
      <c r="N377" s="2"/>
      <c r="O377" s="2"/>
      <c r="P377" s="557" t="str">
        <f>CONCATENATE(schedule13[[#This Row],[OD]],"-",schedule13[[#This Row],[ID]],"-",schedule13[[#This Row],[TICKNESS]],"-",schedule13[[#This Row],[GRADE]],"-",schedule13[[#This Row],[FC/NFC]])</f>
        <v>19.05-0-2.3-ERW 1-PE</v>
      </c>
      <c r="Q377" s="557" t="str">
        <f>_xlfn.CONCAT(schedule13[[#This Row],[Bucket]],"-",schedule13[[#This Row],[LENGTH]]/1000)</f>
        <v>19.05-0-2.3-ERW 1-PE-0.554</v>
      </c>
      <c r="R377" s="557">
        <f>COUNTIF(buckets[CTL Bucket],schedule13[[#This Row],[CTL Bucket]])</f>
        <v>1</v>
      </c>
      <c r="S377" s="1">
        <v>19.05</v>
      </c>
      <c r="T377" s="1">
        <v>19.05</v>
      </c>
      <c r="U377" s="1">
        <v>0</v>
      </c>
      <c r="V377" s="1">
        <v>2.2999999999999998</v>
      </c>
      <c r="W377" s="27">
        <v>554</v>
      </c>
      <c r="X377" s="22" t="s">
        <v>397</v>
      </c>
      <c r="Y377" s="2">
        <v>2000</v>
      </c>
      <c r="Z377" s="2"/>
      <c r="AA377" s="4">
        <f t="shared" si="57"/>
        <v>2000</v>
      </c>
      <c r="AB377" s="1">
        <f t="shared" si="60"/>
        <v>1.0523305621000001</v>
      </c>
      <c r="AC377" s="1">
        <f t="shared" si="62"/>
        <v>0</v>
      </c>
      <c r="AD377" s="1">
        <f t="shared" si="58"/>
        <v>1.0523305621000001</v>
      </c>
      <c r="AE377" s="3">
        <f>schedule13[[#This Row],[CTL Stock]]/schedule13[[#This Row],[SCHEDULE IN MT]]*schedule13[[#This Row],[SCHEDULE]]</f>
        <v>0</v>
      </c>
      <c r="AF377" s="1">
        <f>SUMIFS(stock[MT],stock[Bucket],schedule13[[#This Row],[Bucket]],stock[CTL Bucket],schedule13[[#This Row],[CTL Bucket]])</f>
        <v>0</v>
      </c>
      <c r="AG377" s="1">
        <f>SUMIFS(stock[MT],stock[Bucket],schedule13[[#This Row],[Bucket]])+SUMIFS(wip[Stock(Net Wt)],wip[Bucket],schedule13[[#This Row],[Bucket]])/1000</f>
        <v>99.250489000000016</v>
      </c>
      <c r="AH377" s="1">
        <f t="shared" si="63"/>
        <v>2.7952187725000006</v>
      </c>
      <c r="AI377" s="118">
        <f t="shared" si="64"/>
        <v>0</v>
      </c>
    </row>
    <row r="378" spans="1:35" hidden="1" x14ac:dyDescent="0.25">
      <c r="A378" s="30">
        <v>175</v>
      </c>
      <c r="B378" s="5" t="s">
        <v>1816</v>
      </c>
      <c r="C378" s="2" t="s">
        <v>298</v>
      </c>
      <c r="D378" s="2" t="s">
        <v>955</v>
      </c>
      <c r="E378" s="2" t="s">
        <v>6569</v>
      </c>
      <c r="F378" s="2">
        <v>1940420</v>
      </c>
      <c r="G378" s="2" t="s">
        <v>1519</v>
      </c>
      <c r="H378" s="2" t="s">
        <v>962</v>
      </c>
      <c r="I378" s="2"/>
      <c r="J378" s="2" t="s">
        <v>963</v>
      </c>
      <c r="K378" s="2" t="s">
        <v>1867</v>
      </c>
      <c r="L378" s="44" t="s">
        <v>1891</v>
      </c>
      <c r="M378" s="2"/>
      <c r="N378" s="2"/>
      <c r="O378" s="2"/>
      <c r="P378" s="557" t="str">
        <f>CONCATENATE(schedule13[[#This Row],[OD]],"-",schedule13[[#This Row],[ID]],"-",schedule13[[#This Row],[TICKNESS]],"-",schedule13[[#This Row],[GRADE]],"-",schedule13[[#This Row],[FC/NFC]])</f>
        <v>22.23-0-1.6-ERW 1-PE</v>
      </c>
      <c r="Q378" s="557" t="str">
        <f>_xlfn.CONCAT(schedule13[[#This Row],[Bucket]],"-",schedule13[[#This Row],[LENGTH]]/1000)</f>
        <v>22.23-0-1.6-ERW 1-PE-1.175</v>
      </c>
      <c r="R378" s="557">
        <f>COUNTIF(buckets[CTL Bucket],schedule13[[#This Row],[CTL Bucket]])</f>
        <v>3</v>
      </c>
      <c r="S378" s="1">
        <v>22.23</v>
      </c>
      <c r="T378" s="1">
        <v>22.23</v>
      </c>
      <c r="U378" s="1">
        <v>0</v>
      </c>
      <c r="V378" s="1">
        <v>1.6</v>
      </c>
      <c r="W378" s="27">
        <v>1175</v>
      </c>
      <c r="X378" s="22" t="s">
        <v>397</v>
      </c>
      <c r="Y378" s="2">
        <v>8000</v>
      </c>
      <c r="Z378" s="2"/>
      <c r="AA378" s="4">
        <f t="shared" si="57"/>
        <v>8000</v>
      </c>
      <c r="AB378" s="1">
        <f t="shared" si="60"/>
        <v>7.6492145056000007</v>
      </c>
      <c r="AC378" s="1">
        <f t="shared" si="62"/>
        <v>0</v>
      </c>
      <c r="AD378" s="1">
        <f t="shared" si="58"/>
        <v>7.6492145056000007</v>
      </c>
      <c r="AE378" s="3">
        <f>schedule13[[#This Row],[CTL Stock]]/schedule13[[#This Row],[SCHEDULE IN MT]]*schedule13[[#This Row],[SCHEDULE]]</f>
        <v>64.007617990259945</v>
      </c>
      <c r="AF378" s="1">
        <f>SUMIFS(stock[MT],stock[Bucket],schedule13[[#This Row],[Bucket]],stock[CTL Bucket],schedule13[[#This Row],[CTL Bucket]])</f>
        <v>6.1200999999999998E-2</v>
      </c>
      <c r="AG378" s="1">
        <f>SUMIFS(stock[MT],stock[Bucket],schedule13[[#This Row],[Bucket]])+SUMIFS(wip[Stock(Net Wt)],wip[Bucket],schedule13[[#This Row],[Bucket]])/1000</f>
        <v>65.213986000000006</v>
      </c>
      <c r="AH378" s="1">
        <f t="shared" si="63"/>
        <v>0.99112956210000014</v>
      </c>
      <c r="AI378" s="118">
        <f t="shared" si="64"/>
        <v>5.8157581091125087E-2</v>
      </c>
    </row>
    <row r="379" spans="1:35" hidden="1" x14ac:dyDescent="0.25">
      <c r="A379" s="30">
        <v>177</v>
      </c>
      <c r="B379" s="5" t="s">
        <v>1816</v>
      </c>
      <c r="C379" s="2" t="s">
        <v>298</v>
      </c>
      <c r="D379" s="2" t="s">
        <v>955</v>
      </c>
      <c r="E379" s="2" t="s">
        <v>6569</v>
      </c>
      <c r="F379" s="2">
        <v>1905990</v>
      </c>
      <c r="G379" s="2" t="s">
        <v>2031</v>
      </c>
      <c r="H379" s="2" t="s">
        <v>962</v>
      </c>
      <c r="I379" s="2"/>
      <c r="J379" s="2" t="s">
        <v>963</v>
      </c>
      <c r="K379" s="2" t="s">
        <v>239</v>
      </c>
      <c r="L379" s="2"/>
      <c r="M379" s="2"/>
      <c r="N379" s="2"/>
      <c r="O379" s="2"/>
      <c r="P379" s="557" t="str">
        <f>CONCATENATE(schedule13[[#This Row],[OD]],"-",schedule13[[#This Row],[ID]],"-",schedule13[[#This Row],[TICKNESS]],"-",schedule13[[#This Row],[GRADE]],"-",schedule13[[#This Row],[FC/NFC]])</f>
        <v>22.23-0-2-ERW 1-PE</v>
      </c>
      <c r="Q379" s="557" t="str">
        <f>_xlfn.CONCAT(schedule13[[#This Row],[Bucket]],"-",schedule13[[#This Row],[LENGTH]]/1000)</f>
        <v>22.23-0-2-ERW 1-PE-0.236</v>
      </c>
      <c r="R379" s="557">
        <f>COUNTIF(buckets[CTL Bucket],schedule13[[#This Row],[CTL Bucket]])</f>
        <v>3</v>
      </c>
      <c r="S379" s="1">
        <v>22.23</v>
      </c>
      <c r="T379" s="1">
        <v>22.23</v>
      </c>
      <c r="U379" s="1">
        <v>0</v>
      </c>
      <c r="V379" s="1">
        <v>2</v>
      </c>
      <c r="W379" s="24">
        <v>236</v>
      </c>
      <c r="X379" s="22" t="s">
        <v>397</v>
      </c>
      <c r="Y379" s="2">
        <v>0</v>
      </c>
      <c r="Z379" s="2"/>
      <c r="AA379" s="4">
        <f t="shared" si="57"/>
        <v>0</v>
      </c>
      <c r="AB379" s="1">
        <f t="shared" si="60"/>
        <v>0</v>
      </c>
      <c r="AC379" s="1">
        <f t="shared" si="62"/>
        <v>0</v>
      </c>
      <c r="AD379" s="1">
        <f t="shared" si="58"/>
        <v>0</v>
      </c>
      <c r="AE379" s="3" t="e">
        <f>schedule13[[#This Row],[CTL Stock]]/schedule13[[#This Row],[SCHEDULE IN MT]]*schedule13[[#This Row],[SCHEDULE]]</f>
        <v>#DIV/0!</v>
      </c>
      <c r="AF379" s="1">
        <f>SUMIFS(stock[MT],stock[Bucket],schedule13[[#This Row],[Bucket]],stock[CTL Bucket],schedule13[[#This Row],[CTL Bucket]])</f>
        <v>0</v>
      </c>
      <c r="AG379" s="1">
        <f>SUMIFS(stock[MT],stock[Bucket],schedule13[[#This Row],[Bucket]])+SUMIFS(wip[Stock(Net Wt)],wip[Bucket],schedule13[[#This Row],[Bucket]])/1000</f>
        <v>15.848029999999998</v>
      </c>
      <c r="AH379" s="1"/>
      <c r="AI379" s="118"/>
    </row>
    <row r="380" spans="1:35" hidden="1" x14ac:dyDescent="0.25">
      <c r="A380" s="30">
        <v>182</v>
      </c>
      <c r="B380" s="5" t="s">
        <v>1816</v>
      </c>
      <c r="C380" s="2" t="s">
        <v>298</v>
      </c>
      <c r="D380" s="2" t="s">
        <v>955</v>
      </c>
      <c r="E380" s="2" t="s">
        <v>6569</v>
      </c>
      <c r="F380" s="2">
        <v>1940510</v>
      </c>
      <c r="G380" s="2" t="s">
        <v>1536</v>
      </c>
      <c r="H380" s="2" t="s">
        <v>962</v>
      </c>
      <c r="I380" s="2"/>
      <c r="J380" s="2" t="s">
        <v>963</v>
      </c>
      <c r="K380" s="2" t="s">
        <v>239</v>
      </c>
      <c r="L380" s="2"/>
      <c r="M380" s="2"/>
      <c r="N380" s="2"/>
      <c r="O380" s="2"/>
      <c r="P380" s="557" t="str">
        <f>CONCATENATE(schedule13[[#This Row],[OD]],"-",schedule13[[#This Row],[ID]],"-",schedule13[[#This Row],[TICKNESS]],"-",schedule13[[#This Row],[GRADE]],"-",schedule13[[#This Row],[FC/NFC]])</f>
        <v>22.23-0-2.3-ERW 1-PE</v>
      </c>
      <c r="Q380" s="557" t="s">
        <v>748</v>
      </c>
      <c r="R380" s="557">
        <f>COUNTIF(buckets[CTL Bucket],schedule13[[#This Row],[CTL Bucket]])</f>
        <v>0</v>
      </c>
      <c r="S380" s="1">
        <v>22.23</v>
      </c>
      <c r="T380" s="1">
        <v>22.23</v>
      </c>
      <c r="U380" s="1">
        <v>0</v>
      </c>
      <c r="V380" s="1">
        <v>2.2999999999999998</v>
      </c>
      <c r="W380" s="24">
        <v>1000</v>
      </c>
      <c r="X380" s="22" t="s">
        <v>444</v>
      </c>
      <c r="Y380" s="2">
        <v>3000</v>
      </c>
      <c r="Z380" s="2"/>
      <c r="AA380" s="4">
        <f t="shared" si="57"/>
        <v>3000</v>
      </c>
      <c r="AB380" s="1">
        <f t="shared" si="60"/>
        <v>3.3902066009999996</v>
      </c>
      <c r="AC380" s="1">
        <f t="shared" si="62"/>
        <v>0</v>
      </c>
      <c r="AD380" s="1">
        <f t="shared" si="58"/>
        <v>3.3902066009999996</v>
      </c>
      <c r="AE380" s="3">
        <f>schedule13[[#This Row],[CTL Stock]]/schedule13[[#This Row],[SCHEDULE IN MT]]*schedule13[[#This Row],[SCHEDULE]]</f>
        <v>0</v>
      </c>
      <c r="AF380" s="1">
        <f>SUMIFS(stock[MT],stock[Bucket],schedule13[[#This Row],[Bucket]],stock[CTL Bucket],schedule13[[#This Row],[CTL Bucket]])</f>
        <v>0</v>
      </c>
      <c r="AG380" s="1">
        <f>SUMIFS(stock[MT],stock[Bucket],schedule13[[#This Row],[Bucket]])+SUMIFS(wip[Stock(Net Wt)],wip[Bucket],schedule13[[#This Row],[Bucket]])/1000</f>
        <v>6.9830090000000009</v>
      </c>
      <c r="AH380" s="1">
        <f t="shared" ref="AH380:AH386" si="65">AB379-AF380</f>
        <v>0</v>
      </c>
      <c r="AI380" s="118" t="e">
        <f t="shared" ref="AI380:AI386" si="66">(AC380+AF380)/AB379</f>
        <v>#DIV/0!</v>
      </c>
    </row>
    <row r="381" spans="1:35" hidden="1" x14ac:dyDescent="0.25">
      <c r="A381" s="30">
        <v>196</v>
      </c>
      <c r="B381" s="5" t="s">
        <v>1816</v>
      </c>
      <c r="C381" s="2" t="s">
        <v>298</v>
      </c>
      <c r="D381" s="2" t="s">
        <v>955</v>
      </c>
      <c r="E381" s="2" t="s">
        <v>6569</v>
      </c>
      <c r="F381" s="2">
        <v>1940686</v>
      </c>
      <c r="G381" s="2" t="s">
        <v>2041</v>
      </c>
      <c r="H381" s="2" t="s">
        <v>962</v>
      </c>
      <c r="I381" s="2"/>
      <c r="J381" s="2" t="s">
        <v>1003</v>
      </c>
      <c r="K381" s="2" t="s">
        <v>239</v>
      </c>
      <c r="L381" s="2"/>
      <c r="M381" s="2"/>
      <c r="N381" s="2"/>
      <c r="O381" s="2"/>
      <c r="P381" s="557" t="str">
        <f>CONCATENATE(schedule13[[#This Row],[OD]],"-",schedule13[[#This Row],[ID]],"-",schedule13[[#This Row],[TICKNESS]],"-",schedule13[[#This Row],[GRADE]],"-",schedule13[[#This Row],[FC/NFC]])</f>
        <v>31.75-0-2.5-ERW 1-FC</v>
      </c>
      <c r="Q381" s="557" t="str">
        <f>CONCATENATE(schedule13[[#This Row],[OD]],"-",schedule13[[#This Row],[ID]],"-",schedule13[[#This Row],[TICKNESS]],"-",schedule13[[#This Row],[GRADE]],"-",schedule13[[#This Row],[FC/NFC]])</f>
        <v>31.75-0-2.5-ERW 1-FC</v>
      </c>
      <c r="R381" s="557">
        <f>COUNTIF(buckets[CTL Bucket],schedule13[[#This Row],[CTL Bucket]])</f>
        <v>0</v>
      </c>
      <c r="S381" s="1">
        <v>31.75</v>
      </c>
      <c r="T381" s="1">
        <v>31.75</v>
      </c>
      <c r="U381" s="1">
        <v>0</v>
      </c>
      <c r="V381" s="1">
        <v>2.5</v>
      </c>
      <c r="W381" s="24">
        <v>1000</v>
      </c>
      <c r="X381" s="22" t="s">
        <v>444</v>
      </c>
      <c r="Y381" s="2">
        <v>7000</v>
      </c>
      <c r="Z381" s="2"/>
      <c r="AA381" s="4">
        <f t="shared" si="57"/>
        <v>7000</v>
      </c>
      <c r="AB381" s="1">
        <f t="shared" si="60"/>
        <v>12.619254375000001</v>
      </c>
      <c r="AC381" s="1">
        <f t="shared" si="62"/>
        <v>0</v>
      </c>
      <c r="AD381" s="1">
        <f t="shared" si="58"/>
        <v>12.619254375000001</v>
      </c>
      <c r="AE381" s="3">
        <f>schedule13[[#This Row],[CTL Stock]]/schedule13[[#This Row],[SCHEDULE IN MT]]*schedule13[[#This Row],[SCHEDULE]]</f>
        <v>0</v>
      </c>
      <c r="AF381" s="1">
        <f>SUMIFS(stock[MT],stock[Bucket],schedule13[[#This Row],[Bucket]],stock[CTL Bucket],schedule13[[#This Row],[CTL Bucket]])</f>
        <v>0</v>
      </c>
      <c r="AG381" s="1">
        <f>SUMIFS(stock[MT],stock[Bucket],schedule13[[#This Row],[Bucket]])+SUMIFS(wip[Stock(Net Wt)],wip[Bucket],schedule13[[#This Row],[Bucket]])/1000</f>
        <v>5.9421669999999995</v>
      </c>
      <c r="AH381" s="1">
        <f t="shared" si="65"/>
        <v>3.3902066009999996</v>
      </c>
      <c r="AI381" s="118">
        <f t="shared" si="66"/>
        <v>0</v>
      </c>
    </row>
    <row r="382" spans="1:35" hidden="1" x14ac:dyDescent="0.25">
      <c r="A382" s="30">
        <v>212</v>
      </c>
      <c r="B382" s="5" t="s">
        <v>1872</v>
      </c>
      <c r="C382" s="2" t="s">
        <v>298</v>
      </c>
      <c r="D382" s="2" t="s">
        <v>955</v>
      </c>
      <c r="E382" s="2" t="s">
        <v>6569</v>
      </c>
      <c r="F382" s="2">
        <v>2410998</v>
      </c>
      <c r="G382" s="2" t="s">
        <v>2003</v>
      </c>
      <c r="H382" s="2" t="s">
        <v>357</v>
      </c>
      <c r="I382" s="2"/>
      <c r="J382" s="2" t="s">
        <v>357</v>
      </c>
      <c r="K382" s="2" t="s">
        <v>239</v>
      </c>
      <c r="L382" s="2"/>
      <c r="M382" s="2"/>
      <c r="N382" s="2"/>
      <c r="O382" s="2"/>
      <c r="P382" s="557" t="str">
        <f>CONCATENATE(schedule13[[#This Row],[OD]],"-",schedule13[[#This Row],[ID]],"-",schedule13[[#This Row],[TICKNESS]],"-",schedule13[[#This Row],[GRADE]],"-",schedule13[[#This Row],[FC/NFC]])</f>
        <v>18.2-12.3-2.95-CEW-CEW</v>
      </c>
      <c r="Q382" s="557" t="str">
        <f>_xlfn.CONCAT(schedule13[[#This Row],[Bucket]],"-",schedule13[[#This Row],[LENGTH]]/1000)</f>
        <v>18.2-12.3-2.95-CEW-CEW-4.5</v>
      </c>
      <c r="R382" s="557">
        <f>COUNTIF(buckets[CTL Bucket],schedule13[[#This Row],[CTL Bucket]])</f>
        <v>0</v>
      </c>
      <c r="S382" s="1">
        <v>18.2</v>
      </c>
      <c r="T382" s="1">
        <v>18.2</v>
      </c>
      <c r="U382" s="1">
        <v>12.3</v>
      </c>
      <c r="V382" s="1">
        <v>2.95</v>
      </c>
      <c r="W382" s="24">
        <v>4500</v>
      </c>
      <c r="X382" s="24"/>
      <c r="Y382" s="2">
        <v>0</v>
      </c>
      <c r="Z382" s="4"/>
      <c r="AA382" s="4">
        <f t="shared" si="57"/>
        <v>0</v>
      </c>
      <c r="AB382" s="1">
        <f t="shared" si="60"/>
        <v>0</v>
      </c>
      <c r="AC382" s="1">
        <f t="shared" si="62"/>
        <v>0</v>
      </c>
      <c r="AD382" s="1">
        <f t="shared" si="58"/>
        <v>0</v>
      </c>
      <c r="AE382" s="1"/>
      <c r="AF382" s="1"/>
      <c r="AG382" s="1"/>
      <c r="AH382" s="1">
        <f t="shared" si="65"/>
        <v>12.619254375000001</v>
      </c>
      <c r="AI382" s="118">
        <f t="shared" si="66"/>
        <v>0</v>
      </c>
    </row>
    <row r="383" spans="1:35" hidden="1" x14ac:dyDescent="0.25">
      <c r="A383" s="30">
        <v>151</v>
      </c>
      <c r="B383" s="5" t="s">
        <v>1816</v>
      </c>
      <c r="C383" s="2" t="s">
        <v>299</v>
      </c>
      <c r="D383" s="2" t="s">
        <v>955</v>
      </c>
      <c r="E383" s="2" t="s">
        <v>6569</v>
      </c>
      <c r="F383" s="2">
        <v>2425969</v>
      </c>
      <c r="G383" s="2" t="s">
        <v>1798</v>
      </c>
      <c r="H383" s="2" t="s">
        <v>985</v>
      </c>
      <c r="I383" s="2"/>
      <c r="J383" s="2" t="s">
        <v>963</v>
      </c>
      <c r="K383" s="2" t="s">
        <v>239</v>
      </c>
      <c r="L383" s="44" t="s">
        <v>1924</v>
      </c>
      <c r="M383" s="2"/>
      <c r="N383" s="2" t="s">
        <v>1895</v>
      </c>
      <c r="O383" s="2"/>
      <c r="P383" s="557" t="str">
        <f>CONCATENATE(schedule13[[#This Row],[OD]],"-",schedule13[[#This Row],[ID]],"-",schedule13[[#This Row],[TICKNESS]],"-",schedule13[[#This Row],[GRADE]],"-",schedule13[[#This Row],[FC/NFC]])</f>
        <v>19.05-0-1.6-ERW 2 MAHS-PE</v>
      </c>
      <c r="Q383" s="557" t="str">
        <f>_xlfn.CONCAT(schedule13[[#This Row],[Bucket]],"-",schedule13[[#This Row],[LENGTH]]/1000)</f>
        <v>19.05-0-1.6-ERW 2 MAHS-PE-0.775</v>
      </c>
      <c r="R383" s="557">
        <f>COUNTIF(buckets[CTL Bucket],schedule13[[#This Row],[CTL Bucket]])</f>
        <v>2</v>
      </c>
      <c r="S383" s="1">
        <v>19.05</v>
      </c>
      <c r="T383" s="1">
        <v>19.05</v>
      </c>
      <c r="U383" s="1">
        <v>0</v>
      </c>
      <c r="V383" s="1">
        <v>1.6</v>
      </c>
      <c r="W383" s="24">
        <v>775</v>
      </c>
      <c r="X383" s="22" t="s">
        <v>397</v>
      </c>
      <c r="Y383" s="2">
        <v>10000</v>
      </c>
      <c r="Z383" s="2"/>
      <c r="AA383" s="4">
        <f t="shared" si="57"/>
        <v>10000</v>
      </c>
      <c r="AB383" s="1">
        <f t="shared" si="60"/>
        <v>5.334416140000001</v>
      </c>
      <c r="AC383" s="1">
        <f t="shared" si="62"/>
        <v>0</v>
      </c>
      <c r="AD383" s="1">
        <f t="shared" si="58"/>
        <v>5.334416140000001</v>
      </c>
      <c r="AE383" s="3">
        <f>schedule13[[#This Row],[CTL Stock]]/schedule13[[#This Row],[SCHEDULE IN MT]]*schedule13[[#This Row],[SCHEDULE]]</f>
        <v>18.350649336480142</v>
      </c>
      <c r="AF383" s="1">
        <f>SUMIFS(stock[MT],stock[Bucket],schedule13[[#This Row],[Bucket]],stock[CTL Bucket],schedule13[[#This Row],[CTL Bucket]])</f>
        <v>9.7889999999999991E-3</v>
      </c>
      <c r="AG383" s="1">
        <f>SUMIFS(stock[MT],stock[Bucket],schedule13[[#This Row],[Bucket]])+SUMIFS(wip[Stock(Net Wt)],wip[Bucket],schedule13[[#This Row],[Bucket]])/1000</f>
        <v>4.8775969999999997</v>
      </c>
      <c r="AH383" s="1">
        <f t="shared" si="65"/>
        <v>-9.7889999999999991E-3</v>
      </c>
      <c r="AI383" s="118" t="e">
        <f t="shared" si="66"/>
        <v>#DIV/0!</v>
      </c>
    </row>
    <row r="384" spans="1:35" hidden="1" x14ac:dyDescent="0.25">
      <c r="A384" s="30">
        <v>198</v>
      </c>
      <c r="B384" s="5" t="s">
        <v>1816</v>
      </c>
      <c r="C384" s="2" t="s">
        <v>299</v>
      </c>
      <c r="D384" s="2" t="s">
        <v>955</v>
      </c>
      <c r="E384" s="2" t="s">
        <v>6569</v>
      </c>
      <c r="F384" s="2">
        <v>3712521</v>
      </c>
      <c r="G384" s="2" t="s">
        <v>631</v>
      </c>
      <c r="H384" s="2" t="s">
        <v>962</v>
      </c>
      <c r="I384" s="2"/>
      <c r="J384" s="2" t="s">
        <v>1003</v>
      </c>
      <c r="K384" s="2" t="s">
        <v>1867</v>
      </c>
      <c r="L384" s="44" t="s">
        <v>1868</v>
      </c>
      <c r="M384" s="2"/>
      <c r="N384" s="2"/>
      <c r="O384" s="2"/>
      <c r="P384" s="557" t="str">
        <f>CONCATENATE(schedule13[[#This Row],[OD]],"-",schedule13[[#This Row],[ID]],"-",schedule13[[#This Row],[TICKNESS]],"-",schedule13[[#This Row],[GRADE]],"-",schedule13[[#This Row],[FC/NFC]])</f>
        <v>40-30-1.6-ERW 1-FC</v>
      </c>
      <c r="Q384" s="557" t="str">
        <f>_xlfn.CONCAT(schedule13[[#This Row],[Bucket]],"-",schedule13[[#This Row],[LENGTH]]/1000)</f>
        <v>40-30-1.6-ERW 1-FC-0.835</v>
      </c>
      <c r="R384" s="557">
        <f>COUNTIF(buckets[CTL Bucket],schedule13[[#This Row],[CTL Bucket]])</f>
        <v>1</v>
      </c>
      <c r="S384" s="1">
        <v>44.45</v>
      </c>
      <c r="T384" s="1">
        <v>40</v>
      </c>
      <c r="U384" s="1">
        <v>30</v>
      </c>
      <c r="V384" s="1">
        <v>1.6</v>
      </c>
      <c r="W384" s="24">
        <v>835</v>
      </c>
      <c r="X384" s="22" t="s">
        <v>397</v>
      </c>
      <c r="Y384" s="2">
        <v>15000</v>
      </c>
      <c r="Z384" s="2"/>
      <c r="AA384" s="4">
        <f t="shared" si="57"/>
        <v>15000</v>
      </c>
      <c r="AB384" s="1">
        <f t="shared" si="60"/>
        <v>21.169876241999997</v>
      </c>
      <c r="AC384" s="1">
        <f t="shared" si="62"/>
        <v>0</v>
      </c>
      <c r="AD384" s="1">
        <f t="shared" si="58"/>
        <v>21.169876241999997</v>
      </c>
      <c r="AE384" s="3">
        <f>schedule13[[#This Row],[CTL Stock]]/schedule13[[#This Row],[SCHEDULE IN MT]]*schedule13[[#This Row],[SCHEDULE]]</f>
        <v>647.1230555812524</v>
      </c>
      <c r="AF384" s="1">
        <f>SUMIFS(stock[MT],stock[Bucket],schedule13[[#This Row],[Bucket]],stock[CTL Bucket],schedule13[[#This Row],[CTL Bucket]])</f>
        <v>0.91330099999999992</v>
      </c>
      <c r="AG384" s="1">
        <f>SUMIFS(stock[MT],stock[Bucket],schedule13[[#This Row],[Bucket]])+SUMIFS(wip[Stock(Net Wt)],wip[Bucket],schedule13[[#This Row],[Bucket]])/1000</f>
        <v>1.9878749999999998</v>
      </c>
      <c r="AH384" s="1">
        <f t="shared" si="65"/>
        <v>4.4211151400000013</v>
      </c>
      <c r="AI384" s="118">
        <f t="shared" si="66"/>
        <v>0.17120917754271786</v>
      </c>
    </row>
    <row r="385" spans="1:35" hidden="1" x14ac:dyDescent="0.25">
      <c r="A385" s="30">
        <v>200</v>
      </c>
      <c r="B385" s="5" t="s">
        <v>1816</v>
      </c>
      <c r="C385" s="2" t="s">
        <v>299</v>
      </c>
      <c r="D385" s="2" t="s">
        <v>955</v>
      </c>
      <c r="E385" s="2" t="s">
        <v>6569</v>
      </c>
      <c r="F385" s="2">
        <v>1940830</v>
      </c>
      <c r="G385" s="2" t="s">
        <v>587</v>
      </c>
      <c r="H385" s="2" t="s">
        <v>962</v>
      </c>
      <c r="I385" s="2"/>
      <c r="J385" s="2" t="s">
        <v>1003</v>
      </c>
      <c r="K385" s="2" t="s">
        <v>1867</v>
      </c>
      <c r="L385" s="44" t="s">
        <v>1891</v>
      </c>
      <c r="M385" s="2"/>
      <c r="N385" s="2"/>
      <c r="O385" s="2"/>
      <c r="P385" s="557" t="str">
        <f>CONCATENATE(schedule13[[#This Row],[OD]],"-",schedule13[[#This Row],[ID]],"-",schedule13[[#This Row],[TICKNESS]],"-",schedule13[[#This Row],[GRADE]],"-",schedule13[[#This Row],[FC/NFC]])</f>
        <v>40-30-1.6-ERW 1-FC</v>
      </c>
      <c r="Q385" s="557" t="str">
        <f>_xlfn.CONCAT(schedule13[[#This Row],[Bucket]],"-",schedule13[[#This Row],[LENGTH]]/1000)</f>
        <v>40-30-1.6-ERW 1-FC-0.86</v>
      </c>
      <c r="R385" s="557">
        <f>COUNTIF(buckets[CTL Bucket],schedule13[[#This Row],[CTL Bucket]])</f>
        <v>1</v>
      </c>
      <c r="S385" s="1">
        <v>44.45</v>
      </c>
      <c r="T385" s="1">
        <v>40</v>
      </c>
      <c r="U385" s="6">
        <v>30</v>
      </c>
      <c r="V385" s="1">
        <v>1.6</v>
      </c>
      <c r="W385" s="24">
        <v>860</v>
      </c>
      <c r="X385" s="22" t="s">
        <v>397</v>
      </c>
      <c r="Y385" s="2">
        <v>5000</v>
      </c>
      <c r="Z385" s="2"/>
      <c r="AA385" s="4">
        <f t="shared" si="57"/>
        <v>5000</v>
      </c>
      <c r="AB385" s="1">
        <f t="shared" si="60"/>
        <v>7.2679016239999994</v>
      </c>
      <c r="AC385" s="1">
        <f t="shared" si="62"/>
        <v>0</v>
      </c>
      <c r="AD385" s="1">
        <f t="shared" si="58"/>
        <v>7.2679016239999994</v>
      </c>
      <c r="AE385" s="3">
        <f>schedule13[[#This Row],[CTL Stock]]/schedule13[[#This Row],[SCHEDULE IN MT]]*schedule13[[#This Row],[SCHEDULE]]</f>
        <v>9.6657885087521098</v>
      </c>
      <c r="AF385" s="1">
        <f>SUMIFS(stock[MT],stock[Bucket],schedule13[[#This Row],[Bucket]],stock[CTL Bucket],schedule13[[#This Row],[CTL Bucket]])</f>
        <v>1.405E-2</v>
      </c>
      <c r="AG385" s="1">
        <f>SUMIFS(stock[MT],stock[Bucket],schedule13[[#This Row],[Bucket]])+SUMIFS(wip[Stock(Net Wt)],wip[Bucket],schedule13[[#This Row],[Bucket]])/1000</f>
        <v>1.9878749999999998</v>
      </c>
      <c r="AH385" s="1">
        <f t="shared" si="65"/>
        <v>21.155826241999996</v>
      </c>
      <c r="AI385" s="118">
        <f t="shared" si="66"/>
        <v>6.6367889161890741E-4</v>
      </c>
    </row>
    <row r="386" spans="1:35" hidden="1" x14ac:dyDescent="0.25">
      <c r="A386" s="30">
        <v>203</v>
      </c>
      <c r="B386" s="5" t="s">
        <v>1816</v>
      </c>
      <c r="C386" s="2" t="s">
        <v>299</v>
      </c>
      <c r="D386" s="2" t="s">
        <v>955</v>
      </c>
      <c r="E386" s="2" t="s">
        <v>6569</v>
      </c>
      <c r="F386" s="2">
        <v>1940837</v>
      </c>
      <c r="G386" s="2" t="s">
        <v>593</v>
      </c>
      <c r="H386" s="2" t="s">
        <v>962</v>
      </c>
      <c r="I386" s="2"/>
      <c r="J386" s="2" t="s">
        <v>1003</v>
      </c>
      <c r="K386" s="2" t="s">
        <v>239</v>
      </c>
      <c r="L386" s="2"/>
      <c r="M386" s="2"/>
      <c r="N386" s="2"/>
      <c r="O386" s="2"/>
      <c r="P386" s="557" t="str">
        <f>CONCATENATE(schedule13[[#This Row],[OD]],"-",schedule13[[#This Row],[ID]],"-",schedule13[[#This Row],[TICKNESS]],"-",schedule13[[#This Row],[GRADE]],"-",schedule13[[#This Row],[FC/NFC]])</f>
        <v>40-30-2-ERW 1-FC</v>
      </c>
      <c r="Q386" s="557" t="str">
        <f>_xlfn.CONCAT(schedule13[[#This Row],[Bucket]],"-",schedule13[[#This Row],[LENGTH]]/1000)</f>
        <v>40-30-2-ERW 1-FC-0.87</v>
      </c>
      <c r="R386" s="557">
        <f>COUNTIF(buckets[CTL Bucket],schedule13[[#This Row],[CTL Bucket]])</f>
        <v>1</v>
      </c>
      <c r="S386" s="1">
        <v>44.45</v>
      </c>
      <c r="T386" s="1">
        <v>40</v>
      </c>
      <c r="U386" s="6">
        <v>30</v>
      </c>
      <c r="V386" s="1">
        <v>2</v>
      </c>
      <c r="W386" s="24">
        <v>870</v>
      </c>
      <c r="X386" s="22" t="s">
        <v>397</v>
      </c>
      <c r="Y386" s="2">
        <v>0</v>
      </c>
      <c r="Z386" s="2"/>
      <c r="AA386" s="4">
        <f t="shared" si="57"/>
        <v>0</v>
      </c>
      <c r="AB386" s="1">
        <f t="shared" si="60"/>
        <v>0</v>
      </c>
      <c r="AC386" s="1">
        <f t="shared" si="62"/>
        <v>0</v>
      </c>
      <c r="AD386" s="1">
        <f t="shared" si="58"/>
        <v>0</v>
      </c>
      <c r="AE386" s="3" t="e">
        <f>schedule13[[#This Row],[CTL Stock]]/schedule13[[#This Row],[SCHEDULE IN MT]]*schedule13[[#This Row],[SCHEDULE]]</f>
        <v>#DIV/0!</v>
      </c>
      <c r="AF386" s="1">
        <f>SUMIFS(stock[MT],stock[Bucket],schedule13[[#This Row],[Bucket]],stock[CTL Bucket],schedule13[[#This Row],[CTL Bucket]])</f>
        <v>10.336673999999999</v>
      </c>
      <c r="AG386" s="1">
        <f>SUMIFS(stock[MT],stock[Bucket],schedule13[[#This Row],[Bucket]])+SUMIFS(wip[Stock(Net Wt)],wip[Bucket],schedule13[[#This Row],[Bucket]])/1000</f>
        <v>45.338346000000001</v>
      </c>
      <c r="AH386" s="1">
        <f t="shared" si="65"/>
        <v>-3.0687723759999992</v>
      </c>
      <c r="AI386" s="118">
        <f t="shared" si="66"/>
        <v>1.4222363668030849</v>
      </c>
    </row>
    <row r="387" spans="1:35" hidden="1" x14ac:dyDescent="0.25">
      <c r="A387" s="30">
        <v>205</v>
      </c>
      <c r="B387" s="5" t="s">
        <v>1816</v>
      </c>
      <c r="C387" s="2" t="s">
        <v>299</v>
      </c>
      <c r="D387" s="2" t="s">
        <v>955</v>
      </c>
      <c r="E387" s="2" t="s">
        <v>6569</v>
      </c>
      <c r="F387" s="2">
        <v>1940090</v>
      </c>
      <c r="G387" s="2" t="s">
        <v>538</v>
      </c>
      <c r="H387" s="2" t="s">
        <v>962</v>
      </c>
      <c r="I387" s="2"/>
      <c r="J387" s="2" t="s">
        <v>963</v>
      </c>
      <c r="K387" s="2" t="s">
        <v>239</v>
      </c>
      <c r="L387" s="2"/>
      <c r="M387" s="2"/>
      <c r="N387" s="2"/>
      <c r="O387" s="2"/>
      <c r="P387" s="557" t="str">
        <f>CONCATENATE(schedule13[[#This Row],[OD]],"-",schedule13[[#This Row],[ID]],"-",schedule13[[#This Row],[TICKNESS]],"-",schedule13[[#This Row],[GRADE]],"-",schedule13[[#This Row],[FC/NFC]])</f>
        <v>15.88-0-2-ERW 1-PE</v>
      </c>
      <c r="Q387" s="557" t="str">
        <f>_xlfn.CONCAT(schedule13[[#This Row],[Bucket]],"-",schedule13[[#This Row],[LENGTH]]/1000)</f>
        <v>15.88-0-2-ERW 1-PE-0.291</v>
      </c>
      <c r="R387" s="557">
        <f>COUNTIF(buckets[CTL Bucket],schedule13[[#This Row],[CTL Bucket]])</f>
        <v>3</v>
      </c>
      <c r="S387" s="1">
        <v>15.88</v>
      </c>
      <c r="T387" s="1">
        <v>15.88</v>
      </c>
      <c r="U387" s="1">
        <v>0</v>
      </c>
      <c r="V387" s="1">
        <v>2</v>
      </c>
      <c r="W387" s="23">
        <v>291</v>
      </c>
      <c r="X387" s="23"/>
      <c r="Y387" s="2">
        <v>0</v>
      </c>
      <c r="Z387" s="2"/>
      <c r="AA387" s="4">
        <f t="shared" si="57"/>
        <v>0</v>
      </c>
      <c r="AB387" s="1">
        <f t="shared" si="60"/>
        <v>0</v>
      </c>
      <c r="AC387" s="1">
        <f t="shared" si="62"/>
        <v>0</v>
      </c>
      <c r="AD387" s="1">
        <f t="shared" si="58"/>
        <v>0</v>
      </c>
      <c r="AE387" s="1"/>
      <c r="AF387" s="1"/>
      <c r="AG387" s="1"/>
      <c r="AH387" s="1"/>
      <c r="AI387" s="118"/>
    </row>
    <row r="388" spans="1:35" hidden="1" x14ac:dyDescent="0.25">
      <c r="A388" s="30">
        <v>209</v>
      </c>
      <c r="B388" s="5" t="s">
        <v>1872</v>
      </c>
      <c r="C388" s="2" t="s">
        <v>299</v>
      </c>
      <c r="D388" s="2" t="s">
        <v>955</v>
      </c>
      <c r="E388" s="2" t="s">
        <v>6569</v>
      </c>
      <c r="F388" s="2">
        <v>3605867</v>
      </c>
      <c r="G388" s="2" t="s">
        <v>2044</v>
      </c>
      <c r="H388" s="2" t="s">
        <v>962</v>
      </c>
      <c r="I388" s="2"/>
      <c r="J388" s="2" t="s">
        <v>1003</v>
      </c>
      <c r="K388" s="2" t="s">
        <v>239</v>
      </c>
      <c r="L388" s="2"/>
      <c r="M388" s="2" t="s">
        <v>1516</v>
      </c>
      <c r="N388" s="2"/>
      <c r="O388" s="2"/>
      <c r="P388" s="557" t="str">
        <f>CONCATENATE(schedule13[[#This Row],[OD]],"-",schedule13[[#This Row],[ID]],"-",schedule13[[#This Row],[TICKNESS]],"-",schedule13[[#This Row],[GRADE]],"-",schedule13[[#This Row],[FC/NFC]])</f>
        <v>41.28-0-3.2-ERW 1-FC</v>
      </c>
      <c r="Q388" s="557" t="str">
        <f>_xlfn.CONCAT(schedule13[[#This Row],[Bucket]],"-",schedule13[[#This Row],[LENGTH]]/1000)</f>
        <v>41.28-0-3.2-ERW 1-FC-0.23</v>
      </c>
      <c r="R388" s="557">
        <f>COUNTIF(buckets[CTL Bucket],schedule13[[#This Row],[CTL Bucket]])</f>
        <v>1</v>
      </c>
      <c r="S388" s="1">
        <v>41.28</v>
      </c>
      <c r="T388" s="1">
        <v>41.28</v>
      </c>
      <c r="U388" s="1">
        <v>0</v>
      </c>
      <c r="V388" s="1">
        <v>3.2</v>
      </c>
      <c r="W388" s="24">
        <v>230</v>
      </c>
      <c r="X388" s="22" t="s">
        <v>397</v>
      </c>
      <c r="Y388" s="2">
        <v>3000</v>
      </c>
      <c r="Z388" s="2"/>
      <c r="AA388" s="4">
        <f t="shared" ref="AA388:AA451" si="67">Y388-Z388</f>
        <v>3000</v>
      </c>
      <c r="AB388" s="1">
        <f t="shared" si="60"/>
        <v>2.0728400179199999</v>
      </c>
      <c r="AC388" s="1">
        <f t="shared" si="62"/>
        <v>0</v>
      </c>
      <c r="AD388" s="1">
        <f t="shared" ref="AD388:AD451" si="68">AB388-AC388</f>
        <v>2.0728400179199999</v>
      </c>
      <c r="AE388" s="3">
        <f>schedule13[[#This Row],[CTL Stock]]/schedule13[[#This Row],[SCHEDULE IN MT]]*schedule13[[#This Row],[SCHEDULE]]</f>
        <v>160.74612469820605</v>
      </c>
      <c r="AF388" s="1">
        <f>SUMIFS(stock[MT],stock[Bucket],schedule13[[#This Row],[Bucket]],stock[CTL Bucket],schedule13[[#This Row],[CTL Bucket]])</f>
        <v>0.11106699999999999</v>
      </c>
      <c r="AG388" s="1">
        <f>SUMIFS(stock[MT],stock[Bucket],schedule13[[#This Row],[Bucket]])+SUMIFS(wip[Stock(Net Wt)],wip[Bucket],schedule13[[#This Row],[Bucket]])/1000</f>
        <v>8.1855240000000009</v>
      </c>
      <c r="AH388" s="1">
        <f t="shared" ref="AH388:AH415" si="69">AB387-AF388</f>
        <v>-0.11106699999999999</v>
      </c>
      <c r="AI388" s="118" t="e">
        <f t="shared" ref="AI388:AI415" si="70">(AC388+AF388)/AB387</f>
        <v>#DIV/0!</v>
      </c>
    </row>
    <row r="389" spans="1:35" hidden="1" x14ac:dyDescent="0.25">
      <c r="A389" s="30">
        <v>218</v>
      </c>
      <c r="B389" s="5" t="s">
        <v>1872</v>
      </c>
      <c r="C389" s="2" t="s">
        <v>299</v>
      </c>
      <c r="D389" s="2" t="s">
        <v>955</v>
      </c>
      <c r="E389" s="2" t="s">
        <v>6569</v>
      </c>
      <c r="F389" s="2">
        <v>1938358</v>
      </c>
      <c r="G389" s="2" t="s">
        <v>892</v>
      </c>
      <c r="H389" s="2" t="s">
        <v>962</v>
      </c>
      <c r="I389" s="2" t="s">
        <v>1894</v>
      </c>
      <c r="J389" s="2" t="s">
        <v>1003</v>
      </c>
      <c r="K389" s="2" t="s">
        <v>239</v>
      </c>
      <c r="L389" s="2"/>
      <c r="M389" s="2" t="s">
        <v>1516</v>
      </c>
      <c r="N389" s="2"/>
      <c r="O389" s="2"/>
      <c r="P389" s="557" t="str">
        <f>CONCATENATE(schedule13[[#This Row],[OD]],"-",schedule13[[#This Row],[ID]],"-",schedule13[[#This Row],[TICKNESS]],"-",schedule13[[#This Row],[GRADE]],"-",schedule13[[#This Row],[FC/NFC]])</f>
        <v>42.7-0-4-ERW 1-FC</v>
      </c>
      <c r="Q389" s="557" t="str">
        <f>_xlfn.CONCAT(schedule13[[#This Row],[Bucket]],"-",schedule13[[#This Row],[LENGTH]]/1000)</f>
        <v>42.7-0-4-ERW 1-FC-0.254</v>
      </c>
      <c r="R389" s="557">
        <f>COUNTIF(buckets[CTL Bucket],schedule13[[#This Row],[CTL Bucket]])</f>
        <v>2</v>
      </c>
      <c r="S389" s="1">
        <v>42.7</v>
      </c>
      <c r="T389" s="1">
        <v>42.7</v>
      </c>
      <c r="U389" s="1">
        <v>0</v>
      </c>
      <c r="V389" s="1">
        <v>4</v>
      </c>
      <c r="W389" s="23">
        <v>254</v>
      </c>
      <c r="X389" s="22" t="s">
        <v>397</v>
      </c>
      <c r="Y389" s="2">
        <v>5000</v>
      </c>
      <c r="Z389" s="2"/>
      <c r="AA389" s="4">
        <f t="shared" si="67"/>
        <v>5000</v>
      </c>
      <c r="AB389" s="1">
        <f t="shared" si="60"/>
        <v>4.8466811880000007</v>
      </c>
      <c r="AC389" s="1">
        <f t="shared" si="62"/>
        <v>0</v>
      </c>
      <c r="AD389" s="1">
        <f t="shared" si="68"/>
        <v>4.8466811880000007</v>
      </c>
      <c r="AE389" s="3">
        <f>schedule13[[#This Row],[CTL Stock]]/schedule13[[#This Row],[SCHEDULE IN MT]]*schedule13[[#This Row],[SCHEDULE]]</f>
        <v>536.17617895604815</v>
      </c>
      <c r="AF389" s="1">
        <f>SUMIFS(stock[MT],stock[Bucket],schedule13[[#This Row],[Bucket]],stock[CTL Bucket],schedule13[[#This Row],[CTL Bucket]])</f>
        <v>0.51973500000000006</v>
      </c>
      <c r="AG389" s="1">
        <f>SUMIFS(stock[MT],stock[Bucket],schedule13[[#This Row],[Bucket]])+SUMIFS(wip[Stock(Net Wt)],wip[Bucket],schedule13[[#This Row],[Bucket]])/1000</f>
        <v>219.53498700000003</v>
      </c>
      <c r="AH389" s="1">
        <f t="shared" si="69"/>
        <v>1.5531050179199999</v>
      </c>
      <c r="AI389" s="118">
        <f t="shared" si="70"/>
        <v>0.25073570343432983</v>
      </c>
    </row>
    <row r="390" spans="1:35" hidden="1" x14ac:dyDescent="0.25">
      <c r="A390" s="30">
        <v>225</v>
      </c>
      <c r="B390" s="5" t="s">
        <v>1816</v>
      </c>
      <c r="C390" s="2" t="s">
        <v>299</v>
      </c>
      <c r="D390" s="2" t="s">
        <v>955</v>
      </c>
      <c r="E390" s="2" t="s">
        <v>6569</v>
      </c>
      <c r="F390" s="2">
        <v>1940911</v>
      </c>
      <c r="G390" s="2" t="s">
        <v>2050</v>
      </c>
      <c r="H390" s="2" t="s">
        <v>962</v>
      </c>
      <c r="I390" s="2"/>
      <c r="J390" s="2" t="s">
        <v>1003</v>
      </c>
      <c r="K390" s="2" t="s">
        <v>239</v>
      </c>
      <c r="L390" s="2"/>
      <c r="M390" s="2"/>
      <c r="N390" s="2" t="s">
        <v>1895</v>
      </c>
      <c r="O390" s="2"/>
      <c r="P390" s="557" t="str">
        <f>CONCATENATE(schedule13[[#This Row],[OD]],"-",schedule13[[#This Row],[ID]],"-",schedule13[[#This Row],[TICKNESS]],"-",schedule13[[#This Row],[GRADE]],"-",schedule13[[#This Row],[FC/NFC]])</f>
        <v>57.15-0-2.5-ERW 1-FC</v>
      </c>
      <c r="Q390" s="557" t="str">
        <f>_xlfn.CONCAT(schedule13[[#This Row],[Bucket]],"-",schedule13[[#This Row],[LENGTH]]/1000)</f>
        <v>57.15-0-2.5-ERW 1-FC-0.772</v>
      </c>
      <c r="R390" s="557">
        <f>COUNTIF(buckets[CTL Bucket],schedule13[[#This Row],[CTL Bucket]])</f>
        <v>3</v>
      </c>
      <c r="S390" s="1">
        <v>57.15</v>
      </c>
      <c r="T390" s="1">
        <v>57.15</v>
      </c>
      <c r="U390" s="1">
        <v>0</v>
      </c>
      <c r="V390" s="1">
        <v>2.5</v>
      </c>
      <c r="W390" s="24">
        <v>772</v>
      </c>
      <c r="X390" s="22" t="s">
        <v>397</v>
      </c>
      <c r="Y390" s="2">
        <v>3000</v>
      </c>
      <c r="Z390" s="2"/>
      <c r="AA390" s="4">
        <f t="shared" si="67"/>
        <v>3000</v>
      </c>
      <c r="AB390" s="1">
        <f t="shared" si="60"/>
        <v>7.8007885454999997</v>
      </c>
      <c r="AC390" s="1">
        <f t="shared" si="62"/>
        <v>0</v>
      </c>
      <c r="AD390" s="1">
        <f t="shared" si="68"/>
        <v>7.8007885454999997</v>
      </c>
      <c r="AE390" s="3">
        <f>schedule13[[#This Row],[CTL Stock]]/schedule13[[#This Row],[SCHEDULE IN MT]]*schedule13[[#This Row],[SCHEDULE]]</f>
        <v>6.0086233239893181</v>
      </c>
      <c r="AF390" s="1">
        <f>SUMIFS(stock[MT],stock[Bucket],schedule13[[#This Row],[Bucket]],stock[CTL Bucket],schedule13[[#This Row],[CTL Bucket]])</f>
        <v>1.5624000000000001E-2</v>
      </c>
      <c r="AG390" s="1">
        <f>SUMIFS(stock[MT],stock[Bucket],schedule13[[#This Row],[Bucket]])+SUMIFS(wip[Stock(Net Wt)],wip[Bucket],schedule13[[#This Row],[Bucket]])/1000</f>
        <v>18.570545999999997</v>
      </c>
      <c r="AH390" s="1">
        <f t="shared" si="69"/>
        <v>4.8310571880000008</v>
      </c>
      <c r="AI390" s="118">
        <f t="shared" si="70"/>
        <v>3.2236492135450934E-3</v>
      </c>
    </row>
    <row r="391" spans="1:35" hidden="1" x14ac:dyDescent="0.25">
      <c r="A391" s="30">
        <v>235</v>
      </c>
      <c r="B391" s="5" t="s">
        <v>1816</v>
      </c>
      <c r="C391" s="2" t="s">
        <v>299</v>
      </c>
      <c r="D391" s="2" t="s">
        <v>955</v>
      </c>
      <c r="E391" s="2" t="s">
        <v>6569</v>
      </c>
      <c r="F391" s="2">
        <v>3122347</v>
      </c>
      <c r="G391" s="2" t="s">
        <v>1347</v>
      </c>
      <c r="H391" s="2" t="s">
        <v>985</v>
      </c>
      <c r="I391" s="2"/>
      <c r="J391" s="2" t="s">
        <v>963</v>
      </c>
      <c r="K391" s="2" t="s">
        <v>1867</v>
      </c>
      <c r="L391" s="44" t="s">
        <v>1924</v>
      </c>
      <c r="M391" s="2"/>
      <c r="N391" s="2" t="s">
        <v>1895</v>
      </c>
      <c r="O391" s="2"/>
      <c r="P391" s="557" t="str">
        <f>CONCATENATE(schedule13[[#This Row],[OD]],"-",schedule13[[#This Row],[ID]],"-",schedule13[[#This Row],[TICKNESS]],"-",schedule13[[#This Row],[GRADE]],"-",schedule13[[#This Row],[FC/NFC]])</f>
        <v>19.05-0-1.6-ERW 2 MAHS-PE</v>
      </c>
      <c r="Q391" s="557" t="str">
        <f>_xlfn.CONCAT(schedule13[[#This Row],[Bucket]],"-",schedule13[[#This Row],[LENGTH]]/1000)</f>
        <v>19.05-0-1.6-ERW 2 MAHS-PE-0.394</v>
      </c>
      <c r="R391" s="557">
        <f>COUNTIF(buckets[CTL Bucket],schedule13[[#This Row],[CTL Bucket]])</f>
        <v>1</v>
      </c>
      <c r="S391" s="1">
        <v>19.05</v>
      </c>
      <c r="T391" s="1">
        <v>19.05</v>
      </c>
      <c r="U391" s="1">
        <v>0</v>
      </c>
      <c r="V391" s="1">
        <v>1.6</v>
      </c>
      <c r="W391" s="24">
        <v>394</v>
      </c>
      <c r="X391" s="22" t="s">
        <v>397</v>
      </c>
      <c r="Y391" s="2">
        <v>0</v>
      </c>
      <c r="Z391" s="2"/>
      <c r="AA391" s="4">
        <f t="shared" si="67"/>
        <v>0</v>
      </c>
      <c r="AB391" s="1">
        <f t="shared" si="60"/>
        <v>0</v>
      </c>
      <c r="AC391" s="1">
        <f t="shared" si="62"/>
        <v>0</v>
      </c>
      <c r="AD391" s="1">
        <f t="shared" si="68"/>
        <v>0</v>
      </c>
      <c r="AE391" s="1"/>
      <c r="AF391" s="1">
        <v>0.10406699999999999</v>
      </c>
      <c r="AG391" s="1"/>
      <c r="AH391" s="1">
        <f t="shared" si="69"/>
        <v>7.6967215455</v>
      </c>
      <c r="AI391" s="118">
        <f t="shared" si="70"/>
        <v>1.3340574403857233E-2</v>
      </c>
    </row>
    <row r="392" spans="1:35" hidden="1" x14ac:dyDescent="0.25">
      <c r="A392" s="30">
        <v>242</v>
      </c>
      <c r="B392" s="5" t="s">
        <v>1872</v>
      </c>
      <c r="C392" s="2" t="s">
        <v>299</v>
      </c>
      <c r="D392" s="2" t="s">
        <v>955</v>
      </c>
      <c r="E392" s="2" t="s">
        <v>6569</v>
      </c>
      <c r="F392" s="2" t="s">
        <v>1878</v>
      </c>
      <c r="G392" s="2"/>
      <c r="H392" s="2" t="s">
        <v>962</v>
      </c>
      <c r="I392" s="2"/>
      <c r="J392" s="2" t="s">
        <v>1003</v>
      </c>
      <c r="K392" s="2" t="s">
        <v>239</v>
      </c>
      <c r="L392" s="2"/>
      <c r="M392" s="2"/>
      <c r="N392" s="2" t="s">
        <v>1895</v>
      </c>
      <c r="O392" s="2"/>
      <c r="P392" s="557" t="str">
        <f>CONCATENATE(schedule13[[#This Row],[OD]],"-",schedule13[[#This Row],[ID]],"-",schedule13[[#This Row],[TICKNESS]],"-",schedule13[[#This Row],[GRADE]],"-",schedule13[[#This Row],[FC/NFC]])</f>
        <v>60.3-0-2-ERW 1-FC</v>
      </c>
      <c r="Q392" s="557" t="s">
        <v>5288</v>
      </c>
      <c r="R392" s="557">
        <f>COUNTIF(buckets[CTL Bucket],schedule13[[#This Row],[CTL Bucket]])</f>
        <v>1</v>
      </c>
      <c r="S392" s="1">
        <v>60.3</v>
      </c>
      <c r="T392" s="1">
        <v>60.3</v>
      </c>
      <c r="U392" s="1">
        <v>0</v>
      </c>
      <c r="V392" s="1">
        <v>2</v>
      </c>
      <c r="W392" s="24">
        <v>491</v>
      </c>
      <c r="X392" s="22" t="s">
        <v>397</v>
      </c>
      <c r="Y392" s="2">
        <v>3000</v>
      </c>
      <c r="Z392" s="2"/>
      <c r="AA392" s="4">
        <f t="shared" si="67"/>
        <v>3000</v>
      </c>
      <c r="AB392" s="1">
        <f t="shared" si="60"/>
        <v>4.2341971254000006</v>
      </c>
      <c r="AC392" s="1">
        <f t="shared" si="62"/>
        <v>0</v>
      </c>
      <c r="AD392" s="1">
        <f t="shared" si="68"/>
        <v>4.2341971254000006</v>
      </c>
      <c r="AE392" s="3">
        <f>schedule13[[#This Row],[CTL Stock]]/schedule13[[#This Row],[SCHEDULE IN MT]]*schedule13[[#This Row],[SCHEDULE]]</f>
        <v>0</v>
      </c>
      <c r="AF392" s="1">
        <f>SUMIFS(stock[MT],stock[Bucket],schedule13[[#This Row],[Bucket]],stock[CTL Bucket],schedule13[[#This Row],[CTL Bucket]])</f>
        <v>0</v>
      </c>
      <c r="AG392" s="1">
        <f>SUMIFS(stock[MT],stock[Bucket],schedule13[[#This Row],[Bucket]])+SUMIFS(wip[Stock(Net Wt)],wip[Bucket],schedule13[[#This Row],[Bucket]])/1000</f>
        <v>28.386056999999997</v>
      </c>
      <c r="AH392" s="1">
        <f t="shared" si="69"/>
        <v>0</v>
      </c>
      <c r="AI392" s="118" t="e">
        <f t="shared" si="70"/>
        <v>#DIV/0!</v>
      </c>
    </row>
    <row r="393" spans="1:35" hidden="1" x14ac:dyDescent="0.25">
      <c r="A393" s="30">
        <v>289</v>
      </c>
      <c r="B393" s="5" t="s">
        <v>1872</v>
      </c>
      <c r="C393" s="2" t="s">
        <v>299</v>
      </c>
      <c r="D393" s="2" t="s">
        <v>955</v>
      </c>
      <c r="E393" s="2" t="s">
        <v>6569</v>
      </c>
      <c r="F393" s="2">
        <v>3545492</v>
      </c>
      <c r="G393" s="2" t="s">
        <v>1948</v>
      </c>
      <c r="H393" s="2" t="s">
        <v>357</v>
      </c>
      <c r="I393" s="2"/>
      <c r="J393" s="2" t="s">
        <v>357</v>
      </c>
      <c r="K393" s="2" t="s">
        <v>239</v>
      </c>
      <c r="L393" s="2"/>
      <c r="M393" s="2"/>
      <c r="N393" s="2"/>
      <c r="O393" s="2"/>
      <c r="P393" s="557" t="str">
        <f>CONCATENATE(schedule13[[#This Row],[OD]],"-",schedule13[[#This Row],[ID]],"-",schedule13[[#This Row],[TICKNESS]],"-",schedule13[[#This Row],[GRADE]],"-",schedule13[[#This Row],[FC/NFC]])</f>
        <v>19-12.5-3.25-CEW-CEW</v>
      </c>
      <c r="Q393" s="557" t="str">
        <f>_xlfn.CONCAT(schedule13[[#This Row],[Bucket]],"-",schedule13[[#This Row],[LENGTH]]/1000)</f>
        <v>19-12.5-3.25-CEW-CEW-0.195</v>
      </c>
      <c r="R393" s="557">
        <f>COUNTIF(buckets[CTL Bucket],schedule13[[#This Row],[CTL Bucket]])</f>
        <v>2</v>
      </c>
      <c r="S393" s="1">
        <v>19</v>
      </c>
      <c r="T393" s="1">
        <v>19</v>
      </c>
      <c r="U393" s="1">
        <v>12.5</v>
      </c>
      <c r="V393" s="1">
        <v>3.25</v>
      </c>
      <c r="W393" s="24">
        <v>195</v>
      </c>
      <c r="X393" s="24"/>
      <c r="Y393" s="2">
        <v>20000</v>
      </c>
      <c r="Z393" s="2"/>
      <c r="AA393" s="4">
        <f t="shared" si="67"/>
        <v>20000</v>
      </c>
      <c r="AB393" s="1">
        <f t="shared" si="60"/>
        <v>4.9215092062499997</v>
      </c>
      <c r="AC393" s="1">
        <f t="shared" si="62"/>
        <v>0</v>
      </c>
      <c r="AD393" s="1">
        <f t="shared" si="68"/>
        <v>4.9215092062499997</v>
      </c>
      <c r="AE393" s="1"/>
      <c r="AF393" s="1"/>
      <c r="AG393" s="1"/>
      <c r="AH393" s="1">
        <f t="shared" si="69"/>
        <v>4.2341971254000006</v>
      </c>
      <c r="AI393" s="118">
        <f t="shared" si="70"/>
        <v>0</v>
      </c>
    </row>
    <row r="394" spans="1:35" hidden="1" x14ac:dyDescent="0.25">
      <c r="A394" s="30">
        <v>500</v>
      </c>
      <c r="B394" s="5" t="s">
        <v>1816</v>
      </c>
      <c r="C394" s="2" t="s">
        <v>116</v>
      </c>
      <c r="D394" s="2"/>
      <c r="E394" s="2">
        <v>188534</v>
      </c>
      <c r="F394" s="2">
        <v>3732182</v>
      </c>
      <c r="G394" s="2" t="s">
        <v>2071</v>
      </c>
      <c r="H394" s="2" t="s">
        <v>962</v>
      </c>
      <c r="I394" s="2"/>
      <c r="J394" s="2" t="s">
        <v>963</v>
      </c>
      <c r="K394" s="2" t="s">
        <v>239</v>
      </c>
      <c r="L394" s="2"/>
      <c r="M394" s="2"/>
      <c r="N394" s="2"/>
      <c r="O394" s="2"/>
      <c r="P394" s="557" t="str">
        <f>CONCATENATE(schedule13[[#This Row],[OD]],"-",schedule13[[#This Row],[ID]],"-",schedule13[[#This Row],[TICKNESS]],"-",schedule13[[#This Row],[GRADE]],"-",schedule13[[#This Row],[FC/NFC]])</f>
        <v>19.05-0-2-ERW 1-PE</v>
      </c>
      <c r="Q394" s="557" t="str">
        <f>_xlfn.CONCAT(schedule13[[#This Row],[Bucket]],"-",schedule13[[#This Row],[LENGTH]]/1000)</f>
        <v>19.05-0-2-ERW 1-PE-0.82</v>
      </c>
      <c r="R394" s="557">
        <f>COUNTIF(buckets[CTL Bucket],schedule13[[#This Row],[CTL Bucket]])</f>
        <v>3</v>
      </c>
      <c r="S394" s="1">
        <v>19.05</v>
      </c>
      <c r="T394" s="1">
        <v>19.05</v>
      </c>
      <c r="U394" s="1">
        <v>0</v>
      </c>
      <c r="V394" s="1">
        <v>2</v>
      </c>
      <c r="W394" s="24">
        <v>820</v>
      </c>
      <c r="X394" s="22" t="s">
        <v>397</v>
      </c>
      <c r="Y394" s="2">
        <v>14500</v>
      </c>
      <c r="Z394" s="2"/>
      <c r="AA394" s="4">
        <f t="shared" si="67"/>
        <v>14500</v>
      </c>
      <c r="AB394" s="1">
        <f t="shared" si="60"/>
        <v>9.9955341970000013</v>
      </c>
      <c r="AC394" s="1">
        <f t="shared" si="62"/>
        <v>0</v>
      </c>
      <c r="AD394" s="1">
        <f t="shared" si="68"/>
        <v>9.9955341970000013</v>
      </c>
      <c r="AE394" s="1"/>
      <c r="AF394" s="1"/>
      <c r="AG394" s="1"/>
      <c r="AH394" s="1">
        <f t="shared" si="69"/>
        <v>4.9215092062499997</v>
      </c>
      <c r="AI394" s="118">
        <f t="shared" si="70"/>
        <v>0</v>
      </c>
    </row>
    <row r="395" spans="1:35" hidden="1" x14ac:dyDescent="0.25">
      <c r="A395" s="30">
        <v>501</v>
      </c>
      <c r="B395" s="5" t="s">
        <v>1816</v>
      </c>
      <c r="C395" s="2" t="s">
        <v>116</v>
      </c>
      <c r="D395" s="2"/>
      <c r="E395" s="2">
        <v>188534</v>
      </c>
      <c r="F395" s="2"/>
      <c r="G395" s="2"/>
      <c r="H395" s="2" t="s">
        <v>962</v>
      </c>
      <c r="I395" s="2"/>
      <c r="J395" s="2" t="s">
        <v>963</v>
      </c>
      <c r="K395" s="2" t="s">
        <v>239</v>
      </c>
      <c r="L395" s="2"/>
      <c r="M395" s="2"/>
      <c r="N395" s="2"/>
      <c r="O395" s="2"/>
      <c r="P395" s="557" t="str">
        <f>CONCATENATE(schedule13[[#This Row],[OD]],"-",schedule13[[#This Row],[ID]],"-",schedule13[[#This Row],[TICKNESS]],"-",schedule13[[#This Row],[GRADE]],"-",schedule13[[#This Row],[FC/NFC]])</f>
        <v>19.05-0-2.3-ERW 1-PE</v>
      </c>
      <c r="Q395" s="557" t="str">
        <f>_xlfn.CONCAT(schedule13[[#This Row],[Bucket]],"-",schedule13[[#This Row],[LENGTH]]/1000)</f>
        <v>19.05-0-2.3-ERW 1-PE-0.25</v>
      </c>
      <c r="R395" s="557">
        <f>COUNTIF(buckets[CTL Bucket],schedule13[[#This Row],[CTL Bucket]])</f>
        <v>1</v>
      </c>
      <c r="S395" s="1">
        <v>19.05</v>
      </c>
      <c r="T395" s="1">
        <v>19.05</v>
      </c>
      <c r="U395" s="1">
        <v>0</v>
      </c>
      <c r="V395" s="1">
        <v>2.2999999999999998</v>
      </c>
      <c r="W395" s="24">
        <v>250</v>
      </c>
      <c r="X395" s="22" t="s">
        <v>397</v>
      </c>
      <c r="Y395" s="2">
        <v>10000</v>
      </c>
      <c r="Z395" s="2"/>
      <c r="AA395" s="4">
        <f t="shared" si="67"/>
        <v>10000</v>
      </c>
      <c r="AB395" s="1">
        <f t="shared" si="60"/>
        <v>2.3743920625000001</v>
      </c>
      <c r="AC395" s="1">
        <f t="shared" si="62"/>
        <v>0</v>
      </c>
      <c r="AD395" s="1">
        <f t="shared" si="68"/>
        <v>2.3743920625000001</v>
      </c>
      <c r="AE395" s="1"/>
      <c r="AF395" s="1"/>
      <c r="AG395" s="1"/>
      <c r="AH395" s="1">
        <f t="shared" si="69"/>
        <v>9.9955341970000013</v>
      </c>
      <c r="AI395" s="118">
        <f t="shared" si="70"/>
        <v>0</v>
      </c>
    </row>
    <row r="396" spans="1:35" hidden="1" x14ac:dyDescent="0.25">
      <c r="A396" s="30">
        <v>502</v>
      </c>
      <c r="B396" s="5" t="s">
        <v>1816</v>
      </c>
      <c r="C396" s="2" t="s">
        <v>116</v>
      </c>
      <c r="D396" s="2"/>
      <c r="E396" s="2">
        <v>188534</v>
      </c>
      <c r="F396" s="2"/>
      <c r="G396" s="2"/>
      <c r="H396" s="2" t="s">
        <v>962</v>
      </c>
      <c r="I396" s="2"/>
      <c r="J396" s="2" t="s">
        <v>963</v>
      </c>
      <c r="K396" s="2" t="s">
        <v>239</v>
      </c>
      <c r="L396" s="2"/>
      <c r="M396" s="2"/>
      <c r="N396" s="2"/>
      <c r="O396" s="2"/>
      <c r="P396" s="557" t="str">
        <f>CONCATENATE(schedule13[[#This Row],[OD]],"-",schedule13[[#This Row],[ID]],"-",schedule13[[#This Row],[TICKNESS]],"-",schedule13[[#This Row],[GRADE]],"-",schedule13[[#This Row],[FC/NFC]])</f>
        <v>19.05-0-2.3-ERW 1-PE</v>
      </c>
      <c r="Q396" s="2" t="s">
        <v>3660</v>
      </c>
      <c r="R396" s="557">
        <f>COUNTIF(buckets[CTL Bucket],schedule13[[#This Row],[CTL Bucket]])</f>
        <v>1</v>
      </c>
      <c r="S396" s="1">
        <v>19.05</v>
      </c>
      <c r="T396" s="1">
        <v>19.05</v>
      </c>
      <c r="U396" s="1">
        <v>0</v>
      </c>
      <c r="V396" s="1">
        <v>2.2999999999999998</v>
      </c>
      <c r="W396" s="24">
        <v>278</v>
      </c>
      <c r="X396" s="22" t="s">
        <v>397</v>
      </c>
      <c r="Y396" s="2">
        <v>10000</v>
      </c>
      <c r="Z396" s="2"/>
      <c r="AA396" s="4">
        <f t="shared" si="67"/>
        <v>10000</v>
      </c>
      <c r="AB396" s="1">
        <f t="shared" si="60"/>
        <v>2.6403239734999997</v>
      </c>
      <c r="AC396" s="1">
        <f t="shared" si="62"/>
        <v>0</v>
      </c>
      <c r="AD396" s="1">
        <f t="shared" si="68"/>
        <v>2.6403239734999997</v>
      </c>
      <c r="AE396" s="1"/>
      <c r="AF396" s="1"/>
      <c r="AG396" s="1"/>
      <c r="AH396" s="1">
        <f t="shared" si="69"/>
        <v>2.3743920625000001</v>
      </c>
      <c r="AI396" s="118">
        <f t="shared" si="70"/>
        <v>0</v>
      </c>
    </row>
    <row r="397" spans="1:35" hidden="1" x14ac:dyDescent="0.25">
      <c r="A397" s="30">
        <v>503</v>
      </c>
      <c r="B397" s="5" t="s">
        <v>1816</v>
      </c>
      <c r="C397" s="2" t="s">
        <v>116</v>
      </c>
      <c r="D397" s="2"/>
      <c r="E397" s="2">
        <v>188534</v>
      </c>
      <c r="F397" s="2">
        <v>1940312</v>
      </c>
      <c r="G397" s="2" t="s">
        <v>410</v>
      </c>
      <c r="H397" s="2" t="s">
        <v>962</v>
      </c>
      <c r="I397" s="2"/>
      <c r="J397" s="2" t="s">
        <v>963</v>
      </c>
      <c r="K397" s="2" t="s">
        <v>239</v>
      </c>
      <c r="L397" s="2"/>
      <c r="M397" s="2"/>
      <c r="N397" s="2"/>
      <c r="O397" s="2"/>
      <c r="P397" s="557" t="str">
        <f>CONCATENATE(schedule13[[#This Row],[OD]],"-",schedule13[[#This Row],[ID]],"-",schedule13[[#This Row],[TICKNESS]],"-",schedule13[[#This Row],[GRADE]],"-",schedule13[[#This Row],[FC/NFC]])</f>
        <v>19.05-0-2.3-ERW 1-PE</v>
      </c>
      <c r="Q397" s="557" t="str">
        <f>_xlfn.CONCAT(schedule13[[#This Row],[Bucket]],"-",schedule13[[#This Row],[LENGTH]]/1000)</f>
        <v>19.05-0-2.3-ERW 1-PE-0.295</v>
      </c>
      <c r="R397" s="557">
        <f>COUNTIF(buckets[CTL Bucket],schedule13[[#This Row],[CTL Bucket]])</f>
        <v>4</v>
      </c>
      <c r="S397" s="1">
        <v>19.05</v>
      </c>
      <c r="T397" s="1">
        <v>19.05</v>
      </c>
      <c r="U397" s="1">
        <v>0</v>
      </c>
      <c r="V397" s="1">
        <v>2.2999999999999998</v>
      </c>
      <c r="W397" s="24">
        <v>295</v>
      </c>
      <c r="X397" s="22" t="s">
        <v>397</v>
      </c>
      <c r="Y397" s="2">
        <v>19580</v>
      </c>
      <c r="Z397" s="2"/>
      <c r="AA397" s="4">
        <f t="shared" si="67"/>
        <v>19580</v>
      </c>
      <c r="AB397" s="1">
        <f t="shared" si="60"/>
        <v>5.4858903968825006</v>
      </c>
      <c r="AC397" s="1">
        <f t="shared" si="62"/>
        <v>0</v>
      </c>
      <c r="AD397" s="1">
        <f t="shared" si="68"/>
        <v>5.4858903968825006</v>
      </c>
      <c r="AE397" s="1"/>
      <c r="AF397" s="1">
        <v>3.2520000000000002</v>
      </c>
      <c r="AG397" s="1"/>
      <c r="AH397" s="1">
        <f t="shared" si="69"/>
        <v>-0.61167602650000052</v>
      </c>
      <c r="AI397" s="118">
        <f t="shared" si="70"/>
        <v>1.2316670350453873</v>
      </c>
    </row>
    <row r="398" spans="1:35" hidden="1" x14ac:dyDescent="0.25">
      <c r="A398" s="30">
        <v>504</v>
      </c>
      <c r="B398" s="5" t="s">
        <v>1816</v>
      </c>
      <c r="C398" s="2" t="s">
        <v>116</v>
      </c>
      <c r="D398" s="2"/>
      <c r="E398" s="2">
        <v>188534</v>
      </c>
      <c r="F398" s="2">
        <v>3732176</v>
      </c>
      <c r="G398" s="2" t="s">
        <v>2076</v>
      </c>
      <c r="H398" s="2"/>
      <c r="I398" s="2"/>
      <c r="J398" s="2"/>
      <c r="K398" s="2" t="s">
        <v>239</v>
      </c>
      <c r="L398" s="2"/>
      <c r="M398" s="2"/>
      <c r="N398" s="2"/>
      <c r="O398" s="2"/>
      <c r="P398" s="557" t="str">
        <f>CONCATENATE(schedule13[[#This Row],[OD]],"-",schedule13[[#This Row],[ID]],"-",schedule13[[#This Row],[TICKNESS]],"-",schedule13[[#This Row],[GRADE]],"-",schedule13[[#This Row],[FC/NFC]])</f>
        <v>57.15-0-2.5--</v>
      </c>
      <c r="Q398" s="557"/>
      <c r="R398" s="557"/>
      <c r="S398" s="1">
        <v>57.15</v>
      </c>
      <c r="T398" s="1">
        <v>57.15</v>
      </c>
      <c r="U398" s="1">
        <v>0</v>
      </c>
      <c r="V398" s="1">
        <v>2.5</v>
      </c>
      <c r="W398" s="24">
        <v>295</v>
      </c>
      <c r="X398" s="24"/>
      <c r="Y398" s="2">
        <v>0</v>
      </c>
      <c r="Z398" s="2"/>
      <c r="AA398" s="4">
        <f t="shared" si="67"/>
        <v>0</v>
      </c>
      <c r="AB398" s="1">
        <f t="shared" ref="AB398:AB461" si="71">(S398-V398)*V398*W398*0.024653*Y398/1000000</f>
        <v>0</v>
      </c>
      <c r="AC398" s="1">
        <f t="shared" si="62"/>
        <v>0</v>
      </c>
      <c r="AD398" s="1">
        <f t="shared" si="68"/>
        <v>0</v>
      </c>
      <c r="AE398" s="1"/>
      <c r="AF398" s="1">
        <v>2.1890000000000001</v>
      </c>
      <c r="AG398" s="1"/>
      <c r="AH398" s="1">
        <f t="shared" si="69"/>
        <v>3.2968903968825005</v>
      </c>
      <c r="AI398" s="118">
        <f t="shared" si="70"/>
        <v>0.39902364823838915</v>
      </c>
    </row>
    <row r="399" spans="1:35" hidden="1" x14ac:dyDescent="0.25">
      <c r="A399" s="30">
        <v>505</v>
      </c>
      <c r="B399" s="5" t="s">
        <v>1816</v>
      </c>
      <c r="C399" s="2" t="s">
        <v>116</v>
      </c>
      <c r="D399" s="2"/>
      <c r="E399" s="2">
        <v>188534</v>
      </c>
      <c r="F399" s="2">
        <v>3732180</v>
      </c>
      <c r="G399" s="2" t="s">
        <v>1566</v>
      </c>
      <c r="H399" s="2" t="s">
        <v>962</v>
      </c>
      <c r="I399" s="2"/>
      <c r="J399" s="2" t="s">
        <v>1003</v>
      </c>
      <c r="K399" s="2" t="s">
        <v>1867</v>
      </c>
      <c r="L399" s="44" t="s">
        <v>1952</v>
      </c>
      <c r="M399" s="2"/>
      <c r="N399" s="2"/>
      <c r="O399" s="2"/>
      <c r="P399" s="557" t="str">
        <f>CONCATENATE(schedule13[[#This Row],[OD]],"-",schedule13[[#This Row],[ID]],"-",schedule13[[#This Row],[TICKNESS]],"-",schedule13[[#This Row],[GRADE]],"-",schedule13[[#This Row],[FC/NFC]])</f>
        <v>25.4-0-1.6-ERW 1-FC</v>
      </c>
      <c r="Q399" s="557" t="str">
        <f>_xlfn.CONCAT(schedule13[[#This Row],[Bucket]],"-",schedule13[[#This Row],[LENGTH]]/1000)</f>
        <v>25.4-0-1.6-ERW 1-FC-0.208</v>
      </c>
      <c r="R399" s="557">
        <f>COUNTIF(buckets[CTL Bucket],schedule13[[#This Row],[CTL Bucket]])</f>
        <v>1</v>
      </c>
      <c r="S399" s="1">
        <v>25.4</v>
      </c>
      <c r="T399" s="1">
        <v>25.4</v>
      </c>
      <c r="U399" s="1">
        <v>0</v>
      </c>
      <c r="V399" s="1">
        <v>1.6</v>
      </c>
      <c r="W399" s="24">
        <v>208</v>
      </c>
      <c r="X399" s="22" t="s">
        <v>397</v>
      </c>
      <c r="Y399" s="2">
        <v>19318</v>
      </c>
      <c r="Z399" s="2"/>
      <c r="AA399" s="4">
        <f t="shared" si="67"/>
        <v>19318</v>
      </c>
      <c r="AB399" s="1">
        <f t="shared" si="71"/>
        <v>3.7721782975385598</v>
      </c>
      <c r="AC399" s="1">
        <f t="shared" si="62"/>
        <v>0</v>
      </c>
      <c r="AD399" s="1">
        <f t="shared" si="68"/>
        <v>3.7721782975385598</v>
      </c>
      <c r="AE399" s="1"/>
      <c r="AF399" s="1">
        <v>2.5579669999999997</v>
      </c>
      <c r="AG399" s="1"/>
      <c r="AH399" s="1">
        <f t="shared" si="69"/>
        <v>-2.5579669999999997</v>
      </c>
      <c r="AI399" s="118" t="e">
        <f t="shared" si="70"/>
        <v>#DIV/0!</v>
      </c>
    </row>
    <row r="400" spans="1:35" hidden="1" x14ac:dyDescent="0.25">
      <c r="A400" s="30">
        <v>506</v>
      </c>
      <c r="B400" s="5" t="s">
        <v>1816</v>
      </c>
      <c r="C400" s="2" t="s">
        <v>116</v>
      </c>
      <c r="D400" s="2"/>
      <c r="E400" s="2">
        <v>188534</v>
      </c>
      <c r="F400" s="9">
        <v>3841884</v>
      </c>
      <c r="G400" s="2" t="s">
        <v>1643</v>
      </c>
      <c r="H400" s="2" t="s">
        <v>985</v>
      </c>
      <c r="I400" s="2"/>
      <c r="J400" s="2" t="s">
        <v>1003</v>
      </c>
      <c r="K400" s="2" t="s">
        <v>1867</v>
      </c>
      <c r="L400" s="44" t="s">
        <v>1924</v>
      </c>
      <c r="M400" s="2"/>
      <c r="N400" s="2"/>
      <c r="O400" s="2"/>
      <c r="P400" s="557" t="str">
        <f>CONCATENATE(schedule13[[#This Row],[OD]],"-",schedule13[[#This Row],[ID]],"-",schedule13[[#This Row],[TICKNESS]],"-",schedule13[[#This Row],[GRADE]],"-",schedule13[[#This Row],[FC/NFC]])</f>
        <v>38.1-0-1.6-ERW 2 MAHS-FC</v>
      </c>
      <c r="Q400" s="557" t="str">
        <f>_xlfn.CONCAT(schedule13[[#This Row],[Bucket]],"-",schedule13[[#This Row],[LENGTH]]/1000)</f>
        <v>38.1-0-1.6-ERW 2 MAHS-FC-0.875</v>
      </c>
      <c r="R400" s="557">
        <f>COUNTIF(buckets[CTL Bucket],schedule13[[#This Row],[CTL Bucket]])</f>
        <v>3</v>
      </c>
      <c r="S400" s="1">
        <v>38.1</v>
      </c>
      <c r="T400" s="1">
        <v>38.1</v>
      </c>
      <c r="U400" s="1">
        <v>0</v>
      </c>
      <c r="V400" s="1">
        <v>1.6</v>
      </c>
      <c r="W400" s="24">
        <v>875</v>
      </c>
      <c r="X400" s="22" t="s">
        <v>397</v>
      </c>
      <c r="Y400" s="2">
        <v>7337</v>
      </c>
      <c r="Z400" s="2"/>
      <c r="AA400" s="4">
        <f t="shared" si="67"/>
        <v>7337</v>
      </c>
      <c r="AB400" s="1">
        <f t="shared" si="71"/>
        <v>9.2429200171000012</v>
      </c>
      <c r="AC400" s="1">
        <f t="shared" si="62"/>
        <v>0</v>
      </c>
      <c r="AD400" s="1">
        <f t="shared" si="68"/>
        <v>9.2429200171000012</v>
      </c>
      <c r="AE400" s="1"/>
      <c r="AF400" s="1">
        <v>0.96599999999999997</v>
      </c>
      <c r="AG400" s="1"/>
      <c r="AH400" s="1">
        <f t="shared" si="69"/>
        <v>2.8061782975385601</v>
      </c>
      <c r="AI400" s="118">
        <f t="shared" si="70"/>
        <v>0.25608545614886208</v>
      </c>
    </row>
    <row r="401" spans="1:35" hidden="1" x14ac:dyDescent="0.25">
      <c r="A401" s="30">
        <v>507</v>
      </c>
      <c r="B401" s="5" t="s">
        <v>2073</v>
      </c>
      <c r="C401" s="2" t="s">
        <v>116</v>
      </c>
      <c r="D401" s="2"/>
      <c r="E401" s="2">
        <v>188534</v>
      </c>
      <c r="F401" s="2">
        <v>3767397</v>
      </c>
      <c r="G401" s="2"/>
      <c r="H401" s="2" t="s">
        <v>962</v>
      </c>
      <c r="I401" s="2"/>
      <c r="J401" s="2" t="s">
        <v>1003</v>
      </c>
      <c r="K401" s="2" t="s">
        <v>239</v>
      </c>
      <c r="L401" s="2"/>
      <c r="M401" s="2"/>
      <c r="N401" s="2"/>
      <c r="O401" s="2"/>
      <c r="P401" s="557" t="str">
        <f>CONCATENATE(schedule13[[#This Row],[OD]],"-",schedule13[[#This Row],[ID]],"-",schedule13[[#This Row],[TICKNESS]],"-",schedule13[[#This Row],[GRADE]],"-",schedule13[[#This Row],[FC/NFC]])</f>
        <v>38.1-0-2-ERW 1-FC</v>
      </c>
      <c r="Q401" s="557" t="s">
        <v>4716</v>
      </c>
      <c r="R401" s="557">
        <f>COUNTIF(buckets[CTL Bucket],schedule13[[#This Row],[CTL Bucket]])</f>
        <v>1</v>
      </c>
      <c r="S401" s="1">
        <v>38.1</v>
      </c>
      <c r="T401" s="1">
        <v>38.1</v>
      </c>
      <c r="U401" s="1">
        <v>0</v>
      </c>
      <c r="V401" s="1">
        <v>2</v>
      </c>
      <c r="W401" s="24">
        <v>278</v>
      </c>
      <c r="X401" s="22" t="s">
        <v>397</v>
      </c>
      <c r="Y401" s="2">
        <v>10000</v>
      </c>
      <c r="Z401" s="2"/>
      <c r="AA401" s="4">
        <f t="shared" si="67"/>
        <v>10000</v>
      </c>
      <c r="AB401" s="1">
        <f t="shared" si="71"/>
        <v>4.948251548</v>
      </c>
      <c r="AC401" s="1">
        <f t="shared" si="62"/>
        <v>0</v>
      </c>
      <c r="AD401" s="1">
        <f t="shared" si="68"/>
        <v>4.948251548</v>
      </c>
      <c r="AE401" s="1"/>
      <c r="AF401" s="1"/>
      <c r="AG401" s="1"/>
      <c r="AH401" s="1">
        <f t="shared" si="69"/>
        <v>9.2429200171000012</v>
      </c>
      <c r="AI401" s="118">
        <f t="shared" si="70"/>
        <v>0</v>
      </c>
    </row>
    <row r="402" spans="1:35" hidden="1" x14ac:dyDescent="0.25">
      <c r="A402" s="30">
        <v>508</v>
      </c>
      <c r="B402" s="5" t="s">
        <v>1928</v>
      </c>
      <c r="C402" s="2" t="s">
        <v>116</v>
      </c>
      <c r="D402" s="2"/>
      <c r="E402" s="2">
        <v>188534</v>
      </c>
      <c r="F402" s="2">
        <v>2436343</v>
      </c>
      <c r="G402" s="86" t="s">
        <v>2074</v>
      </c>
      <c r="H402" s="51" t="s">
        <v>985</v>
      </c>
      <c r="I402" s="2"/>
      <c r="J402" s="2" t="s">
        <v>1003</v>
      </c>
      <c r="K402" s="2" t="s">
        <v>239</v>
      </c>
      <c r="L402" s="2"/>
      <c r="M402" s="2"/>
      <c r="N402" s="2"/>
      <c r="O402" s="2"/>
      <c r="P402" s="557" t="str">
        <f>CONCATENATE(schedule13[[#This Row],[OD]],"-",schedule13[[#This Row],[ID]],"-",schedule13[[#This Row],[TICKNESS]],"-",schedule13[[#This Row],[GRADE]],"-",schedule13[[#This Row],[FC/NFC]])</f>
        <v>38.1-0-2.5-ERW 2 MAHS-FC</v>
      </c>
      <c r="Q402" s="557" t="str">
        <f>_xlfn.CONCAT(schedule13[[#This Row],[Bucket]],"-",schedule13[[#This Row],[LENGTH]]/1000)</f>
        <v>38.1-0-2.5-ERW 2 MAHS-FC-0.875</v>
      </c>
      <c r="R402" s="557">
        <f>COUNTIF(buckets[CTL Bucket],schedule13[[#This Row],[CTL Bucket]])</f>
        <v>2</v>
      </c>
      <c r="S402" s="1">
        <v>38.1</v>
      </c>
      <c r="T402" s="1">
        <v>38.1</v>
      </c>
      <c r="U402" s="1">
        <v>0</v>
      </c>
      <c r="V402" s="1">
        <v>2.5</v>
      </c>
      <c r="W402" s="24">
        <v>875</v>
      </c>
      <c r="X402" s="22" t="s">
        <v>397</v>
      </c>
      <c r="Y402" s="2">
        <v>7457</v>
      </c>
      <c r="Z402" s="2"/>
      <c r="AA402" s="4">
        <f t="shared" si="67"/>
        <v>7457</v>
      </c>
      <c r="AB402" s="1">
        <f t="shared" si="71"/>
        <v>14.316339160375001</v>
      </c>
      <c r="AC402" s="1">
        <f t="shared" si="62"/>
        <v>0</v>
      </c>
      <c r="AD402" s="1">
        <f t="shared" si="68"/>
        <v>14.316339160375001</v>
      </c>
      <c r="AE402" s="1"/>
      <c r="AF402" s="1"/>
      <c r="AG402" s="1"/>
      <c r="AH402" s="1">
        <f t="shared" si="69"/>
        <v>4.948251548</v>
      </c>
      <c r="AI402" s="118">
        <f t="shared" si="70"/>
        <v>0</v>
      </c>
    </row>
    <row r="403" spans="1:35" hidden="1" x14ac:dyDescent="0.25">
      <c r="A403" s="30">
        <v>509</v>
      </c>
      <c r="B403" s="5" t="s">
        <v>1816</v>
      </c>
      <c r="C403" s="2" t="s">
        <v>116</v>
      </c>
      <c r="D403" s="2"/>
      <c r="E403" s="2">
        <v>188534</v>
      </c>
      <c r="F403" s="2">
        <v>2427712</v>
      </c>
      <c r="G403" s="2" t="s">
        <v>700</v>
      </c>
      <c r="H403" s="2" t="s">
        <v>962</v>
      </c>
      <c r="I403" s="2"/>
      <c r="J403" s="2"/>
      <c r="K403" s="2" t="s">
        <v>239</v>
      </c>
      <c r="L403" s="2"/>
      <c r="M403" s="2"/>
      <c r="N403" s="2"/>
      <c r="O403" s="2"/>
      <c r="P403" s="557" t="str">
        <f>CONCATENATE(schedule13[[#This Row],[OD]],"-",schedule13[[#This Row],[ID]],"-",schedule13[[#This Row],[TICKNESS]],"-",schedule13[[#This Row],[GRADE]],"-",schedule13[[#This Row],[FC/NFC]])</f>
        <v>19.05-0-2.3-ERW 1-</v>
      </c>
      <c r="Q403" s="557" t="str">
        <f>_xlfn.CONCAT(schedule13[[#This Row],[Bucket]],"-",schedule13[[#This Row],[LENGTH]]/1000)</f>
        <v>19.05-0-2.3-ERW 1--0.255</v>
      </c>
      <c r="R403" s="557">
        <f>COUNTIF(buckets[CTL Bucket],schedule13[[#This Row],[CTL Bucket]])</f>
        <v>0</v>
      </c>
      <c r="S403" s="1">
        <v>19.05</v>
      </c>
      <c r="T403" s="1">
        <v>19.05</v>
      </c>
      <c r="U403" s="1">
        <v>0</v>
      </c>
      <c r="V403" s="1">
        <v>2.2999999999999998</v>
      </c>
      <c r="W403" s="24">
        <v>255</v>
      </c>
      <c r="X403" s="22" t="s">
        <v>397</v>
      </c>
      <c r="Y403" s="2">
        <v>0</v>
      </c>
      <c r="Z403" s="2"/>
      <c r="AA403" s="4">
        <f t="shared" si="67"/>
        <v>0</v>
      </c>
      <c r="AB403" s="1">
        <f t="shared" si="71"/>
        <v>0</v>
      </c>
      <c r="AC403" s="1">
        <f t="shared" si="62"/>
        <v>0</v>
      </c>
      <c r="AD403" s="1">
        <f t="shared" si="68"/>
        <v>0</v>
      </c>
      <c r="AE403" s="1"/>
      <c r="AF403" s="1">
        <v>0.73919900000000005</v>
      </c>
      <c r="AG403" s="1"/>
      <c r="AH403" s="1">
        <f t="shared" si="69"/>
        <v>13.577140160375002</v>
      </c>
      <c r="AI403" s="118">
        <f t="shared" si="70"/>
        <v>5.1633241691141765E-2</v>
      </c>
    </row>
    <row r="404" spans="1:35" hidden="1" x14ac:dyDescent="0.25">
      <c r="A404" s="30">
        <v>510</v>
      </c>
      <c r="B404" s="5" t="s">
        <v>1816</v>
      </c>
      <c r="C404" s="2" t="s">
        <v>116</v>
      </c>
      <c r="D404" s="2"/>
      <c r="E404" s="2">
        <v>188534</v>
      </c>
      <c r="F404" s="2">
        <v>1940043</v>
      </c>
      <c r="G404" s="2" t="s">
        <v>486</v>
      </c>
      <c r="H404" s="2"/>
      <c r="I404" s="2"/>
      <c r="J404" s="2"/>
      <c r="K404" s="2" t="s">
        <v>239</v>
      </c>
      <c r="L404" s="2"/>
      <c r="M404" s="2"/>
      <c r="N404" s="2"/>
      <c r="O404" s="2"/>
      <c r="P404" s="557" t="str">
        <f>CONCATENATE(schedule13[[#This Row],[OD]],"-",schedule13[[#This Row],[ID]],"-",schedule13[[#This Row],[TICKNESS]],"-",schedule13[[#This Row],[GRADE]],"-",schedule13[[#This Row],[FC/NFC]])</f>
        <v>15.88-0-1.2--</v>
      </c>
      <c r="Q404" s="557" t="str">
        <f>_xlfn.CONCAT(schedule13[[#This Row],[Bucket]],"-",schedule13[[#This Row],[LENGTH]]/1000)</f>
        <v>15.88-0-1.2---0.888</v>
      </c>
      <c r="R404" s="557">
        <f>COUNTIF(buckets[CTL Bucket],schedule13[[#This Row],[CTL Bucket]])</f>
        <v>0</v>
      </c>
      <c r="S404" s="1">
        <v>15.88</v>
      </c>
      <c r="T404" s="1">
        <v>15.88</v>
      </c>
      <c r="U404" s="1">
        <v>0</v>
      </c>
      <c r="V404" s="1">
        <v>1.2</v>
      </c>
      <c r="W404" s="24">
        <v>888</v>
      </c>
      <c r="X404" s="22" t="s">
        <v>397</v>
      </c>
      <c r="Y404" s="2">
        <v>0</v>
      </c>
      <c r="Z404" s="2"/>
      <c r="AA404" s="4">
        <f t="shared" si="67"/>
        <v>0</v>
      </c>
      <c r="AB404" s="1">
        <f t="shared" si="71"/>
        <v>0</v>
      </c>
      <c r="AC404" s="1">
        <f t="shared" si="62"/>
        <v>0</v>
      </c>
      <c r="AD404" s="1">
        <f t="shared" si="68"/>
        <v>0</v>
      </c>
      <c r="AE404" s="1"/>
      <c r="AF404" s="1"/>
      <c r="AG404" s="1"/>
      <c r="AH404" s="1">
        <f t="shared" si="69"/>
        <v>0</v>
      </c>
      <c r="AI404" s="118" t="e">
        <f t="shared" si="70"/>
        <v>#DIV/0!</v>
      </c>
    </row>
    <row r="405" spans="1:35" hidden="1" x14ac:dyDescent="0.25">
      <c r="A405" s="30">
        <v>511</v>
      </c>
      <c r="B405" s="5" t="s">
        <v>1816</v>
      </c>
      <c r="C405" s="2" t="s">
        <v>116</v>
      </c>
      <c r="D405" s="2"/>
      <c r="E405" s="2">
        <v>188534</v>
      </c>
      <c r="F405" s="2">
        <v>2384088</v>
      </c>
      <c r="G405" s="2" t="s">
        <v>2075</v>
      </c>
      <c r="H405" s="2"/>
      <c r="I405" s="2"/>
      <c r="J405" s="2"/>
      <c r="K405" s="2" t="s">
        <v>239</v>
      </c>
      <c r="L405" s="2"/>
      <c r="M405" s="2"/>
      <c r="N405" s="2"/>
      <c r="O405" s="2"/>
      <c r="P405" s="557" t="str">
        <f>CONCATENATE(schedule13[[#This Row],[OD]],"-",schedule13[[#This Row],[ID]],"-",schedule13[[#This Row],[TICKNESS]],"-",schedule13[[#This Row],[GRADE]],"-",schedule13[[#This Row],[FC/NFC]])</f>
        <v>19.05-0-1.6--</v>
      </c>
      <c r="Q405" s="557" t="str">
        <f>_xlfn.CONCAT(schedule13[[#This Row],[Bucket]],"-",schedule13[[#This Row],[LENGTH]]/1000)</f>
        <v>19.05-0-1.6---0.355</v>
      </c>
      <c r="R405" s="557">
        <f>COUNTIF(buckets[CTL Bucket],schedule13[[#This Row],[CTL Bucket]])</f>
        <v>0</v>
      </c>
      <c r="S405" s="1">
        <v>19.05</v>
      </c>
      <c r="T405" s="1">
        <v>19.05</v>
      </c>
      <c r="U405" s="1">
        <v>0</v>
      </c>
      <c r="V405" s="1">
        <v>1.6</v>
      </c>
      <c r="W405" s="24">
        <v>355</v>
      </c>
      <c r="X405" s="22" t="s">
        <v>397</v>
      </c>
      <c r="Y405" s="2">
        <v>0</v>
      </c>
      <c r="Z405" s="2"/>
      <c r="AA405" s="4">
        <f t="shared" si="67"/>
        <v>0</v>
      </c>
      <c r="AB405" s="1">
        <f t="shared" si="71"/>
        <v>0</v>
      </c>
      <c r="AC405" s="1">
        <f t="shared" si="62"/>
        <v>0</v>
      </c>
      <c r="AD405" s="1">
        <f t="shared" si="68"/>
        <v>0</v>
      </c>
      <c r="AE405" s="1"/>
      <c r="AF405" s="1">
        <v>4.6404480000000001</v>
      </c>
      <c r="AG405" s="1"/>
      <c r="AH405" s="1">
        <f t="shared" si="69"/>
        <v>-4.6404480000000001</v>
      </c>
      <c r="AI405" s="118" t="e">
        <f t="shared" si="70"/>
        <v>#DIV/0!</v>
      </c>
    </row>
    <row r="406" spans="1:35" hidden="1" x14ac:dyDescent="0.25">
      <c r="A406" s="30">
        <v>512</v>
      </c>
      <c r="B406" s="5" t="s">
        <v>1816</v>
      </c>
      <c r="C406" s="2" t="s">
        <v>116</v>
      </c>
      <c r="D406" s="2"/>
      <c r="E406" s="2">
        <v>188534</v>
      </c>
      <c r="F406" s="2">
        <v>3506797</v>
      </c>
      <c r="G406" s="2" t="s">
        <v>2070</v>
      </c>
      <c r="H406" s="2"/>
      <c r="I406" s="2"/>
      <c r="J406" s="2"/>
      <c r="K406" s="2" t="s">
        <v>239</v>
      </c>
      <c r="L406" s="2"/>
      <c r="M406" s="2"/>
      <c r="N406" s="2"/>
      <c r="O406" s="2"/>
      <c r="P406" s="557" t="str">
        <f>CONCATENATE(schedule13[[#This Row],[OD]],"-",schedule13[[#This Row],[ID]],"-",schedule13[[#This Row],[TICKNESS]],"-",schedule13[[#This Row],[GRADE]],"-",schedule13[[#This Row],[FC/NFC]])</f>
        <v>15.88-0-2--</v>
      </c>
      <c r="Q406" s="557" t="str">
        <f>_xlfn.CONCAT(schedule13[[#This Row],[Bucket]],"-",schedule13[[#This Row],[LENGTH]]/1000)</f>
        <v>15.88-0-2---0.291</v>
      </c>
      <c r="R406" s="557">
        <f>COUNTIF(buckets[CTL Bucket],schedule13[[#This Row],[CTL Bucket]])</f>
        <v>0</v>
      </c>
      <c r="S406" s="1">
        <v>15.88</v>
      </c>
      <c r="T406" s="1">
        <v>15.88</v>
      </c>
      <c r="U406" s="1">
        <v>0</v>
      </c>
      <c r="V406" s="1">
        <v>2</v>
      </c>
      <c r="W406" s="24">
        <v>291</v>
      </c>
      <c r="X406" s="22" t="s">
        <v>397</v>
      </c>
      <c r="Y406" s="2">
        <v>0</v>
      </c>
      <c r="Z406" s="2"/>
      <c r="AA406" s="4">
        <f t="shared" si="67"/>
        <v>0</v>
      </c>
      <c r="AB406" s="1">
        <f t="shared" si="71"/>
        <v>0</v>
      </c>
      <c r="AC406" s="1">
        <f t="shared" si="62"/>
        <v>0</v>
      </c>
      <c r="AD406" s="1">
        <f t="shared" si="68"/>
        <v>0</v>
      </c>
      <c r="AE406" s="1"/>
      <c r="AF406" s="1"/>
      <c r="AG406" s="1"/>
      <c r="AH406" s="1">
        <f t="shared" si="69"/>
        <v>0</v>
      </c>
      <c r="AI406" s="118" t="e">
        <f t="shared" si="70"/>
        <v>#DIV/0!</v>
      </c>
    </row>
    <row r="407" spans="1:35" hidden="1" x14ac:dyDescent="0.25">
      <c r="A407" s="30">
        <v>513</v>
      </c>
      <c r="B407" s="5" t="s">
        <v>1816</v>
      </c>
      <c r="C407" s="2" t="s">
        <v>116</v>
      </c>
      <c r="D407" s="2"/>
      <c r="E407" s="2">
        <v>188534</v>
      </c>
      <c r="F407" s="2">
        <v>2440971</v>
      </c>
      <c r="G407" s="2" t="s">
        <v>1676</v>
      </c>
      <c r="H407" s="2" t="s">
        <v>962</v>
      </c>
      <c r="I407" s="2"/>
      <c r="J407" s="2" t="s">
        <v>1003</v>
      </c>
      <c r="K407" s="2" t="s">
        <v>1867</v>
      </c>
      <c r="L407" s="44" t="s">
        <v>1868</v>
      </c>
      <c r="M407" s="2"/>
      <c r="N407" s="2"/>
      <c r="O407" s="2"/>
      <c r="P407" s="557" t="str">
        <f>CONCATENATE(schedule13[[#This Row],[OD]],"-",schedule13[[#This Row],[ID]],"-",schedule13[[#This Row],[TICKNESS]],"-",schedule13[[#This Row],[GRADE]],"-",schedule13[[#This Row],[FC/NFC]])</f>
        <v>40-25-1.6-ERW 1-FC</v>
      </c>
      <c r="Q407" s="557" t="str">
        <f>_xlfn.CONCAT(schedule13[[#This Row],[Bucket]],"-",schedule13[[#This Row],[LENGTH]]/1000)</f>
        <v>40-25-1.6-ERW 1-FC-0.318</v>
      </c>
      <c r="R407" s="557">
        <f>COUNTIF(buckets[CTL Bucket],schedule13[[#This Row],[CTL Bucket]])</f>
        <v>1</v>
      </c>
      <c r="S407" s="1">
        <v>41.28</v>
      </c>
      <c r="T407" s="1">
        <v>40</v>
      </c>
      <c r="U407" s="1">
        <v>25</v>
      </c>
      <c r="V407" s="1">
        <v>1.6</v>
      </c>
      <c r="W407" s="24">
        <v>318</v>
      </c>
      <c r="X407" s="22" t="s">
        <v>397</v>
      </c>
      <c r="Y407" s="2">
        <v>24814</v>
      </c>
      <c r="Z407" s="2"/>
      <c r="AA407" s="4">
        <f t="shared" si="67"/>
        <v>24814</v>
      </c>
      <c r="AB407" s="1">
        <f t="shared" si="71"/>
        <v>12.350522173513729</v>
      </c>
      <c r="AC407" s="1">
        <f t="shared" si="62"/>
        <v>0</v>
      </c>
      <c r="AD407" s="1">
        <f t="shared" si="68"/>
        <v>12.350522173513729</v>
      </c>
      <c r="AE407" s="1"/>
      <c r="AF407" s="1">
        <v>0.16400000000000001</v>
      </c>
      <c r="AG407" s="1"/>
      <c r="AH407" s="1">
        <f t="shared" si="69"/>
        <v>-0.16400000000000001</v>
      </c>
      <c r="AI407" s="118" t="e">
        <f t="shared" si="70"/>
        <v>#DIV/0!</v>
      </c>
    </row>
    <row r="408" spans="1:35" hidden="1" x14ac:dyDescent="0.25">
      <c r="A408" s="30">
        <v>514</v>
      </c>
      <c r="B408" s="5" t="s">
        <v>1816</v>
      </c>
      <c r="C408" s="2" t="s">
        <v>116</v>
      </c>
      <c r="D408" s="2"/>
      <c r="E408" s="2">
        <v>188534</v>
      </c>
      <c r="F408" s="2">
        <v>3732181</v>
      </c>
      <c r="G408" s="2" t="s">
        <v>2072</v>
      </c>
      <c r="H408" s="2" t="s">
        <v>962</v>
      </c>
      <c r="I408" s="2"/>
      <c r="J408" s="2"/>
      <c r="K408" s="2" t="s">
        <v>239</v>
      </c>
      <c r="L408" s="2"/>
      <c r="M408" s="2"/>
      <c r="N408" s="2"/>
      <c r="O408" s="2"/>
      <c r="P408" s="557" t="str">
        <f>CONCATENATE(schedule13[[#This Row],[OD]],"-",schedule13[[#This Row],[ID]],"-",schedule13[[#This Row],[TICKNESS]],"-",schedule13[[#This Row],[GRADE]],"-",schedule13[[#This Row],[FC/NFC]])</f>
        <v>25.4-0-2-ERW 1-</v>
      </c>
      <c r="Q408" s="557" t="str">
        <f>_xlfn.CONCAT(schedule13[[#This Row],[Bucket]],"-",schedule13[[#This Row],[LENGTH]]/1000)</f>
        <v>25.4-0-2-ERW 1--0.283</v>
      </c>
      <c r="R408" s="557">
        <f>COUNTIF(buckets[CTL Bucket],schedule13[[#This Row],[CTL Bucket]])</f>
        <v>0</v>
      </c>
      <c r="S408" s="1">
        <v>25.4</v>
      </c>
      <c r="T408" s="1">
        <v>25.4</v>
      </c>
      <c r="U408" s="1">
        <v>0</v>
      </c>
      <c r="V408" s="1">
        <v>2</v>
      </c>
      <c r="W408" s="24">
        <v>283</v>
      </c>
      <c r="X408" s="22" t="s">
        <v>397</v>
      </c>
      <c r="Y408" s="2">
        <v>0</v>
      </c>
      <c r="Z408" s="2"/>
      <c r="AA408" s="4">
        <f t="shared" si="67"/>
        <v>0</v>
      </c>
      <c r="AB408" s="1">
        <f t="shared" si="71"/>
        <v>0</v>
      </c>
      <c r="AC408" s="1">
        <f t="shared" si="62"/>
        <v>0</v>
      </c>
      <c r="AD408" s="1">
        <f t="shared" si="68"/>
        <v>0</v>
      </c>
      <c r="AE408" s="1"/>
      <c r="AF408" s="1"/>
      <c r="AG408" s="1"/>
      <c r="AH408" s="1">
        <f t="shared" si="69"/>
        <v>12.350522173513729</v>
      </c>
      <c r="AI408" s="118">
        <f t="shared" si="70"/>
        <v>0</v>
      </c>
    </row>
    <row r="409" spans="1:35" hidden="1" x14ac:dyDescent="0.25">
      <c r="A409" s="30">
        <v>515</v>
      </c>
      <c r="B409" s="5" t="s">
        <v>1928</v>
      </c>
      <c r="C409" s="2" t="s">
        <v>116</v>
      </c>
      <c r="D409" s="2"/>
      <c r="E409" s="2">
        <v>188534</v>
      </c>
      <c r="F409" s="2"/>
      <c r="G409" s="2"/>
      <c r="H409" s="2"/>
      <c r="I409" s="2"/>
      <c r="J409" s="2"/>
      <c r="K409" s="2" t="s">
        <v>239</v>
      </c>
      <c r="L409" s="2"/>
      <c r="M409" s="2"/>
      <c r="N409" s="2"/>
      <c r="O409" s="2"/>
      <c r="P409" s="557" t="str">
        <f>CONCATENATE(schedule13[[#This Row],[OD]],"-",schedule13[[#This Row],[ID]],"-",schedule13[[#This Row],[TICKNESS]],"-",schedule13[[#This Row],[GRADE]],"-",schedule13[[#This Row],[FC/NFC]])</f>
        <v>31.75-0-2.3--</v>
      </c>
      <c r="Q409" s="557" t="str">
        <f>_xlfn.CONCAT(schedule13[[#This Row],[Bucket]],"-",schedule13[[#This Row],[LENGTH]]/1000)</f>
        <v>31.75-0-2.3---0.193</v>
      </c>
      <c r="R409" s="557">
        <f>COUNTIF(buckets[CTL Bucket],schedule13[[#This Row],[CTL Bucket]])</f>
        <v>0</v>
      </c>
      <c r="S409" s="1">
        <v>31.75</v>
      </c>
      <c r="T409" s="1">
        <v>31.75</v>
      </c>
      <c r="U409" s="1">
        <v>0</v>
      </c>
      <c r="V409" s="1">
        <v>2.2999999999999998</v>
      </c>
      <c r="W409" s="24">
        <v>193</v>
      </c>
      <c r="X409" s="22" t="s">
        <v>397</v>
      </c>
      <c r="Y409" s="2">
        <v>0</v>
      </c>
      <c r="Z409" s="2"/>
      <c r="AA409" s="4">
        <f t="shared" si="67"/>
        <v>0</v>
      </c>
      <c r="AB409" s="1">
        <f t="shared" si="71"/>
        <v>0</v>
      </c>
      <c r="AC409" s="1">
        <f t="shared" ref="AC409:AC472" si="72">(S409-V409)*V409*W409*0.024653*Z409/1000000</f>
        <v>0</v>
      </c>
      <c r="AD409" s="1">
        <f t="shared" si="68"/>
        <v>0</v>
      </c>
      <c r="AE409" s="1"/>
      <c r="AF409" s="1"/>
      <c r="AG409" s="1"/>
      <c r="AH409" s="1">
        <f t="shared" si="69"/>
        <v>0</v>
      </c>
      <c r="AI409" s="118" t="e">
        <f t="shared" si="70"/>
        <v>#DIV/0!</v>
      </c>
    </row>
    <row r="410" spans="1:35" hidden="1" x14ac:dyDescent="0.25">
      <c r="A410" s="30">
        <v>516</v>
      </c>
      <c r="B410" s="5" t="s">
        <v>1872</v>
      </c>
      <c r="C410" s="2" t="s">
        <v>116</v>
      </c>
      <c r="D410" s="2"/>
      <c r="E410" s="2">
        <v>188534</v>
      </c>
      <c r="F410" s="2">
        <v>3433148</v>
      </c>
      <c r="G410" s="2" t="s">
        <v>1693</v>
      </c>
      <c r="H410" s="2" t="s">
        <v>962</v>
      </c>
      <c r="I410" s="2" t="s">
        <v>1894</v>
      </c>
      <c r="J410" s="2" t="s">
        <v>1003</v>
      </c>
      <c r="K410" s="2" t="s">
        <v>239</v>
      </c>
      <c r="L410" s="2"/>
      <c r="M410" s="2" t="s">
        <v>1516</v>
      </c>
      <c r="N410" s="2"/>
      <c r="O410" s="2"/>
      <c r="P410" s="557" t="str">
        <f>CONCATENATE(schedule13[[#This Row],[OD]],"-",schedule13[[#This Row],[ID]],"-",schedule13[[#This Row],[TICKNESS]],"-",schedule13[[#This Row],[GRADE]],"-",schedule13[[#This Row],[FC/NFC]])</f>
        <v>42.7-0-3.5-ERW 1-FC</v>
      </c>
      <c r="Q410" s="557" t="str">
        <f>_xlfn.CONCAT(schedule13[[#This Row],[Bucket]],"-",schedule13[[#This Row],[LENGTH]]/1000)</f>
        <v>42.7-0-3.5-ERW 1-FC-0.247</v>
      </c>
      <c r="R410" s="557">
        <f>COUNTIF(buckets[CTL Bucket],schedule13[[#This Row],[CTL Bucket]])</f>
        <v>2</v>
      </c>
      <c r="S410" s="1">
        <v>42.7</v>
      </c>
      <c r="T410" s="1">
        <v>42.7</v>
      </c>
      <c r="U410" s="1">
        <v>0</v>
      </c>
      <c r="V410" s="1">
        <v>3.5</v>
      </c>
      <c r="W410" s="24">
        <v>247</v>
      </c>
      <c r="X410" s="22" t="s">
        <v>397</v>
      </c>
      <c r="Y410" s="2">
        <v>12129</v>
      </c>
      <c r="Z410" s="2"/>
      <c r="AA410" s="4">
        <f t="shared" si="67"/>
        <v>12129</v>
      </c>
      <c r="AB410" s="1">
        <f t="shared" si="71"/>
        <v>10.133181845950801</v>
      </c>
      <c r="AC410" s="1">
        <f t="shared" si="72"/>
        <v>0</v>
      </c>
      <c r="AD410" s="1">
        <f t="shared" si="68"/>
        <v>10.133181845950801</v>
      </c>
      <c r="AE410" s="1"/>
      <c r="AF410" s="1">
        <v>6.0909999999999993</v>
      </c>
      <c r="AG410" s="1"/>
      <c r="AH410" s="1">
        <f t="shared" si="69"/>
        <v>-6.0909999999999993</v>
      </c>
      <c r="AI410" s="118" t="e">
        <f t="shared" si="70"/>
        <v>#DIV/0!</v>
      </c>
    </row>
    <row r="411" spans="1:35" hidden="1" x14ac:dyDescent="0.25">
      <c r="A411" s="30">
        <v>517</v>
      </c>
      <c r="B411" s="5" t="s">
        <v>1816</v>
      </c>
      <c r="C411" s="2" t="s">
        <v>116</v>
      </c>
      <c r="D411" s="2"/>
      <c r="E411" s="2">
        <v>188534</v>
      </c>
      <c r="F411" s="2">
        <v>3732177</v>
      </c>
      <c r="G411" s="2" t="s">
        <v>1746</v>
      </c>
      <c r="H411" s="2" t="s">
        <v>962</v>
      </c>
      <c r="I411" s="2"/>
      <c r="J411" s="2" t="s">
        <v>1003</v>
      </c>
      <c r="K411" s="2" t="s">
        <v>239</v>
      </c>
      <c r="L411" s="2"/>
      <c r="M411" s="2"/>
      <c r="N411" s="2" t="s">
        <v>1895</v>
      </c>
      <c r="O411" s="2"/>
      <c r="P411" s="557" t="str">
        <f>CONCATENATE(schedule13[[#This Row],[OD]],"-",schedule13[[#This Row],[ID]],"-",schedule13[[#This Row],[TICKNESS]],"-",schedule13[[#This Row],[GRADE]],"-",schedule13[[#This Row],[FC/NFC]])</f>
        <v>57.15-0-2.5-ERW 1-FC</v>
      </c>
      <c r="Q411" s="557" t="str">
        <f>_xlfn.CONCAT(schedule13[[#This Row],[Bucket]],"-",schedule13[[#This Row],[LENGTH]]/1000)</f>
        <v>57.15-0-2.5-ERW 1-FC-0.326</v>
      </c>
      <c r="R411" s="557">
        <f>COUNTIF(buckets[CTL Bucket],schedule13[[#This Row],[CTL Bucket]])</f>
        <v>1</v>
      </c>
      <c r="S411" s="1">
        <v>57.15</v>
      </c>
      <c r="T411" s="1">
        <v>57.15</v>
      </c>
      <c r="U411" s="1">
        <v>0</v>
      </c>
      <c r="V411" s="1">
        <v>2.5</v>
      </c>
      <c r="W411" s="24">
        <v>326</v>
      </c>
      <c r="X411" s="22" t="s">
        <v>397</v>
      </c>
      <c r="Y411" s="2">
        <v>10670</v>
      </c>
      <c r="Z411" s="2"/>
      <c r="AA411" s="4">
        <f t="shared" si="67"/>
        <v>10670</v>
      </c>
      <c r="AB411" s="1">
        <f t="shared" si="71"/>
        <v>11.7160703335225</v>
      </c>
      <c r="AC411" s="1">
        <f t="shared" si="72"/>
        <v>0</v>
      </c>
      <c r="AD411" s="1">
        <f t="shared" si="68"/>
        <v>11.7160703335225</v>
      </c>
      <c r="AE411" s="1"/>
      <c r="AF411" s="1"/>
      <c r="AG411" s="1"/>
      <c r="AH411" s="1">
        <f t="shared" si="69"/>
        <v>10.133181845950801</v>
      </c>
      <c r="AI411" s="118">
        <f t="shared" si="70"/>
        <v>0</v>
      </c>
    </row>
    <row r="412" spans="1:35" hidden="1" x14ac:dyDescent="0.25">
      <c r="A412" s="30">
        <v>518</v>
      </c>
      <c r="B412" s="5" t="s">
        <v>1816</v>
      </c>
      <c r="C412" s="2" t="s">
        <v>116</v>
      </c>
      <c r="D412" s="2"/>
      <c r="E412" s="2">
        <v>188534</v>
      </c>
      <c r="F412" s="2">
        <v>2440972</v>
      </c>
      <c r="G412" s="2" t="s">
        <v>1747</v>
      </c>
      <c r="H412" s="2" t="s">
        <v>962</v>
      </c>
      <c r="I412" s="2"/>
      <c r="J412" s="2" t="s">
        <v>1003</v>
      </c>
      <c r="K412" s="2" t="s">
        <v>239</v>
      </c>
      <c r="L412" s="2"/>
      <c r="M412" s="2"/>
      <c r="N412" s="2"/>
      <c r="O412" s="2"/>
      <c r="P412" s="557" t="str">
        <f>CONCATENATE(schedule13[[#This Row],[OD]],"-",schedule13[[#This Row],[ID]],"-",schedule13[[#This Row],[TICKNESS]],"-",schedule13[[#This Row],[GRADE]],"-",schedule13[[#This Row],[FC/NFC]])</f>
        <v>57.15-0-2.5-ERW 1-FC</v>
      </c>
      <c r="Q412" s="557" t="str">
        <f>_xlfn.CONCAT(schedule13[[#This Row],[Bucket]],"-",schedule13[[#This Row],[LENGTH]]/1000)</f>
        <v>57.15-0-2.5-ERW 1-FC-0.375</v>
      </c>
      <c r="R412" s="557">
        <f>COUNTIF(buckets[CTL Bucket],schedule13[[#This Row],[CTL Bucket]])</f>
        <v>1</v>
      </c>
      <c r="S412" s="1">
        <v>57.15</v>
      </c>
      <c r="T412" s="1">
        <v>57.15</v>
      </c>
      <c r="U412" s="1">
        <v>0</v>
      </c>
      <c r="V412" s="1">
        <v>2.5</v>
      </c>
      <c r="W412" s="24">
        <v>375</v>
      </c>
      <c r="X412" s="22" t="s">
        <v>397</v>
      </c>
      <c r="Y412" s="2">
        <v>7247</v>
      </c>
      <c r="Z412" s="2"/>
      <c r="AA412" s="4">
        <f t="shared" si="67"/>
        <v>7247</v>
      </c>
      <c r="AB412" s="1">
        <f t="shared" si="71"/>
        <v>9.1535483467031256</v>
      </c>
      <c r="AC412" s="1">
        <f t="shared" si="72"/>
        <v>0</v>
      </c>
      <c r="AD412" s="1">
        <f t="shared" si="68"/>
        <v>9.1535483467031256</v>
      </c>
      <c r="AE412" s="1"/>
      <c r="AF412" s="1">
        <v>1.3075229999999998</v>
      </c>
      <c r="AG412" s="1"/>
      <c r="AH412" s="1">
        <f t="shared" si="69"/>
        <v>10.408547333522501</v>
      </c>
      <c r="AI412" s="118">
        <f t="shared" si="70"/>
        <v>0.11160081518620295</v>
      </c>
    </row>
    <row r="413" spans="1:35" hidden="1" x14ac:dyDescent="0.25">
      <c r="A413" s="30">
        <v>519</v>
      </c>
      <c r="B413" s="5" t="s">
        <v>1816</v>
      </c>
      <c r="C413" s="2" t="s">
        <v>116</v>
      </c>
      <c r="D413" s="2"/>
      <c r="E413" s="2">
        <v>188534</v>
      </c>
      <c r="F413" s="2">
        <v>3731697</v>
      </c>
      <c r="G413" s="2" t="s">
        <v>1748</v>
      </c>
      <c r="H413" s="2" t="s">
        <v>962</v>
      </c>
      <c r="I413" s="2"/>
      <c r="J413" s="2" t="s">
        <v>1003</v>
      </c>
      <c r="K413" s="2" t="s">
        <v>239</v>
      </c>
      <c r="L413" s="2"/>
      <c r="M413" s="2"/>
      <c r="N413" s="2" t="s">
        <v>1895</v>
      </c>
      <c r="O413" s="2"/>
      <c r="P413" s="557" t="str">
        <f>CONCATENATE(schedule13[[#This Row],[OD]],"-",schedule13[[#This Row],[ID]],"-",schedule13[[#This Row],[TICKNESS]],"-",schedule13[[#This Row],[GRADE]],"-",schedule13[[#This Row],[FC/NFC]])</f>
        <v>57.15-0-2.5-ERW 1-FC</v>
      </c>
      <c r="Q413" s="557" t="str">
        <f>_xlfn.CONCAT(schedule13[[#This Row],[Bucket]],"-",schedule13[[#This Row],[LENGTH]]/1000)</f>
        <v>57.15-0-2.5-ERW 1-FC-0.526</v>
      </c>
      <c r="R413" s="557">
        <f>COUNTIF(buckets[CTL Bucket],schedule13[[#This Row],[CTL Bucket]])</f>
        <v>1</v>
      </c>
      <c r="S413" s="1">
        <v>57.15</v>
      </c>
      <c r="T413" s="1">
        <v>57.15</v>
      </c>
      <c r="U413" s="1">
        <v>0</v>
      </c>
      <c r="V413" s="1">
        <v>2.5</v>
      </c>
      <c r="W413" s="24">
        <v>526</v>
      </c>
      <c r="X413" s="22" t="s">
        <v>397</v>
      </c>
      <c r="Y413" s="2">
        <v>7412</v>
      </c>
      <c r="Z413" s="2"/>
      <c r="AA413" s="4">
        <f t="shared" si="67"/>
        <v>7412</v>
      </c>
      <c r="AB413" s="1">
        <f t="shared" si="71"/>
        <v>13.131704625131</v>
      </c>
      <c r="AC413" s="1">
        <f t="shared" si="72"/>
        <v>0</v>
      </c>
      <c r="AD413" s="1">
        <f t="shared" si="68"/>
        <v>13.131704625131</v>
      </c>
      <c r="AE413" s="1"/>
      <c r="AF413" s="1">
        <v>2.5446550000000001</v>
      </c>
      <c r="AG413" s="1"/>
      <c r="AH413" s="1">
        <f t="shared" si="69"/>
        <v>6.608893346703125</v>
      </c>
      <c r="AI413" s="118">
        <f t="shared" si="70"/>
        <v>0.27799656522451427</v>
      </c>
    </row>
    <row r="414" spans="1:35" hidden="1" x14ac:dyDescent="0.25">
      <c r="A414" s="30">
        <v>298</v>
      </c>
      <c r="B414" s="5" t="s">
        <v>1816</v>
      </c>
      <c r="C414" s="2" t="s">
        <v>91</v>
      </c>
      <c r="D414" s="2"/>
      <c r="E414" s="2">
        <v>187702</v>
      </c>
      <c r="F414" s="2">
        <v>1940478</v>
      </c>
      <c r="G414" s="2" t="s">
        <v>6571</v>
      </c>
      <c r="H414" s="2" t="s">
        <v>985</v>
      </c>
      <c r="I414" s="2"/>
      <c r="J414" s="2" t="s">
        <v>963</v>
      </c>
      <c r="K414" s="2" t="s">
        <v>1867</v>
      </c>
      <c r="L414" s="2"/>
      <c r="M414" s="2" t="s">
        <v>1516</v>
      </c>
      <c r="N414" s="2"/>
      <c r="O414" s="2" t="s">
        <v>1892</v>
      </c>
      <c r="P414" s="557" t="str">
        <f>CONCATENATE(schedule13[[#This Row],[OD]],"-",schedule13[[#This Row],[ID]],"-",schedule13[[#This Row],[TICKNESS]],"-",schedule13[[#This Row],[GRADE]],"-",schedule13[[#This Row],[FC/NFC]])</f>
        <v>22.23-0-2-ERW 2 MAHS-PE</v>
      </c>
      <c r="Q414" s="557" t="str">
        <f>_xlfn.CONCAT(schedule13[[#This Row],[Bucket]],"-",schedule13[[#This Row],[LENGTH]]/1000)</f>
        <v>22.23-0-2-ERW 2 MAHS-PE-0.905</v>
      </c>
      <c r="R414" s="557">
        <f>COUNTIF(buckets[CTL Bucket],schedule13[[#This Row],[CTL Bucket]])</f>
        <v>1</v>
      </c>
      <c r="S414" s="1">
        <v>22.23</v>
      </c>
      <c r="T414" s="1">
        <v>22.23</v>
      </c>
      <c r="U414" s="1">
        <v>0</v>
      </c>
      <c r="V414" s="1">
        <v>2</v>
      </c>
      <c r="W414" s="24">
        <v>905</v>
      </c>
      <c r="X414" s="22" t="s">
        <v>397</v>
      </c>
      <c r="Y414" s="2">
        <v>25000</v>
      </c>
      <c r="Z414" s="2"/>
      <c r="AA414" s="4">
        <f t="shared" si="67"/>
        <v>25000</v>
      </c>
      <c r="AB414" s="1">
        <f t="shared" si="71"/>
        <v>22.567541097500005</v>
      </c>
      <c r="AC414" s="1">
        <f t="shared" si="72"/>
        <v>0</v>
      </c>
      <c r="AD414" s="1">
        <f t="shared" si="68"/>
        <v>22.567541097500005</v>
      </c>
      <c r="AE414" s="1"/>
      <c r="AF414" s="1">
        <v>6.4062329999999994</v>
      </c>
      <c r="AG414" s="1"/>
      <c r="AH414" s="1">
        <f t="shared" si="69"/>
        <v>6.7254716251310009</v>
      </c>
      <c r="AI414" s="118">
        <f t="shared" si="70"/>
        <v>0.48784473782177318</v>
      </c>
    </row>
    <row r="415" spans="1:35" hidden="1" x14ac:dyDescent="0.25">
      <c r="A415" s="30">
        <v>299</v>
      </c>
      <c r="B415" s="78" t="s">
        <v>1816</v>
      </c>
      <c r="C415" s="44" t="s">
        <v>91</v>
      </c>
      <c r="D415" s="557"/>
      <c r="E415" s="44">
        <v>187702</v>
      </c>
      <c r="F415" s="127">
        <v>3943202</v>
      </c>
      <c r="G415" s="127" t="s">
        <v>768</v>
      </c>
      <c r="H415" s="44" t="s">
        <v>985</v>
      </c>
      <c r="I415" s="557"/>
      <c r="J415" s="557" t="s">
        <v>1003</v>
      </c>
      <c r="K415" s="557"/>
      <c r="L415" s="557"/>
      <c r="M415" s="557"/>
      <c r="N415" s="557"/>
      <c r="O415" s="557"/>
      <c r="P415" s="557" t="str">
        <f>CONCATENATE(schedule13[[#This Row],[OD]],"-",schedule13[[#This Row],[ID]],"-",schedule13[[#This Row],[TICKNESS]],"-",schedule13[[#This Row],[GRADE]],"-",schedule13[[#This Row],[FC/NFC]])</f>
        <v>22.23-0-2-ERW 2 MAHS-FC</v>
      </c>
      <c r="Q415" s="557"/>
      <c r="R415" s="557"/>
      <c r="S415" s="79">
        <v>22.23</v>
      </c>
      <c r="T415" s="79">
        <v>22.23</v>
      </c>
      <c r="U415" s="79">
        <v>0</v>
      </c>
      <c r="V415" s="79">
        <v>2</v>
      </c>
      <c r="W415" s="81">
        <v>840</v>
      </c>
      <c r="X415" s="81"/>
      <c r="Y415" s="558">
        <v>5000</v>
      </c>
      <c r="Z415" s="558"/>
      <c r="AA415" s="573">
        <f t="shared" si="67"/>
        <v>5000</v>
      </c>
      <c r="AB415" s="561">
        <f t="shared" si="71"/>
        <v>4.189333596</v>
      </c>
      <c r="AC415" s="1">
        <f t="shared" si="72"/>
        <v>0</v>
      </c>
      <c r="AD415" s="1">
        <f t="shared" si="68"/>
        <v>4.189333596</v>
      </c>
      <c r="AE415" s="1"/>
      <c r="AF415" s="1"/>
      <c r="AG415" s="1"/>
      <c r="AH415" s="1">
        <f t="shared" si="69"/>
        <v>22.567541097500005</v>
      </c>
      <c r="AI415" s="118">
        <f t="shared" si="70"/>
        <v>0</v>
      </c>
    </row>
    <row r="416" spans="1:35" hidden="1" x14ac:dyDescent="0.25">
      <c r="A416" s="30">
        <v>300</v>
      </c>
      <c r="B416" s="78" t="s">
        <v>1816</v>
      </c>
      <c r="C416" s="44" t="s">
        <v>91</v>
      </c>
      <c r="D416" s="557"/>
      <c r="E416" s="44">
        <v>187702</v>
      </c>
      <c r="F416" s="127">
        <v>3943203</v>
      </c>
      <c r="G416" s="127" t="s">
        <v>680</v>
      </c>
      <c r="H416" s="44" t="s">
        <v>985</v>
      </c>
      <c r="I416" s="557"/>
      <c r="J416" s="557" t="s">
        <v>1003</v>
      </c>
      <c r="K416" s="557"/>
      <c r="L416" s="557"/>
      <c r="M416" s="557"/>
      <c r="N416" s="557"/>
      <c r="O416" s="557"/>
      <c r="P416" s="557" t="str">
        <f>CONCATENATE(schedule13[[#This Row],[OD]],"-",schedule13[[#This Row],[ID]],"-",schedule13[[#This Row],[TICKNESS]],"-",schedule13[[#This Row],[GRADE]],"-",schedule13[[#This Row],[FC/NFC]])</f>
        <v>22.23-0-2-ERW 2 MAHS-FC</v>
      </c>
      <c r="Q416" s="557"/>
      <c r="R416" s="557"/>
      <c r="S416" s="79">
        <v>22.23</v>
      </c>
      <c r="T416" s="79">
        <v>22.23</v>
      </c>
      <c r="U416" s="79">
        <v>0</v>
      </c>
      <c r="V416" s="79">
        <v>2</v>
      </c>
      <c r="W416" s="81">
        <v>855</v>
      </c>
      <c r="X416" s="81"/>
      <c r="Y416" s="558">
        <v>10000</v>
      </c>
      <c r="Z416" s="558"/>
      <c r="AA416" s="573">
        <f t="shared" si="67"/>
        <v>10000</v>
      </c>
      <c r="AB416" s="561">
        <f t="shared" si="71"/>
        <v>8.5282862490000024</v>
      </c>
      <c r="AC416" s="1">
        <f t="shared" si="72"/>
        <v>0</v>
      </c>
      <c r="AD416" s="1">
        <f t="shared" si="68"/>
        <v>8.5282862490000024</v>
      </c>
      <c r="AE416" s="1"/>
      <c r="AF416" s="1"/>
      <c r="AG416" s="1"/>
      <c r="AH416" s="1"/>
      <c r="AI416" s="118"/>
    </row>
    <row r="417" spans="1:35" hidden="1" x14ac:dyDescent="0.25">
      <c r="A417" s="30">
        <v>301</v>
      </c>
      <c r="B417" s="5" t="s">
        <v>1816</v>
      </c>
      <c r="C417" s="2" t="s">
        <v>91</v>
      </c>
      <c r="D417" s="2"/>
      <c r="E417" s="2">
        <v>187702</v>
      </c>
      <c r="F417" s="2"/>
      <c r="G417" s="2" t="s">
        <v>2103</v>
      </c>
      <c r="H417" s="2" t="s">
        <v>985</v>
      </c>
      <c r="I417" s="2"/>
      <c r="J417" s="2" t="s">
        <v>963</v>
      </c>
      <c r="K417" s="2" t="s">
        <v>239</v>
      </c>
      <c r="L417" s="2"/>
      <c r="M417" s="2"/>
      <c r="N417" s="2"/>
      <c r="O417" s="2"/>
      <c r="P417" s="557" t="str">
        <f>CONCATENATE(schedule13[[#This Row],[OD]],"-",schedule13[[#This Row],[ID]],"-",schedule13[[#This Row],[TICKNESS]],"-",schedule13[[#This Row],[GRADE]],"-",schedule13[[#This Row],[FC/NFC]])</f>
        <v>22.23-0-2-ERW 2 MAHS-PE</v>
      </c>
      <c r="Q417" s="557"/>
      <c r="R417" s="557"/>
      <c r="S417" s="1">
        <v>22.23</v>
      </c>
      <c r="T417" s="1">
        <v>22.23</v>
      </c>
      <c r="U417" s="1">
        <v>0</v>
      </c>
      <c r="V417" s="1">
        <v>2</v>
      </c>
      <c r="W417" s="24">
        <v>925</v>
      </c>
      <c r="X417" s="24"/>
      <c r="Y417" s="2">
        <v>500</v>
      </c>
      <c r="Z417" s="2"/>
      <c r="AA417" s="4">
        <f t="shared" si="67"/>
        <v>500</v>
      </c>
      <c r="AB417" s="1">
        <f t="shared" si="71"/>
        <v>0.46132542575000002</v>
      </c>
      <c r="AC417" s="1">
        <f t="shared" si="72"/>
        <v>0</v>
      </c>
      <c r="AD417" s="1">
        <f t="shared" si="68"/>
        <v>0.46132542575000002</v>
      </c>
      <c r="AE417" s="1"/>
      <c r="AF417" s="1"/>
      <c r="AG417" s="1"/>
      <c r="AH417" s="1"/>
      <c r="AI417" s="118"/>
    </row>
    <row r="418" spans="1:35" hidden="1" x14ac:dyDescent="0.25">
      <c r="A418" s="30">
        <v>302</v>
      </c>
      <c r="B418" s="5" t="s">
        <v>1816</v>
      </c>
      <c r="C418" s="2" t="s">
        <v>91</v>
      </c>
      <c r="D418" s="2"/>
      <c r="E418" s="2">
        <v>187702</v>
      </c>
      <c r="F418" s="2">
        <v>1940416</v>
      </c>
      <c r="G418" s="2" t="s">
        <v>2100</v>
      </c>
      <c r="H418" s="2" t="s">
        <v>985</v>
      </c>
      <c r="I418" s="2"/>
      <c r="J418" s="2" t="s">
        <v>963</v>
      </c>
      <c r="K418" s="2" t="s">
        <v>1867</v>
      </c>
      <c r="L418" s="44" t="s">
        <v>1924</v>
      </c>
      <c r="M418" s="2" t="s">
        <v>1516</v>
      </c>
      <c r="N418" s="2"/>
      <c r="O418" s="2" t="s">
        <v>1892</v>
      </c>
      <c r="P418" s="557" t="str">
        <f>CONCATENATE(schedule13[[#This Row],[OD]],"-",schedule13[[#This Row],[ID]],"-",schedule13[[#This Row],[TICKNESS]],"-",schedule13[[#This Row],[GRADE]],"-",schedule13[[#This Row],[FC/NFC]])</f>
        <v>22.23-0-1.6-ERW 2 MAHS-PE</v>
      </c>
      <c r="Q418" s="557" t="str">
        <f>_xlfn.CONCAT(schedule13[[#This Row],[Bucket]],"-",schedule13[[#This Row],[LENGTH]]/1000)</f>
        <v>22.23-0-1.6-ERW 2 MAHS-PE-0.935</v>
      </c>
      <c r="R418" s="557">
        <f>COUNTIF(buckets[CTL Bucket],schedule13[[#This Row],[CTL Bucket]])</f>
        <v>1</v>
      </c>
      <c r="S418" s="1">
        <v>22.23</v>
      </c>
      <c r="T418" s="1">
        <v>22.23</v>
      </c>
      <c r="U418" s="1">
        <v>0</v>
      </c>
      <c r="V418" s="1">
        <v>1.6</v>
      </c>
      <c r="W418" s="24">
        <v>935</v>
      </c>
      <c r="X418" s="22" t="s">
        <v>397</v>
      </c>
      <c r="Y418" s="2">
        <v>10000</v>
      </c>
      <c r="Z418" s="2"/>
      <c r="AA418" s="4">
        <f t="shared" si="67"/>
        <v>10000</v>
      </c>
      <c r="AB418" s="1">
        <f t="shared" si="71"/>
        <v>7.6085271944000015</v>
      </c>
      <c r="AC418" s="1">
        <f t="shared" si="72"/>
        <v>0</v>
      </c>
      <c r="AD418" s="1">
        <f t="shared" si="68"/>
        <v>7.6085271944000015</v>
      </c>
      <c r="AE418" s="1"/>
      <c r="AF418" s="1"/>
      <c r="AG418" s="1"/>
      <c r="AH418" s="1">
        <f t="shared" ref="AH418:AH427" si="73">AB417-AF418</f>
        <v>0.46132542575000002</v>
      </c>
      <c r="AI418" s="118">
        <f t="shared" ref="AI418:AI427" si="74">(AC418+AF418)/AB417</f>
        <v>0</v>
      </c>
    </row>
    <row r="419" spans="1:35" hidden="1" x14ac:dyDescent="0.25">
      <c r="A419" s="30">
        <v>303</v>
      </c>
      <c r="B419" s="5" t="s">
        <v>1816</v>
      </c>
      <c r="C419" s="2" t="s">
        <v>91</v>
      </c>
      <c r="D419" s="2"/>
      <c r="E419" s="2">
        <v>187702</v>
      </c>
      <c r="F419" s="2">
        <v>1940474</v>
      </c>
      <c r="G419" s="2" t="s">
        <v>2101</v>
      </c>
      <c r="H419" s="2" t="s">
        <v>985</v>
      </c>
      <c r="I419" s="2"/>
      <c r="J419" s="2"/>
      <c r="K419" s="2" t="s">
        <v>239</v>
      </c>
      <c r="L419" s="44" t="s">
        <v>1924</v>
      </c>
      <c r="M419" s="2"/>
      <c r="N419" s="2"/>
      <c r="O419" s="2"/>
      <c r="P419" s="557" t="str">
        <f>CONCATENATE(schedule13[[#This Row],[OD]],"-",schedule13[[#This Row],[ID]],"-",schedule13[[#This Row],[TICKNESS]],"-",schedule13[[#This Row],[GRADE]],"-",schedule13[[#This Row],[FC/NFC]])</f>
        <v>22.23-0-2-ERW 2 MAHS-</v>
      </c>
      <c r="Q419" s="557"/>
      <c r="R419" s="557"/>
      <c r="S419" s="1">
        <v>22.23</v>
      </c>
      <c r="T419" s="1">
        <v>22.23</v>
      </c>
      <c r="U419" s="1">
        <v>0</v>
      </c>
      <c r="V419" s="1">
        <v>2</v>
      </c>
      <c r="W419" s="24">
        <v>865</v>
      </c>
      <c r="X419" s="24"/>
      <c r="Y419" s="2">
        <v>0</v>
      </c>
      <c r="Z419" s="2"/>
      <c r="AA419" s="4">
        <f t="shared" si="67"/>
        <v>0</v>
      </c>
      <c r="AB419" s="1">
        <f t="shared" si="71"/>
        <v>0</v>
      </c>
      <c r="AC419" s="1">
        <f t="shared" si="72"/>
        <v>0</v>
      </c>
      <c r="AD419" s="1">
        <f t="shared" si="68"/>
        <v>0</v>
      </c>
      <c r="AE419" s="1"/>
      <c r="AF419" s="1"/>
      <c r="AG419" s="1"/>
      <c r="AH419" s="1">
        <f t="shared" si="73"/>
        <v>7.6085271944000015</v>
      </c>
      <c r="AI419" s="118">
        <f t="shared" si="74"/>
        <v>0</v>
      </c>
    </row>
    <row r="420" spans="1:35" hidden="1" x14ac:dyDescent="0.25">
      <c r="A420" s="30">
        <v>304</v>
      </c>
      <c r="B420" s="5" t="s">
        <v>1816</v>
      </c>
      <c r="C420" s="2" t="s">
        <v>91</v>
      </c>
      <c r="D420" s="2"/>
      <c r="E420" s="2">
        <v>187702</v>
      </c>
      <c r="F420" s="2">
        <v>2422186</v>
      </c>
      <c r="G420" s="2" t="s">
        <v>6572</v>
      </c>
      <c r="H420" s="2" t="s">
        <v>962</v>
      </c>
      <c r="I420" s="2"/>
      <c r="J420" s="2"/>
      <c r="K420" s="2" t="s">
        <v>239</v>
      </c>
      <c r="L420" s="2"/>
      <c r="M420" s="2"/>
      <c r="N420" s="2"/>
      <c r="O420" s="2"/>
      <c r="P420" s="557" t="str">
        <f>CONCATENATE(schedule13[[#This Row],[OD]],"-",schedule13[[#This Row],[ID]],"-",schedule13[[#This Row],[TICKNESS]],"-",schedule13[[#This Row],[GRADE]],"-",schedule13[[#This Row],[FC/NFC]])</f>
        <v>22.23-0-2-ERW 1-</v>
      </c>
      <c r="Q420" s="557"/>
      <c r="R420" s="557"/>
      <c r="S420" s="1">
        <v>22.23</v>
      </c>
      <c r="T420" s="1">
        <v>22.23</v>
      </c>
      <c r="U420" s="1">
        <v>0</v>
      </c>
      <c r="V420" s="1">
        <v>2</v>
      </c>
      <c r="W420" s="24">
        <v>775</v>
      </c>
      <c r="X420" s="24"/>
      <c r="Y420" s="2">
        <v>0</v>
      </c>
      <c r="Z420" s="2"/>
      <c r="AA420" s="4">
        <f t="shared" si="67"/>
        <v>0</v>
      </c>
      <c r="AB420" s="1">
        <f t="shared" si="71"/>
        <v>0</v>
      </c>
      <c r="AC420" s="1">
        <f t="shared" si="72"/>
        <v>0</v>
      </c>
      <c r="AD420" s="1">
        <f t="shared" si="68"/>
        <v>0</v>
      </c>
      <c r="AE420" s="1"/>
      <c r="AF420" s="1">
        <v>0.30204999999999999</v>
      </c>
      <c r="AG420" s="1"/>
      <c r="AH420" s="1">
        <f t="shared" si="73"/>
        <v>-0.30204999999999999</v>
      </c>
      <c r="AI420" s="118" t="e">
        <f t="shared" si="74"/>
        <v>#DIV/0!</v>
      </c>
    </row>
    <row r="421" spans="1:35" hidden="1" x14ac:dyDescent="0.25">
      <c r="A421" s="30">
        <v>367</v>
      </c>
      <c r="B421" s="5" t="s">
        <v>1816</v>
      </c>
      <c r="C421" s="2" t="s">
        <v>91</v>
      </c>
      <c r="D421" s="2"/>
      <c r="E421" s="2">
        <v>187702</v>
      </c>
      <c r="F421" s="2">
        <v>2386074</v>
      </c>
      <c r="G421" s="2" t="s">
        <v>2096</v>
      </c>
      <c r="H421" s="2" t="s">
        <v>962</v>
      </c>
      <c r="I421" s="2"/>
      <c r="J421" s="2"/>
      <c r="K421" s="2" t="s">
        <v>239</v>
      </c>
      <c r="L421" s="2"/>
      <c r="M421" s="2"/>
      <c r="N421" s="2"/>
      <c r="O421" s="2"/>
      <c r="P421" s="557" t="str">
        <f>CONCATENATE(schedule13[[#This Row],[OD]],"-",schedule13[[#This Row],[ID]],"-",schedule13[[#This Row],[TICKNESS]],"-",schedule13[[#This Row],[GRADE]],"-",schedule13[[#This Row],[FC/NFC]])</f>
        <v>12.7-0-1.2-ERW 1-</v>
      </c>
      <c r="Q421" s="557"/>
      <c r="R421" s="557"/>
      <c r="S421" s="1">
        <v>12.7</v>
      </c>
      <c r="T421" s="1">
        <v>12.7</v>
      </c>
      <c r="U421" s="1">
        <v>0</v>
      </c>
      <c r="V421" s="1">
        <v>1.2</v>
      </c>
      <c r="W421" s="23">
        <v>600</v>
      </c>
      <c r="X421" s="23"/>
      <c r="Y421" s="2">
        <v>0</v>
      </c>
      <c r="Z421" s="2"/>
      <c r="AA421" s="4">
        <f t="shared" si="67"/>
        <v>0</v>
      </c>
      <c r="AB421" s="1">
        <f t="shared" si="71"/>
        <v>0</v>
      </c>
      <c r="AC421" s="1">
        <f t="shared" si="72"/>
        <v>0</v>
      </c>
      <c r="AD421" s="1">
        <f t="shared" si="68"/>
        <v>0</v>
      </c>
      <c r="AE421" s="1"/>
      <c r="AF421" s="1"/>
      <c r="AG421" s="1"/>
      <c r="AH421" s="1">
        <f t="shared" si="73"/>
        <v>0</v>
      </c>
      <c r="AI421" s="118" t="e">
        <f t="shared" si="74"/>
        <v>#DIV/0!</v>
      </c>
    </row>
    <row r="422" spans="1:35" hidden="1" x14ac:dyDescent="0.25">
      <c r="A422" s="30">
        <v>368</v>
      </c>
      <c r="B422" s="5" t="s">
        <v>1816</v>
      </c>
      <c r="C422" s="2" t="s">
        <v>91</v>
      </c>
      <c r="D422" s="2"/>
      <c r="E422" s="2">
        <v>187702</v>
      </c>
      <c r="F422" s="2">
        <v>3697417</v>
      </c>
      <c r="G422" s="2" t="s">
        <v>2099</v>
      </c>
      <c r="H422" s="2" t="s">
        <v>962</v>
      </c>
      <c r="I422" s="2"/>
      <c r="J422" s="2"/>
      <c r="K422" s="2" t="s">
        <v>239</v>
      </c>
      <c r="L422" s="2"/>
      <c r="M422" s="2"/>
      <c r="N422" s="2"/>
      <c r="O422" s="2"/>
      <c r="P422" s="557" t="str">
        <f>CONCATENATE(schedule13[[#This Row],[OD]],"-",schedule13[[#This Row],[ID]],"-",schedule13[[#This Row],[TICKNESS]],"-",schedule13[[#This Row],[GRADE]],"-",schedule13[[#This Row],[FC/NFC]])</f>
        <v>22.23-0-2-ERW 1-</v>
      </c>
      <c r="Q422" s="557"/>
      <c r="R422" s="557"/>
      <c r="S422" s="1">
        <v>22.23</v>
      </c>
      <c r="T422" s="1">
        <v>22.23</v>
      </c>
      <c r="U422" s="1">
        <v>0</v>
      </c>
      <c r="V422" s="1">
        <v>2</v>
      </c>
      <c r="W422" s="23">
        <v>1385</v>
      </c>
      <c r="X422" s="23"/>
      <c r="Y422" s="2">
        <v>0</v>
      </c>
      <c r="Z422" s="2"/>
      <c r="AA422" s="4">
        <f t="shared" si="67"/>
        <v>0</v>
      </c>
      <c r="AB422" s="1">
        <f t="shared" si="71"/>
        <v>0</v>
      </c>
      <c r="AC422" s="1">
        <f t="shared" si="72"/>
        <v>0</v>
      </c>
      <c r="AD422" s="1">
        <f t="shared" si="68"/>
        <v>0</v>
      </c>
      <c r="AE422" s="1"/>
      <c r="AF422" s="1">
        <v>0.58143</v>
      </c>
      <c r="AG422" s="1"/>
      <c r="AH422" s="1">
        <f t="shared" si="73"/>
        <v>-0.58143</v>
      </c>
      <c r="AI422" s="118" t="e">
        <f t="shared" si="74"/>
        <v>#DIV/0!</v>
      </c>
    </row>
    <row r="423" spans="1:35" hidden="1" x14ac:dyDescent="0.25">
      <c r="A423" s="30">
        <v>369</v>
      </c>
      <c r="B423" s="5" t="s">
        <v>1816</v>
      </c>
      <c r="C423" s="2" t="s">
        <v>91</v>
      </c>
      <c r="D423" s="2"/>
      <c r="E423" s="2">
        <v>187702</v>
      </c>
      <c r="F423" s="2">
        <v>2423535</v>
      </c>
      <c r="G423" s="2" t="s">
        <v>2097</v>
      </c>
      <c r="H423" s="2" t="s">
        <v>962</v>
      </c>
      <c r="I423" s="2"/>
      <c r="J423" s="2"/>
      <c r="K423" s="2" t="s">
        <v>239</v>
      </c>
      <c r="L423" s="2"/>
      <c r="M423" s="2"/>
      <c r="N423" s="2"/>
      <c r="O423" s="2"/>
      <c r="P423" s="557" t="str">
        <f>CONCATENATE(schedule13[[#This Row],[OD]],"-",schedule13[[#This Row],[ID]],"-",schedule13[[#This Row],[TICKNESS]],"-",schedule13[[#This Row],[GRADE]],"-",schedule13[[#This Row],[FC/NFC]])</f>
        <v>22.23-0-1.2-ERW 1-</v>
      </c>
      <c r="Q423" s="557"/>
      <c r="R423" s="557"/>
      <c r="S423" s="1">
        <v>22.23</v>
      </c>
      <c r="T423" s="1">
        <v>22.23</v>
      </c>
      <c r="U423" s="1">
        <v>0</v>
      </c>
      <c r="V423" s="1">
        <v>1.2</v>
      </c>
      <c r="W423" s="23">
        <v>1328</v>
      </c>
      <c r="X423" s="23"/>
      <c r="Y423" s="2">
        <v>0</v>
      </c>
      <c r="Z423" s="2"/>
      <c r="AA423" s="4">
        <f t="shared" si="67"/>
        <v>0</v>
      </c>
      <c r="AB423" s="1">
        <f t="shared" si="71"/>
        <v>0</v>
      </c>
      <c r="AC423" s="1">
        <f t="shared" si="72"/>
        <v>0</v>
      </c>
      <c r="AD423" s="1">
        <f t="shared" si="68"/>
        <v>0</v>
      </c>
      <c r="AE423" s="1"/>
      <c r="AF423" s="1"/>
      <c r="AG423" s="1"/>
      <c r="AH423" s="1">
        <f t="shared" si="73"/>
        <v>0</v>
      </c>
      <c r="AI423" s="118" t="e">
        <f t="shared" si="74"/>
        <v>#DIV/0!</v>
      </c>
    </row>
    <row r="424" spans="1:35" hidden="1" x14ac:dyDescent="0.25">
      <c r="A424" s="30">
        <v>481</v>
      </c>
      <c r="B424" s="5" t="s">
        <v>1872</v>
      </c>
      <c r="C424" s="2" t="s">
        <v>300</v>
      </c>
      <c r="D424" s="2"/>
      <c r="E424" s="2">
        <v>941496</v>
      </c>
      <c r="F424" s="2"/>
      <c r="G424" s="2" t="s">
        <v>2094</v>
      </c>
      <c r="H424" s="2" t="s">
        <v>962</v>
      </c>
      <c r="I424" s="2"/>
      <c r="J424" s="2" t="s">
        <v>1003</v>
      </c>
      <c r="K424" s="2" t="s">
        <v>239</v>
      </c>
      <c r="L424" s="2"/>
      <c r="M424" s="2" t="s">
        <v>1516</v>
      </c>
      <c r="N424" s="2"/>
      <c r="O424" s="2"/>
      <c r="P424" s="557" t="str">
        <f>CONCATENATE(schedule13[[#This Row],[OD]],"-",schedule13[[#This Row],[ID]],"-",schedule13[[#This Row],[TICKNESS]],"-",schedule13[[#This Row],[GRADE]],"-",schedule13[[#This Row],[FC/NFC]])</f>
        <v>48.6-0-3.5-ERW 1-FC</v>
      </c>
      <c r="Q424" s="557" t="str">
        <f>_xlfn.CONCAT(schedule13[[#This Row],[Bucket]],"-",schedule13[[#This Row],[LENGTH]]/1000)</f>
        <v>48.6-0-3.5-ERW 1-FC-0.2025</v>
      </c>
      <c r="R424" s="557">
        <f>COUNTIF(buckets[CTL Bucket],schedule13[[#This Row],[CTL Bucket]])</f>
        <v>0</v>
      </c>
      <c r="S424" s="1">
        <v>48.6</v>
      </c>
      <c r="T424" s="1">
        <v>48.6</v>
      </c>
      <c r="U424" s="1">
        <v>0</v>
      </c>
      <c r="V424" s="1">
        <v>3.5</v>
      </c>
      <c r="W424" s="24">
        <v>202.5</v>
      </c>
      <c r="X424" s="22" t="s">
        <v>397</v>
      </c>
      <c r="Y424" s="2">
        <v>7389</v>
      </c>
      <c r="Z424" s="2"/>
      <c r="AA424" s="4">
        <f t="shared" si="67"/>
        <v>7389</v>
      </c>
      <c r="AB424" s="1">
        <f t="shared" si="71"/>
        <v>5.8227085980236248</v>
      </c>
      <c r="AC424" s="1">
        <f t="shared" si="72"/>
        <v>0</v>
      </c>
      <c r="AD424" s="1">
        <f t="shared" si="68"/>
        <v>5.8227085980236248</v>
      </c>
      <c r="AE424" s="1"/>
      <c r="AF424" s="1"/>
      <c r="AG424" s="1"/>
      <c r="AH424" s="1">
        <f t="shared" si="73"/>
        <v>0</v>
      </c>
      <c r="AI424" s="118" t="e">
        <f t="shared" si="74"/>
        <v>#DIV/0!</v>
      </c>
    </row>
    <row r="425" spans="1:35" hidden="1" x14ac:dyDescent="0.25">
      <c r="A425" s="30">
        <v>482</v>
      </c>
      <c r="B425" s="5" t="s">
        <v>1816</v>
      </c>
      <c r="C425" s="2" t="s">
        <v>300</v>
      </c>
      <c r="D425" s="2"/>
      <c r="E425" s="2">
        <v>941496</v>
      </c>
      <c r="F425" s="2">
        <v>3508742</v>
      </c>
      <c r="G425" s="2" t="s">
        <v>861</v>
      </c>
      <c r="H425" s="2" t="s">
        <v>962</v>
      </c>
      <c r="I425" s="2"/>
      <c r="J425" s="2" t="s">
        <v>1003</v>
      </c>
      <c r="K425" s="2" t="s">
        <v>239</v>
      </c>
      <c r="L425" s="2"/>
      <c r="M425" s="2"/>
      <c r="N425" s="2"/>
      <c r="O425" s="2"/>
      <c r="P425" s="557" t="str">
        <f>CONCATENATE(schedule13[[#This Row],[OD]],"-",schedule13[[#This Row],[ID]],"-",schedule13[[#This Row],[TICKNESS]],"-",schedule13[[#This Row],[GRADE]],"-",schedule13[[#This Row],[FC/NFC]])</f>
        <v>38.1-0-2-ERW 1-FC</v>
      </c>
      <c r="Q425" s="557"/>
      <c r="R425" s="557"/>
      <c r="S425" s="1">
        <v>38.1</v>
      </c>
      <c r="T425" s="1">
        <v>38.1</v>
      </c>
      <c r="U425" s="1">
        <v>0</v>
      </c>
      <c r="V425" s="1">
        <v>2</v>
      </c>
      <c r="W425" s="24">
        <v>410</v>
      </c>
      <c r="X425" s="24"/>
      <c r="Y425" s="2">
        <v>16779</v>
      </c>
      <c r="Z425" s="2"/>
      <c r="AA425" s="4">
        <f t="shared" si="67"/>
        <v>16779</v>
      </c>
      <c r="AB425" s="1">
        <f t="shared" si="71"/>
        <v>12.244946840574002</v>
      </c>
      <c r="AC425" s="1">
        <f t="shared" si="72"/>
        <v>0</v>
      </c>
      <c r="AD425" s="1">
        <f t="shared" si="68"/>
        <v>12.244946840574002</v>
      </c>
      <c r="AE425" s="1"/>
      <c r="AF425" s="1"/>
      <c r="AG425" s="1"/>
      <c r="AH425" s="1">
        <f t="shared" si="73"/>
        <v>5.8227085980236248</v>
      </c>
      <c r="AI425" s="118">
        <f t="shared" si="74"/>
        <v>0</v>
      </c>
    </row>
    <row r="426" spans="1:35" hidden="1" x14ac:dyDescent="0.25">
      <c r="A426" s="30">
        <v>483</v>
      </c>
      <c r="B426" s="5" t="s">
        <v>1816</v>
      </c>
      <c r="C426" s="2" t="s">
        <v>300</v>
      </c>
      <c r="D426" s="2"/>
      <c r="E426" s="2">
        <v>941496</v>
      </c>
      <c r="F426" s="2"/>
      <c r="G426" s="2"/>
      <c r="H426" s="2" t="s">
        <v>962</v>
      </c>
      <c r="I426" s="2"/>
      <c r="J426" s="2" t="s">
        <v>1003</v>
      </c>
      <c r="K426" s="2" t="s">
        <v>239</v>
      </c>
      <c r="L426" s="2"/>
      <c r="M426" s="2"/>
      <c r="N426" s="2"/>
      <c r="O426" s="2"/>
      <c r="P426" s="557" t="str">
        <f>CONCATENATE(schedule13[[#This Row],[OD]],"-",schedule13[[#This Row],[ID]],"-",schedule13[[#This Row],[TICKNESS]],"-",schedule13[[#This Row],[GRADE]],"-",schedule13[[#This Row],[FC/NFC]])</f>
        <v>50.8-0-1.6-ERW 1-FC</v>
      </c>
      <c r="Q426" s="557"/>
      <c r="R426" s="557"/>
      <c r="S426" s="1">
        <v>50.8</v>
      </c>
      <c r="T426" s="1">
        <v>50.8</v>
      </c>
      <c r="U426" s="1">
        <v>0</v>
      </c>
      <c r="V426" s="1">
        <v>1.6</v>
      </c>
      <c r="W426" s="24">
        <v>753</v>
      </c>
      <c r="X426" s="24"/>
      <c r="Y426" s="2">
        <v>0</v>
      </c>
      <c r="Z426" s="2"/>
      <c r="AA426" s="4">
        <f t="shared" si="67"/>
        <v>0</v>
      </c>
      <c r="AB426" s="1">
        <f t="shared" si="71"/>
        <v>0</v>
      </c>
      <c r="AC426" s="1">
        <f t="shared" si="72"/>
        <v>0</v>
      </c>
      <c r="AD426" s="1">
        <f t="shared" si="68"/>
        <v>0</v>
      </c>
      <c r="AE426" s="1"/>
      <c r="AF426" s="1">
        <v>2.2837529999999999</v>
      </c>
      <c r="AG426" s="1"/>
      <c r="AH426" s="1">
        <f t="shared" si="73"/>
        <v>9.9611938405740013</v>
      </c>
      <c r="AI426" s="118">
        <f t="shared" si="74"/>
        <v>0.18650575047273502</v>
      </c>
    </row>
    <row r="427" spans="1:35" hidden="1" x14ac:dyDescent="0.25">
      <c r="A427" s="30">
        <v>484</v>
      </c>
      <c r="B427" s="5" t="s">
        <v>1872</v>
      </c>
      <c r="C427" s="44" t="s">
        <v>300</v>
      </c>
      <c r="D427" s="2"/>
      <c r="E427" s="44">
        <v>941496</v>
      </c>
      <c r="F427" s="9">
        <v>3910648</v>
      </c>
      <c r="G427" s="9" t="s">
        <v>2093</v>
      </c>
      <c r="H427" s="44" t="s">
        <v>962</v>
      </c>
      <c r="I427" s="2"/>
      <c r="J427" s="2" t="s">
        <v>1003</v>
      </c>
      <c r="K427" s="2"/>
      <c r="L427" s="2"/>
      <c r="M427" s="2"/>
      <c r="N427" s="2"/>
      <c r="O427" s="2"/>
      <c r="P427" s="557" t="str">
        <f>CONCATENATE(schedule13[[#This Row],[OD]],"-",schedule13[[#This Row],[ID]],"-",schedule13[[#This Row],[TICKNESS]],"-",schedule13[[#This Row],[GRADE]],"-",schedule13[[#This Row],[FC/NFC]])</f>
        <v>41.28-0-2.6-ERW 1-FC</v>
      </c>
      <c r="Q427" s="557"/>
      <c r="R427" s="557"/>
      <c r="S427" s="79">
        <v>41.28</v>
      </c>
      <c r="T427" s="79">
        <v>41.28</v>
      </c>
      <c r="U427" s="79">
        <v>0</v>
      </c>
      <c r="V427" s="79">
        <v>2.6</v>
      </c>
      <c r="W427" s="81">
        <v>850</v>
      </c>
      <c r="X427" s="81"/>
      <c r="Y427" s="44">
        <v>14500</v>
      </c>
      <c r="Z427" s="44"/>
      <c r="AA427" s="82">
        <f t="shared" si="67"/>
        <v>14500</v>
      </c>
      <c r="AB427" s="79">
        <f t="shared" si="71"/>
        <v>30.557408291800005</v>
      </c>
      <c r="AC427" s="1">
        <f t="shared" si="72"/>
        <v>0</v>
      </c>
      <c r="AD427" s="1">
        <f t="shared" si="68"/>
        <v>30.557408291800005</v>
      </c>
      <c r="AE427" s="1"/>
      <c r="AF427" s="1"/>
      <c r="AG427" s="1"/>
      <c r="AH427" s="1">
        <f t="shared" si="73"/>
        <v>0</v>
      </c>
      <c r="AI427" s="118" t="e">
        <f t="shared" si="74"/>
        <v>#DIV/0!</v>
      </c>
    </row>
    <row r="428" spans="1:35" hidden="1" x14ac:dyDescent="0.25">
      <c r="A428" s="30">
        <v>485</v>
      </c>
      <c r="B428" s="78" t="s">
        <v>1816</v>
      </c>
      <c r="C428" s="44" t="s">
        <v>300</v>
      </c>
      <c r="D428" s="557"/>
      <c r="E428" s="44">
        <v>941496</v>
      </c>
      <c r="F428" s="87">
        <v>3910649</v>
      </c>
      <c r="G428" s="87" t="s">
        <v>773</v>
      </c>
      <c r="H428" s="44" t="s">
        <v>993</v>
      </c>
      <c r="I428" s="557"/>
      <c r="J428" s="557" t="s">
        <v>1003</v>
      </c>
      <c r="K428" s="557"/>
      <c r="L428" s="557"/>
      <c r="M428" s="557"/>
      <c r="N428" s="557"/>
      <c r="O428" s="557"/>
      <c r="P428" s="557" t="str">
        <f>CONCATENATE(schedule13[[#This Row],[OD]],"-",schedule13[[#This Row],[ID]],"-",schedule13[[#This Row],[TICKNESS]],"-",schedule13[[#This Row],[GRADE]],"-",schedule13[[#This Row],[FC/NFC]])</f>
        <v>22.23-0-2-ERW 2-FC</v>
      </c>
      <c r="Q428" s="557"/>
      <c r="R428" s="557"/>
      <c r="S428" s="561">
        <v>22.23</v>
      </c>
      <c r="T428" s="561">
        <v>22.23</v>
      </c>
      <c r="U428" s="561">
        <v>0</v>
      </c>
      <c r="V428" s="561">
        <v>2</v>
      </c>
      <c r="W428" s="81">
        <v>863</v>
      </c>
      <c r="X428" s="81"/>
      <c r="Y428" s="558">
        <v>14500</v>
      </c>
      <c r="Z428" s="558"/>
      <c r="AA428" s="573">
        <f t="shared" si="67"/>
        <v>14500</v>
      </c>
      <c r="AB428" s="561">
        <f t="shared" si="71"/>
        <v>12.481720465130001</v>
      </c>
      <c r="AC428" s="1">
        <f t="shared" si="72"/>
        <v>0</v>
      </c>
      <c r="AD428" s="1">
        <f t="shared" si="68"/>
        <v>12.481720465130001</v>
      </c>
      <c r="AE428" s="1"/>
      <c r="AF428" s="1"/>
      <c r="AG428" s="1"/>
      <c r="AH428" s="1"/>
      <c r="AI428" s="118"/>
    </row>
    <row r="429" spans="1:35" hidden="1" x14ac:dyDescent="0.25">
      <c r="A429" s="30">
        <v>486</v>
      </c>
      <c r="B429" s="78" t="s">
        <v>1816</v>
      </c>
      <c r="C429" s="44" t="s">
        <v>300</v>
      </c>
      <c r="D429" s="557"/>
      <c r="E429" s="44">
        <v>941496</v>
      </c>
      <c r="F429" s="87">
        <v>3910650</v>
      </c>
      <c r="G429" s="87" t="s">
        <v>771</v>
      </c>
      <c r="H429" s="44" t="s">
        <v>993</v>
      </c>
      <c r="I429" s="557"/>
      <c r="J429" s="557" t="s">
        <v>1003</v>
      </c>
      <c r="K429" s="557"/>
      <c r="L429" s="557"/>
      <c r="M429" s="557"/>
      <c r="N429" s="557"/>
      <c r="O429" s="557"/>
      <c r="P429" s="557" t="str">
        <f>CONCATENATE(schedule13[[#This Row],[OD]],"-",schedule13[[#This Row],[ID]],"-",schedule13[[#This Row],[TICKNESS]],"-",schedule13[[#This Row],[GRADE]],"-",schedule13[[#This Row],[FC/NFC]])</f>
        <v>22.23-0-2-ERW 2-FC</v>
      </c>
      <c r="Q429" s="557"/>
      <c r="R429" s="557"/>
      <c r="S429" s="561">
        <v>22.23</v>
      </c>
      <c r="T429" s="561">
        <v>22.23</v>
      </c>
      <c r="U429" s="561">
        <v>0</v>
      </c>
      <c r="V429" s="561">
        <v>2</v>
      </c>
      <c r="W429" s="81">
        <v>855</v>
      </c>
      <c r="X429" s="81"/>
      <c r="Y429" s="558">
        <v>13553</v>
      </c>
      <c r="Z429" s="558"/>
      <c r="AA429" s="573">
        <f t="shared" si="67"/>
        <v>13553</v>
      </c>
      <c r="AB429" s="561">
        <f t="shared" si="71"/>
        <v>11.558386353269702</v>
      </c>
      <c r="AC429" s="1">
        <f t="shared" si="72"/>
        <v>0</v>
      </c>
      <c r="AD429" s="1">
        <f t="shared" si="68"/>
        <v>11.558386353269702</v>
      </c>
      <c r="AE429" s="1"/>
      <c r="AF429" s="1"/>
      <c r="AG429" s="1"/>
      <c r="AH429" s="1"/>
      <c r="AI429" s="118"/>
    </row>
    <row r="430" spans="1:35" hidden="1" x14ac:dyDescent="0.25">
      <c r="A430" s="30">
        <v>487</v>
      </c>
      <c r="B430" s="5" t="s">
        <v>1928</v>
      </c>
      <c r="C430" s="2" t="s">
        <v>300</v>
      </c>
      <c r="D430" s="2"/>
      <c r="E430" s="2">
        <v>941496</v>
      </c>
      <c r="F430" s="9">
        <v>3901714</v>
      </c>
      <c r="G430" s="9" t="s">
        <v>902</v>
      </c>
      <c r="H430" s="2" t="s">
        <v>962</v>
      </c>
      <c r="I430" s="2" t="s">
        <v>1894</v>
      </c>
      <c r="J430" s="2" t="s">
        <v>1003</v>
      </c>
      <c r="K430" s="2" t="s">
        <v>239</v>
      </c>
      <c r="L430" s="2"/>
      <c r="M430" s="2" t="s">
        <v>1516</v>
      </c>
      <c r="N430" s="2"/>
      <c r="O430" s="2"/>
      <c r="P430" s="557" t="str">
        <f>CONCATENATE(schedule13[[#This Row],[OD]],"-",schedule13[[#This Row],[ID]],"-",schedule13[[#This Row],[TICKNESS]],"-",schedule13[[#This Row],[GRADE]],"-",schedule13[[#This Row],[FC/NFC]])</f>
        <v>42.7-0-4-ERW 1-FC</v>
      </c>
      <c r="Q430" s="557" t="str">
        <f>_xlfn.CONCAT(schedule13[[#This Row],[Bucket]],"-",schedule13[[#This Row],[LENGTH]]/1000)</f>
        <v>42.7-0-4-ERW 1-FC-0.215</v>
      </c>
      <c r="R430" s="557">
        <f>COUNTIF(buckets[CTL Bucket],schedule13[[#This Row],[CTL Bucket]])</f>
        <v>1</v>
      </c>
      <c r="S430" s="1">
        <v>42.7</v>
      </c>
      <c r="T430" s="1">
        <v>42.7</v>
      </c>
      <c r="U430" s="1">
        <v>0</v>
      </c>
      <c r="V430" s="1">
        <v>4</v>
      </c>
      <c r="W430" s="24">
        <v>215</v>
      </c>
      <c r="X430" s="22" t="s">
        <v>397</v>
      </c>
      <c r="Y430" s="2">
        <v>27167</v>
      </c>
      <c r="Z430" s="2"/>
      <c r="AA430" s="4">
        <f t="shared" si="67"/>
        <v>27167</v>
      </c>
      <c r="AB430" s="1">
        <f t="shared" si="71"/>
        <v>22.290554633382001</v>
      </c>
      <c r="AC430" s="1">
        <f t="shared" si="72"/>
        <v>0</v>
      </c>
      <c r="AD430" s="1">
        <f t="shared" si="68"/>
        <v>22.290554633382001</v>
      </c>
      <c r="AE430" s="1"/>
      <c r="AF430" s="1"/>
      <c r="AG430" s="1"/>
      <c r="AH430" s="1"/>
      <c r="AI430" s="118"/>
    </row>
    <row r="431" spans="1:35" hidden="1" x14ac:dyDescent="0.25">
      <c r="A431" s="30">
        <v>488</v>
      </c>
      <c r="B431" s="5" t="s">
        <v>1816</v>
      </c>
      <c r="C431" s="2" t="s">
        <v>300</v>
      </c>
      <c r="D431" s="2"/>
      <c r="E431" s="2">
        <v>941496</v>
      </c>
      <c r="F431" s="2">
        <v>3714733</v>
      </c>
      <c r="G431" s="2" t="s">
        <v>758</v>
      </c>
      <c r="H431" s="2" t="s">
        <v>962</v>
      </c>
      <c r="I431" s="2"/>
      <c r="J431" s="2" t="s">
        <v>963</v>
      </c>
      <c r="K431" s="2" t="s">
        <v>1867</v>
      </c>
      <c r="L431" s="44" t="s">
        <v>1952</v>
      </c>
      <c r="M431" s="2"/>
      <c r="N431" s="2"/>
      <c r="O431" s="2"/>
      <c r="P431" s="557" t="str">
        <f>CONCATENATE(schedule13[[#This Row],[OD]],"-",schedule13[[#This Row],[ID]],"-",schedule13[[#This Row],[TICKNESS]],"-",schedule13[[#This Row],[GRADE]],"-",schedule13[[#This Row],[FC/NFC]])</f>
        <v>22.23-0-1.6-ERW 1-PE</v>
      </c>
      <c r="Q431" s="557"/>
      <c r="R431" s="557"/>
      <c r="S431" s="1">
        <v>22.23</v>
      </c>
      <c r="T431" s="1">
        <v>22.23</v>
      </c>
      <c r="U431" s="1">
        <v>0</v>
      </c>
      <c r="V431" s="1">
        <v>1.6</v>
      </c>
      <c r="W431" s="24">
        <v>690</v>
      </c>
      <c r="X431" s="24"/>
      <c r="Y431" s="2">
        <v>19645</v>
      </c>
      <c r="Z431" s="2"/>
      <c r="AA431" s="4">
        <f t="shared" si="67"/>
        <v>19645</v>
      </c>
      <c r="AB431" s="1">
        <f t="shared" si="71"/>
        <v>11.030370753631201</v>
      </c>
      <c r="AC431" s="1">
        <f t="shared" si="72"/>
        <v>0</v>
      </c>
      <c r="AD431" s="1">
        <f t="shared" si="68"/>
        <v>11.030370753631201</v>
      </c>
      <c r="AE431" s="1"/>
      <c r="AF431" s="1"/>
      <c r="AG431" s="1"/>
      <c r="AH431" s="1"/>
      <c r="AI431" s="118"/>
    </row>
    <row r="432" spans="1:35" hidden="1" x14ac:dyDescent="0.25">
      <c r="A432" s="30">
        <v>489</v>
      </c>
      <c r="B432" s="5" t="s">
        <v>1816</v>
      </c>
      <c r="C432" s="2" t="s">
        <v>300</v>
      </c>
      <c r="D432" s="2"/>
      <c r="E432" s="2">
        <v>941496</v>
      </c>
      <c r="F432" s="18">
        <v>3801265</v>
      </c>
      <c r="G432" s="2" t="s">
        <v>6573</v>
      </c>
      <c r="H432" s="2" t="s">
        <v>993</v>
      </c>
      <c r="I432" s="2"/>
      <c r="J432" s="2" t="s">
        <v>1003</v>
      </c>
      <c r="K432" s="2" t="s">
        <v>1867</v>
      </c>
      <c r="L432" s="44" t="s">
        <v>2088</v>
      </c>
      <c r="M432" s="2"/>
      <c r="N432" s="2"/>
      <c r="O432" s="2"/>
      <c r="P432" s="557" t="str">
        <f>CONCATENATE(schedule13[[#This Row],[OD]],"-",schedule13[[#This Row],[ID]],"-",schedule13[[#This Row],[TICKNESS]],"-",schedule13[[#This Row],[GRADE]],"-",schedule13[[#This Row],[FC/NFC]])</f>
        <v>40-25-1.6-ERW 2-FC</v>
      </c>
      <c r="Q432" s="557"/>
      <c r="R432" s="557"/>
      <c r="S432" s="1">
        <v>41.28</v>
      </c>
      <c r="T432" s="1">
        <v>40</v>
      </c>
      <c r="U432" s="1">
        <v>25</v>
      </c>
      <c r="V432" s="1">
        <v>1.6</v>
      </c>
      <c r="W432" s="24">
        <v>561</v>
      </c>
      <c r="X432" s="24"/>
      <c r="Y432" s="2">
        <v>12500</v>
      </c>
      <c r="Z432" s="2"/>
      <c r="AA432" s="4">
        <f t="shared" si="67"/>
        <v>12500</v>
      </c>
      <c r="AB432" s="1">
        <f t="shared" si="71"/>
        <v>10.975752268799999</v>
      </c>
      <c r="AC432" s="1">
        <f t="shared" si="72"/>
        <v>0</v>
      </c>
      <c r="AD432" s="1">
        <f t="shared" si="68"/>
        <v>10.975752268799999</v>
      </c>
      <c r="AE432" s="1"/>
      <c r="AF432" s="1">
        <v>0.26077600000000001</v>
      </c>
      <c r="AG432" s="1"/>
      <c r="AH432" s="1">
        <f>AB431-AF432</f>
        <v>10.769594753631202</v>
      </c>
      <c r="AI432" s="118">
        <f>(AC432+AF432)/AB431</f>
        <v>2.3641635065997438E-2</v>
      </c>
    </row>
    <row r="433" spans="1:35" hidden="1" x14ac:dyDescent="0.25">
      <c r="A433" s="30">
        <v>490</v>
      </c>
      <c r="B433" s="5" t="s">
        <v>1816</v>
      </c>
      <c r="C433" s="2" t="s">
        <v>300</v>
      </c>
      <c r="D433" s="2"/>
      <c r="E433" s="2">
        <v>941496</v>
      </c>
      <c r="F433" s="18">
        <v>3780005</v>
      </c>
      <c r="G433" s="2" t="s">
        <v>2095</v>
      </c>
      <c r="H433" s="2" t="s">
        <v>993</v>
      </c>
      <c r="I433" s="2"/>
      <c r="J433" s="2" t="s">
        <v>1003</v>
      </c>
      <c r="K433" s="2" t="s">
        <v>1867</v>
      </c>
      <c r="L433" s="44" t="s">
        <v>2088</v>
      </c>
      <c r="M433" s="2"/>
      <c r="N433" s="2"/>
      <c r="O433" s="2"/>
      <c r="P433" s="557" t="str">
        <f>CONCATENATE(schedule13[[#This Row],[OD]],"-",schedule13[[#This Row],[ID]],"-",schedule13[[#This Row],[TICKNESS]],"-",schedule13[[#This Row],[GRADE]],"-",schedule13[[#This Row],[FC/NFC]])</f>
        <v>50-30-1.6-ERW 2-FC</v>
      </c>
      <c r="Q433" s="557"/>
      <c r="R433" s="557"/>
      <c r="S433" s="1">
        <v>50.8</v>
      </c>
      <c r="T433" s="1">
        <v>50</v>
      </c>
      <c r="U433" s="1">
        <v>30</v>
      </c>
      <c r="V433" s="1">
        <v>1.6</v>
      </c>
      <c r="W433" s="24">
        <v>638</v>
      </c>
      <c r="X433" s="24"/>
      <c r="Y433" s="2">
        <v>1000</v>
      </c>
      <c r="Z433" s="2"/>
      <c r="AA433" s="4">
        <f t="shared" si="67"/>
        <v>1000</v>
      </c>
      <c r="AB433" s="1">
        <f t="shared" si="71"/>
        <v>1.2381564940800001</v>
      </c>
      <c r="AC433" s="1">
        <f t="shared" si="72"/>
        <v>0</v>
      </c>
      <c r="AD433" s="1">
        <f t="shared" si="68"/>
        <v>1.2381564940800001</v>
      </c>
      <c r="AE433" s="1"/>
      <c r="AF433" s="1"/>
      <c r="AG433" s="1"/>
      <c r="AH433" s="1">
        <f>AB432-AF433</f>
        <v>10.975752268799999</v>
      </c>
      <c r="AI433" s="118">
        <f>(AC433+AF433)/AB432</f>
        <v>0</v>
      </c>
    </row>
    <row r="434" spans="1:35" hidden="1" x14ac:dyDescent="0.25">
      <c r="A434" s="30">
        <v>491</v>
      </c>
      <c r="B434" s="5" t="s">
        <v>1816</v>
      </c>
      <c r="C434" s="2" t="s">
        <v>300</v>
      </c>
      <c r="D434" s="2"/>
      <c r="E434" s="2">
        <v>941496</v>
      </c>
      <c r="F434" s="2">
        <v>3775636</v>
      </c>
      <c r="G434" s="2" t="s">
        <v>811</v>
      </c>
      <c r="H434" s="2" t="s">
        <v>962</v>
      </c>
      <c r="I434" s="2"/>
      <c r="J434" s="2" t="s">
        <v>1003</v>
      </c>
      <c r="K434" s="2" t="s">
        <v>239</v>
      </c>
      <c r="L434" s="2"/>
      <c r="M434" s="2"/>
      <c r="N434" s="2"/>
      <c r="O434" s="2"/>
      <c r="P434" s="557" t="str">
        <f>CONCATENATE(schedule13[[#This Row],[OD]],"-",schedule13[[#This Row],[ID]],"-",schedule13[[#This Row],[TICKNESS]],"-",schedule13[[#This Row],[GRADE]],"-",schedule13[[#This Row],[FC/NFC]])</f>
        <v>25.4-0-2.5-ERW 1-FC</v>
      </c>
      <c r="Q434" s="557"/>
      <c r="R434" s="557"/>
      <c r="S434" s="1">
        <v>25.4</v>
      </c>
      <c r="T434" s="1">
        <v>25.4</v>
      </c>
      <c r="U434" s="1">
        <v>0</v>
      </c>
      <c r="V434" s="1">
        <v>2.5</v>
      </c>
      <c r="W434" s="24">
        <v>783</v>
      </c>
      <c r="X434" s="24"/>
      <c r="Y434" s="2">
        <v>10356</v>
      </c>
      <c r="Z434" s="2"/>
      <c r="AA434" s="4">
        <f t="shared" si="67"/>
        <v>10356</v>
      </c>
      <c r="AB434" s="1">
        <f t="shared" si="71"/>
        <v>11.444559214419</v>
      </c>
      <c r="AC434" s="1">
        <f t="shared" si="72"/>
        <v>0</v>
      </c>
      <c r="AD434" s="1">
        <f t="shared" si="68"/>
        <v>11.444559214419</v>
      </c>
      <c r="AE434" s="1"/>
      <c r="AF434" s="1"/>
      <c r="AG434" s="1"/>
      <c r="AH434" s="1">
        <f>AB433-AF434</f>
        <v>1.2381564940800001</v>
      </c>
      <c r="AI434" s="118">
        <f>(AC434+AF434)/AB433</f>
        <v>0</v>
      </c>
    </row>
    <row r="435" spans="1:35" hidden="1" x14ac:dyDescent="0.25">
      <c r="A435" s="30">
        <v>492</v>
      </c>
      <c r="B435" s="5" t="s">
        <v>1816</v>
      </c>
      <c r="C435" s="2" t="s">
        <v>300</v>
      </c>
      <c r="D435" s="2"/>
      <c r="E435" s="2">
        <v>941496</v>
      </c>
      <c r="F435" s="18">
        <v>3780004</v>
      </c>
      <c r="G435" s="2" t="s">
        <v>929</v>
      </c>
      <c r="H435" s="2" t="s">
        <v>993</v>
      </c>
      <c r="I435" s="2"/>
      <c r="J435" s="2" t="s">
        <v>1003</v>
      </c>
      <c r="K435" s="2" t="s">
        <v>1867</v>
      </c>
      <c r="L435" s="44" t="s">
        <v>2088</v>
      </c>
      <c r="M435" s="2"/>
      <c r="N435" s="2"/>
      <c r="O435" s="2"/>
      <c r="P435" s="557" t="str">
        <f>CONCATENATE(schedule13[[#This Row],[OD]],"-",schedule13[[#This Row],[ID]],"-",schedule13[[#This Row],[TICKNESS]],"-",schedule13[[#This Row],[GRADE]],"-",schedule13[[#This Row],[FC/NFC]])</f>
        <v>50-30-1.6-ERW 2-FC</v>
      </c>
      <c r="Q435" s="557"/>
      <c r="R435" s="557"/>
      <c r="S435" s="1">
        <v>50.8</v>
      </c>
      <c r="T435" s="1">
        <v>50</v>
      </c>
      <c r="U435" s="1">
        <v>30</v>
      </c>
      <c r="V435" s="1">
        <v>1.6</v>
      </c>
      <c r="W435" s="24">
        <v>607</v>
      </c>
      <c r="X435" s="24"/>
      <c r="Y435" s="2">
        <v>11830</v>
      </c>
      <c r="Z435" s="2"/>
      <c r="AA435" s="4">
        <f t="shared" si="67"/>
        <v>11830</v>
      </c>
      <c r="AB435" s="1">
        <f t="shared" si="71"/>
        <v>13.9356842229696</v>
      </c>
      <c r="AC435" s="1">
        <f t="shared" si="72"/>
        <v>0</v>
      </c>
      <c r="AD435" s="1">
        <f t="shared" si="68"/>
        <v>13.9356842229696</v>
      </c>
      <c r="AE435" s="1"/>
      <c r="AF435" s="1"/>
      <c r="AG435" s="1"/>
      <c r="AH435" s="1">
        <f>AB434-AF435</f>
        <v>11.444559214419</v>
      </c>
      <c r="AI435" s="118">
        <f>(AC435+AF435)/AB434</f>
        <v>0</v>
      </c>
    </row>
    <row r="436" spans="1:35" hidden="1" x14ac:dyDescent="0.25">
      <c r="A436" s="30">
        <v>493</v>
      </c>
      <c r="B436" s="5" t="s">
        <v>1872</v>
      </c>
      <c r="C436" s="2" t="s">
        <v>300</v>
      </c>
      <c r="D436" s="2"/>
      <c r="E436" s="2">
        <v>941496</v>
      </c>
      <c r="F436" s="2"/>
      <c r="G436" s="2"/>
      <c r="H436" s="2" t="s">
        <v>357</v>
      </c>
      <c r="I436" s="2"/>
      <c r="J436" s="2" t="s">
        <v>357</v>
      </c>
      <c r="K436" s="2" t="s">
        <v>239</v>
      </c>
      <c r="L436" s="2"/>
      <c r="M436" s="2"/>
      <c r="N436" s="2"/>
      <c r="O436" s="2"/>
      <c r="P436" s="557" t="str">
        <f>CONCATENATE(schedule13[[#This Row],[OD]],"-",schedule13[[#This Row],[ID]],"-",schedule13[[#This Row],[TICKNESS]],"-",schedule13[[#This Row],[GRADE]],"-",schedule13[[#This Row],[FC/NFC]])</f>
        <v>31.75-25-3.37-CEW-CEW</v>
      </c>
      <c r="Q436" s="557"/>
      <c r="R436" s="557"/>
      <c r="S436" s="1">
        <v>31.75</v>
      </c>
      <c r="T436" s="1">
        <v>31.75</v>
      </c>
      <c r="U436" s="1">
        <v>25</v>
      </c>
      <c r="V436" s="1">
        <v>3.37</v>
      </c>
      <c r="W436" s="23">
        <v>4500</v>
      </c>
      <c r="X436" s="23"/>
      <c r="Y436" s="2">
        <v>137</v>
      </c>
      <c r="Z436" s="2"/>
      <c r="AA436" s="4">
        <f t="shared" si="67"/>
        <v>137</v>
      </c>
      <c r="AB436" s="1">
        <f t="shared" si="71"/>
        <v>1.4536007843247001</v>
      </c>
      <c r="AC436" s="1">
        <f t="shared" si="72"/>
        <v>0</v>
      </c>
      <c r="AD436" s="1">
        <f t="shared" si="68"/>
        <v>1.4536007843247001</v>
      </c>
      <c r="AE436" s="1"/>
      <c r="AF436" s="1">
        <v>3.6549999999999998</v>
      </c>
      <c r="AG436" s="1"/>
      <c r="AH436" s="1">
        <f>AB435-AF436</f>
        <v>10.280684222969601</v>
      </c>
      <c r="AI436" s="118">
        <f>(AC436+AF436)/AB435</f>
        <v>0.26227632181673705</v>
      </c>
    </row>
    <row r="437" spans="1:35" hidden="1" x14ac:dyDescent="0.25">
      <c r="A437" s="30">
        <v>494</v>
      </c>
      <c r="B437" s="5" t="s">
        <v>1872</v>
      </c>
      <c r="C437" s="2" t="s">
        <v>300</v>
      </c>
      <c r="D437" s="2"/>
      <c r="E437" s="2">
        <v>941496</v>
      </c>
      <c r="F437" s="2"/>
      <c r="G437" s="2"/>
      <c r="H437" s="2" t="s">
        <v>357</v>
      </c>
      <c r="I437" s="2"/>
      <c r="J437" s="2" t="s">
        <v>357</v>
      </c>
      <c r="K437" s="2" t="s">
        <v>239</v>
      </c>
      <c r="L437" s="2"/>
      <c r="M437" s="2"/>
      <c r="N437" s="2"/>
      <c r="O437" s="2"/>
      <c r="P437" s="557" t="str">
        <f>CONCATENATE(schedule13[[#This Row],[OD]],"-",schedule13[[#This Row],[ID]],"-",schedule13[[#This Row],[TICKNESS]],"-",schedule13[[#This Row],[GRADE]],"-",schedule13[[#This Row],[FC/NFC]])</f>
        <v>21.75-0-3.5-CEW-CEW</v>
      </c>
      <c r="Q437" s="557"/>
      <c r="R437" s="557"/>
      <c r="S437" s="1">
        <v>21.75</v>
      </c>
      <c r="T437" s="1">
        <v>21.75</v>
      </c>
      <c r="U437" s="1">
        <v>0</v>
      </c>
      <c r="V437" s="1">
        <v>3.5</v>
      </c>
      <c r="W437" s="24">
        <v>4500</v>
      </c>
      <c r="X437" s="24"/>
      <c r="Y437" s="2">
        <v>220</v>
      </c>
      <c r="Z437" s="2"/>
      <c r="AA437" s="4">
        <f t="shared" si="67"/>
        <v>220</v>
      </c>
      <c r="AB437" s="1">
        <f t="shared" si="71"/>
        <v>1.5589632712500001</v>
      </c>
      <c r="AC437" s="1">
        <f t="shared" si="72"/>
        <v>0</v>
      </c>
      <c r="AD437" s="1">
        <f t="shared" si="68"/>
        <v>1.5589632712500001</v>
      </c>
      <c r="AE437" s="1"/>
      <c r="AF437" s="1"/>
      <c r="AG437" s="1"/>
      <c r="AH437" s="1"/>
      <c r="AI437" s="118"/>
    </row>
    <row r="438" spans="1:35" hidden="1" x14ac:dyDescent="0.25">
      <c r="A438" s="30">
        <v>495</v>
      </c>
      <c r="B438" s="5" t="s">
        <v>1872</v>
      </c>
      <c r="C438" s="2" t="s">
        <v>300</v>
      </c>
      <c r="D438" s="2"/>
      <c r="E438" s="2">
        <v>941496</v>
      </c>
      <c r="F438" s="2">
        <v>2410997</v>
      </c>
      <c r="G438" s="2"/>
      <c r="H438" s="2" t="s">
        <v>357</v>
      </c>
      <c r="I438" s="2"/>
      <c r="J438" s="2" t="s">
        <v>357</v>
      </c>
      <c r="K438" s="2" t="s">
        <v>239</v>
      </c>
      <c r="L438" s="2"/>
      <c r="M438" s="2"/>
      <c r="N438" s="2"/>
      <c r="O438" s="2"/>
      <c r="P438" s="557" t="str">
        <f>CONCATENATE(schedule13[[#This Row],[OD]],"-",schedule13[[#This Row],[ID]],"-",schedule13[[#This Row],[TICKNESS]],"-",schedule13[[#This Row],[GRADE]],"-",schedule13[[#This Row],[FC/NFC]])</f>
        <v>25.4-19-3.2-CEW-CEW</v>
      </c>
      <c r="Q438" s="557"/>
      <c r="R438" s="557"/>
      <c r="S438" s="1">
        <v>25.4</v>
      </c>
      <c r="T438" s="1">
        <v>25.4</v>
      </c>
      <c r="U438" s="6">
        <v>19</v>
      </c>
      <c r="V438" s="1">
        <v>3.2</v>
      </c>
      <c r="W438" s="24">
        <v>6000</v>
      </c>
      <c r="X438" s="24"/>
      <c r="Y438" s="2">
        <v>71</v>
      </c>
      <c r="Z438" s="2"/>
      <c r="AA438" s="4">
        <f t="shared" si="67"/>
        <v>71</v>
      </c>
      <c r="AB438" s="1">
        <f t="shared" si="71"/>
        <v>0.74607472512000017</v>
      </c>
      <c r="AC438" s="1">
        <f t="shared" si="72"/>
        <v>0</v>
      </c>
      <c r="AD438" s="1">
        <f t="shared" si="68"/>
        <v>0.74607472512000017</v>
      </c>
      <c r="AE438" s="1"/>
      <c r="AF438" s="1"/>
      <c r="AG438" s="1"/>
      <c r="AH438" s="1"/>
      <c r="AI438" s="118"/>
    </row>
    <row r="439" spans="1:35" hidden="1" x14ac:dyDescent="0.25">
      <c r="A439" s="30">
        <v>496</v>
      </c>
      <c r="B439" s="5" t="s">
        <v>1872</v>
      </c>
      <c r="C439" s="2" t="s">
        <v>300</v>
      </c>
      <c r="D439" s="2"/>
      <c r="E439" s="2">
        <v>941496</v>
      </c>
      <c r="F439" s="2"/>
      <c r="G439" s="2"/>
      <c r="H439" s="2" t="s">
        <v>357</v>
      </c>
      <c r="I439" s="2"/>
      <c r="J439" s="2" t="s">
        <v>357</v>
      </c>
      <c r="K439" s="2" t="s">
        <v>239</v>
      </c>
      <c r="L439" s="2"/>
      <c r="M439" s="2"/>
      <c r="N439" s="2"/>
      <c r="O439" s="2"/>
      <c r="P439" s="557" t="str">
        <f>CONCATENATE(schedule13[[#This Row],[OD]],"-",schedule13[[#This Row],[ID]],"-",schedule13[[#This Row],[TICKNESS]],"-",schedule13[[#This Row],[GRADE]],"-",schedule13[[#This Row],[FC/NFC]])</f>
        <v>14-0-2.45-CEW-CEW</v>
      </c>
      <c r="Q439" s="557" t="s">
        <v>6538</v>
      </c>
      <c r="R439" s="557"/>
      <c r="S439" s="1">
        <v>14</v>
      </c>
      <c r="T439" s="1">
        <v>14</v>
      </c>
      <c r="U439" s="1">
        <v>0</v>
      </c>
      <c r="V439" s="1">
        <v>2.4500000000000002</v>
      </c>
      <c r="W439" s="24">
        <v>1000</v>
      </c>
      <c r="X439" s="24" t="s">
        <v>444</v>
      </c>
      <c r="Y439" s="2">
        <v>355</v>
      </c>
      <c r="Z439" s="2"/>
      <c r="AA439" s="4">
        <f t="shared" si="67"/>
        <v>355</v>
      </c>
      <c r="AB439" s="1">
        <f t="shared" si="71"/>
        <v>0.24765448496250006</v>
      </c>
      <c r="AC439" s="1">
        <f t="shared" si="72"/>
        <v>0</v>
      </c>
      <c r="AD439" s="1">
        <f t="shared" si="68"/>
        <v>0.24765448496250006</v>
      </c>
      <c r="AE439" s="1"/>
      <c r="AF439" s="1"/>
      <c r="AG439" s="1"/>
      <c r="AH439" s="1"/>
      <c r="AI439" s="118"/>
    </row>
    <row r="440" spans="1:35" hidden="1" x14ac:dyDescent="0.25">
      <c r="A440" s="30">
        <v>497</v>
      </c>
      <c r="B440" s="5" t="s">
        <v>1872</v>
      </c>
      <c r="C440" s="2" t="s">
        <v>300</v>
      </c>
      <c r="D440" s="2"/>
      <c r="E440" s="2">
        <v>941496</v>
      </c>
      <c r="F440" s="2"/>
      <c r="G440" s="2"/>
      <c r="H440" s="2" t="s">
        <v>357</v>
      </c>
      <c r="I440" s="2"/>
      <c r="J440" s="2" t="s">
        <v>357</v>
      </c>
      <c r="K440" s="2" t="s">
        <v>239</v>
      </c>
      <c r="L440" s="2"/>
      <c r="M440" s="2"/>
      <c r="N440" s="2"/>
      <c r="O440" s="2"/>
      <c r="P440" s="557" t="str">
        <f>CONCATENATE(schedule13[[#This Row],[OD]],"-",schedule13[[#This Row],[ID]],"-",schedule13[[#This Row],[TICKNESS]],"-",schedule13[[#This Row],[GRADE]],"-",schedule13[[#This Row],[FC/NFC]])</f>
        <v>20-12.4-3.8-CEW-CEW</v>
      </c>
      <c r="Q440" s="557"/>
      <c r="R440" s="557"/>
      <c r="S440" s="1">
        <v>20</v>
      </c>
      <c r="T440" s="1">
        <v>20</v>
      </c>
      <c r="U440" s="1">
        <v>12.4</v>
      </c>
      <c r="V440" s="1">
        <v>3.8</v>
      </c>
      <c r="W440" s="24">
        <v>4500</v>
      </c>
      <c r="X440" s="24"/>
      <c r="Y440" s="2">
        <v>32</v>
      </c>
      <c r="Z440" s="2"/>
      <c r="AA440" s="4">
        <f t="shared" si="67"/>
        <v>32</v>
      </c>
      <c r="AB440" s="1">
        <f t="shared" si="71"/>
        <v>0.21853996991999999</v>
      </c>
      <c r="AC440" s="1">
        <f t="shared" si="72"/>
        <v>0</v>
      </c>
      <c r="AD440" s="1">
        <f t="shared" si="68"/>
        <v>0.21853996991999999</v>
      </c>
      <c r="AE440" s="1"/>
      <c r="AF440" s="1"/>
      <c r="AG440" s="1"/>
      <c r="AH440" s="1"/>
      <c r="AI440" s="118"/>
    </row>
    <row r="441" spans="1:35" hidden="1" x14ac:dyDescent="0.25">
      <c r="A441" s="30">
        <v>498</v>
      </c>
      <c r="B441" s="5" t="s">
        <v>1872</v>
      </c>
      <c r="C441" s="2" t="s">
        <v>300</v>
      </c>
      <c r="D441" s="2"/>
      <c r="E441" s="2">
        <v>941496</v>
      </c>
      <c r="F441" s="2"/>
      <c r="G441" s="2"/>
      <c r="H441" s="2" t="s">
        <v>357</v>
      </c>
      <c r="I441" s="2"/>
      <c r="J441" s="2" t="s">
        <v>357</v>
      </c>
      <c r="K441" s="2" t="s">
        <v>239</v>
      </c>
      <c r="L441" s="2"/>
      <c r="M441" s="2"/>
      <c r="N441" s="2"/>
      <c r="O441" s="2"/>
      <c r="P441" s="557" t="str">
        <f>CONCATENATE(schedule13[[#This Row],[OD]],"-",schedule13[[#This Row],[ID]],"-",schedule13[[#This Row],[TICKNESS]],"-",schedule13[[#This Row],[GRADE]],"-",schedule13[[#This Row],[FC/NFC]])</f>
        <v>20-12.4-4.5-CEW-CEW</v>
      </c>
      <c r="Q441" s="557"/>
      <c r="R441" s="557"/>
      <c r="S441" s="1">
        <v>20</v>
      </c>
      <c r="T441" s="1">
        <v>20</v>
      </c>
      <c r="U441" s="1">
        <v>12.4</v>
      </c>
      <c r="V441" s="1">
        <v>4.5</v>
      </c>
      <c r="W441" s="24">
        <v>4500</v>
      </c>
      <c r="X441" s="24"/>
      <c r="Y441" s="2">
        <v>117</v>
      </c>
      <c r="Z441" s="2"/>
      <c r="AA441" s="4">
        <f t="shared" si="67"/>
        <v>117</v>
      </c>
      <c r="AB441" s="1">
        <f t="shared" si="71"/>
        <v>0.90534136387500008</v>
      </c>
      <c r="AC441" s="1">
        <f t="shared" si="72"/>
        <v>0</v>
      </c>
      <c r="AD441" s="1">
        <f t="shared" si="68"/>
        <v>0.90534136387500008</v>
      </c>
      <c r="AE441" s="1"/>
      <c r="AF441" s="1"/>
      <c r="AG441" s="1"/>
      <c r="AH441" s="1"/>
      <c r="AI441" s="118"/>
    </row>
    <row r="442" spans="1:35" hidden="1" x14ac:dyDescent="0.25">
      <c r="A442" s="30">
        <v>499</v>
      </c>
      <c r="B442" s="5" t="s">
        <v>1816</v>
      </c>
      <c r="C442" s="2" t="s">
        <v>300</v>
      </c>
      <c r="D442" s="2"/>
      <c r="E442" s="2">
        <v>941496</v>
      </c>
      <c r="F442" s="2">
        <v>2400891</v>
      </c>
      <c r="G442" s="2" t="s">
        <v>2091</v>
      </c>
      <c r="H442" s="2" t="s">
        <v>962</v>
      </c>
      <c r="I442" s="2"/>
      <c r="J442" s="2" t="s">
        <v>963</v>
      </c>
      <c r="K442" s="2" t="s">
        <v>239</v>
      </c>
      <c r="L442" s="2"/>
      <c r="M442" s="2"/>
      <c r="N442" s="2"/>
      <c r="O442" s="2"/>
      <c r="P442" s="557" t="str">
        <f>CONCATENATE(schedule13[[#This Row],[OD]],"-",schedule13[[#This Row],[ID]],"-",schedule13[[#This Row],[TICKNESS]],"-",schedule13[[#This Row],[GRADE]],"-",schedule13[[#This Row],[FC/NFC]])</f>
        <v>25.4-0-2-ERW 1-PE</v>
      </c>
      <c r="Q442" s="557"/>
      <c r="R442" s="557"/>
      <c r="S442" s="1">
        <v>25.4</v>
      </c>
      <c r="T442" s="1">
        <v>25.4</v>
      </c>
      <c r="U442" s="1">
        <v>0</v>
      </c>
      <c r="V442" s="1">
        <v>2</v>
      </c>
      <c r="W442" s="24">
        <v>470</v>
      </c>
      <c r="X442" s="24"/>
      <c r="Y442" s="2">
        <v>14500</v>
      </c>
      <c r="Z442" s="2"/>
      <c r="AA442" s="4">
        <f t="shared" si="67"/>
        <v>14500</v>
      </c>
      <c r="AB442" s="1">
        <f t="shared" si="71"/>
        <v>7.8628771259999999</v>
      </c>
      <c r="AC442" s="1">
        <f t="shared" si="72"/>
        <v>0</v>
      </c>
      <c r="AD442" s="1">
        <f t="shared" si="68"/>
        <v>7.8628771259999999</v>
      </c>
      <c r="AE442" s="1"/>
      <c r="AF442" s="1"/>
      <c r="AG442" s="1"/>
      <c r="AH442" s="1"/>
      <c r="AI442" s="118"/>
    </row>
    <row r="443" spans="1:35" hidden="1" x14ac:dyDescent="0.25">
      <c r="A443" s="30">
        <v>305</v>
      </c>
      <c r="B443" s="5" t="s">
        <v>1816</v>
      </c>
      <c r="C443" s="2" t="s">
        <v>95</v>
      </c>
      <c r="D443" s="2"/>
      <c r="E443" s="2">
        <v>941496</v>
      </c>
      <c r="F443" s="2">
        <v>1940821</v>
      </c>
      <c r="G443" s="2" t="s">
        <v>571</v>
      </c>
      <c r="H443" s="2" t="s">
        <v>962</v>
      </c>
      <c r="I443" s="2"/>
      <c r="J443" s="2"/>
      <c r="K443" s="2" t="s">
        <v>239</v>
      </c>
      <c r="L443" s="2"/>
      <c r="M443" s="2"/>
      <c r="N443" s="2"/>
      <c r="O443" s="2"/>
      <c r="P443" s="557" t="str">
        <f>CONCATENATE(schedule13[[#This Row],[OD]],"-",schedule13[[#This Row],[ID]],"-",schedule13[[#This Row],[TICKNESS]],"-",schedule13[[#This Row],[GRADE]],"-",schedule13[[#This Row],[FC/NFC]])</f>
        <v>40-25-1.6-ERW 1-</v>
      </c>
      <c r="Q443" s="557"/>
      <c r="R443" s="557"/>
      <c r="S443" s="1">
        <v>41.28</v>
      </c>
      <c r="T443" s="1">
        <v>40</v>
      </c>
      <c r="U443" s="1">
        <v>25</v>
      </c>
      <c r="V443" s="1">
        <v>1.6</v>
      </c>
      <c r="W443" s="24">
        <v>513</v>
      </c>
      <c r="X443" s="24"/>
      <c r="Y443" s="2">
        <v>0</v>
      </c>
      <c r="Z443" s="2"/>
      <c r="AA443" s="4">
        <f t="shared" si="67"/>
        <v>0</v>
      </c>
      <c r="AB443" s="1">
        <f t="shared" si="71"/>
        <v>0</v>
      </c>
      <c r="AC443" s="1">
        <f t="shared" si="72"/>
        <v>0</v>
      </c>
      <c r="AD443" s="1">
        <f t="shared" si="68"/>
        <v>0</v>
      </c>
      <c r="AE443" s="1"/>
      <c r="AF443" s="1">
        <v>7.5789600000000004</v>
      </c>
      <c r="AG443" s="1"/>
      <c r="AH443" s="1">
        <f t="shared" ref="AH443:AH460" si="75">AB442-AF443</f>
        <v>0.28391712599999952</v>
      </c>
      <c r="AI443" s="118">
        <f t="shared" ref="AI443:AI460" si="76">(AC443+AF443)/AB442</f>
        <v>0.96389144565655527</v>
      </c>
    </row>
    <row r="444" spans="1:35" hidden="1" x14ac:dyDescent="0.25">
      <c r="A444" s="30">
        <v>306</v>
      </c>
      <c r="B444" s="5" t="s">
        <v>1816</v>
      </c>
      <c r="C444" s="2" t="s">
        <v>95</v>
      </c>
      <c r="D444" s="2"/>
      <c r="E444" s="2">
        <v>941496</v>
      </c>
      <c r="F444" s="2">
        <v>1940822</v>
      </c>
      <c r="G444" s="2" t="s">
        <v>574</v>
      </c>
      <c r="H444" s="2" t="s">
        <v>962</v>
      </c>
      <c r="I444" s="2"/>
      <c r="J444" s="2"/>
      <c r="K444" s="2" t="s">
        <v>239</v>
      </c>
      <c r="L444" s="2"/>
      <c r="M444" s="2"/>
      <c r="N444" s="2"/>
      <c r="O444" s="2"/>
      <c r="P444" s="557" t="str">
        <f>CONCATENATE(schedule13[[#This Row],[OD]],"-",schedule13[[#This Row],[ID]],"-",schedule13[[#This Row],[TICKNESS]],"-",schedule13[[#This Row],[GRADE]],"-",schedule13[[#This Row],[FC/NFC]])</f>
        <v>40-25-1.6-ERW 1-</v>
      </c>
      <c r="Q444" s="557"/>
      <c r="R444" s="557"/>
      <c r="S444" s="1">
        <v>41.28</v>
      </c>
      <c r="T444" s="1">
        <v>40</v>
      </c>
      <c r="U444" s="1">
        <v>25</v>
      </c>
      <c r="V444" s="1">
        <v>1.6</v>
      </c>
      <c r="W444" s="24">
        <v>536</v>
      </c>
      <c r="X444" s="24"/>
      <c r="Y444" s="2">
        <v>0</v>
      </c>
      <c r="Z444" s="2"/>
      <c r="AA444" s="4">
        <f t="shared" si="67"/>
        <v>0</v>
      </c>
      <c r="AB444" s="1">
        <f t="shared" si="71"/>
        <v>0</v>
      </c>
      <c r="AC444" s="1">
        <f t="shared" si="72"/>
        <v>0</v>
      </c>
      <c r="AD444" s="1">
        <f t="shared" si="68"/>
        <v>0</v>
      </c>
      <c r="AE444" s="1"/>
      <c r="AF444" s="1">
        <v>1.01349</v>
      </c>
      <c r="AG444" s="1"/>
      <c r="AH444" s="1">
        <f t="shared" si="75"/>
        <v>-1.01349</v>
      </c>
      <c r="AI444" s="118" t="e">
        <f t="shared" si="76"/>
        <v>#DIV/0!</v>
      </c>
    </row>
    <row r="445" spans="1:35" hidden="1" x14ac:dyDescent="0.25">
      <c r="A445" s="30">
        <v>307</v>
      </c>
      <c r="B445" s="5" t="s">
        <v>1872</v>
      </c>
      <c r="C445" s="2" t="s">
        <v>95</v>
      </c>
      <c r="D445" s="2"/>
      <c r="E445" s="2">
        <v>941496</v>
      </c>
      <c r="F445" s="2">
        <v>1938119</v>
      </c>
      <c r="G445" s="2" t="s">
        <v>1235</v>
      </c>
      <c r="H445" s="2" t="s">
        <v>962</v>
      </c>
      <c r="I445" s="2"/>
      <c r="J445" s="2" t="s">
        <v>963</v>
      </c>
      <c r="K445" s="2" t="s">
        <v>239</v>
      </c>
      <c r="L445" s="2"/>
      <c r="M445" s="2"/>
      <c r="N445" s="2"/>
      <c r="O445" s="2"/>
      <c r="P445" s="557" t="str">
        <f>CONCATENATE(schedule13[[#This Row],[OD]],"-",schedule13[[#This Row],[ID]],"-",schedule13[[#This Row],[TICKNESS]],"-",schedule13[[#This Row],[GRADE]],"-",schedule13[[#This Row],[FC/NFC]])</f>
        <v>17.3-0-1.6-ERW 1-PE</v>
      </c>
      <c r="Q445" s="557"/>
      <c r="R445" s="557"/>
      <c r="S445" s="1">
        <v>17.3</v>
      </c>
      <c r="T445" s="1">
        <v>17.3</v>
      </c>
      <c r="U445" s="1">
        <v>0</v>
      </c>
      <c r="V445" s="1">
        <v>1.6</v>
      </c>
      <c r="W445" s="24">
        <v>400</v>
      </c>
      <c r="X445" s="24"/>
      <c r="Y445" s="2">
        <v>22000</v>
      </c>
      <c r="Z445" s="2"/>
      <c r="AA445" s="4">
        <f t="shared" si="67"/>
        <v>22000</v>
      </c>
      <c r="AB445" s="1">
        <f t="shared" si="71"/>
        <v>5.4496935680000016</v>
      </c>
      <c r="AC445" s="1">
        <f t="shared" si="72"/>
        <v>0</v>
      </c>
      <c r="AD445" s="1">
        <f t="shared" si="68"/>
        <v>5.4496935680000016</v>
      </c>
      <c r="AE445" s="1"/>
      <c r="AF445" s="1"/>
      <c r="AG445" s="1"/>
      <c r="AH445" s="1">
        <f t="shared" si="75"/>
        <v>0</v>
      </c>
      <c r="AI445" s="118" t="e">
        <f t="shared" si="76"/>
        <v>#DIV/0!</v>
      </c>
    </row>
    <row r="446" spans="1:35" hidden="1" x14ac:dyDescent="0.25">
      <c r="A446" s="30">
        <v>308</v>
      </c>
      <c r="B446" s="5" t="s">
        <v>1816</v>
      </c>
      <c r="C446" s="2" t="s">
        <v>95</v>
      </c>
      <c r="D446" s="2"/>
      <c r="E446" s="2">
        <v>941496</v>
      </c>
      <c r="F446" s="2">
        <v>3718926</v>
      </c>
      <c r="G446" s="2" t="s">
        <v>2081</v>
      </c>
      <c r="H446" s="2" t="s">
        <v>962</v>
      </c>
      <c r="I446" s="2"/>
      <c r="J446" s="2"/>
      <c r="K446" s="2" t="s">
        <v>239</v>
      </c>
      <c r="L446" s="2"/>
      <c r="M446" s="2"/>
      <c r="N446" s="2"/>
      <c r="O446" s="2"/>
      <c r="P446" s="557" t="str">
        <f>CONCATENATE(schedule13[[#This Row],[OD]],"-",schedule13[[#This Row],[ID]],"-",schedule13[[#This Row],[TICKNESS]],"-",schedule13[[#This Row],[GRADE]],"-",schedule13[[#This Row],[FC/NFC]])</f>
        <v>19.05-0-2.3-ERW 1-</v>
      </c>
      <c r="Q446" s="557"/>
      <c r="R446" s="557"/>
      <c r="S446" s="1">
        <v>19.05</v>
      </c>
      <c r="T446" s="1">
        <v>19.05</v>
      </c>
      <c r="U446" s="1">
        <v>0</v>
      </c>
      <c r="V446" s="1">
        <v>2.2999999999999998</v>
      </c>
      <c r="W446" s="24">
        <v>402</v>
      </c>
      <c r="X446" s="24"/>
      <c r="Y446" s="2">
        <v>0</v>
      </c>
      <c r="Z446" s="2"/>
      <c r="AA446" s="4">
        <f t="shared" si="67"/>
        <v>0</v>
      </c>
      <c r="AB446" s="1">
        <f t="shared" si="71"/>
        <v>0</v>
      </c>
      <c r="AC446" s="1">
        <f t="shared" si="72"/>
        <v>0</v>
      </c>
      <c r="AD446" s="1">
        <f t="shared" si="68"/>
        <v>0</v>
      </c>
      <c r="AE446" s="1"/>
      <c r="AF446" s="1">
        <v>0.4</v>
      </c>
      <c r="AG446" s="1"/>
      <c r="AH446" s="1">
        <f t="shared" si="75"/>
        <v>5.0496935680000012</v>
      </c>
      <c r="AI446" s="118">
        <f t="shared" si="76"/>
        <v>7.3398622327823321E-2</v>
      </c>
    </row>
    <row r="447" spans="1:35" hidden="1" x14ac:dyDescent="0.25">
      <c r="A447" s="30">
        <v>309</v>
      </c>
      <c r="B447" s="5" t="s">
        <v>1816</v>
      </c>
      <c r="C447" s="2" t="s">
        <v>95</v>
      </c>
      <c r="D447" s="2"/>
      <c r="E447" s="2">
        <v>941496</v>
      </c>
      <c r="F447" s="2">
        <v>3715133</v>
      </c>
      <c r="G447" s="2" t="s">
        <v>2084</v>
      </c>
      <c r="H447" s="2" t="s">
        <v>962</v>
      </c>
      <c r="I447" s="2"/>
      <c r="J447" s="2" t="s">
        <v>1003</v>
      </c>
      <c r="K447" s="2" t="s">
        <v>239</v>
      </c>
      <c r="L447" s="2"/>
      <c r="M447" s="2"/>
      <c r="N447" s="2"/>
      <c r="O447" s="2"/>
      <c r="P447" s="557" t="str">
        <f>CONCATENATE(schedule13[[#This Row],[OD]],"-",schedule13[[#This Row],[ID]],"-",schedule13[[#This Row],[TICKNESS]],"-",schedule13[[#This Row],[GRADE]],"-",schedule13[[#This Row],[FC/NFC]])</f>
        <v>31.75-0-1.6-ERW 1-FC</v>
      </c>
      <c r="Q447" s="557"/>
      <c r="R447" s="557"/>
      <c r="S447" s="1">
        <v>31.75</v>
      </c>
      <c r="T447" s="1">
        <v>31.75</v>
      </c>
      <c r="U447" s="1">
        <v>0</v>
      </c>
      <c r="V447" s="1">
        <v>1.6</v>
      </c>
      <c r="W447" s="24">
        <v>658</v>
      </c>
      <c r="X447" s="24"/>
      <c r="Y447" s="2">
        <v>15000</v>
      </c>
      <c r="Z447" s="2"/>
      <c r="AA447" s="4">
        <f t="shared" si="67"/>
        <v>15000</v>
      </c>
      <c r="AB447" s="1">
        <f t="shared" si="71"/>
        <v>11.738003306400001</v>
      </c>
      <c r="AC447" s="1">
        <f t="shared" si="72"/>
        <v>0</v>
      </c>
      <c r="AD447" s="1">
        <f t="shared" si="68"/>
        <v>11.738003306400001</v>
      </c>
      <c r="AE447" s="1"/>
      <c r="AF447" s="1"/>
      <c r="AG447" s="1"/>
      <c r="AH447" s="1">
        <f t="shared" si="75"/>
        <v>0</v>
      </c>
      <c r="AI447" s="118" t="e">
        <f t="shared" si="76"/>
        <v>#DIV/0!</v>
      </c>
    </row>
    <row r="448" spans="1:35" hidden="1" x14ac:dyDescent="0.25">
      <c r="A448" s="30">
        <v>310</v>
      </c>
      <c r="B448" s="5" t="s">
        <v>1816</v>
      </c>
      <c r="C448" s="2" t="s">
        <v>95</v>
      </c>
      <c r="D448" s="2"/>
      <c r="E448" s="2">
        <v>941496</v>
      </c>
      <c r="F448" s="2">
        <v>1940588</v>
      </c>
      <c r="G448" s="2" t="s">
        <v>797</v>
      </c>
      <c r="H448" s="2" t="s">
        <v>962</v>
      </c>
      <c r="I448" s="2"/>
      <c r="J448" s="2" t="s">
        <v>1003</v>
      </c>
      <c r="K448" s="2" t="s">
        <v>239</v>
      </c>
      <c r="L448" s="2"/>
      <c r="M448" s="2"/>
      <c r="N448" s="2"/>
      <c r="O448" s="2"/>
      <c r="P448" s="557" t="str">
        <f>CONCATENATE(schedule13[[#This Row],[OD]],"-",schedule13[[#This Row],[ID]],"-",schedule13[[#This Row],[TICKNESS]],"-",schedule13[[#This Row],[GRADE]],"-",schedule13[[#This Row],[FC/NFC]])</f>
        <v>25.4-0-2-ERW 1-FC</v>
      </c>
      <c r="Q448" s="557"/>
      <c r="R448" s="557"/>
      <c r="S448" s="1">
        <v>25.4</v>
      </c>
      <c r="T448" s="1">
        <v>25.4</v>
      </c>
      <c r="U448" s="1">
        <v>0</v>
      </c>
      <c r="V448" s="1">
        <v>2</v>
      </c>
      <c r="W448" s="24">
        <v>355</v>
      </c>
      <c r="X448" s="24"/>
      <c r="Y448" s="2">
        <v>20000</v>
      </c>
      <c r="Z448" s="2"/>
      <c r="AA448" s="4">
        <f t="shared" si="67"/>
        <v>20000</v>
      </c>
      <c r="AB448" s="1">
        <f t="shared" si="71"/>
        <v>8.191698839999999</v>
      </c>
      <c r="AC448" s="1">
        <f t="shared" si="72"/>
        <v>0</v>
      </c>
      <c r="AD448" s="1">
        <f t="shared" si="68"/>
        <v>8.191698839999999</v>
      </c>
      <c r="AE448" s="1"/>
      <c r="AF448" s="1">
        <v>1.464</v>
      </c>
      <c r="AG448" s="1"/>
      <c r="AH448" s="1">
        <f t="shared" si="75"/>
        <v>10.274003306400001</v>
      </c>
      <c r="AI448" s="118">
        <f t="shared" si="76"/>
        <v>0.124723086353347</v>
      </c>
    </row>
    <row r="449" spans="1:35" hidden="1" x14ac:dyDescent="0.25">
      <c r="A449" s="30">
        <v>311</v>
      </c>
      <c r="B449" s="5" t="s">
        <v>1816</v>
      </c>
      <c r="C449" s="2" t="s">
        <v>95</v>
      </c>
      <c r="D449" s="2"/>
      <c r="E449" s="2">
        <v>941496</v>
      </c>
      <c r="F449" s="2">
        <v>1937022</v>
      </c>
      <c r="G449" s="2" t="s">
        <v>2079</v>
      </c>
      <c r="H449" s="2" t="s">
        <v>962</v>
      </c>
      <c r="I449" s="2"/>
      <c r="J449" s="2" t="s">
        <v>963</v>
      </c>
      <c r="K449" s="2" t="s">
        <v>1867</v>
      </c>
      <c r="L449" s="2"/>
      <c r="M449" s="2"/>
      <c r="N449" s="2"/>
      <c r="O449" s="2"/>
      <c r="P449" s="557" t="str">
        <f>CONCATENATE(schedule13[[#This Row],[OD]],"-",schedule13[[#This Row],[ID]],"-",schedule13[[#This Row],[TICKNESS]],"-",schedule13[[#This Row],[GRADE]],"-",schedule13[[#This Row],[FC/NFC]])</f>
        <v>19.05-0-1.2-ERW 1-PE</v>
      </c>
      <c r="Q449" s="557"/>
      <c r="R449" s="557"/>
      <c r="S449" s="1">
        <v>19.05</v>
      </c>
      <c r="T449" s="1">
        <v>19.05</v>
      </c>
      <c r="U449" s="1">
        <v>0</v>
      </c>
      <c r="V449" s="1">
        <v>1.2</v>
      </c>
      <c r="W449" s="24">
        <v>650</v>
      </c>
      <c r="X449" s="24"/>
      <c r="Y449" s="2">
        <v>10000</v>
      </c>
      <c r="Z449" s="2"/>
      <c r="AA449" s="4">
        <f t="shared" si="67"/>
        <v>10000</v>
      </c>
      <c r="AB449" s="1">
        <f t="shared" si="71"/>
        <v>3.4324371900000004</v>
      </c>
      <c r="AC449" s="1">
        <f t="shared" si="72"/>
        <v>0</v>
      </c>
      <c r="AD449" s="1">
        <f t="shared" si="68"/>
        <v>3.4324371900000004</v>
      </c>
      <c r="AE449" s="1"/>
      <c r="AF449" s="1">
        <v>1.2562200000000001</v>
      </c>
      <c r="AG449" s="1"/>
      <c r="AH449" s="1">
        <f t="shared" si="75"/>
        <v>6.9354788399999991</v>
      </c>
      <c r="AI449" s="118">
        <f t="shared" si="76"/>
        <v>0.15335280563121878</v>
      </c>
    </row>
    <row r="450" spans="1:35" hidden="1" x14ac:dyDescent="0.25">
      <c r="A450" s="30">
        <v>312</v>
      </c>
      <c r="B450" s="5" t="s">
        <v>1816</v>
      </c>
      <c r="C450" s="2" t="s">
        <v>95</v>
      </c>
      <c r="D450" s="2"/>
      <c r="E450" s="2">
        <v>941496</v>
      </c>
      <c r="F450" s="2">
        <v>2256593</v>
      </c>
      <c r="G450" s="2" t="s">
        <v>1598</v>
      </c>
      <c r="H450" s="2" t="s">
        <v>962</v>
      </c>
      <c r="I450" s="2"/>
      <c r="J450" s="2" t="s">
        <v>1003</v>
      </c>
      <c r="K450" s="2" t="s">
        <v>1867</v>
      </c>
      <c r="L450" s="2"/>
      <c r="M450" s="2"/>
      <c r="N450" s="2"/>
      <c r="O450" s="2"/>
      <c r="P450" s="557" t="str">
        <f>CONCATENATE(schedule13[[#This Row],[OD]],"-",schedule13[[#This Row],[ID]],"-",schedule13[[#This Row],[TICKNESS]],"-",schedule13[[#This Row],[GRADE]],"-",schedule13[[#This Row],[FC/NFC]])</f>
        <v>31.75-0-1.2-ERW 1-FC</v>
      </c>
      <c r="Q450" s="557"/>
      <c r="R450" s="557"/>
      <c r="S450" s="1">
        <v>31.75</v>
      </c>
      <c r="T450" s="1">
        <v>31.75</v>
      </c>
      <c r="U450" s="1">
        <v>0</v>
      </c>
      <c r="V450" s="1">
        <v>1.2</v>
      </c>
      <c r="W450" s="24">
        <v>210</v>
      </c>
      <c r="X450" s="24"/>
      <c r="Y450" s="2">
        <v>5000</v>
      </c>
      <c r="Z450" s="2"/>
      <c r="AA450" s="4">
        <f t="shared" si="67"/>
        <v>5000</v>
      </c>
      <c r="AB450" s="1">
        <f t="shared" si="71"/>
        <v>0.94896792899999993</v>
      </c>
      <c r="AC450" s="1">
        <f t="shared" si="72"/>
        <v>0</v>
      </c>
      <c r="AD450" s="1">
        <f t="shared" si="68"/>
        <v>0.94896792899999993</v>
      </c>
      <c r="AE450" s="1"/>
      <c r="AF450" s="1"/>
      <c r="AG450" s="1"/>
      <c r="AH450" s="1">
        <f t="shared" si="75"/>
        <v>3.4324371900000004</v>
      </c>
      <c r="AI450" s="118">
        <f t="shared" si="76"/>
        <v>0</v>
      </c>
    </row>
    <row r="451" spans="1:35" hidden="1" x14ac:dyDescent="0.25">
      <c r="A451" s="30">
        <v>313</v>
      </c>
      <c r="B451" s="5" t="s">
        <v>1816</v>
      </c>
      <c r="C451" s="2" t="s">
        <v>95</v>
      </c>
      <c r="D451" s="2"/>
      <c r="E451" s="2">
        <v>941496</v>
      </c>
      <c r="F451" s="2">
        <v>1940247</v>
      </c>
      <c r="G451" s="2" t="s">
        <v>1349</v>
      </c>
      <c r="H451" s="2" t="s">
        <v>962</v>
      </c>
      <c r="I451" s="2"/>
      <c r="J451" s="2" t="s">
        <v>963</v>
      </c>
      <c r="K451" s="2" t="s">
        <v>1867</v>
      </c>
      <c r="L451" s="44" t="s">
        <v>1891</v>
      </c>
      <c r="M451" s="2"/>
      <c r="N451" s="2"/>
      <c r="O451" s="2"/>
      <c r="P451" s="557" t="str">
        <f>CONCATENATE(schedule13[[#This Row],[OD]],"-",schedule13[[#This Row],[ID]],"-",schedule13[[#This Row],[TICKNESS]],"-",schedule13[[#This Row],[GRADE]],"-",schedule13[[#This Row],[FC/NFC]])</f>
        <v>19.05-0-1.6-ERW 1-PE</v>
      </c>
      <c r="Q451" s="557"/>
      <c r="R451" s="557"/>
      <c r="S451" s="1">
        <v>19.05</v>
      </c>
      <c r="T451" s="1">
        <v>19.05</v>
      </c>
      <c r="U451" s="1">
        <v>0</v>
      </c>
      <c r="V451" s="1">
        <v>1.6</v>
      </c>
      <c r="W451" s="24">
        <v>595</v>
      </c>
      <c r="X451" s="24"/>
      <c r="Y451" s="2">
        <v>7000</v>
      </c>
      <c r="Z451" s="2"/>
      <c r="AA451" s="4">
        <f t="shared" si="67"/>
        <v>7000</v>
      </c>
      <c r="AB451" s="1">
        <f t="shared" si="71"/>
        <v>2.8668184804000001</v>
      </c>
      <c r="AC451" s="1">
        <f t="shared" si="72"/>
        <v>0</v>
      </c>
      <c r="AD451" s="1">
        <f t="shared" si="68"/>
        <v>2.8668184804000001</v>
      </c>
      <c r="AE451" s="1"/>
      <c r="AF451" s="1"/>
      <c r="AG451" s="1"/>
      <c r="AH451" s="1">
        <f t="shared" si="75"/>
        <v>0.94896792899999993</v>
      </c>
      <c r="AI451" s="118">
        <f t="shared" si="76"/>
        <v>0</v>
      </c>
    </row>
    <row r="452" spans="1:35" hidden="1" x14ac:dyDescent="0.25">
      <c r="A452" s="30">
        <v>314</v>
      </c>
      <c r="B452" s="5" t="s">
        <v>1816</v>
      </c>
      <c r="C452" s="2" t="s">
        <v>95</v>
      </c>
      <c r="D452" s="2"/>
      <c r="E452" s="2">
        <v>941496</v>
      </c>
      <c r="F452" s="2">
        <v>1940614</v>
      </c>
      <c r="G452" s="2" t="s">
        <v>693</v>
      </c>
      <c r="H452" s="2" t="s">
        <v>962</v>
      </c>
      <c r="I452" s="2"/>
      <c r="J452" s="2" t="s">
        <v>963</v>
      </c>
      <c r="K452" s="2" t="s">
        <v>1867</v>
      </c>
      <c r="L452" s="2"/>
      <c r="M452" s="2"/>
      <c r="N452" s="2"/>
      <c r="O452" s="2"/>
      <c r="P452" s="557" t="str">
        <f>CONCATENATE(schedule13[[#This Row],[OD]],"-",schedule13[[#This Row],[ID]],"-",schedule13[[#This Row],[TICKNESS]],"-",schedule13[[#This Row],[GRADE]],"-",schedule13[[#This Row],[FC/NFC]])</f>
        <v>28.58-0-1.2-ERW 1-PE</v>
      </c>
      <c r="Q452" s="557"/>
      <c r="R452" s="557"/>
      <c r="S452" s="1">
        <v>28.58</v>
      </c>
      <c r="T452" s="1">
        <v>28.58</v>
      </c>
      <c r="U452" s="1">
        <v>0</v>
      </c>
      <c r="V452" s="1">
        <v>1.2</v>
      </c>
      <c r="W452" s="24">
        <v>595</v>
      </c>
      <c r="X452" s="24"/>
      <c r="Y452" s="2">
        <v>10000</v>
      </c>
      <c r="Z452" s="2"/>
      <c r="AA452" s="4">
        <f t="shared" ref="AA452:AA515" si="77">Y452-Z452</f>
        <v>10000</v>
      </c>
      <c r="AB452" s="1">
        <f t="shared" si="71"/>
        <v>4.8194938595999988</v>
      </c>
      <c r="AC452" s="1">
        <f t="shared" si="72"/>
        <v>0</v>
      </c>
      <c r="AD452" s="1">
        <f t="shared" ref="AD452:AD515" si="78">AB452-AC452</f>
        <v>4.8194938595999988</v>
      </c>
      <c r="AE452" s="1"/>
      <c r="AF452" s="1"/>
      <c r="AG452" s="1"/>
      <c r="AH452" s="1">
        <f t="shared" si="75"/>
        <v>2.8668184804000001</v>
      </c>
      <c r="AI452" s="118">
        <f t="shared" si="76"/>
        <v>0</v>
      </c>
    </row>
    <row r="453" spans="1:35" hidden="1" x14ac:dyDescent="0.25">
      <c r="A453" s="30">
        <v>315</v>
      </c>
      <c r="B453" s="5" t="s">
        <v>1872</v>
      </c>
      <c r="C453" s="2" t="s">
        <v>95</v>
      </c>
      <c r="D453" s="2"/>
      <c r="E453" s="2">
        <v>941496</v>
      </c>
      <c r="F453" s="2">
        <v>1938118</v>
      </c>
      <c r="G453" s="2" t="s">
        <v>1233</v>
      </c>
      <c r="H453" s="2" t="s">
        <v>962</v>
      </c>
      <c r="I453" s="2"/>
      <c r="J453" s="2" t="s">
        <v>963</v>
      </c>
      <c r="K453" s="2" t="s">
        <v>1867</v>
      </c>
      <c r="L453" s="2" t="s">
        <v>1883</v>
      </c>
      <c r="M453" s="2"/>
      <c r="N453" s="2"/>
      <c r="O453" s="2"/>
      <c r="P453" s="557" t="str">
        <f>CONCATENATE(schedule13[[#This Row],[OD]],"-",schedule13[[#This Row],[ID]],"-",schedule13[[#This Row],[TICKNESS]],"-",schedule13[[#This Row],[GRADE]],"-",schedule13[[#This Row],[FC/NFC]])</f>
        <v>17.3-0-1.6-ERW 1-PE</v>
      </c>
      <c r="Q453" s="557"/>
      <c r="R453" s="557"/>
      <c r="S453" s="1">
        <v>17.3</v>
      </c>
      <c r="T453" s="1">
        <v>17.3</v>
      </c>
      <c r="U453" s="1">
        <v>0</v>
      </c>
      <c r="V453" s="1">
        <v>1.6</v>
      </c>
      <c r="W453" s="24">
        <v>355</v>
      </c>
      <c r="X453" s="24"/>
      <c r="Y453" s="2">
        <v>22000</v>
      </c>
      <c r="Z453" s="2"/>
      <c r="AA453" s="4">
        <f t="shared" si="77"/>
        <v>22000</v>
      </c>
      <c r="AB453" s="1">
        <f t="shared" si="71"/>
        <v>4.8366030416000019</v>
      </c>
      <c r="AC453" s="1">
        <f t="shared" si="72"/>
        <v>0</v>
      </c>
      <c r="AD453" s="1">
        <f t="shared" si="78"/>
        <v>4.8366030416000019</v>
      </c>
      <c r="AE453" s="1"/>
      <c r="AF453" s="1"/>
      <c r="AG453" s="1"/>
      <c r="AH453" s="1">
        <f t="shared" si="75"/>
        <v>4.8194938595999988</v>
      </c>
      <c r="AI453" s="118">
        <f t="shared" si="76"/>
        <v>0</v>
      </c>
    </row>
    <row r="454" spans="1:35" hidden="1" x14ac:dyDescent="0.25">
      <c r="A454" s="30">
        <v>316</v>
      </c>
      <c r="B454" s="5" t="s">
        <v>1816</v>
      </c>
      <c r="C454" s="2" t="s">
        <v>95</v>
      </c>
      <c r="D454" s="2"/>
      <c r="E454" s="2">
        <v>941496</v>
      </c>
      <c r="F454" s="9">
        <v>2320564</v>
      </c>
      <c r="G454" s="9" t="s">
        <v>1414</v>
      </c>
      <c r="H454" s="2" t="s">
        <v>962</v>
      </c>
      <c r="I454" s="2"/>
      <c r="J454" s="2" t="s">
        <v>963</v>
      </c>
      <c r="K454" s="2" t="s">
        <v>239</v>
      </c>
      <c r="L454" s="2"/>
      <c r="M454" s="2"/>
      <c r="N454" s="2"/>
      <c r="O454" s="2"/>
      <c r="P454" s="557" t="str">
        <f>CONCATENATE(schedule13[[#This Row],[OD]],"-",schedule13[[#This Row],[ID]],"-",schedule13[[#This Row],[TICKNESS]],"-",schedule13[[#This Row],[GRADE]],"-",schedule13[[#This Row],[FC/NFC]])</f>
        <v>19.05-0-2.3-ERW 1-PE</v>
      </c>
      <c r="Q454" s="557"/>
      <c r="R454" s="557"/>
      <c r="S454" s="1">
        <v>19.05</v>
      </c>
      <c r="T454" s="1">
        <v>19.05</v>
      </c>
      <c r="U454" s="1">
        <v>0</v>
      </c>
      <c r="V454" s="1">
        <v>2.2999999999999998</v>
      </c>
      <c r="W454" s="24">
        <v>400</v>
      </c>
      <c r="X454" s="24"/>
      <c r="Y454" s="2">
        <v>6000</v>
      </c>
      <c r="Z454" s="2"/>
      <c r="AA454" s="4">
        <f t="shared" si="77"/>
        <v>6000</v>
      </c>
      <c r="AB454" s="1">
        <f t="shared" si="71"/>
        <v>2.2794163799999998</v>
      </c>
      <c r="AC454" s="1">
        <f t="shared" si="72"/>
        <v>0</v>
      </c>
      <c r="AD454" s="1">
        <f t="shared" si="78"/>
        <v>2.2794163799999998</v>
      </c>
      <c r="AE454" s="1"/>
      <c r="AF454" s="1">
        <v>0.127</v>
      </c>
      <c r="AG454" s="1"/>
      <c r="AH454" s="1">
        <f t="shared" si="75"/>
        <v>4.7096030416000021</v>
      </c>
      <c r="AI454" s="118">
        <f t="shared" si="76"/>
        <v>2.6258098691925521E-2</v>
      </c>
    </row>
    <row r="455" spans="1:35" hidden="1" x14ac:dyDescent="0.25">
      <c r="A455" s="30">
        <v>317</v>
      </c>
      <c r="B455" s="5" t="s">
        <v>1872</v>
      </c>
      <c r="C455" s="2" t="s">
        <v>95</v>
      </c>
      <c r="D455" s="2"/>
      <c r="E455" s="2">
        <v>945539</v>
      </c>
      <c r="F455" s="2"/>
      <c r="G455" s="2" t="s">
        <v>2086</v>
      </c>
      <c r="H455" s="2" t="s">
        <v>962</v>
      </c>
      <c r="I455" s="2" t="s">
        <v>1894</v>
      </c>
      <c r="J455" s="2" t="s">
        <v>1003</v>
      </c>
      <c r="K455" s="2" t="s">
        <v>239</v>
      </c>
      <c r="L455" s="2"/>
      <c r="M455" s="2" t="s">
        <v>1516</v>
      </c>
      <c r="N455" s="2"/>
      <c r="O455" s="2"/>
      <c r="P455" s="557" t="str">
        <f>CONCATENATE(schedule13[[#This Row],[OD]],"-",schedule13[[#This Row],[ID]],"-",schedule13[[#This Row],[TICKNESS]],"-",schedule13[[#This Row],[GRADE]],"-",schedule13[[#This Row],[FC/NFC]])</f>
        <v>42.7-0-3.5-ERW 1-FC</v>
      </c>
      <c r="Q455" s="557" t="str">
        <f>_xlfn.CONCAT(schedule13[[#This Row],[Bucket]],"-",schedule13[[#This Row],[LENGTH]]/1000)</f>
        <v>42.7-0-3.5-ERW 1-FC-0.208</v>
      </c>
      <c r="R455" s="557">
        <f>COUNTIF(buckets[CTL Bucket],schedule13[[#This Row],[CTL Bucket]])</f>
        <v>1</v>
      </c>
      <c r="S455" s="1">
        <v>42.7</v>
      </c>
      <c r="T455" s="1">
        <v>42.7</v>
      </c>
      <c r="U455" s="1">
        <v>0</v>
      </c>
      <c r="V455" s="1">
        <v>3.5</v>
      </c>
      <c r="W455" s="24">
        <v>208</v>
      </c>
      <c r="X455" s="22" t="s">
        <v>397</v>
      </c>
      <c r="Y455" s="2">
        <v>28000</v>
      </c>
      <c r="Z455" s="2"/>
      <c r="AA455" s="4">
        <f t="shared" si="77"/>
        <v>28000</v>
      </c>
      <c r="AB455" s="1">
        <f t="shared" si="71"/>
        <v>19.699048678400004</v>
      </c>
      <c r="AC455" s="1">
        <f t="shared" si="72"/>
        <v>0</v>
      </c>
      <c r="AD455" s="1">
        <f t="shared" si="78"/>
        <v>19.699048678400004</v>
      </c>
      <c r="AE455" s="1"/>
      <c r="AF455" s="1"/>
      <c r="AG455" s="1"/>
      <c r="AH455" s="1">
        <f t="shared" si="75"/>
        <v>2.2794163799999998</v>
      </c>
      <c r="AI455" s="118">
        <f t="shared" si="76"/>
        <v>0</v>
      </c>
    </row>
    <row r="456" spans="1:35" hidden="1" x14ac:dyDescent="0.25">
      <c r="A456" s="30">
        <v>318</v>
      </c>
      <c r="B456" s="5" t="s">
        <v>1816</v>
      </c>
      <c r="C456" s="2" t="s">
        <v>95</v>
      </c>
      <c r="D456" s="2"/>
      <c r="E456" s="2">
        <v>941496</v>
      </c>
      <c r="F456" s="2">
        <v>2399718</v>
      </c>
      <c r="G456" s="2" t="s">
        <v>2085</v>
      </c>
      <c r="H456" s="2" t="s">
        <v>962</v>
      </c>
      <c r="I456" s="2"/>
      <c r="J456" s="2"/>
      <c r="K456" s="2" t="s">
        <v>239</v>
      </c>
      <c r="L456" s="2"/>
      <c r="M456" s="2"/>
      <c r="N456" s="2"/>
      <c r="O456" s="2"/>
      <c r="P456" s="557" t="str">
        <f>CONCATENATE(schedule13[[#This Row],[OD]],"-",schedule13[[#This Row],[ID]],"-",schedule13[[#This Row],[TICKNESS]],"-",schedule13[[#This Row],[GRADE]],"-",schedule13[[#This Row],[FC/NFC]])</f>
        <v>40-0-1.2-ERW 1-</v>
      </c>
      <c r="Q456" s="557"/>
      <c r="R456" s="557"/>
      <c r="S456" s="1">
        <v>40</v>
      </c>
      <c r="T456" s="1">
        <v>40</v>
      </c>
      <c r="U456" s="1">
        <v>0</v>
      </c>
      <c r="V456" s="1">
        <v>1.2</v>
      </c>
      <c r="W456" s="24">
        <v>450</v>
      </c>
      <c r="X456" s="24"/>
      <c r="Y456" s="2">
        <v>0</v>
      </c>
      <c r="Z456" s="2"/>
      <c r="AA456" s="4">
        <f t="shared" si="77"/>
        <v>0</v>
      </c>
      <c r="AB456" s="1">
        <f t="shared" si="71"/>
        <v>0</v>
      </c>
      <c r="AC456" s="1">
        <f t="shared" si="72"/>
        <v>0</v>
      </c>
      <c r="AD456" s="1">
        <f t="shared" si="78"/>
        <v>0</v>
      </c>
      <c r="AE456" s="1"/>
      <c r="AF456" s="1"/>
      <c r="AG456" s="1"/>
      <c r="AH456" s="1">
        <f t="shared" si="75"/>
        <v>19.699048678400004</v>
      </c>
      <c r="AI456" s="118">
        <f t="shared" si="76"/>
        <v>0</v>
      </c>
    </row>
    <row r="457" spans="1:35" hidden="1" x14ac:dyDescent="0.25">
      <c r="A457" s="30">
        <v>319</v>
      </c>
      <c r="B457" s="5" t="s">
        <v>1872</v>
      </c>
      <c r="C457" s="2" t="s">
        <v>95</v>
      </c>
      <c r="D457" s="2"/>
      <c r="E457" s="2">
        <v>941496</v>
      </c>
      <c r="F457" s="2">
        <v>2412748</v>
      </c>
      <c r="G457" s="2" t="s">
        <v>1969</v>
      </c>
      <c r="H457" s="2" t="s">
        <v>357</v>
      </c>
      <c r="I457" s="2"/>
      <c r="J457" s="2" t="s">
        <v>357</v>
      </c>
      <c r="K457" s="2" t="s">
        <v>239</v>
      </c>
      <c r="L457" s="2"/>
      <c r="M457" s="2"/>
      <c r="N457" s="2"/>
      <c r="O457" s="2"/>
      <c r="P457" s="557" t="str">
        <f>CONCATENATE(schedule13[[#This Row],[OD]],"-",schedule13[[#This Row],[ID]],"-",schedule13[[#This Row],[TICKNESS]],"-",schedule13[[#This Row],[GRADE]],"-",schedule13[[#This Row],[FC/NFC]])</f>
        <v>33.2999928423151-29.3-2-CEW-CEW</v>
      </c>
      <c r="Q457" s="557"/>
      <c r="R457" s="557"/>
      <c r="S457" s="1">
        <v>33.299999999999997</v>
      </c>
      <c r="T457" s="1">
        <v>33.299992842315135</v>
      </c>
      <c r="U457" s="1">
        <v>29.3</v>
      </c>
      <c r="V457" s="1">
        <v>2</v>
      </c>
      <c r="W457" s="24">
        <v>4500</v>
      </c>
      <c r="X457" s="24"/>
      <c r="Y457" s="2">
        <v>112</v>
      </c>
      <c r="Z457" s="2"/>
      <c r="AA457" s="4">
        <f t="shared" si="77"/>
        <v>112</v>
      </c>
      <c r="AB457" s="1">
        <f t="shared" si="71"/>
        <v>0.7778120112000001</v>
      </c>
      <c r="AC457" s="1">
        <f t="shared" si="72"/>
        <v>0</v>
      </c>
      <c r="AD457" s="1">
        <f t="shared" si="78"/>
        <v>0.7778120112000001</v>
      </c>
      <c r="AE457" s="1"/>
      <c r="AF457" s="1"/>
      <c r="AG457" s="1"/>
      <c r="AH457" s="1">
        <f t="shared" si="75"/>
        <v>0</v>
      </c>
      <c r="AI457" s="118" t="e">
        <f t="shared" si="76"/>
        <v>#DIV/0!</v>
      </c>
    </row>
    <row r="458" spans="1:35" hidden="1" x14ac:dyDescent="0.25">
      <c r="A458" s="30">
        <v>320</v>
      </c>
      <c r="B458" s="5" t="s">
        <v>1816</v>
      </c>
      <c r="C458" s="2" t="s">
        <v>95</v>
      </c>
      <c r="D458" s="2"/>
      <c r="E458" s="2">
        <v>941496</v>
      </c>
      <c r="F458" s="2">
        <v>2413708</v>
      </c>
      <c r="G458" s="2" t="s">
        <v>634</v>
      </c>
      <c r="H458" s="2" t="s">
        <v>962</v>
      </c>
      <c r="I458" s="2"/>
      <c r="J458" s="2" t="s">
        <v>963</v>
      </c>
      <c r="K458" s="2" t="s">
        <v>239</v>
      </c>
      <c r="L458" s="2"/>
      <c r="M458" s="2"/>
      <c r="N458" s="2"/>
      <c r="O458" s="2"/>
      <c r="P458" s="557" t="str">
        <f>CONCATENATE(schedule13[[#This Row],[OD]],"-",schedule13[[#This Row],[ID]],"-",schedule13[[#This Row],[TICKNESS]],"-",schedule13[[#This Row],[GRADE]],"-",schedule13[[#This Row],[FC/NFC]])</f>
        <v>22.23-0-2-ERW 1-PE</v>
      </c>
      <c r="Q458" s="557"/>
      <c r="R458" s="557"/>
      <c r="S458" s="1">
        <v>22.23</v>
      </c>
      <c r="T458" s="1">
        <v>22.23</v>
      </c>
      <c r="U458" s="1">
        <v>0</v>
      </c>
      <c r="V458" s="1">
        <v>2</v>
      </c>
      <c r="W458" s="24">
        <v>815</v>
      </c>
      <c r="X458" s="24"/>
      <c r="Y458" s="2">
        <v>20000</v>
      </c>
      <c r="Z458" s="2"/>
      <c r="AA458" s="4">
        <f t="shared" si="77"/>
        <v>20000</v>
      </c>
      <c r="AB458" s="1">
        <f t="shared" si="71"/>
        <v>16.258604194000004</v>
      </c>
      <c r="AC458" s="1">
        <f t="shared" si="72"/>
        <v>0</v>
      </c>
      <c r="AD458" s="1">
        <f t="shared" si="78"/>
        <v>16.258604194000004</v>
      </c>
      <c r="AE458" s="1"/>
      <c r="AF458" s="1">
        <v>9.7794539999999994</v>
      </c>
      <c r="AG458" s="1"/>
      <c r="AH458" s="1">
        <f t="shared" si="75"/>
        <v>-9.0016419887999994</v>
      </c>
      <c r="AI458" s="118">
        <f t="shared" si="76"/>
        <v>12.573030319899999</v>
      </c>
    </row>
    <row r="459" spans="1:35" hidden="1" x14ac:dyDescent="0.25">
      <c r="A459" s="30">
        <v>321</v>
      </c>
      <c r="B459" s="5" t="s">
        <v>1816</v>
      </c>
      <c r="C459" s="2" t="s">
        <v>95</v>
      </c>
      <c r="D459" s="2"/>
      <c r="E459" s="2">
        <v>941496</v>
      </c>
      <c r="F459" s="2">
        <v>3553684</v>
      </c>
      <c r="G459" s="2" t="s">
        <v>1505</v>
      </c>
      <c r="H459" s="2" t="s">
        <v>962</v>
      </c>
      <c r="I459" s="2"/>
      <c r="J459" s="2" t="s">
        <v>963</v>
      </c>
      <c r="K459" s="2" t="s">
        <v>1867</v>
      </c>
      <c r="L459" s="44" t="s">
        <v>1868</v>
      </c>
      <c r="M459" s="2"/>
      <c r="N459" s="2"/>
      <c r="O459" s="2"/>
      <c r="P459" s="557" t="str">
        <f>CONCATENATE(schedule13[[#This Row],[OD]],"-",schedule13[[#This Row],[ID]],"-",schedule13[[#This Row],[TICKNESS]],"-",schedule13[[#This Row],[GRADE]],"-",schedule13[[#This Row],[FC/NFC]])</f>
        <v>22.23-0-1.6-ERW 1-PE</v>
      </c>
      <c r="Q459" s="557"/>
      <c r="R459" s="557"/>
      <c r="S459" s="1">
        <v>22.23</v>
      </c>
      <c r="T459" s="1">
        <v>22.23</v>
      </c>
      <c r="U459" s="1">
        <v>0</v>
      </c>
      <c r="V459" s="1">
        <v>1.6</v>
      </c>
      <c r="W459" s="24">
        <v>274</v>
      </c>
      <c r="X459" s="24"/>
      <c r="Y459" s="2">
        <v>15000</v>
      </c>
      <c r="Z459" s="2"/>
      <c r="AA459" s="4">
        <f t="shared" si="77"/>
        <v>15000</v>
      </c>
      <c r="AB459" s="1">
        <f t="shared" si="71"/>
        <v>3.3444969806400007</v>
      </c>
      <c r="AC459" s="1">
        <f t="shared" si="72"/>
        <v>0</v>
      </c>
      <c r="AD459" s="1">
        <f t="shared" si="78"/>
        <v>3.3444969806400007</v>
      </c>
      <c r="AE459" s="1"/>
      <c r="AF459" s="1">
        <v>1.147</v>
      </c>
      <c r="AG459" s="1"/>
      <c r="AH459" s="1">
        <f t="shared" si="75"/>
        <v>15.111604194000003</v>
      </c>
      <c r="AI459" s="118">
        <f t="shared" si="76"/>
        <v>7.0547261395494415E-2</v>
      </c>
    </row>
    <row r="460" spans="1:35" hidden="1" x14ac:dyDescent="0.25">
      <c r="A460" s="30">
        <v>322</v>
      </c>
      <c r="B460" s="5" t="s">
        <v>1816</v>
      </c>
      <c r="C460" s="2" t="s">
        <v>95</v>
      </c>
      <c r="D460" s="2"/>
      <c r="E460" s="2">
        <v>941496</v>
      </c>
      <c r="F460" s="2">
        <v>3910650</v>
      </c>
      <c r="G460" s="2" t="s">
        <v>2087</v>
      </c>
      <c r="H460" s="2" t="s">
        <v>993</v>
      </c>
      <c r="I460" s="2"/>
      <c r="J460" s="2" t="s">
        <v>1003</v>
      </c>
      <c r="K460" s="2" t="s">
        <v>239</v>
      </c>
      <c r="L460" s="2" t="s">
        <v>2088</v>
      </c>
      <c r="M460" s="2"/>
      <c r="N460" s="2"/>
      <c r="O460" s="2"/>
      <c r="P460" s="557" t="str">
        <f>CONCATENATE(schedule13[[#This Row],[OD]],"-",schedule13[[#This Row],[ID]],"-",schedule13[[#This Row],[TICKNESS]],"-",schedule13[[#This Row],[GRADE]],"-",schedule13[[#This Row],[FC/NFC]])</f>
        <v>22.23-0-2-ERW 2-FC</v>
      </c>
      <c r="Q460" s="557"/>
      <c r="R460" s="557"/>
      <c r="S460" s="1">
        <v>22.23</v>
      </c>
      <c r="T460" s="1">
        <v>22.23</v>
      </c>
      <c r="U460" s="1">
        <v>0</v>
      </c>
      <c r="V460" s="1">
        <v>2</v>
      </c>
      <c r="W460" s="24">
        <v>855</v>
      </c>
      <c r="X460" s="24"/>
      <c r="Y460" s="2">
        <v>0</v>
      </c>
      <c r="Z460" s="2"/>
      <c r="AA460" s="4">
        <f t="shared" si="77"/>
        <v>0</v>
      </c>
      <c r="AB460" s="1">
        <f t="shared" si="71"/>
        <v>0</v>
      </c>
      <c r="AC460" s="1">
        <f t="shared" si="72"/>
        <v>0</v>
      </c>
      <c r="AD460" s="1">
        <f t="shared" si="78"/>
        <v>0</v>
      </c>
      <c r="AE460" s="1"/>
      <c r="AF460" s="1">
        <v>0.49657799999999996</v>
      </c>
      <c r="AG460" s="1"/>
      <c r="AH460" s="1">
        <f t="shared" si="75"/>
        <v>2.8479189806400007</v>
      </c>
      <c r="AI460" s="118">
        <f t="shared" si="76"/>
        <v>0.14847613942380511</v>
      </c>
    </row>
    <row r="461" spans="1:35" hidden="1" x14ac:dyDescent="0.25">
      <c r="A461" s="30">
        <v>323</v>
      </c>
      <c r="B461" s="5" t="s">
        <v>1816</v>
      </c>
      <c r="C461" s="2" t="s">
        <v>95</v>
      </c>
      <c r="D461" s="2"/>
      <c r="E461" s="2">
        <v>941496</v>
      </c>
      <c r="F461" s="2">
        <v>3910649</v>
      </c>
      <c r="G461" s="2" t="s">
        <v>773</v>
      </c>
      <c r="H461" s="2" t="s">
        <v>993</v>
      </c>
      <c r="I461" s="2"/>
      <c r="J461" s="2" t="s">
        <v>1003</v>
      </c>
      <c r="K461" s="2" t="s">
        <v>239</v>
      </c>
      <c r="L461" s="2" t="s">
        <v>2088</v>
      </c>
      <c r="M461" s="2"/>
      <c r="N461" s="2"/>
      <c r="O461" s="2"/>
      <c r="P461" s="557" t="str">
        <f>CONCATENATE(schedule13[[#This Row],[OD]],"-",schedule13[[#This Row],[ID]],"-",schedule13[[#This Row],[TICKNESS]],"-",schedule13[[#This Row],[GRADE]],"-",schedule13[[#This Row],[FC/NFC]])</f>
        <v>22.23-0-2-ERW 2-FC</v>
      </c>
      <c r="Q461" s="557"/>
      <c r="R461" s="557"/>
      <c r="S461" s="1">
        <v>22.23</v>
      </c>
      <c r="T461" s="1">
        <v>22.23</v>
      </c>
      <c r="U461" s="1">
        <v>0</v>
      </c>
      <c r="V461" s="1">
        <v>2</v>
      </c>
      <c r="W461" s="24">
        <v>863</v>
      </c>
      <c r="X461" s="24"/>
      <c r="Y461" s="2">
        <v>0</v>
      </c>
      <c r="Z461" s="2"/>
      <c r="AA461" s="4">
        <f t="shared" si="77"/>
        <v>0</v>
      </c>
      <c r="AB461" s="1">
        <f t="shared" si="71"/>
        <v>0</v>
      </c>
      <c r="AC461" s="1">
        <f t="shared" si="72"/>
        <v>0</v>
      </c>
      <c r="AD461" s="1">
        <f t="shared" si="78"/>
        <v>0</v>
      </c>
      <c r="AE461" s="1"/>
      <c r="AF461" s="1"/>
      <c r="AG461" s="1"/>
      <c r="AH461" s="1"/>
      <c r="AI461" s="118"/>
    </row>
    <row r="462" spans="1:35" hidden="1" x14ac:dyDescent="0.25">
      <c r="A462" s="30">
        <v>324</v>
      </c>
      <c r="B462" s="5" t="s">
        <v>1816</v>
      </c>
      <c r="C462" s="2" t="s">
        <v>95</v>
      </c>
      <c r="D462" s="2"/>
      <c r="E462" s="2">
        <v>941496</v>
      </c>
      <c r="F462" s="2">
        <v>1940437</v>
      </c>
      <c r="G462" s="2" t="s">
        <v>637</v>
      </c>
      <c r="H462" s="2" t="s">
        <v>962</v>
      </c>
      <c r="I462" s="2"/>
      <c r="J462" s="2" t="s">
        <v>963</v>
      </c>
      <c r="K462" s="2" t="s">
        <v>239</v>
      </c>
      <c r="L462" s="2"/>
      <c r="M462" s="2"/>
      <c r="N462" s="2"/>
      <c r="O462" s="2"/>
      <c r="P462" s="557" t="str">
        <f>CONCATENATE(schedule13[[#This Row],[OD]],"-",schedule13[[#This Row],[ID]],"-",schedule13[[#This Row],[TICKNESS]],"-",schedule13[[#This Row],[GRADE]],"-",schedule13[[#This Row],[FC/NFC]])</f>
        <v>22.23-0-2-ERW 1-PE</v>
      </c>
      <c r="Q462" s="557"/>
      <c r="R462" s="557"/>
      <c r="S462" s="1">
        <v>22.23</v>
      </c>
      <c r="T462" s="1">
        <v>22.23</v>
      </c>
      <c r="U462" s="1">
        <v>0</v>
      </c>
      <c r="V462" s="1">
        <v>2</v>
      </c>
      <c r="W462" s="24">
        <v>394</v>
      </c>
      <c r="X462" s="24"/>
      <c r="Y462" s="2">
        <v>10000</v>
      </c>
      <c r="Z462" s="2"/>
      <c r="AA462" s="4">
        <f t="shared" si="77"/>
        <v>10000</v>
      </c>
      <c r="AB462" s="1">
        <f t="shared" ref="AB462:AB525" si="79">(S462-V462)*V462*W462*0.024653*Y462/1000000</f>
        <v>3.9299938972000001</v>
      </c>
      <c r="AC462" s="1">
        <f t="shared" si="72"/>
        <v>0</v>
      </c>
      <c r="AD462" s="1">
        <f t="shared" si="78"/>
        <v>3.9299938972000001</v>
      </c>
      <c r="AE462" s="1"/>
      <c r="AF462" s="1"/>
      <c r="AG462" s="1"/>
      <c r="AH462" s="1"/>
      <c r="AI462" s="118"/>
    </row>
    <row r="463" spans="1:35" hidden="1" x14ac:dyDescent="0.25">
      <c r="A463" s="30">
        <v>325</v>
      </c>
      <c r="B463" s="5" t="s">
        <v>1816</v>
      </c>
      <c r="C463" s="2" t="s">
        <v>95</v>
      </c>
      <c r="D463" s="2"/>
      <c r="E463" s="2">
        <v>941496</v>
      </c>
      <c r="F463" s="2">
        <v>3507795</v>
      </c>
      <c r="G463" s="2" t="s">
        <v>2082</v>
      </c>
      <c r="H463" s="2" t="s">
        <v>962</v>
      </c>
      <c r="I463" s="2"/>
      <c r="J463" s="2"/>
      <c r="K463" s="2" t="s">
        <v>239</v>
      </c>
      <c r="L463" s="2"/>
      <c r="M463" s="2"/>
      <c r="N463" s="2"/>
      <c r="O463" s="2"/>
      <c r="P463" s="557" t="str">
        <f>CONCATENATE(schedule13[[#This Row],[OD]],"-",schedule13[[#This Row],[ID]],"-",schedule13[[#This Row],[TICKNESS]],"-",schedule13[[#This Row],[GRADE]],"-",schedule13[[#This Row],[FC/NFC]])</f>
        <v>31.75-0-1.2-ERW 1-</v>
      </c>
      <c r="Q463" s="557"/>
      <c r="R463" s="557"/>
      <c r="S463" s="1">
        <v>31.75</v>
      </c>
      <c r="T463" s="1">
        <v>31.75</v>
      </c>
      <c r="U463" s="1">
        <v>0</v>
      </c>
      <c r="V463" s="1">
        <v>1.2</v>
      </c>
      <c r="W463" s="24">
        <v>657</v>
      </c>
      <c r="X463" s="24"/>
      <c r="Y463" s="2">
        <v>0</v>
      </c>
      <c r="Z463" s="2"/>
      <c r="AA463" s="4">
        <f t="shared" si="77"/>
        <v>0</v>
      </c>
      <c r="AB463" s="1">
        <f t="shared" si="79"/>
        <v>0</v>
      </c>
      <c r="AC463" s="1">
        <f t="shared" si="72"/>
        <v>0</v>
      </c>
      <c r="AD463" s="1">
        <f t="shared" si="78"/>
        <v>0</v>
      </c>
      <c r="AE463" s="1"/>
      <c r="AF463" s="1">
        <v>2.5665549999999997</v>
      </c>
      <c r="AG463" s="1"/>
      <c r="AH463" s="1">
        <f t="shared" ref="AH463:AH469" si="80">AB462-AF463</f>
        <v>1.3634388972000004</v>
      </c>
      <c r="AI463" s="118">
        <f t="shared" ref="AI463:AI469" si="81">(AC463+AF463)/AB462</f>
        <v>0.65306844415931309</v>
      </c>
    </row>
    <row r="464" spans="1:35" hidden="1" x14ac:dyDescent="0.25">
      <c r="A464" s="30">
        <v>326</v>
      </c>
      <c r="B464" s="5" t="s">
        <v>1816</v>
      </c>
      <c r="C464" s="2" t="s">
        <v>95</v>
      </c>
      <c r="D464" s="2"/>
      <c r="E464" s="2">
        <v>941496</v>
      </c>
      <c r="F464" s="2">
        <v>2325421</v>
      </c>
      <c r="G464" s="2" t="s">
        <v>795</v>
      </c>
      <c r="H464" s="2" t="s">
        <v>962</v>
      </c>
      <c r="I464" s="2"/>
      <c r="J464" s="2" t="s">
        <v>1003</v>
      </c>
      <c r="K464" s="2" t="s">
        <v>1867</v>
      </c>
      <c r="L464" s="2"/>
      <c r="M464" s="2"/>
      <c r="N464" s="2"/>
      <c r="O464" s="2"/>
      <c r="P464" s="557" t="str">
        <f>CONCATENATE(schedule13[[#This Row],[OD]],"-",schedule13[[#This Row],[ID]],"-",schedule13[[#This Row],[TICKNESS]],"-",schedule13[[#This Row],[GRADE]],"-",schedule13[[#This Row],[FC/NFC]])</f>
        <v>48.6-0-1.2-ERW 1-FC</v>
      </c>
      <c r="Q464" s="557"/>
      <c r="R464" s="557"/>
      <c r="S464" s="1">
        <v>48.6</v>
      </c>
      <c r="T464" s="1">
        <v>48.6</v>
      </c>
      <c r="U464" s="1">
        <v>0</v>
      </c>
      <c r="V464" s="1">
        <v>1.2</v>
      </c>
      <c r="W464" s="24">
        <v>336</v>
      </c>
      <c r="X464" s="24"/>
      <c r="Y464" s="2">
        <v>15000</v>
      </c>
      <c r="Z464" s="2"/>
      <c r="AA464" s="4">
        <f t="shared" si="77"/>
        <v>15000</v>
      </c>
      <c r="AB464" s="1">
        <f t="shared" si="79"/>
        <v>7.0674037056000012</v>
      </c>
      <c r="AC464" s="1">
        <f t="shared" si="72"/>
        <v>0</v>
      </c>
      <c r="AD464" s="1">
        <f t="shared" si="78"/>
        <v>7.0674037056000012</v>
      </c>
      <c r="AE464" s="1"/>
      <c r="AF464" s="1"/>
      <c r="AG464" s="1"/>
      <c r="AH464" s="1">
        <f t="shared" si="80"/>
        <v>0</v>
      </c>
      <c r="AI464" s="118" t="e">
        <f t="shared" si="81"/>
        <v>#DIV/0!</v>
      </c>
    </row>
    <row r="465" spans="1:35" hidden="1" x14ac:dyDescent="0.25">
      <c r="A465" s="30">
        <v>327</v>
      </c>
      <c r="B465" s="5" t="s">
        <v>1816</v>
      </c>
      <c r="C465" s="2" t="s">
        <v>95</v>
      </c>
      <c r="D465" s="2"/>
      <c r="E465" s="2">
        <v>941496</v>
      </c>
      <c r="F465" s="2">
        <v>1903849</v>
      </c>
      <c r="G465" s="2" t="s">
        <v>865</v>
      </c>
      <c r="H465" s="2" t="s">
        <v>962</v>
      </c>
      <c r="I465" s="2"/>
      <c r="J465" s="2" t="s">
        <v>1003</v>
      </c>
      <c r="K465" s="2" t="s">
        <v>239</v>
      </c>
      <c r="L465" s="2"/>
      <c r="M465" s="2"/>
      <c r="N465" s="2"/>
      <c r="O465" s="2"/>
      <c r="P465" s="557" t="str">
        <f>CONCATENATE(schedule13[[#This Row],[OD]],"-",schedule13[[#This Row],[ID]],"-",schedule13[[#This Row],[TICKNESS]],"-",schedule13[[#This Row],[GRADE]],"-",schedule13[[#This Row],[FC/NFC]])</f>
        <v>38.1-0-2-ERW 1-FC</v>
      </c>
      <c r="Q465" s="557"/>
      <c r="R465" s="557"/>
      <c r="S465" s="1">
        <v>38.1</v>
      </c>
      <c r="T465" s="1">
        <v>38.1</v>
      </c>
      <c r="U465" s="1">
        <v>0</v>
      </c>
      <c r="V465" s="1">
        <v>2</v>
      </c>
      <c r="W465" s="24">
        <v>432</v>
      </c>
      <c r="X465" s="24"/>
      <c r="Y465" s="2">
        <v>8000</v>
      </c>
      <c r="Z465" s="2"/>
      <c r="AA465" s="4">
        <f t="shared" si="77"/>
        <v>8000</v>
      </c>
      <c r="AB465" s="1">
        <f t="shared" si="79"/>
        <v>6.1514954496000005</v>
      </c>
      <c r="AC465" s="1">
        <f t="shared" si="72"/>
        <v>0</v>
      </c>
      <c r="AD465" s="1">
        <f t="shared" si="78"/>
        <v>6.1514954496000005</v>
      </c>
      <c r="AE465" s="1"/>
      <c r="AF465" s="1">
        <v>0.36347999999999997</v>
      </c>
      <c r="AG465" s="1"/>
      <c r="AH465" s="1">
        <f t="shared" si="80"/>
        <v>6.7039237056000012</v>
      </c>
      <c r="AI465" s="118">
        <f t="shared" si="81"/>
        <v>5.1430484961823987E-2</v>
      </c>
    </row>
    <row r="466" spans="1:35" hidden="1" x14ac:dyDescent="0.25">
      <c r="A466" s="30">
        <v>328</v>
      </c>
      <c r="B466" s="5" t="s">
        <v>1816</v>
      </c>
      <c r="C466" s="2" t="s">
        <v>95</v>
      </c>
      <c r="D466" s="2"/>
      <c r="E466" s="2">
        <v>941496</v>
      </c>
      <c r="F466" s="2">
        <v>3667938</v>
      </c>
      <c r="G466" s="2" t="s">
        <v>639</v>
      </c>
      <c r="H466" s="2" t="s">
        <v>962</v>
      </c>
      <c r="I466" s="2"/>
      <c r="J466" s="2"/>
      <c r="K466" s="2" t="s">
        <v>239</v>
      </c>
      <c r="L466" s="2"/>
      <c r="M466" s="2"/>
      <c r="N466" s="2"/>
      <c r="O466" s="2"/>
      <c r="P466" s="557" t="str">
        <f>CONCATENATE(schedule13[[#This Row],[OD]],"-",schedule13[[#This Row],[ID]],"-",schedule13[[#This Row],[TICKNESS]],"-",schedule13[[#This Row],[GRADE]],"-",schedule13[[#This Row],[FC/NFC]])</f>
        <v>22.23-0-1.2-ERW 1-</v>
      </c>
      <c r="Q466" s="557"/>
      <c r="R466" s="557"/>
      <c r="S466" s="1">
        <v>22.23</v>
      </c>
      <c r="T466" s="1">
        <v>22.23</v>
      </c>
      <c r="U466" s="1">
        <v>0</v>
      </c>
      <c r="V466" s="1">
        <v>1.2</v>
      </c>
      <c r="W466" s="24">
        <v>673</v>
      </c>
      <c r="X466" s="24"/>
      <c r="Y466" s="2">
        <v>15000</v>
      </c>
      <c r="Z466" s="2"/>
      <c r="AA466" s="4">
        <f t="shared" si="77"/>
        <v>15000</v>
      </c>
      <c r="AB466" s="1">
        <f t="shared" si="79"/>
        <v>6.2805346752600011</v>
      </c>
      <c r="AC466" s="1">
        <f t="shared" si="72"/>
        <v>0</v>
      </c>
      <c r="AD466" s="1">
        <f t="shared" si="78"/>
        <v>6.2805346752600011</v>
      </c>
      <c r="AE466" s="1"/>
      <c r="AF466" s="1">
        <v>0.56996000000000002</v>
      </c>
      <c r="AG466" s="1"/>
      <c r="AH466" s="1">
        <f t="shared" si="80"/>
        <v>5.5815354496000005</v>
      </c>
      <c r="AI466" s="118">
        <f t="shared" si="81"/>
        <v>9.2653892808627777E-2</v>
      </c>
    </row>
    <row r="467" spans="1:35" hidden="1" x14ac:dyDescent="0.25">
      <c r="A467" s="30">
        <v>329</v>
      </c>
      <c r="B467" s="5" t="s">
        <v>1816</v>
      </c>
      <c r="C467" s="2" t="s">
        <v>95</v>
      </c>
      <c r="D467" s="2"/>
      <c r="E467" s="2">
        <v>941496</v>
      </c>
      <c r="F467" s="2">
        <v>3819143</v>
      </c>
      <c r="G467" s="2" t="s">
        <v>839</v>
      </c>
      <c r="H467" s="2" t="s">
        <v>962</v>
      </c>
      <c r="I467" s="2"/>
      <c r="J467" s="2" t="s">
        <v>963</v>
      </c>
      <c r="K467" s="2" t="s">
        <v>1867</v>
      </c>
      <c r="L467" s="2"/>
      <c r="M467" s="2"/>
      <c r="N467" s="2"/>
      <c r="O467" s="2"/>
      <c r="P467" s="557" t="str">
        <f>CONCATENATE(schedule13[[#This Row],[OD]],"-",schedule13[[#This Row],[ID]],"-",schedule13[[#This Row],[TICKNESS]],"-",schedule13[[#This Row],[GRADE]],"-",schedule13[[#This Row],[FC/NFC]])</f>
        <v>31.75-0-1.2-ERW 1-PE</v>
      </c>
      <c r="Q467" s="557"/>
      <c r="R467" s="557"/>
      <c r="S467" s="1">
        <v>31.75</v>
      </c>
      <c r="T467" s="1">
        <v>31.75</v>
      </c>
      <c r="U467" s="1">
        <v>0</v>
      </c>
      <c r="V467" s="1">
        <v>1.2</v>
      </c>
      <c r="W467" s="24">
        <v>680</v>
      </c>
      <c r="X467" s="24"/>
      <c r="Y467" s="2">
        <v>10000</v>
      </c>
      <c r="Z467" s="2"/>
      <c r="AA467" s="4">
        <f t="shared" si="77"/>
        <v>10000</v>
      </c>
      <c r="AB467" s="1">
        <f t="shared" si="79"/>
        <v>6.1456970639999993</v>
      </c>
      <c r="AC467" s="1">
        <f t="shared" si="72"/>
        <v>0</v>
      </c>
      <c r="AD467" s="1">
        <f t="shared" si="78"/>
        <v>6.1456970639999993</v>
      </c>
      <c r="AE467" s="1"/>
      <c r="AF467" s="1"/>
      <c r="AG467" s="1"/>
      <c r="AH467" s="1">
        <f t="shared" si="80"/>
        <v>6.2805346752600011</v>
      </c>
      <c r="AI467" s="118">
        <f t="shared" si="81"/>
        <v>0</v>
      </c>
    </row>
    <row r="468" spans="1:35" hidden="1" x14ac:dyDescent="0.25">
      <c r="A468" s="30">
        <v>330</v>
      </c>
      <c r="B468" s="5" t="s">
        <v>1816</v>
      </c>
      <c r="C468" s="2" t="s">
        <v>95</v>
      </c>
      <c r="D468" s="2"/>
      <c r="E468" s="2">
        <v>941496</v>
      </c>
      <c r="F468" s="2">
        <v>3516769</v>
      </c>
      <c r="G468" s="2" t="s">
        <v>1650</v>
      </c>
      <c r="H468" s="2" t="s">
        <v>962</v>
      </c>
      <c r="I468" s="2"/>
      <c r="J468" s="2" t="s">
        <v>1003</v>
      </c>
      <c r="K468" s="2" t="s">
        <v>239</v>
      </c>
      <c r="L468" s="2"/>
      <c r="M468" s="2"/>
      <c r="N468" s="2"/>
      <c r="O468" s="2"/>
      <c r="P468" s="557" t="str">
        <f>CONCATENATE(schedule13[[#This Row],[OD]],"-",schedule13[[#This Row],[ID]],"-",schedule13[[#This Row],[TICKNESS]],"-",schedule13[[#This Row],[GRADE]],"-",schedule13[[#This Row],[FC/NFC]])</f>
        <v>38.1-0-2-ERW 1-FC</v>
      </c>
      <c r="Q468" s="557"/>
      <c r="R468" s="557"/>
      <c r="S468" s="1">
        <v>38.1</v>
      </c>
      <c r="T468" s="1">
        <v>38.1</v>
      </c>
      <c r="U468" s="1">
        <v>0</v>
      </c>
      <c r="V468" s="1">
        <v>2</v>
      </c>
      <c r="W468" s="24">
        <v>494</v>
      </c>
      <c r="X468" s="24"/>
      <c r="Y468" s="2">
        <v>0</v>
      </c>
      <c r="Z468" s="2"/>
      <c r="AA468" s="4">
        <f t="shared" si="77"/>
        <v>0</v>
      </c>
      <c r="AB468" s="1">
        <f t="shared" si="79"/>
        <v>0</v>
      </c>
      <c r="AC468" s="1">
        <f t="shared" si="72"/>
        <v>0</v>
      </c>
      <c r="AD468" s="1">
        <f t="shared" si="78"/>
        <v>0</v>
      </c>
      <c r="AE468" s="1"/>
      <c r="AF468" s="1"/>
      <c r="AG468" s="1"/>
      <c r="AH468" s="1">
        <f t="shared" si="80"/>
        <v>6.1456970639999993</v>
      </c>
      <c r="AI468" s="118">
        <f t="shared" si="81"/>
        <v>0</v>
      </c>
    </row>
    <row r="469" spans="1:35" hidden="1" x14ac:dyDescent="0.25">
      <c r="A469" s="30">
        <v>331</v>
      </c>
      <c r="B469" s="5" t="s">
        <v>1816</v>
      </c>
      <c r="C469" s="2" t="s">
        <v>95</v>
      </c>
      <c r="D469" s="2"/>
      <c r="E469" s="2">
        <v>941496</v>
      </c>
      <c r="F469" s="2">
        <v>1940743</v>
      </c>
      <c r="G469" s="2" t="s">
        <v>867</v>
      </c>
      <c r="H469" s="2" t="s">
        <v>962</v>
      </c>
      <c r="I469" s="2"/>
      <c r="J469" s="2" t="s">
        <v>1003</v>
      </c>
      <c r="K469" s="2" t="s">
        <v>239</v>
      </c>
      <c r="L469" s="2"/>
      <c r="M469" s="2"/>
      <c r="N469" s="2"/>
      <c r="O469" s="2"/>
      <c r="P469" s="557" t="str">
        <f>CONCATENATE(schedule13[[#This Row],[OD]],"-",schedule13[[#This Row],[ID]],"-",schedule13[[#This Row],[TICKNESS]],"-",schedule13[[#This Row],[GRADE]],"-",schedule13[[#This Row],[FC/NFC]])</f>
        <v>38.1-0-2-ERW 1-FC</v>
      </c>
      <c r="Q469" s="557"/>
      <c r="R469" s="557"/>
      <c r="S469" s="1">
        <v>38.1</v>
      </c>
      <c r="T469" s="1">
        <v>38.1</v>
      </c>
      <c r="U469" s="1">
        <v>0</v>
      </c>
      <c r="V469" s="1">
        <v>2</v>
      </c>
      <c r="W469" s="24">
        <v>812</v>
      </c>
      <c r="X469" s="24"/>
      <c r="Y469" s="2">
        <v>8000</v>
      </c>
      <c r="Z469" s="2"/>
      <c r="AA469" s="4">
        <f t="shared" si="77"/>
        <v>8000</v>
      </c>
      <c r="AB469" s="1">
        <f t="shared" si="79"/>
        <v>11.562533113600001</v>
      </c>
      <c r="AC469" s="1">
        <f t="shared" si="72"/>
        <v>0</v>
      </c>
      <c r="AD469" s="1">
        <f t="shared" si="78"/>
        <v>11.562533113600001</v>
      </c>
      <c r="AE469" s="1"/>
      <c r="AF469" s="1">
        <v>0.69611199999999995</v>
      </c>
      <c r="AG469" s="1"/>
      <c r="AH469" s="1">
        <f t="shared" si="80"/>
        <v>-0.69611199999999995</v>
      </c>
      <c r="AI469" s="118" t="e">
        <f t="shared" si="81"/>
        <v>#DIV/0!</v>
      </c>
    </row>
    <row r="470" spans="1:35" hidden="1" x14ac:dyDescent="0.25">
      <c r="A470" s="30">
        <v>554</v>
      </c>
      <c r="B470" s="5" t="s">
        <v>1816</v>
      </c>
      <c r="C470" s="2" t="s">
        <v>958</v>
      </c>
      <c r="D470" s="2"/>
      <c r="E470" s="2">
        <v>188595</v>
      </c>
      <c r="F470" s="9">
        <v>1940801</v>
      </c>
      <c r="G470" s="2" t="s">
        <v>478</v>
      </c>
      <c r="H470" s="2" t="s">
        <v>229</v>
      </c>
      <c r="I470" s="2"/>
      <c r="J470" s="2" t="s">
        <v>963</v>
      </c>
      <c r="K470" s="2"/>
      <c r="L470" s="2"/>
      <c r="M470" s="2"/>
      <c r="N470" s="2"/>
      <c r="O470" s="2"/>
      <c r="P470" s="557" t="str">
        <f>CONCATENATE(schedule13[[#This Row],[OD]],"-",schedule13[[#This Row],[ID]],"-",schedule13[[#This Row],[TICKNESS]],"-",schedule13[[#This Row],[GRADE]],"-",schedule13[[#This Row],[FC/NFC]])</f>
        <v>40-20-1.2-CRFH-PE</v>
      </c>
      <c r="Q470" s="557"/>
      <c r="R470" s="557"/>
      <c r="S470" s="1">
        <v>38.1</v>
      </c>
      <c r="T470" s="1">
        <v>40</v>
      </c>
      <c r="U470" s="1">
        <v>20</v>
      </c>
      <c r="V470" s="1">
        <v>1.2</v>
      </c>
      <c r="W470" s="24">
        <v>1310</v>
      </c>
      <c r="X470" s="24"/>
      <c r="Y470" s="2">
        <v>16500</v>
      </c>
      <c r="Z470" s="2"/>
      <c r="AA470" s="4">
        <f t="shared" si="77"/>
        <v>16500</v>
      </c>
      <c r="AB470" s="1">
        <f t="shared" si="79"/>
        <v>23.5956870666</v>
      </c>
      <c r="AC470" s="1">
        <f t="shared" si="72"/>
        <v>0</v>
      </c>
      <c r="AD470" s="1">
        <f t="shared" si="78"/>
        <v>23.5956870666</v>
      </c>
      <c r="AE470" s="10"/>
      <c r="AF470" s="10"/>
      <c r="AG470" s="10"/>
      <c r="AH470" s="10"/>
      <c r="AI470" s="121"/>
    </row>
    <row r="471" spans="1:35" hidden="1" x14ac:dyDescent="0.25">
      <c r="A471" s="30">
        <v>555</v>
      </c>
      <c r="B471" s="5" t="s">
        <v>1816</v>
      </c>
      <c r="C471" s="2" t="s">
        <v>958</v>
      </c>
      <c r="D471" s="2"/>
      <c r="E471" s="2">
        <v>188595</v>
      </c>
      <c r="F471" s="9">
        <v>3233554</v>
      </c>
      <c r="G471" s="2" t="s">
        <v>480</v>
      </c>
      <c r="H471" s="2" t="s">
        <v>229</v>
      </c>
      <c r="I471" s="2"/>
      <c r="J471" s="2" t="s">
        <v>963</v>
      </c>
      <c r="K471" s="2"/>
      <c r="L471" s="2"/>
      <c r="M471" s="2"/>
      <c r="N471" s="2"/>
      <c r="O471" s="2"/>
      <c r="P471" s="557" t="str">
        <f>CONCATENATE(schedule13[[#This Row],[OD]],"-",schedule13[[#This Row],[ID]],"-",schedule13[[#This Row],[TICKNESS]],"-",schedule13[[#This Row],[GRADE]],"-",schedule13[[#This Row],[FC/NFC]])</f>
        <v>40-20-1.2-CRFH-PE</v>
      </c>
      <c r="Q471" s="557"/>
      <c r="R471" s="557"/>
      <c r="S471" s="1">
        <v>38.1</v>
      </c>
      <c r="T471" s="1">
        <v>40</v>
      </c>
      <c r="U471" s="1">
        <v>20</v>
      </c>
      <c r="V471" s="1">
        <v>1.2</v>
      </c>
      <c r="W471" s="24">
        <v>1246</v>
      </c>
      <c r="X471" s="24"/>
      <c r="Y471" s="2">
        <v>5500</v>
      </c>
      <c r="Z471" s="2"/>
      <c r="AA471" s="4">
        <f t="shared" si="77"/>
        <v>5500</v>
      </c>
      <c r="AB471" s="1">
        <f t="shared" si="79"/>
        <v>7.4809735585199997</v>
      </c>
      <c r="AC471" s="1">
        <f t="shared" si="72"/>
        <v>0</v>
      </c>
      <c r="AD471" s="1">
        <f t="shared" si="78"/>
        <v>7.4809735585199997</v>
      </c>
      <c r="AE471" s="10"/>
      <c r="AF471" s="10"/>
      <c r="AG471" s="10"/>
      <c r="AH471" s="10"/>
      <c r="AI471" s="121"/>
    </row>
    <row r="472" spans="1:35" hidden="1" x14ac:dyDescent="0.25">
      <c r="A472" s="30">
        <v>556</v>
      </c>
      <c r="B472" s="5" t="s">
        <v>1816</v>
      </c>
      <c r="C472" s="2" t="s">
        <v>958</v>
      </c>
      <c r="D472" s="2"/>
      <c r="E472" s="2">
        <v>188595</v>
      </c>
      <c r="F472" s="9">
        <v>3233555</v>
      </c>
      <c r="G472" s="2" t="s">
        <v>482</v>
      </c>
      <c r="H472" s="2" t="s">
        <v>229</v>
      </c>
      <c r="I472" s="2"/>
      <c r="J472" s="2" t="s">
        <v>963</v>
      </c>
      <c r="K472" s="2"/>
      <c r="L472" s="2"/>
      <c r="M472" s="2"/>
      <c r="N472" s="2"/>
      <c r="O472" s="2"/>
      <c r="P472" s="557" t="str">
        <f>CONCATENATE(schedule13[[#This Row],[OD]],"-",schedule13[[#This Row],[ID]],"-",schedule13[[#This Row],[TICKNESS]],"-",schedule13[[#This Row],[GRADE]],"-",schedule13[[#This Row],[FC/NFC]])</f>
        <v>40-20-1.2-CRFH-PE</v>
      </c>
      <c r="Q472" s="557"/>
      <c r="R472" s="557"/>
      <c r="S472" s="1">
        <v>38.1</v>
      </c>
      <c r="T472" s="1">
        <v>40</v>
      </c>
      <c r="U472" s="1">
        <v>20</v>
      </c>
      <c r="V472" s="1">
        <v>1.2</v>
      </c>
      <c r="W472" s="24">
        <v>1120</v>
      </c>
      <c r="X472" s="24"/>
      <c r="Y472" s="2">
        <v>22000</v>
      </c>
      <c r="Z472" s="2"/>
      <c r="AA472" s="4">
        <f t="shared" si="77"/>
        <v>22000</v>
      </c>
      <c r="AB472" s="1">
        <f t="shared" si="79"/>
        <v>26.897882457599994</v>
      </c>
      <c r="AC472" s="1">
        <f t="shared" si="72"/>
        <v>0</v>
      </c>
      <c r="AD472" s="1">
        <f t="shared" si="78"/>
        <v>26.897882457599994</v>
      </c>
      <c r="AE472" s="10"/>
      <c r="AF472" s="10"/>
      <c r="AG472" s="10"/>
      <c r="AH472" s="10"/>
      <c r="AI472" s="121"/>
    </row>
    <row r="473" spans="1:35" hidden="1" x14ac:dyDescent="0.25">
      <c r="A473" s="30">
        <v>557</v>
      </c>
      <c r="B473" s="5" t="s">
        <v>1816</v>
      </c>
      <c r="C473" s="2" t="s">
        <v>958</v>
      </c>
      <c r="D473" s="2"/>
      <c r="E473" s="2">
        <v>188595</v>
      </c>
      <c r="F473" s="9">
        <v>3233556</v>
      </c>
      <c r="G473" s="2" t="s">
        <v>1672</v>
      </c>
      <c r="H473" s="2" t="s">
        <v>229</v>
      </c>
      <c r="I473" s="2"/>
      <c r="J473" s="2" t="s">
        <v>963</v>
      </c>
      <c r="K473" s="2"/>
      <c r="L473" s="2"/>
      <c r="M473" s="2"/>
      <c r="N473" s="2"/>
      <c r="O473" s="2"/>
      <c r="P473" s="557" t="str">
        <f>CONCATENATE(schedule13[[#This Row],[OD]],"-",schedule13[[#This Row],[ID]],"-",schedule13[[#This Row],[TICKNESS]],"-",schedule13[[#This Row],[GRADE]],"-",schedule13[[#This Row],[FC/NFC]])</f>
        <v>40-20-1.2-CRFH-PE</v>
      </c>
      <c r="Q473" s="557"/>
      <c r="R473" s="557"/>
      <c r="S473" s="1">
        <v>38.1</v>
      </c>
      <c r="T473" s="1">
        <v>40</v>
      </c>
      <c r="U473" s="1">
        <v>20</v>
      </c>
      <c r="V473" s="1">
        <v>1.2</v>
      </c>
      <c r="W473" s="24">
        <v>940</v>
      </c>
      <c r="X473" s="24"/>
      <c r="Y473" s="2">
        <v>22000</v>
      </c>
      <c r="Z473" s="2"/>
      <c r="AA473" s="4">
        <f t="shared" si="77"/>
        <v>22000</v>
      </c>
      <c r="AB473" s="1">
        <f t="shared" si="79"/>
        <v>22.575008491199998</v>
      </c>
      <c r="AC473" s="1">
        <f t="shared" ref="AC473:AC538" si="82">(S473-V473)*V473*W473*0.024653*Z473/1000000</f>
        <v>0</v>
      </c>
      <c r="AD473" s="1">
        <f t="shared" si="78"/>
        <v>22.575008491199998</v>
      </c>
      <c r="AE473" s="10"/>
      <c r="AF473" s="10"/>
      <c r="AG473" s="10"/>
      <c r="AH473" s="10"/>
      <c r="AI473" s="121"/>
    </row>
    <row r="474" spans="1:35" hidden="1" x14ac:dyDescent="0.25">
      <c r="A474" s="30">
        <v>558</v>
      </c>
      <c r="B474" s="5" t="s">
        <v>1816</v>
      </c>
      <c r="C474" s="2" t="s">
        <v>958</v>
      </c>
      <c r="D474" s="2"/>
      <c r="E474" s="2">
        <v>188595</v>
      </c>
      <c r="F474" s="9">
        <v>3233557</v>
      </c>
      <c r="G474" s="2" t="s">
        <v>610</v>
      </c>
      <c r="H474" s="2" t="s">
        <v>229</v>
      </c>
      <c r="I474" s="2"/>
      <c r="J474" s="2" t="s">
        <v>963</v>
      </c>
      <c r="K474" s="2"/>
      <c r="L474" s="2"/>
      <c r="M474" s="2"/>
      <c r="N474" s="2"/>
      <c r="O474" s="2"/>
      <c r="P474" s="557" t="str">
        <f>CONCATENATE(schedule13[[#This Row],[OD]],"-",schedule13[[#This Row],[ID]],"-",schedule13[[#This Row],[TICKNESS]],"-",schedule13[[#This Row],[GRADE]],"-",schedule13[[#This Row],[FC/NFC]])</f>
        <v>40-20-1.2-CRFH-PE</v>
      </c>
      <c r="Q474" s="557"/>
      <c r="R474" s="557"/>
      <c r="S474" s="1">
        <v>38.1</v>
      </c>
      <c r="T474" s="1">
        <v>40</v>
      </c>
      <c r="U474" s="1">
        <v>20</v>
      </c>
      <c r="V474" s="1">
        <v>1.2</v>
      </c>
      <c r="W474" s="24">
        <v>800</v>
      </c>
      <c r="X474" s="24"/>
      <c r="Y474" s="2">
        <v>11000</v>
      </c>
      <c r="Z474" s="2"/>
      <c r="AA474" s="4">
        <f t="shared" si="77"/>
        <v>11000</v>
      </c>
      <c r="AB474" s="1">
        <f t="shared" si="79"/>
        <v>9.606386591999998</v>
      </c>
      <c r="AC474" s="1">
        <f t="shared" si="82"/>
        <v>0</v>
      </c>
      <c r="AD474" s="1">
        <f t="shared" si="78"/>
        <v>9.606386591999998</v>
      </c>
      <c r="AE474" s="10"/>
      <c r="AF474" s="10"/>
      <c r="AG474" s="10"/>
      <c r="AH474" s="10"/>
      <c r="AI474" s="121"/>
    </row>
    <row r="475" spans="1:35" ht="15" hidden="1" customHeight="1" x14ac:dyDescent="0.25">
      <c r="A475" s="30">
        <v>559</v>
      </c>
      <c r="B475" s="5" t="s">
        <v>1816</v>
      </c>
      <c r="C475" s="2" t="s">
        <v>958</v>
      </c>
      <c r="D475" s="2"/>
      <c r="E475" s="2">
        <v>188595</v>
      </c>
      <c r="F475" s="9">
        <v>3584171</v>
      </c>
      <c r="G475" s="2" t="s">
        <v>686</v>
      </c>
      <c r="H475" s="2" t="s">
        <v>229</v>
      </c>
      <c r="I475" s="2"/>
      <c r="J475" s="2" t="s">
        <v>963</v>
      </c>
      <c r="K475" s="2"/>
      <c r="L475" s="2"/>
      <c r="M475" s="2"/>
      <c r="N475" s="2"/>
      <c r="O475" s="2"/>
      <c r="P475" s="557" t="str">
        <f>CONCATENATE(schedule13[[#This Row],[OD]],"-",schedule13[[#This Row],[ID]],"-",schedule13[[#This Row],[TICKNESS]],"-",schedule13[[#This Row],[GRADE]],"-",schedule13[[#This Row],[FC/NFC]])</f>
        <v>40-20-1.2-CRFH-PE</v>
      </c>
      <c r="Q475" s="557"/>
      <c r="R475" s="557"/>
      <c r="S475" s="1">
        <v>38.1</v>
      </c>
      <c r="T475" s="1">
        <v>40</v>
      </c>
      <c r="U475" s="1">
        <v>20</v>
      </c>
      <c r="V475" s="1">
        <v>1.2</v>
      </c>
      <c r="W475" s="24">
        <v>130</v>
      </c>
      <c r="X475" s="24"/>
      <c r="Y475" s="2">
        <v>11000</v>
      </c>
      <c r="Z475" s="2"/>
      <c r="AA475" s="4">
        <f t="shared" si="77"/>
        <v>11000</v>
      </c>
      <c r="AB475" s="1">
        <f t="shared" si="79"/>
        <v>1.5610378211999998</v>
      </c>
      <c r="AC475" s="1">
        <f t="shared" si="82"/>
        <v>0</v>
      </c>
      <c r="AD475" s="1">
        <f t="shared" si="78"/>
        <v>1.5610378211999998</v>
      </c>
      <c r="AE475" s="10"/>
      <c r="AF475" s="10"/>
      <c r="AG475" s="10"/>
      <c r="AH475" s="10"/>
      <c r="AI475" s="121"/>
    </row>
    <row r="476" spans="1:35" hidden="1" x14ac:dyDescent="0.25">
      <c r="A476" s="30">
        <v>560</v>
      </c>
      <c r="B476" s="5" t="s">
        <v>1816</v>
      </c>
      <c r="C476" s="2" t="s">
        <v>958</v>
      </c>
      <c r="D476" s="2"/>
      <c r="E476" s="2">
        <v>188595</v>
      </c>
      <c r="F476" s="9">
        <v>3233559</v>
      </c>
      <c r="G476" s="2" t="s">
        <v>490</v>
      </c>
      <c r="H476" s="2" t="s">
        <v>229</v>
      </c>
      <c r="I476" s="2"/>
      <c r="J476" s="2" t="s">
        <v>963</v>
      </c>
      <c r="K476" s="2"/>
      <c r="L476" s="2"/>
      <c r="M476" s="2"/>
      <c r="N476" s="2"/>
      <c r="O476" s="2"/>
      <c r="P476" s="557" t="str">
        <f>CONCATENATE(schedule13[[#This Row],[OD]],"-",schedule13[[#This Row],[ID]],"-",schedule13[[#This Row],[TICKNESS]],"-",schedule13[[#This Row],[GRADE]],"-",schedule13[[#This Row],[FC/NFC]])</f>
        <v>40-20-1.2-CRFH-PE</v>
      </c>
      <c r="Q476" s="557"/>
      <c r="R476" s="557"/>
      <c r="S476" s="1">
        <v>38.1</v>
      </c>
      <c r="T476" s="1">
        <v>40</v>
      </c>
      <c r="U476" s="1">
        <v>20</v>
      </c>
      <c r="V476" s="1">
        <v>1.2</v>
      </c>
      <c r="W476" s="24">
        <v>120</v>
      </c>
      <c r="X476" s="24"/>
      <c r="Y476" s="2">
        <v>11000</v>
      </c>
      <c r="Z476" s="2"/>
      <c r="AA476" s="4">
        <f t="shared" si="77"/>
        <v>11000</v>
      </c>
      <c r="AB476" s="1">
        <f t="shared" si="79"/>
        <v>1.4409579887999999</v>
      </c>
      <c r="AC476" s="1">
        <f t="shared" si="82"/>
        <v>0</v>
      </c>
      <c r="AD476" s="1">
        <f t="shared" si="78"/>
        <v>1.4409579887999999</v>
      </c>
      <c r="AE476" s="10"/>
      <c r="AF476" s="10"/>
      <c r="AG476" s="10"/>
      <c r="AH476" s="10"/>
      <c r="AI476" s="121"/>
    </row>
    <row r="477" spans="1:35" hidden="1" x14ac:dyDescent="0.25">
      <c r="A477" s="30">
        <v>561</v>
      </c>
      <c r="B477" s="5" t="s">
        <v>1816</v>
      </c>
      <c r="C477" s="2" t="s">
        <v>958</v>
      </c>
      <c r="D477" s="2"/>
      <c r="E477" s="2">
        <v>188595</v>
      </c>
      <c r="F477" s="9">
        <v>3572038</v>
      </c>
      <c r="G477" s="2" t="s">
        <v>521</v>
      </c>
      <c r="H477" s="2" t="s">
        <v>229</v>
      </c>
      <c r="I477" s="2"/>
      <c r="J477" s="2" t="s">
        <v>963</v>
      </c>
      <c r="K477" s="2"/>
      <c r="L477" s="2"/>
      <c r="M477" s="2"/>
      <c r="N477" s="2"/>
      <c r="O477" s="2"/>
      <c r="P477" s="557" t="str">
        <f>CONCATENATE(schedule13[[#This Row],[OD]],"-",schedule13[[#This Row],[ID]],"-",schedule13[[#This Row],[TICKNESS]],"-",schedule13[[#This Row],[GRADE]],"-",schedule13[[#This Row],[FC/NFC]])</f>
        <v>19-19-1-CRFH-PE</v>
      </c>
      <c r="Q477" s="557"/>
      <c r="R477" s="557"/>
      <c r="S477" s="1">
        <v>23.42</v>
      </c>
      <c r="T477" s="1">
        <v>19</v>
      </c>
      <c r="U477" s="1">
        <v>19</v>
      </c>
      <c r="V477" s="1">
        <v>1</v>
      </c>
      <c r="W477" s="24">
        <v>1246</v>
      </c>
      <c r="X477" s="24"/>
      <c r="Y477" s="2">
        <v>5500</v>
      </c>
      <c r="Z477" s="2"/>
      <c r="AA477" s="4">
        <f t="shared" si="77"/>
        <v>5500</v>
      </c>
      <c r="AB477" s="1">
        <f t="shared" si="79"/>
        <v>3.7877919417800006</v>
      </c>
      <c r="AC477" s="1">
        <f t="shared" si="82"/>
        <v>0</v>
      </c>
      <c r="AD477" s="1">
        <f t="shared" si="78"/>
        <v>3.7877919417800006</v>
      </c>
      <c r="AE477" s="10"/>
      <c r="AF477" s="10"/>
      <c r="AG477" s="10"/>
      <c r="AH477" s="10"/>
      <c r="AI477" s="121"/>
    </row>
    <row r="478" spans="1:35" hidden="1" x14ac:dyDescent="0.25">
      <c r="A478" s="30">
        <v>562</v>
      </c>
      <c r="B478" s="5" t="s">
        <v>1816</v>
      </c>
      <c r="C478" s="2" t="s">
        <v>958</v>
      </c>
      <c r="D478" s="2"/>
      <c r="E478" s="2">
        <v>188595</v>
      </c>
      <c r="F478" s="9">
        <v>3931837</v>
      </c>
      <c r="G478" s="2" t="s">
        <v>2258</v>
      </c>
      <c r="H478" s="2" t="s">
        <v>229</v>
      </c>
      <c r="I478" s="2"/>
      <c r="J478" s="2" t="s">
        <v>963</v>
      </c>
      <c r="K478" s="2"/>
      <c r="L478" s="2"/>
      <c r="M478" s="2"/>
      <c r="N478" s="2"/>
      <c r="O478" s="2"/>
      <c r="P478" s="557" t="str">
        <f>CONCATENATE(schedule13[[#This Row],[OD]],"-",schedule13[[#This Row],[ID]],"-",schedule13[[#This Row],[TICKNESS]],"-",schedule13[[#This Row],[GRADE]],"-",schedule13[[#This Row],[FC/NFC]])</f>
        <v>19-19-1-CRFH-PE</v>
      </c>
      <c r="Q478" s="557"/>
      <c r="R478" s="557"/>
      <c r="S478" s="1">
        <v>23.42</v>
      </c>
      <c r="T478" s="1">
        <v>19</v>
      </c>
      <c r="U478" s="1">
        <v>19</v>
      </c>
      <c r="V478" s="1">
        <v>1</v>
      </c>
      <c r="W478" s="24">
        <v>1150</v>
      </c>
      <c r="X478" s="24"/>
      <c r="Y478" s="2">
        <v>5500</v>
      </c>
      <c r="Z478" s="2"/>
      <c r="AA478" s="4">
        <f t="shared" si="77"/>
        <v>5500</v>
      </c>
      <c r="AB478" s="1">
        <f t="shared" si="79"/>
        <v>3.4959556445000004</v>
      </c>
      <c r="AC478" s="1">
        <f t="shared" si="82"/>
        <v>0</v>
      </c>
      <c r="AD478" s="1">
        <f t="shared" si="78"/>
        <v>3.4959556445000004</v>
      </c>
      <c r="AE478" s="10"/>
      <c r="AF478" s="10"/>
      <c r="AG478" s="10"/>
      <c r="AH478" s="10"/>
      <c r="AI478" s="121"/>
    </row>
    <row r="479" spans="1:35" hidden="1" x14ac:dyDescent="0.25">
      <c r="A479" s="30">
        <v>563</v>
      </c>
      <c r="B479" s="5" t="s">
        <v>1816</v>
      </c>
      <c r="C479" s="2" t="s">
        <v>958</v>
      </c>
      <c r="D479" s="2"/>
      <c r="E479" s="2">
        <v>188595</v>
      </c>
      <c r="F479" s="9">
        <v>3230492</v>
      </c>
      <c r="G479" s="2" t="s">
        <v>614</v>
      </c>
      <c r="H479" s="2" t="s">
        <v>229</v>
      </c>
      <c r="I479" s="2"/>
      <c r="J479" s="2" t="s">
        <v>963</v>
      </c>
      <c r="K479" s="2"/>
      <c r="L479" s="2"/>
      <c r="M479" s="2"/>
      <c r="N479" s="2"/>
      <c r="O479" s="2"/>
      <c r="P479" s="557" t="str">
        <f>CONCATENATE(schedule13[[#This Row],[OD]],"-",schedule13[[#This Row],[ID]],"-",schedule13[[#This Row],[TICKNESS]],"-",schedule13[[#This Row],[GRADE]],"-",schedule13[[#This Row],[FC/NFC]])</f>
        <v>19-19-1-CRFH-PE</v>
      </c>
      <c r="Q479" s="557"/>
      <c r="R479" s="557"/>
      <c r="S479" s="1">
        <v>23.42</v>
      </c>
      <c r="T479" s="1">
        <v>19</v>
      </c>
      <c r="U479" s="1">
        <v>19</v>
      </c>
      <c r="V479" s="1">
        <v>1</v>
      </c>
      <c r="W479" s="24">
        <v>880</v>
      </c>
      <c r="X479" s="24"/>
      <c r="Y479" s="2">
        <v>11000</v>
      </c>
      <c r="Z479" s="2"/>
      <c r="AA479" s="4">
        <f t="shared" si="77"/>
        <v>11000</v>
      </c>
      <c r="AB479" s="1">
        <f t="shared" si="79"/>
        <v>5.3503321168000006</v>
      </c>
      <c r="AC479" s="1">
        <f t="shared" si="82"/>
        <v>0</v>
      </c>
      <c r="AD479" s="1">
        <f t="shared" si="78"/>
        <v>5.3503321168000006</v>
      </c>
      <c r="AE479" s="10"/>
      <c r="AF479" s="10"/>
      <c r="AG479" s="10"/>
      <c r="AH479" s="10"/>
      <c r="AI479" s="121"/>
    </row>
    <row r="480" spans="1:35" hidden="1" x14ac:dyDescent="0.25">
      <c r="A480" s="30">
        <v>564</v>
      </c>
      <c r="B480" s="5" t="s">
        <v>1816</v>
      </c>
      <c r="C480" s="2" t="s">
        <v>958</v>
      </c>
      <c r="D480" s="2"/>
      <c r="E480" s="2">
        <v>188595</v>
      </c>
      <c r="F480" s="9">
        <v>3233560</v>
      </c>
      <c r="G480" s="2" t="s">
        <v>618</v>
      </c>
      <c r="H480" s="2" t="s">
        <v>229</v>
      </c>
      <c r="I480" s="2"/>
      <c r="J480" s="2" t="s">
        <v>963</v>
      </c>
      <c r="K480" s="2"/>
      <c r="L480" s="2"/>
      <c r="M480" s="2"/>
      <c r="N480" s="2"/>
      <c r="O480" s="2"/>
      <c r="P480" s="557" t="str">
        <f>CONCATENATE(schedule13[[#This Row],[OD]],"-",schedule13[[#This Row],[ID]],"-",schedule13[[#This Row],[TICKNESS]],"-",schedule13[[#This Row],[GRADE]],"-",schedule13[[#This Row],[FC/NFC]])</f>
        <v>19-19-1-CRFH-PE</v>
      </c>
      <c r="Q480" s="557"/>
      <c r="R480" s="557"/>
      <c r="S480" s="1">
        <v>23.42</v>
      </c>
      <c r="T480" s="1">
        <v>19</v>
      </c>
      <c r="U480" s="1">
        <v>19</v>
      </c>
      <c r="V480" s="1">
        <v>1</v>
      </c>
      <c r="W480" s="24">
        <v>875</v>
      </c>
      <c r="X480" s="24"/>
      <c r="Y480" s="2">
        <v>11000</v>
      </c>
      <c r="Z480" s="2"/>
      <c r="AA480" s="4">
        <f t="shared" si="77"/>
        <v>11000</v>
      </c>
      <c r="AB480" s="1">
        <f t="shared" si="79"/>
        <v>5.3199325025000004</v>
      </c>
      <c r="AC480" s="1">
        <f t="shared" si="82"/>
        <v>0</v>
      </c>
      <c r="AD480" s="1">
        <f t="shared" si="78"/>
        <v>5.3199325025000004</v>
      </c>
      <c r="AE480" s="10"/>
      <c r="AF480" s="10"/>
      <c r="AG480" s="10"/>
      <c r="AH480" s="10"/>
      <c r="AI480" s="121"/>
    </row>
    <row r="481" spans="1:36" hidden="1" x14ac:dyDescent="0.25">
      <c r="A481" s="30">
        <v>565</v>
      </c>
      <c r="B481" s="5" t="s">
        <v>1816</v>
      </c>
      <c r="C481" s="2" t="s">
        <v>958</v>
      </c>
      <c r="D481" s="2"/>
      <c r="E481" s="2">
        <v>188595</v>
      </c>
      <c r="F481" s="9">
        <v>3230485</v>
      </c>
      <c r="G481" s="2" t="s">
        <v>616</v>
      </c>
      <c r="H481" s="2" t="s">
        <v>229</v>
      </c>
      <c r="I481" s="2"/>
      <c r="J481" s="2" t="s">
        <v>963</v>
      </c>
      <c r="K481" s="2"/>
      <c r="L481" s="2"/>
      <c r="M481" s="2"/>
      <c r="N481" s="2"/>
      <c r="O481" s="2"/>
      <c r="P481" s="557" t="str">
        <f>CONCATENATE(schedule13[[#This Row],[OD]],"-",schedule13[[#This Row],[ID]],"-",schedule13[[#This Row],[TICKNESS]],"-",schedule13[[#This Row],[GRADE]],"-",schedule13[[#This Row],[FC/NFC]])</f>
        <v>19-19-1-CRFH-PE</v>
      </c>
      <c r="Q481" s="557"/>
      <c r="R481" s="557"/>
      <c r="S481" s="1">
        <v>23.42</v>
      </c>
      <c r="T481" s="1">
        <v>19</v>
      </c>
      <c r="U481" s="1">
        <v>19</v>
      </c>
      <c r="V481" s="1">
        <v>1</v>
      </c>
      <c r="W481" s="24">
        <v>840</v>
      </c>
      <c r="X481" s="24"/>
      <c r="Y481" s="2">
        <v>11000</v>
      </c>
      <c r="Z481" s="2"/>
      <c r="AA481" s="4">
        <f t="shared" si="77"/>
        <v>11000</v>
      </c>
      <c r="AB481" s="1">
        <f t="shared" si="79"/>
        <v>5.1071352024000012</v>
      </c>
      <c r="AC481" s="1">
        <f t="shared" si="82"/>
        <v>0</v>
      </c>
      <c r="AD481" s="1">
        <f t="shared" si="78"/>
        <v>5.1071352024000012</v>
      </c>
      <c r="AE481" s="10"/>
      <c r="AF481" s="10"/>
      <c r="AG481" s="10"/>
      <c r="AH481" s="10"/>
      <c r="AI481" s="121"/>
    </row>
    <row r="482" spans="1:36" hidden="1" x14ac:dyDescent="0.25">
      <c r="A482" s="30">
        <v>566</v>
      </c>
      <c r="B482" s="5" t="s">
        <v>1816</v>
      </c>
      <c r="C482" s="2" t="s">
        <v>958</v>
      </c>
      <c r="D482" s="2"/>
      <c r="E482" s="2">
        <v>188595</v>
      </c>
      <c r="F482" s="9">
        <v>3931836</v>
      </c>
      <c r="G482" s="2" t="s">
        <v>612</v>
      </c>
      <c r="H482" s="2" t="s">
        <v>229</v>
      </c>
      <c r="I482" s="2"/>
      <c r="J482" s="2" t="s">
        <v>963</v>
      </c>
      <c r="K482" s="2"/>
      <c r="L482" s="2"/>
      <c r="M482" s="2"/>
      <c r="N482" s="2"/>
      <c r="O482" s="2"/>
      <c r="P482" s="557" t="str">
        <f>CONCATENATE(schedule13[[#This Row],[OD]],"-",schedule13[[#This Row],[ID]],"-",schedule13[[#This Row],[TICKNESS]],"-",schedule13[[#This Row],[GRADE]],"-",schedule13[[#This Row],[FC/NFC]])</f>
        <v>19-19-1-CRFH-PE</v>
      </c>
      <c r="Q482" s="557"/>
      <c r="R482" s="557"/>
      <c r="S482" s="1">
        <v>23.42</v>
      </c>
      <c r="T482" s="1">
        <v>19</v>
      </c>
      <c r="U482" s="1">
        <v>19</v>
      </c>
      <c r="V482" s="1">
        <v>1</v>
      </c>
      <c r="W482" s="24">
        <v>800</v>
      </c>
      <c r="X482" s="24"/>
      <c r="Y482" s="2">
        <v>11000</v>
      </c>
      <c r="Z482" s="2"/>
      <c r="AA482" s="4">
        <f t="shared" si="77"/>
        <v>11000</v>
      </c>
      <c r="AB482" s="1">
        <f t="shared" si="79"/>
        <v>4.8639382880000008</v>
      </c>
      <c r="AC482" s="1">
        <f t="shared" si="82"/>
        <v>0</v>
      </c>
      <c r="AD482" s="1">
        <f t="shared" si="78"/>
        <v>4.8639382880000008</v>
      </c>
      <c r="AE482" s="10"/>
      <c r="AF482" s="10"/>
      <c r="AG482" s="10"/>
      <c r="AH482" s="10"/>
      <c r="AI482" s="121"/>
    </row>
    <row r="483" spans="1:36" hidden="1" x14ac:dyDescent="0.25">
      <c r="A483" s="30">
        <v>567</v>
      </c>
      <c r="B483" s="5" t="s">
        <v>1816</v>
      </c>
      <c r="C483" s="2" t="s">
        <v>958</v>
      </c>
      <c r="D483" s="2"/>
      <c r="E483" s="2">
        <v>188595</v>
      </c>
      <c r="F483" s="9">
        <v>3230488</v>
      </c>
      <c r="G483" s="2" t="s">
        <v>496</v>
      </c>
      <c r="H483" s="2" t="s">
        <v>229</v>
      </c>
      <c r="I483" s="2"/>
      <c r="J483" s="2" t="s">
        <v>963</v>
      </c>
      <c r="K483" s="2"/>
      <c r="L483" s="2"/>
      <c r="M483" s="2"/>
      <c r="N483" s="2"/>
      <c r="O483" s="2"/>
      <c r="P483" s="557" t="str">
        <f>CONCATENATE(schedule13[[#This Row],[OD]],"-",schedule13[[#This Row],[ID]],"-",schedule13[[#This Row],[TICKNESS]],"-",schedule13[[#This Row],[GRADE]],"-",schedule13[[#This Row],[FC/NFC]])</f>
        <v>19-19-1-CRFH-PE</v>
      </c>
      <c r="Q483" s="557"/>
      <c r="R483" s="557"/>
      <c r="S483" s="1">
        <v>23.42</v>
      </c>
      <c r="T483" s="1">
        <v>19</v>
      </c>
      <c r="U483" s="1">
        <v>19</v>
      </c>
      <c r="V483" s="1">
        <v>1</v>
      </c>
      <c r="W483" s="24">
        <v>470</v>
      </c>
      <c r="X483" s="24"/>
      <c r="Y483" s="2">
        <v>11000</v>
      </c>
      <c r="Z483" s="2"/>
      <c r="AA483" s="4">
        <f t="shared" si="77"/>
        <v>11000</v>
      </c>
      <c r="AB483" s="1">
        <f t="shared" si="79"/>
        <v>2.8575637442000006</v>
      </c>
      <c r="AC483" s="1">
        <f t="shared" si="82"/>
        <v>0</v>
      </c>
      <c r="AD483" s="1">
        <f t="shared" si="78"/>
        <v>2.8575637442000006</v>
      </c>
      <c r="AE483" s="10"/>
      <c r="AF483" s="10"/>
      <c r="AG483" s="10"/>
      <c r="AH483" s="10"/>
      <c r="AI483" s="121"/>
    </row>
    <row r="484" spans="1:36" hidden="1" x14ac:dyDescent="0.25">
      <c r="A484" s="30">
        <v>568</v>
      </c>
      <c r="B484" s="5" t="s">
        <v>1816</v>
      </c>
      <c r="C484" s="2" t="s">
        <v>958</v>
      </c>
      <c r="D484" s="2"/>
      <c r="E484" s="2">
        <v>188595</v>
      </c>
      <c r="F484" s="9">
        <v>3230487</v>
      </c>
      <c r="G484" s="2" t="s">
        <v>498</v>
      </c>
      <c r="H484" s="2" t="s">
        <v>229</v>
      </c>
      <c r="I484" s="2"/>
      <c r="J484" s="2" t="s">
        <v>963</v>
      </c>
      <c r="K484" s="2"/>
      <c r="L484" s="2"/>
      <c r="M484" s="2"/>
      <c r="N484" s="2"/>
      <c r="O484" s="2"/>
      <c r="P484" s="557" t="str">
        <f>CONCATENATE(schedule13[[#This Row],[OD]],"-",schedule13[[#This Row],[ID]],"-",schedule13[[#This Row],[TICKNESS]],"-",schedule13[[#This Row],[GRADE]],"-",schedule13[[#This Row],[FC/NFC]])</f>
        <v>19-19-1-CRFH-PE</v>
      </c>
      <c r="Q484" s="557"/>
      <c r="R484" s="557"/>
      <c r="S484" s="1">
        <v>23.42</v>
      </c>
      <c r="T484" s="1">
        <v>19</v>
      </c>
      <c r="U484" s="1">
        <v>19</v>
      </c>
      <c r="V484" s="1">
        <v>1</v>
      </c>
      <c r="W484" s="24">
        <v>400</v>
      </c>
      <c r="X484" s="24"/>
      <c r="Y484" s="2">
        <v>22000</v>
      </c>
      <c r="Z484" s="2"/>
      <c r="AA484" s="4">
        <f t="shared" si="77"/>
        <v>22000</v>
      </c>
      <c r="AB484" s="1">
        <f t="shared" si="79"/>
        <v>4.8639382880000008</v>
      </c>
      <c r="AC484" s="1">
        <f t="shared" si="82"/>
        <v>0</v>
      </c>
      <c r="AD484" s="1">
        <f t="shared" si="78"/>
        <v>4.8639382880000008</v>
      </c>
      <c r="AE484" s="10"/>
      <c r="AF484" s="10"/>
      <c r="AG484" s="10"/>
      <c r="AH484" s="10"/>
      <c r="AI484" s="121"/>
    </row>
    <row r="485" spans="1:36" hidden="1" x14ac:dyDescent="0.25">
      <c r="A485" s="30">
        <v>569</v>
      </c>
      <c r="B485" s="5" t="s">
        <v>1816</v>
      </c>
      <c r="C485" s="2" t="s">
        <v>958</v>
      </c>
      <c r="D485" s="2"/>
      <c r="E485" s="2">
        <v>188595</v>
      </c>
      <c r="F485" s="9">
        <v>3230490</v>
      </c>
      <c r="G485" s="2" t="s">
        <v>515</v>
      </c>
      <c r="H485" s="2" t="s">
        <v>229</v>
      </c>
      <c r="I485" s="2"/>
      <c r="J485" s="2" t="s">
        <v>963</v>
      </c>
      <c r="K485" s="2"/>
      <c r="L485" s="2"/>
      <c r="M485" s="2"/>
      <c r="N485" s="2"/>
      <c r="O485" s="2"/>
      <c r="P485" s="557" t="str">
        <f>CONCATENATE(schedule13[[#This Row],[OD]],"-",schedule13[[#This Row],[ID]],"-",schedule13[[#This Row],[TICKNESS]],"-",schedule13[[#This Row],[GRADE]],"-",schedule13[[#This Row],[FC/NFC]])</f>
        <v>19-19-1-CRFH-PE</v>
      </c>
      <c r="Q485" s="557"/>
      <c r="R485" s="557"/>
      <c r="S485" s="1">
        <v>23.42</v>
      </c>
      <c r="T485" s="1">
        <v>19</v>
      </c>
      <c r="U485" s="1">
        <v>19</v>
      </c>
      <c r="V485" s="1">
        <v>1</v>
      </c>
      <c r="W485" s="24">
        <v>355</v>
      </c>
      <c r="X485" s="24"/>
      <c r="Y485" s="2">
        <v>11000</v>
      </c>
      <c r="Z485" s="2"/>
      <c r="AA485" s="4">
        <f t="shared" si="77"/>
        <v>11000</v>
      </c>
      <c r="AB485" s="1">
        <f t="shared" si="79"/>
        <v>2.1583726153000002</v>
      </c>
      <c r="AC485" s="1">
        <f t="shared" si="82"/>
        <v>0</v>
      </c>
      <c r="AD485" s="1">
        <f t="shared" si="78"/>
        <v>2.1583726153000002</v>
      </c>
      <c r="AE485" s="10"/>
      <c r="AF485" s="10"/>
      <c r="AG485" s="10"/>
      <c r="AH485" s="10"/>
      <c r="AI485" s="121"/>
    </row>
    <row r="486" spans="1:36" ht="17.25" hidden="1" x14ac:dyDescent="0.25">
      <c r="A486" s="30">
        <v>570</v>
      </c>
      <c r="B486" s="5" t="s">
        <v>1816</v>
      </c>
      <c r="C486" s="2" t="s">
        <v>958</v>
      </c>
      <c r="D486" s="2"/>
      <c r="E486" s="2">
        <v>188595</v>
      </c>
      <c r="F486" s="9">
        <v>3230486</v>
      </c>
      <c r="G486" s="2" t="s">
        <v>602</v>
      </c>
      <c r="H486" s="2" t="s">
        <v>229</v>
      </c>
      <c r="I486" s="2"/>
      <c r="J486" s="2" t="s">
        <v>963</v>
      </c>
      <c r="K486" s="2"/>
      <c r="L486" s="2"/>
      <c r="M486" s="2"/>
      <c r="N486" s="2"/>
      <c r="O486" s="2"/>
      <c r="P486" s="557" t="str">
        <f>CONCATENATE(schedule13[[#This Row],[OD]],"-",schedule13[[#This Row],[ID]],"-",schedule13[[#This Row],[TICKNESS]],"-",schedule13[[#This Row],[GRADE]],"-",schedule13[[#This Row],[FC/NFC]])</f>
        <v>19-19-1-CRFH-PE</v>
      </c>
      <c r="Q486" s="557"/>
      <c r="R486" s="557"/>
      <c r="S486" s="1">
        <v>23.42</v>
      </c>
      <c r="T486" s="1">
        <v>19</v>
      </c>
      <c r="U486" s="1">
        <v>19</v>
      </c>
      <c r="V486" s="1">
        <v>1</v>
      </c>
      <c r="W486" s="24">
        <v>150</v>
      </c>
      <c r="X486" s="24"/>
      <c r="Y486" s="2">
        <v>22000</v>
      </c>
      <c r="Z486" s="2"/>
      <c r="AA486" s="4">
        <f t="shared" si="77"/>
        <v>22000</v>
      </c>
      <c r="AB486" s="1">
        <f t="shared" si="79"/>
        <v>1.8239768580000004</v>
      </c>
      <c r="AC486" s="1">
        <f t="shared" si="82"/>
        <v>0</v>
      </c>
      <c r="AD486" s="1">
        <f t="shared" si="78"/>
        <v>1.8239768580000004</v>
      </c>
      <c r="AE486" s="10"/>
      <c r="AF486" s="10"/>
      <c r="AG486" s="10"/>
      <c r="AH486" s="10"/>
      <c r="AI486" s="121"/>
      <c r="AJ486" s="83">
        <v>9518489934</v>
      </c>
    </row>
    <row r="487" spans="1:36" hidden="1" x14ac:dyDescent="0.25">
      <c r="A487" s="30">
        <v>571</v>
      </c>
      <c r="B487" s="78" t="s">
        <v>1816</v>
      </c>
      <c r="C487" s="44" t="s">
        <v>958</v>
      </c>
      <c r="D487" s="44"/>
      <c r="E487" s="44">
        <v>188595</v>
      </c>
      <c r="F487" s="87">
        <v>3938687</v>
      </c>
      <c r="G487" s="44" t="s">
        <v>554</v>
      </c>
      <c r="H487" s="44" t="s">
        <v>229</v>
      </c>
      <c r="I487" s="44"/>
      <c r="J487" s="44" t="s">
        <v>963</v>
      </c>
      <c r="K487" s="44"/>
      <c r="L487" s="44"/>
      <c r="M487" s="44"/>
      <c r="N487" s="44"/>
      <c r="O487" s="44"/>
      <c r="P487" s="557" t="str">
        <f>CONCATENATE(schedule13[[#This Row],[OD]],"-",schedule13[[#This Row],[ID]],"-",schedule13[[#This Row],[TICKNESS]],"-",schedule13[[#This Row],[GRADE]],"-",schedule13[[#This Row],[FC/NFC]])</f>
        <v>19-19-1-CRFH-PE</v>
      </c>
      <c r="Q487" s="557"/>
      <c r="R487" s="557"/>
      <c r="S487" s="79">
        <v>23.42</v>
      </c>
      <c r="T487" s="79">
        <v>19</v>
      </c>
      <c r="U487" s="79">
        <v>19</v>
      </c>
      <c r="V487" s="79">
        <v>1</v>
      </c>
      <c r="W487" s="81">
        <v>129</v>
      </c>
      <c r="X487" s="81"/>
      <c r="Y487" s="2">
        <v>11000</v>
      </c>
      <c r="Z487" s="44"/>
      <c r="AA487" s="82">
        <f t="shared" si="77"/>
        <v>11000</v>
      </c>
      <c r="AB487" s="79">
        <f t="shared" si="79"/>
        <v>0.78431004894000012</v>
      </c>
      <c r="AC487" s="1">
        <f t="shared" si="82"/>
        <v>0</v>
      </c>
      <c r="AD487" s="1">
        <f t="shared" si="78"/>
        <v>0.78431004894000012</v>
      </c>
      <c r="AE487" s="10"/>
      <c r="AF487" s="10"/>
      <c r="AG487" s="10"/>
      <c r="AH487" s="10"/>
      <c r="AI487" s="121"/>
    </row>
    <row r="488" spans="1:36" hidden="1" x14ac:dyDescent="0.25">
      <c r="A488" s="30">
        <v>572</v>
      </c>
      <c r="B488" s="5" t="s">
        <v>1816</v>
      </c>
      <c r="C488" s="2" t="s">
        <v>958</v>
      </c>
      <c r="D488" s="2"/>
      <c r="E488" s="2">
        <v>188595</v>
      </c>
      <c r="F488" s="9">
        <v>3931835</v>
      </c>
      <c r="G488" s="2" t="s">
        <v>527</v>
      </c>
      <c r="H488" s="2" t="s">
        <v>229</v>
      </c>
      <c r="I488" s="2"/>
      <c r="J488" s="2" t="s">
        <v>963</v>
      </c>
      <c r="K488" s="2"/>
      <c r="L488" s="2"/>
      <c r="M488" s="2"/>
      <c r="N488" s="2"/>
      <c r="O488" s="2"/>
      <c r="P488" s="557" t="str">
        <f>CONCATENATE(schedule13[[#This Row],[OD]],"-",schedule13[[#This Row],[ID]],"-",schedule13[[#This Row],[TICKNESS]],"-",schedule13[[#This Row],[GRADE]],"-",schedule13[[#This Row],[FC/NFC]])</f>
        <v>19-19-1-CRFH-PE</v>
      </c>
      <c r="Q488" s="557"/>
      <c r="R488" s="557"/>
      <c r="S488" s="1">
        <v>23.42</v>
      </c>
      <c r="T488" s="1">
        <v>19</v>
      </c>
      <c r="U488" s="1">
        <v>19</v>
      </c>
      <c r="V488" s="1">
        <v>1</v>
      </c>
      <c r="W488" s="24">
        <v>110</v>
      </c>
      <c r="X488" s="24"/>
      <c r="Y488" s="2">
        <v>11000</v>
      </c>
      <c r="Z488" s="2"/>
      <c r="AA488" s="4">
        <f t="shared" si="77"/>
        <v>11000</v>
      </c>
      <c r="AB488" s="1">
        <f t="shared" si="79"/>
        <v>0.66879151460000008</v>
      </c>
      <c r="AC488" s="1">
        <f t="shared" si="82"/>
        <v>0</v>
      </c>
      <c r="AD488" s="1">
        <f t="shared" si="78"/>
        <v>0.66879151460000008</v>
      </c>
      <c r="AE488" s="10"/>
      <c r="AF488" s="10"/>
      <c r="AG488" s="10"/>
      <c r="AH488" s="10"/>
      <c r="AI488" s="121"/>
    </row>
    <row r="489" spans="1:36" s="80" customFormat="1" hidden="1" x14ac:dyDescent="0.25">
      <c r="A489" s="30">
        <v>573</v>
      </c>
      <c r="B489" s="5" t="s">
        <v>1816</v>
      </c>
      <c r="C489" s="2" t="s">
        <v>958</v>
      </c>
      <c r="D489" s="2"/>
      <c r="E489" s="2">
        <v>188595</v>
      </c>
      <c r="F489" s="9">
        <v>3931834</v>
      </c>
      <c r="G489" s="2" t="s">
        <v>2109</v>
      </c>
      <c r="H489" s="2" t="s">
        <v>229</v>
      </c>
      <c r="I489" s="2"/>
      <c r="J489" s="2" t="s">
        <v>963</v>
      </c>
      <c r="K489" s="2"/>
      <c r="L489" s="2"/>
      <c r="M489" s="2"/>
      <c r="N489" s="2"/>
      <c r="O489" s="2"/>
      <c r="P489" s="557" t="str">
        <f>CONCATENATE(schedule13[[#This Row],[OD]],"-",schedule13[[#This Row],[ID]],"-",schedule13[[#This Row],[TICKNESS]],"-",schedule13[[#This Row],[GRADE]],"-",schedule13[[#This Row],[FC/NFC]])</f>
        <v>19-19-1-CRFH-PE</v>
      </c>
      <c r="Q489" s="557"/>
      <c r="R489" s="557"/>
      <c r="S489" s="1">
        <v>23.42</v>
      </c>
      <c r="T489" s="1">
        <v>19</v>
      </c>
      <c r="U489" s="1">
        <v>19</v>
      </c>
      <c r="V489" s="1">
        <v>1</v>
      </c>
      <c r="W489" s="24">
        <v>100</v>
      </c>
      <c r="X489" s="24"/>
      <c r="Y489" s="2">
        <v>11000</v>
      </c>
      <c r="Z489" s="2"/>
      <c r="AA489" s="4">
        <f t="shared" si="77"/>
        <v>11000</v>
      </c>
      <c r="AB489" s="1">
        <f t="shared" si="79"/>
        <v>0.6079922860000001</v>
      </c>
      <c r="AC489" s="1">
        <f t="shared" si="82"/>
        <v>0</v>
      </c>
      <c r="AD489" s="1">
        <f t="shared" si="78"/>
        <v>0.6079922860000001</v>
      </c>
      <c r="AE489" s="10"/>
      <c r="AF489" s="10"/>
      <c r="AG489" s="10"/>
      <c r="AH489" s="10"/>
      <c r="AI489" s="121"/>
    </row>
    <row r="490" spans="1:36" s="80" customFormat="1" hidden="1" x14ac:dyDescent="0.25">
      <c r="A490" s="30">
        <v>574</v>
      </c>
      <c r="B490" s="5" t="s">
        <v>1816</v>
      </c>
      <c r="C490" s="2" t="s">
        <v>958</v>
      </c>
      <c r="D490" s="2"/>
      <c r="E490" s="2">
        <v>188595</v>
      </c>
      <c r="F490" s="84">
        <v>3935311</v>
      </c>
      <c r="G490" s="2" t="s">
        <v>622</v>
      </c>
      <c r="H490" s="2" t="s">
        <v>229</v>
      </c>
      <c r="I490" s="2"/>
      <c r="J490" s="2" t="s">
        <v>963</v>
      </c>
      <c r="K490" s="2"/>
      <c r="L490" s="2"/>
      <c r="M490" s="2"/>
      <c r="N490" s="2"/>
      <c r="O490" s="2"/>
      <c r="P490" s="557" t="str">
        <f>CONCATENATE(schedule13[[#This Row],[OD]],"-",schedule13[[#This Row],[ID]],"-",schedule13[[#This Row],[TICKNESS]],"-",schedule13[[#This Row],[GRADE]],"-",schedule13[[#This Row],[FC/NFC]])</f>
        <v>25-25-1.2-CRFH-PE</v>
      </c>
      <c r="Q490" s="557"/>
      <c r="R490" s="557"/>
      <c r="S490" s="1">
        <v>31.75</v>
      </c>
      <c r="T490" s="1">
        <v>25</v>
      </c>
      <c r="U490" s="1">
        <v>25</v>
      </c>
      <c r="V490" s="1">
        <v>1.2</v>
      </c>
      <c r="W490" s="24">
        <v>1298</v>
      </c>
      <c r="X490" s="24"/>
      <c r="Y490" s="2">
        <v>5500</v>
      </c>
      <c r="Z490" s="2"/>
      <c r="AA490" s="4">
        <f t="shared" si="77"/>
        <v>5500</v>
      </c>
      <c r="AB490" s="1">
        <f t="shared" si="79"/>
        <v>6.4520781382200001</v>
      </c>
      <c r="AC490" s="1">
        <f t="shared" si="82"/>
        <v>0</v>
      </c>
      <c r="AD490" s="1">
        <f t="shared" si="78"/>
        <v>6.4520781382200001</v>
      </c>
      <c r="AE490" s="10"/>
      <c r="AF490" s="10"/>
      <c r="AG490" s="10"/>
      <c r="AH490" s="10"/>
      <c r="AI490" s="121"/>
    </row>
    <row r="491" spans="1:36" hidden="1" x14ac:dyDescent="0.25">
      <c r="A491" s="30">
        <v>575</v>
      </c>
      <c r="B491" s="5" t="s">
        <v>1816</v>
      </c>
      <c r="C491" s="2" t="s">
        <v>958</v>
      </c>
      <c r="D491" s="2"/>
      <c r="E491" s="2">
        <v>188595</v>
      </c>
      <c r="F491" s="9">
        <v>3230482</v>
      </c>
      <c r="G491" s="2" t="s">
        <v>624</v>
      </c>
      <c r="H491" s="2" t="s">
        <v>229</v>
      </c>
      <c r="I491" s="2"/>
      <c r="J491" s="2" t="s">
        <v>963</v>
      </c>
      <c r="K491" s="2"/>
      <c r="L491" s="2"/>
      <c r="M491" s="2"/>
      <c r="N491" s="2"/>
      <c r="O491" s="2"/>
      <c r="P491" s="557" t="str">
        <f>CONCATENATE(schedule13[[#This Row],[OD]],"-",schedule13[[#This Row],[ID]],"-",schedule13[[#This Row],[TICKNESS]],"-",schedule13[[#This Row],[GRADE]],"-",schedule13[[#This Row],[FC/NFC]])</f>
        <v>25-25-1.2-CRFH-PE</v>
      </c>
      <c r="Q491" s="557"/>
      <c r="R491" s="557"/>
      <c r="S491" s="1">
        <v>31.75</v>
      </c>
      <c r="T491" s="1">
        <v>25</v>
      </c>
      <c r="U491" s="1">
        <v>25</v>
      </c>
      <c r="V491" s="1">
        <v>1.2</v>
      </c>
      <c r="W491" s="24">
        <v>787</v>
      </c>
      <c r="X491" s="24"/>
      <c r="Y491" s="2">
        <v>11000</v>
      </c>
      <c r="Z491" s="2"/>
      <c r="AA491" s="4">
        <f t="shared" si="77"/>
        <v>11000</v>
      </c>
      <c r="AB491" s="1">
        <f t="shared" si="79"/>
        <v>7.8240146298599997</v>
      </c>
      <c r="AC491" s="1">
        <f t="shared" si="82"/>
        <v>0</v>
      </c>
      <c r="AD491" s="1">
        <f t="shared" si="78"/>
        <v>7.8240146298599997</v>
      </c>
      <c r="AE491" s="10"/>
      <c r="AF491" s="10"/>
      <c r="AG491" s="10"/>
      <c r="AH491" s="10"/>
      <c r="AI491" s="121"/>
    </row>
    <row r="492" spans="1:36" hidden="1" x14ac:dyDescent="0.25">
      <c r="A492" s="30">
        <v>576</v>
      </c>
      <c r="B492" s="5" t="s">
        <v>1816</v>
      </c>
      <c r="C492" s="2" t="s">
        <v>958</v>
      </c>
      <c r="D492" s="2"/>
      <c r="E492" s="2">
        <v>188595</v>
      </c>
      <c r="F492" s="9">
        <v>1940850</v>
      </c>
      <c r="G492" s="2" t="s">
        <v>688</v>
      </c>
      <c r="H492" s="2" t="s">
        <v>229</v>
      </c>
      <c r="I492" s="2"/>
      <c r="J492" s="2" t="s">
        <v>963</v>
      </c>
      <c r="K492" s="2"/>
      <c r="L492" s="2"/>
      <c r="M492" s="2"/>
      <c r="N492" s="2"/>
      <c r="O492" s="2"/>
      <c r="P492" s="557" t="str">
        <f>CONCATENATE(schedule13[[#This Row],[OD]],"-",schedule13[[#This Row],[ID]],"-",schedule13[[#This Row],[TICKNESS]],"-",schedule13[[#This Row],[GRADE]],"-",schedule13[[#This Row],[FC/NFC]])</f>
        <v>40-40-1.2-CRFH-PE</v>
      </c>
      <c r="Q492" s="557"/>
      <c r="R492" s="557"/>
      <c r="S492" s="1">
        <v>50.8</v>
      </c>
      <c r="T492" s="1">
        <v>40</v>
      </c>
      <c r="U492" s="1">
        <v>40</v>
      </c>
      <c r="V492" s="1">
        <v>1.2</v>
      </c>
      <c r="W492" s="24">
        <v>140</v>
      </c>
      <c r="X492" s="24"/>
      <c r="Y492" s="2">
        <v>11000</v>
      </c>
      <c r="Z492" s="2"/>
      <c r="AA492" s="4">
        <f t="shared" si="77"/>
        <v>11000</v>
      </c>
      <c r="AB492" s="1">
        <f t="shared" si="79"/>
        <v>2.2597137024</v>
      </c>
      <c r="AC492" s="1">
        <f t="shared" si="82"/>
        <v>0</v>
      </c>
      <c r="AD492" s="1">
        <f t="shared" si="78"/>
        <v>2.2597137024</v>
      </c>
      <c r="AE492" s="10"/>
      <c r="AF492" s="10"/>
      <c r="AG492" s="10"/>
      <c r="AH492" s="10"/>
      <c r="AI492" s="121"/>
    </row>
    <row r="493" spans="1:36" hidden="1" x14ac:dyDescent="0.25">
      <c r="A493" s="30">
        <v>577</v>
      </c>
      <c r="B493" s="5" t="s">
        <v>1816</v>
      </c>
      <c r="C493" s="2" t="s">
        <v>958</v>
      </c>
      <c r="D493" s="2"/>
      <c r="E493" s="2">
        <v>188595</v>
      </c>
      <c r="F493" s="9">
        <v>1940849</v>
      </c>
      <c r="G493" s="2" t="s">
        <v>690</v>
      </c>
      <c r="H493" s="2" t="s">
        <v>229</v>
      </c>
      <c r="I493" s="2"/>
      <c r="J493" s="2" t="s">
        <v>963</v>
      </c>
      <c r="K493" s="2"/>
      <c r="L493" s="2"/>
      <c r="M493" s="2"/>
      <c r="N493" s="2"/>
      <c r="O493" s="2"/>
      <c r="P493" s="557" t="str">
        <f>CONCATENATE(schedule13[[#This Row],[OD]],"-",schedule13[[#This Row],[ID]],"-",schedule13[[#This Row],[TICKNESS]],"-",schedule13[[#This Row],[GRADE]],"-",schedule13[[#This Row],[FC/NFC]])</f>
        <v>40-40-1.2-CRFH-PE</v>
      </c>
      <c r="Q493" s="557"/>
      <c r="R493" s="557"/>
      <c r="S493" s="1">
        <v>50.8</v>
      </c>
      <c r="T493" s="1">
        <v>40</v>
      </c>
      <c r="U493" s="1">
        <v>40</v>
      </c>
      <c r="V493" s="1">
        <v>1.2</v>
      </c>
      <c r="W493" s="24">
        <v>125</v>
      </c>
      <c r="X493" s="24"/>
      <c r="Y493" s="2">
        <v>11000</v>
      </c>
      <c r="Z493" s="2"/>
      <c r="AA493" s="4">
        <f t="shared" si="77"/>
        <v>11000</v>
      </c>
      <c r="AB493" s="1">
        <f t="shared" si="79"/>
        <v>2.0176015199999995</v>
      </c>
      <c r="AC493" s="1">
        <f t="shared" si="82"/>
        <v>0</v>
      </c>
      <c r="AD493" s="1">
        <f t="shared" si="78"/>
        <v>2.0176015199999995</v>
      </c>
      <c r="AE493" s="10"/>
      <c r="AF493" s="10"/>
      <c r="AG493" s="10"/>
      <c r="AH493" s="10"/>
      <c r="AI493" s="121"/>
    </row>
    <row r="494" spans="1:36" hidden="1" x14ac:dyDescent="0.25">
      <c r="A494" s="30">
        <v>578</v>
      </c>
      <c r="B494" s="5" t="s">
        <v>1816</v>
      </c>
      <c r="C494" s="2" t="s">
        <v>958</v>
      </c>
      <c r="D494" s="2"/>
      <c r="E494" s="2">
        <v>188595</v>
      </c>
      <c r="F494" s="9">
        <v>3230495</v>
      </c>
      <c r="G494" s="2" t="s">
        <v>629</v>
      </c>
      <c r="H494" s="2" t="s">
        <v>229</v>
      </c>
      <c r="I494" s="2"/>
      <c r="J494" s="2" t="s">
        <v>963</v>
      </c>
      <c r="K494" s="2"/>
      <c r="L494" s="2"/>
      <c r="M494" s="2"/>
      <c r="N494" s="2"/>
      <c r="O494" s="2"/>
      <c r="P494" s="557" t="str">
        <f>CONCATENATE(schedule13[[#This Row],[OD]],"-",schedule13[[#This Row],[ID]],"-",schedule13[[#This Row],[TICKNESS]],"-",schedule13[[#This Row],[GRADE]],"-",schedule13[[#This Row],[FC/NFC]])</f>
        <v>30-30-1.2-CRFH-PE</v>
      </c>
      <c r="Q494" s="557"/>
      <c r="R494" s="557"/>
      <c r="S494" s="1">
        <v>38.1</v>
      </c>
      <c r="T494" s="1">
        <v>30</v>
      </c>
      <c r="U494" s="1">
        <v>30</v>
      </c>
      <c r="V494" s="1">
        <v>1.2</v>
      </c>
      <c r="W494" s="24">
        <v>220</v>
      </c>
      <c r="X494" s="24"/>
      <c r="Y494" s="2">
        <v>11000</v>
      </c>
      <c r="Z494" s="2"/>
      <c r="AA494" s="4">
        <f t="shared" si="77"/>
        <v>11000</v>
      </c>
      <c r="AB494" s="1">
        <f t="shared" si="79"/>
        <v>2.6417563127999997</v>
      </c>
      <c r="AC494" s="1">
        <f t="shared" si="82"/>
        <v>0</v>
      </c>
      <c r="AD494" s="1">
        <f t="shared" si="78"/>
        <v>2.6417563127999997</v>
      </c>
      <c r="AE494" s="10"/>
      <c r="AF494" s="10"/>
      <c r="AG494" s="10"/>
      <c r="AH494" s="10"/>
      <c r="AI494" s="121"/>
    </row>
    <row r="495" spans="1:36" hidden="1" x14ac:dyDescent="0.25">
      <c r="A495" s="30">
        <v>579</v>
      </c>
      <c r="B495" s="78" t="s">
        <v>1816</v>
      </c>
      <c r="C495" s="44" t="s">
        <v>958</v>
      </c>
      <c r="D495" s="44"/>
      <c r="E495" s="44">
        <v>188595</v>
      </c>
      <c r="F495" s="87">
        <v>3929692</v>
      </c>
      <c r="G495" s="44" t="s">
        <v>533</v>
      </c>
      <c r="H495" s="44" t="s">
        <v>229</v>
      </c>
      <c r="I495" s="44"/>
      <c r="J495" s="44" t="s">
        <v>963</v>
      </c>
      <c r="K495" s="44"/>
      <c r="L495" s="44"/>
      <c r="M495" s="44"/>
      <c r="N495" s="44"/>
      <c r="O495" s="44"/>
      <c r="P495" s="557" t="str">
        <f>CONCATENATE(schedule13[[#This Row],[OD]],"-",schedule13[[#This Row],[ID]],"-",schedule13[[#This Row],[TICKNESS]],"-",schedule13[[#This Row],[GRADE]],"-",schedule13[[#This Row],[FC/NFC]])</f>
        <v>19.05-0-1.2-CRFH-PE</v>
      </c>
      <c r="Q495" s="557"/>
      <c r="R495" s="557"/>
      <c r="S495" s="79">
        <v>19.05</v>
      </c>
      <c r="T495" s="79">
        <v>19.05</v>
      </c>
      <c r="U495" s="79">
        <v>0</v>
      </c>
      <c r="V495" s="79">
        <v>1.2</v>
      </c>
      <c r="W495" s="81">
        <v>1230</v>
      </c>
      <c r="X495" s="81"/>
      <c r="Y495" s="2">
        <v>5500</v>
      </c>
      <c r="Z495" s="44"/>
      <c r="AA495" s="82">
        <f t="shared" si="77"/>
        <v>5500</v>
      </c>
      <c r="AB495" s="79">
        <f t="shared" si="79"/>
        <v>3.5723750139000008</v>
      </c>
      <c r="AC495" s="1">
        <f t="shared" si="82"/>
        <v>0</v>
      </c>
      <c r="AD495" s="1">
        <f t="shared" si="78"/>
        <v>3.5723750139000008</v>
      </c>
      <c r="AE495" s="10"/>
      <c r="AF495" s="10"/>
      <c r="AG495" s="10"/>
      <c r="AH495" s="10"/>
      <c r="AI495" s="121"/>
    </row>
    <row r="496" spans="1:36" hidden="1" x14ac:dyDescent="0.25">
      <c r="A496" s="30">
        <v>580</v>
      </c>
      <c r="B496" s="78" t="s">
        <v>1816</v>
      </c>
      <c r="C496" s="44" t="s">
        <v>958</v>
      </c>
      <c r="D496" s="44"/>
      <c r="E496" s="44">
        <v>188595</v>
      </c>
      <c r="F496" s="87">
        <v>3929540</v>
      </c>
      <c r="G496" s="44" t="s">
        <v>627</v>
      </c>
      <c r="H496" s="44" t="s">
        <v>229</v>
      </c>
      <c r="I496" s="44"/>
      <c r="J496" s="44" t="s">
        <v>963</v>
      </c>
      <c r="K496" s="44"/>
      <c r="L496" s="44"/>
      <c r="M496" s="44"/>
      <c r="N496" s="44"/>
      <c r="O496" s="44"/>
      <c r="P496" s="557" t="str">
        <f>CONCATENATE(schedule13[[#This Row],[OD]],"-",schedule13[[#This Row],[ID]],"-",schedule13[[#This Row],[TICKNESS]],"-",schedule13[[#This Row],[GRADE]],"-",schedule13[[#This Row],[FC/NFC]])</f>
        <v>19.05-0-1.2-CRFH-PE</v>
      </c>
      <c r="Q496" s="557"/>
      <c r="R496" s="557"/>
      <c r="S496" s="79">
        <v>19.05</v>
      </c>
      <c r="T496" s="79">
        <v>19.05</v>
      </c>
      <c r="U496" s="79">
        <v>0</v>
      </c>
      <c r="V496" s="79">
        <v>1.2</v>
      </c>
      <c r="W496" s="81">
        <v>682</v>
      </c>
      <c r="X496" s="81"/>
      <c r="Y496" s="2">
        <v>11000</v>
      </c>
      <c r="Z496" s="44"/>
      <c r="AA496" s="82">
        <f t="shared" si="77"/>
        <v>11000</v>
      </c>
      <c r="AB496" s="79">
        <f t="shared" si="79"/>
        <v>3.9615605845199999</v>
      </c>
      <c r="AC496" s="1">
        <f t="shared" si="82"/>
        <v>0</v>
      </c>
      <c r="AD496" s="1">
        <f t="shared" si="78"/>
        <v>3.9615605845199999</v>
      </c>
      <c r="AE496" s="10"/>
      <c r="AF496" s="10"/>
      <c r="AG496" s="10"/>
      <c r="AH496" s="10"/>
      <c r="AI496" s="121"/>
    </row>
    <row r="497" spans="1:35" ht="15.75" hidden="1" x14ac:dyDescent="0.25">
      <c r="A497" s="30">
        <v>581</v>
      </c>
      <c r="B497" s="78" t="s">
        <v>1816</v>
      </c>
      <c r="C497" s="44" t="s">
        <v>958</v>
      </c>
      <c r="D497" s="44"/>
      <c r="E497" s="44">
        <v>188595</v>
      </c>
      <c r="F497" s="88">
        <v>3935313</v>
      </c>
      <c r="G497" s="44" t="s">
        <v>6574</v>
      </c>
      <c r="H497" s="44" t="s">
        <v>229</v>
      </c>
      <c r="I497" s="44"/>
      <c r="J497" s="44" t="s">
        <v>963</v>
      </c>
      <c r="K497" s="44"/>
      <c r="L497" s="44"/>
      <c r="M497" s="44"/>
      <c r="N497" s="44"/>
      <c r="O497" s="44"/>
      <c r="P497" s="557" t="str">
        <f>CONCATENATE(schedule13[[#This Row],[OD]],"-",schedule13[[#This Row],[ID]],"-",schedule13[[#This Row],[TICKNESS]],"-",schedule13[[#This Row],[GRADE]],"-",schedule13[[#This Row],[FC/NFC]])</f>
        <v>19.05-0-1.2-CRFH-PE</v>
      </c>
      <c r="Q497" s="557"/>
      <c r="R497" s="557"/>
      <c r="S497" s="79">
        <v>19.05</v>
      </c>
      <c r="T497" s="79">
        <v>19.05</v>
      </c>
      <c r="U497" s="79">
        <v>0</v>
      </c>
      <c r="V497" s="79">
        <v>1.2</v>
      </c>
      <c r="W497" s="81">
        <v>33000</v>
      </c>
      <c r="X497" s="81"/>
      <c r="Y497" s="2">
        <v>5500</v>
      </c>
      <c r="Z497" s="44"/>
      <c r="AA497" s="82">
        <f t="shared" si="77"/>
        <v>5500</v>
      </c>
      <c r="AB497" s="79">
        <f t="shared" si="79"/>
        <v>95.844207690000005</v>
      </c>
      <c r="AC497" s="1">
        <f t="shared" si="82"/>
        <v>0</v>
      </c>
      <c r="AD497" s="1">
        <f t="shared" si="78"/>
        <v>95.844207690000005</v>
      </c>
      <c r="AE497" s="10"/>
      <c r="AF497" s="10"/>
      <c r="AG497" s="10"/>
      <c r="AH497" s="10"/>
      <c r="AI497" s="121"/>
    </row>
    <row r="498" spans="1:35" hidden="1" x14ac:dyDescent="0.25">
      <c r="A498" s="30">
        <v>582</v>
      </c>
      <c r="B498" s="78" t="s">
        <v>1816</v>
      </c>
      <c r="C498" s="44" t="s">
        <v>958</v>
      </c>
      <c r="D498" s="44"/>
      <c r="E498" s="44">
        <v>188595</v>
      </c>
      <c r="F498" s="87">
        <v>3929691</v>
      </c>
      <c r="G498" s="44" t="s">
        <v>535</v>
      </c>
      <c r="H498" s="44" t="s">
        <v>229</v>
      </c>
      <c r="I498" s="44"/>
      <c r="J498" s="44" t="s">
        <v>963</v>
      </c>
      <c r="K498" s="44"/>
      <c r="L498" s="44"/>
      <c r="M498" s="44"/>
      <c r="N498" s="44"/>
      <c r="O498" s="44"/>
      <c r="P498" s="557" t="str">
        <f>CONCATENATE(schedule13[[#This Row],[OD]],"-",schedule13[[#This Row],[ID]],"-",schedule13[[#This Row],[TICKNESS]],"-",schedule13[[#This Row],[GRADE]],"-",schedule13[[#This Row],[FC/NFC]])</f>
        <v>19.05-0-1.2-CRFH-PE</v>
      </c>
      <c r="Q498" s="557"/>
      <c r="R498" s="557"/>
      <c r="S498" s="79">
        <v>19.05</v>
      </c>
      <c r="T498" s="79">
        <v>19.05</v>
      </c>
      <c r="U498" s="79">
        <v>0</v>
      </c>
      <c r="V498" s="79">
        <v>1.2</v>
      </c>
      <c r="W498" s="81">
        <v>200</v>
      </c>
      <c r="X498" s="81"/>
      <c r="Y498" s="2">
        <v>22000</v>
      </c>
      <c r="Z498" s="44"/>
      <c r="AA498" s="82">
        <f t="shared" si="77"/>
        <v>22000</v>
      </c>
      <c r="AB498" s="79">
        <f t="shared" si="79"/>
        <v>2.3234959440000003</v>
      </c>
      <c r="AC498" s="1">
        <f t="shared" si="82"/>
        <v>0</v>
      </c>
      <c r="AD498" s="1">
        <f t="shared" si="78"/>
        <v>2.3234959440000003</v>
      </c>
      <c r="AE498" s="10"/>
      <c r="AF498" s="10"/>
      <c r="AG498" s="10"/>
      <c r="AH498" s="10"/>
      <c r="AI498" s="121"/>
    </row>
    <row r="499" spans="1:35" hidden="1" x14ac:dyDescent="0.25">
      <c r="A499" s="30">
        <v>583</v>
      </c>
      <c r="B499" s="78" t="s">
        <v>1816</v>
      </c>
      <c r="C499" s="44" t="s">
        <v>958</v>
      </c>
      <c r="D499" s="44"/>
      <c r="E499" s="44">
        <v>188595</v>
      </c>
      <c r="F499" s="122">
        <v>3935312</v>
      </c>
      <c r="G499" s="44" t="s">
        <v>2208</v>
      </c>
      <c r="H499" s="44" t="s">
        <v>962</v>
      </c>
      <c r="I499" s="44"/>
      <c r="J499" s="44" t="s">
        <v>963</v>
      </c>
      <c r="K499" s="44"/>
      <c r="L499" s="44"/>
      <c r="M499" s="44"/>
      <c r="N499" s="44"/>
      <c r="O499" s="44"/>
      <c r="P499" s="557" t="str">
        <f>CONCATENATE(schedule13[[#This Row],[OD]],"-",schedule13[[#This Row],[ID]],"-",schedule13[[#This Row],[TICKNESS]],"-",schedule13[[#This Row],[GRADE]],"-",schedule13[[#This Row],[FC/NFC]])</f>
        <v>15.88-0-1.2-ERW 1-PE</v>
      </c>
      <c r="Q499" s="557"/>
      <c r="R499" s="557"/>
      <c r="S499" s="79">
        <v>15.88</v>
      </c>
      <c r="T499" s="79">
        <v>15.88</v>
      </c>
      <c r="U499" s="79">
        <v>0</v>
      </c>
      <c r="V499" s="79">
        <v>1.2</v>
      </c>
      <c r="W499" s="81">
        <v>100</v>
      </c>
      <c r="X499" s="81"/>
      <c r="Y499" s="2">
        <v>11000</v>
      </c>
      <c r="Z499" s="44"/>
      <c r="AA499" s="82">
        <f t="shared" si="77"/>
        <v>11000</v>
      </c>
      <c r="AB499" s="79">
        <f t="shared" si="79"/>
        <v>0.4777159728</v>
      </c>
      <c r="AC499" s="1">
        <f t="shared" si="82"/>
        <v>0</v>
      </c>
      <c r="AD499" s="1">
        <f t="shared" si="78"/>
        <v>0.4777159728</v>
      </c>
      <c r="AE499" s="10"/>
      <c r="AF499" s="10"/>
      <c r="AG499" s="10"/>
      <c r="AH499" s="10"/>
      <c r="AI499" s="121"/>
    </row>
    <row r="500" spans="1:35" hidden="1" x14ac:dyDescent="0.25">
      <c r="A500" s="30">
        <v>520</v>
      </c>
      <c r="B500" s="5" t="s">
        <v>1816</v>
      </c>
      <c r="C500" s="2" t="s">
        <v>301</v>
      </c>
      <c r="D500" s="2"/>
      <c r="E500" s="2">
        <v>188595</v>
      </c>
      <c r="F500" s="9">
        <v>1940801</v>
      </c>
      <c r="G500" s="2" t="s">
        <v>478</v>
      </c>
      <c r="H500" s="2" t="s">
        <v>229</v>
      </c>
      <c r="I500" s="2"/>
      <c r="J500" s="2" t="s">
        <v>963</v>
      </c>
      <c r="K500" s="2"/>
      <c r="L500" s="2"/>
      <c r="M500" s="2"/>
      <c r="N500" s="2"/>
      <c r="O500" s="2"/>
      <c r="P500" s="557" t="str">
        <f>CONCATENATE(schedule13[[#This Row],[OD]],"-",schedule13[[#This Row],[ID]],"-",schedule13[[#This Row],[TICKNESS]],"-",schedule13[[#This Row],[GRADE]],"-",schedule13[[#This Row],[FC/NFC]])</f>
        <v>40-20-1.2-CRFH-PE</v>
      </c>
      <c r="Q500" s="557"/>
      <c r="R500" s="557"/>
      <c r="S500" s="1">
        <v>38.1</v>
      </c>
      <c r="T500" s="1">
        <v>40</v>
      </c>
      <c r="U500" s="1">
        <v>20</v>
      </c>
      <c r="V500" s="1">
        <v>1.2</v>
      </c>
      <c r="W500" s="22">
        <v>1310</v>
      </c>
      <c r="X500" s="22"/>
      <c r="Y500" s="2">
        <v>4500</v>
      </c>
      <c r="Z500" s="3"/>
      <c r="AA500" s="4">
        <f t="shared" si="77"/>
        <v>4500</v>
      </c>
      <c r="AB500" s="1">
        <f t="shared" si="79"/>
        <v>6.4351873817999996</v>
      </c>
      <c r="AC500" s="1">
        <f t="shared" si="82"/>
        <v>0</v>
      </c>
      <c r="AD500" s="1">
        <f t="shared" si="78"/>
        <v>6.4351873817999996</v>
      </c>
      <c r="AE500" s="1"/>
      <c r="AF500" s="1"/>
      <c r="AG500" s="1"/>
      <c r="AH500" s="1">
        <f>AB499-AF500</f>
        <v>0.4777159728</v>
      </c>
      <c r="AI500" s="118">
        <f>(AC500+AF500)/AB499</f>
        <v>0</v>
      </c>
    </row>
    <row r="501" spans="1:35" hidden="1" x14ac:dyDescent="0.25">
      <c r="A501" s="30">
        <v>521</v>
      </c>
      <c r="B501" s="5" t="s">
        <v>1816</v>
      </c>
      <c r="C501" s="2" t="s">
        <v>301</v>
      </c>
      <c r="D501" s="2"/>
      <c r="E501" s="2">
        <v>188595</v>
      </c>
      <c r="F501" s="9">
        <v>3230470</v>
      </c>
      <c r="G501" s="2" t="s">
        <v>1671</v>
      </c>
      <c r="H501" s="2" t="s">
        <v>229</v>
      </c>
      <c r="I501" s="2"/>
      <c r="J501" s="2" t="s">
        <v>963</v>
      </c>
      <c r="K501" s="2"/>
      <c r="L501" s="2"/>
      <c r="M501" s="2"/>
      <c r="N501" s="2"/>
      <c r="O501" s="2"/>
      <c r="P501" s="557" t="str">
        <f>CONCATENATE(schedule13[[#This Row],[OD]],"-",schedule13[[#This Row],[ID]],"-",schedule13[[#This Row],[TICKNESS]],"-",schedule13[[#This Row],[GRADE]],"-",schedule13[[#This Row],[FC/NFC]])</f>
        <v>40-20-1.2-CRFH-PE</v>
      </c>
      <c r="Q501" s="557"/>
      <c r="R501" s="557"/>
      <c r="S501" s="1">
        <v>38.1</v>
      </c>
      <c r="T501" s="1">
        <v>40</v>
      </c>
      <c r="U501" s="1">
        <v>20</v>
      </c>
      <c r="V501" s="1">
        <v>1.2</v>
      </c>
      <c r="W501" s="22">
        <v>1246</v>
      </c>
      <c r="X501" s="22"/>
      <c r="Y501" s="2">
        <v>1500</v>
      </c>
      <c r="Z501" s="3"/>
      <c r="AA501" s="4">
        <f t="shared" si="77"/>
        <v>1500</v>
      </c>
      <c r="AB501" s="1">
        <f t="shared" si="79"/>
        <v>2.0402655159599998</v>
      </c>
      <c r="AC501" s="1">
        <f t="shared" si="82"/>
        <v>0</v>
      </c>
      <c r="AD501" s="1">
        <f t="shared" si="78"/>
        <v>2.0402655159599998</v>
      </c>
      <c r="AE501" s="10"/>
      <c r="AF501" s="10"/>
      <c r="AG501" s="10"/>
      <c r="AH501" s="10"/>
      <c r="AI501" s="121"/>
    </row>
    <row r="502" spans="1:35" hidden="1" x14ac:dyDescent="0.25">
      <c r="A502" s="30">
        <v>522</v>
      </c>
      <c r="B502" s="5" t="s">
        <v>1816</v>
      </c>
      <c r="C502" s="2" t="s">
        <v>301</v>
      </c>
      <c r="D502" s="2"/>
      <c r="E502" s="2">
        <v>188595</v>
      </c>
      <c r="F502" s="9">
        <v>3230465</v>
      </c>
      <c r="G502" s="2" t="s">
        <v>1670</v>
      </c>
      <c r="H502" s="2" t="s">
        <v>229</v>
      </c>
      <c r="I502" s="2"/>
      <c r="J502" s="2" t="s">
        <v>963</v>
      </c>
      <c r="K502" s="2"/>
      <c r="L502" s="2"/>
      <c r="M502" s="2"/>
      <c r="N502" s="2"/>
      <c r="O502" s="2"/>
      <c r="P502" s="557" t="str">
        <f>CONCATENATE(schedule13[[#This Row],[OD]],"-",schedule13[[#This Row],[ID]],"-",schedule13[[#This Row],[TICKNESS]],"-",schedule13[[#This Row],[GRADE]],"-",schedule13[[#This Row],[FC/NFC]])</f>
        <v>40-20-1.2-CRFH-PE</v>
      </c>
      <c r="Q502" s="557"/>
      <c r="R502" s="557"/>
      <c r="S502" s="1">
        <v>38.1</v>
      </c>
      <c r="T502" s="1">
        <v>40</v>
      </c>
      <c r="U502" s="1">
        <v>20</v>
      </c>
      <c r="V502" s="1">
        <v>1.2</v>
      </c>
      <c r="W502" s="22">
        <v>1120</v>
      </c>
      <c r="X502" s="22"/>
      <c r="Y502" s="2">
        <v>6000</v>
      </c>
      <c r="Z502" s="3"/>
      <c r="AA502" s="4">
        <f t="shared" si="77"/>
        <v>6000</v>
      </c>
      <c r="AB502" s="1">
        <f t="shared" si="79"/>
        <v>7.3357861247999985</v>
      </c>
      <c r="AC502" s="1">
        <f t="shared" si="82"/>
        <v>0</v>
      </c>
      <c r="AD502" s="1">
        <f t="shared" si="78"/>
        <v>7.3357861247999985</v>
      </c>
      <c r="AE502" s="10"/>
      <c r="AF502" s="10"/>
      <c r="AG502" s="10"/>
      <c r="AH502" s="10"/>
      <c r="AI502" s="121"/>
    </row>
    <row r="503" spans="1:35" hidden="1" x14ac:dyDescent="0.25">
      <c r="A503" s="30">
        <v>523</v>
      </c>
      <c r="B503" s="5" t="s">
        <v>1816</v>
      </c>
      <c r="C503" s="2" t="s">
        <v>301</v>
      </c>
      <c r="D503" s="2"/>
      <c r="E503" s="2">
        <v>188595</v>
      </c>
      <c r="F503" s="9">
        <v>3572051</v>
      </c>
      <c r="G503" s="2" t="s">
        <v>484</v>
      </c>
      <c r="H503" s="2" t="s">
        <v>229</v>
      </c>
      <c r="I503" s="2"/>
      <c r="J503" s="2" t="s">
        <v>963</v>
      </c>
      <c r="K503" s="2"/>
      <c r="L503" s="2"/>
      <c r="M503" s="2"/>
      <c r="N503" s="2"/>
      <c r="O503" s="2"/>
      <c r="P503" s="557" t="str">
        <f>CONCATENATE(schedule13[[#This Row],[OD]],"-",schedule13[[#This Row],[ID]],"-",schedule13[[#This Row],[TICKNESS]],"-",schedule13[[#This Row],[GRADE]],"-",schedule13[[#This Row],[FC/NFC]])</f>
        <v>40-20-1.2-CRFH-PE</v>
      </c>
      <c r="Q503" s="557"/>
      <c r="R503" s="557"/>
      <c r="S503" s="1">
        <v>38.1</v>
      </c>
      <c r="T503" s="1">
        <v>40</v>
      </c>
      <c r="U503" s="1">
        <v>20</v>
      </c>
      <c r="V503" s="1">
        <v>1.2</v>
      </c>
      <c r="W503" s="22">
        <v>860</v>
      </c>
      <c r="X503" s="22"/>
      <c r="Y503" s="2">
        <v>6000</v>
      </c>
      <c r="Z503" s="3"/>
      <c r="AA503" s="4">
        <f t="shared" si="77"/>
        <v>6000</v>
      </c>
      <c r="AB503" s="1">
        <f t="shared" si="79"/>
        <v>5.6328357743999993</v>
      </c>
      <c r="AC503" s="1">
        <f t="shared" si="82"/>
        <v>0</v>
      </c>
      <c r="AD503" s="1">
        <f t="shared" si="78"/>
        <v>5.6328357743999993</v>
      </c>
      <c r="AE503" s="10"/>
      <c r="AF503" s="10"/>
      <c r="AG503" s="10"/>
      <c r="AH503" s="10"/>
      <c r="AI503" s="121"/>
    </row>
    <row r="504" spans="1:35" hidden="1" x14ac:dyDescent="0.25">
      <c r="A504" s="30">
        <v>524</v>
      </c>
      <c r="B504" s="5" t="s">
        <v>1816</v>
      </c>
      <c r="C504" s="2" t="s">
        <v>301</v>
      </c>
      <c r="D504" s="2"/>
      <c r="E504" s="2">
        <v>188595</v>
      </c>
      <c r="F504" s="9">
        <v>3572050</v>
      </c>
      <c r="G504" s="2" t="s">
        <v>1666</v>
      </c>
      <c r="H504" s="2" t="s">
        <v>229</v>
      </c>
      <c r="I504" s="2"/>
      <c r="J504" s="2" t="s">
        <v>963</v>
      </c>
      <c r="K504" s="2"/>
      <c r="L504" s="2"/>
      <c r="M504" s="2"/>
      <c r="N504" s="2"/>
      <c r="O504" s="2"/>
      <c r="P504" s="557" t="str">
        <f>CONCATENATE(schedule13[[#This Row],[OD]],"-",schedule13[[#This Row],[ID]],"-",schedule13[[#This Row],[TICKNESS]],"-",schedule13[[#This Row],[GRADE]],"-",schedule13[[#This Row],[FC/NFC]])</f>
        <v>40-20-1.2-CRFH-PE</v>
      </c>
      <c r="Q504" s="557"/>
      <c r="R504" s="557"/>
      <c r="S504" s="1">
        <v>38.1</v>
      </c>
      <c r="T504" s="1">
        <v>40</v>
      </c>
      <c r="U504" s="1">
        <v>20</v>
      </c>
      <c r="V504" s="1">
        <v>1.2</v>
      </c>
      <c r="W504" s="22">
        <v>710</v>
      </c>
      <c r="X504" s="22"/>
      <c r="Y504" s="2">
        <v>3000</v>
      </c>
      <c r="Z504" s="3"/>
      <c r="AA504" s="4">
        <f t="shared" si="77"/>
        <v>3000</v>
      </c>
      <c r="AB504" s="1">
        <f t="shared" si="79"/>
        <v>2.3251822091999994</v>
      </c>
      <c r="AC504" s="1">
        <f t="shared" si="82"/>
        <v>0</v>
      </c>
      <c r="AD504" s="1">
        <f t="shared" si="78"/>
        <v>2.3251822091999994</v>
      </c>
      <c r="AE504" s="10"/>
      <c r="AF504" s="10"/>
      <c r="AG504" s="10"/>
      <c r="AH504" s="10"/>
      <c r="AI504" s="121"/>
    </row>
    <row r="505" spans="1:35" hidden="1" x14ac:dyDescent="0.25">
      <c r="A505" s="30">
        <v>525</v>
      </c>
      <c r="B505" s="5" t="s">
        <v>1816</v>
      </c>
      <c r="C505" s="2" t="s">
        <v>301</v>
      </c>
      <c r="D505" s="2"/>
      <c r="E505" s="2">
        <v>188595</v>
      </c>
      <c r="F505" s="9">
        <v>3572048</v>
      </c>
      <c r="G505" s="2" t="s">
        <v>1664</v>
      </c>
      <c r="H505" s="2" t="s">
        <v>229</v>
      </c>
      <c r="I505" s="2"/>
      <c r="J505" s="2" t="s">
        <v>963</v>
      </c>
      <c r="K505" s="2"/>
      <c r="L505" s="2"/>
      <c r="M505" s="2"/>
      <c r="N505" s="2"/>
      <c r="O505" s="2"/>
      <c r="P505" s="557" t="str">
        <f>CONCATENATE(schedule13[[#This Row],[OD]],"-",schedule13[[#This Row],[ID]],"-",schedule13[[#This Row],[TICKNESS]],"-",schedule13[[#This Row],[GRADE]],"-",schedule13[[#This Row],[FC/NFC]])</f>
        <v>40-20-1.2-CRFH-PE</v>
      </c>
      <c r="Q505" s="557"/>
      <c r="R505" s="557"/>
      <c r="S505" s="1">
        <v>38.1</v>
      </c>
      <c r="T505" s="1">
        <v>40</v>
      </c>
      <c r="U505" s="1">
        <v>20</v>
      </c>
      <c r="V505" s="1">
        <v>1.2</v>
      </c>
      <c r="W505" s="22">
        <v>140</v>
      </c>
      <c r="X505" s="22"/>
      <c r="Y505" s="2">
        <v>3000</v>
      </c>
      <c r="Z505" s="3"/>
      <c r="AA505" s="4">
        <f t="shared" si="77"/>
        <v>3000</v>
      </c>
      <c r="AB505" s="1">
        <f t="shared" si="79"/>
        <v>0.4584866327999999</v>
      </c>
      <c r="AC505" s="1">
        <f t="shared" si="82"/>
        <v>0</v>
      </c>
      <c r="AD505" s="1">
        <f t="shared" si="78"/>
        <v>0.4584866327999999</v>
      </c>
      <c r="AE505" s="10"/>
      <c r="AF505" s="10"/>
      <c r="AG505" s="10"/>
      <c r="AH505" s="10"/>
      <c r="AI505" s="121"/>
    </row>
    <row r="506" spans="1:35" hidden="1" x14ac:dyDescent="0.25">
      <c r="A506" s="30">
        <v>526</v>
      </c>
      <c r="B506" s="5" t="s">
        <v>1816</v>
      </c>
      <c r="C506" s="2" t="s">
        <v>301</v>
      </c>
      <c r="D506" s="2"/>
      <c r="E506" s="2">
        <v>188595</v>
      </c>
      <c r="F506" s="9">
        <v>3233559</v>
      </c>
      <c r="G506" s="2" t="s">
        <v>490</v>
      </c>
      <c r="H506" s="2" t="s">
        <v>229</v>
      </c>
      <c r="I506" s="2"/>
      <c r="J506" s="2" t="s">
        <v>963</v>
      </c>
      <c r="K506" s="2"/>
      <c r="L506" s="2"/>
      <c r="M506" s="2"/>
      <c r="N506" s="2"/>
      <c r="O506" s="2"/>
      <c r="P506" s="557" t="str">
        <f>CONCATENATE(schedule13[[#This Row],[OD]],"-",schedule13[[#This Row],[ID]],"-",schedule13[[#This Row],[TICKNESS]],"-",schedule13[[#This Row],[GRADE]],"-",schedule13[[#This Row],[FC/NFC]])</f>
        <v>40-20-1.2-CRFH-PE</v>
      </c>
      <c r="Q506" s="557"/>
      <c r="R506" s="557"/>
      <c r="S506" s="1">
        <v>38.1</v>
      </c>
      <c r="T506" s="1">
        <v>40</v>
      </c>
      <c r="U506" s="1">
        <v>20</v>
      </c>
      <c r="V506" s="1">
        <v>1.2</v>
      </c>
      <c r="W506" s="22">
        <v>120</v>
      </c>
      <c r="X506" s="22"/>
      <c r="Y506" s="2">
        <v>3000</v>
      </c>
      <c r="Z506" s="3"/>
      <c r="AA506" s="4">
        <f t="shared" si="77"/>
        <v>3000</v>
      </c>
      <c r="AB506" s="1">
        <f t="shared" si="79"/>
        <v>0.39298854239999997</v>
      </c>
      <c r="AC506" s="1">
        <f t="shared" si="82"/>
        <v>0</v>
      </c>
      <c r="AD506" s="1">
        <f t="shared" si="78"/>
        <v>0.39298854239999997</v>
      </c>
      <c r="AE506" s="10"/>
      <c r="AF506" s="10"/>
      <c r="AG506" s="10"/>
      <c r="AH506" s="10"/>
      <c r="AI506" s="121"/>
    </row>
    <row r="507" spans="1:35" hidden="1" x14ac:dyDescent="0.25">
      <c r="A507" s="30">
        <v>527</v>
      </c>
      <c r="B507" s="5" t="s">
        <v>1816</v>
      </c>
      <c r="C507" s="2" t="s">
        <v>301</v>
      </c>
      <c r="D507" s="2"/>
      <c r="E507" s="2">
        <v>188595</v>
      </c>
      <c r="F507" s="9">
        <v>3572047</v>
      </c>
      <c r="G507" s="2" t="s">
        <v>492</v>
      </c>
      <c r="H507" s="2" t="s">
        <v>229</v>
      </c>
      <c r="I507" s="2"/>
      <c r="J507" s="2" t="s">
        <v>963</v>
      </c>
      <c r="K507" s="2"/>
      <c r="L507" s="2"/>
      <c r="M507" s="2"/>
      <c r="N507" s="2"/>
      <c r="O507" s="2"/>
      <c r="P507" s="557" t="str">
        <f>CONCATENATE(schedule13[[#This Row],[OD]],"-",schedule13[[#This Row],[ID]],"-",schedule13[[#This Row],[TICKNESS]],"-",schedule13[[#This Row],[GRADE]],"-",schedule13[[#This Row],[FC/NFC]])</f>
        <v>40-20-1.2-CRFH-PE</v>
      </c>
      <c r="Q507" s="557"/>
      <c r="R507" s="557"/>
      <c r="S507" s="1">
        <v>38.1</v>
      </c>
      <c r="T507" s="1">
        <v>40</v>
      </c>
      <c r="U507" s="1">
        <v>20</v>
      </c>
      <c r="V507" s="1">
        <v>1.2</v>
      </c>
      <c r="W507" s="22">
        <v>110</v>
      </c>
      <c r="X507" s="22"/>
      <c r="Y507" s="2">
        <v>3000</v>
      </c>
      <c r="Z507" s="3"/>
      <c r="AA507" s="4">
        <f t="shared" si="77"/>
        <v>3000</v>
      </c>
      <c r="AB507" s="1">
        <f t="shared" si="79"/>
        <v>0.36023949719999998</v>
      </c>
      <c r="AC507" s="1">
        <f t="shared" si="82"/>
        <v>0</v>
      </c>
      <c r="AD507" s="1">
        <f t="shared" si="78"/>
        <v>0.36023949719999998</v>
      </c>
      <c r="AE507" s="10"/>
      <c r="AF507" s="10"/>
      <c r="AG507" s="10"/>
      <c r="AH507" s="10"/>
      <c r="AI507" s="121"/>
    </row>
    <row r="508" spans="1:35" hidden="1" x14ac:dyDescent="0.25">
      <c r="A508" s="30">
        <v>528</v>
      </c>
      <c r="B508" s="5" t="s">
        <v>1816</v>
      </c>
      <c r="C508" s="44" t="s">
        <v>301</v>
      </c>
      <c r="D508" s="44"/>
      <c r="E508" s="44">
        <v>188595</v>
      </c>
      <c r="F508" s="87">
        <v>3938688</v>
      </c>
      <c r="G508" s="2" t="s">
        <v>2294</v>
      </c>
      <c r="H508" s="2" t="s">
        <v>229</v>
      </c>
      <c r="I508" s="44"/>
      <c r="J508" s="44" t="s">
        <v>963</v>
      </c>
      <c r="K508" s="44"/>
      <c r="L508" s="44"/>
      <c r="M508" s="44"/>
      <c r="N508" s="44"/>
      <c r="O508" s="44"/>
      <c r="P508" s="557" t="str">
        <f>CONCATENATE(schedule13[[#This Row],[OD]],"-",schedule13[[#This Row],[ID]],"-",schedule13[[#This Row],[TICKNESS]],"-",schedule13[[#This Row],[GRADE]],"-",schedule13[[#This Row],[FC/NFC]])</f>
        <v>40-20-1.2-CRFH-PE</v>
      </c>
      <c r="Q508" s="557"/>
      <c r="R508" s="557"/>
      <c r="S508" s="1">
        <v>38.1</v>
      </c>
      <c r="T508" s="1">
        <v>40</v>
      </c>
      <c r="U508" s="1">
        <v>20</v>
      </c>
      <c r="V508" s="1">
        <v>1.2</v>
      </c>
      <c r="W508" s="22">
        <v>95</v>
      </c>
      <c r="X508" s="22"/>
      <c r="Y508" s="2">
        <v>3000</v>
      </c>
      <c r="Z508" s="85"/>
      <c r="AA508" s="82">
        <f t="shared" si="77"/>
        <v>3000</v>
      </c>
      <c r="AB508" s="79">
        <f t="shared" si="79"/>
        <v>0.31111592939999999</v>
      </c>
      <c r="AC508" s="1">
        <f t="shared" si="82"/>
        <v>0</v>
      </c>
      <c r="AD508" s="1">
        <f t="shared" si="78"/>
        <v>0.31111592939999999</v>
      </c>
      <c r="AE508" s="10"/>
      <c r="AF508" s="10"/>
      <c r="AG508" s="10"/>
      <c r="AH508" s="10"/>
      <c r="AI508" s="121"/>
    </row>
    <row r="509" spans="1:35" hidden="1" x14ac:dyDescent="0.25">
      <c r="A509" s="30">
        <v>529</v>
      </c>
      <c r="B509" s="5" t="s">
        <v>1816</v>
      </c>
      <c r="C509" s="2" t="s">
        <v>301</v>
      </c>
      <c r="D509" s="2"/>
      <c r="E509" s="2">
        <v>188595</v>
      </c>
      <c r="F509" s="9">
        <v>3572039</v>
      </c>
      <c r="G509" s="2" t="s">
        <v>519</v>
      </c>
      <c r="H509" s="2" t="s">
        <v>229</v>
      </c>
      <c r="I509" s="2"/>
      <c r="J509" s="2" t="s">
        <v>963</v>
      </c>
      <c r="K509" s="2"/>
      <c r="L509" s="2"/>
      <c r="M509" s="2"/>
      <c r="N509" s="2"/>
      <c r="O509" s="2"/>
      <c r="P509" s="557" t="str">
        <f>CONCATENATE(schedule13[[#This Row],[OD]],"-",schedule13[[#This Row],[ID]],"-",schedule13[[#This Row],[TICKNESS]],"-",schedule13[[#This Row],[GRADE]],"-",schedule13[[#This Row],[FC/NFC]])</f>
        <v>19-19-1-CRFH-PE</v>
      </c>
      <c r="Q509" s="557"/>
      <c r="R509" s="557"/>
      <c r="S509" s="1">
        <v>23.42</v>
      </c>
      <c r="T509" s="1">
        <v>19</v>
      </c>
      <c r="U509" s="1">
        <v>19</v>
      </c>
      <c r="V509" s="1">
        <v>1</v>
      </c>
      <c r="W509" s="22">
        <v>1304</v>
      </c>
      <c r="X509" s="22"/>
      <c r="Y509" s="2">
        <v>1500</v>
      </c>
      <c r="Z509" s="3"/>
      <c r="AA509" s="4">
        <f t="shared" si="77"/>
        <v>1500</v>
      </c>
      <c r="AB509" s="1">
        <f t="shared" si="79"/>
        <v>1.0811208285600002</v>
      </c>
      <c r="AC509" s="1">
        <f t="shared" si="82"/>
        <v>0</v>
      </c>
      <c r="AD509" s="1">
        <f t="shared" si="78"/>
        <v>1.0811208285600002</v>
      </c>
      <c r="AE509" s="10"/>
      <c r="AF509" s="10"/>
      <c r="AG509" s="10"/>
      <c r="AH509" s="10"/>
      <c r="AI509" s="121"/>
    </row>
    <row r="510" spans="1:35" hidden="1" x14ac:dyDescent="0.25">
      <c r="A510" s="30">
        <v>530</v>
      </c>
      <c r="B510" s="5" t="s">
        <v>1816</v>
      </c>
      <c r="C510" s="2" t="s">
        <v>301</v>
      </c>
      <c r="D510" s="2"/>
      <c r="E510" s="2">
        <v>188595</v>
      </c>
      <c r="F510" s="9">
        <v>3931837</v>
      </c>
      <c r="G510" s="2" t="s">
        <v>2258</v>
      </c>
      <c r="H510" s="2" t="s">
        <v>229</v>
      </c>
      <c r="I510" s="2"/>
      <c r="J510" s="2" t="s">
        <v>963</v>
      </c>
      <c r="K510" s="2"/>
      <c r="L510" s="2"/>
      <c r="M510" s="2"/>
      <c r="N510" s="2"/>
      <c r="O510" s="2"/>
      <c r="P510" s="557" t="str">
        <f>CONCATENATE(schedule13[[#This Row],[OD]],"-",schedule13[[#This Row],[ID]],"-",schedule13[[#This Row],[TICKNESS]],"-",schedule13[[#This Row],[GRADE]],"-",schedule13[[#This Row],[FC/NFC]])</f>
        <v>19-19-1-CRFH-PE</v>
      </c>
      <c r="Q510" s="557"/>
      <c r="R510" s="557"/>
      <c r="S510" s="1">
        <v>23.42</v>
      </c>
      <c r="T510" s="1">
        <v>19</v>
      </c>
      <c r="U510" s="1">
        <v>19</v>
      </c>
      <c r="V510" s="1">
        <v>1</v>
      </c>
      <c r="W510" s="22">
        <v>1150</v>
      </c>
      <c r="X510" s="22"/>
      <c r="Y510" s="2">
        <v>1500</v>
      </c>
      <c r="Z510" s="3"/>
      <c r="AA510" s="4">
        <f t="shared" si="77"/>
        <v>1500</v>
      </c>
      <c r="AB510" s="1">
        <f t="shared" si="79"/>
        <v>0.95344244850000015</v>
      </c>
      <c r="AC510" s="1">
        <f t="shared" si="82"/>
        <v>0</v>
      </c>
      <c r="AD510" s="1">
        <f t="shared" si="78"/>
        <v>0.95344244850000015</v>
      </c>
      <c r="AE510" s="10"/>
      <c r="AF510" s="10"/>
      <c r="AG510" s="10"/>
      <c r="AH510" s="10"/>
      <c r="AI510" s="121"/>
    </row>
    <row r="511" spans="1:35" hidden="1" x14ac:dyDescent="0.25">
      <c r="A511" s="30">
        <v>531</v>
      </c>
      <c r="B511" s="5" t="s">
        <v>1816</v>
      </c>
      <c r="C511" s="2" t="s">
        <v>301</v>
      </c>
      <c r="D511" s="2"/>
      <c r="E511" s="2">
        <v>188595</v>
      </c>
      <c r="F511" s="9">
        <v>3572038</v>
      </c>
      <c r="G511" s="2" t="s">
        <v>521</v>
      </c>
      <c r="H511" s="2" t="s">
        <v>229</v>
      </c>
      <c r="I511" s="2"/>
      <c r="J511" s="2" t="s">
        <v>963</v>
      </c>
      <c r="K511" s="2"/>
      <c r="L511" s="2"/>
      <c r="M511" s="2"/>
      <c r="N511" s="2"/>
      <c r="O511" s="2"/>
      <c r="P511" s="557" t="str">
        <f>CONCATENATE(schedule13[[#This Row],[OD]],"-",schedule13[[#This Row],[ID]],"-",schedule13[[#This Row],[TICKNESS]],"-",schedule13[[#This Row],[GRADE]],"-",schedule13[[#This Row],[FC/NFC]])</f>
        <v>19-19-1-CRFH-PE</v>
      </c>
      <c r="Q511" s="557"/>
      <c r="R511" s="557"/>
      <c r="S511" s="1">
        <v>23.42</v>
      </c>
      <c r="T511" s="1">
        <v>19</v>
      </c>
      <c r="U511" s="1">
        <v>19</v>
      </c>
      <c r="V511" s="1">
        <v>1</v>
      </c>
      <c r="W511" s="22">
        <v>1246</v>
      </c>
      <c r="X511" s="22"/>
      <c r="Y511" s="2">
        <v>1500</v>
      </c>
      <c r="Z511" s="3"/>
      <c r="AA511" s="4">
        <f t="shared" si="77"/>
        <v>1500</v>
      </c>
      <c r="AB511" s="1">
        <f t="shared" si="79"/>
        <v>1.0330341659400002</v>
      </c>
      <c r="AC511" s="1">
        <f t="shared" si="82"/>
        <v>0</v>
      </c>
      <c r="AD511" s="1">
        <f t="shared" si="78"/>
        <v>1.0330341659400002</v>
      </c>
      <c r="AE511" s="10"/>
      <c r="AF511" s="10"/>
      <c r="AG511" s="10"/>
      <c r="AH511" s="10"/>
      <c r="AI511" s="121"/>
    </row>
    <row r="512" spans="1:35" hidden="1" x14ac:dyDescent="0.25">
      <c r="A512" s="30">
        <v>532</v>
      </c>
      <c r="B512" s="5" t="s">
        <v>1816</v>
      </c>
      <c r="C512" s="44" t="s">
        <v>301</v>
      </c>
      <c r="D512" s="44"/>
      <c r="E512" s="44">
        <v>188595</v>
      </c>
      <c r="F512" s="87">
        <v>3938684</v>
      </c>
      <c r="G512" s="2" t="s">
        <v>2114</v>
      </c>
      <c r="H512" s="2" t="s">
        <v>229</v>
      </c>
      <c r="I512" s="44"/>
      <c r="J512" s="44" t="s">
        <v>963</v>
      </c>
      <c r="K512" s="44"/>
      <c r="L512" s="44"/>
      <c r="M512" s="44"/>
      <c r="N512" s="44"/>
      <c r="O512" s="44"/>
      <c r="P512" s="557" t="str">
        <f>CONCATENATE(schedule13[[#This Row],[OD]],"-",schedule13[[#This Row],[ID]],"-",schedule13[[#This Row],[TICKNESS]],"-",schedule13[[#This Row],[GRADE]],"-",schedule13[[#This Row],[FC/NFC]])</f>
        <v>19-19-1-CRFH-PE</v>
      </c>
      <c r="Q512" s="557"/>
      <c r="R512" s="557"/>
      <c r="S512" s="1">
        <v>23.42</v>
      </c>
      <c r="T512" s="1">
        <v>19</v>
      </c>
      <c r="U512" s="1">
        <v>19</v>
      </c>
      <c r="V512" s="1">
        <v>1</v>
      </c>
      <c r="W512" s="22">
        <v>962</v>
      </c>
      <c r="X512" s="22"/>
      <c r="Y512" s="2">
        <v>3000</v>
      </c>
      <c r="Z512" s="85"/>
      <c r="AA512" s="82">
        <f t="shared" si="77"/>
        <v>3000</v>
      </c>
      <c r="AB512" s="79">
        <f t="shared" si="79"/>
        <v>1.59515067036</v>
      </c>
      <c r="AC512" s="1">
        <f t="shared" si="82"/>
        <v>0</v>
      </c>
      <c r="AD512" s="1">
        <f t="shared" si="78"/>
        <v>1.59515067036</v>
      </c>
      <c r="AE512" s="10"/>
      <c r="AF512" s="10"/>
      <c r="AG512" s="10"/>
      <c r="AH512" s="10"/>
      <c r="AI512" s="121"/>
    </row>
    <row r="513" spans="1:36" hidden="1" x14ac:dyDescent="0.25">
      <c r="A513" s="30">
        <v>533</v>
      </c>
      <c r="B513" s="5" t="s">
        <v>1816</v>
      </c>
      <c r="C513" s="2" t="s">
        <v>301</v>
      </c>
      <c r="D513" s="2"/>
      <c r="E513" s="2">
        <v>188595</v>
      </c>
      <c r="F513" s="9">
        <v>3572035</v>
      </c>
      <c r="G513" s="2" t="s">
        <v>1283</v>
      </c>
      <c r="H513" s="2" t="s">
        <v>229</v>
      </c>
      <c r="I513" s="2"/>
      <c r="J513" s="2" t="s">
        <v>963</v>
      </c>
      <c r="K513" s="2"/>
      <c r="L513" s="2"/>
      <c r="M513" s="2"/>
      <c r="N513" s="2"/>
      <c r="O513" s="2"/>
      <c r="P513" s="557" t="str">
        <f>CONCATENATE(schedule13[[#This Row],[OD]],"-",schedule13[[#This Row],[ID]],"-",schedule13[[#This Row],[TICKNESS]],"-",schedule13[[#This Row],[GRADE]],"-",schedule13[[#This Row],[FC/NFC]])</f>
        <v>19-19-1-CRFH-PE</v>
      </c>
      <c r="Q513" s="557"/>
      <c r="R513" s="557"/>
      <c r="S513" s="1">
        <v>23.42</v>
      </c>
      <c r="T513" s="1">
        <v>19</v>
      </c>
      <c r="U513" s="1">
        <v>19</v>
      </c>
      <c r="V513" s="1">
        <v>1</v>
      </c>
      <c r="W513" s="22">
        <v>890</v>
      </c>
      <c r="X513" s="22"/>
      <c r="Y513" s="2">
        <v>1500</v>
      </c>
      <c r="Z513" s="3"/>
      <c r="AA513" s="4">
        <f t="shared" si="77"/>
        <v>1500</v>
      </c>
      <c r="AB513" s="1">
        <f t="shared" si="79"/>
        <v>0.7378815471000002</v>
      </c>
      <c r="AC513" s="1">
        <f t="shared" si="82"/>
        <v>0</v>
      </c>
      <c r="AD513" s="1">
        <f t="shared" si="78"/>
        <v>0.7378815471000002</v>
      </c>
      <c r="AE513" s="10"/>
      <c r="AF513" s="10"/>
      <c r="AG513" s="10"/>
      <c r="AH513" s="10"/>
      <c r="AI513" s="121"/>
    </row>
    <row r="514" spans="1:36" hidden="1" x14ac:dyDescent="0.25">
      <c r="A514" s="30">
        <v>534</v>
      </c>
      <c r="B514" s="5" t="s">
        <v>1816</v>
      </c>
      <c r="C514" s="2" t="s">
        <v>301</v>
      </c>
      <c r="D514" s="2"/>
      <c r="E514" s="2">
        <v>188595</v>
      </c>
      <c r="F514" s="9">
        <v>3572033</v>
      </c>
      <c r="G514" s="2" t="s">
        <v>1276</v>
      </c>
      <c r="H514" s="2" t="s">
        <v>229</v>
      </c>
      <c r="I514" s="2"/>
      <c r="J514" s="2" t="s">
        <v>963</v>
      </c>
      <c r="K514" s="2"/>
      <c r="L514" s="2"/>
      <c r="M514" s="2"/>
      <c r="N514" s="2"/>
      <c r="O514" s="2"/>
      <c r="P514" s="557" t="str">
        <f>CONCATENATE(schedule13[[#This Row],[OD]],"-",schedule13[[#This Row],[ID]],"-",schedule13[[#This Row],[TICKNESS]],"-",schedule13[[#This Row],[GRADE]],"-",schedule13[[#This Row],[FC/NFC]])</f>
        <v>19-19-1-CRFH-PE</v>
      </c>
      <c r="Q514" s="557"/>
      <c r="R514" s="557"/>
      <c r="S514" s="1">
        <v>23.42</v>
      </c>
      <c r="T514" s="1">
        <v>19</v>
      </c>
      <c r="U514" s="1">
        <v>19</v>
      </c>
      <c r="V514" s="1">
        <v>1</v>
      </c>
      <c r="W514" s="22">
        <v>790</v>
      </c>
      <c r="X514" s="22"/>
      <c r="Y514" s="2">
        <v>3000</v>
      </c>
      <c r="Z514" s="3"/>
      <c r="AA514" s="4">
        <f t="shared" si="77"/>
        <v>3000</v>
      </c>
      <c r="AB514" s="1">
        <f t="shared" si="79"/>
        <v>1.3099470162000002</v>
      </c>
      <c r="AC514" s="1">
        <f t="shared" si="82"/>
        <v>0</v>
      </c>
      <c r="AD514" s="1">
        <f t="shared" si="78"/>
        <v>1.3099470162000002</v>
      </c>
      <c r="AE514" s="10"/>
      <c r="AF514" s="10"/>
      <c r="AG514" s="10"/>
      <c r="AH514" s="10"/>
      <c r="AI514" s="121"/>
    </row>
    <row r="515" spans="1:36" hidden="1" x14ac:dyDescent="0.25">
      <c r="A515" s="30">
        <v>535</v>
      </c>
      <c r="B515" s="5" t="s">
        <v>1816</v>
      </c>
      <c r="C515" s="2" t="s">
        <v>301</v>
      </c>
      <c r="D515" s="2"/>
      <c r="E515" s="2">
        <v>188595</v>
      </c>
      <c r="F515" s="9">
        <v>3572032</v>
      </c>
      <c r="G515" s="2" t="s">
        <v>1274</v>
      </c>
      <c r="H515" s="2" t="s">
        <v>229</v>
      </c>
      <c r="I515" s="2"/>
      <c r="J515" s="2" t="s">
        <v>963</v>
      </c>
      <c r="K515" s="2"/>
      <c r="L515" s="2"/>
      <c r="M515" s="2"/>
      <c r="N515" s="2"/>
      <c r="O515" s="2"/>
      <c r="P515" s="557" t="str">
        <f>CONCATENATE(schedule13[[#This Row],[OD]],"-",schedule13[[#This Row],[ID]],"-",schedule13[[#This Row],[TICKNESS]],"-",schedule13[[#This Row],[GRADE]],"-",schedule13[[#This Row],[FC/NFC]])</f>
        <v>19-19-1-CRFH-PE</v>
      </c>
      <c r="Q515" s="557"/>
      <c r="R515" s="557"/>
      <c r="S515" s="1">
        <v>23.42</v>
      </c>
      <c r="T515" s="1">
        <v>19</v>
      </c>
      <c r="U515" s="1">
        <v>19</v>
      </c>
      <c r="V515" s="1">
        <v>1</v>
      </c>
      <c r="W515" s="22">
        <v>750</v>
      </c>
      <c r="X515" s="22"/>
      <c r="Y515" s="2">
        <v>3000</v>
      </c>
      <c r="Z515" s="3"/>
      <c r="AA515" s="4">
        <f t="shared" si="77"/>
        <v>3000</v>
      </c>
      <c r="AB515" s="1">
        <f t="shared" si="79"/>
        <v>1.2436205850000002</v>
      </c>
      <c r="AC515" s="1">
        <f t="shared" si="82"/>
        <v>0</v>
      </c>
      <c r="AD515" s="1">
        <f t="shared" si="78"/>
        <v>1.2436205850000002</v>
      </c>
      <c r="AE515" s="10"/>
      <c r="AF515" s="10"/>
      <c r="AG515" s="10"/>
      <c r="AH515" s="10"/>
      <c r="AI515" s="121"/>
    </row>
    <row r="516" spans="1:36" hidden="1" x14ac:dyDescent="0.25">
      <c r="A516" s="30">
        <v>536</v>
      </c>
      <c r="B516" s="5" t="s">
        <v>1816</v>
      </c>
      <c r="C516" s="2" t="s">
        <v>301</v>
      </c>
      <c r="D516" s="2"/>
      <c r="E516" s="2">
        <v>188595</v>
      </c>
      <c r="F516" s="9">
        <v>3572031</v>
      </c>
      <c r="G516" s="2" t="s">
        <v>1272</v>
      </c>
      <c r="H516" s="2" t="s">
        <v>229</v>
      </c>
      <c r="I516" s="2"/>
      <c r="J516" s="2" t="s">
        <v>963</v>
      </c>
      <c r="K516" s="2"/>
      <c r="L516" s="2"/>
      <c r="M516" s="2"/>
      <c r="N516" s="2"/>
      <c r="O516" s="2"/>
      <c r="P516" s="557" t="str">
        <f>CONCATENATE(schedule13[[#This Row],[OD]],"-",schedule13[[#This Row],[ID]],"-",schedule13[[#This Row],[TICKNESS]],"-",schedule13[[#This Row],[GRADE]],"-",schedule13[[#This Row],[FC/NFC]])</f>
        <v>19-19-1-CRFH-PE</v>
      </c>
      <c r="Q516" s="557"/>
      <c r="R516" s="557"/>
      <c r="S516" s="1">
        <v>23.42</v>
      </c>
      <c r="T516" s="1">
        <v>19</v>
      </c>
      <c r="U516" s="1">
        <v>19</v>
      </c>
      <c r="V516" s="1">
        <v>1</v>
      </c>
      <c r="W516" s="22">
        <v>710</v>
      </c>
      <c r="X516" s="22"/>
      <c r="Y516" s="2">
        <v>3000</v>
      </c>
      <c r="Z516" s="3"/>
      <c r="AA516" s="4">
        <f t="shared" ref="AA516:AA579" si="83">Y516-Z516</f>
        <v>3000</v>
      </c>
      <c r="AB516" s="1">
        <f t="shared" si="79"/>
        <v>1.1772941538000001</v>
      </c>
      <c r="AC516" s="1">
        <f t="shared" si="82"/>
        <v>0</v>
      </c>
      <c r="AD516" s="1">
        <f t="shared" ref="AD516:AD579" si="84">AB516-AC516</f>
        <v>1.1772941538000001</v>
      </c>
      <c r="AE516" s="10"/>
      <c r="AF516" s="10"/>
      <c r="AG516" s="10"/>
      <c r="AH516" s="10"/>
      <c r="AI516" s="121"/>
    </row>
    <row r="517" spans="1:36" hidden="1" x14ac:dyDescent="0.25">
      <c r="A517" s="30">
        <v>537</v>
      </c>
      <c r="B517" s="5" t="s">
        <v>1816</v>
      </c>
      <c r="C517" s="2" t="s">
        <v>301</v>
      </c>
      <c r="D517" s="2"/>
      <c r="E517" s="2">
        <v>188595</v>
      </c>
      <c r="F517" s="9">
        <v>3571870</v>
      </c>
      <c r="G517" s="2" t="s">
        <v>525</v>
      </c>
      <c r="H517" s="2" t="s">
        <v>229</v>
      </c>
      <c r="I517" s="2"/>
      <c r="J517" s="2" t="s">
        <v>963</v>
      </c>
      <c r="K517" s="2"/>
      <c r="L517" s="2"/>
      <c r="M517" s="2"/>
      <c r="N517" s="2"/>
      <c r="O517" s="2"/>
      <c r="P517" s="557" t="str">
        <f>CONCATENATE(schedule13[[#This Row],[OD]],"-",schedule13[[#This Row],[ID]],"-",schedule13[[#This Row],[TICKNESS]],"-",schedule13[[#This Row],[GRADE]],"-",schedule13[[#This Row],[FC/NFC]])</f>
        <v>19-19-1-CRFH-PE</v>
      </c>
      <c r="Q517" s="557"/>
      <c r="R517" s="557"/>
      <c r="S517" s="1">
        <v>23.42</v>
      </c>
      <c r="T517" s="1">
        <v>19</v>
      </c>
      <c r="U517" s="1">
        <v>19</v>
      </c>
      <c r="V517" s="1">
        <v>1</v>
      </c>
      <c r="W517" s="22">
        <v>540</v>
      </c>
      <c r="X517" s="22"/>
      <c r="Y517" s="2">
        <v>3000</v>
      </c>
      <c r="Z517" s="3"/>
      <c r="AA517" s="4">
        <f t="shared" si="83"/>
        <v>3000</v>
      </c>
      <c r="AB517" s="1">
        <f t="shared" si="79"/>
        <v>0.89540682120000026</v>
      </c>
      <c r="AC517" s="1">
        <f t="shared" si="82"/>
        <v>0</v>
      </c>
      <c r="AD517" s="1">
        <f t="shared" si="84"/>
        <v>0.89540682120000026</v>
      </c>
      <c r="AE517" s="10"/>
      <c r="AF517" s="10"/>
      <c r="AG517" s="10"/>
      <c r="AH517" s="10"/>
      <c r="AI517" s="121"/>
    </row>
    <row r="518" spans="1:36" hidden="1" x14ac:dyDescent="0.25">
      <c r="A518" s="30">
        <v>538</v>
      </c>
      <c r="B518" s="5" t="s">
        <v>1816</v>
      </c>
      <c r="C518" s="2" t="s">
        <v>301</v>
      </c>
      <c r="D518" s="2"/>
      <c r="E518" s="2">
        <v>188595</v>
      </c>
      <c r="F518" s="9">
        <v>3571869</v>
      </c>
      <c r="G518" s="2" t="s">
        <v>1267</v>
      </c>
      <c r="H518" s="2" t="s">
        <v>229</v>
      </c>
      <c r="I518" s="2"/>
      <c r="J518" s="2" t="s">
        <v>963</v>
      </c>
      <c r="K518" s="2"/>
      <c r="L518" s="2"/>
      <c r="M518" s="2"/>
      <c r="N518" s="2"/>
      <c r="O518" s="2"/>
      <c r="P518" s="557" t="str">
        <f>CONCATENATE(schedule13[[#This Row],[OD]],"-",schedule13[[#This Row],[ID]],"-",schedule13[[#This Row],[TICKNESS]],"-",schedule13[[#This Row],[GRADE]],"-",schedule13[[#This Row],[FC/NFC]])</f>
        <v>19-19-1-CRFH-PE</v>
      </c>
      <c r="Q518" s="557"/>
      <c r="R518" s="557"/>
      <c r="S518" s="1">
        <v>23.42</v>
      </c>
      <c r="T518" s="1">
        <v>19</v>
      </c>
      <c r="U518" s="1">
        <v>19</v>
      </c>
      <c r="V518" s="1">
        <v>1</v>
      </c>
      <c r="W518" s="22">
        <v>486</v>
      </c>
      <c r="X518" s="22"/>
      <c r="Y518" s="2">
        <v>1500</v>
      </c>
      <c r="Z518" s="3"/>
      <c r="AA518" s="4">
        <f t="shared" si="83"/>
        <v>1500</v>
      </c>
      <c r="AB518" s="1">
        <f t="shared" si="79"/>
        <v>0.40293306954000002</v>
      </c>
      <c r="AC518" s="1">
        <f t="shared" si="82"/>
        <v>0</v>
      </c>
      <c r="AD518" s="1">
        <f t="shared" si="84"/>
        <v>0.40293306954000002</v>
      </c>
      <c r="AE518" s="10"/>
      <c r="AF518" s="10"/>
      <c r="AG518" s="10"/>
      <c r="AH518" s="10"/>
      <c r="AI518" s="121"/>
    </row>
    <row r="519" spans="1:36" hidden="1" x14ac:dyDescent="0.25">
      <c r="A519" s="30">
        <v>539</v>
      </c>
      <c r="B519" s="5" t="s">
        <v>1816</v>
      </c>
      <c r="C519" s="2" t="s">
        <v>301</v>
      </c>
      <c r="D519" s="2"/>
      <c r="E519" s="2">
        <v>188595</v>
      </c>
      <c r="F519" s="9">
        <v>3571868</v>
      </c>
      <c r="G519" s="2" t="s">
        <v>1261</v>
      </c>
      <c r="H519" s="2" t="s">
        <v>229</v>
      </c>
      <c r="I519" s="2"/>
      <c r="J519" s="2" t="s">
        <v>963</v>
      </c>
      <c r="K519" s="2"/>
      <c r="L519" s="2"/>
      <c r="M519" s="2"/>
      <c r="N519" s="2"/>
      <c r="O519" s="2"/>
      <c r="P519" s="557" t="str">
        <f>CONCATENATE(schedule13[[#This Row],[OD]],"-",schedule13[[#This Row],[ID]],"-",schedule13[[#This Row],[TICKNESS]],"-",schedule13[[#This Row],[GRADE]],"-",schedule13[[#This Row],[FC/NFC]])</f>
        <v>19-19-1-CRFH-PE</v>
      </c>
      <c r="Q519" s="557"/>
      <c r="R519" s="557"/>
      <c r="S519" s="1">
        <v>23.42</v>
      </c>
      <c r="T519" s="1">
        <v>19</v>
      </c>
      <c r="U519" s="1">
        <v>19</v>
      </c>
      <c r="V519" s="1">
        <v>1</v>
      </c>
      <c r="W519" s="22">
        <v>392</v>
      </c>
      <c r="X519" s="22"/>
      <c r="Y519" s="2">
        <v>3000</v>
      </c>
      <c r="Z519" s="3"/>
      <c r="AA519" s="4">
        <f t="shared" si="83"/>
        <v>3000</v>
      </c>
      <c r="AB519" s="1">
        <f t="shared" si="79"/>
        <v>0.64999902576000013</v>
      </c>
      <c r="AC519" s="1">
        <f t="shared" si="82"/>
        <v>0</v>
      </c>
      <c r="AD519" s="1">
        <f t="shared" si="84"/>
        <v>0.64999902576000013</v>
      </c>
      <c r="AE519" s="10"/>
      <c r="AF519" s="10"/>
      <c r="AG519" s="10"/>
      <c r="AH519" s="10"/>
      <c r="AI519" s="121"/>
    </row>
    <row r="520" spans="1:36" hidden="1" x14ac:dyDescent="0.25">
      <c r="A520" s="30">
        <v>540</v>
      </c>
      <c r="B520" s="5" t="s">
        <v>1816</v>
      </c>
      <c r="C520" s="2" t="s">
        <v>301</v>
      </c>
      <c r="D520" s="2"/>
      <c r="E520" s="2">
        <v>188595</v>
      </c>
      <c r="F520" s="9">
        <v>3571864</v>
      </c>
      <c r="G520" s="2" t="s">
        <v>1252</v>
      </c>
      <c r="H520" s="2" t="s">
        <v>229</v>
      </c>
      <c r="I520" s="2"/>
      <c r="J520" s="2" t="s">
        <v>963</v>
      </c>
      <c r="K520" s="2"/>
      <c r="L520" s="2"/>
      <c r="M520" s="2"/>
      <c r="N520" s="2"/>
      <c r="O520" s="2"/>
      <c r="P520" s="557" t="str">
        <f>CONCATENATE(schedule13[[#This Row],[OD]],"-",schedule13[[#This Row],[ID]],"-",schedule13[[#This Row],[TICKNESS]],"-",schedule13[[#This Row],[GRADE]],"-",schedule13[[#This Row],[FC/NFC]])</f>
        <v>19-19-1-CRFH-PE</v>
      </c>
      <c r="Q520" s="557"/>
      <c r="R520" s="557"/>
      <c r="S520" s="1">
        <v>23.42</v>
      </c>
      <c r="T520" s="1">
        <v>19</v>
      </c>
      <c r="U520" s="1">
        <v>19</v>
      </c>
      <c r="V520" s="1">
        <v>1</v>
      </c>
      <c r="W520" s="22">
        <v>290</v>
      </c>
      <c r="X520" s="22"/>
      <c r="Y520" s="2">
        <v>3000</v>
      </c>
      <c r="Z520" s="3"/>
      <c r="AA520" s="4">
        <f t="shared" si="83"/>
        <v>3000</v>
      </c>
      <c r="AB520" s="1">
        <f t="shared" si="79"/>
        <v>0.48086662620000004</v>
      </c>
      <c r="AC520" s="1">
        <f t="shared" si="82"/>
        <v>0</v>
      </c>
      <c r="AD520" s="1">
        <f t="shared" si="84"/>
        <v>0.48086662620000004</v>
      </c>
      <c r="AE520" s="10"/>
      <c r="AF520" s="10"/>
      <c r="AG520" s="10"/>
      <c r="AH520" s="10"/>
      <c r="AI520" s="121"/>
    </row>
    <row r="521" spans="1:36" hidden="1" x14ac:dyDescent="0.25">
      <c r="A521" s="30">
        <v>541</v>
      </c>
      <c r="B521" s="5" t="s">
        <v>1816</v>
      </c>
      <c r="C521" s="2" t="s">
        <v>301</v>
      </c>
      <c r="D521" s="2"/>
      <c r="E521" s="2">
        <v>188595</v>
      </c>
      <c r="F521" s="9">
        <v>3230486</v>
      </c>
      <c r="G521" s="2" t="s">
        <v>602</v>
      </c>
      <c r="H521" s="2" t="s">
        <v>229</v>
      </c>
      <c r="I521" s="2"/>
      <c r="J521" s="2" t="s">
        <v>963</v>
      </c>
      <c r="K521" s="2"/>
      <c r="L521" s="2"/>
      <c r="M521" s="2"/>
      <c r="N521" s="2"/>
      <c r="O521" s="2"/>
      <c r="P521" s="557" t="str">
        <f>CONCATENATE(schedule13[[#This Row],[OD]],"-",schedule13[[#This Row],[ID]],"-",schedule13[[#This Row],[TICKNESS]],"-",schedule13[[#This Row],[GRADE]],"-",schedule13[[#This Row],[FC/NFC]])</f>
        <v>19-19-1-CRFH-PE</v>
      </c>
      <c r="Q521" s="557"/>
      <c r="R521" s="557"/>
      <c r="S521" s="1">
        <v>23.42</v>
      </c>
      <c r="T521" s="1">
        <v>19</v>
      </c>
      <c r="U521" s="1">
        <v>19</v>
      </c>
      <c r="V521" s="1">
        <v>1</v>
      </c>
      <c r="W521" s="22">
        <v>150</v>
      </c>
      <c r="X521" s="22"/>
      <c r="Y521" s="2">
        <v>1500</v>
      </c>
      <c r="Z521" s="3"/>
      <c r="AA521" s="4">
        <f t="shared" si="83"/>
        <v>1500</v>
      </c>
      <c r="AB521" s="1">
        <f t="shared" si="79"/>
        <v>0.12436205850000003</v>
      </c>
      <c r="AC521" s="1">
        <f t="shared" si="82"/>
        <v>0</v>
      </c>
      <c r="AD521" s="1">
        <f t="shared" si="84"/>
        <v>0.12436205850000003</v>
      </c>
      <c r="AE521" s="10"/>
      <c r="AF521" s="10"/>
      <c r="AG521" s="10"/>
      <c r="AH521" s="10"/>
      <c r="AI521" s="121"/>
    </row>
    <row r="522" spans="1:36" hidden="1" x14ac:dyDescent="0.25">
      <c r="A522" s="30">
        <v>542</v>
      </c>
      <c r="B522" s="5" t="s">
        <v>1816</v>
      </c>
      <c r="C522" s="44" t="s">
        <v>301</v>
      </c>
      <c r="D522" s="44"/>
      <c r="E522" s="44">
        <v>188595</v>
      </c>
      <c r="F522" s="87">
        <v>3938687</v>
      </c>
      <c r="G522" s="2" t="s">
        <v>554</v>
      </c>
      <c r="H522" s="2" t="s">
        <v>229</v>
      </c>
      <c r="I522" s="44"/>
      <c r="J522" s="44" t="s">
        <v>963</v>
      </c>
      <c r="K522" s="44"/>
      <c r="L522" s="44"/>
      <c r="M522" s="44"/>
      <c r="N522" s="44"/>
      <c r="O522" s="44"/>
      <c r="P522" s="557" t="str">
        <f>CONCATENATE(schedule13[[#This Row],[OD]],"-",schedule13[[#This Row],[ID]],"-",schedule13[[#This Row],[TICKNESS]],"-",schedule13[[#This Row],[GRADE]],"-",schedule13[[#This Row],[FC/NFC]])</f>
        <v>19-19-1-CRFH-PE</v>
      </c>
      <c r="Q522" s="557"/>
      <c r="R522" s="557"/>
      <c r="S522" s="1">
        <v>23.42</v>
      </c>
      <c r="T522" s="1">
        <v>19</v>
      </c>
      <c r="U522" s="1">
        <v>19</v>
      </c>
      <c r="V522" s="1">
        <v>1</v>
      </c>
      <c r="W522" s="22">
        <v>129</v>
      </c>
      <c r="X522" s="22"/>
      <c r="Y522" s="2">
        <v>6000</v>
      </c>
      <c r="Z522" s="85"/>
      <c r="AA522" s="82">
        <f t="shared" si="83"/>
        <v>6000</v>
      </c>
      <c r="AB522" s="79">
        <f t="shared" si="79"/>
        <v>0.42780548124000006</v>
      </c>
      <c r="AC522" s="1">
        <f t="shared" si="82"/>
        <v>0</v>
      </c>
      <c r="AD522" s="1">
        <f t="shared" si="84"/>
        <v>0.42780548124000006</v>
      </c>
      <c r="AE522" s="10"/>
      <c r="AF522" s="10"/>
      <c r="AG522" s="10"/>
      <c r="AH522" s="10"/>
      <c r="AI522" s="121"/>
    </row>
    <row r="523" spans="1:36" hidden="1" x14ac:dyDescent="0.25">
      <c r="A523" s="30">
        <v>543</v>
      </c>
      <c r="B523" s="5" t="s">
        <v>1816</v>
      </c>
      <c r="C523" s="2" t="s">
        <v>301</v>
      </c>
      <c r="D523" s="2"/>
      <c r="E523" s="2">
        <v>188595</v>
      </c>
      <c r="F523" s="9">
        <v>3931835</v>
      </c>
      <c r="G523" s="2" t="s">
        <v>527</v>
      </c>
      <c r="H523" s="2" t="s">
        <v>229</v>
      </c>
      <c r="I523" s="2"/>
      <c r="J523" s="2" t="s">
        <v>963</v>
      </c>
      <c r="K523" s="2"/>
      <c r="L523" s="2"/>
      <c r="M523" s="2"/>
      <c r="N523" s="2"/>
      <c r="O523" s="2"/>
      <c r="P523" s="557" t="str">
        <f>CONCATENATE(schedule13[[#This Row],[OD]],"-",schedule13[[#This Row],[ID]],"-",schedule13[[#This Row],[TICKNESS]],"-",schedule13[[#This Row],[GRADE]],"-",schedule13[[#This Row],[FC/NFC]])</f>
        <v>19-19-1-CRFH-PE</v>
      </c>
      <c r="Q523" s="557"/>
      <c r="R523" s="557"/>
      <c r="S523" s="1">
        <v>23.42</v>
      </c>
      <c r="T523" s="1">
        <v>19</v>
      </c>
      <c r="U523" s="1">
        <v>19</v>
      </c>
      <c r="V523" s="1">
        <v>1</v>
      </c>
      <c r="W523" s="22">
        <v>110</v>
      </c>
      <c r="X523" s="22"/>
      <c r="Y523" s="2">
        <v>3000</v>
      </c>
      <c r="Z523" s="3"/>
      <c r="AA523" s="4">
        <f t="shared" si="83"/>
        <v>3000</v>
      </c>
      <c r="AB523" s="1">
        <f t="shared" si="79"/>
        <v>0.18239768580000001</v>
      </c>
      <c r="AC523" s="1">
        <f t="shared" si="82"/>
        <v>0</v>
      </c>
      <c r="AD523" s="1">
        <f t="shared" si="84"/>
        <v>0.18239768580000001</v>
      </c>
      <c r="AE523" s="10"/>
      <c r="AF523" s="10"/>
      <c r="AG523" s="10"/>
      <c r="AH523" s="10"/>
      <c r="AI523" s="121"/>
      <c r="AJ523" s="15">
        <v>9518493649</v>
      </c>
    </row>
    <row r="524" spans="1:36" hidden="1" x14ac:dyDescent="0.25">
      <c r="A524" s="30">
        <v>544</v>
      </c>
      <c r="B524" s="5" t="s">
        <v>1816</v>
      </c>
      <c r="C524" s="2" t="s">
        <v>301</v>
      </c>
      <c r="D524" s="2"/>
      <c r="E524" s="2">
        <v>188595</v>
      </c>
      <c r="F524" s="9">
        <v>3931834</v>
      </c>
      <c r="G524" s="2" t="s">
        <v>2109</v>
      </c>
      <c r="H524" s="2" t="s">
        <v>229</v>
      </c>
      <c r="I524" s="2"/>
      <c r="J524" s="2" t="s">
        <v>963</v>
      </c>
      <c r="K524" s="2"/>
      <c r="L524" s="2"/>
      <c r="M524" s="2"/>
      <c r="N524" s="2"/>
      <c r="O524" s="2"/>
      <c r="P524" s="557" t="str">
        <f>CONCATENATE(schedule13[[#This Row],[OD]],"-",schedule13[[#This Row],[ID]],"-",schedule13[[#This Row],[TICKNESS]],"-",schedule13[[#This Row],[GRADE]],"-",schedule13[[#This Row],[FC/NFC]])</f>
        <v>19-19-1-CRFH-PE</v>
      </c>
      <c r="Q524" s="557"/>
      <c r="R524" s="557"/>
      <c r="S524" s="1">
        <v>23.42</v>
      </c>
      <c r="T524" s="1">
        <v>19</v>
      </c>
      <c r="U524" s="1">
        <v>19</v>
      </c>
      <c r="V524" s="1">
        <v>1</v>
      </c>
      <c r="W524" s="22">
        <v>100</v>
      </c>
      <c r="X524" s="22"/>
      <c r="Y524" s="2">
        <v>3000</v>
      </c>
      <c r="Z524" s="3"/>
      <c r="AA524" s="4">
        <f t="shared" si="83"/>
        <v>3000</v>
      </c>
      <c r="AB524" s="1">
        <f t="shared" si="79"/>
        <v>0.16581607800000001</v>
      </c>
      <c r="AC524" s="1">
        <f t="shared" si="82"/>
        <v>0</v>
      </c>
      <c r="AD524" s="1">
        <f t="shared" si="84"/>
        <v>0.16581607800000001</v>
      </c>
      <c r="AE524" s="10"/>
      <c r="AF524" s="10"/>
      <c r="AG524" s="10"/>
      <c r="AH524" s="10"/>
      <c r="AI524" s="121"/>
    </row>
    <row r="525" spans="1:36" hidden="1" x14ac:dyDescent="0.25">
      <c r="A525" s="30">
        <v>545</v>
      </c>
      <c r="B525" s="5" t="s">
        <v>1816</v>
      </c>
      <c r="C525" s="2" t="s">
        <v>301</v>
      </c>
      <c r="D525" s="2"/>
      <c r="E525" s="2">
        <v>188595</v>
      </c>
      <c r="F525" s="9">
        <v>3572043</v>
      </c>
      <c r="G525" s="2" t="s">
        <v>1544</v>
      </c>
      <c r="H525" s="2" t="s">
        <v>229</v>
      </c>
      <c r="I525" s="2"/>
      <c r="J525" s="2" t="s">
        <v>963</v>
      </c>
      <c r="K525" s="2"/>
      <c r="L525" s="2"/>
      <c r="M525" s="2"/>
      <c r="N525" s="2"/>
      <c r="O525" s="2"/>
      <c r="P525" s="557" t="str">
        <f>CONCATENATE(schedule13[[#This Row],[OD]],"-",schedule13[[#This Row],[ID]],"-",schedule13[[#This Row],[TICKNESS]],"-",schedule13[[#This Row],[GRADE]],"-",schedule13[[#This Row],[FC/NFC]])</f>
        <v>25-25-1.2-CRFH-PE</v>
      </c>
      <c r="Q525" s="557"/>
      <c r="R525" s="557"/>
      <c r="S525" s="1">
        <v>31.75</v>
      </c>
      <c r="T525" s="1">
        <v>25</v>
      </c>
      <c r="U525" s="1">
        <v>25</v>
      </c>
      <c r="V525" s="1">
        <v>1.2</v>
      </c>
      <c r="W525" s="22">
        <v>642</v>
      </c>
      <c r="X525" s="22"/>
      <c r="Y525" s="2">
        <v>3000</v>
      </c>
      <c r="Z525" s="3"/>
      <c r="AA525" s="4">
        <f t="shared" si="83"/>
        <v>3000</v>
      </c>
      <c r="AB525" s="1">
        <f t="shared" si="79"/>
        <v>1.7406783154799998</v>
      </c>
      <c r="AC525" s="1">
        <f t="shared" si="82"/>
        <v>0</v>
      </c>
      <c r="AD525" s="1">
        <f t="shared" si="84"/>
        <v>1.7406783154799998</v>
      </c>
      <c r="AE525" s="10"/>
      <c r="AF525" s="10"/>
      <c r="AG525" s="10"/>
      <c r="AH525" s="10"/>
      <c r="AI525" s="121"/>
    </row>
    <row r="526" spans="1:36" hidden="1" x14ac:dyDescent="0.25">
      <c r="A526" s="30">
        <v>546</v>
      </c>
      <c r="B526" s="5" t="s">
        <v>1816</v>
      </c>
      <c r="C526" s="2" t="s">
        <v>301</v>
      </c>
      <c r="D526" s="2"/>
      <c r="E526" s="2">
        <v>188595</v>
      </c>
      <c r="F526" s="9">
        <v>3572055</v>
      </c>
      <c r="G526" s="2" t="s">
        <v>542</v>
      </c>
      <c r="H526" s="2" t="s">
        <v>229</v>
      </c>
      <c r="I526" s="2"/>
      <c r="J526" s="2" t="s">
        <v>963</v>
      </c>
      <c r="K526" s="2"/>
      <c r="L526" s="2"/>
      <c r="M526" s="2"/>
      <c r="N526" s="2"/>
      <c r="O526" s="2"/>
      <c r="P526" s="557" t="str">
        <f>CONCATENATE(schedule13[[#This Row],[OD]],"-",schedule13[[#This Row],[ID]],"-",schedule13[[#This Row],[TICKNESS]],"-",schedule13[[#This Row],[GRADE]],"-",schedule13[[#This Row],[FC/NFC]])</f>
        <v>40-40-1.2-CRFH-PE</v>
      </c>
      <c r="Q526" s="557"/>
      <c r="R526" s="557"/>
      <c r="S526" s="1">
        <v>50.8</v>
      </c>
      <c r="T526" s="1">
        <v>40</v>
      </c>
      <c r="U526" s="1">
        <v>40</v>
      </c>
      <c r="V526" s="1">
        <v>1.2</v>
      </c>
      <c r="W526" s="22">
        <v>158</v>
      </c>
      <c r="X526" s="22"/>
      <c r="Y526" s="2">
        <v>6000</v>
      </c>
      <c r="Z526" s="3"/>
      <c r="AA526" s="4">
        <f t="shared" si="83"/>
        <v>6000</v>
      </c>
      <c r="AB526" s="1">
        <f t="shared" ref="AB526:AB591" si="85">(S526-V526)*V526*W526*0.024653*Y526/1000000</f>
        <v>1.3910445388799997</v>
      </c>
      <c r="AC526" s="1">
        <f t="shared" si="82"/>
        <v>0</v>
      </c>
      <c r="AD526" s="1">
        <f t="shared" si="84"/>
        <v>1.3910445388799997</v>
      </c>
      <c r="AE526" s="10"/>
      <c r="AF526" s="10"/>
      <c r="AG526" s="10"/>
      <c r="AH526" s="10"/>
      <c r="AI526" s="121"/>
    </row>
    <row r="527" spans="1:36" hidden="1" x14ac:dyDescent="0.25">
      <c r="A527" s="30">
        <v>547</v>
      </c>
      <c r="B527" s="5" t="s">
        <v>1816</v>
      </c>
      <c r="C527" s="44" t="s">
        <v>301</v>
      </c>
      <c r="D527" s="44"/>
      <c r="E527" s="44">
        <v>188595</v>
      </c>
      <c r="F527" s="87">
        <v>3938685</v>
      </c>
      <c r="G527" s="2" t="s">
        <v>6575</v>
      </c>
      <c r="H527" s="2" t="s">
        <v>229</v>
      </c>
      <c r="I527" s="44"/>
      <c r="J527" s="44" t="s">
        <v>963</v>
      </c>
      <c r="K527" s="44"/>
      <c r="L527" s="44"/>
      <c r="M527" s="44"/>
      <c r="N527" s="44"/>
      <c r="O527" s="44"/>
      <c r="P527" s="557" t="str">
        <f>CONCATENATE(schedule13[[#This Row],[OD]],"-",schedule13[[#This Row],[ID]],"-",schedule13[[#This Row],[TICKNESS]],"-",schedule13[[#This Row],[GRADE]],"-",schedule13[[#This Row],[FC/NFC]])</f>
        <v>40-40-1.2-CRFH-PE</v>
      </c>
      <c r="Q527" s="557"/>
      <c r="R527" s="557"/>
      <c r="S527" s="1">
        <v>50.8</v>
      </c>
      <c r="T527" s="1">
        <v>40</v>
      </c>
      <c r="U527" s="1">
        <v>40</v>
      </c>
      <c r="V527" s="1">
        <v>1.2</v>
      </c>
      <c r="W527" s="22">
        <v>85</v>
      </c>
      <c r="X527" s="22"/>
      <c r="Y527" s="2">
        <v>3000</v>
      </c>
      <c r="Z527" s="85"/>
      <c r="AA527" s="82">
        <f t="shared" si="83"/>
        <v>3000</v>
      </c>
      <c r="AB527" s="79">
        <f t="shared" si="85"/>
        <v>0.37417337279999996</v>
      </c>
      <c r="AC527" s="1">
        <f t="shared" si="82"/>
        <v>0</v>
      </c>
      <c r="AD527" s="1">
        <f t="shared" si="84"/>
        <v>0.37417337279999996</v>
      </c>
      <c r="AE527" s="10"/>
      <c r="AF527" s="10"/>
      <c r="AG527" s="10"/>
      <c r="AH527" s="10"/>
      <c r="AI527" s="121"/>
    </row>
    <row r="528" spans="1:36" hidden="1" x14ac:dyDescent="0.25">
      <c r="A528" s="30">
        <v>548</v>
      </c>
      <c r="B528" s="5" t="s">
        <v>1816</v>
      </c>
      <c r="C528" s="2" t="s">
        <v>301</v>
      </c>
      <c r="D528" s="2"/>
      <c r="E528" s="2">
        <v>188595</v>
      </c>
      <c r="F528" s="9">
        <v>3572045</v>
      </c>
      <c r="G528" s="2" t="s">
        <v>1592</v>
      </c>
      <c r="H528" s="2" t="s">
        <v>229</v>
      </c>
      <c r="I528" s="2"/>
      <c r="J528" s="2" t="s">
        <v>963</v>
      </c>
      <c r="K528" s="2"/>
      <c r="L528" s="2"/>
      <c r="M528" s="2"/>
      <c r="N528" s="2"/>
      <c r="O528" s="2"/>
      <c r="P528" s="557" t="str">
        <f>CONCATENATE(schedule13[[#This Row],[OD]],"-",schedule13[[#This Row],[ID]],"-",schedule13[[#This Row],[TICKNESS]],"-",schedule13[[#This Row],[GRADE]],"-",schedule13[[#This Row],[FC/NFC]])</f>
        <v>30-30-1.2-CRFH-PE</v>
      </c>
      <c r="Q528" s="557"/>
      <c r="R528" s="557"/>
      <c r="S528" s="1">
        <v>38.1</v>
      </c>
      <c r="T528" s="1">
        <v>30</v>
      </c>
      <c r="U528" s="1">
        <v>30</v>
      </c>
      <c r="V528" s="1">
        <v>1.2</v>
      </c>
      <c r="W528" s="22">
        <v>140</v>
      </c>
      <c r="X528" s="22"/>
      <c r="Y528" s="2">
        <v>3000</v>
      </c>
      <c r="Z528" s="3"/>
      <c r="AA528" s="4">
        <f t="shared" si="83"/>
        <v>3000</v>
      </c>
      <c r="AB528" s="1">
        <f t="shared" si="85"/>
        <v>0.4584866327999999</v>
      </c>
      <c r="AC528" s="1">
        <f t="shared" si="82"/>
        <v>0</v>
      </c>
      <c r="AD528" s="1">
        <f t="shared" si="84"/>
        <v>0.4584866327999999</v>
      </c>
      <c r="AE528" s="10"/>
      <c r="AF528" s="10"/>
      <c r="AG528" s="10"/>
      <c r="AH528" s="10"/>
      <c r="AI528" s="121"/>
    </row>
    <row r="529" spans="1:35" hidden="1" x14ac:dyDescent="0.25">
      <c r="A529" s="30">
        <v>549</v>
      </c>
      <c r="B529" s="5" t="s">
        <v>1816</v>
      </c>
      <c r="C529" s="2" t="s">
        <v>301</v>
      </c>
      <c r="D529" s="2"/>
      <c r="E529" s="2">
        <v>188595</v>
      </c>
      <c r="F529" s="9">
        <v>3929692</v>
      </c>
      <c r="G529" s="2" t="s">
        <v>533</v>
      </c>
      <c r="H529" s="2" t="s">
        <v>229</v>
      </c>
      <c r="I529" s="2"/>
      <c r="J529" s="2" t="s">
        <v>963</v>
      </c>
      <c r="K529" s="2"/>
      <c r="L529" s="2"/>
      <c r="M529" s="2"/>
      <c r="N529" s="2"/>
      <c r="O529" s="2"/>
      <c r="P529" s="557" t="str">
        <f>CONCATENATE(schedule13[[#This Row],[OD]],"-",schedule13[[#This Row],[ID]],"-",schedule13[[#This Row],[TICKNESS]],"-",schedule13[[#This Row],[GRADE]],"-",schedule13[[#This Row],[FC/NFC]])</f>
        <v>19.05-0-1.2-CRFH-PE</v>
      </c>
      <c r="Q529" s="557"/>
      <c r="R529" s="557"/>
      <c r="S529" s="1">
        <v>19.05</v>
      </c>
      <c r="T529" s="1">
        <v>19.05</v>
      </c>
      <c r="U529" s="1">
        <v>0</v>
      </c>
      <c r="V529" s="1">
        <v>1.2</v>
      </c>
      <c r="W529" s="22">
        <v>1230</v>
      </c>
      <c r="X529" s="22"/>
      <c r="Y529" s="2">
        <v>1500</v>
      </c>
      <c r="Z529" s="3"/>
      <c r="AA529" s="4">
        <f t="shared" si="83"/>
        <v>1500</v>
      </c>
      <c r="AB529" s="1">
        <f t="shared" si="85"/>
        <v>0.9742840947000001</v>
      </c>
      <c r="AC529" s="1">
        <f t="shared" si="82"/>
        <v>0</v>
      </c>
      <c r="AD529" s="1">
        <f t="shared" si="84"/>
        <v>0.9742840947000001</v>
      </c>
      <c r="AE529" s="10"/>
      <c r="AF529" s="10"/>
      <c r="AG529" s="10"/>
      <c r="AH529" s="10"/>
      <c r="AI529" s="121"/>
    </row>
    <row r="530" spans="1:35" hidden="1" x14ac:dyDescent="0.25">
      <c r="A530" s="30">
        <v>550</v>
      </c>
      <c r="B530" s="5" t="s">
        <v>1816</v>
      </c>
      <c r="C530" s="44" t="s">
        <v>301</v>
      </c>
      <c r="D530" s="44"/>
      <c r="E530" s="44">
        <v>188595</v>
      </c>
      <c r="F530" s="87">
        <v>3938683</v>
      </c>
      <c r="G530" s="2" t="s">
        <v>2108</v>
      </c>
      <c r="H530" s="2" t="s">
        <v>229</v>
      </c>
      <c r="I530" s="44"/>
      <c r="J530" s="44" t="s">
        <v>963</v>
      </c>
      <c r="K530" s="44"/>
      <c r="L530" s="44"/>
      <c r="M530" s="44"/>
      <c r="N530" s="44"/>
      <c r="O530" s="44"/>
      <c r="P530" s="557" t="str">
        <f>CONCATENATE(schedule13[[#This Row],[OD]],"-",schedule13[[#This Row],[ID]],"-",schedule13[[#This Row],[TICKNESS]],"-",schedule13[[#This Row],[GRADE]],"-",schedule13[[#This Row],[FC/NFC]])</f>
        <v>19.05-0-1.2-CRFH-PE</v>
      </c>
      <c r="Q530" s="557"/>
      <c r="R530" s="557"/>
      <c r="S530" s="1">
        <v>19.05</v>
      </c>
      <c r="T530" s="1">
        <v>19.05</v>
      </c>
      <c r="U530" s="1">
        <v>0</v>
      </c>
      <c r="V530" s="1">
        <v>1.2</v>
      </c>
      <c r="W530" s="22">
        <v>377</v>
      </c>
      <c r="X530" s="22"/>
      <c r="Y530" s="2">
        <v>1500</v>
      </c>
      <c r="Z530" s="85"/>
      <c r="AA530" s="82">
        <f t="shared" si="83"/>
        <v>1500</v>
      </c>
      <c r="AB530" s="79">
        <f t="shared" si="85"/>
        <v>0.29862203553000005</v>
      </c>
      <c r="AC530" s="1">
        <f t="shared" si="82"/>
        <v>0</v>
      </c>
      <c r="AD530" s="1">
        <f t="shared" si="84"/>
        <v>0.29862203553000005</v>
      </c>
      <c r="AE530" s="10"/>
      <c r="AF530" s="10"/>
      <c r="AG530" s="10"/>
      <c r="AH530" s="10"/>
      <c r="AI530" s="121"/>
    </row>
    <row r="531" spans="1:35" hidden="1" x14ac:dyDescent="0.25">
      <c r="A531" s="30">
        <v>551</v>
      </c>
      <c r="B531" s="5" t="s">
        <v>1816</v>
      </c>
      <c r="C531" s="44" t="s">
        <v>301</v>
      </c>
      <c r="D531" s="44"/>
      <c r="E531" s="44">
        <v>188595</v>
      </c>
      <c r="F531" s="87">
        <v>3938682</v>
      </c>
      <c r="G531" s="2" t="s">
        <v>2107</v>
      </c>
      <c r="H531" s="2" t="s">
        <v>229</v>
      </c>
      <c r="I531" s="44"/>
      <c r="J531" s="44" t="s">
        <v>963</v>
      </c>
      <c r="K531" s="44"/>
      <c r="L531" s="44"/>
      <c r="M531" s="44"/>
      <c r="N531" s="44"/>
      <c r="O531" s="44"/>
      <c r="P531" s="557" t="str">
        <f>CONCATENATE(schedule13[[#This Row],[OD]],"-",schedule13[[#This Row],[ID]],"-",schedule13[[#This Row],[TICKNESS]],"-",schedule13[[#This Row],[GRADE]],"-",schedule13[[#This Row],[FC/NFC]])</f>
        <v>19.05-0-1.2-CRFH-PE</v>
      </c>
      <c r="Q531" s="557"/>
      <c r="R531" s="557"/>
      <c r="S531" s="1">
        <v>19.05</v>
      </c>
      <c r="T531" s="1">
        <v>19.05</v>
      </c>
      <c r="U531" s="1">
        <v>0</v>
      </c>
      <c r="V531" s="1">
        <v>1.2</v>
      </c>
      <c r="W531" s="22">
        <v>320</v>
      </c>
      <c r="X531" s="22"/>
      <c r="Y531" s="2">
        <v>1500</v>
      </c>
      <c r="Z531" s="85"/>
      <c r="AA531" s="82">
        <f t="shared" si="83"/>
        <v>1500</v>
      </c>
      <c r="AB531" s="79">
        <f t="shared" si="85"/>
        <v>0.25347228480000006</v>
      </c>
      <c r="AC531" s="1">
        <f t="shared" si="82"/>
        <v>0</v>
      </c>
      <c r="AD531" s="1">
        <f t="shared" si="84"/>
        <v>0.25347228480000006</v>
      </c>
      <c r="AE531" s="10"/>
      <c r="AF531" s="10"/>
      <c r="AG531" s="10"/>
      <c r="AH531" s="10"/>
      <c r="AI531" s="121"/>
    </row>
    <row r="532" spans="1:35" hidden="1" x14ac:dyDescent="0.25">
      <c r="A532" s="30">
        <v>552</v>
      </c>
      <c r="B532" s="5" t="s">
        <v>1816</v>
      </c>
      <c r="C532" s="44" t="s">
        <v>301</v>
      </c>
      <c r="D532" s="44"/>
      <c r="E532" s="44">
        <v>188595</v>
      </c>
      <c r="F532" s="87">
        <v>3938681</v>
      </c>
      <c r="G532" s="2" t="s">
        <v>2106</v>
      </c>
      <c r="H532" s="2" t="s">
        <v>229</v>
      </c>
      <c r="I532" s="44"/>
      <c r="J532" s="44" t="s">
        <v>963</v>
      </c>
      <c r="K532" s="44"/>
      <c r="L532" s="44"/>
      <c r="M532" s="44"/>
      <c r="N532" s="44"/>
      <c r="O532" s="44"/>
      <c r="P532" s="557" t="str">
        <f>CONCATENATE(schedule13[[#This Row],[OD]],"-",schedule13[[#This Row],[ID]],"-",schedule13[[#This Row],[TICKNESS]],"-",schedule13[[#This Row],[GRADE]],"-",schedule13[[#This Row],[FC/NFC]])</f>
        <v>19.05-0-1.2-CRFH-PE</v>
      </c>
      <c r="Q532" s="557"/>
      <c r="R532" s="557"/>
      <c r="S532" s="1">
        <v>19.05</v>
      </c>
      <c r="T532" s="1">
        <v>19.05</v>
      </c>
      <c r="U532" s="1">
        <v>0</v>
      </c>
      <c r="V532" s="1">
        <v>1.2</v>
      </c>
      <c r="W532" s="22">
        <v>220</v>
      </c>
      <c r="X532" s="22"/>
      <c r="Y532" s="2">
        <v>1500</v>
      </c>
      <c r="Z532" s="85"/>
      <c r="AA532" s="82">
        <f t="shared" si="83"/>
        <v>1500</v>
      </c>
      <c r="AB532" s="79">
        <f t="shared" si="85"/>
        <v>0.17426219580000002</v>
      </c>
      <c r="AC532" s="1">
        <f t="shared" si="82"/>
        <v>0</v>
      </c>
      <c r="AD532" s="1">
        <f t="shared" si="84"/>
        <v>0.17426219580000002</v>
      </c>
      <c r="AE532" s="10"/>
      <c r="AF532" s="10"/>
      <c r="AG532" s="10"/>
      <c r="AH532" s="10"/>
      <c r="AI532" s="121"/>
    </row>
    <row r="533" spans="1:35" hidden="1" x14ac:dyDescent="0.25">
      <c r="A533" s="30">
        <v>553</v>
      </c>
      <c r="B533" s="5" t="s">
        <v>1816</v>
      </c>
      <c r="C533" s="2" t="s">
        <v>301</v>
      </c>
      <c r="D533" s="2"/>
      <c r="E533" s="2">
        <v>188595</v>
      </c>
      <c r="F533" s="9">
        <v>3929691</v>
      </c>
      <c r="G533" s="2" t="s">
        <v>535</v>
      </c>
      <c r="H533" s="2" t="s">
        <v>229</v>
      </c>
      <c r="I533" s="2"/>
      <c r="J533" s="2" t="s">
        <v>963</v>
      </c>
      <c r="K533" s="2"/>
      <c r="L533" s="2"/>
      <c r="M533" s="2"/>
      <c r="N533" s="2"/>
      <c r="O533" s="2"/>
      <c r="P533" s="557" t="str">
        <f>CONCATENATE(schedule13[[#This Row],[OD]],"-",schedule13[[#This Row],[ID]],"-",schedule13[[#This Row],[TICKNESS]],"-",schedule13[[#This Row],[GRADE]],"-",schedule13[[#This Row],[FC/NFC]])</f>
        <v>19.05-0-1.2-CRFH-PE</v>
      </c>
      <c r="Q533" s="557"/>
      <c r="R533" s="557"/>
      <c r="S533" s="1">
        <v>19.05</v>
      </c>
      <c r="T533" s="1">
        <v>19.05</v>
      </c>
      <c r="U533" s="1">
        <v>0</v>
      </c>
      <c r="V533" s="1">
        <v>1.2</v>
      </c>
      <c r="W533" s="22">
        <v>200</v>
      </c>
      <c r="X533" s="22"/>
      <c r="Y533" s="2">
        <v>6000</v>
      </c>
      <c r="Z533" s="3"/>
      <c r="AA533" s="4">
        <f t="shared" si="83"/>
        <v>6000</v>
      </c>
      <c r="AB533" s="1">
        <f t="shared" si="85"/>
        <v>0.63368071200000009</v>
      </c>
      <c r="AC533" s="1">
        <f t="shared" si="82"/>
        <v>0</v>
      </c>
      <c r="AD533" s="1">
        <f t="shared" si="84"/>
        <v>0.63368071200000009</v>
      </c>
      <c r="AE533" s="10"/>
      <c r="AF533" s="10"/>
      <c r="AG533" s="10"/>
      <c r="AH533" s="10"/>
      <c r="AI533" s="121"/>
    </row>
    <row r="534" spans="1:35" hidden="1" x14ac:dyDescent="0.25">
      <c r="A534" s="30">
        <v>1</v>
      </c>
      <c r="B534" s="5" t="s">
        <v>1816</v>
      </c>
      <c r="C534" s="2" t="s">
        <v>302</v>
      </c>
      <c r="D534" s="2"/>
      <c r="E534" s="2">
        <v>944141</v>
      </c>
      <c r="F534" s="2">
        <v>1940262</v>
      </c>
      <c r="G534" s="2" t="s">
        <v>1357</v>
      </c>
      <c r="H534" s="2" t="s">
        <v>962</v>
      </c>
      <c r="I534" s="2"/>
      <c r="J534" s="2" t="s">
        <v>963</v>
      </c>
      <c r="K534" s="2" t="s">
        <v>239</v>
      </c>
      <c r="L534" s="2"/>
      <c r="M534" s="2"/>
      <c r="N534" s="2"/>
      <c r="O534" s="2"/>
      <c r="P534" s="557" t="str">
        <f>CONCATENATE(schedule13[[#This Row],[OD]],"-",schedule13[[#This Row],[ID]],"-",schedule13[[#This Row],[TICKNESS]],"-",schedule13[[#This Row],[GRADE]],"-",schedule13[[#This Row],[FC/NFC]])</f>
        <v>19.05-0-2-ERW 1-PE</v>
      </c>
      <c r="Q534" s="557"/>
      <c r="R534" s="557"/>
      <c r="S534" s="1">
        <v>19.05</v>
      </c>
      <c r="T534" s="1">
        <v>19.05</v>
      </c>
      <c r="U534" s="6">
        <v>0</v>
      </c>
      <c r="V534" s="1">
        <v>2</v>
      </c>
      <c r="W534" s="23">
        <v>104</v>
      </c>
      <c r="X534" s="23"/>
      <c r="Y534" s="2">
        <v>45000</v>
      </c>
      <c r="Z534" s="4"/>
      <c r="AA534" s="4">
        <f t="shared" si="83"/>
        <v>45000</v>
      </c>
      <c r="AB534" s="1">
        <f t="shared" si="85"/>
        <v>3.9343229640000001</v>
      </c>
      <c r="AC534" s="1">
        <f t="shared" si="82"/>
        <v>0</v>
      </c>
      <c r="AD534" s="1">
        <f t="shared" si="84"/>
        <v>3.9343229640000001</v>
      </c>
      <c r="AE534" s="1"/>
      <c r="AF534" s="1">
        <v>0.88300000000000001</v>
      </c>
      <c r="AG534" s="1"/>
      <c r="AH534" s="1">
        <f>AB534-AF534</f>
        <v>3.0513229640000001</v>
      </c>
      <c r="AI534" s="118">
        <f>(AC534+AF534)/AB534</f>
        <v>0.22443505733506428</v>
      </c>
    </row>
    <row r="535" spans="1:35" hidden="1" x14ac:dyDescent="0.25">
      <c r="A535" s="30">
        <v>2</v>
      </c>
      <c r="B535" s="5" t="s">
        <v>1816</v>
      </c>
      <c r="C535" s="2" t="s">
        <v>302</v>
      </c>
      <c r="D535" s="2"/>
      <c r="E535" s="2">
        <v>944141</v>
      </c>
      <c r="F535" s="2">
        <v>3217232</v>
      </c>
      <c r="G535" s="2" t="s">
        <v>1341</v>
      </c>
      <c r="H535" s="2" t="s">
        <v>962</v>
      </c>
      <c r="I535" s="2"/>
      <c r="J535" s="2" t="s">
        <v>963</v>
      </c>
      <c r="K535" s="2" t="s">
        <v>1867</v>
      </c>
      <c r="L535" s="49" t="s">
        <v>1868</v>
      </c>
      <c r="M535" s="2"/>
      <c r="N535" s="2"/>
      <c r="O535" s="2"/>
      <c r="P535" s="557" t="str">
        <f>CONCATENATE(schedule13[[#This Row],[OD]],"-",schedule13[[#This Row],[ID]],"-",schedule13[[#This Row],[TICKNESS]],"-",schedule13[[#This Row],[GRADE]],"-",schedule13[[#This Row],[FC/NFC]])</f>
        <v>19.05-0-1.6-ERW 1-PE</v>
      </c>
      <c r="Q535" s="557"/>
      <c r="R535" s="557"/>
      <c r="S535" s="1">
        <v>19.05</v>
      </c>
      <c r="T535" s="1">
        <v>19.05</v>
      </c>
      <c r="U535" s="6">
        <v>0</v>
      </c>
      <c r="V535" s="1">
        <v>1.6</v>
      </c>
      <c r="W535" s="23">
        <v>275</v>
      </c>
      <c r="X535" s="23"/>
      <c r="Y535" s="2">
        <v>20000</v>
      </c>
      <c r="Z535" s="4"/>
      <c r="AA535" s="4">
        <f t="shared" si="83"/>
        <v>20000</v>
      </c>
      <c r="AB535" s="1">
        <f t="shared" si="85"/>
        <v>3.7857146800000003</v>
      </c>
      <c r="AC535" s="1">
        <f t="shared" si="82"/>
        <v>0</v>
      </c>
      <c r="AD535" s="1">
        <f t="shared" si="84"/>
        <v>3.7857146800000003</v>
      </c>
      <c r="AE535" s="1"/>
      <c r="AF535" s="1">
        <v>0.48201899999999998</v>
      </c>
      <c r="AG535" s="1"/>
      <c r="AH535" s="1">
        <f>AB535-AF535</f>
        <v>3.3036956800000006</v>
      </c>
      <c r="AI535" s="118">
        <f>(AC535+AF535)/AB535</f>
        <v>0.12732576032380757</v>
      </c>
    </row>
    <row r="536" spans="1:35" hidden="1" x14ac:dyDescent="0.25">
      <c r="A536" s="30">
        <v>3</v>
      </c>
      <c r="B536" s="5" t="s">
        <v>1816</v>
      </c>
      <c r="C536" s="2" t="s">
        <v>302</v>
      </c>
      <c r="D536" s="2"/>
      <c r="E536" s="2">
        <v>944141</v>
      </c>
      <c r="F536" s="2">
        <v>2320560</v>
      </c>
      <c r="G536" s="2" t="s">
        <v>2141</v>
      </c>
      <c r="H536" s="2" t="s">
        <v>962</v>
      </c>
      <c r="I536" s="2"/>
      <c r="J536" s="2" t="s">
        <v>963</v>
      </c>
      <c r="K536" s="2" t="s">
        <v>1867</v>
      </c>
      <c r="L536" s="49" t="s">
        <v>1868</v>
      </c>
      <c r="M536" s="2"/>
      <c r="N536" s="2"/>
      <c r="O536" s="2"/>
      <c r="P536" s="557" t="str">
        <f>CONCATENATE(schedule13[[#This Row],[OD]],"-",schedule13[[#This Row],[ID]],"-",schedule13[[#This Row],[TICKNESS]],"-",schedule13[[#This Row],[GRADE]],"-",schedule13[[#This Row],[FC/NFC]])</f>
        <v>22.23-0-1.6-ERW 1-PE</v>
      </c>
      <c r="Q536" s="557"/>
      <c r="R536" s="557"/>
      <c r="S536" s="1">
        <v>22.23</v>
      </c>
      <c r="T536" s="1">
        <v>22.23</v>
      </c>
      <c r="U536" s="6">
        <v>0</v>
      </c>
      <c r="V536" s="1">
        <v>1.6</v>
      </c>
      <c r="W536" s="23">
        <v>210</v>
      </c>
      <c r="X536" s="23"/>
      <c r="Y536" s="2">
        <v>0</v>
      </c>
      <c r="Z536" s="4"/>
      <c r="AA536" s="4">
        <f t="shared" si="83"/>
        <v>0</v>
      </c>
      <c r="AB536" s="1">
        <f t="shared" si="85"/>
        <v>0</v>
      </c>
      <c r="AC536" s="1">
        <f t="shared" si="82"/>
        <v>0</v>
      </c>
      <c r="AD536" s="1">
        <f t="shared" si="84"/>
        <v>0</v>
      </c>
      <c r="AE536" s="1"/>
      <c r="AF536" s="1">
        <v>2.0093030000000001</v>
      </c>
      <c r="AG536" s="1"/>
      <c r="AH536" s="1">
        <f>AB536-AF536</f>
        <v>-2.0093030000000001</v>
      </c>
      <c r="AI536" s="118" t="e">
        <f>(AC536+AF536)/AB536</f>
        <v>#DIV/0!</v>
      </c>
    </row>
    <row r="537" spans="1:35" hidden="1" x14ac:dyDescent="0.25">
      <c r="A537" s="30">
        <v>4</v>
      </c>
      <c r="B537" s="5" t="s">
        <v>1816</v>
      </c>
      <c r="C537" s="2" t="s">
        <v>302</v>
      </c>
      <c r="D537" s="2"/>
      <c r="E537" s="2">
        <v>944141</v>
      </c>
      <c r="F537" s="2">
        <v>3676336</v>
      </c>
      <c r="G537" s="2" t="s">
        <v>1152</v>
      </c>
      <c r="H537" s="2" t="s">
        <v>962</v>
      </c>
      <c r="I537" s="2"/>
      <c r="J537" s="2" t="s">
        <v>963</v>
      </c>
      <c r="K537" s="2" t="s">
        <v>1867</v>
      </c>
      <c r="L537" s="2" t="s">
        <v>1881</v>
      </c>
      <c r="M537" s="2"/>
      <c r="N537" s="2"/>
      <c r="O537" s="2"/>
      <c r="P537" s="557" t="str">
        <f>CONCATENATE(schedule13[[#This Row],[OD]],"-",schedule13[[#This Row],[ID]],"-",schedule13[[#This Row],[TICKNESS]],"-",schedule13[[#This Row],[GRADE]],"-",schedule13[[#This Row],[FC/NFC]])</f>
        <v>12.7-0-1.6-ERW 1-PE</v>
      </c>
      <c r="Q537" s="557"/>
      <c r="R537" s="557"/>
      <c r="S537" s="1">
        <v>12.7</v>
      </c>
      <c r="T537" s="1">
        <v>12.7</v>
      </c>
      <c r="U537" s="6">
        <v>0</v>
      </c>
      <c r="V537" s="1">
        <v>1.6</v>
      </c>
      <c r="W537" s="23">
        <v>257</v>
      </c>
      <c r="X537" s="23"/>
      <c r="Y537" s="2">
        <v>0</v>
      </c>
      <c r="Z537" s="4"/>
      <c r="AA537" s="4">
        <f t="shared" si="83"/>
        <v>0</v>
      </c>
      <c r="AB537" s="1">
        <f t="shared" si="85"/>
        <v>0</v>
      </c>
      <c r="AC537" s="1">
        <f t="shared" si="82"/>
        <v>0</v>
      </c>
      <c r="AD537" s="1">
        <f t="shared" si="84"/>
        <v>0</v>
      </c>
      <c r="AE537" s="1"/>
      <c r="AF537" s="1">
        <v>0.55893599999999999</v>
      </c>
      <c r="AG537" s="1"/>
      <c r="AH537" s="1">
        <f>AB537-AF537</f>
        <v>-0.55893599999999999</v>
      </c>
      <c r="AI537" s="118" t="e">
        <f>(AC537+AF537)/AB537</f>
        <v>#DIV/0!</v>
      </c>
    </row>
    <row r="538" spans="1:35" hidden="1" x14ac:dyDescent="0.25">
      <c r="A538" s="30">
        <v>5</v>
      </c>
      <c r="B538" s="5" t="s">
        <v>1816</v>
      </c>
      <c r="C538" s="2" t="s">
        <v>302</v>
      </c>
      <c r="D538" s="2"/>
      <c r="E538" s="2">
        <v>944141</v>
      </c>
      <c r="F538" s="9">
        <v>3850335</v>
      </c>
      <c r="G538" s="9" t="s">
        <v>2136</v>
      </c>
      <c r="H538" s="2" t="s">
        <v>962</v>
      </c>
      <c r="I538" s="2"/>
      <c r="J538" s="2" t="s">
        <v>963</v>
      </c>
      <c r="K538" s="2"/>
      <c r="L538" s="2"/>
      <c r="M538" s="2"/>
      <c r="N538" s="2"/>
      <c r="O538" s="2"/>
      <c r="P538" s="557" t="str">
        <f>CONCATENATE(schedule13[[#This Row],[OD]],"-",schedule13[[#This Row],[ID]],"-",schedule13[[#This Row],[TICKNESS]],"-",schedule13[[#This Row],[GRADE]],"-",schedule13[[#This Row],[FC/NFC]])</f>
        <v>19.05-0-2-ERW 1-PE</v>
      </c>
      <c r="Q538" s="557"/>
      <c r="R538" s="557"/>
      <c r="S538" s="1">
        <v>19.05</v>
      </c>
      <c r="T538" s="1">
        <v>19.05</v>
      </c>
      <c r="U538" s="6">
        <v>0</v>
      </c>
      <c r="V538" s="1">
        <v>2</v>
      </c>
      <c r="W538" s="22">
        <v>900</v>
      </c>
      <c r="X538" s="22"/>
      <c r="Y538" s="2">
        <v>0</v>
      </c>
      <c r="Z538" s="3"/>
      <c r="AA538" s="4">
        <f t="shared" si="83"/>
        <v>0</v>
      </c>
      <c r="AB538" s="1">
        <f t="shared" si="85"/>
        <v>0</v>
      </c>
      <c r="AC538" s="1">
        <f t="shared" si="82"/>
        <v>0</v>
      </c>
      <c r="AD538" s="1">
        <f t="shared" si="84"/>
        <v>0</v>
      </c>
      <c r="AE538" s="1"/>
      <c r="AF538" s="1"/>
      <c r="AG538" s="1"/>
      <c r="AH538" s="1"/>
      <c r="AI538" s="118"/>
    </row>
    <row r="539" spans="1:35" x14ac:dyDescent="0.25">
      <c r="A539" s="30">
        <v>6</v>
      </c>
      <c r="B539" s="110" t="s">
        <v>1816</v>
      </c>
      <c r="C539" s="111" t="s">
        <v>302</v>
      </c>
      <c r="D539" s="2"/>
      <c r="E539" s="111">
        <v>944141</v>
      </c>
      <c r="F539" s="119">
        <v>1937438</v>
      </c>
      <c r="G539" s="119" t="s">
        <v>1386</v>
      </c>
      <c r="H539" s="111" t="s">
        <v>962</v>
      </c>
      <c r="I539" s="2"/>
      <c r="J539" s="2"/>
      <c r="K539" s="2"/>
      <c r="L539" s="2"/>
      <c r="M539" s="2"/>
      <c r="N539" s="2"/>
      <c r="O539" s="2"/>
      <c r="P539" s="557" t="str">
        <f>CONCATENATE(schedule13[[#This Row],[OD]],"-",schedule13[[#This Row],[ID]],"-",schedule13[[#This Row],[TICKNESS]],"-",schedule13[[#This Row],[GRADE]],"-",schedule13[[#This Row],[FC/NFC]])</f>
        <v>19.05-0-2-ERW 1-</v>
      </c>
      <c r="Q539" s="557"/>
      <c r="R539" s="557"/>
      <c r="S539" s="112">
        <v>19.05</v>
      </c>
      <c r="T539" s="112">
        <v>19.05</v>
      </c>
      <c r="U539" s="113">
        <v>0</v>
      </c>
      <c r="V539" s="112">
        <v>2</v>
      </c>
      <c r="W539" s="114">
        <v>830</v>
      </c>
      <c r="X539" s="22"/>
      <c r="Y539" s="111">
        <v>4000</v>
      </c>
      <c r="Z539" s="115"/>
      <c r="AA539" s="116">
        <f t="shared" si="83"/>
        <v>4000</v>
      </c>
      <c r="AB539" s="112">
        <f t="shared" si="85"/>
        <v>2.7910154360000003</v>
      </c>
      <c r="AC539" s="112"/>
      <c r="AD539" s="112">
        <f t="shared" si="84"/>
        <v>2.7910154360000003</v>
      </c>
      <c r="AE539" s="112"/>
      <c r="AF539" s="112"/>
      <c r="AG539" s="112"/>
      <c r="AH539" s="112"/>
      <c r="AI539" s="120"/>
    </row>
    <row r="540" spans="1:35" hidden="1" x14ac:dyDescent="0.25">
      <c r="A540" s="30">
        <v>7</v>
      </c>
      <c r="B540" s="5" t="s">
        <v>1816</v>
      </c>
      <c r="C540" s="2" t="s">
        <v>302</v>
      </c>
      <c r="D540" s="2"/>
      <c r="E540" s="2">
        <v>944141</v>
      </c>
      <c r="F540" s="2">
        <v>3676337</v>
      </c>
      <c r="G540" s="2" t="s">
        <v>1156</v>
      </c>
      <c r="H540" s="2" t="s">
        <v>962</v>
      </c>
      <c r="I540" s="2"/>
      <c r="J540" s="2" t="s">
        <v>963</v>
      </c>
      <c r="K540" s="2" t="s">
        <v>1867</v>
      </c>
      <c r="L540" s="2" t="s">
        <v>1881</v>
      </c>
      <c r="M540" s="2"/>
      <c r="N540" s="2"/>
      <c r="O540" s="2"/>
      <c r="P540" s="557" t="str">
        <f>CONCATENATE(schedule13[[#This Row],[OD]],"-",schedule13[[#This Row],[ID]],"-",schedule13[[#This Row],[TICKNESS]],"-",schedule13[[#This Row],[GRADE]],"-",schedule13[[#This Row],[FC/NFC]])</f>
        <v>12.7-0-1.6-ERW 1-PE</v>
      </c>
      <c r="Q540" s="557"/>
      <c r="R540" s="557"/>
      <c r="S540" s="1">
        <v>12.7</v>
      </c>
      <c r="T540" s="1">
        <v>12.7</v>
      </c>
      <c r="U540" s="6">
        <v>0</v>
      </c>
      <c r="V540" s="1">
        <v>1.6</v>
      </c>
      <c r="W540" s="23">
        <v>320</v>
      </c>
      <c r="X540" s="23"/>
      <c r="Y540" s="2">
        <v>0</v>
      </c>
      <c r="Z540" s="4"/>
      <c r="AA540" s="4">
        <f t="shared" si="83"/>
        <v>0</v>
      </c>
      <c r="AB540" s="1">
        <f t="shared" si="85"/>
        <v>0</v>
      </c>
      <c r="AC540" s="1">
        <f t="shared" ref="AC540:AC571" si="86">(S540-V540)*V540*W540*0.024653*Z540/1000000</f>
        <v>0</v>
      </c>
      <c r="AD540" s="1">
        <f t="shared" si="84"/>
        <v>0</v>
      </c>
      <c r="AE540" s="1"/>
      <c r="AF540" s="1"/>
      <c r="AG540" s="1"/>
      <c r="AH540" s="1">
        <f>AB540-AF540</f>
        <v>0</v>
      </c>
      <c r="AI540" s="118" t="e">
        <f>(AC540+AF540)/AB540</f>
        <v>#DIV/0!</v>
      </c>
    </row>
    <row r="541" spans="1:35" hidden="1" x14ac:dyDescent="0.25">
      <c r="A541" s="30">
        <v>8</v>
      </c>
      <c r="B541" s="5" t="s">
        <v>1816</v>
      </c>
      <c r="C541" s="2" t="s">
        <v>302</v>
      </c>
      <c r="D541" s="2"/>
      <c r="E541" s="2">
        <v>944141</v>
      </c>
      <c r="F541" s="2">
        <v>1940430</v>
      </c>
      <c r="G541" s="2" t="s">
        <v>6576</v>
      </c>
      <c r="H541" s="2" t="s">
        <v>962</v>
      </c>
      <c r="I541" s="2"/>
      <c r="J541" s="2" t="s">
        <v>963</v>
      </c>
      <c r="K541" s="2" t="s">
        <v>239</v>
      </c>
      <c r="L541" s="2"/>
      <c r="M541" s="2"/>
      <c r="N541" s="2"/>
      <c r="O541" s="2"/>
      <c r="P541" s="557" t="str">
        <f>CONCATENATE(schedule13[[#This Row],[OD]],"-",schedule13[[#This Row],[ID]],"-",schedule13[[#This Row],[TICKNESS]],"-",schedule13[[#This Row],[GRADE]],"-",schedule13[[#This Row],[FC/NFC]])</f>
        <v>22.23-0-2-ERW 1-PE</v>
      </c>
      <c r="Q541" s="557"/>
      <c r="R541" s="557"/>
      <c r="S541" s="1">
        <v>22.23</v>
      </c>
      <c r="T541" s="1">
        <v>22.23</v>
      </c>
      <c r="U541" s="6">
        <v>0</v>
      </c>
      <c r="V541" s="1">
        <v>2</v>
      </c>
      <c r="W541" s="23">
        <v>220</v>
      </c>
      <c r="X541" s="23"/>
      <c r="Y541" s="2">
        <v>10000</v>
      </c>
      <c r="Z541" s="4"/>
      <c r="AA541" s="4">
        <f t="shared" si="83"/>
        <v>10000</v>
      </c>
      <c r="AB541" s="1">
        <f t="shared" si="85"/>
        <v>2.1944128360000001</v>
      </c>
      <c r="AC541" s="1">
        <f t="shared" si="86"/>
        <v>0</v>
      </c>
      <c r="AD541" s="1">
        <f t="shared" si="84"/>
        <v>2.1944128360000001</v>
      </c>
      <c r="AE541" s="1"/>
      <c r="AF541" s="1">
        <v>1.8909999999999998</v>
      </c>
      <c r="AG541" s="1"/>
      <c r="AH541" s="1">
        <f>AB541-AF541</f>
        <v>0.30341283600000035</v>
      </c>
      <c r="AI541" s="118">
        <f>(AC541+AF541)/AB541</f>
        <v>0.86173393127199138</v>
      </c>
    </row>
    <row r="542" spans="1:35" hidden="1" x14ac:dyDescent="0.25">
      <c r="A542" s="30">
        <v>9</v>
      </c>
      <c r="B542" s="5" t="s">
        <v>1816</v>
      </c>
      <c r="C542" s="2" t="s">
        <v>302</v>
      </c>
      <c r="D542" s="2"/>
      <c r="E542" s="2">
        <v>944141</v>
      </c>
      <c r="F542" s="2">
        <v>1940306</v>
      </c>
      <c r="G542" s="2" t="s">
        <v>454</v>
      </c>
      <c r="H542" s="2" t="s">
        <v>962</v>
      </c>
      <c r="I542" s="2"/>
      <c r="J542" s="2" t="s">
        <v>963</v>
      </c>
      <c r="K542" s="2" t="s">
        <v>239</v>
      </c>
      <c r="L542" s="2"/>
      <c r="M542" s="2"/>
      <c r="N542" s="2"/>
      <c r="O542" s="2"/>
      <c r="P542" s="557" t="str">
        <f>CONCATENATE(schedule13[[#This Row],[OD]],"-",schedule13[[#This Row],[ID]],"-",schedule13[[#This Row],[TICKNESS]],"-",schedule13[[#This Row],[GRADE]],"-",schedule13[[#This Row],[FC/NFC]])</f>
        <v>19.05-0-2.3-ERW 1-PE</v>
      </c>
      <c r="Q542" s="557"/>
      <c r="R542" s="557"/>
      <c r="S542" s="1">
        <v>19.05</v>
      </c>
      <c r="T542" s="1">
        <v>19.05</v>
      </c>
      <c r="U542" s="6">
        <v>0</v>
      </c>
      <c r="V542" s="1">
        <v>2.2999999999999998</v>
      </c>
      <c r="W542" s="23">
        <v>236</v>
      </c>
      <c r="X542" s="23"/>
      <c r="Y542" s="2">
        <v>30000</v>
      </c>
      <c r="Z542" s="4"/>
      <c r="AA542" s="4">
        <f t="shared" si="83"/>
        <v>30000</v>
      </c>
      <c r="AB542" s="1">
        <f t="shared" si="85"/>
        <v>6.7242783210000008</v>
      </c>
      <c r="AC542" s="1">
        <f t="shared" si="86"/>
        <v>0</v>
      </c>
      <c r="AD542" s="1">
        <f t="shared" si="84"/>
        <v>6.7242783210000008</v>
      </c>
      <c r="AE542" s="1"/>
      <c r="AF542" s="1"/>
      <c r="AG542" s="1"/>
      <c r="AH542" s="1">
        <f>AB542-AF542</f>
        <v>6.7242783210000008</v>
      </c>
      <c r="AI542" s="118">
        <f>(AC542+AF542)/AB542</f>
        <v>0</v>
      </c>
    </row>
    <row r="543" spans="1:35" hidden="1" x14ac:dyDescent="0.25">
      <c r="A543" s="30">
        <v>10</v>
      </c>
      <c r="B543" s="5" t="s">
        <v>1816</v>
      </c>
      <c r="C543" s="2" t="s">
        <v>302</v>
      </c>
      <c r="D543" s="2"/>
      <c r="E543" s="2">
        <v>944141</v>
      </c>
      <c r="F543" s="9">
        <v>3838038</v>
      </c>
      <c r="G543" s="9" t="s">
        <v>1335</v>
      </c>
      <c r="H543" s="2" t="s">
        <v>962</v>
      </c>
      <c r="I543" s="2"/>
      <c r="J543" s="2" t="s">
        <v>963</v>
      </c>
      <c r="K543" s="2" t="s">
        <v>1867</v>
      </c>
      <c r="L543" s="49" t="s">
        <v>1952</v>
      </c>
      <c r="M543" s="2"/>
      <c r="N543" s="2"/>
      <c r="O543" s="2"/>
      <c r="P543" s="557" t="str">
        <f>CONCATENATE(schedule13[[#This Row],[OD]],"-",schedule13[[#This Row],[ID]],"-",schedule13[[#This Row],[TICKNESS]],"-",schedule13[[#This Row],[GRADE]],"-",schedule13[[#This Row],[FC/NFC]])</f>
        <v>19.05-0-1.6-ERW 1-PE</v>
      </c>
      <c r="Q543" s="557"/>
      <c r="R543" s="557"/>
      <c r="S543" s="1">
        <v>19.05</v>
      </c>
      <c r="T543" s="1">
        <v>19.05</v>
      </c>
      <c r="U543" s="6">
        <v>0</v>
      </c>
      <c r="V543" s="1">
        <v>1.6</v>
      </c>
      <c r="W543" s="23">
        <v>258</v>
      </c>
      <c r="X543" s="23"/>
      <c r="Y543" s="2">
        <v>20000</v>
      </c>
      <c r="Z543" s="4"/>
      <c r="AA543" s="4">
        <f t="shared" si="83"/>
        <v>20000</v>
      </c>
      <c r="AB543" s="1">
        <f t="shared" si="85"/>
        <v>3.5516886816000004</v>
      </c>
      <c r="AC543" s="1">
        <f t="shared" si="86"/>
        <v>0</v>
      </c>
      <c r="AD543" s="1">
        <f t="shared" si="84"/>
        <v>3.5516886816000004</v>
      </c>
      <c r="AE543" s="1"/>
      <c r="AF543" s="1"/>
      <c r="AG543" s="1"/>
      <c r="AH543" s="1">
        <f>AB543-AF543</f>
        <v>3.5516886816000004</v>
      </c>
      <c r="AI543" s="118">
        <f>(AC543+AF543)/AB543</f>
        <v>0</v>
      </c>
    </row>
    <row r="544" spans="1:35" hidden="1" x14ac:dyDescent="0.25">
      <c r="A544" s="30">
        <v>11</v>
      </c>
      <c r="B544" s="5" t="s">
        <v>1816</v>
      </c>
      <c r="C544" s="2" t="s">
        <v>302</v>
      </c>
      <c r="D544" s="2"/>
      <c r="E544" s="2">
        <v>944141</v>
      </c>
      <c r="F544" s="9">
        <v>3850310</v>
      </c>
      <c r="G544" s="2" t="s">
        <v>1339</v>
      </c>
      <c r="H544" s="2" t="s">
        <v>962</v>
      </c>
      <c r="I544" s="2"/>
      <c r="J544" s="2" t="s">
        <v>963</v>
      </c>
      <c r="K544" s="2" t="s">
        <v>1867</v>
      </c>
      <c r="L544" s="2" t="s">
        <v>1881</v>
      </c>
      <c r="M544" s="2"/>
      <c r="N544" s="2"/>
      <c r="O544" s="2"/>
      <c r="P544" s="557" t="str">
        <f>CONCATENATE(schedule13[[#This Row],[OD]],"-",schedule13[[#This Row],[ID]],"-",schedule13[[#This Row],[TICKNESS]],"-",schedule13[[#This Row],[GRADE]],"-",schedule13[[#This Row],[FC/NFC]])</f>
        <v>19.05-0-1.6-ERW 1-PE</v>
      </c>
      <c r="Q544" s="557"/>
      <c r="R544" s="557"/>
      <c r="S544" s="1">
        <v>19.05</v>
      </c>
      <c r="T544" s="1">
        <v>19.05</v>
      </c>
      <c r="U544" s="6">
        <v>0</v>
      </c>
      <c r="V544" s="1">
        <v>1.6</v>
      </c>
      <c r="W544" s="23">
        <v>268</v>
      </c>
      <c r="X544" s="23"/>
      <c r="Y544" s="2">
        <v>20000</v>
      </c>
      <c r="Z544" s="4"/>
      <c r="AA544" s="4">
        <f t="shared" si="83"/>
        <v>20000</v>
      </c>
      <c r="AB544" s="1">
        <f t="shared" si="85"/>
        <v>3.6893510336000004</v>
      </c>
      <c r="AC544" s="1">
        <f t="shared" si="86"/>
        <v>0</v>
      </c>
      <c r="AD544" s="1">
        <f t="shared" si="84"/>
        <v>3.6893510336000004</v>
      </c>
      <c r="AE544" s="1"/>
      <c r="AF544" s="1"/>
      <c r="AG544" s="1"/>
      <c r="AH544" s="1"/>
      <c r="AI544" s="118"/>
    </row>
    <row r="545" spans="1:35" hidden="1" x14ac:dyDescent="0.25">
      <c r="A545" s="30">
        <v>12</v>
      </c>
      <c r="B545" s="5" t="s">
        <v>1816</v>
      </c>
      <c r="C545" s="2" t="s">
        <v>302</v>
      </c>
      <c r="D545" s="2"/>
      <c r="E545" s="2">
        <v>944141</v>
      </c>
      <c r="F545" s="2">
        <v>1940307</v>
      </c>
      <c r="G545" s="2" t="s">
        <v>408</v>
      </c>
      <c r="H545" s="2" t="s">
        <v>962</v>
      </c>
      <c r="I545" s="2"/>
      <c r="J545" s="2" t="s">
        <v>963</v>
      </c>
      <c r="K545" s="2" t="s">
        <v>239</v>
      </c>
      <c r="L545" s="2"/>
      <c r="M545" s="2"/>
      <c r="N545" s="2"/>
      <c r="O545" s="2"/>
      <c r="P545" s="557" t="str">
        <f>CONCATENATE(schedule13[[#This Row],[OD]],"-",schedule13[[#This Row],[ID]],"-",schedule13[[#This Row],[TICKNESS]],"-",schedule13[[#This Row],[GRADE]],"-",schedule13[[#This Row],[FC/NFC]])</f>
        <v>19.05-0-2.3-ERW 1-PE</v>
      </c>
      <c r="Q545" s="557"/>
      <c r="R545" s="557"/>
      <c r="S545" s="1">
        <v>19.05</v>
      </c>
      <c r="T545" s="1">
        <v>19.05</v>
      </c>
      <c r="U545" s="6">
        <v>0</v>
      </c>
      <c r="V545" s="1">
        <v>2.2999999999999998</v>
      </c>
      <c r="W545" s="23">
        <v>252</v>
      </c>
      <c r="X545" s="23"/>
      <c r="Y545" s="2">
        <v>40000</v>
      </c>
      <c r="Z545" s="4"/>
      <c r="AA545" s="4">
        <f t="shared" si="83"/>
        <v>40000</v>
      </c>
      <c r="AB545" s="1">
        <f t="shared" si="85"/>
        <v>9.5735487960000007</v>
      </c>
      <c r="AC545" s="1">
        <f t="shared" si="86"/>
        <v>0</v>
      </c>
      <c r="AD545" s="1">
        <f t="shared" si="84"/>
        <v>9.5735487960000007</v>
      </c>
      <c r="AE545" s="1"/>
      <c r="AF545" s="1"/>
      <c r="AG545" s="1"/>
      <c r="AH545" s="1">
        <f t="shared" ref="AH545:AH589" si="87">AB545-AF545</f>
        <v>9.5735487960000007</v>
      </c>
      <c r="AI545" s="118">
        <f t="shared" ref="AI545:AI589" si="88">(AC545+AF545)/AB545</f>
        <v>0</v>
      </c>
    </row>
    <row r="546" spans="1:35" hidden="1" x14ac:dyDescent="0.25">
      <c r="A546" s="30">
        <v>13</v>
      </c>
      <c r="B546" s="5" t="s">
        <v>1816</v>
      </c>
      <c r="C546" s="2" t="s">
        <v>302</v>
      </c>
      <c r="D546" s="2"/>
      <c r="E546" s="2">
        <v>944141</v>
      </c>
      <c r="F546" s="2">
        <v>1940309</v>
      </c>
      <c r="G546" s="2" t="s">
        <v>703</v>
      </c>
      <c r="H546" s="2" t="s">
        <v>962</v>
      </c>
      <c r="I546" s="2"/>
      <c r="J546" s="2" t="s">
        <v>963</v>
      </c>
      <c r="K546" s="2" t="s">
        <v>239</v>
      </c>
      <c r="L546" s="2"/>
      <c r="M546" s="2"/>
      <c r="N546" s="2"/>
      <c r="O546" s="2"/>
      <c r="P546" s="557" t="str">
        <f>CONCATENATE(schedule13[[#This Row],[OD]],"-",schedule13[[#This Row],[ID]],"-",schedule13[[#This Row],[TICKNESS]],"-",schedule13[[#This Row],[GRADE]],"-",schedule13[[#This Row],[FC/NFC]])</f>
        <v>19.05-0-2.3-ERW 1-PE</v>
      </c>
      <c r="Q546" s="557"/>
      <c r="R546" s="557"/>
      <c r="S546" s="1">
        <v>19.05</v>
      </c>
      <c r="T546" s="1">
        <v>19.05</v>
      </c>
      <c r="U546" s="6">
        <v>0</v>
      </c>
      <c r="V546" s="1">
        <v>2.2999999999999998</v>
      </c>
      <c r="W546" s="23">
        <v>265</v>
      </c>
      <c r="X546" s="23"/>
      <c r="Y546" s="2">
        <v>10000</v>
      </c>
      <c r="Z546" s="4"/>
      <c r="AA546" s="4">
        <f t="shared" si="83"/>
        <v>10000</v>
      </c>
      <c r="AB546" s="1">
        <f t="shared" si="85"/>
        <v>2.5168555862500002</v>
      </c>
      <c r="AC546" s="1">
        <f t="shared" si="86"/>
        <v>0</v>
      </c>
      <c r="AD546" s="1">
        <f t="shared" si="84"/>
        <v>2.5168555862500002</v>
      </c>
      <c r="AE546" s="1"/>
      <c r="AF546" s="1">
        <v>0.100536</v>
      </c>
      <c r="AG546" s="1"/>
      <c r="AH546" s="1">
        <f t="shared" si="87"/>
        <v>2.4163195862500002</v>
      </c>
      <c r="AI546" s="118">
        <f t="shared" si="88"/>
        <v>3.9945080897467802E-2</v>
      </c>
    </row>
    <row r="547" spans="1:35" hidden="1" x14ac:dyDescent="0.25">
      <c r="A547" s="30">
        <v>14</v>
      </c>
      <c r="B547" s="5" t="s">
        <v>1816</v>
      </c>
      <c r="C547" s="2" t="s">
        <v>302</v>
      </c>
      <c r="D547" s="2"/>
      <c r="E547" s="2">
        <v>944141</v>
      </c>
      <c r="F547" s="2">
        <v>3620427</v>
      </c>
      <c r="G547" s="2" t="s">
        <v>438</v>
      </c>
      <c r="H547" s="2" t="s">
        <v>962</v>
      </c>
      <c r="I547" s="2"/>
      <c r="J547" s="2" t="s">
        <v>963</v>
      </c>
      <c r="K547" s="2" t="s">
        <v>1867</v>
      </c>
      <c r="L547" s="2" t="s">
        <v>1881</v>
      </c>
      <c r="M547" s="2"/>
      <c r="N547" s="2"/>
      <c r="O547" s="2"/>
      <c r="P547" s="557" t="str">
        <f>CONCATENATE(schedule13[[#This Row],[OD]],"-",schedule13[[#This Row],[ID]],"-",schedule13[[#This Row],[TICKNESS]],"-",schedule13[[#This Row],[GRADE]],"-",schedule13[[#This Row],[FC/NFC]])</f>
        <v>12.7-0-1.6-ERW 1-PE</v>
      </c>
      <c r="Q547" s="557"/>
      <c r="R547" s="557"/>
      <c r="S547" s="1">
        <v>12.7</v>
      </c>
      <c r="T547" s="1">
        <v>12.7</v>
      </c>
      <c r="U547" s="6">
        <v>0</v>
      </c>
      <c r="V547" s="1">
        <v>1.6</v>
      </c>
      <c r="W547" s="23">
        <v>950</v>
      </c>
      <c r="X547" s="23"/>
      <c r="Y547" s="2">
        <v>0</v>
      </c>
      <c r="Z547" s="4"/>
      <c r="AA547" s="4">
        <f t="shared" si="83"/>
        <v>0</v>
      </c>
      <c r="AB547" s="1">
        <f t="shared" si="85"/>
        <v>0</v>
      </c>
      <c r="AC547" s="1">
        <f t="shared" si="86"/>
        <v>0</v>
      </c>
      <c r="AD547" s="1">
        <f t="shared" si="84"/>
        <v>0</v>
      </c>
      <c r="AE547" s="1"/>
      <c r="AF547" s="1">
        <v>0.77201900000000001</v>
      </c>
      <c r="AG547" s="1"/>
      <c r="AH547" s="1">
        <f t="shared" si="87"/>
        <v>-0.77201900000000001</v>
      </c>
      <c r="AI547" s="118" t="e">
        <f t="shared" si="88"/>
        <v>#DIV/0!</v>
      </c>
    </row>
    <row r="548" spans="1:35" hidden="1" x14ac:dyDescent="0.25">
      <c r="A548" s="30">
        <v>15</v>
      </c>
      <c r="B548" s="5" t="s">
        <v>1816</v>
      </c>
      <c r="C548" s="2" t="s">
        <v>302</v>
      </c>
      <c r="D548" s="2"/>
      <c r="E548" s="2">
        <v>944141</v>
      </c>
      <c r="F548" s="2">
        <v>3620428</v>
      </c>
      <c r="G548" s="2" t="s">
        <v>507</v>
      </c>
      <c r="H548" s="2" t="s">
        <v>962</v>
      </c>
      <c r="I548" s="2"/>
      <c r="J548" s="2" t="s">
        <v>963</v>
      </c>
      <c r="K548" s="2" t="s">
        <v>1867</v>
      </c>
      <c r="L548" s="2" t="s">
        <v>1881</v>
      </c>
      <c r="M548" s="2"/>
      <c r="N548" s="2"/>
      <c r="O548" s="2"/>
      <c r="P548" s="557" t="str">
        <f>CONCATENATE(schedule13[[#This Row],[OD]],"-",schedule13[[#This Row],[ID]],"-",schedule13[[#This Row],[TICKNESS]],"-",schedule13[[#This Row],[GRADE]],"-",schedule13[[#This Row],[FC/NFC]])</f>
        <v>15.88-0-1.6-ERW 1-PE</v>
      </c>
      <c r="Q548" s="557"/>
      <c r="R548" s="557"/>
      <c r="S548" s="1">
        <v>15.88</v>
      </c>
      <c r="T548" s="1">
        <v>15.88</v>
      </c>
      <c r="U548" s="6">
        <v>0</v>
      </c>
      <c r="V548" s="1">
        <v>1.6</v>
      </c>
      <c r="W548" s="23">
        <v>435</v>
      </c>
      <c r="X548" s="23"/>
      <c r="Y548" s="2">
        <v>10000</v>
      </c>
      <c r="Z548" s="4"/>
      <c r="AA548" s="4">
        <f t="shared" si="83"/>
        <v>10000</v>
      </c>
      <c r="AB548" s="1">
        <f t="shared" si="85"/>
        <v>2.4502320864000002</v>
      </c>
      <c r="AC548" s="1">
        <f t="shared" si="86"/>
        <v>0</v>
      </c>
      <c r="AD548" s="1">
        <f t="shared" si="84"/>
        <v>2.4502320864000002</v>
      </c>
      <c r="AE548" s="1"/>
      <c r="AF548" s="1">
        <v>2.657</v>
      </c>
      <c r="AG548" s="1"/>
      <c r="AH548" s="1">
        <f t="shared" si="87"/>
        <v>-0.2067679135999998</v>
      </c>
      <c r="AI548" s="118">
        <f t="shared" si="88"/>
        <v>1.0843870728604299</v>
      </c>
    </row>
    <row r="549" spans="1:35" hidden="1" x14ac:dyDescent="0.25">
      <c r="A549" s="30">
        <v>16</v>
      </c>
      <c r="B549" s="5" t="s">
        <v>1816</v>
      </c>
      <c r="C549" s="2" t="s">
        <v>302</v>
      </c>
      <c r="D549" s="2"/>
      <c r="E549" s="2">
        <v>944141</v>
      </c>
      <c r="F549" s="2">
        <v>2420205</v>
      </c>
      <c r="G549" s="2" t="s">
        <v>2132</v>
      </c>
      <c r="H549" s="2" t="s">
        <v>962</v>
      </c>
      <c r="I549" s="2"/>
      <c r="J549" s="2" t="s">
        <v>963</v>
      </c>
      <c r="K549" s="2" t="s">
        <v>239</v>
      </c>
      <c r="L549" s="2"/>
      <c r="M549" s="2"/>
      <c r="N549" s="2"/>
      <c r="O549" s="2"/>
      <c r="P549" s="557" t="str">
        <f>CONCATENATE(schedule13[[#This Row],[OD]],"-",schedule13[[#This Row],[ID]],"-",schedule13[[#This Row],[TICKNESS]],"-",schedule13[[#This Row],[GRADE]],"-",schedule13[[#This Row],[FC/NFC]])</f>
        <v>15.88-0-2-ERW 1-PE</v>
      </c>
      <c r="Q549" s="557"/>
      <c r="R549" s="557"/>
      <c r="S549" s="1">
        <v>15.88</v>
      </c>
      <c r="T549" s="1">
        <v>15.88</v>
      </c>
      <c r="U549" s="6">
        <v>0</v>
      </c>
      <c r="V549" s="1">
        <v>2</v>
      </c>
      <c r="W549" s="23">
        <v>155</v>
      </c>
      <c r="X549" s="23"/>
      <c r="Y549" s="2">
        <v>20000</v>
      </c>
      <c r="Z549" s="4"/>
      <c r="AA549" s="4">
        <f t="shared" si="83"/>
        <v>20000</v>
      </c>
      <c r="AB549" s="1">
        <f t="shared" si="85"/>
        <v>2.1215385680000005</v>
      </c>
      <c r="AC549" s="1">
        <f t="shared" si="86"/>
        <v>0</v>
      </c>
      <c r="AD549" s="1">
        <f t="shared" si="84"/>
        <v>2.1215385680000005</v>
      </c>
      <c r="AE549" s="1"/>
      <c r="AF549" s="1"/>
      <c r="AG549" s="1"/>
      <c r="AH549" s="1">
        <f t="shared" si="87"/>
        <v>2.1215385680000005</v>
      </c>
      <c r="AI549" s="118">
        <f t="shared" si="88"/>
        <v>0</v>
      </c>
    </row>
    <row r="550" spans="1:35" hidden="1" x14ac:dyDescent="0.25">
      <c r="A550" s="30">
        <v>17</v>
      </c>
      <c r="B550" s="5" t="s">
        <v>1816</v>
      </c>
      <c r="C550" s="2" t="s">
        <v>302</v>
      </c>
      <c r="D550" s="2"/>
      <c r="E550" s="2">
        <v>944141</v>
      </c>
      <c r="F550" s="2">
        <v>3706751</v>
      </c>
      <c r="G550" s="2" t="s">
        <v>2133</v>
      </c>
      <c r="H550" s="2" t="s">
        <v>962</v>
      </c>
      <c r="I550" s="2"/>
      <c r="J550" s="2" t="s">
        <v>963</v>
      </c>
      <c r="K550" s="2" t="s">
        <v>239</v>
      </c>
      <c r="L550" s="2"/>
      <c r="M550" s="2"/>
      <c r="N550" s="2"/>
      <c r="O550" s="2"/>
      <c r="P550" s="557" t="str">
        <f>CONCATENATE(schedule13[[#This Row],[OD]],"-",schedule13[[#This Row],[ID]],"-",schedule13[[#This Row],[TICKNESS]],"-",schedule13[[#This Row],[GRADE]],"-",schedule13[[#This Row],[FC/NFC]])</f>
        <v>15.88-0-2-ERW 1-PE</v>
      </c>
      <c r="Q550" s="557"/>
      <c r="R550" s="557"/>
      <c r="S550" s="1">
        <v>15.88</v>
      </c>
      <c r="T550" s="1">
        <v>15.88</v>
      </c>
      <c r="U550" s="6">
        <v>0</v>
      </c>
      <c r="V550" s="1">
        <v>2</v>
      </c>
      <c r="W550" s="23">
        <v>160</v>
      </c>
      <c r="X550" s="23"/>
      <c r="Y550" s="2">
        <v>20000</v>
      </c>
      <c r="Z550" s="4"/>
      <c r="AA550" s="4">
        <f t="shared" si="83"/>
        <v>20000</v>
      </c>
      <c r="AB550" s="1">
        <f t="shared" si="85"/>
        <v>2.1899752960000005</v>
      </c>
      <c r="AC550" s="1">
        <f t="shared" si="86"/>
        <v>0</v>
      </c>
      <c r="AD550" s="1">
        <f t="shared" si="84"/>
        <v>2.1899752960000005</v>
      </c>
      <c r="AE550" s="1"/>
      <c r="AF550" s="1"/>
      <c r="AG550" s="1"/>
      <c r="AH550" s="1">
        <f t="shared" si="87"/>
        <v>2.1899752960000005</v>
      </c>
      <c r="AI550" s="118">
        <f t="shared" si="88"/>
        <v>0</v>
      </c>
    </row>
    <row r="551" spans="1:35" hidden="1" x14ac:dyDescent="0.25">
      <c r="A551" s="30">
        <v>18</v>
      </c>
      <c r="B551" s="5" t="s">
        <v>1816</v>
      </c>
      <c r="C551" s="2" t="s">
        <v>302</v>
      </c>
      <c r="D551" s="2"/>
      <c r="E551" s="2">
        <v>944141</v>
      </c>
      <c r="F551" s="2" t="s">
        <v>1878</v>
      </c>
      <c r="G551" s="2" t="s">
        <v>2147</v>
      </c>
      <c r="H551" s="2" t="s">
        <v>962</v>
      </c>
      <c r="I551" s="2"/>
      <c r="J551" s="2" t="s">
        <v>963</v>
      </c>
      <c r="K551" s="2" t="s">
        <v>239</v>
      </c>
      <c r="L551" s="2"/>
      <c r="M551" s="2"/>
      <c r="N551" s="2"/>
      <c r="O551" s="2"/>
      <c r="P551" s="557" t="str">
        <f>CONCATENATE(schedule13[[#This Row],[OD]],"-",schedule13[[#This Row],[ID]],"-",schedule13[[#This Row],[TICKNESS]],"-",schedule13[[#This Row],[GRADE]],"-",schedule13[[#This Row],[FC/NFC]])</f>
        <v>22.23-0-2.3-ERW 1-PE</v>
      </c>
      <c r="Q551" s="557"/>
      <c r="R551" s="557"/>
      <c r="S551" s="1">
        <v>22.23</v>
      </c>
      <c r="T551" s="1">
        <v>22.23</v>
      </c>
      <c r="U551" s="6">
        <v>0</v>
      </c>
      <c r="V551" s="1">
        <v>2.2999999999999998</v>
      </c>
      <c r="W551" s="23">
        <v>427</v>
      </c>
      <c r="X551" s="23"/>
      <c r="Y551" s="2">
        <v>5000</v>
      </c>
      <c r="Z551" s="4"/>
      <c r="AA551" s="4">
        <f t="shared" si="83"/>
        <v>5000</v>
      </c>
      <c r="AB551" s="1">
        <f t="shared" si="85"/>
        <v>2.412697031045</v>
      </c>
      <c r="AC551" s="1">
        <f t="shared" si="86"/>
        <v>0</v>
      </c>
      <c r="AD551" s="1">
        <f t="shared" si="84"/>
        <v>2.412697031045</v>
      </c>
      <c r="AE551" s="1"/>
      <c r="AF551" s="1"/>
      <c r="AG551" s="1"/>
      <c r="AH551" s="1">
        <f t="shared" si="87"/>
        <v>2.412697031045</v>
      </c>
      <c r="AI551" s="118">
        <f t="shared" si="88"/>
        <v>0</v>
      </c>
    </row>
    <row r="552" spans="1:35" hidden="1" x14ac:dyDescent="0.25">
      <c r="A552" s="30">
        <v>19</v>
      </c>
      <c r="B552" s="5" t="s">
        <v>1816</v>
      </c>
      <c r="C552" s="2" t="s">
        <v>302</v>
      </c>
      <c r="D552" s="2"/>
      <c r="E552" s="2">
        <v>944141</v>
      </c>
      <c r="F552" s="2">
        <v>1940498</v>
      </c>
      <c r="G552" s="2" t="s">
        <v>1535</v>
      </c>
      <c r="H552" s="2" t="s">
        <v>962</v>
      </c>
      <c r="I552" s="2"/>
      <c r="J552" s="2" t="s">
        <v>963</v>
      </c>
      <c r="K552" s="2" t="s">
        <v>239</v>
      </c>
      <c r="L552" s="2"/>
      <c r="M552" s="2"/>
      <c r="N552" s="2"/>
      <c r="O552" s="2"/>
      <c r="P552" s="557" t="str">
        <f>CONCATENATE(schedule13[[#This Row],[OD]],"-",schedule13[[#This Row],[ID]],"-",schedule13[[#This Row],[TICKNESS]],"-",schedule13[[#This Row],[GRADE]],"-",schedule13[[#This Row],[FC/NFC]])</f>
        <v>22.23-0-2.3-ERW 1-PE</v>
      </c>
      <c r="Q552" s="557"/>
      <c r="R552" s="557"/>
      <c r="S552" s="1">
        <v>22.23</v>
      </c>
      <c r="T552" s="1">
        <v>22.23</v>
      </c>
      <c r="U552" s="6">
        <v>0</v>
      </c>
      <c r="V552" s="1">
        <v>2.2999999999999998</v>
      </c>
      <c r="W552" s="23">
        <v>281</v>
      </c>
      <c r="X552" s="23"/>
      <c r="Y552" s="2">
        <v>30000</v>
      </c>
      <c r="Z552" s="4"/>
      <c r="AA552" s="4">
        <f t="shared" si="83"/>
        <v>30000</v>
      </c>
      <c r="AB552" s="1">
        <f t="shared" si="85"/>
        <v>9.5264805488100013</v>
      </c>
      <c r="AC552" s="1">
        <f t="shared" si="86"/>
        <v>0</v>
      </c>
      <c r="AD552" s="1">
        <f t="shared" si="84"/>
        <v>9.5264805488100013</v>
      </c>
      <c r="AE552" s="1"/>
      <c r="AF552" s="1">
        <v>8.1669999999999998</v>
      </c>
      <c r="AG552" s="1"/>
      <c r="AH552" s="1">
        <f t="shared" si="87"/>
        <v>1.3594805488100015</v>
      </c>
      <c r="AI552" s="118">
        <f t="shared" si="88"/>
        <v>0.85729456520227498</v>
      </c>
    </row>
    <row r="553" spans="1:35" hidden="1" x14ac:dyDescent="0.25">
      <c r="A553" s="30">
        <v>20</v>
      </c>
      <c r="B553" s="5" t="s">
        <v>1816</v>
      </c>
      <c r="C553" s="2" t="s">
        <v>302</v>
      </c>
      <c r="D553" s="2"/>
      <c r="E553" s="2">
        <v>944141</v>
      </c>
      <c r="F553" s="2">
        <v>1940584</v>
      </c>
      <c r="G553" s="2" t="s">
        <v>779</v>
      </c>
      <c r="H553" s="2" t="s">
        <v>962</v>
      </c>
      <c r="I553" s="2"/>
      <c r="J553" s="2" t="s">
        <v>1003</v>
      </c>
      <c r="K553" s="2" t="s">
        <v>239</v>
      </c>
      <c r="L553" s="2"/>
      <c r="M553" s="2"/>
      <c r="N553" s="2"/>
      <c r="O553" s="2"/>
      <c r="P553" s="557" t="str">
        <f>CONCATENATE(schedule13[[#This Row],[OD]],"-",schedule13[[#This Row],[ID]],"-",schedule13[[#This Row],[TICKNESS]],"-",schedule13[[#This Row],[GRADE]],"-",schedule13[[#This Row],[FC/NFC]])</f>
        <v>25.4-0-2-ERW 1-FC</v>
      </c>
      <c r="Q553" s="557"/>
      <c r="R553" s="557"/>
      <c r="S553" s="1">
        <v>25.4</v>
      </c>
      <c r="T553" s="1">
        <v>25.4</v>
      </c>
      <c r="U553" s="6">
        <v>0</v>
      </c>
      <c r="V553" s="1">
        <v>2</v>
      </c>
      <c r="W553" s="23">
        <v>281</v>
      </c>
      <c r="X553" s="23"/>
      <c r="Y553" s="2">
        <v>20000</v>
      </c>
      <c r="Z553" s="4"/>
      <c r="AA553" s="4">
        <f t="shared" si="83"/>
        <v>20000</v>
      </c>
      <c r="AB553" s="1">
        <f t="shared" si="85"/>
        <v>6.4841334479999997</v>
      </c>
      <c r="AC553" s="1">
        <f t="shared" si="86"/>
        <v>0</v>
      </c>
      <c r="AD553" s="1">
        <f t="shared" si="84"/>
        <v>6.4841334479999997</v>
      </c>
      <c r="AE553" s="1"/>
      <c r="AF553" s="1">
        <v>5.6804359999999994</v>
      </c>
      <c r="AG553" s="1"/>
      <c r="AH553" s="1">
        <f t="shared" si="87"/>
        <v>0.80369744800000031</v>
      </c>
      <c r="AI553" s="118">
        <f t="shared" si="88"/>
        <v>0.8760516799283492</v>
      </c>
    </row>
    <row r="554" spans="1:35" hidden="1" x14ac:dyDescent="0.25">
      <c r="A554" s="30">
        <v>21</v>
      </c>
      <c r="B554" s="5" t="s">
        <v>1816</v>
      </c>
      <c r="C554" s="2" t="s">
        <v>302</v>
      </c>
      <c r="D554" s="2"/>
      <c r="E554" s="2">
        <v>944141</v>
      </c>
      <c r="F554" s="2">
        <v>1940310</v>
      </c>
      <c r="G554" s="2" t="s">
        <v>2138</v>
      </c>
      <c r="H554" s="2" t="s">
        <v>962</v>
      </c>
      <c r="I554" s="2"/>
      <c r="J554" s="2"/>
      <c r="K554" s="2" t="s">
        <v>239</v>
      </c>
      <c r="L554" s="2"/>
      <c r="M554" s="2"/>
      <c r="N554" s="2"/>
      <c r="O554" s="2"/>
      <c r="P554" s="557" t="str">
        <f>CONCATENATE(schedule13[[#This Row],[OD]],"-",schedule13[[#This Row],[ID]],"-",schedule13[[#This Row],[TICKNESS]],"-",schedule13[[#This Row],[GRADE]],"-",schedule13[[#This Row],[FC/NFC]])</f>
        <v>19.05-0-2.3-ERW 1-</v>
      </c>
      <c r="Q554" s="557"/>
      <c r="R554" s="557"/>
      <c r="S554" s="1">
        <v>19.05</v>
      </c>
      <c r="T554" s="1">
        <v>19.05</v>
      </c>
      <c r="U554" s="6">
        <v>0</v>
      </c>
      <c r="V554" s="1">
        <v>2.2999999999999998</v>
      </c>
      <c r="W554" s="23">
        <v>281</v>
      </c>
      <c r="X554" s="23"/>
      <c r="Y554" s="2">
        <v>0</v>
      </c>
      <c r="Z554" s="4"/>
      <c r="AA554" s="4">
        <f t="shared" si="83"/>
        <v>0</v>
      </c>
      <c r="AB554" s="1">
        <f t="shared" si="85"/>
        <v>0</v>
      </c>
      <c r="AC554" s="1">
        <f t="shared" si="86"/>
        <v>0</v>
      </c>
      <c r="AD554" s="1">
        <f t="shared" si="84"/>
        <v>0</v>
      </c>
      <c r="AE554" s="1"/>
      <c r="AF554" s="1"/>
      <c r="AG554" s="1"/>
      <c r="AH554" s="1">
        <f t="shared" si="87"/>
        <v>0</v>
      </c>
      <c r="AI554" s="118" t="e">
        <f t="shared" si="88"/>
        <v>#DIV/0!</v>
      </c>
    </row>
    <row r="555" spans="1:35" hidden="1" x14ac:dyDescent="0.25">
      <c r="A555" s="30">
        <v>22</v>
      </c>
      <c r="B555" s="5" t="s">
        <v>1816</v>
      </c>
      <c r="C555" s="2" t="s">
        <v>302</v>
      </c>
      <c r="D555" s="2"/>
      <c r="E555" s="2">
        <v>944141</v>
      </c>
      <c r="F555" s="2">
        <v>1940390</v>
      </c>
      <c r="G555" s="2" t="s">
        <v>1507</v>
      </c>
      <c r="H555" s="2" t="s">
        <v>962</v>
      </c>
      <c r="I555" s="2"/>
      <c r="J555" s="2" t="s">
        <v>963</v>
      </c>
      <c r="K555" s="2" t="s">
        <v>1867</v>
      </c>
      <c r="L555" s="49" t="s">
        <v>1891</v>
      </c>
      <c r="M555" s="2"/>
      <c r="N555" s="2"/>
      <c r="O555" s="2"/>
      <c r="P555" s="557" t="str">
        <f>CONCATENATE(schedule13[[#This Row],[OD]],"-",schedule13[[#This Row],[ID]],"-",schedule13[[#This Row],[TICKNESS]],"-",schedule13[[#This Row],[GRADE]],"-",schedule13[[#This Row],[FC/NFC]])</f>
        <v>22.23-0-1.6-ERW 1-PE</v>
      </c>
      <c r="Q555" s="557"/>
      <c r="R555" s="557"/>
      <c r="S555" s="1">
        <v>22.23</v>
      </c>
      <c r="T555" s="1">
        <v>22.23</v>
      </c>
      <c r="U555" s="6">
        <v>0</v>
      </c>
      <c r="V555" s="1">
        <v>1.6</v>
      </c>
      <c r="W555" s="23">
        <v>283</v>
      </c>
      <c r="X555" s="23"/>
      <c r="Y555" s="2">
        <v>5000</v>
      </c>
      <c r="Z555" s="4"/>
      <c r="AA555" s="4">
        <f t="shared" si="83"/>
        <v>5000</v>
      </c>
      <c r="AB555" s="1">
        <f t="shared" si="85"/>
        <v>1.1514509069600003</v>
      </c>
      <c r="AC555" s="1">
        <f t="shared" si="86"/>
        <v>0</v>
      </c>
      <c r="AD555" s="1">
        <f t="shared" si="84"/>
        <v>1.1514509069600003</v>
      </c>
      <c r="AE555" s="1"/>
      <c r="AF555" s="1">
        <v>1.259484</v>
      </c>
      <c r="AG555" s="1"/>
      <c r="AH555" s="1">
        <f t="shared" si="87"/>
        <v>-0.10803309303999975</v>
      </c>
      <c r="AI555" s="118">
        <f t="shared" si="88"/>
        <v>1.0938234469111869</v>
      </c>
    </row>
    <row r="556" spans="1:35" hidden="1" x14ac:dyDescent="0.25">
      <c r="A556" s="30">
        <v>23</v>
      </c>
      <c r="B556" s="5" t="s">
        <v>1816</v>
      </c>
      <c r="C556" s="2" t="s">
        <v>302</v>
      </c>
      <c r="D556" s="2"/>
      <c r="E556" s="2">
        <v>944141</v>
      </c>
      <c r="F556" s="2">
        <v>1940312</v>
      </c>
      <c r="G556" s="2" t="s">
        <v>410</v>
      </c>
      <c r="H556" s="2" t="s">
        <v>962</v>
      </c>
      <c r="I556" s="2"/>
      <c r="J556" s="2" t="s">
        <v>963</v>
      </c>
      <c r="K556" s="2" t="s">
        <v>239</v>
      </c>
      <c r="L556" s="2"/>
      <c r="M556" s="2"/>
      <c r="N556" s="2"/>
      <c r="O556" s="2"/>
      <c r="P556" s="557" t="str">
        <f>CONCATENATE(schedule13[[#This Row],[OD]],"-",schedule13[[#This Row],[ID]],"-",schedule13[[#This Row],[TICKNESS]],"-",schedule13[[#This Row],[GRADE]],"-",schedule13[[#This Row],[FC/NFC]])</f>
        <v>19.05-0-2.3-ERW 1-PE</v>
      </c>
      <c r="Q556" s="557"/>
      <c r="R556" s="557"/>
      <c r="S556" s="1">
        <v>19.05</v>
      </c>
      <c r="T556" s="1">
        <v>19.05</v>
      </c>
      <c r="U556" s="6">
        <v>0</v>
      </c>
      <c r="V556" s="1">
        <v>2.2999999999999998</v>
      </c>
      <c r="W556" s="23">
        <v>295</v>
      </c>
      <c r="X556" s="23"/>
      <c r="Y556" s="2">
        <v>55000</v>
      </c>
      <c r="Z556" s="4"/>
      <c r="AA556" s="4">
        <f t="shared" si="83"/>
        <v>55000</v>
      </c>
      <c r="AB556" s="1">
        <f t="shared" si="85"/>
        <v>15.409804485625001</v>
      </c>
      <c r="AC556" s="1">
        <f t="shared" si="86"/>
        <v>0</v>
      </c>
      <c r="AD556" s="1">
        <f t="shared" si="84"/>
        <v>15.409804485625001</v>
      </c>
      <c r="AE556" s="1"/>
      <c r="AF556" s="1">
        <v>0.73919900000000005</v>
      </c>
      <c r="AG556" s="1"/>
      <c r="AH556" s="1">
        <f t="shared" si="87"/>
        <v>14.670605485625002</v>
      </c>
      <c r="AI556" s="118">
        <f t="shared" si="88"/>
        <v>4.7969395113971761E-2</v>
      </c>
    </row>
    <row r="557" spans="1:35" hidden="1" x14ac:dyDescent="0.25">
      <c r="A557" s="30">
        <v>24</v>
      </c>
      <c r="B557" s="5" t="s">
        <v>1816</v>
      </c>
      <c r="C557" s="2" t="s">
        <v>302</v>
      </c>
      <c r="D557" s="2"/>
      <c r="E557" s="2">
        <v>944141</v>
      </c>
      <c r="F557" s="2">
        <v>1940418</v>
      </c>
      <c r="G557" s="2" t="s">
        <v>2142</v>
      </c>
      <c r="H557" s="2" t="s">
        <v>962</v>
      </c>
      <c r="I557" s="2"/>
      <c r="J557" s="2" t="s">
        <v>963</v>
      </c>
      <c r="K557" s="2" t="s">
        <v>1867</v>
      </c>
      <c r="L557" s="49" t="s">
        <v>1891</v>
      </c>
      <c r="M557" s="2"/>
      <c r="N557" s="2"/>
      <c r="O557" s="2"/>
      <c r="P557" s="557" t="str">
        <f>CONCATENATE(schedule13[[#This Row],[OD]],"-",schedule13[[#This Row],[ID]],"-",schedule13[[#This Row],[TICKNESS]],"-",schedule13[[#This Row],[GRADE]],"-",schedule13[[#This Row],[FC/NFC]])</f>
        <v>22.23-0-1.6-ERW 1-PE</v>
      </c>
      <c r="Q557" s="557"/>
      <c r="R557" s="557"/>
      <c r="S557" s="1">
        <v>22.23</v>
      </c>
      <c r="T557" s="1">
        <v>22.23</v>
      </c>
      <c r="U557" s="6">
        <v>0</v>
      </c>
      <c r="V557" s="1">
        <v>1.6</v>
      </c>
      <c r="W557" s="23">
        <v>967</v>
      </c>
      <c r="X557" s="23"/>
      <c r="Y557" s="2">
        <v>1000</v>
      </c>
      <c r="Z557" s="4"/>
      <c r="AA557" s="4">
        <f t="shared" si="83"/>
        <v>1000</v>
      </c>
      <c r="AB557" s="1">
        <f t="shared" si="85"/>
        <v>0.78689259860800009</v>
      </c>
      <c r="AC557" s="1">
        <f t="shared" si="86"/>
        <v>0</v>
      </c>
      <c r="AD557" s="1">
        <f t="shared" si="84"/>
        <v>0.78689259860800009</v>
      </c>
      <c r="AE557" s="1"/>
      <c r="AF557" s="1"/>
      <c r="AG557" s="1"/>
      <c r="AH557" s="1">
        <f t="shared" si="87"/>
        <v>0.78689259860800009</v>
      </c>
      <c r="AI557" s="118">
        <f t="shared" si="88"/>
        <v>0</v>
      </c>
    </row>
    <row r="558" spans="1:35" hidden="1" x14ac:dyDescent="0.25">
      <c r="A558" s="30">
        <v>25</v>
      </c>
      <c r="B558" s="5" t="s">
        <v>1816</v>
      </c>
      <c r="C558" s="2" t="s">
        <v>302</v>
      </c>
      <c r="D558" s="2"/>
      <c r="E558" s="2">
        <v>944141</v>
      </c>
      <c r="F558" s="2">
        <v>1940325</v>
      </c>
      <c r="G558" s="2" t="s">
        <v>715</v>
      </c>
      <c r="H558" s="2" t="s">
        <v>962</v>
      </c>
      <c r="I558" s="2"/>
      <c r="J558" s="2" t="s">
        <v>963</v>
      </c>
      <c r="K558" s="2" t="s">
        <v>239</v>
      </c>
      <c r="L558" s="2"/>
      <c r="M558" s="2"/>
      <c r="N558" s="2"/>
      <c r="O558" s="2"/>
      <c r="P558" s="557" t="str">
        <f>CONCATENATE(schedule13[[#This Row],[OD]],"-",schedule13[[#This Row],[ID]],"-",schedule13[[#This Row],[TICKNESS]],"-",schedule13[[#This Row],[GRADE]],"-",schedule13[[#This Row],[FC/NFC]])</f>
        <v>19.05-0-2.3-ERW 1-PE</v>
      </c>
      <c r="Q558" s="557"/>
      <c r="R558" s="557"/>
      <c r="S558" s="1">
        <v>19.05</v>
      </c>
      <c r="T558" s="1">
        <v>19.05</v>
      </c>
      <c r="U558" s="6">
        <v>0</v>
      </c>
      <c r="V558" s="1">
        <v>2.2999999999999998</v>
      </c>
      <c r="W558" s="23">
        <v>570</v>
      </c>
      <c r="X558" s="23"/>
      <c r="Y558" s="2">
        <v>5000</v>
      </c>
      <c r="Z558" s="4"/>
      <c r="AA558" s="4">
        <f t="shared" si="83"/>
        <v>5000</v>
      </c>
      <c r="AB558" s="1">
        <f t="shared" si="85"/>
        <v>2.7068069512499999</v>
      </c>
      <c r="AC558" s="1">
        <f t="shared" si="86"/>
        <v>0</v>
      </c>
      <c r="AD558" s="1">
        <f t="shared" si="84"/>
        <v>2.7068069512499999</v>
      </c>
      <c r="AE558" s="1"/>
      <c r="AF558" s="1"/>
      <c r="AG558" s="1"/>
      <c r="AH558" s="1">
        <f t="shared" si="87"/>
        <v>2.7068069512499999</v>
      </c>
      <c r="AI558" s="118">
        <f t="shared" si="88"/>
        <v>0</v>
      </c>
    </row>
    <row r="559" spans="1:35" hidden="1" x14ac:dyDescent="0.25">
      <c r="A559" s="30">
        <v>26</v>
      </c>
      <c r="B559" s="5" t="s">
        <v>1816</v>
      </c>
      <c r="C559" s="2" t="s">
        <v>302</v>
      </c>
      <c r="D559" s="2"/>
      <c r="E559" s="2">
        <v>944141</v>
      </c>
      <c r="F559" s="2">
        <v>1940449</v>
      </c>
      <c r="G559" s="2" t="s">
        <v>2145</v>
      </c>
      <c r="H559" s="2" t="s">
        <v>962</v>
      </c>
      <c r="I559" s="2"/>
      <c r="J559" s="2"/>
      <c r="K559" s="2" t="s">
        <v>239</v>
      </c>
      <c r="L559" s="2"/>
      <c r="M559" s="2"/>
      <c r="N559" s="2"/>
      <c r="O559" s="2"/>
      <c r="P559" s="557" t="str">
        <f>CONCATENATE(schedule13[[#This Row],[OD]],"-",schedule13[[#This Row],[ID]],"-",schedule13[[#This Row],[TICKNESS]],"-",schedule13[[#This Row],[GRADE]],"-",schedule13[[#This Row],[FC/NFC]])</f>
        <v>22.23-0-2-ERW 1-</v>
      </c>
      <c r="Q559" s="557"/>
      <c r="R559" s="557"/>
      <c r="S559" s="1">
        <v>22.23</v>
      </c>
      <c r="T559" s="1">
        <v>22.23</v>
      </c>
      <c r="U559" s="6">
        <v>0</v>
      </c>
      <c r="V559" s="1">
        <v>2</v>
      </c>
      <c r="W559" s="23">
        <v>574</v>
      </c>
      <c r="X559" s="23"/>
      <c r="Y559" s="2">
        <v>0</v>
      </c>
      <c r="Z559" s="4"/>
      <c r="AA559" s="4">
        <f t="shared" si="83"/>
        <v>0</v>
      </c>
      <c r="AB559" s="1">
        <f t="shared" si="85"/>
        <v>0</v>
      </c>
      <c r="AC559" s="1">
        <f t="shared" si="86"/>
        <v>0</v>
      </c>
      <c r="AD559" s="1">
        <f t="shared" si="84"/>
        <v>0</v>
      </c>
      <c r="AE559" s="1"/>
      <c r="AF559" s="1">
        <v>0.300792</v>
      </c>
      <c r="AG559" s="1"/>
      <c r="AH559" s="1">
        <f t="shared" si="87"/>
        <v>-0.300792</v>
      </c>
      <c r="AI559" s="118" t="e">
        <f t="shared" si="88"/>
        <v>#DIV/0!</v>
      </c>
    </row>
    <row r="560" spans="1:35" hidden="1" x14ac:dyDescent="0.25">
      <c r="A560" s="30">
        <v>27</v>
      </c>
      <c r="B560" s="5" t="s">
        <v>1816</v>
      </c>
      <c r="C560" s="2" t="s">
        <v>302</v>
      </c>
      <c r="D560" s="2"/>
      <c r="E560" s="2">
        <v>944141</v>
      </c>
      <c r="F560" s="2">
        <v>1940329</v>
      </c>
      <c r="G560" s="2" t="s">
        <v>1419</v>
      </c>
      <c r="H560" s="2" t="s">
        <v>962</v>
      </c>
      <c r="I560" s="2"/>
      <c r="J560" s="2" t="s">
        <v>963</v>
      </c>
      <c r="K560" s="2" t="s">
        <v>239</v>
      </c>
      <c r="L560" s="2"/>
      <c r="M560" s="2"/>
      <c r="N560" s="2"/>
      <c r="O560" s="2"/>
      <c r="P560" s="557" t="str">
        <f>CONCATENATE(schedule13[[#This Row],[OD]],"-",schedule13[[#This Row],[ID]],"-",schedule13[[#This Row],[TICKNESS]],"-",schedule13[[#This Row],[GRADE]],"-",schedule13[[#This Row],[FC/NFC]])</f>
        <v>19.05-0-2.3-ERW 1-PE</v>
      </c>
      <c r="Q560" s="557"/>
      <c r="R560" s="557"/>
      <c r="S560" s="1">
        <v>19.05</v>
      </c>
      <c r="T560" s="1">
        <v>19.05</v>
      </c>
      <c r="U560" s="6">
        <v>0</v>
      </c>
      <c r="V560" s="1">
        <v>2.2999999999999998</v>
      </c>
      <c r="W560" s="23">
        <v>610</v>
      </c>
      <c r="X560" s="23"/>
      <c r="Y560" s="2">
        <v>5000</v>
      </c>
      <c r="Z560" s="4"/>
      <c r="AA560" s="4">
        <f t="shared" si="83"/>
        <v>5000</v>
      </c>
      <c r="AB560" s="1">
        <f t="shared" si="85"/>
        <v>2.8967583162500001</v>
      </c>
      <c r="AC560" s="1">
        <f t="shared" si="86"/>
        <v>0</v>
      </c>
      <c r="AD560" s="1">
        <f t="shared" si="84"/>
        <v>2.8967583162500001</v>
      </c>
      <c r="AE560" s="1"/>
      <c r="AF560" s="1"/>
      <c r="AG560" s="1"/>
      <c r="AH560" s="1">
        <f t="shared" si="87"/>
        <v>2.8967583162500001</v>
      </c>
      <c r="AI560" s="118">
        <f t="shared" si="88"/>
        <v>0</v>
      </c>
    </row>
    <row r="561" spans="1:35" hidden="1" x14ac:dyDescent="0.25">
      <c r="A561" s="30">
        <v>28</v>
      </c>
      <c r="B561" s="5" t="s">
        <v>1816</v>
      </c>
      <c r="C561" s="2" t="s">
        <v>302</v>
      </c>
      <c r="D561" s="2"/>
      <c r="E561" s="2">
        <v>944141</v>
      </c>
      <c r="F561" s="2">
        <v>2270133</v>
      </c>
      <c r="G561" s="2" t="s">
        <v>413</v>
      </c>
      <c r="H561" s="2" t="s">
        <v>962</v>
      </c>
      <c r="I561" s="2"/>
      <c r="J561" s="2" t="s">
        <v>963</v>
      </c>
      <c r="K561" s="2" t="s">
        <v>1867</v>
      </c>
      <c r="L561" s="49" t="s">
        <v>1891</v>
      </c>
      <c r="M561" s="2"/>
      <c r="N561" s="2"/>
      <c r="O561" s="2"/>
      <c r="P561" s="557" t="str">
        <f>CONCATENATE(schedule13[[#This Row],[OD]],"-",schedule13[[#This Row],[ID]],"-",schedule13[[#This Row],[TICKNESS]],"-",schedule13[[#This Row],[GRADE]],"-",schedule13[[#This Row],[FC/NFC]])</f>
        <v>22.23-0-1.6-ERW 1-PE</v>
      </c>
      <c r="Q561" s="557"/>
      <c r="R561" s="557"/>
      <c r="S561" s="1">
        <v>22.23</v>
      </c>
      <c r="T561" s="1">
        <v>22.23</v>
      </c>
      <c r="U561" s="6">
        <v>0</v>
      </c>
      <c r="V561" s="1">
        <v>1.6</v>
      </c>
      <c r="W561" s="23">
        <v>700</v>
      </c>
      <c r="X561" s="23"/>
      <c r="Y561" s="2">
        <v>20000</v>
      </c>
      <c r="Z561" s="4"/>
      <c r="AA561" s="4">
        <f t="shared" si="83"/>
        <v>20000</v>
      </c>
      <c r="AB561" s="1">
        <f t="shared" si="85"/>
        <v>11.392447135999999</v>
      </c>
      <c r="AC561" s="1">
        <f t="shared" si="86"/>
        <v>0</v>
      </c>
      <c r="AD561" s="1">
        <f t="shared" si="84"/>
        <v>11.392447135999999</v>
      </c>
      <c r="AE561" s="1"/>
      <c r="AF561" s="1">
        <v>0.52</v>
      </c>
      <c r="AG561" s="1"/>
      <c r="AH561" s="1">
        <f t="shared" si="87"/>
        <v>10.872447136</v>
      </c>
      <c r="AI561" s="118">
        <f t="shared" si="88"/>
        <v>4.5644275877902131E-2</v>
      </c>
    </row>
    <row r="562" spans="1:35" hidden="1" x14ac:dyDescent="0.25">
      <c r="A562" s="30">
        <v>29</v>
      </c>
      <c r="B562" s="5" t="s">
        <v>1816</v>
      </c>
      <c r="C562" s="2" t="s">
        <v>302</v>
      </c>
      <c r="D562" s="2"/>
      <c r="E562" s="2">
        <v>944141</v>
      </c>
      <c r="F562" s="2">
        <v>1940287</v>
      </c>
      <c r="G562" s="2" t="s">
        <v>605</v>
      </c>
      <c r="H562" s="2" t="s">
        <v>962</v>
      </c>
      <c r="I562" s="2"/>
      <c r="J562" s="2" t="s">
        <v>963</v>
      </c>
      <c r="K562" s="2" t="s">
        <v>239</v>
      </c>
      <c r="L562" s="2"/>
      <c r="M562" s="2"/>
      <c r="N562" s="2"/>
      <c r="O562" s="2"/>
      <c r="P562" s="557" t="str">
        <f>CONCATENATE(schedule13[[#This Row],[OD]],"-",schedule13[[#This Row],[ID]],"-",schedule13[[#This Row],[TICKNESS]],"-",schedule13[[#This Row],[GRADE]],"-",schedule13[[#This Row],[FC/NFC]])</f>
        <v>19.05-0-2-ERW 1-PE</v>
      </c>
      <c r="Q562" s="557"/>
      <c r="R562" s="557"/>
      <c r="S562" s="1">
        <v>19.05</v>
      </c>
      <c r="T562" s="1">
        <v>19.05</v>
      </c>
      <c r="U562" s="6">
        <v>0</v>
      </c>
      <c r="V562" s="1">
        <v>2</v>
      </c>
      <c r="W562" s="23">
        <v>815</v>
      </c>
      <c r="X562" s="23"/>
      <c r="Y562" s="2">
        <v>20000</v>
      </c>
      <c r="Z562" s="4"/>
      <c r="AA562" s="4">
        <f t="shared" si="83"/>
        <v>20000</v>
      </c>
      <c r="AB562" s="1">
        <f t="shared" si="85"/>
        <v>13.70287699</v>
      </c>
      <c r="AC562" s="1">
        <f t="shared" si="86"/>
        <v>0</v>
      </c>
      <c r="AD562" s="1">
        <f t="shared" si="84"/>
        <v>13.70287699</v>
      </c>
      <c r="AE562" s="1"/>
      <c r="AF562" s="1">
        <v>3.8109999999999999</v>
      </c>
      <c r="AG562" s="1"/>
      <c r="AH562" s="1">
        <f t="shared" si="87"/>
        <v>9.8918769900000001</v>
      </c>
      <c r="AI562" s="118">
        <f t="shared" si="88"/>
        <v>0.27811677816134289</v>
      </c>
    </row>
    <row r="563" spans="1:35" hidden="1" x14ac:dyDescent="0.25">
      <c r="A563" s="30">
        <v>30</v>
      </c>
      <c r="B563" s="5" t="s">
        <v>1816</v>
      </c>
      <c r="C563" s="2" t="s">
        <v>302</v>
      </c>
      <c r="D563" s="2"/>
      <c r="E563" s="2">
        <v>944141</v>
      </c>
      <c r="F563" s="2">
        <v>3673011</v>
      </c>
      <c r="G563" s="2" t="s">
        <v>6577</v>
      </c>
      <c r="H563" s="2" t="s">
        <v>962</v>
      </c>
      <c r="I563" s="2"/>
      <c r="J563" s="2" t="s">
        <v>963</v>
      </c>
      <c r="K563" s="2" t="s">
        <v>1867</v>
      </c>
      <c r="L563" s="49" t="s">
        <v>1868</v>
      </c>
      <c r="M563" s="2"/>
      <c r="N563" s="2"/>
      <c r="O563" s="2"/>
      <c r="P563" s="557" t="str">
        <f>CONCATENATE(schedule13[[#This Row],[OD]],"-",schedule13[[#This Row],[ID]],"-",schedule13[[#This Row],[TICKNESS]],"-",schedule13[[#This Row],[GRADE]],"-",schedule13[[#This Row],[FC/NFC]])</f>
        <v>22.23-0-1.6-ERW 1-PE</v>
      </c>
      <c r="Q563" s="557"/>
      <c r="R563" s="557"/>
      <c r="S563" s="1">
        <v>22.23</v>
      </c>
      <c r="T563" s="1">
        <v>22.23</v>
      </c>
      <c r="U563" s="6">
        <v>0</v>
      </c>
      <c r="V563" s="1">
        <v>1.6</v>
      </c>
      <c r="W563" s="23">
        <v>1304</v>
      </c>
      <c r="X563" s="23"/>
      <c r="Y563" s="2">
        <v>10000</v>
      </c>
      <c r="Z563" s="4"/>
      <c r="AA563" s="4">
        <f t="shared" si="83"/>
        <v>10000</v>
      </c>
      <c r="AB563" s="1">
        <f t="shared" si="85"/>
        <v>10.611250760960001</v>
      </c>
      <c r="AC563" s="1">
        <f t="shared" si="86"/>
        <v>0</v>
      </c>
      <c r="AD563" s="1">
        <f t="shared" si="84"/>
        <v>10.611250760960001</v>
      </c>
      <c r="AE563" s="1"/>
      <c r="AF563" s="1"/>
      <c r="AG563" s="1"/>
      <c r="AH563" s="1">
        <f t="shared" si="87"/>
        <v>10.611250760960001</v>
      </c>
      <c r="AI563" s="118">
        <f t="shared" si="88"/>
        <v>0</v>
      </c>
    </row>
    <row r="564" spans="1:35" hidden="1" x14ac:dyDescent="0.25">
      <c r="A564" s="30">
        <v>31</v>
      </c>
      <c r="B564" s="5" t="s">
        <v>1816</v>
      </c>
      <c r="C564" s="2" t="s">
        <v>302</v>
      </c>
      <c r="D564" s="2"/>
      <c r="E564" s="2">
        <v>944141</v>
      </c>
      <c r="F564" s="2">
        <v>3673012</v>
      </c>
      <c r="G564" s="2" t="s">
        <v>1518</v>
      </c>
      <c r="H564" s="2" t="s">
        <v>962</v>
      </c>
      <c r="I564" s="2"/>
      <c r="J564" s="2" t="s">
        <v>963</v>
      </c>
      <c r="K564" s="2" t="s">
        <v>1867</v>
      </c>
      <c r="L564" s="49" t="s">
        <v>1868</v>
      </c>
      <c r="M564" s="2"/>
      <c r="N564" s="2"/>
      <c r="O564" s="2"/>
      <c r="P564" s="557" t="str">
        <f>CONCATENATE(schedule13[[#This Row],[OD]],"-",schedule13[[#This Row],[ID]],"-",schedule13[[#This Row],[TICKNESS]],"-",schedule13[[#This Row],[GRADE]],"-",schedule13[[#This Row],[FC/NFC]])</f>
        <v>22.23-0-1.6-ERW 1-PE</v>
      </c>
      <c r="Q564" s="557"/>
      <c r="R564" s="557"/>
      <c r="S564" s="1">
        <v>22.23</v>
      </c>
      <c r="T564" s="1">
        <v>22.23</v>
      </c>
      <c r="U564" s="6">
        <v>0</v>
      </c>
      <c r="V564" s="1">
        <v>1.6</v>
      </c>
      <c r="W564" s="23">
        <v>949</v>
      </c>
      <c r="X564" s="23"/>
      <c r="Y564" s="2">
        <v>4000</v>
      </c>
      <c r="Z564" s="4"/>
      <c r="AA564" s="4">
        <f t="shared" si="83"/>
        <v>4000</v>
      </c>
      <c r="AB564" s="1">
        <f t="shared" si="85"/>
        <v>3.0889806663040003</v>
      </c>
      <c r="AC564" s="1">
        <f t="shared" si="86"/>
        <v>0</v>
      </c>
      <c r="AD564" s="1">
        <f t="shared" si="84"/>
        <v>3.0889806663040003</v>
      </c>
      <c r="AE564" s="1"/>
      <c r="AF564" s="1">
        <v>3.6821160000000002</v>
      </c>
      <c r="AG564" s="1"/>
      <c r="AH564" s="1">
        <f t="shared" si="87"/>
        <v>-0.59313533369599991</v>
      </c>
      <c r="AI564" s="118">
        <f t="shared" si="88"/>
        <v>1.1920165251165826</v>
      </c>
    </row>
    <row r="565" spans="1:35" hidden="1" x14ac:dyDescent="0.25">
      <c r="A565" s="30">
        <v>32</v>
      </c>
      <c r="B565" s="5" t="s">
        <v>1816</v>
      </c>
      <c r="C565" s="2" t="s">
        <v>302</v>
      </c>
      <c r="D565" s="2"/>
      <c r="E565" s="2">
        <v>944141</v>
      </c>
      <c r="F565" s="2">
        <v>1939986</v>
      </c>
      <c r="G565" s="2" t="s">
        <v>1135</v>
      </c>
      <c r="H565" s="2" t="s">
        <v>962</v>
      </c>
      <c r="I565" s="2"/>
      <c r="J565" s="2" t="s">
        <v>963</v>
      </c>
      <c r="K565" s="2" t="s">
        <v>1867</v>
      </c>
      <c r="L565" s="2"/>
      <c r="M565" s="2"/>
      <c r="N565" s="2"/>
      <c r="O565" s="2"/>
      <c r="P565" s="557" t="str">
        <f>CONCATENATE(schedule13[[#This Row],[OD]],"-",schedule13[[#This Row],[ID]],"-",schedule13[[#This Row],[TICKNESS]],"-",schedule13[[#This Row],[GRADE]],"-",schedule13[[#This Row],[FC/NFC]])</f>
        <v>12.7-0-1.2-ERW 1-PE</v>
      </c>
      <c r="Q565" s="557"/>
      <c r="R565" s="557"/>
      <c r="S565" s="1">
        <v>12.7</v>
      </c>
      <c r="T565" s="1">
        <v>12.7</v>
      </c>
      <c r="U565" s="6">
        <v>0</v>
      </c>
      <c r="V565" s="1">
        <v>1.2</v>
      </c>
      <c r="W565" s="23">
        <v>6000</v>
      </c>
      <c r="X565" s="23"/>
      <c r="Y565" s="2">
        <v>500</v>
      </c>
      <c r="Z565" s="4"/>
      <c r="AA565" s="4">
        <f t="shared" si="83"/>
        <v>500</v>
      </c>
      <c r="AB565" s="1">
        <f t="shared" si="85"/>
        <v>1.0206342000000002</v>
      </c>
      <c r="AC565" s="1">
        <f t="shared" si="86"/>
        <v>0</v>
      </c>
      <c r="AD565" s="1">
        <f t="shared" si="84"/>
        <v>1.0206342000000002</v>
      </c>
      <c r="AE565" s="1"/>
      <c r="AF565" s="1">
        <v>3.6192169999999999</v>
      </c>
      <c r="AG565" s="1"/>
      <c r="AH565" s="1">
        <f t="shared" si="87"/>
        <v>-2.5985828</v>
      </c>
      <c r="AI565" s="118">
        <f t="shared" si="88"/>
        <v>3.546047153818674</v>
      </c>
    </row>
    <row r="566" spans="1:35" hidden="1" x14ac:dyDescent="0.25">
      <c r="A566" s="30">
        <v>33</v>
      </c>
      <c r="B566" s="5" t="s">
        <v>1872</v>
      </c>
      <c r="C566" s="2" t="s">
        <v>302</v>
      </c>
      <c r="D566" s="2"/>
      <c r="E566" s="2">
        <v>944141</v>
      </c>
      <c r="F566" s="2">
        <v>2410963</v>
      </c>
      <c r="G566" s="2" t="s">
        <v>2129</v>
      </c>
      <c r="H566" s="2" t="s">
        <v>357</v>
      </c>
      <c r="I566" s="2"/>
      <c r="J566" s="2" t="s">
        <v>357</v>
      </c>
      <c r="K566" s="2" t="s">
        <v>239</v>
      </c>
      <c r="L566" s="2"/>
      <c r="M566" s="2"/>
      <c r="N566" s="2"/>
      <c r="O566" s="2"/>
      <c r="P566" s="557" t="str">
        <f>CONCATENATE(schedule13[[#This Row],[OD]],"-",schedule13[[#This Row],[ID]],"-",schedule13[[#This Row],[TICKNESS]],"-",schedule13[[#This Row],[GRADE]],"-",schedule13[[#This Row],[FC/NFC]])</f>
        <v>14-10.1-1.95-CEW-CEW</v>
      </c>
      <c r="Q566" s="557"/>
      <c r="R566" s="557"/>
      <c r="S566" s="1">
        <v>14</v>
      </c>
      <c r="T566" s="1">
        <v>14</v>
      </c>
      <c r="U566" s="1">
        <v>10.1</v>
      </c>
      <c r="V566" s="1">
        <v>1.95</v>
      </c>
      <c r="W566" s="23">
        <v>4500</v>
      </c>
      <c r="X566" s="23"/>
      <c r="Y566" s="2">
        <v>667</v>
      </c>
      <c r="Z566" s="4"/>
      <c r="AA566" s="4">
        <f t="shared" si="83"/>
        <v>667</v>
      </c>
      <c r="AB566" s="1">
        <f t="shared" si="85"/>
        <v>1.7387205283012501</v>
      </c>
      <c r="AC566" s="1">
        <f t="shared" si="86"/>
        <v>0</v>
      </c>
      <c r="AD566" s="1">
        <f t="shared" si="84"/>
        <v>1.7387205283012501</v>
      </c>
      <c r="AE566" s="1"/>
      <c r="AF566" s="1">
        <v>1.7411279999999998</v>
      </c>
      <c r="AG566" s="1"/>
      <c r="AH566" s="1">
        <f t="shared" si="87"/>
        <v>-2.4074716987496636E-3</v>
      </c>
      <c r="AI566" s="118">
        <f t="shared" si="88"/>
        <v>1.0013846225770979</v>
      </c>
    </row>
    <row r="567" spans="1:35" hidden="1" x14ac:dyDescent="0.25">
      <c r="A567" s="30">
        <v>34</v>
      </c>
      <c r="B567" s="5" t="s">
        <v>1872</v>
      </c>
      <c r="C567" s="2" t="s">
        <v>302</v>
      </c>
      <c r="D567" s="2"/>
      <c r="E567" s="2">
        <v>944141</v>
      </c>
      <c r="F567" s="2">
        <v>1938191</v>
      </c>
      <c r="G567" s="2" t="s">
        <v>591</v>
      </c>
      <c r="H567" s="2" t="s">
        <v>357</v>
      </c>
      <c r="I567" s="2"/>
      <c r="J567" s="2" t="s">
        <v>357</v>
      </c>
      <c r="K567" s="2" t="s">
        <v>239</v>
      </c>
      <c r="L567" s="2"/>
      <c r="M567" s="2"/>
      <c r="N567" s="2"/>
      <c r="O567" s="2"/>
      <c r="P567" s="557" t="str">
        <f>CONCATENATE(schedule13[[#This Row],[OD]],"-",schedule13[[#This Row],[ID]],"-",schedule13[[#This Row],[TICKNESS]],"-",schedule13[[#This Row],[GRADE]],"-",schedule13[[#This Row],[FC/NFC]])</f>
        <v>19-12.5-3.25-CEW-CEW</v>
      </c>
      <c r="Q567" s="557"/>
      <c r="R567" s="557"/>
      <c r="S567" s="1">
        <v>19.05</v>
      </c>
      <c r="T567" s="1">
        <v>19</v>
      </c>
      <c r="U567" s="1">
        <v>12.5</v>
      </c>
      <c r="V567" s="1">
        <v>3.25</v>
      </c>
      <c r="W567" s="24">
        <v>588</v>
      </c>
      <c r="X567" s="24"/>
      <c r="Y567" s="2">
        <v>10000</v>
      </c>
      <c r="Z567" s="4"/>
      <c r="AA567" s="4">
        <f t="shared" si="83"/>
        <v>10000</v>
      </c>
      <c r="AB567" s="1">
        <f t="shared" si="85"/>
        <v>7.4436775139999991</v>
      </c>
      <c r="AC567" s="1">
        <f t="shared" si="86"/>
        <v>0</v>
      </c>
      <c r="AD567" s="1">
        <f t="shared" si="84"/>
        <v>7.4436775139999991</v>
      </c>
      <c r="AE567" s="1"/>
      <c r="AF567" s="1"/>
      <c r="AG567" s="1"/>
      <c r="AH567" s="1">
        <f t="shared" si="87"/>
        <v>7.4436775139999991</v>
      </c>
      <c r="AI567" s="118">
        <f t="shared" si="88"/>
        <v>0</v>
      </c>
    </row>
    <row r="568" spans="1:35" hidden="1" x14ac:dyDescent="0.25">
      <c r="A568" s="30">
        <v>35</v>
      </c>
      <c r="B568" s="5" t="s">
        <v>1816</v>
      </c>
      <c r="C568" s="2" t="s">
        <v>302</v>
      </c>
      <c r="D568" s="2"/>
      <c r="E568" s="2">
        <v>944141</v>
      </c>
      <c r="F568" s="2">
        <v>1940014</v>
      </c>
      <c r="G568" s="2" t="s">
        <v>448</v>
      </c>
      <c r="H568" s="2" t="s">
        <v>962</v>
      </c>
      <c r="I568" s="2"/>
      <c r="J568" s="2" t="s">
        <v>963</v>
      </c>
      <c r="K568" s="2" t="s">
        <v>1867</v>
      </c>
      <c r="L568" s="2" t="s">
        <v>1881</v>
      </c>
      <c r="M568" s="2"/>
      <c r="N568" s="2"/>
      <c r="O568" s="2"/>
      <c r="P568" s="557" t="str">
        <f>CONCATENATE(schedule13[[#This Row],[OD]],"-",schedule13[[#This Row],[ID]],"-",schedule13[[#This Row],[TICKNESS]],"-",schedule13[[#This Row],[GRADE]],"-",schedule13[[#This Row],[FC/NFC]])</f>
        <v>12.7-0-1.6-ERW 1-PE</v>
      </c>
      <c r="Q568" s="557"/>
      <c r="R568" s="557"/>
      <c r="S568" s="1">
        <v>12.7</v>
      </c>
      <c r="T568" s="1">
        <v>12.7</v>
      </c>
      <c r="U568" s="6">
        <v>0</v>
      </c>
      <c r="V568" s="1">
        <v>1.6</v>
      </c>
      <c r="W568" s="23">
        <v>6000</v>
      </c>
      <c r="X568" s="23"/>
      <c r="Y568" s="2">
        <v>834</v>
      </c>
      <c r="Z568" s="4"/>
      <c r="AA568" s="4">
        <f t="shared" si="83"/>
        <v>834</v>
      </c>
      <c r="AB568" s="1">
        <f t="shared" si="85"/>
        <v>2.1909377491200006</v>
      </c>
      <c r="AC568" s="1">
        <f t="shared" si="86"/>
        <v>0</v>
      </c>
      <c r="AD568" s="1">
        <f t="shared" si="84"/>
        <v>2.1909377491200006</v>
      </c>
      <c r="AE568" s="1"/>
      <c r="AF568" s="1">
        <v>2.7290489999999998</v>
      </c>
      <c r="AG568" s="1"/>
      <c r="AH568" s="1">
        <f t="shared" si="87"/>
        <v>-0.53811125087999923</v>
      </c>
      <c r="AI568" s="118">
        <f t="shared" si="88"/>
        <v>1.2456077317103755</v>
      </c>
    </row>
    <row r="569" spans="1:35" hidden="1" x14ac:dyDescent="0.25">
      <c r="A569" s="30">
        <v>36</v>
      </c>
      <c r="B569" s="5" t="s">
        <v>1816</v>
      </c>
      <c r="C569" s="2" t="s">
        <v>302</v>
      </c>
      <c r="D569" s="2"/>
      <c r="E569" s="2">
        <v>944141</v>
      </c>
      <c r="F569" s="2">
        <v>1940078</v>
      </c>
      <c r="G569" s="2" t="s">
        <v>518</v>
      </c>
      <c r="H569" s="2" t="s">
        <v>962</v>
      </c>
      <c r="I569" s="2"/>
      <c r="J569" s="2" t="s">
        <v>963</v>
      </c>
      <c r="K569" s="2" t="s">
        <v>1867</v>
      </c>
      <c r="L569" s="49" t="s">
        <v>1891</v>
      </c>
      <c r="M569" s="2"/>
      <c r="N569" s="2"/>
      <c r="O569" s="2"/>
      <c r="P569" s="557" t="str">
        <f>CONCATENATE(schedule13[[#This Row],[OD]],"-",schedule13[[#This Row],[ID]],"-",schedule13[[#This Row],[TICKNESS]],"-",schedule13[[#This Row],[GRADE]],"-",schedule13[[#This Row],[FC/NFC]])</f>
        <v>15.88-0-1.6-ERW 1-PE</v>
      </c>
      <c r="Q569" s="557"/>
      <c r="R569" s="557"/>
      <c r="S569" s="1">
        <v>15.88</v>
      </c>
      <c r="T569" s="1">
        <v>15.88</v>
      </c>
      <c r="U569" s="6">
        <v>0</v>
      </c>
      <c r="V569" s="1">
        <v>1.6</v>
      </c>
      <c r="W569" s="23">
        <v>6000</v>
      </c>
      <c r="X569" s="23"/>
      <c r="Y569" s="2">
        <v>1000</v>
      </c>
      <c r="Z569" s="4"/>
      <c r="AA569" s="4">
        <f t="shared" si="83"/>
        <v>1000</v>
      </c>
      <c r="AB569" s="1">
        <f t="shared" si="85"/>
        <v>3.3796304640000008</v>
      </c>
      <c r="AC569" s="1">
        <f t="shared" si="86"/>
        <v>0</v>
      </c>
      <c r="AD569" s="1">
        <f t="shared" si="84"/>
        <v>3.3796304640000008</v>
      </c>
      <c r="AE569" s="1"/>
      <c r="AF569" s="1">
        <v>6.6399299999999997</v>
      </c>
      <c r="AG569" s="1"/>
      <c r="AH569" s="1">
        <f t="shared" si="87"/>
        <v>-3.2602995359999989</v>
      </c>
      <c r="AI569" s="118">
        <f t="shared" si="88"/>
        <v>1.9646911313911029</v>
      </c>
    </row>
    <row r="570" spans="1:35" hidden="1" x14ac:dyDescent="0.25">
      <c r="A570" s="30">
        <v>37</v>
      </c>
      <c r="B570" s="5" t="s">
        <v>1816</v>
      </c>
      <c r="C570" s="2" t="s">
        <v>302</v>
      </c>
      <c r="D570" s="2"/>
      <c r="E570" s="2">
        <v>944141</v>
      </c>
      <c r="F570" s="2">
        <v>1259405</v>
      </c>
      <c r="G570" s="2" t="s">
        <v>2137</v>
      </c>
      <c r="H570" s="2" t="s">
        <v>962</v>
      </c>
      <c r="I570" s="2"/>
      <c r="J570" s="2" t="s">
        <v>963</v>
      </c>
      <c r="K570" s="2" t="s">
        <v>239</v>
      </c>
      <c r="L570" s="2"/>
      <c r="M570" s="2"/>
      <c r="N570" s="2"/>
      <c r="O570" s="2"/>
      <c r="P570" s="557" t="str">
        <f>CONCATENATE(schedule13[[#This Row],[OD]],"-",schedule13[[#This Row],[ID]],"-",schedule13[[#This Row],[TICKNESS]],"-",schedule13[[#This Row],[GRADE]],"-",schedule13[[#This Row],[FC/NFC]])</f>
        <v>19.05-0-2.3-ERW 1-PE</v>
      </c>
      <c r="Q570" s="557"/>
      <c r="R570" s="557"/>
      <c r="S570" s="1">
        <v>19.05</v>
      </c>
      <c r="T570" s="1">
        <v>19.05</v>
      </c>
      <c r="U570" s="6">
        <v>0</v>
      </c>
      <c r="V570" s="1">
        <v>2.2999999999999998</v>
      </c>
      <c r="W570" s="23">
        <v>210</v>
      </c>
      <c r="X570" s="23"/>
      <c r="Y570" s="2">
        <v>2000</v>
      </c>
      <c r="Z570" s="4"/>
      <c r="AA570" s="4">
        <f t="shared" si="83"/>
        <v>2000</v>
      </c>
      <c r="AB570" s="1">
        <f t="shared" si="85"/>
        <v>0.39889786650000003</v>
      </c>
      <c r="AC570" s="1">
        <f t="shared" si="86"/>
        <v>0</v>
      </c>
      <c r="AD570" s="1">
        <f t="shared" si="84"/>
        <v>0.39889786650000003</v>
      </c>
      <c r="AE570" s="1"/>
      <c r="AF570" s="1"/>
      <c r="AG570" s="1"/>
      <c r="AH570" s="1">
        <f t="shared" si="87"/>
        <v>0.39889786650000003</v>
      </c>
      <c r="AI570" s="118">
        <f t="shared" si="88"/>
        <v>0</v>
      </c>
    </row>
    <row r="571" spans="1:35" hidden="1" x14ac:dyDescent="0.25">
      <c r="A571" s="30">
        <v>38</v>
      </c>
      <c r="B571" s="5" t="s">
        <v>1816</v>
      </c>
      <c r="C571" s="2" t="s">
        <v>302</v>
      </c>
      <c r="D571" s="2"/>
      <c r="E571" s="2">
        <v>944141</v>
      </c>
      <c r="F571" s="2">
        <v>3673948</v>
      </c>
      <c r="G571" s="2" t="s">
        <v>2153</v>
      </c>
      <c r="H571" s="2"/>
      <c r="I571" s="2"/>
      <c r="J571" s="2"/>
      <c r="K571" s="2" t="s">
        <v>239</v>
      </c>
      <c r="L571" s="2"/>
      <c r="M571" s="2"/>
      <c r="N571" s="2"/>
      <c r="O571" s="2"/>
      <c r="P571" s="557" t="str">
        <f>CONCATENATE(schedule13[[#This Row],[OD]],"-",schedule13[[#This Row],[ID]],"-",schedule13[[#This Row],[TICKNESS]],"-",schedule13[[#This Row],[GRADE]],"-",schedule13[[#This Row],[FC/NFC]])</f>
        <v>22.23-0-2.3--</v>
      </c>
      <c r="Q571" s="557"/>
      <c r="R571" s="557"/>
      <c r="S571" s="1">
        <v>22.23</v>
      </c>
      <c r="T571" s="1">
        <v>22.23</v>
      </c>
      <c r="U571" s="6">
        <v>0</v>
      </c>
      <c r="V571" s="1">
        <v>2.2999999999999998</v>
      </c>
      <c r="W571" s="23">
        <v>245</v>
      </c>
      <c r="X571" s="23"/>
      <c r="Y571" s="2">
        <v>0</v>
      </c>
      <c r="Z571" s="4"/>
      <c r="AA571" s="4">
        <f t="shared" si="83"/>
        <v>0</v>
      </c>
      <c r="AB571" s="1">
        <f t="shared" si="85"/>
        <v>0</v>
      </c>
      <c r="AC571" s="1">
        <f t="shared" si="86"/>
        <v>0</v>
      </c>
      <c r="AD571" s="1">
        <f t="shared" si="84"/>
        <v>0</v>
      </c>
      <c r="AE571" s="1"/>
      <c r="AF571" s="1"/>
      <c r="AG571" s="1"/>
      <c r="AH571" s="1">
        <f t="shared" si="87"/>
        <v>0</v>
      </c>
      <c r="AI571" s="118" t="e">
        <f t="shared" si="88"/>
        <v>#DIV/0!</v>
      </c>
    </row>
    <row r="572" spans="1:35" hidden="1" x14ac:dyDescent="0.25">
      <c r="A572" s="30">
        <v>39</v>
      </c>
      <c r="B572" s="5" t="s">
        <v>1816</v>
      </c>
      <c r="C572" s="2" t="s">
        <v>302</v>
      </c>
      <c r="D572" s="2"/>
      <c r="E572" s="2">
        <v>944141</v>
      </c>
      <c r="F572" s="2">
        <v>477006</v>
      </c>
      <c r="G572" s="2" t="s">
        <v>2139</v>
      </c>
      <c r="H572" s="2" t="s">
        <v>962</v>
      </c>
      <c r="I572" s="2"/>
      <c r="J572" s="2"/>
      <c r="K572" s="2" t="s">
        <v>239</v>
      </c>
      <c r="L572" s="2"/>
      <c r="M572" s="2"/>
      <c r="N572" s="2"/>
      <c r="O572" s="2"/>
      <c r="P572" s="557" t="str">
        <f>CONCATENATE(schedule13[[#This Row],[OD]],"-",schedule13[[#This Row],[ID]],"-",schedule13[[#This Row],[TICKNESS]],"-",schedule13[[#This Row],[GRADE]],"-",schedule13[[#This Row],[FC/NFC]])</f>
        <v>19.05-0-2.34-ERW 1-</v>
      </c>
      <c r="Q572" s="557"/>
      <c r="R572" s="557"/>
      <c r="S572" s="1">
        <v>19.05</v>
      </c>
      <c r="T572" s="1">
        <v>19.05</v>
      </c>
      <c r="U572" s="6">
        <v>0</v>
      </c>
      <c r="V572" s="1">
        <v>2.34</v>
      </c>
      <c r="W572" s="23">
        <v>245</v>
      </c>
      <c r="X572" s="23"/>
      <c r="Y572" s="2">
        <v>0</v>
      </c>
      <c r="Z572" s="4"/>
      <c r="AA572" s="4">
        <f t="shared" si="83"/>
        <v>0</v>
      </c>
      <c r="AB572" s="1">
        <f t="shared" si="85"/>
        <v>0</v>
      </c>
      <c r="AC572" s="1">
        <f t="shared" ref="AC572:AC591" si="89">(S572-V572)*V572*W572*0.024653*Z572/1000000</f>
        <v>0</v>
      </c>
      <c r="AD572" s="1">
        <f t="shared" si="84"/>
        <v>0</v>
      </c>
      <c r="AE572" s="1"/>
      <c r="AF572" s="1"/>
      <c r="AG572" s="1"/>
      <c r="AH572" s="1">
        <f t="shared" si="87"/>
        <v>0</v>
      </c>
      <c r="AI572" s="118" t="e">
        <f t="shared" si="88"/>
        <v>#DIV/0!</v>
      </c>
    </row>
    <row r="573" spans="1:35" hidden="1" x14ac:dyDescent="0.25">
      <c r="A573" s="30">
        <v>40</v>
      </c>
      <c r="B573" s="5" t="s">
        <v>1816</v>
      </c>
      <c r="C573" s="2" t="s">
        <v>302</v>
      </c>
      <c r="D573" s="2"/>
      <c r="E573" s="2">
        <v>944141</v>
      </c>
      <c r="F573" s="2">
        <v>1932848</v>
      </c>
      <c r="G573" s="2" t="s">
        <v>426</v>
      </c>
      <c r="H573" s="2" t="s">
        <v>962</v>
      </c>
      <c r="I573" s="2"/>
      <c r="J573" s="2" t="s">
        <v>963</v>
      </c>
      <c r="K573" s="2" t="s">
        <v>1867</v>
      </c>
      <c r="L573" s="49" t="s">
        <v>1883</v>
      </c>
      <c r="M573" s="2"/>
      <c r="N573" s="2"/>
      <c r="O573" s="2"/>
      <c r="P573" s="557" t="str">
        <f>CONCATENATE(schedule13[[#This Row],[OD]],"-",schedule13[[#This Row],[ID]],"-",schedule13[[#This Row],[TICKNESS]],"-",schedule13[[#This Row],[GRADE]],"-",schedule13[[#This Row],[FC/NFC]])</f>
        <v>12.7-0-1.6-ERW 1-PE</v>
      </c>
      <c r="Q573" s="557"/>
      <c r="R573" s="557"/>
      <c r="S573" s="1">
        <v>12.7</v>
      </c>
      <c r="T573" s="1">
        <v>12.7</v>
      </c>
      <c r="U573" s="6">
        <v>0</v>
      </c>
      <c r="V573" s="1">
        <v>1.6</v>
      </c>
      <c r="W573" s="23">
        <v>260</v>
      </c>
      <c r="X573" s="23"/>
      <c r="Y573" s="2">
        <v>25000</v>
      </c>
      <c r="Z573" s="4"/>
      <c r="AA573" s="4">
        <f t="shared" si="83"/>
        <v>25000</v>
      </c>
      <c r="AB573" s="1">
        <f t="shared" si="85"/>
        <v>2.8459423200000002</v>
      </c>
      <c r="AC573" s="1">
        <f t="shared" si="89"/>
        <v>0</v>
      </c>
      <c r="AD573" s="1">
        <f t="shared" si="84"/>
        <v>2.8459423200000002</v>
      </c>
      <c r="AE573" s="1"/>
      <c r="AF573" s="1">
        <v>5.6000000000000001E-2</v>
      </c>
      <c r="AG573" s="1"/>
      <c r="AH573" s="1">
        <f t="shared" si="87"/>
        <v>2.7899423200000002</v>
      </c>
      <c r="AI573" s="118">
        <f t="shared" si="88"/>
        <v>1.9677138080577822E-2</v>
      </c>
    </row>
    <row r="574" spans="1:35" hidden="1" x14ac:dyDescent="0.25">
      <c r="A574" s="30">
        <v>41</v>
      </c>
      <c r="B574" s="5" t="s">
        <v>1816</v>
      </c>
      <c r="C574" s="2" t="s">
        <v>302</v>
      </c>
      <c r="D574" s="2"/>
      <c r="E574" s="2">
        <v>944141</v>
      </c>
      <c r="F574" s="2">
        <v>1156869</v>
      </c>
      <c r="G574" s="2" t="s">
        <v>2150</v>
      </c>
      <c r="H574" s="2"/>
      <c r="I574" s="2"/>
      <c r="J574" s="2"/>
      <c r="K574" s="2" t="s">
        <v>239</v>
      </c>
      <c r="L574" s="2"/>
      <c r="M574" s="2"/>
      <c r="N574" s="2"/>
      <c r="O574" s="2"/>
      <c r="P574" s="557" t="str">
        <f>CONCATENATE(schedule13[[#This Row],[OD]],"-",schedule13[[#This Row],[ID]],"-",schedule13[[#This Row],[TICKNESS]],"-",schedule13[[#This Row],[GRADE]],"-",schedule13[[#This Row],[FC/NFC]])</f>
        <v>19.05-0-2--</v>
      </c>
      <c r="Q574" s="557"/>
      <c r="R574" s="557"/>
      <c r="S574" s="1">
        <v>19.05</v>
      </c>
      <c r="T574" s="1">
        <v>19.05</v>
      </c>
      <c r="U574" s="6">
        <v>0</v>
      </c>
      <c r="V574" s="1">
        <v>2</v>
      </c>
      <c r="W574" s="23">
        <v>271</v>
      </c>
      <c r="X574" s="23"/>
      <c r="Y574" s="2">
        <v>0</v>
      </c>
      <c r="Z574" s="4"/>
      <c r="AA574" s="4">
        <f t="shared" si="83"/>
        <v>0</v>
      </c>
      <c r="AB574" s="1">
        <f t="shared" si="85"/>
        <v>0</v>
      </c>
      <c r="AC574" s="1">
        <f t="shared" si="89"/>
        <v>0</v>
      </c>
      <c r="AD574" s="1">
        <f t="shared" si="84"/>
        <v>0</v>
      </c>
      <c r="AE574" s="1"/>
      <c r="AF574" s="1"/>
      <c r="AG574" s="1"/>
      <c r="AH574" s="1">
        <f t="shared" si="87"/>
        <v>0</v>
      </c>
      <c r="AI574" s="118" t="e">
        <f t="shared" si="88"/>
        <v>#DIV/0!</v>
      </c>
    </row>
    <row r="575" spans="1:35" hidden="1" x14ac:dyDescent="0.25">
      <c r="A575" s="30">
        <v>42</v>
      </c>
      <c r="B575" s="5" t="s">
        <v>1816</v>
      </c>
      <c r="C575" s="2" t="s">
        <v>302</v>
      </c>
      <c r="D575" s="2"/>
      <c r="E575" s="2">
        <v>944141</v>
      </c>
      <c r="F575" s="2">
        <v>1939963</v>
      </c>
      <c r="G575" s="2" t="s">
        <v>399</v>
      </c>
      <c r="H575" s="2" t="s">
        <v>962</v>
      </c>
      <c r="I575" s="2"/>
      <c r="J575" s="2" t="s">
        <v>963</v>
      </c>
      <c r="K575" s="2" t="s">
        <v>1867</v>
      </c>
      <c r="L575" s="2"/>
      <c r="M575" s="2"/>
      <c r="N575" s="2"/>
      <c r="O575" s="2"/>
      <c r="P575" s="557" t="str">
        <f>CONCATENATE(schedule13[[#This Row],[OD]],"-",schedule13[[#This Row],[ID]],"-",schedule13[[#This Row],[TICKNESS]],"-",schedule13[[#This Row],[GRADE]],"-",schedule13[[#This Row],[FC/NFC]])</f>
        <v>12.7-0-1.2-ERW 1-PE</v>
      </c>
      <c r="Q575" s="557"/>
      <c r="R575" s="557"/>
      <c r="S575" s="1">
        <v>12.7</v>
      </c>
      <c r="T575" s="1">
        <v>12.7</v>
      </c>
      <c r="U575" s="6">
        <v>0</v>
      </c>
      <c r="V575" s="1">
        <v>1.2</v>
      </c>
      <c r="W575" s="23">
        <v>278</v>
      </c>
      <c r="X575" s="23"/>
      <c r="Y575" s="2">
        <v>20000</v>
      </c>
      <c r="Z575" s="4"/>
      <c r="AA575" s="4">
        <f t="shared" si="83"/>
        <v>20000</v>
      </c>
      <c r="AB575" s="1">
        <f t="shared" si="85"/>
        <v>1.8915753839999998</v>
      </c>
      <c r="AC575" s="1">
        <f t="shared" si="89"/>
        <v>0</v>
      </c>
      <c r="AD575" s="1">
        <f t="shared" si="84"/>
        <v>1.8915753839999998</v>
      </c>
      <c r="AE575" s="1"/>
      <c r="AF575" s="1">
        <v>1.3260000000000001</v>
      </c>
      <c r="AG575" s="1"/>
      <c r="AH575" s="1">
        <f t="shared" si="87"/>
        <v>0.56557538399999974</v>
      </c>
      <c r="AI575" s="118">
        <f t="shared" si="88"/>
        <v>0.70100299000296162</v>
      </c>
    </row>
    <row r="576" spans="1:35" hidden="1" x14ac:dyDescent="0.25">
      <c r="A576" s="30">
        <v>43</v>
      </c>
      <c r="B576" s="5" t="s">
        <v>1816</v>
      </c>
      <c r="C576" s="2" t="s">
        <v>302</v>
      </c>
      <c r="D576" s="2"/>
      <c r="E576" s="2">
        <v>944141</v>
      </c>
      <c r="F576" s="2">
        <v>3669081</v>
      </c>
      <c r="G576" s="2" t="s">
        <v>1452</v>
      </c>
      <c r="H576" s="2"/>
      <c r="I576" s="2"/>
      <c r="J576" s="2"/>
      <c r="K576" s="2" t="s">
        <v>239</v>
      </c>
      <c r="L576" s="2"/>
      <c r="M576" s="2"/>
      <c r="N576" s="2"/>
      <c r="O576" s="2"/>
      <c r="P576" s="557" t="str">
        <f>CONCATENATE(schedule13[[#This Row],[OD]],"-",schedule13[[#This Row],[ID]],"-",schedule13[[#This Row],[TICKNESS]],"-",schedule13[[#This Row],[GRADE]],"-",schedule13[[#This Row],[FC/NFC]])</f>
        <v>22.23-0-1.2--</v>
      </c>
      <c r="Q576" s="557"/>
      <c r="R576" s="557"/>
      <c r="S576" s="1">
        <v>22.23</v>
      </c>
      <c r="T576" s="1">
        <v>22.23</v>
      </c>
      <c r="U576" s="6">
        <v>0</v>
      </c>
      <c r="V576" s="1">
        <v>1.2</v>
      </c>
      <c r="W576" s="23">
        <v>1300</v>
      </c>
      <c r="X576" s="23"/>
      <c r="Y576" s="2">
        <v>0</v>
      </c>
      <c r="Z576" s="4"/>
      <c r="AA576" s="4">
        <f t="shared" si="83"/>
        <v>0</v>
      </c>
      <c r="AB576" s="1">
        <f t="shared" si="85"/>
        <v>0</v>
      </c>
      <c r="AC576" s="1">
        <f t="shared" si="89"/>
        <v>0</v>
      </c>
      <c r="AD576" s="1">
        <f t="shared" si="84"/>
        <v>0</v>
      </c>
      <c r="AE576" s="1"/>
      <c r="AF576" s="1"/>
      <c r="AG576" s="1"/>
      <c r="AH576" s="1">
        <f t="shared" si="87"/>
        <v>0</v>
      </c>
      <c r="AI576" s="118" t="e">
        <f t="shared" si="88"/>
        <v>#DIV/0!</v>
      </c>
    </row>
    <row r="577" spans="1:40" hidden="1" x14ac:dyDescent="0.25">
      <c r="A577" s="30">
        <v>44</v>
      </c>
      <c r="B577" s="5" t="s">
        <v>1816</v>
      </c>
      <c r="C577" s="2" t="s">
        <v>302</v>
      </c>
      <c r="D577" s="2"/>
      <c r="E577" s="2">
        <v>944141</v>
      </c>
      <c r="F577" s="2">
        <v>1939994</v>
      </c>
      <c r="G577" s="2" t="s">
        <v>431</v>
      </c>
      <c r="H577" s="2" t="s">
        <v>962</v>
      </c>
      <c r="I577" s="2"/>
      <c r="J577" s="2" t="s">
        <v>963</v>
      </c>
      <c r="K577" s="2" t="s">
        <v>1867</v>
      </c>
      <c r="L577" s="2" t="s">
        <v>1881</v>
      </c>
      <c r="M577" s="2"/>
      <c r="N577" s="2"/>
      <c r="O577" s="2"/>
      <c r="P577" s="557" t="str">
        <f>CONCATENATE(schedule13[[#This Row],[OD]],"-",schedule13[[#This Row],[ID]],"-",schedule13[[#This Row],[TICKNESS]],"-",schedule13[[#This Row],[GRADE]],"-",schedule13[[#This Row],[FC/NFC]])</f>
        <v>12.7-0-1.6-ERW 1-PE</v>
      </c>
      <c r="Q577" s="557"/>
      <c r="R577" s="557"/>
      <c r="S577" s="1">
        <v>12.7</v>
      </c>
      <c r="T577" s="1">
        <v>12.7</v>
      </c>
      <c r="U577" s="6">
        <v>0</v>
      </c>
      <c r="V577" s="1">
        <v>1.6</v>
      </c>
      <c r="W577" s="23">
        <v>280</v>
      </c>
      <c r="X577" s="23"/>
      <c r="Y577" s="2">
        <v>20000</v>
      </c>
      <c r="Z577" s="4"/>
      <c r="AA577" s="4">
        <f t="shared" si="83"/>
        <v>20000</v>
      </c>
      <c r="AB577" s="1">
        <f t="shared" si="85"/>
        <v>2.4518887680000003</v>
      </c>
      <c r="AC577" s="1">
        <f t="shared" si="89"/>
        <v>0</v>
      </c>
      <c r="AD577" s="1">
        <f t="shared" si="84"/>
        <v>2.4518887680000003</v>
      </c>
      <c r="AE577" s="1"/>
      <c r="AF577" s="1"/>
      <c r="AG577" s="1"/>
      <c r="AH577" s="1">
        <f t="shared" si="87"/>
        <v>2.4518887680000003</v>
      </c>
      <c r="AI577" s="118">
        <f t="shared" si="88"/>
        <v>0</v>
      </c>
    </row>
    <row r="578" spans="1:40" hidden="1" x14ac:dyDescent="0.25">
      <c r="A578" s="30">
        <v>45</v>
      </c>
      <c r="B578" s="5" t="s">
        <v>1816</v>
      </c>
      <c r="C578" s="2" t="s">
        <v>302</v>
      </c>
      <c r="D578" s="2"/>
      <c r="E578" s="2">
        <v>944141</v>
      </c>
      <c r="F578" s="2">
        <v>3747393</v>
      </c>
      <c r="G578" s="2" t="s">
        <v>608</v>
      </c>
      <c r="H578" s="2" t="s">
        <v>962</v>
      </c>
      <c r="I578" s="2"/>
      <c r="J578" s="2" t="s">
        <v>963</v>
      </c>
      <c r="K578" s="2" t="s">
        <v>1867</v>
      </c>
      <c r="L578" s="2"/>
      <c r="M578" s="2"/>
      <c r="N578" s="2"/>
      <c r="O578" s="2"/>
      <c r="P578" s="557" t="str">
        <f>CONCATENATE(schedule13[[#This Row],[OD]],"-",schedule13[[#This Row],[ID]],"-",schedule13[[#This Row],[TICKNESS]],"-",schedule13[[#This Row],[GRADE]],"-",schedule13[[#This Row],[FC/NFC]])</f>
        <v>22.23-0-1.2-ERW 1-PE</v>
      </c>
      <c r="Q578" s="557"/>
      <c r="R578" s="557"/>
      <c r="S578" s="1">
        <v>22.23</v>
      </c>
      <c r="T578" s="1">
        <v>22.23</v>
      </c>
      <c r="U578" s="6">
        <v>0</v>
      </c>
      <c r="V578" s="1">
        <v>1.2</v>
      </c>
      <c r="W578" s="23">
        <v>1308</v>
      </c>
      <c r="X578" s="23"/>
      <c r="Y578" s="2">
        <v>5000</v>
      </c>
      <c r="Z578" s="4"/>
      <c r="AA578" s="4">
        <f t="shared" si="83"/>
        <v>5000</v>
      </c>
      <c r="AB578" s="1">
        <f t="shared" si="85"/>
        <v>4.0688159263200001</v>
      </c>
      <c r="AC578" s="1">
        <f t="shared" si="89"/>
        <v>0</v>
      </c>
      <c r="AD578" s="1">
        <f t="shared" si="84"/>
        <v>4.0688159263200001</v>
      </c>
      <c r="AE578" s="1"/>
      <c r="AF578" s="1"/>
      <c r="AG578" s="1"/>
      <c r="AH578" s="1">
        <f t="shared" si="87"/>
        <v>4.0688159263200001</v>
      </c>
      <c r="AI578" s="118">
        <f t="shared" si="88"/>
        <v>0</v>
      </c>
    </row>
    <row r="579" spans="1:40" hidden="1" x14ac:dyDescent="0.25">
      <c r="A579" s="30">
        <v>46</v>
      </c>
      <c r="B579" s="5" t="s">
        <v>1816</v>
      </c>
      <c r="C579" s="2" t="s">
        <v>302</v>
      </c>
      <c r="D579" s="2"/>
      <c r="E579" s="2">
        <v>944141</v>
      </c>
      <c r="F579" s="2">
        <v>1902768</v>
      </c>
      <c r="G579" s="2" t="s">
        <v>2144</v>
      </c>
      <c r="H579" s="2" t="s">
        <v>962</v>
      </c>
      <c r="I579" s="2"/>
      <c r="J579" s="2"/>
      <c r="K579" s="2" t="s">
        <v>239</v>
      </c>
      <c r="L579" s="2"/>
      <c r="M579" s="2"/>
      <c r="N579" s="2"/>
      <c r="O579" s="2"/>
      <c r="P579" s="557" t="str">
        <f>CONCATENATE(schedule13[[#This Row],[OD]],"-",schedule13[[#This Row],[ID]],"-",schedule13[[#This Row],[TICKNESS]],"-",schedule13[[#This Row],[GRADE]],"-",schedule13[[#This Row],[FC/NFC]])</f>
        <v>22.23-0-2-ERW 1-</v>
      </c>
      <c r="Q579" s="557"/>
      <c r="R579" s="557"/>
      <c r="S579" s="1">
        <v>22.23</v>
      </c>
      <c r="T579" s="1">
        <v>22.23</v>
      </c>
      <c r="U579" s="6">
        <v>0</v>
      </c>
      <c r="V579" s="1">
        <v>2</v>
      </c>
      <c r="W579" s="23">
        <v>305</v>
      </c>
      <c r="X579" s="23"/>
      <c r="Y579" s="2">
        <v>0</v>
      </c>
      <c r="Z579" s="4"/>
      <c r="AA579" s="4">
        <f t="shared" si="83"/>
        <v>0</v>
      </c>
      <c r="AB579" s="1">
        <f t="shared" si="85"/>
        <v>0</v>
      </c>
      <c r="AC579" s="1">
        <f t="shared" si="89"/>
        <v>0</v>
      </c>
      <c r="AD579" s="1">
        <f t="shared" si="84"/>
        <v>0</v>
      </c>
      <c r="AE579" s="1"/>
      <c r="AF579" s="1"/>
      <c r="AG579" s="1"/>
      <c r="AH579" s="1">
        <f t="shared" si="87"/>
        <v>0</v>
      </c>
      <c r="AI579" s="118" t="e">
        <f t="shared" si="88"/>
        <v>#DIV/0!</v>
      </c>
    </row>
    <row r="580" spans="1:40" hidden="1" x14ac:dyDescent="0.25">
      <c r="A580" s="30">
        <v>47</v>
      </c>
      <c r="B580" s="5" t="s">
        <v>1816</v>
      </c>
      <c r="C580" s="2" t="s">
        <v>302</v>
      </c>
      <c r="D580" s="2"/>
      <c r="E580" s="2">
        <v>944141</v>
      </c>
      <c r="F580" s="2">
        <v>1936862</v>
      </c>
      <c r="G580" s="2" t="s">
        <v>2146</v>
      </c>
      <c r="H580" s="2" t="s">
        <v>962</v>
      </c>
      <c r="I580" s="2"/>
      <c r="J580" s="2"/>
      <c r="K580" s="2" t="s">
        <v>239</v>
      </c>
      <c r="L580" s="2"/>
      <c r="M580" s="2"/>
      <c r="N580" s="2"/>
      <c r="O580" s="2"/>
      <c r="P580" s="557" t="str">
        <f>CONCATENATE(schedule13[[#This Row],[OD]],"-",schedule13[[#This Row],[ID]],"-",schedule13[[#This Row],[TICKNESS]],"-",schedule13[[#This Row],[GRADE]],"-",schedule13[[#This Row],[FC/NFC]])</f>
        <v>22.23-0-2-ERW 1-</v>
      </c>
      <c r="Q580" s="557"/>
      <c r="R580" s="557"/>
      <c r="S580" s="1">
        <v>22.23</v>
      </c>
      <c r="T580" s="1">
        <v>22.23</v>
      </c>
      <c r="U580" s="6">
        <v>0</v>
      </c>
      <c r="V580" s="1">
        <v>2</v>
      </c>
      <c r="W580" s="23">
        <v>805</v>
      </c>
      <c r="X580" s="23"/>
      <c r="Y580" s="2">
        <v>0</v>
      </c>
      <c r="Z580" s="4"/>
      <c r="AA580" s="4">
        <f t="shared" ref="AA580:AA591" si="90">Y580-Z580</f>
        <v>0</v>
      </c>
      <c r="AB580" s="1">
        <f t="shared" si="85"/>
        <v>0</v>
      </c>
      <c r="AC580" s="1">
        <f t="shared" si="89"/>
        <v>0</v>
      </c>
      <c r="AD580" s="1">
        <f t="shared" ref="AD580:AD591" si="91">AB580-AC580</f>
        <v>0</v>
      </c>
      <c r="AE580" s="1"/>
      <c r="AF580" s="1"/>
      <c r="AG580" s="1"/>
      <c r="AH580" s="1">
        <f t="shared" si="87"/>
        <v>0</v>
      </c>
      <c r="AI580" s="118" t="e">
        <f t="shared" si="88"/>
        <v>#DIV/0!</v>
      </c>
    </row>
    <row r="581" spans="1:40" hidden="1" x14ac:dyDescent="0.25">
      <c r="A581" s="30">
        <v>48</v>
      </c>
      <c r="B581" s="5" t="s">
        <v>1816</v>
      </c>
      <c r="C581" s="2" t="s">
        <v>302</v>
      </c>
      <c r="D581" s="2"/>
      <c r="E581" s="2">
        <v>944141</v>
      </c>
      <c r="F581" s="2">
        <v>1940043</v>
      </c>
      <c r="G581" s="2" t="s">
        <v>486</v>
      </c>
      <c r="H581" s="2" t="s">
        <v>962</v>
      </c>
      <c r="I581" s="2"/>
      <c r="J581" s="2" t="s">
        <v>963</v>
      </c>
      <c r="K581" s="2" t="s">
        <v>1867</v>
      </c>
      <c r="L581" s="2"/>
      <c r="M581" s="2"/>
      <c r="N581" s="2"/>
      <c r="O581" s="2"/>
      <c r="P581" s="557" t="str">
        <f>CONCATENATE(schedule13[[#This Row],[OD]],"-",schedule13[[#This Row],[ID]],"-",schedule13[[#This Row],[TICKNESS]],"-",schedule13[[#This Row],[GRADE]],"-",schedule13[[#This Row],[FC/NFC]])</f>
        <v>15.88-0-1.2-ERW 1-PE</v>
      </c>
      <c r="Q581" s="557"/>
      <c r="R581" s="557"/>
      <c r="S581" s="1">
        <v>15.88</v>
      </c>
      <c r="T581" s="1">
        <v>15.88</v>
      </c>
      <c r="U581" s="6">
        <v>0</v>
      </c>
      <c r="V581" s="1">
        <v>1.2</v>
      </c>
      <c r="W581" s="23">
        <v>888</v>
      </c>
      <c r="X581" s="23"/>
      <c r="Y581" s="2">
        <v>15000</v>
      </c>
      <c r="Z581" s="4"/>
      <c r="AA581" s="4">
        <f t="shared" si="90"/>
        <v>15000</v>
      </c>
      <c r="AB581" s="1">
        <f t="shared" si="85"/>
        <v>5.7847061433600002</v>
      </c>
      <c r="AC581" s="1">
        <f t="shared" si="89"/>
        <v>0</v>
      </c>
      <c r="AD581" s="1">
        <f t="shared" si="91"/>
        <v>5.7847061433600002</v>
      </c>
      <c r="AE581" s="1"/>
      <c r="AF581" s="1">
        <v>4.6404480000000001</v>
      </c>
      <c r="AG581" s="1"/>
      <c r="AH581" s="1">
        <f t="shared" si="87"/>
        <v>1.1442581433600001</v>
      </c>
      <c r="AI581" s="118">
        <f t="shared" si="88"/>
        <v>0.80219252024176857</v>
      </c>
    </row>
    <row r="582" spans="1:40" hidden="1" x14ac:dyDescent="0.25">
      <c r="A582" s="30">
        <v>49</v>
      </c>
      <c r="B582" s="5" t="s">
        <v>1816</v>
      </c>
      <c r="C582" s="2" t="s">
        <v>302</v>
      </c>
      <c r="D582" s="2"/>
      <c r="E582" s="2">
        <v>944141</v>
      </c>
      <c r="F582" s="2">
        <v>451367</v>
      </c>
      <c r="G582" s="2" t="s">
        <v>2152</v>
      </c>
      <c r="H582" s="2"/>
      <c r="I582" s="2"/>
      <c r="J582" s="2"/>
      <c r="K582" s="2" t="s">
        <v>239</v>
      </c>
      <c r="L582" s="2"/>
      <c r="M582" s="2"/>
      <c r="N582" s="2"/>
      <c r="O582" s="2"/>
      <c r="P582" s="557" t="str">
        <f>CONCATENATE(schedule13[[#This Row],[OD]],"-",schedule13[[#This Row],[ID]],"-",schedule13[[#This Row],[TICKNESS]],"-",schedule13[[#This Row],[GRADE]],"-",schedule13[[#This Row],[FC/NFC]])</f>
        <v>19.05-0-2--</v>
      </c>
      <c r="Q582" s="557"/>
      <c r="R582" s="557"/>
      <c r="S582" s="1">
        <v>19.05</v>
      </c>
      <c r="T582" s="1">
        <v>19.05</v>
      </c>
      <c r="U582" s="6">
        <v>0</v>
      </c>
      <c r="V582" s="1">
        <v>2</v>
      </c>
      <c r="W582" s="23">
        <v>925</v>
      </c>
      <c r="X582" s="23"/>
      <c r="Y582" s="2">
        <v>0</v>
      </c>
      <c r="Z582" s="4"/>
      <c r="AA582" s="4">
        <f t="shared" si="90"/>
        <v>0</v>
      </c>
      <c r="AB582" s="1">
        <f t="shared" si="85"/>
        <v>0</v>
      </c>
      <c r="AC582" s="1">
        <f t="shared" si="89"/>
        <v>0</v>
      </c>
      <c r="AD582" s="1">
        <f t="shared" si="91"/>
        <v>0</v>
      </c>
      <c r="AE582" s="1"/>
      <c r="AF582" s="1"/>
      <c r="AG582" s="1"/>
      <c r="AH582" s="1">
        <f t="shared" si="87"/>
        <v>0</v>
      </c>
      <c r="AI582" s="118" t="e">
        <f t="shared" si="88"/>
        <v>#DIV/0!</v>
      </c>
    </row>
    <row r="583" spans="1:40" hidden="1" x14ac:dyDescent="0.25">
      <c r="A583" s="30">
        <v>50</v>
      </c>
      <c r="B583" s="5" t="s">
        <v>1816</v>
      </c>
      <c r="C583" s="2" t="s">
        <v>302</v>
      </c>
      <c r="D583" s="2"/>
      <c r="E583" s="2">
        <v>944141</v>
      </c>
      <c r="F583" s="9">
        <v>3499307</v>
      </c>
      <c r="G583" s="9" t="s">
        <v>1384</v>
      </c>
      <c r="H583" s="2"/>
      <c r="I583" s="2"/>
      <c r="J583" s="2"/>
      <c r="K583" s="2" t="s">
        <v>239</v>
      </c>
      <c r="L583" s="2"/>
      <c r="M583" s="2"/>
      <c r="N583" s="2"/>
      <c r="O583" s="2"/>
      <c r="P583" s="557" t="str">
        <f>CONCATENATE(schedule13[[#This Row],[OD]],"-",schedule13[[#This Row],[ID]],"-",schedule13[[#This Row],[TICKNESS]],"-",schedule13[[#This Row],[GRADE]],"-",schedule13[[#This Row],[FC/NFC]])</f>
        <v>19.05-0-2--</v>
      </c>
      <c r="Q583" s="557"/>
      <c r="R583" s="557"/>
      <c r="S583" s="1">
        <v>19.05</v>
      </c>
      <c r="T583" s="1">
        <v>19.05</v>
      </c>
      <c r="U583" s="6">
        <v>0</v>
      </c>
      <c r="V583" s="1">
        <v>2</v>
      </c>
      <c r="W583" s="23">
        <v>6000</v>
      </c>
      <c r="X583" s="23"/>
      <c r="Y583" s="2">
        <v>0</v>
      </c>
      <c r="Z583" s="4"/>
      <c r="AA583" s="4">
        <f t="shared" si="90"/>
        <v>0</v>
      </c>
      <c r="AB583" s="1">
        <f t="shared" si="85"/>
        <v>0</v>
      </c>
      <c r="AC583" s="1">
        <f t="shared" si="89"/>
        <v>0</v>
      </c>
      <c r="AD583" s="1">
        <f t="shared" si="91"/>
        <v>0</v>
      </c>
      <c r="AE583" s="1"/>
      <c r="AF583" s="1"/>
      <c r="AG583" s="1"/>
      <c r="AH583" s="1">
        <f t="shared" si="87"/>
        <v>0</v>
      </c>
      <c r="AI583" s="118" t="e">
        <f t="shared" si="88"/>
        <v>#DIV/0!</v>
      </c>
    </row>
    <row r="584" spans="1:40" hidden="1" x14ac:dyDescent="0.25">
      <c r="A584" s="30">
        <v>51</v>
      </c>
      <c r="B584" s="5" t="s">
        <v>1816</v>
      </c>
      <c r="C584" s="2" t="s">
        <v>302</v>
      </c>
      <c r="D584" s="2"/>
      <c r="E584" s="2">
        <v>944141</v>
      </c>
      <c r="F584" s="2">
        <v>1385283</v>
      </c>
      <c r="G584" s="2" t="s">
        <v>2143</v>
      </c>
      <c r="H584" s="2" t="s">
        <v>962</v>
      </c>
      <c r="I584" s="2"/>
      <c r="J584" s="2" t="s">
        <v>963</v>
      </c>
      <c r="K584" s="2" t="s">
        <v>239</v>
      </c>
      <c r="L584" s="2"/>
      <c r="M584" s="2"/>
      <c r="N584" s="2"/>
      <c r="O584" s="2"/>
      <c r="P584" s="557" t="str">
        <f>CONCATENATE(schedule13[[#This Row],[OD]],"-",schedule13[[#This Row],[ID]],"-",schedule13[[#This Row],[TICKNESS]],"-",schedule13[[#This Row],[GRADE]],"-",schedule13[[#This Row],[FC/NFC]])</f>
        <v>22.23-0-1.6-ERW 1-PE</v>
      </c>
      <c r="Q584" s="557"/>
      <c r="R584" s="557"/>
      <c r="S584" s="1">
        <v>22.23</v>
      </c>
      <c r="T584" s="1">
        <v>22.23</v>
      </c>
      <c r="U584" s="6">
        <v>0</v>
      </c>
      <c r="V584" s="1">
        <v>1.6</v>
      </c>
      <c r="W584" s="23">
        <v>1337</v>
      </c>
      <c r="X584" s="23"/>
      <c r="Y584" s="2">
        <v>3000</v>
      </c>
      <c r="Z584" s="4"/>
      <c r="AA584" s="4">
        <f t="shared" si="90"/>
        <v>3000</v>
      </c>
      <c r="AB584" s="1">
        <f t="shared" si="85"/>
        <v>3.2639361044640003</v>
      </c>
      <c r="AC584" s="1">
        <f t="shared" si="89"/>
        <v>0</v>
      </c>
      <c r="AD584" s="1">
        <f t="shared" si="91"/>
        <v>3.2639361044640003</v>
      </c>
      <c r="AE584" s="1"/>
      <c r="AF584" s="1"/>
      <c r="AG584" s="1"/>
      <c r="AH584" s="1">
        <f t="shared" si="87"/>
        <v>3.2639361044640003</v>
      </c>
      <c r="AI584" s="118">
        <f t="shared" si="88"/>
        <v>0</v>
      </c>
    </row>
    <row r="585" spans="1:40" hidden="1" x14ac:dyDescent="0.25">
      <c r="A585" s="30">
        <v>52</v>
      </c>
      <c r="B585" s="5" t="s">
        <v>1816</v>
      </c>
      <c r="C585" s="2" t="s">
        <v>302</v>
      </c>
      <c r="D585" s="2"/>
      <c r="E585" s="2">
        <v>944141</v>
      </c>
      <c r="F585" s="2">
        <v>3180928</v>
      </c>
      <c r="G585" s="2" t="s">
        <v>2140</v>
      </c>
      <c r="H585" s="2" t="s">
        <v>962</v>
      </c>
      <c r="I585" s="2"/>
      <c r="J585" s="2"/>
      <c r="K585" s="2" t="s">
        <v>239</v>
      </c>
      <c r="L585" s="2"/>
      <c r="M585" s="2"/>
      <c r="N585" s="2"/>
      <c r="O585" s="2"/>
      <c r="P585" s="557" t="str">
        <f>CONCATENATE(schedule13[[#This Row],[OD]],"-",schedule13[[#This Row],[ID]],"-",schedule13[[#This Row],[TICKNESS]],"-",schedule13[[#This Row],[GRADE]],"-",schedule13[[#This Row],[FC/NFC]])</f>
        <v>22.23-0-1.2-ERW 1-</v>
      </c>
      <c r="Q585" s="557"/>
      <c r="R585" s="557"/>
      <c r="S585" s="1">
        <v>22.23</v>
      </c>
      <c r="T585" s="1">
        <v>22.23</v>
      </c>
      <c r="U585" s="6">
        <v>0</v>
      </c>
      <c r="V585" s="1">
        <v>1.2</v>
      </c>
      <c r="W585" s="23">
        <v>630</v>
      </c>
      <c r="X585" s="23"/>
      <c r="Y585" s="2">
        <v>0</v>
      </c>
      <c r="Z585" s="4"/>
      <c r="AA585" s="4">
        <f t="shared" si="90"/>
        <v>0</v>
      </c>
      <c r="AB585" s="1">
        <f t="shared" si="85"/>
        <v>0</v>
      </c>
      <c r="AC585" s="1">
        <f t="shared" si="89"/>
        <v>0</v>
      </c>
      <c r="AD585" s="1">
        <f t="shared" si="91"/>
        <v>0</v>
      </c>
      <c r="AE585" s="1"/>
      <c r="AF585" s="1"/>
      <c r="AG585" s="1"/>
      <c r="AH585" s="1">
        <f t="shared" si="87"/>
        <v>0</v>
      </c>
      <c r="AI585" s="118" t="e">
        <f t="shared" si="88"/>
        <v>#DIV/0!</v>
      </c>
    </row>
    <row r="586" spans="1:40" hidden="1" x14ac:dyDescent="0.25">
      <c r="A586" s="30">
        <v>53</v>
      </c>
      <c r="B586" s="5" t="s">
        <v>1872</v>
      </c>
      <c r="C586" s="2" t="s">
        <v>302</v>
      </c>
      <c r="D586" s="2"/>
      <c r="E586" s="2">
        <v>944141</v>
      </c>
      <c r="F586" s="2">
        <v>1938163</v>
      </c>
      <c r="G586" s="2" t="s">
        <v>2134</v>
      </c>
      <c r="H586" s="2" t="s">
        <v>962</v>
      </c>
      <c r="I586" s="2"/>
      <c r="J586" s="2" t="s">
        <v>963</v>
      </c>
      <c r="K586" s="2" t="s">
        <v>1867</v>
      </c>
      <c r="L586" s="2" t="s">
        <v>1883</v>
      </c>
      <c r="M586" s="2"/>
      <c r="N586" s="2"/>
      <c r="O586" s="2"/>
      <c r="P586" s="557" t="str">
        <f>CONCATENATE(schedule13[[#This Row],[OD]],"-",schedule13[[#This Row],[ID]],"-",schedule13[[#This Row],[TICKNESS]],"-",schedule13[[#This Row],[GRADE]],"-",schedule13[[#This Row],[FC/NFC]])</f>
        <v>17.3-0-1.6-ERW 1-PE</v>
      </c>
      <c r="Q586" s="557"/>
      <c r="R586" s="557"/>
      <c r="S586" s="1">
        <v>17.3</v>
      </c>
      <c r="T586" s="1">
        <v>17.3</v>
      </c>
      <c r="U586" s="6">
        <v>0</v>
      </c>
      <c r="V586" s="1">
        <v>1.6</v>
      </c>
      <c r="W586" s="25">
        <v>640</v>
      </c>
      <c r="X586" s="25"/>
      <c r="Y586" s="2">
        <v>5000</v>
      </c>
      <c r="Z586" s="4"/>
      <c r="AA586" s="4">
        <f t="shared" si="90"/>
        <v>5000</v>
      </c>
      <c r="AB586" s="1">
        <f t="shared" si="85"/>
        <v>1.9817067520000002</v>
      </c>
      <c r="AC586" s="1">
        <f t="shared" si="89"/>
        <v>0</v>
      </c>
      <c r="AD586" s="1">
        <f t="shared" si="91"/>
        <v>1.9817067520000002</v>
      </c>
      <c r="AE586" s="1"/>
      <c r="AF586" s="1"/>
      <c r="AG586" s="1"/>
      <c r="AH586" s="1">
        <f t="shared" si="87"/>
        <v>1.9817067520000002</v>
      </c>
      <c r="AI586" s="118">
        <f t="shared" si="88"/>
        <v>0</v>
      </c>
    </row>
    <row r="587" spans="1:40" hidden="1" x14ac:dyDescent="0.25">
      <c r="A587" s="30">
        <v>54</v>
      </c>
      <c r="B587" s="5" t="s">
        <v>1816</v>
      </c>
      <c r="C587" s="2" t="s">
        <v>302</v>
      </c>
      <c r="D587" s="2"/>
      <c r="E587" s="2">
        <v>944141</v>
      </c>
      <c r="F587" s="2">
        <v>1637759</v>
      </c>
      <c r="G587" s="2" t="s">
        <v>2151</v>
      </c>
      <c r="H587" s="2"/>
      <c r="I587" s="2"/>
      <c r="J587" s="2"/>
      <c r="K587" s="2" t="s">
        <v>239</v>
      </c>
      <c r="L587" s="2"/>
      <c r="M587" s="2"/>
      <c r="N587" s="2"/>
      <c r="O587" s="2"/>
      <c r="P587" s="557" t="str">
        <f>CONCATENATE(schedule13[[#This Row],[OD]],"-",schedule13[[#This Row],[ID]],"-",schedule13[[#This Row],[TICKNESS]],"-",schedule13[[#This Row],[GRADE]],"-",schedule13[[#This Row],[FC/NFC]])</f>
        <v>19.05-0-2--</v>
      </c>
      <c r="Q587" s="557"/>
      <c r="R587" s="557"/>
      <c r="S587" s="1">
        <v>19.05</v>
      </c>
      <c r="T587" s="1">
        <v>19.05</v>
      </c>
      <c r="U587" s="6">
        <v>0</v>
      </c>
      <c r="V587" s="1">
        <v>2</v>
      </c>
      <c r="W587" s="23">
        <v>452</v>
      </c>
      <c r="X587" s="23"/>
      <c r="Y587" s="2">
        <v>0</v>
      </c>
      <c r="Z587" s="4"/>
      <c r="AA587" s="4">
        <f t="shared" si="90"/>
        <v>0</v>
      </c>
      <c r="AB587" s="1">
        <f t="shared" si="85"/>
        <v>0</v>
      </c>
      <c r="AC587" s="1">
        <f t="shared" si="89"/>
        <v>0</v>
      </c>
      <c r="AD587" s="1">
        <f t="shared" si="91"/>
        <v>0</v>
      </c>
      <c r="AE587" s="1"/>
      <c r="AF587" s="1"/>
      <c r="AG587" s="1"/>
      <c r="AH587" s="1">
        <f t="shared" si="87"/>
        <v>0</v>
      </c>
      <c r="AI587" s="118" t="e">
        <f t="shared" si="88"/>
        <v>#DIV/0!</v>
      </c>
    </row>
    <row r="588" spans="1:40" hidden="1" x14ac:dyDescent="0.25">
      <c r="A588" s="30">
        <v>55</v>
      </c>
      <c r="B588" s="5" t="s">
        <v>1816</v>
      </c>
      <c r="C588" s="2" t="s">
        <v>302</v>
      </c>
      <c r="D588" s="2"/>
      <c r="E588" s="2">
        <v>944141</v>
      </c>
      <c r="F588" s="2">
        <v>1940621</v>
      </c>
      <c r="G588" s="9" t="s">
        <v>2148</v>
      </c>
      <c r="H588" s="2" t="s">
        <v>962</v>
      </c>
      <c r="I588" s="2"/>
      <c r="J588" s="2" t="s">
        <v>963</v>
      </c>
      <c r="K588" s="2" t="s">
        <v>1867</v>
      </c>
      <c r="L588" s="49" t="s">
        <v>1891</v>
      </c>
      <c r="M588" s="2"/>
      <c r="N588" s="2"/>
      <c r="O588" s="2"/>
      <c r="P588" s="557" t="str">
        <f>CONCATENATE(schedule13[[#This Row],[OD]],"-",schedule13[[#This Row],[ID]],"-",schedule13[[#This Row],[TICKNESS]],"-",schedule13[[#This Row],[GRADE]],"-",schedule13[[#This Row],[FC/NFC]])</f>
        <v>28.58-0-1.6-ERW 1-PE</v>
      </c>
      <c r="Q588" s="557"/>
      <c r="R588" s="557"/>
      <c r="S588" s="1">
        <v>28.58</v>
      </c>
      <c r="T588" s="1">
        <v>28.58</v>
      </c>
      <c r="U588" s="6">
        <v>0</v>
      </c>
      <c r="V588" s="1">
        <v>1.6</v>
      </c>
      <c r="W588" s="23">
        <v>6000</v>
      </c>
      <c r="X588" s="23"/>
      <c r="Y588" s="2">
        <v>0</v>
      </c>
      <c r="Z588" s="4"/>
      <c r="AA588" s="4">
        <f t="shared" si="90"/>
        <v>0</v>
      </c>
      <c r="AB588" s="1">
        <f t="shared" si="85"/>
        <v>0</v>
      </c>
      <c r="AC588" s="1">
        <f t="shared" si="89"/>
        <v>0</v>
      </c>
      <c r="AD588" s="1">
        <f t="shared" si="91"/>
        <v>0</v>
      </c>
      <c r="AE588" s="1"/>
      <c r="AF588" s="1"/>
      <c r="AG588" s="1"/>
      <c r="AH588" s="1">
        <f t="shared" si="87"/>
        <v>0</v>
      </c>
      <c r="AI588" s="118" t="e">
        <f t="shared" si="88"/>
        <v>#DIV/0!</v>
      </c>
      <c r="AL588" s="15">
        <v>639</v>
      </c>
      <c r="AM588" s="15">
        <v>2</v>
      </c>
      <c r="AN588" s="15">
        <f>AL588*AM588</f>
        <v>1278</v>
      </c>
    </row>
    <row r="589" spans="1:40" hidden="1" x14ac:dyDescent="0.25">
      <c r="A589" s="30">
        <v>56</v>
      </c>
      <c r="B589" s="5" t="s">
        <v>1872</v>
      </c>
      <c r="C589" s="2" t="s">
        <v>302</v>
      </c>
      <c r="D589" s="2"/>
      <c r="E589" s="2">
        <v>944141</v>
      </c>
      <c r="F589" s="2">
        <v>2410999</v>
      </c>
      <c r="G589" s="2" t="s">
        <v>728</v>
      </c>
      <c r="H589" s="2" t="s">
        <v>357</v>
      </c>
      <c r="I589" s="2"/>
      <c r="J589" s="2" t="s">
        <v>357</v>
      </c>
      <c r="K589" s="2" t="s">
        <v>239</v>
      </c>
      <c r="L589" s="2"/>
      <c r="M589" s="2"/>
      <c r="N589" s="2"/>
      <c r="O589" s="2"/>
      <c r="P589" s="557" t="str">
        <f>CONCATENATE(schedule13[[#This Row],[OD]],"-",schedule13[[#This Row],[ID]],"-",schedule13[[#This Row],[TICKNESS]],"-",schedule13[[#This Row],[GRADE]],"-",schedule13[[#This Row],[FC/NFC]])</f>
        <v>21.7-16.2-2.75-CEW-CEW</v>
      </c>
      <c r="Q589" s="557"/>
      <c r="R589" s="557"/>
      <c r="S589" s="1">
        <v>21.7</v>
      </c>
      <c r="T589" s="6">
        <v>21.7</v>
      </c>
      <c r="U589" s="6">
        <v>16.2</v>
      </c>
      <c r="V589" s="6">
        <v>2.75</v>
      </c>
      <c r="W589" s="23">
        <v>4500</v>
      </c>
      <c r="X589" s="23"/>
      <c r="Y589" s="2">
        <v>667</v>
      </c>
      <c r="Z589" s="4"/>
      <c r="AA589" s="4">
        <f t="shared" si="90"/>
        <v>667</v>
      </c>
      <c r="AB589" s="1">
        <f t="shared" si="85"/>
        <v>3.8561154816937502</v>
      </c>
      <c r="AC589" s="1">
        <f t="shared" si="89"/>
        <v>0</v>
      </c>
      <c r="AD589" s="1">
        <f t="shared" si="91"/>
        <v>3.8561154816937502</v>
      </c>
      <c r="AE589" s="1"/>
      <c r="AF589" s="1">
        <v>6.0991919999999995</v>
      </c>
      <c r="AG589" s="1"/>
      <c r="AH589" s="1">
        <f t="shared" si="87"/>
        <v>-2.2430765183062493</v>
      </c>
      <c r="AI589" s="118">
        <f t="shared" si="88"/>
        <v>1.5816932944448556</v>
      </c>
      <c r="AL589" s="15">
        <v>607</v>
      </c>
      <c r="AM589" s="15">
        <v>7</v>
      </c>
      <c r="AN589" s="15">
        <f>AL589*AM589</f>
        <v>4249</v>
      </c>
    </row>
    <row r="590" spans="1:40" hidden="1" x14ac:dyDescent="0.25">
      <c r="A590" s="30">
        <v>380</v>
      </c>
      <c r="B590" s="5" t="s">
        <v>1872</v>
      </c>
      <c r="C590" s="2" t="s">
        <v>302</v>
      </c>
      <c r="D590" s="2"/>
      <c r="E590" s="2">
        <v>944141</v>
      </c>
      <c r="F590" s="2">
        <v>2419066</v>
      </c>
      <c r="G590" s="2" t="s">
        <v>2131</v>
      </c>
      <c r="H590" s="2" t="s">
        <v>357</v>
      </c>
      <c r="I590" s="2"/>
      <c r="J590" s="2"/>
      <c r="K590" s="2" t="s">
        <v>239</v>
      </c>
      <c r="L590" s="2"/>
      <c r="M590" s="2"/>
      <c r="N590" s="2"/>
      <c r="O590" s="2"/>
      <c r="P590" s="557" t="str">
        <f>CONCATENATE(schedule13[[#This Row],[OD]],"-",schedule13[[#This Row],[ID]],"-",schedule13[[#This Row],[TICKNESS]],"-",schedule13[[#This Row],[GRADE]],"-",schedule13[[#This Row],[FC/NFC]])</f>
        <v>19-12.5-3.25-CEW-</v>
      </c>
      <c r="Q590" s="557"/>
      <c r="R590" s="557"/>
      <c r="S590" s="1">
        <v>19</v>
      </c>
      <c r="T590" s="1">
        <v>19</v>
      </c>
      <c r="U590" s="1">
        <v>12.5</v>
      </c>
      <c r="V590" s="1">
        <v>3.25</v>
      </c>
      <c r="W590" s="23">
        <v>4800</v>
      </c>
      <c r="X590" s="23"/>
      <c r="Y590" s="2">
        <v>0</v>
      </c>
      <c r="Z590" s="4"/>
      <c r="AA590" s="4">
        <f t="shared" si="90"/>
        <v>0</v>
      </c>
      <c r="AB590" s="1">
        <f t="shared" si="85"/>
        <v>0</v>
      </c>
      <c r="AC590" s="1">
        <f t="shared" si="89"/>
        <v>0</v>
      </c>
      <c r="AD590" s="1">
        <f t="shared" si="91"/>
        <v>0</v>
      </c>
      <c r="AE590" s="1"/>
      <c r="AF590" s="1"/>
      <c r="AG590" s="1"/>
      <c r="AH590" s="1">
        <f>AB589-AF590</f>
        <v>3.8561154816937502</v>
      </c>
      <c r="AI590" s="118">
        <f>(AC590+AF590)/AB589</f>
        <v>0</v>
      </c>
      <c r="AN590" s="15">
        <f>SUM(AN588:AN589)</f>
        <v>5527</v>
      </c>
    </row>
    <row r="591" spans="1:40" hidden="1" x14ac:dyDescent="0.25">
      <c r="A591" s="125">
        <v>366</v>
      </c>
      <c r="B591" s="126" t="s">
        <v>1816</v>
      </c>
      <c r="C591" s="100" t="s">
        <v>150</v>
      </c>
      <c r="D591" s="100"/>
      <c r="E591" s="100"/>
      <c r="F591" s="100">
        <v>1941860</v>
      </c>
      <c r="G591" s="100" t="s">
        <v>1678</v>
      </c>
      <c r="H591" s="100" t="s">
        <v>962</v>
      </c>
      <c r="I591" s="100"/>
      <c r="J591" s="100" t="s">
        <v>1003</v>
      </c>
      <c r="K591" s="100" t="s">
        <v>1867</v>
      </c>
      <c r="L591" s="128" t="s">
        <v>1891</v>
      </c>
      <c r="M591" s="100"/>
      <c r="N591" s="100"/>
      <c r="O591" s="100"/>
      <c r="P591" s="565" t="str">
        <f>CONCATENATE(schedule13[[#This Row],[OD]],"-",schedule13[[#This Row],[ID]],"-",schedule13[[#This Row],[TICKNESS]],"-",schedule13[[#This Row],[GRADE]],"-",schedule13[[#This Row],[FC/NFC]])</f>
        <v>40-30-1.6-ERW 1-FC</v>
      </c>
      <c r="Q591" s="565"/>
      <c r="R591" s="565"/>
      <c r="S591" s="129">
        <v>44.45</v>
      </c>
      <c r="T591" s="129">
        <v>40</v>
      </c>
      <c r="U591" s="129">
        <v>30</v>
      </c>
      <c r="V591" s="129">
        <v>1.6</v>
      </c>
      <c r="W591" s="130">
        <v>400</v>
      </c>
      <c r="X591" s="130"/>
      <c r="Y591" s="2">
        <v>0</v>
      </c>
      <c r="Z591" s="100"/>
      <c r="AA591" s="131">
        <f t="shared" si="90"/>
        <v>0</v>
      </c>
      <c r="AB591" s="129">
        <f t="shared" si="85"/>
        <v>0</v>
      </c>
      <c r="AC591" s="129">
        <f t="shared" si="89"/>
        <v>0</v>
      </c>
      <c r="AD591" s="129">
        <f t="shared" si="91"/>
        <v>0</v>
      </c>
      <c r="AE591" s="129"/>
      <c r="AF591" s="129"/>
      <c r="AG591" s="129"/>
      <c r="AH591" s="129" t="e">
        <f>#REF!-AF591</f>
        <v>#REF!</v>
      </c>
      <c r="AI591" s="132" t="e">
        <f>(AC591+AF591)/#REF!</f>
        <v>#REF!</v>
      </c>
    </row>
    <row r="592" spans="1:40" x14ac:dyDescent="0.25">
      <c r="A592" s="5"/>
      <c r="Y592" s="10"/>
    </row>
    <row r="593" spans="1:25" x14ac:dyDescent="0.25">
      <c r="A593" s="5"/>
      <c r="Y593" s="10"/>
    </row>
    <row r="594" spans="1:25" x14ac:dyDescent="0.25">
      <c r="A594" s="5"/>
      <c r="Y594" s="10"/>
    </row>
    <row r="595" spans="1:25" x14ac:dyDescent="0.25">
      <c r="A595" s="5"/>
      <c r="Y595" s="10"/>
    </row>
    <row r="596" spans="1:25" x14ac:dyDescent="0.25">
      <c r="A596" s="5"/>
    </row>
    <row r="597" spans="1:25" x14ac:dyDescent="0.25">
      <c r="A597" s="5"/>
    </row>
    <row r="598" spans="1:25" x14ac:dyDescent="0.25">
      <c r="A598" s="5"/>
    </row>
    <row r="599" spans="1:25" x14ac:dyDescent="0.25">
      <c r="A599" s="5"/>
    </row>
    <row r="600" spans="1:25" x14ac:dyDescent="0.25">
      <c r="A600" s="5"/>
    </row>
    <row r="601" spans="1:25" x14ac:dyDescent="0.25">
      <c r="A601" s="5"/>
    </row>
    <row r="602" spans="1:25" x14ac:dyDescent="0.25">
      <c r="A602" s="5"/>
    </row>
    <row r="603" spans="1:25" x14ac:dyDescent="0.25">
      <c r="A603" s="5"/>
    </row>
    <row r="604" spans="1:25" x14ac:dyDescent="0.25">
      <c r="A604" s="5"/>
    </row>
    <row r="605" spans="1:25" x14ac:dyDescent="0.25">
      <c r="A605" s="5"/>
    </row>
    <row r="606" spans="1:25" x14ac:dyDescent="0.25">
      <c r="A606" s="5"/>
    </row>
    <row r="607" spans="1:25" x14ac:dyDescent="0.25">
      <c r="A607" s="5"/>
    </row>
    <row r="608" spans="1:25"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sheetData>
  <conditionalFormatting sqref="F3">
    <cfRule type="duplicateValues" dxfId="39" priority="15"/>
  </conditionalFormatting>
  <conditionalFormatting sqref="F82">
    <cfRule type="duplicateValues" dxfId="38" priority="31"/>
    <cfRule type="duplicateValues" dxfId="37" priority="32"/>
  </conditionalFormatting>
  <conditionalFormatting sqref="F88">
    <cfRule type="duplicateValues" dxfId="36" priority="7"/>
    <cfRule type="duplicateValues" dxfId="35" priority="8"/>
  </conditionalFormatting>
  <conditionalFormatting sqref="F100">
    <cfRule type="duplicateValues" dxfId="34" priority="5"/>
    <cfRule type="duplicateValues" dxfId="33" priority="6"/>
  </conditionalFormatting>
  <conditionalFormatting sqref="F121">
    <cfRule type="duplicateValues" dxfId="32" priority="33"/>
    <cfRule type="duplicateValues" dxfId="31" priority="34"/>
  </conditionalFormatting>
  <conditionalFormatting sqref="F128">
    <cfRule type="duplicateValues" dxfId="30" priority="17"/>
    <cfRule type="duplicateValues" dxfId="29" priority="18"/>
  </conditionalFormatting>
  <conditionalFormatting sqref="F164">
    <cfRule type="duplicateValues" dxfId="28" priority="29"/>
    <cfRule type="duplicateValues" dxfId="27" priority="30"/>
  </conditionalFormatting>
  <conditionalFormatting sqref="F207">
    <cfRule type="duplicateValues" dxfId="26" priority="22"/>
    <cfRule type="duplicateValues" dxfId="25" priority="23"/>
  </conditionalFormatting>
  <conditionalFormatting sqref="F292">
    <cfRule type="duplicateValues" dxfId="24" priority="11"/>
    <cfRule type="duplicateValues" dxfId="23" priority="12"/>
  </conditionalFormatting>
  <conditionalFormatting sqref="F295">
    <cfRule type="duplicateValues" dxfId="22" priority="28"/>
  </conditionalFormatting>
  <conditionalFormatting sqref="F301:F304">
    <cfRule type="duplicateValues" dxfId="21" priority="38" stopIfTrue="1"/>
  </conditionalFormatting>
  <conditionalFormatting sqref="F339">
    <cfRule type="duplicateValues" dxfId="20" priority="13"/>
    <cfRule type="duplicateValues" dxfId="19" priority="14"/>
  </conditionalFormatting>
  <conditionalFormatting sqref="F385:F388">
    <cfRule type="duplicateValues" dxfId="18" priority="36"/>
  </conditionalFormatting>
  <conditionalFormatting sqref="F389:F475 F83:F87 F122:F127 F165:F206 F129:F163 F4:F81 F340:F349 F208:F291 F293:F338 F89:F99 F101:F120 F351:F384">
    <cfRule type="duplicateValues" dxfId="17" priority="39"/>
  </conditionalFormatting>
  <conditionalFormatting sqref="F480">
    <cfRule type="duplicateValues" dxfId="16" priority="3"/>
    <cfRule type="duplicateValues" dxfId="15" priority="4"/>
  </conditionalFormatting>
  <conditionalFormatting sqref="F492">
    <cfRule type="duplicateValues" dxfId="14" priority="21"/>
  </conditionalFormatting>
  <conditionalFormatting sqref="F493">
    <cfRule type="duplicateValues" dxfId="13" priority="20"/>
  </conditionalFormatting>
  <conditionalFormatting sqref="F494">
    <cfRule type="duplicateValues" dxfId="12" priority="27"/>
  </conditionalFormatting>
  <conditionalFormatting sqref="F495">
    <cfRule type="duplicateValues" dxfId="11" priority="40"/>
  </conditionalFormatting>
  <conditionalFormatting sqref="F496:F497 F499:F501">
    <cfRule type="duplicateValues" dxfId="10" priority="26"/>
  </conditionalFormatting>
  <conditionalFormatting sqref="F498">
    <cfRule type="duplicateValues" dxfId="9" priority="9"/>
    <cfRule type="duplicateValues" dxfId="8" priority="10"/>
  </conditionalFormatting>
  <conditionalFormatting sqref="F502:F520 F83:F87 F122:F127 F165:F206 F523:F583 F129:F163 F2 F4:F81 F340:F349 F208:F291 F293:F338 F491 F89:F99 F101:F120 F481:F489 F585:F589 F351:F479 F591:F1048576">
    <cfRule type="duplicateValues" dxfId="7" priority="35"/>
  </conditionalFormatting>
  <conditionalFormatting sqref="F521">
    <cfRule type="duplicateValues" dxfId="6" priority="24"/>
    <cfRule type="duplicateValues" dxfId="5" priority="25"/>
  </conditionalFormatting>
  <conditionalFormatting sqref="F522">
    <cfRule type="duplicateValues" dxfId="4" priority="19"/>
  </conditionalFormatting>
  <conditionalFormatting sqref="N350 F350">
    <cfRule type="duplicateValues" dxfId="3" priority="1"/>
  </conditionalFormatting>
  <conditionalFormatting sqref="N350">
    <cfRule type="duplicateValues" dxfId="2" priority="2"/>
  </conditionalFormatting>
  <conditionalFormatting sqref="AI2 AI4:AI1048576">
    <cfRule type="iconSet" priority="37">
      <iconSet>
        <cfvo type="percent" val="0"/>
        <cfvo type="num" val="0.2"/>
        <cfvo type="num" val="0.6"/>
      </iconSet>
    </cfRule>
  </conditionalFormatting>
  <conditionalFormatting sqref="AI3">
    <cfRule type="iconSet" priority="16">
      <iconSet>
        <cfvo type="percent" val="0"/>
        <cfvo type="num" val="0.2"/>
        <cfvo type="num" val="0.6"/>
      </iconSet>
    </cfRule>
  </conditionalFormatting>
  <pageMargins left="0.7" right="0.7" top="0.75" bottom="0.75" header="0.3" footer="0.3"/>
  <pageSetup paperSize="9" orientation="portrait"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C544-F96F-433E-B4FB-23625ADCF835}">
  <sheetPr codeName="Sheet44">
    <tabColor rgb="FF7030A0"/>
  </sheetPr>
  <dimension ref="A1:Z58"/>
  <sheetViews>
    <sheetView topLeftCell="J1" workbookViewId="0">
      <pane ySplit="3" topLeftCell="A4" activePane="bottomLeft" state="frozen"/>
      <selection pane="bottomLeft" activeCell="S12" sqref="S12"/>
    </sheetView>
  </sheetViews>
  <sheetFormatPr defaultRowHeight="15" x14ac:dyDescent="0.25"/>
  <cols>
    <col min="7" max="7" width="22.42578125" bestFit="1" customWidth="1"/>
    <col min="8" max="8" width="15" bestFit="1" customWidth="1"/>
    <col min="9" max="9" width="15" customWidth="1"/>
    <col min="10" max="11" width="11.5703125" bestFit="1" customWidth="1"/>
    <col min="12" max="13" width="14.140625" bestFit="1" customWidth="1"/>
    <col min="17" max="17" width="25.85546875" bestFit="1" customWidth="1"/>
    <col min="18" max="18" width="17.42578125" bestFit="1" customWidth="1"/>
    <col min="19" max="19" width="17.42578125" customWidth="1"/>
    <col min="20" max="20" width="10.140625" bestFit="1" customWidth="1"/>
    <col min="24" max="26" width="13.140625" bestFit="1" customWidth="1"/>
  </cols>
  <sheetData>
    <row r="1" spans="1:26" x14ac:dyDescent="0.25">
      <c r="G1" t="s">
        <v>258</v>
      </c>
      <c r="H1" t="s">
        <v>6578</v>
      </c>
      <c r="Q1" t="s">
        <v>258</v>
      </c>
      <c r="R1">
        <v>4318</v>
      </c>
    </row>
    <row r="2" spans="1:26" x14ac:dyDescent="0.25">
      <c r="A2" t="s">
        <v>6579</v>
      </c>
    </row>
    <row r="3" spans="1:26" x14ac:dyDescent="0.25">
      <c r="A3" t="str" cm="1">
        <f t="array" ref="A3:A47">TRANSPOSE(_xlfn.UNIQUE(salesforecast[#Headers]))</f>
        <v>ACTUAL OD</v>
      </c>
      <c r="G3" s="133" t="s">
        <v>2418</v>
      </c>
      <c r="H3" s="133" t="s">
        <v>6580</v>
      </c>
      <c r="I3" s="133" t="s">
        <v>6581</v>
      </c>
      <c r="J3" s="133" t="s">
        <v>2429</v>
      </c>
      <c r="K3" s="133" t="s">
        <v>1804</v>
      </c>
      <c r="L3" s="133" t="s">
        <v>944</v>
      </c>
      <c r="M3" s="133" t="s">
        <v>2426</v>
      </c>
      <c r="Q3" s="133" t="s">
        <v>2418</v>
      </c>
      <c r="R3" s="133" t="s">
        <v>6582</v>
      </c>
      <c r="S3" s="133" t="s">
        <v>269</v>
      </c>
      <c r="T3" s="133" t="s">
        <v>2429</v>
      </c>
      <c r="U3" s="133" t="s">
        <v>6583</v>
      </c>
      <c r="V3" s="133" t="s">
        <v>2432</v>
      </c>
      <c r="W3" s="133" t="s">
        <v>2426</v>
      </c>
      <c r="X3" s="133" t="s">
        <v>1804</v>
      </c>
      <c r="Y3" s="133" t="s">
        <v>944</v>
      </c>
      <c r="Z3" s="133" t="s">
        <v>6584</v>
      </c>
    </row>
    <row r="4" spans="1:26" x14ac:dyDescent="0.25">
      <c r="A4" t="str">
        <v>OD</v>
      </c>
      <c r="G4" s="15" t="e" cm="1">
        <f t="array" ref="G4">_xlfn.CHOOSECOLS(_xlfn._xlws.FILTER(salesforecast[#Data],ISNUMBER(SEARCH(H1,salesforecast[Customer]))),_xlfn.XMATCH(G3:M3,salesforecast[#Headers]))</f>
        <v>#N/A</v>
      </c>
      <c r="H4" s="109"/>
      <c r="I4" s="109"/>
      <c r="J4" s="109"/>
      <c r="K4" s="109"/>
      <c r="L4" s="109"/>
      <c r="M4" s="109"/>
      <c r="Q4" s="15" t="e" cm="1">
        <f t="array" ref="Q4">_xlfn.CHOOSECOLS(_xlfn._xlws.FILTER(salesforecast[#Data],#REF!&gt;0),_xlfn.XMATCH(Q3:Y3,salesforecast[#Headers]))</f>
        <v>#REF!</v>
      </c>
      <c r="R4" s="109"/>
      <c r="S4" s="109"/>
      <c r="T4" s="109"/>
      <c r="U4" s="109"/>
      <c r="V4" s="109"/>
      <c r="W4" s="109"/>
      <c r="X4" s="109"/>
      <c r="Y4" s="109"/>
      <c r="Z4" s="109">
        <f>IF(R4-S4-T4&lt;0,0,R4-S4-T4)</f>
        <v>0</v>
      </c>
    </row>
    <row r="5" spans="1:26" x14ac:dyDescent="0.25">
      <c r="A5" t="str">
        <v>ID</v>
      </c>
      <c r="G5" s="15"/>
      <c r="H5" s="109"/>
      <c r="I5" s="109"/>
      <c r="J5" s="109"/>
      <c r="K5" s="109"/>
      <c r="L5" s="109"/>
      <c r="M5" s="109"/>
      <c r="Q5" s="15"/>
      <c r="R5" s="134"/>
      <c r="S5" s="134"/>
      <c r="T5" s="134"/>
      <c r="U5" s="134"/>
      <c r="V5" s="134"/>
      <c r="W5" s="134"/>
      <c r="X5" s="134"/>
      <c r="Y5" s="134"/>
      <c r="Z5" s="134">
        <f t="shared" ref="Z5:Z58" si="0">IF(R5-S5-T5&lt;0,0,R5-S5-T5)</f>
        <v>0</v>
      </c>
    </row>
    <row r="6" spans="1:26" x14ac:dyDescent="0.25">
      <c r="A6" t="str">
        <v>TICKNESS</v>
      </c>
      <c r="G6" s="15"/>
      <c r="H6" s="109"/>
      <c r="I6" s="109"/>
      <c r="J6" s="109"/>
      <c r="K6" s="109"/>
      <c r="L6" s="109"/>
      <c r="M6" s="109"/>
      <c r="Q6" s="15"/>
      <c r="R6" s="134"/>
      <c r="S6" s="134"/>
      <c r="T6" s="134"/>
      <c r="U6" s="134"/>
      <c r="V6" s="134"/>
      <c r="W6" s="134"/>
      <c r="X6" s="134"/>
      <c r="Y6" s="134"/>
      <c r="Z6" s="134">
        <f t="shared" si="0"/>
        <v>0</v>
      </c>
    </row>
    <row r="7" spans="1:26" x14ac:dyDescent="0.25">
      <c r="A7" t="str">
        <v>GRADE</v>
      </c>
      <c r="G7" s="15"/>
      <c r="H7" s="109"/>
      <c r="I7" s="109"/>
      <c r="J7" s="109"/>
      <c r="K7" s="109"/>
      <c r="L7" s="109"/>
      <c r="M7" s="109"/>
      <c r="Q7" s="15"/>
      <c r="R7" s="134"/>
      <c r="S7" s="134"/>
      <c r="T7" s="134"/>
      <c r="U7" s="134"/>
      <c r="V7" s="134"/>
      <c r="W7" s="134"/>
      <c r="X7" s="134"/>
      <c r="Y7" s="134"/>
      <c r="Z7" s="134">
        <f t="shared" si="0"/>
        <v>0</v>
      </c>
    </row>
    <row r="8" spans="1:26" x14ac:dyDescent="0.25">
      <c r="A8" t="str">
        <v>FC/NFC</v>
      </c>
      <c r="G8" s="15"/>
      <c r="H8" s="109"/>
      <c r="I8" s="109"/>
      <c r="J8" s="109"/>
      <c r="K8" s="109"/>
      <c r="L8" s="109"/>
      <c r="M8" s="109"/>
      <c r="Q8" s="15"/>
      <c r="R8" s="134"/>
      <c r="S8" s="134"/>
      <c r="T8" s="134"/>
      <c r="U8" s="134"/>
      <c r="V8" s="134"/>
      <c r="W8" s="134"/>
      <c r="X8" s="134"/>
      <c r="Y8" s="134"/>
      <c r="Z8" s="134">
        <f t="shared" si="0"/>
        <v>0</v>
      </c>
    </row>
    <row r="9" spans="1:26" x14ac:dyDescent="0.25">
      <c r="A9" t="str">
        <v>HR/CR</v>
      </c>
      <c r="G9" s="15"/>
      <c r="H9" s="109"/>
      <c r="I9" s="109"/>
      <c r="J9" s="109"/>
      <c r="K9" s="109"/>
      <c r="L9" s="109"/>
      <c r="M9" s="109"/>
      <c r="Q9" s="15"/>
      <c r="R9" s="134"/>
      <c r="S9" s="134"/>
      <c r="T9" s="134"/>
      <c r="U9" s="134"/>
      <c r="V9" s="134"/>
      <c r="W9" s="134"/>
      <c r="X9" s="134"/>
      <c r="Y9" s="134"/>
      <c r="Z9" s="134">
        <f t="shared" si="0"/>
        <v>0</v>
      </c>
    </row>
    <row r="10" spans="1:26" x14ac:dyDescent="0.25">
      <c r="A10" t="str">
        <v>Bucket</v>
      </c>
      <c r="G10" s="15"/>
      <c r="H10" s="109"/>
      <c r="I10" s="109"/>
      <c r="J10" s="109"/>
      <c r="K10" s="109"/>
      <c r="L10" s="109"/>
      <c r="M10" s="109"/>
      <c r="Q10" s="15"/>
      <c r="R10" s="134"/>
      <c r="S10" s="134"/>
      <c r="T10" s="134"/>
      <c r="U10" s="134"/>
      <c r="V10" s="134"/>
      <c r="W10" s="134"/>
      <c r="X10" s="134"/>
      <c r="Y10" s="134"/>
      <c r="Z10" s="134">
        <f t="shared" si="0"/>
        <v>0</v>
      </c>
    </row>
    <row r="11" spans="1:26" x14ac:dyDescent="0.25">
      <c r="A11" t="str">
        <v>July Schedule</v>
      </c>
      <c r="G11" s="15"/>
      <c r="H11" s="109"/>
      <c r="I11" s="109"/>
      <c r="J11" s="109"/>
      <c r="K11" s="109"/>
      <c r="L11" s="109"/>
      <c r="M11" s="109"/>
      <c r="Q11" s="15"/>
      <c r="R11" s="134"/>
      <c r="S11" s="134"/>
      <c r="T11" s="134"/>
      <c r="U11" s="134"/>
      <c r="V11" s="134"/>
      <c r="W11" s="134"/>
      <c r="X11" s="134"/>
      <c r="Y11" s="134"/>
      <c r="Z11" s="134">
        <f t="shared" si="0"/>
        <v>0</v>
      </c>
    </row>
    <row r="12" spans="1:26" x14ac:dyDescent="0.25">
      <c r="A12" t="str">
        <v>LL Material Code</v>
      </c>
      <c r="G12" s="15"/>
      <c r="H12" s="109"/>
      <c r="I12" s="109"/>
      <c r="J12" s="109"/>
      <c r="K12" s="109"/>
      <c r="L12" s="109"/>
      <c r="M12" s="109"/>
      <c r="Q12" s="15"/>
      <c r="R12" s="134"/>
      <c r="S12" s="134"/>
      <c r="T12" s="134"/>
      <c r="U12" s="134"/>
      <c r="V12" s="134"/>
      <c r="W12" s="134"/>
      <c r="X12" s="134"/>
      <c r="Y12" s="134"/>
      <c r="Z12" s="134">
        <f t="shared" si="0"/>
        <v>0</v>
      </c>
    </row>
    <row r="13" spans="1:26" x14ac:dyDescent="0.25">
      <c r="A13" t="str">
        <v>count error</v>
      </c>
      <c r="G13" s="15"/>
      <c r="H13" s="109"/>
      <c r="I13" s="109"/>
      <c r="J13" s="109"/>
      <c r="K13" s="109"/>
      <c r="L13" s="109"/>
      <c r="M13" s="109"/>
      <c r="Q13" s="15"/>
      <c r="R13" s="134"/>
      <c r="S13" s="134"/>
      <c r="T13" s="134"/>
      <c r="U13" s="134"/>
      <c r="V13" s="134"/>
      <c r="W13" s="134"/>
      <c r="X13" s="134"/>
      <c r="Y13" s="134"/>
      <c r="Z13" s="134">
        <f t="shared" si="0"/>
        <v>0</v>
      </c>
    </row>
    <row r="14" spans="1:26" x14ac:dyDescent="0.25">
      <c r="A14" t="str">
        <v>Correct Code</v>
      </c>
      <c r="G14" s="15"/>
      <c r="H14" s="109"/>
      <c r="I14" s="109"/>
      <c r="J14" s="109"/>
      <c r="K14" s="109"/>
      <c r="L14" s="109"/>
      <c r="M14" s="109"/>
      <c r="Q14" s="15"/>
      <c r="R14" s="134"/>
      <c r="S14" s="134"/>
      <c r="T14" s="134"/>
      <c r="U14" s="134"/>
      <c r="V14" s="134"/>
      <c r="W14" s="134"/>
      <c r="X14" s="134"/>
      <c r="Y14" s="134"/>
      <c r="Z14" s="134">
        <f t="shared" si="0"/>
        <v>0</v>
      </c>
    </row>
    <row r="15" spans="1:26" x14ac:dyDescent="0.25">
      <c r="A15" t="str">
        <v>Column2</v>
      </c>
      <c r="G15" s="15"/>
      <c r="H15" s="109"/>
      <c r="I15" s="109"/>
      <c r="J15" s="109"/>
      <c r="K15" s="109"/>
      <c r="L15" s="109"/>
      <c r="M15" s="109"/>
      <c r="Q15" s="15"/>
      <c r="R15" s="134"/>
      <c r="S15" s="134"/>
      <c r="T15" s="134"/>
      <c r="U15" s="134"/>
      <c r="V15" s="134"/>
      <c r="W15" s="134"/>
      <c r="X15" s="134"/>
      <c r="Y15" s="134"/>
      <c r="Z15" s="134">
        <f t="shared" si="0"/>
        <v>0</v>
      </c>
    </row>
    <row r="16" spans="1:26" x14ac:dyDescent="0.25">
      <c r="A16" t="str">
        <v>Material Description</v>
      </c>
      <c r="G16" s="15"/>
      <c r="H16" s="109"/>
      <c r="I16" s="109"/>
      <c r="J16" s="109"/>
      <c r="K16" s="109"/>
      <c r="L16" s="109"/>
      <c r="M16" s="109"/>
      <c r="Q16" s="15"/>
      <c r="R16" s="134"/>
      <c r="S16" s="134"/>
      <c r="T16" s="134"/>
      <c r="U16" s="134"/>
      <c r="V16" s="134"/>
      <c r="W16" s="134"/>
      <c r="X16" s="134"/>
      <c r="Y16" s="134"/>
      <c r="Z16" s="134">
        <f t="shared" si="0"/>
        <v>0</v>
      </c>
    </row>
    <row r="17" spans="1:26" x14ac:dyDescent="0.25">
      <c r="A17" t="str">
        <v>HR/CR Check</v>
      </c>
      <c r="G17" s="15"/>
      <c r="H17" s="109"/>
      <c r="I17" s="109"/>
      <c r="J17" s="109"/>
      <c r="K17" s="109"/>
      <c r="L17" s="109"/>
      <c r="M17" s="109"/>
      <c r="Q17" s="15"/>
      <c r="R17" s="134"/>
      <c r="S17" s="134"/>
      <c r="T17" s="134"/>
      <c r="U17" s="134"/>
      <c r="V17" s="134"/>
      <c r="W17" s="134"/>
      <c r="X17" s="134"/>
      <c r="Y17" s="134"/>
      <c r="Z17" s="134">
        <f t="shared" si="0"/>
        <v>0</v>
      </c>
    </row>
    <row r="18" spans="1:26" x14ac:dyDescent="0.25">
      <c r="A18" t="str">
        <v>Plant</v>
      </c>
      <c r="G18" s="15"/>
      <c r="H18" s="109"/>
      <c r="I18" s="109"/>
      <c r="J18" s="109"/>
      <c r="K18" s="109"/>
      <c r="L18" s="109"/>
      <c r="M18" s="109"/>
      <c r="Q18" s="15"/>
      <c r="R18" s="134"/>
      <c r="S18" s="134"/>
      <c r="T18" s="134"/>
      <c r="U18" s="134"/>
      <c r="V18" s="134"/>
      <c r="W18" s="134"/>
      <c r="X18" s="134"/>
      <c r="Y18" s="134"/>
      <c r="Z18" s="134">
        <f t="shared" si="0"/>
        <v>0</v>
      </c>
    </row>
    <row r="19" spans="1:26" x14ac:dyDescent="0.25">
      <c r="A19" t="str">
        <v>FY25 Min</v>
      </c>
      <c r="G19" s="15"/>
      <c r="H19" s="109"/>
      <c r="I19" s="109"/>
      <c r="J19" s="109"/>
      <c r="K19" s="109"/>
      <c r="L19" s="109"/>
      <c r="M19" s="109"/>
      <c r="Q19" s="15"/>
      <c r="R19" s="134"/>
      <c r="S19" s="134"/>
      <c r="T19" s="134"/>
      <c r="U19" s="134"/>
      <c r="V19" s="134"/>
      <c r="W19" s="134"/>
      <c r="X19" s="134"/>
      <c r="Y19" s="134"/>
      <c r="Z19" s="134">
        <f t="shared" si="0"/>
        <v>0</v>
      </c>
    </row>
    <row r="20" spans="1:26" x14ac:dyDescent="0.25">
      <c r="A20" t="str">
        <v>FY25 Max</v>
      </c>
      <c r="G20" s="15"/>
      <c r="H20" s="109"/>
      <c r="I20" s="109"/>
      <c r="J20" s="109"/>
      <c r="K20" s="109"/>
      <c r="L20" s="109"/>
      <c r="M20" s="109"/>
      <c r="Q20" s="15"/>
      <c r="R20" s="134"/>
      <c r="S20" s="134"/>
      <c r="T20" s="134"/>
      <c r="U20" s="134"/>
      <c r="V20" s="134"/>
      <c r="W20" s="134"/>
      <c r="X20" s="134"/>
      <c r="Y20" s="134"/>
      <c r="Z20" s="134">
        <f t="shared" si="0"/>
        <v>0</v>
      </c>
    </row>
    <row r="21" spans="1:26" x14ac:dyDescent="0.25">
      <c r="A21" t="str">
        <v>FY25 Average</v>
      </c>
      <c r="G21" s="15"/>
      <c r="H21" s="109"/>
      <c r="I21" s="109"/>
      <c r="J21" s="109"/>
      <c r="K21" s="109"/>
      <c r="L21" s="109"/>
      <c r="M21" s="109"/>
      <c r="Q21" s="15"/>
      <c r="R21" s="134"/>
      <c r="S21" s="134"/>
      <c r="T21" s="134"/>
      <c r="U21" s="134"/>
      <c r="V21" s="134"/>
      <c r="W21" s="134"/>
      <c r="X21" s="134"/>
      <c r="Y21" s="134"/>
      <c r="Z21" s="134">
        <f t="shared" si="0"/>
        <v>0</v>
      </c>
    </row>
    <row r="22" spans="1:26" x14ac:dyDescent="0.25">
      <c r="A22" t="str">
        <v>Forecast</v>
      </c>
      <c r="G22" s="15"/>
      <c r="H22" s="109"/>
      <c r="I22" s="109"/>
      <c r="J22" s="109"/>
      <c r="K22" s="109"/>
      <c r="L22" s="109"/>
      <c r="M22" s="109"/>
      <c r="Q22" s="15"/>
      <c r="R22" s="134"/>
      <c r="S22" s="134"/>
      <c r="T22" s="134"/>
      <c r="U22" s="134"/>
      <c r="V22" s="134"/>
      <c r="W22" s="134"/>
      <c r="X22" s="134"/>
      <c r="Y22" s="134"/>
      <c r="Z22" s="134">
        <f t="shared" si="0"/>
        <v>0</v>
      </c>
    </row>
    <row r="23" spans="1:26" x14ac:dyDescent="0.25">
      <c r="A23" t="str">
        <v>Difference</v>
      </c>
      <c r="G23" s="15"/>
      <c r="H23" s="109"/>
      <c r="I23" s="109"/>
      <c r="J23" s="109"/>
      <c r="K23" s="109"/>
      <c r="L23" s="109"/>
      <c r="M23" s="109"/>
      <c r="Q23" s="15"/>
      <c r="R23" s="134"/>
      <c r="S23" s="134"/>
      <c r="T23" s="134"/>
      <c r="U23" s="134"/>
      <c r="V23" s="134"/>
      <c r="W23" s="134"/>
      <c r="X23" s="134"/>
      <c r="Y23" s="134"/>
      <c r="Z23" s="134">
        <f t="shared" si="0"/>
        <v>0</v>
      </c>
    </row>
    <row r="24" spans="1:26" x14ac:dyDescent="0.25">
      <c r="A24" t="str">
        <v>Plant2</v>
      </c>
      <c r="G24" s="15"/>
      <c r="H24" s="109"/>
      <c r="I24" s="109"/>
      <c r="J24" s="109"/>
      <c r="K24" s="109"/>
      <c r="L24" s="109"/>
      <c r="M24" s="109"/>
      <c r="Q24" s="15"/>
      <c r="R24" s="134"/>
      <c r="S24" s="134"/>
      <c r="T24" s="134"/>
      <c r="U24" s="134"/>
      <c r="V24" s="134"/>
      <c r="W24" s="134"/>
      <c r="X24" s="134"/>
      <c r="Y24" s="134"/>
      <c r="Z24" s="134">
        <f t="shared" si="0"/>
        <v>0</v>
      </c>
    </row>
    <row r="25" spans="1:26" x14ac:dyDescent="0.25">
      <c r="A25" t="str">
        <v>Customer</v>
      </c>
      <c r="G25" s="15"/>
      <c r="H25" s="109"/>
      <c r="I25" s="109"/>
      <c r="J25" s="109"/>
      <c r="K25" s="109"/>
      <c r="L25" s="109"/>
      <c r="M25" s="109"/>
      <c r="Q25" s="15"/>
      <c r="R25" s="134"/>
      <c r="S25" s="134"/>
      <c r="T25" s="134"/>
      <c r="U25" s="134"/>
      <c r="V25" s="134"/>
      <c r="W25" s="134"/>
      <c r="X25" s="134"/>
      <c r="Y25" s="134"/>
      <c r="Z25" s="134">
        <f t="shared" si="0"/>
        <v>0</v>
      </c>
    </row>
    <row r="26" spans="1:26" x14ac:dyDescent="0.25">
      <c r="A26" t="str">
        <v>CTL Size</v>
      </c>
      <c r="G26" s="15"/>
      <c r="H26" s="109"/>
      <c r="I26" s="109"/>
      <c r="J26" s="109"/>
      <c r="K26" s="109"/>
      <c r="L26" s="109"/>
      <c r="M26" s="109"/>
      <c r="Q26" s="15"/>
      <c r="R26" s="134"/>
      <c r="S26" s="134"/>
      <c r="T26" s="134"/>
      <c r="U26" s="134"/>
      <c r="V26" s="134"/>
      <c r="W26" s="134"/>
      <c r="X26" s="134"/>
      <c r="Y26" s="134"/>
      <c r="Z26" s="134">
        <f t="shared" si="0"/>
        <v>0</v>
      </c>
    </row>
    <row r="27" spans="1:26" x14ac:dyDescent="0.25">
      <c r="A27" t="str">
        <v>CTL Codes</v>
      </c>
      <c r="G27" s="15"/>
      <c r="H27" s="109"/>
      <c r="I27" s="109"/>
      <c r="J27" s="109"/>
      <c r="K27" s="109"/>
      <c r="L27" s="109"/>
      <c r="M27" s="109"/>
      <c r="Q27" s="15"/>
      <c r="R27" s="134"/>
      <c r="S27" s="134"/>
      <c r="T27" s="134"/>
      <c r="U27" s="134"/>
      <c r="V27" s="134"/>
      <c r="W27" s="134"/>
      <c r="X27" s="134"/>
      <c r="Y27" s="134"/>
      <c r="Z27" s="134">
        <f t="shared" si="0"/>
        <v>0</v>
      </c>
    </row>
    <row r="28" spans="1:26" x14ac:dyDescent="0.25">
      <c r="A28" t="str">
        <v>Bucket2</v>
      </c>
      <c r="G28" s="15"/>
      <c r="H28" s="109"/>
      <c r="I28" s="109"/>
      <c r="J28" s="109"/>
      <c r="K28" s="109"/>
      <c r="L28" s="109"/>
      <c r="M28" s="109"/>
      <c r="Q28" s="15"/>
      <c r="R28" s="134"/>
      <c r="S28" s="134"/>
      <c r="T28" s="134"/>
      <c r="U28" s="134"/>
      <c r="V28" s="134"/>
      <c r="W28" s="134"/>
      <c r="X28" s="134"/>
      <c r="Y28" s="134"/>
      <c r="Z28" s="134">
        <f t="shared" si="0"/>
        <v>0</v>
      </c>
    </row>
    <row r="29" spans="1:26" x14ac:dyDescent="0.25">
      <c r="A29" t="str">
        <v>Schedule</v>
      </c>
      <c r="G29" s="15"/>
      <c r="H29" s="109"/>
      <c r="I29" s="109"/>
      <c r="J29" s="109"/>
      <c r="K29" s="109"/>
      <c r="L29" s="109"/>
      <c r="M29" s="109"/>
      <c r="Q29" s="15"/>
      <c r="R29" s="134"/>
      <c r="S29" s="134"/>
      <c r="T29" s="134"/>
      <c r="U29" s="134"/>
      <c r="V29" s="134"/>
      <c r="W29" s="134"/>
      <c r="X29" s="134"/>
      <c r="Y29" s="134"/>
      <c r="Z29" s="134">
        <f t="shared" si="0"/>
        <v>0</v>
      </c>
    </row>
    <row r="30" spans="1:26" x14ac:dyDescent="0.25">
      <c r="A30" t="str">
        <v>Sales</v>
      </c>
      <c r="G30" s="15"/>
      <c r="H30" s="109"/>
      <c r="I30" s="109"/>
      <c r="J30" s="109"/>
      <c r="K30" s="109"/>
      <c r="L30" s="109"/>
      <c r="M30" s="109"/>
      <c r="Q30" s="15"/>
      <c r="R30" s="134"/>
      <c r="S30" s="134"/>
      <c r="T30" s="134"/>
      <c r="U30" s="134"/>
      <c r="V30" s="134"/>
      <c r="W30" s="134"/>
      <c r="X30" s="134"/>
      <c r="Y30" s="134"/>
      <c r="Z30" s="134">
        <f t="shared" si="0"/>
        <v>0</v>
      </c>
    </row>
    <row r="31" spans="1:26" x14ac:dyDescent="0.25">
      <c r="A31" t="str">
        <v>Stock CTL</v>
      </c>
      <c r="G31" s="15"/>
      <c r="H31" s="109"/>
      <c r="I31" s="109"/>
      <c r="J31" s="109"/>
      <c r="K31" s="109"/>
      <c r="L31" s="109"/>
      <c r="M31" s="109"/>
      <c r="Q31" s="15"/>
      <c r="R31" s="134"/>
      <c r="S31" s="134"/>
      <c r="T31" s="134"/>
      <c r="U31" s="134"/>
      <c r="V31" s="134"/>
      <c r="W31" s="134"/>
      <c r="X31" s="134"/>
      <c r="Y31" s="134"/>
      <c r="Z31" s="134">
        <f t="shared" si="0"/>
        <v>0</v>
      </c>
    </row>
    <row r="32" spans="1:26" x14ac:dyDescent="0.25">
      <c r="A32" t="str">
        <v>Stock LL</v>
      </c>
      <c r="G32" s="15"/>
      <c r="H32" s="109"/>
      <c r="I32" s="109"/>
      <c r="J32" s="109"/>
      <c r="K32" s="109"/>
      <c r="L32" s="109"/>
      <c r="M32" s="109"/>
      <c r="Q32" s="15"/>
      <c r="R32" s="134"/>
      <c r="S32" s="134"/>
      <c r="T32" s="134"/>
      <c r="U32" s="134"/>
      <c r="V32" s="134"/>
      <c r="W32" s="134"/>
      <c r="X32" s="134"/>
      <c r="Y32" s="134"/>
      <c r="Z32" s="134">
        <f t="shared" si="0"/>
        <v>0</v>
      </c>
    </row>
    <row r="33" spans="1:26" x14ac:dyDescent="0.25">
      <c r="A33" t="str">
        <v>Stock LL Check</v>
      </c>
      <c r="G33" s="15"/>
      <c r="H33" s="109"/>
      <c r="I33" s="109"/>
      <c r="J33" s="109"/>
      <c r="K33" s="109"/>
      <c r="L33" s="109"/>
      <c r="M33" s="109"/>
      <c r="Q33" s="15"/>
      <c r="R33" s="134"/>
      <c r="S33" s="134"/>
      <c r="T33" s="134"/>
      <c r="U33" s="134"/>
      <c r="V33" s="134"/>
      <c r="W33" s="134"/>
      <c r="X33" s="134"/>
      <c r="Y33" s="134"/>
      <c r="Z33" s="134">
        <f t="shared" si="0"/>
        <v>0</v>
      </c>
    </row>
    <row r="34" spans="1:26" x14ac:dyDescent="0.25">
      <c r="A34" t="str">
        <v>WIP</v>
      </c>
      <c r="G34" s="15"/>
      <c r="H34" s="109"/>
      <c r="I34" s="109"/>
      <c r="J34" s="109"/>
      <c r="K34" s="109"/>
      <c r="L34" s="109"/>
      <c r="M34" s="109"/>
      <c r="Q34" s="15"/>
      <c r="R34" s="134"/>
      <c r="S34" s="134"/>
      <c r="T34" s="134"/>
      <c r="U34" s="134"/>
      <c r="V34" s="134"/>
      <c r="W34" s="134"/>
      <c r="X34" s="134"/>
      <c r="Y34" s="134"/>
      <c r="Z34" s="134">
        <f t="shared" si="0"/>
        <v>0</v>
      </c>
    </row>
    <row r="35" spans="1:26" x14ac:dyDescent="0.25">
      <c r="A35" t="str">
        <v>WIP Check</v>
      </c>
      <c r="G35" s="15"/>
      <c r="H35" s="109"/>
      <c r="I35" s="109"/>
      <c r="J35" s="109"/>
      <c r="K35" s="109"/>
      <c r="L35" s="109"/>
      <c r="M35" s="109"/>
      <c r="Q35" s="15"/>
      <c r="R35" s="134"/>
      <c r="S35" s="134"/>
      <c r="T35" s="134"/>
      <c r="U35" s="134"/>
      <c r="V35" s="134"/>
      <c r="W35" s="134"/>
      <c r="X35" s="134"/>
      <c r="Y35" s="134"/>
      <c r="Z35" s="134">
        <f t="shared" si="0"/>
        <v>0</v>
      </c>
    </row>
    <row r="36" spans="1:26" x14ac:dyDescent="0.25">
      <c r="A36" t="str">
        <v>Khopoli Stock LL</v>
      </c>
      <c r="G36" s="15"/>
      <c r="H36" s="109"/>
      <c r="I36" s="109"/>
      <c r="J36" s="109"/>
      <c r="K36" s="109"/>
      <c r="L36" s="109"/>
      <c r="M36" s="109"/>
      <c r="Q36" s="15"/>
      <c r="R36" s="134"/>
      <c r="S36" s="134"/>
      <c r="T36" s="134"/>
      <c r="U36" s="134"/>
      <c r="V36" s="134"/>
      <c r="W36" s="134"/>
      <c r="X36" s="134"/>
      <c r="Y36" s="134"/>
      <c r="Z36" s="134">
        <f t="shared" si="0"/>
        <v>0</v>
      </c>
    </row>
    <row r="37" spans="1:26" x14ac:dyDescent="0.25">
      <c r="A37" t="str">
        <v>Coverage Days</v>
      </c>
      <c r="G37" s="15"/>
      <c r="H37" s="109"/>
      <c r="I37" s="109"/>
      <c r="J37" s="109"/>
      <c r="K37" s="109"/>
      <c r="L37" s="109"/>
      <c r="M37" s="109"/>
      <c r="Q37" s="15"/>
      <c r="R37" s="134"/>
      <c r="S37" s="134"/>
      <c r="T37" s="134"/>
      <c r="U37" s="134"/>
      <c r="V37" s="134"/>
      <c r="W37" s="134"/>
      <c r="X37" s="134"/>
      <c r="Y37" s="134"/>
      <c r="Z37" s="134">
        <f t="shared" si="0"/>
        <v>0</v>
      </c>
    </row>
    <row r="38" spans="1:26" x14ac:dyDescent="0.25">
      <c r="A38" t="str">
        <v>Coverage without WIP</v>
      </c>
      <c r="G38" s="15"/>
      <c r="H38" s="109"/>
      <c r="I38" s="109"/>
      <c r="J38" s="109"/>
      <c r="K38" s="109"/>
      <c r="L38" s="109"/>
      <c r="M38" s="109"/>
      <c r="Q38" s="15"/>
      <c r="R38" s="134"/>
      <c r="S38" s="134"/>
      <c r="T38" s="134"/>
      <c r="U38" s="134"/>
      <c r="V38" s="134"/>
      <c r="W38" s="134"/>
      <c r="X38" s="134"/>
      <c r="Y38" s="134"/>
      <c r="Z38" s="134">
        <f t="shared" si="0"/>
        <v>0</v>
      </c>
    </row>
    <row r="39" spans="1:26" x14ac:dyDescent="0.25">
      <c r="A39" t="str">
        <v>0789 LL Stock</v>
      </c>
      <c r="Q39" s="15"/>
      <c r="R39" s="134"/>
      <c r="S39" s="134"/>
      <c r="T39" s="134"/>
      <c r="U39" s="134"/>
      <c r="V39" s="134"/>
      <c r="W39" s="134"/>
      <c r="X39" s="134"/>
      <c r="Y39" s="134"/>
      <c r="Z39" s="134">
        <f t="shared" si="0"/>
        <v>0</v>
      </c>
    </row>
    <row r="40" spans="1:26" x14ac:dyDescent="0.25">
      <c r="A40" t="str">
        <v>Scehdule - Sales</v>
      </c>
      <c r="Q40" s="15"/>
      <c r="R40" s="134"/>
      <c r="S40" s="134"/>
      <c r="T40" s="134"/>
      <c r="U40" s="134"/>
      <c r="V40" s="134"/>
      <c r="W40" s="134"/>
      <c r="X40" s="134"/>
      <c r="Y40" s="134"/>
      <c r="Z40" s="134">
        <f t="shared" si="0"/>
        <v>0</v>
      </c>
    </row>
    <row r="41" spans="1:26" x14ac:dyDescent="0.25">
      <c r="A41" t="str">
        <v>Stock Khopoli</v>
      </c>
      <c r="Q41" s="15"/>
      <c r="R41" s="134"/>
      <c r="S41" s="134"/>
      <c r="T41" s="134"/>
      <c r="U41" s="134"/>
      <c r="V41" s="134"/>
      <c r="W41" s="134"/>
      <c r="X41" s="134"/>
      <c r="Y41" s="134"/>
      <c r="Z41" s="134">
        <f t="shared" si="0"/>
        <v>0</v>
      </c>
    </row>
    <row r="42" spans="1:26" x14ac:dyDescent="0.25">
      <c r="A42" t="str">
        <v>Rajsriya Schedule</v>
      </c>
      <c r="Q42" s="15"/>
      <c r="R42" s="134"/>
      <c r="S42" s="134"/>
      <c r="T42" s="134"/>
      <c r="U42" s="134"/>
      <c r="V42" s="134"/>
      <c r="W42" s="134"/>
      <c r="X42" s="134"/>
      <c r="Y42" s="134"/>
      <c r="Z42" s="134">
        <f t="shared" si="0"/>
        <v>0</v>
      </c>
    </row>
    <row r="43" spans="1:26" x14ac:dyDescent="0.25">
      <c r="A43" t="str">
        <v>Rajsriya Sales</v>
      </c>
      <c r="Q43" s="15"/>
      <c r="R43" s="134"/>
      <c r="S43" s="134"/>
      <c r="T43" s="134"/>
      <c r="U43" s="134"/>
      <c r="V43" s="134"/>
      <c r="W43" s="134"/>
      <c r="X43" s="134"/>
      <c r="Y43" s="134"/>
      <c r="Z43" s="134">
        <f t="shared" si="0"/>
        <v>0</v>
      </c>
    </row>
    <row r="44" spans="1:26" x14ac:dyDescent="0.25">
      <c r="A44" t="str">
        <v>4318 Stock</v>
      </c>
      <c r="Q44" s="15"/>
      <c r="R44" s="134"/>
      <c r="S44" s="134"/>
      <c r="T44" s="134"/>
      <c r="U44" s="134"/>
      <c r="V44" s="134"/>
      <c r="W44" s="134"/>
      <c r="X44" s="134"/>
      <c r="Y44" s="134"/>
      <c r="Z44" s="134">
        <f t="shared" si="0"/>
        <v>0</v>
      </c>
    </row>
    <row r="45" spans="1:26" x14ac:dyDescent="0.25">
      <c r="A45" t="str">
        <v>4731 Stock CTL</v>
      </c>
      <c r="Q45" s="15"/>
      <c r="R45" s="134"/>
      <c r="S45" s="134"/>
      <c r="T45" s="134"/>
      <c r="U45" s="134"/>
      <c r="V45" s="134"/>
      <c r="W45" s="134"/>
      <c r="X45" s="134"/>
      <c r="Y45" s="134"/>
      <c r="Z45" s="134">
        <f t="shared" si="0"/>
        <v>0</v>
      </c>
    </row>
    <row r="46" spans="1:26" x14ac:dyDescent="0.25">
      <c r="A46" t="str">
        <v>4731 StockLL</v>
      </c>
      <c r="Q46" s="15"/>
      <c r="R46" s="134"/>
      <c r="S46" s="134"/>
      <c r="T46" s="134"/>
      <c r="U46" s="134"/>
      <c r="V46" s="134"/>
      <c r="W46" s="134"/>
      <c r="X46" s="134"/>
      <c r="Y46" s="134"/>
      <c r="Z46" s="134">
        <f t="shared" si="0"/>
        <v>0</v>
      </c>
    </row>
    <row r="47" spans="1:26" x14ac:dyDescent="0.25">
      <c r="A47" t="str">
        <v>8406 Stock</v>
      </c>
      <c r="Q47" s="15"/>
      <c r="R47" s="134"/>
      <c r="S47" s="134"/>
      <c r="T47" s="134"/>
      <c r="U47" s="134"/>
      <c r="V47" s="134"/>
      <c r="W47" s="134"/>
      <c r="X47" s="134"/>
      <c r="Y47" s="134"/>
      <c r="Z47" s="134">
        <f t="shared" si="0"/>
        <v>0</v>
      </c>
    </row>
    <row r="48" spans="1:26" x14ac:dyDescent="0.25">
      <c r="Q48" s="15"/>
      <c r="R48" s="134"/>
      <c r="S48" s="134"/>
      <c r="T48" s="134"/>
      <c r="U48" s="134"/>
      <c r="V48" s="134"/>
      <c r="W48" s="134"/>
      <c r="X48" s="134"/>
      <c r="Y48" s="134"/>
      <c r="Z48" s="134">
        <f t="shared" si="0"/>
        <v>0</v>
      </c>
    </row>
    <row r="49" spans="17:26" x14ac:dyDescent="0.25">
      <c r="Q49" s="15"/>
      <c r="R49" s="134"/>
      <c r="S49" s="134"/>
      <c r="T49" s="134"/>
      <c r="U49" s="134"/>
      <c r="V49" s="134"/>
      <c r="W49" s="134"/>
      <c r="X49" s="134"/>
      <c r="Y49" s="134"/>
      <c r="Z49" s="134">
        <f t="shared" si="0"/>
        <v>0</v>
      </c>
    </row>
    <row r="50" spans="17:26" x14ac:dyDescent="0.25">
      <c r="Q50" s="15"/>
      <c r="R50" s="134"/>
      <c r="S50" s="134"/>
      <c r="T50" s="134"/>
      <c r="U50" s="134"/>
      <c r="V50" s="134"/>
      <c r="W50" s="134"/>
      <c r="X50" s="134"/>
      <c r="Y50" s="134"/>
      <c r="Z50" s="134">
        <f t="shared" si="0"/>
        <v>0</v>
      </c>
    </row>
    <row r="51" spans="17:26" x14ac:dyDescent="0.25">
      <c r="Q51" s="15"/>
      <c r="R51" s="134"/>
      <c r="S51" s="134"/>
      <c r="T51" s="134"/>
      <c r="U51" s="134"/>
      <c r="V51" s="134"/>
      <c r="W51" s="134"/>
      <c r="X51" s="134"/>
      <c r="Y51" s="134"/>
      <c r="Z51" s="134">
        <f t="shared" si="0"/>
        <v>0</v>
      </c>
    </row>
    <row r="52" spans="17:26" x14ac:dyDescent="0.25">
      <c r="Q52" s="15"/>
      <c r="R52" s="134"/>
      <c r="S52" s="134"/>
      <c r="T52" s="134"/>
      <c r="U52" s="134"/>
      <c r="V52" s="134"/>
      <c r="W52" s="134"/>
      <c r="X52" s="134"/>
      <c r="Y52" s="134"/>
      <c r="Z52" s="134">
        <f t="shared" si="0"/>
        <v>0</v>
      </c>
    </row>
    <row r="53" spans="17:26" x14ac:dyDescent="0.25">
      <c r="Q53" s="15"/>
      <c r="R53" s="134"/>
      <c r="S53" s="134"/>
      <c r="T53" s="134"/>
      <c r="U53" s="134"/>
      <c r="V53" s="134"/>
      <c r="W53" s="134"/>
      <c r="X53" s="134"/>
      <c r="Y53" s="134"/>
      <c r="Z53" s="134">
        <f t="shared" si="0"/>
        <v>0</v>
      </c>
    </row>
    <row r="54" spans="17:26" x14ac:dyDescent="0.25">
      <c r="Q54" s="15"/>
      <c r="R54" s="134"/>
      <c r="S54" s="134"/>
      <c r="T54" s="134"/>
      <c r="U54" s="134"/>
      <c r="V54" s="134"/>
      <c r="W54" s="134"/>
      <c r="X54" s="134"/>
      <c r="Y54" s="134"/>
      <c r="Z54" s="134">
        <f t="shared" si="0"/>
        <v>0</v>
      </c>
    </row>
    <row r="55" spans="17:26" x14ac:dyDescent="0.25">
      <c r="Q55" s="15"/>
      <c r="R55" s="134"/>
      <c r="S55" s="134"/>
      <c r="T55" s="134"/>
      <c r="U55" s="134"/>
      <c r="V55" s="134"/>
      <c r="W55" s="134"/>
      <c r="X55" s="134"/>
      <c r="Y55" s="134"/>
      <c r="Z55" s="134">
        <f t="shared" si="0"/>
        <v>0</v>
      </c>
    </row>
    <row r="56" spans="17:26" x14ac:dyDescent="0.25">
      <c r="Q56" s="15"/>
      <c r="R56" s="134"/>
      <c r="S56" s="134"/>
      <c r="T56" s="134"/>
      <c r="U56" s="134"/>
      <c r="V56" s="134"/>
      <c r="W56" s="134"/>
      <c r="X56" s="134"/>
      <c r="Y56" s="134"/>
      <c r="Z56" s="134">
        <f t="shared" si="0"/>
        <v>0</v>
      </c>
    </row>
    <row r="57" spans="17:26" x14ac:dyDescent="0.25">
      <c r="Q57" s="15"/>
      <c r="R57" s="134"/>
      <c r="S57" s="134"/>
      <c r="T57" s="134"/>
      <c r="U57" s="134"/>
      <c r="V57" s="134"/>
      <c r="W57" s="134"/>
      <c r="X57" s="134"/>
      <c r="Y57" s="134"/>
      <c r="Z57" s="134">
        <f t="shared" si="0"/>
        <v>0</v>
      </c>
    </row>
    <row r="58" spans="17:26" x14ac:dyDescent="0.25">
      <c r="Q58" s="15"/>
      <c r="R58" s="134"/>
      <c r="S58" s="134"/>
      <c r="T58" s="134"/>
      <c r="U58" s="134"/>
      <c r="V58" s="134"/>
      <c r="W58" s="134"/>
      <c r="X58" s="134"/>
      <c r="Y58" s="134"/>
      <c r="Z58" s="134">
        <f t="shared" si="0"/>
        <v>0</v>
      </c>
    </row>
  </sheetData>
  <dataValidations count="2">
    <dataValidation type="list" allowBlank="1" showInputMessage="1" showErrorMessage="1" sqref="H3:M3 R3:Y3" xr:uid="{7886D19A-FB2F-48CA-A520-E7BF5BBDACD2}">
      <formula1>_xlfn.ANCHORARRAY($A$3)</formula1>
    </dataValidation>
    <dataValidation type="list" allowBlank="1" showInputMessage="1" showErrorMessage="1" sqref="G3 Q3" xr:uid="{BB75E85B-310F-4AA1-994D-37943D973A44}">
      <formula1>_xlfn.ANCHORARRAY(A3)</formula1>
    </dataValidation>
  </dataValidation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5"/>
  <dimension ref="A1:D34"/>
  <sheetViews>
    <sheetView workbookViewId="0">
      <selection activeCell="B4" sqref="B4"/>
    </sheetView>
  </sheetViews>
  <sheetFormatPr defaultRowHeight="15" x14ac:dyDescent="0.25"/>
  <cols>
    <col min="1" max="1" width="22.42578125" bestFit="1" customWidth="1"/>
    <col min="2" max="2" width="14.85546875" bestFit="1" customWidth="1"/>
    <col min="3" max="3" width="11.140625" bestFit="1" customWidth="1"/>
    <col min="4" max="4" width="16.85546875" bestFit="1" customWidth="1"/>
  </cols>
  <sheetData>
    <row r="1" spans="1:4" x14ac:dyDescent="0.25">
      <c r="A1" s="89" t="s">
        <v>261</v>
      </c>
      <c r="B1" s="89" t="s">
        <v>6580</v>
      </c>
      <c r="C1" s="89" t="s">
        <v>6581</v>
      </c>
      <c r="D1" s="89" t="s">
        <v>6585</v>
      </c>
    </row>
    <row r="2" spans="1:4" x14ac:dyDescent="0.25">
      <c r="A2" s="15" t="s">
        <v>416</v>
      </c>
      <c r="B2" s="72">
        <v>1.2697281120000001</v>
      </c>
      <c r="C2" s="72">
        <v>0.31097599999999997</v>
      </c>
      <c r="D2" s="72">
        <v>4.4172800000000008</v>
      </c>
    </row>
    <row r="3" spans="1:4" x14ac:dyDescent="0.25">
      <c r="A3" s="15" t="s">
        <v>423</v>
      </c>
      <c r="B3" s="72">
        <v>17.572208729280007</v>
      </c>
      <c r="C3" s="72">
        <v>0.40799999999999997</v>
      </c>
      <c r="D3" s="72">
        <v>3.278</v>
      </c>
    </row>
    <row r="4" spans="1:4" x14ac:dyDescent="0.25">
      <c r="A4" s="15" t="s">
        <v>557</v>
      </c>
      <c r="B4" s="72">
        <v>2.1433318200000002</v>
      </c>
      <c r="C4" s="72">
        <v>0.28399999999999997</v>
      </c>
      <c r="D4" s="72">
        <v>31.312919999999995</v>
      </c>
    </row>
    <row r="5" spans="1:4" x14ac:dyDescent="0.25">
      <c r="A5" s="15" t="s">
        <v>980</v>
      </c>
      <c r="B5" s="72">
        <v>3.0106243600000004</v>
      </c>
      <c r="C5" s="72">
        <v>0.75380000000000003</v>
      </c>
      <c r="D5" s="72">
        <v>13.471126000000002</v>
      </c>
    </row>
    <row r="6" spans="1:4" x14ac:dyDescent="0.25">
      <c r="A6" s="15" t="s">
        <v>648</v>
      </c>
      <c r="B6" s="72">
        <v>2.9235622905</v>
      </c>
      <c r="C6" s="72">
        <v>0.34789999999999999</v>
      </c>
      <c r="D6" s="72">
        <v>10.071</v>
      </c>
    </row>
    <row r="7" spans="1:4" x14ac:dyDescent="0.25">
      <c r="A7" s="15" t="s">
        <v>471</v>
      </c>
      <c r="B7" s="72">
        <v>3.9354212551500001</v>
      </c>
      <c r="C7" s="72">
        <v>2.423</v>
      </c>
      <c r="D7" s="72">
        <v>26.135000000000002</v>
      </c>
    </row>
    <row r="8" spans="1:4" x14ac:dyDescent="0.25">
      <c r="A8" s="15" t="s">
        <v>407</v>
      </c>
      <c r="B8" s="72">
        <v>2.9936335123999998</v>
      </c>
      <c r="C8" s="72">
        <v>0</v>
      </c>
      <c r="D8" s="72">
        <v>17.030236999999996</v>
      </c>
    </row>
    <row r="9" spans="1:4" x14ac:dyDescent="0.25">
      <c r="A9" s="15" t="s">
        <v>995</v>
      </c>
      <c r="B9" s="72">
        <v>18.958342390560002</v>
      </c>
      <c r="C9" s="72">
        <v>6.0960589999999995</v>
      </c>
      <c r="D9" s="72">
        <v>21.868313000000001</v>
      </c>
    </row>
    <row r="10" spans="1:4" x14ac:dyDescent="0.25">
      <c r="A10" s="15" t="s">
        <v>996</v>
      </c>
      <c r="B10" s="72">
        <v>6.0194453530500001</v>
      </c>
      <c r="C10" s="72">
        <v>0</v>
      </c>
      <c r="D10" s="72">
        <v>16.020092999999996</v>
      </c>
    </row>
    <row r="11" spans="1:4" x14ac:dyDescent="0.25">
      <c r="A11" s="15" t="s">
        <v>724</v>
      </c>
      <c r="B11" s="72">
        <v>0.7102749007536</v>
      </c>
      <c r="C11" s="72">
        <v>0</v>
      </c>
      <c r="D11" s="72">
        <v>1.80924</v>
      </c>
    </row>
    <row r="12" spans="1:4" x14ac:dyDescent="0.25">
      <c r="A12" s="15" t="s">
        <v>997</v>
      </c>
      <c r="B12" s="72">
        <v>0.79365402900000015</v>
      </c>
      <c r="C12" s="72">
        <v>0</v>
      </c>
      <c r="D12" s="72">
        <v>4.5289999999999999</v>
      </c>
    </row>
    <row r="13" spans="1:4" x14ac:dyDescent="0.25">
      <c r="A13" s="15" t="s">
        <v>607</v>
      </c>
      <c r="B13" s="72">
        <v>0.34840014048000001</v>
      </c>
      <c r="C13" s="72">
        <v>0.67859999999999998</v>
      </c>
      <c r="D13" s="72">
        <v>31.870632000000001</v>
      </c>
    </row>
    <row r="14" spans="1:4" x14ac:dyDescent="0.25">
      <c r="A14" s="15" t="s">
        <v>412</v>
      </c>
      <c r="B14" s="72">
        <v>22.198996990720005</v>
      </c>
      <c r="C14" s="72">
        <v>4.9718689999999999</v>
      </c>
      <c r="D14" s="72">
        <v>126.71198100000002</v>
      </c>
    </row>
    <row r="15" spans="1:4" x14ac:dyDescent="0.25">
      <c r="A15" s="15" t="s">
        <v>633</v>
      </c>
      <c r="B15" s="72">
        <v>18.437057663920001</v>
      </c>
      <c r="C15" s="72">
        <v>4.2031099999999997</v>
      </c>
      <c r="D15" s="72">
        <v>45.417179999999995</v>
      </c>
    </row>
    <row r="16" spans="1:4" x14ac:dyDescent="0.25">
      <c r="A16" s="15" t="s">
        <v>785</v>
      </c>
      <c r="B16" s="72">
        <v>5.4445953276000001</v>
      </c>
      <c r="C16" s="72">
        <v>0.79008800000000001</v>
      </c>
      <c r="D16" s="72">
        <v>0.27500000000000002</v>
      </c>
    </row>
    <row r="17" spans="1:4" x14ac:dyDescent="0.25">
      <c r="A17" s="15" t="s">
        <v>1008</v>
      </c>
      <c r="B17" s="72">
        <v>3.8027942783999995</v>
      </c>
      <c r="C17" s="72">
        <v>0</v>
      </c>
      <c r="D17" s="72">
        <v>0</v>
      </c>
    </row>
    <row r="18" spans="1:4" x14ac:dyDescent="0.25">
      <c r="A18" s="15" t="s">
        <v>813</v>
      </c>
      <c r="B18" s="72">
        <v>8.7637509964800007</v>
      </c>
      <c r="C18" s="72">
        <v>0</v>
      </c>
      <c r="D18" s="72">
        <v>33.098815000000009</v>
      </c>
    </row>
    <row r="19" spans="1:4" x14ac:dyDescent="0.25">
      <c r="A19" s="15" t="s">
        <v>1019</v>
      </c>
      <c r="B19" s="72">
        <v>8.9926649487999999E-2</v>
      </c>
      <c r="C19" s="72">
        <v>0</v>
      </c>
      <c r="D19" s="72">
        <v>0</v>
      </c>
    </row>
    <row r="20" spans="1:4" x14ac:dyDescent="0.25">
      <c r="A20" s="15" t="s">
        <v>832</v>
      </c>
      <c r="B20" s="72">
        <v>4.5414893745000002</v>
      </c>
      <c r="C20" s="72">
        <v>8.1953790000000009</v>
      </c>
      <c r="D20" s="72">
        <v>10.765816999999998</v>
      </c>
    </row>
    <row r="21" spans="1:4" x14ac:dyDescent="0.25">
      <c r="A21" s="15" t="s">
        <v>1042</v>
      </c>
      <c r="B21" s="72">
        <v>2.3926969150000001</v>
      </c>
      <c r="C21" s="72">
        <v>0</v>
      </c>
      <c r="D21" s="72">
        <v>0</v>
      </c>
    </row>
    <row r="22" spans="1:4" x14ac:dyDescent="0.25">
      <c r="A22" s="15" t="s">
        <v>1043</v>
      </c>
      <c r="B22" s="72">
        <v>5.3810103100000006</v>
      </c>
      <c r="C22" s="72">
        <v>3.0974789999999999</v>
      </c>
      <c r="D22" s="72">
        <v>4.4325140000000003</v>
      </c>
    </row>
    <row r="23" spans="1:4" x14ac:dyDescent="0.25">
      <c r="A23" s="15" t="s">
        <v>860</v>
      </c>
      <c r="B23" s="72">
        <v>20.152555405200001</v>
      </c>
      <c r="C23" s="72">
        <v>4.2632940000000001</v>
      </c>
      <c r="D23" s="72">
        <v>48.794420000000002</v>
      </c>
    </row>
    <row r="24" spans="1:4" x14ac:dyDescent="0.25">
      <c r="A24" s="15" t="s">
        <v>4718</v>
      </c>
      <c r="B24" s="72">
        <v>4.3359499176000007</v>
      </c>
      <c r="C24" s="72">
        <v>18.748023999999997</v>
      </c>
      <c r="D24" s="72">
        <v>0.51500000000000001</v>
      </c>
    </row>
    <row r="25" spans="1:4" x14ac:dyDescent="0.25">
      <c r="A25" s="15" t="s">
        <v>875</v>
      </c>
      <c r="B25" s="72">
        <v>21.309067080000002</v>
      </c>
      <c r="C25" s="72">
        <v>10.584557000000002</v>
      </c>
      <c r="D25" s="72">
        <v>43.473850000000006</v>
      </c>
    </row>
    <row r="26" spans="1:4" x14ac:dyDescent="0.25">
      <c r="A26" s="15" t="s">
        <v>712</v>
      </c>
      <c r="B26" s="72">
        <v>7.6272930580000002</v>
      </c>
      <c r="C26" s="72">
        <v>0.53409200000000001</v>
      </c>
      <c r="D26" s="72">
        <v>51.420184000000006</v>
      </c>
    </row>
    <row r="27" spans="1:4" x14ac:dyDescent="0.25">
      <c r="A27" s="15" t="s">
        <v>895</v>
      </c>
      <c r="B27" s="72">
        <v>5.6596109046399992</v>
      </c>
      <c r="C27" s="72">
        <v>1.30657</v>
      </c>
      <c r="D27" s="72">
        <v>16.184000000000005</v>
      </c>
    </row>
    <row r="28" spans="1:4" x14ac:dyDescent="0.25">
      <c r="A28" s="15" t="s">
        <v>841</v>
      </c>
      <c r="B28" s="72">
        <v>7.904146248</v>
      </c>
      <c r="C28" s="72">
        <v>8.7900010000000002</v>
      </c>
      <c r="D28" s="72">
        <v>19.989000000000001</v>
      </c>
    </row>
    <row r="29" spans="1:4" x14ac:dyDescent="0.25">
      <c r="A29" s="15" t="s">
        <v>1065</v>
      </c>
      <c r="B29" s="72">
        <v>4.4829804095999997</v>
      </c>
      <c r="C29" s="72">
        <v>1.565116</v>
      </c>
      <c r="D29" s="72">
        <v>23.613</v>
      </c>
    </row>
    <row r="30" spans="1:4" x14ac:dyDescent="0.25">
      <c r="A30" s="15" t="s">
        <v>920</v>
      </c>
      <c r="B30" s="72">
        <v>8.5999525200000022</v>
      </c>
      <c r="C30" s="72">
        <v>4.7632510000000003</v>
      </c>
      <c r="D30" s="72">
        <v>58.449952000000003</v>
      </c>
    </row>
    <row r="31" spans="1:4" x14ac:dyDescent="0.25">
      <c r="A31" s="15" t="s">
        <v>904</v>
      </c>
      <c r="B31" s="72">
        <v>63.679281427124998</v>
      </c>
      <c r="C31" s="72">
        <v>41.508895000000003</v>
      </c>
      <c r="D31" s="72">
        <v>79.233279999999993</v>
      </c>
    </row>
    <row r="32" spans="1:4" x14ac:dyDescent="0.25">
      <c r="A32" s="15" t="s">
        <v>872</v>
      </c>
      <c r="B32" s="72">
        <v>11.770032484000001</v>
      </c>
      <c r="C32" s="72">
        <v>6.8979280000000012</v>
      </c>
      <c r="D32" s="72">
        <v>42.628486000000002</v>
      </c>
    </row>
    <row r="33" spans="1:4" x14ac:dyDescent="0.25">
      <c r="A33" s="15" t="s">
        <v>914</v>
      </c>
      <c r="B33" s="72">
        <v>5.1644287744000001</v>
      </c>
      <c r="C33" s="72">
        <v>2.656466</v>
      </c>
      <c r="D33" s="72">
        <v>45.701489999999993</v>
      </c>
    </row>
    <row r="34" spans="1:4" x14ac:dyDescent="0.25">
      <c r="B34" s="43">
        <f>SUM(B2:B33)</f>
        <v>292.4162436278466</v>
      </c>
      <c r="C34" s="43">
        <f>SUM(C2:C33)</f>
        <v>134.17845400000002</v>
      </c>
      <c r="D34" s="43"/>
    </row>
  </sheetData>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6"/>
  <dimension ref="A1:T82"/>
  <sheetViews>
    <sheetView workbookViewId="0">
      <selection activeCell="B55" sqref="B55:I82"/>
    </sheetView>
  </sheetViews>
  <sheetFormatPr defaultRowHeight="15" x14ac:dyDescent="0.25"/>
  <cols>
    <col min="1" max="1" width="11.140625" bestFit="1" customWidth="1"/>
    <col min="2" max="2" width="6" bestFit="1" customWidth="1"/>
    <col min="3" max="3" width="5" bestFit="1" customWidth="1"/>
    <col min="4" max="4" width="9.28515625" bestFit="1" customWidth="1"/>
    <col min="5" max="5" width="12.140625" bestFit="1" customWidth="1"/>
    <col min="6" max="6" width="7.5703125" bestFit="1" customWidth="1"/>
    <col min="7" max="7" width="5.5703125" bestFit="1" customWidth="1"/>
    <col min="9" max="9" width="5.5703125" bestFit="1" customWidth="1"/>
    <col min="11" max="11" width="7.85546875" bestFit="1" customWidth="1"/>
    <col min="12" max="12" width="6" bestFit="1" customWidth="1"/>
    <col min="13" max="13" width="14" bestFit="1" customWidth="1"/>
  </cols>
  <sheetData>
    <row r="1" spans="1:13" x14ac:dyDescent="0.25">
      <c r="A1" s="71" t="s">
        <v>937</v>
      </c>
      <c r="B1" s="71" t="s">
        <v>316</v>
      </c>
      <c r="C1" s="71" t="s">
        <v>317</v>
      </c>
      <c r="D1" s="71" t="s">
        <v>938</v>
      </c>
      <c r="E1" s="71" t="s">
        <v>315</v>
      </c>
      <c r="F1" s="71" t="s">
        <v>376</v>
      </c>
      <c r="G1" s="71" t="s">
        <v>1801</v>
      </c>
      <c r="H1" s="71" t="s">
        <v>1829</v>
      </c>
      <c r="I1" s="71" t="s">
        <v>269</v>
      </c>
      <c r="J1" s="71" t="s">
        <v>1803</v>
      </c>
      <c r="K1" s="71" t="s">
        <v>1804</v>
      </c>
      <c r="L1" s="71" t="s">
        <v>944</v>
      </c>
      <c r="M1" s="71" t="s">
        <v>2422</v>
      </c>
    </row>
    <row r="2" spans="1:13" x14ac:dyDescent="0.25">
      <c r="A2" s="15">
        <v>14</v>
      </c>
      <c r="B2" s="15">
        <v>14</v>
      </c>
      <c r="C2" s="15">
        <v>10.100000000000001</v>
      </c>
      <c r="D2" s="15">
        <v>1.95</v>
      </c>
      <c r="E2" s="15" t="s">
        <v>357</v>
      </c>
      <c r="F2" s="15" t="s">
        <v>357</v>
      </c>
      <c r="G2" s="61" t="s">
        <v>362</v>
      </c>
      <c r="H2" s="72">
        <v>1</v>
      </c>
      <c r="I2" s="72">
        <v>0</v>
      </c>
      <c r="J2" s="72">
        <v>0</v>
      </c>
      <c r="K2" s="72">
        <v>0</v>
      </c>
      <c r="L2" s="72">
        <v>0</v>
      </c>
      <c r="M2" s="72">
        <v>0</v>
      </c>
    </row>
    <row r="3" spans="1:13" x14ac:dyDescent="0.25">
      <c r="A3" s="15">
        <v>15.88</v>
      </c>
      <c r="B3" s="15">
        <v>15.88</v>
      </c>
      <c r="C3" s="15">
        <v>0</v>
      </c>
      <c r="D3" s="15">
        <v>1</v>
      </c>
      <c r="E3" s="15" t="s">
        <v>962</v>
      </c>
      <c r="F3" s="15" t="s">
        <v>963</v>
      </c>
      <c r="G3" s="61" t="s">
        <v>345</v>
      </c>
      <c r="H3" s="72">
        <v>2.2340351376000003</v>
      </c>
      <c r="I3" s="72">
        <v>2.2945129999999998</v>
      </c>
      <c r="J3" s="72">
        <v>0.25711000000000001</v>
      </c>
      <c r="K3" s="72">
        <v>0</v>
      </c>
      <c r="L3" s="15">
        <v>0</v>
      </c>
      <c r="M3" s="72">
        <v>0</v>
      </c>
    </row>
    <row r="4" spans="1:13" x14ac:dyDescent="0.25">
      <c r="A4" s="15">
        <v>22.23</v>
      </c>
      <c r="B4" s="15">
        <v>22.23</v>
      </c>
      <c r="C4" s="15">
        <v>0</v>
      </c>
      <c r="D4" s="15">
        <v>2</v>
      </c>
      <c r="E4" s="15" t="s">
        <v>993</v>
      </c>
      <c r="F4" s="15" t="s">
        <v>1003</v>
      </c>
      <c r="G4" s="61" t="s">
        <v>345</v>
      </c>
      <c r="H4" s="72">
        <v>5</v>
      </c>
      <c r="I4" s="72">
        <v>4.9276749999999998</v>
      </c>
      <c r="J4" s="72">
        <v>0</v>
      </c>
      <c r="K4" s="72">
        <v>0</v>
      </c>
      <c r="L4" s="72">
        <v>0</v>
      </c>
      <c r="M4" s="72">
        <v>0</v>
      </c>
    </row>
    <row r="5" spans="1:13" x14ac:dyDescent="0.25">
      <c r="A5" s="15">
        <v>25.4</v>
      </c>
      <c r="B5" s="15">
        <v>25.4</v>
      </c>
      <c r="C5" s="15">
        <v>0</v>
      </c>
      <c r="D5" s="15">
        <v>1.2</v>
      </c>
      <c r="E5" s="15" t="s">
        <v>962</v>
      </c>
      <c r="F5" s="15" t="s">
        <v>963</v>
      </c>
      <c r="G5" s="61" t="s">
        <v>345</v>
      </c>
      <c r="H5" s="72">
        <v>1.81</v>
      </c>
      <c r="I5" s="72">
        <v>2.737625</v>
      </c>
      <c r="J5" s="72">
        <v>0.45732</v>
      </c>
      <c r="K5" s="72">
        <v>0</v>
      </c>
      <c r="L5" s="72">
        <v>0</v>
      </c>
      <c r="M5" s="72">
        <v>0</v>
      </c>
    </row>
    <row r="6" spans="1:13" x14ac:dyDescent="0.25">
      <c r="A6" s="15">
        <v>25.4</v>
      </c>
      <c r="B6" s="15">
        <v>25.4</v>
      </c>
      <c r="C6" s="15">
        <v>0</v>
      </c>
      <c r="D6" s="15">
        <v>2</v>
      </c>
      <c r="E6" s="15" t="s">
        <v>962</v>
      </c>
      <c r="F6" s="15" t="s">
        <v>963</v>
      </c>
      <c r="G6" s="61" t="s">
        <v>345</v>
      </c>
      <c r="H6" s="72">
        <v>10.581136628399999</v>
      </c>
      <c r="I6" s="72">
        <v>0</v>
      </c>
      <c r="J6" s="72">
        <v>0</v>
      </c>
      <c r="K6" s="72">
        <v>1.633278</v>
      </c>
      <c r="L6" s="72">
        <v>0</v>
      </c>
      <c r="M6" s="72">
        <v>4.6307255752172587</v>
      </c>
    </row>
    <row r="7" spans="1:13" x14ac:dyDescent="0.25">
      <c r="A7" s="15">
        <v>28.58</v>
      </c>
      <c r="B7" s="15">
        <v>28.58</v>
      </c>
      <c r="C7" s="15">
        <v>0</v>
      </c>
      <c r="D7" s="15">
        <v>1.2</v>
      </c>
      <c r="E7" s="15" t="s">
        <v>962</v>
      </c>
      <c r="F7" s="15" t="s">
        <v>963</v>
      </c>
      <c r="G7" s="61" t="s">
        <v>345</v>
      </c>
      <c r="H7" s="72">
        <v>2.4097469297999994</v>
      </c>
      <c r="I7" s="72">
        <v>3.8097280000000002</v>
      </c>
      <c r="J7" s="72">
        <v>3.2926230000000003</v>
      </c>
      <c r="K7" s="72">
        <v>0</v>
      </c>
      <c r="L7" s="72">
        <v>0.89900000000000002</v>
      </c>
      <c r="M7" s="72">
        <v>11.192046627999405</v>
      </c>
    </row>
    <row r="8" spans="1:13" x14ac:dyDescent="0.25">
      <c r="A8" s="15">
        <v>28.58</v>
      </c>
      <c r="B8" s="15">
        <v>28.58</v>
      </c>
      <c r="C8" s="15">
        <v>0</v>
      </c>
      <c r="D8" s="15">
        <v>1.6</v>
      </c>
      <c r="E8" s="15" t="s">
        <v>962</v>
      </c>
      <c r="F8" s="15" t="s">
        <v>963</v>
      </c>
      <c r="G8" s="61" t="s">
        <v>345</v>
      </c>
      <c r="H8" s="72">
        <v>8.9926649487999999E-2</v>
      </c>
      <c r="I8" s="72">
        <v>0</v>
      </c>
      <c r="J8" s="72">
        <v>0</v>
      </c>
      <c r="K8" s="72">
        <v>0</v>
      </c>
      <c r="L8" s="72">
        <v>0</v>
      </c>
      <c r="M8" s="72">
        <v>0</v>
      </c>
    </row>
    <row r="9" spans="1:13" x14ac:dyDescent="0.25">
      <c r="A9" s="15">
        <v>29.28</v>
      </c>
      <c r="B9" s="15">
        <v>29.28</v>
      </c>
      <c r="C9" s="15">
        <v>0</v>
      </c>
      <c r="D9" s="15">
        <v>3.4</v>
      </c>
      <c r="E9" s="15" t="s">
        <v>357</v>
      </c>
      <c r="F9" s="15" t="s">
        <v>357</v>
      </c>
      <c r="G9" s="61" t="s">
        <v>362</v>
      </c>
      <c r="H9" s="72">
        <v>5</v>
      </c>
      <c r="I9" s="72">
        <v>0</v>
      </c>
      <c r="J9" s="72">
        <v>0</v>
      </c>
      <c r="K9" s="72">
        <v>0</v>
      </c>
      <c r="L9" s="72">
        <v>0</v>
      </c>
      <c r="M9" s="72">
        <v>0</v>
      </c>
    </row>
    <row r="10" spans="1:13" x14ac:dyDescent="0.25">
      <c r="A10" s="15">
        <v>31.75</v>
      </c>
      <c r="B10" s="15">
        <v>31.75</v>
      </c>
      <c r="C10" s="15">
        <v>0</v>
      </c>
      <c r="D10" s="15">
        <v>2.5</v>
      </c>
      <c r="E10" s="15" t="s">
        <v>962</v>
      </c>
      <c r="F10" s="15" t="s">
        <v>1003</v>
      </c>
      <c r="G10" s="61" t="s">
        <v>345</v>
      </c>
      <c r="H10" s="72">
        <v>12.622859876250001</v>
      </c>
      <c r="I10" s="72">
        <v>10.141773000000001</v>
      </c>
      <c r="J10" s="72">
        <v>0</v>
      </c>
      <c r="K10" s="72">
        <v>3.579707</v>
      </c>
      <c r="L10" s="72">
        <v>0</v>
      </c>
      <c r="M10" s="72">
        <v>8.5076766321439816</v>
      </c>
    </row>
    <row r="11" spans="1:13" x14ac:dyDescent="0.25">
      <c r="A11" s="15">
        <v>33.299999999999997</v>
      </c>
      <c r="B11" s="15">
        <v>33.299999999999997</v>
      </c>
      <c r="C11" s="15">
        <v>29.3</v>
      </c>
      <c r="D11" s="15">
        <v>2</v>
      </c>
      <c r="E11" s="15" t="s">
        <v>357</v>
      </c>
      <c r="F11" s="15" t="s">
        <v>357</v>
      </c>
      <c r="G11" s="61" t="s">
        <v>362</v>
      </c>
      <c r="H11" s="72">
        <v>1.5486792723</v>
      </c>
      <c r="I11" s="72">
        <v>0</v>
      </c>
      <c r="J11" s="72">
        <v>0</v>
      </c>
      <c r="K11" s="72">
        <v>0</v>
      </c>
      <c r="L11" s="72">
        <v>0</v>
      </c>
      <c r="M11" s="72">
        <v>0</v>
      </c>
    </row>
    <row r="12" spans="1:13" x14ac:dyDescent="0.25">
      <c r="A12" s="15">
        <v>34.93</v>
      </c>
      <c r="B12" s="15">
        <v>34.93</v>
      </c>
      <c r="C12" s="15">
        <v>0</v>
      </c>
      <c r="D12" s="15">
        <v>1.2</v>
      </c>
      <c r="E12" s="15" t="s">
        <v>962</v>
      </c>
      <c r="F12" s="15" t="s">
        <v>1003</v>
      </c>
      <c r="G12" s="61" t="s">
        <v>345</v>
      </c>
      <c r="H12" s="72">
        <v>1.1674901487599998</v>
      </c>
      <c r="I12" s="72">
        <v>0</v>
      </c>
      <c r="J12" s="72">
        <v>0</v>
      </c>
      <c r="K12" s="72">
        <v>0</v>
      </c>
      <c r="L12" s="72">
        <v>0</v>
      </c>
      <c r="M12" s="72">
        <v>0</v>
      </c>
    </row>
    <row r="13" spans="1:13" x14ac:dyDescent="0.25">
      <c r="A13" s="15">
        <v>38.1</v>
      </c>
      <c r="B13" s="15">
        <v>38.1</v>
      </c>
      <c r="C13" s="15">
        <v>0</v>
      </c>
      <c r="D13" s="15">
        <v>1.6</v>
      </c>
      <c r="E13" s="15" t="s">
        <v>985</v>
      </c>
      <c r="F13" s="15" t="s">
        <v>1003</v>
      </c>
      <c r="G13" s="61" t="s">
        <v>345</v>
      </c>
      <c r="H13" s="72">
        <v>16</v>
      </c>
      <c r="I13" s="72">
        <v>8.5705900000000028</v>
      </c>
      <c r="J13" s="72">
        <v>8.7389999999999995E-2</v>
      </c>
      <c r="K13" s="72">
        <v>0</v>
      </c>
      <c r="L13" s="72">
        <v>7.008</v>
      </c>
      <c r="M13" s="72">
        <v>13.14</v>
      </c>
    </row>
    <row r="14" spans="1:13" x14ac:dyDescent="0.25">
      <c r="A14" s="15">
        <v>38.1</v>
      </c>
      <c r="B14" s="15">
        <v>38.1</v>
      </c>
      <c r="C14" s="15">
        <v>0</v>
      </c>
      <c r="D14" s="15">
        <v>2</v>
      </c>
      <c r="E14" s="15" t="s">
        <v>962</v>
      </c>
      <c r="F14" s="15" t="s">
        <v>963</v>
      </c>
      <c r="G14" s="61" t="s">
        <v>345</v>
      </c>
      <c r="H14" s="72">
        <v>3.6132915980000004</v>
      </c>
      <c r="I14" s="72">
        <v>10.262</v>
      </c>
      <c r="J14" s="72">
        <v>0.58535700000000002</v>
      </c>
      <c r="K14" s="72">
        <v>0</v>
      </c>
      <c r="L14" s="72">
        <v>0.51500000000000001</v>
      </c>
      <c r="M14" s="72">
        <v>4.2758796462903126</v>
      </c>
    </row>
    <row r="15" spans="1:13" x14ac:dyDescent="0.25">
      <c r="A15" s="15">
        <v>38.1</v>
      </c>
      <c r="B15" s="15">
        <v>38.1</v>
      </c>
      <c r="C15" s="15">
        <v>0</v>
      </c>
      <c r="D15" s="15">
        <v>2.5</v>
      </c>
      <c r="E15" s="15" t="s">
        <v>985</v>
      </c>
      <c r="F15" s="15" t="s">
        <v>1003</v>
      </c>
      <c r="G15" s="61" t="s">
        <v>367</v>
      </c>
      <c r="H15" s="72">
        <v>25</v>
      </c>
      <c r="I15" s="72">
        <v>13.8825</v>
      </c>
      <c r="J15" s="72">
        <v>9.9136000000000002E-2</v>
      </c>
      <c r="K15" s="72">
        <v>10.609975999999998</v>
      </c>
      <c r="L15" s="72">
        <v>0</v>
      </c>
      <c r="M15" s="62">
        <v>12.731971199999997</v>
      </c>
    </row>
    <row r="16" spans="1:13" x14ac:dyDescent="0.25">
      <c r="A16" s="15">
        <v>41.28</v>
      </c>
      <c r="B16" s="15">
        <v>40</v>
      </c>
      <c r="C16" s="15">
        <v>25</v>
      </c>
      <c r="D16" s="15">
        <v>1.6</v>
      </c>
      <c r="E16" s="15" t="s">
        <v>229</v>
      </c>
      <c r="F16" s="15" t="s">
        <v>1003</v>
      </c>
      <c r="G16" s="61" t="s">
        <v>345</v>
      </c>
      <c r="H16" s="72">
        <v>21</v>
      </c>
      <c r="I16" s="72">
        <v>0</v>
      </c>
      <c r="J16" s="72">
        <v>0</v>
      </c>
      <c r="K16" s="72">
        <v>0</v>
      </c>
      <c r="L16" s="72">
        <v>0</v>
      </c>
      <c r="M16" s="72">
        <v>0</v>
      </c>
    </row>
    <row r="17" spans="1:13" x14ac:dyDescent="0.25">
      <c r="A17" s="15">
        <v>44.45</v>
      </c>
      <c r="B17" s="15">
        <v>40</v>
      </c>
      <c r="C17" s="15">
        <v>30</v>
      </c>
      <c r="D17" s="15">
        <v>2</v>
      </c>
      <c r="E17" s="15" t="s">
        <v>962</v>
      </c>
      <c r="F17" s="15" t="s">
        <v>1003</v>
      </c>
      <c r="G17" s="61" t="s">
        <v>345</v>
      </c>
      <c r="H17" s="72">
        <v>24.011351438400002</v>
      </c>
      <c r="I17" s="72">
        <v>17.131260000000001</v>
      </c>
      <c r="J17" s="72">
        <v>3.6046909999999999</v>
      </c>
      <c r="K17" s="72">
        <v>1.3002000000000002</v>
      </c>
      <c r="L17" s="15">
        <v>5.319</v>
      </c>
      <c r="M17" s="72">
        <v>8.2700884416871503</v>
      </c>
    </row>
    <row r="18" spans="1:13" x14ac:dyDescent="0.25">
      <c r="A18" s="15">
        <v>57.15</v>
      </c>
      <c r="B18" s="15">
        <v>57.15</v>
      </c>
      <c r="C18" s="15">
        <v>0</v>
      </c>
      <c r="D18" s="15">
        <v>2.5</v>
      </c>
      <c r="E18" s="15" t="s">
        <v>962</v>
      </c>
      <c r="F18" s="15" t="s">
        <v>1003</v>
      </c>
      <c r="G18" s="61" t="s">
        <v>345</v>
      </c>
      <c r="H18" s="72">
        <v>51</v>
      </c>
      <c r="I18" s="72">
        <v>3.5458010000000004</v>
      </c>
      <c r="J18" s="72">
        <v>6.8260980000000009</v>
      </c>
      <c r="K18" s="72">
        <v>0</v>
      </c>
      <c r="L18" s="72">
        <v>17.646000000000001</v>
      </c>
      <c r="M18" s="72">
        <v>10.38</v>
      </c>
    </row>
    <row r="19" spans="1:13" x14ac:dyDescent="0.25">
      <c r="A19" s="15">
        <v>60.3</v>
      </c>
      <c r="B19" s="15">
        <v>60.3</v>
      </c>
      <c r="C19" s="15">
        <v>0</v>
      </c>
      <c r="D19" s="15">
        <v>2</v>
      </c>
      <c r="E19" s="15" t="s">
        <v>962</v>
      </c>
      <c r="F19" s="15" t="s">
        <v>1003</v>
      </c>
      <c r="G19" s="61" t="s">
        <v>362</v>
      </c>
      <c r="H19" s="72">
        <v>14</v>
      </c>
      <c r="I19" s="72">
        <v>0</v>
      </c>
      <c r="J19" s="72">
        <v>0</v>
      </c>
      <c r="K19" s="72">
        <v>1.6960629999999999</v>
      </c>
      <c r="L19" s="72">
        <v>0</v>
      </c>
      <c r="M19" s="72">
        <v>3.6344207142857141</v>
      </c>
    </row>
    <row r="22" spans="1:13" x14ac:dyDescent="0.25">
      <c r="A22" s="73" t="s">
        <v>937</v>
      </c>
      <c r="B22" s="73" t="s">
        <v>316</v>
      </c>
      <c r="C22" s="73" t="s">
        <v>317</v>
      </c>
      <c r="D22" s="73" t="s">
        <v>938</v>
      </c>
      <c r="E22" s="73" t="s">
        <v>315</v>
      </c>
      <c r="F22" s="73" t="s">
        <v>376</v>
      </c>
      <c r="G22" s="71" t="s">
        <v>1801</v>
      </c>
      <c r="H22" s="73" t="s">
        <v>1829</v>
      </c>
      <c r="I22" s="73" t="s">
        <v>269</v>
      </c>
      <c r="J22" s="73" t="s">
        <v>1803</v>
      </c>
      <c r="K22" s="73" t="s">
        <v>1804</v>
      </c>
      <c r="L22" s="73" t="s">
        <v>944</v>
      </c>
      <c r="M22" s="73" t="s">
        <v>2422</v>
      </c>
    </row>
    <row r="23" spans="1:13" x14ac:dyDescent="0.25">
      <c r="A23" s="15">
        <v>14</v>
      </c>
      <c r="B23" s="15">
        <v>14</v>
      </c>
      <c r="C23" s="15">
        <v>0</v>
      </c>
      <c r="D23" s="15">
        <v>1.6</v>
      </c>
      <c r="E23" s="15" t="s">
        <v>357</v>
      </c>
      <c r="F23" s="15" t="s">
        <v>357</v>
      </c>
      <c r="G23" s="61" t="s">
        <v>362</v>
      </c>
      <c r="H23" s="72">
        <v>1.1511333763200002</v>
      </c>
      <c r="I23" s="72">
        <v>0.97875500000000004</v>
      </c>
      <c r="J23" s="72">
        <v>0</v>
      </c>
      <c r="K23" s="72">
        <v>0.92778500000000008</v>
      </c>
      <c r="L23" s="72">
        <v>0</v>
      </c>
      <c r="M23" s="62">
        <v>24.179257219506276</v>
      </c>
    </row>
    <row r="24" spans="1:13" x14ac:dyDescent="0.25">
      <c r="A24" s="15">
        <v>14</v>
      </c>
      <c r="B24" s="15">
        <v>14</v>
      </c>
      <c r="C24" s="15">
        <v>10.100000000000001</v>
      </c>
      <c r="D24" s="15">
        <v>1.95</v>
      </c>
      <c r="E24" s="15" t="s">
        <v>357</v>
      </c>
      <c r="F24" s="15" t="s">
        <v>357</v>
      </c>
      <c r="G24" s="61" t="s">
        <v>362</v>
      </c>
      <c r="H24" s="72">
        <v>1</v>
      </c>
      <c r="I24" s="72">
        <v>0</v>
      </c>
      <c r="J24" s="72">
        <v>0</v>
      </c>
      <c r="K24" s="72">
        <v>0</v>
      </c>
      <c r="L24" s="72">
        <v>0</v>
      </c>
      <c r="M24" s="62">
        <v>0</v>
      </c>
    </row>
    <row r="25" spans="1:13" x14ac:dyDescent="0.25">
      <c r="A25" s="15">
        <v>19</v>
      </c>
      <c r="B25" s="15">
        <v>19</v>
      </c>
      <c r="C25" s="15">
        <v>12.5</v>
      </c>
      <c r="D25" s="15">
        <v>3.25</v>
      </c>
      <c r="E25" s="15" t="s">
        <v>357</v>
      </c>
      <c r="F25" s="15" t="s">
        <v>357</v>
      </c>
      <c r="G25" s="61" t="s">
        <v>362</v>
      </c>
      <c r="H25" s="72">
        <v>20</v>
      </c>
      <c r="I25" s="72">
        <v>7.4300000000000006</v>
      </c>
      <c r="J25" s="72">
        <v>0.59878500000000001</v>
      </c>
      <c r="K25" s="72">
        <v>19.497122000000001</v>
      </c>
      <c r="L25" s="72">
        <v>0</v>
      </c>
      <c r="M25" s="62">
        <v>29.245683</v>
      </c>
    </row>
    <row r="26" spans="1:13" x14ac:dyDescent="0.25">
      <c r="A26" s="15">
        <v>25.4</v>
      </c>
      <c r="B26" s="15">
        <v>25.4</v>
      </c>
      <c r="C26" s="15">
        <v>19</v>
      </c>
      <c r="D26" s="15">
        <v>3.2</v>
      </c>
      <c r="E26" s="15" t="s">
        <v>357</v>
      </c>
      <c r="F26" s="15" t="s">
        <v>357</v>
      </c>
      <c r="G26" s="61" t="s">
        <v>362</v>
      </c>
      <c r="H26" s="72">
        <v>19</v>
      </c>
      <c r="I26" s="72">
        <v>0</v>
      </c>
      <c r="J26" s="72">
        <v>0</v>
      </c>
      <c r="K26" s="72">
        <v>17.934815000000004</v>
      </c>
      <c r="L26" s="72">
        <v>0</v>
      </c>
      <c r="M26" s="62">
        <v>28.318128947368429</v>
      </c>
    </row>
    <row r="27" spans="1:13" x14ac:dyDescent="0.25">
      <c r="A27" s="15">
        <v>28.6</v>
      </c>
      <c r="B27" s="15">
        <v>28.6</v>
      </c>
      <c r="C27" s="15">
        <v>0</v>
      </c>
      <c r="D27" s="15">
        <v>2.65</v>
      </c>
      <c r="E27" s="15" t="s">
        <v>357</v>
      </c>
      <c r="F27" s="15" t="s">
        <v>357</v>
      </c>
      <c r="G27" s="61" t="s">
        <v>362</v>
      </c>
      <c r="H27" s="72">
        <v>17</v>
      </c>
      <c r="I27" s="72">
        <v>10.212548999999997</v>
      </c>
      <c r="J27" s="72">
        <v>1.387391</v>
      </c>
      <c r="K27" s="72">
        <v>10.660521000000003</v>
      </c>
      <c r="L27" s="72">
        <v>0</v>
      </c>
      <c r="M27" s="62">
        <v>18.812684117647066</v>
      </c>
    </row>
    <row r="28" spans="1:13" x14ac:dyDescent="0.25">
      <c r="A28" s="15">
        <v>29.28</v>
      </c>
      <c r="B28" s="15">
        <v>29.28</v>
      </c>
      <c r="C28" s="15">
        <v>0</v>
      </c>
      <c r="D28" s="15">
        <v>3.4</v>
      </c>
      <c r="E28" s="15" t="s">
        <v>357</v>
      </c>
      <c r="F28" s="15" t="s">
        <v>357</v>
      </c>
      <c r="G28" s="61" t="s">
        <v>362</v>
      </c>
      <c r="H28" s="72">
        <v>5</v>
      </c>
      <c r="I28" s="72">
        <v>0</v>
      </c>
      <c r="J28" s="72">
        <v>0</v>
      </c>
      <c r="K28" s="72">
        <v>0</v>
      </c>
      <c r="L28" s="72">
        <v>0</v>
      </c>
      <c r="M28" s="62">
        <v>0</v>
      </c>
    </row>
    <row r="29" spans="1:13" x14ac:dyDescent="0.25">
      <c r="A29" s="15">
        <v>30.15</v>
      </c>
      <c r="B29" s="15">
        <v>30</v>
      </c>
      <c r="C29" s="15">
        <v>25.5</v>
      </c>
      <c r="D29" s="15">
        <v>2.25</v>
      </c>
      <c r="E29" s="15" t="s">
        <v>357</v>
      </c>
      <c r="F29" s="15" t="s">
        <v>357</v>
      </c>
      <c r="G29" s="61" t="s">
        <v>362</v>
      </c>
      <c r="H29" s="72">
        <v>45</v>
      </c>
      <c r="I29" s="72">
        <v>20.893070999999999</v>
      </c>
      <c r="J29" s="72">
        <v>0.56547999999999998</v>
      </c>
      <c r="K29" s="72">
        <v>43.273425999999986</v>
      </c>
      <c r="L29" s="72">
        <v>0</v>
      </c>
      <c r="M29" s="62">
        <v>28.84895066666666</v>
      </c>
    </row>
    <row r="30" spans="1:13" x14ac:dyDescent="0.25">
      <c r="A30" s="15">
        <v>33.299999999999997</v>
      </c>
      <c r="B30" s="15">
        <v>33.299999999999997</v>
      </c>
      <c r="C30" s="15">
        <v>29.3</v>
      </c>
      <c r="D30" s="15">
        <v>2</v>
      </c>
      <c r="E30" s="15" t="s">
        <v>357</v>
      </c>
      <c r="F30" s="15" t="s">
        <v>357</v>
      </c>
      <c r="G30" s="61" t="s">
        <v>362</v>
      </c>
      <c r="H30" s="72">
        <v>1.5486792723</v>
      </c>
      <c r="I30" s="72">
        <v>0</v>
      </c>
      <c r="J30" s="72">
        <v>0</v>
      </c>
      <c r="K30" s="72">
        <v>0</v>
      </c>
      <c r="L30" s="72">
        <v>0</v>
      </c>
      <c r="M30" s="62">
        <v>0</v>
      </c>
    </row>
    <row r="31" spans="1:13" x14ac:dyDescent="0.25">
      <c r="A31" s="15">
        <v>37.950000000000003</v>
      </c>
      <c r="B31" s="15">
        <v>37.950000000000003</v>
      </c>
      <c r="C31" s="15">
        <v>32</v>
      </c>
      <c r="D31" s="15">
        <v>2.95</v>
      </c>
      <c r="E31" s="15" t="s">
        <v>357</v>
      </c>
      <c r="F31" s="15" t="s">
        <v>357</v>
      </c>
      <c r="G31" s="61" t="s">
        <v>362</v>
      </c>
      <c r="H31" s="72">
        <v>2.3926969150000001</v>
      </c>
      <c r="I31" s="72">
        <v>2.0315850000000002</v>
      </c>
      <c r="J31" s="72">
        <v>0.27189800000000003</v>
      </c>
      <c r="K31" s="72">
        <v>0</v>
      </c>
      <c r="L31" s="72">
        <v>0</v>
      </c>
      <c r="M31" s="62">
        <v>0</v>
      </c>
    </row>
    <row r="32" spans="1:13" x14ac:dyDescent="0.25">
      <c r="A32" s="15">
        <v>38.1</v>
      </c>
      <c r="B32" s="15">
        <v>38.1</v>
      </c>
      <c r="C32" s="15">
        <v>0</v>
      </c>
      <c r="D32" s="15">
        <v>2.5</v>
      </c>
      <c r="E32" s="15" t="s">
        <v>985</v>
      </c>
      <c r="F32" s="15" t="s">
        <v>1003</v>
      </c>
      <c r="G32" s="61" t="s">
        <v>367</v>
      </c>
      <c r="H32" s="72">
        <v>25</v>
      </c>
      <c r="I32" s="72">
        <v>16.108739999999997</v>
      </c>
      <c r="J32" s="72">
        <v>9.9136000000000002E-2</v>
      </c>
      <c r="K32" s="72">
        <v>4.5245759999999997</v>
      </c>
      <c r="L32" s="72">
        <v>0</v>
      </c>
      <c r="M32" s="62">
        <v>5.4294911999999993</v>
      </c>
    </row>
    <row r="33" spans="1:20" x14ac:dyDescent="0.25">
      <c r="A33" s="15">
        <v>57.15</v>
      </c>
      <c r="B33" s="15">
        <v>57.15</v>
      </c>
      <c r="C33" s="15">
        <v>0</v>
      </c>
      <c r="D33" s="15">
        <v>2.2999999999999998</v>
      </c>
      <c r="E33" s="15" t="s">
        <v>993</v>
      </c>
      <c r="F33" s="15" t="s">
        <v>1003</v>
      </c>
      <c r="G33" s="61" t="s">
        <v>367</v>
      </c>
      <c r="H33" s="72">
        <v>55.188710570174997</v>
      </c>
      <c r="I33" s="72">
        <v>34.183795000000003</v>
      </c>
      <c r="J33" s="72">
        <v>3.947416</v>
      </c>
      <c r="K33" s="72">
        <v>39.782400000000003</v>
      </c>
      <c r="L33" s="72">
        <v>0</v>
      </c>
      <c r="M33" s="62">
        <v>21.625292340947979</v>
      </c>
    </row>
    <row r="34" spans="1:20" x14ac:dyDescent="0.25">
      <c r="A34" s="15">
        <v>60.3</v>
      </c>
      <c r="B34" s="15">
        <v>60.3</v>
      </c>
      <c r="C34" s="15">
        <v>0</v>
      </c>
      <c r="D34" s="15">
        <v>2</v>
      </c>
      <c r="E34" s="15" t="s">
        <v>962</v>
      </c>
      <c r="F34" s="15" t="s">
        <v>1003</v>
      </c>
      <c r="G34" s="61" t="s">
        <v>362</v>
      </c>
      <c r="H34" s="72">
        <v>14</v>
      </c>
      <c r="I34" s="72">
        <v>0</v>
      </c>
      <c r="J34" s="72">
        <v>0</v>
      </c>
      <c r="K34" s="72">
        <v>1.6960629999999999</v>
      </c>
      <c r="L34" s="72">
        <v>0</v>
      </c>
      <c r="M34" s="62">
        <v>3.6344207142857141</v>
      </c>
    </row>
    <row r="35" spans="1:20" x14ac:dyDescent="0.25">
      <c r="A35" s="15">
        <v>42.7</v>
      </c>
      <c r="B35" s="15">
        <v>42.7</v>
      </c>
      <c r="C35" s="15">
        <v>0</v>
      </c>
      <c r="D35" s="15">
        <v>4</v>
      </c>
      <c r="E35" s="15" t="s">
        <v>962</v>
      </c>
      <c r="F35" s="15" t="s">
        <v>1003</v>
      </c>
      <c r="G35" s="61" t="s">
        <v>362</v>
      </c>
      <c r="H35" s="72">
        <v>44</v>
      </c>
      <c r="I35" s="72">
        <v>18.651902000000003</v>
      </c>
      <c r="J35" s="72">
        <v>2.3997679999999999</v>
      </c>
      <c r="K35" s="72">
        <v>25.440585000000006</v>
      </c>
      <c r="L35" s="72">
        <v>0</v>
      </c>
      <c r="M35" s="62">
        <v>17.345853409090914</v>
      </c>
    </row>
    <row r="36" spans="1:20" x14ac:dyDescent="0.25">
      <c r="A36" s="15">
        <v>15.88</v>
      </c>
      <c r="B36" s="15">
        <v>15.88</v>
      </c>
      <c r="C36" s="15">
        <v>0</v>
      </c>
      <c r="D36" s="15">
        <v>1</v>
      </c>
      <c r="E36" s="15" t="s">
        <v>962</v>
      </c>
      <c r="F36" s="15" t="s">
        <v>963</v>
      </c>
      <c r="G36" s="15" t="s">
        <v>345</v>
      </c>
      <c r="H36" s="72">
        <v>2.2340351376000003</v>
      </c>
      <c r="I36" s="72">
        <v>2.2945129999999998</v>
      </c>
      <c r="J36" s="72">
        <v>0.25711000000000001</v>
      </c>
      <c r="K36" s="72">
        <v>0</v>
      </c>
      <c r="L36" s="72">
        <v>0</v>
      </c>
      <c r="M36" s="62">
        <v>0</v>
      </c>
    </row>
    <row r="37" spans="1:20" x14ac:dyDescent="0.25">
      <c r="A37" s="15">
        <v>22.23</v>
      </c>
      <c r="B37" s="15">
        <v>22.23</v>
      </c>
      <c r="C37" s="15">
        <v>0</v>
      </c>
      <c r="D37" s="15">
        <v>1.6</v>
      </c>
      <c r="E37" s="15" t="s">
        <v>962</v>
      </c>
      <c r="F37" s="15" t="s">
        <v>963</v>
      </c>
      <c r="G37" s="15" t="s">
        <v>345</v>
      </c>
      <c r="H37" s="72">
        <v>106.45780454482993</v>
      </c>
      <c r="I37" s="72">
        <v>89.829755999999989</v>
      </c>
      <c r="J37" s="72">
        <v>18.515904000000003</v>
      </c>
      <c r="K37" s="72">
        <v>23.996162999999992</v>
      </c>
      <c r="L37" s="72">
        <v>26.001999999999999</v>
      </c>
      <c r="M37" s="62">
        <v>14.089571886374618</v>
      </c>
    </row>
    <row r="38" spans="1:20" x14ac:dyDescent="0.25">
      <c r="A38" s="15">
        <v>22.23</v>
      </c>
      <c r="B38" s="15">
        <v>22.23</v>
      </c>
      <c r="C38" s="15">
        <v>0</v>
      </c>
      <c r="D38" s="15">
        <v>2</v>
      </c>
      <c r="E38" s="15" t="s">
        <v>993</v>
      </c>
      <c r="F38" s="15" t="s">
        <v>1003</v>
      </c>
      <c r="G38" s="15" t="s">
        <v>345</v>
      </c>
      <c r="H38" s="72">
        <v>5</v>
      </c>
      <c r="I38" s="72">
        <v>4.9276749999999998</v>
      </c>
      <c r="J38" s="72">
        <v>0</v>
      </c>
      <c r="K38" s="72">
        <v>0</v>
      </c>
      <c r="L38" s="72">
        <v>0</v>
      </c>
      <c r="M38" s="62">
        <v>0</v>
      </c>
    </row>
    <row r="39" spans="1:20" x14ac:dyDescent="0.25">
      <c r="A39" s="15">
        <v>22.23</v>
      </c>
      <c r="B39" s="15">
        <v>22.23</v>
      </c>
      <c r="C39" s="15">
        <v>0</v>
      </c>
      <c r="D39" s="15">
        <v>2</v>
      </c>
      <c r="E39" s="15" t="s">
        <v>985</v>
      </c>
      <c r="F39" s="15" t="s">
        <v>963</v>
      </c>
      <c r="G39" s="15" t="s">
        <v>345</v>
      </c>
      <c r="H39" s="72">
        <v>13.540524658500003</v>
      </c>
      <c r="I39" s="72">
        <v>13.228752</v>
      </c>
      <c r="J39" s="72">
        <v>6.3461999999999996</v>
      </c>
      <c r="K39" s="72">
        <v>0</v>
      </c>
      <c r="L39" s="72">
        <v>0.53</v>
      </c>
      <c r="M39" s="62">
        <v>1.1742528743167162</v>
      </c>
    </row>
    <row r="40" spans="1:20" x14ac:dyDescent="0.25">
      <c r="A40" s="15">
        <v>22.23</v>
      </c>
      <c r="B40" s="15">
        <v>22.23</v>
      </c>
      <c r="C40" s="15">
        <v>0</v>
      </c>
      <c r="D40" s="15">
        <v>2.2999999999999998</v>
      </c>
      <c r="E40" s="15" t="s">
        <v>962</v>
      </c>
      <c r="F40" s="15" t="s">
        <v>963</v>
      </c>
      <c r="G40" s="15" t="s">
        <v>345</v>
      </c>
      <c r="H40" s="72">
        <v>17.730780523230003</v>
      </c>
      <c r="I40" s="72">
        <v>19.467227999999999</v>
      </c>
      <c r="J40" s="72">
        <v>8.0542970000000018</v>
      </c>
      <c r="K40" s="72">
        <v>6.8055630000000011</v>
      </c>
      <c r="L40" s="72">
        <v>0</v>
      </c>
      <c r="M40" s="62">
        <v>11.51482811106429</v>
      </c>
    </row>
    <row r="41" spans="1:20" x14ac:dyDescent="0.25">
      <c r="A41" s="15">
        <v>25.4</v>
      </c>
      <c r="B41" s="15">
        <v>25.4</v>
      </c>
      <c r="C41" s="15">
        <v>0</v>
      </c>
      <c r="D41" s="15">
        <v>1.2</v>
      </c>
      <c r="E41" s="15" t="s">
        <v>962</v>
      </c>
      <c r="F41" s="15" t="s">
        <v>963</v>
      </c>
      <c r="G41" s="15" t="s">
        <v>345</v>
      </c>
      <c r="H41" s="72">
        <v>1.81</v>
      </c>
      <c r="I41" s="72">
        <v>2.737625</v>
      </c>
      <c r="J41" s="72">
        <v>0.45732</v>
      </c>
      <c r="K41" s="72">
        <v>0</v>
      </c>
      <c r="L41" s="72">
        <v>0</v>
      </c>
      <c r="M41" s="62">
        <v>0</v>
      </c>
    </row>
    <row r="42" spans="1:20" x14ac:dyDescent="0.25">
      <c r="A42" s="15">
        <v>25.4</v>
      </c>
      <c r="B42" s="15">
        <v>25.4</v>
      </c>
      <c r="C42" s="15">
        <v>0</v>
      </c>
      <c r="D42" s="15">
        <v>1.6</v>
      </c>
      <c r="E42" s="15" t="s">
        <v>962</v>
      </c>
      <c r="F42" s="15" t="s">
        <v>963</v>
      </c>
      <c r="G42" s="15" t="s">
        <v>345</v>
      </c>
      <c r="H42" s="72">
        <v>9.7258254464</v>
      </c>
      <c r="I42" s="72">
        <v>4.8850380000000007</v>
      </c>
      <c r="J42" s="72">
        <v>6.4897999999999997E-2</v>
      </c>
      <c r="K42" s="72">
        <v>4.6445599999999994</v>
      </c>
      <c r="L42" s="72">
        <v>0.11600000000000001</v>
      </c>
      <c r="M42" s="62">
        <v>14.68428574901716</v>
      </c>
    </row>
    <row r="43" spans="1:20" x14ac:dyDescent="0.25">
      <c r="A43" s="15">
        <v>25.4</v>
      </c>
      <c r="B43" s="15">
        <v>25.4</v>
      </c>
      <c r="C43" s="15">
        <v>0</v>
      </c>
      <c r="D43" s="15">
        <v>2</v>
      </c>
      <c r="E43" s="15" t="s">
        <v>962</v>
      </c>
      <c r="F43" s="15" t="s">
        <v>963</v>
      </c>
      <c r="G43" s="15" t="s">
        <v>345</v>
      </c>
      <c r="H43" s="72">
        <v>10.581136628399999</v>
      </c>
      <c r="I43" s="72">
        <v>0</v>
      </c>
      <c r="J43" s="72">
        <v>0</v>
      </c>
      <c r="K43" s="72">
        <v>1.633278</v>
      </c>
      <c r="L43" s="72">
        <v>0</v>
      </c>
      <c r="M43" s="62">
        <v>4.6307255752172587</v>
      </c>
    </row>
    <row r="44" spans="1:20" x14ac:dyDescent="0.25">
      <c r="A44" s="15">
        <v>28.58</v>
      </c>
      <c r="B44" s="15">
        <v>28.58</v>
      </c>
      <c r="C44" s="15">
        <v>0</v>
      </c>
      <c r="D44" s="15">
        <v>1.2</v>
      </c>
      <c r="E44" s="15" t="s">
        <v>962</v>
      </c>
      <c r="F44" s="15" t="s">
        <v>963</v>
      </c>
      <c r="G44" s="15" t="s">
        <v>345</v>
      </c>
      <c r="H44" s="72">
        <v>2.4097469297999994</v>
      </c>
      <c r="I44" s="72">
        <v>5.3410420000000007</v>
      </c>
      <c r="J44" s="72">
        <v>1.7612390000000002</v>
      </c>
      <c r="K44" s="72">
        <v>0</v>
      </c>
      <c r="L44" s="72">
        <v>0</v>
      </c>
      <c r="M44" s="62">
        <v>0</v>
      </c>
      <c r="Q44" s="10"/>
      <c r="R44" s="10"/>
      <c r="S44" s="10"/>
      <c r="T44" s="10"/>
    </row>
    <row r="45" spans="1:20" x14ac:dyDescent="0.25">
      <c r="A45" s="15">
        <v>28.58</v>
      </c>
      <c r="B45" s="15">
        <v>28.58</v>
      </c>
      <c r="C45" s="15">
        <v>0</v>
      </c>
      <c r="D45" s="15">
        <v>1.6</v>
      </c>
      <c r="E45" s="15" t="s">
        <v>962</v>
      </c>
      <c r="F45" s="15" t="s">
        <v>963</v>
      </c>
      <c r="G45" s="15" t="s">
        <v>345</v>
      </c>
      <c r="H45" s="72">
        <v>8.9926649487999999E-2</v>
      </c>
      <c r="I45" s="72">
        <v>0</v>
      </c>
      <c r="J45" s="72">
        <v>0</v>
      </c>
      <c r="K45" s="72">
        <v>0</v>
      </c>
      <c r="L45" s="72">
        <v>0</v>
      </c>
      <c r="M45" s="62">
        <v>0</v>
      </c>
      <c r="Q45" s="10">
        <v>41.28</v>
      </c>
      <c r="R45" s="10">
        <v>3.2</v>
      </c>
      <c r="S45" s="10">
        <v>230</v>
      </c>
      <c r="T45" s="10">
        <v>500</v>
      </c>
    </row>
    <row r="46" spans="1:20" x14ac:dyDescent="0.25">
      <c r="A46" s="15">
        <v>31.75</v>
      </c>
      <c r="B46" s="15">
        <v>31.75</v>
      </c>
      <c r="C46" s="15">
        <v>0</v>
      </c>
      <c r="D46" s="15">
        <v>2.5</v>
      </c>
      <c r="E46" s="15" t="s">
        <v>962</v>
      </c>
      <c r="F46" s="15" t="s">
        <v>1003</v>
      </c>
      <c r="G46" s="15" t="s">
        <v>345</v>
      </c>
      <c r="H46" s="72">
        <v>12.622859876250001</v>
      </c>
      <c r="I46" s="72">
        <v>10.141773000000001</v>
      </c>
      <c r="J46" s="72">
        <v>0</v>
      </c>
      <c r="K46" s="72">
        <v>3.579707</v>
      </c>
      <c r="L46" s="72">
        <v>0</v>
      </c>
      <c r="M46" s="62">
        <v>8.5076766321439816</v>
      </c>
    </row>
    <row r="47" spans="1:20" x14ac:dyDescent="0.25">
      <c r="A47" s="15">
        <v>34.93</v>
      </c>
      <c r="B47" s="15">
        <v>34.93</v>
      </c>
      <c r="C47" s="15">
        <v>0</v>
      </c>
      <c r="D47" s="15">
        <v>1.2</v>
      </c>
      <c r="E47" s="15" t="s">
        <v>962</v>
      </c>
      <c r="F47" s="15" t="s">
        <v>1003</v>
      </c>
      <c r="G47" s="15" t="s">
        <v>345</v>
      </c>
      <c r="H47" s="72">
        <v>1.1674901487599998</v>
      </c>
      <c r="I47" s="72">
        <v>0</v>
      </c>
      <c r="J47" s="72">
        <v>0</v>
      </c>
      <c r="K47" s="72">
        <v>0</v>
      </c>
      <c r="L47" s="72">
        <v>0</v>
      </c>
      <c r="M47" s="62">
        <v>0</v>
      </c>
    </row>
    <row r="48" spans="1:20" x14ac:dyDescent="0.25">
      <c r="A48" s="15">
        <v>38.1</v>
      </c>
      <c r="B48" s="15">
        <v>38.1</v>
      </c>
      <c r="C48" s="15">
        <v>0</v>
      </c>
      <c r="D48" s="15">
        <v>1.6</v>
      </c>
      <c r="E48" s="15" t="s">
        <v>985</v>
      </c>
      <c r="F48" s="15" t="s">
        <v>1003</v>
      </c>
      <c r="G48" s="15" t="s">
        <v>345</v>
      </c>
      <c r="H48" s="72">
        <v>16</v>
      </c>
      <c r="I48" s="72">
        <v>8.5705900000000028</v>
      </c>
      <c r="J48" s="72">
        <v>8.7389999999999995E-2</v>
      </c>
      <c r="K48" s="72">
        <v>0</v>
      </c>
      <c r="L48" s="72">
        <v>7.008</v>
      </c>
      <c r="M48" s="62">
        <v>13.14</v>
      </c>
    </row>
    <row r="49" spans="1:13" x14ac:dyDescent="0.25">
      <c r="A49" s="15">
        <v>38.1</v>
      </c>
      <c r="B49" s="15">
        <v>38.1</v>
      </c>
      <c r="C49" s="15">
        <v>0</v>
      </c>
      <c r="D49" s="15">
        <v>2</v>
      </c>
      <c r="E49" s="15" t="s">
        <v>962</v>
      </c>
      <c r="F49" s="15" t="s">
        <v>963</v>
      </c>
      <c r="G49" s="15" t="s">
        <v>345</v>
      </c>
      <c r="H49" s="72">
        <v>3.6132915980000004</v>
      </c>
      <c r="I49" s="72">
        <v>10.262</v>
      </c>
      <c r="J49" s="72">
        <v>0.58535700000000002</v>
      </c>
      <c r="K49" s="72">
        <v>0</v>
      </c>
      <c r="L49" s="72">
        <v>0.51500000000000001</v>
      </c>
      <c r="M49" s="62">
        <v>4.2758796462903126</v>
      </c>
    </row>
    <row r="50" spans="1:13" x14ac:dyDescent="0.25">
      <c r="A50" s="15">
        <v>41.28</v>
      </c>
      <c r="B50" s="15">
        <v>40</v>
      </c>
      <c r="C50" s="15">
        <v>25</v>
      </c>
      <c r="D50" s="15">
        <v>1.6</v>
      </c>
      <c r="E50" s="15" t="s">
        <v>229</v>
      </c>
      <c r="F50" s="15" t="s">
        <v>1003</v>
      </c>
      <c r="G50" s="15" t="s">
        <v>345</v>
      </c>
      <c r="H50" s="72">
        <v>21</v>
      </c>
      <c r="I50" s="72">
        <v>0</v>
      </c>
      <c r="J50" s="72">
        <v>0</v>
      </c>
      <c r="K50" s="72">
        <v>0</v>
      </c>
      <c r="L50" s="72">
        <v>0</v>
      </c>
      <c r="M50" s="62">
        <v>0</v>
      </c>
    </row>
    <row r="51" spans="1:13" x14ac:dyDescent="0.25">
      <c r="A51" s="15">
        <v>44.45</v>
      </c>
      <c r="B51" s="15">
        <v>40</v>
      </c>
      <c r="C51" s="15">
        <v>30</v>
      </c>
      <c r="D51" s="15">
        <v>2</v>
      </c>
      <c r="E51" s="15" t="s">
        <v>962</v>
      </c>
      <c r="F51" s="15" t="s">
        <v>1003</v>
      </c>
      <c r="G51" s="15" t="s">
        <v>345</v>
      </c>
      <c r="H51" s="72">
        <v>24.011351438400002</v>
      </c>
      <c r="I51" s="72">
        <v>17.131260000000001</v>
      </c>
      <c r="J51" s="72">
        <v>0.56195099999999998</v>
      </c>
      <c r="K51" s="72">
        <v>1.3001999999999998</v>
      </c>
      <c r="L51" s="72">
        <v>5.319</v>
      </c>
      <c r="M51" s="62">
        <v>8.2700884416871503</v>
      </c>
    </row>
    <row r="52" spans="1:13" x14ac:dyDescent="0.25">
      <c r="A52" s="15">
        <v>57.15</v>
      </c>
      <c r="B52" s="15">
        <v>57.15</v>
      </c>
      <c r="C52" s="15">
        <v>0</v>
      </c>
      <c r="D52" s="15">
        <v>2.5</v>
      </c>
      <c r="E52" s="15" t="s">
        <v>962</v>
      </c>
      <c r="F52" s="15" t="s">
        <v>1003</v>
      </c>
      <c r="G52" s="15" t="s">
        <v>345</v>
      </c>
      <c r="H52" s="72">
        <v>51</v>
      </c>
      <c r="I52" s="72">
        <v>3.5458010000000004</v>
      </c>
      <c r="J52" s="72">
        <v>6.8260980000000009</v>
      </c>
      <c r="K52" s="72">
        <v>0</v>
      </c>
      <c r="L52" s="72">
        <v>11.629</v>
      </c>
      <c r="M52" s="62">
        <v>6.840588235294117</v>
      </c>
    </row>
    <row r="55" spans="1:13" x14ac:dyDescent="0.25">
      <c r="B55" s="89" t="s">
        <v>316</v>
      </c>
      <c r="C55" s="89" t="s">
        <v>317</v>
      </c>
      <c r="D55" s="89" t="s">
        <v>2506</v>
      </c>
      <c r="E55" s="89" t="s">
        <v>199</v>
      </c>
      <c r="F55" s="89" t="s">
        <v>6586</v>
      </c>
      <c r="G55" s="89" t="s">
        <v>6587</v>
      </c>
      <c r="H55" s="89" t="s">
        <v>6588</v>
      </c>
      <c r="I55" s="89" t="s">
        <v>6589</v>
      </c>
    </row>
    <row r="56" spans="1:13" x14ac:dyDescent="0.25">
      <c r="B56" s="15">
        <v>49</v>
      </c>
      <c r="C56" s="15">
        <v>38</v>
      </c>
      <c r="D56" s="15">
        <v>2</v>
      </c>
      <c r="E56" s="15" t="s">
        <v>962</v>
      </c>
      <c r="F56" s="15">
        <v>15</v>
      </c>
      <c r="G56" s="15">
        <v>0</v>
      </c>
      <c r="H56" s="15">
        <v>0</v>
      </c>
      <c r="I56" s="15">
        <f t="shared" ref="I56:I82" si="0">F56-G56</f>
        <v>15</v>
      </c>
    </row>
    <row r="57" spans="1:13" x14ac:dyDescent="0.25">
      <c r="B57" s="15">
        <v>40</v>
      </c>
      <c r="C57" s="15">
        <v>25</v>
      </c>
      <c r="D57" s="15">
        <v>1.6</v>
      </c>
      <c r="E57" s="15" t="s">
        <v>962</v>
      </c>
      <c r="F57" s="15">
        <v>143</v>
      </c>
      <c r="G57" s="15">
        <v>15</v>
      </c>
      <c r="H57" s="15"/>
      <c r="I57" s="15">
        <f t="shared" si="0"/>
        <v>128</v>
      </c>
    </row>
    <row r="58" spans="1:13" x14ac:dyDescent="0.25">
      <c r="B58" s="15">
        <v>40</v>
      </c>
      <c r="C58" s="15">
        <v>25</v>
      </c>
      <c r="D58" s="15">
        <v>1.6</v>
      </c>
      <c r="E58" s="15" t="s">
        <v>215</v>
      </c>
      <c r="F58" s="15">
        <v>8</v>
      </c>
      <c r="G58" s="15">
        <v>0</v>
      </c>
      <c r="H58" s="15"/>
      <c r="I58" s="15">
        <f t="shared" si="0"/>
        <v>8</v>
      </c>
    </row>
    <row r="59" spans="1:13" x14ac:dyDescent="0.25">
      <c r="B59" s="15">
        <v>40</v>
      </c>
      <c r="C59" s="15">
        <v>30</v>
      </c>
      <c r="D59" s="15">
        <v>1.6</v>
      </c>
      <c r="E59" s="15" t="s">
        <v>962</v>
      </c>
      <c r="F59" s="15">
        <v>85</v>
      </c>
      <c r="G59" s="15">
        <v>0</v>
      </c>
      <c r="H59" s="15"/>
      <c r="I59" s="15">
        <f t="shared" si="0"/>
        <v>85</v>
      </c>
    </row>
    <row r="60" spans="1:13" x14ac:dyDescent="0.25">
      <c r="B60" s="15">
        <v>40</v>
      </c>
      <c r="C60" s="15">
        <v>30</v>
      </c>
      <c r="D60" s="15">
        <v>2</v>
      </c>
      <c r="E60" s="15" t="s">
        <v>993</v>
      </c>
      <c r="F60" s="15">
        <v>30</v>
      </c>
      <c r="G60" s="15">
        <v>0</v>
      </c>
      <c r="H60" s="15"/>
      <c r="I60" s="15">
        <f t="shared" si="0"/>
        <v>30</v>
      </c>
    </row>
    <row r="61" spans="1:13" x14ac:dyDescent="0.25">
      <c r="B61" s="15">
        <v>50</v>
      </c>
      <c r="C61" s="15">
        <v>30</v>
      </c>
      <c r="D61" s="15">
        <v>1.6</v>
      </c>
      <c r="E61" s="15" t="s">
        <v>962</v>
      </c>
      <c r="F61" s="15">
        <v>77</v>
      </c>
      <c r="G61" s="15">
        <v>12</v>
      </c>
      <c r="H61" s="15"/>
      <c r="I61" s="15">
        <f t="shared" si="0"/>
        <v>65</v>
      </c>
    </row>
    <row r="62" spans="1:13" x14ac:dyDescent="0.25">
      <c r="B62" s="15">
        <v>50</v>
      </c>
      <c r="C62" s="15">
        <v>30</v>
      </c>
      <c r="D62" s="15">
        <v>1.6</v>
      </c>
      <c r="E62" s="15" t="s">
        <v>215</v>
      </c>
      <c r="F62" s="15">
        <v>37</v>
      </c>
      <c r="G62" s="15">
        <v>37</v>
      </c>
      <c r="H62" s="15"/>
      <c r="I62" s="15">
        <f t="shared" si="0"/>
        <v>0</v>
      </c>
    </row>
    <row r="63" spans="1:13" x14ac:dyDescent="0.25">
      <c r="B63" s="15">
        <v>50</v>
      </c>
      <c r="C63" s="15">
        <v>30</v>
      </c>
      <c r="D63" s="15">
        <v>2</v>
      </c>
      <c r="E63" s="15" t="s">
        <v>962</v>
      </c>
      <c r="F63" s="15">
        <v>17</v>
      </c>
      <c r="G63" s="15">
        <v>0</v>
      </c>
      <c r="H63" s="15"/>
      <c r="I63" s="15">
        <f t="shared" si="0"/>
        <v>17</v>
      </c>
    </row>
    <row r="64" spans="1:13" x14ac:dyDescent="0.25">
      <c r="B64" s="15">
        <v>59</v>
      </c>
      <c r="C64" s="15">
        <v>30</v>
      </c>
      <c r="D64" s="15">
        <v>1.6</v>
      </c>
      <c r="E64" s="15" t="s">
        <v>962</v>
      </c>
      <c r="F64" s="15">
        <v>113</v>
      </c>
      <c r="G64" s="15">
        <v>0</v>
      </c>
      <c r="H64" s="15"/>
      <c r="I64" s="15">
        <f t="shared" si="0"/>
        <v>113</v>
      </c>
    </row>
    <row r="65" spans="2:9" x14ac:dyDescent="0.25">
      <c r="B65" s="15">
        <v>48.6</v>
      </c>
      <c r="C65" s="15"/>
      <c r="D65" s="15">
        <v>3.5</v>
      </c>
      <c r="E65" s="15" t="s">
        <v>962</v>
      </c>
      <c r="F65" s="15">
        <v>53</v>
      </c>
      <c r="G65" s="15"/>
      <c r="H65" s="15">
        <v>26</v>
      </c>
      <c r="I65" s="15">
        <f t="shared" si="0"/>
        <v>53</v>
      </c>
    </row>
    <row r="66" spans="2:9" x14ac:dyDescent="0.25">
      <c r="B66" s="15">
        <v>48.6</v>
      </c>
      <c r="C66" s="15"/>
      <c r="D66" s="15">
        <v>2</v>
      </c>
      <c r="E66" s="15" t="s">
        <v>962</v>
      </c>
      <c r="F66" s="15">
        <v>7</v>
      </c>
      <c r="G66" s="15">
        <v>7</v>
      </c>
      <c r="H66" s="15"/>
      <c r="I66" s="15">
        <f t="shared" si="0"/>
        <v>0</v>
      </c>
    </row>
    <row r="67" spans="2:9" x14ac:dyDescent="0.25">
      <c r="B67" s="15">
        <v>48.6</v>
      </c>
      <c r="C67" s="15"/>
      <c r="D67" s="15">
        <v>1.2</v>
      </c>
      <c r="E67" s="15" t="s">
        <v>962</v>
      </c>
      <c r="F67" s="15">
        <v>15</v>
      </c>
      <c r="G67" s="15">
        <v>7.5</v>
      </c>
      <c r="H67" s="15"/>
      <c r="I67" s="15">
        <f t="shared" si="0"/>
        <v>7.5</v>
      </c>
    </row>
    <row r="68" spans="2:9" x14ac:dyDescent="0.25">
      <c r="B68" s="15">
        <v>40</v>
      </c>
      <c r="C68" s="15">
        <v>20</v>
      </c>
      <c r="D68" s="15">
        <v>1.6</v>
      </c>
      <c r="E68" s="15" t="s">
        <v>962</v>
      </c>
      <c r="F68" s="15">
        <v>70</v>
      </c>
      <c r="G68" s="15">
        <v>47</v>
      </c>
      <c r="H68" s="15"/>
      <c r="I68" s="15">
        <f t="shared" si="0"/>
        <v>23</v>
      </c>
    </row>
    <row r="69" spans="2:9" x14ac:dyDescent="0.25">
      <c r="B69" s="15">
        <v>41.28</v>
      </c>
      <c r="C69" s="15"/>
      <c r="D69" s="15">
        <v>2.6</v>
      </c>
      <c r="E69" s="15" t="s">
        <v>962</v>
      </c>
      <c r="F69" s="15">
        <v>6.2</v>
      </c>
      <c r="G69" s="15"/>
      <c r="H69" s="15"/>
      <c r="I69" s="15">
        <f t="shared" si="0"/>
        <v>6.2</v>
      </c>
    </row>
    <row r="70" spans="2:9" x14ac:dyDescent="0.25">
      <c r="B70" s="15">
        <v>41.28</v>
      </c>
      <c r="C70" s="15"/>
      <c r="D70" s="15">
        <v>3.15</v>
      </c>
      <c r="E70" s="15" t="s">
        <v>962</v>
      </c>
      <c r="F70" s="15">
        <v>9</v>
      </c>
      <c r="G70" s="15">
        <v>16</v>
      </c>
      <c r="H70" s="15"/>
      <c r="I70" s="15">
        <f t="shared" si="0"/>
        <v>-7</v>
      </c>
    </row>
    <row r="71" spans="2:9" x14ac:dyDescent="0.25">
      <c r="B71" s="15">
        <v>38.1</v>
      </c>
      <c r="C71" s="15"/>
      <c r="D71" s="15">
        <v>1.6</v>
      </c>
      <c r="E71" s="15" t="s">
        <v>1924</v>
      </c>
      <c r="F71" s="15">
        <v>15</v>
      </c>
      <c r="G71" s="15">
        <v>1.7</v>
      </c>
      <c r="H71" s="15"/>
      <c r="I71" s="15">
        <f t="shared" si="0"/>
        <v>13.3</v>
      </c>
    </row>
    <row r="72" spans="2:9" x14ac:dyDescent="0.25">
      <c r="B72" s="15">
        <v>38.1</v>
      </c>
      <c r="C72" s="15"/>
      <c r="D72" s="15">
        <v>2</v>
      </c>
      <c r="E72" s="15" t="s">
        <v>962</v>
      </c>
      <c r="F72" s="15">
        <v>71</v>
      </c>
      <c r="G72" s="15">
        <v>12</v>
      </c>
      <c r="H72" s="15"/>
      <c r="I72" s="15">
        <f t="shared" si="0"/>
        <v>59</v>
      </c>
    </row>
    <row r="73" spans="2:9" x14ac:dyDescent="0.25">
      <c r="B73" s="15">
        <v>34.93</v>
      </c>
      <c r="C73" s="15"/>
      <c r="D73" s="15">
        <v>1.2</v>
      </c>
      <c r="E73" s="15" t="s">
        <v>962</v>
      </c>
      <c r="F73" s="15">
        <v>60</v>
      </c>
      <c r="G73" s="15">
        <v>17</v>
      </c>
      <c r="H73" s="15"/>
      <c r="I73" s="15">
        <f t="shared" si="0"/>
        <v>43</v>
      </c>
    </row>
    <row r="74" spans="2:9" x14ac:dyDescent="0.25">
      <c r="B74" s="15">
        <v>48</v>
      </c>
      <c r="C74" s="15"/>
      <c r="D74" s="15">
        <v>1.2</v>
      </c>
      <c r="E74" s="15" t="s">
        <v>962</v>
      </c>
      <c r="F74" s="15">
        <v>71</v>
      </c>
      <c r="G74" s="15">
        <v>47</v>
      </c>
      <c r="H74" s="15"/>
      <c r="I74" s="15">
        <f t="shared" si="0"/>
        <v>24</v>
      </c>
    </row>
    <row r="75" spans="2:9" x14ac:dyDescent="0.25">
      <c r="B75" s="15">
        <v>25.4</v>
      </c>
      <c r="C75" s="15"/>
      <c r="D75" s="15">
        <v>2</v>
      </c>
      <c r="E75" s="15" t="s">
        <v>962</v>
      </c>
      <c r="F75" s="15">
        <v>63</v>
      </c>
      <c r="G75" s="15">
        <v>16</v>
      </c>
      <c r="H75" s="15"/>
      <c r="I75" s="15">
        <f t="shared" si="0"/>
        <v>47</v>
      </c>
    </row>
    <row r="76" spans="2:9" x14ac:dyDescent="0.25">
      <c r="B76" s="15">
        <v>25.4</v>
      </c>
      <c r="C76" s="15"/>
      <c r="D76" s="15">
        <v>2.2999999999999998</v>
      </c>
      <c r="E76" s="15" t="s">
        <v>962</v>
      </c>
      <c r="F76" s="15">
        <v>5</v>
      </c>
      <c r="G76" s="15"/>
      <c r="H76" s="15"/>
      <c r="I76" s="15">
        <f t="shared" si="0"/>
        <v>5</v>
      </c>
    </row>
    <row r="77" spans="2:9" x14ac:dyDescent="0.25">
      <c r="B77" s="15">
        <v>25.4</v>
      </c>
      <c r="C77" s="15"/>
      <c r="D77" s="15">
        <v>2.5</v>
      </c>
      <c r="E77" s="15" t="s">
        <v>962</v>
      </c>
      <c r="F77" s="15">
        <v>42</v>
      </c>
      <c r="G77" s="15">
        <v>6</v>
      </c>
      <c r="H77" s="15"/>
      <c r="I77" s="15">
        <f t="shared" si="0"/>
        <v>36</v>
      </c>
    </row>
    <row r="78" spans="2:9" x14ac:dyDescent="0.25">
      <c r="B78" s="15">
        <v>31.75</v>
      </c>
      <c r="C78" s="15"/>
      <c r="D78" s="15">
        <v>2</v>
      </c>
      <c r="E78" s="15" t="s">
        <v>962</v>
      </c>
      <c r="F78" s="15">
        <v>42</v>
      </c>
      <c r="G78" s="15">
        <v>6</v>
      </c>
      <c r="H78" s="15"/>
      <c r="I78" s="15">
        <f t="shared" si="0"/>
        <v>36</v>
      </c>
    </row>
    <row r="79" spans="2:9" x14ac:dyDescent="0.25">
      <c r="B79" s="15">
        <v>31.75</v>
      </c>
      <c r="C79" s="15"/>
      <c r="D79" s="15">
        <v>2.5</v>
      </c>
      <c r="E79" s="15" t="s">
        <v>962</v>
      </c>
      <c r="F79" s="15">
        <v>5</v>
      </c>
      <c r="G79" s="15"/>
      <c r="H79" s="15"/>
      <c r="I79" s="15">
        <f t="shared" si="0"/>
        <v>5</v>
      </c>
    </row>
    <row r="80" spans="2:9" x14ac:dyDescent="0.25">
      <c r="B80" s="15">
        <v>12.7</v>
      </c>
      <c r="C80" s="15"/>
      <c r="D80" s="15">
        <v>1.2</v>
      </c>
      <c r="E80" s="15" t="s">
        <v>962</v>
      </c>
      <c r="F80" s="15">
        <v>10</v>
      </c>
      <c r="G80" s="15">
        <v>12</v>
      </c>
      <c r="H80" s="15"/>
      <c r="I80" s="15">
        <f t="shared" si="0"/>
        <v>-2</v>
      </c>
    </row>
    <row r="81" spans="2:9" x14ac:dyDescent="0.25">
      <c r="B81" s="15">
        <v>12.7</v>
      </c>
      <c r="C81" s="15"/>
      <c r="D81" s="15">
        <v>1.6</v>
      </c>
      <c r="E81" s="15" t="s">
        <v>962</v>
      </c>
      <c r="F81" s="15">
        <v>48</v>
      </c>
      <c r="G81" s="15">
        <v>7</v>
      </c>
      <c r="H81" s="15"/>
      <c r="I81" s="15">
        <f t="shared" si="0"/>
        <v>41</v>
      </c>
    </row>
    <row r="82" spans="2:9" x14ac:dyDescent="0.25">
      <c r="B82" s="15">
        <v>15.88</v>
      </c>
      <c r="C82" s="15"/>
      <c r="D82" s="15">
        <v>1</v>
      </c>
      <c r="E82" s="15" t="s">
        <v>962</v>
      </c>
      <c r="F82" s="15">
        <v>32</v>
      </c>
      <c r="G82" s="15">
        <v>6</v>
      </c>
      <c r="H82" s="15"/>
      <c r="I82" s="15">
        <f t="shared" si="0"/>
        <v>26</v>
      </c>
    </row>
  </sheetData>
  <phoneticPr fontId="13" type="noConversion"/>
  <pageMargins left="0.7" right="0.7" top="0.75" bottom="0.75" header="0.3" footer="0.3"/>
  <pageSetup orientation="portrait" horizontalDpi="120" verticalDpi="72" r:id="rId1"/>
  <legacy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
  <dimension ref="A1:H6"/>
  <sheetViews>
    <sheetView workbookViewId="0">
      <selection activeCell="H4" sqref="H4:H5"/>
    </sheetView>
  </sheetViews>
  <sheetFormatPr defaultColWidth="6.5703125" defaultRowHeight="15" x14ac:dyDescent="0.25"/>
  <cols>
    <col min="1" max="2" width="9" customWidth="1"/>
    <col min="3" max="3" width="7.28515625" customWidth="1"/>
    <col min="4" max="4" width="11.5703125" bestFit="1" customWidth="1"/>
    <col min="5" max="5" width="12.140625" bestFit="1" customWidth="1"/>
    <col min="6" max="6" width="9.85546875" bestFit="1" customWidth="1"/>
    <col min="7" max="7" width="8.85546875" bestFit="1" customWidth="1"/>
    <col min="8" max="8" width="22.7109375" bestFit="1" customWidth="1"/>
    <col min="9" max="9" width="15" bestFit="1" customWidth="1"/>
    <col min="10" max="10" width="23.7109375" bestFit="1" customWidth="1"/>
    <col min="11" max="11" width="21.85546875" bestFit="1" customWidth="1"/>
    <col min="12" max="12" width="12.140625" bestFit="1" customWidth="1"/>
    <col min="13" max="13" width="10.140625" bestFit="1" customWidth="1"/>
    <col min="14" max="14" width="12" bestFit="1" customWidth="1"/>
    <col min="15" max="15" width="7.7109375" bestFit="1" customWidth="1"/>
    <col min="16" max="16" width="15.5703125" bestFit="1" customWidth="1"/>
    <col min="17" max="21" width="13.7109375" bestFit="1" customWidth="1"/>
    <col min="22" max="22" width="7.28515625" bestFit="1" customWidth="1"/>
    <col min="23" max="23" width="17.85546875" bestFit="1" customWidth="1"/>
    <col min="24" max="24" width="20.5703125" bestFit="1" customWidth="1"/>
    <col min="25" max="25" width="31.28515625" bestFit="1" customWidth="1"/>
    <col min="26" max="26" width="14.85546875" bestFit="1" customWidth="1"/>
    <col min="27" max="27" width="29.7109375" bestFit="1" customWidth="1"/>
  </cols>
  <sheetData>
    <row r="1" spans="1:8" x14ac:dyDescent="0.25">
      <c r="A1" s="42" t="s">
        <v>278</v>
      </c>
      <c r="B1" t="s">
        <v>279</v>
      </c>
    </row>
    <row r="3" spans="1:8" x14ac:dyDescent="0.25">
      <c r="A3" s="42" t="s">
        <v>937</v>
      </c>
      <c r="B3" s="42" t="s">
        <v>316</v>
      </c>
      <c r="C3" s="42" t="s">
        <v>317</v>
      </c>
      <c r="D3" s="42" t="s">
        <v>938</v>
      </c>
      <c r="E3" s="42" t="s">
        <v>315</v>
      </c>
      <c r="F3" s="42" t="s">
        <v>376</v>
      </c>
      <c r="G3" s="42" t="s">
        <v>1846</v>
      </c>
      <c r="H3" t="s">
        <v>280</v>
      </c>
    </row>
    <row r="4" spans="1:8" x14ac:dyDescent="0.25">
      <c r="A4" s="43">
        <v>19.05</v>
      </c>
      <c r="B4" s="43">
        <v>19.05</v>
      </c>
      <c r="C4">
        <v>0</v>
      </c>
      <c r="D4" s="43">
        <v>2.2999999999999998</v>
      </c>
      <c r="E4" t="s">
        <v>962</v>
      </c>
      <c r="F4" t="s">
        <v>963</v>
      </c>
      <c r="G4" t="s">
        <v>239</v>
      </c>
      <c r="H4" s="43">
        <v>44.686405033050008</v>
      </c>
    </row>
    <row r="5" spans="1:8" x14ac:dyDescent="0.25">
      <c r="A5" s="43">
        <v>22.23</v>
      </c>
      <c r="B5" s="43">
        <v>22.23</v>
      </c>
      <c r="C5">
        <v>0</v>
      </c>
      <c r="D5" s="43">
        <v>2.2999999999999998</v>
      </c>
      <c r="E5" t="s">
        <v>962</v>
      </c>
      <c r="F5" t="s">
        <v>963</v>
      </c>
      <c r="G5" t="s">
        <v>239</v>
      </c>
      <c r="H5" s="43">
        <v>17.727903667589999</v>
      </c>
    </row>
    <row r="6" spans="1:8" x14ac:dyDescent="0.25">
      <c r="A6" s="43">
        <v>57.15</v>
      </c>
      <c r="B6" s="43">
        <v>57.15</v>
      </c>
      <c r="C6">
        <v>0</v>
      </c>
      <c r="D6" s="43">
        <v>2.2999999999999998</v>
      </c>
      <c r="E6" s="45" t="s">
        <v>993</v>
      </c>
      <c r="F6" t="s">
        <v>1003</v>
      </c>
      <c r="G6" t="s">
        <v>1867</v>
      </c>
      <c r="H6" s="43">
        <v>63.668949332625004</v>
      </c>
    </row>
  </sheetData>
  <pageMargins left="0.7" right="0.7" top="0.75" bottom="0.75" header="0.3" footer="0.3"/>
  <pageSetup orientation="portrait" horizontalDpi="120" verticalDpi="72"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dimension ref="A1:E290"/>
  <sheetViews>
    <sheetView workbookViewId="0">
      <selection activeCell="D94" sqref="D94"/>
    </sheetView>
  </sheetViews>
  <sheetFormatPr defaultRowHeight="15" x14ac:dyDescent="0.25"/>
  <cols>
    <col min="4" max="4" width="28" bestFit="1" customWidth="1"/>
  </cols>
  <sheetData>
    <row r="1" spans="1:5" x14ac:dyDescent="0.25">
      <c r="A1" t="s">
        <v>604</v>
      </c>
      <c r="B1" t="s">
        <v>398</v>
      </c>
      <c r="D1" t="s">
        <v>6590</v>
      </c>
      <c r="E1" t="s">
        <v>6591</v>
      </c>
    </row>
    <row r="2" spans="1:5" x14ac:dyDescent="0.25">
      <c r="A2" t="s">
        <v>983</v>
      </c>
      <c r="B2" t="s">
        <v>416</v>
      </c>
      <c r="D2" t="str" cm="1">
        <f t="array" ref="D2:D94">_xlfn.UNIQUE(A1:A290)</f>
        <v>19.05-0-2-ERW 1-PE</v>
      </c>
      <c r="E2" t="str" cm="1">
        <f t="array" ref="E2:E108">_xlfn.UNIQUE(B1:B107)</f>
        <v>12.7-0-1.2-ERW 1-PE</v>
      </c>
    </row>
    <row r="3" spans="1:5" x14ac:dyDescent="0.25">
      <c r="A3" t="s">
        <v>412</v>
      </c>
      <c r="B3" t="s">
        <v>965</v>
      </c>
      <c r="D3" t="str">
        <v>19.05-0-1.6-ERW 1-PE</v>
      </c>
      <c r="E3" t="str">
        <v>12.7-0-1.6-ERW 1-PE</v>
      </c>
    </row>
    <row r="4" spans="1:5" x14ac:dyDescent="0.25">
      <c r="A4" t="s">
        <v>416</v>
      </c>
      <c r="B4" t="s">
        <v>6537</v>
      </c>
      <c r="D4" t="str">
        <v>22.23-0-1.6-ERW 1-PE</v>
      </c>
      <c r="E4" t="str">
        <v>14-0-1.6-CEW-CEW</v>
      </c>
    </row>
    <row r="5" spans="1:5" x14ac:dyDescent="0.25">
      <c r="A5" t="s">
        <v>416</v>
      </c>
      <c r="B5" t="s">
        <v>6538</v>
      </c>
      <c r="D5" t="str">
        <v>12.7-0-1.6-ERW 1-PE</v>
      </c>
      <c r="E5" t="str">
        <v>14-0-1.95-CEW-CEW</v>
      </c>
    </row>
    <row r="6" spans="1:5" x14ac:dyDescent="0.25">
      <c r="A6" t="s">
        <v>633</v>
      </c>
      <c r="B6" t="s">
        <v>423</v>
      </c>
      <c r="D6" t="str">
        <v>22.23-0-2-ERW 1-PE</v>
      </c>
      <c r="E6" t="str">
        <v>14-0-2.5-CEW-CEW</v>
      </c>
    </row>
    <row r="7" spans="1:5" x14ac:dyDescent="0.25">
      <c r="A7" t="s">
        <v>407</v>
      </c>
      <c r="B7" t="s">
        <v>463</v>
      </c>
      <c r="D7" t="str">
        <v>19.05-0-2.3-ERW 1-PE</v>
      </c>
      <c r="E7" t="str">
        <v>15.88-0-1-ERW 1-PE</v>
      </c>
    </row>
    <row r="8" spans="1:5" x14ac:dyDescent="0.25">
      <c r="A8" t="s">
        <v>983</v>
      </c>
      <c r="B8" t="s">
        <v>506</v>
      </c>
      <c r="D8" t="str">
        <v>15.88-0-1.6-ERW 1-PE</v>
      </c>
      <c r="E8" t="str">
        <v>15.88-0-1.2-ERW 1-PE</v>
      </c>
    </row>
    <row r="9" spans="1:5" x14ac:dyDescent="0.25">
      <c r="A9" t="s">
        <v>983</v>
      </c>
      <c r="B9" t="s">
        <v>537</v>
      </c>
      <c r="D9" t="str">
        <v>15.88-0-2-ERW 1-PE</v>
      </c>
      <c r="E9" t="str">
        <v>15.88-0-1.6-ERW 1-PE</v>
      </c>
    </row>
    <row r="10" spans="1:5" x14ac:dyDescent="0.25">
      <c r="A10" t="s">
        <v>407</v>
      </c>
      <c r="B10" t="s">
        <v>546</v>
      </c>
      <c r="D10" t="str">
        <v>22.23-0-2.3-ERW 1-PE</v>
      </c>
      <c r="E10" t="str">
        <v>15.88-0-2-ERW 1-PE</v>
      </c>
    </row>
    <row r="11" spans="1:5" x14ac:dyDescent="0.25">
      <c r="A11" t="s">
        <v>407</v>
      </c>
      <c r="B11" t="s">
        <v>972</v>
      </c>
      <c r="D11" t="str">
        <v>25.4-0-2-ERW 1-FC</v>
      </c>
      <c r="E11" t="str">
        <v>16.1-0-2.8-CEW-CEW</v>
      </c>
    </row>
    <row r="12" spans="1:5" x14ac:dyDescent="0.25">
      <c r="A12" t="s">
        <v>416</v>
      </c>
      <c r="B12" t="s">
        <v>973</v>
      </c>
      <c r="D12" t="str">
        <v>12.7-0-1.2-ERW 1-PE</v>
      </c>
      <c r="E12" t="str">
        <v>16.1-10.4-2.7-CEW-CEW</v>
      </c>
    </row>
    <row r="13" spans="1:5" x14ac:dyDescent="0.25">
      <c r="A13" t="s">
        <v>506</v>
      </c>
      <c r="B13" t="s">
        <v>557</v>
      </c>
      <c r="D13" t="str">
        <v>19-12.5-3.25-CEW-CEW</v>
      </c>
      <c r="E13" t="str">
        <v>16.1-10.7-2.95-CEW-CEW</v>
      </c>
    </row>
    <row r="14" spans="1:5" x14ac:dyDescent="0.25">
      <c r="A14" t="s">
        <v>537</v>
      </c>
      <c r="B14" t="s">
        <v>978</v>
      </c>
      <c r="D14" t="str">
        <v>22.23-0-1.2-ERW 1-PE</v>
      </c>
      <c r="E14" t="str">
        <v>17.3-0-1.2-ERW 1-PE</v>
      </c>
    </row>
    <row r="15" spans="1:5" x14ac:dyDescent="0.25">
      <c r="A15" t="s">
        <v>537</v>
      </c>
      <c r="B15" t="s">
        <v>2878</v>
      </c>
      <c r="D15" t="str">
        <v>15.88-0-1.2-ERW 1-PE</v>
      </c>
      <c r="E15" t="str">
        <v>17.3-0-1.6-ERW 1-PE</v>
      </c>
    </row>
    <row r="16" spans="1:5" x14ac:dyDescent="0.25">
      <c r="A16" t="s">
        <v>748</v>
      </c>
      <c r="B16" t="s">
        <v>980</v>
      </c>
      <c r="D16" t="str">
        <v>17.3-0-1.6-ERW 1-PE</v>
      </c>
      <c r="E16" t="str">
        <v>18-10.8-3.6-CEW-CEW</v>
      </c>
    </row>
    <row r="17" spans="1:5" x14ac:dyDescent="0.25">
      <c r="A17" t="s">
        <v>748</v>
      </c>
      <c r="B17" t="s">
        <v>981</v>
      </c>
      <c r="D17" t="str">
        <v>28.58-0-1.6-ERW 1-PE</v>
      </c>
      <c r="E17" t="str">
        <v>18.2-0-1-ERW 1-PE</v>
      </c>
    </row>
    <row r="18" spans="1:5" x14ac:dyDescent="0.25">
      <c r="A18" t="s">
        <v>737</v>
      </c>
      <c r="B18" t="s">
        <v>590</v>
      </c>
      <c r="D18" t="str">
        <v>21.7-16.2-2.75-CEW-CEW</v>
      </c>
      <c r="E18" t="str">
        <v>18.2-12.3-2.95-CEW-CEW</v>
      </c>
    </row>
    <row r="19" spans="1:5" x14ac:dyDescent="0.25">
      <c r="A19" t="s">
        <v>412</v>
      </c>
      <c r="B19" t="s">
        <v>648</v>
      </c>
      <c r="D19" t="str">
        <v>57.15-0-2.3-ERW 2-FC</v>
      </c>
      <c r="E19" t="str">
        <v>19-12.5-3.25-CEW-CEW</v>
      </c>
    </row>
    <row r="20" spans="1:5" x14ac:dyDescent="0.25">
      <c r="A20" t="s">
        <v>407</v>
      </c>
      <c r="B20" t="s">
        <v>471</v>
      </c>
      <c r="D20" t="str">
        <v>38.1-0-1.6-ERW 1-FC</v>
      </c>
      <c r="E20" t="str">
        <v>19.05-0-1-ERW 1-PE</v>
      </c>
    </row>
    <row r="21" spans="1:5" x14ac:dyDescent="0.25">
      <c r="A21" t="s">
        <v>412</v>
      </c>
      <c r="B21" t="s">
        <v>983</v>
      </c>
      <c r="D21" t="str">
        <v>38.1-0-2-ERW 1-FC</v>
      </c>
      <c r="E21" t="str">
        <v>19.05-0-1.2-ERW 1-PE</v>
      </c>
    </row>
    <row r="22" spans="1:5" x14ac:dyDescent="0.25">
      <c r="A22" t="s">
        <v>407</v>
      </c>
      <c r="B22" t="s">
        <v>986</v>
      </c>
      <c r="D22" t="str">
        <v>38.1-0-2-ERW 1-PE</v>
      </c>
      <c r="E22" t="str">
        <v>19.05-0-1.6-ERW 1-PE</v>
      </c>
    </row>
    <row r="23" spans="1:5" x14ac:dyDescent="0.25">
      <c r="A23" t="s">
        <v>407</v>
      </c>
      <c r="B23" t="s">
        <v>604</v>
      </c>
      <c r="D23" t="str">
        <v>50.8-0-1.6-ERW 1-FC</v>
      </c>
      <c r="E23" t="str">
        <v>19.05-0-1.6-ERW 2 MAHS-PE</v>
      </c>
    </row>
    <row r="24" spans="1:5" x14ac:dyDescent="0.25">
      <c r="A24" t="s">
        <v>412</v>
      </c>
      <c r="B24" t="s">
        <v>407</v>
      </c>
      <c r="D24" t="str">
        <v>18.2-0-1-ERW 1-PE</v>
      </c>
      <c r="E24" t="str">
        <v>19.05-0-2-ERW 1-PE</v>
      </c>
    </row>
    <row r="25" spans="1:5" x14ac:dyDescent="0.25">
      <c r="A25" t="s">
        <v>604</v>
      </c>
      <c r="B25" t="s">
        <v>995</v>
      </c>
      <c r="D25" t="str">
        <v>48.6-0-3.5-ERW 1-FC</v>
      </c>
      <c r="E25" t="str">
        <v>19.05-0-2.3-ERW 1-PE</v>
      </c>
    </row>
    <row r="26" spans="1:5" x14ac:dyDescent="0.25">
      <c r="A26" t="s">
        <v>412</v>
      </c>
      <c r="B26" t="s">
        <v>996</v>
      </c>
      <c r="D26" t="str">
        <v>20-12.4-3.8-CEW-CEW</v>
      </c>
      <c r="E26" t="str">
        <v>20-12.4-3.8-CEW-CEW</v>
      </c>
    </row>
    <row r="27" spans="1:5" x14ac:dyDescent="0.25">
      <c r="A27" t="s">
        <v>412</v>
      </c>
      <c r="B27" t="s">
        <v>724</v>
      </c>
      <c r="D27" t="str">
        <v>20-12.4-4.5-CEW-CEW</v>
      </c>
      <c r="E27" t="str">
        <v>20-12.4-4.5-CEW-CEW</v>
      </c>
    </row>
    <row r="28" spans="1:5" x14ac:dyDescent="0.25">
      <c r="A28" t="s">
        <v>398</v>
      </c>
      <c r="B28" t="s">
        <v>727</v>
      </c>
      <c r="D28" t="str">
        <v>25.4-0-2-ERW 1-PE</v>
      </c>
      <c r="E28" t="str">
        <v>20-17.16-1.42-CEW-CEW</v>
      </c>
    </row>
    <row r="29" spans="1:5" x14ac:dyDescent="0.25">
      <c r="A29" t="s">
        <v>590</v>
      </c>
      <c r="B29" t="s">
        <v>997</v>
      </c>
      <c r="D29" t="str">
        <v>17.3-0-1.2-ERW 1-PE</v>
      </c>
      <c r="E29" t="str">
        <v>21.7-16.2-2.75-CEW-CEW</v>
      </c>
    </row>
    <row r="30" spans="1:5" x14ac:dyDescent="0.25">
      <c r="A30" t="s">
        <v>416</v>
      </c>
      <c r="B30" t="s">
        <v>607</v>
      </c>
      <c r="D30" t="str">
        <v>25.4-19-3.2-CEW-CEW</v>
      </c>
      <c r="E30" t="str">
        <v>21.75-0-3.5-CEW-CEW</v>
      </c>
    </row>
    <row r="31" spans="1:5" x14ac:dyDescent="0.25">
      <c r="A31" t="s">
        <v>506</v>
      </c>
      <c r="B31" t="s">
        <v>412</v>
      </c>
      <c r="D31" t="str">
        <v>20-17.16-1.42-CEW-CEW</v>
      </c>
      <c r="E31" t="str">
        <v>22.23-0-1.2-ERW 1-PE</v>
      </c>
    </row>
    <row r="32" spans="1:5" x14ac:dyDescent="0.25">
      <c r="A32" t="s">
        <v>407</v>
      </c>
      <c r="B32" t="s">
        <v>695</v>
      </c>
      <c r="D32" t="str">
        <v>19.05-0-1-ERW 1-PE</v>
      </c>
      <c r="E32" t="str">
        <v>22.23-0-1.6-ERW 1-PE</v>
      </c>
    </row>
    <row r="33" spans="1:5" x14ac:dyDescent="0.25">
      <c r="A33" t="s">
        <v>416</v>
      </c>
      <c r="B33" t="s">
        <v>562</v>
      </c>
      <c r="D33" t="str">
        <v>37.95-32-2.95-CEW-CEW</v>
      </c>
      <c r="E33" t="str">
        <v>22.23-0-1.6-ERW 2 MAHS-PE</v>
      </c>
    </row>
    <row r="34" spans="1:5" x14ac:dyDescent="0.25">
      <c r="A34" t="s">
        <v>398</v>
      </c>
      <c r="B34" t="s">
        <v>633</v>
      </c>
      <c r="D34" t="str">
        <v>15.88-0-1-ERW 1-PE</v>
      </c>
      <c r="E34" t="str">
        <v>22.23-0-2-ERW 1-FC</v>
      </c>
    </row>
    <row r="35" spans="1:5" x14ac:dyDescent="0.25">
      <c r="A35" t="s">
        <v>416</v>
      </c>
      <c r="B35" t="s">
        <v>642</v>
      </c>
      <c r="D35" t="str">
        <v>50-30-2-ERW 1-FC</v>
      </c>
      <c r="E35" t="str">
        <v>22.23-0-2-ERW 1-PE</v>
      </c>
    </row>
    <row r="36" spans="1:5" x14ac:dyDescent="0.25">
      <c r="A36" t="s">
        <v>607</v>
      </c>
      <c r="B36" t="s">
        <v>748</v>
      </c>
      <c r="D36" t="str">
        <v>31.75-0-1.2-ERW 1-PE</v>
      </c>
      <c r="E36" t="str">
        <v>22.23-0-2-ERW 2 MAHS-PE</v>
      </c>
    </row>
    <row r="37" spans="1:5" x14ac:dyDescent="0.25">
      <c r="A37" t="s">
        <v>463</v>
      </c>
      <c r="B37" t="s">
        <v>450</v>
      </c>
      <c r="D37" t="str">
        <v>25.4-0-1.2-ERW 1-PE</v>
      </c>
      <c r="E37" t="str">
        <v>22.23-0-2.3-ERW 1-PE</v>
      </c>
    </row>
    <row r="38" spans="1:5" x14ac:dyDescent="0.25">
      <c r="A38" t="s">
        <v>978</v>
      </c>
      <c r="B38" t="s">
        <v>626</v>
      </c>
      <c r="D38" t="str">
        <v>19.05-0-1.2-ERW 1-PE</v>
      </c>
      <c r="E38" t="str">
        <v>19-19-1-CRFH-PE</v>
      </c>
    </row>
    <row r="39" spans="1:5" x14ac:dyDescent="0.25">
      <c r="A39" t="s">
        <v>1019</v>
      </c>
      <c r="B39" t="s">
        <v>785</v>
      </c>
      <c r="D39" t="str">
        <v>54-0-3-ERW 2-FC</v>
      </c>
      <c r="E39" t="str">
        <v>19-19-1.2-CRFH-PE</v>
      </c>
    </row>
    <row r="40" spans="1:5" x14ac:dyDescent="0.25">
      <c r="A40" t="s">
        <v>727</v>
      </c>
      <c r="B40" t="s">
        <v>4282</v>
      </c>
      <c r="D40" t="str">
        <v>63.5-0-4-ERW 1-FC</v>
      </c>
      <c r="E40" t="str">
        <v>25.4-0-1.2-ERW 1-PE</v>
      </c>
    </row>
    <row r="41" spans="1:5" x14ac:dyDescent="0.25">
      <c r="A41" t="s">
        <v>633</v>
      </c>
      <c r="B41" t="s">
        <v>1007</v>
      </c>
      <c r="D41" t="str">
        <v>50-50-1.6-ERW 2-PE</v>
      </c>
      <c r="E41" t="str">
        <v>25.4-0-1.4-ERW 2-PE</v>
      </c>
    </row>
    <row r="42" spans="1:5" x14ac:dyDescent="0.25">
      <c r="A42" t="s">
        <v>633</v>
      </c>
      <c r="B42" t="s">
        <v>468</v>
      </c>
      <c r="D42" t="str">
        <v>70-0-3.2-ERW 2-FC</v>
      </c>
      <c r="E42" t="str">
        <v>25.4-0-1.6-ERW 1-FC</v>
      </c>
    </row>
    <row r="43" spans="1:5" x14ac:dyDescent="0.25">
      <c r="A43" t="s">
        <v>412</v>
      </c>
      <c r="B43" t="s">
        <v>737</v>
      </c>
      <c r="D43" t="str">
        <v>42.7-0-3.5-ERW 1-FC</v>
      </c>
      <c r="E43" t="str">
        <v>25.4-0-1.6-ERW 1-PE</v>
      </c>
    </row>
    <row r="44" spans="1:5" x14ac:dyDescent="0.25">
      <c r="A44" t="s">
        <v>412</v>
      </c>
      <c r="B44" t="s">
        <v>1008</v>
      </c>
      <c r="D44" t="str">
        <v>30-25.5-2.25-CEW-CEW</v>
      </c>
      <c r="E44" t="str">
        <v>25.4-0-2-ERW 1-FC</v>
      </c>
    </row>
    <row r="45" spans="1:5" x14ac:dyDescent="0.25">
      <c r="A45" t="s">
        <v>904</v>
      </c>
      <c r="B45" t="s">
        <v>806</v>
      </c>
      <c r="D45" t="str">
        <v>31.75-0-2.5-ERW 1-FC</v>
      </c>
      <c r="E45" t="str">
        <v>25.4-0-2-ERW 1-PE</v>
      </c>
    </row>
    <row r="46" spans="1:5" x14ac:dyDescent="0.25">
      <c r="A46" t="s">
        <v>1043</v>
      </c>
      <c r="B46" t="s">
        <v>404</v>
      </c>
      <c r="D46" t="str">
        <v>25.4-0-2.5-CEW-CEW</v>
      </c>
      <c r="E46" t="str">
        <v>25.4-0-2.5-CEW-CEW</v>
      </c>
    </row>
    <row r="47" spans="1:5" x14ac:dyDescent="0.25">
      <c r="A47" t="s">
        <v>860</v>
      </c>
      <c r="B47" t="s">
        <v>813</v>
      </c>
      <c r="D47" t="str">
        <v>40-30-1.6-ERW 1-FC</v>
      </c>
      <c r="E47" t="str">
        <v>25.4-18.4-3.5-CEW-CEW</v>
      </c>
    </row>
    <row r="48" spans="1:5" x14ac:dyDescent="0.25">
      <c r="A48" t="s">
        <v>4718</v>
      </c>
      <c r="B48" t="s">
        <v>810</v>
      </c>
      <c r="D48" t="str">
        <v>60.3-0-2-ERW 1-FC</v>
      </c>
      <c r="E48" t="str">
        <v>25.4-19-3.2-CEW-CEW</v>
      </c>
    </row>
    <row r="49" spans="1:5" x14ac:dyDescent="0.25">
      <c r="A49" t="s">
        <v>1065</v>
      </c>
      <c r="B49" t="s">
        <v>692</v>
      </c>
      <c r="D49" t="str">
        <v>40-30-2-ERW 1-FC</v>
      </c>
      <c r="E49" t="str">
        <v>25.4-0-2.5-ERW 1-FC</v>
      </c>
    </row>
    <row r="50" spans="1:5" x14ac:dyDescent="0.25">
      <c r="A50" t="s">
        <v>412</v>
      </c>
      <c r="B50" t="s">
        <v>664</v>
      </c>
      <c r="D50" t="str">
        <v>57.15-0-2.5-ERW 1-FC</v>
      </c>
      <c r="E50" t="str">
        <v>28.58-0-1.2-ERW 1-PE</v>
      </c>
    </row>
    <row r="51" spans="1:5" x14ac:dyDescent="0.25">
      <c r="A51" t="s">
        <v>412</v>
      </c>
      <c r="B51" t="s">
        <v>1019</v>
      </c>
      <c r="D51" t="str">
        <v>16.1-10.4-2.7-CEW-CEW</v>
      </c>
      <c r="E51" t="str">
        <v>28.58-0-1.6-ERW 1-FC</v>
      </c>
    </row>
    <row r="52" spans="1:5" x14ac:dyDescent="0.25">
      <c r="A52" t="s">
        <v>980</v>
      </c>
      <c r="B52" t="s">
        <v>582</v>
      </c>
      <c r="D52" t="str">
        <v>42.7-0-4-ERW 1-FC</v>
      </c>
      <c r="E52" t="str">
        <v>28.58-0-1.6-ERW 1-PE</v>
      </c>
    </row>
    <row r="53" spans="1:5" x14ac:dyDescent="0.25">
      <c r="A53" t="s">
        <v>980</v>
      </c>
      <c r="B53" t="s">
        <v>4481</v>
      </c>
      <c r="D53" t="str">
        <v>19.05-0-1.6-ERW 2 MAHS-PE</v>
      </c>
      <c r="E53" t="str">
        <v>28.58-0-2-ERW 1-FC</v>
      </c>
    </row>
    <row r="54" spans="1:5" x14ac:dyDescent="0.25">
      <c r="A54" t="s">
        <v>712</v>
      </c>
      <c r="B54" t="s">
        <v>816</v>
      </c>
      <c r="D54" t="str">
        <v>18.2-12.3-2.95-CEW-CEW</v>
      </c>
      <c r="E54" t="str">
        <v>28.58-0-3.2-ERW 1-FC</v>
      </c>
    </row>
    <row r="55" spans="1:5" x14ac:dyDescent="0.25">
      <c r="A55" t="s">
        <v>995</v>
      </c>
      <c r="B55" t="s">
        <v>393</v>
      </c>
      <c r="D55" t="str">
        <v>41.28-0-3.2-ERW 1-FC</v>
      </c>
      <c r="E55" t="str">
        <v>28.6-0-2.65-CEW-CEW</v>
      </c>
    </row>
    <row r="56" spans="1:5" x14ac:dyDescent="0.25">
      <c r="A56" t="s">
        <v>996</v>
      </c>
      <c r="B56" t="s">
        <v>824</v>
      </c>
      <c r="D56" t="str">
        <v>39-34-2.5-CEW-CEW</v>
      </c>
      <c r="E56" t="str">
        <v>29.4-20.4-4.5-CEW-CEW</v>
      </c>
    </row>
    <row r="57" spans="1:5" x14ac:dyDescent="0.25">
      <c r="A57" t="s">
        <v>1019</v>
      </c>
      <c r="B57" t="s">
        <v>827</v>
      </c>
      <c r="D57" t="str">
        <v>50-30-1.6-ERW 1-FC</v>
      </c>
      <c r="E57" t="str">
        <v>29.4-20.4-4.5-CEW STKM 13C-CEW</v>
      </c>
    </row>
    <row r="58" spans="1:5" x14ac:dyDescent="0.25">
      <c r="A58" t="s">
        <v>1008</v>
      </c>
      <c r="B58" t="s">
        <v>529</v>
      </c>
      <c r="D58" t="str">
        <v>25.4-0-1.6-ERW 1-PE</v>
      </c>
      <c r="E58" t="str">
        <v>30-25.5-2.25-CEW-CEW</v>
      </c>
    </row>
    <row r="59" spans="1:5" x14ac:dyDescent="0.25">
      <c r="A59" t="s">
        <v>557</v>
      </c>
      <c r="B59" t="s">
        <v>836</v>
      </c>
      <c r="D59" t="str">
        <v>29.4-20.4-4.5-CEW STKM 13C-CEW</v>
      </c>
      <c r="E59" t="str">
        <v>25-25-1.2-CRFH-PE</v>
      </c>
    </row>
    <row r="60" spans="1:5" x14ac:dyDescent="0.25">
      <c r="A60" t="s">
        <v>813</v>
      </c>
      <c r="B60" t="s">
        <v>832</v>
      </c>
      <c r="D60" t="str">
        <v>48.6-0-1.2-ERW 1-FC</v>
      </c>
      <c r="E60" t="str">
        <v>31.75-0-1.2-ERW 1-FC</v>
      </c>
    </row>
    <row r="61" spans="1:5" x14ac:dyDescent="0.25">
      <c r="A61" t="s">
        <v>860</v>
      </c>
      <c r="B61" t="s">
        <v>1028</v>
      </c>
      <c r="D61" t="str">
        <v>38.1-0-1.6-ERW 2 MAHS-FC</v>
      </c>
      <c r="E61" t="str">
        <v>31.75-0-1.2-ERW 1-PE</v>
      </c>
    </row>
    <row r="62" spans="1:5" x14ac:dyDescent="0.25">
      <c r="A62" t="s">
        <v>980</v>
      </c>
      <c r="B62" t="s">
        <v>799</v>
      </c>
      <c r="D62" t="str">
        <v>40-25-1.6-ERW 1-FC</v>
      </c>
      <c r="E62" t="str">
        <v>31.75-0-1.6-ERW 1-FC</v>
      </c>
    </row>
    <row r="63" spans="1:5" x14ac:dyDescent="0.25">
      <c r="A63" t="s">
        <v>416</v>
      </c>
      <c r="B63" t="s">
        <v>846</v>
      </c>
      <c r="D63" t="str">
        <v>25.4-0-1.6-ERW 1-FC</v>
      </c>
      <c r="E63" t="str">
        <v>31.75-0-2.5-ERW 1-FC</v>
      </c>
    </row>
    <row r="64" spans="1:5" x14ac:dyDescent="0.25">
      <c r="A64" t="s">
        <v>412</v>
      </c>
      <c r="B64" t="s">
        <v>4583</v>
      </c>
      <c r="D64" t="str">
        <v>25.4-18.4-3.5-CEW-CEW</v>
      </c>
      <c r="E64" t="str">
        <v>31.75-25-3.37-CEW-CEW</v>
      </c>
    </row>
    <row r="65" spans="1:5" x14ac:dyDescent="0.25">
      <c r="A65" t="s">
        <v>1043</v>
      </c>
      <c r="B65" t="s">
        <v>1032</v>
      </c>
      <c r="D65" t="str">
        <v>22.23-0-2-ERW 2 MAHS-PE</v>
      </c>
      <c r="E65" t="str">
        <v>32-0-4.5-CEW-CEW</v>
      </c>
    </row>
    <row r="66" spans="1:5" x14ac:dyDescent="0.25">
      <c r="A66" t="s">
        <v>407</v>
      </c>
      <c r="B66" t="s">
        <v>1034</v>
      </c>
      <c r="D66" t="str">
        <v>22.23-0-1.6-ERW 2 MAHS-PE</v>
      </c>
      <c r="E66" t="str">
        <v>33.3-29.3-2-CEW-CEW</v>
      </c>
    </row>
    <row r="67" spans="1:5" x14ac:dyDescent="0.25">
      <c r="A67" t="s">
        <v>813</v>
      </c>
      <c r="B67" t="s">
        <v>565</v>
      </c>
      <c r="D67" t="str">
        <v>31.75-0-1.2-ERW 1-FC</v>
      </c>
      <c r="E67" t="str">
        <v>34.93-0-1.2-ERW 1-FC</v>
      </c>
    </row>
    <row r="68" spans="1:5" x14ac:dyDescent="0.25">
      <c r="A68" t="s">
        <v>724</v>
      </c>
      <c r="B68" t="s">
        <v>673</v>
      </c>
      <c r="D68" t="str">
        <v>28.58-0-1.2-ERW 1-PE</v>
      </c>
      <c r="E68" t="str">
        <v>34.93-0-1.6-ERW 1-FC</v>
      </c>
    </row>
    <row r="69" spans="1:5" x14ac:dyDescent="0.25">
      <c r="A69" t="s">
        <v>648</v>
      </c>
      <c r="B69" t="s">
        <v>1041</v>
      </c>
      <c r="D69" t="str">
        <v>33.3-29.3-2-CEW-CEW</v>
      </c>
      <c r="E69" t="str">
        <v>34.93-0-2.6-ERW 1-FC</v>
      </c>
    </row>
    <row r="70" spans="1:5" x14ac:dyDescent="0.25">
      <c r="A70" t="s">
        <v>1042</v>
      </c>
      <c r="B70" t="s">
        <v>1042</v>
      </c>
      <c r="D70" t="str">
        <v>40-20-1.2-CRFH-PE</v>
      </c>
      <c r="E70" t="str">
        <v>37.6-31.2-3.2-CEW-CEW</v>
      </c>
    </row>
    <row r="71" spans="1:5" x14ac:dyDescent="0.25">
      <c r="A71" t="s">
        <v>423</v>
      </c>
      <c r="B71" t="s">
        <v>549</v>
      </c>
      <c r="D71" t="str">
        <v>28.6-0-2.65-CEW-CEW</v>
      </c>
      <c r="E71" t="str">
        <v>37.95-32-2.95-CEW-CEW</v>
      </c>
    </row>
    <row r="72" spans="1:5" x14ac:dyDescent="0.25">
      <c r="A72" t="s">
        <v>841</v>
      </c>
      <c r="B72" t="s">
        <v>1043</v>
      </c>
      <c r="D72" t="str">
        <v>19-19-1-CRFH-PE</v>
      </c>
      <c r="E72" t="str">
        <v>30-30-1.2-CRFH-PE</v>
      </c>
    </row>
    <row r="73" spans="1:5" x14ac:dyDescent="0.25">
      <c r="A73" t="s">
        <v>727</v>
      </c>
      <c r="B73" t="s">
        <v>1045</v>
      </c>
      <c r="D73" t="str">
        <v>25-25-1.2-CRFH-PE</v>
      </c>
      <c r="E73" t="str">
        <v>38.1-0-1.6-ERW 1-FC</v>
      </c>
    </row>
    <row r="74" spans="1:5" x14ac:dyDescent="0.25">
      <c r="A74" t="s">
        <v>633</v>
      </c>
      <c r="B74" t="s">
        <v>860</v>
      </c>
      <c r="D74" t="str">
        <v>30-30-1.2-CRFH-PE</v>
      </c>
      <c r="E74" t="str">
        <v>38.1-0-1.6-ERW 2 MAHS-FC</v>
      </c>
    </row>
    <row r="75" spans="1:5" x14ac:dyDescent="0.25">
      <c r="A75" t="s">
        <v>633</v>
      </c>
      <c r="B75" t="s">
        <v>4718</v>
      </c>
      <c r="D75" t="str">
        <v>40-25-1.6-CRFH-FC</v>
      </c>
      <c r="E75" t="str">
        <v>38.1-0-2-ERW 1-FC</v>
      </c>
    </row>
    <row r="76" spans="1:5" x14ac:dyDescent="0.25">
      <c r="A76" t="s">
        <v>860</v>
      </c>
      <c r="B76" t="s">
        <v>1048</v>
      </c>
      <c r="D76" t="str">
        <v>40-40-1.2-CRFH-PE</v>
      </c>
      <c r="E76" t="str">
        <v>38.1-0-2-ERW 1-PE</v>
      </c>
    </row>
    <row r="77" spans="1:5" x14ac:dyDescent="0.25">
      <c r="A77" t="s">
        <v>412</v>
      </c>
      <c r="B77" t="s">
        <v>1049</v>
      </c>
      <c r="D77" t="str">
        <v>34.93-0-1.2-ERW 1-FC</v>
      </c>
      <c r="E77" t="str">
        <v>38.1-0-2.5-ERW 2 MAHS-FC</v>
      </c>
    </row>
    <row r="78" spans="1:5" x14ac:dyDescent="0.25">
      <c r="A78" t="s">
        <v>860</v>
      </c>
      <c r="B78" t="s">
        <v>456</v>
      </c>
      <c r="D78" t="str">
        <v>28.58-0-2-ERW 1-FC</v>
      </c>
      <c r="E78" t="str">
        <v>38.1-0-3.66-ERW 1-FC</v>
      </c>
    </row>
    <row r="79" spans="1:5" x14ac:dyDescent="0.25">
      <c r="A79" t="s">
        <v>832</v>
      </c>
      <c r="B79" t="s">
        <v>661</v>
      </c>
      <c r="D79" t="str">
        <v>28.58-0-1.6-ERW 1-FC</v>
      </c>
      <c r="E79" t="str">
        <v>40-20-1.2-CRFH-PE</v>
      </c>
    </row>
    <row r="80" spans="1:5" x14ac:dyDescent="0.25">
      <c r="A80" t="s">
        <v>785</v>
      </c>
      <c r="B80" t="s">
        <v>869</v>
      </c>
      <c r="D80" t="str">
        <v>40-20-1.6-ERW 1-FC</v>
      </c>
      <c r="E80" t="str">
        <v>40-20-1.6-ERW 1-FC</v>
      </c>
    </row>
    <row r="81" spans="1:5" x14ac:dyDescent="0.25">
      <c r="A81" t="s">
        <v>471</v>
      </c>
      <c r="B81" t="s">
        <v>6544</v>
      </c>
      <c r="D81" t="str">
        <v>40-25-2-ERW 1-FC</v>
      </c>
      <c r="E81" t="str">
        <v>39-34-2.5-CEW-CEW</v>
      </c>
    </row>
    <row r="82" spans="1:5" x14ac:dyDescent="0.25">
      <c r="A82" t="s">
        <v>920</v>
      </c>
      <c r="B82" t="s">
        <v>428</v>
      </c>
      <c r="D82" t="str">
        <v>16.1-0-2.8-CEW-CEW</v>
      </c>
      <c r="E82" t="str">
        <v>40-25-1.6-CRFH-FC</v>
      </c>
    </row>
    <row r="83" spans="1:5" x14ac:dyDescent="0.25">
      <c r="A83" t="s">
        <v>872</v>
      </c>
      <c r="B83" t="s">
        <v>1823</v>
      </c>
      <c r="D83" t="str">
        <v>31.75-25-3.37-CEW-CEW</v>
      </c>
      <c r="E83" t="str">
        <v>40-25-1.6-ERW 1-FC</v>
      </c>
    </row>
    <row r="84" spans="1:5" x14ac:dyDescent="0.25">
      <c r="A84" t="s">
        <v>895</v>
      </c>
      <c r="B84" t="s">
        <v>1052</v>
      </c>
      <c r="D84" t="str">
        <v>14-0-1.6-CEW-CEW</v>
      </c>
      <c r="E84" t="str">
        <v>40-25-1.6-ERW 2-FC</v>
      </c>
    </row>
    <row r="85" spans="1:5" x14ac:dyDescent="0.25">
      <c r="A85" t="s">
        <v>914</v>
      </c>
      <c r="B85" t="s">
        <v>886</v>
      </c>
      <c r="D85" t="str">
        <v>34.93-0-2.6-ERW 1-FC</v>
      </c>
      <c r="E85" t="str">
        <v>40-25-2-ERW 1-FC</v>
      </c>
    </row>
    <row r="86" spans="1:5" x14ac:dyDescent="0.25">
      <c r="A86" t="s">
        <v>607</v>
      </c>
      <c r="B86" t="s">
        <v>654</v>
      </c>
      <c r="D86" t="str">
        <v>34.93-0-1.6-ERW 1-FC</v>
      </c>
      <c r="E86" t="str">
        <v>41.28-0-2.6-ERW 1-FC</v>
      </c>
    </row>
    <row r="87" spans="1:5" x14ac:dyDescent="0.25">
      <c r="A87" t="s">
        <v>423</v>
      </c>
      <c r="B87" t="s">
        <v>875</v>
      </c>
      <c r="D87" t="str">
        <v>57.15-0-2-ERW 1-FC</v>
      </c>
      <c r="E87" t="str">
        <v>41.28-0-3.2-ERW 1-FC</v>
      </c>
    </row>
    <row r="88" spans="1:5" x14ac:dyDescent="0.25">
      <c r="A88" t="s">
        <v>875</v>
      </c>
      <c r="B88" t="s">
        <v>891</v>
      </c>
      <c r="D88" t="str">
        <v>37.6-31.2-3.2-CEW-CEW</v>
      </c>
      <c r="E88" t="str">
        <v>42.7-0-3.5-ERW 1-FC</v>
      </c>
    </row>
    <row r="89" spans="1:5" x14ac:dyDescent="0.25">
      <c r="A89" t="s">
        <v>827</v>
      </c>
      <c r="B89" t="s">
        <v>586</v>
      </c>
      <c r="D89" t="str">
        <v>22.23-0-2-ERW 1-FC</v>
      </c>
      <c r="E89" t="str">
        <v>42.7-0-4-ERW 1-FC</v>
      </c>
    </row>
    <row r="90" spans="1:5" x14ac:dyDescent="0.25">
      <c r="A90" t="s">
        <v>407</v>
      </c>
      <c r="B90" t="s">
        <v>578</v>
      </c>
      <c r="D90" t="str">
        <v>40-25-1.6-ERW 2-FC</v>
      </c>
      <c r="E90" t="str">
        <v>40-30-1.6-ERW 1-FC</v>
      </c>
    </row>
    <row r="91" spans="1:5" x14ac:dyDescent="0.25">
      <c r="A91" t="s">
        <v>799</v>
      </c>
      <c r="B91" t="s">
        <v>794</v>
      </c>
      <c r="D91" t="str">
        <v>50-30-1.6-ERW 2-FC</v>
      </c>
      <c r="E91" t="str">
        <v>40-30-2-ERW 1-FC</v>
      </c>
    </row>
    <row r="92" spans="1:5" x14ac:dyDescent="0.25">
      <c r="A92" t="s">
        <v>727</v>
      </c>
      <c r="B92" t="s">
        <v>712</v>
      </c>
      <c r="D92" t="str">
        <v>25.4-0-2.5-ERW 1-FC</v>
      </c>
      <c r="E92" t="str">
        <v>48.6-0-1.2-ERW 1-FC</v>
      </c>
    </row>
    <row r="93" spans="1:5" x14ac:dyDescent="0.25">
      <c r="A93" t="s">
        <v>633</v>
      </c>
      <c r="B93" t="s">
        <v>895</v>
      </c>
      <c r="D93" t="str">
        <v>21.75-0-3.5-CEW-CEW</v>
      </c>
      <c r="E93" t="str">
        <v>48.6-0-3.5-ERW 1-FC</v>
      </c>
    </row>
    <row r="94" spans="1:5" x14ac:dyDescent="0.25">
      <c r="A94" t="s">
        <v>832</v>
      </c>
      <c r="B94" t="s">
        <v>445</v>
      </c>
      <c r="D94" t="str">
        <v>14-0-2.5-CEW-CEW</v>
      </c>
      <c r="E94" t="str">
        <v>50-50-1.6-ERW 2-PE</v>
      </c>
    </row>
    <row r="95" spans="1:5" x14ac:dyDescent="0.25">
      <c r="A95" t="s">
        <v>806</v>
      </c>
      <c r="B95" t="s">
        <v>474</v>
      </c>
      <c r="E95" t="str">
        <v>40-40-1.2-CRFH-PE</v>
      </c>
    </row>
    <row r="96" spans="1:5" x14ac:dyDescent="0.25">
      <c r="A96" t="s">
        <v>412</v>
      </c>
      <c r="B96" t="s">
        <v>1824</v>
      </c>
      <c r="E96" t="str">
        <v>50-30-1.6-ERW 1-FC</v>
      </c>
    </row>
    <row r="97" spans="1:5" x14ac:dyDescent="0.25">
      <c r="A97" t="s">
        <v>607</v>
      </c>
      <c r="B97" t="s">
        <v>841</v>
      </c>
      <c r="E97" t="str">
        <v>50-30-1.6-ERW 2-FC</v>
      </c>
    </row>
    <row r="98" spans="1:5" x14ac:dyDescent="0.25">
      <c r="A98" t="s">
        <v>586</v>
      </c>
      <c r="B98" t="s">
        <v>2305</v>
      </c>
      <c r="E98" t="str">
        <v>50-30-2-ERW 1-FC</v>
      </c>
    </row>
    <row r="99" spans="1:5" x14ac:dyDescent="0.25">
      <c r="A99" t="s">
        <v>1070</v>
      </c>
      <c r="B99" t="s">
        <v>1065</v>
      </c>
      <c r="E99" t="str">
        <v>50.8-0-1.4-ERW 2-FC</v>
      </c>
    </row>
    <row r="100" spans="1:5" x14ac:dyDescent="0.25">
      <c r="A100" t="s">
        <v>604</v>
      </c>
      <c r="B100" t="s">
        <v>920</v>
      </c>
      <c r="E100" t="str">
        <v>50.8-0-1.6-ERW 1-FC</v>
      </c>
    </row>
    <row r="101" spans="1:5" x14ac:dyDescent="0.25">
      <c r="A101" t="s">
        <v>586</v>
      </c>
      <c r="B101" t="s">
        <v>909</v>
      </c>
      <c r="E101" t="str">
        <v>54-0-3-ERW 2-FC</v>
      </c>
    </row>
    <row r="102" spans="1:5" x14ac:dyDescent="0.25">
      <c r="A102" t="s">
        <v>578</v>
      </c>
      <c r="B102" t="s">
        <v>904</v>
      </c>
      <c r="E102" t="str">
        <v>57.15-0-2-ERW 1-FC</v>
      </c>
    </row>
    <row r="103" spans="1:5" x14ac:dyDescent="0.25">
      <c r="A103" t="s">
        <v>926</v>
      </c>
      <c r="B103" t="s">
        <v>926</v>
      </c>
      <c r="E103" t="str">
        <v>57.15-0-2.3-ERW 2-FC</v>
      </c>
    </row>
    <row r="104" spans="1:5" x14ac:dyDescent="0.25">
      <c r="A104" t="s">
        <v>827</v>
      </c>
      <c r="B104" t="s">
        <v>1070</v>
      </c>
      <c r="E104" t="str">
        <v>57.15-0-2.5-ERW 1-FC</v>
      </c>
    </row>
    <row r="105" spans="1:5" x14ac:dyDescent="0.25">
      <c r="A105" t="s">
        <v>972</v>
      </c>
      <c r="B105" t="s">
        <v>872</v>
      </c>
      <c r="E105" t="str">
        <v>60.3-0-2-ERW 1-FC</v>
      </c>
    </row>
    <row r="106" spans="1:5" x14ac:dyDescent="0.25">
      <c r="A106" t="s">
        <v>891</v>
      </c>
      <c r="B106" t="s">
        <v>914</v>
      </c>
      <c r="E106" t="str">
        <v>63.5-0-4-ERW 1-FC</v>
      </c>
    </row>
    <row r="107" spans="1:5" x14ac:dyDescent="0.25">
      <c r="A107" t="s">
        <v>986</v>
      </c>
      <c r="B107" t="s">
        <v>568</v>
      </c>
      <c r="E107" t="str">
        <v>70-0-3.2-ERW 2-FC</v>
      </c>
    </row>
    <row r="108" spans="1:5" x14ac:dyDescent="0.25">
      <c r="A108" t="s">
        <v>633</v>
      </c>
      <c r="E108" t="str">
        <v>59-30-1.6-ERW 1-FIN CUT</v>
      </c>
    </row>
    <row r="109" spans="1:5" x14ac:dyDescent="0.25">
      <c r="A109" t="s">
        <v>748</v>
      </c>
    </row>
    <row r="110" spans="1:5" x14ac:dyDescent="0.25">
      <c r="A110" t="s">
        <v>416</v>
      </c>
    </row>
    <row r="111" spans="1:5" x14ac:dyDescent="0.25">
      <c r="A111" t="s">
        <v>412</v>
      </c>
    </row>
    <row r="112" spans="1:5" x14ac:dyDescent="0.25">
      <c r="A112" t="s">
        <v>412</v>
      </c>
    </row>
    <row r="113" spans="1:1" x14ac:dyDescent="0.25">
      <c r="A113" t="s">
        <v>416</v>
      </c>
    </row>
    <row r="114" spans="1:1" x14ac:dyDescent="0.25">
      <c r="A114" t="s">
        <v>412</v>
      </c>
    </row>
    <row r="115" spans="1:1" x14ac:dyDescent="0.25">
      <c r="A115" t="s">
        <v>748</v>
      </c>
    </row>
    <row r="116" spans="1:1" x14ac:dyDescent="0.25">
      <c r="A116" t="s">
        <v>604</v>
      </c>
    </row>
    <row r="117" spans="1:1" x14ac:dyDescent="0.25">
      <c r="A117" t="s">
        <v>506</v>
      </c>
    </row>
    <row r="118" spans="1:1" x14ac:dyDescent="0.25">
      <c r="A118" t="s">
        <v>604</v>
      </c>
    </row>
    <row r="119" spans="1:1" x14ac:dyDescent="0.25">
      <c r="A119" t="s">
        <v>407</v>
      </c>
    </row>
    <row r="120" spans="1:1" x14ac:dyDescent="0.25">
      <c r="A120" t="s">
        <v>891</v>
      </c>
    </row>
    <row r="121" spans="1:1" x14ac:dyDescent="0.25">
      <c r="A121" t="s">
        <v>607</v>
      </c>
    </row>
    <row r="122" spans="1:1" x14ac:dyDescent="0.25">
      <c r="A122" t="s">
        <v>407</v>
      </c>
    </row>
    <row r="123" spans="1:1" x14ac:dyDescent="0.25">
      <c r="A123" t="s">
        <v>407</v>
      </c>
    </row>
    <row r="124" spans="1:1" x14ac:dyDescent="0.25">
      <c r="A124" t="s">
        <v>407</v>
      </c>
    </row>
    <row r="125" spans="1:1" x14ac:dyDescent="0.25">
      <c r="A125" t="s">
        <v>926</v>
      </c>
    </row>
    <row r="126" spans="1:1" x14ac:dyDescent="0.25">
      <c r="A126" t="s">
        <v>537</v>
      </c>
    </row>
    <row r="127" spans="1:1" x14ac:dyDescent="0.25">
      <c r="A127" t="s">
        <v>586</v>
      </c>
    </row>
    <row r="128" spans="1:1" x14ac:dyDescent="0.25">
      <c r="A128" t="s">
        <v>578</v>
      </c>
    </row>
    <row r="129" spans="1:1" x14ac:dyDescent="0.25">
      <c r="A129" t="s">
        <v>981</v>
      </c>
    </row>
    <row r="130" spans="1:1" x14ac:dyDescent="0.25">
      <c r="A130" t="s">
        <v>832</v>
      </c>
    </row>
    <row r="131" spans="1:1" x14ac:dyDescent="0.25">
      <c r="A131" t="s">
        <v>799</v>
      </c>
    </row>
    <row r="132" spans="1:1" x14ac:dyDescent="0.25">
      <c r="A132" t="s">
        <v>654</v>
      </c>
    </row>
    <row r="133" spans="1:1" x14ac:dyDescent="0.25">
      <c r="A133" t="s">
        <v>986</v>
      </c>
    </row>
    <row r="134" spans="1:1" x14ac:dyDescent="0.25">
      <c r="A134" t="s">
        <v>590</v>
      </c>
    </row>
    <row r="135" spans="1:1" x14ac:dyDescent="0.25">
      <c r="A135" t="s">
        <v>869</v>
      </c>
    </row>
    <row r="136" spans="1:1" x14ac:dyDescent="0.25">
      <c r="A136" t="s">
        <v>416</v>
      </c>
    </row>
    <row r="137" spans="1:1" x14ac:dyDescent="0.25">
      <c r="A137" t="s">
        <v>471</v>
      </c>
    </row>
    <row r="138" spans="1:1" x14ac:dyDescent="0.25">
      <c r="A138" t="s">
        <v>471</v>
      </c>
    </row>
    <row r="139" spans="1:1" x14ac:dyDescent="0.25">
      <c r="A139" t="s">
        <v>463</v>
      </c>
    </row>
    <row r="140" spans="1:1" x14ac:dyDescent="0.25">
      <c r="A140" t="s">
        <v>648</v>
      </c>
    </row>
    <row r="141" spans="1:1" x14ac:dyDescent="0.25">
      <c r="A141" t="s">
        <v>471</v>
      </c>
    </row>
    <row r="142" spans="1:1" x14ac:dyDescent="0.25">
      <c r="A142" t="s">
        <v>471</v>
      </c>
    </row>
    <row r="143" spans="1:1" x14ac:dyDescent="0.25">
      <c r="A143" t="s">
        <v>471</v>
      </c>
    </row>
    <row r="144" spans="1:1" x14ac:dyDescent="0.25">
      <c r="A144" t="s">
        <v>471</v>
      </c>
    </row>
    <row r="145" spans="1:1" x14ac:dyDescent="0.25">
      <c r="A145" t="s">
        <v>474</v>
      </c>
    </row>
    <row r="146" spans="1:1" x14ac:dyDescent="0.25">
      <c r="A146" t="s">
        <v>471</v>
      </c>
    </row>
    <row r="147" spans="1:1" x14ac:dyDescent="0.25">
      <c r="A147" t="s">
        <v>468</v>
      </c>
    </row>
    <row r="148" spans="1:1" x14ac:dyDescent="0.25">
      <c r="A148" t="s">
        <v>824</v>
      </c>
    </row>
    <row r="149" spans="1:1" x14ac:dyDescent="0.25">
      <c r="A149" t="s">
        <v>824</v>
      </c>
    </row>
    <row r="150" spans="1:1" x14ac:dyDescent="0.25">
      <c r="A150" t="s">
        <v>824</v>
      </c>
    </row>
    <row r="151" spans="1:1" x14ac:dyDescent="0.25">
      <c r="A151" t="s">
        <v>794</v>
      </c>
    </row>
    <row r="152" spans="1:1" x14ac:dyDescent="0.25">
      <c r="A152" t="s">
        <v>983</v>
      </c>
    </row>
    <row r="153" spans="1:1" x14ac:dyDescent="0.25">
      <c r="A153" t="s">
        <v>412</v>
      </c>
    </row>
    <row r="154" spans="1:1" x14ac:dyDescent="0.25">
      <c r="A154" t="s">
        <v>891</v>
      </c>
    </row>
    <row r="155" spans="1:1" x14ac:dyDescent="0.25">
      <c r="A155" t="s">
        <v>875</v>
      </c>
    </row>
    <row r="156" spans="1:1" x14ac:dyDescent="0.25">
      <c r="A156" t="s">
        <v>412</v>
      </c>
    </row>
    <row r="157" spans="1:1" x14ac:dyDescent="0.25">
      <c r="A157" t="s">
        <v>1043</v>
      </c>
    </row>
    <row r="158" spans="1:1" x14ac:dyDescent="0.25">
      <c r="A158" t="s">
        <v>586</v>
      </c>
    </row>
    <row r="159" spans="1:1" x14ac:dyDescent="0.25">
      <c r="A159" t="s">
        <v>586</v>
      </c>
    </row>
    <row r="160" spans="1:1" x14ac:dyDescent="0.25">
      <c r="A160" t="s">
        <v>654</v>
      </c>
    </row>
    <row r="161" spans="1:1" x14ac:dyDescent="0.25">
      <c r="A161" t="s">
        <v>1045</v>
      </c>
    </row>
    <row r="162" spans="1:1" x14ac:dyDescent="0.25">
      <c r="A162" t="s">
        <v>1045</v>
      </c>
    </row>
    <row r="163" spans="1:1" x14ac:dyDescent="0.25">
      <c r="A163" t="s">
        <v>1070</v>
      </c>
    </row>
    <row r="164" spans="1:1" x14ac:dyDescent="0.25">
      <c r="A164" t="s">
        <v>926</v>
      </c>
    </row>
    <row r="165" spans="1:1" x14ac:dyDescent="0.25">
      <c r="A165" t="s">
        <v>926</v>
      </c>
    </row>
    <row r="166" spans="1:1" x14ac:dyDescent="0.25">
      <c r="A166" t="s">
        <v>428</v>
      </c>
    </row>
    <row r="167" spans="1:1" x14ac:dyDescent="0.25">
      <c r="A167" t="s">
        <v>590</v>
      </c>
    </row>
    <row r="168" spans="1:1" x14ac:dyDescent="0.25">
      <c r="A168" t="s">
        <v>590</v>
      </c>
    </row>
    <row r="169" spans="1:1" x14ac:dyDescent="0.25">
      <c r="A169" t="s">
        <v>590</v>
      </c>
    </row>
    <row r="170" spans="1:1" x14ac:dyDescent="0.25">
      <c r="A170" t="s">
        <v>1007</v>
      </c>
    </row>
    <row r="171" spans="1:1" x14ac:dyDescent="0.25">
      <c r="A171" t="s">
        <v>824</v>
      </c>
    </row>
    <row r="172" spans="1:1" x14ac:dyDescent="0.25">
      <c r="A172" t="s">
        <v>404</v>
      </c>
    </row>
    <row r="173" spans="1:1" x14ac:dyDescent="0.25">
      <c r="A173" t="s">
        <v>404</v>
      </c>
    </row>
    <row r="174" spans="1:1" x14ac:dyDescent="0.25">
      <c r="A174" t="s">
        <v>642</v>
      </c>
    </row>
    <row r="175" spans="1:1" x14ac:dyDescent="0.25">
      <c r="A175" t="s">
        <v>695</v>
      </c>
    </row>
    <row r="176" spans="1:1" x14ac:dyDescent="0.25">
      <c r="A176" t="s">
        <v>737</v>
      </c>
    </row>
    <row r="177" spans="1:1" x14ac:dyDescent="0.25">
      <c r="A177" t="s">
        <v>471</v>
      </c>
    </row>
    <row r="178" spans="1:1" x14ac:dyDescent="0.25">
      <c r="A178" t="s">
        <v>836</v>
      </c>
    </row>
    <row r="179" spans="1:1" x14ac:dyDescent="0.25">
      <c r="A179" t="s">
        <v>983</v>
      </c>
    </row>
    <row r="180" spans="1:1" x14ac:dyDescent="0.25">
      <c r="A180" t="s">
        <v>692</v>
      </c>
    </row>
    <row r="181" spans="1:1" x14ac:dyDescent="0.25">
      <c r="A181" t="s">
        <v>978</v>
      </c>
    </row>
    <row r="182" spans="1:1" x14ac:dyDescent="0.25">
      <c r="A182" t="s">
        <v>407</v>
      </c>
    </row>
    <row r="183" spans="1:1" x14ac:dyDescent="0.25">
      <c r="A183" t="s">
        <v>875</v>
      </c>
    </row>
    <row r="184" spans="1:1" x14ac:dyDescent="0.25">
      <c r="A184" t="s">
        <v>1032</v>
      </c>
    </row>
    <row r="185" spans="1:1" x14ac:dyDescent="0.25">
      <c r="A185" t="s">
        <v>633</v>
      </c>
    </row>
    <row r="186" spans="1:1" x14ac:dyDescent="0.25">
      <c r="A186" t="s">
        <v>412</v>
      </c>
    </row>
    <row r="187" spans="1:1" x14ac:dyDescent="0.25">
      <c r="A187" t="s">
        <v>794</v>
      </c>
    </row>
    <row r="188" spans="1:1" x14ac:dyDescent="0.25">
      <c r="A188" t="s">
        <v>860</v>
      </c>
    </row>
    <row r="189" spans="1:1" x14ac:dyDescent="0.25">
      <c r="A189" t="s">
        <v>832</v>
      </c>
    </row>
    <row r="190" spans="1:1" x14ac:dyDescent="0.25">
      <c r="A190" t="s">
        <v>860</v>
      </c>
    </row>
    <row r="191" spans="1:1" x14ac:dyDescent="0.25">
      <c r="A191" t="s">
        <v>860</v>
      </c>
    </row>
    <row r="192" spans="1:1" x14ac:dyDescent="0.25">
      <c r="A192" t="s">
        <v>456</v>
      </c>
    </row>
    <row r="193" spans="1:1" x14ac:dyDescent="0.25">
      <c r="A193" t="s">
        <v>456</v>
      </c>
    </row>
    <row r="194" spans="1:1" x14ac:dyDescent="0.25">
      <c r="A194" t="s">
        <v>456</v>
      </c>
    </row>
    <row r="195" spans="1:1" x14ac:dyDescent="0.25">
      <c r="A195" t="s">
        <v>456</v>
      </c>
    </row>
    <row r="196" spans="1:1" x14ac:dyDescent="0.25">
      <c r="A196" t="s">
        <v>816</v>
      </c>
    </row>
    <row r="197" spans="1:1" x14ac:dyDescent="0.25">
      <c r="A197" t="s">
        <v>456</v>
      </c>
    </row>
    <row r="198" spans="1:1" x14ac:dyDescent="0.25">
      <c r="A198" t="s">
        <v>456</v>
      </c>
    </row>
    <row r="199" spans="1:1" x14ac:dyDescent="0.25">
      <c r="A199" t="s">
        <v>450</v>
      </c>
    </row>
    <row r="200" spans="1:1" x14ac:dyDescent="0.25">
      <c r="A200" t="s">
        <v>450</v>
      </c>
    </row>
    <row r="201" spans="1:1" x14ac:dyDescent="0.25">
      <c r="A201" t="s">
        <v>450</v>
      </c>
    </row>
    <row r="202" spans="1:1" x14ac:dyDescent="0.25">
      <c r="A202" t="s">
        <v>450</v>
      </c>
    </row>
    <row r="203" spans="1:1" x14ac:dyDescent="0.25">
      <c r="A203" t="s">
        <v>450</v>
      </c>
    </row>
    <row r="204" spans="1:1" x14ac:dyDescent="0.25">
      <c r="A204" t="s">
        <v>450</v>
      </c>
    </row>
    <row r="205" spans="1:1" x14ac:dyDescent="0.25">
      <c r="A205" t="s">
        <v>450</v>
      </c>
    </row>
    <row r="206" spans="1:1" x14ac:dyDescent="0.25">
      <c r="A206" t="s">
        <v>450</v>
      </c>
    </row>
    <row r="207" spans="1:1" x14ac:dyDescent="0.25">
      <c r="A207" t="s">
        <v>450</v>
      </c>
    </row>
    <row r="208" spans="1:1" x14ac:dyDescent="0.25">
      <c r="A208" t="s">
        <v>529</v>
      </c>
    </row>
    <row r="209" spans="1:1" x14ac:dyDescent="0.25">
      <c r="A209" t="s">
        <v>529</v>
      </c>
    </row>
    <row r="210" spans="1:1" x14ac:dyDescent="0.25">
      <c r="A210" t="s">
        <v>529</v>
      </c>
    </row>
    <row r="211" spans="1:1" x14ac:dyDescent="0.25">
      <c r="A211" t="s">
        <v>549</v>
      </c>
    </row>
    <row r="212" spans="1:1" x14ac:dyDescent="0.25">
      <c r="A212" t="s">
        <v>869</v>
      </c>
    </row>
    <row r="213" spans="1:1" x14ac:dyDescent="0.25">
      <c r="A213" t="s">
        <v>827</v>
      </c>
    </row>
    <row r="214" spans="1:1" x14ac:dyDescent="0.25">
      <c r="A214" t="s">
        <v>806</v>
      </c>
    </row>
    <row r="215" spans="1:1" x14ac:dyDescent="0.25">
      <c r="A215" t="s">
        <v>6544</v>
      </c>
    </row>
    <row r="216" spans="1:1" x14ac:dyDescent="0.25">
      <c r="A216" t="s">
        <v>456</v>
      </c>
    </row>
    <row r="217" spans="1:1" x14ac:dyDescent="0.25">
      <c r="A217" t="s">
        <v>445</v>
      </c>
    </row>
    <row r="218" spans="1:1" x14ac:dyDescent="0.25">
      <c r="A218" t="s">
        <v>6544</v>
      </c>
    </row>
    <row r="219" spans="1:1" x14ac:dyDescent="0.25">
      <c r="A219" t="s">
        <v>6544</v>
      </c>
    </row>
    <row r="220" spans="1:1" x14ac:dyDescent="0.25">
      <c r="A220" t="s">
        <v>450</v>
      </c>
    </row>
    <row r="221" spans="1:1" x14ac:dyDescent="0.25">
      <c r="A221" t="s">
        <v>586</v>
      </c>
    </row>
    <row r="222" spans="1:1" x14ac:dyDescent="0.25">
      <c r="A222" t="s">
        <v>412</v>
      </c>
    </row>
    <row r="223" spans="1:1" x14ac:dyDescent="0.25">
      <c r="A223" t="s">
        <v>412</v>
      </c>
    </row>
    <row r="224" spans="1:1" x14ac:dyDescent="0.25">
      <c r="A224" t="s">
        <v>604</v>
      </c>
    </row>
    <row r="225" spans="1:1" x14ac:dyDescent="0.25">
      <c r="A225" t="s">
        <v>1034</v>
      </c>
    </row>
    <row r="226" spans="1:1" x14ac:dyDescent="0.25">
      <c r="A226" t="s">
        <v>578</v>
      </c>
    </row>
    <row r="227" spans="1:1" x14ac:dyDescent="0.25">
      <c r="A227" t="s">
        <v>824</v>
      </c>
    </row>
    <row r="228" spans="1:1" x14ac:dyDescent="0.25">
      <c r="A228" t="s">
        <v>737</v>
      </c>
    </row>
    <row r="229" spans="1:1" x14ac:dyDescent="0.25">
      <c r="A229" t="s">
        <v>398</v>
      </c>
    </row>
    <row r="230" spans="1:1" x14ac:dyDescent="0.25">
      <c r="A230" t="s">
        <v>582</v>
      </c>
    </row>
    <row r="231" spans="1:1" x14ac:dyDescent="0.25">
      <c r="A231" t="s">
        <v>664</v>
      </c>
    </row>
    <row r="232" spans="1:1" x14ac:dyDescent="0.25">
      <c r="A232" t="s">
        <v>661</v>
      </c>
    </row>
    <row r="233" spans="1:1" x14ac:dyDescent="0.25">
      <c r="A233" t="s">
        <v>428</v>
      </c>
    </row>
    <row r="234" spans="1:1" x14ac:dyDescent="0.25">
      <c r="A234" t="s">
        <v>664</v>
      </c>
    </row>
    <row r="235" spans="1:1" x14ac:dyDescent="0.25">
      <c r="A235" t="s">
        <v>428</v>
      </c>
    </row>
    <row r="236" spans="1:1" x14ac:dyDescent="0.25">
      <c r="A236" t="s">
        <v>428</v>
      </c>
    </row>
    <row r="237" spans="1:1" x14ac:dyDescent="0.25">
      <c r="A237" t="s">
        <v>428</v>
      </c>
    </row>
    <row r="238" spans="1:1" x14ac:dyDescent="0.25">
      <c r="A238" t="s">
        <v>1052</v>
      </c>
    </row>
    <row r="239" spans="1:1" x14ac:dyDescent="0.25">
      <c r="A239" t="s">
        <v>407</v>
      </c>
    </row>
    <row r="240" spans="1:1" x14ac:dyDescent="0.25">
      <c r="A240" t="s">
        <v>474</v>
      </c>
    </row>
    <row r="241" spans="1:1" x14ac:dyDescent="0.25">
      <c r="A241" t="s">
        <v>578</v>
      </c>
    </row>
    <row r="242" spans="1:1" x14ac:dyDescent="0.25">
      <c r="A242" t="s">
        <v>407</v>
      </c>
    </row>
    <row r="243" spans="1:1" x14ac:dyDescent="0.25">
      <c r="A243" t="s">
        <v>546</v>
      </c>
    </row>
    <row r="244" spans="1:1" x14ac:dyDescent="0.25">
      <c r="A244" t="s">
        <v>407</v>
      </c>
    </row>
    <row r="245" spans="1:1" x14ac:dyDescent="0.25">
      <c r="A245" t="s">
        <v>398</v>
      </c>
    </row>
    <row r="246" spans="1:1" x14ac:dyDescent="0.25">
      <c r="A246" t="s">
        <v>604</v>
      </c>
    </row>
    <row r="247" spans="1:1" x14ac:dyDescent="0.25">
      <c r="A247" t="s">
        <v>604</v>
      </c>
    </row>
    <row r="248" spans="1:1" x14ac:dyDescent="0.25">
      <c r="A248" t="s">
        <v>416</v>
      </c>
    </row>
    <row r="249" spans="1:1" x14ac:dyDescent="0.25">
      <c r="A249" t="s">
        <v>506</v>
      </c>
    </row>
    <row r="250" spans="1:1" x14ac:dyDescent="0.25">
      <c r="A250" t="s">
        <v>846</v>
      </c>
    </row>
    <row r="251" spans="1:1" x14ac:dyDescent="0.25">
      <c r="A251" t="s">
        <v>607</v>
      </c>
    </row>
    <row r="252" spans="1:1" x14ac:dyDescent="0.25">
      <c r="A252" t="s">
        <v>978</v>
      </c>
    </row>
    <row r="253" spans="1:1" x14ac:dyDescent="0.25">
      <c r="A253" t="s">
        <v>978</v>
      </c>
    </row>
    <row r="254" spans="1:1" x14ac:dyDescent="0.25">
      <c r="A254" t="s">
        <v>816</v>
      </c>
    </row>
    <row r="255" spans="1:1" x14ac:dyDescent="0.25">
      <c r="A255" t="s">
        <v>412</v>
      </c>
    </row>
    <row r="256" spans="1:1" x14ac:dyDescent="0.25">
      <c r="A256" t="s">
        <v>816</v>
      </c>
    </row>
    <row r="257" spans="1:1" x14ac:dyDescent="0.25">
      <c r="A257" t="s">
        <v>965</v>
      </c>
    </row>
    <row r="258" spans="1:1" x14ac:dyDescent="0.25">
      <c r="A258" t="s">
        <v>891</v>
      </c>
    </row>
    <row r="259" spans="1:1" x14ac:dyDescent="0.25">
      <c r="A259" t="s">
        <v>474</v>
      </c>
    </row>
    <row r="260" spans="1:1" x14ac:dyDescent="0.25">
      <c r="A260" t="s">
        <v>673</v>
      </c>
    </row>
    <row r="261" spans="1:1" x14ac:dyDescent="0.25">
      <c r="A261" t="s">
        <v>565</v>
      </c>
    </row>
    <row r="262" spans="1:1" x14ac:dyDescent="0.25">
      <c r="A262" t="s">
        <v>909</v>
      </c>
    </row>
    <row r="263" spans="1:1" x14ac:dyDescent="0.25">
      <c r="A263" t="s">
        <v>537</v>
      </c>
    </row>
    <row r="264" spans="1:1" x14ac:dyDescent="0.25">
      <c r="A264" t="s">
        <v>1041</v>
      </c>
    </row>
    <row r="265" spans="1:1" x14ac:dyDescent="0.25">
      <c r="A265" t="s">
        <v>562</v>
      </c>
    </row>
    <row r="266" spans="1:1" x14ac:dyDescent="0.25">
      <c r="A266" t="s">
        <v>712</v>
      </c>
    </row>
    <row r="267" spans="1:1" x14ac:dyDescent="0.25">
      <c r="A267" t="s">
        <v>860</v>
      </c>
    </row>
    <row r="268" spans="1:1" x14ac:dyDescent="0.25">
      <c r="A268" t="s">
        <v>891</v>
      </c>
    </row>
    <row r="269" spans="1:1" x14ac:dyDescent="0.25">
      <c r="A269" t="s">
        <v>412</v>
      </c>
    </row>
    <row r="270" spans="1:1" x14ac:dyDescent="0.25">
      <c r="A270" t="s">
        <v>1823</v>
      </c>
    </row>
    <row r="271" spans="1:1" x14ac:dyDescent="0.25">
      <c r="A271" t="s">
        <v>1824</v>
      </c>
    </row>
    <row r="272" spans="1:1" x14ac:dyDescent="0.25">
      <c r="A272" t="s">
        <v>810</v>
      </c>
    </row>
    <row r="273" spans="1:1" x14ac:dyDescent="0.25">
      <c r="A273" t="s">
        <v>1824</v>
      </c>
    </row>
    <row r="274" spans="1:1" x14ac:dyDescent="0.25">
      <c r="A274" t="s">
        <v>846</v>
      </c>
    </row>
    <row r="275" spans="1:1" x14ac:dyDescent="0.25">
      <c r="A275" t="s">
        <v>997</v>
      </c>
    </row>
    <row r="276" spans="1:1" x14ac:dyDescent="0.25">
      <c r="A276" t="s">
        <v>813</v>
      </c>
    </row>
    <row r="277" spans="1:1" x14ac:dyDescent="0.25">
      <c r="A277" t="s">
        <v>6538</v>
      </c>
    </row>
    <row r="278" spans="1:1" x14ac:dyDescent="0.25">
      <c r="A278" t="s">
        <v>995</v>
      </c>
    </row>
    <row r="279" spans="1:1" x14ac:dyDescent="0.25">
      <c r="A279" t="s">
        <v>996</v>
      </c>
    </row>
    <row r="280" spans="1:1" x14ac:dyDescent="0.25">
      <c r="A280" t="s">
        <v>1008</v>
      </c>
    </row>
    <row r="281" spans="1:1" x14ac:dyDescent="0.25">
      <c r="A281" t="s">
        <v>926</v>
      </c>
    </row>
    <row r="282" spans="1:1" x14ac:dyDescent="0.25">
      <c r="A282" t="s">
        <v>428</v>
      </c>
    </row>
    <row r="283" spans="1:1" x14ac:dyDescent="0.25">
      <c r="A283" t="s">
        <v>1045</v>
      </c>
    </row>
    <row r="284" spans="1:1" x14ac:dyDescent="0.25">
      <c r="A284" t="s">
        <v>1007</v>
      </c>
    </row>
    <row r="285" spans="1:1" x14ac:dyDescent="0.25">
      <c r="A285" t="s">
        <v>926</v>
      </c>
    </row>
    <row r="286" spans="1:1" x14ac:dyDescent="0.25">
      <c r="A286" t="s">
        <v>875</v>
      </c>
    </row>
    <row r="287" spans="1:1" x14ac:dyDescent="0.25">
      <c r="A287" t="s">
        <v>926</v>
      </c>
    </row>
    <row r="288" spans="1:1" x14ac:dyDescent="0.25">
      <c r="A288" t="s">
        <v>407</v>
      </c>
    </row>
    <row r="289" spans="1:1" x14ac:dyDescent="0.25">
      <c r="A289" t="s">
        <v>604</v>
      </c>
    </row>
    <row r="290" spans="1:1" x14ac:dyDescent="0.25">
      <c r="A290" t="s">
        <v>1045</v>
      </c>
    </row>
  </sheetData>
  <conditionalFormatting sqref="D1:E1048576">
    <cfRule type="duplicateValues" dxfId="1" priority="1"/>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81B6-B80A-4E1E-A65B-311A4399029E}">
  <sheetPr codeName="Sheet43"/>
  <dimension ref="A1:I22"/>
  <sheetViews>
    <sheetView workbookViewId="0">
      <selection activeCell="I12" sqref="I12"/>
    </sheetView>
  </sheetViews>
  <sheetFormatPr defaultRowHeight="15" x14ac:dyDescent="0.25"/>
  <cols>
    <col min="1" max="1" width="40" bestFit="1" customWidth="1"/>
    <col min="2" max="2" width="12" bestFit="1" customWidth="1"/>
    <col min="3" max="3" width="25.85546875" bestFit="1" customWidth="1"/>
    <col min="4" max="4" width="12.140625" bestFit="1" customWidth="1"/>
    <col min="8" max="8" width="12.140625" bestFit="1" customWidth="1"/>
  </cols>
  <sheetData>
    <row r="1" spans="1:9" x14ac:dyDescent="0.25">
      <c r="A1" s="73" t="s">
        <v>2135</v>
      </c>
      <c r="B1" s="73"/>
      <c r="C1" s="73" t="s">
        <v>2418</v>
      </c>
      <c r="D1" s="73"/>
      <c r="E1" s="73" t="s">
        <v>1829</v>
      </c>
    </row>
    <row r="2" spans="1:9" x14ac:dyDescent="0.25">
      <c r="A2" s="15" t="s">
        <v>343</v>
      </c>
      <c r="B2" s="15">
        <v>849</v>
      </c>
      <c r="C2" s="15" t="s">
        <v>770</v>
      </c>
      <c r="D2" s="15" t="s">
        <v>993</v>
      </c>
      <c r="E2" s="62">
        <v>50</v>
      </c>
    </row>
    <row r="3" spans="1:9" x14ac:dyDescent="0.25">
      <c r="A3" s="15" t="s">
        <v>5771</v>
      </c>
      <c r="B3" s="15" t="s">
        <v>6592</v>
      </c>
      <c r="C3" s="15" t="s">
        <v>1045</v>
      </c>
      <c r="D3" s="15" t="s">
        <v>985</v>
      </c>
      <c r="E3" s="62">
        <v>40</v>
      </c>
    </row>
    <row r="4" spans="1:9" x14ac:dyDescent="0.25">
      <c r="A4" s="15" t="s">
        <v>5771</v>
      </c>
      <c r="B4" s="15" t="s">
        <v>6592</v>
      </c>
      <c r="C4" s="15" t="s">
        <v>1048</v>
      </c>
      <c r="D4" s="15" t="s">
        <v>985</v>
      </c>
      <c r="E4" s="62">
        <v>50</v>
      </c>
    </row>
    <row r="5" spans="1:9" x14ac:dyDescent="0.25">
      <c r="E5" s="135">
        <f>SUM(E2:E4)</f>
        <v>140</v>
      </c>
    </row>
    <row r="8" spans="1:9" x14ac:dyDescent="0.25">
      <c r="A8" s="73" t="s">
        <v>6593</v>
      </c>
      <c r="B8" s="73" t="s">
        <v>2416</v>
      </c>
      <c r="C8" s="73" t="s">
        <v>2418</v>
      </c>
      <c r="D8" s="73"/>
      <c r="E8" s="73" t="s">
        <v>1829</v>
      </c>
    </row>
    <row r="9" spans="1:9" x14ac:dyDescent="0.25">
      <c r="A9" s="15" t="s">
        <v>5798</v>
      </c>
      <c r="B9" s="15" t="s">
        <v>5799</v>
      </c>
      <c r="C9" s="15" t="s">
        <v>986</v>
      </c>
      <c r="D9" s="15" t="s">
        <v>985</v>
      </c>
      <c r="E9" s="62">
        <v>16.182209477600001</v>
      </c>
    </row>
    <row r="10" spans="1:9" x14ac:dyDescent="0.25">
      <c r="A10" s="15" t="s">
        <v>91</v>
      </c>
      <c r="B10" s="15" t="s">
        <v>5847</v>
      </c>
      <c r="C10" s="15" t="s">
        <v>695</v>
      </c>
      <c r="D10" s="15" t="s">
        <v>985</v>
      </c>
      <c r="E10" s="62">
        <v>7.6085271944000015</v>
      </c>
    </row>
    <row r="11" spans="1:9" x14ac:dyDescent="0.25">
      <c r="A11" s="15" t="s">
        <v>5850</v>
      </c>
      <c r="B11" s="15" t="s">
        <v>5851</v>
      </c>
      <c r="C11" s="15" t="s">
        <v>770</v>
      </c>
      <c r="D11" s="15" t="s">
        <v>993</v>
      </c>
      <c r="E11" s="62">
        <v>24.040106818399703</v>
      </c>
    </row>
    <row r="12" spans="1:9" x14ac:dyDescent="0.25">
      <c r="A12" s="15" t="s">
        <v>6594</v>
      </c>
      <c r="B12" s="15" t="s">
        <v>6595</v>
      </c>
      <c r="C12" s="15" t="s">
        <v>642</v>
      </c>
      <c r="D12" s="15" t="s">
        <v>985</v>
      </c>
      <c r="E12" s="62">
        <v>23.028866523250006</v>
      </c>
      <c r="H12" s="15" t="s">
        <v>993</v>
      </c>
      <c r="I12" s="109">
        <f>SUMIFS($E$2:$E$22,$D$2:$D$22,H12)</f>
        <v>199.65385594775429</v>
      </c>
    </row>
    <row r="13" spans="1:9" x14ac:dyDescent="0.25">
      <c r="A13" s="15" t="s">
        <v>91</v>
      </c>
      <c r="B13" s="15" t="s">
        <v>5802</v>
      </c>
      <c r="C13" s="15" t="s">
        <v>679</v>
      </c>
      <c r="D13" s="15" t="s">
        <v>985</v>
      </c>
      <c r="E13" s="62">
        <v>12.717619845000002</v>
      </c>
      <c r="H13" s="15" t="s">
        <v>985</v>
      </c>
      <c r="I13" s="109">
        <f>SUMIFS($E$2:$E$22,$D$2:$D$22,H13)</f>
        <v>192.23961560732499</v>
      </c>
    </row>
    <row r="14" spans="1:9" x14ac:dyDescent="0.25">
      <c r="A14" s="15" t="s">
        <v>5771</v>
      </c>
      <c r="B14" s="15" t="s">
        <v>5863</v>
      </c>
      <c r="C14" s="15" t="s">
        <v>1045</v>
      </c>
      <c r="D14" s="15" t="s">
        <v>985</v>
      </c>
      <c r="E14" s="62">
        <v>16.827445050700003</v>
      </c>
      <c r="I14" s="108">
        <f>SUM(I12:I13)</f>
        <v>391.89347155507926</v>
      </c>
    </row>
    <row r="15" spans="1:9" x14ac:dyDescent="0.25">
      <c r="A15" s="15" t="s">
        <v>5771</v>
      </c>
      <c r="B15" s="15" t="s">
        <v>5772</v>
      </c>
      <c r="C15" s="15" t="s">
        <v>1048</v>
      </c>
      <c r="D15" s="15" t="s">
        <v>985</v>
      </c>
      <c r="E15" s="62">
        <v>25.874947516375002</v>
      </c>
    </row>
    <row r="16" spans="1:9" x14ac:dyDescent="0.25">
      <c r="A16" s="15" t="s">
        <v>300</v>
      </c>
      <c r="B16" s="15" t="s">
        <v>5902</v>
      </c>
      <c r="C16" s="15" t="s">
        <v>1823</v>
      </c>
      <c r="D16" s="15" t="s">
        <v>993</v>
      </c>
      <c r="E16" s="62">
        <v>10.975752268799999</v>
      </c>
    </row>
    <row r="17" spans="1:5" x14ac:dyDescent="0.25">
      <c r="A17" s="15" t="s">
        <v>954</v>
      </c>
      <c r="B17" s="15" t="s">
        <v>5824</v>
      </c>
      <c r="C17" s="15" t="s">
        <v>895</v>
      </c>
      <c r="D17" s="15" t="s">
        <v>993</v>
      </c>
      <c r="E17" s="62">
        <v>8.270910820480001</v>
      </c>
    </row>
    <row r="18" spans="1:5" x14ac:dyDescent="0.25">
      <c r="A18" s="15" t="s">
        <v>300</v>
      </c>
      <c r="B18" s="15" t="s">
        <v>6596</v>
      </c>
      <c r="C18" s="15" t="s">
        <v>1824</v>
      </c>
      <c r="D18" s="15" t="s">
        <v>993</v>
      </c>
      <c r="E18" s="62">
        <v>15.1738407170496</v>
      </c>
    </row>
    <row r="19" spans="1:5" x14ac:dyDescent="0.25">
      <c r="A19" s="15" t="s">
        <v>6597</v>
      </c>
      <c r="B19" s="15" t="s">
        <v>5912</v>
      </c>
      <c r="C19" s="15" t="s">
        <v>920</v>
      </c>
      <c r="D19" s="15" t="s">
        <v>993</v>
      </c>
      <c r="E19" s="62">
        <v>17.197114320000001</v>
      </c>
    </row>
    <row r="20" spans="1:5" x14ac:dyDescent="0.25">
      <c r="A20" s="15" t="s">
        <v>953</v>
      </c>
      <c r="B20" s="15" t="s">
        <v>5825</v>
      </c>
      <c r="C20" s="15" t="s">
        <v>904</v>
      </c>
      <c r="D20" s="15" t="s">
        <v>993</v>
      </c>
      <c r="E20" s="62">
        <v>63.668949332625004</v>
      </c>
    </row>
    <row r="21" spans="1:5" x14ac:dyDescent="0.25">
      <c r="A21" s="15" t="s">
        <v>6597</v>
      </c>
      <c r="B21" s="15" t="s">
        <v>6598</v>
      </c>
      <c r="C21" s="15" t="s">
        <v>914</v>
      </c>
      <c r="D21" s="15" t="s">
        <v>993</v>
      </c>
      <c r="E21" s="62">
        <v>10.3271816704</v>
      </c>
    </row>
    <row r="22" spans="1:5" x14ac:dyDescent="0.25">
      <c r="E22" s="135">
        <f>SUM(E9:E21)</f>
        <v>251.89347155507932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0d3c16d-8b53-41e8-9770-dab5a12b10e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criptIds xmlns="http://schemas.microsoft.com/office/extensibility/maker/v1.0" id="script-ids-node-id">
  <scriptId id="ms-officescript%3A%2F%2Fonedrive_business_itemlink%2F01GJL342OVI4MLS62KFFDKFPLQW5COLA6D:ms-officescript%3A%2F%2Fonedrive_business_sharinglink%2Fu!aHR0cHM6Ly90c2xpbi1teS5zaGFyZXBvaW50LmNvbS86dTovZy9wZXJzb25hbC8xNjM1NTlfdGF0YXN0ZWVsX2NvbS9FZFZIR0xsN1NpbEdvcjF3dDBUbGc4TUJNbW5JN0JVdjRiSFZsTGl2eXlYaV93"/>
</scriptIds>
</file>

<file path=customXml/item4.xml><?xml version="1.0" encoding="utf-8"?>
<ct:contentTypeSchema xmlns:ct="http://schemas.microsoft.com/office/2006/metadata/contentType" xmlns:ma="http://schemas.microsoft.com/office/2006/metadata/properties/metaAttributes" ct:_="" ma:_="" ma:contentTypeName="Document" ma:contentTypeID="0x0101001BF8FB3756F55449A52CE735CA9391F8" ma:contentTypeVersion="18" ma:contentTypeDescription="Create a new document." ma:contentTypeScope="" ma:versionID="4b5c2876ab0e8b444d837360000bc9b8">
  <xsd:schema xmlns:xsd="http://www.w3.org/2001/XMLSchema" xmlns:xs="http://www.w3.org/2001/XMLSchema" xmlns:p="http://schemas.microsoft.com/office/2006/metadata/properties" xmlns:ns3="10d3c16d-8b53-41e8-9770-dab5a12b10e2" xmlns:ns4="31de56ea-e54b-4cea-806d-d00a062c4d75" targetNamespace="http://schemas.microsoft.com/office/2006/metadata/properties" ma:root="true" ma:fieldsID="26e69982884194b850b3379117d69aa9" ns3:_="" ns4:_="">
    <xsd:import namespace="10d3c16d-8b53-41e8-9770-dab5a12b10e2"/>
    <xsd:import namespace="31de56ea-e54b-4cea-806d-d00a062c4d7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ServiceObjectDetectorVersions" minOccurs="0"/>
                <xsd:element ref="ns3:_activity" minOccurs="0"/>
                <xsd:element ref="ns3:MediaServiceSearchProperties"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d3c16d-8b53-41e8-9770-dab5a12b10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1de56ea-e54b-4cea-806d-d00a062c4d7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F5F6B07B-0ADD-4CA2-A76F-17A921014E37}">
  <ds:schemaRefs>
    <ds:schemaRef ds:uri="http://schemas.microsoft.com/office/2006/metadata/properties"/>
    <ds:schemaRef ds:uri="http://schemas.microsoft.com/office/infopath/2007/PartnerControls"/>
    <ds:schemaRef ds:uri="10d3c16d-8b53-41e8-9770-dab5a12b10e2"/>
  </ds:schemaRefs>
</ds:datastoreItem>
</file>

<file path=customXml/itemProps2.xml><?xml version="1.0" encoding="utf-8"?>
<ds:datastoreItem xmlns:ds="http://schemas.openxmlformats.org/officeDocument/2006/customXml" ds:itemID="{A788F517-A0C8-4CF3-A3E8-03433EFE5805}">
  <ds:schemaRefs>
    <ds:schemaRef ds:uri="http://schemas.microsoft.com/sharepoint/v3/contenttype/forms"/>
  </ds:schemaRefs>
</ds:datastoreItem>
</file>

<file path=customXml/itemProps3.xml><?xml version="1.0" encoding="utf-8"?>
<ds:datastoreItem xmlns:ds="http://schemas.openxmlformats.org/officeDocument/2006/customXml" ds:itemID="{8C5FADCF-FF4A-460C-88FE-A36999EE9AF9}">
  <ds:schemaRefs>
    <ds:schemaRef ds:uri="http://schemas.microsoft.com/office/extensibility/maker/v1.0"/>
  </ds:schemaRefs>
</ds:datastoreItem>
</file>

<file path=customXml/itemProps4.xml><?xml version="1.0" encoding="utf-8"?>
<ds:datastoreItem xmlns:ds="http://schemas.openxmlformats.org/officeDocument/2006/customXml" ds:itemID="{DC64F81D-4C1A-47F5-BFD6-865DE37855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d3c16d-8b53-41e8-9770-dab5a12b10e2"/>
    <ds:schemaRef ds:uri="31de56ea-e54b-4cea-806d-d00a062c4d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3304260E-0B65-49B1-957B-F4EFA86222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4</vt:i4>
      </vt:variant>
    </vt:vector>
  </HeadingPairs>
  <TitlesOfParts>
    <vt:vector size="62" baseType="lpstr">
      <vt:lpstr>Sheet2</vt:lpstr>
      <vt:lpstr>OEM_key_1_rev codes</vt:lpstr>
      <vt:lpstr>RM Coil</vt:lpstr>
      <vt:lpstr>saleswipstock_matnos</vt:lpstr>
      <vt:lpstr>Methodology</vt:lpstr>
      <vt:lpstr>saleswipstock_customer</vt:lpstr>
      <vt:lpstr>OEM_key</vt:lpstr>
      <vt:lpstr>Pivot_schedule</vt:lpstr>
      <vt:lpstr>Schedule Pivot</vt:lpstr>
      <vt:lpstr>nov indent</vt:lpstr>
      <vt:lpstr>salesTVS</vt:lpstr>
      <vt:lpstr>pivot schedule copy check</vt:lpstr>
      <vt:lpstr>Schedule for Printing</vt:lpstr>
      <vt:lpstr>RM Tracker</vt:lpstr>
      <vt:lpstr>dec indent</vt:lpstr>
      <vt:lpstr>Chamferring and Angle cut</vt:lpstr>
      <vt:lpstr>RM Tracker Pasted</vt:lpstr>
      <vt:lpstr>wip_ystockn_newest_codes_bucket</vt:lpstr>
      <vt:lpstr>4318_ll_req</vt:lpstr>
      <vt:lpstr>Schedule July</vt:lpstr>
      <vt:lpstr>4318 CTL</vt:lpstr>
      <vt:lpstr>4731 CTL</vt:lpstr>
      <vt:lpstr>stock</vt:lpstr>
      <vt:lpstr>Sales Forecast TVS</vt:lpstr>
      <vt:lpstr>Bucketting</vt:lpstr>
      <vt:lpstr>Sheet1</vt:lpstr>
      <vt:lpstr>wip</vt:lpstr>
      <vt:lpstr>Printing Forecast</vt:lpstr>
      <vt:lpstr>Sales Loss</vt:lpstr>
      <vt:lpstr>SOB</vt:lpstr>
      <vt:lpstr>All Chamferring</vt:lpstr>
      <vt:lpstr>salesALL</vt:lpstr>
      <vt:lpstr>Chamferring Sizes</vt:lpstr>
      <vt:lpstr>rm types</vt:lpstr>
      <vt:lpstr>Sales Forecast For Printing</vt:lpstr>
      <vt:lpstr>Apr VSM Schedule</vt:lpstr>
      <vt:lpstr>VSM May Indent</vt:lpstr>
      <vt:lpstr>VSM June Indent</vt:lpstr>
      <vt:lpstr>VSM July Indent</vt:lpstr>
      <vt:lpstr>Aug Indent</vt:lpstr>
      <vt:lpstr>Sep Indent</vt:lpstr>
      <vt:lpstr>MeghSteel Buckets_use file</vt:lpstr>
      <vt:lpstr>meghsteelsales</vt:lpstr>
      <vt:lpstr>meghsteelsales_previous month</vt:lpstr>
      <vt:lpstr>oct indent</vt:lpstr>
      <vt:lpstr>Sheet3</vt:lpstr>
      <vt:lpstr>Megh Value Added SKU Tracker</vt:lpstr>
      <vt:lpstr>Knitvel Sizes</vt:lpstr>
      <vt:lpstr>PCR</vt:lpstr>
      <vt:lpstr>MeghSteel Buckets_refresh file</vt:lpstr>
      <vt:lpstr>helper sheet</vt:lpstr>
      <vt:lpstr>Schedule Ampere</vt:lpstr>
      <vt:lpstr>Customer view of Sales Forecast</vt:lpstr>
      <vt:lpstr>NMPL Schedule vs Sales</vt:lpstr>
      <vt:lpstr>Critical sizes 27012025</vt:lpstr>
      <vt:lpstr>Pivot</vt:lpstr>
      <vt:lpstr>Bucket and Schedule Matching</vt:lpstr>
      <vt:lpstr>ERW 2 and ERW 2 MAHS</vt:lpstr>
      <vt:lpstr>'Printing Forecast'!Print_Area</vt:lpstr>
      <vt:lpstr>'RM Tracker Pasted'!Print_Area</vt:lpstr>
      <vt:lpstr>'Schedule for Printing'!Print_Area</vt:lpstr>
      <vt:lpstr>'Printing Forecast'!Print_Titles</vt:lpstr>
    </vt:vector>
  </TitlesOfParts>
  <Manager/>
  <Company>TATASTEEL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PRAKASH</dc:creator>
  <cp:keywords/>
  <dc:description/>
  <cp:lastModifiedBy>Apoorv Gupta</cp:lastModifiedBy>
  <cp:revision/>
  <dcterms:created xsi:type="dcterms:W3CDTF">2023-12-04T07:34:46Z</dcterms:created>
  <dcterms:modified xsi:type="dcterms:W3CDTF">2026-07-27T11:47:05Z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50afb6-ab6e-4e8b-96b5-6e00ab52e29e_Enabled">
    <vt:lpwstr>true</vt:lpwstr>
  </property>
  <property fmtid="{D5CDD505-2E9C-101B-9397-08002B2CF9AE}" pid="3" name="MSIP_Label_2f50afb6-ab6e-4e8b-96b5-6e00ab52e29e_SetDate">
    <vt:lpwstr>2023-12-04T09:26:55Z</vt:lpwstr>
  </property>
  <property fmtid="{D5CDD505-2E9C-101B-9397-08002B2CF9AE}" pid="4" name="MSIP_Label_2f50afb6-ab6e-4e8b-96b5-6e00ab52e29e_Method">
    <vt:lpwstr>Standard</vt:lpwstr>
  </property>
  <property fmtid="{D5CDD505-2E9C-101B-9397-08002B2CF9AE}" pid="5" name="MSIP_Label_2f50afb6-ab6e-4e8b-96b5-6e00ab52e29e_Name">
    <vt:lpwstr>2f50afb6-ab6e-4e8b-96b5-6e00ab52e29e</vt:lpwstr>
  </property>
  <property fmtid="{D5CDD505-2E9C-101B-9397-08002B2CF9AE}" pid="6" name="MSIP_Label_2f50afb6-ab6e-4e8b-96b5-6e00ab52e29e_SiteId">
    <vt:lpwstr>f35425af-4755-4e0c-b1bb-b3cb9f1c6afd</vt:lpwstr>
  </property>
  <property fmtid="{D5CDD505-2E9C-101B-9397-08002B2CF9AE}" pid="7" name="MSIP_Label_2f50afb6-ab6e-4e8b-96b5-6e00ab52e29e_ActionId">
    <vt:lpwstr>1f08a4e6-86e0-427e-a304-00eec36f6c80</vt:lpwstr>
  </property>
  <property fmtid="{D5CDD505-2E9C-101B-9397-08002B2CF9AE}" pid="8" name="MSIP_Label_2f50afb6-ab6e-4e8b-96b5-6e00ab52e29e_ContentBits">
    <vt:lpwstr>0</vt:lpwstr>
  </property>
  <property fmtid="{D5CDD505-2E9C-101B-9397-08002B2CF9AE}" pid="9" name="ContentTypeId">
    <vt:lpwstr>0x0101001BF8FB3756F55449A52CE735CA9391F8</vt:lpwstr>
  </property>
</Properties>
</file>